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2.xml" ContentType="application/vnd.openxmlformats-officedocument.spreadsheetml.comments+xml"/>
  <Override PartName="/xl/tables/table15.xml" ContentType="application/vnd.openxmlformats-officedocument.spreadsheetml.table+xml"/>
  <Override PartName="/xl/comments3.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hinkPad\Downloads\"/>
    </mc:Choice>
  </mc:AlternateContent>
  <xr:revisionPtr revIDLastSave="0" documentId="13_ncr:1_{D5A735DA-A9B8-41C0-8AAF-EA4355072AE3}" xr6:coauthVersionLast="47" xr6:coauthVersionMax="47" xr10:uidLastSave="{00000000-0000-0000-0000-000000000000}"/>
  <bookViews>
    <workbookView xWindow="-110" yWindow="-110" windowWidth="19420" windowHeight="11020" xr2:uid="{9F1E3BC1-522A-49B7-A9F3-CD30137BB4B5}"/>
  </bookViews>
  <sheets>
    <sheet name="Dashboard" sheetId="20" r:id="rId1"/>
    <sheet name="Company Info" sheetId="21" r:id="rId2"/>
    <sheet name="Industry Profile" sheetId="22" r:id="rId3"/>
    <sheet name="COA" sheetId="23" r:id="rId4"/>
    <sheet name="Customers" sheetId="24" r:id="rId5"/>
    <sheet name="Vendors" sheetId="25" r:id="rId6"/>
    <sheet name="Employees" sheetId="26" r:id="rId7"/>
    <sheet name="Products" sheetId="27" r:id="rId8"/>
    <sheet name="Sales" sheetId="28" r:id="rId9"/>
    <sheet name="Purchases" sheetId="29" r:id="rId10"/>
    <sheet name="Payroll" sheetId="30" r:id="rId11"/>
    <sheet name="Fixed Assets" sheetId="31" r:id="rId12"/>
    <sheet name="Prepaid Schedule" sheetId="32" r:id="rId13"/>
    <sheet name="General Journal" sheetId="33" r:id="rId14"/>
    <sheet name="General Ledger" sheetId="34" r:id="rId15"/>
    <sheet name="Trial Balance" sheetId="35" r:id="rId16"/>
    <sheet name="Income Statement" sheetId="36" r:id="rId17"/>
    <sheet name="Balance Sheet" sheetId="37" r:id="rId18"/>
    <sheet name="Changes in Equity" sheetId="38" r:id="rId19"/>
    <sheet name="Cash Flow" sheetId="39" r:id="rId20"/>
    <sheet name="Notes to FS" sheetId="40" r:id="rId21"/>
    <sheet name="Tax Reconciliation" sheetId="41" r:id="rId22"/>
    <sheet name="Bank Statement" sheetId="42" r:id="rId23"/>
    <sheet name="Bank Reconciliation" sheetId="43" r:id="rId24"/>
    <sheet name="Sales Invoice" sheetId="44" r:id="rId25"/>
    <sheet name="Ratios" sheetId="45" r:id="rId26"/>
    <sheet name="Monthly P&amp;L" sheetId="46" r:id="rId27"/>
    <sheet name="Dashboard Data" sheetId="47" r:id="rId28"/>
    <sheet name="Controls" sheetId="48" r:id="rId29"/>
  </sheets>
  <definedNames>
    <definedName name="AnalysisDate">Dashboard!$P$3</definedName>
    <definedName name="BPJSKesCap">'Company Info'!$C$44</definedName>
    <definedName name="CashBS">'Balance Sheet'!$E$14</definedName>
    <definedName name="CFF">'Cash Flow'!$E$36</definedName>
    <definedName name="CFI">'Cash Flow'!$E$30</definedName>
    <definedName name="CFO">'Cash Flow'!$E$25</definedName>
    <definedName name="CITRate">'Company Info'!$C$40</definedName>
    <definedName name="CompanyName">'Company Info'!$C$6</definedName>
    <definedName name="CompDate">'Company Info'!$C$33</definedName>
    <definedName name="CompLabel">'Company Info'!$C$49</definedName>
    <definedName name="ControlStatus">Controls!$E$28</definedName>
    <definedName name="CurLabel">'Company Info'!$C$48</definedName>
    <definedName name="CutOff">'Company Info'!$C$30</definedName>
    <definedName name="Fac31E">'Company Info'!$C$41</definedName>
    <definedName name="Fac31ELimit">'Company Info'!$C$42</definedName>
    <definedName name="FinanceCosts">'Income Statement'!$E$21</definedName>
    <definedName name="FYear">'Company Info'!$C$29</definedName>
    <definedName name="GrossProfit">'Income Statement'!$E$14</definedName>
    <definedName name="Industry">'Company Info'!$C$7</definedName>
    <definedName name="IP_CostLabel">'Industry Profile'!$C$9</definedName>
    <definedName name="IP_Desc">'Industry Profile'!$C$7</definedName>
    <definedName name="IP_InvLabel">'Industry Profile'!$C$10</definedName>
    <definedName name="IP_Policy">'Industry Profile'!$C$28</definedName>
    <definedName name="IP_RevLabel">'Industry Profile'!$C$8</definedName>
    <definedName name="IP_Unit">'Industry Profile'!$C$11</definedName>
    <definedName name="JPCap">'Company Info'!$C$45</definedName>
    <definedName name="NetIncome">'Income Statement'!$E$25</definedName>
    <definedName name="OpProfit">'Income Statement'!$E$18</definedName>
    <definedName name="PBT">'Income Statement'!$E$23</definedName>
    <definedName name="PEnd">'Company Info'!$C$32</definedName>
    <definedName name="PeriodTitle">'Company Info'!$C$47</definedName>
    <definedName name="PPh25Inst">'Company Info'!$C$43</definedName>
    <definedName name="_xlnm.Print_Area" localSheetId="24">'Sales Invoice'!$B$6:$H$40</definedName>
    <definedName name="PStart">'Company Info'!$C$31</definedName>
    <definedName name="R_JHTEe">Payroll!$AE$12</definedName>
    <definedName name="R_JHTEr">Payroll!$AE$11</definedName>
    <definedName name="R_JKK">Payroll!$AE$9</definedName>
    <definedName name="R_JKM">Payroll!$AE$10</definedName>
    <definedName name="R_JPEe">Payroll!$AE$14</definedName>
    <definedName name="R_JPEr">Payroll!$AE$13</definedName>
    <definedName name="R_KesEe">Payroll!$AE$8</definedName>
    <definedName name="R_KesEr">Payroll!$AE$7</definedName>
    <definedName name="Revenue">'Income Statement'!$E$12</definedName>
    <definedName name="TerA_L">Payroll!$AD$18:$AD$61</definedName>
    <definedName name="TerA_R">Payroll!$AE$18:$AE$61</definedName>
    <definedName name="TerB_L">Payroll!$AF$18:$AF$57</definedName>
    <definedName name="TerB_R">Payroll!$AG$18:$AG$57</definedName>
    <definedName name="TerC_L">Payroll!$AH$18:$AH$58</definedName>
    <definedName name="TerC_R">Payroll!$AI$18:$AI$58</definedName>
    <definedName name="TotalAssets">'Balance Sheet'!$E$26</definedName>
    <definedName name="TotalEquity">'Balance Sheet'!$E$48</definedName>
    <definedName name="TotalLiab">'Balance Sheet'!$E$42</definedName>
    <definedName name="VATEff">'Company Info'!$C$39</definedName>
    <definedName name="VATFactor">'Company Info'!$C$38</definedName>
    <definedName name="VATRate">'Company Info'!$C$37</definedName>
    <definedName name="WHTRates">'Company Info'!$C$56:$C$59</definedName>
    <definedName name="WHTTypes">'Company Info'!$B$56:$B$59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69" i="20" l="1"/>
  <c r="B75" i="20"/>
  <c r="B74" i="20"/>
  <c r="B73" i="20"/>
  <c r="B72" i="20"/>
  <c r="B71" i="20"/>
  <c r="B29" i="20"/>
  <c r="N18" i="20"/>
  <c r="F18" i="20"/>
  <c r="B18" i="20"/>
  <c r="B2" i="20"/>
  <c r="M7" i="24"/>
  <c r="C26" i="47" a="1"/>
  <c r="F31" i="20" s="1"/>
  <c r="C22" i="47"/>
  <c r="X24" i="47"/>
  <c r="X23" i="47"/>
  <c r="X22" i="47"/>
  <c r="U16" i="47"/>
  <c r="V16" i="47"/>
  <c r="U15" i="47"/>
  <c r="V15" i="47"/>
  <c r="V14" i="47"/>
  <c r="V13" i="47"/>
  <c r="V12" i="47"/>
  <c r="V11" i="47"/>
  <c r="V10" i="47"/>
  <c r="V9" i="47"/>
  <c r="V8" i="47"/>
  <c r="V7" i="47"/>
  <c r="K36" i="47"/>
  <c r="L36" i="47" s="1"/>
  <c r="N36" i="47" a="1"/>
  <c r="K35" i="47"/>
  <c r="L35" i="47" s="1"/>
  <c r="N35" i="47" a="1"/>
  <c r="K34" i="47"/>
  <c r="L34" i="47" s="1"/>
  <c r="N34" i="47" a="1"/>
  <c r="K33" i="47"/>
  <c r="L33" i="47" s="1"/>
  <c r="N33" i="47" a="1"/>
  <c r="K32" i="47"/>
  <c r="L32" i="47" s="1"/>
  <c r="N32" i="47" a="1"/>
  <c r="K31" i="47"/>
  <c r="L31" i="47" s="1"/>
  <c r="N31" i="47" a="1"/>
  <c r="K30" i="47"/>
  <c r="L30" i="47" s="1"/>
  <c r="N30" i="47" a="1"/>
  <c r="K29" i="47"/>
  <c r="L29" i="47" s="1"/>
  <c r="N29" i="47" a="1"/>
  <c r="K28" i="47"/>
  <c r="L28" i="47" s="1"/>
  <c r="N28" i="47" a="1"/>
  <c r="K27" i="47"/>
  <c r="L27" i="47" s="1"/>
  <c r="N27" i="47" a="1"/>
  <c r="K26" i="47"/>
  <c r="L26" i="47" s="1"/>
  <c r="N26" i="47" a="1"/>
  <c r="K25" i="47"/>
  <c r="L25" i="47" s="1"/>
  <c r="N25" i="47" a="1"/>
  <c r="K24" i="47"/>
  <c r="L24" i="47" s="1"/>
  <c r="N24" i="47" a="1"/>
  <c r="K23" i="47"/>
  <c r="L23" i="47" s="1"/>
  <c r="N23" i="47" a="1"/>
  <c r="K22" i="47"/>
  <c r="L22" i="47" s="1"/>
  <c r="N22" i="47" a="1"/>
  <c r="K21" i="47"/>
  <c r="L21" i="47" s="1"/>
  <c r="N21" i="47" a="1"/>
  <c r="K20" i="47"/>
  <c r="L20" i="47" s="1"/>
  <c r="N20" i="47" a="1"/>
  <c r="K19" i="47"/>
  <c r="L19" i="47" s="1"/>
  <c r="N19" i="47" a="1"/>
  <c r="K18" i="47"/>
  <c r="L18" i="47" s="1"/>
  <c r="N18" i="47" a="1"/>
  <c r="K17" i="47"/>
  <c r="L17" i="47" s="1"/>
  <c r="N17" i="47" a="1"/>
  <c r="K16" i="47"/>
  <c r="L16" i="47" s="1"/>
  <c r="N16" i="47" a="1"/>
  <c r="K15" i="47"/>
  <c r="L15" i="47" s="1"/>
  <c r="N15" i="47" a="1"/>
  <c r="K14" i="47"/>
  <c r="L14" i="47" s="1"/>
  <c r="N14" i="47" a="1"/>
  <c r="K13" i="47"/>
  <c r="L13" i="47" s="1"/>
  <c r="N13" i="47" a="1"/>
  <c r="K12" i="47"/>
  <c r="L12" i="47" s="1"/>
  <c r="N12" i="47" a="1"/>
  <c r="K11" i="47"/>
  <c r="L11" i="47" s="1"/>
  <c r="N11" i="47" a="1"/>
  <c r="K10" i="47"/>
  <c r="L10" i="47" s="1"/>
  <c r="N10" i="47" a="1"/>
  <c r="K9" i="47"/>
  <c r="L9" i="47" s="1"/>
  <c r="M9" i="47"/>
  <c r="N9" i="47" a="1"/>
  <c r="K8" i="47"/>
  <c r="L8" i="47" s="1"/>
  <c r="M8" i="47"/>
  <c r="N8" i="47" a="1"/>
  <c r="K7" i="47"/>
  <c r="L7" i="47" s="1"/>
  <c r="M7" i="47"/>
  <c r="N7" i="47" a="1"/>
  <c r="F38" i="44"/>
  <c r="B30" i="44"/>
  <c r="B29" i="44"/>
  <c r="F30" i="44"/>
  <c r="H11" i="44"/>
  <c r="H12" i="44" s="1"/>
  <c r="H13" i="44"/>
  <c r="C14" i="44"/>
  <c r="C13" i="44"/>
  <c r="C12" i="44"/>
  <c r="C11" i="44"/>
  <c r="K7" i="44" a="1"/>
  <c r="F7" i="44"/>
  <c r="B8" i="44"/>
  <c r="B7" i="44"/>
  <c r="B6" i="44"/>
  <c r="C232" i="40"/>
  <c r="E221" i="40"/>
  <c r="E201" i="40"/>
  <c r="E190" i="40"/>
  <c r="E185" i="40"/>
  <c r="C167" i="40"/>
  <c r="C123" i="40"/>
  <c r="C116" i="40"/>
  <c r="C115" i="40"/>
  <c r="C114" i="40"/>
  <c r="C113" i="40"/>
  <c r="C112" i="40"/>
  <c r="C30" i="40"/>
  <c r="C14" i="40"/>
  <c r="C13" i="40"/>
  <c r="C11" i="40"/>
  <c r="B6" i="40"/>
  <c r="F6" i="34"/>
  <c r="F9" i="34"/>
  <c r="C7" i="34"/>
  <c r="C8" i="34"/>
  <c r="E11" i="39"/>
  <c r="B6" i="39"/>
  <c r="D13" i="38"/>
  <c r="E13" i="38"/>
  <c r="D14" i="38"/>
  <c r="E14" i="38"/>
  <c r="D15" i="38"/>
  <c r="E15" i="38"/>
  <c r="B6" i="38"/>
  <c r="B17" i="37"/>
  <c r="B6" i="37"/>
  <c r="E28" i="36"/>
  <c r="F14" i="38" s="1"/>
  <c r="G14" i="38" s="1"/>
  <c r="B13" i="36"/>
  <c r="B12" i="36"/>
  <c r="F11" i="36"/>
  <c r="E11" i="36"/>
  <c r="B6" i="36"/>
  <c r="L19" i="43"/>
  <c r="L18" i="43"/>
  <c r="L17" i="43"/>
  <c r="L16" i="43"/>
  <c r="L15" i="43"/>
  <c r="L14" i="43"/>
  <c r="L13" i="43"/>
  <c r="L12" i="43"/>
  <c r="L11" i="43"/>
  <c r="L10" i="43"/>
  <c r="L9" i="43"/>
  <c r="L8" i="43"/>
  <c r="D6" i="43"/>
  <c r="C7" i="43"/>
  <c r="C10" i="43" s="1"/>
  <c r="B8" i="35" a="1"/>
  <c r="D8" i="35" a="1"/>
  <c r="E8" i="35" a="1"/>
  <c r="F8" i="35" a="1"/>
  <c r="G8" i="35" a="1"/>
  <c r="H8" i="35" a="1"/>
  <c r="D76" i="41"/>
  <c r="D77" i="41"/>
  <c r="Q61" i="41"/>
  <c r="Q62" i="41" s="1"/>
  <c r="E101" i="40" s="1"/>
  <c r="Q58" i="41"/>
  <c r="Q57" i="41"/>
  <c r="Q55" i="41"/>
  <c r="E46" i="41"/>
  <c r="F46" i="41"/>
  <c r="G46" i="41"/>
  <c r="H46" i="41"/>
  <c r="I46" i="41"/>
  <c r="J46" i="41"/>
  <c r="K46" i="41"/>
  <c r="L46" i="41"/>
  <c r="M46" i="41"/>
  <c r="N46" i="41"/>
  <c r="O46" i="41"/>
  <c r="P46" i="41"/>
  <c r="P41" i="41"/>
  <c r="P30" i="41"/>
  <c r="P17" i="41"/>
  <c r="B5" i="41"/>
  <c r="L7" i="33"/>
  <c r="L8" i="33"/>
  <c r="L9" i="33"/>
  <c r="L10" i="33"/>
  <c r="L11" i="33"/>
  <c r="L12" i="33"/>
  <c r="L13" i="33"/>
  <c r="L14" i="33"/>
  <c r="L15" i="33"/>
  <c r="L16" i="33"/>
  <c r="L17" i="33"/>
  <c r="L18" i="33"/>
  <c r="L19" i="33"/>
  <c r="L20" i="33"/>
  <c r="L21" i="33"/>
  <c r="L22" i="33"/>
  <c r="L23" i="33"/>
  <c r="L24" i="33"/>
  <c r="L25" i="33"/>
  <c r="L26" i="33"/>
  <c r="L27" i="33"/>
  <c r="L28" i="33"/>
  <c r="L29" i="33"/>
  <c r="L30" i="33"/>
  <c r="L31" i="33"/>
  <c r="L32" i="33"/>
  <c r="L33" i="33"/>
  <c r="L34" i="33"/>
  <c r="L35" i="33"/>
  <c r="L36" i="33"/>
  <c r="L37" i="33"/>
  <c r="L38" i="33"/>
  <c r="L39" i="33"/>
  <c r="L40" i="33"/>
  <c r="L41" i="33"/>
  <c r="L42" i="33"/>
  <c r="L43" i="33"/>
  <c r="L44" i="33"/>
  <c r="L45" i="33"/>
  <c r="L46" i="33"/>
  <c r="L47" i="33"/>
  <c r="L48" i="33"/>
  <c r="L49" i="33"/>
  <c r="L50" i="33"/>
  <c r="L51" i="33"/>
  <c r="L52" i="33"/>
  <c r="L53" i="33"/>
  <c r="L54" i="33"/>
  <c r="L55" i="33"/>
  <c r="L56" i="33"/>
  <c r="L57" i="33"/>
  <c r="L58" i="33"/>
  <c r="L59" i="33"/>
  <c r="L60" i="33"/>
  <c r="L61" i="33"/>
  <c r="L62" i="33"/>
  <c r="L63" i="33"/>
  <c r="L64" i="33"/>
  <c r="L65" i="33"/>
  <c r="L66" i="33"/>
  <c r="L67" i="33"/>
  <c r="L68" i="33"/>
  <c r="L69" i="33"/>
  <c r="L70" i="33"/>
  <c r="L71" i="33"/>
  <c r="L72" i="33"/>
  <c r="L73" i="33"/>
  <c r="L74" i="33"/>
  <c r="L75" i="33"/>
  <c r="L76" i="33"/>
  <c r="L77" i="33"/>
  <c r="L78" i="33"/>
  <c r="L79" i="33"/>
  <c r="L80" i="33"/>
  <c r="L81" i="33"/>
  <c r="L82" i="33"/>
  <c r="L83" i="33"/>
  <c r="L84" i="33"/>
  <c r="L85" i="33"/>
  <c r="L86" i="33"/>
  <c r="L87" i="33"/>
  <c r="L88" i="33"/>
  <c r="L89" i="33"/>
  <c r="L90" i="33"/>
  <c r="L91" i="33"/>
  <c r="L92" i="33"/>
  <c r="L93" i="33"/>
  <c r="L94" i="33"/>
  <c r="L95" i="33"/>
  <c r="L96" i="33"/>
  <c r="L97" i="33"/>
  <c r="L98" i="33"/>
  <c r="L99" i="33"/>
  <c r="L100" i="33"/>
  <c r="L101" i="33"/>
  <c r="L102" i="33"/>
  <c r="L103" i="33"/>
  <c r="L104" i="33"/>
  <c r="L105" i="33"/>
  <c r="L106" i="33"/>
  <c r="L107" i="33"/>
  <c r="L108" i="33"/>
  <c r="L109" i="33"/>
  <c r="L110" i="33"/>
  <c r="L111" i="33"/>
  <c r="L112" i="33"/>
  <c r="L113" i="33"/>
  <c r="L114" i="33"/>
  <c r="L115" i="33"/>
  <c r="L116" i="33"/>
  <c r="L117" i="33"/>
  <c r="L118" i="33"/>
  <c r="L119" i="33"/>
  <c r="L120" i="33"/>
  <c r="L121" i="33"/>
  <c r="L122" i="33"/>
  <c r="L123" i="33"/>
  <c r="L124" i="33"/>
  <c r="L125" i="33"/>
  <c r="L126" i="33"/>
  <c r="L127" i="33"/>
  <c r="L128" i="33"/>
  <c r="L129" i="33"/>
  <c r="L130" i="33"/>
  <c r="L131" i="33"/>
  <c r="L132" i="33"/>
  <c r="L133" i="33"/>
  <c r="L134" i="33"/>
  <c r="L135" i="33"/>
  <c r="L136" i="33"/>
  <c r="L137" i="33"/>
  <c r="L138" i="33"/>
  <c r="L139" i="33"/>
  <c r="L140" i="33"/>
  <c r="L141" i="33"/>
  <c r="L142" i="33"/>
  <c r="L143" i="33"/>
  <c r="L144" i="33"/>
  <c r="L145" i="33"/>
  <c r="L146" i="33"/>
  <c r="L147" i="33"/>
  <c r="L148" i="33"/>
  <c r="L149" i="33"/>
  <c r="L150" i="33"/>
  <c r="L151" i="33"/>
  <c r="L152" i="33"/>
  <c r="L153" i="33"/>
  <c r="L154" i="33"/>
  <c r="L155" i="33"/>
  <c r="L156" i="33"/>
  <c r="L157" i="33"/>
  <c r="L158" i="33"/>
  <c r="L159" i="33"/>
  <c r="L160" i="33"/>
  <c r="L161" i="33"/>
  <c r="L162" i="33"/>
  <c r="L163" i="33"/>
  <c r="L164" i="33"/>
  <c r="L165" i="33"/>
  <c r="L166" i="33"/>
  <c r="L167" i="33"/>
  <c r="L168" i="33"/>
  <c r="L169" i="33"/>
  <c r="L170" i="33"/>
  <c r="L171" i="33"/>
  <c r="L172" i="33"/>
  <c r="L173" i="33"/>
  <c r="L174" i="33"/>
  <c r="L175" i="33"/>
  <c r="L176" i="33"/>
  <c r="L177" i="33"/>
  <c r="L178" i="33"/>
  <c r="L179" i="33"/>
  <c r="L180" i="33"/>
  <c r="L181" i="33"/>
  <c r="L182" i="33"/>
  <c r="L183" i="33"/>
  <c r="L184" i="33"/>
  <c r="L185" i="33"/>
  <c r="L186" i="33"/>
  <c r="L187" i="33"/>
  <c r="L188" i="33"/>
  <c r="L189" i="33"/>
  <c r="L190" i="33"/>
  <c r="L191" i="33"/>
  <c r="L192" i="33"/>
  <c r="L193" i="33"/>
  <c r="L194" i="33"/>
  <c r="L195" i="33"/>
  <c r="L196" i="33"/>
  <c r="L197" i="33"/>
  <c r="L198" i="33"/>
  <c r="L199" i="33"/>
  <c r="L200" i="33"/>
  <c r="L201" i="33"/>
  <c r="L202" i="33"/>
  <c r="L203" i="33"/>
  <c r="L204" i="33"/>
  <c r="L205" i="33"/>
  <c r="L206" i="33"/>
  <c r="L207" i="33"/>
  <c r="L208" i="33"/>
  <c r="L209" i="33"/>
  <c r="L210" i="33"/>
  <c r="L211" i="33"/>
  <c r="L212" i="33"/>
  <c r="L213" i="33"/>
  <c r="L214" i="33"/>
  <c r="L215" i="33"/>
  <c r="L216" i="33"/>
  <c r="L217" i="33"/>
  <c r="L218" i="33"/>
  <c r="L219" i="33"/>
  <c r="L220" i="33"/>
  <c r="L221" i="33"/>
  <c r="L222" i="33"/>
  <c r="L223" i="33"/>
  <c r="L224" i="33"/>
  <c r="L225" i="33"/>
  <c r="L226" i="33"/>
  <c r="L227" i="33"/>
  <c r="L228" i="33"/>
  <c r="L229" i="33"/>
  <c r="L230" i="33"/>
  <c r="L231" i="33"/>
  <c r="L232" i="33"/>
  <c r="L233" i="33"/>
  <c r="L234" i="33"/>
  <c r="L235" i="33"/>
  <c r="L236" i="33"/>
  <c r="L237" i="33"/>
  <c r="L238" i="33"/>
  <c r="L239" i="33"/>
  <c r="L240" i="33"/>
  <c r="L241" i="33"/>
  <c r="L242" i="33"/>
  <c r="L243" i="33"/>
  <c r="L244" i="33"/>
  <c r="L245" i="33"/>
  <c r="L246" i="33"/>
  <c r="L247" i="33"/>
  <c r="L248" i="33"/>
  <c r="L249" i="33"/>
  <c r="L250" i="33"/>
  <c r="L251" i="33"/>
  <c r="L252" i="33"/>
  <c r="L253" i="33"/>
  <c r="L254" i="33"/>
  <c r="L255" i="33"/>
  <c r="L256" i="33"/>
  <c r="L257" i="33"/>
  <c r="L258" i="33"/>
  <c r="L259" i="33"/>
  <c r="L260" i="33"/>
  <c r="L261" i="33"/>
  <c r="L262" i="33"/>
  <c r="L263" i="33"/>
  <c r="L264" i="33"/>
  <c r="L265" i="33"/>
  <c r="L266" i="33"/>
  <c r="L267" i="33"/>
  <c r="L268" i="33"/>
  <c r="L269" i="33"/>
  <c r="L270" i="33"/>
  <c r="L271" i="33"/>
  <c r="L272" i="33"/>
  <c r="L273" i="33"/>
  <c r="L274" i="33"/>
  <c r="L275" i="33"/>
  <c r="L276" i="33"/>
  <c r="L277" i="33"/>
  <c r="L278" i="33"/>
  <c r="L279" i="33"/>
  <c r="L280" i="33"/>
  <c r="L281" i="33"/>
  <c r="L282" i="33"/>
  <c r="L283" i="33"/>
  <c r="L284" i="33"/>
  <c r="L285" i="33"/>
  <c r="L286" i="33"/>
  <c r="L287" i="33"/>
  <c r="L288" i="33"/>
  <c r="L289" i="33"/>
  <c r="L290" i="33"/>
  <c r="L291" i="33"/>
  <c r="L292" i="33"/>
  <c r="L293" i="33"/>
  <c r="L294" i="33"/>
  <c r="L295" i="33"/>
  <c r="L296" i="33"/>
  <c r="L297" i="33"/>
  <c r="L298" i="33"/>
  <c r="L299" i="33"/>
  <c r="L300" i="33"/>
  <c r="L301" i="33"/>
  <c r="L302" i="33"/>
  <c r="L303" i="33"/>
  <c r="L304" i="33"/>
  <c r="L305" i="33"/>
  <c r="L306" i="33"/>
  <c r="L307" i="33"/>
  <c r="L308" i="33"/>
  <c r="L309" i="33"/>
  <c r="L310" i="33"/>
  <c r="L311" i="33"/>
  <c r="L312" i="33"/>
  <c r="L313" i="33"/>
  <c r="L314" i="33"/>
  <c r="L315" i="33"/>
  <c r="L316" i="33"/>
  <c r="L317" i="33"/>
  <c r="L318" i="33"/>
  <c r="L319" i="33"/>
  <c r="L320" i="33"/>
  <c r="L321" i="33"/>
  <c r="L322" i="33"/>
  <c r="L323" i="33"/>
  <c r="L324" i="33"/>
  <c r="L325" i="33"/>
  <c r="L326" i="33"/>
  <c r="L327" i="33"/>
  <c r="L328" i="33"/>
  <c r="L329" i="33"/>
  <c r="L330" i="33"/>
  <c r="L331" i="33"/>
  <c r="L332" i="33"/>
  <c r="L333" i="33"/>
  <c r="L334" i="33"/>
  <c r="L335" i="33"/>
  <c r="L336" i="33"/>
  <c r="L337" i="33"/>
  <c r="L338" i="33"/>
  <c r="L339" i="33"/>
  <c r="L340" i="33"/>
  <c r="L341" i="33"/>
  <c r="L342" i="33"/>
  <c r="L343" i="33"/>
  <c r="L344" i="33"/>
  <c r="L345" i="33"/>
  <c r="L346" i="33"/>
  <c r="L347" i="33"/>
  <c r="L348" i="33"/>
  <c r="L349" i="33"/>
  <c r="L350" i="33"/>
  <c r="L351" i="33"/>
  <c r="L352" i="33"/>
  <c r="L353" i="33"/>
  <c r="L354" i="33"/>
  <c r="L355" i="33"/>
  <c r="L356" i="33"/>
  <c r="L357" i="33"/>
  <c r="L358" i="33"/>
  <c r="L359" i="33"/>
  <c r="L360" i="33"/>
  <c r="L361" i="33"/>
  <c r="L362" i="33"/>
  <c r="L363" i="33"/>
  <c r="L364" i="33"/>
  <c r="L365" i="33"/>
  <c r="L366" i="33"/>
  <c r="L367" i="33"/>
  <c r="L368" i="33"/>
  <c r="L369" i="33"/>
  <c r="L370" i="33"/>
  <c r="L371" i="33"/>
  <c r="L372" i="33"/>
  <c r="L373" i="33"/>
  <c r="L374" i="33"/>
  <c r="L375" i="33"/>
  <c r="L376" i="33"/>
  <c r="L377" i="33"/>
  <c r="L378" i="33"/>
  <c r="L379" i="33"/>
  <c r="L380" i="33"/>
  <c r="L381" i="33"/>
  <c r="L382" i="33"/>
  <c r="L383" i="33"/>
  <c r="L384" i="33"/>
  <c r="L385" i="33"/>
  <c r="L386" i="33"/>
  <c r="L387" i="33"/>
  <c r="L388" i="33"/>
  <c r="L389" i="33"/>
  <c r="L390" i="33"/>
  <c r="L391" i="33"/>
  <c r="L392" i="33"/>
  <c r="L393" i="33"/>
  <c r="L394" i="33"/>
  <c r="L395" i="33"/>
  <c r="L396" i="33"/>
  <c r="L397" i="33"/>
  <c r="L398" i="33"/>
  <c r="L399" i="33"/>
  <c r="L400" i="33"/>
  <c r="L401" i="33"/>
  <c r="L402" i="33"/>
  <c r="L403" i="33"/>
  <c r="L404" i="33"/>
  <c r="L405" i="33"/>
  <c r="L406" i="33"/>
  <c r="L407" i="33"/>
  <c r="L408" i="33"/>
  <c r="L409" i="33"/>
  <c r="L410" i="33"/>
  <c r="L411" i="33"/>
  <c r="L412" i="33"/>
  <c r="L413" i="33"/>
  <c r="L414" i="33"/>
  <c r="L415" i="33"/>
  <c r="L416" i="33"/>
  <c r="L417" i="33"/>
  <c r="L418" i="33"/>
  <c r="L419" i="33"/>
  <c r="L420" i="33"/>
  <c r="L421" i="33"/>
  <c r="L422" i="33"/>
  <c r="L423" i="33"/>
  <c r="L424" i="33"/>
  <c r="L425" i="33"/>
  <c r="L426" i="33"/>
  <c r="L427" i="33"/>
  <c r="L428" i="33"/>
  <c r="L429" i="33"/>
  <c r="L430" i="33"/>
  <c r="L431" i="33"/>
  <c r="L432" i="33"/>
  <c r="L433" i="33"/>
  <c r="L434" i="33"/>
  <c r="L435" i="33"/>
  <c r="L436" i="33"/>
  <c r="L437" i="33"/>
  <c r="L438" i="33"/>
  <c r="L439" i="33"/>
  <c r="L440" i="33"/>
  <c r="L441" i="33"/>
  <c r="L442" i="33"/>
  <c r="L443" i="33"/>
  <c r="L444" i="33"/>
  <c r="L445" i="33"/>
  <c r="L446" i="33"/>
  <c r="L447" i="33"/>
  <c r="L448" i="33"/>
  <c r="L449" i="33"/>
  <c r="L450" i="33"/>
  <c r="L451" i="33"/>
  <c r="L452" i="33"/>
  <c r="L453" i="33"/>
  <c r="L454" i="33"/>
  <c r="L455" i="33"/>
  <c r="L456" i="33"/>
  <c r="L457" i="33"/>
  <c r="L458" i="33"/>
  <c r="L459" i="33"/>
  <c r="L460" i="33"/>
  <c r="L461" i="33"/>
  <c r="L462" i="33"/>
  <c r="L463" i="33"/>
  <c r="L464" i="33"/>
  <c r="L465" i="33"/>
  <c r="L466" i="33"/>
  <c r="L467" i="33"/>
  <c r="L468" i="33"/>
  <c r="L469" i="33"/>
  <c r="L470" i="33"/>
  <c r="L471" i="33"/>
  <c r="L472" i="33"/>
  <c r="L473" i="33"/>
  <c r="L474" i="33"/>
  <c r="L475" i="33"/>
  <c r="L476" i="33"/>
  <c r="L477" i="33"/>
  <c r="L478" i="33"/>
  <c r="L479" i="33"/>
  <c r="L480" i="33"/>
  <c r="L481" i="33"/>
  <c r="L482" i="33"/>
  <c r="L483" i="33"/>
  <c r="L484" i="33"/>
  <c r="L485" i="33"/>
  <c r="L486" i="33"/>
  <c r="L487" i="33"/>
  <c r="L488" i="33"/>
  <c r="L489" i="33"/>
  <c r="L490" i="33"/>
  <c r="L491" i="33"/>
  <c r="L492" i="33"/>
  <c r="L493" i="33"/>
  <c r="L494" i="33"/>
  <c r="L495" i="33"/>
  <c r="L496" i="33"/>
  <c r="L497" i="33"/>
  <c r="L498" i="33"/>
  <c r="L499" i="33"/>
  <c r="L500" i="33"/>
  <c r="L501" i="33"/>
  <c r="L502" i="33"/>
  <c r="L503" i="33"/>
  <c r="L504" i="33"/>
  <c r="L505" i="33"/>
  <c r="L506" i="33"/>
  <c r="L507" i="33"/>
  <c r="L508" i="33"/>
  <c r="L509" i="33"/>
  <c r="L510" i="33"/>
  <c r="L511" i="33"/>
  <c r="L512" i="33"/>
  <c r="L513" i="33"/>
  <c r="L514" i="33"/>
  <c r="L515" i="33"/>
  <c r="L516" i="33"/>
  <c r="L517" i="33"/>
  <c r="L518" i="33"/>
  <c r="L519" i="33"/>
  <c r="L520" i="33"/>
  <c r="L521" i="33"/>
  <c r="L522" i="33"/>
  <c r="L523" i="33"/>
  <c r="L524" i="33"/>
  <c r="L525" i="33"/>
  <c r="L526" i="33"/>
  <c r="L527" i="33"/>
  <c r="L528" i="33"/>
  <c r="L529" i="33"/>
  <c r="L530" i="33"/>
  <c r="L531" i="33"/>
  <c r="L532" i="33"/>
  <c r="L533" i="33"/>
  <c r="L534" i="33"/>
  <c r="L535" i="33"/>
  <c r="L536" i="33"/>
  <c r="L537" i="33"/>
  <c r="L538" i="33"/>
  <c r="L539" i="33"/>
  <c r="L540" i="33"/>
  <c r="L541" i="33"/>
  <c r="L542" i="33"/>
  <c r="L543" i="33"/>
  <c r="L544" i="33"/>
  <c r="L545" i="33"/>
  <c r="L546" i="33"/>
  <c r="L547" i="33"/>
  <c r="L548" i="33"/>
  <c r="L549" i="33"/>
  <c r="L550" i="33"/>
  <c r="L551" i="33"/>
  <c r="L552" i="33"/>
  <c r="L553" i="33"/>
  <c r="L554" i="33"/>
  <c r="L555" i="33"/>
  <c r="L556" i="33"/>
  <c r="L557" i="33"/>
  <c r="L558" i="33"/>
  <c r="L559" i="33"/>
  <c r="L560" i="33"/>
  <c r="L561" i="33"/>
  <c r="L562" i="33"/>
  <c r="L563" i="33"/>
  <c r="L564" i="33"/>
  <c r="L565" i="33"/>
  <c r="L566" i="33"/>
  <c r="L567" i="33"/>
  <c r="L568" i="33"/>
  <c r="L569" i="33"/>
  <c r="L570" i="33"/>
  <c r="L571" i="33"/>
  <c r="L572" i="33"/>
  <c r="L573" i="33"/>
  <c r="L574" i="33"/>
  <c r="L575" i="33"/>
  <c r="L576" i="33"/>
  <c r="L577" i="33"/>
  <c r="L578" i="33"/>
  <c r="L579" i="33"/>
  <c r="L580" i="33"/>
  <c r="L581" i="33"/>
  <c r="L582" i="33"/>
  <c r="L583" i="33"/>
  <c r="L584" i="33"/>
  <c r="L585" i="33"/>
  <c r="L586" i="33"/>
  <c r="L587" i="33"/>
  <c r="L588" i="33"/>
  <c r="L589" i="33"/>
  <c r="L590" i="33"/>
  <c r="L591" i="33"/>
  <c r="L592" i="33"/>
  <c r="L593" i="33"/>
  <c r="L594" i="33"/>
  <c r="L595" i="33"/>
  <c r="L596" i="33"/>
  <c r="L597" i="33"/>
  <c r="L598" i="33"/>
  <c r="L599" i="33"/>
  <c r="L600" i="33"/>
  <c r="L601" i="33"/>
  <c r="L602" i="33"/>
  <c r="L603" i="33"/>
  <c r="L604" i="33"/>
  <c r="L605" i="33"/>
  <c r="L606" i="33"/>
  <c r="L607" i="33"/>
  <c r="L608" i="33"/>
  <c r="L609" i="33"/>
  <c r="L610" i="33"/>
  <c r="L611" i="33"/>
  <c r="L612" i="33"/>
  <c r="L613" i="33"/>
  <c r="L614" i="33"/>
  <c r="L615" i="33"/>
  <c r="L616" i="33"/>
  <c r="L617" i="33"/>
  <c r="L618" i="33"/>
  <c r="L619" i="33"/>
  <c r="L620" i="33"/>
  <c r="L621" i="33"/>
  <c r="L622" i="33"/>
  <c r="L623" i="33"/>
  <c r="L624" i="33"/>
  <c r="L625" i="33"/>
  <c r="L626" i="33"/>
  <c r="L627" i="33"/>
  <c r="L628" i="33"/>
  <c r="L629" i="33"/>
  <c r="L630" i="33"/>
  <c r="L631" i="33"/>
  <c r="L632" i="33"/>
  <c r="L633" i="33"/>
  <c r="L634" i="33"/>
  <c r="L635" i="33"/>
  <c r="L636" i="33"/>
  <c r="L637" i="33"/>
  <c r="L638" i="33"/>
  <c r="L639" i="33"/>
  <c r="L640" i="33"/>
  <c r="L641" i="33"/>
  <c r="L642" i="33"/>
  <c r="L643" i="33"/>
  <c r="L644" i="33"/>
  <c r="L645" i="33"/>
  <c r="L646" i="33"/>
  <c r="L647" i="33"/>
  <c r="L648" i="33"/>
  <c r="L649" i="33"/>
  <c r="L650" i="33"/>
  <c r="L651" i="33"/>
  <c r="L652" i="33"/>
  <c r="L653" i="33"/>
  <c r="L654" i="33"/>
  <c r="L655" i="33"/>
  <c r="L656" i="33"/>
  <c r="L657" i="33"/>
  <c r="L658" i="33"/>
  <c r="L659" i="33"/>
  <c r="L660" i="33"/>
  <c r="L661" i="33"/>
  <c r="L662" i="33"/>
  <c r="L663" i="33"/>
  <c r="L664" i="33"/>
  <c r="L665" i="33"/>
  <c r="L666" i="33"/>
  <c r="L667" i="33"/>
  <c r="L668" i="33"/>
  <c r="L669" i="33"/>
  <c r="L670" i="33"/>
  <c r="L671" i="33"/>
  <c r="L672" i="33"/>
  <c r="L673" i="33"/>
  <c r="L674" i="33"/>
  <c r="L675" i="33"/>
  <c r="L676" i="33"/>
  <c r="L677" i="33"/>
  <c r="L678" i="33"/>
  <c r="L679" i="33"/>
  <c r="L680" i="33"/>
  <c r="L681" i="33"/>
  <c r="L682" i="33"/>
  <c r="L683" i="33"/>
  <c r="L684" i="33"/>
  <c r="L685" i="33"/>
  <c r="L686" i="33"/>
  <c r="L687" i="33"/>
  <c r="L688" i="33"/>
  <c r="L689" i="33"/>
  <c r="L690" i="33"/>
  <c r="L691" i="33"/>
  <c r="L692" i="33"/>
  <c r="L693" i="33"/>
  <c r="L694" i="33"/>
  <c r="L695" i="33"/>
  <c r="L696" i="33"/>
  <c r="L697" i="33"/>
  <c r="L698" i="33"/>
  <c r="L699" i="33"/>
  <c r="L700" i="33"/>
  <c r="L701" i="33"/>
  <c r="L702" i="33"/>
  <c r="L703" i="33"/>
  <c r="L704" i="33"/>
  <c r="L705" i="33"/>
  <c r="L706" i="33"/>
  <c r="L707" i="33"/>
  <c r="L708" i="33"/>
  <c r="L709" i="33"/>
  <c r="L710" i="33"/>
  <c r="L711" i="33"/>
  <c r="L712" i="33"/>
  <c r="L713" i="33"/>
  <c r="L714" i="33"/>
  <c r="L715" i="33"/>
  <c r="L716" i="33"/>
  <c r="L717" i="33"/>
  <c r="L718" i="33"/>
  <c r="L719" i="33"/>
  <c r="L720" i="33"/>
  <c r="L721" i="33"/>
  <c r="L722" i="33"/>
  <c r="L723" i="33"/>
  <c r="L724" i="33"/>
  <c r="L725" i="33"/>
  <c r="L726" i="33"/>
  <c r="L727" i="33"/>
  <c r="L728" i="33"/>
  <c r="L729" i="33"/>
  <c r="L730" i="33"/>
  <c r="L731" i="33"/>
  <c r="L732" i="33"/>
  <c r="L733" i="33"/>
  <c r="L734" i="33"/>
  <c r="L735" i="33"/>
  <c r="L736" i="33"/>
  <c r="L737" i="33"/>
  <c r="L738" i="33"/>
  <c r="L739" i="33"/>
  <c r="L740" i="33"/>
  <c r="L741" i="33"/>
  <c r="L742" i="33"/>
  <c r="L743" i="33"/>
  <c r="L744" i="33"/>
  <c r="L745" i="33"/>
  <c r="L746" i="33"/>
  <c r="L747" i="33"/>
  <c r="L748" i="33"/>
  <c r="L749" i="33"/>
  <c r="L750" i="33"/>
  <c r="L751" i="33"/>
  <c r="L752" i="33"/>
  <c r="L753" i="33"/>
  <c r="L754" i="33"/>
  <c r="L755" i="33"/>
  <c r="L756" i="33"/>
  <c r="L757" i="33"/>
  <c r="L758" i="33"/>
  <c r="L759" i="33"/>
  <c r="L760" i="33"/>
  <c r="L761" i="33"/>
  <c r="L762" i="33"/>
  <c r="L763" i="33"/>
  <c r="L764" i="33"/>
  <c r="L765" i="33"/>
  <c r="L766" i="33"/>
  <c r="L767" i="33"/>
  <c r="L768" i="33"/>
  <c r="L769" i="33"/>
  <c r="L770" i="33"/>
  <c r="L771" i="33"/>
  <c r="L772" i="33"/>
  <c r="L773" i="33"/>
  <c r="L774" i="33"/>
  <c r="L775" i="33"/>
  <c r="L776" i="33"/>
  <c r="L777" i="33"/>
  <c r="L778" i="33"/>
  <c r="L779" i="33"/>
  <c r="L780" i="33"/>
  <c r="L781" i="33"/>
  <c r="L782" i="33"/>
  <c r="L783" i="33"/>
  <c r="L784" i="33"/>
  <c r="L785" i="33"/>
  <c r="L786" i="33"/>
  <c r="L787" i="33"/>
  <c r="L788" i="33"/>
  <c r="L789" i="33"/>
  <c r="L790" i="33"/>
  <c r="L791" i="33"/>
  <c r="L792" i="33"/>
  <c r="L793" i="33"/>
  <c r="L794" i="33"/>
  <c r="L795" i="33"/>
  <c r="L796" i="33"/>
  <c r="L797" i="33"/>
  <c r="L798" i="33"/>
  <c r="L799" i="33"/>
  <c r="L800" i="33"/>
  <c r="L801" i="33"/>
  <c r="L802" i="33"/>
  <c r="L803" i="33"/>
  <c r="L804" i="33"/>
  <c r="L805" i="33"/>
  <c r="L806" i="33"/>
  <c r="L807" i="33"/>
  <c r="L808" i="33"/>
  <c r="L809" i="33"/>
  <c r="L810" i="33"/>
  <c r="L811" i="33"/>
  <c r="L812" i="33"/>
  <c r="L813" i="33"/>
  <c r="L814" i="33"/>
  <c r="L815" i="33"/>
  <c r="L816" i="33"/>
  <c r="L817" i="33"/>
  <c r="L818" i="33"/>
  <c r="L819" i="33"/>
  <c r="L820" i="33"/>
  <c r="L821" i="33"/>
  <c r="L822" i="33"/>
  <c r="L823" i="33"/>
  <c r="L824" i="33"/>
  <c r="L825" i="33"/>
  <c r="L826" i="33"/>
  <c r="L827" i="33"/>
  <c r="L828" i="33"/>
  <c r="L829" i="33"/>
  <c r="L830" i="33"/>
  <c r="L831" i="33"/>
  <c r="L832" i="33"/>
  <c r="L833" i="33"/>
  <c r="L834" i="33"/>
  <c r="L835" i="33"/>
  <c r="L836" i="33"/>
  <c r="L837" i="33"/>
  <c r="L838" i="33"/>
  <c r="L839" i="33"/>
  <c r="L840" i="33"/>
  <c r="L841" i="33"/>
  <c r="L842" i="33"/>
  <c r="L843" i="33"/>
  <c r="L844" i="33"/>
  <c r="L845" i="33"/>
  <c r="L846" i="33"/>
  <c r="L847" i="33"/>
  <c r="L848" i="33"/>
  <c r="L849" i="33"/>
  <c r="L850" i="33"/>
  <c r="L851" i="33"/>
  <c r="L852" i="33"/>
  <c r="L853" i="33"/>
  <c r="L854" i="33"/>
  <c r="L855" i="33"/>
  <c r="L856" i="33"/>
  <c r="L857" i="33"/>
  <c r="L858" i="33"/>
  <c r="L859" i="33"/>
  <c r="L860" i="33"/>
  <c r="L861" i="33"/>
  <c r="L862" i="33"/>
  <c r="L863" i="33"/>
  <c r="L864" i="33"/>
  <c r="L865" i="33"/>
  <c r="L866" i="33"/>
  <c r="L867" i="33"/>
  <c r="L868" i="33"/>
  <c r="L869" i="33"/>
  <c r="L870" i="33"/>
  <c r="L871" i="33"/>
  <c r="L872" i="33"/>
  <c r="L873" i="33"/>
  <c r="L874" i="33"/>
  <c r="L875" i="33"/>
  <c r="L876" i="33"/>
  <c r="L877" i="33"/>
  <c r="L878" i="33"/>
  <c r="L879" i="33"/>
  <c r="L880" i="33"/>
  <c r="L881" i="33"/>
  <c r="L882" i="33"/>
  <c r="L883" i="33"/>
  <c r="L884" i="33"/>
  <c r="L885" i="33"/>
  <c r="L886" i="33"/>
  <c r="L887" i="33"/>
  <c r="L888" i="33"/>
  <c r="L889" i="33"/>
  <c r="L890" i="33"/>
  <c r="L891" i="33"/>
  <c r="L892" i="33"/>
  <c r="L893" i="33"/>
  <c r="L894" i="33"/>
  <c r="L895" i="33"/>
  <c r="L896" i="33"/>
  <c r="L897" i="33"/>
  <c r="L898" i="33"/>
  <c r="L899" i="33"/>
  <c r="L900" i="33"/>
  <c r="L901" i="33"/>
  <c r="L902" i="33"/>
  <c r="L903" i="33"/>
  <c r="L904" i="33"/>
  <c r="L905" i="33"/>
  <c r="L906" i="33"/>
  <c r="L907" i="33"/>
  <c r="L908" i="33"/>
  <c r="L909" i="33"/>
  <c r="L910" i="33"/>
  <c r="L911" i="33"/>
  <c r="L912" i="33"/>
  <c r="L913" i="33"/>
  <c r="L914" i="33"/>
  <c r="L915" i="33"/>
  <c r="L916" i="33"/>
  <c r="L917" i="33"/>
  <c r="L918" i="33"/>
  <c r="L919" i="33"/>
  <c r="L920" i="33"/>
  <c r="L921" i="33"/>
  <c r="L922" i="33"/>
  <c r="L923" i="33"/>
  <c r="L924" i="33"/>
  <c r="L925" i="33"/>
  <c r="L926" i="33"/>
  <c r="L927" i="33"/>
  <c r="L928" i="33"/>
  <c r="L929" i="33"/>
  <c r="L930" i="33"/>
  <c r="L931" i="33"/>
  <c r="L932" i="33"/>
  <c r="L933" i="33"/>
  <c r="L934" i="33"/>
  <c r="L935" i="33"/>
  <c r="L936" i="33"/>
  <c r="L937" i="33"/>
  <c r="L938" i="33"/>
  <c r="L939" i="33"/>
  <c r="L940" i="33"/>
  <c r="L941" i="33"/>
  <c r="L942" i="33"/>
  <c r="L943" i="33"/>
  <c r="L944" i="33"/>
  <c r="L945" i="33"/>
  <c r="L946" i="33"/>
  <c r="L947" i="33"/>
  <c r="L948" i="33"/>
  <c r="L949" i="33"/>
  <c r="L950" i="33"/>
  <c r="L951" i="33"/>
  <c r="L952" i="33"/>
  <c r="L953" i="33"/>
  <c r="L954" i="33"/>
  <c r="L955" i="33"/>
  <c r="L956" i="33"/>
  <c r="L957" i="33"/>
  <c r="L958" i="33"/>
  <c r="L959" i="33"/>
  <c r="L960" i="33"/>
  <c r="L961" i="33"/>
  <c r="L962" i="33"/>
  <c r="L963" i="33"/>
  <c r="L964" i="33"/>
  <c r="L965" i="33"/>
  <c r="L966" i="33"/>
  <c r="L967" i="33"/>
  <c r="L968" i="33"/>
  <c r="L969" i="33"/>
  <c r="L970" i="33"/>
  <c r="L971" i="33"/>
  <c r="L972" i="33"/>
  <c r="L973" i="33"/>
  <c r="L974" i="33"/>
  <c r="L975" i="33"/>
  <c r="L976" i="33"/>
  <c r="L977" i="33"/>
  <c r="L978" i="33"/>
  <c r="L979" i="33"/>
  <c r="L980" i="33"/>
  <c r="L981" i="33"/>
  <c r="F7" i="42"/>
  <c r="F8" i="42"/>
  <c r="M168" i="42"/>
  <c r="M169" i="42"/>
  <c r="M170" i="42"/>
  <c r="M250" i="42"/>
  <c r="M251" i="42"/>
  <c r="M252" i="42"/>
  <c r="L21" i="42"/>
  <c r="M21" i="42" s="1"/>
  <c r="L22" i="42"/>
  <c r="M22" i="42" s="1"/>
  <c r="L25" i="42"/>
  <c r="M25" i="42" s="1"/>
  <c r="L26" i="42"/>
  <c r="M26" i="42" s="1"/>
  <c r="L28" i="42"/>
  <c r="M28" i="42" s="1"/>
  <c r="L29" i="42"/>
  <c r="M29" i="42" s="1"/>
  <c r="L38" i="42"/>
  <c r="M38" i="42" s="1"/>
  <c r="L39" i="42"/>
  <c r="M39" i="42" s="1"/>
  <c r="L42" i="42"/>
  <c r="M42" i="42" s="1"/>
  <c r="L43" i="42"/>
  <c r="M43" i="42" s="1"/>
  <c r="L44" i="42"/>
  <c r="M44" i="42" s="1"/>
  <c r="L45" i="42"/>
  <c r="M45" i="42" s="1"/>
  <c r="L53" i="42"/>
  <c r="M53" i="42" s="1"/>
  <c r="L54" i="42"/>
  <c r="M54" i="42" s="1"/>
  <c r="L57" i="42"/>
  <c r="M57" i="42" s="1"/>
  <c r="L58" i="42"/>
  <c r="M58" i="42" s="1"/>
  <c r="L60" i="42"/>
  <c r="M60" i="42" s="1"/>
  <c r="L61" i="42"/>
  <c r="M61" i="42" s="1"/>
  <c r="L69" i="42"/>
  <c r="M69" i="42" s="1"/>
  <c r="L70" i="42"/>
  <c r="M70" i="42" s="1"/>
  <c r="L74" i="42"/>
  <c r="M74" i="42" s="1"/>
  <c r="L75" i="42"/>
  <c r="M75" i="42" s="1"/>
  <c r="L77" i="42"/>
  <c r="M77" i="42" s="1"/>
  <c r="L78" i="42"/>
  <c r="M78" i="42" s="1"/>
  <c r="L86" i="42"/>
  <c r="M86" i="42" s="1"/>
  <c r="L87" i="42"/>
  <c r="M87" i="42" s="1"/>
  <c r="L88" i="42"/>
  <c r="M88" i="42" s="1"/>
  <c r="L91" i="42"/>
  <c r="M91" i="42" s="1"/>
  <c r="L92" i="42"/>
  <c r="M92" i="42" s="1"/>
  <c r="L94" i="42"/>
  <c r="M94" i="42" s="1"/>
  <c r="L95" i="42"/>
  <c r="M95" i="42" s="1"/>
  <c r="L103" i="42"/>
  <c r="M103" i="42" s="1"/>
  <c r="L104" i="42"/>
  <c r="M104" i="42" s="1"/>
  <c r="L107" i="42"/>
  <c r="M107" i="42" s="1"/>
  <c r="L108" i="42"/>
  <c r="M108" i="42" s="1"/>
  <c r="L110" i="42"/>
  <c r="M110" i="42" s="1"/>
  <c r="L111" i="42"/>
  <c r="M111" i="42" s="1"/>
  <c r="L112" i="42"/>
  <c r="M112" i="42" s="1"/>
  <c r="L120" i="42"/>
  <c r="M120" i="42" s="1"/>
  <c r="L123" i="42"/>
  <c r="M123" i="42" s="1"/>
  <c r="L124" i="42"/>
  <c r="M124" i="42" s="1"/>
  <c r="L126" i="42"/>
  <c r="M126" i="42" s="1"/>
  <c r="L127" i="42"/>
  <c r="M127" i="42" s="1"/>
  <c r="L135" i="42"/>
  <c r="M135" i="42" s="1"/>
  <c r="L138" i="42"/>
  <c r="M138" i="42" s="1"/>
  <c r="L139" i="42"/>
  <c r="M139" i="42" s="1"/>
  <c r="L141" i="42"/>
  <c r="M141" i="42" s="1"/>
  <c r="L142" i="42"/>
  <c r="M142" i="42" s="1"/>
  <c r="L150" i="42"/>
  <c r="M150" i="42" s="1"/>
  <c r="L153" i="42"/>
  <c r="M153" i="42" s="1"/>
  <c r="L154" i="42"/>
  <c r="M154" i="42" s="1"/>
  <c r="L156" i="42"/>
  <c r="M156" i="42" s="1"/>
  <c r="L157" i="42"/>
  <c r="M157" i="42" s="1"/>
  <c r="L165" i="42"/>
  <c r="M165" i="42" s="1"/>
  <c r="L167" i="42"/>
  <c r="M167" i="42" s="1"/>
  <c r="L168" i="42"/>
  <c r="L169" i="42"/>
  <c r="L170" i="42"/>
  <c r="L180" i="42"/>
  <c r="M180" i="42" s="1"/>
  <c r="L183" i="42"/>
  <c r="M183" i="42" s="1"/>
  <c r="L184" i="42"/>
  <c r="M184" i="42" s="1"/>
  <c r="L186" i="42"/>
  <c r="M186" i="42" s="1"/>
  <c r="L187" i="42"/>
  <c r="M187" i="42" s="1"/>
  <c r="L195" i="42"/>
  <c r="M195" i="42" s="1"/>
  <c r="L198" i="42"/>
  <c r="M198" i="42" s="1"/>
  <c r="L199" i="42"/>
  <c r="M199" i="42" s="1"/>
  <c r="L201" i="42"/>
  <c r="M201" i="42" s="1"/>
  <c r="L202" i="42"/>
  <c r="M202" i="42" s="1"/>
  <c r="L205" i="42"/>
  <c r="M205" i="42" s="1"/>
  <c r="L206" i="42"/>
  <c r="M206" i="42" s="1"/>
  <c r="L207" i="42"/>
  <c r="M207" i="42" s="1"/>
  <c r="L210" i="42"/>
  <c r="M210" i="42" s="1"/>
  <c r="L211" i="42"/>
  <c r="M211" i="42" s="1"/>
  <c r="L212" i="42"/>
  <c r="M212" i="42" s="1"/>
  <c r="L215" i="42"/>
  <c r="M215" i="42" s="1"/>
  <c r="L216" i="42"/>
  <c r="M216" i="42" s="1"/>
  <c r="L217" i="42"/>
  <c r="M217" i="42" s="1"/>
  <c r="L220" i="42"/>
  <c r="M220" i="42" s="1"/>
  <c r="L221" i="42"/>
  <c r="M221" i="42" s="1"/>
  <c r="L222" i="42"/>
  <c r="M222" i="42" s="1"/>
  <c r="L225" i="42"/>
  <c r="M225" i="42" s="1"/>
  <c r="L226" i="42"/>
  <c r="M226" i="42" s="1"/>
  <c r="L227" i="42"/>
  <c r="M227" i="42" s="1"/>
  <c r="L230" i="42"/>
  <c r="M230" i="42" s="1"/>
  <c r="L231" i="42"/>
  <c r="M231" i="42" s="1"/>
  <c r="L232" i="42"/>
  <c r="M232" i="42" s="1"/>
  <c r="L235" i="42"/>
  <c r="M235" i="42" s="1"/>
  <c r="L236" i="42"/>
  <c r="M236" i="42" s="1"/>
  <c r="L237" i="42"/>
  <c r="M237" i="42" s="1"/>
  <c r="L240" i="42"/>
  <c r="M240" i="42" s="1"/>
  <c r="L241" i="42"/>
  <c r="M241" i="42" s="1"/>
  <c r="L242" i="42"/>
  <c r="M242" i="42" s="1"/>
  <c r="L245" i="42"/>
  <c r="M245" i="42" s="1"/>
  <c r="L246" i="42"/>
  <c r="M246" i="42" s="1"/>
  <c r="L247" i="42"/>
  <c r="M247" i="42" s="1"/>
  <c r="L250" i="42"/>
  <c r="L251" i="42"/>
  <c r="L252" i="42"/>
  <c r="L255" i="42"/>
  <c r="M255" i="42" s="1"/>
  <c r="L256" i="42"/>
  <c r="M256" i="42" s="1"/>
  <c r="L257" i="42"/>
  <c r="M257" i="42" s="1"/>
  <c r="L260" i="42"/>
  <c r="M260" i="42" s="1"/>
  <c r="L261" i="42"/>
  <c r="M261" i="42" s="1"/>
  <c r="L262" i="42"/>
  <c r="M262" i="42" s="1"/>
  <c r="K12" i="42"/>
  <c r="K13" i="42"/>
  <c r="K14" i="42"/>
  <c r="K15" i="42"/>
  <c r="K16" i="42"/>
  <c r="K17" i="42"/>
  <c r="K18" i="42"/>
  <c r="K19" i="42"/>
  <c r="K20" i="42"/>
  <c r="K21" i="42"/>
  <c r="K22" i="42"/>
  <c r="K23" i="42"/>
  <c r="K24" i="42"/>
  <c r="K25" i="42"/>
  <c r="K26" i="42"/>
  <c r="K27" i="42"/>
  <c r="K28" i="42"/>
  <c r="K29" i="42"/>
  <c r="K30" i="42"/>
  <c r="K31" i="42"/>
  <c r="K32"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85" i="42"/>
  <c r="K86" i="42"/>
  <c r="K87" i="42"/>
  <c r="K88" i="42"/>
  <c r="K89" i="42"/>
  <c r="K90" i="42"/>
  <c r="K91" i="42"/>
  <c r="K92" i="42"/>
  <c r="K93" i="42"/>
  <c r="K94" i="42"/>
  <c r="K95" i="42"/>
  <c r="K96" i="42"/>
  <c r="K97" i="42"/>
  <c r="K98" i="42"/>
  <c r="K99" i="42"/>
  <c r="K100" i="42"/>
  <c r="K101" i="42"/>
  <c r="K102" i="42"/>
  <c r="K103" i="42"/>
  <c r="K104" i="42"/>
  <c r="K105" i="42"/>
  <c r="K106" i="42"/>
  <c r="K107" i="42"/>
  <c r="K108" i="42"/>
  <c r="K109" i="42"/>
  <c r="K110" i="42"/>
  <c r="K111" i="42"/>
  <c r="K112" i="42"/>
  <c r="K113" i="42"/>
  <c r="K114" i="42"/>
  <c r="K115" i="42"/>
  <c r="K116" i="42"/>
  <c r="K117" i="42"/>
  <c r="K118" i="42"/>
  <c r="K119" i="42"/>
  <c r="K120" i="42"/>
  <c r="K121" i="42"/>
  <c r="K122" i="42"/>
  <c r="K123" i="42"/>
  <c r="K124" i="42"/>
  <c r="K125" i="42"/>
  <c r="K126" i="42"/>
  <c r="K127" i="42"/>
  <c r="K128" i="42"/>
  <c r="K129" i="42"/>
  <c r="K130" i="42"/>
  <c r="K131" i="42"/>
  <c r="K132" i="42"/>
  <c r="K133" i="42"/>
  <c r="K134" i="42"/>
  <c r="K135" i="42"/>
  <c r="K136" i="42"/>
  <c r="K137" i="42"/>
  <c r="K138" i="42"/>
  <c r="K139" i="42"/>
  <c r="K140" i="42"/>
  <c r="K141" i="42"/>
  <c r="K142" i="42"/>
  <c r="K143" i="42"/>
  <c r="K144" i="42"/>
  <c r="K145" i="42"/>
  <c r="K146" i="42"/>
  <c r="K147" i="42"/>
  <c r="K148" i="42"/>
  <c r="K149" i="42"/>
  <c r="K150" i="42"/>
  <c r="K151" i="42"/>
  <c r="K152" i="42"/>
  <c r="K153" i="42"/>
  <c r="K154" i="42"/>
  <c r="K155" i="42"/>
  <c r="K156" i="42"/>
  <c r="K157" i="42"/>
  <c r="K158" i="42"/>
  <c r="K159" i="42"/>
  <c r="K160" i="42"/>
  <c r="K161" i="42"/>
  <c r="K162" i="42"/>
  <c r="K163" i="42"/>
  <c r="K164" i="42"/>
  <c r="K165" i="42"/>
  <c r="K166" i="42"/>
  <c r="K167" i="42"/>
  <c r="K168" i="42"/>
  <c r="K169" i="42"/>
  <c r="K170" i="42"/>
  <c r="K171" i="42"/>
  <c r="K172" i="42"/>
  <c r="K173" i="42"/>
  <c r="K174" i="42"/>
  <c r="K175" i="42"/>
  <c r="K176" i="42"/>
  <c r="K177" i="42"/>
  <c r="K178" i="42"/>
  <c r="K179" i="42"/>
  <c r="K180" i="42"/>
  <c r="K181" i="42"/>
  <c r="K182" i="42"/>
  <c r="K183" i="42"/>
  <c r="K184" i="42"/>
  <c r="K185" i="42"/>
  <c r="K186" i="42"/>
  <c r="K187" i="42"/>
  <c r="K188" i="42"/>
  <c r="K189" i="42"/>
  <c r="K190" i="42"/>
  <c r="K191" i="42"/>
  <c r="K192" i="42"/>
  <c r="K193" i="42"/>
  <c r="K194" i="42"/>
  <c r="K195" i="42"/>
  <c r="K196" i="42"/>
  <c r="K197" i="42"/>
  <c r="K198" i="42"/>
  <c r="K199" i="42"/>
  <c r="K200" i="42"/>
  <c r="K201" i="42"/>
  <c r="K202" i="42"/>
  <c r="K203" i="42"/>
  <c r="K204" i="42"/>
  <c r="K205" i="42"/>
  <c r="K206" i="42"/>
  <c r="K207" i="42"/>
  <c r="K208" i="42"/>
  <c r="K209" i="42"/>
  <c r="K210" i="42"/>
  <c r="K211" i="42"/>
  <c r="K212" i="42"/>
  <c r="K213" i="42"/>
  <c r="K214" i="42"/>
  <c r="K215" i="42"/>
  <c r="K216" i="42"/>
  <c r="K217" i="42"/>
  <c r="K218" i="42"/>
  <c r="K219" i="42"/>
  <c r="K220" i="42"/>
  <c r="K221" i="42"/>
  <c r="K222" i="42"/>
  <c r="K223" i="42"/>
  <c r="K224" i="42"/>
  <c r="K225" i="42"/>
  <c r="K226" i="42"/>
  <c r="K227" i="42"/>
  <c r="K228" i="42"/>
  <c r="K229" i="42"/>
  <c r="K230" i="42"/>
  <c r="K231" i="42"/>
  <c r="K232" i="42"/>
  <c r="K233" i="42"/>
  <c r="K234" i="42"/>
  <c r="K235" i="42"/>
  <c r="K236" i="42"/>
  <c r="K237" i="42"/>
  <c r="K238" i="42"/>
  <c r="K239" i="42"/>
  <c r="K240" i="42"/>
  <c r="K241" i="42"/>
  <c r="K242" i="42"/>
  <c r="K243" i="42"/>
  <c r="K244" i="42"/>
  <c r="K245" i="42"/>
  <c r="K246" i="42"/>
  <c r="K247" i="42"/>
  <c r="K248" i="42"/>
  <c r="K249" i="42"/>
  <c r="K250" i="42"/>
  <c r="K251" i="42"/>
  <c r="K252" i="42"/>
  <c r="K253" i="42"/>
  <c r="K254" i="42"/>
  <c r="K255" i="42"/>
  <c r="K256" i="42"/>
  <c r="K257" i="42"/>
  <c r="K258" i="42"/>
  <c r="K259" i="42"/>
  <c r="K260" i="42"/>
  <c r="K261" i="42"/>
  <c r="K262" i="42"/>
  <c r="J12" i="42"/>
  <c r="J13" i="42"/>
  <c r="J14" i="42"/>
  <c r="J15" i="42"/>
  <c r="J16" i="42"/>
  <c r="J17" i="42"/>
  <c r="J18" i="42"/>
  <c r="J19" i="42"/>
  <c r="J20" i="42"/>
  <c r="J21" i="42"/>
  <c r="J22" i="42"/>
  <c r="J23" i="42"/>
  <c r="J24" i="42"/>
  <c r="J25" i="42"/>
  <c r="J26" i="42"/>
  <c r="J27" i="42"/>
  <c r="J28" i="42"/>
  <c r="J29" i="42"/>
  <c r="J30" i="42"/>
  <c r="J31" i="42"/>
  <c r="J32" i="42"/>
  <c r="J33" i="42"/>
  <c r="J34" i="42"/>
  <c r="J35" i="42"/>
  <c r="J36" i="42"/>
  <c r="J37" i="42"/>
  <c r="J38" i="42"/>
  <c r="J39" i="42"/>
  <c r="J40" i="42"/>
  <c r="J41" i="42"/>
  <c r="J42" i="42"/>
  <c r="J43" i="42"/>
  <c r="J44" i="42"/>
  <c r="J45" i="42"/>
  <c r="J46" i="42"/>
  <c r="J47" i="42"/>
  <c r="J48" i="42"/>
  <c r="J49" i="42"/>
  <c r="J50" i="42"/>
  <c r="J5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84" i="42"/>
  <c r="J85" i="42"/>
  <c r="J86" i="42"/>
  <c r="J87" i="42"/>
  <c r="J88" i="42"/>
  <c r="J89" i="42"/>
  <c r="J90" i="42"/>
  <c r="J91" i="42"/>
  <c r="J92" i="42"/>
  <c r="J93" i="42"/>
  <c r="J94" i="42"/>
  <c r="J95" i="42"/>
  <c r="J96" i="42"/>
  <c r="J97" i="42"/>
  <c r="J98" i="42"/>
  <c r="J99" i="42"/>
  <c r="J100" i="42"/>
  <c r="J101" i="42"/>
  <c r="J102" i="42"/>
  <c r="J103" i="42"/>
  <c r="J104" i="42"/>
  <c r="J105" i="42"/>
  <c r="J106" i="42"/>
  <c r="J107" i="42"/>
  <c r="J108" i="42"/>
  <c r="J109" i="42"/>
  <c r="J110" i="42"/>
  <c r="J111" i="42"/>
  <c r="J112" i="42"/>
  <c r="J113" i="42"/>
  <c r="J114" i="42"/>
  <c r="J115" i="42"/>
  <c r="J116" i="42"/>
  <c r="J117" i="42"/>
  <c r="J118" i="42"/>
  <c r="J119" i="42"/>
  <c r="J120" i="42"/>
  <c r="J121" i="42"/>
  <c r="J122" i="42"/>
  <c r="J123" i="42"/>
  <c r="J124" i="42"/>
  <c r="J125" i="42"/>
  <c r="J126" i="42"/>
  <c r="J127" i="42"/>
  <c r="J128" i="42"/>
  <c r="J129" i="42"/>
  <c r="J130" i="42"/>
  <c r="J131" i="42"/>
  <c r="J132" i="42"/>
  <c r="J133" i="42"/>
  <c r="J134" i="42"/>
  <c r="J135" i="42"/>
  <c r="J136" i="42"/>
  <c r="J137" i="42"/>
  <c r="J138" i="42"/>
  <c r="J139" i="42"/>
  <c r="J140" i="42"/>
  <c r="J141" i="42"/>
  <c r="J142" i="42"/>
  <c r="J143" i="42"/>
  <c r="J144" i="42"/>
  <c r="J145" i="42"/>
  <c r="J146" i="42"/>
  <c r="J147" i="42"/>
  <c r="J148" i="42"/>
  <c r="J149" i="42"/>
  <c r="J150" i="42"/>
  <c r="J151" i="42"/>
  <c r="J152" i="42"/>
  <c r="J153" i="42"/>
  <c r="J154" i="42"/>
  <c r="J155" i="42"/>
  <c r="J156" i="42"/>
  <c r="J157" i="42"/>
  <c r="J158" i="42"/>
  <c r="J159" i="42"/>
  <c r="J160" i="42"/>
  <c r="J161" i="42"/>
  <c r="J162" i="42"/>
  <c r="J163" i="42"/>
  <c r="J164" i="42"/>
  <c r="J165" i="42"/>
  <c r="J166" i="42"/>
  <c r="J167" i="42"/>
  <c r="J168" i="42"/>
  <c r="J169" i="42"/>
  <c r="J170" i="42"/>
  <c r="J171" i="42"/>
  <c r="J172" i="42"/>
  <c r="J173" i="42"/>
  <c r="J174" i="42"/>
  <c r="J175" i="42"/>
  <c r="J176" i="42"/>
  <c r="J177" i="42"/>
  <c r="J178" i="42"/>
  <c r="J179" i="42"/>
  <c r="J180" i="42"/>
  <c r="J181" i="42"/>
  <c r="J182" i="42"/>
  <c r="J183" i="42"/>
  <c r="J184" i="42"/>
  <c r="J185" i="42"/>
  <c r="J186" i="42"/>
  <c r="J187" i="42"/>
  <c r="J188" i="42"/>
  <c r="J189" i="42"/>
  <c r="J190" i="42"/>
  <c r="J191" i="42"/>
  <c r="J192" i="42"/>
  <c r="J193" i="42"/>
  <c r="J194" i="42"/>
  <c r="J195" i="42"/>
  <c r="J196" i="42"/>
  <c r="J197" i="42"/>
  <c r="J198" i="42"/>
  <c r="J199" i="42"/>
  <c r="J200" i="42"/>
  <c r="J201" i="42"/>
  <c r="J202" i="42"/>
  <c r="J203" i="42"/>
  <c r="J204" i="42"/>
  <c r="J205" i="42"/>
  <c r="J206" i="42"/>
  <c r="J207" i="42"/>
  <c r="J208" i="42"/>
  <c r="J209" i="42"/>
  <c r="J210" i="42"/>
  <c r="J211" i="42"/>
  <c r="J212" i="42"/>
  <c r="J213" i="42"/>
  <c r="J214" i="42"/>
  <c r="J215" i="42"/>
  <c r="J216" i="42"/>
  <c r="J217" i="42"/>
  <c r="J218" i="42"/>
  <c r="J219" i="42"/>
  <c r="J220" i="42"/>
  <c r="J221" i="42"/>
  <c r="J222" i="42"/>
  <c r="J223" i="42"/>
  <c r="J224" i="42"/>
  <c r="J225" i="42"/>
  <c r="J226" i="42"/>
  <c r="J227" i="42"/>
  <c r="J228" i="42"/>
  <c r="J229" i="42"/>
  <c r="J230" i="42"/>
  <c r="J231" i="42"/>
  <c r="J232" i="42"/>
  <c r="J233" i="42"/>
  <c r="J234" i="42"/>
  <c r="J235" i="42"/>
  <c r="J236" i="42"/>
  <c r="J237" i="42"/>
  <c r="J238" i="42"/>
  <c r="J239" i="42"/>
  <c r="J240" i="42"/>
  <c r="J241" i="42"/>
  <c r="J242" i="42"/>
  <c r="J243" i="42"/>
  <c r="J244" i="42"/>
  <c r="J245" i="42"/>
  <c r="J246" i="42"/>
  <c r="J247" i="42"/>
  <c r="J248" i="42"/>
  <c r="J249" i="42"/>
  <c r="J250" i="42"/>
  <c r="J251" i="42"/>
  <c r="J252" i="42"/>
  <c r="J253" i="42"/>
  <c r="J254" i="42"/>
  <c r="J255" i="42"/>
  <c r="J256" i="42"/>
  <c r="J257" i="42"/>
  <c r="J258" i="42"/>
  <c r="J259" i="42"/>
  <c r="J260" i="42"/>
  <c r="J261" i="42"/>
  <c r="J262" i="42"/>
  <c r="M7" i="33"/>
  <c r="M8" i="33"/>
  <c r="M9" i="33"/>
  <c r="M10" i="33"/>
  <c r="M11" i="33"/>
  <c r="M12" i="33"/>
  <c r="M13" i="33"/>
  <c r="M14" i="33"/>
  <c r="M15" i="33"/>
  <c r="M16" i="33"/>
  <c r="M17" i="33"/>
  <c r="M18" i="33"/>
  <c r="M19" i="33"/>
  <c r="M20" i="33"/>
  <c r="M21" i="33"/>
  <c r="M22" i="33"/>
  <c r="M23" i="33"/>
  <c r="M24" i="33"/>
  <c r="M25" i="33"/>
  <c r="M26" i="33"/>
  <c r="M27" i="33"/>
  <c r="M28" i="33"/>
  <c r="M29" i="33"/>
  <c r="M30" i="33"/>
  <c r="M31" i="33"/>
  <c r="M32" i="33"/>
  <c r="M33" i="33"/>
  <c r="M34" i="33"/>
  <c r="M35" i="33"/>
  <c r="M36" i="33"/>
  <c r="M37" i="33"/>
  <c r="M38" i="33"/>
  <c r="M39" i="33"/>
  <c r="M40" i="33"/>
  <c r="M41" i="33"/>
  <c r="M42" i="33"/>
  <c r="M43" i="33"/>
  <c r="M44" i="33"/>
  <c r="M45" i="33"/>
  <c r="M46" i="33"/>
  <c r="M47" i="33"/>
  <c r="M48" i="33"/>
  <c r="M49" i="33"/>
  <c r="M50" i="33"/>
  <c r="M51" i="33"/>
  <c r="M52" i="33"/>
  <c r="M53" i="33"/>
  <c r="M54" i="33"/>
  <c r="M55" i="33"/>
  <c r="M56" i="33"/>
  <c r="M57" i="33"/>
  <c r="M58" i="33"/>
  <c r="M59" i="33"/>
  <c r="M60" i="33"/>
  <c r="M61" i="33"/>
  <c r="M62" i="33"/>
  <c r="M63" i="33"/>
  <c r="M64" i="33"/>
  <c r="M65" i="33"/>
  <c r="M66" i="33"/>
  <c r="M67" i="33"/>
  <c r="M68" i="33"/>
  <c r="M69" i="33"/>
  <c r="M70" i="33"/>
  <c r="M71" i="33"/>
  <c r="M72" i="33"/>
  <c r="M73" i="33"/>
  <c r="M74" i="33"/>
  <c r="M75" i="33"/>
  <c r="M76" i="33"/>
  <c r="M77" i="33"/>
  <c r="M78" i="33"/>
  <c r="M79" i="33"/>
  <c r="M80" i="33"/>
  <c r="M81" i="33"/>
  <c r="M82" i="33"/>
  <c r="M83" i="33"/>
  <c r="M84" i="33"/>
  <c r="M85" i="33"/>
  <c r="M86" i="33"/>
  <c r="M87" i="33"/>
  <c r="M88" i="33"/>
  <c r="M89" i="33"/>
  <c r="M90" i="33"/>
  <c r="M91" i="33"/>
  <c r="M92" i="33"/>
  <c r="M93" i="33"/>
  <c r="M94" i="33"/>
  <c r="M95" i="33"/>
  <c r="M96" i="33"/>
  <c r="M97" i="33"/>
  <c r="M98" i="33"/>
  <c r="M99" i="33"/>
  <c r="M100" i="33"/>
  <c r="M101" i="33"/>
  <c r="M102" i="33"/>
  <c r="M103" i="33"/>
  <c r="M104" i="33"/>
  <c r="M105" i="33"/>
  <c r="M106" i="33"/>
  <c r="M107" i="33"/>
  <c r="M108" i="33"/>
  <c r="M109" i="33"/>
  <c r="M110" i="33"/>
  <c r="M111" i="33"/>
  <c r="M112" i="33"/>
  <c r="M113" i="33"/>
  <c r="M114" i="33"/>
  <c r="M115" i="33"/>
  <c r="M116" i="33"/>
  <c r="M117" i="33"/>
  <c r="M118" i="33"/>
  <c r="M119" i="33"/>
  <c r="M120" i="33"/>
  <c r="M121" i="33"/>
  <c r="M122" i="33"/>
  <c r="M123" i="33"/>
  <c r="M124" i="33"/>
  <c r="M125" i="33"/>
  <c r="M126" i="33"/>
  <c r="M127" i="33"/>
  <c r="M128" i="33"/>
  <c r="M129" i="33"/>
  <c r="M130" i="33"/>
  <c r="M131" i="33"/>
  <c r="M132" i="33"/>
  <c r="M133" i="33"/>
  <c r="M134" i="33"/>
  <c r="M135" i="33"/>
  <c r="M136" i="33"/>
  <c r="M137" i="33"/>
  <c r="M138" i="33"/>
  <c r="M139" i="33"/>
  <c r="M140" i="33"/>
  <c r="M141" i="33"/>
  <c r="M142" i="33"/>
  <c r="M143" i="33"/>
  <c r="M144" i="33"/>
  <c r="M145" i="33"/>
  <c r="M146" i="33"/>
  <c r="M147" i="33"/>
  <c r="M148" i="33"/>
  <c r="M149" i="33"/>
  <c r="M150" i="33"/>
  <c r="M151" i="33"/>
  <c r="M152" i="33"/>
  <c r="M153" i="33"/>
  <c r="M154" i="33"/>
  <c r="M155" i="33"/>
  <c r="M156" i="33"/>
  <c r="M157" i="33"/>
  <c r="M158" i="33"/>
  <c r="M159" i="33"/>
  <c r="M160" i="33"/>
  <c r="M161" i="33"/>
  <c r="M162" i="33"/>
  <c r="M163" i="33"/>
  <c r="M164" i="33"/>
  <c r="M165" i="33"/>
  <c r="M166" i="33"/>
  <c r="M167" i="33"/>
  <c r="M168" i="33"/>
  <c r="M169" i="33"/>
  <c r="M170" i="33"/>
  <c r="M171" i="33"/>
  <c r="M172" i="33"/>
  <c r="M173" i="33"/>
  <c r="M174" i="33"/>
  <c r="M175" i="33"/>
  <c r="M176" i="33"/>
  <c r="M177" i="33"/>
  <c r="M178" i="33"/>
  <c r="M179" i="33"/>
  <c r="M180" i="33"/>
  <c r="M181" i="33"/>
  <c r="M182" i="33"/>
  <c r="M183" i="33"/>
  <c r="M184" i="33"/>
  <c r="M185" i="33"/>
  <c r="M186" i="33"/>
  <c r="M187" i="33"/>
  <c r="M188" i="33"/>
  <c r="M189" i="33"/>
  <c r="M190" i="33"/>
  <c r="M191" i="33"/>
  <c r="M192" i="33"/>
  <c r="M193" i="33"/>
  <c r="M194" i="33"/>
  <c r="M195" i="33"/>
  <c r="M196" i="33"/>
  <c r="M197" i="33"/>
  <c r="M198" i="33"/>
  <c r="M199" i="33"/>
  <c r="M200" i="33"/>
  <c r="M201" i="33"/>
  <c r="M202" i="33"/>
  <c r="M203" i="33"/>
  <c r="M204" i="33"/>
  <c r="M205" i="33"/>
  <c r="M206" i="33"/>
  <c r="M207" i="33"/>
  <c r="M208" i="33"/>
  <c r="M209" i="33"/>
  <c r="M210" i="33"/>
  <c r="M211" i="33"/>
  <c r="M212" i="33"/>
  <c r="M213" i="33"/>
  <c r="M214" i="33"/>
  <c r="M215" i="33"/>
  <c r="M216" i="33"/>
  <c r="M217" i="33"/>
  <c r="M218" i="33"/>
  <c r="M219" i="33"/>
  <c r="M220" i="33"/>
  <c r="M221" i="33"/>
  <c r="M222" i="33"/>
  <c r="M223" i="33"/>
  <c r="M224" i="33"/>
  <c r="M225" i="33"/>
  <c r="M226" i="33"/>
  <c r="M227" i="33"/>
  <c r="M228" i="33"/>
  <c r="M229" i="33"/>
  <c r="M230" i="33"/>
  <c r="M231" i="33"/>
  <c r="M232" i="33"/>
  <c r="M233" i="33"/>
  <c r="M234" i="33"/>
  <c r="M235" i="33"/>
  <c r="M236" i="33"/>
  <c r="M237" i="33"/>
  <c r="M238" i="33"/>
  <c r="M239" i="33"/>
  <c r="M240" i="33"/>
  <c r="M241" i="33"/>
  <c r="M242" i="33"/>
  <c r="M243" i="33"/>
  <c r="M244" i="33"/>
  <c r="M245" i="33"/>
  <c r="M246" i="33"/>
  <c r="M247" i="33"/>
  <c r="M248" i="33"/>
  <c r="M249" i="33"/>
  <c r="M250" i="33"/>
  <c r="M251" i="33"/>
  <c r="M252" i="33"/>
  <c r="M253" i="33"/>
  <c r="M254" i="33"/>
  <c r="M255" i="33"/>
  <c r="M256" i="33"/>
  <c r="M257" i="33"/>
  <c r="M258" i="33"/>
  <c r="M259" i="33"/>
  <c r="M260" i="33"/>
  <c r="M261" i="33"/>
  <c r="M262" i="33"/>
  <c r="M263" i="33"/>
  <c r="M264" i="33"/>
  <c r="M265" i="33"/>
  <c r="M266" i="33"/>
  <c r="M267" i="33"/>
  <c r="M268" i="33"/>
  <c r="M269" i="33"/>
  <c r="M270" i="33"/>
  <c r="M271" i="33"/>
  <c r="M272" i="33"/>
  <c r="M273" i="33"/>
  <c r="M274" i="33"/>
  <c r="M275" i="33"/>
  <c r="M276" i="33"/>
  <c r="M277" i="33"/>
  <c r="M278" i="33"/>
  <c r="M279" i="33"/>
  <c r="M280" i="33"/>
  <c r="M281" i="33"/>
  <c r="M282" i="33"/>
  <c r="M283" i="33"/>
  <c r="M284" i="33"/>
  <c r="M285" i="33"/>
  <c r="M286" i="33"/>
  <c r="M287" i="33"/>
  <c r="M288" i="33"/>
  <c r="M289" i="33"/>
  <c r="M290" i="33"/>
  <c r="M291" i="33"/>
  <c r="M292" i="33"/>
  <c r="M293" i="33"/>
  <c r="M294" i="33"/>
  <c r="M295" i="33"/>
  <c r="M296" i="33"/>
  <c r="M297" i="33"/>
  <c r="M298" i="33"/>
  <c r="M299" i="33"/>
  <c r="M300" i="33"/>
  <c r="M301" i="33"/>
  <c r="M302" i="33"/>
  <c r="M303" i="33"/>
  <c r="M304" i="33"/>
  <c r="M305" i="33"/>
  <c r="M306" i="33"/>
  <c r="M307" i="33"/>
  <c r="M308" i="33"/>
  <c r="M309" i="33"/>
  <c r="M310" i="33"/>
  <c r="M311" i="33"/>
  <c r="M312" i="33"/>
  <c r="M313" i="33"/>
  <c r="M314" i="33"/>
  <c r="M315" i="33"/>
  <c r="M316" i="33"/>
  <c r="M317" i="33"/>
  <c r="M318" i="33"/>
  <c r="M319" i="33"/>
  <c r="M320" i="33"/>
  <c r="M321" i="33"/>
  <c r="M322" i="33"/>
  <c r="M323" i="33"/>
  <c r="M324" i="33"/>
  <c r="M325" i="33"/>
  <c r="M326" i="33"/>
  <c r="M327" i="33"/>
  <c r="M328" i="33"/>
  <c r="M329" i="33"/>
  <c r="M330" i="33"/>
  <c r="M331" i="33"/>
  <c r="M332" i="33"/>
  <c r="M333" i="33"/>
  <c r="M334" i="33"/>
  <c r="M335" i="33"/>
  <c r="M336" i="33"/>
  <c r="M337" i="33"/>
  <c r="M338" i="33"/>
  <c r="M339" i="33"/>
  <c r="M340" i="33"/>
  <c r="M341" i="33"/>
  <c r="M342" i="33"/>
  <c r="M343" i="33"/>
  <c r="M344" i="33"/>
  <c r="M345" i="33"/>
  <c r="M346" i="33"/>
  <c r="M347" i="33"/>
  <c r="M348" i="33"/>
  <c r="M349" i="33"/>
  <c r="M350" i="33"/>
  <c r="M351" i="33"/>
  <c r="M352" i="33"/>
  <c r="M353" i="33"/>
  <c r="M354" i="33"/>
  <c r="M355" i="33"/>
  <c r="M356" i="33"/>
  <c r="M357" i="33"/>
  <c r="M358" i="33"/>
  <c r="M359" i="33"/>
  <c r="M360" i="33"/>
  <c r="M361" i="33"/>
  <c r="M362" i="33"/>
  <c r="M363" i="33"/>
  <c r="M364" i="33"/>
  <c r="M365" i="33"/>
  <c r="M366" i="33"/>
  <c r="M367" i="33"/>
  <c r="M368" i="33"/>
  <c r="M369" i="33"/>
  <c r="M370" i="33"/>
  <c r="M371" i="33"/>
  <c r="M372" i="33"/>
  <c r="M373" i="33"/>
  <c r="M374" i="33"/>
  <c r="M375" i="33"/>
  <c r="M376" i="33"/>
  <c r="M377" i="33"/>
  <c r="M378" i="33"/>
  <c r="M379" i="33"/>
  <c r="M380" i="33"/>
  <c r="M381" i="33"/>
  <c r="M382" i="33"/>
  <c r="M383" i="33"/>
  <c r="M384" i="33"/>
  <c r="M385" i="33"/>
  <c r="M386" i="33"/>
  <c r="M387" i="33"/>
  <c r="M388" i="33"/>
  <c r="M389" i="33"/>
  <c r="M390" i="33"/>
  <c r="M391" i="33"/>
  <c r="M392" i="33"/>
  <c r="M393" i="33"/>
  <c r="M394" i="33"/>
  <c r="M395" i="33"/>
  <c r="M396" i="33"/>
  <c r="M397" i="33"/>
  <c r="M398" i="33"/>
  <c r="M399" i="33"/>
  <c r="M400" i="33"/>
  <c r="M401" i="33"/>
  <c r="M402" i="33"/>
  <c r="M403" i="33"/>
  <c r="M404" i="33"/>
  <c r="M405" i="33"/>
  <c r="M406" i="33"/>
  <c r="M407" i="33"/>
  <c r="M408" i="33"/>
  <c r="M409" i="33"/>
  <c r="M410" i="33"/>
  <c r="M411" i="33"/>
  <c r="M412" i="33"/>
  <c r="M413" i="33"/>
  <c r="M414" i="33"/>
  <c r="M415" i="33"/>
  <c r="M416" i="33"/>
  <c r="M417" i="33"/>
  <c r="M418" i="33"/>
  <c r="M419" i="33"/>
  <c r="M420" i="33"/>
  <c r="M421" i="33"/>
  <c r="M422" i="33"/>
  <c r="M423" i="33"/>
  <c r="M424" i="33"/>
  <c r="M425" i="33"/>
  <c r="M426" i="33"/>
  <c r="M427" i="33"/>
  <c r="M428" i="33"/>
  <c r="M429" i="33"/>
  <c r="M430" i="33"/>
  <c r="M431" i="33"/>
  <c r="M432" i="33"/>
  <c r="M433" i="33"/>
  <c r="M434" i="33"/>
  <c r="M435" i="33"/>
  <c r="M436" i="33"/>
  <c r="M437" i="33"/>
  <c r="M438" i="33"/>
  <c r="M439" i="33"/>
  <c r="M440" i="33"/>
  <c r="M441" i="33"/>
  <c r="M442" i="33"/>
  <c r="M443" i="33"/>
  <c r="M444" i="33"/>
  <c r="M445" i="33"/>
  <c r="M446" i="33"/>
  <c r="M447" i="33"/>
  <c r="M448" i="33"/>
  <c r="M449" i="33"/>
  <c r="M450" i="33"/>
  <c r="M451" i="33"/>
  <c r="M452" i="33"/>
  <c r="M453" i="33"/>
  <c r="M454" i="33"/>
  <c r="M455" i="33"/>
  <c r="M456" i="33"/>
  <c r="M457" i="33"/>
  <c r="M458" i="33"/>
  <c r="M459" i="33"/>
  <c r="M460" i="33"/>
  <c r="M461" i="33"/>
  <c r="M462" i="33"/>
  <c r="M463" i="33"/>
  <c r="M464" i="33"/>
  <c r="M465" i="33"/>
  <c r="M466" i="33"/>
  <c r="M467" i="33"/>
  <c r="M468" i="33"/>
  <c r="M469" i="33"/>
  <c r="M470" i="33"/>
  <c r="M471" i="33"/>
  <c r="M472" i="33"/>
  <c r="M473" i="33"/>
  <c r="M474" i="33"/>
  <c r="M475" i="33"/>
  <c r="M476" i="33"/>
  <c r="M477" i="33"/>
  <c r="M478" i="33"/>
  <c r="M479" i="33"/>
  <c r="M480" i="33"/>
  <c r="M481" i="33"/>
  <c r="M482" i="33"/>
  <c r="M483" i="33"/>
  <c r="M484" i="33"/>
  <c r="M485" i="33"/>
  <c r="M486" i="33"/>
  <c r="M487" i="33"/>
  <c r="M488" i="33"/>
  <c r="M489" i="33"/>
  <c r="M490" i="33"/>
  <c r="M491" i="33"/>
  <c r="M492" i="33"/>
  <c r="M493" i="33"/>
  <c r="M494" i="33"/>
  <c r="M495" i="33"/>
  <c r="M496" i="33"/>
  <c r="M497" i="33"/>
  <c r="M498" i="33"/>
  <c r="M499" i="33"/>
  <c r="M500" i="33"/>
  <c r="M501" i="33"/>
  <c r="M502" i="33"/>
  <c r="M503" i="33"/>
  <c r="M504" i="33"/>
  <c r="M505" i="33"/>
  <c r="M506" i="33"/>
  <c r="M507" i="33"/>
  <c r="M508" i="33"/>
  <c r="M509" i="33"/>
  <c r="M510" i="33"/>
  <c r="M511" i="33"/>
  <c r="M512" i="33"/>
  <c r="M513" i="33"/>
  <c r="M514" i="33"/>
  <c r="M515" i="33"/>
  <c r="M516" i="33"/>
  <c r="M517" i="33"/>
  <c r="M518" i="33"/>
  <c r="M519" i="33"/>
  <c r="M520" i="33"/>
  <c r="M521" i="33"/>
  <c r="M522" i="33"/>
  <c r="M523" i="33"/>
  <c r="M524" i="33"/>
  <c r="M525" i="33"/>
  <c r="M526" i="33"/>
  <c r="M527" i="33"/>
  <c r="M528" i="33"/>
  <c r="M529" i="33"/>
  <c r="M530" i="33"/>
  <c r="M531" i="33"/>
  <c r="M532" i="33"/>
  <c r="M533" i="33"/>
  <c r="M534" i="33"/>
  <c r="M535" i="33"/>
  <c r="M536" i="33"/>
  <c r="M537" i="33"/>
  <c r="M538" i="33"/>
  <c r="M539" i="33"/>
  <c r="M540" i="33"/>
  <c r="M541" i="33"/>
  <c r="M542" i="33"/>
  <c r="M543" i="33"/>
  <c r="M544" i="33"/>
  <c r="M545" i="33"/>
  <c r="M546" i="33"/>
  <c r="M547" i="33"/>
  <c r="M548" i="33"/>
  <c r="M549" i="33"/>
  <c r="M550" i="33"/>
  <c r="M551" i="33"/>
  <c r="M552" i="33"/>
  <c r="M553" i="33"/>
  <c r="M554" i="33"/>
  <c r="M555" i="33"/>
  <c r="M556" i="33"/>
  <c r="M557" i="33"/>
  <c r="M558" i="33"/>
  <c r="M559" i="33"/>
  <c r="M560" i="33"/>
  <c r="M561" i="33"/>
  <c r="M562" i="33"/>
  <c r="M563" i="33"/>
  <c r="M564" i="33"/>
  <c r="M565" i="33"/>
  <c r="M566" i="33"/>
  <c r="M567" i="33"/>
  <c r="M568" i="33"/>
  <c r="M569" i="33"/>
  <c r="M570" i="33"/>
  <c r="M571" i="33"/>
  <c r="M572" i="33"/>
  <c r="M573" i="33"/>
  <c r="M574" i="33"/>
  <c r="M575" i="33"/>
  <c r="M576" i="33"/>
  <c r="M577" i="33"/>
  <c r="M578" i="33"/>
  <c r="M579" i="33"/>
  <c r="M580" i="33"/>
  <c r="M581" i="33"/>
  <c r="M582" i="33"/>
  <c r="M583" i="33"/>
  <c r="M584" i="33"/>
  <c r="M585" i="33"/>
  <c r="M586" i="33"/>
  <c r="M587" i="33"/>
  <c r="M588" i="33"/>
  <c r="M589" i="33"/>
  <c r="M590" i="33"/>
  <c r="M591" i="33"/>
  <c r="M592" i="33"/>
  <c r="M593" i="33"/>
  <c r="M594" i="33"/>
  <c r="M595" i="33"/>
  <c r="M596" i="33"/>
  <c r="M597" i="33"/>
  <c r="M598" i="33"/>
  <c r="M599" i="33"/>
  <c r="M600" i="33"/>
  <c r="M601" i="33"/>
  <c r="M602" i="33"/>
  <c r="M603" i="33"/>
  <c r="M604" i="33"/>
  <c r="M605" i="33"/>
  <c r="M606" i="33"/>
  <c r="M607" i="33"/>
  <c r="M608" i="33"/>
  <c r="M609" i="33"/>
  <c r="M610" i="33"/>
  <c r="M611" i="33"/>
  <c r="M612" i="33"/>
  <c r="M613" i="33"/>
  <c r="M614" i="33"/>
  <c r="M615" i="33"/>
  <c r="M616" i="33"/>
  <c r="M617" i="33"/>
  <c r="M618" i="33"/>
  <c r="M619" i="33"/>
  <c r="M620" i="33"/>
  <c r="M621" i="33"/>
  <c r="M622" i="33"/>
  <c r="M623" i="33"/>
  <c r="M624" i="33"/>
  <c r="M625" i="33"/>
  <c r="M626" i="33"/>
  <c r="M627" i="33"/>
  <c r="M628" i="33"/>
  <c r="M629" i="33"/>
  <c r="M630" i="33"/>
  <c r="M631" i="33"/>
  <c r="M632" i="33"/>
  <c r="M633" i="33"/>
  <c r="M634" i="33"/>
  <c r="M635" i="33"/>
  <c r="M636" i="33"/>
  <c r="M637" i="33"/>
  <c r="M638" i="33"/>
  <c r="M639" i="33"/>
  <c r="M640" i="33"/>
  <c r="M641" i="33"/>
  <c r="M642" i="33"/>
  <c r="M643" i="33"/>
  <c r="M644" i="33"/>
  <c r="M645" i="33"/>
  <c r="M646" i="33"/>
  <c r="M647" i="33"/>
  <c r="M648" i="33"/>
  <c r="M649" i="33"/>
  <c r="M650" i="33"/>
  <c r="M651" i="33"/>
  <c r="M652" i="33"/>
  <c r="M653" i="33"/>
  <c r="M654" i="33"/>
  <c r="M655" i="33"/>
  <c r="M656" i="33"/>
  <c r="M657" i="33"/>
  <c r="M658" i="33"/>
  <c r="M659" i="33"/>
  <c r="M660" i="33"/>
  <c r="M661" i="33"/>
  <c r="M662" i="33"/>
  <c r="M663" i="33"/>
  <c r="M664" i="33"/>
  <c r="M665" i="33"/>
  <c r="M666" i="33"/>
  <c r="M667" i="33"/>
  <c r="M668" i="33"/>
  <c r="M669" i="33"/>
  <c r="M670" i="33"/>
  <c r="M671" i="33"/>
  <c r="M672" i="33"/>
  <c r="M673" i="33"/>
  <c r="M674" i="33"/>
  <c r="M675" i="33"/>
  <c r="M676" i="33"/>
  <c r="M677" i="33"/>
  <c r="M678" i="33"/>
  <c r="M679" i="33"/>
  <c r="M680" i="33"/>
  <c r="M681" i="33"/>
  <c r="M682" i="33"/>
  <c r="M683" i="33"/>
  <c r="M684" i="33"/>
  <c r="M685" i="33"/>
  <c r="M686" i="33"/>
  <c r="M687" i="33"/>
  <c r="M688" i="33"/>
  <c r="M689" i="33"/>
  <c r="M690" i="33"/>
  <c r="M691" i="33"/>
  <c r="M692" i="33"/>
  <c r="M693" i="33"/>
  <c r="M694" i="33"/>
  <c r="M695" i="33"/>
  <c r="M696" i="33"/>
  <c r="M697" i="33"/>
  <c r="M698" i="33"/>
  <c r="M699" i="33"/>
  <c r="M700" i="33"/>
  <c r="M701" i="33"/>
  <c r="M702" i="33"/>
  <c r="M703" i="33"/>
  <c r="M704" i="33"/>
  <c r="M705" i="33"/>
  <c r="M706" i="33"/>
  <c r="M707" i="33"/>
  <c r="M708" i="33"/>
  <c r="M709" i="33"/>
  <c r="M710" i="33"/>
  <c r="M711" i="33"/>
  <c r="M712" i="33"/>
  <c r="M713" i="33"/>
  <c r="M714" i="33"/>
  <c r="M715" i="33"/>
  <c r="M716" i="33"/>
  <c r="M717" i="33"/>
  <c r="M718" i="33"/>
  <c r="M719" i="33"/>
  <c r="M720" i="33"/>
  <c r="M721" i="33"/>
  <c r="M722" i="33"/>
  <c r="M723" i="33"/>
  <c r="M724" i="33"/>
  <c r="M725" i="33"/>
  <c r="M726" i="33"/>
  <c r="M727" i="33"/>
  <c r="M728" i="33"/>
  <c r="M729" i="33"/>
  <c r="M730" i="33"/>
  <c r="M731" i="33"/>
  <c r="M732" i="33"/>
  <c r="M733" i="33"/>
  <c r="M734" i="33"/>
  <c r="M735" i="33"/>
  <c r="M736" i="33"/>
  <c r="M737" i="33"/>
  <c r="M738" i="33"/>
  <c r="M739" i="33"/>
  <c r="M740" i="33"/>
  <c r="M741" i="33"/>
  <c r="M742" i="33"/>
  <c r="M743" i="33"/>
  <c r="M744" i="33"/>
  <c r="M745" i="33"/>
  <c r="M746" i="33"/>
  <c r="M747" i="33"/>
  <c r="M748" i="33"/>
  <c r="M749" i="33"/>
  <c r="M750" i="33"/>
  <c r="M751" i="33"/>
  <c r="M752" i="33"/>
  <c r="M753" i="33"/>
  <c r="M754" i="33"/>
  <c r="M755" i="33"/>
  <c r="M756" i="33"/>
  <c r="M757" i="33"/>
  <c r="M758" i="33"/>
  <c r="M759" i="33"/>
  <c r="M760" i="33"/>
  <c r="M761" i="33"/>
  <c r="M762" i="33"/>
  <c r="M763" i="33"/>
  <c r="M764" i="33"/>
  <c r="M765" i="33"/>
  <c r="M766" i="33"/>
  <c r="M767" i="33"/>
  <c r="M768" i="33"/>
  <c r="M769" i="33"/>
  <c r="M770" i="33"/>
  <c r="M771" i="33"/>
  <c r="M772" i="33"/>
  <c r="M773" i="33"/>
  <c r="M774" i="33"/>
  <c r="M775" i="33"/>
  <c r="M776" i="33"/>
  <c r="M777" i="33"/>
  <c r="M778" i="33"/>
  <c r="M779" i="33"/>
  <c r="M780" i="33"/>
  <c r="M781" i="33"/>
  <c r="M782" i="33"/>
  <c r="M783" i="33"/>
  <c r="M784" i="33"/>
  <c r="M785" i="33"/>
  <c r="M786" i="33"/>
  <c r="M787" i="33"/>
  <c r="M788" i="33"/>
  <c r="M789" i="33"/>
  <c r="M790" i="33"/>
  <c r="M791" i="33"/>
  <c r="M792" i="33"/>
  <c r="M793" i="33"/>
  <c r="M794" i="33"/>
  <c r="M795" i="33"/>
  <c r="M796" i="33"/>
  <c r="M797" i="33"/>
  <c r="M798" i="33"/>
  <c r="M799" i="33"/>
  <c r="M800" i="33"/>
  <c r="M801" i="33"/>
  <c r="M802" i="33"/>
  <c r="M803" i="33"/>
  <c r="M804" i="33"/>
  <c r="M805" i="33"/>
  <c r="M806" i="33"/>
  <c r="M807" i="33"/>
  <c r="M808" i="33"/>
  <c r="M809" i="33"/>
  <c r="M810" i="33"/>
  <c r="M811" i="33"/>
  <c r="M812" i="33"/>
  <c r="M813" i="33"/>
  <c r="M814" i="33"/>
  <c r="M815" i="33"/>
  <c r="M816" i="33"/>
  <c r="M817" i="33"/>
  <c r="M818" i="33"/>
  <c r="M819" i="33"/>
  <c r="M820" i="33"/>
  <c r="M821" i="33"/>
  <c r="M822" i="33"/>
  <c r="M823" i="33"/>
  <c r="M824" i="33"/>
  <c r="M825" i="33"/>
  <c r="M826" i="33"/>
  <c r="M827" i="33"/>
  <c r="M828" i="33"/>
  <c r="M829" i="33"/>
  <c r="M830" i="33"/>
  <c r="M831" i="33"/>
  <c r="M832" i="33"/>
  <c r="M833" i="33"/>
  <c r="M834" i="33"/>
  <c r="M835" i="33"/>
  <c r="M836" i="33"/>
  <c r="M837" i="33"/>
  <c r="M838" i="33"/>
  <c r="M839" i="33"/>
  <c r="M840" i="33"/>
  <c r="M841" i="33"/>
  <c r="M842" i="33"/>
  <c r="M843" i="33"/>
  <c r="M844" i="33"/>
  <c r="M845" i="33"/>
  <c r="M846" i="33"/>
  <c r="M847" i="33"/>
  <c r="M848" i="33"/>
  <c r="M849" i="33"/>
  <c r="M850" i="33"/>
  <c r="M851" i="33"/>
  <c r="M852" i="33"/>
  <c r="M853" i="33"/>
  <c r="M854" i="33"/>
  <c r="M855" i="33"/>
  <c r="M856" i="33"/>
  <c r="M857" i="33"/>
  <c r="M858" i="33"/>
  <c r="M859" i="33"/>
  <c r="M860" i="33"/>
  <c r="M861" i="33"/>
  <c r="M862" i="33"/>
  <c r="M863" i="33"/>
  <c r="M864" i="33"/>
  <c r="M865" i="33"/>
  <c r="M866" i="33"/>
  <c r="M867" i="33"/>
  <c r="M868" i="33"/>
  <c r="M869" i="33"/>
  <c r="M870" i="33"/>
  <c r="M871" i="33"/>
  <c r="M872" i="33"/>
  <c r="M873" i="33"/>
  <c r="M874" i="33"/>
  <c r="M875" i="33"/>
  <c r="M876" i="33"/>
  <c r="M877" i="33"/>
  <c r="M878" i="33"/>
  <c r="M879" i="33"/>
  <c r="M880" i="33"/>
  <c r="M881" i="33"/>
  <c r="M882" i="33"/>
  <c r="M883" i="33"/>
  <c r="M884" i="33"/>
  <c r="M885" i="33"/>
  <c r="M886" i="33"/>
  <c r="M887" i="33"/>
  <c r="M888" i="33"/>
  <c r="M889" i="33"/>
  <c r="M890" i="33"/>
  <c r="M891" i="33"/>
  <c r="M892" i="33"/>
  <c r="M893" i="33"/>
  <c r="M894" i="33"/>
  <c r="M895" i="33"/>
  <c r="M896" i="33"/>
  <c r="M897" i="33"/>
  <c r="M898" i="33"/>
  <c r="M899" i="33"/>
  <c r="M900" i="33"/>
  <c r="M901" i="33"/>
  <c r="M902" i="33"/>
  <c r="M903" i="33"/>
  <c r="M904" i="33"/>
  <c r="M905" i="33"/>
  <c r="M906" i="33"/>
  <c r="M907" i="33"/>
  <c r="M908" i="33"/>
  <c r="M909" i="33"/>
  <c r="M910" i="33"/>
  <c r="M911" i="33"/>
  <c r="M912" i="33"/>
  <c r="M913" i="33"/>
  <c r="M914" i="33"/>
  <c r="M915" i="33"/>
  <c r="M916" i="33"/>
  <c r="M917" i="33"/>
  <c r="M918" i="33"/>
  <c r="M919" i="33"/>
  <c r="M920" i="33"/>
  <c r="M921" i="33"/>
  <c r="M922" i="33"/>
  <c r="M923" i="33"/>
  <c r="M924" i="33"/>
  <c r="M925" i="33"/>
  <c r="M926" i="33"/>
  <c r="M927" i="33"/>
  <c r="M928" i="33"/>
  <c r="M929" i="33"/>
  <c r="M930" i="33"/>
  <c r="M931" i="33"/>
  <c r="M932" i="33"/>
  <c r="M933" i="33"/>
  <c r="M934" i="33"/>
  <c r="M935" i="33"/>
  <c r="M936" i="33"/>
  <c r="M937" i="33"/>
  <c r="M938" i="33"/>
  <c r="M939" i="33"/>
  <c r="M940" i="33"/>
  <c r="M941" i="33"/>
  <c r="M942" i="33"/>
  <c r="M943" i="33"/>
  <c r="M944" i="33"/>
  <c r="M945" i="33"/>
  <c r="M946" i="33"/>
  <c r="M947" i="33"/>
  <c r="M948" i="33"/>
  <c r="M949" i="33"/>
  <c r="M950" i="33"/>
  <c r="M951" i="33"/>
  <c r="M952" i="33"/>
  <c r="M953" i="33"/>
  <c r="M954" i="33"/>
  <c r="M955" i="33"/>
  <c r="M956" i="33"/>
  <c r="M957" i="33"/>
  <c r="M958" i="33"/>
  <c r="M959" i="33"/>
  <c r="M960" i="33"/>
  <c r="M961" i="33"/>
  <c r="M962" i="33"/>
  <c r="M963" i="33"/>
  <c r="M964" i="33"/>
  <c r="M965" i="33"/>
  <c r="M966" i="33"/>
  <c r="M967" i="33"/>
  <c r="M968" i="33"/>
  <c r="M969" i="33"/>
  <c r="M970" i="33"/>
  <c r="M971" i="33"/>
  <c r="M972" i="33"/>
  <c r="M973" i="33"/>
  <c r="M974" i="33"/>
  <c r="M975" i="33"/>
  <c r="M976" i="33"/>
  <c r="M977" i="33"/>
  <c r="M978" i="33"/>
  <c r="M979" i="33"/>
  <c r="M980" i="33"/>
  <c r="M981"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105" i="33"/>
  <c r="K106" i="33"/>
  <c r="K107" i="33"/>
  <c r="K108" i="33"/>
  <c r="K109" i="33"/>
  <c r="K110" i="33"/>
  <c r="K111" i="33"/>
  <c r="K112" i="33"/>
  <c r="K113" i="33"/>
  <c r="K114" i="33"/>
  <c r="K115" i="33"/>
  <c r="K116" i="33"/>
  <c r="K117" i="33"/>
  <c r="K118" i="33"/>
  <c r="K119" i="33"/>
  <c r="K120" i="33"/>
  <c r="K121" i="33"/>
  <c r="K122" i="33"/>
  <c r="K123" i="33"/>
  <c r="K124" i="33"/>
  <c r="K125" i="33"/>
  <c r="K126" i="33"/>
  <c r="K127" i="33"/>
  <c r="K128" i="33"/>
  <c r="K129" i="33"/>
  <c r="K130" i="33"/>
  <c r="K131" i="33"/>
  <c r="K132" i="33"/>
  <c r="K133" i="33"/>
  <c r="K134" i="33"/>
  <c r="K135" i="33"/>
  <c r="K136" i="33"/>
  <c r="K137" i="33"/>
  <c r="K138" i="33"/>
  <c r="K139" i="33"/>
  <c r="K140" i="33"/>
  <c r="K141" i="33"/>
  <c r="K142" i="33"/>
  <c r="K143" i="33"/>
  <c r="K144" i="33"/>
  <c r="K145" i="33"/>
  <c r="K146" i="33"/>
  <c r="K147" i="33"/>
  <c r="K148" i="33"/>
  <c r="K149" i="33"/>
  <c r="K150" i="33"/>
  <c r="K151" i="33"/>
  <c r="K152" i="33"/>
  <c r="K153" i="33"/>
  <c r="K154" i="33"/>
  <c r="K155" i="33"/>
  <c r="K156" i="33"/>
  <c r="K157" i="33"/>
  <c r="K158" i="33"/>
  <c r="K159" i="33"/>
  <c r="K160" i="33"/>
  <c r="K161" i="33"/>
  <c r="K162" i="33"/>
  <c r="K163" i="33"/>
  <c r="K164" i="33"/>
  <c r="K165" i="33"/>
  <c r="K166" i="33"/>
  <c r="K167" i="33"/>
  <c r="K168" i="33"/>
  <c r="K169" i="33"/>
  <c r="K170" i="33"/>
  <c r="K171" i="33"/>
  <c r="K172" i="33"/>
  <c r="K173" i="33"/>
  <c r="K174" i="33"/>
  <c r="K175" i="33"/>
  <c r="K176" i="33"/>
  <c r="K177" i="33"/>
  <c r="K178" i="33"/>
  <c r="K179" i="33"/>
  <c r="K180" i="33"/>
  <c r="K181" i="33"/>
  <c r="K182" i="33"/>
  <c r="K183" i="33"/>
  <c r="K184" i="33"/>
  <c r="K185" i="33"/>
  <c r="K186" i="33"/>
  <c r="K187" i="33"/>
  <c r="K188" i="33"/>
  <c r="K189" i="33"/>
  <c r="K190" i="33"/>
  <c r="K191" i="33"/>
  <c r="K192" i="33"/>
  <c r="K193" i="33"/>
  <c r="K194" i="33"/>
  <c r="K195" i="33"/>
  <c r="K196" i="33"/>
  <c r="K197" i="33"/>
  <c r="K198" i="33"/>
  <c r="K199" i="33"/>
  <c r="K200" i="33"/>
  <c r="K201" i="33"/>
  <c r="K202" i="33"/>
  <c r="K203" i="33"/>
  <c r="K204" i="33"/>
  <c r="K205" i="33"/>
  <c r="K206" i="33"/>
  <c r="K207" i="33"/>
  <c r="K208" i="33"/>
  <c r="K209" i="33"/>
  <c r="K210" i="33"/>
  <c r="K211" i="33"/>
  <c r="K212" i="33"/>
  <c r="K213" i="33"/>
  <c r="K214" i="33"/>
  <c r="K215" i="33"/>
  <c r="K216" i="33"/>
  <c r="K217" i="33"/>
  <c r="K218" i="33"/>
  <c r="K219" i="33"/>
  <c r="K220" i="33"/>
  <c r="K221" i="33"/>
  <c r="K222" i="33"/>
  <c r="K223" i="33"/>
  <c r="K224" i="33"/>
  <c r="K225" i="33"/>
  <c r="K226" i="33"/>
  <c r="K227" i="33"/>
  <c r="K228" i="33"/>
  <c r="K229" i="33"/>
  <c r="K230" i="33"/>
  <c r="K231" i="33"/>
  <c r="K232" i="33"/>
  <c r="K233" i="33"/>
  <c r="K234" i="33"/>
  <c r="K235" i="33"/>
  <c r="K236" i="33"/>
  <c r="K237" i="33"/>
  <c r="K238" i="33"/>
  <c r="K239" i="33"/>
  <c r="K240" i="33"/>
  <c r="K241" i="33"/>
  <c r="K242" i="33"/>
  <c r="K243" i="33"/>
  <c r="K244" i="33"/>
  <c r="K245" i="33"/>
  <c r="K246" i="33"/>
  <c r="K247" i="33"/>
  <c r="K248" i="33"/>
  <c r="K249" i="33"/>
  <c r="K250" i="33"/>
  <c r="K251" i="33"/>
  <c r="K252" i="33"/>
  <c r="K253" i="33"/>
  <c r="K254" i="33"/>
  <c r="K255" i="33"/>
  <c r="K256" i="33"/>
  <c r="K257" i="33"/>
  <c r="K258" i="33"/>
  <c r="K259" i="33"/>
  <c r="K260" i="33"/>
  <c r="K261" i="33"/>
  <c r="K262" i="33"/>
  <c r="K263" i="33"/>
  <c r="K264" i="33"/>
  <c r="K265" i="33"/>
  <c r="K266" i="33"/>
  <c r="K267" i="33"/>
  <c r="K268" i="33"/>
  <c r="K269" i="33"/>
  <c r="K270" i="33"/>
  <c r="K271" i="33"/>
  <c r="K272" i="33"/>
  <c r="K273" i="33"/>
  <c r="K274" i="33"/>
  <c r="K275" i="33"/>
  <c r="K276" i="33"/>
  <c r="K277" i="33"/>
  <c r="K278" i="33"/>
  <c r="K279" i="33"/>
  <c r="K280" i="33"/>
  <c r="K281" i="33"/>
  <c r="K282" i="33"/>
  <c r="K283" i="33"/>
  <c r="K284" i="33"/>
  <c r="K285" i="33"/>
  <c r="K286" i="33"/>
  <c r="K287" i="33"/>
  <c r="K288" i="33"/>
  <c r="K289" i="33"/>
  <c r="K290" i="33"/>
  <c r="K291" i="33"/>
  <c r="K292" i="33"/>
  <c r="K293" i="33"/>
  <c r="K294" i="33"/>
  <c r="K295" i="33"/>
  <c r="K296" i="33"/>
  <c r="K297" i="33"/>
  <c r="K298" i="33"/>
  <c r="K299" i="33"/>
  <c r="K300" i="33"/>
  <c r="K301" i="33"/>
  <c r="K302" i="33"/>
  <c r="K303" i="33"/>
  <c r="K304" i="33"/>
  <c r="K305" i="33"/>
  <c r="K306" i="33"/>
  <c r="K307" i="33"/>
  <c r="K308" i="33"/>
  <c r="K309" i="33"/>
  <c r="K310" i="33"/>
  <c r="K311" i="33"/>
  <c r="K312" i="33"/>
  <c r="K313" i="33"/>
  <c r="K314" i="33"/>
  <c r="K315" i="33"/>
  <c r="K316" i="33"/>
  <c r="K317" i="33"/>
  <c r="K318" i="33"/>
  <c r="K319" i="33"/>
  <c r="K320" i="33"/>
  <c r="K321" i="33"/>
  <c r="K322" i="33"/>
  <c r="K323" i="33"/>
  <c r="K324" i="33"/>
  <c r="K325" i="33"/>
  <c r="K326" i="33"/>
  <c r="K327" i="33"/>
  <c r="K328" i="33"/>
  <c r="K329" i="33"/>
  <c r="K330" i="33"/>
  <c r="K331" i="33"/>
  <c r="K332" i="33"/>
  <c r="K333" i="33"/>
  <c r="K334" i="33"/>
  <c r="K335" i="33"/>
  <c r="K336" i="33"/>
  <c r="K337" i="33"/>
  <c r="K338" i="33"/>
  <c r="K339" i="33"/>
  <c r="K340" i="33"/>
  <c r="K341" i="33"/>
  <c r="K342" i="33"/>
  <c r="K343" i="33"/>
  <c r="K344" i="33"/>
  <c r="K345" i="33"/>
  <c r="K346" i="33"/>
  <c r="K347" i="33"/>
  <c r="K348" i="33"/>
  <c r="K349" i="33"/>
  <c r="K350" i="33"/>
  <c r="K351" i="33"/>
  <c r="K352" i="33"/>
  <c r="K353" i="33"/>
  <c r="K354" i="33"/>
  <c r="K355" i="33"/>
  <c r="K356" i="33"/>
  <c r="K357" i="33"/>
  <c r="K358" i="33"/>
  <c r="K359" i="33"/>
  <c r="K360" i="33"/>
  <c r="K361" i="33"/>
  <c r="K362" i="33"/>
  <c r="K363" i="33"/>
  <c r="K364" i="33"/>
  <c r="K365" i="33"/>
  <c r="K366" i="33"/>
  <c r="K367" i="33"/>
  <c r="K368" i="33"/>
  <c r="K369" i="33"/>
  <c r="K370" i="33"/>
  <c r="K371" i="33"/>
  <c r="K372" i="33"/>
  <c r="K373" i="33"/>
  <c r="K374" i="33"/>
  <c r="K375" i="33"/>
  <c r="K376" i="33"/>
  <c r="K377" i="33"/>
  <c r="K378" i="33"/>
  <c r="K379" i="33"/>
  <c r="K380" i="33"/>
  <c r="K381" i="33"/>
  <c r="K382" i="33"/>
  <c r="K383" i="33"/>
  <c r="K384" i="33"/>
  <c r="K385" i="33"/>
  <c r="K386" i="33"/>
  <c r="K387" i="33"/>
  <c r="K388" i="33"/>
  <c r="K389" i="33"/>
  <c r="K390" i="33"/>
  <c r="K391" i="33"/>
  <c r="K392" i="33"/>
  <c r="K393" i="33"/>
  <c r="K394" i="33"/>
  <c r="K395" i="33"/>
  <c r="K396" i="33"/>
  <c r="K397" i="33"/>
  <c r="K398" i="33"/>
  <c r="K399" i="33"/>
  <c r="K400" i="33"/>
  <c r="K401" i="33"/>
  <c r="K402" i="33"/>
  <c r="K403" i="33"/>
  <c r="K404" i="33"/>
  <c r="K405" i="33"/>
  <c r="K406" i="33"/>
  <c r="K407" i="33"/>
  <c r="K408" i="33"/>
  <c r="K409" i="33"/>
  <c r="K410" i="33"/>
  <c r="K411" i="33"/>
  <c r="K412" i="33"/>
  <c r="K413" i="33"/>
  <c r="K414" i="33"/>
  <c r="K415" i="33"/>
  <c r="K416" i="33"/>
  <c r="K417" i="33"/>
  <c r="K418" i="33"/>
  <c r="K419" i="33"/>
  <c r="K420" i="33"/>
  <c r="K421" i="33"/>
  <c r="K422" i="33"/>
  <c r="K423" i="33"/>
  <c r="K424" i="33"/>
  <c r="K425" i="33"/>
  <c r="K426" i="33"/>
  <c r="K427" i="33"/>
  <c r="K428" i="33"/>
  <c r="K429" i="33"/>
  <c r="K430" i="33"/>
  <c r="K431" i="33"/>
  <c r="K432" i="33"/>
  <c r="K433" i="33"/>
  <c r="K434" i="33"/>
  <c r="K435" i="33"/>
  <c r="K436" i="33"/>
  <c r="K437" i="33"/>
  <c r="K438" i="33"/>
  <c r="K439" i="33"/>
  <c r="K440" i="33"/>
  <c r="K441" i="33"/>
  <c r="K442" i="33"/>
  <c r="K443" i="33"/>
  <c r="K444" i="33"/>
  <c r="K445" i="33"/>
  <c r="K446" i="33"/>
  <c r="K447" i="33"/>
  <c r="K448" i="33"/>
  <c r="K449" i="33"/>
  <c r="K450" i="33"/>
  <c r="K451" i="33"/>
  <c r="K452" i="33"/>
  <c r="K453" i="33"/>
  <c r="K454" i="33"/>
  <c r="K455" i="33"/>
  <c r="K456" i="33"/>
  <c r="K457" i="33"/>
  <c r="K458" i="33"/>
  <c r="K459" i="33"/>
  <c r="K460" i="33"/>
  <c r="K461" i="33"/>
  <c r="K462" i="33"/>
  <c r="K463" i="33"/>
  <c r="K464" i="33"/>
  <c r="K465" i="33"/>
  <c r="K466" i="33"/>
  <c r="K467" i="33"/>
  <c r="K468" i="33"/>
  <c r="K469" i="33"/>
  <c r="K470" i="33"/>
  <c r="K471" i="33"/>
  <c r="K472" i="33"/>
  <c r="K473" i="33"/>
  <c r="K474" i="33"/>
  <c r="K475" i="33"/>
  <c r="K476" i="33"/>
  <c r="K477" i="33"/>
  <c r="K478" i="33"/>
  <c r="K479" i="33"/>
  <c r="K480" i="33"/>
  <c r="K481" i="33"/>
  <c r="K482" i="33"/>
  <c r="K483" i="33"/>
  <c r="K484" i="33"/>
  <c r="K485" i="33"/>
  <c r="K486" i="33"/>
  <c r="K487" i="33"/>
  <c r="K488" i="33"/>
  <c r="K489" i="33"/>
  <c r="K490" i="33"/>
  <c r="K491" i="33"/>
  <c r="K492" i="33"/>
  <c r="K493" i="33"/>
  <c r="K494" i="33"/>
  <c r="K495" i="33"/>
  <c r="K496" i="33"/>
  <c r="K497" i="33"/>
  <c r="K498" i="33"/>
  <c r="K499" i="33"/>
  <c r="K500" i="33"/>
  <c r="K501" i="33"/>
  <c r="K502" i="33"/>
  <c r="K503" i="33"/>
  <c r="K504" i="33"/>
  <c r="K505" i="33"/>
  <c r="K506" i="33"/>
  <c r="K507" i="33"/>
  <c r="K508" i="33"/>
  <c r="K509" i="33"/>
  <c r="K510" i="33"/>
  <c r="K511" i="33"/>
  <c r="K512" i="33"/>
  <c r="K513" i="33"/>
  <c r="K514" i="33"/>
  <c r="K515" i="33"/>
  <c r="K516" i="33"/>
  <c r="K517" i="33"/>
  <c r="K518" i="33"/>
  <c r="K519" i="33"/>
  <c r="K520" i="33"/>
  <c r="K521" i="33"/>
  <c r="K522" i="33"/>
  <c r="K523" i="33"/>
  <c r="K524" i="33"/>
  <c r="K525" i="33"/>
  <c r="K526" i="33"/>
  <c r="K527" i="33"/>
  <c r="K528" i="33"/>
  <c r="K529" i="33"/>
  <c r="K530" i="33"/>
  <c r="K531" i="33"/>
  <c r="K532" i="33"/>
  <c r="K533" i="33"/>
  <c r="K534" i="33"/>
  <c r="K535" i="33"/>
  <c r="K536" i="33"/>
  <c r="K537" i="33"/>
  <c r="K538" i="33"/>
  <c r="K539" i="33"/>
  <c r="K540" i="33"/>
  <c r="K541" i="33"/>
  <c r="K542" i="33"/>
  <c r="K543" i="33"/>
  <c r="K544" i="33"/>
  <c r="K545" i="33"/>
  <c r="K546" i="33"/>
  <c r="K547" i="33"/>
  <c r="K548" i="33"/>
  <c r="K549" i="33"/>
  <c r="K550" i="33"/>
  <c r="K551" i="33"/>
  <c r="K552" i="33"/>
  <c r="K553" i="33"/>
  <c r="K554" i="33"/>
  <c r="K555" i="33"/>
  <c r="K556" i="33"/>
  <c r="K557" i="33"/>
  <c r="K558" i="33"/>
  <c r="K559" i="33"/>
  <c r="K560" i="33"/>
  <c r="K561" i="33"/>
  <c r="K562" i="33"/>
  <c r="K563" i="33"/>
  <c r="K564" i="33"/>
  <c r="K565" i="33"/>
  <c r="K566" i="33"/>
  <c r="K567" i="33"/>
  <c r="K568" i="33"/>
  <c r="K569" i="33"/>
  <c r="K570" i="33"/>
  <c r="K571" i="33"/>
  <c r="K572" i="33"/>
  <c r="K573" i="33"/>
  <c r="K574" i="33"/>
  <c r="K575" i="33"/>
  <c r="K576" i="33"/>
  <c r="K577" i="33"/>
  <c r="K578" i="33"/>
  <c r="K579" i="33"/>
  <c r="K580" i="33"/>
  <c r="K581" i="33"/>
  <c r="K582" i="33"/>
  <c r="K583" i="33"/>
  <c r="K584" i="33"/>
  <c r="K585" i="33"/>
  <c r="K586" i="33"/>
  <c r="K587" i="33"/>
  <c r="K588" i="33"/>
  <c r="K589" i="33"/>
  <c r="K590" i="33"/>
  <c r="K591" i="33"/>
  <c r="K592" i="33"/>
  <c r="K593" i="33"/>
  <c r="K594" i="33"/>
  <c r="K595" i="33"/>
  <c r="K596" i="33"/>
  <c r="K597" i="33"/>
  <c r="K598" i="33"/>
  <c r="K599" i="33"/>
  <c r="K600" i="33"/>
  <c r="K601" i="33"/>
  <c r="K602" i="33"/>
  <c r="K603" i="33"/>
  <c r="K604" i="33"/>
  <c r="K605" i="33"/>
  <c r="K606" i="33"/>
  <c r="K607" i="33"/>
  <c r="K608" i="33"/>
  <c r="K609" i="33"/>
  <c r="K610" i="33"/>
  <c r="K611" i="33"/>
  <c r="K612" i="33"/>
  <c r="K613" i="33"/>
  <c r="K614" i="33"/>
  <c r="K615" i="33"/>
  <c r="K616" i="33"/>
  <c r="K617" i="33"/>
  <c r="K618" i="33"/>
  <c r="K619" i="33"/>
  <c r="K620" i="33"/>
  <c r="K621" i="33"/>
  <c r="K622" i="33"/>
  <c r="K623" i="33"/>
  <c r="K624" i="33"/>
  <c r="K625" i="33"/>
  <c r="K626" i="33"/>
  <c r="K627" i="33"/>
  <c r="K628" i="33"/>
  <c r="K629" i="33"/>
  <c r="K630" i="33"/>
  <c r="K631" i="33"/>
  <c r="K632" i="33"/>
  <c r="K633" i="33"/>
  <c r="K634" i="33"/>
  <c r="K635" i="33"/>
  <c r="K636" i="33"/>
  <c r="K637" i="33"/>
  <c r="K638" i="33"/>
  <c r="K639" i="33"/>
  <c r="K640" i="33"/>
  <c r="K641" i="33"/>
  <c r="K642" i="33"/>
  <c r="K643" i="33"/>
  <c r="K644" i="33"/>
  <c r="K645" i="33"/>
  <c r="K646" i="33"/>
  <c r="K647" i="33"/>
  <c r="K648" i="33"/>
  <c r="K649" i="33"/>
  <c r="K650" i="33"/>
  <c r="K651" i="33"/>
  <c r="K652" i="33"/>
  <c r="K653" i="33"/>
  <c r="K654" i="33"/>
  <c r="K655" i="33"/>
  <c r="K656" i="33"/>
  <c r="K657" i="33"/>
  <c r="K658" i="33"/>
  <c r="K659" i="33"/>
  <c r="K660" i="33"/>
  <c r="K661" i="33"/>
  <c r="K662" i="33"/>
  <c r="K663" i="33"/>
  <c r="K664" i="33"/>
  <c r="K665" i="33"/>
  <c r="K666" i="33"/>
  <c r="K667" i="33"/>
  <c r="K668" i="33"/>
  <c r="K669" i="33"/>
  <c r="K670" i="33"/>
  <c r="K671" i="33"/>
  <c r="K672" i="33"/>
  <c r="K673" i="33"/>
  <c r="K674" i="33"/>
  <c r="K675" i="33"/>
  <c r="K676" i="33"/>
  <c r="K677" i="33"/>
  <c r="K678" i="33"/>
  <c r="K679" i="33"/>
  <c r="K680" i="33"/>
  <c r="K681" i="33"/>
  <c r="K682" i="33"/>
  <c r="K683" i="33"/>
  <c r="K684" i="33"/>
  <c r="K685" i="33"/>
  <c r="K686" i="33"/>
  <c r="K687" i="33"/>
  <c r="K688" i="33"/>
  <c r="K689" i="33"/>
  <c r="K690" i="33"/>
  <c r="K691" i="33"/>
  <c r="K692" i="33"/>
  <c r="K693" i="33"/>
  <c r="K694" i="33"/>
  <c r="K695" i="33"/>
  <c r="K696" i="33"/>
  <c r="K697" i="33"/>
  <c r="K698" i="33"/>
  <c r="K699" i="33"/>
  <c r="K700" i="33"/>
  <c r="K701" i="33"/>
  <c r="K702" i="33"/>
  <c r="K703" i="33"/>
  <c r="K704" i="33"/>
  <c r="K705" i="33"/>
  <c r="K706" i="33"/>
  <c r="K707" i="33"/>
  <c r="K708" i="33"/>
  <c r="K709" i="33"/>
  <c r="K710" i="33"/>
  <c r="K711" i="33"/>
  <c r="K712" i="33"/>
  <c r="K713" i="33"/>
  <c r="K714" i="33"/>
  <c r="K715" i="33"/>
  <c r="K716" i="33"/>
  <c r="K717" i="33"/>
  <c r="K718" i="33"/>
  <c r="K719" i="33"/>
  <c r="K720" i="33"/>
  <c r="K721" i="33"/>
  <c r="K722" i="33"/>
  <c r="K723" i="33"/>
  <c r="K724" i="33"/>
  <c r="K725" i="33"/>
  <c r="K726" i="33"/>
  <c r="K727" i="33"/>
  <c r="K728" i="33"/>
  <c r="K729" i="33"/>
  <c r="K730" i="33"/>
  <c r="K731" i="33"/>
  <c r="K732" i="33"/>
  <c r="K733" i="33"/>
  <c r="K734" i="33"/>
  <c r="K735" i="33"/>
  <c r="K736" i="33"/>
  <c r="K737" i="33"/>
  <c r="K738" i="33"/>
  <c r="K739" i="33"/>
  <c r="K740" i="33"/>
  <c r="K741" i="33"/>
  <c r="K742" i="33"/>
  <c r="K743" i="33"/>
  <c r="K744" i="33"/>
  <c r="K745" i="33"/>
  <c r="K746" i="33"/>
  <c r="K747" i="33"/>
  <c r="K748" i="33"/>
  <c r="K749" i="33"/>
  <c r="K750" i="33"/>
  <c r="K751" i="33"/>
  <c r="K752" i="33"/>
  <c r="K753" i="33"/>
  <c r="K754" i="33"/>
  <c r="K755" i="33"/>
  <c r="K756" i="33"/>
  <c r="K757" i="33"/>
  <c r="K758" i="33"/>
  <c r="K759" i="33"/>
  <c r="K760" i="33"/>
  <c r="K761" i="33"/>
  <c r="K762" i="33"/>
  <c r="K763" i="33"/>
  <c r="K764" i="33"/>
  <c r="K765" i="33"/>
  <c r="K766" i="33"/>
  <c r="K767" i="33"/>
  <c r="K768" i="33"/>
  <c r="K769" i="33"/>
  <c r="K770" i="33"/>
  <c r="K771" i="33"/>
  <c r="K772" i="33"/>
  <c r="K773" i="33"/>
  <c r="K774" i="33"/>
  <c r="K775" i="33"/>
  <c r="K776" i="33"/>
  <c r="K777" i="33"/>
  <c r="K778" i="33"/>
  <c r="K779" i="33"/>
  <c r="K780" i="33"/>
  <c r="K781" i="33"/>
  <c r="K782" i="33"/>
  <c r="K783" i="33"/>
  <c r="K784" i="33"/>
  <c r="K785" i="33"/>
  <c r="K786" i="33"/>
  <c r="K787" i="33"/>
  <c r="K788" i="33"/>
  <c r="K789" i="33"/>
  <c r="K790" i="33"/>
  <c r="K791" i="33"/>
  <c r="K792" i="33"/>
  <c r="K793" i="33"/>
  <c r="K794" i="33"/>
  <c r="K795" i="33"/>
  <c r="K796" i="33"/>
  <c r="K797" i="33"/>
  <c r="K798" i="33"/>
  <c r="K799" i="33"/>
  <c r="K800" i="33"/>
  <c r="K801" i="33"/>
  <c r="K802" i="33"/>
  <c r="K803" i="33"/>
  <c r="K804" i="33"/>
  <c r="K805" i="33"/>
  <c r="K806" i="33"/>
  <c r="K807" i="33"/>
  <c r="K808" i="33"/>
  <c r="K809" i="33"/>
  <c r="K810" i="33"/>
  <c r="K811" i="33"/>
  <c r="K812" i="33"/>
  <c r="K813" i="33"/>
  <c r="K814" i="33"/>
  <c r="K815" i="33"/>
  <c r="K816" i="33"/>
  <c r="K817" i="33"/>
  <c r="K818" i="33"/>
  <c r="K819" i="33"/>
  <c r="K820" i="33"/>
  <c r="K821" i="33"/>
  <c r="K822" i="33"/>
  <c r="K823" i="33"/>
  <c r="K824" i="33"/>
  <c r="K825" i="33"/>
  <c r="K826" i="33"/>
  <c r="K827" i="33"/>
  <c r="K828" i="33"/>
  <c r="K829" i="33"/>
  <c r="K830" i="33"/>
  <c r="K831" i="33"/>
  <c r="K832" i="33"/>
  <c r="K833" i="33"/>
  <c r="K834" i="33"/>
  <c r="K835" i="33"/>
  <c r="K836" i="33"/>
  <c r="K837" i="33"/>
  <c r="K838" i="33"/>
  <c r="K839" i="33"/>
  <c r="K840" i="33"/>
  <c r="K841" i="33"/>
  <c r="K842" i="33"/>
  <c r="K843" i="33"/>
  <c r="K844" i="33"/>
  <c r="K845" i="33"/>
  <c r="K846" i="33"/>
  <c r="K847" i="33"/>
  <c r="K848" i="33"/>
  <c r="K849" i="33"/>
  <c r="K850" i="33"/>
  <c r="K851" i="33"/>
  <c r="K852" i="33"/>
  <c r="K853" i="33"/>
  <c r="K854" i="33"/>
  <c r="K855" i="33"/>
  <c r="K856" i="33"/>
  <c r="K857" i="33"/>
  <c r="K858" i="33"/>
  <c r="K859" i="33"/>
  <c r="K860" i="33"/>
  <c r="K861" i="33"/>
  <c r="K862" i="33"/>
  <c r="K863" i="33"/>
  <c r="K864" i="33"/>
  <c r="K865" i="33"/>
  <c r="K866" i="33"/>
  <c r="K867" i="33"/>
  <c r="K868" i="33"/>
  <c r="K869" i="33"/>
  <c r="K870" i="33"/>
  <c r="K871" i="33"/>
  <c r="K872" i="33"/>
  <c r="K873" i="33"/>
  <c r="K874" i="33"/>
  <c r="K875" i="33"/>
  <c r="K876" i="33"/>
  <c r="K877" i="33"/>
  <c r="K878" i="33"/>
  <c r="K879" i="33"/>
  <c r="K880" i="33"/>
  <c r="K881" i="33"/>
  <c r="K882" i="33"/>
  <c r="K883" i="33"/>
  <c r="K884" i="33"/>
  <c r="K885" i="33"/>
  <c r="K886" i="33"/>
  <c r="K887" i="33"/>
  <c r="K888" i="33"/>
  <c r="K889" i="33"/>
  <c r="K890" i="33"/>
  <c r="K891" i="33"/>
  <c r="K892" i="33"/>
  <c r="K893" i="33"/>
  <c r="K894" i="33"/>
  <c r="K895" i="33"/>
  <c r="K896" i="33"/>
  <c r="K897" i="33"/>
  <c r="K898" i="33"/>
  <c r="K899" i="33"/>
  <c r="K900" i="33"/>
  <c r="K901" i="33"/>
  <c r="K902" i="33"/>
  <c r="K903" i="33"/>
  <c r="K904" i="33"/>
  <c r="K905" i="33"/>
  <c r="K906" i="33"/>
  <c r="K907" i="33"/>
  <c r="K908" i="33"/>
  <c r="K909" i="33"/>
  <c r="K910" i="33"/>
  <c r="K911" i="33"/>
  <c r="K912" i="33"/>
  <c r="K913" i="33"/>
  <c r="K914" i="33"/>
  <c r="K915" i="33"/>
  <c r="K916" i="33"/>
  <c r="K917" i="33"/>
  <c r="K918" i="33"/>
  <c r="K919" i="33"/>
  <c r="K920" i="33"/>
  <c r="K921" i="33"/>
  <c r="K922" i="33"/>
  <c r="K923" i="33"/>
  <c r="K924" i="33"/>
  <c r="K925" i="33"/>
  <c r="K926" i="33"/>
  <c r="K927" i="33"/>
  <c r="K928" i="33"/>
  <c r="K929" i="33"/>
  <c r="K930" i="33"/>
  <c r="K931" i="33"/>
  <c r="K932" i="33"/>
  <c r="K933" i="33"/>
  <c r="K934" i="33"/>
  <c r="K935" i="33"/>
  <c r="K936" i="33"/>
  <c r="K937" i="33"/>
  <c r="K938" i="33"/>
  <c r="K939" i="33"/>
  <c r="K940" i="33"/>
  <c r="K941" i="33"/>
  <c r="K942" i="33"/>
  <c r="K943" i="33"/>
  <c r="K944" i="33"/>
  <c r="K945" i="33"/>
  <c r="K946" i="33"/>
  <c r="K947" i="33"/>
  <c r="K948" i="33"/>
  <c r="K949" i="33"/>
  <c r="K950" i="33"/>
  <c r="K951" i="33"/>
  <c r="K952" i="33"/>
  <c r="K953" i="33"/>
  <c r="K954" i="33"/>
  <c r="K955" i="33"/>
  <c r="K956" i="33"/>
  <c r="K957" i="33"/>
  <c r="K958" i="33"/>
  <c r="K959" i="33"/>
  <c r="K960" i="33"/>
  <c r="K961" i="33"/>
  <c r="K962" i="33"/>
  <c r="K963" i="33"/>
  <c r="K964" i="33"/>
  <c r="K965" i="33"/>
  <c r="K966" i="33"/>
  <c r="K967" i="33"/>
  <c r="K968" i="33"/>
  <c r="K969" i="33"/>
  <c r="K970" i="33"/>
  <c r="K971" i="33"/>
  <c r="K972" i="33"/>
  <c r="K973" i="33"/>
  <c r="K974" i="33"/>
  <c r="K975" i="33"/>
  <c r="K976" i="33"/>
  <c r="K977" i="33"/>
  <c r="K978" i="33"/>
  <c r="K979" i="33"/>
  <c r="K980" i="33"/>
  <c r="K981" i="33"/>
  <c r="J7" i="33"/>
  <c r="J8" i="33"/>
  <c r="J9" i="33"/>
  <c r="J10" i="33"/>
  <c r="J11" i="33"/>
  <c r="J12" i="33"/>
  <c r="J13" i="33"/>
  <c r="J14" i="33"/>
  <c r="J15" i="33"/>
  <c r="J16" i="33"/>
  <c r="J17" i="33"/>
  <c r="J18" i="33"/>
  <c r="J19" i="33"/>
  <c r="J20" i="33"/>
  <c r="J21" i="33"/>
  <c r="J22" i="33"/>
  <c r="J23" i="33"/>
  <c r="J24" i="33"/>
  <c r="J25" i="33"/>
  <c r="J26" i="33"/>
  <c r="J27" i="33"/>
  <c r="J28" i="33"/>
  <c r="J29" i="33"/>
  <c r="J30" i="33"/>
  <c r="J31" i="33"/>
  <c r="J32" i="33"/>
  <c r="J33" i="33"/>
  <c r="J34" i="33"/>
  <c r="J35" i="33"/>
  <c r="J36" i="33"/>
  <c r="J37" i="33"/>
  <c r="J38" i="33"/>
  <c r="J39" i="33"/>
  <c r="J40" i="33"/>
  <c r="J41" i="33"/>
  <c r="J42" i="33"/>
  <c r="J43" i="33"/>
  <c r="J44" i="33"/>
  <c r="J45" i="33"/>
  <c r="J46" i="33"/>
  <c r="J47" i="33"/>
  <c r="J48" i="33"/>
  <c r="J49" i="33"/>
  <c r="J50" i="33"/>
  <c r="J51" i="33"/>
  <c r="J52" i="33"/>
  <c r="J53" i="33"/>
  <c r="J54" i="33"/>
  <c r="J55" i="33"/>
  <c r="J56" i="33"/>
  <c r="J57" i="33"/>
  <c r="J58" i="33"/>
  <c r="J59" i="33"/>
  <c r="J60" i="33"/>
  <c r="J61" i="33"/>
  <c r="J62" i="33"/>
  <c r="J63" i="33"/>
  <c r="J64" i="33"/>
  <c r="J65" i="33"/>
  <c r="J66" i="33"/>
  <c r="J67" i="33"/>
  <c r="J68" i="33"/>
  <c r="J69" i="33"/>
  <c r="J70" i="33"/>
  <c r="J71" i="33"/>
  <c r="J72" i="33"/>
  <c r="J73" i="33"/>
  <c r="J74" i="33"/>
  <c r="J75" i="33"/>
  <c r="J76" i="33"/>
  <c r="J77" i="33"/>
  <c r="J78" i="33"/>
  <c r="J79" i="33"/>
  <c r="J80" i="33"/>
  <c r="J81" i="33"/>
  <c r="J82" i="33"/>
  <c r="J83" i="33"/>
  <c r="J84" i="33"/>
  <c r="J85" i="33"/>
  <c r="J86" i="33"/>
  <c r="J87" i="33"/>
  <c r="J88" i="33"/>
  <c r="J89" i="33"/>
  <c r="J90" i="33"/>
  <c r="J91" i="33"/>
  <c r="J92" i="33"/>
  <c r="J93" i="33"/>
  <c r="J94" i="33"/>
  <c r="J95" i="33"/>
  <c r="J96" i="33"/>
  <c r="J97" i="33"/>
  <c r="J98" i="33"/>
  <c r="J99" i="33"/>
  <c r="J100" i="33"/>
  <c r="J101" i="33"/>
  <c r="J102" i="33"/>
  <c r="J103" i="33"/>
  <c r="J104" i="33"/>
  <c r="J105" i="33"/>
  <c r="J106" i="33"/>
  <c r="J107" i="33"/>
  <c r="J108" i="33"/>
  <c r="J109" i="33"/>
  <c r="J110" i="33"/>
  <c r="J111" i="33"/>
  <c r="J112" i="33"/>
  <c r="J113" i="33"/>
  <c r="J114" i="33"/>
  <c r="J115" i="33"/>
  <c r="J116" i="33"/>
  <c r="J117" i="33"/>
  <c r="J118" i="33"/>
  <c r="J119" i="33"/>
  <c r="J120" i="33"/>
  <c r="J121" i="33"/>
  <c r="J122" i="33"/>
  <c r="J123" i="33"/>
  <c r="J124" i="33"/>
  <c r="J125" i="33"/>
  <c r="J126" i="33"/>
  <c r="J127" i="33"/>
  <c r="J128" i="33"/>
  <c r="J129" i="33"/>
  <c r="J130" i="33"/>
  <c r="J131" i="33"/>
  <c r="J132" i="33"/>
  <c r="J133" i="33"/>
  <c r="J134" i="33"/>
  <c r="J135" i="33"/>
  <c r="J136" i="33"/>
  <c r="J137" i="33"/>
  <c r="J138" i="33"/>
  <c r="J139" i="33"/>
  <c r="J140" i="33"/>
  <c r="J141" i="33"/>
  <c r="J142" i="33"/>
  <c r="J143" i="33"/>
  <c r="J144" i="33"/>
  <c r="J145" i="33"/>
  <c r="J146" i="33"/>
  <c r="J147" i="33"/>
  <c r="J148" i="33"/>
  <c r="J149" i="33"/>
  <c r="J150" i="33"/>
  <c r="J151" i="33"/>
  <c r="J152" i="33"/>
  <c r="J153" i="33"/>
  <c r="J154" i="33"/>
  <c r="J155" i="33"/>
  <c r="J156" i="33"/>
  <c r="J157" i="33"/>
  <c r="J158" i="33"/>
  <c r="J159" i="33"/>
  <c r="J160" i="33"/>
  <c r="J161" i="33"/>
  <c r="J162" i="33"/>
  <c r="J163" i="33"/>
  <c r="J164" i="33"/>
  <c r="J165" i="33"/>
  <c r="J166" i="33"/>
  <c r="J167" i="33"/>
  <c r="J168" i="33"/>
  <c r="J169" i="33"/>
  <c r="J170" i="33"/>
  <c r="J171" i="33"/>
  <c r="J172" i="33"/>
  <c r="J173" i="33"/>
  <c r="J174" i="33"/>
  <c r="J175" i="33"/>
  <c r="J176" i="33"/>
  <c r="J177" i="33"/>
  <c r="J178" i="33"/>
  <c r="J179" i="33"/>
  <c r="J180" i="33"/>
  <c r="J181" i="33"/>
  <c r="J182" i="33"/>
  <c r="J183" i="33"/>
  <c r="J184" i="33"/>
  <c r="J185" i="33"/>
  <c r="J186" i="33"/>
  <c r="J187" i="33"/>
  <c r="J188" i="33"/>
  <c r="J189" i="33"/>
  <c r="J190" i="33"/>
  <c r="J191" i="33"/>
  <c r="J192" i="33"/>
  <c r="J193" i="33"/>
  <c r="J194" i="33"/>
  <c r="J195" i="33"/>
  <c r="J196" i="33"/>
  <c r="J197" i="33"/>
  <c r="J198" i="33"/>
  <c r="J199" i="33"/>
  <c r="J200" i="33"/>
  <c r="J201" i="33"/>
  <c r="J202" i="33"/>
  <c r="J203" i="33"/>
  <c r="J204" i="33"/>
  <c r="J205" i="33"/>
  <c r="J206" i="33"/>
  <c r="J207" i="33"/>
  <c r="J208" i="33"/>
  <c r="J209" i="33"/>
  <c r="J210" i="33"/>
  <c r="J211" i="33"/>
  <c r="J212" i="33"/>
  <c r="J213" i="33"/>
  <c r="J214" i="33"/>
  <c r="J215" i="33"/>
  <c r="J216" i="33"/>
  <c r="J217" i="33"/>
  <c r="J218" i="33"/>
  <c r="J219" i="33"/>
  <c r="J220" i="33"/>
  <c r="J221" i="33"/>
  <c r="J222" i="33"/>
  <c r="J223" i="33"/>
  <c r="J224" i="33"/>
  <c r="J225" i="33"/>
  <c r="J226" i="33"/>
  <c r="J227" i="33"/>
  <c r="J228" i="33"/>
  <c r="J229" i="33"/>
  <c r="J230" i="33"/>
  <c r="J231" i="33"/>
  <c r="J232" i="33"/>
  <c r="J233" i="33"/>
  <c r="J234" i="33"/>
  <c r="J235" i="33"/>
  <c r="J236" i="33"/>
  <c r="J237" i="33"/>
  <c r="J238" i="33"/>
  <c r="J239" i="33"/>
  <c r="J240" i="33"/>
  <c r="J241" i="33"/>
  <c r="J242" i="33"/>
  <c r="J243" i="33"/>
  <c r="J244" i="33"/>
  <c r="J245" i="33"/>
  <c r="J246" i="33"/>
  <c r="J247" i="33"/>
  <c r="J248" i="33"/>
  <c r="J249" i="33"/>
  <c r="J250" i="33"/>
  <c r="J251" i="33"/>
  <c r="J252" i="33"/>
  <c r="J253" i="33"/>
  <c r="J254" i="33"/>
  <c r="J255" i="33"/>
  <c r="J256" i="33"/>
  <c r="J257" i="33"/>
  <c r="J258" i="33"/>
  <c r="J259" i="33"/>
  <c r="J260" i="33"/>
  <c r="J261" i="33"/>
  <c r="J262" i="33"/>
  <c r="J263" i="33"/>
  <c r="J264" i="33"/>
  <c r="J265" i="33"/>
  <c r="J266" i="33"/>
  <c r="J267" i="33"/>
  <c r="J268" i="33"/>
  <c r="J269" i="33"/>
  <c r="J270" i="33"/>
  <c r="J271" i="33"/>
  <c r="J272" i="33"/>
  <c r="J273" i="33"/>
  <c r="J274" i="33"/>
  <c r="J275" i="33"/>
  <c r="J276" i="33"/>
  <c r="J277" i="33"/>
  <c r="J278" i="33"/>
  <c r="J279" i="33"/>
  <c r="J280" i="33"/>
  <c r="J281" i="33"/>
  <c r="J282" i="33"/>
  <c r="J283" i="33"/>
  <c r="J284" i="33"/>
  <c r="J285" i="33"/>
  <c r="J286" i="33"/>
  <c r="J287" i="33"/>
  <c r="J288" i="33"/>
  <c r="J289" i="33"/>
  <c r="J290" i="33"/>
  <c r="J291" i="33"/>
  <c r="J292" i="33"/>
  <c r="J293" i="33"/>
  <c r="J294" i="33"/>
  <c r="J295" i="33"/>
  <c r="J296" i="33"/>
  <c r="J297" i="33"/>
  <c r="J298" i="33"/>
  <c r="J299" i="33"/>
  <c r="J300" i="33"/>
  <c r="J301" i="33"/>
  <c r="J302" i="33"/>
  <c r="J303" i="33"/>
  <c r="J304" i="33"/>
  <c r="J305" i="33"/>
  <c r="J306" i="33"/>
  <c r="J307" i="33"/>
  <c r="J308" i="33"/>
  <c r="J309" i="33"/>
  <c r="J310" i="33"/>
  <c r="J311" i="33"/>
  <c r="J312" i="33"/>
  <c r="J313" i="33"/>
  <c r="J314" i="33"/>
  <c r="J315" i="33"/>
  <c r="J316" i="33"/>
  <c r="J317" i="33"/>
  <c r="J318" i="33"/>
  <c r="J319" i="33"/>
  <c r="J320" i="33"/>
  <c r="J321" i="33"/>
  <c r="J322" i="33"/>
  <c r="J323" i="33"/>
  <c r="J324" i="33"/>
  <c r="J325" i="33"/>
  <c r="J326" i="33"/>
  <c r="J327" i="33"/>
  <c r="J328" i="33"/>
  <c r="J329" i="33"/>
  <c r="J330" i="33"/>
  <c r="J331" i="33"/>
  <c r="J332" i="33"/>
  <c r="J333" i="33"/>
  <c r="J334" i="33"/>
  <c r="J335" i="33"/>
  <c r="J336" i="33"/>
  <c r="J337" i="33"/>
  <c r="J338" i="33"/>
  <c r="J339" i="33"/>
  <c r="J340" i="33"/>
  <c r="J341" i="33"/>
  <c r="J342" i="33"/>
  <c r="J343" i="33"/>
  <c r="J344" i="33"/>
  <c r="J345" i="33"/>
  <c r="J346" i="33"/>
  <c r="J347" i="33"/>
  <c r="J348" i="33"/>
  <c r="J349" i="33"/>
  <c r="J350" i="33"/>
  <c r="J351" i="33"/>
  <c r="J352" i="33"/>
  <c r="J353" i="33"/>
  <c r="J354" i="33"/>
  <c r="J355" i="33"/>
  <c r="J356" i="33"/>
  <c r="J357" i="33"/>
  <c r="J358" i="33"/>
  <c r="J359" i="33"/>
  <c r="J360" i="33"/>
  <c r="J361" i="33"/>
  <c r="J362" i="33"/>
  <c r="J363" i="33"/>
  <c r="J364" i="33"/>
  <c r="J365" i="33"/>
  <c r="J366" i="33"/>
  <c r="J367" i="33"/>
  <c r="J368" i="33"/>
  <c r="J369" i="33"/>
  <c r="J370" i="33"/>
  <c r="J371" i="33"/>
  <c r="J372" i="33"/>
  <c r="J373" i="33"/>
  <c r="J374" i="33"/>
  <c r="J375" i="33"/>
  <c r="J376" i="33"/>
  <c r="J377" i="33"/>
  <c r="J378" i="33"/>
  <c r="J379" i="33"/>
  <c r="J380" i="33"/>
  <c r="J381" i="33"/>
  <c r="J382" i="33"/>
  <c r="J383" i="33"/>
  <c r="J384" i="33"/>
  <c r="J385" i="33"/>
  <c r="J386" i="33"/>
  <c r="J387" i="33"/>
  <c r="J388" i="33"/>
  <c r="J389" i="33"/>
  <c r="J390" i="33"/>
  <c r="J391" i="33"/>
  <c r="J392" i="33"/>
  <c r="J393" i="33"/>
  <c r="J394" i="33"/>
  <c r="J395" i="33"/>
  <c r="J396" i="33"/>
  <c r="J397" i="33"/>
  <c r="J398" i="33"/>
  <c r="J399" i="33"/>
  <c r="J400" i="33"/>
  <c r="J401" i="33"/>
  <c r="J402" i="33"/>
  <c r="J403" i="33"/>
  <c r="J404" i="33"/>
  <c r="J405" i="33"/>
  <c r="J406" i="33"/>
  <c r="J407" i="33"/>
  <c r="J408" i="33"/>
  <c r="J409" i="33"/>
  <c r="J410" i="33"/>
  <c r="J411" i="33"/>
  <c r="J412" i="33"/>
  <c r="J413" i="33"/>
  <c r="J414" i="33"/>
  <c r="J415" i="33"/>
  <c r="J416" i="33"/>
  <c r="J417" i="33"/>
  <c r="J418" i="33"/>
  <c r="J419" i="33"/>
  <c r="J420" i="33"/>
  <c r="J421" i="33"/>
  <c r="J422" i="33"/>
  <c r="J423" i="33"/>
  <c r="J424" i="33"/>
  <c r="J425" i="33"/>
  <c r="J426" i="33"/>
  <c r="J427" i="33"/>
  <c r="J428" i="33"/>
  <c r="J429" i="33"/>
  <c r="J430" i="33"/>
  <c r="J431" i="33"/>
  <c r="J432" i="33"/>
  <c r="J433" i="33"/>
  <c r="J434" i="33"/>
  <c r="J435" i="33"/>
  <c r="J436" i="33"/>
  <c r="J437" i="33"/>
  <c r="J438" i="33"/>
  <c r="J439" i="33"/>
  <c r="J440" i="33"/>
  <c r="J441" i="33"/>
  <c r="J442" i="33"/>
  <c r="J443" i="33"/>
  <c r="J444" i="33"/>
  <c r="J445" i="33"/>
  <c r="J446" i="33"/>
  <c r="J447" i="33"/>
  <c r="J448" i="33"/>
  <c r="J449" i="33"/>
  <c r="J450" i="33"/>
  <c r="J451" i="33"/>
  <c r="J452" i="33"/>
  <c r="J453" i="33"/>
  <c r="J454" i="33"/>
  <c r="J455" i="33"/>
  <c r="J456" i="33"/>
  <c r="J457" i="33"/>
  <c r="J458" i="33"/>
  <c r="J459" i="33"/>
  <c r="J460" i="33"/>
  <c r="J461" i="33"/>
  <c r="J462" i="33"/>
  <c r="J463" i="33"/>
  <c r="J464" i="33"/>
  <c r="J465" i="33"/>
  <c r="J466" i="33"/>
  <c r="J467" i="33"/>
  <c r="J468" i="33"/>
  <c r="J469" i="33"/>
  <c r="J470" i="33"/>
  <c r="J471" i="33"/>
  <c r="J472" i="33"/>
  <c r="J473" i="33"/>
  <c r="J474" i="33"/>
  <c r="J475" i="33"/>
  <c r="J476" i="33"/>
  <c r="J477" i="33"/>
  <c r="J478" i="33"/>
  <c r="J479" i="33"/>
  <c r="J480" i="33"/>
  <c r="J481" i="33"/>
  <c r="J482" i="33"/>
  <c r="J483" i="33"/>
  <c r="J484" i="33"/>
  <c r="J485" i="33"/>
  <c r="J486" i="33"/>
  <c r="J487" i="33"/>
  <c r="J488" i="33"/>
  <c r="J489" i="33"/>
  <c r="J490" i="33"/>
  <c r="J491" i="33"/>
  <c r="J492" i="33"/>
  <c r="J493" i="33"/>
  <c r="J494" i="33"/>
  <c r="J495" i="33"/>
  <c r="J496" i="33"/>
  <c r="J497" i="33"/>
  <c r="J498" i="33"/>
  <c r="J499" i="33"/>
  <c r="J500" i="33"/>
  <c r="J501" i="33"/>
  <c r="J502" i="33"/>
  <c r="J503" i="33"/>
  <c r="J504" i="33"/>
  <c r="J505" i="33"/>
  <c r="J506" i="33"/>
  <c r="J507" i="33"/>
  <c r="J508" i="33"/>
  <c r="J509" i="33"/>
  <c r="J510" i="33"/>
  <c r="J511" i="33"/>
  <c r="J512" i="33"/>
  <c r="J513" i="33"/>
  <c r="J514" i="33"/>
  <c r="J515" i="33"/>
  <c r="J516" i="33"/>
  <c r="J517" i="33"/>
  <c r="J518" i="33"/>
  <c r="J519" i="33"/>
  <c r="J520" i="33"/>
  <c r="J521" i="33"/>
  <c r="J522" i="33"/>
  <c r="J523" i="33"/>
  <c r="J524" i="33"/>
  <c r="J525" i="33"/>
  <c r="J526" i="33"/>
  <c r="J527" i="33"/>
  <c r="J528" i="33"/>
  <c r="J529" i="33"/>
  <c r="J530" i="33"/>
  <c r="J531" i="33"/>
  <c r="J532" i="33"/>
  <c r="J533" i="33"/>
  <c r="J534" i="33"/>
  <c r="J535" i="33"/>
  <c r="J536" i="33"/>
  <c r="J537" i="33"/>
  <c r="J538" i="33"/>
  <c r="J539" i="33"/>
  <c r="J540" i="33"/>
  <c r="J541" i="33"/>
  <c r="J542" i="33"/>
  <c r="J543" i="33"/>
  <c r="J544" i="33"/>
  <c r="J545" i="33"/>
  <c r="J546" i="33"/>
  <c r="J547" i="33"/>
  <c r="J548" i="33"/>
  <c r="J549" i="33"/>
  <c r="J550" i="33"/>
  <c r="J551" i="33"/>
  <c r="J552" i="33"/>
  <c r="J553" i="33"/>
  <c r="J554" i="33"/>
  <c r="J555" i="33"/>
  <c r="J556" i="33"/>
  <c r="J557" i="33"/>
  <c r="J558" i="33"/>
  <c r="J559" i="33"/>
  <c r="J560" i="33"/>
  <c r="J561" i="33"/>
  <c r="J562" i="33"/>
  <c r="J563" i="33"/>
  <c r="J564" i="33"/>
  <c r="J565" i="33"/>
  <c r="J566" i="33"/>
  <c r="J567" i="33"/>
  <c r="J568" i="33"/>
  <c r="J569" i="33"/>
  <c r="J570" i="33"/>
  <c r="J571" i="33"/>
  <c r="J572" i="33"/>
  <c r="J573" i="33"/>
  <c r="J574" i="33"/>
  <c r="J575" i="33"/>
  <c r="J576" i="33"/>
  <c r="J577" i="33"/>
  <c r="J578" i="33"/>
  <c r="J579" i="33"/>
  <c r="J580" i="33"/>
  <c r="J581" i="33"/>
  <c r="J582" i="33"/>
  <c r="J583" i="33"/>
  <c r="J584" i="33"/>
  <c r="J585" i="33"/>
  <c r="J586" i="33"/>
  <c r="J587" i="33"/>
  <c r="J588" i="33"/>
  <c r="J589" i="33"/>
  <c r="J590" i="33"/>
  <c r="J591" i="33"/>
  <c r="J592" i="33"/>
  <c r="J593" i="33"/>
  <c r="J594" i="33"/>
  <c r="J595" i="33"/>
  <c r="J596" i="33"/>
  <c r="J597" i="33"/>
  <c r="J598" i="33"/>
  <c r="J599" i="33"/>
  <c r="J600" i="33"/>
  <c r="J601" i="33"/>
  <c r="J602" i="33"/>
  <c r="J603" i="33"/>
  <c r="J604" i="33"/>
  <c r="J605" i="33"/>
  <c r="J606" i="33"/>
  <c r="J607" i="33"/>
  <c r="J608" i="33"/>
  <c r="J609" i="33"/>
  <c r="J610" i="33"/>
  <c r="J611" i="33"/>
  <c r="J612" i="33"/>
  <c r="J613" i="33"/>
  <c r="J614" i="33"/>
  <c r="J615" i="33"/>
  <c r="J616" i="33"/>
  <c r="J617" i="33"/>
  <c r="J618" i="33"/>
  <c r="J619" i="33"/>
  <c r="J620" i="33"/>
  <c r="J621" i="33"/>
  <c r="J622" i="33"/>
  <c r="J623" i="33"/>
  <c r="J624" i="33"/>
  <c r="J625" i="33"/>
  <c r="J626" i="33"/>
  <c r="J627" i="33"/>
  <c r="J628" i="33"/>
  <c r="J629" i="33"/>
  <c r="J630" i="33"/>
  <c r="J631" i="33"/>
  <c r="J632" i="33"/>
  <c r="J633" i="33"/>
  <c r="J634" i="33"/>
  <c r="J635" i="33"/>
  <c r="J636" i="33"/>
  <c r="J637" i="33"/>
  <c r="J638" i="33"/>
  <c r="J639" i="33"/>
  <c r="J640" i="33"/>
  <c r="J641" i="33"/>
  <c r="J642" i="33"/>
  <c r="J643" i="33"/>
  <c r="J644" i="33"/>
  <c r="J645" i="33"/>
  <c r="J646" i="33"/>
  <c r="J647" i="33"/>
  <c r="J648" i="33"/>
  <c r="J649" i="33"/>
  <c r="J650" i="33"/>
  <c r="J651" i="33"/>
  <c r="J652" i="33"/>
  <c r="J653" i="33"/>
  <c r="J654" i="33"/>
  <c r="J655" i="33"/>
  <c r="J656" i="33"/>
  <c r="J657" i="33"/>
  <c r="J658" i="33"/>
  <c r="J659" i="33"/>
  <c r="J660" i="33"/>
  <c r="J661" i="33"/>
  <c r="J662" i="33"/>
  <c r="J663" i="33"/>
  <c r="J664" i="33"/>
  <c r="J665" i="33"/>
  <c r="J666" i="33"/>
  <c r="J667" i="33"/>
  <c r="J668" i="33"/>
  <c r="J669" i="33"/>
  <c r="J670" i="33"/>
  <c r="J671" i="33"/>
  <c r="J672" i="33"/>
  <c r="J673" i="33"/>
  <c r="J674" i="33"/>
  <c r="J675" i="33"/>
  <c r="J676" i="33"/>
  <c r="J677" i="33"/>
  <c r="J678" i="33"/>
  <c r="J679" i="33"/>
  <c r="J680" i="33"/>
  <c r="J681" i="33"/>
  <c r="J682" i="33"/>
  <c r="J683" i="33"/>
  <c r="J684" i="33"/>
  <c r="J685" i="33"/>
  <c r="J686" i="33"/>
  <c r="J687" i="33"/>
  <c r="J688" i="33"/>
  <c r="J689" i="33"/>
  <c r="J690" i="33"/>
  <c r="J691" i="33"/>
  <c r="J692" i="33"/>
  <c r="J693" i="33"/>
  <c r="J694" i="33"/>
  <c r="J695" i="33"/>
  <c r="J696" i="33"/>
  <c r="J697" i="33"/>
  <c r="J698" i="33"/>
  <c r="J699" i="33"/>
  <c r="J700" i="33"/>
  <c r="J701" i="33"/>
  <c r="J702" i="33"/>
  <c r="J703" i="33"/>
  <c r="J704" i="33"/>
  <c r="J705" i="33"/>
  <c r="J706" i="33"/>
  <c r="J707" i="33"/>
  <c r="J708" i="33"/>
  <c r="J709" i="33"/>
  <c r="J710" i="33"/>
  <c r="J711" i="33"/>
  <c r="J712" i="33"/>
  <c r="J713" i="33"/>
  <c r="J714" i="33"/>
  <c r="J715" i="33"/>
  <c r="J716" i="33"/>
  <c r="J717" i="33"/>
  <c r="J718" i="33"/>
  <c r="J719" i="33"/>
  <c r="J720" i="33"/>
  <c r="J721" i="33"/>
  <c r="J722" i="33"/>
  <c r="J723" i="33"/>
  <c r="J724" i="33"/>
  <c r="J725" i="33"/>
  <c r="J726" i="33"/>
  <c r="J727" i="33"/>
  <c r="J728" i="33"/>
  <c r="J729" i="33"/>
  <c r="J730" i="33"/>
  <c r="J731" i="33"/>
  <c r="J732" i="33"/>
  <c r="J733" i="33"/>
  <c r="J734" i="33"/>
  <c r="J735" i="33"/>
  <c r="J736" i="33"/>
  <c r="J737" i="33"/>
  <c r="J738" i="33"/>
  <c r="J739" i="33"/>
  <c r="J740" i="33"/>
  <c r="J741" i="33"/>
  <c r="J742" i="33"/>
  <c r="J743" i="33"/>
  <c r="J744" i="33"/>
  <c r="J745" i="33"/>
  <c r="J746" i="33"/>
  <c r="J747" i="33"/>
  <c r="J748" i="33"/>
  <c r="J749" i="33"/>
  <c r="J750" i="33"/>
  <c r="J751" i="33"/>
  <c r="J752" i="33"/>
  <c r="J753" i="33"/>
  <c r="J754" i="33"/>
  <c r="J755" i="33"/>
  <c r="J756" i="33"/>
  <c r="J757" i="33"/>
  <c r="J758" i="33"/>
  <c r="J759" i="33"/>
  <c r="J760" i="33"/>
  <c r="J761" i="33"/>
  <c r="J762" i="33"/>
  <c r="J763" i="33"/>
  <c r="J764" i="33"/>
  <c r="J765" i="33"/>
  <c r="J766" i="33"/>
  <c r="J767" i="33"/>
  <c r="J768" i="33"/>
  <c r="J769" i="33"/>
  <c r="J770" i="33"/>
  <c r="J771" i="33"/>
  <c r="J772" i="33"/>
  <c r="J773" i="33"/>
  <c r="J774" i="33"/>
  <c r="J775" i="33"/>
  <c r="J776" i="33"/>
  <c r="J777" i="33"/>
  <c r="J778" i="33"/>
  <c r="J779" i="33"/>
  <c r="J780" i="33"/>
  <c r="J781" i="33"/>
  <c r="J782" i="33"/>
  <c r="J783" i="33"/>
  <c r="J784" i="33"/>
  <c r="J785" i="33"/>
  <c r="J786" i="33"/>
  <c r="J787" i="33"/>
  <c r="J788" i="33"/>
  <c r="J789" i="33"/>
  <c r="J790" i="33"/>
  <c r="J791" i="33"/>
  <c r="J792" i="33"/>
  <c r="J793" i="33"/>
  <c r="J794" i="33"/>
  <c r="J795" i="33"/>
  <c r="J796" i="33"/>
  <c r="J797" i="33"/>
  <c r="J798" i="33"/>
  <c r="J799" i="33"/>
  <c r="J800" i="33"/>
  <c r="J801" i="33"/>
  <c r="J802" i="33"/>
  <c r="J803" i="33"/>
  <c r="J804" i="33"/>
  <c r="J805" i="33"/>
  <c r="J806" i="33"/>
  <c r="J807" i="33"/>
  <c r="J808" i="33"/>
  <c r="J809" i="33"/>
  <c r="J810" i="33"/>
  <c r="J811" i="33"/>
  <c r="J812" i="33"/>
  <c r="J813" i="33"/>
  <c r="J814" i="33"/>
  <c r="J815" i="33"/>
  <c r="J816" i="33"/>
  <c r="J817" i="33"/>
  <c r="J818" i="33"/>
  <c r="J819" i="33"/>
  <c r="J820" i="33"/>
  <c r="J821" i="33"/>
  <c r="J822" i="33"/>
  <c r="J823" i="33"/>
  <c r="J824" i="33"/>
  <c r="J825" i="33"/>
  <c r="J826" i="33"/>
  <c r="J827" i="33"/>
  <c r="J828" i="33"/>
  <c r="J829" i="33"/>
  <c r="J830" i="33"/>
  <c r="J831" i="33"/>
  <c r="J832" i="33"/>
  <c r="J833" i="33"/>
  <c r="J834" i="33"/>
  <c r="J835" i="33"/>
  <c r="J836" i="33"/>
  <c r="J837" i="33"/>
  <c r="J838" i="33"/>
  <c r="J839" i="33"/>
  <c r="J840" i="33"/>
  <c r="J841" i="33"/>
  <c r="J842" i="33"/>
  <c r="J843" i="33"/>
  <c r="J844" i="33"/>
  <c r="J845" i="33"/>
  <c r="J846" i="33"/>
  <c r="J847" i="33"/>
  <c r="J848" i="33"/>
  <c r="J849" i="33"/>
  <c r="J850" i="33"/>
  <c r="J851" i="33"/>
  <c r="J852" i="33"/>
  <c r="J853" i="33"/>
  <c r="J854" i="33"/>
  <c r="J855" i="33"/>
  <c r="J856" i="33"/>
  <c r="J857" i="33"/>
  <c r="J858" i="33"/>
  <c r="J859" i="33"/>
  <c r="J860" i="33"/>
  <c r="J861" i="33"/>
  <c r="J862" i="33"/>
  <c r="J863" i="33"/>
  <c r="J864" i="33"/>
  <c r="J865" i="33"/>
  <c r="J866" i="33"/>
  <c r="J867" i="33"/>
  <c r="J868" i="33"/>
  <c r="J869" i="33"/>
  <c r="J870" i="33"/>
  <c r="J871" i="33"/>
  <c r="J872" i="33"/>
  <c r="J873" i="33"/>
  <c r="J874" i="33"/>
  <c r="J875" i="33"/>
  <c r="J876" i="33"/>
  <c r="J877" i="33"/>
  <c r="J878" i="33"/>
  <c r="J879" i="33"/>
  <c r="J880" i="33"/>
  <c r="J881" i="33"/>
  <c r="J882" i="33"/>
  <c r="J883" i="33"/>
  <c r="J884" i="33"/>
  <c r="J885" i="33"/>
  <c r="J886" i="33"/>
  <c r="J887" i="33"/>
  <c r="J888" i="33"/>
  <c r="J889" i="33"/>
  <c r="J890" i="33"/>
  <c r="J891" i="33"/>
  <c r="J892" i="33"/>
  <c r="J893" i="33"/>
  <c r="J894" i="33"/>
  <c r="J895" i="33"/>
  <c r="J896" i="33"/>
  <c r="J897" i="33"/>
  <c r="J898" i="33"/>
  <c r="J899" i="33"/>
  <c r="J900" i="33"/>
  <c r="J901" i="33"/>
  <c r="J902" i="33"/>
  <c r="J903" i="33"/>
  <c r="J904" i="33"/>
  <c r="J905" i="33"/>
  <c r="J906" i="33"/>
  <c r="J907" i="33"/>
  <c r="J908" i="33"/>
  <c r="J909" i="33"/>
  <c r="J910" i="33"/>
  <c r="J911" i="33"/>
  <c r="J912" i="33"/>
  <c r="J913" i="33"/>
  <c r="J914" i="33"/>
  <c r="J915" i="33"/>
  <c r="J916" i="33"/>
  <c r="J917" i="33"/>
  <c r="J918" i="33"/>
  <c r="J919" i="33"/>
  <c r="J920" i="33"/>
  <c r="J921" i="33"/>
  <c r="J922" i="33"/>
  <c r="J923" i="33"/>
  <c r="J924" i="33"/>
  <c r="J925" i="33"/>
  <c r="J926" i="33"/>
  <c r="J927" i="33"/>
  <c r="J928" i="33"/>
  <c r="J929" i="33"/>
  <c r="J930" i="33"/>
  <c r="J931" i="33"/>
  <c r="J932" i="33"/>
  <c r="J933" i="33"/>
  <c r="J934" i="33"/>
  <c r="J935" i="33"/>
  <c r="J936" i="33"/>
  <c r="J937" i="33"/>
  <c r="J938" i="33"/>
  <c r="J939" i="33"/>
  <c r="J940" i="33"/>
  <c r="J941" i="33"/>
  <c r="J942" i="33"/>
  <c r="J943" i="33"/>
  <c r="J944" i="33"/>
  <c r="J945" i="33"/>
  <c r="J946" i="33"/>
  <c r="J947" i="33"/>
  <c r="J948" i="33"/>
  <c r="J949" i="33"/>
  <c r="J950" i="33"/>
  <c r="J951" i="33"/>
  <c r="J952" i="33"/>
  <c r="J953" i="33"/>
  <c r="J954" i="33"/>
  <c r="J955" i="33"/>
  <c r="J956" i="33"/>
  <c r="J957" i="33"/>
  <c r="J958" i="33"/>
  <c r="J959" i="33"/>
  <c r="J960" i="33"/>
  <c r="J961" i="33"/>
  <c r="J962" i="33"/>
  <c r="J963" i="33"/>
  <c r="J964" i="33"/>
  <c r="J965" i="33"/>
  <c r="J966" i="33"/>
  <c r="J967" i="33"/>
  <c r="J968" i="33"/>
  <c r="J969" i="33"/>
  <c r="J970" i="33"/>
  <c r="J971" i="33"/>
  <c r="J972" i="33"/>
  <c r="J973" i="33"/>
  <c r="J974" i="33"/>
  <c r="J975" i="33"/>
  <c r="J976" i="33"/>
  <c r="J977" i="33"/>
  <c r="J978" i="33"/>
  <c r="J979" i="33"/>
  <c r="J980" i="33"/>
  <c r="J981" i="33"/>
  <c r="E7" i="33"/>
  <c r="E8" i="33"/>
  <c r="E9" i="33"/>
  <c r="E10" i="33"/>
  <c r="E11" i="33"/>
  <c r="E12" i="33"/>
  <c r="E13" i="33"/>
  <c r="E14" i="33"/>
  <c r="E15" i="33"/>
  <c r="E16" i="33"/>
  <c r="E17" i="33"/>
  <c r="E18" i="33"/>
  <c r="E19" i="33"/>
  <c r="E20" i="33"/>
  <c r="E21" i="33"/>
  <c r="E22" i="33"/>
  <c r="E23" i="33"/>
  <c r="E24" i="33"/>
  <c r="E25" i="33"/>
  <c r="E26" i="33"/>
  <c r="E27" i="33"/>
  <c r="E28" i="33"/>
  <c r="E29" i="33"/>
  <c r="E30" i="33"/>
  <c r="E31" i="33"/>
  <c r="E32" i="33"/>
  <c r="E33" i="33"/>
  <c r="E34" i="33"/>
  <c r="E35" i="33"/>
  <c r="E36" i="33"/>
  <c r="E37" i="33"/>
  <c r="E38" i="33"/>
  <c r="E39" i="33"/>
  <c r="E41" i="33"/>
  <c r="E44" i="33"/>
  <c r="E45" i="33"/>
  <c r="E47" i="33"/>
  <c r="E48" i="33"/>
  <c r="E49" i="33"/>
  <c r="E50" i="33"/>
  <c r="E51" i="33"/>
  <c r="E52" i="33"/>
  <c r="E53" i="33"/>
  <c r="E54" i="33"/>
  <c r="E55" i="33"/>
  <c r="E56" i="33"/>
  <c r="E57" i="33"/>
  <c r="E58" i="33"/>
  <c r="E59" i="33"/>
  <c r="E60" i="33"/>
  <c r="E61" i="33"/>
  <c r="E62" i="33"/>
  <c r="E63" i="33"/>
  <c r="E64" i="33"/>
  <c r="E65" i="33"/>
  <c r="E66" i="33"/>
  <c r="E67" i="33"/>
  <c r="E68" i="33"/>
  <c r="E69" i="33"/>
  <c r="E70" i="33"/>
  <c r="E71" i="33"/>
  <c r="E72" i="33"/>
  <c r="E73" i="33"/>
  <c r="E74" i="33"/>
  <c r="E75" i="33"/>
  <c r="E76" i="33"/>
  <c r="E77" i="33"/>
  <c r="E78" i="33"/>
  <c r="E79" i="33"/>
  <c r="E80" i="33"/>
  <c r="E81" i="33"/>
  <c r="E82" i="33"/>
  <c r="E83" i="33"/>
  <c r="E84" i="33"/>
  <c r="E85" i="33"/>
  <c r="E86" i="33"/>
  <c r="E87" i="33"/>
  <c r="E88" i="33"/>
  <c r="E89" i="33"/>
  <c r="E90" i="33"/>
  <c r="E91" i="33"/>
  <c r="E92" i="33"/>
  <c r="E93" i="33"/>
  <c r="E94" i="33"/>
  <c r="E95" i="33"/>
  <c r="E96" i="33"/>
  <c r="E97" i="33"/>
  <c r="E98" i="33"/>
  <c r="E99" i="33"/>
  <c r="E100" i="33"/>
  <c r="E101" i="33"/>
  <c r="E102" i="33"/>
  <c r="E103" i="33"/>
  <c r="E104" i="33"/>
  <c r="E105" i="33"/>
  <c r="E106" i="33"/>
  <c r="E107" i="33"/>
  <c r="E108" i="33"/>
  <c r="E109" i="33"/>
  <c r="E110" i="33"/>
  <c r="E111" i="33"/>
  <c r="E112" i="33"/>
  <c r="E113" i="33"/>
  <c r="E114" i="33"/>
  <c r="E116" i="33"/>
  <c r="E119" i="33"/>
  <c r="E120" i="33"/>
  <c r="E122" i="33"/>
  <c r="E123" i="33"/>
  <c r="E124" i="33"/>
  <c r="E125" i="33"/>
  <c r="E126" i="33"/>
  <c r="E127" i="33"/>
  <c r="E128" i="33"/>
  <c r="E129" i="33"/>
  <c r="E130" i="33"/>
  <c r="E131" i="33"/>
  <c r="E132" i="33"/>
  <c r="E133" i="33"/>
  <c r="E134" i="33"/>
  <c r="E135" i="33"/>
  <c r="E136" i="33"/>
  <c r="E137" i="33"/>
  <c r="E138" i="33"/>
  <c r="E139" i="33"/>
  <c r="E140" i="33"/>
  <c r="E141" i="33"/>
  <c r="E142" i="33"/>
  <c r="E143" i="33"/>
  <c r="E144" i="33"/>
  <c r="E145" i="33"/>
  <c r="E146" i="33"/>
  <c r="E147" i="33"/>
  <c r="E148" i="33"/>
  <c r="E149" i="33"/>
  <c r="E150" i="33"/>
  <c r="E151" i="33"/>
  <c r="E152" i="33"/>
  <c r="E153" i="33"/>
  <c r="E154" i="33"/>
  <c r="E155" i="33"/>
  <c r="E156" i="33"/>
  <c r="E157" i="33"/>
  <c r="E158" i="33"/>
  <c r="E159" i="33"/>
  <c r="E160" i="33"/>
  <c r="E161" i="33"/>
  <c r="E162" i="33"/>
  <c r="E163" i="33"/>
  <c r="E164" i="33"/>
  <c r="E165" i="33"/>
  <c r="E166" i="33"/>
  <c r="E167" i="33"/>
  <c r="E168" i="33"/>
  <c r="E169" i="33"/>
  <c r="E170" i="33"/>
  <c r="E171" i="33"/>
  <c r="E172" i="33"/>
  <c r="E173" i="33"/>
  <c r="E174" i="33"/>
  <c r="E175" i="33"/>
  <c r="E176" i="33"/>
  <c r="E177" i="33"/>
  <c r="E178" i="33"/>
  <c r="E179" i="33"/>
  <c r="E180" i="33"/>
  <c r="E181" i="33"/>
  <c r="E182" i="33"/>
  <c r="E183" i="33"/>
  <c r="E184" i="33"/>
  <c r="E185" i="33"/>
  <c r="E186" i="33"/>
  <c r="E187" i="33"/>
  <c r="E188" i="33"/>
  <c r="E189" i="33"/>
  <c r="E190" i="33"/>
  <c r="E191" i="33"/>
  <c r="E192" i="33"/>
  <c r="E193" i="33"/>
  <c r="E194" i="33"/>
  <c r="E195" i="33"/>
  <c r="E196" i="33"/>
  <c r="E197" i="33"/>
  <c r="E198" i="33"/>
  <c r="E199" i="33"/>
  <c r="E200" i="33"/>
  <c r="E201" i="33"/>
  <c r="E202" i="33"/>
  <c r="E203" i="33"/>
  <c r="E205" i="33"/>
  <c r="E208" i="33"/>
  <c r="E209" i="33"/>
  <c r="E211" i="33"/>
  <c r="E212" i="33"/>
  <c r="E213" i="33"/>
  <c r="E214" i="33"/>
  <c r="E215" i="33"/>
  <c r="E216" i="33"/>
  <c r="E217" i="33"/>
  <c r="E218" i="33"/>
  <c r="E219" i="33"/>
  <c r="E220" i="33"/>
  <c r="E221" i="33"/>
  <c r="E222" i="33"/>
  <c r="E223" i="33"/>
  <c r="E224" i="33"/>
  <c r="E225" i="33"/>
  <c r="E226" i="33"/>
  <c r="E227" i="33"/>
  <c r="E228" i="33"/>
  <c r="E229" i="33"/>
  <c r="E230" i="33"/>
  <c r="E231" i="33"/>
  <c r="E232" i="33"/>
  <c r="E233" i="33"/>
  <c r="E234" i="33"/>
  <c r="E235" i="33"/>
  <c r="E236" i="33"/>
  <c r="E237" i="33"/>
  <c r="E238" i="33"/>
  <c r="E239" i="33"/>
  <c r="E240" i="33"/>
  <c r="E241" i="33"/>
  <c r="E242" i="33"/>
  <c r="E243" i="33"/>
  <c r="E244" i="33"/>
  <c r="E245" i="33"/>
  <c r="E246" i="33"/>
  <c r="E247" i="33"/>
  <c r="E248" i="33"/>
  <c r="E249" i="33"/>
  <c r="E250" i="33"/>
  <c r="E251" i="33"/>
  <c r="E252" i="33"/>
  <c r="E253" i="33"/>
  <c r="E254" i="33"/>
  <c r="E255" i="33"/>
  <c r="E256" i="33"/>
  <c r="E257" i="33"/>
  <c r="E258" i="33"/>
  <c r="E259" i="33"/>
  <c r="E260" i="33"/>
  <c r="E261" i="33"/>
  <c r="E262" i="33"/>
  <c r="E263" i="33"/>
  <c r="E264" i="33"/>
  <c r="E265" i="33"/>
  <c r="E266" i="33"/>
  <c r="E267" i="33"/>
  <c r="E268" i="33"/>
  <c r="E269" i="33"/>
  <c r="E270" i="33"/>
  <c r="E271" i="33"/>
  <c r="E272" i="33"/>
  <c r="E273" i="33"/>
  <c r="E274" i="33"/>
  <c r="E275" i="33"/>
  <c r="E276" i="33"/>
  <c r="E277" i="33"/>
  <c r="E278" i="33"/>
  <c r="E279" i="33"/>
  <c r="E280" i="33"/>
  <c r="E281" i="33"/>
  <c r="E282" i="33"/>
  <c r="E283" i="33"/>
  <c r="E284" i="33"/>
  <c r="E285" i="33"/>
  <c r="E286" i="33"/>
  <c r="E287" i="33"/>
  <c r="E288" i="33"/>
  <c r="E290" i="33"/>
  <c r="E293" i="33"/>
  <c r="E294" i="33"/>
  <c r="E296" i="33"/>
  <c r="E297" i="33"/>
  <c r="E298" i="33"/>
  <c r="E299" i="33"/>
  <c r="E300" i="33"/>
  <c r="E301" i="33"/>
  <c r="E302" i="33"/>
  <c r="E303" i="33"/>
  <c r="E304" i="33"/>
  <c r="E305" i="33"/>
  <c r="E306" i="33"/>
  <c r="E307" i="33"/>
  <c r="E308" i="33"/>
  <c r="E309" i="33"/>
  <c r="E310" i="33"/>
  <c r="E311" i="33"/>
  <c r="E312" i="33"/>
  <c r="E313" i="33"/>
  <c r="E314" i="33"/>
  <c r="E315" i="33"/>
  <c r="E316" i="33"/>
  <c r="E317" i="33"/>
  <c r="E318" i="33"/>
  <c r="E319" i="33"/>
  <c r="E320" i="33"/>
  <c r="E321" i="33"/>
  <c r="E322" i="33"/>
  <c r="E323" i="33"/>
  <c r="E324" i="33"/>
  <c r="E325" i="33"/>
  <c r="E326" i="33"/>
  <c r="E327" i="33"/>
  <c r="E328" i="33"/>
  <c r="E329" i="33"/>
  <c r="E330" i="33"/>
  <c r="E331" i="33"/>
  <c r="E332" i="33"/>
  <c r="E333" i="33"/>
  <c r="E334" i="33"/>
  <c r="E335" i="33"/>
  <c r="E336" i="33"/>
  <c r="E337" i="33"/>
  <c r="E338" i="33"/>
  <c r="E339" i="33"/>
  <c r="E340" i="33"/>
  <c r="E341" i="33"/>
  <c r="E342" i="33"/>
  <c r="E343" i="33"/>
  <c r="E344" i="33"/>
  <c r="E345" i="33"/>
  <c r="E346" i="33"/>
  <c r="E347" i="33"/>
  <c r="E348" i="33"/>
  <c r="E349" i="33"/>
  <c r="E350" i="33"/>
  <c r="E351" i="33"/>
  <c r="E352" i="33"/>
  <c r="E353" i="33"/>
  <c r="E354" i="33"/>
  <c r="E355" i="33"/>
  <c r="E356" i="33"/>
  <c r="E357" i="33"/>
  <c r="E358" i="33"/>
  <c r="E359" i="33"/>
  <c r="E360" i="33"/>
  <c r="E361" i="33"/>
  <c r="E362" i="33"/>
  <c r="E363" i="33"/>
  <c r="E364" i="33"/>
  <c r="E365" i="33"/>
  <c r="E366" i="33"/>
  <c r="E367" i="33"/>
  <c r="E368" i="33"/>
  <c r="E369" i="33"/>
  <c r="E370" i="33"/>
  <c r="E371" i="33"/>
  <c r="E372" i="33"/>
  <c r="E374" i="33"/>
  <c r="E377" i="33"/>
  <c r="E378" i="33"/>
  <c r="E380" i="33"/>
  <c r="E381" i="33"/>
  <c r="E382" i="33"/>
  <c r="E383" i="33"/>
  <c r="E384" i="33"/>
  <c r="E385" i="33"/>
  <c r="E386" i="33"/>
  <c r="E387" i="33"/>
  <c r="E388" i="33"/>
  <c r="E389" i="33"/>
  <c r="E390" i="33"/>
  <c r="E391" i="33"/>
  <c r="E392" i="33"/>
  <c r="E393" i="33"/>
  <c r="E394" i="33"/>
  <c r="E395" i="33"/>
  <c r="E396" i="33"/>
  <c r="E397" i="33"/>
  <c r="E398" i="33"/>
  <c r="E399" i="33"/>
  <c r="E400" i="33"/>
  <c r="E401" i="33"/>
  <c r="E402" i="33"/>
  <c r="E403" i="33"/>
  <c r="E404" i="33"/>
  <c r="E405" i="33"/>
  <c r="E406" i="33"/>
  <c r="E407" i="33"/>
  <c r="E408" i="33"/>
  <c r="E409" i="33"/>
  <c r="E410" i="33"/>
  <c r="E411" i="33"/>
  <c r="E412" i="33"/>
  <c r="E413" i="33"/>
  <c r="E414" i="33"/>
  <c r="E415" i="33"/>
  <c r="E416" i="33"/>
  <c r="E417" i="33"/>
  <c r="E418" i="33"/>
  <c r="E419" i="33"/>
  <c r="E420" i="33"/>
  <c r="E421" i="33"/>
  <c r="E422" i="33"/>
  <c r="E423" i="33"/>
  <c r="E424" i="33"/>
  <c r="E425" i="33"/>
  <c r="E426" i="33"/>
  <c r="E427" i="33"/>
  <c r="E428" i="33"/>
  <c r="E429" i="33"/>
  <c r="E430" i="33"/>
  <c r="E431" i="33"/>
  <c r="E432" i="33"/>
  <c r="E433" i="33"/>
  <c r="E434" i="33"/>
  <c r="E435" i="33"/>
  <c r="E436" i="33"/>
  <c r="E437" i="33"/>
  <c r="E438" i="33"/>
  <c r="E439" i="33"/>
  <c r="E440" i="33"/>
  <c r="E441" i="33"/>
  <c r="E442" i="33"/>
  <c r="E443" i="33"/>
  <c r="E444" i="33"/>
  <c r="E445" i="33"/>
  <c r="E446" i="33"/>
  <c r="E447" i="33"/>
  <c r="E448" i="33"/>
  <c r="E449" i="33"/>
  <c r="E450" i="33"/>
  <c r="E451" i="33"/>
  <c r="E452" i="33"/>
  <c r="E453" i="33"/>
  <c r="E455" i="33"/>
  <c r="E458" i="33"/>
  <c r="E459" i="33"/>
  <c r="E461" i="33"/>
  <c r="E462" i="33"/>
  <c r="E463" i="33"/>
  <c r="E464" i="33"/>
  <c r="E465" i="33"/>
  <c r="E466" i="33"/>
  <c r="E467" i="33"/>
  <c r="E468" i="33"/>
  <c r="E469" i="33"/>
  <c r="E470" i="33"/>
  <c r="E471" i="33"/>
  <c r="E472" i="33"/>
  <c r="E473" i="33"/>
  <c r="E474" i="33"/>
  <c r="E475" i="33"/>
  <c r="E476" i="33"/>
  <c r="E477" i="33"/>
  <c r="E478" i="33"/>
  <c r="E479" i="33"/>
  <c r="E480" i="33"/>
  <c r="E481" i="33"/>
  <c r="E482" i="33"/>
  <c r="E483" i="33"/>
  <c r="E484" i="33"/>
  <c r="E485" i="33"/>
  <c r="E486" i="33"/>
  <c r="E487" i="33"/>
  <c r="E488" i="33"/>
  <c r="E489" i="33"/>
  <c r="E490" i="33"/>
  <c r="E491" i="33"/>
  <c r="E492" i="33"/>
  <c r="E493" i="33"/>
  <c r="E494" i="33"/>
  <c r="E495" i="33"/>
  <c r="E496" i="33"/>
  <c r="E497" i="33"/>
  <c r="E498" i="33"/>
  <c r="E499" i="33"/>
  <c r="E500" i="33"/>
  <c r="E501" i="33"/>
  <c r="E502" i="33"/>
  <c r="E503" i="33"/>
  <c r="E504" i="33"/>
  <c r="E505" i="33"/>
  <c r="E506" i="33"/>
  <c r="E507" i="33"/>
  <c r="E508" i="33"/>
  <c r="E509" i="33"/>
  <c r="E510" i="33"/>
  <c r="E511" i="33"/>
  <c r="E512" i="33"/>
  <c r="E513" i="33"/>
  <c r="E514" i="33"/>
  <c r="E515" i="33"/>
  <c r="E516" i="33"/>
  <c r="E517" i="33"/>
  <c r="E518" i="33"/>
  <c r="E519" i="33"/>
  <c r="E520" i="33"/>
  <c r="E521" i="33"/>
  <c r="E522" i="33"/>
  <c r="E523" i="33"/>
  <c r="E524" i="33"/>
  <c r="E525" i="33"/>
  <c r="E526" i="33"/>
  <c r="E527" i="33"/>
  <c r="E528" i="33"/>
  <c r="E529" i="33"/>
  <c r="E530" i="33"/>
  <c r="E531" i="33"/>
  <c r="E532" i="33"/>
  <c r="E533" i="33"/>
  <c r="E534" i="33"/>
  <c r="E535" i="33"/>
  <c r="E536" i="33"/>
  <c r="E537" i="33"/>
  <c r="E539" i="33"/>
  <c r="E542" i="33"/>
  <c r="E543" i="33"/>
  <c r="E545" i="33"/>
  <c r="E546" i="33"/>
  <c r="E547" i="33"/>
  <c r="E548" i="33"/>
  <c r="E549" i="33"/>
  <c r="E550" i="33"/>
  <c r="E551" i="33"/>
  <c r="E552" i="33"/>
  <c r="E553" i="33"/>
  <c r="E554" i="33"/>
  <c r="E555" i="33"/>
  <c r="E556" i="33"/>
  <c r="E557" i="33"/>
  <c r="E558" i="33"/>
  <c r="E559" i="33"/>
  <c r="E560" i="33"/>
  <c r="E561" i="33"/>
  <c r="E562" i="33"/>
  <c r="E563" i="33"/>
  <c r="E564" i="33"/>
  <c r="E565" i="33"/>
  <c r="E566" i="33"/>
  <c r="E567" i="33"/>
  <c r="E568" i="33"/>
  <c r="E569" i="33"/>
  <c r="E570" i="33"/>
  <c r="E571" i="33"/>
  <c r="E572" i="33"/>
  <c r="E573" i="33"/>
  <c r="E574" i="33"/>
  <c r="E575" i="33"/>
  <c r="E576" i="33"/>
  <c r="E577" i="33"/>
  <c r="E578" i="33"/>
  <c r="E579" i="33"/>
  <c r="E580" i="33"/>
  <c r="E581" i="33"/>
  <c r="E582" i="33"/>
  <c r="E583" i="33"/>
  <c r="E584" i="33"/>
  <c r="E585" i="33"/>
  <c r="E586" i="33"/>
  <c r="E587" i="33"/>
  <c r="E588" i="33"/>
  <c r="E589" i="33"/>
  <c r="E590" i="33"/>
  <c r="E591" i="33"/>
  <c r="E592" i="33"/>
  <c r="E593" i="33"/>
  <c r="E594" i="33"/>
  <c r="E595" i="33"/>
  <c r="E596" i="33"/>
  <c r="E597" i="33"/>
  <c r="E598" i="33"/>
  <c r="E599" i="33"/>
  <c r="E600" i="33"/>
  <c r="E601" i="33"/>
  <c r="E602" i="33"/>
  <c r="E603" i="33"/>
  <c r="E604" i="33"/>
  <c r="E605" i="33"/>
  <c r="E606" i="33"/>
  <c r="E607" i="33"/>
  <c r="E608" i="33"/>
  <c r="E609" i="33"/>
  <c r="E610" i="33"/>
  <c r="E611" i="33"/>
  <c r="E612" i="33"/>
  <c r="E613" i="33"/>
  <c r="E614" i="33"/>
  <c r="E615" i="33"/>
  <c r="E616" i="33"/>
  <c r="E618" i="33"/>
  <c r="E621" i="33"/>
  <c r="E622" i="33"/>
  <c r="E624" i="33"/>
  <c r="E625" i="33"/>
  <c r="E626" i="33"/>
  <c r="E627" i="33"/>
  <c r="E628" i="33"/>
  <c r="E629" i="33"/>
  <c r="E630" i="33"/>
  <c r="E631" i="33"/>
  <c r="E632" i="33"/>
  <c r="E633" i="33"/>
  <c r="E634" i="33"/>
  <c r="E635" i="33"/>
  <c r="E636" i="33"/>
  <c r="E637" i="33"/>
  <c r="E638" i="33"/>
  <c r="E639" i="33"/>
  <c r="E640" i="33"/>
  <c r="E641" i="33"/>
  <c r="E642" i="33"/>
  <c r="E643" i="33"/>
  <c r="E644" i="33"/>
  <c r="E645" i="33"/>
  <c r="E646" i="33"/>
  <c r="E647" i="33"/>
  <c r="E648" i="33"/>
  <c r="E649" i="33"/>
  <c r="E650" i="33"/>
  <c r="E651" i="33"/>
  <c r="E652" i="33"/>
  <c r="E653" i="33"/>
  <c r="E654" i="33"/>
  <c r="E655" i="33"/>
  <c r="E656" i="33"/>
  <c r="E657" i="33"/>
  <c r="E658" i="33"/>
  <c r="E659" i="33"/>
  <c r="E660" i="33"/>
  <c r="E661" i="33"/>
  <c r="E662" i="33"/>
  <c r="E663" i="33"/>
  <c r="E664" i="33"/>
  <c r="E665" i="33"/>
  <c r="E666" i="33"/>
  <c r="E667" i="33"/>
  <c r="E668" i="33"/>
  <c r="E669" i="33"/>
  <c r="E670" i="33"/>
  <c r="E671" i="33"/>
  <c r="E672" i="33"/>
  <c r="E673" i="33"/>
  <c r="E674" i="33"/>
  <c r="E675" i="33"/>
  <c r="E676" i="33"/>
  <c r="E677" i="33"/>
  <c r="E678" i="33"/>
  <c r="E679" i="33"/>
  <c r="E680" i="33"/>
  <c r="E681" i="33"/>
  <c r="E682" i="33"/>
  <c r="E683" i="33"/>
  <c r="E684" i="33"/>
  <c r="E685" i="33"/>
  <c r="E686" i="33"/>
  <c r="E687" i="33"/>
  <c r="E688" i="33"/>
  <c r="E689" i="33"/>
  <c r="E690" i="33"/>
  <c r="E691" i="33"/>
  <c r="E692" i="33"/>
  <c r="E693" i="33"/>
  <c r="E694" i="33"/>
  <c r="E695" i="33"/>
  <c r="E696" i="33"/>
  <c r="E698" i="33"/>
  <c r="E701" i="33"/>
  <c r="E702" i="33"/>
  <c r="E704" i="33"/>
  <c r="E705" i="33"/>
  <c r="E706" i="33"/>
  <c r="E707" i="33"/>
  <c r="E708" i="33"/>
  <c r="E709" i="33"/>
  <c r="E710" i="33"/>
  <c r="E711" i="33"/>
  <c r="E712" i="33"/>
  <c r="E713" i="33"/>
  <c r="E714" i="33"/>
  <c r="E715" i="33"/>
  <c r="E716" i="33"/>
  <c r="E717" i="33"/>
  <c r="E718" i="33"/>
  <c r="E719" i="33"/>
  <c r="E720" i="33"/>
  <c r="E721" i="33"/>
  <c r="E722" i="33"/>
  <c r="E723" i="33"/>
  <c r="E724" i="33"/>
  <c r="E725" i="33"/>
  <c r="E726" i="33"/>
  <c r="E727" i="33"/>
  <c r="E728" i="33"/>
  <c r="E729" i="33"/>
  <c r="E730" i="33"/>
  <c r="E731" i="33"/>
  <c r="E732" i="33"/>
  <c r="E733" i="33"/>
  <c r="E734" i="33"/>
  <c r="E735" i="33"/>
  <c r="E736" i="33"/>
  <c r="E737" i="33"/>
  <c r="E738" i="33"/>
  <c r="E739" i="33"/>
  <c r="E740" i="33"/>
  <c r="E741" i="33"/>
  <c r="E742" i="33"/>
  <c r="E743" i="33"/>
  <c r="E744" i="33"/>
  <c r="E745" i="33"/>
  <c r="E746" i="33"/>
  <c r="E747" i="33"/>
  <c r="E748" i="33"/>
  <c r="E749" i="33"/>
  <c r="E750" i="33"/>
  <c r="E751" i="33"/>
  <c r="E752" i="33"/>
  <c r="E753" i="33"/>
  <c r="E754" i="33"/>
  <c r="E755" i="33"/>
  <c r="E756" i="33"/>
  <c r="E757" i="33"/>
  <c r="E758" i="33"/>
  <c r="E759" i="33"/>
  <c r="E760" i="33"/>
  <c r="E761" i="33"/>
  <c r="E762" i="33"/>
  <c r="E763" i="33"/>
  <c r="E764" i="33"/>
  <c r="E765" i="33"/>
  <c r="E766" i="33"/>
  <c r="E767" i="33"/>
  <c r="E768" i="33"/>
  <c r="E769" i="33"/>
  <c r="E770" i="33"/>
  <c r="E771" i="33"/>
  <c r="E772" i="33"/>
  <c r="E773" i="33"/>
  <c r="E774" i="33"/>
  <c r="E775" i="33"/>
  <c r="E776" i="33"/>
  <c r="E777" i="33"/>
  <c r="E778" i="33"/>
  <c r="E780" i="33"/>
  <c r="E783" i="33"/>
  <c r="E784" i="33"/>
  <c r="E786" i="33"/>
  <c r="E787" i="33"/>
  <c r="E788" i="33"/>
  <c r="E789" i="33"/>
  <c r="E790" i="33"/>
  <c r="E791" i="33"/>
  <c r="E792" i="33"/>
  <c r="E793" i="33"/>
  <c r="E794" i="33"/>
  <c r="E795" i="33"/>
  <c r="E796" i="33"/>
  <c r="E797" i="33"/>
  <c r="E798" i="33"/>
  <c r="E799" i="33"/>
  <c r="E800" i="33"/>
  <c r="E801" i="33"/>
  <c r="E802" i="33"/>
  <c r="E803" i="33"/>
  <c r="E804" i="33"/>
  <c r="E805" i="33"/>
  <c r="E806" i="33"/>
  <c r="E807" i="33"/>
  <c r="E808" i="33"/>
  <c r="E809" i="33"/>
  <c r="E810" i="33"/>
  <c r="E811" i="33"/>
  <c r="E812" i="33"/>
  <c r="E813" i="33"/>
  <c r="E814" i="33"/>
  <c r="E815" i="33"/>
  <c r="E816" i="33"/>
  <c r="E817" i="33"/>
  <c r="E818" i="33"/>
  <c r="E819" i="33"/>
  <c r="E820" i="33"/>
  <c r="E821" i="33"/>
  <c r="E822" i="33"/>
  <c r="E823" i="33"/>
  <c r="E824" i="33"/>
  <c r="E825" i="33"/>
  <c r="E826" i="33"/>
  <c r="E827" i="33"/>
  <c r="E828" i="33"/>
  <c r="E829" i="33"/>
  <c r="E830" i="33"/>
  <c r="E831" i="33"/>
  <c r="E832" i="33"/>
  <c r="E833" i="33"/>
  <c r="E834" i="33"/>
  <c r="E835" i="33"/>
  <c r="E836" i="33"/>
  <c r="E837" i="33"/>
  <c r="E838" i="33"/>
  <c r="E839" i="33"/>
  <c r="E840" i="33"/>
  <c r="E841" i="33"/>
  <c r="E842" i="33"/>
  <c r="E843" i="33"/>
  <c r="E844" i="33"/>
  <c r="E846" i="33"/>
  <c r="E849" i="33"/>
  <c r="E850" i="33"/>
  <c r="E852" i="33"/>
  <c r="E853" i="33"/>
  <c r="E854" i="33"/>
  <c r="E855" i="33"/>
  <c r="E856" i="33"/>
  <c r="E857" i="33"/>
  <c r="E858" i="33"/>
  <c r="E859" i="33"/>
  <c r="E860" i="33"/>
  <c r="E861" i="33"/>
  <c r="E862" i="33"/>
  <c r="E863" i="33"/>
  <c r="E864" i="33"/>
  <c r="E865" i="33"/>
  <c r="E866" i="33"/>
  <c r="E867" i="33"/>
  <c r="E868" i="33"/>
  <c r="E869" i="33"/>
  <c r="E870" i="33"/>
  <c r="E871" i="33"/>
  <c r="E872" i="33"/>
  <c r="E873" i="33"/>
  <c r="E874" i="33"/>
  <c r="E875" i="33"/>
  <c r="E876" i="33"/>
  <c r="E877" i="33"/>
  <c r="E878" i="33"/>
  <c r="E879" i="33"/>
  <c r="E880" i="33"/>
  <c r="E881" i="33"/>
  <c r="E882" i="33"/>
  <c r="E883" i="33"/>
  <c r="E884" i="33"/>
  <c r="E885" i="33"/>
  <c r="E886" i="33"/>
  <c r="E887" i="33"/>
  <c r="E888" i="33"/>
  <c r="E889" i="33"/>
  <c r="E890" i="33"/>
  <c r="E891" i="33"/>
  <c r="E892" i="33"/>
  <c r="E893" i="33"/>
  <c r="E894" i="33"/>
  <c r="E895" i="33"/>
  <c r="E896" i="33"/>
  <c r="E897" i="33"/>
  <c r="E898" i="33"/>
  <c r="E899" i="33"/>
  <c r="E900" i="33"/>
  <c r="E901" i="33"/>
  <c r="E902" i="33"/>
  <c r="E903" i="33"/>
  <c r="E904" i="33"/>
  <c r="E905" i="33"/>
  <c r="E906" i="33"/>
  <c r="E907" i="33"/>
  <c r="E908" i="33"/>
  <c r="E909" i="33"/>
  <c r="E910" i="33"/>
  <c r="E911" i="33"/>
  <c r="E912" i="33"/>
  <c r="E913" i="33"/>
  <c r="E914" i="33"/>
  <c r="E915" i="33"/>
  <c r="E916" i="33"/>
  <c r="E917" i="33"/>
  <c r="E918" i="33"/>
  <c r="E919" i="33"/>
  <c r="E920" i="33"/>
  <c r="E921" i="33"/>
  <c r="E922" i="33"/>
  <c r="E923" i="33"/>
  <c r="E925" i="33"/>
  <c r="E928" i="33"/>
  <c r="E929" i="33"/>
  <c r="E931" i="33"/>
  <c r="E932" i="33"/>
  <c r="E933" i="33"/>
  <c r="E934" i="33"/>
  <c r="E935" i="33"/>
  <c r="E936" i="33"/>
  <c r="E937" i="33"/>
  <c r="E938" i="33"/>
  <c r="E939" i="33"/>
  <c r="E940" i="33"/>
  <c r="E941" i="33"/>
  <c r="E942" i="33"/>
  <c r="E943" i="33"/>
  <c r="E944" i="33"/>
  <c r="E945" i="33"/>
  <c r="E946" i="33"/>
  <c r="E947" i="33"/>
  <c r="E948" i="33"/>
  <c r="E949" i="33"/>
  <c r="E950" i="33"/>
  <c r="E951" i="33"/>
  <c r="E952" i="33"/>
  <c r="E953" i="33"/>
  <c r="E954" i="33"/>
  <c r="E955" i="33"/>
  <c r="E956" i="33"/>
  <c r="E957" i="33"/>
  <c r="E958" i="33"/>
  <c r="E959" i="33"/>
  <c r="E960" i="33"/>
  <c r="E961" i="33"/>
  <c r="E962" i="33"/>
  <c r="E963" i="33"/>
  <c r="E964" i="33"/>
  <c r="E965" i="33"/>
  <c r="E966" i="33"/>
  <c r="E967" i="33"/>
  <c r="E968" i="33"/>
  <c r="E969" i="33"/>
  <c r="E970" i="33"/>
  <c r="E971" i="33"/>
  <c r="E972" i="33"/>
  <c r="E973" i="33"/>
  <c r="E974" i="33"/>
  <c r="E975" i="33"/>
  <c r="E976" i="33"/>
  <c r="E977" i="33"/>
  <c r="E978" i="33"/>
  <c r="E979" i="33"/>
  <c r="E980" i="33"/>
  <c r="E981" i="33"/>
  <c r="H757" i="33"/>
  <c r="L161" i="42" s="1"/>
  <c r="M161" i="42" s="1"/>
  <c r="G824" i="33"/>
  <c r="H825" i="33"/>
  <c r="L176" i="42" s="1"/>
  <c r="M176" i="42" s="1"/>
  <c r="G903" i="33"/>
  <c r="H904" i="33"/>
  <c r="L191" i="42" s="1"/>
  <c r="M191" i="42" s="1"/>
  <c r="G7" i="33"/>
  <c r="H8" i="33"/>
  <c r="L12" i="42" s="1"/>
  <c r="M12" i="42" s="1"/>
  <c r="G9" i="33"/>
  <c r="H10" i="33"/>
  <c r="L13" i="42" s="1"/>
  <c r="M13" i="42" s="1"/>
  <c r="G11" i="33"/>
  <c r="H12" i="33"/>
  <c r="L14" i="42" s="1"/>
  <c r="M14" i="42" s="1"/>
  <c r="G13" i="33"/>
  <c r="H14" i="33"/>
  <c r="G15" i="33"/>
  <c r="H16" i="33"/>
  <c r="L16" i="42" s="1"/>
  <c r="M16" i="42" s="1"/>
  <c r="G17" i="33"/>
  <c r="H18" i="33"/>
  <c r="L17" i="42" s="1"/>
  <c r="M17" i="42" s="1"/>
  <c r="G19" i="33"/>
  <c r="H20" i="33"/>
  <c r="G30" i="33"/>
  <c r="H31" i="33"/>
  <c r="L20" i="42" s="1"/>
  <c r="M20" i="42" s="1"/>
  <c r="G99" i="33"/>
  <c r="H100" i="33"/>
  <c r="L33" i="42" s="1"/>
  <c r="M33" i="42" s="1"/>
  <c r="G181" i="33"/>
  <c r="H182" i="33"/>
  <c r="L49" i="42" s="1"/>
  <c r="M49" i="42" s="1"/>
  <c r="G264" i="33"/>
  <c r="H265" i="33"/>
  <c r="L65" i="42" s="1"/>
  <c r="M65" i="42" s="1"/>
  <c r="G284" i="33"/>
  <c r="H285" i="33"/>
  <c r="L71" i="42" s="1"/>
  <c r="M71" i="42" s="1"/>
  <c r="G348" i="33"/>
  <c r="H349" i="33"/>
  <c r="L82" i="42" s="1"/>
  <c r="M82" i="42" s="1"/>
  <c r="G431" i="33"/>
  <c r="H432" i="33"/>
  <c r="L99" i="42" s="1"/>
  <c r="M99" i="42" s="1"/>
  <c r="G517" i="33"/>
  <c r="H518" i="33"/>
  <c r="L116" i="42" s="1"/>
  <c r="M116" i="42" s="1"/>
  <c r="G596" i="33"/>
  <c r="H597" i="33"/>
  <c r="L131" i="42" s="1"/>
  <c r="M131" i="42" s="1"/>
  <c r="G676" i="33"/>
  <c r="H677" i="33"/>
  <c r="L146" i="42" s="1"/>
  <c r="M146" i="42" s="1"/>
  <c r="G756" i="33"/>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56" i="30"/>
  <c r="I57" i="30"/>
  <c r="I58" i="30"/>
  <c r="I59" i="30"/>
  <c r="I60" i="30"/>
  <c r="I61" i="30"/>
  <c r="I62" i="30"/>
  <c r="I63" i="30"/>
  <c r="I64" i="30"/>
  <c r="I65" i="30"/>
  <c r="I66" i="30"/>
  <c r="I67" i="30"/>
  <c r="I68" i="30"/>
  <c r="I69" i="30"/>
  <c r="I70" i="30"/>
  <c r="I71" i="30"/>
  <c r="I72" i="30"/>
  <c r="I73" i="30"/>
  <c r="I74" i="30"/>
  <c r="I75" i="30"/>
  <c r="I76" i="30"/>
  <c r="I77" i="30"/>
  <c r="I78" i="30"/>
  <c r="I79" i="30"/>
  <c r="I80" i="30"/>
  <c r="I81" i="30"/>
  <c r="I82" i="30"/>
  <c r="I83" i="30"/>
  <c r="I84" i="30"/>
  <c r="I85" i="30"/>
  <c r="I86" i="30"/>
  <c r="I87" i="30"/>
  <c r="I88" i="30"/>
  <c r="I89" i="30"/>
  <c r="I90" i="30"/>
  <c r="I91" i="30"/>
  <c r="I92" i="30"/>
  <c r="I93" i="30"/>
  <c r="I94" i="30"/>
  <c r="I95" i="30"/>
  <c r="I96" i="30"/>
  <c r="I97" i="30"/>
  <c r="I98" i="30"/>
  <c r="I99" i="30"/>
  <c r="I100" i="30"/>
  <c r="I101" i="30"/>
  <c r="I102" i="30"/>
  <c r="I103" i="30"/>
  <c r="I104" i="30"/>
  <c r="I105" i="30"/>
  <c r="I106" i="30"/>
  <c r="I107" i="30"/>
  <c r="I108" i="30"/>
  <c r="I109" i="30"/>
  <c r="I110" i="30"/>
  <c r="I111" i="30"/>
  <c r="I112" i="30"/>
  <c r="I113" i="30"/>
  <c r="I114" i="30"/>
  <c r="I115" i="30"/>
  <c r="I116" i="30"/>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I159" i="30"/>
  <c r="I160" i="30"/>
  <c r="I161" i="30"/>
  <c r="I162" i="30"/>
  <c r="I163" i="30"/>
  <c r="I164" i="30"/>
  <c r="I165" i="30"/>
  <c r="I166" i="30"/>
  <c r="I167" i="30"/>
  <c r="I168" i="30"/>
  <c r="I169" i="30"/>
  <c r="I170" i="30"/>
  <c r="I171" i="30"/>
  <c r="I172" i="30"/>
  <c r="I173" i="30"/>
  <c r="I174" i="30"/>
  <c r="I175" i="30"/>
  <c r="I176" i="30"/>
  <c r="I177" i="30"/>
  <c r="I178" i="30"/>
  <c r="I179" i="30"/>
  <c r="I180" i="30"/>
  <c r="I181" i="30"/>
  <c r="I182" i="30"/>
  <c r="I183" i="30"/>
  <c r="I184" i="30"/>
  <c r="I185" i="30"/>
  <c r="I186" i="30"/>
  <c r="H7" i="30"/>
  <c r="W7" i="30" s="1"/>
  <c r="H8" i="30"/>
  <c r="W8" i="30" s="1"/>
  <c r="H9" i="30"/>
  <c r="W9" i="30" s="1"/>
  <c r="H10" i="30"/>
  <c r="W10" i="30" s="1"/>
  <c r="H11" i="30"/>
  <c r="H12" i="30"/>
  <c r="W12" i="30" s="1"/>
  <c r="H13" i="30"/>
  <c r="W13" i="30" s="1"/>
  <c r="H14" i="30"/>
  <c r="W14" i="30" s="1"/>
  <c r="H15" i="30"/>
  <c r="W15" i="30" s="1"/>
  <c r="H16" i="30"/>
  <c r="W16" i="30" s="1"/>
  <c r="H17" i="30"/>
  <c r="W17" i="30" s="1"/>
  <c r="H18" i="30"/>
  <c r="W18" i="30" s="1"/>
  <c r="H19" i="30"/>
  <c r="W19" i="30" s="1"/>
  <c r="H20" i="30"/>
  <c r="W20" i="30" s="1"/>
  <c r="H21" i="30"/>
  <c r="W21" i="30" s="1"/>
  <c r="H22" i="30"/>
  <c r="W22" i="30" s="1"/>
  <c r="H23" i="30"/>
  <c r="W23" i="30" s="1"/>
  <c r="H24" i="30"/>
  <c r="W24" i="30" s="1"/>
  <c r="H25" i="30"/>
  <c r="W25" i="30" s="1"/>
  <c r="H26" i="30"/>
  <c r="W26" i="30" s="1"/>
  <c r="H27" i="30"/>
  <c r="W27" i="30" s="1"/>
  <c r="H28" i="30"/>
  <c r="W28" i="30" s="1"/>
  <c r="H29" i="30"/>
  <c r="W29" i="30" s="1"/>
  <c r="H30" i="30"/>
  <c r="W30" i="30" s="1"/>
  <c r="H31" i="30"/>
  <c r="W31" i="30" s="1"/>
  <c r="H32" i="30"/>
  <c r="W32" i="30" s="1"/>
  <c r="H33" i="30"/>
  <c r="W33" i="30" s="1"/>
  <c r="H34" i="30"/>
  <c r="W34" i="30" s="1"/>
  <c r="H35" i="30"/>
  <c r="W35" i="30" s="1"/>
  <c r="H36" i="30"/>
  <c r="W36" i="30" s="1"/>
  <c r="H37" i="30"/>
  <c r="W37" i="30" s="1"/>
  <c r="H38" i="30"/>
  <c r="W38" i="30" s="1"/>
  <c r="H39" i="30"/>
  <c r="W39" i="30" s="1"/>
  <c r="H40" i="30"/>
  <c r="W40" i="30" s="1"/>
  <c r="H41" i="30"/>
  <c r="W41" i="30" s="1"/>
  <c r="H42" i="30"/>
  <c r="W42" i="30" s="1"/>
  <c r="H43" i="30"/>
  <c r="W43" i="30" s="1"/>
  <c r="H44" i="30"/>
  <c r="W44" i="30" s="1"/>
  <c r="H45" i="30"/>
  <c r="W45" i="30" s="1"/>
  <c r="H46" i="30"/>
  <c r="W46" i="30" s="1"/>
  <c r="H47" i="30"/>
  <c r="W47" i="30" s="1"/>
  <c r="H48" i="30"/>
  <c r="W48" i="30" s="1"/>
  <c r="H49" i="30"/>
  <c r="W49" i="30" s="1"/>
  <c r="H50" i="30"/>
  <c r="W50" i="30" s="1"/>
  <c r="H51" i="30"/>
  <c r="W51" i="30" s="1"/>
  <c r="H52" i="30"/>
  <c r="W52" i="30" s="1"/>
  <c r="H53" i="30"/>
  <c r="W53" i="30" s="1"/>
  <c r="H54" i="30"/>
  <c r="W54" i="30" s="1"/>
  <c r="H55" i="30"/>
  <c r="W55" i="30" s="1"/>
  <c r="H56" i="30"/>
  <c r="W56" i="30" s="1"/>
  <c r="H57" i="30"/>
  <c r="W57" i="30" s="1"/>
  <c r="H58" i="30"/>
  <c r="W58" i="30" s="1"/>
  <c r="H59" i="30"/>
  <c r="W59" i="30" s="1"/>
  <c r="H60" i="30"/>
  <c r="W60" i="30" s="1"/>
  <c r="H61" i="30"/>
  <c r="W61" i="30" s="1"/>
  <c r="H62" i="30"/>
  <c r="W62" i="30" s="1"/>
  <c r="H63" i="30"/>
  <c r="W63" i="30" s="1"/>
  <c r="H64" i="30"/>
  <c r="W64" i="30" s="1"/>
  <c r="H65" i="30"/>
  <c r="W65" i="30" s="1"/>
  <c r="H66" i="30"/>
  <c r="W66" i="30" s="1"/>
  <c r="H67" i="30"/>
  <c r="W67" i="30" s="1"/>
  <c r="H68" i="30"/>
  <c r="W68" i="30" s="1"/>
  <c r="H69" i="30"/>
  <c r="W69" i="30" s="1"/>
  <c r="H70" i="30"/>
  <c r="W70" i="30" s="1"/>
  <c r="H71" i="30"/>
  <c r="W71" i="30" s="1"/>
  <c r="H72" i="30"/>
  <c r="H73" i="30"/>
  <c r="W73" i="30" s="1"/>
  <c r="H74" i="30"/>
  <c r="W74" i="30" s="1"/>
  <c r="H75" i="30"/>
  <c r="W75" i="30" s="1"/>
  <c r="H76" i="30"/>
  <c r="W76" i="30" s="1"/>
  <c r="H77" i="30"/>
  <c r="W77" i="30" s="1"/>
  <c r="H78" i="30"/>
  <c r="W78" i="30" s="1"/>
  <c r="H79" i="30"/>
  <c r="W79" i="30" s="1"/>
  <c r="H80" i="30"/>
  <c r="W80" i="30" s="1"/>
  <c r="H81" i="30"/>
  <c r="W81" i="30" s="1"/>
  <c r="H82" i="30"/>
  <c r="W82" i="30" s="1"/>
  <c r="H83" i="30"/>
  <c r="W83" i="30" s="1"/>
  <c r="H84" i="30"/>
  <c r="W84" i="30" s="1"/>
  <c r="H85" i="30"/>
  <c r="W85" i="30" s="1"/>
  <c r="H86" i="30"/>
  <c r="W86" i="30" s="1"/>
  <c r="H87" i="30"/>
  <c r="W87" i="30" s="1"/>
  <c r="H88" i="30"/>
  <c r="W88" i="30" s="1"/>
  <c r="H89" i="30"/>
  <c r="W89" i="30" s="1"/>
  <c r="H90" i="30"/>
  <c r="W90" i="30" s="1"/>
  <c r="H91" i="30"/>
  <c r="W91" i="30" s="1"/>
  <c r="H92" i="30"/>
  <c r="W92" i="30" s="1"/>
  <c r="H93" i="30"/>
  <c r="W93" i="30" s="1"/>
  <c r="H94" i="30"/>
  <c r="W94" i="30" s="1"/>
  <c r="H95" i="30"/>
  <c r="W95" i="30" s="1"/>
  <c r="H96" i="30"/>
  <c r="W96" i="30" s="1"/>
  <c r="H97" i="30"/>
  <c r="W97" i="30" s="1"/>
  <c r="H98" i="30"/>
  <c r="W98" i="30" s="1"/>
  <c r="H99" i="30"/>
  <c r="W99" i="30" s="1"/>
  <c r="H100" i="30"/>
  <c r="W100" i="30" s="1"/>
  <c r="H101" i="30"/>
  <c r="W101" i="30" s="1"/>
  <c r="H102" i="30"/>
  <c r="W102" i="30" s="1"/>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6" i="30"/>
  <c r="H167" i="30"/>
  <c r="H168" i="30"/>
  <c r="H169" i="30"/>
  <c r="H170" i="30"/>
  <c r="H171" i="30"/>
  <c r="H172" i="30"/>
  <c r="H173" i="30"/>
  <c r="H174" i="30"/>
  <c r="H175" i="30"/>
  <c r="H176" i="30"/>
  <c r="H177" i="30"/>
  <c r="H178" i="30"/>
  <c r="H179" i="30"/>
  <c r="H180" i="30"/>
  <c r="H181" i="30"/>
  <c r="H182" i="30"/>
  <c r="H183" i="30"/>
  <c r="H184" i="30"/>
  <c r="H185" i="30"/>
  <c r="H186" i="30"/>
  <c r="F7" i="30"/>
  <c r="F8" i="30"/>
  <c r="F9" i="30"/>
  <c r="F10" i="30"/>
  <c r="F11" i="30"/>
  <c r="F12" i="30"/>
  <c r="F13" i="30"/>
  <c r="F14" i="30"/>
  <c r="F15" i="30"/>
  <c r="F16" i="30"/>
  <c r="F17" i="30"/>
  <c r="F18" i="30"/>
  <c r="F19" i="30"/>
  <c r="F20" i="30"/>
  <c r="F21" i="30"/>
  <c r="F22" i="30"/>
  <c r="F23" i="30"/>
  <c r="F24" i="30"/>
  <c r="F25" i="30"/>
  <c r="F26" i="30"/>
  <c r="F27" i="30"/>
  <c r="F28" i="30"/>
  <c r="F29" i="30"/>
  <c r="F30" i="30"/>
  <c r="F31" i="30"/>
  <c r="F32" i="30"/>
  <c r="F33" i="30"/>
  <c r="F34" i="30"/>
  <c r="F35" i="30"/>
  <c r="F36" i="30"/>
  <c r="F37" i="30"/>
  <c r="F38" i="30"/>
  <c r="F39" i="30"/>
  <c r="F40" i="30"/>
  <c r="F41" i="30"/>
  <c r="F42" i="30"/>
  <c r="F43" i="30"/>
  <c r="F44" i="30"/>
  <c r="F45" i="30"/>
  <c r="F46" i="30"/>
  <c r="F47" i="30"/>
  <c r="F48" i="30"/>
  <c r="F49" i="30"/>
  <c r="F50" i="30"/>
  <c r="F51" i="30"/>
  <c r="F52" i="30"/>
  <c r="F53" i="30"/>
  <c r="F54" i="30"/>
  <c r="F55" i="30"/>
  <c r="F56" i="30"/>
  <c r="F57" i="30"/>
  <c r="F58" i="30"/>
  <c r="F59" i="30"/>
  <c r="F60" i="30"/>
  <c r="F61" i="30"/>
  <c r="F62" i="30"/>
  <c r="F63" i="30"/>
  <c r="F64" i="30"/>
  <c r="F65" i="30"/>
  <c r="F66" i="30"/>
  <c r="F67" i="30"/>
  <c r="F68" i="30"/>
  <c r="F69" i="30"/>
  <c r="F70" i="30"/>
  <c r="F71" i="30"/>
  <c r="F72" i="30"/>
  <c r="F73" i="30"/>
  <c r="F74" i="30"/>
  <c r="F75" i="30"/>
  <c r="F76" i="30"/>
  <c r="F77" i="30"/>
  <c r="F78" i="30"/>
  <c r="F79" i="30"/>
  <c r="F80" i="30"/>
  <c r="F81" i="30"/>
  <c r="F82" i="30"/>
  <c r="F83" i="30"/>
  <c r="F84" i="30"/>
  <c r="F85" i="30"/>
  <c r="F86" i="30"/>
  <c r="F87" i="30"/>
  <c r="F88" i="30"/>
  <c r="F89" i="30"/>
  <c r="F90" i="30"/>
  <c r="F91" i="30"/>
  <c r="F92" i="30"/>
  <c r="F93" i="30"/>
  <c r="F94" i="30"/>
  <c r="F95" i="30"/>
  <c r="F96" i="30"/>
  <c r="F97" i="30"/>
  <c r="F98" i="30"/>
  <c r="F99" i="30"/>
  <c r="F100" i="30"/>
  <c r="F101" i="30"/>
  <c r="F102" i="30"/>
  <c r="F103" i="30"/>
  <c r="F104" i="30"/>
  <c r="F105" i="30"/>
  <c r="F106" i="30"/>
  <c r="F107" i="30"/>
  <c r="F108" i="30"/>
  <c r="F109" i="30"/>
  <c r="F110" i="30"/>
  <c r="F111" i="30"/>
  <c r="F112" i="30"/>
  <c r="F113" i="30"/>
  <c r="F114" i="30"/>
  <c r="F115" i="30"/>
  <c r="F116" i="30"/>
  <c r="F117" i="30"/>
  <c r="F118" i="30"/>
  <c r="F119" i="30"/>
  <c r="F120" i="30"/>
  <c r="F121" i="30"/>
  <c r="F122" i="30"/>
  <c r="F123" i="30"/>
  <c r="F124" i="30"/>
  <c r="F125" i="30"/>
  <c r="F126" i="30"/>
  <c r="F127" i="30"/>
  <c r="F128" i="30"/>
  <c r="F129" i="30"/>
  <c r="F130" i="30"/>
  <c r="F131" i="30"/>
  <c r="F132" i="30"/>
  <c r="F133" i="30"/>
  <c r="F134" i="30"/>
  <c r="F135" i="30"/>
  <c r="F136" i="30"/>
  <c r="F137" i="30"/>
  <c r="F138" i="30"/>
  <c r="F139" i="30"/>
  <c r="F140" i="30"/>
  <c r="F141" i="30"/>
  <c r="F142" i="30"/>
  <c r="F143" i="30"/>
  <c r="F144" i="30"/>
  <c r="F145" i="30"/>
  <c r="F146" i="30"/>
  <c r="F147" i="30"/>
  <c r="F148" i="30"/>
  <c r="F149" i="30"/>
  <c r="F150" i="30"/>
  <c r="F151" i="30"/>
  <c r="F152" i="30"/>
  <c r="F153" i="30"/>
  <c r="F154" i="30"/>
  <c r="F155" i="30"/>
  <c r="F156" i="30"/>
  <c r="F157" i="30"/>
  <c r="F158" i="30"/>
  <c r="F159" i="30"/>
  <c r="F160" i="30"/>
  <c r="F161" i="30"/>
  <c r="F162" i="30"/>
  <c r="F163" i="30"/>
  <c r="F164" i="30"/>
  <c r="F165" i="30"/>
  <c r="F166" i="30"/>
  <c r="F167" i="30"/>
  <c r="F168" i="30"/>
  <c r="F169" i="30"/>
  <c r="F170" i="30"/>
  <c r="F171" i="30"/>
  <c r="F172" i="30"/>
  <c r="F173" i="30"/>
  <c r="F174" i="30"/>
  <c r="F175" i="30"/>
  <c r="F176" i="30"/>
  <c r="F177" i="30"/>
  <c r="F178" i="30"/>
  <c r="F179" i="30"/>
  <c r="F180" i="30"/>
  <c r="F181" i="30"/>
  <c r="F182" i="30"/>
  <c r="F183" i="30"/>
  <c r="F184" i="30"/>
  <c r="F185" i="30"/>
  <c r="F18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8" i="30"/>
  <c r="E169" i="30"/>
  <c r="E170" i="30"/>
  <c r="E171" i="30"/>
  <c r="E172" i="30"/>
  <c r="E173" i="30"/>
  <c r="E174" i="30"/>
  <c r="E175" i="30"/>
  <c r="E176" i="30"/>
  <c r="E177" i="30"/>
  <c r="E178" i="30"/>
  <c r="E179" i="30"/>
  <c r="E180" i="30"/>
  <c r="E181" i="30"/>
  <c r="E182" i="30"/>
  <c r="E183" i="30"/>
  <c r="E184" i="30"/>
  <c r="E185" i="30"/>
  <c r="E186" i="30"/>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G211" i="33" s="1"/>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G462" i="33" s="1"/>
  <c r="Q67" i="29"/>
  <c r="Q68" i="29"/>
  <c r="Q69" i="29"/>
  <c r="Q70" i="29"/>
  <c r="Q71" i="29"/>
  <c r="Q72" i="29"/>
  <c r="Q73" i="29"/>
  <c r="Q74" i="29"/>
  <c r="Q75" i="29"/>
  <c r="Q76" i="29"/>
  <c r="Q77" i="29"/>
  <c r="Q78" i="29"/>
  <c r="Q79" i="29"/>
  <c r="Q80" i="29"/>
  <c r="Q81" i="29"/>
  <c r="Q82" i="29"/>
  <c r="Q83" i="29"/>
  <c r="Q84" i="29"/>
  <c r="Q85" i="29"/>
  <c r="Q86" i="29"/>
  <c r="Q87" i="29"/>
  <c r="Q88" i="29"/>
  <c r="G624" i="33" s="1"/>
  <c r="Q89" i="29"/>
  <c r="Q90" i="29"/>
  <c r="Q91" i="29"/>
  <c r="Q92" i="29"/>
  <c r="Q93" i="29"/>
  <c r="Q94" i="29"/>
  <c r="Q95" i="29"/>
  <c r="Q96" i="29"/>
  <c r="Q97" i="29"/>
  <c r="Q98" i="29"/>
  <c r="Q99" i="29"/>
  <c r="Q100" i="29"/>
  <c r="Q101" i="29"/>
  <c r="Q102" i="29"/>
  <c r="Q103" i="29"/>
  <c r="Q104" i="29"/>
  <c r="Q105" i="29"/>
  <c r="Q106" i="29"/>
  <c r="Q107" i="29"/>
  <c r="Q108" i="29"/>
  <c r="Q109" i="29"/>
  <c r="Q110" i="29"/>
  <c r="Q111" i="29"/>
  <c r="Q112" i="29"/>
  <c r="Q113" i="29"/>
  <c r="Q114" i="29"/>
  <c r="G786" i="33" s="1"/>
  <c r="Q115" i="29"/>
  <c r="Q116" i="29"/>
  <c r="Q117" i="29"/>
  <c r="Q118" i="29"/>
  <c r="Q119" i="29"/>
  <c r="Q120" i="29"/>
  <c r="Q121" i="29"/>
  <c r="Q122" i="29"/>
  <c r="Q123" i="29"/>
  <c r="Q124" i="29"/>
  <c r="Q125" i="29"/>
  <c r="Q126" i="29"/>
  <c r="Q127" i="29"/>
  <c r="Q128" i="29"/>
  <c r="Q129" i="29"/>
  <c r="Q130" i="29"/>
  <c r="Q131" i="29"/>
  <c r="Q132" i="29"/>
  <c r="Q133" i="29"/>
  <c r="Q134" i="29"/>
  <c r="G931" i="33" s="1"/>
  <c r="Q135" i="29"/>
  <c r="Q136" i="29"/>
  <c r="Q137" i="29"/>
  <c r="Q138" i="29"/>
  <c r="Q139" i="29"/>
  <c r="K7" i="29"/>
  <c r="K8" i="29"/>
  <c r="L8" i="29" s="1"/>
  <c r="M8" i="29" s="1"/>
  <c r="K9" i="29"/>
  <c r="L9" i="29" s="1"/>
  <c r="M9" i="29" s="1"/>
  <c r="K10" i="29"/>
  <c r="L10" i="29" s="1"/>
  <c r="M10" i="29" s="1"/>
  <c r="K11" i="29"/>
  <c r="L11" i="29" s="1"/>
  <c r="M11" i="29" s="1"/>
  <c r="K12" i="29"/>
  <c r="L12" i="29" s="1"/>
  <c r="M12" i="29" s="1"/>
  <c r="K13" i="29"/>
  <c r="L13" i="29" s="1"/>
  <c r="M13" i="29" s="1"/>
  <c r="K14" i="29"/>
  <c r="L14" i="29" s="1"/>
  <c r="M14" i="29" s="1"/>
  <c r="K15" i="29"/>
  <c r="L15" i="29" s="1"/>
  <c r="M15" i="29" s="1"/>
  <c r="K16" i="29"/>
  <c r="L16" i="29" s="1"/>
  <c r="M16" i="29" s="1"/>
  <c r="K17" i="29"/>
  <c r="L17" i="29" s="1"/>
  <c r="M17" i="29" s="1"/>
  <c r="K18" i="29"/>
  <c r="K19" i="29"/>
  <c r="L19" i="29" s="1"/>
  <c r="M19" i="29" s="1"/>
  <c r="K20" i="29"/>
  <c r="L20" i="29" s="1"/>
  <c r="M20" i="29" s="1"/>
  <c r="K21" i="29"/>
  <c r="L21" i="29" s="1"/>
  <c r="M21" i="29" s="1"/>
  <c r="K22" i="29"/>
  <c r="L22" i="29" s="1"/>
  <c r="M22" i="29" s="1"/>
  <c r="K23" i="29"/>
  <c r="L23" i="29" s="1"/>
  <c r="M23" i="29" s="1"/>
  <c r="K24" i="29"/>
  <c r="L24" i="29" s="1"/>
  <c r="M24" i="29" s="1"/>
  <c r="K25" i="29"/>
  <c r="L25" i="29" s="1"/>
  <c r="M25" i="29" s="1"/>
  <c r="K26" i="29"/>
  <c r="L26" i="29" s="1"/>
  <c r="M26" i="29" s="1"/>
  <c r="K27" i="29"/>
  <c r="L27" i="29" s="1"/>
  <c r="M27" i="29" s="1"/>
  <c r="K28" i="29"/>
  <c r="L28" i="29" s="1"/>
  <c r="M28" i="29" s="1"/>
  <c r="K29" i="29"/>
  <c r="K30" i="29"/>
  <c r="L30" i="29" s="1"/>
  <c r="M30" i="29" s="1"/>
  <c r="K31" i="29"/>
  <c r="L31" i="29" s="1"/>
  <c r="M31" i="29" s="1"/>
  <c r="K32" i="29"/>
  <c r="L32" i="29" s="1"/>
  <c r="M32" i="29" s="1"/>
  <c r="K33" i="29"/>
  <c r="L33" i="29" s="1"/>
  <c r="M33" i="29" s="1"/>
  <c r="K34" i="29"/>
  <c r="L34" i="29" s="1"/>
  <c r="M34" i="29" s="1"/>
  <c r="K35" i="29"/>
  <c r="L35" i="29" s="1"/>
  <c r="M35" i="29" s="1"/>
  <c r="K36" i="29"/>
  <c r="L36" i="29" s="1"/>
  <c r="M36" i="29" s="1"/>
  <c r="K37" i="29"/>
  <c r="L37" i="29" s="1"/>
  <c r="M37" i="29" s="1"/>
  <c r="K38" i="29"/>
  <c r="L38" i="29" s="1"/>
  <c r="M38" i="29" s="1"/>
  <c r="K39" i="29"/>
  <c r="L39" i="29" s="1"/>
  <c r="M39" i="29" s="1"/>
  <c r="K40" i="29"/>
  <c r="L40" i="29" s="1"/>
  <c r="M40" i="29" s="1"/>
  <c r="K41" i="29"/>
  <c r="K42" i="29"/>
  <c r="L42" i="29" s="1"/>
  <c r="M42" i="29" s="1"/>
  <c r="K43" i="29"/>
  <c r="L43" i="29" s="1"/>
  <c r="M43" i="29" s="1"/>
  <c r="K44" i="29"/>
  <c r="L44" i="29" s="1"/>
  <c r="M44" i="29" s="1"/>
  <c r="K45" i="29"/>
  <c r="L45" i="29" s="1"/>
  <c r="M45" i="29" s="1"/>
  <c r="K46" i="29"/>
  <c r="L46" i="29" s="1"/>
  <c r="M46" i="29" s="1"/>
  <c r="K47" i="29"/>
  <c r="L47" i="29" s="1"/>
  <c r="M47" i="29" s="1"/>
  <c r="K48" i="29"/>
  <c r="L48" i="29" s="1"/>
  <c r="M48" i="29" s="1"/>
  <c r="K49" i="29"/>
  <c r="L49" i="29" s="1"/>
  <c r="M49" i="29" s="1"/>
  <c r="K50" i="29"/>
  <c r="L50" i="29" s="1"/>
  <c r="M50" i="29" s="1"/>
  <c r="K51" i="29"/>
  <c r="L51" i="29" s="1"/>
  <c r="M51" i="29" s="1"/>
  <c r="K52" i="29"/>
  <c r="K53" i="29"/>
  <c r="L53" i="29" s="1"/>
  <c r="M53" i="29" s="1"/>
  <c r="K54" i="29"/>
  <c r="L54" i="29" s="1"/>
  <c r="M54" i="29" s="1"/>
  <c r="K55" i="29"/>
  <c r="L55" i="29" s="1"/>
  <c r="M55" i="29" s="1"/>
  <c r="K56" i="29"/>
  <c r="L56" i="29" s="1"/>
  <c r="M56" i="29" s="1"/>
  <c r="K57" i="29"/>
  <c r="L57" i="29" s="1"/>
  <c r="M57" i="29" s="1"/>
  <c r="K58" i="29"/>
  <c r="L58" i="29" s="1"/>
  <c r="M58" i="29" s="1"/>
  <c r="K59" i="29"/>
  <c r="L59" i="29" s="1"/>
  <c r="M59" i="29" s="1"/>
  <c r="K60" i="29"/>
  <c r="L60" i="29" s="1"/>
  <c r="M60" i="29" s="1"/>
  <c r="K61" i="29"/>
  <c r="L61" i="29" s="1"/>
  <c r="M61" i="29" s="1"/>
  <c r="K62" i="29"/>
  <c r="K63" i="29"/>
  <c r="L63" i="29" s="1"/>
  <c r="M63" i="29" s="1"/>
  <c r="K64" i="29"/>
  <c r="L64" i="29" s="1"/>
  <c r="M64" i="29" s="1"/>
  <c r="K65" i="29"/>
  <c r="L65" i="29" s="1"/>
  <c r="M65" i="29" s="1"/>
  <c r="K66" i="29"/>
  <c r="L66" i="29" s="1"/>
  <c r="M66" i="29" s="1"/>
  <c r="K67" i="29"/>
  <c r="L67" i="29" s="1"/>
  <c r="M67" i="29" s="1"/>
  <c r="K68" i="29"/>
  <c r="L68" i="29" s="1"/>
  <c r="M68" i="29" s="1"/>
  <c r="K69" i="29"/>
  <c r="L69" i="29" s="1"/>
  <c r="M69" i="29" s="1"/>
  <c r="K70" i="29"/>
  <c r="L70" i="29" s="1"/>
  <c r="M70" i="29" s="1"/>
  <c r="K71" i="29"/>
  <c r="L71" i="29" s="1"/>
  <c r="M71" i="29" s="1"/>
  <c r="K72" i="29"/>
  <c r="L72" i="29" s="1"/>
  <c r="M72" i="29" s="1"/>
  <c r="K73" i="29"/>
  <c r="L73" i="29" s="1"/>
  <c r="M73" i="29" s="1"/>
  <c r="K74" i="29"/>
  <c r="L74" i="29" s="1"/>
  <c r="M74" i="29" s="1"/>
  <c r="K75" i="29"/>
  <c r="K76" i="29"/>
  <c r="L76" i="29" s="1"/>
  <c r="M76" i="29" s="1"/>
  <c r="K77" i="29"/>
  <c r="L77" i="29" s="1"/>
  <c r="M77" i="29" s="1"/>
  <c r="K78" i="29"/>
  <c r="L78" i="29" s="1"/>
  <c r="M78" i="29" s="1"/>
  <c r="K79" i="29"/>
  <c r="L79" i="29" s="1"/>
  <c r="M79" i="29" s="1"/>
  <c r="K80" i="29"/>
  <c r="L80" i="29" s="1"/>
  <c r="M80" i="29" s="1"/>
  <c r="K81" i="29"/>
  <c r="L81" i="29" s="1"/>
  <c r="M81" i="29" s="1"/>
  <c r="K82" i="29"/>
  <c r="L82" i="29" s="1"/>
  <c r="M82" i="29" s="1"/>
  <c r="K83" i="29"/>
  <c r="L83" i="29" s="1"/>
  <c r="M83" i="29" s="1"/>
  <c r="K84" i="29"/>
  <c r="L84" i="29" s="1"/>
  <c r="M84" i="29" s="1"/>
  <c r="K85" i="29"/>
  <c r="K86" i="29"/>
  <c r="L86" i="29" s="1"/>
  <c r="M86" i="29" s="1"/>
  <c r="K87" i="29"/>
  <c r="L87" i="29" s="1"/>
  <c r="M87" i="29" s="1"/>
  <c r="K88" i="29"/>
  <c r="L88" i="29" s="1"/>
  <c r="M88" i="29" s="1"/>
  <c r="K89" i="29"/>
  <c r="L89" i="29" s="1"/>
  <c r="M89" i="29" s="1"/>
  <c r="K90" i="29"/>
  <c r="L90" i="29" s="1"/>
  <c r="M90" i="29" s="1"/>
  <c r="K91" i="29"/>
  <c r="L91" i="29" s="1"/>
  <c r="M91" i="29" s="1"/>
  <c r="K92" i="29"/>
  <c r="L92" i="29" s="1"/>
  <c r="M92" i="29" s="1"/>
  <c r="K93" i="29"/>
  <c r="L93" i="29" s="1"/>
  <c r="M93" i="29" s="1"/>
  <c r="K94" i="29"/>
  <c r="L94" i="29" s="1"/>
  <c r="M94" i="29" s="1"/>
  <c r="K95" i="29"/>
  <c r="L95" i="29" s="1"/>
  <c r="M95" i="29" s="1"/>
  <c r="K96" i="29"/>
  <c r="K97" i="29"/>
  <c r="L97" i="29" s="1"/>
  <c r="M97" i="29" s="1"/>
  <c r="K98" i="29"/>
  <c r="L98" i="29" s="1"/>
  <c r="M98" i="29" s="1"/>
  <c r="K99" i="29"/>
  <c r="L99" i="29" s="1"/>
  <c r="M99" i="29" s="1"/>
  <c r="K100" i="29"/>
  <c r="L100" i="29" s="1"/>
  <c r="M100" i="29" s="1"/>
  <c r="K101" i="29"/>
  <c r="L101" i="29" s="1"/>
  <c r="M101" i="29" s="1"/>
  <c r="K102" i="29"/>
  <c r="L102" i="29" s="1"/>
  <c r="M102" i="29" s="1"/>
  <c r="K103" i="29"/>
  <c r="L103" i="29" s="1"/>
  <c r="M103" i="29" s="1"/>
  <c r="K104" i="29"/>
  <c r="L104" i="29" s="1"/>
  <c r="M104" i="29" s="1"/>
  <c r="K105" i="29"/>
  <c r="L105" i="29" s="1"/>
  <c r="M105" i="29" s="1"/>
  <c r="K106" i="29"/>
  <c r="L106" i="29" s="1"/>
  <c r="M106" i="29" s="1"/>
  <c r="K107" i="29"/>
  <c r="K108" i="29"/>
  <c r="L108" i="29" s="1"/>
  <c r="M108" i="29" s="1"/>
  <c r="K109" i="29"/>
  <c r="L109" i="29" s="1"/>
  <c r="M109" i="29" s="1"/>
  <c r="K110" i="29"/>
  <c r="L110" i="29" s="1"/>
  <c r="M110" i="29" s="1"/>
  <c r="K111" i="29"/>
  <c r="L111" i="29" s="1"/>
  <c r="M111" i="29" s="1"/>
  <c r="K112" i="29"/>
  <c r="L112" i="29" s="1"/>
  <c r="M112" i="29" s="1"/>
  <c r="K113" i="29"/>
  <c r="L113" i="29" s="1"/>
  <c r="M113" i="29" s="1"/>
  <c r="K114" i="29"/>
  <c r="L114" i="29" s="1"/>
  <c r="M114" i="29" s="1"/>
  <c r="K115" i="29"/>
  <c r="L115" i="29" s="1"/>
  <c r="M115" i="29" s="1"/>
  <c r="K116" i="29"/>
  <c r="L116" i="29" s="1"/>
  <c r="M116" i="29" s="1"/>
  <c r="K117" i="29"/>
  <c r="L117" i="29" s="1"/>
  <c r="M117" i="29" s="1"/>
  <c r="K118" i="29"/>
  <c r="K119" i="29"/>
  <c r="L119" i="29" s="1"/>
  <c r="M119" i="29" s="1"/>
  <c r="K120" i="29"/>
  <c r="L120" i="29" s="1"/>
  <c r="M120" i="29" s="1"/>
  <c r="K121" i="29"/>
  <c r="L121" i="29" s="1"/>
  <c r="M121" i="29" s="1"/>
  <c r="K122" i="29"/>
  <c r="L122" i="29" s="1"/>
  <c r="M122" i="29" s="1"/>
  <c r="K123" i="29"/>
  <c r="L123" i="29" s="1"/>
  <c r="M123" i="29" s="1"/>
  <c r="K124" i="29"/>
  <c r="L124" i="29" s="1"/>
  <c r="M124" i="29" s="1"/>
  <c r="K125" i="29"/>
  <c r="L125" i="29" s="1"/>
  <c r="M125" i="29" s="1"/>
  <c r="K126" i="29"/>
  <c r="L126" i="29" s="1"/>
  <c r="M126" i="29" s="1"/>
  <c r="K127" i="29"/>
  <c r="L127" i="29" s="1"/>
  <c r="M127" i="29" s="1"/>
  <c r="K128" i="29"/>
  <c r="K129" i="29"/>
  <c r="L129" i="29" s="1"/>
  <c r="M129" i="29" s="1"/>
  <c r="K130" i="29"/>
  <c r="L130" i="29" s="1"/>
  <c r="M130" i="29" s="1"/>
  <c r="K131" i="29"/>
  <c r="L131" i="29" s="1"/>
  <c r="M131" i="29" s="1"/>
  <c r="K132" i="29"/>
  <c r="L132" i="29" s="1"/>
  <c r="M132" i="29" s="1"/>
  <c r="K133" i="29"/>
  <c r="L133" i="29" s="1"/>
  <c r="M133" i="29" s="1"/>
  <c r="K134" i="29"/>
  <c r="L134" i="29" s="1"/>
  <c r="M134" i="29" s="1"/>
  <c r="K135" i="29"/>
  <c r="L135" i="29" s="1"/>
  <c r="M135" i="29" s="1"/>
  <c r="K136" i="29"/>
  <c r="L136" i="29" s="1"/>
  <c r="M136" i="29" s="1"/>
  <c r="K137" i="29"/>
  <c r="L137" i="29" s="1"/>
  <c r="M137" i="29" s="1"/>
  <c r="K138" i="29"/>
  <c r="L138" i="29" s="1"/>
  <c r="M138" i="29" s="1"/>
  <c r="K139" i="29"/>
  <c r="L139" i="29" s="1"/>
  <c r="M139" i="29" s="1"/>
  <c r="J10" i="29"/>
  <c r="N10" i="29" s="1"/>
  <c r="J12" i="29"/>
  <c r="N12" i="29" s="1"/>
  <c r="J13" i="29"/>
  <c r="N13" i="29" s="1"/>
  <c r="J14" i="29"/>
  <c r="N14" i="29" s="1"/>
  <c r="J21" i="29"/>
  <c r="N21" i="29" s="1"/>
  <c r="J23" i="29"/>
  <c r="N23" i="29" s="1"/>
  <c r="J24" i="29"/>
  <c r="N24" i="29" s="1"/>
  <c r="J25" i="29"/>
  <c r="N25" i="29" s="1"/>
  <c r="J31" i="29"/>
  <c r="N31" i="29" s="1"/>
  <c r="J33" i="29"/>
  <c r="N33" i="29" s="1"/>
  <c r="J35" i="29"/>
  <c r="N35" i="29" s="1"/>
  <c r="J36" i="29"/>
  <c r="N36" i="29" s="1"/>
  <c r="J43" i="29"/>
  <c r="N43" i="29" s="1"/>
  <c r="J46" i="29"/>
  <c r="N46" i="29" s="1"/>
  <c r="J47" i="29"/>
  <c r="N47" i="29" s="1"/>
  <c r="J48" i="29"/>
  <c r="N48" i="29" s="1"/>
  <c r="J54" i="29"/>
  <c r="N54" i="29" s="1"/>
  <c r="J56" i="29"/>
  <c r="N56" i="29" s="1"/>
  <c r="J57" i="29"/>
  <c r="N57" i="29" s="1"/>
  <c r="J58" i="29"/>
  <c r="N58" i="29" s="1"/>
  <c r="J64" i="29"/>
  <c r="N64" i="29" s="1"/>
  <c r="J67" i="29"/>
  <c r="N67" i="29" s="1"/>
  <c r="J68" i="29"/>
  <c r="N68" i="29" s="1"/>
  <c r="J69" i="29"/>
  <c r="N69" i="29" s="1"/>
  <c r="J77" i="29"/>
  <c r="N77" i="29" s="1"/>
  <c r="J79" i="29"/>
  <c r="N79" i="29" s="1"/>
  <c r="J80" i="29"/>
  <c r="N80" i="29" s="1"/>
  <c r="J81" i="29"/>
  <c r="N81" i="29" s="1"/>
  <c r="J87" i="29"/>
  <c r="N87" i="29" s="1"/>
  <c r="J90" i="29"/>
  <c r="N90" i="29" s="1"/>
  <c r="J91" i="29"/>
  <c r="N91" i="29" s="1"/>
  <c r="J92" i="29"/>
  <c r="N92" i="29" s="1"/>
  <c r="J98" i="29"/>
  <c r="N98" i="29" s="1"/>
  <c r="J100" i="29"/>
  <c r="N100" i="29" s="1"/>
  <c r="J101" i="29"/>
  <c r="N101" i="29" s="1"/>
  <c r="J102" i="29"/>
  <c r="N102" i="29" s="1"/>
  <c r="J109" i="29"/>
  <c r="N109" i="29" s="1"/>
  <c r="J111" i="29"/>
  <c r="N111" i="29" s="1"/>
  <c r="J112" i="29"/>
  <c r="N112" i="29" s="1"/>
  <c r="J113" i="29"/>
  <c r="N113" i="29" s="1"/>
  <c r="J114" i="29"/>
  <c r="J120" i="29"/>
  <c r="J122" i="29"/>
  <c r="N122" i="29" s="1"/>
  <c r="J123" i="29"/>
  <c r="N123" i="29" s="1"/>
  <c r="J124" i="29"/>
  <c r="N124" i="29" s="1"/>
  <c r="J130" i="29"/>
  <c r="N130" i="29" s="1"/>
  <c r="J132" i="29"/>
  <c r="N132" i="29" s="1"/>
  <c r="J133" i="29"/>
  <c r="N133" i="29" s="1"/>
  <c r="J135" i="29"/>
  <c r="N135" i="29" s="1"/>
  <c r="H8" i="29"/>
  <c r="H9" i="29"/>
  <c r="H10" i="29"/>
  <c r="H12" i="29"/>
  <c r="H13" i="29"/>
  <c r="H15" i="29"/>
  <c r="H16" i="29"/>
  <c r="H17" i="29"/>
  <c r="H19" i="29"/>
  <c r="H20" i="29"/>
  <c r="H21" i="29"/>
  <c r="H23" i="29"/>
  <c r="H24" i="29"/>
  <c r="H26" i="29"/>
  <c r="H27" i="29"/>
  <c r="H28" i="29"/>
  <c r="H30" i="29"/>
  <c r="H31" i="29"/>
  <c r="H33" i="29"/>
  <c r="H34" i="29"/>
  <c r="H35" i="29"/>
  <c r="H37" i="29"/>
  <c r="H38" i="29"/>
  <c r="H39" i="29"/>
  <c r="H40" i="29"/>
  <c r="H42" i="29"/>
  <c r="H43" i="29"/>
  <c r="H44" i="29"/>
  <c r="H46" i="29"/>
  <c r="H47" i="29"/>
  <c r="H49" i="29"/>
  <c r="H50" i="29"/>
  <c r="H51" i="29"/>
  <c r="H53" i="29"/>
  <c r="H54" i="29"/>
  <c r="H56" i="29"/>
  <c r="H57" i="29"/>
  <c r="H59" i="29"/>
  <c r="H60" i="29"/>
  <c r="H61" i="29"/>
  <c r="H63" i="29"/>
  <c r="H64" i="29"/>
  <c r="H66" i="29"/>
  <c r="H67" i="29"/>
  <c r="H68" i="29"/>
  <c r="H70" i="29"/>
  <c r="H71" i="29"/>
  <c r="H72" i="29"/>
  <c r="H73" i="29"/>
  <c r="H74" i="29"/>
  <c r="H76" i="29"/>
  <c r="H77" i="29"/>
  <c r="H79" i="29"/>
  <c r="H80" i="29"/>
  <c r="H82" i="29"/>
  <c r="H83" i="29"/>
  <c r="H84" i="29"/>
  <c r="H86" i="29"/>
  <c r="H87" i="29"/>
  <c r="H88" i="29"/>
  <c r="H90" i="29"/>
  <c r="H91" i="29"/>
  <c r="H93" i="29"/>
  <c r="H94" i="29"/>
  <c r="H95" i="29"/>
  <c r="H97" i="29"/>
  <c r="H98" i="29"/>
  <c r="H100" i="29"/>
  <c r="H101" i="29"/>
  <c r="H103" i="29"/>
  <c r="H104" i="29"/>
  <c r="H105" i="29"/>
  <c r="H106" i="29"/>
  <c r="H108" i="29"/>
  <c r="H109" i="29"/>
  <c r="H111" i="29"/>
  <c r="H112" i="29"/>
  <c r="H114" i="29"/>
  <c r="H115" i="29"/>
  <c r="H116" i="29"/>
  <c r="H117" i="29"/>
  <c r="H119" i="29"/>
  <c r="H120" i="29"/>
  <c r="H122" i="29"/>
  <c r="H123" i="29"/>
  <c r="H125" i="29"/>
  <c r="H126" i="29"/>
  <c r="H127" i="29"/>
  <c r="H129" i="29"/>
  <c r="H130" i="29"/>
  <c r="H132" i="29"/>
  <c r="H133" i="29"/>
  <c r="H134" i="29"/>
  <c r="H136" i="29"/>
  <c r="H137" i="29"/>
  <c r="H138" i="29"/>
  <c r="H139"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R6007" i="28"/>
  <c r="R6008" i="28"/>
  <c r="R6009" i="28"/>
  <c r="R6010" i="28"/>
  <c r="R6011" i="28"/>
  <c r="R6012" i="28"/>
  <c r="R6013" i="28"/>
  <c r="R6014" i="28"/>
  <c r="R6015" i="28"/>
  <c r="R6016" i="28"/>
  <c r="R6017" i="28"/>
  <c r="R6018" i="28"/>
  <c r="R6019" i="28"/>
  <c r="R6020" i="28"/>
  <c r="R6021" i="28"/>
  <c r="R6022" i="28"/>
  <c r="R6023" i="28"/>
  <c r="R6024" i="28"/>
  <c r="R6025" i="28"/>
  <c r="R6026" i="28"/>
  <c r="R6027" i="28"/>
  <c r="R6028" i="28"/>
  <c r="R6029" i="28"/>
  <c r="R6030" i="28"/>
  <c r="R6031" i="28"/>
  <c r="R6032" i="28"/>
  <c r="R6033" i="28"/>
  <c r="R6034" i="28"/>
  <c r="R6035" i="28"/>
  <c r="R6036" i="28"/>
  <c r="R6037" i="28"/>
  <c r="R6038" i="28"/>
  <c r="R6039" i="28"/>
  <c r="R6040" i="28"/>
  <c r="R6041" i="28"/>
  <c r="R6042" i="28"/>
  <c r="R6043" i="28"/>
  <c r="R6044" i="28"/>
  <c r="R6045" i="28"/>
  <c r="R6046" i="28"/>
  <c r="R6047" i="28"/>
  <c r="R6048" i="28"/>
  <c r="R6049" i="28"/>
  <c r="R6050" i="28"/>
  <c r="R6051" i="28"/>
  <c r="R6052" i="28"/>
  <c r="R6053" i="28"/>
  <c r="R6054" i="28"/>
  <c r="R6055" i="28"/>
  <c r="R6056" i="28"/>
  <c r="R6057" i="28"/>
  <c r="R6058" i="28"/>
  <c r="R6059" i="28"/>
  <c r="R6060" i="28"/>
  <c r="R6061" i="28"/>
  <c r="R6062" i="28"/>
  <c r="R6063" i="28"/>
  <c r="R6064" i="28"/>
  <c r="R6065" i="28"/>
  <c r="R6066" i="28"/>
  <c r="R6067" i="28"/>
  <c r="R6068" i="28"/>
  <c r="R6069" i="28"/>
  <c r="R6070" i="28"/>
  <c r="R6071" i="28"/>
  <c r="R6072" i="28"/>
  <c r="R6073" i="28"/>
  <c r="R6074" i="28"/>
  <c r="R6075" i="28"/>
  <c r="R6076" i="28"/>
  <c r="R6077" i="28"/>
  <c r="R6078" i="28"/>
  <c r="R6079" i="28"/>
  <c r="R6080" i="28"/>
  <c r="R6081" i="28"/>
  <c r="R6082" i="28"/>
  <c r="R6083" i="28"/>
  <c r="R6084" i="28"/>
  <c r="R6085" i="28"/>
  <c r="R6086" i="28"/>
  <c r="R6087" i="28"/>
  <c r="R6088" i="28"/>
  <c r="R6089" i="28"/>
  <c r="R6090" i="28"/>
  <c r="R6091" i="28"/>
  <c r="R6092" i="28"/>
  <c r="R6093" i="28"/>
  <c r="R6094" i="28"/>
  <c r="R6095" i="28"/>
  <c r="R6096" i="28"/>
  <c r="R6097" i="28"/>
  <c r="R6098" i="28"/>
  <c r="R6099" i="28"/>
  <c r="R6100" i="28"/>
  <c r="R6101" i="28"/>
  <c r="R6102" i="28"/>
  <c r="R6103" i="28"/>
  <c r="R6104" i="28"/>
  <c r="R6105" i="28"/>
  <c r="R6106" i="28"/>
  <c r="R6107" i="28"/>
  <c r="R6108" i="28"/>
  <c r="R6109" i="28"/>
  <c r="R6110" i="28"/>
  <c r="R6111" i="28"/>
  <c r="R6112" i="28"/>
  <c r="R6113" i="28"/>
  <c r="R6114" i="28"/>
  <c r="R6115" i="28"/>
  <c r="R6116" i="28"/>
  <c r="R6117" i="28"/>
  <c r="R6118" i="28"/>
  <c r="R6119" i="28"/>
  <c r="R6120" i="28"/>
  <c r="R6121" i="28"/>
  <c r="R6122" i="28"/>
  <c r="R6123" i="28"/>
  <c r="R6124" i="28"/>
  <c r="R6125" i="28"/>
  <c r="R6126" i="28"/>
  <c r="R6127" i="28"/>
  <c r="R6128" i="28"/>
  <c r="R6129" i="28"/>
  <c r="R6130" i="28"/>
  <c r="R6131" i="28"/>
  <c r="R6132" i="28"/>
  <c r="R6133" i="28"/>
  <c r="R6134" i="28"/>
  <c r="R6135" i="28"/>
  <c r="R6136" i="28"/>
  <c r="R6137" i="28"/>
  <c r="R6138" i="28"/>
  <c r="R6139" i="28"/>
  <c r="R6140" i="28"/>
  <c r="R6141" i="28"/>
  <c r="R6142" i="28"/>
  <c r="R6143" i="28"/>
  <c r="R6144" i="28"/>
  <c r="R6145" i="28"/>
  <c r="R6146" i="28"/>
  <c r="R6147" i="28"/>
  <c r="R6148" i="28"/>
  <c r="R6149" i="28"/>
  <c r="R6150" i="28"/>
  <c r="R6151" i="28"/>
  <c r="R6152" i="28"/>
  <c r="R6153" i="28"/>
  <c r="R6154" i="28"/>
  <c r="R6155" i="28"/>
  <c r="R6156" i="28"/>
  <c r="R6157" i="28"/>
  <c r="R6158" i="28"/>
  <c r="R6159" i="28"/>
  <c r="R6160" i="28"/>
  <c r="R6161" i="28"/>
  <c r="R6162" i="28"/>
  <c r="R6163" i="28"/>
  <c r="R6164" i="28"/>
  <c r="R6165" i="28"/>
  <c r="R6166" i="28"/>
  <c r="R6167" i="28"/>
  <c r="R6168" i="28"/>
  <c r="R6169" i="28"/>
  <c r="R6170" i="28"/>
  <c r="R6171" i="28"/>
  <c r="R6172" i="28"/>
  <c r="R6173" i="28"/>
  <c r="R6174" i="28"/>
  <c r="R6175" i="28"/>
  <c r="R6176" i="28"/>
  <c r="R6177" i="28"/>
  <c r="R6178" i="28"/>
  <c r="R6179" i="28"/>
  <c r="R6180" i="28"/>
  <c r="R6181" i="28"/>
  <c r="R6182" i="28"/>
  <c r="R6183" i="28"/>
  <c r="R6184" i="28"/>
  <c r="R6185" i="28"/>
  <c r="R6186" i="28"/>
  <c r="R6187" i="28"/>
  <c r="R6188" i="28"/>
  <c r="R6189" i="28"/>
  <c r="R6190" i="28"/>
  <c r="R6191" i="28"/>
  <c r="R6192" i="28"/>
  <c r="R6193" i="28"/>
  <c r="R6194" i="28"/>
  <c r="R6195" i="28"/>
  <c r="R6196" i="28"/>
  <c r="R4507" i="28"/>
  <c r="R4508" i="28"/>
  <c r="R4509" i="28"/>
  <c r="R4510" i="28"/>
  <c r="R4511" i="28"/>
  <c r="R4512" i="28"/>
  <c r="R4513" i="28"/>
  <c r="R4514" i="28"/>
  <c r="R4515" i="28"/>
  <c r="R4516" i="28"/>
  <c r="R4517" i="28"/>
  <c r="R4518" i="28"/>
  <c r="R4519" i="28"/>
  <c r="R4520" i="28"/>
  <c r="R4521" i="28"/>
  <c r="R4522" i="28"/>
  <c r="R4523" i="28"/>
  <c r="R4524" i="28"/>
  <c r="R4525" i="28"/>
  <c r="R4526" i="28"/>
  <c r="R4527" i="28"/>
  <c r="R4528" i="28"/>
  <c r="R4529" i="28"/>
  <c r="R4530" i="28"/>
  <c r="R4531" i="28"/>
  <c r="R4532" i="28"/>
  <c r="R4533" i="28"/>
  <c r="R4534" i="28"/>
  <c r="R4535" i="28"/>
  <c r="R4536" i="28"/>
  <c r="R4537" i="28"/>
  <c r="R4538" i="28"/>
  <c r="R4539" i="28"/>
  <c r="R4540" i="28"/>
  <c r="R4541" i="28"/>
  <c r="R4542" i="28"/>
  <c r="R4543" i="28"/>
  <c r="R4544" i="28"/>
  <c r="R4545" i="28"/>
  <c r="R4546" i="28"/>
  <c r="R4547" i="28"/>
  <c r="R4548" i="28"/>
  <c r="R4549" i="28"/>
  <c r="R4550" i="28"/>
  <c r="R4551" i="28"/>
  <c r="R4552" i="28"/>
  <c r="R4553" i="28"/>
  <c r="R4554" i="28"/>
  <c r="R4555" i="28"/>
  <c r="R4556" i="28"/>
  <c r="R4557" i="28"/>
  <c r="R4558" i="28"/>
  <c r="R4559" i="28"/>
  <c r="R4560" i="28"/>
  <c r="R4561" i="28"/>
  <c r="R4562" i="28"/>
  <c r="R4563" i="28"/>
  <c r="R4564" i="28"/>
  <c r="R4565" i="28"/>
  <c r="R4566" i="28"/>
  <c r="R4567" i="28"/>
  <c r="R4568" i="28"/>
  <c r="R4569" i="28"/>
  <c r="R4570" i="28"/>
  <c r="R4571" i="28"/>
  <c r="R4572" i="28"/>
  <c r="R4573" i="28"/>
  <c r="R4574" i="28"/>
  <c r="R4575" i="28"/>
  <c r="R4576" i="28"/>
  <c r="R4577" i="28"/>
  <c r="R4578" i="28"/>
  <c r="R4579" i="28"/>
  <c r="R4580" i="28"/>
  <c r="R4581" i="28"/>
  <c r="R4582" i="28"/>
  <c r="R4583" i="28"/>
  <c r="R4584" i="28"/>
  <c r="R4585" i="28"/>
  <c r="R4586" i="28"/>
  <c r="R4587" i="28"/>
  <c r="R4588" i="28"/>
  <c r="R4589" i="28"/>
  <c r="R4590" i="28"/>
  <c r="R4591" i="28"/>
  <c r="R4592" i="28"/>
  <c r="R4593" i="28"/>
  <c r="R4594" i="28"/>
  <c r="R4595" i="28"/>
  <c r="R4596" i="28"/>
  <c r="R4597" i="28"/>
  <c r="R4598" i="28"/>
  <c r="R4599" i="28"/>
  <c r="R4600" i="28"/>
  <c r="R4601" i="28"/>
  <c r="R4602" i="28"/>
  <c r="R4603" i="28"/>
  <c r="R4604" i="28"/>
  <c r="R4605" i="28"/>
  <c r="R4606" i="28"/>
  <c r="R4607" i="28"/>
  <c r="R4608" i="28"/>
  <c r="R4609" i="28"/>
  <c r="R4610" i="28"/>
  <c r="R4611" i="28"/>
  <c r="R4612" i="28"/>
  <c r="R4613" i="28"/>
  <c r="R4614" i="28"/>
  <c r="R4615" i="28"/>
  <c r="R4616" i="28"/>
  <c r="R4617" i="28"/>
  <c r="R4618" i="28"/>
  <c r="R4619" i="28"/>
  <c r="R4620" i="28"/>
  <c r="R4621" i="28"/>
  <c r="R4622" i="28"/>
  <c r="R4623" i="28"/>
  <c r="R4624" i="28"/>
  <c r="R4625" i="28"/>
  <c r="R4626" i="28"/>
  <c r="R4627" i="28"/>
  <c r="R4628" i="28"/>
  <c r="R4629" i="28"/>
  <c r="R4630" i="28"/>
  <c r="R4631" i="28"/>
  <c r="R4632" i="28"/>
  <c r="R4633" i="28"/>
  <c r="R4634" i="28"/>
  <c r="R4635" i="28"/>
  <c r="R4636" i="28"/>
  <c r="R4637" i="28"/>
  <c r="R4638" i="28"/>
  <c r="R4639" i="28"/>
  <c r="R4640" i="28"/>
  <c r="R4641" i="28"/>
  <c r="R4642" i="28"/>
  <c r="R4643" i="28"/>
  <c r="R4644" i="28"/>
  <c r="R4645" i="28"/>
  <c r="R4646" i="28"/>
  <c r="R4647" i="28"/>
  <c r="R4648" i="28"/>
  <c r="R4649" i="28"/>
  <c r="R4650" i="28"/>
  <c r="R4651" i="28"/>
  <c r="R4652" i="28"/>
  <c r="R4653" i="28"/>
  <c r="R4654" i="28"/>
  <c r="R4655" i="28"/>
  <c r="R4656" i="28"/>
  <c r="R4657" i="28"/>
  <c r="R4658" i="28"/>
  <c r="R4659" i="28"/>
  <c r="R4660" i="28"/>
  <c r="R4661" i="28"/>
  <c r="R4662" i="28"/>
  <c r="R4663" i="28"/>
  <c r="R4664" i="28"/>
  <c r="R4665" i="28"/>
  <c r="R4666" i="28"/>
  <c r="R4667" i="28"/>
  <c r="R4668" i="28"/>
  <c r="R4669" i="28"/>
  <c r="R4670" i="28"/>
  <c r="R4671" i="28"/>
  <c r="R4672" i="28"/>
  <c r="R4673" i="28"/>
  <c r="R4674" i="28"/>
  <c r="R4675" i="28"/>
  <c r="R4676" i="28"/>
  <c r="R4677" i="28"/>
  <c r="R4678" i="28"/>
  <c r="R4679" i="28"/>
  <c r="R4680" i="28"/>
  <c r="R4681" i="28"/>
  <c r="R4682" i="28"/>
  <c r="R4683" i="28"/>
  <c r="R4684" i="28"/>
  <c r="R4685" i="28"/>
  <c r="R4686" i="28"/>
  <c r="R4687" i="28"/>
  <c r="R4688" i="28"/>
  <c r="R4689" i="28"/>
  <c r="R4690" i="28"/>
  <c r="R4691" i="28"/>
  <c r="R4692" i="28"/>
  <c r="R4693" i="28"/>
  <c r="R4694" i="28"/>
  <c r="R4695" i="28"/>
  <c r="R4696" i="28"/>
  <c r="R4697" i="28"/>
  <c r="R4698" i="28"/>
  <c r="R4699" i="28"/>
  <c r="R4700" i="28"/>
  <c r="R4701" i="28"/>
  <c r="R4702" i="28"/>
  <c r="R4703" i="28"/>
  <c r="R4704" i="28"/>
  <c r="R4705" i="28"/>
  <c r="R4706" i="28"/>
  <c r="R4707" i="28"/>
  <c r="R4708" i="28"/>
  <c r="R4709" i="28"/>
  <c r="R4710" i="28"/>
  <c r="R4711" i="28"/>
  <c r="R4712" i="28"/>
  <c r="R4713" i="28"/>
  <c r="R4714" i="28"/>
  <c r="R4715" i="28"/>
  <c r="R4716" i="28"/>
  <c r="R4717" i="28"/>
  <c r="R4718" i="28"/>
  <c r="R4719" i="28"/>
  <c r="R4720" i="28"/>
  <c r="R4721" i="28"/>
  <c r="R4722" i="28"/>
  <c r="R4723" i="28"/>
  <c r="R4724" i="28"/>
  <c r="R4725" i="28"/>
  <c r="R4726" i="28"/>
  <c r="R4727" i="28"/>
  <c r="R4728" i="28"/>
  <c r="R4729" i="28"/>
  <c r="R4730" i="28"/>
  <c r="R4731" i="28"/>
  <c r="R4732" i="28"/>
  <c r="R4733" i="28"/>
  <c r="R4734" i="28"/>
  <c r="R4735" i="28"/>
  <c r="R4736" i="28"/>
  <c r="R4737" i="28"/>
  <c r="R4738" i="28"/>
  <c r="R4739" i="28"/>
  <c r="R4740" i="28"/>
  <c r="R4741" i="28"/>
  <c r="R4742" i="28"/>
  <c r="R4743" i="28"/>
  <c r="R4744" i="28"/>
  <c r="R4745" i="28"/>
  <c r="R4746" i="28"/>
  <c r="R4747" i="28"/>
  <c r="R4748" i="28"/>
  <c r="R4749" i="28"/>
  <c r="R4750" i="28"/>
  <c r="R4751" i="28"/>
  <c r="R4752" i="28"/>
  <c r="R4753" i="28"/>
  <c r="R4754" i="28"/>
  <c r="R4755" i="28"/>
  <c r="R4756" i="28"/>
  <c r="R4757" i="28"/>
  <c r="R4758" i="28"/>
  <c r="R4759" i="28"/>
  <c r="R4760" i="28"/>
  <c r="R4761" i="28"/>
  <c r="R4762" i="28"/>
  <c r="R4763" i="28"/>
  <c r="R4764" i="28"/>
  <c r="R4765" i="28"/>
  <c r="R4766" i="28"/>
  <c r="R4767" i="28"/>
  <c r="R4768" i="28"/>
  <c r="R4769" i="28"/>
  <c r="R4770" i="28"/>
  <c r="R4771" i="28"/>
  <c r="R4772" i="28"/>
  <c r="R4773" i="28"/>
  <c r="R4774" i="28"/>
  <c r="R4775" i="28"/>
  <c r="R4776" i="28"/>
  <c r="R4777" i="28"/>
  <c r="R4778" i="28"/>
  <c r="R4779" i="28"/>
  <c r="R4780" i="28"/>
  <c r="R4781" i="28"/>
  <c r="R4782" i="28"/>
  <c r="R4783" i="28"/>
  <c r="R4784" i="28"/>
  <c r="R4785" i="28"/>
  <c r="R4786" i="28"/>
  <c r="R4787" i="28"/>
  <c r="R4788" i="28"/>
  <c r="R4789" i="28"/>
  <c r="R4790" i="28"/>
  <c r="R4791" i="28"/>
  <c r="R4792" i="28"/>
  <c r="R4793" i="28"/>
  <c r="R4794" i="28"/>
  <c r="R4795" i="28"/>
  <c r="R4796" i="28"/>
  <c r="R4797" i="28"/>
  <c r="R4798" i="28"/>
  <c r="R4799" i="28"/>
  <c r="R4800" i="28"/>
  <c r="R4801" i="28"/>
  <c r="R4802" i="28"/>
  <c r="R4803" i="28"/>
  <c r="R4804" i="28"/>
  <c r="R4805" i="28"/>
  <c r="R4806" i="28"/>
  <c r="R4807" i="28"/>
  <c r="R4808" i="28"/>
  <c r="R4809" i="28"/>
  <c r="R4810" i="28"/>
  <c r="R4811" i="28"/>
  <c r="R4812" i="28"/>
  <c r="R4813" i="28"/>
  <c r="R4814" i="28"/>
  <c r="R4815" i="28"/>
  <c r="R4816" i="28"/>
  <c r="R4817" i="28"/>
  <c r="R4818" i="28"/>
  <c r="R4819" i="28"/>
  <c r="R4820" i="28"/>
  <c r="R4821" i="28"/>
  <c r="R4822" i="28"/>
  <c r="R4823" i="28"/>
  <c r="R4824" i="28"/>
  <c r="R4825" i="28"/>
  <c r="R4826" i="28"/>
  <c r="R4827" i="28"/>
  <c r="R4828" i="28"/>
  <c r="R4829" i="28"/>
  <c r="R4830" i="28"/>
  <c r="R4831" i="28"/>
  <c r="R4832" i="28"/>
  <c r="R4833" i="28"/>
  <c r="R4834" i="28"/>
  <c r="R4835" i="28"/>
  <c r="R4836" i="28"/>
  <c r="R4837" i="28"/>
  <c r="R4838" i="28"/>
  <c r="R4839" i="28"/>
  <c r="R4840" i="28"/>
  <c r="R4841" i="28"/>
  <c r="R4842" i="28"/>
  <c r="R4843" i="28"/>
  <c r="R4844" i="28"/>
  <c r="R4845" i="28"/>
  <c r="R4846" i="28"/>
  <c r="R4847" i="28"/>
  <c r="R4848" i="28"/>
  <c r="R4849" i="28"/>
  <c r="R4850" i="28"/>
  <c r="R4851" i="28"/>
  <c r="R4852" i="28"/>
  <c r="R4853" i="28"/>
  <c r="R4854" i="28"/>
  <c r="R4855" i="28"/>
  <c r="R4856" i="28"/>
  <c r="R4857" i="28"/>
  <c r="R4858" i="28"/>
  <c r="R4859" i="28"/>
  <c r="R4860" i="28"/>
  <c r="R4861" i="28"/>
  <c r="R4862" i="28"/>
  <c r="R4863" i="28"/>
  <c r="R4864" i="28"/>
  <c r="R4865" i="28"/>
  <c r="R4866" i="28"/>
  <c r="R4867" i="28"/>
  <c r="R4868" i="28"/>
  <c r="R4869" i="28"/>
  <c r="R4870" i="28"/>
  <c r="R4871" i="28"/>
  <c r="R4872" i="28"/>
  <c r="R4873" i="28"/>
  <c r="R4874" i="28"/>
  <c r="R4875" i="28"/>
  <c r="R4876" i="28"/>
  <c r="R4877" i="28"/>
  <c r="R4878" i="28"/>
  <c r="R4879" i="28"/>
  <c r="R4880" i="28"/>
  <c r="R4881" i="28"/>
  <c r="R4882" i="28"/>
  <c r="R4883" i="28"/>
  <c r="R4884" i="28"/>
  <c r="R4885" i="28"/>
  <c r="R4886" i="28"/>
  <c r="R4887" i="28"/>
  <c r="R4888" i="28"/>
  <c r="R4889" i="28"/>
  <c r="R4890" i="28"/>
  <c r="R4891" i="28"/>
  <c r="R4892" i="28"/>
  <c r="R4893" i="28"/>
  <c r="R4894" i="28"/>
  <c r="R4895" i="28"/>
  <c r="R4896" i="28"/>
  <c r="R4897" i="28"/>
  <c r="R4898" i="28"/>
  <c r="R4899" i="28"/>
  <c r="R4900" i="28"/>
  <c r="R4901" i="28"/>
  <c r="R4902" i="28"/>
  <c r="R4903" i="28"/>
  <c r="R4904" i="28"/>
  <c r="R4905" i="28"/>
  <c r="R4906" i="28"/>
  <c r="R4907" i="28"/>
  <c r="R4908" i="28"/>
  <c r="R4909" i="28"/>
  <c r="R4910" i="28"/>
  <c r="R4911" i="28"/>
  <c r="R4912" i="28"/>
  <c r="R4913" i="28"/>
  <c r="R4914" i="28"/>
  <c r="R4915" i="28"/>
  <c r="R4916" i="28"/>
  <c r="R4917" i="28"/>
  <c r="R4918" i="28"/>
  <c r="R4919" i="28"/>
  <c r="R4920" i="28"/>
  <c r="R4921" i="28"/>
  <c r="R4922" i="28"/>
  <c r="R4923" i="28"/>
  <c r="R4924" i="28"/>
  <c r="R4925" i="28"/>
  <c r="R4926" i="28"/>
  <c r="R4927" i="28"/>
  <c r="R4928" i="28"/>
  <c r="R4929" i="28"/>
  <c r="R4930" i="28"/>
  <c r="R4931" i="28"/>
  <c r="R4932" i="28"/>
  <c r="R4933" i="28"/>
  <c r="R4934" i="28"/>
  <c r="R4935" i="28"/>
  <c r="R4936" i="28"/>
  <c r="R4937" i="28"/>
  <c r="R4938" i="28"/>
  <c r="R4939" i="28"/>
  <c r="R4940" i="28"/>
  <c r="R4941" i="28"/>
  <c r="R4942" i="28"/>
  <c r="R4943" i="28"/>
  <c r="R4944" i="28"/>
  <c r="R4945" i="28"/>
  <c r="R4946" i="28"/>
  <c r="R4947" i="28"/>
  <c r="R4948" i="28"/>
  <c r="R4949" i="28"/>
  <c r="R4950" i="28"/>
  <c r="R4951" i="28"/>
  <c r="R4952" i="28"/>
  <c r="R4953" i="28"/>
  <c r="R4954" i="28"/>
  <c r="R4955" i="28"/>
  <c r="R4956" i="28"/>
  <c r="R4957" i="28"/>
  <c r="R4958" i="28"/>
  <c r="R4959" i="28"/>
  <c r="R4960" i="28"/>
  <c r="R4961" i="28"/>
  <c r="R4962" i="28"/>
  <c r="R4963" i="28"/>
  <c r="R4964" i="28"/>
  <c r="R4965" i="28"/>
  <c r="R4966" i="28"/>
  <c r="R4967" i="28"/>
  <c r="R4968" i="28"/>
  <c r="R4969" i="28"/>
  <c r="R4970" i="28"/>
  <c r="R4971" i="28"/>
  <c r="R4972" i="28"/>
  <c r="R4973" i="28"/>
  <c r="R4974" i="28"/>
  <c r="R4975" i="28"/>
  <c r="R4976" i="28"/>
  <c r="R4977" i="28"/>
  <c r="R4978" i="28"/>
  <c r="R4979" i="28"/>
  <c r="R4980" i="28"/>
  <c r="R4981" i="28"/>
  <c r="R4982" i="28"/>
  <c r="R4983" i="28"/>
  <c r="R4984" i="28"/>
  <c r="R4985" i="28"/>
  <c r="R4986" i="28"/>
  <c r="R4987" i="28"/>
  <c r="R4988" i="28"/>
  <c r="R4989" i="28"/>
  <c r="R4990" i="28"/>
  <c r="R4991" i="28"/>
  <c r="R4992" i="28"/>
  <c r="R4993" i="28"/>
  <c r="R4994" i="28"/>
  <c r="R4995" i="28"/>
  <c r="R4996" i="28"/>
  <c r="R4997" i="28"/>
  <c r="R4998" i="28"/>
  <c r="R4999" i="28"/>
  <c r="R5000" i="28"/>
  <c r="R5001" i="28"/>
  <c r="R5002" i="28"/>
  <c r="R5003" i="28"/>
  <c r="R5004" i="28"/>
  <c r="R5005" i="28"/>
  <c r="R5006" i="28"/>
  <c r="R5007" i="28"/>
  <c r="R5008" i="28"/>
  <c r="R5009" i="28"/>
  <c r="R5010" i="28"/>
  <c r="R5011" i="28"/>
  <c r="R5012" i="28"/>
  <c r="R5013" i="28"/>
  <c r="R5014" i="28"/>
  <c r="R5015" i="28"/>
  <c r="R5016" i="28"/>
  <c r="R5017" i="28"/>
  <c r="R5018" i="28"/>
  <c r="R5019" i="28"/>
  <c r="R5020" i="28"/>
  <c r="R5021" i="28"/>
  <c r="R5022" i="28"/>
  <c r="R5023" i="28"/>
  <c r="R5024" i="28"/>
  <c r="R5025" i="28"/>
  <c r="R5026" i="28"/>
  <c r="R5027" i="28"/>
  <c r="R5028" i="28"/>
  <c r="R5029" i="28"/>
  <c r="R5030" i="28"/>
  <c r="R5031" i="28"/>
  <c r="R5032" i="28"/>
  <c r="R5033" i="28"/>
  <c r="R5034" i="28"/>
  <c r="R5035" i="28"/>
  <c r="R5036" i="28"/>
  <c r="R5037" i="28"/>
  <c r="R5038" i="28"/>
  <c r="R5039" i="28"/>
  <c r="R5040" i="28"/>
  <c r="R5041" i="28"/>
  <c r="R5042" i="28"/>
  <c r="R5043" i="28"/>
  <c r="R5044" i="28"/>
  <c r="R5045" i="28"/>
  <c r="R5046" i="28"/>
  <c r="R5047" i="28"/>
  <c r="R5048" i="28"/>
  <c r="R5049" i="28"/>
  <c r="R5050" i="28"/>
  <c r="R5051" i="28"/>
  <c r="R5052" i="28"/>
  <c r="R5053" i="28"/>
  <c r="R5054" i="28"/>
  <c r="R5055" i="28"/>
  <c r="R5056" i="28"/>
  <c r="R5057" i="28"/>
  <c r="R5058" i="28"/>
  <c r="R5059" i="28"/>
  <c r="R5060" i="28"/>
  <c r="R5061" i="28"/>
  <c r="R5062" i="28"/>
  <c r="R5063" i="28"/>
  <c r="R5064" i="28"/>
  <c r="R5065" i="28"/>
  <c r="R5066" i="28"/>
  <c r="R5067" i="28"/>
  <c r="R5068" i="28"/>
  <c r="R5069" i="28"/>
  <c r="R5070" i="28"/>
  <c r="R5071" i="28"/>
  <c r="R5072" i="28"/>
  <c r="R5073" i="28"/>
  <c r="R5074" i="28"/>
  <c r="R5075" i="28"/>
  <c r="R5076" i="28"/>
  <c r="R5077" i="28"/>
  <c r="R5078" i="28"/>
  <c r="R5079" i="28"/>
  <c r="R5080" i="28"/>
  <c r="R5081" i="28"/>
  <c r="R5082" i="28"/>
  <c r="R5083" i="28"/>
  <c r="R5084" i="28"/>
  <c r="R5085" i="28"/>
  <c r="R5086" i="28"/>
  <c r="R5087" i="28"/>
  <c r="R5088" i="28"/>
  <c r="R5089" i="28"/>
  <c r="R5090" i="28"/>
  <c r="R5091" i="28"/>
  <c r="R5092" i="28"/>
  <c r="R5093" i="28"/>
  <c r="R5094" i="28"/>
  <c r="R5095" i="28"/>
  <c r="R5096" i="28"/>
  <c r="R5097" i="28"/>
  <c r="R5098" i="28"/>
  <c r="R5099" i="28"/>
  <c r="R5100" i="28"/>
  <c r="R5101" i="28"/>
  <c r="R5102" i="28"/>
  <c r="R5103" i="28"/>
  <c r="R5104" i="28"/>
  <c r="R5105" i="28"/>
  <c r="R5106" i="28"/>
  <c r="R5107" i="28"/>
  <c r="R5108" i="28"/>
  <c r="R5109" i="28"/>
  <c r="R5110" i="28"/>
  <c r="R5111" i="28"/>
  <c r="R5112" i="28"/>
  <c r="R5113" i="28"/>
  <c r="R5114" i="28"/>
  <c r="R5115" i="28"/>
  <c r="R5116" i="28"/>
  <c r="R5117" i="28"/>
  <c r="R5118" i="28"/>
  <c r="R5119" i="28"/>
  <c r="R5120" i="28"/>
  <c r="R5121" i="28"/>
  <c r="R5122" i="28"/>
  <c r="R5123" i="28"/>
  <c r="R5124" i="28"/>
  <c r="R5125" i="28"/>
  <c r="R5126" i="28"/>
  <c r="R5127" i="28"/>
  <c r="R5128" i="28"/>
  <c r="R5129" i="28"/>
  <c r="R5130" i="28"/>
  <c r="R5131" i="28"/>
  <c r="R5132" i="28"/>
  <c r="R5133" i="28"/>
  <c r="R5134" i="28"/>
  <c r="R5135" i="28"/>
  <c r="R5136" i="28"/>
  <c r="R5137" i="28"/>
  <c r="R5138" i="28"/>
  <c r="R5139" i="28"/>
  <c r="R5140" i="28"/>
  <c r="R5141" i="28"/>
  <c r="R5142" i="28"/>
  <c r="R5143" i="28"/>
  <c r="R5144" i="28"/>
  <c r="R5145" i="28"/>
  <c r="R5146" i="28"/>
  <c r="R5147" i="28"/>
  <c r="R5148" i="28"/>
  <c r="R5149" i="28"/>
  <c r="R5150" i="28"/>
  <c r="R5151" i="28"/>
  <c r="R5152" i="28"/>
  <c r="R5153" i="28"/>
  <c r="R5154" i="28"/>
  <c r="R5155" i="28"/>
  <c r="R5156" i="28"/>
  <c r="R5157" i="28"/>
  <c r="R5158" i="28"/>
  <c r="R5159" i="28"/>
  <c r="R5160" i="28"/>
  <c r="R5161" i="28"/>
  <c r="R5162" i="28"/>
  <c r="R5163" i="28"/>
  <c r="R5164" i="28"/>
  <c r="R5165" i="28"/>
  <c r="R5166" i="28"/>
  <c r="R5167" i="28"/>
  <c r="R5168" i="28"/>
  <c r="R5169" i="28"/>
  <c r="R5170" i="28"/>
  <c r="R5171" i="28"/>
  <c r="R5172" i="28"/>
  <c r="R5173" i="28"/>
  <c r="R5174" i="28"/>
  <c r="R5175" i="28"/>
  <c r="R5176" i="28"/>
  <c r="R5177" i="28"/>
  <c r="R5178" i="28"/>
  <c r="R5179" i="28"/>
  <c r="R5180" i="28"/>
  <c r="R5181" i="28"/>
  <c r="R5182" i="28"/>
  <c r="R5183" i="28"/>
  <c r="R5184" i="28"/>
  <c r="R5185" i="28"/>
  <c r="R5186" i="28"/>
  <c r="R5187" i="28"/>
  <c r="R5188" i="28"/>
  <c r="R5189" i="28"/>
  <c r="R5190" i="28"/>
  <c r="R5191" i="28"/>
  <c r="R5192" i="28"/>
  <c r="R5193" i="28"/>
  <c r="R5194" i="28"/>
  <c r="R5195" i="28"/>
  <c r="R5196" i="28"/>
  <c r="R5197" i="28"/>
  <c r="R5198" i="28"/>
  <c r="R5199" i="28"/>
  <c r="R5200" i="28"/>
  <c r="R5201" i="28"/>
  <c r="R5202" i="28"/>
  <c r="R5203" i="28"/>
  <c r="R5204" i="28"/>
  <c r="R5205" i="28"/>
  <c r="R5206" i="28"/>
  <c r="R5207" i="28"/>
  <c r="R5208" i="28"/>
  <c r="R5209" i="28"/>
  <c r="R5210" i="28"/>
  <c r="R5211" i="28"/>
  <c r="R5212" i="28"/>
  <c r="R5213" i="28"/>
  <c r="R5214" i="28"/>
  <c r="R5215" i="28"/>
  <c r="R5216" i="28"/>
  <c r="R5217" i="28"/>
  <c r="R5218" i="28"/>
  <c r="R5219" i="28"/>
  <c r="R5220" i="28"/>
  <c r="R5221" i="28"/>
  <c r="R5222" i="28"/>
  <c r="R5223" i="28"/>
  <c r="R5224" i="28"/>
  <c r="R5225" i="28"/>
  <c r="R5226" i="28"/>
  <c r="R5227" i="28"/>
  <c r="R5228" i="28"/>
  <c r="R5229" i="28"/>
  <c r="R5230" i="28"/>
  <c r="R5231" i="28"/>
  <c r="R5232" i="28"/>
  <c r="R5233" i="28"/>
  <c r="R5234" i="28"/>
  <c r="R5235" i="28"/>
  <c r="R5236" i="28"/>
  <c r="R5237" i="28"/>
  <c r="R5238" i="28"/>
  <c r="R5239" i="28"/>
  <c r="R5240" i="28"/>
  <c r="R5241" i="28"/>
  <c r="R5242" i="28"/>
  <c r="R5243" i="28"/>
  <c r="R5244" i="28"/>
  <c r="R5245" i="28"/>
  <c r="R5246" i="28"/>
  <c r="R5247" i="28"/>
  <c r="R5248" i="28"/>
  <c r="R5249" i="28"/>
  <c r="R5250" i="28"/>
  <c r="R5251" i="28"/>
  <c r="R5252" i="28"/>
  <c r="R5253" i="28"/>
  <c r="R5254" i="28"/>
  <c r="R5255" i="28"/>
  <c r="R5256" i="28"/>
  <c r="R5257" i="28"/>
  <c r="R5258" i="28"/>
  <c r="R5259" i="28"/>
  <c r="R5260" i="28"/>
  <c r="R5261" i="28"/>
  <c r="R5262" i="28"/>
  <c r="R5263" i="28"/>
  <c r="R5264" i="28"/>
  <c r="R5265" i="28"/>
  <c r="R5266" i="28"/>
  <c r="R5267" i="28"/>
  <c r="R5268" i="28"/>
  <c r="R5269" i="28"/>
  <c r="R5270" i="28"/>
  <c r="R5271" i="28"/>
  <c r="R5272" i="28"/>
  <c r="R5273" i="28"/>
  <c r="R5274" i="28"/>
  <c r="R5275" i="28"/>
  <c r="R5276" i="28"/>
  <c r="R5277" i="28"/>
  <c r="R5278" i="28"/>
  <c r="R5279" i="28"/>
  <c r="R5280" i="28"/>
  <c r="R5281" i="28"/>
  <c r="R5282" i="28"/>
  <c r="R5283" i="28"/>
  <c r="R5284" i="28"/>
  <c r="R5285" i="28"/>
  <c r="R5286" i="28"/>
  <c r="R5287" i="28"/>
  <c r="R5288" i="28"/>
  <c r="R5289" i="28"/>
  <c r="R5290" i="28"/>
  <c r="R5291" i="28"/>
  <c r="R5292" i="28"/>
  <c r="R5293" i="28"/>
  <c r="R5294" i="28"/>
  <c r="R5295" i="28"/>
  <c r="R5296" i="28"/>
  <c r="R5297" i="28"/>
  <c r="R5298" i="28"/>
  <c r="R5299" i="28"/>
  <c r="R5300" i="28"/>
  <c r="R5301" i="28"/>
  <c r="R5302" i="28"/>
  <c r="R5303" i="28"/>
  <c r="R5304" i="28"/>
  <c r="R5305" i="28"/>
  <c r="R5306" i="28"/>
  <c r="R5307" i="28"/>
  <c r="R5308" i="28"/>
  <c r="R5309" i="28"/>
  <c r="R5310" i="28"/>
  <c r="R5311" i="28"/>
  <c r="R5312" i="28"/>
  <c r="R5313" i="28"/>
  <c r="R5314" i="28"/>
  <c r="R5315" i="28"/>
  <c r="R5316" i="28"/>
  <c r="R5317" i="28"/>
  <c r="R5318" i="28"/>
  <c r="R5319" i="28"/>
  <c r="R5320" i="28"/>
  <c r="R5321" i="28"/>
  <c r="R5322" i="28"/>
  <c r="R5323" i="28"/>
  <c r="R5324" i="28"/>
  <c r="R5325" i="28"/>
  <c r="R5326" i="28"/>
  <c r="R5327" i="28"/>
  <c r="R5328" i="28"/>
  <c r="R5329" i="28"/>
  <c r="R5330" i="28"/>
  <c r="R5331" i="28"/>
  <c r="R5332" i="28"/>
  <c r="R5333" i="28"/>
  <c r="R5334" i="28"/>
  <c r="R5335" i="28"/>
  <c r="R5336" i="28"/>
  <c r="R5337" i="28"/>
  <c r="R5338" i="28"/>
  <c r="R5339" i="28"/>
  <c r="R5340" i="28"/>
  <c r="R5341" i="28"/>
  <c r="R5342" i="28"/>
  <c r="R5343" i="28"/>
  <c r="R5344" i="28"/>
  <c r="R5345" i="28"/>
  <c r="R5346" i="28"/>
  <c r="R5347" i="28"/>
  <c r="R5348" i="28"/>
  <c r="R5349" i="28"/>
  <c r="R5350" i="28"/>
  <c r="R5351" i="28"/>
  <c r="R5352" i="28"/>
  <c r="R5353" i="28"/>
  <c r="R5354" i="28"/>
  <c r="R5355" i="28"/>
  <c r="R5356" i="28"/>
  <c r="R5357" i="28"/>
  <c r="R5358" i="28"/>
  <c r="R5359" i="28"/>
  <c r="R5360" i="28"/>
  <c r="R5361" i="28"/>
  <c r="R5362" i="28"/>
  <c r="R5363" i="28"/>
  <c r="R5364" i="28"/>
  <c r="R5365" i="28"/>
  <c r="R5366" i="28"/>
  <c r="R5367" i="28"/>
  <c r="R5368" i="28"/>
  <c r="R5369" i="28"/>
  <c r="R5370" i="28"/>
  <c r="R5371" i="28"/>
  <c r="R5372" i="28"/>
  <c r="R5373" i="28"/>
  <c r="R5374" i="28"/>
  <c r="R5375" i="28"/>
  <c r="R5376" i="28"/>
  <c r="R5377" i="28"/>
  <c r="R5378" i="28"/>
  <c r="R5379" i="28"/>
  <c r="R5380" i="28"/>
  <c r="R5381" i="28"/>
  <c r="R5382" i="28"/>
  <c r="R5383" i="28"/>
  <c r="R5384" i="28"/>
  <c r="R5385" i="28"/>
  <c r="R5386" i="28"/>
  <c r="R5387" i="28"/>
  <c r="R5388" i="28"/>
  <c r="R5389" i="28"/>
  <c r="R5390" i="28"/>
  <c r="R5391" i="28"/>
  <c r="R5392" i="28"/>
  <c r="R5393" i="28"/>
  <c r="R5394" i="28"/>
  <c r="R5395" i="28"/>
  <c r="R5396" i="28"/>
  <c r="R5397" i="28"/>
  <c r="R5398" i="28"/>
  <c r="R5399" i="28"/>
  <c r="R5400" i="28"/>
  <c r="R5401" i="28"/>
  <c r="R5402" i="28"/>
  <c r="R5403" i="28"/>
  <c r="R5404" i="28"/>
  <c r="R5405" i="28"/>
  <c r="R5406" i="28"/>
  <c r="R5407" i="28"/>
  <c r="R5408" i="28"/>
  <c r="R5409" i="28"/>
  <c r="R5410" i="28"/>
  <c r="R5411" i="28"/>
  <c r="R5412" i="28"/>
  <c r="R5413" i="28"/>
  <c r="R5414" i="28"/>
  <c r="R5415" i="28"/>
  <c r="R5416" i="28"/>
  <c r="R5417" i="28"/>
  <c r="R5418" i="28"/>
  <c r="R5419" i="28"/>
  <c r="R5420" i="28"/>
  <c r="R5421" i="28"/>
  <c r="R5422" i="28"/>
  <c r="R5423" i="28"/>
  <c r="R5424" i="28"/>
  <c r="R5425" i="28"/>
  <c r="R5426" i="28"/>
  <c r="R5427" i="28"/>
  <c r="R5428" i="28"/>
  <c r="R5429" i="28"/>
  <c r="R5430" i="28"/>
  <c r="R5431" i="28"/>
  <c r="R5432" i="28"/>
  <c r="R5433" i="28"/>
  <c r="R5434" i="28"/>
  <c r="R5435" i="28"/>
  <c r="R5436" i="28"/>
  <c r="R5437" i="28"/>
  <c r="R5438" i="28"/>
  <c r="R5439" i="28"/>
  <c r="R5440" i="28"/>
  <c r="R5441" i="28"/>
  <c r="R5442" i="28"/>
  <c r="R5443" i="28"/>
  <c r="R5444" i="28"/>
  <c r="R5445" i="28"/>
  <c r="R5446" i="28"/>
  <c r="R5447" i="28"/>
  <c r="R5448" i="28"/>
  <c r="R5449" i="28"/>
  <c r="R5450" i="28"/>
  <c r="R5451" i="28"/>
  <c r="R5452" i="28"/>
  <c r="R5453" i="28"/>
  <c r="R5454" i="28"/>
  <c r="R5455" i="28"/>
  <c r="R5456" i="28"/>
  <c r="R5457" i="28"/>
  <c r="R5458" i="28"/>
  <c r="R5459" i="28"/>
  <c r="R5460" i="28"/>
  <c r="R5461" i="28"/>
  <c r="R5462" i="28"/>
  <c r="R5463" i="28"/>
  <c r="R5464" i="28"/>
  <c r="R5465" i="28"/>
  <c r="R5466" i="28"/>
  <c r="R5467" i="28"/>
  <c r="R5468" i="28"/>
  <c r="R5469" i="28"/>
  <c r="R5470" i="28"/>
  <c r="R5471" i="28"/>
  <c r="R5472" i="28"/>
  <c r="R5473" i="28"/>
  <c r="R5474" i="28"/>
  <c r="R5475" i="28"/>
  <c r="R5476" i="28"/>
  <c r="R5477" i="28"/>
  <c r="R5478" i="28"/>
  <c r="R5479" i="28"/>
  <c r="R5480" i="28"/>
  <c r="R5481" i="28"/>
  <c r="R5482" i="28"/>
  <c r="R5483" i="28"/>
  <c r="R5484" i="28"/>
  <c r="R5485" i="28"/>
  <c r="R5486" i="28"/>
  <c r="R5487" i="28"/>
  <c r="R5488" i="28"/>
  <c r="R5489" i="28"/>
  <c r="R5490" i="28"/>
  <c r="R5491" i="28"/>
  <c r="R5492" i="28"/>
  <c r="R5493" i="28"/>
  <c r="R5494" i="28"/>
  <c r="R5495" i="28"/>
  <c r="R5496" i="28"/>
  <c r="R5497" i="28"/>
  <c r="R5498" i="28"/>
  <c r="R5499" i="28"/>
  <c r="R5500" i="28"/>
  <c r="R5501" i="28"/>
  <c r="R5502" i="28"/>
  <c r="R5503" i="28"/>
  <c r="R5504" i="28"/>
  <c r="R5505" i="28"/>
  <c r="R5506" i="28"/>
  <c r="R5507" i="28"/>
  <c r="R5508" i="28"/>
  <c r="R5509" i="28"/>
  <c r="R5510" i="28"/>
  <c r="R5511" i="28"/>
  <c r="R5512" i="28"/>
  <c r="R5513" i="28"/>
  <c r="R5514" i="28"/>
  <c r="R5515" i="28"/>
  <c r="R5516" i="28"/>
  <c r="R5517" i="28"/>
  <c r="R5518" i="28"/>
  <c r="R5519" i="28"/>
  <c r="R5520" i="28"/>
  <c r="R5521" i="28"/>
  <c r="R5522" i="28"/>
  <c r="R5523" i="28"/>
  <c r="R5524" i="28"/>
  <c r="R5525" i="28"/>
  <c r="R5526" i="28"/>
  <c r="R5527" i="28"/>
  <c r="R5528" i="28"/>
  <c r="R5529" i="28"/>
  <c r="R5530" i="28"/>
  <c r="R5531" i="28"/>
  <c r="R5532" i="28"/>
  <c r="R5533" i="28"/>
  <c r="R5534" i="28"/>
  <c r="R5535" i="28"/>
  <c r="R5536" i="28"/>
  <c r="R5537" i="28"/>
  <c r="R5538" i="28"/>
  <c r="R5539" i="28"/>
  <c r="R5540" i="28"/>
  <c r="R5541" i="28"/>
  <c r="R5542" i="28"/>
  <c r="R5543" i="28"/>
  <c r="R5544" i="28"/>
  <c r="R5545" i="28"/>
  <c r="R5546" i="28"/>
  <c r="R5547" i="28"/>
  <c r="R5548" i="28"/>
  <c r="R5549" i="28"/>
  <c r="R5550" i="28"/>
  <c r="R5551" i="28"/>
  <c r="R5552" i="28"/>
  <c r="R5553" i="28"/>
  <c r="R5554" i="28"/>
  <c r="R5555" i="28"/>
  <c r="R5556" i="28"/>
  <c r="R5557" i="28"/>
  <c r="R5558" i="28"/>
  <c r="R5559" i="28"/>
  <c r="R5560" i="28"/>
  <c r="R5561" i="28"/>
  <c r="R5562" i="28"/>
  <c r="R5563" i="28"/>
  <c r="R5564" i="28"/>
  <c r="R5565" i="28"/>
  <c r="R5566" i="28"/>
  <c r="R5567" i="28"/>
  <c r="R5568" i="28"/>
  <c r="R5569" i="28"/>
  <c r="R5570" i="28"/>
  <c r="R5571" i="28"/>
  <c r="R5572" i="28"/>
  <c r="R5573" i="28"/>
  <c r="R5574" i="28"/>
  <c r="R5575" i="28"/>
  <c r="R5576" i="28"/>
  <c r="R5577" i="28"/>
  <c r="R5578" i="28"/>
  <c r="R5579" i="28"/>
  <c r="R5580" i="28"/>
  <c r="R5581" i="28"/>
  <c r="R5582" i="28"/>
  <c r="R5583" i="28"/>
  <c r="R5584" i="28"/>
  <c r="R5585" i="28"/>
  <c r="R5586" i="28"/>
  <c r="R5587" i="28"/>
  <c r="R5588" i="28"/>
  <c r="R5589" i="28"/>
  <c r="R5590" i="28"/>
  <c r="R5591" i="28"/>
  <c r="R5592" i="28"/>
  <c r="R5593" i="28"/>
  <c r="R5594" i="28"/>
  <c r="R5595" i="28"/>
  <c r="R5596" i="28"/>
  <c r="R5597" i="28"/>
  <c r="R5598" i="28"/>
  <c r="R5599" i="28"/>
  <c r="R5600" i="28"/>
  <c r="R5601" i="28"/>
  <c r="R5602" i="28"/>
  <c r="R5603" i="28"/>
  <c r="R5604" i="28"/>
  <c r="R5605" i="28"/>
  <c r="R5606" i="28"/>
  <c r="R5607" i="28"/>
  <c r="R5608" i="28"/>
  <c r="R5609" i="28"/>
  <c r="R5610" i="28"/>
  <c r="R5611" i="28"/>
  <c r="R5612" i="28"/>
  <c r="R5613" i="28"/>
  <c r="R5614" i="28"/>
  <c r="R5615" i="28"/>
  <c r="R5616" i="28"/>
  <c r="R5617" i="28"/>
  <c r="R5618" i="28"/>
  <c r="R5619" i="28"/>
  <c r="R5620" i="28"/>
  <c r="R5621" i="28"/>
  <c r="R5622" i="28"/>
  <c r="R5623" i="28"/>
  <c r="R5624" i="28"/>
  <c r="R5625" i="28"/>
  <c r="R5626" i="28"/>
  <c r="R5627" i="28"/>
  <c r="R5628" i="28"/>
  <c r="R5629" i="28"/>
  <c r="R5630" i="28"/>
  <c r="R5631" i="28"/>
  <c r="R5632" i="28"/>
  <c r="R5633" i="28"/>
  <c r="R5634" i="28"/>
  <c r="R5635" i="28"/>
  <c r="R5636" i="28"/>
  <c r="R5637" i="28"/>
  <c r="R5638" i="28"/>
  <c r="R5639" i="28"/>
  <c r="R5640" i="28"/>
  <c r="R5641" i="28"/>
  <c r="R5642" i="28"/>
  <c r="R5643" i="28"/>
  <c r="R5644" i="28"/>
  <c r="R5645" i="28"/>
  <c r="R5646" i="28"/>
  <c r="R5647" i="28"/>
  <c r="R5648" i="28"/>
  <c r="R5649" i="28"/>
  <c r="R5650" i="28"/>
  <c r="R5651" i="28"/>
  <c r="R5652" i="28"/>
  <c r="R5653" i="28"/>
  <c r="R5654" i="28"/>
  <c r="R5655" i="28"/>
  <c r="R5656" i="28"/>
  <c r="R5657" i="28"/>
  <c r="R5658" i="28"/>
  <c r="R5659" i="28"/>
  <c r="R5660" i="28"/>
  <c r="R5661" i="28"/>
  <c r="R5662" i="28"/>
  <c r="R5663" i="28"/>
  <c r="R5664" i="28"/>
  <c r="R5665" i="28"/>
  <c r="R5666" i="28"/>
  <c r="R5667" i="28"/>
  <c r="R5668" i="28"/>
  <c r="R5669" i="28"/>
  <c r="R5670" i="28"/>
  <c r="R5671" i="28"/>
  <c r="R5672" i="28"/>
  <c r="R5673" i="28"/>
  <c r="R5674" i="28"/>
  <c r="R5675" i="28"/>
  <c r="R5676" i="28"/>
  <c r="R5677" i="28"/>
  <c r="R5678" i="28"/>
  <c r="R5679" i="28"/>
  <c r="R5680" i="28"/>
  <c r="R5681" i="28"/>
  <c r="R5682" i="28"/>
  <c r="R5683" i="28"/>
  <c r="R5684" i="28"/>
  <c r="R5685" i="28"/>
  <c r="R5686" i="28"/>
  <c r="R5687" i="28"/>
  <c r="R5688" i="28"/>
  <c r="R5689" i="28"/>
  <c r="R5690" i="28"/>
  <c r="R5691" i="28"/>
  <c r="R5692" i="28"/>
  <c r="R5693" i="28"/>
  <c r="R5694" i="28"/>
  <c r="R5695" i="28"/>
  <c r="R5696" i="28"/>
  <c r="R5697" i="28"/>
  <c r="R5698" i="28"/>
  <c r="R5699" i="28"/>
  <c r="R5700" i="28"/>
  <c r="R5701" i="28"/>
  <c r="R5702" i="28"/>
  <c r="R5703" i="28"/>
  <c r="R5704" i="28"/>
  <c r="R5705" i="28"/>
  <c r="R5706" i="28"/>
  <c r="R5707" i="28"/>
  <c r="R5708" i="28"/>
  <c r="R5709" i="28"/>
  <c r="R5710" i="28"/>
  <c r="R5711" i="28"/>
  <c r="R5712" i="28"/>
  <c r="R5713" i="28"/>
  <c r="R5714" i="28"/>
  <c r="R5715" i="28"/>
  <c r="R5716" i="28"/>
  <c r="R5717" i="28"/>
  <c r="R5718" i="28"/>
  <c r="R5719" i="28"/>
  <c r="R5720" i="28"/>
  <c r="R5721" i="28"/>
  <c r="R5722" i="28"/>
  <c r="R5723" i="28"/>
  <c r="R5724" i="28"/>
  <c r="R5725" i="28"/>
  <c r="R5726" i="28"/>
  <c r="R5727" i="28"/>
  <c r="R5728" i="28"/>
  <c r="R5729" i="28"/>
  <c r="R5730" i="28"/>
  <c r="R5731" i="28"/>
  <c r="R5732" i="28"/>
  <c r="R5733" i="28"/>
  <c r="R5734" i="28"/>
  <c r="R5735" i="28"/>
  <c r="R5736" i="28"/>
  <c r="R5737" i="28"/>
  <c r="R5738" i="28"/>
  <c r="R5739" i="28"/>
  <c r="R5740" i="28"/>
  <c r="R5741" i="28"/>
  <c r="R5742" i="28"/>
  <c r="R5743" i="28"/>
  <c r="R5744" i="28"/>
  <c r="R5745" i="28"/>
  <c r="R5746" i="28"/>
  <c r="R5747" i="28"/>
  <c r="R5748" i="28"/>
  <c r="R5749" i="28"/>
  <c r="R5750" i="28"/>
  <c r="R5751" i="28"/>
  <c r="R5752" i="28"/>
  <c r="R5753" i="28"/>
  <c r="R5754" i="28"/>
  <c r="R5755" i="28"/>
  <c r="R5756" i="28"/>
  <c r="R5757" i="28"/>
  <c r="R5758" i="28"/>
  <c r="R5759" i="28"/>
  <c r="R5760" i="28"/>
  <c r="R5761" i="28"/>
  <c r="R5762" i="28"/>
  <c r="R5763" i="28"/>
  <c r="R5764" i="28"/>
  <c r="R5765" i="28"/>
  <c r="R5766" i="28"/>
  <c r="R5767" i="28"/>
  <c r="R5768" i="28"/>
  <c r="R5769" i="28"/>
  <c r="R5770" i="28"/>
  <c r="R5771" i="28"/>
  <c r="R5772" i="28"/>
  <c r="R5773" i="28"/>
  <c r="R5774" i="28"/>
  <c r="R5775" i="28"/>
  <c r="R5776" i="28"/>
  <c r="R5777" i="28"/>
  <c r="R5778" i="28"/>
  <c r="R5779" i="28"/>
  <c r="R5780" i="28"/>
  <c r="R5781" i="28"/>
  <c r="R5782" i="28"/>
  <c r="R5783" i="28"/>
  <c r="R5784" i="28"/>
  <c r="R5785" i="28"/>
  <c r="R5786" i="28"/>
  <c r="R5787" i="28"/>
  <c r="R5788" i="28"/>
  <c r="R5789" i="28"/>
  <c r="R5790" i="28"/>
  <c r="R5791" i="28"/>
  <c r="R5792" i="28"/>
  <c r="R5793" i="28"/>
  <c r="R5794" i="28"/>
  <c r="R5795" i="28"/>
  <c r="R5796" i="28"/>
  <c r="R5797" i="28"/>
  <c r="R5798" i="28"/>
  <c r="R5799" i="28"/>
  <c r="R5800" i="28"/>
  <c r="R5801" i="28"/>
  <c r="R5802" i="28"/>
  <c r="R5803" i="28"/>
  <c r="R5804" i="28"/>
  <c r="R5805" i="28"/>
  <c r="R5806" i="28"/>
  <c r="R5807" i="28"/>
  <c r="R5808" i="28"/>
  <c r="R5809" i="28"/>
  <c r="R5810" i="28"/>
  <c r="R5811" i="28"/>
  <c r="R5812" i="28"/>
  <c r="R5813" i="28"/>
  <c r="R5814" i="28"/>
  <c r="R5815" i="28"/>
  <c r="R5816" i="28"/>
  <c r="R5817" i="28"/>
  <c r="R5818" i="28"/>
  <c r="R5819" i="28"/>
  <c r="R5820" i="28"/>
  <c r="R5821" i="28"/>
  <c r="R5822" i="28"/>
  <c r="R5823" i="28"/>
  <c r="R5824" i="28"/>
  <c r="R5825" i="28"/>
  <c r="R5826" i="28"/>
  <c r="R5827" i="28"/>
  <c r="R5828" i="28"/>
  <c r="R5829" i="28"/>
  <c r="R5830" i="28"/>
  <c r="R5831" i="28"/>
  <c r="R5832" i="28"/>
  <c r="R5833" i="28"/>
  <c r="R5834" i="28"/>
  <c r="R5835" i="28"/>
  <c r="R5836" i="28"/>
  <c r="R5837" i="28"/>
  <c r="R5838" i="28"/>
  <c r="R5839" i="28"/>
  <c r="R5840" i="28"/>
  <c r="R5841" i="28"/>
  <c r="R5842" i="28"/>
  <c r="R5843" i="28"/>
  <c r="R5844" i="28"/>
  <c r="R5845" i="28"/>
  <c r="R5846" i="28"/>
  <c r="R5847" i="28"/>
  <c r="R5848" i="28"/>
  <c r="R5849" i="28"/>
  <c r="R5850" i="28"/>
  <c r="R5851" i="28"/>
  <c r="R5852" i="28"/>
  <c r="R5853" i="28"/>
  <c r="R5854" i="28"/>
  <c r="R5855" i="28"/>
  <c r="R5856" i="28"/>
  <c r="R5857" i="28"/>
  <c r="R5858" i="28"/>
  <c r="R5859" i="28"/>
  <c r="R5860" i="28"/>
  <c r="R5861" i="28"/>
  <c r="R5862" i="28"/>
  <c r="R5863" i="28"/>
  <c r="R5864" i="28"/>
  <c r="R5865" i="28"/>
  <c r="R5866" i="28"/>
  <c r="R5867" i="28"/>
  <c r="R5868" i="28"/>
  <c r="R5869" i="28"/>
  <c r="R5870" i="28"/>
  <c r="R5871" i="28"/>
  <c r="R5872" i="28"/>
  <c r="R5873" i="28"/>
  <c r="R5874" i="28"/>
  <c r="R5875" i="28"/>
  <c r="R5876" i="28"/>
  <c r="R5877" i="28"/>
  <c r="R5878" i="28"/>
  <c r="R5879" i="28"/>
  <c r="R5880" i="28"/>
  <c r="R5881" i="28"/>
  <c r="R5882" i="28"/>
  <c r="R5883" i="28"/>
  <c r="R5884" i="28"/>
  <c r="R5885" i="28"/>
  <c r="R5886" i="28"/>
  <c r="R5887" i="28"/>
  <c r="R5888" i="28"/>
  <c r="R5889" i="28"/>
  <c r="R5890" i="28"/>
  <c r="R5891" i="28"/>
  <c r="R5892" i="28"/>
  <c r="R5893" i="28"/>
  <c r="R5894" i="28"/>
  <c r="R5895" i="28"/>
  <c r="R5896" i="28"/>
  <c r="R5897" i="28"/>
  <c r="R5898" i="28"/>
  <c r="R5899" i="28"/>
  <c r="R5900" i="28"/>
  <c r="R5901" i="28"/>
  <c r="R5902" i="28"/>
  <c r="R5903" i="28"/>
  <c r="R5904" i="28"/>
  <c r="R5905" i="28"/>
  <c r="R5906" i="28"/>
  <c r="R5907" i="28"/>
  <c r="R5908" i="28"/>
  <c r="R5909" i="28"/>
  <c r="R5910" i="28"/>
  <c r="R5911" i="28"/>
  <c r="R5912" i="28"/>
  <c r="R5913" i="28"/>
  <c r="R5914" i="28"/>
  <c r="R5915" i="28"/>
  <c r="R5916" i="28"/>
  <c r="R5917" i="28"/>
  <c r="R5918" i="28"/>
  <c r="R5919" i="28"/>
  <c r="R5920" i="28"/>
  <c r="R5921" i="28"/>
  <c r="R5922" i="28"/>
  <c r="R5923" i="28"/>
  <c r="R5924" i="28"/>
  <c r="R5925" i="28"/>
  <c r="R5926" i="28"/>
  <c r="R5927" i="28"/>
  <c r="R5928" i="28"/>
  <c r="R5929" i="28"/>
  <c r="R5930" i="28"/>
  <c r="R5931" i="28"/>
  <c r="R5932" i="28"/>
  <c r="R5933" i="28"/>
  <c r="R5934" i="28"/>
  <c r="R5935" i="28"/>
  <c r="R5936" i="28"/>
  <c r="R5937" i="28"/>
  <c r="R5938" i="28"/>
  <c r="R5939" i="28"/>
  <c r="R5940" i="28"/>
  <c r="R5941" i="28"/>
  <c r="R5942" i="28"/>
  <c r="R5943" i="28"/>
  <c r="R5944" i="28"/>
  <c r="R5945" i="28"/>
  <c r="R5946" i="28"/>
  <c r="R5947" i="28"/>
  <c r="R5948" i="28"/>
  <c r="R5949" i="28"/>
  <c r="R5950" i="28"/>
  <c r="R5951" i="28"/>
  <c r="R5952" i="28"/>
  <c r="R5953" i="28"/>
  <c r="R5954" i="28"/>
  <c r="R5955" i="28"/>
  <c r="R5956" i="28"/>
  <c r="R5957" i="28"/>
  <c r="R5958" i="28"/>
  <c r="R5959" i="28"/>
  <c r="R5960" i="28"/>
  <c r="R5961" i="28"/>
  <c r="R5962" i="28"/>
  <c r="R5963" i="28"/>
  <c r="R5964" i="28"/>
  <c r="R5965" i="28"/>
  <c r="R5966" i="28"/>
  <c r="R5967" i="28"/>
  <c r="R5968" i="28"/>
  <c r="R5969" i="28"/>
  <c r="R5970" i="28"/>
  <c r="R5971" i="28"/>
  <c r="R5972" i="28"/>
  <c r="R5973" i="28"/>
  <c r="R5974" i="28"/>
  <c r="R5975" i="28"/>
  <c r="R5976" i="28"/>
  <c r="R5977" i="28"/>
  <c r="R5978" i="28"/>
  <c r="R5979" i="28"/>
  <c r="R5980" i="28"/>
  <c r="R5981" i="28"/>
  <c r="R5982" i="28"/>
  <c r="R5983" i="28"/>
  <c r="R5984" i="28"/>
  <c r="R5985" i="28"/>
  <c r="R5986" i="28"/>
  <c r="R5987" i="28"/>
  <c r="R5988" i="28"/>
  <c r="R5989" i="28"/>
  <c r="R5990" i="28"/>
  <c r="R5991" i="28"/>
  <c r="R5992" i="28"/>
  <c r="R5993" i="28"/>
  <c r="R5994" i="28"/>
  <c r="R5995" i="28"/>
  <c r="R5996" i="28"/>
  <c r="R5997" i="28"/>
  <c r="R5998" i="28"/>
  <c r="R5999" i="28"/>
  <c r="R6000" i="28"/>
  <c r="R6001" i="28"/>
  <c r="R6002" i="28"/>
  <c r="R6003" i="28"/>
  <c r="R6004" i="28"/>
  <c r="R6005" i="28"/>
  <c r="R6006" i="28"/>
  <c r="R3007" i="28"/>
  <c r="R3008" i="28"/>
  <c r="R3009" i="28"/>
  <c r="R3010" i="28"/>
  <c r="R3011" i="28"/>
  <c r="R3012" i="28"/>
  <c r="R3013" i="28"/>
  <c r="R3014" i="28"/>
  <c r="R3015" i="28"/>
  <c r="R3016" i="28"/>
  <c r="R3017" i="28"/>
  <c r="R3018" i="28"/>
  <c r="R3019" i="28"/>
  <c r="R3020" i="28"/>
  <c r="R3021" i="28"/>
  <c r="R3022" i="28"/>
  <c r="R3023" i="28"/>
  <c r="R3024" i="28"/>
  <c r="R3025" i="28"/>
  <c r="R3026" i="28"/>
  <c r="R3027" i="28"/>
  <c r="R3028" i="28"/>
  <c r="R3029" i="28"/>
  <c r="R3030" i="28"/>
  <c r="R3031" i="28"/>
  <c r="R3032" i="28"/>
  <c r="R3033" i="28"/>
  <c r="R3034" i="28"/>
  <c r="R3035" i="28"/>
  <c r="R3036" i="28"/>
  <c r="R3037" i="28"/>
  <c r="R3038" i="28"/>
  <c r="R3039" i="28"/>
  <c r="R3040" i="28"/>
  <c r="R3041" i="28"/>
  <c r="R3042" i="28"/>
  <c r="R3043" i="28"/>
  <c r="R3044" i="28"/>
  <c r="R3045" i="28"/>
  <c r="R3046" i="28"/>
  <c r="R3047" i="28"/>
  <c r="R3048" i="28"/>
  <c r="R3049" i="28"/>
  <c r="R3050" i="28"/>
  <c r="R3051" i="28"/>
  <c r="R3052" i="28"/>
  <c r="R3053" i="28"/>
  <c r="R3054" i="28"/>
  <c r="R3055" i="28"/>
  <c r="R3056" i="28"/>
  <c r="R3057" i="28"/>
  <c r="R3058" i="28"/>
  <c r="R3059" i="28"/>
  <c r="R3060" i="28"/>
  <c r="R3061" i="28"/>
  <c r="R3062" i="28"/>
  <c r="R3063" i="28"/>
  <c r="R3064" i="28"/>
  <c r="R3065" i="28"/>
  <c r="R3066" i="28"/>
  <c r="R3067" i="28"/>
  <c r="R3068" i="28"/>
  <c r="R3069" i="28"/>
  <c r="R3070" i="28"/>
  <c r="R3071" i="28"/>
  <c r="R3072" i="28"/>
  <c r="R3073" i="28"/>
  <c r="R3074" i="28"/>
  <c r="R3075" i="28"/>
  <c r="R3076" i="28"/>
  <c r="R3077" i="28"/>
  <c r="R3078" i="28"/>
  <c r="R3079" i="28"/>
  <c r="R3080" i="28"/>
  <c r="R3081" i="28"/>
  <c r="R3082" i="28"/>
  <c r="R3083" i="28"/>
  <c r="R3084" i="28"/>
  <c r="R3085" i="28"/>
  <c r="R3086" i="28"/>
  <c r="R3087" i="28"/>
  <c r="R3088" i="28"/>
  <c r="R3089" i="28"/>
  <c r="R3090" i="28"/>
  <c r="R3091" i="28"/>
  <c r="R3092" i="28"/>
  <c r="R3093" i="28"/>
  <c r="R3094" i="28"/>
  <c r="R3095" i="28"/>
  <c r="R3096" i="28"/>
  <c r="R3097" i="28"/>
  <c r="R3098" i="28"/>
  <c r="R3099" i="28"/>
  <c r="R3100" i="28"/>
  <c r="R3101" i="28"/>
  <c r="R3102" i="28"/>
  <c r="R3103" i="28"/>
  <c r="R3104" i="28"/>
  <c r="R3105" i="28"/>
  <c r="R3106" i="28"/>
  <c r="R3107" i="28"/>
  <c r="R3108" i="28"/>
  <c r="R3109" i="28"/>
  <c r="R3110" i="28"/>
  <c r="R3111" i="28"/>
  <c r="R3112" i="28"/>
  <c r="R3113" i="28"/>
  <c r="R3114" i="28"/>
  <c r="R3115" i="28"/>
  <c r="R3116" i="28"/>
  <c r="R3117" i="28"/>
  <c r="R3118" i="28"/>
  <c r="R3119" i="28"/>
  <c r="R3120" i="28"/>
  <c r="R3121" i="28"/>
  <c r="R3122" i="28"/>
  <c r="R3123" i="28"/>
  <c r="R3124" i="28"/>
  <c r="R3125" i="28"/>
  <c r="R3126" i="28"/>
  <c r="R3127" i="28"/>
  <c r="R3128" i="28"/>
  <c r="R3129" i="28"/>
  <c r="R3130" i="28"/>
  <c r="R3131" i="28"/>
  <c r="R3132" i="28"/>
  <c r="R3133" i="28"/>
  <c r="R3134" i="28"/>
  <c r="R3135" i="28"/>
  <c r="R3136" i="28"/>
  <c r="R3137" i="28"/>
  <c r="R3138" i="28"/>
  <c r="R3139" i="28"/>
  <c r="R3140" i="28"/>
  <c r="R3141" i="28"/>
  <c r="R3142" i="28"/>
  <c r="R3143" i="28"/>
  <c r="R3144" i="28"/>
  <c r="R3145" i="28"/>
  <c r="R3146" i="28"/>
  <c r="R3147" i="28"/>
  <c r="R3148" i="28"/>
  <c r="R3149" i="28"/>
  <c r="R3150" i="28"/>
  <c r="R3151" i="28"/>
  <c r="R3152" i="28"/>
  <c r="R3153" i="28"/>
  <c r="R3154" i="28"/>
  <c r="R3155" i="28"/>
  <c r="R3156" i="28"/>
  <c r="R3157" i="28"/>
  <c r="R3158" i="28"/>
  <c r="R3159" i="28"/>
  <c r="R3160" i="28"/>
  <c r="R3161" i="28"/>
  <c r="R3162" i="28"/>
  <c r="R3163" i="28"/>
  <c r="R3164" i="28"/>
  <c r="R3165" i="28"/>
  <c r="R3166" i="28"/>
  <c r="R3167" i="28"/>
  <c r="R3168" i="28"/>
  <c r="R3169" i="28"/>
  <c r="R3170" i="28"/>
  <c r="R3171" i="28"/>
  <c r="R3172" i="28"/>
  <c r="R3173" i="28"/>
  <c r="R3174" i="28"/>
  <c r="R3175" i="28"/>
  <c r="R3176" i="28"/>
  <c r="R3177" i="28"/>
  <c r="R3178" i="28"/>
  <c r="R3179" i="28"/>
  <c r="R3180" i="28"/>
  <c r="R3181" i="28"/>
  <c r="R3182" i="28"/>
  <c r="R3183" i="28"/>
  <c r="R3184" i="28"/>
  <c r="R3185" i="28"/>
  <c r="R3186" i="28"/>
  <c r="R3187" i="28"/>
  <c r="R3188" i="28"/>
  <c r="R3189" i="28"/>
  <c r="R3190" i="28"/>
  <c r="R3191" i="28"/>
  <c r="R3192" i="28"/>
  <c r="R3193" i="28"/>
  <c r="R3194" i="28"/>
  <c r="R3195" i="28"/>
  <c r="R3196" i="28"/>
  <c r="R3197" i="28"/>
  <c r="R3198" i="28"/>
  <c r="R3199" i="28"/>
  <c r="R3200" i="28"/>
  <c r="R3201" i="28"/>
  <c r="R3202" i="28"/>
  <c r="R3203" i="28"/>
  <c r="R3204" i="28"/>
  <c r="R3205" i="28"/>
  <c r="R3206" i="28"/>
  <c r="R3207" i="28"/>
  <c r="R3208" i="28"/>
  <c r="R3209" i="28"/>
  <c r="R3210" i="28"/>
  <c r="R3211" i="28"/>
  <c r="R3212" i="28"/>
  <c r="R3213" i="28"/>
  <c r="R3214" i="28"/>
  <c r="R3215" i="28"/>
  <c r="R3216" i="28"/>
  <c r="R3217" i="28"/>
  <c r="R3218" i="28"/>
  <c r="R3219" i="28"/>
  <c r="R3220" i="28"/>
  <c r="R3221" i="28"/>
  <c r="R3222" i="28"/>
  <c r="R3223" i="28"/>
  <c r="R3224" i="28"/>
  <c r="R3225" i="28"/>
  <c r="R3226" i="28"/>
  <c r="R3227" i="28"/>
  <c r="R3228" i="28"/>
  <c r="R3229" i="28"/>
  <c r="R3230" i="28"/>
  <c r="R3231" i="28"/>
  <c r="R3232" i="28"/>
  <c r="R3233" i="28"/>
  <c r="R3234" i="28"/>
  <c r="R3235" i="28"/>
  <c r="R3236" i="28"/>
  <c r="R3237" i="28"/>
  <c r="R3238" i="28"/>
  <c r="R3239" i="28"/>
  <c r="R3240" i="28"/>
  <c r="R3241" i="28"/>
  <c r="R3242" i="28"/>
  <c r="R3243" i="28"/>
  <c r="R3244" i="28"/>
  <c r="R3245" i="28"/>
  <c r="R3246" i="28"/>
  <c r="R3247" i="28"/>
  <c r="R3248" i="28"/>
  <c r="R3249" i="28"/>
  <c r="R3250" i="28"/>
  <c r="R3251" i="28"/>
  <c r="R3252" i="28"/>
  <c r="R3253" i="28"/>
  <c r="R3254" i="28"/>
  <c r="R3255" i="28"/>
  <c r="R3256" i="28"/>
  <c r="R3257" i="28"/>
  <c r="R3258" i="28"/>
  <c r="R3259" i="28"/>
  <c r="R3260" i="28"/>
  <c r="R3261" i="28"/>
  <c r="R3262" i="28"/>
  <c r="R3263" i="28"/>
  <c r="R3264" i="28"/>
  <c r="R3265" i="28"/>
  <c r="R3266" i="28"/>
  <c r="R3267" i="28"/>
  <c r="R3268" i="28"/>
  <c r="R3269" i="28"/>
  <c r="R3270" i="28"/>
  <c r="R3271" i="28"/>
  <c r="R3272" i="28"/>
  <c r="R3273" i="28"/>
  <c r="R3274" i="28"/>
  <c r="R3275" i="28"/>
  <c r="R3276" i="28"/>
  <c r="R3277" i="28"/>
  <c r="R3278" i="28"/>
  <c r="R3279" i="28"/>
  <c r="R3280" i="28"/>
  <c r="R3281" i="28"/>
  <c r="R3282" i="28"/>
  <c r="R3283" i="28"/>
  <c r="R3284" i="28"/>
  <c r="R3285" i="28"/>
  <c r="R3286" i="28"/>
  <c r="R3287" i="28"/>
  <c r="R3288" i="28"/>
  <c r="R3289" i="28"/>
  <c r="R3290" i="28"/>
  <c r="R3291" i="28"/>
  <c r="R3292" i="28"/>
  <c r="R3293" i="28"/>
  <c r="R3294" i="28"/>
  <c r="R3295" i="28"/>
  <c r="R3296" i="28"/>
  <c r="R3297" i="28"/>
  <c r="R3298" i="28"/>
  <c r="R3299" i="28"/>
  <c r="R3300" i="28"/>
  <c r="R3301" i="28"/>
  <c r="R3302" i="28"/>
  <c r="R3303" i="28"/>
  <c r="R3304" i="28"/>
  <c r="R3305" i="28"/>
  <c r="R3306" i="28"/>
  <c r="R3307" i="28"/>
  <c r="R3308" i="28"/>
  <c r="R3309" i="28"/>
  <c r="R3310" i="28"/>
  <c r="R3311" i="28"/>
  <c r="R3312" i="28"/>
  <c r="R3313" i="28"/>
  <c r="R3314" i="28"/>
  <c r="R3315" i="28"/>
  <c r="R3316" i="28"/>
  <c r="R3317" i="28"/>
  <c r="R3318" i="28"/>
  <c r="R3319" i="28"/>
  <c r="R3320" i="28"/>
  <c r="R3321" i="28"/>
  <c r="R3322" i="28"/>
  <c r="R3323" i="28"/>
  <c r="R3324" i="28"/>
  <c r="R3325" i="28"/>
  <c r="R3326" i="28"/>
  <c r="R3327" i="28"/>
  <c r="R3328" i="28"/>
  <c r="R3329" i="28"/>
  <c r="R3330" i="28"/>
  <c r="R3331" i="28"/>
  <c r="R3332" i="28"/>
  <c r="R3333" i="28"/>
  <c r="R3334" i="28"/>
  <c r="R3335" i="28"/>
  <c r="R3336" i="28"/>
  <c r="R3337" i="28"/>
  <c r="R3338" i="28"/>
  <c r="R3339" i="28"/>
  <c r="R3340" i="28"/>
  <c r="R3341" i="28"/>
  <c r="R3342" i="28"/>
  <c r="R3343" i="28"/>
  <c r="R3344" i="28"/>
  <c r="R3345" i="28"/>
  <c r="R3346" i="28"/>
  <c r="R3347" i="28"/>
  <c r="R3348" i="28"/>
  <c r="R3349" i="28"/>
  <c r="R3350" i="28"/>
  <c r="R3351" i="28"/>
  <c r="R3352" i="28"/>
  <c r="R3353" i="28"/>
  <c r="R3354" i="28"/>
  <c r="R3355" i="28"/>
  <c r="R3356" i="28"/>
  <c r="R3357" i="28"/>
  <c r="R3358" i="28"/>
  <c r="R3359" i="28"/>
  <c r="R3360" i="28"/>
  <c r="R3361" i="28"/>
  <c r="R3362" i="28"/>
  <c r="R3363" i="28"/>
  <c r="R3364" i="28"/>
  <c r="R3365" i="28"/>
  <c r="R3366" i="28"/>
  <c r="R3367" i="28"/>
  <c r="R3368" i="28"/>
  <c r="R3369" i="28"/>
  <c r="R3370" i="28"/>
  <c r="R3371" i="28"/>
  <c r="R3372" i="28"/>
  <c r="R3373" i="28"/>
  <c r="R3374" i="28"/>
  <c r="R3375" i="28"/>
  <c r="R3376" i="28"/>
  <c r="R3377" i="28"/>
  <c r="R3378" i="28"/>
  <c r="R3379" i="28"/>
  <c r="R3380" i="28"/>
  <c r="R3381" i="28"/>
  <c r="R3382" i="28"/>
  <c r="R3383" i="28"/>
  <c r="R3384" i="28"/>
  <c r="R3385" i="28"/>
  <c r="R3386" i="28"/>
  <c r="R3387" i="28"/>
  <c r="R3388" i="28"/>
  <c r="R3389" i="28"/>
  <c r="R3390" i="28"/>
  <c r="R3391" i="28"/>
  <c r="R3392" i="28"/>
  <c r="R3393" i="28"/>
  <c r="R3394" i="28"/>
  <c r="R3395" i="28"/>
  <c r="R3396" i="28"/>
  <c r="R3397" i="28"/>
  <c r="R3398" i="28"/>
  <c r="R3399" i="28"/>
  <c r="R3400" i="28"/>
  <c r="R3401" i="28"/>
  <c r="R3402" i="28"/>
  <c r="R3403" i="28"/>
  <c r="R3404" i="28"/>
  <c r="R3405" i="28"/>
  <c r="R3406" i="28"/>
  <c r="R3407" i="28"/>
  <c r="R3408" i="28"/>
  <c r="R3409" i="28"/>
  <c r="R3410" i="28"/>
  <c r="R3411" i="28"/>
  <c r="R3412" i="28"/>
  <c r="R3413" i="28"/>
  <c r="R3414" i="28"/>
  <c r="R3415" i="28"/>
  <c r="R3416" i="28"/>
  <c r="R3417" i="28"/>
  <c r="R3418" i="28"/>
  <c r="R3419" i="28"/>
  <c r="R3420" i="28"/>
  <c r="R3421" i="28"/>
  <c r="R3422" i="28"/>
  <c r="R3423" i="28"/>
  <c r="R3424" i="28"/>
  <c r="R3425" i="28"/>
  <c r="R3426" i="28"/>
  <c r="R3427" i="28"/>
  <c r="R3428" i="28"/>
  <c r="R3429" i="28"/>
  <c r="R3430" i="28"/>
  <c r="R3431" i="28"/>
  <c r="R3432" i="28"/>
  <c r="R3433" i="28"/>
  <c r="R3434" i="28"/>
  <c r="R3435" i="28"/>
  <c r="R3436" i="28"/>
  <c r="R3437" i="28"/>
  <c r="R3438" i="28"/>
  <c r="R3439" i="28"/>
  <c r="R3440" i="28"/>
  <c r="R3441" i="28"/>
  <c r="R3442" i="28"/>
  <c r="R3443" i="28"/>
  <c r="R3444" i="28"/>
  <c r="R3445" i="28"/>
  <c r="R3446" i="28"/>
  <c r="R3447" i="28"/>
  <c r="R3448" i="28"/>
  <c r="R3449" i="28"/>
  <c r="R3450" i="28"/>
  <c r="R3451" i="28"/>
  <c r="R3452" i="28"/>
  <c r="R3453" i="28"/>
  <c r="R3454" i="28"/>
  <c r="R3455" i="28"/>
  <c r="R3456" i="28"/>
  <c r="R3457" i="28"/>
  <c r="R3458" i="28"/>
  <c r="R3459" i="28"/>
  <c r="R3460" i="28"/>
  <c r="R3461" i="28"/>
  <c r="R3462" i="28"/>
  <c r="R3463" i="28"/>
  <c r="R3464" i="28"/>
  <c r="R3465" i="28"/>
  <c r="R3466" i="28"/>
  <c r="R3467" i="28"/>
  <c r="R3468" i="28"/>
  <c r="R3469" i="28"/>
  <c r="R3470" i="28"/>
  <c r="R3471" i="28"/>
  <c r="R3472" i="28"/>
  <c r="R3473" i="28"/>
  <c r="R3474" i="28"/>
  <c r="R3475" i="28"/>
  <c r="R3476" i="28"/>
  <c r="R3477" i="28"/>
  <c r="R3478" i="28"/>
  <c r="R3479" i="28"/>
  <c r="R3480" i="28"/>
  <c r="R3481" i="28"/>
  <c r="R3482" i="28"/>
  <c r="R3483" i="28"/>
  <c r="R3484" i="28"/>
  <c r="R3485" i="28"/>
  <c r="R3486" i="28"/>
  <c r="R3487" i="28"/>
  <c r="R3488" i="28"/>
  <c r="R3489" i="28"/>
  <c r="R3490" i="28"/>
  <c r="R3491" i="28"/>
  <c r="R3492" i="28"/>
  <c r="R3493" i="28"/>
  <c r="R3494" i="28"/>
  <c r="R3495" i="28"/>
  <c r="R3496" i="28"/>
  <c r="R3497" i="28"/>
  <c r="R3498" i="28"/>
  <c r="R3499" i="28"/>
  <c r="R3500" i="28"/>
  <c r="R3501" i="28"/>
  <c r="R3502" i="28"/>
  <c r="R3503" i="28"/>
  <c r="R3504" i="28"/>
  <c r="R3505" i="28"/>
  <c r="R3506" i="28"/>
  <c r="R3507" i="28"/>
  <c r="R3508" i="28"/>
  <c r="R3509" i="28"/>
  <c r="R3510" i="28"/>
  <c r="R3511" i="28"/>
  <c r="R3512" i="28"/>
  <c r="R3513" i="28"/>
  <c r="R3514" i="28"/>
  <c r="R3515" i="28"/>
  <c r="R3516" i="28"/>
  <c r="R3517" i="28"/>
  <c r="R3518" i="28"/>
  <c r="R3519" i="28"/>
  <c r="R3520" i="28"/>
  <c r="R3521" i="28"/>
  <c r="R3522" i="28"/>
  <c r="R3523" i="28"/>
  <c r="R3524" i="28"/>
  <c r="R3525" i="28"/>
  <c r="R3526" i="28"/>
  <c r="R3527" i="28"/>
  <c r="R3528" i="28"/>
  <c r="R3529" i="28"/>
  <c r="R3530" i="28"/>
  <c r="R3531" i="28"/>
  <c r="R3532" i="28"/>
  <c r="R3533" i="28"/>
  <c r="R3534" i="28"/>
  <c r="R3535" i="28"/>
  <c r="R3536" i="28"/>
  <c r="R3537" i="28"/>
  <c r="R3538" i="28"/>
  <c r="R3539" i="28"/>
  <c r="R3540" i="28"/>
  <c r="R3541" i="28"/>
  <c r="R3542" i="28"/>
  <c r="R3543" i="28"/>
  <c r="R3544" i="28"/>
  <c r="R3545" i="28"/>
  <c r="R3546" i="28"/>
  <c r="R3547" i="28"/>
  <c r="R3548" i="28"/>
  <c r="R3549" i="28"/>
  <c r="R3550" i="28"/>
  <c r="R3551" i="28"/>
  <c r="R3552" i="28"/>
  <c r="R3553" i="28"/>
  <c r="R3554" i="28"/>
  <c r="R3555" i="28"/>
  <c r="R3556" i="28"/>
  <c r="R3557" i="28"/>
  <c r="R3558" i="28"/>
  <c r="R3559" i="28"/>
  <c r="R3560" i="28"/>
  <c r="R3561" i="28"/>
  <c r="R3562" i="28"/>
  <c r="R3563" i="28"/>
  <c r="R3564" i="28"/>
  <c r="R3565" i="28"/>
  <c r="R3566" i="28"/>
  <c r="R3567" i="28"/>
  <c r="R3568" i="28"/>
  <c r="R3569" i="28"/>
  <c r="R3570" i="28"/>
  <c r="R3571" i="28"/>
  <c r="R3572" i="28"/>
  <c r="R3573" i="28"/>
  <c r="R3574" i="28"/>
  <c r="R3575" i="28"/>
  <c r="R3576" i="28"/>
  <c r="R3577" i="28"/>
  <c r="R3578" i="28"/>
  <c r="R3579" i="28"/>
  <c r="R3580" i="28"/>
  <c r="R3581" i="28"/>
  <c r="R3582" i="28"/>
  <c r="R3583" i="28"/>
  <c r="R3584" i="28"/>
  <c r="R3585" i="28"/>
  <c r="R3586" i="28"/>
  <c r="R3587" i="28"/>
  <c r="R3588" i="28"/>
  <c r="R3589" i="28"/>
  <c r="R3590" i="28"/>
  <c r="R3591" i="28"/>
  <c r="R3592" i="28"/>
  <c r="R3593" i="28"/>
  <c r="R3594" i="28"/>
  <c r="R3595" i="28"/>
  <c r="R3596" i="28"/>
  <c r="R3597" i="28"/>
  <c r="R3598" i="28"/>
  <c r="R3599" i="28"/>
  <c r="R3600" i="28"/>
  <c r="R3601" i="28"/>
  <c r="R3602" i="28"/>
  <c r="R3603" i="28"/>
  <c r="R3604" i="28"/>
  <c r="R3605" i="28"/>
  <c r="R3606" i="28"/>
  <c r="R3607" i="28"/>
  <c r="R3608" i="28"/>
  <c r="R3609" i="28"/>
  <c r="R3610" i="28"/>
  <c r="R3611" i="28"/>
  <c r="R3612" i="28"/>
  <c r="R3613" i="28"/>
  <c r="R3614" i="28"/>
  <c r="R3615" i="28"/>
  <c r="R3616" i="28"/>
  <c r="R3617" i="28"/>
  <c r="R3618" i="28"/>
  <c r="R3619" i="28"/>
  <c r="R3620" i="28"/>
  <c r="R3621" i="28"/>
  <c r="R3622" i="28"/>
  <c r="R3623" i="28"/>
  <c r="R3624" i="28"/>
  <c r="R3625" i="28"/>
  <c r="R3626" i="28"/>
  <c r="R3627" i="28"/>
  <c r="R3628" i="28"/>
  <c r="R3629" i="28"/>
  <c r="R3630" i="28"/>
  <c r="R3631" i="28"/>
  <c r="R3632" i="28"/>
  <c r="R3633" i="28"/>
  <c r="R3634" i="28"/>
  <c r="R3635" i="28"/>
  <c r="R3636" i="28"/>
  <c r="R3637" i="28"/>
  <c r="R3638" i="28"/>
  <c r="R3639" i="28"/>
  <c r="R3640" i="28"/>
  <c r="R3641" i="28"/>
  <c r="R3642" i="28"/>
  <c r="R3643" i="28"/>
  <c r="R3644" i="28"/>
  <c r="R3645" i="28"/>
  <c r="R3646" i="28"/>
  <c r="R3647" i="28"/>
  <c r="R3648" i="28"/>
  <c r="R3649" i="28"/>
  <c r="R3650" i="28"/>
  <c r="R3651" i="28"/>
  <c r="R3652" i="28"/>
  <c r="R3653" i="28"/>
  <c r="R3654" i="28"/>
  <c r="R3655" i="28"/>
  <c r="R3656" i="28"/>
  <c r="R3657" i="28"/>
  <c r="R3658" i="28"/>
  <c r="R3659" i="28"/>
  <c r="R3660" i="28"/>
  <c r="R3661" i="28"/>
  <c r="R3662" i="28"/>
  <c r="R3663" i="28"/>
  <c r="R3664" i="28"/>
  <c r="R3665" i="28"/>
  <c r="R3666" i="28"/>
  <c r="R3667" i="28"/>
  <c r="R3668" i="28"/>
  <c r="R3669" i="28"/>
  <c r="R3670" i="28"/>
  <c r="R3671" i="28"/>
  <c r="R3672" i="28"/>
  <c r="R3673" i="28"/>
  <c r="R3674" i="28"/>
  <c r="R3675" i="28"/>
  <c r="R3676" i="28"/>
  <c r="R3677" i="28"/>
  <c r="R3678" i="28"/>
  <c r="R3679" i="28"/>
  <c r="R3680" i="28"/>
  <c r="R3681" i="28"/>
  <c r="R3682" i="28"/>
  <c r="R3683" i="28"/>
  <c r="R3684" i="28"/>
  <c r="R3685" i="28"/>
  <c r="R3686" i="28"/>
  <c r="R3687" i="28"/>
  <c r="R3688" i="28"/>
  <c r="R3689" i="28"/>
  <c r="R3690" i="28"/>
  <c r="R3691" i="28"/>
  <c r="R3692" i="28"/>
  <c r="R3693" i="28"/>
  <c r="R3694" i="28"/>
  <c r="R3695" i="28"/>
  <c r="R3696" i="28"/>
  <c r="R3697" i="28"/>
  <c r="R3698" i="28"/>
  <c r="R3699" i="28"/>
  <c r="R3700" i="28"/>
  <c r="R3701" i="28"/>
  <c r="R3702" i="28"/>
  <c r="R3703" i="28"/>
  <c r="R3704" i="28"/>
  <c r="R3705" i="28"/>
  <c r="R3706" i="28"/>
  <c r="R3707" i="28"/>
  <c r="R3708" i="28"/>
  <c r="R3709" i="28"/>
  <c r="R3710" i="28"/>
  <c r="R3711" i="28"/>
  <c r="R3712" i="28"/>
  <c r="R3713" i="28"/>
  <c r="R3714" i="28"/>
  <c r="R3715" i="28"/>
  <c r="R3716" i="28"/>
  <c r="R3717" i="28"/>
  <c r="R3718" i="28"/>
  <c r="R3719" i="28"/>
  <c r="R3720" i="28"/>
  <c r="R3721" i="28"/>
  <c r="R3722" i="28"/>
  <c r="R3723" i="28"/>
  <c r="R3724" i="28"/>
  <c r="R3725" i="28"/>
  <c r="R3726" i="28"/>
  <c r="R3727" i="28"/>
  <c r="R3728" i="28"/>
  <c r="R3729" i="28"/>
  <c r="R3730" i="28"/>
  <c r="R3731" i="28"/>
  <c r="R3732" i="28"/>
  <c r="R3733" i="28"/>
  <c r="R3734" i="28"/>
  <c r="R3735" i="28"/>
  <c r="R3736" i="28"/>
  <c r="R3737" i="28"/>
  <c r="R3738" i="28"/>
  <c r="R3739" i="28"/>
  <c r="R3740" i="28"/>
  <c r="R3741" i="28"/>
  <c r="R3742" i="28"/>
  <c r="R3743" i="28"/>
  <c r="R3744" i="28"/>
  <c r="R3745" i="28"/>
  <c r="R3746" i="28"/>
  <c r="R3747" i="28"/>
  <c r="R3748" i="28"/>
  <c r="R3749" i="28"/>
  <c r="R3750" i="28"/>
  <c r="R3751" i="28"/>
  <c r="R3752" i="28"/>
  <c r="R3753" i="28"/>
  <c r="R3754" i="28"/>
  <c r="R3755" i="28"/>
  <c r="R3756" i="28"/>
  <c r="R3757" i="28"/>
  <c r="R3758" i="28"/>
  <c r="R3759" i="28"/>
  <c r="R3760" i="28"/>
  <c r="R3761" i="28"/>
  <c r="R3762" i="28"/>
  <c r="R3763" i="28"/>
  <c r="R3764" i="28"/>
  <c r="R3765" i="28"/>
  <c r="R3766" i="28"/>
  <c r="R3767" i="28"/>
  <c r="R3768" i="28"/>
  <c r="R3769" i="28"/>
  <c r="R3770" i="28"/>
  <c r="R3771" i="28"/>
  <c r="R3772" i="28"/>
  <c r="R3773" i="28"/>
  <c r="R3774" i="28"/>
  <c r="R3775" i="28"/>
  <c r="R3776" i="28"/>
  <c r="R3777" i="28"/>
  <c r="R3778" i="28"/>
  <c r="R3779" i="28"/>
  <c r="R3780" i="28"/>
  <c r="R3781" i="28"/>
  <c r="R3782" i="28"/>
  <c r="R3783" i="28"/>
  <c r="R3784" i="28"/>
  <c r="R3785" i="28"/>
  <c r="R3786" i="28"/>
  <c r="R3787" i="28"/>
  <c r="R3788" i="28"/>
  <c r="R3789" i="28"/>
  <c r="R3790" i="28"/>
  <c r="R3791" i="28"/>
  <c r="R3792" i="28"/>
  <c r="R3793" i="28"/>
  <c r="R3794" i="28"/>
  <c r="R3795" i="28"/>
  <c r="R3796" i="28"/>
  <c r="R3797" i="28"/>
  <c r="R3798" i="28"/>
  <c r="R3799" i="28"/>
  <c r="R3800" i="28"/>
  <c r="R3801" i="28"/>
  <c r="R3802" i="28"/>
  <c r="R3803" i="28"/>
  <c r="R3804" i="28"/>
  <c r="R3805" i="28"/>
  <c r="R3806" i="28"/>
  <c r="R3807" i="28"/>
  <c r="R3808" i="28"/>
  <c r="R3809" i="28"/>
  <c r="R3810" i="28"/>
  <c r="R3811" i="28"/>
  <c r="R3812" i="28"/>
  <c r="R3813" i="28"/>
  <c r="R3814" i="28"/>
  <c r="R3815" i="28"/>
  <c r="R3816" i="28"/>
  <c r="R3817" i="28"/>
  <c r="R3818" i="28"/>
  <c r="R3819" i="28"/>
  <c r="R3820" i="28"/>
  <c r="R3821" i="28"/>
  <c r="R3822" i="28"/>
  <c r="R3823" i="28"/>
  <c r="R3824" i="28"/>
  <c r="R3825" i="28"/>
  <c r="R3826" i="28"/>
  <c r="R3827" i="28"/>
  <c r="R3828" i="28"/>
  <c r="R3829" i="28"/>
  <c r="R3830" i="28"/>
  <c r="R3831" i="28"/>
  <c r="R3832" i="28"/>
  <c r="R3833" i="28"/>
  <c r="R3834" i="28"/>
  <c r="R3835" i="28"/>
  <c r="R3836" i="28"/>
  <c r="R3837" i="28"/>
  <c r="R3838" i="28"/>
  <c r="R3839" i="28"/>
  <c r="R3840" i="28"/>
  <c r="R3841" i="28"/>
  <c r="R3842" i="28"/>
  <c r="R3843" i="28"/>
  <c r="R3844" i="28"/>
  <c r="R3845" i="28"/>
  <c r="R3846" i="28"/>
  <c r="R3847" i="28"/>
  <c r="R3848" i="28"/>
  <c r="R3849" i="28"/>
  <c r="R3850" i="28"/>
  <c r="R3851" i="28"/>
  <c r="R3852" i="28"/>
  <c r="R3853" i="28"/>
  <c r="R3854" i="28"/>
  <c r="R3855" i="28"/>
  <c r="R3856" i="28"/>
  <c r="R3857" i="28"/>
  <c r="R3858" i="28"/>
  <c r="R3859" i="28"/>
  <c r="R3860" i="28"/>
  <c r="R3861" i="28"/>
  <c r="R3862" i="28"/>
  <c r="R3863" i="28"/>
  <c r="R3864" i="28"/>
  <c r="R3865" i="28"/>
  <c r="R3866" i="28"/>
  <c r="R3867" i="28"/>
  <c r="R3868" i="28"/>
  <c r="R3869" i="28"/>
  <c r="R3870" i="28"/>
  <c r="R3871" i="28"/>
  <c r="R3872" i="28"/>
  <c r="R3873" i="28"/>
  <c r="R3874" i="28"/>
  <c r="R3875" i="28"/>
  <c r="R3876" i="28"/>
  <c r="R3877" i="28"/>
  <c r="R3878" i="28"/>
  <c r="R3879" i="28"/>
  <c r="R3880" i="28"/>
  <c r="R3881" i="28"/>
  <c r="R3882" i="28"/>
  <c r="R3883" i="28"/>
  <c r="R3884" i="28"/>
  <c r="R3885" i="28"/>
  <c r="R3886" i="28"/>
  <c r="R3887" i="28"/>
  <c r="R3888" i="28"/>
  <c r="R3889" i="28"/>
  <c r="R3890" i="28"/>
  <c r="R3891" i="28"/>
  <c r="R3892" i="28"/>
  <c r="R3893" i="28"/>
  <c r="R3894" i="28"/>
  <c r="R3895" i="28"/>
  <c r="R3896" i="28"/>
  <c r="R3897" i="28"/>
  <c r="R3898" i="28"/>
  <c r="R3899" i="28"/>
  <c r="R3900" i="28"/>
  <c r="R3901" i="28"/>
  <c r="R3902" i="28"/>
  <c r="R3903" i="28"/>
  <c r="R3904" i="28"/>
  <c r="R3905" i="28"/>
  <c r="R3906" i="28"/>
  <c r="R3907" i="28"/>
  <c r="R3908" i="28"/>
  <c r="R3909" i="28"/>
  <c r="R3910" i="28"/>
  <c r="R3911" i="28"/>
  <c r="R3912" i="28"/>
  <c r="R3913" i="28"/>
  <c r="R3914" i="28"/>
  <c r="R3915" i="28"/>
  <c r="R3916" i="28"/>
  <c r="R3917" i="28"/>
  <c r="R3918" i="28"/>
  <c r="R3919" i="28"/>
  <c r="R3920" i="28"/>
  <c r="R3921" i="28"/>
  <c r="R3922" i="28"/>
  <c r="R3923" i="28"/>
  <c r="R3924" i="28"/>
  <c r="R3925" i="28"/>
  <c r="R3926" i="28"/>
  <c r="R3927" i="28"/>
  <c r="R3928" i="28"/>
  <c r="R3929" i="28"/>
  <c r="R3930" i="28"/>
  <c r="R3931" i="28"/>
  <c r="R3932" i="28"/>
  <c r="R3933" i="28"/>
  <c r="R3934" i="28"/>
  <c r="R3935" i="28"/>
  <c r="R3936" i="28"/>
  <c r="R3937" i="28"/>
  <c r="R3938" i="28"/>
  <c r="R3939" i="28"/>
  <c r="R3940" i="28"/>
  <c r="R3941" i="28"/>
  <c r="R3942" i="28"/>
  <c r="R3943" i="28"/>
  <c r="R3944" i="28"/>
  <c r="R3945" i="28"/>
  <c r="R3946" i="28"/>
  <c r="R3947" i="28"/>
  <c r="R3948" i="28"/>
  <c r="R3949" i="28"/>
  <c r="R3950" i="28"/>
  <c r="R3951" i="28"/>
  <c r="R3952" i="28"/>
  <c r="R3953" i="28"/>
  <c r="R3954" i="28"/>
  <c r="R3955" i="28"/>
  <c r="R3956" i="28"/>
  <c r="R3957" i="28"/>
  <c r="R3958" i="28"/>
  <c r="R3959" i="28"/>
  <c r="R3960" i="28"/>
  <c r="R3961" i="28"/>
  <c r="R3962" i="28"/>
  <c r="R3963" i="28"/>
  <c r="R3964" i="28"/>
  <c r="R3965" i="28"/>
  <c r="R3966" i="28"/>
  <c r="R3967" i="28"/>
  <c r="R3968" i="28"/>
  <c r="R3969" i="28"/>
  <c r="R3970" i="28"/>
  <c r="R3971" i="28"/>
  <c r="R3972" i="28"/>
  <c r="R3973" i="28"/>
  <c r="R3974" i="28"/>
  <c r="R3975" i="28"/>
  <c r="R3976" i="28"/>
  <c r="R3977" i="28"/>
  <c r="R3978" i="28"/>
  <c r="R3979" i="28"/>
  <c r="R3980" i="28"/>
  <c r="R3981" i="28"/>
  <c r="R3982" i="28"/>
  <c r="R3983" i="28"/>
  <c r="R3984" i="28"/>
  <c r="R3985" i="28"/>
  <c r="R3986" i="28"/>
  <c r="R3987" i="28"/>
  <c r="R3988" i="28"/>
  <c r="R3989" i="28"/>
  <c r="R3990" i="28"/>
  <c r="R3991" i="28"/>
  <c r="R3992" i="28"/>
  <c r="R3993" i="28"/>
  <c r="R3994" i="28"/>
  <c r="R3995" i="28"/>
  <c r="R3996" i="28"/>
  <c r="R3997" i="28"/>
  <c r="R3998" i="28"/>
  <c r="R3999" i="28"/>
  <c r="R4000" i="28"/>
  <c r="R4001" i="28"/>
  <c r="R4002" i="28"/>
  <c r="R4003" i="28"/>
  <c r="R4004" i="28"/>
  <c r="R4005" i="28"/>
  <c r="R4006" i="28"/>
  <c r="R4007" i="28"/>
  <c r="R4008" i="28"/>
  <c r="R4009" i="28"/>
  <c r="R4010" i="28"/>
  <c r="R4011" i="28"/>
  <c r="R4012" i="28"/>
  <c r="R4013" i="28"/>
  <c r="R4014" i="28"/>
  <c r="R4015" i="28"/>
  <c r="R4016" i="28"/>
  <c r="R4017" i="28"/>
  <c r="R4018" i="28"/>
  <c r="R4019" i="28"/>
  <c r="R4020" i="28"/>
  <c r="R4021" i="28"/>
  <c r="R4022" i="28"/>
  <c r="R4023" i="28"/>
  <c r="R4024" i="28"/>
  <c r="R4025" i="28"/>
  <c r="R4026" i="28"/>
  <c r="R4027" i="28"/>
  <c r="R4028" i="28"/>
  <c r="R4029" i="28"/>
  <c r="R4030" i="28"/>
  <c r="R4031" i="28"/>
  <c r="R4032" i="28"/>
  <c r="R4033" i="28"/>
  <c r="R4034" i="28"/>
  <c r="R4035" i="28"/>
  <c r="R4036" i="28"/>
  <c r="R4037" i="28"/>
  <c r="R4038" i="28"/>
  <c r="R4039" i="28"/>
  <c r="R4040" i="28"/>
  <c r="R4041" i="28"/>
  <c r="R4042" i="28"/>
  <c r="R4043" i="28"/>
  <c r="R4044" i="28"/>
  <c r="R4045" i="28"/>
  <c r="R4046" i="28"/>
  <c r="R4047" i="28"/>
  <c r="R4048" i="28"/>
  <c r="R4049" i="28"/>
  <c r="R4050" i="28"/>
  <c r="R4051" i="28"/>
  <c r="R4052" i="28"/>
  <c r="R4053" i="28"/>
  <c r="R4054" i="28"/>
  <c r="R4055" i="28"/>
  <c r="R4056" i="28"/>
  <c r="R4057" i="28"/>
  <c r="R4058" i="28"/>
  <c r="R4059" i="28"/>
  <c r="R4060" i="28"/>
  <c r="R4061" i="28"/>
  <c r="R4062" i="28"/>
  <c r="R4063" i="28"/>
  <c r="R4064" i="28"/>
  <c r="R4065" i="28"/>
  <c r="R4066" i="28"/>
  <c r="R4067" i="28"/>
  <c r="R4068" i="28"/>
  <c r="R4069" i="28"/>
  <c r="R4070" i="28"/>
  <c r="R4071" i="28"/>
  <c r="R4072" i="28"/>
  <c r="R4073" i="28"/>
  <c r="R4074" i="28"/>
  <c r="R4075" i="28"/>
  <c r="R4076" i="28"/>
  <c r="R4077" i="28"/>
  <c r="R4078" i="28"/>
  <c r="R4079" i="28"/>
  <c r="R4080" i="28"/>
  <c r="R4081" i="28"/>
  <c r="R4082" i="28"/>
  <c r="R4083" i="28"/>
  <c r="R4084" i="28"/>
  <c r="R4085" i="28"/>
  <c r="R4086" i="28"/>
  <c r="R4087" i="28"/>
  <c r="R4088" i="28"/>
  <c r="R4089" i="28"/>
  <c r="R4090" i="28"/>
  <c r="R4091" i="28"/>
  <c r="R4092" i="28"/>
  <c r="R4093" i="28"/>
  <c r="R4094" i="28"/>
  <c r="R4095" i="28"/>
  <c r="R4096" i="28"/>
  <c r="R4097" i="28"/>
  <c r="R4098" i="28"/>
  <c r="R4099" i="28"/>
  <c r="R4100" i="28"/>
  <c r="R4101" i="28"/>
  <c r="R4102" i="28"/>
  <c r="R4103" i="28"/>
  <c r="R4104" i="28"/>
  <c r="R4105" i="28"/>
  <c r="R4106" i="28"/>
  <c r="R4107" i="28"/>
  <c r="R4108" i="28"/>
  <c r="R4109" i="28"/>
  <c r="R4110" i="28"/>
  <c r="R4111" i="28"/>
  <c r="R4112" i="28"/>
  <c r="R4113" i="28"/>
  <c r="R4114" i="28"/>
  <c r="R4115" i="28"/>
  <c r="R4116" i="28"/>
  <c r="R4117" i="28"/>
  <c r="R4118" i="28"/>
  <c r="R4119" i="28"/>
  <c r="R4120" i="28"/>
  <c r="R4121" i="28"/>
  <c r="R4122" i="28"/>
  <c r="R4123" i="28"/>
  <c r="R4124" i="28"/>
  <c r="R4125" i="28"/>
  <c r="R4126" i="28"/>
  <c r="R4127" i="28"/>
  <c r="R4128" i="28"/>
  <c r="R4129" i="28"/>
  <c r="R4130" i="28"/>
  <c r="R4131" i="28"/>
  <c r="R4132" i="28"/>
  <c r="R4133" i="28"/>
  <c r="R4134" i="28"/>
  <c r="R4135" i="28"/>
  <c r="R4136" i="28"/>
  <c r="R4137" i="28"/>
  <c r="R4138" i="28"/>
  <c r="R4139" i="28"/>
  <c r="R4140" i="28"/>
  <c r="R4141" i="28"/>
  <c r="R4142" i="28"/>
  <c r="R4143" i="28"/>
  <c r="R4144" i="28"/>
  <c r="R4145" i="28"/>
  <c r="R4146" i="28"/>
  <c r="R4147" i="28"/>
  <c r="R4148" i="28"/>
  <c r="R4149" i="28"/>
  <c r="R4150" i="28"/>
  <c r="R4151" i="28"/>
  <c r="R4152" i="28"/>
  <c r="R4153" i="28"/>
  <c r="R4154" i="28"/>
  <c r="R4155" i="28"/>
  <c r="R4156" i="28"/>
  <c r="R4157" i="28"/>
  <c r="R4158" i="28"/>
  <c r="R4159" i="28"/>
  <c r="R4160" i="28"/>
  <c r="R4161" i="28"/>
  <c r="R4162" i="28"/>
  <c r="R4163" i="28"/>
  <c r="R4164" i="28"/>
  <c r="R4165" i="28"/>
  <c r="R4166" i="28"/>
  <c r="R4167" i="28"/>
  <c r="R4168" i="28"/>
  <c r="R4169" i="28"/>
  <c r="R4170" i="28"/>
  <c r="R4171" i="28"/>
  <c r="R4172" i="28"/>
  <c r="R4173" i="28"/>
  <c r="R4174" i="28"/>
  <c r="R4175" i="28"/>
  <c r="R4176" i="28"/>
  <c r="R4177" i="28"/>
  <c r="R4178" i="28"/>
  <c r="R4179" i="28"/>
  <c r="R4180" i="28"/>
  <c r="R4181" i="28"/>
  <c r="R4182" i="28"/>
  <c r="R4183" i="28"/>
  <c r="R4184" i="28"/>
  <c r="R4185" i="28"/>
  <c r="R4186" i="28"/>
  <c r="R4187" i="28"/>
  <c r="R4188" i="28"/>
  <c r="R4189" i="28"/>
  <c r="R4190" i="28"/>
  <c r="R4191" i="28"/>
  <c r="R4192" i="28"/>
  <c r="R4193" i="28"/>
  <c r="R4194" i="28"/>
  <c r="R4195" i="28"/>
  <c r="R4196" i="28"/>
  <c r="R4197" i="28"/>
  <c r="R4198" i="28"/>
  <c r="R4199" i="28"/>
  <c r="R4200" i="28"/>
  <c r="R4201" i="28"/>
  <c r="R4202" i="28"/>
  <c r="R4203" i="28"/>
  <c r="R4204" i="28"/>
  <c r="R4205" i="28"/>
  <c r="R4206" i="28"/>
  <c r="R4207" i="28"/>
  <c r="R4208" i="28"/>
  <c r="R4209" i="28"/>
  <c r="R4210" i="28"/>
  <c r="R4211" i="28"/>
  <c r="R4212" i="28"/>
  <c r="R4213" i="28"/>
  <c r="R4214" i="28"/>
  <c r="R4215" i="28"/>
  <c r="R4216" i="28"/>
  <c r="R4217" i="28"/>
  <c r="R4218" i="28"/>
  <c r="R4219" i="28"/>
  <c r="R4220" i="28"/>
  <c r="R4221" i="28"/>
  <c r="R4222" i="28"/>
  <c r="R4223" i="28"/>
  <c r="R4224" i="28"/>
  <c r="R4225" i="28"/>
  <c r="R4226" i="28"/>
  <c r="R4227" i="28"/>
  <c r="R4228" i="28"/>
  <c r="R4229" i="28"/>
  <c r="R4230" i="28"/>
  <c r="R4231" i="28"/>
  <c r="R4232" i="28"/>
  <c r="R4233" i="28"/>
  <c r="R4234" i="28"/>
  <c r="R4235" i="28"/>
  <c r="R4236" i="28"/>
  <c r="R4237" i="28"/>
  <c r="R4238" i="28"/>
  <c r="R4239" i="28"/>
  <c r="R4240" i="28"/>
  <c r="R4241" i="28"/>
  <c r="R4242" i="28"/>
  <c r="R4243" i="28"/>
  <c r="R4244" i="28"/>
  <c r="R4245" i="28"/>
  <c r="R4246" i="28"/>
  <c r="R4247" i="28"/>
  <c r="R4248" i="28"/>
  <c r="R4249" i="28"/>
  <c r="R4250" i="28"/>
  <c r="R4251" i="28"/>
  <c r="R4252" i="28"/>
  <c r="R4253" i="28"/>
  <c r="R4254" i="28"/>
  <c r="R4255" i="28"/>
  <c r="R4256" i="28"/>
  <c r="R4257" i="28"/>
  <c r="R4258" i="28"/>
  <c r="R4259" i="28"/>
  <c r="R4260" i="28"/>
  <c r="R4261" i="28"/>
  <c r="R4262" i="28"/>
  <c r="R4263" i="28"/>
  <c r="R4264" i="28"/>
  <c r="R4265" i="28"/>
  <c r="R4266" i="28"/>
  <c r="R4267" i="28"/>
  <c r="R4268" i="28"/>
  <c r="R4269" i="28"/>
  <c r="R4270" i="28"/>
  <c r="R4271" i="28"/>
  <c r="R4272" i="28"/>
  <c r="R4273" i="28"/>
  <c r="R4274" i="28"/>
  <c r="R4275" i="28"/>
  <c r="R4276" i="28"/>
  <c r="R4277" i="28"/>
  <c r="R4278" i="28"/>
  <c r="R4279" i="28"/>
  <c r="R4280" i="28"/>
  <c r="R4281" i="28"/>
  <c r="R4282" i="28"/>
  <c r="R4283" i="28"/>
  <c r="R4284" i="28"/>
  <c r="R4285" i="28"/>
  <c r="R4286" i="28"/>
  <c r="R4287" i="28"/>
  <c r="R4288" i="28"/>
  <c r="R4289" i="28"/>
  <c r="R4290" i="28"/>
  <c r="R4291" i="28"/>
  <c r="R4292" i="28"/>
  <c r="R4293" i="28"/>
  <c r="R4294" i="28"/>
  <c r="R4295" i="28"/>
  <c r="R4296" i="28"/>
  <c r="R4297" i="28"/>
  <c r="R4298" i="28"/>
  <c r="R4299" i="28"/>
  <c r="R4300" i="28"/>
  <c r="R4301" i="28"/>
  <c r="R4302" i="28"/>
  <c r="R4303" i="28"/>
  <c r="R4304" i="28"/>
  <c r="R4305" i="28"/>
  <c r="R4306" i="28"/>
  <c r="R4307" i="28"/>
  <c r="R4308" i="28"/>
  <c r="R4309" i="28"/>
  <c r="R4310" i="28"/>
  <c r="R4311" i="28"/>
  <c r="R4312" i="28"/>
  <c r="R4313" i="28"/>
  <c r="R4314" i="28"/>
  <c r="R4315" i="28"/>
  <c r="R4316" i="28"/>
  <c r="R4317" i="28"/>
  <c r="R4318" i="28"/>
  <c r="R4319" i="28"/>
  <c r="R4320" i="28"/>
  <c r="R4321" i="28"/>
  <c r="R4322" i="28"/>
  <c r="R4323" i="28"/>
  <c r="R4324" i="28"/>
  <c r="R4325" i="28"/>
  <c r="R4326" i="28"/>
  <c r="R4327" i="28"/>
  <c r="R4328" i="28"/>
  <c r="R4329" i="28"/>
  <c r="R4330" i="28"/>
  <c r="R4331" i="28"/>
  <c r="R4332" i="28"/>
  <c r="R4333" i="28"/>
  <c r="R4334" i="28"/>
  <c r="R4335" i="28"/>
  <c r="R4336" i="28"/>
  <c r="R4337" i="28"/>
  <c r="R4338" i="28"/>
  <c r="R4339" i="28"/>
  <c r="R4340" i="28"/>
  <c r="R4341" i="28"/>
  <c r="R4342" i="28"/>
  <c r="R4343" i="28"/>
  <c r="R4344" i="28"/>
  <c r="R4345" i="28"/>
  <c r="R4346" i="28"/>
  <c r="R4347" i="28"/>
  <c r="R4348" i="28"/>
  <c r="R4349" i="28"/>
  <c r="R4350" i="28"/>
  <c r="R4351" i="28"/>
  <c r="R4352" i="28"/>
  <c r="R4353" i="28"/>
  <c r="R4354" i="28"/>
  <c r="R4355" i="28"/>
  <c r="R4356" i="28"/>
  <c r="R4357" i="28"/>
  <c r="R4358" i="28"/>
  <c r="R4359" i="28"/>
  <c r="R4360" i="28"/>
  <c r="R4361" i="28"/>
  <c r="R4362" i="28"/>
  <c r="R4363" i="28"/>
  <c r="R4364" i="28"/>
  <c r="R4365" i="28"/>
  <c r="R4366" i="28"/>
  <c r="R4367" i="28"/>
  <c r="R4368" i="28"/>
  <c r="R4369" i="28"/>
  <c r="R4370" i="28"/>
  <c r="R4371" i="28"/>
  <c r="R4372" i="28"/>
  <c r="R4373" i="28"/>
  <c r="R4374" i="28"/>
  <c r="R4375" i="28"/>
  <c r="R4376" i="28"/>
  <c r="R4377" i="28"/>
  <c r="R4378" i="28"/>
  <c r="R4379" i="28"/>
  <c r="R4380" i="28"/>
  <c r="R4381" i="28"/>
  <c r="R4382" i="28"/>
  <c r="R4383" i="28"/>
  <c r="R4384" i="28"/>
  <c r="R4385" i="28"/>
  <c r="R4386" i="28"/>
  <c r="R4387" i="28"/>
  <c r="R4388" i="28"/>
  <c r="R4389" i="28"/>
  <c r="R4390" i="28"/>
  <c r="R4391" i="28"/>
  <c r="R4392" i="28"/>
  <c r="R4393" i="28"/>
  <c r="R4394" i="28"/>
  <c r="R4395" i="28"/>
  <c r="R4396" i="28"/>
  <c r="R4397" i="28"/>
  <c r="R4398" i="28"/>
  <c r="R4399" i="28"/>
  <c r="R4400" i="28"/>
  <c r="R4401" i="28"/>
  <c r="R4402" i="28"/>
  <c r="R4403" i="28"/>
  <c r="R4404" i="28"/>
  <c r="R4405" i="28"/>
  <c r="R4406" i="28"/>
  <c r="R4407" i="28"/>
  <c r="R4408" i="28"/>
  <c r="R4409" i="28"/>
  <c r="R4410" i="28"/>
  <c r="R4411" i="28"/>
  <c r="R4412" i="28"/>
  <c r="R4413" i="28"/>
  <c r="R4414" i="28"/>
  <c r="R4415" i="28"/>
  <c r="R4416" i="28"/>
  <c r="R4417" i="28"/>
  <c r="R4418" i="28"/>
  <c r="R4419" i="28"/>
  <c r="R4420" i="28"/>
  <c r="R4421" i="28"/>
  <c r="R4422" i="28"/>
  <c r="R4423" i="28"/>
  <c r="R4424" i="28"/>
  <c r="R4425" i="28"/>
  <c r="R4426" i="28"/>
  <c r="R4427" i="28"/>
  <c r="R4428" i="28"/>
  <c r="R4429" i="28"/>
  <c r="R4430" i="28"/>
  <c r="R4431" i="28"/>
  <c r="R4432" i="28"/>
  <c r="R4433" i="28"/>
  <c r="R4434" i="28"/>
  <c r="R4435" i="28"/>
  <c r="R4436" i="28"/>
  <c r="R4437" i="28"/>
  <c r="R4438" i="28"/>
  <c r="R4439" i="28"/>
  <c r="R4440" i="28"/>
  <c r="R4441" i="28"/>
  <c r="R4442" i="28"/>
  <c r="R4443" i="28"/>
  <c r="R4444" i="28"/>
  <c r="R4445" i="28"/>
  <c r="R4446" i="28"/>
  <c r="R4447" i="28"/>
  <c r="R4448" i="28"/>
  <c r="R4449" i="28"/>
  <c r="R4450" i="28"/>
  <c r="R4451" i="28"/>
  <c r="R4452" i="28"/>
  <c r="R4453" i="28"/>
  <c r="R4454" i="28"/>
  <c r="R4455" i="28"/>
  <c r="R4456" i="28"/>
  <c r="R4457" i="28"/>
  <c r="R4458" i="28"/>
  <c r="R4459" i="28"/>
  <c r="R4460" i="28"/>
  <c r="R4461" i="28"/>
  <c r="R4462" i="28"/>
  <c r="R4463" i="28"/>
  <c r="R4464" i="28"/>
  <c r="R4465" i="28"/>
  <c r="R4466" i="28"/>
  <c r="R4467" i="28"/>
  <c r="R4468" i="28"/>
  <c r="R4469" i="28"/>
  <c r="R4470" i="28"/>
  <c r="R4471" i="28"/>
  <c r="R4472" i="28"/>
  <c r="R4473" i="28"/>
  <c r="R4474" i="28"/>
  <c r="R4475" i="28"/>
  <c r="R4476" i="28"/>
  <c r="R4477" i="28"/>
  <c r="R4478" i="28"/>
  <c r="R4479" i="28"/>
  <c r="R4480" i="28"/>
  <c r="R4481" i="28"/>
  <c r="R4482" i="28"/>
  <c r="R4483" i="28"/>
  <c r="R4484" i="28"/>
  <c r="R4485" i="28"/>
  <c r="R4486" i="28"/>
  <c r="R4487" i="28"/>
  <c r="R4488" i="28"/>
  <c r="R4489" i="28"/>
  <c r="R4490" i="28"/>
  <c r="R4491" i="28"/>
  <c r="R4492" i="28"/>
  <c r="R4493" i="28"/>
  <c r="R4494" i="28"/>
  <c r="R4495" i="28"/>
  <c r="R4496" i="28"/>
  <c r="R4497" i="28"/>
  <c r="R4498" i="28"/>
  <c r="R4499" i="28"/>
  <c r="R4500" i="28"/>
  <c r="R4501" i="28"/>
  <c r="R4502" i="28"/>
  <c r="R4503" i="28"/>
  <c r="R4504" i="28"/>
  <c r="R4505" i="28"/>
  <c r="R4506" i="28"/>
  <c r="R1507" i="28"/>
  <c r="R1508" i="28"/>
  <c r="R1509" i="28"/>
  <c r="R1510" i="28"/>
  <c r="R1511" i="28"/>
  <c r="R1512" i="28"/>
  <c r="R1513" i="28"/>
  <c r="R1514" i="28"/>
  <c r="R1515" i="28"/>
  <c r="R1516" i="28"/>
  <c r="R1517" i="28"/>
  <c r="R1518" i="28"/>
  <c r="R1519" i="28"/>
  <c r="R1520" i="28"/>
  <c r="R1521" i="28"/>
  <c r="R1522" i="28"/>
  <c r="R1523" i="28"/>
  <c r="R1524" i="28"/>
  <c r="R1525" i="28"/>
  <c r="R1526" i="28"/>
  <c r="R1527" i="28"/>
  <c r="R1528" i="28"/>
  <c r="R1529" i="28"/>
  <c r="R1530" i="28"/>
  <c r="R1531" i="28"/>
  <c r="R1532" i="28"/>
  <c r="R1533" i="28"/>
  <c r="R1534" i="28"/>
  <c r="R1535" i="28"/>
  <c r="R1536" i="28"/>
  <c r="R1537" i="28"/>
  <c r="R1538" i="28"/>
  <c r="R1539" i="28"/>
  <c r="R1540" i="28"/>
  <c r="R1541" i="28"/>
  <c r="R1542" i="28"/>
  <c r="R1543" i="28"/>
  <c r="R1544" i="28"/>
  <c r="R1545" i="28"/>
  <c r="R1546" i="28"/>
  <c r="R1547" i="28"/>
  <c r="R1548" i="28"/>
  <c r="R1549" i="28"/>
  <c r="R1550" i="28"/>
  <c r="R1551" i="28"/>
  <c r="R1552" i="28"/>
  <c r="R1553" i="28"/>
  <c r="R1554" i="28"/>
  <c r="R1555" i="28"/>
  <c r="R1556" i="28"/>
  <c r="R1557" i="28"/>
  <c r="R1558" i="28"/>
  <c r="R1559" i="28"/>
  <c r="R1560" i="28"/>
  <c r="R1561" i="28"/>
  <c r="R1562" i="28"/>
  <c r="R1563" i="28"/>
  <c r="R1564" i="28"/>
  <c r="R1565" i="28"/>
  <c r="R1566" i="28"/>
  <c r="R1567" i="28"/>
  <c r="R1568" i="28"/>
  <c r="R1569" i="28"/>
  <c r="R1570" i="28"/>
  <c r="R1571" i="28"/>
  <c r="R1572" i="28"/>
  <c r="R1573" i="28"/>
  <c r="R1574" i="28"/>
  <c r="R1575" i="28"/>
  <c r="R1576" i="28"/>
  <c r="R1577" i="28"/>
  <c r="R1578" i="28"/>
  <c r="R1579" i="28"/>
  <c r="R1580" i="28"/>
  <c r="R1581" i="28"/>
  <c r="R1582" i="28"/>
  <c r="R1583" i="28"/>
  <c r="R1584" i="28"/>
  <c r="R1585" i="28"/>
  <c r="R1586" i="28"/>
  <c r="R1587" i="28"/>
  <c r="R1588" i="28"/>
  <c r="R1589" i="28"/>
  <c r="R1590" i="28"/>
  <c r="R1591" i="28"/>
  <c r="R1592" i="28"/>
  <c r="R1593" i="28"/>
  <c r="R1594" i="28"/>
  <c r="R1595" i="28"/>
  <c r="R1596" i="28"/>
  <c r="R1597" i="28"/>
  <c r="R1598" i="28"/>
  <c r="R1599" i="28"/>
  <c r="R1600" i="28"/>
  <c r="R1601" i="28"/>
  <c r="R1602" i="28"/>
  <c r="R1603" i="28"/>
  <c r="R1604" i="28"/>
  <c r="R1605" i="28"/>
  <c r="R1606" i="28"/>
  <c r="R1607" i="28"/>
  <c r="R1608" i="28"/>
  <c r="R1609" i="28"/>
  <c r="R1610" i="28"/>
  <c r="R1611" i="28"/>
  <c r="R1612" i="28"/>
  <c r="R1613" i="28"/>
  <c r="R1614" i="28"/>
  <c r="R1615" i="28"/>
  <c r="R1616" i="28"/>
  <c r="R1617" i="28"/>
  <c r="R1618" i="28"/>
  <c r="R1619" i="28"/>
  <c r="R1620" i="28"/>
  <c r="R1621" i="28"/>
  <c r="R1622" i="28"/>
  <c r="R1623" i="28"/>
  <c r="R1624" i="28"/>
  <c r="R1625" i="28"/>
  <c r="R1626" i="28"/>
  <c r="R1627" i="28"/>
  <c r="R1628" i="28"/>
  <c r="R1629" i="28"/>
  <c r="R1630" i="28"/>
  <c r="R1631" i="28"/>
  <c r="R1632" i="28"/>
  <c r="R1633" i="28"/>
  <c r="R1634" i="28"/>
  <c r="R1635" i="28"/>
  <c r="R1636" i="28"/>
  <c r="R1637" i="28"/>
  <c r="R1638" i="28"/>
  <c r="R1639" i="28"/>
  <c r="R1640" i="28"/>
  <c r="R1641" i="28"/>
  <c r="R1642" i="28"/>
  <c r="R1643" i="28"/>
  <c r="R1644" i="28"/>
  <c r="R1645" i="28"/>
  <c r="R1646" i="28"/>
  <c r="R1647" i="28"/>
  <c r="R1648" i="28"/>
  <c r="R1649" i="28"/>
  <c r="R1650" i="28"/>
  <c r="R1651" i="28"/>
  <c r="R1652" i="28"/>
  <c r="R1653" i="28"/>
  <c r="R1654" i="28"/>
  <c r="R1655" i="28"/>
  <c r="R1656" i="28"/>
  <c r="R1657" i="28"/>
  <c r="R1658" i="28"/>
  <c r="R1659" i="28"/>
  <c r="R1660" i="28"/>
  <c r="R1661" i="28"/>
  <c r="R1662" i="28"/>
  <c r="R1663" i="28"/>
  <c r="R1664" i="28"/>
  <c r="R1665" i="28"/>
  <c r="R1666" i="28"/>
  <c r="R1667" i="28"/>
  <c r="R1668" i="28"/>
  <c r="R1669" i="28"/>
  <c r="R1670" i="28"/>
  <c r="R1671" i="28"/>
  <c r="R1672" i="28"/>
  <c r="R1673" i="28"/>
  <c r="R1674" i="28"/>
  <c r="R1675" i="28"/>
  <c r="R1676" i="28"/>
  <c r="R1677" i="28"/>
  <c r="R1678" i="28"/>
  <c r="R1679" i="28"/>
  <c r="R1680" i="28"/>
  <c r="R1681" i="28"/>
  <c r="R1682" i="28"/>
  <c r="R1683" i="28"/>
  <c r="R1684" i="28"/>
  <c r="R1685" i="28"/>
  <c r="R1686" i="28"/>
  <c r="R1687" i="28"/>
  <c r="R1688" i="28"/>
  <c r="R1689" i="28"/>
  <c r="R1690" i="28"/>
  <c r="R1691" i="28"/>
  <c r="R1692" i="28"/>
  <c r="R1693" i="28"/>
  <c r="R1694" i="28"/>
  <c r="R1695" i="28"/>
  <c r="R1696" i="28"/>
  <c r="R1697" i="28"/>
  <c r="R1698" i="28"/>
  <c r="R1699" i="28"/>
  <c r="R1700" i="28"/>
  <c r="R1701" i="28"/>
  <c r="R1702" i="28"/>
  <c r="R1703" i="28"/>
  <c r="R1704" i="28"/>
  <c r="R1705" i="28"/>
  <c r="R1706" i="28"/>
  <c r="R1707" i="28"/>
  <c r="R1708" i="28"/>
  <c r="R1709" i="28"/>
  <c r="R1710" i="28"/>
  <c r="R1711" i="28"/>
  <c r="R1712" i="28"/>
  <c r="R1713" i="28"/>
  <c r="R1714" i="28"/>
  <c r="R1715" i="28"/>
  <c r="R1716" i="28"/>
  <c r="R1717" i="28"/>
  <c r="R1718" i="28"/>
  <c r="R1719" i="28"/>
  <c r="R1720" i="28"/>
  <c r="R1721" i="28"/>
  <c r="R1722" i="28"/>
  <c r="R1723" i="28"/>
  <c r="R1724" i="28"/>
  <c r="R1725" i="28"/>
  <c r="R1726" i="28"/>
  <c r="R1727" i="28"/>
  <c r="R1728" i="28"/>
  <c r="R1729" i="28"/>
  <c r="R1730" i="28"/>
  <c r="R1731" i="28"/>
  <c r="R1732" i="28"/>
  <c r="R1733" i="28"/>
  <c r="R1734" i="28"/>
  <c r="R1735" i="28"/>
  <c r="R1736" i="28"/>
  <c r="R1737" i="28"/>
  <c r="R1738" i="28"/>
  <c r="R1739" i="28"/>
  <c r="R1740" i="28"/>
  <c r="R1741" i="28"/>
  <c r="R1742" i="28"/>
  <c r="R1743" i="28"/>
  <c r="R1744" i="28"/>
  <c r="R1745" i="28"/>
  <c r="R1746" i="28"/>
  <c r="R1747" i="28"/>
  <c r="R1748" i="28"/>
  <c r="R1749" i="28"/>
  <c r="R1750" i="28"/>
  <c r="R1751" i="28"/>
  <c r="R1752" i="28"/>
  <c r="R1753" i="28"/>
  <c r="R1754" i="28"/>
  <c r="R1755" i="28"/>
  <c r="R1756" i="28"/>
  <c r="R1757" i="28"/>
  <c r="R1758" i="28"/>
  <c r="R1759" i="28"/>
  <c r="R1760" i="28"/>
  <c r="R1761" i="28"/>
  <c r="R1762" i="28"/>
  <c r="R1763" i="28"/>
  <c r="R1764" i="28"/>
  <c r="R1765" i="28"/>
  <c r="R1766" i="28"/>
  <c r="R1767" i="28"/>
  <c r="R1768" i="28"/>
  <c r="R1769" i="28"/>
  <c r="R1770" i="28"/>
  <c r="R1771" i="28"/>
  <c r="R1772" i="28"/>
  <c r="R1773" i="28"/>
  <c r="R1774" i="28"/>
  <c r="R1775" i="28"/>
  <c r="R1776" i="28"/>
  <c r="R1777" i="28"/>
  <c r="R1778" i="28"/>
  <c r="R1779" i="28"/>
  <c r="R1780" i="28"/>
  <c r="R1781" i="28"/>
  <c r="R1782" i="28"/>
  <c r="R1783" i="28"/>
  <c r="R1784" i="28"/>
  <c r="R1785" i="28"/>
  <c r="R1786" i="28"/>
  <c r="R1787" i="28"/>
  <c r="R1788" i="28"/>
  <c r="R1789" i="28"/>
  <c r="R1790" i="28"/>
  <c r="R1791" i="28"/>
  <c r="R1792" i="28"/>
  <c r="R1793" i="28"/>
  <c r="R1794" i="28"/>
  <c r="R1795" i="28"/>
  <c r="R1796" i="28"/>
  <c r="R1797" i="28"/>
  <c r="R1798" i="28"/>
  <c r="R1799" i="28"/>
  <c r="R1800" i="28"/>
  <c r="R1801" i="28"/>
  <c r="R1802" i="28"/>
  <c r="R1803" i="28"/>
  <c r="R1804" i="28"/>
  <c r="R1805" i="28"/>
  <c r="R1806" i="28"/>
  <c r="R1807" i="28"/>
  <c r="R1808" i="28"/>
  <c r="R1809" i="28"/>
  <c r="R1810" i="28"/>
  <c r="R1811" i="28"/>
  <c r="R1812" i="28"/>
  <c r="R1813" i="28"/>
  <c r="R1814" i="28"/>
  <c r="R1815" i="28"/>
  <c r="R1816" i="28"/>
  <c r="R1817" i="28"/>
  <c r="R1818" i="28"/>
  <c r="R1819" i="28"/>
  <c r="R1820" i="28"/>
  <c r="R1821" i="28"/>
  <c r="R1822" i="28"/>
  <c r="R1823" i="28"/>
  <c r="R1824" i="28"/>
  <c r="R1825" i="28"/>
  <c r="R1826" i="28"/>
  <c r="R1827" i="28"/>
  <c r="R1828" i="28"/>
  <c r="R1829" i="28"/>
  <c r="R1830" i="28"/>
  <c r="R1831" i="28"/>
  <c r="R1832" i="28"/>
  <c r="R1833" i="28"/>
  <c r="R1834" i="28"/>
  <c r="R1835" i="28"/>
  <c r="R1836" i="28"/>
  <c r="R1837" i="28"/>
  <c r="R1838" i="28"/>
  <c r="R1839" i="28"/>
  <c r="R1840" i="28"/>
  <c r="R1841" i="28"/>
  <c r="R1842" i="28"/>
  <c r="R1843" i="28"/>
  <c r="R1844" i="28"/>
  <c r="R1845" i="28"/>
  <c r="R1846" i="28"/>
  <c r="R1847" i="28"/>
  <c r="R1848" i="28"/>
  <c r="R1849" i="28"/>
  <c r="R1850" i="28"/>
  <c r="R1851" i="28"/>
  <c r="R1852" i="28"/>
  <c r="R1853" i="28"/>
  <c r="R1854" i="28"/>
  <c r="R1855" i="28"/>
  <c r="R1856" i="28"/>
  <c r="R1857" i="28"/>
  <c r="R1858" i="28"/>
  <c r="R1859" i="28"/>
  <c r="R1860" i="28"/>
  <c r="R1861" i="28"/>
  <c r="R1862" i="28"/>
  <c r="R1863" i="28"/>
  <c r="R1864" i="28"/>
  <c r="R1865" i="28"/>
  <c r="R1866" i="28"/>
  <c r="R1867" i="28"/>
  <c r="R1868" i="28"/>
  <c r="R1869" i="28"/>
  <c r="R1870" i="28"/>
  <c r="R1871" i="28"/>
  <c r="R1872" i="28"/>
  <c r="R1873" i="28"/>
  <c r="R1874" i="28"/>
  <c r="R1875" i="28"/>
  <c r="R1876" i="28"/>
  <c r="R1877" i="28"/>
  <c r="R1878" i="28"/>
  <c r="R1879" i="28"/>
  <c r="R1880" i="28"/>
  <c r="R1881" i="28"/>
  <c r="R1882" i="28"/>
  <c r="R1883" i="28"/>
  <c r="R1884" i="28"/>
  <c r="R1885" i="28"/>
  <c r="R1886" i="28"/>
  <c r="R1887" i="28"/>
  <c r="R1888" i="28"/>
  <c r="R1889" i="28"/>
  <c r="R1890" i="28"/>
  <c r="R1891" i="28"/>
  <c r="R1892" i="28"/>
  <c r="R1893" i="28"/>
  <c r="R1894" i="28"/>
  <c r="R1895" i="28"/>
  <c r="R1896" i="28"/>
  <c r="R1897" i="28"/>
  <c r="R1898" i="28"/>
  <c r="R1899" i="28"/>
  <c r="R1900" i="28"/>
  <c r="R1901" i="28"/>
  <c r="R1902" i="28"/>
  <c r="R1903" i="28"/>
  <c r="R1904" i="28"/>
  <c r="R1905" i="28"/>
  <c r="R1906" i="28"/>
  <c r="R1907" i="28"/>
  <c r="R1908" i="28"/>
  <c r="R1909" i="28"/>
  <c r="R1910" i="28"/>
  <c r="R1911" i="28"/>
  <c r="R1912" i="28"/>
  <c r="R1913" i="28"/>
  <c r="R1914" i="28"/>
  <c r="R1915" i="28"/>
  <c r="R1916" i="28"/>
  <c r="R1917" i="28"/>
  <c r="R1918" i="28"/>
  <c r="R1919" i="28"/>
  <c r="R1920" i="28"/>
  <c r="R1921" i="28"/>
  <c r="R1922" i="28"/>
  <c r="R1923" i="28"/>
  <c r="R1924" i="28"/>
  <c r="R1925" i="28"/>
  <c r="R1926" i="28"/>
  <c r="R1927" i="28"/>
  <c r="R1928" i="28"/>
  <c r="R1929" i="28"/>
  <c r="R1930" i="28"/>
  <c r="R1931" i="28"/>
  <c r="R1932" i="28"/>
  <c r="R1933" i="28"/>
  <c r="R1934" i="28"/>
  <c r="R1935" i="28"/>
  <c r="R1936" i="28"/>
  <c r="R1937" i="28"/>
  <c r="R1938" i="28"/>
  <c r="R1939" i="28"/>
  <c r="R1940" i="28"/>
  <c r="R1941" i="28"/>
  <c r="R1942" i="28"/>
  <c r="R1943" i="28"/>
  <c r="R1944" i="28"/>
  <c r="R1945" i="28"/>
  <c r="R1946" i="28"/>
  <c r="R1947" i="28"/>
  <c r="R1948" i="28"/>
  <c r="R1949" i="28"/>
  <c r="R1950" i="28"/>
  <c r="R1951" i="28"/>
  <c r="R1952" i="28"/>
  <c r="R1953" i="28"/>
  <c r="R1954" i="28"/>
  <c r="R1955" i="28"/>
  <c r="R1956" i="28"/>
  <c r="R1957" i="28"/>
  <c r="R1958" i="28"/>
  <c r="R1959" i="28"/>
  <c r="R1960" i="28"/>
  <c r="R1961" i="28"/>
  <c r="R1962" i="28"/>
  <c r="R1963" i="28"/>
  <c r="R1964" i="28"/>
  <c r="R1965" i="28"/>
  <c r="R1966" i="28"/>
  <c r="R1967" i="28"/>
  <c r="R1968" i="28"/>
  <c r="R1969" i="28"/>
  <c r="R1970" i="28"/>
  <c r="R1971" i="28"/>
  <c r="R1972" i="28"/>
  <c r="R1973" i="28"/>
  <c r="R1974" i="28"/>
  <c r="R1975" i="28"/>
  <c r="R1976" i="28"/>
  <c r="R1977" i="28"/>
  <c r="R1978" i="28"/>
  <c r="R1979" i="28"/>
  <c r="R1980" i="28"/>
  <c r="R1981" i="28"/>
  <c r="R1982" i="28"/>
  <c r="R1983" i="28"/>
  <c r="R1984" i="28"/>
  <c r="R1985" i="28"/>
  <c r="R1986" i="28"/>
  <c r="R1987" i="28"/>
  <c r="R1988" i="28"/>
  <c r="R1989" i="28"/>
  <c r="R1990" i="28"/>
  <c r="R1991" i="28"/>
  <c r="R1992" i="28"/>
  <c r="R1993" i="28"/>
  <c r="R1994" i="28"/>
  <c r="R1995" i="28"/>
  <c r="R1996" i="28"/>
  <c r="R1997" i="28"/>
  <c r="R1998" i="28"/>
  <c r="R1999" i="28"/>
  <c r="R2000" i="28"/>
  <c r="R2001" i="28"/>
  <c r="R2002" i="28"/>
  <c r="R2003" i="28"/>
  <c r="R2004" i="28"/>
  <c r="R2005" i="28"/>
  <c r="R2006" i="28"/>
  <c r="R2007" i="28"/>
  <c r="R2008" i="28"/>
  <c r="R2009" i="28"/>
  <c r="R2010" i="28"/>
  <c r="R2011" i="28"/>
  <c r="R2012" i="28"/>
  <c r="R2013" i="28"/>
  <c r="R2014" i="28"/>
  <c r="R2015" i="28"/>
  <c r="R2016" i="28"/>
  <c r="R2017" i="28"/>
  <c r="R2018" i="28"/>
  <c r="R2019" i="28"/>
  <c r="R2020" i="28"/>
  <c r="R2021" i="28"/>
  <c r="R2022" i="28"/>
  <c r="R2023" i="28"/>
  <c r="R2024" i="28"/>
  <c r="R2025" i="28"/>
  <c r="R2026" i="28"/>
  <c r="R2027" i="28"/>
  <c r="R2028" i="28"/>
  <c r="R2029" i="28"/>
  <c r="R2030" i="28"/>
  <c r="R2031" i="28"/>
  <c r="R2032" i="28"/>
  <c r="R2033" i="28"/>
  <c r="R2034" i="28"/>
  <c r="R2035" i="28"/>
  <c r="R2036" i="28"/>
  <c r="R2037" i="28"/>
  <c r="R2038" i="28"/>
  <c r="R2039" i="28"/>
  <c r="R2040" i="28"/>
  <c r="R2041" i="28"/>
  <c r="R2042" i="28"/>
  <c r="R2043" i="28"/>
  <c r="R2044" i="28"/>
  <c r="R2045" i="28"/>
  <c r="R2046" i="28"/>
  <c r="R2047" i="28"/>
  <c r="R2048" i="28"/>
  <c r="R2049" i="28"/>
  <c r="R2050" i="28"/>
  <c r="R2051" i="28"/>
  <c r="R2052" i="28"/>
  <c r="R2053" i="28"/>
  <c r="R2054" i="28"/>
  <c r="R2055" i="28"/>
  <c r="R2056" i="28"/>
  <c r="R2057" i="28"/>
  <c r="R2058" i="28"/>
  <c r="R2059" i="28"/>
  <c r="R2060" i="28"/>
  <c r="R2061" i="28"/>
  <c r="R2062" i="28"/>
  <c r="R2063" i="28"/>
  <c r="R2064" i="28"/>
  <c r="R2065" i="28"/>
  <c r="R2066" i="28"/>
  <c r="R2067" i="28"/>
  <c r="R2068" i="28"/>
  <c r="R2069" i="28"/>
  <c r="R2070" i="28"/>
  <c r="R2071" i="28"/>
  <c r="R2072" i="28"/>
  <c r="R2073" i="28"/>
  <c r="R2074" i="28"/>
  <c r="R2075" i="28"/>
  <c r="R2076" i="28"/>
  <c r="R2077" i="28"/>
  <c r="R2078" i="28"/>
  <c r="R2079" i="28"/>
  <c r="R2080" i="28"/>
  <c r="R2081" i="28"/>
  <c r="R2082" i="28"/>
  <c r="R2083" i="28"/>
  <c r="R2084" i="28"/>
  <c r="R2085" i="28"/>
  <c r="R2086" i="28"/>
  <c r="R2087" i="28"/>
  <c r="R2088" i="28"/>
  <c r="R2089" i="28"/>
  <c r="R2090" i="28"/>
  <c r="R2091" i="28"/>
  <c r="R2092" i="28"/>
  <c r="R2093" i="28"/>
  <c r="R2094" i="28"/>
  <c r="R2095" i="28"/>
  <c r="R2096" i="28"/>
  <c r="R2097" i="28"/>
  <c r="R2098" i="28"/>
  <c r="R2099" i="28"/>
  <c r="R2100" i="28"/>
  <c r="R2101" i="28"/>
  <c r="R2102" i="28"/>
  <c r="R2103" i="28"/>
  <c r="R2104" i="28"/>
  <c r="R2105" i="28"/>
  <c r="R2106" i="28"/>
  <c r="R2107" i="28"/>
  <c r="R2108" i="28"/>
  <c r="R2109" i="28"/>
  <c r="R2110" i="28"/>
  <c r="R2111" i="28"/>
  <c r="R2112" i="28"/>
  <c r="R2113" i="28"/>
  <c r="R2114" i="28"/>
  <c r="R2115" i="28"/>
  <c r="R2116" i="28"/>
  <c r="R2117" i="28"/>
  <c r="R2118" i="28"/>
  <c r="R2119" i="28"/>
  <c r="R2120" i="28"/>
  <c r="R2121" i="28"/>
  <c r="R2122" i="28"/>
  <c r="R2123" i="28"/>
  <c r="R2124" i="28"/>
  <c r="R2125" i="28"/>
  <c r="R2126" i="28"/>
  <c r="R2127" i="28"/>
  <c r="R2128" i="28"/>
  <c r="R2129" i="28"/>
  <c r="R2130" i="28"/>
  <c r="R2131" i="28"/>
  <c r="R2132" i="28"/>
  <c r="R2133" i="28"/>
  <c r="R2134" i="28"/>
  <c r="R2135" i="28"/>
  <c r="R2136" i="28"/>
  <c r="R2137" i="28"/>
  <c r="R2138" i="28"/>
  <c r="R2139" i="28"/>
  <c r="R2140" i="28"/>
  <c r="R2141" i="28"/>
  <c r="R2142" i="28"/>
  <c r="R2143" i="28"/>
  <c r="R2144" i="28"/>
  <c r="R2145" i="28"/>
  <c r="R2146" i="28"/>
  <c r="R2147" i="28"/>
  <c r="R2148" i="28"/>
  <c r="R2149" i="28"/>
  <c r="R2150" i="28"/>
  <c r="R2151" i="28"/>
  <c r="R2152" i="28"/>
  <c r="R2153" i="28"/>
  <c r="R2154" i="28"/>
  <c r="R2155" i="28"/>
  <c r="R2156" i="28"/>
  <c r="R2157" i="28"/>
  <c r="R2158" i="28"/>
  <c r="R2159" i="28"/>
  <c r="R2160" i="28"/>
  <c r="R2161" i="28"/>
  <c r="R2162" i="28"/>
  <c r="R2163" i="28"/>
  <c r="R2164" i="28"/>
  <c r="R2165" i="28"/>
  <c r="R2166" i="28"/>
  <c r="R2167" i="28"/>
  <c r="R2168" i="28"/>
  <c r="R2169" i="28"/>
  <c r="R2170" i="28"/>
  <c r="R2171" i="28"/>
  <c r="R2172" i="28"/>
  <c r="R2173" i="28"/>
  <c r="R2174" i="28"/>
  <c r="R2175" i="28"/>
  <c r="R2176" i="28"/>
  <c r="R2177" i="28"/>
  <c r="R2178" i="28"/>
  <c r="R2179" i="28"/>
  <c r="R2180" i="28"/>
  <c r="R2181" i="28"/>
  <c r="R2182" i="28"/>
  <c r="R2183" i="28"/>
  <c r="R2184" i="28"/>
  <c r="R2185" i="28"/>
  <c r="R2186" i="28"/>
  <c r="R2187" i="28"/>
  <c r="R2188" i="28"/>
  <c r="R2189" i="28"/>
  <c r="R2190" i="28"/>
  <c r="R2191" i="28"/>
  <c r="R2192" i="28"/>
  <c r="R2193" i="28"/>
  <c r="R2194" i="28"/>
  <c r="R2195" i="28"/>
  <c r="R2196" i="28"/>
  <c r="R2197" i="28"/>
  <c r="R2198" i="28"/>
  <c r="R2199" i="28"/>
  <c r="R2200" i="28"/>
  <c r="R2201" i="28"/>
  <c r="R2202" i="28"/>
  <c r="R2203" i="28"/>
  <c r="R2204" i="28"/>
  <c r="R2205" i="28"/>
  <c r="R2206" i="28"/>
  <c r="R2207" i="28"/>
  <c r="R2208" i="28"/>
  <c r="R2209" i="28"/>
  <c r="R2210" i="28"/>
  <c r="R2211" i="28"/>
  <c r="R2212" i="28"/>
  <c r="R2213" i="28"/>
  <c r="R2214" i="28"/>
  <c r="R2215" i="28"/>
  <c r="R2216" i="28"/>
  <c r="R2217" i="28"/>
  <c r="R2218" i="28"/>
  <c r="R2219" i="28"/>
  <c r="R2220" i="28"/>
  <c r="R2221" i="28"/>
  <c r="R2222" i="28"/>
  <c r="R2223" i="28"/>
  <c r="R2224" i="28"/>
  <c r="R2225" i="28"/>
  <c r="R2226" i="28"/>
  <c r="R2227" i="28"/>
  <c r="R2228" i="28"/>
  <c r="R2229" i="28"/>
  <c r="R2230" i="28"/>
  <c r="R2231" i="28"/>
  <c r="R2232" i="28"/>
  <c r="R2233" i="28"/>
  <c r="R2234" i="28"/>
  <c r="R2235" i="28"/>
  <c r="R2236" i="28"/>
  <c r="R2237" i="28"/>
  <c r="R2238" i="28"/>
  <c r="R2239" i="28"/>
  <c r="R2240" i="28"/>
  <c r="R2241" i="28"/>
  <c r="R2242" i="28"/>
  <c r="R2243" i="28"/>
  <c r="R2244" i="28"/>
  <c r="R2245" i="28"/>
  <c r="R2246" i="28"/>
  <c r="R2247" i="28"/>
  <c r="R2248" i="28"/>
  <c r="R2249" i="28"/>
  <c r="R2250" i="28"/>
  <c r="R2251" i="28"/>
  <c r="R2252" i="28"/>
  <c r="R2253" i="28"/>
  <c r="R2254" i="28"/>
  <c r="R2255" i="28"/>
  <c r="R2256" i="28"/>
  <c r="R2257" i="28"/>
  <c r="R2258" i="28"/>
  <c r="R2259" i="28"/>
  <c r="R2260" i="28"/>
  <c r="R2261" i="28"/>
  <c r="R2262" i="28"/>
  <c r="R2263" i="28"/>
  <c r="R2264" i="28"/>
  <c r="R2265" i="28"/>
  <c r="R2266" i="28"/>
  <c r="R2267" i="28"/>
  <c r="R2268" i="28"/>
  <c r="R2269" i="28"/>
  <c r="R2270" i="28"/>
  <c r="R2271" i="28"/>
  <c r="R2272" i="28"/>
  <c r="R2273" i="28"/>
  <c r="R2274" i="28"/>
  <c r="R2275" i="28"/>
  <c r="R2276" i="28"/>
  <c r="R2277" i="28"/>
  <c r="R2278" i="28"/>
  <c r="R2279" i="28"/>
  <c r="R2280" i="28"/>
  <c r="R2281" i="28"/>
  <c r="R2282" i="28"/>
  <c r="R2283" i="28"/>
  <c r="R2284" i="28"/>
  <c r="R2285" i="28"/>
  <c r="R2286" i="28"/>
  <c r="R2287" i="28"/>
  <c r="R2288" i="28"/>
  <c r="R2289" i="28"/>
  <c r="R2290" i="28"/>
  <c r="R2291" i="28"/>
  <c r="R2292" i="28"/>
  <c r="R2293" i="28"/>
  <c r="R2294" i="28"/>
  <c r="R2295" i="28"/>
  <c r="R2296" i="28"/>
  <c r="R2297" i="28"/>
  <c r="R2298" i="28"/>
  <c r="R2299" i="28"/>
  <c r="R2300" i="28"/>
  <c r="R2301" i="28"/>
  <c r="R2302" i="28"/>
  <c r="R2303" i="28"/>
  <c r="R2304" i="28"/>
  <c r="R2305" i="28"/>
  <c r="R2306" i="28"/>
  <c r="R2307" i="28"/>
  <c r="R2308" i="28"/>
  <c r="R2309" i="28"/>
  <c r="R2310" i="28"/>
  <c r="R2311" i="28"/>
  <c r="R2312" i="28"/>
  <c r="R2313" i="28"/>
  <c r="R2314" i="28"/>
  <c r="R2315" i="28"/>
  <c r="R2316" i="28"/>
  <c r="R2317" i="28"/>
  <c r="R2318" i="28"/>
  <c r="R2319" i="28"/>
  <c r="R2320" i="28"/>
  <c r="R2321" i="28"/>
  <c r="R2322" i="28"/>
  <c r="R2323" i="28"/>
  <c r="R2324" i="28"/>
  <c r="R2325" i="28"/>
  <c r="R2326" i="28"/>
  <c r="R2327" i="28"/>
  <c r="R2328" i="28"/>
  <c r="R2329" i="28"/>
  <c r="R2330" i="28"/>
  <c r="R2331" i="28"/>
  <c r="R2332" i="28"/>
  <c r="R2333" i="28"/>
  <c r="R2334" i="28"/>
  <c r="R2335" i="28"/>
  <c r="R2336" i="28"/>
  <c r="R2337" i="28"/>
  <c r="R2338" i="28"/>
  <c r="R2339" i="28"/>
  <c r="R2340" i="28"/>
  <c r="R2341" i="28"/>
  <c r="R2342" i="28"/>
  <c r="R2343" i="28"/>
  <c r="R2344" i="28"/>
  <c r="R2345" i="28"/>
  <c r="R2346" i="28"/>
  <c r="R2347" i="28"/>
  <c r="R2348" i="28"/>
  <c r="R2349" i="28"/>
  <c r="R2350" i="28"/>
  <c r="R2351" i="28"/>
  <c r="R2352" i="28"/>
  <c r="R2353" i="28"/>
  <c r="R2354" i="28"/>
  <c r="R2355" i="28"/>
  <c r="R2356" i="28"/>
  <c r="R2357" i="28"/>
  <c r="R2358" i="28"/>
  <c r="R2359" i="28"/>
  <c r="R2360" i="28"/>
  <c r="R2361" i="28"/>
  <c r="R2362" i="28"/>
  <c r="R2363" i="28"/>
  <c r="R2364" i="28"/>
  <c r="R2365" i="28"/>
  <c r="R2366" i="28"/>
  <c r="R2367" i="28"/>
  <c r="R2368" i="28"/>
  <c r="R2369" i="28"/>
  <c r="R2370" i="28"/>
  <c r="R2371" i="28"/>
  <c r="R2372" i="28"/>
  <c r="R2373" i="28"/>
  <c r="R2374" i="28"/>
  <c r="R2375" i="28"/>
  <c r="R2376" i="28"/>
  <c r="R2377" i="28"/>
  <c r="R2378" i="28"/>
  <c r="R2379" i="28"/>
  <c r="R2380" i="28"/>
  <c r="R2381" i="28"/>
  <c r="R2382" i="28"/>
  <c r="R2383" i="28"/>
  <c r="R2384" i="28"/>
  <c r="R2385" i="28"/>
  <c r="R2386" i="28"/>
  <c r="R2387" i="28"/>
  <c r="R2388" i="28"/>
  <c r="R2389" i="28"/>
  <c r="R2390" i="28"/>
  <c r="R2391" i="28"/>
  <c r="R2392" i="28"/>
  <c r="R2393" i="28"/>
  <c r="R2394" i="28"/>
  <c r="R2395" i="28"/>
  <c r="R2396" i="28"/>
  <c r="R2397" i="28"/>
  <c r="R2398" i="28"/>
  <c r="R2399" i="28"/>
  <c r="R2400" i="28"/>
  <c r="R2401" i="28"/>
  <c r="R2402" i="28"/>
  <c r="R2403" i="28"/>
  <c r="R2404" i="28"/>
  <c r="R2405" i="28"/>
  <c r="R2406" i="28"/>
  <c r="R2407" i="28"/>
  <c r="R2408" i="28"/>
  <c r="R2409" i="28"/>
  <c r="R2410" i="28"/>
  <c r="R2411" i="28"/>
  <c r="R2412" i="28"/>
  <c r="R2413" i="28"/>
  <c r="R2414" i="28"/>
  <c r="R2415" i="28"/>
  <c r="R2416" i="28"/>
  <c r="R2417" i="28"/>
  <c r="R2418" i="28"/>
  <c r="R2419" i="28"/>
  <c r="R2420" i="28"/>
  <c r="R2421" i="28"/>
  <c r="R2422" i="28"/>
  <c r="R2423" i="28"/>
  <c r="R2424" i="28"/>
  <c r="R2425" i="28"/>
  <c r="R2426" i="28"/>
  <c r="R2427" i="28"/>
  <c r="R2428" i="28"/>
  <c r="R2429" i="28"/>
  <c r="R2430" i="28"/>
  <c r="R2431" i="28"/>
  <c r="R2432" i="28"/>
  <c r="R2433" i="28"/>
  <c r="R2434" i="28"/>
  <c r="R2435" i="28"/>
  <c r="R2436" i="28"/>
  <c r="R2437" i="28"/>
  <c r="R2438" i="28"/>
  <c r="R2439" i="28"/>
  <c r="R2440" i="28"/>
  <c r="R2441" i="28"/>
  <c r="R2442" i="28"/>
  <c r="R2443" i="28"/>
  <c r="R2444" i="28"/>
  <c r="R2445" i="28"/>
  <c r="R2446" i="28"/>
  <c r="R2447" i="28"/>
  <c r="R2448" i="28"/>
  <c r="R2449" i="28"/>
  <c r="R2450" i="28"/>
  <c r="R2451" i="28"/>
  <c r="R2452" i="28"/>
  <c r="R2453" i="28"/>
  <c r="R2454" i="28"/>
  <c r="R2455" i="28"/>
  <c r="R2456" i="28"/>
  <c r="R2457" i="28"/>
  <c r="R2458" i="28"/>
  <c r="R2459" i="28"/>
  <c r="R2460" i="28"/>
  <c r="R2461" i="28"/>
  <c r="R2462" i="28"/>
  <c r="R2463" i="28"/>
  <c r="R2464" i="28"/>
  <c r="R2465" i="28"/>
  <c r="R2466" i="28"/>
  <c r="R2467" i="28"/>
  <c r="R2468" i="28"/>
  <c r="R2469" i="28"/>
  <c r="R2470" i="28"/>
  <c r="R2471" i="28"/>
  <c r="R2472" i="28"/>
  <c r="R2473" i="28"/>
  <c r="R2474" i="28"/>
  <c r="R2475" i="28"/>
  <c r="R2476" i="28"/>
  <c r="R2477" i="28"/>
  <c r="R2478" i="28"/>
  <c r="R2479" i="28"/>
  <c r="R2480" i="28"/>
  <c r="R2481" i="28"/>
  <c r="R2482" i="28"/>
  <c r="R2483" i="28"/>
  <c r="R2484" i="28"/>
  <c r="R2485" i="28"/>
  <c r="R2486" i="28"/>
  <c r="R2487" i="28"/>
  <c r="R2488" i="28"/>
  <c r="R2489" i="28"/>
  <c r="R2490" i="28"/>
  <c r="R2491" i="28"/>
  <c r="R2492" i="28"/>
  <c r="R2493" i="28"/>
  <c r="R2494" i="28"/>
  <c r="R2495" i="28"/>
  <c r="R2496" i="28"/>
  <c r="R2497" i="28"/>
  <c r="R2498" i="28"/>
  <c r="R2499" i="28"/>
  <c r="R2500" i="28"/>
  <c r="R2501" i="28"/>
  <c r="R2502" i="28"/>
  <c r="R2503" i="28"/>
  <c r="R2504" i="28"/>
  <c r="R2505" i="28"/>
  <c r="R2506" i="28"/>
  <c r="R2507" i="28"/>
  <c r="R2508" i="28"/>
  <c r="R2509" i="28"/>
  <c r="R2510" i="28"/>
  <c r="R2511" i="28"/>
  <c r="R2512" i="28"/>
  <c r="R2513" i="28"/>
  <c r="R2514" i="28"/>
  <c r="R2515" i="28"/>
  <c r="R2516" i="28"/>
  <c r="R2517" i="28"/>
  <c r="R2518" i="28"/>
  <c r="R2519" i="28"/>
  <c r="R2520" i="28"/>
  <c r="R2521" i="28"/>
  <c r="R2522" i="28"/>
  <c r="R2523" i="28"/>
  <c r="R2524" i="28"/>
  <c r="R2525" i="28"/>
  <c r="R2526" i="28"/>
  <c r="R2527" i="28"/>
  <c r="R2528" i="28"/>
  <c r="R2529" i="28"/>
  <c r="R2530" i="28"/>
  <c r="R2531" i="28"/>
  <c r="R2532" i="28"/>
  <c r="R2533" i="28"/>
  <c r="R2534" i="28"/>
  <c r="R2535" i="28"/>
  <c r="R2536" i="28"/>
  <c r="R2537" i="28"/>
  <c r="R2538" i="28"/>
  <c r="R2539" i="28"/>
  <c r="R2540" i="28"/>
  <c r="R2541" i="28"/>
  <c r="R2542" i="28"/>
  <c r="R2543" i="28"/>
  <c r="R2544" i="28"/>
  <c r="R2545" i="28"/>
  <c r="R2546" i="28"/>
  <c r="R2547" i="28"/>
  <c r="R2548" i="28"/>
  <c r="R2549" i="28"/>
  <c r="R2550" i="28"/>
  <c r="R2551" i="28"/>
  <c r="R2552" i="28"/>
  <c r="R2553" i="28"/>
  <c r="R2554" i="28"/>
  <c r="R2555" i="28"/>
  <c r="R2556" i="28"/>
  <c r="R2557" i="28"/>
  <c r="R2558" i="28"/>
  <c r="R2559" i="28"/>
  <c r="R2560" i="28"/>
  <c r="R2561" i="28"/>
  <c r="R2562" i="28"/>
  <c r="R2563" i="28"/>
  <c r="R2564" i="28"/>
  <c r="R2565" i="28"/>
  <c r="R2566" i="28"/>
  <c r="R2567" i="28"/>
  <c r="R2568" i="28"/>
  <c r="R2569" i="28"/>
  <c r="R2570" i="28"/>
  <c r="R2571" i="28"/>
  <c r="R2572" i="28"/>
  <c r="R2573" i="28"/>
  <c r="R2574" i="28"/>
  <c r="R2575" i="28"/>
  <c r="R2576" i="28"/>
  <c r="R2577" i="28"/>
  <c r="R2578" i="28"/>
  <c r="R2579" i="28"/>
  <c r="R2580" i="28"/>
  <c r="R2581" i="28"/>
  <c r="R2582" i="28"/>
  <c r="R2583" i="28"/>
  <c r="R2584" i="28"/>
  <c r="R2585" i="28"/>
  <c r="R2586" i="28"/>
  <c r="R2587" i="28"/>
  <c r="R2588" i="28"/>
  <c r="R2589" i="28"/>
  <c r="R2590" i="28"/>
  <c r="R2591" i="28"/>
  <c r="R2592" i="28"/>
  <c r="R2593" i="28"/>
  <c r="R2594" i="28"/>
  <c r="R2595" i="28"/>
  <c r="R2596" i="28"/>
  <c r="R2597" i="28"/>
  <c r="R2598" i="28"/>
  <c r="R2599" i="28"/>
  <c r="R2600" i="28"/>
  <c r="R2601" i="28"/>
  <c r="R2602" i="28"/>
  <c r="R2603" i="28"/>
  <c r="R2604" i="28"/>
  <c r="R2605" i="28"/>
  <c r="R2606" i="28"/>
  <c r="R2607" i="28"/>
  <c r="R2608" i="28"/>
  <c r="R2609" i="28"/>
  <c r="R2610" i="28"/>
  <c r="R2611" i="28"/>
  <c r="R2612" i="28"/>
  <c r="R2613" i="28"/>
  <c r="R2614" i="28"/>
  <c r="R2615" i="28"/>
  <c r="R2616" i="28"/>
  <c r="R2617" i="28"/>
  <c r="R2618" i="28"/>
  <c r="R2619" i="28"/>
  <c r="R2620" i="28"/>
  <c r="R2621" i="28"/>
  <c r="R2622" i="28"/>
  <c r="R2623" i="28"/>
  <c r="R2624" i="28"/>
  <c r="R2625" i="28"/>
  <c r="R2626" i="28"/>
  <c r="R2627" i="28"/>
  <c r="R2628" i="28"/>
  <c r="R2629" i="28"/>
  <c r="R2630" i="28"/>
  <c r="R2631" i="28"/>
  <c r="R2632" i="28"/>
  <c r="R2633" i="28"/>
  <c r="R2634" i="28"/>
  <c r="R2635" i="28"/>
  <c r="R2636" i="28"/>
  <c r="R2637" i="28"/>
  <c r="R2638" i="28"/>
  <c r="R2639" i="28"/>
  <c r="R2640" i="28"/>
  <c r="R2641" i="28"/>
  <c r="R2642" i="28"/>
  <c r="R2643" i="28"/>
  <c r="R2644" i="28"/>
  <c r="R2645" i="28"/>
  <c r="R2646" i="28"/>
  <c r="R2647" i="28"/>
  <c r="R2648" i="28"/>
  <c r="R2649" i="28"/>
  <c r="R2650" i="28"/>
  <c r="R2651" i="28"/>
  <c r="R2652" i="28"/>
  <c r="R2653" i="28"/>
  <c r="R2654" i="28"/>
  <c r="R2655" i="28"/>
  <c r="R2656" i="28"/>
  <c r="R2657" i="28"/>
  <c r="R2658" i="28"/>
  <c r="R2659" i="28"/>
  <c r="R2660" i="28"/>
  <c r="R2661" i="28"/>
  <c r="R2662" i="28"/>
  <c r="R2663" i="28"/>
  <c r="R2664" i="28"/>
  <c r="R2665" i="28"/>
  <c r="R2666" i="28"/>
  <c r="R2667" i="28"/>
  <c r="R2668" i="28"/>
  <c r="R2669" i="28"/>
  <c r="R2670" i="28"/>
  <c r="R2671" i="28"/>
  <c r="R2672" i="28"/>
  <c r="R2673" i="28"/>
  <c r="R2674" i="28"/>
  <c r="R2675" i="28"/>
  <c r="R2676" i="28"/>
  <c r="R2677" i="28"/>
  <c r="R2678" i="28"/>
  <c r="R2679" i="28"/>
  <c r="R2680" i="28"/>
  <c r="R2681" i="28"/>
  <c r="R2682" i="28"/>
  <c r="R2683" i="28"/>
  <c r="R2684" i="28"/>
  <c r="R2685" i="28"/>
  <c r="R2686" i="28"/>
  <c r="R2687" i="28"/>
  <c r="R2688" i="28"/>
  <c r="R2689" i="28"/>
  <c r="R2690" i="28"/>
  <c r="R2691" i="28"/>
  <c r="R2692" i="28"/>
  <c r="R2693" i="28"/>
  <c r="R2694" i="28"/>
  <c r="R2695" i="28"/>
  <c r="R2696" i="28"/>
  <c r="R2697" i="28"/>
  <c r="R2698" i="28"/>
  <c r="R2699" i="28"/>
  <c r="R2700" i="28"/>
  <c r="R2701" i="28"/>
  <c r="R2702" i="28"/>
  <c r="R2703" i="28"/>
  <c r="R2704" i="28"/>
  <c r="R2705" i="28"/>
  <c r="R2706" i="28"/>
  <c r="R2707" i="28"/>
  <c r="R2708" i="28"/>
  <c r="R2709" i="28"/>
  <c r="R2710" i="28"/>
  <c r="R2711" i="28"/>
  <c r="R2712" i="28"/>
  <c r="R2713" i="28"/>
  <c r="R2714" i="28"/>
  <c r="R2715" i="28"/>
  <c r="R2716" i="28"/>
  <c r="R2717" i="28"/>
  <c r="R2718" i="28"/>
  <c r="R2719" i="28"/>
  <c r="R2720" i="28"/>
  <c r="R2721" i="28"/>
  <c r="R2722" i="28"/>
  <c r="R2723" i="28"/>
  <c r="R2724" i="28"/>
  <c r="R2725" i="28"/>
  <c r="R2726" i="28"/>
  <c r="R2727" i="28"/>
  <c r="R2728" i="28"/>
  <c r="R2729" i="28"/>
  <c r="R2730" i="28"/>
  <c r="R2731" i="28"/>
  <c r="R2732" i="28"/>
  <c r="R2733" i="28"/>
  <c r="R2734" i="28"/>
  <c r="R2735" i="28"/>
  <c r="R2736" i="28"/>
  <c r="R2737" i="28"/>
  <c r="R2738" i="28"/>
  <c r="R2739" i="28"/>
  <c r="R2740" i="28"/>
  <c r="R2741" i="28"/>
  <c r="R2742" i="28"/>
  <c r="R2743" i="28"/>
  <c r="R2744" i="28"/>
  <c r="R2745" i="28"/>
  <c r="R2746" i="28"/>
  <c r="R2747" i="28"/>
  <c r="R2748" i="28"/>
  <c r="R2749" i="28"/>
  <c r="R2750" i="28"/>
  <c r="R2751" i="28"/>
  <c r="R2752" i="28"/>
  <c r="R2753" i="28"/>
  <c r="R2754" i="28"/>
  <c r="R2755" i="28"/>
  <c r="R2756" i="28"/>
  <c r="R2757" i="28"/>
  <c r="R2758" i="28"/>
  <c r="R2759" i="28"/>
  <c r="R2760" i="28"/>
  <c r="R2761" i="28"/>
  <c r="R2762" i="28"/>
  <c r="R2763" i="28"/>
  <c r="R2764" i="28"/>
  <c r="R2765" i="28"/>
  <c r="R2766" i="28"/>
  <c r="R2767" i="28"/>
  <c r="R2768" i="28"/>
  <c r="R2769" i="28"/>
  <c r="R2770" i="28"/>
  <c r="R2771" i="28"/>
  <c r="R2772" i="28"/>
  <c r="R2773" i="28"/>
  <c r="R2774" i="28"/>
  <c r="R2775" i="28"/>
  <c r="R2776" i="28"/>
  <c r="R2777" i="28"/>
  <c r="R2778" i="28"/>
  <c r="R2779" i="28"/>
  <c r="R2780" i="28"/>
  <c r="R2781" i="28"/>
  <c r="R2782" i="28"/>
  <c r="R2783" i="28"/>
  <c r="R2784" i="28"/>
  <c r="R2785" i="28"/>
  <c r="R2786" i="28"/>
  <c r="R2787" i="28"/>
  <c r="R2788" i="28"/>
  <c r="R2789" i="28"/>
  <c r="R2790" i="28"/>
  <c r="R2791" i="28"/>
  <c r="R2792" i="28"/>
  <c r="R2793" i="28"/>
  <c r="R2794" i="28"/>
  <c r="R2795" i="28"/>
  <c r="R2796" i="28"/>
  <c r="R2797" i="28"/>
  <c r="R2798" i="28"/>
  <c r="R2799" i="28"/>
  <c r="R2800" i="28"/>
  <c r="R2801" i="28"/>
  <c r="R2802" i="28"/>
  <c r="R2803" i="28"/>
  <c r="R2804" i="28"/>
  <c r="R2805" i="28"/>
  <c r="R2806" i="28"/>
  <c r="R2807" i="28"/>
  <c r="R2808" i="28"/>
  <c r="R2809" i="28"/>
  <c r="R2810" i="28"/>
  <c r="R2811" i="28"/>
  <c r="R2812" i="28"/>
  <c r="R2813" i="28"/>
  <c r="R2814" i="28"/>
  <c r="R2815" i="28"/>
  <c r="R2816" i="28"/>
  <c r="R2817" i="28"/>
  <c r="R2818" i="28"/>
  <c r="R2819" i="28"/>
  <c r="R2820" i="28"/>
  <c r="R2821" i="28"/>
  <c r="R2822" i="28"/>
  <c r="R2823" i="28"/>
  <c r="R2824" i="28"/>
  <c r="R2825" i="28"/>
  <c r="R2826" i="28"/>
  <c r="R2827" i="28"/>
  <c r="R2828" i="28"/>
  <c r="R2829" i="28"/>
  <c r="R2830" i="28"/>
  <c r="R2831" i="28"/>
  <c r="R2832" i="28"/>
  <c r="R2833" i="28"/>
  <c r="R2834" i="28"/>
  <c r="R2835" i="28"/>
  <c r="R2836" i="28"/>
  <c r="R2837" i="28"/>
  <c r="R2838" i="28"/>
  <c r="R2839" i="28"/>
  <c r="R2840" i="28"/>
  <c r="R2841" i="28"/>
  <c r="R2842" i="28"/>
  <c r="R2843" i="28"/>
  <c r="R2844" i="28"/>
  <c r="R2845" i="28"/>
  <c r="R2846" i="28"/>
  <c r="R2847" i="28"/>
  <c r="R2848" i="28"/>
  <c r="R2849" i="28"/>
  <c r="R2850" i="28"/>
  <c r="R2851" i="28"/>
  <c r="R2852" i="28"/>
  <c r="R2853" i="28"/>
  <c r="R2854" i="28"/>
  <c r="R2855" i="28"/>
  <c r="R2856" i="28"/>
  <c r="R2857" i="28"/>
  <c r="R2858" i="28"/>
  <c r="R2859" i="28"/>
  <c r="R2860" i="28"/>
  <c r="R2861" i="28"/>
  <c r="R2862" i="28"/>
  <c r="R2863" i="28"/>
  <c r="R2864" i="28"/>
  <c r="R2865" i="28"/>
  <c r="R2866" i="28"/>
  <c r="R2867" i="28"/>
  <c r="R2868" i="28"/>
  <c r="R2869" i="28"/>
  <c r="R2870" i="28"/>
  <c r="R2871" i="28"/>
  <c r="R2872" i="28"/>
  <c r="R2873" i="28"/>
  <c r="R2874" i="28"/>
  <c r="R2875" i="28"/>
  <c r="R2876" i="28"/>
  <c r="R2877" i="28"/>
  <c r="R2878" i="28"/>
  <c r="R2879" i="28"/>
  <c r="R2880" i="28"/>
  <c r="R2881" i="28"/>
  <c r="R2882" i="28"/>
  <c r="R2883" i="28"/>
  <c r="R2884" i="28"/>
  <c r="R2885" i="28"/>
  <c r="R2886" i="28"/>
  <c r="R2887" i="28"/>
  <c r="R2888" i="28"/>
  <c r="R2889" i="28"/>
  <c r="R2890" i="28"/>
  <c r="R2891" i="28"/>
  <c r="R2892" i="28"/>
  <c r="R2893" i="28"/>
  <c r="R2894" i="28"/>
  <c r="R2895" i="28"/>
  <c r="R2896" i="28"/>
  <c r="R2897" i="28"/>
  <c r="R2898" i="28"/>
  <c r="R2899" i="28"/>
  <c r="R2900" i="28"/>
  <c r="R2901" i="28"/>
  <c r="R2902" i="28"/>
  <c r="R2903" i="28"/>
  <c r="R2904" i="28"/>
  <c r="R2905" i="28"/>
  <c r="R2906" i="28"/>
  <c r="R2907" i="28"/>
  <c r="R2908" i="28"/>
  <c r="R2909" i="28"/>
  <c r="R2910" i="28"/>
  <c r="R2911" i="28"/>
  <c r="R2912" i="28"/>
  <c r="R2913" i="28"/>
  <c r="R2914" i="28"/>
  <c r="R2915" i="28"/>
  <c r="R2916" i="28"/>
  <c r="R2917" i="28"/>
  <c r="R2918" i="28"/>
  <c r="R2919" i="28"/>
  <c r="R2920" i="28"/>
  <c r="R2921" i="28"/>
  <c r="R2922" i="28"/>
  <c r="R2923" i="28"/>
  <c r="R2924" i="28"/>
  <c r="R2925" i="28"/>
  <c r="R2926" i="28"/>
  <c r="R2927" i="28"/>
  <c r="R2928" i="28"/>
  <c r="R2929" i="28"/>
  <c r="R2930" i="28"/>
  <c r="R2931" i="28"/>
  <c r="R2932" i="28"/>
  <c r="R2933" i="28"/>
  <c r="R2934" i="28"/>
  <c r="R2935" i="28"/>
  <c r="R2936" i="28"/>
  <c r="R2937" i="28"/>
  <c r="R2938" i="28"/>
  <c r="R2939" i="28"/>
  <c r="R2940" i="28"/>
  <c r="R2941" i="28"/>
  <c r="R2942" i="28"/>
  <c r="R2943" i="28"/>
  <c r="R2944" i="28"/>
  <c r="R2945" i="28"/>
  <c r="R2946" i="28"/>
  <c r="R2947" i="28"/>
  <c r="R2948" i="28"/>
  <c r="R2949" i="28"/>
  <c r="R2950" i="28"/>
  <c r="R2951" i="28"/>
  <c r="R2952" i="28"/>
  <c r="R2953" i="28"/>
  <c r="R2954" i="28"/>
  <c r="R2955" i="28"/>
  <c r="R2956" i="28"/>
  <c r="R2957" i="28"/>
  <c r="R2958" i="28"/>
  <c r="R2959" i="28"/>
  <c r="R2960" i="28"/>
  <c r="R2961" i="28"/>
  <c r="R2962" i="28"/>
  <c r="R2963" i="28"/>
  <c r="R2964" i="28"/>
  <c r="R2965" i="28"/>
  <c r="R2966" i="28"/>
  <c r="R2967" i="28"/>
  <c r="R2968" i="28"/>
  <c r="R2969" i="28"/>
  <c r="R2970" i="28"/>
  <c r="R2971" i="28"/>
  <c r="R2972" i="28"/>
  <c r="R2973" i="28"/>
  <c r="R2974" i="28"/>
  <c r="R2975" i="28"/>
  <c r="R2976" i="28"/>
  <c r="R2977" i="28"/>
  <c r="R2978" i="28"/>
  <c r="R2979" i="28"/>
  <c r="R2980" i="28"/>
  <c r="R2981" i="28"/>
  <c r="R2982" i="28"/>
  <c r="R2983" i="28"/>
  <c r="R2984" i="28"/>
  <c r="R2985" i="28"/>
  <c r="R2986" i="28"/>
  <c r="R2987" i="28"/>
  <c r="R2988" i="28"/>
  <c r="R2989" i="28"/>
  <c r="R2990" i="28"/>
  <c r="R2991" i="28"/>
  <c r="R2992" i="28"/>
  <c r="R2993" i="28"/>
  <c r="R2994" i="28"/>
  <c r="R2995" i="28"/>
  <c r="R2996" i="28"/>
  <c r="R2997" i="28"/>
  <c r="R2998" i="28"/>
  <c r="R2999" i="28"/>
  <c r="R3000" i="28"/>
  <c r="R3001" i="28"/>
  <c r="R3002" i="28"/>
  <c r="R3003" i="28"/>
  <c r="R3004" i="28"/>
  <c r="R3005" i="28"/>
  <c r="R3006" i="28"/>
  <c r="R7"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8" i="28"/>
  <c r="R39" i="28"/>
  <c r="R40" i="28"/>
  <c r="R41" i="28"/>
  <c r="R42" i="28"/>
  <c r="R43" i="28"/>
  <c r="R44" i="28"/>
  <c r="R45" i="28"/>
  <c r="R46" i="28"/>
  <c r="R47" i="28"/>
  <c r="R48" i="28"/>
  <c r="R49" i="28"/>
  <c r="R50" i="28"/>
  <c r="R51" i="28"/>
  <c r="R52" i="28"/>
  <c r="R53" i="28"/>
  <c r="R54" i="28"/>
  <c r="R55" i="28"/>
  <c r="R56" i="28"/>
  <c r="R57" i="28"/>
  <c r="R58" i="28"/>
  <c r="R59" i="28"/>
  <c r="R60" i="28"/>
  <c r="R61" i="28"/>
  <c r="R62" i="28"/>
  <c r="R63" i="28"/>
  <c r="R64" i="28"/>
  <c r="R65" i="28"/>
  <c r="R66" i="28"/>
  <c r="R67" i="28"/>
  <c r="R68" i="28"/>
  <c r="R69" i="28"/>
  <c r="R70" i="28"/>
  <c r="R71" i="28"/>
  <c r="R72" i="28"/>
  <c r="R73" i="28"/>
  <c r="R74" i="28"/>
  <c r="R75" i="28"/>
  <c r="R76" i="28"/>
  <c r="R77" i="28"/>
  <c r="R78" i="28"/>
  <c r="R79" i="28"/>
  <c r="R80" i="28"/>
  <c r="R81" i="28"/>
  <c r="R82" i="28"/>
  <c r="R83" i="28"/>
  <c r="R84" i="28"/>
  <c r="R85" i="28"/>
  <c r="R86" i="28"/>
  <c r="R87" i="28"/>
  <c r="R88" i="28"/>
  <c r="R89" i="28"/>
  <c r="R90" i="28"/>
  <c r="R91" i="28"/>
  <c r="R92" i="28"/>
  <c r="R93" i="28"/>
  <c r="R94" i="28"/>
  <c r="R95" i="28"/>
  <c r="R96" i="28"/>
  <c r="R97" i="28"/>
  <c r="R98" i="28"/>
  <c r="R99" i="28"/>
  <c r="R100" i="28"/>
  <c r="R101" i="28"/>
  <c r="R102" i="28"/>
  <c r="R103" i="28"/>
  <c r="R104" i="28"/>
  <c r="R105" i="28"/>
  <c r="R106" i="28"/>
  <c r="R107" i="28"/>
  <c r="R108" i="28"/>
  <c r="R109" i="28"/>
  <c r="R110" i="28"/>
  <c r="R111" i="28"/>
  <c r="R112" i="28"/>
  <c r="R113" i="28"/>
  <c r="R114" i="28"/>
  <c r="R115" i="28"/>
  <c r="R116" i="28"/>
  <c r="R117" i="28"/>
  <c r="R118" i="28"/>
  <c r="R119" i="28"/>
  <c r="R120" i="28"/>
  <c r="R121" i="28"/>
  <c r="R122" i="28"/>
  <c r="R123" i="28"/>
  <c r="R124" i="28"/>
  <c r="R125" i="28"/>
  <c r="R126" i="28"/>
  <c r="R127" i="28"/>
  <c r="R128" i="28"/>
  <c r="R129" i="28"/>
  <c r="R130" i="28"/>
  <c r="R131" i="28"/>
  <c r="R132" i="28"/>
  <c r="R133" i="28"/>
  <c r="R134" i="28"/>
  <c r="R135" i="28"/>
  <c r="R136" i="28"/>
  <c r="R137" i="28"/>
  <c r="R138" i="28"/>
  <c r="R139" i="28"/>
  <c r="R140" i="28"/>
  <c r="R141" i="28"/>
  <c r="R142" i="28"/>
  <c r="R143" i="28"/>
  <c r="R144" i="28"/>
  <c r="R145" i="28"/>
  <c r="R146" i="28"/>
  <c r="R147" i="28"/>
  <c r="R148" i="28"/>
  <c r="R149" i="28"/>
  <c r="R150" i="28"/>
  <c r="R151" i="28"/>
  <c r="R152" i="28"/>
  <c r="R153" i="28"/>
  <c r="R154" i="28"/>
  <c r="R155" i="28"/>
  <c r="R156" i="28"/>
  <c r="R157" i="28"/>
  <c r="R158" i="28"/>
  <c r="R159" i="28"/>
  <c r="R160" i="28"/>
  <c r="R161" i="28"/>
  <c r="R162" i="28"/>
  <c r="R163" i="28"/>
  <c r="R164" i="28"/>
  <c r="R165" i="28"/>
  <c r="R166" i="28"/>
  <c r="R167" i="28"/>
  <c r="R168" i="28"/>
  <c r="R169" i="28"/>
  <c r="R170" i="28"/>
  <c r="R171" i="28"/>
  <c r="R172" i="28"/>
  <c r="R173" i="28"/>
  <c r="R174" i="28"/>
  <c r="R175" i="28"/>
  <c r="R176" i="28"/>
  <c r="R177" i="28"/>
  <c r="R178" i="28"/>
  <c r="R179" i="28"/>
  <c r="R180" i="28"/>
  <c r="R181" i="28"/>
  <c r="R182" i="28"/>
  <c r="R183" i="28"/>
  <c r="R184" i="28"/>
  <c r="R185" i="28"/>
  <c r="R186" i="28"/>
  <c r="R187" i="28"/>
  <c r="R188" i="28"/>
  <c r="R189" i="28"/>
  <c r="R190" i="28"/>
  <c r="R191" i="28"/>
  <c r="R192" i="28"/>
  <c r="R193" i="28"/>
  <c r="R194" i="28"/>
  <c r="R195" i="28"/>
  <c r="R196" i="28"/>
  <c r="R197" i="28"/>
  <c r="R198" i="28"/>
  <c r="R199" i="28"/>
  <c r="R200" i="28"/>
  <c r="R201" i="28"/>
  <c r="R202" i="28"/>
  <c r="R203" i="28"/>
  <c r="R204" i="28"/>
  <c r="R205" i="28"/>
  <c r="R206" i="28"/>
  <c r="R207" i="28"/>
  <c r="R208" i="28"/>
  <c r="R209" i="28"/>
  <c r="R210" i="28"/>
  <c r="R211" i="28"/>
  <c r="R212" i="28"/>
  <c r="R213" i="28"/>
  <c r="R214" i="28"/>
  <c r="R215" i="28"/>
  <c r="R216" i="28"/>
  <c r="R217" i="28"/>
  <c r="R218" i="28"/>
  <c r="R219" i="28"/>
  <c r="R220" i="28"/>
  <c r="R221" i="28"/>
  <c r="R222" i="28"/>
  <c r="R223" i="28"/>
  <c r="R224" i="28"/>
  <c r="R225" i="28"/>
  <c r="R226" i="28"/>
  <c r="R227" i="28"/>
  <c r="R228" i="28"/>
  <c r="R229" i="28"/>
  <c r="R230" i="28"/>
  <c r="R231" i="28"/>
  <c r="R232" i="28"/>
  <c r="R233" i="28"/>
  <c r="R234" i="28"/>
  <c r="R235" i="28"/>
  <c r="R236" i="28"/>
  <c r="R237" i="28"/>
  <c r="R238" i="28"/>
  <c r="R239" i="28"/>
  <c r="R240" i="28"/>
  <c r="R241" i="28"/>
  <c r="R242" i="28"/>
  <c r="R243" i="28"/>
  <c r="R244" i="28"/>
  <c r="R245" i="28"/>
  <c r="R246" i="28"/>
  <c r="R247" i="28"/>
  <c r="R248" i="28"/>
  <c r="R249" i="28"/>
  <c r="R250" i="28"/>
  <c r="R251" i="28"/>
  <c r="R252" i="28"/>
  <c r="R253" i="28"/>
  <c r="R254" i="28"/>
  <c r="R255" i="28"/>
  <c r="R256" i="28"/>
  <c r="R257" i="28"/>
  <c r="R258" i="28"/>
  <c r="R259" i="28"/>
  <c r="R260" i="28"/>
  <c r="R261" i="28"/>
  <c r="R262" i="28"/>
  <c r="R263" i="28"/>
  <c r="R264" i="28"/>
  <c r="R265" i="28"/>
  <c r="R266" i="28"/>
  <c r="R267" i="28"/>
  <c r="R268" i="28"/>
  <c r="R269" i="28"/>
  <c r="R270" i="28"/>
  <c r="R271" i="28"/>
  <c r="R272" i="28"/>
  <c r="R273" i="28"/>
  <c r="R274" i="28"/>
  <c r="R275" i="28"/>
  <c r="R276" i="28"/>
  <c r="R277" i="28"/>
  <c r="R278" i="28"/>
  <c r="R279" i="28"/>
  <c r="R280" i="28"/>
  <c r="R281" i="28"/>
  <c r="R282" i="28"/>
  <c r="R283" i="28"/>
  <c r="R284" i="28"/>
  <c r="R285" i="28"/>
  <c r="R286" i="28"/>
  <c r="R287" i="28"/>
  <c r="R288" i="28"/>
  <c r="R289" i="28"/>
  <c r="R290" i="28"/>
  <c r="R291" i="28"/>
  <c r="R292" i="28"/>
  <c r="R293" i="28"/>
  <c r="R294" i="28"/>
  <c r="R295" i="28"/>
  <c r="R296" i="28"/>
  <c r="R297" i="28"/>
  <c r="R298" i="28"/>
  <c r="R299" i="28"/>
  <c r="R300" i="28"/>
  <c r="R301" i="28"/>
  <c r="R302" i="28"/>
  <c r="R303" i="28"/>
  <c r="R304" i="28"/>
  <c r="R305" i="28"/>
  <c r="R306" i="28"/>
  <c r="R307" i="28"/>
  <c r="R308" i="28"/>
  <c r="R309" i="28"/>
  <c r="R310" i="28"/>
  <c r="R311" i="28"/>
  <c r="R312" i="28"/>
  <c r="R313" i="28"/>
  <c r="R314" i="28"/>
  <c r="R315" i="28"/>
  <c r="R316" i="28"/>
  <c r="R317" i="28"/>
  <c r="R318" i="28"/>
  <c r="R319" i="28"/>
  <c r="R320" i="28"/>
  <c r="R321" i="28"/>
  <c r="R322" i="28"/>
  <c r="R323" i="28"/>
  <c r="R324" i="28"/>
  <c r="R325" i="28"/>
  <c r="R326" i="28"/>
  <c r="R327" i="28"/>
  <c r="R328" i="28"/>
  <c r="R329" i="28"/>
  <c r="R330" i="28"/>
  <c r="R331" i="28"/>
  <c r="R332" i="28"/>
  <c r="R333" i="28"/>
  <c r="R334" i="28"/>
  <c r="R335" i="28"/>
  <c r="R336" i="28"/>
  <c r="R337" i="28"/>
  <c r="R338" i="28"/>
  <c r="R339" i="28"/>
  <c r="R340" i="28"/>
  <c r="R341" i="28"/>
  <c r="R342" i="28"/>
  <c r="R343" i="28"/>
  <c r="R344" i="28"/>
  <c r="R345" i="28"/>
  <c r="R346" i="28"/>
  <c r="R347" i="28"/>
  <c r="R348" i="28"/>
  <c r="R349" i="28"/>
  <c r="R350" i="28"/>
  <c r="R351" i="28"/>
  <c r="R352" i="28"/>
  <c r="R353" i="28"/>
  <c r="R354" i="28"/>
  <c r="R355" i="28"/>
  <c r="R356" i="28"/>
  <c r="R357" i="28"/>
  <c r="R358" i="28"/>
  <c r="R359" i="28"/>
  <c r="R360" i="28"/>
  <c r="R361" i="28"/>
  <c r="R362" i="28"/>
  <c r="R363" i="28"/>
  <c r="R364" i="28"/>
  <c r="R365" i="28"/>
  <c r="R366" i="28"/>
  <c r="R367" i="28"/>
  <c r="R368" i="28"/>
  <c r="R369" i="28"/>
  <c r="R370" i="28"/>
  <c r="R371" i="28"/>
  <c r="R372" i="28"/>
  <c r="R373" i="28"/>
  <c r="R374" i="28"/>
  <c r="R375" i="28"/>
  <c r="R376" i="28"/>
  <c r="R377" i="28"/>
  <c r="R378" i="28"/>
  <c r="R379" i="28"/>
  <c r="R380" i="28"/>
  <c r="R381" i="28"/>
  <c r="R382" i="28"/>
  <c r="R383" i="28"/>
  <c r="R384" i="28"/>
  <c r="R385" i="28"/>
  <c r="R386" i="28"/>
  <c r="R387" i="28"/>
  <c r="R388" i="28"/>
  <c r="R389" i="28"/>
  <c r="R390" i="28"/>
  <c r="R391" i="28"/>
  <c r="R392" i="28"/>
  <c r="R393" i="28"/>
  <c r="R394" i="28"/>
  <c r="R395" i="28"/>
  <c r="R396" i="28"/>
  <c r="R397" i="28"/>
  <c r="R398" i="28"/>
  <c r="R399" i="28"/>
  <c r="R400" i="28"/>
  <c r="R401" i="28"/>
  <c r="R402" i="28"/>
  <c r="R403" i="28"/>
  <c r="R404" i="28"/>
  <c r="R405" i="28"/>
  <c r="R406" i="28"/>
  <c r="R407" i="28"/>
  <c r="R408" i="28"/>
  <c r="R409" i="28"/>
  <c r="R410" i="28"/>
  <c r="R411" i="28"/>
  <c r="R412" i="28"/>
  <c r="R413" i="28"/>
  <c r="R414" i="28"/>
  <c r="R415" i="28"/>
  <c r="R416" i="28"/>
  <c r="R417" i="28"/>
  <c r="R418" i="28"/>
  <c r="R419" i="28"/>
  <c r="R420" i="28"/>
  <c r="R421" i="28"/>
  <c r="R422" i="28"/>
  <c r="R423" i="28"/>
  <c r="R424" i="28"/>
  <c r="R425" i="28"/>
  <c r="R426" i="28"/>
  <c r="R427" i="28"/>
  <c r="R428" i="28"/>
  <c r="R429" i="28"/>
  <c r="R430" i="28"/>
  <c r="R431" i="28"/>
  <c r="R432" i="28"/>
  <c r="R433" i="28"/>
  <c r="R434" i="28"/>
  <c r="R435" i="28"/>
  <c r="R436" i="28"/>
  <c r="R437" i="28"/>
  <c r="R438" i="28"/>
  <c r="R439" i="28"/>
  <c r="R440" i="28"/>
  <c r="R441" i="28"/>
  <c r="R442" i="28"/>
  <c r="R443" i="28"/>
  <c r="R444" i="28"/>
  <c r="R445" i="28"/>
  <c r="R446" i="28"/>
  <c r="R447" i="28"/>
  <c r="R448" i="28"/>
  <c r="R449" i="28"/>
  <c r="R450" i="28"/>
  <c r="R451" i="28"/>
  <c r="R452" i="28"/>
  <c r="R453" i="28"/>
  <c r="R454" i="28"/>
  <c r="R455" i="28"/>
  <c r="R456" i="28"/>
  <c r="R457" i="28"/>
  <c r="R458" i="28"/>
  <c r="R459" i="28"/>
  <c r="R460" i="28"/>
  <c r="R461" i="28"/>
  <c r="R462" i="28"/>
  <c r="R463" i="28"/>
  <c r="R464" i="28"/>
  <c r="R465" i="28"/>
  <c r="R466" i="28"/>
  <c r="R467" i="28"/>
  <c r="R468" i="28"/>
  <c r="R469" i="28"/>
  <c r="R470" i="28"/>
  <c r="R471" i="28"/>
  <c r="R472" i="28"/>
  <c r="R473" i="28"/>
  <c r="R474" i="28"/>
  <c r="R475" i="28"/>
  <c r="R476" i="28"/>
  <c r="R477" i="28"/>
  <c r="R478" i="28"/>
  <c r="R479" i="28"/>
  <c r="R480" i="28"/>
  <c r="R481" i="28"/>
  <c r="R482" i="28"/>
  <c r="R483" i="28"/>
  <c r="R484" i="28"/>
  <c r="R485" i="28"/>
  <c r="R486" i="28"/>
  <c r="R487" i="28"/>
  <c r="R488" i="28"/>
  <c r="R489" i="28"/>
  <c r="R490" i="28"/>
  <c r="R491" i="28"/>
  <c r="R492" i="28"/>
  <c r="R493" i="28"/>
  <c r="R494" i="28"/>
  <c r="R495" i="28"/>
  <c r="R496" i="28"/>
  <c r="R497" i="28"/>
  <c r="R498" i="28"/>
  <c r="R499" i="28"/>
  <c r="R500" i="28"/>
  <c r="R501" i="28"/>
  <c r="R502" i="28"/>
  <c r="R503" i="28"/>
  <c r="R504" i="28"/>
  <c r="R505" i="28"/>
  <c r="R506" i="28"/>
  <c r="R507" i="28"/>
  <c r="R508" i="28"/>
  <c r="R509" i="28"/>
  <c r="R510" i="28"/>
  <c r="R511" i="28"/>
  <c r="R512" i="28"/>
  <c r="R513" i="28"/>
  <c r="R514" i="28"/>
  <c r="R515" i="28"/>
  <c r="R516" i="28"/>
  <c r="R517" i="28"/>
  <c r="R518" i="28"/>
  <c r="R519" i="28"/>
  <c r="R520" i="28"/>
  <c r="R521" i="28"/>
  <c r="R522" i="28"/>
  <c r="R523" i="28"/>
  <c r="R524" i="28"/>
  <c r="R525" i="28"/>
  <c r="R526" i="28"/>
  <c r="R527" i="28"/>
  <c r="R528" i="28"/>
  <c r="R529" i="28"/>
  <c r="R530" i="28"/>
  <c r="R531" i="28"/>
  <c r="R532" i="28"/>
  <c r="R533" i="28"/>
  <c r="R534" i="28"/>
  <c r="R535" i="28"/>
  <c r="R536" i="28"/>
  <c r="R537" i="28"/>
  <c r="R538" i="28"/>
  <c r="R539" i="28"/>
  <c r="R540" i="28"/>
  <c r="R541" i="28"/>
  <c r="R542" i="28"/>
  <c r="R543" i="28"/>
  <c r="R544" i="28"/>
  <c r="R545" i="28"/>
  <c r="R546" i="28"/>
  <c r="R547" i="28"/>
  <c r="R548" i="28"/>
  <c r="R549" i="28"/>
  <c r="R550" i="28"/>
  <c r="R551" i="28"/>
  <c r="R552" i="28"/>
  <c r="R553" i="28"/>
  <c r="R554" i="28"/>
  <c r="R555" i="28"/>
  <c r="R556" i="28"/>
  <c r="R557" i="28"/>
  <c r="R558" i="28"/>
  <c r="R559" i="28"/>
  <c r="R560" i="28"/>
  <c r="R561" i="28"/>
  <c r="R562" i="28"/>
  <c r="R563" i="28"/>
  <c r="R564" i="28"/>
  <c r="R565" i="28"/>
  <c r="R566" i="28"/>
  <c r="R567" i="28"/>
  <c r="R568" i="28"/>
  <c r="R569" i="28"/>
  <c r="R570" i="28"/>
  <c r="R571" i="28"/>
  <c r="R572" i="28"/>
  <c r="R573" i="28"/>
  <c r="R574" i="28"/>
  <c r="R575" i="28"/>
  <c r="R576" i="28"/>
  <c r="R577" i="28"/>
  <c r="R578" i="28"/>
  <c r="R579" i="28"/>
  <c r="R580" i="28"/>
  <c r="R581" i="28"/>
  <c r="R582" i="28"/>
  <c r="R583" i="28"/>
  <c r="R584" i="28"/>
  <c r="R585" i="28"/>
  <c r="R586" i="28"/>
  <c r="R587" i="28"/>
  <c r="R588" i="28"/>
  <c r="R589" i="28"/>
  <c r="R590" i="28"/>
  <c r="R591" i="28"/>
  <c r="R592" i="28"/>
  <c r="R593" i="28"/>
  <c r="R594" i="28"/>
  <c r="R595" i="28"/>
  <c r="R596" i="28"/>
  <c r="R597" i="28"/>
  <c r="R598" i="28"/>
  <c r="R599" i="28"/>
  <c r="R600" i="28"/>
  <c r="R601" i="28"/>
  <c r="R602" i="28"/>
  <c r="R603" i="28"/>
  <c r="R604" i="28"/>
  <c r="R605" i="28"/>
  <c r="R606" i="28"/>
  <c r="R607" i="28"/>
  <c r="R608" i="28"/>
  <c r="R609" i="28"/>
  <c r="R610" i="28"/>
  <c r="R611" i="28"/>
  <c r="R612" i="28"/>
  <c r="R613" i="28"/>
  <c r="R614" i="28"/>
  <c r="R615" i="28"/>
  <c r="R616" i="28"/>
  <c r="R617" i="28"/>
  <c r="R618" i="28"/>
  <c r="R619" i="28"/>
  <c r="R620" i="28"/>
  <c r="R621" i="28"/>
  <c r="R622" i="28"/>
  <c r="R623" i="28"/>
  <c r="R624" i="28"/>
  <c r="R625" i="28"/>
  <c r="R626" i="28"/>
  <c r="R627" i="28"/>
  <c r="R628" i="28"/>
  <c r="R629" i="28"/>
  <c r="R630" i="28"/>
  <c r="R631" i="28"/>
  <c r="R632" i="28"/>
  <c r="R633" i="28"/>
  <c r="R634" i="28"/>
  <c r="R635" i="28"/>
  <c r="R636" i="28"/>
  <c r="R637" i="28"/>
  <c r="R638" i="28"/>
  <c r="R639" i="28"/>
  <c r="R640" i="28"/>
  <c r="R641" i="28"/>
  <c r="R642" i="28"/>
  <c r="R643" i="28"/>
  <c r="R644" i="28"/>
  <c r="R645" i="28"/>
  <c r="R646" i="28"/>
  <c r="R647" i="28"/>
  <c r="R648" i="28"/>
  <c r="R649" i="28"/>
  <c r="R650" i="28"/>
  <c r="R651" i="28"/>
  <c r="R652" i="28"/>
  <c r="R653" i="28"/>
  <c r="R654" i="28"/>
  <c r="R655" i="28"/>
  <c r="R656" i="28"/>
  <c r="R657" i="28"/>
  <c r="R658" i="28"/>
  <c r="R659" i="28"/>
  <c r="R660" i="28"/>
  <c r="R661" i="28"/>
  <c r="R662" i="28"/>
  <c r="R663" i="28"/>
  <c r="R664" i="28"/>
  <c r="R665" i="28"/>
  <c r="R666" i="28"/>
  <c r="R667" i="28"/>
  <c r="R668" i="28"/>
  <c r="R669" i="28"/>
  <c r="R670" i="28"/>
  <c r="R671" i="28"/>
  <c r="R672" i="28"/>
  <c r="R673" i="28"/>
  <c r="R674" i="28"/>
  <c r="R675" i="28"/>
  <c r="R676" i="28"/>
  <c r="R677" i="28"/>
  <c r="R678" i="28"/>
  <c r="R679" i="28"/>
  <c r="R680" i="28"/>
  <c r="R681" i="28"/>
  <c r="R682" i="28"/>
  <c r="R683" i="28"/>
  <c r="R684" i="28"/>
  <c r="R685" i="28"/>
  <c r="R686" i="28"/>
  <c r="R687" i="28"/>
  <c r="R688" i="28"/>
  <c r="R689" i="28"/>
  <c r="R690" i="28"/>
  <c r="R691" i="28"/>
  <c r="R692" i="28"/>
  <c r="R693" i="28"/>
  <c r="R694" i="28"/>
  <c r="R695" i="28"/>
  <c r="R696" i="28"/>
  <c r="R697" i="28"/>
  <c r="R698" i="28"/>
  <c r="R699" i="28"/>
  <c r="R700" i="28"/>
  <c r="R701" i="28"/>
  <c r="R702" i="28"/>
  <c r="R703" i="28"/>
  <c r="R704" i="28"/>
  <c r="R705" i="28"/>
  <c r="R706" i="28"/>
  <c r="R707" i="28"/>
  <c r="R708" i="28"/>
  <c r="R709" i="28"/>
  <c r="R710" i="28"/>
  <c r="R711" i="28"/>
  <c r="R712" i="28"/>
  <c r="R713" i="28"/>
  <c r="R714" i="28"/>
  <c r="R715" i="28"/>
  <c r="R716" i="28"/>
  <c r="R717" i="28"/>
  <c r="R718" i="28"/>
  <c r="R719" i="28"/>
  <c r="R720" i="28"/>
  <c r="R721" i="28"/>
  <c r="R722" i="28"/>
  <c r="R723" i="28"/>
  <c r="R724" i="28"/>
  <c r="R725" i="28"/>
  <c r="R726" i="28"/>
  <c r="R727" i="28"/>
  <c r="R728" i="28"/>
  <c r="R729" i="28"/>
  <c r="R730" i="28"/>
  <c r="R731" i="28"/>
  <c r="R732" i="28"/>
  <c r="R733" i="28"/>
  <c r="R734" i="28"/>
  <c r="R735" i="28"/>
  <c r="R736" i="28"/>
  <c r="R737" i="28"/>
  <c r="R738" i="28"/>
  <c r="R739" i="28"/>
  <c r="R740" i="28"/>
  <c r="R741" i="28"/>
  <c r="R742" i="28"/>
  <c r="R743" i="28"/>
  <c r="R744" i="28"/>
  <c r="R745" i="28"/>
  <c r="R746" i="28"/>
  <c r="R747" i="28"/>
  <c r="R748" i="28"/>
  <c r="R749" i="28"/>
  <c r="R750" i="28"/>
  <c r="R751" i="28"/>
  <c r="R752" i="28"/>
  <c r="R753" i="28"/>
  <c r="R754" i="28"/>
  <c r="R755" i="28"/>
  <c r="R756" i="28"/>
  <c r="R757" i="28"/>
  <c r="R758" i="28"/>
  <c r="R759" i="28"/>
  <c r="R760" i="28"/>
  <c r="R761" i="28"/>
  <c r="R762" i="28"/>
  <c r="R763" i="28"/>
  <c r="R764" i="28"/>
  <c r="R765" i="28"/>
  <c r="R766" i="28"/>
  <c r="R767" i="28"/>
  <c r="R768" i="28"/>
  <c r="R769" i="28"/>
  <c r="R770" i="28"/>
  <c r="R771" i="28"/>
  <c r="R772" i="28"/>
  <c r="R773" i="28"/>
  <c r="R774" i="28"/>
  <c r="R775" i="28"/>
  <c r="R776" i="28"/>
  <c r="R777" i="28"/>
  <c r="R778" i="28"/>
  <c r="R779" i="28"/>
  <c r="R780" i="28"/>
  <c r="R781" i="28"/>
  <c r="R782" i="28"/>
  <c r="R783" i="28"/>
  <c r="R784" i="28"/>
  <c r="R785" i="28"/>
  <c r="R786" i="28"/>
  <c r="R787" i="28"/>
  <c r="R788" i="28"/>
  <c r="R789" i="28"/>
  <c r="R790" i="28"/>
  <c r="R791" i="28"/>
  <c r="R792" i="28"/>
  <c r="R793" i="28"/>
  <c r="R794" i="28"/>
  <c r="R795" i="28"/>
  <c r="R796" i="28"/>
  <c r="R797" i="28"/>
  <c r="R798" i="28"/>
  <c r="R799" i="28"/>
  <c r="R800" i="28"/>
  <c r="R801" i="28"/>
  <c r="R802" i="28"/>
  <c r="R803" i="28"/>
  <c r="R804" i="28"/>
  <c r="R805" i="28"/>
  <c r="R806" i="28"/>
  <c r="R807" i="28"/>
  <c r="R808" i="28"/>
  <c r="R809" i="28"/>
  <c r="R810" i="28"/>
  <c r="R811" i="28"/>
  <c r="R812" i="28"/>
  <c r="R813" i="28"/>
  <c r="R814" i="28"/>
  <c r="R815" i="28"/>
  <c r="R816" i="28"/>
  <c r="R817" i="28"/>
  <c r="R818" i="28"/>
  <c r="R819" i="28"/>
  <c r="R820" i="28"/>
  <c r="R821" i="28"/>
  <c r="R822" i="28"/>
  <c r="R823" i="28"/>
  <c r="R824" i="28"/>
  <c r="R825" i="28"/>
  <c r="R826" i="28"/>
  <c r="R827" i="28"/>
  <c r="R828" i="28"/>
  <c r="R829" i="28"/>
  <c r="R830" i="28"/>
  <c r="R831" i="28"/>
  <c r="R832" i="28"/>
  <c r="R833" i="28"/>
  <c r="R834" i="28"/>
  <c r="R835" i="28"/>
  <c r="R836" i="28"/>
  <c r="R837" i="28"/>
  <c r="R838" i="28"/>
  <c r="R839" i="28"/>
  <c r="R840" i="28"/>
  <c r="R841" i="28"/>
  <c r="R842" i="28"/>
  <c r="R843" i="28"/>
  <c r="R844" i="28"/>
  <c r="R845" i="28"/>
  <c r="R846" i="28"/>
  <c r="R847" i="28"/>
  <c r="R848" i="28"/>
  <c r="R849" i="28"/>
  <c r="R850" i="28"/>
  <c r="R851" i="28"/>
  <c r="R852" i="28"/>
  <c r="R853" i="28"/>
  <c r="R854" i="28"/>
  <c r="R855" i="28"/>
  <c r="R856" i="28"/>
  <c r="R857" i="28"/>
  <c r="R858" i="28"/>
  <c r="R859" i="28"/>
  <c r="R860" i="28"/>
  <c r="R861" i="28"/>
  <c r="R862" i="28"/>
  <c r="R863" i="28"/>
  <c r="R864" i="28"/>
  <c r="R865" i="28"/>
  <c r="R866" i="28"/>
  <c r="R867" i="28"/>
  <c r="R868" i="28"/>
  <c r="R869" i="28"/>
  <c r="R870" i="28"/>
  <c r="R871" i="28"/>
  <c r="R872" i="28"/>
  <c r="R873" i="28"/>
  <c r="R874" i="28"/>
  <c r="R875" i="28"/>
  <c r="R876" i="28"/>
  <c r="R877" i="28"/>
  <c r="R878" i="28"/>
  <c r="R879" i="28"/>
  <c r="R880" i="28"/>
  <c r="R881" i="28"/>
  <c r="R882" i="28"/>
  <c r="R883" i="28"/>
  <c r="R884" i="28"/>
  <c r="R885" i="28"/>
  <c r="R886" i="28"/>
  <c r="R887" i="28"/>
  <c r="R888" i="28"/>
  <c r="R889" i="28"/>
  <c r="R890" i="28"/>
  <c r="R891" i="28"/>
  <c r="R892" i="28"/>
  <c r="R893" i="28"/>
  <c r="R894" i="28"/>
  <c r="R895" i="28"/>
  <c r="R896" i="28"/>
  <c r="R897" i="28"/>
  <c r="R898" i="28"/>
  <c r="R899" i="28"/>
  <c r="R900" i="28"/>
  <c r="R901" i="28"/>
  <c r="R902" i="28"/>
  <c r="R903" i="28"/>
  <c r="R904" i="28"/>
  <c r="R905" i="28"/>
  <c r="R906" i="28"/>
  <c r="R907" i="28"/>
  <c r="R908" i="28"/>
  <c r="R909" i="28"/>
  <c r="R910" i="28"/>
  <c r="R911" i="28"/>
  <c r="R912" i="28"/>
  <c r="R913" i="28"/>
  <c r="R914" i="28"/>
  <c r="R915" i="28"/>
  <c r="R916" i="28"/>
  <c r="R917" i="28"/>
  <c r="R918" i="28"/>
  <c r="R919" i="28"/>
  <c r="R920" i="28"/>
  <c r="R921" i="28"/>
  <c r="R922" i="28"/>
  <c r="R923" i="28"/>
  <c r="R924" i="28"/>
  <c r="R925" i="28"/>
  <c r="R926" i="28"/>
  <c r="R927" i="28"/>
  <c r="R928" i="28"/>
  <c r="R929" i="28"/>
  <c r="R930" i="28"/>
  <c r="R931" i="28"/>
  <c r="R932" i="28"/>
  <c r="R933" i="28"/>
  <c r="R934" i="28"/>
  <c r="R935" i="28"/>
  <c r="R936" i="28"/>
  <c r="R937" i="28"/>
  <c r="R938" i="28"/>
  <c r="R939" i="28"/>
  <c r="R940" i="28"/>
  <c r="R941" i="28"/>
  <c r="R942" i="28"/>
  <c r="R943" i="28"/>
  <c r="R944" i="28"/>
  <c r="R945" i="28"/>
  <c r="R946" i="28"/>
  <c r="R947" i="28"/>
  <c r="R948" i="28"/>
  <c r="R949" i="28"/>
  <c r="R950" i="28"/>
  <c r="R951" i="28"/>
  <c r="R952" i="28"/>
  <c r="R953" i="28"/>
  <c r="R954" i="28"/>
  <c r="R955" i="28"/>
  <c r="R956" i="28"/>
  <c r="R957" i="28"/>
  <c r="R958" i="28"/>
  <c r="R959" i="28"/>
  <c r="R960" i="28"/>
  <c r="R961" i="28"/>
  <c r="R962" i="28"/>
  <c r="R963" i="28"/>
  <c r="R964" i="28"/>
  <c r="R965" i="28"/>
  <c r="R966" i="28"/>
  <c r="R967" i="28"/>
  <c r="R968" i="28"/>
  <c r="R969" i="28"/>
  <c r="R970" i="28"/>
  <c r="R971" i="28"/>
  <c r="R972" i="28"/>
  <c r="R973" i="28"/>
  <c r="R974" i="28"/>
  <c r="R975" i="28"/>
  <c r="R976" i="28"/>
  <c r="R977" i="28"/>
  <c r="R978" i="28"/>
  <c r="R979" i="28"/>
  <c r="R980" i="28"/>
  <c r="R981" i="28"/>
  <c r="R982" i="28"/>
  <c r="R983" i="28"/>
  <c r="R984" i="28"/>
  <c r="R985" i="28"/>
  <c r="R986" i="28"/>
  <c r="R987" i="28"/>
  <c r="R988" i="28"/>
  <c r="R989" i="28"/>
  <c r="R990" i="28"/>
  <c r="R991" i="28"/>
  <c r="R992" i="28"/>
  <c r="R993" i="28"/>
  <c r="R994" i="28"/>
  <c r="R995" i="28"/>
  <c r="R996" i="28"/>
  <c r="R997" i="28"/>
  <c r="R998" i="28"/>
  <c r="R999" i="28"/>
  <c r="R1000" i="28"/>
  <c r="R1001" i="28"/>
  <c r="R1002" i="28"/>
  <c r="R1003" i="28"/>
  <c r="R1004" i="28"/>
  <c r="R1005" i="28"/>
  <c r="R1006" i="28"/>
  <c r="R1007" i="28"/>
  <c r="R1008" i="28"/>
  <c r="R1009" i="28"/>
  <c r="R1010" i="28"/>
  <c r="R1011" i="28"/>
  <c r="R1012" i="28"/>
  <c r="R1013" i="28"/>
  <c r="R1014" i="28"/>
  <c r="R1015" i="28"/>
  <c r="R1016" i="28"/>
  <c r="R1017" i="28"/>
  <c r="R1018" i="28"/>
  <c r="R1019" i="28"/>
  <c r="R1020" i="28"/>
  <c r="R1021" i="28"/>
  <c r="R1022" i="28"/>
  <c r="R1023" i="28"/>
  <c r="R1024" i="28"/>
  <c r="R1025" i="28"/>
  <c r="R1026" i="28"/>
  <c r="R1027" i="28"/>
  <c r="R1028" i="28"/>
  <c r="R1029" i="28"/>
  <c r="R1030" i="28"/>
  <c r="R1031" i="28"/>
  <c r="R1032" i="28"/>
  <c r="R1033" i="28"/>
  <c r="R1034" i="28"/>
  <c r="R1035" i="28"/>
  <c r="R1036" i="28"/>
  <c r="R1037" i="28"/>
  <c r="R1038" i="28"/>
  <c r="R1039" i="28"/>
  <c r="R1040" i="28"/>
  <c r="R1041" i="28"/>
  <c r="R1042" i="28"/>
  <c r="R1043" i="28"/>
  <c r="R1044" i="28"/>
  <c r="R1045" i="28"/>
  <c r="R1046" i="28"/>
  <c r="R1047" i="28"/>
  <c r="R1048" i="28"/>
  <c r="R1049" i="28"/>
  <c r="R1050" i="28"/>
  <c r="R1051" i="28"/>
  <c r="R1052" i="28"/>
  <c r="R1053" i="28"/>
  <c r="R1054" i="28"/>
  <c r="R1055" i="28"/>
  <c r="R1056" i="28"/>
  <c r="R1057" i="28"/>
  <c r="R1058" i="28"/>
  <c r="R1059" i="28"/>
  <c r="R1060" i="28"/>
  <c r="R1061" i="28"/>
  <c r="R1062" i="28"/>
  <c r="R1063" i="28"/>
  <c r="R1064" i="28"/>
  <c r="R1065" i="28"/>
  <c r="R1066" i="28"/>
  <c r="R1067" i="28"/>
  <c r="R1068" i="28"/>
  <c r="R1069" i="28"/>
  <c r="R1070" i="28"/>
  <c r="R1071" i="28"/>
  <c r="R1072" i="28"/>
  <c r="R1073" i="28"/>
  <c r="R1074" i="28"/>
  <c r="R1075" i="28"/>
  <c r="R1076" i="28"/>
  <c r="R1077" i="28"/>
  <c r="R1078" i="28"/>
  <c r="R1079" i="28"/>
  <c r="R1080" i="28"/>
  <c r="R1081" i="28"/>
  <c r="R1082" i="28"/>
  <c r="R1083" i="28"/>
  <c r="R1084" i="28"/>
  <c r="R1085" i="28"/>
  <c r="R1086" i="28"/>
  <c r="R1087" i="28"/>
  <c r="R1088" i="28"/>
  <c r="R1089" i="28"/>
  <c r="R1090" i="28"/>
  <c r="R1091" i="28"/>
  <c r="R1092" i="28"/>
  <c r="R1093" i="28"/>
  <c r="R1094" i="28"/>
  <c r="R1095" i="28"/>
  <c r="R1096" i="28"/>
  <c r="R1097" i="28"/>
  <c r="R1098" i="28"/>
  <c r="R1099" i="28"/>
  <c r="R1100" i="28"/>
  <c r="R1101" i="28"/>
  <c r="R1102" i="28"/>
  <c r="R1103" i="28"/>
  <c r="R1104" i="28"/>
  <c r="R1105" i="28"/>
  <c r="R1106" i="28"/>
  <c r="R1107" i="28"/>
  <c r="R1108" i="28"/>
  <c r="R1109" i="28"/>
  <c r="R1110" i="28"/>
  <c r="R1111" i="28"/>
  <c r="R1112" i="28"/>
  <c r="R1113" i="28"/>
  <c r="R1114" i="28"/>
  <c r="R1115" i="28"/>
  <c r="R1116" i="28"/>
  <c r="R1117" i="28"/>
  <c r="R1118" i="28"/>
  <c r="R1119" i="28"/>
  <c r="R1120" i="28"/>
  <c r="R1121" i="28"/>
  <c r="R1122" i="28"/>
  <c r="R1123" i="28"/>
  <c r="R1124" i="28"/>
  <c r="R1125" i="28"/>
  <c r="R1126" i="28"/>
  <c r="R1127" i="28"/>
  <c r="R1128" i="28"/>
  <c r="R1129" i="28"/>
  <c r="R1130" i="28"/>
  <c r="R1131" i="28"/>
  <c r="R1132" i="28"/>
  <c r="R1133" i="28"/>
  <c r="R1134" i="28"/>
  <c r="R1135" i="28"/>
  <c r="R1136" i="28"/>
  <c r="R1137" i="28"/>
  <c r="R1138" i="28"/>
  <c r="R1139" i="28"/>
  <c r="R1140" i="28"/>
  <c r="R1141" i="28"/>
  <c r="R1142" i="28"/>
  <c r="R1143" i="28"/>
  <c r="R1144" i="28"/>
  <c r="R1145" i="28"/>
  <c r="R1146" i="28"/>
  <c r="R1147" i="28"/>
  <c r="R1148" i="28"/>
  <c r="R1149" i="28"/>
  <c r="R1150" i="28"/>
  <c r="R1151" i="28"/>
  <c r="R1152" i="28"/>
  <c r="R1153" i="28"/>
  <c r="R1154" i="28"/>
  <c r="R1155" i="28"/>
  <c r="R1156" i="28"/>
  <c r="R1157" i="28"/>
  <c r="R1158" i="28"/>
  <c r="R1159" i="28"/>
  <c r="R1160" i="28"/>
  <c r="R1161" i="28"/>
  <c r="R1162" i="28"/>
  <c r="R1163" i="28"/>
  <c r="R1164" i="28"/>
  <c r="R1165" i="28"/>
  <c r="R1166" i="28"/>
  <c r="R1167" i="28"/>
  <c r="R1168" i="28"/>
  <c r="R1169" i="28"/>
  <c r="R1170" i="28"/>
  <c r="R1171" i="28"/>
  <c r="R1172" i="28"/>
  <c r="R1173" i="28"/>
  <c r="R1174" i="28"/>
  <c r="R1175" i="28"/>
  <c r="R1176" i="28"/>
  <c r="R1177" i="28"/>
  <c r="R1178" i="28"/>
  <c r="R1179" i="28"/>
  <c r="R1180" i="28"/>
  <c r="R1181" i="28"/>
  <c r="R1182" i="28"/>
  <c r="R1183" i="28"/>
  <c r="R1184" i="28"/>
  <c r="R1185" i="28"/>
  <c r="R1186" i="28"/>
  <c r="R1187" i="28"/>
  <c r="R1188" i="28"/>
  <c r="R1189" i="28"/>
  <c r="R1190" i="28"/>
  <c r="R1191" i="28"/>
  <c r="R1192" i="28"/>
  <c r="R1193" i="28"/>
  <c r="R1194" i="28"/>
  <c r="R1195" i="28"/>
  <c r="R1196" i="28"/>
  <c r="R1197" i="28"/>
  <c r="R1198" i="28"/>
  <c r="R1199" i="28"/>
  <c r="R1200" i="28"/>
  <c r="R1201" i="28"/>
  <c r="R1202" i="28"/>
  <c r="R1203" i="28"/>
  <c r="R1204" i="28"/>
  <c r="R1205" i="28"/>
  <c r="R1206" i="28"/>
  <c r="R1207" i="28"/>
  <c r="R1208" i="28"/>
  <c r="R1209" i="28"/>
  <c r="R1210" i="28"/>
  <c r="R1211" i="28"/>
  <c r="R1212" i="28"/>
  <c r="R1213" i="28"/>
  <c r="R1214" i="28"/>
  <c r="R1215" i="28"/>
  <c r="R1216" i="28"/>
  <c r="R1217" i="28"/>
  <c r="R1218" i="28"/>
  <c r="R1219" i="28"/>
  <c r="R1220" i="28"/>
  <c r="R1221" i="28"/>
  <c r="R1222" i="28"/>
  <c r="R1223" i="28"/>
  <c r="R1224" i="28"/>
  <c r="R1225" i="28"/>
  <c r="R1226" i="28"/>
  <c r="R1227" i="28"/>
  <c r="R1228" i="28"/>
  <c r="R1229" i="28"/>
  <c r="R1230" i="28"/>
  <c r="R1231" i="28"/>
  <c r="R1232" i="28"/>
  <c r="R1233" i="28"/>
  <c r="R1234" i="28"/>
  <c r="R1235" i="28"/>
  <c r="R1236" i="28"/>
  <c r="R1237" i="28"/>
  <c r="R1238" i="28"/>
  <c r="R1239" i="28"/>
  <c r="R1240" i="28"/>
  <c r="R1241" i="28"/>
  <c r="R1242" i="28"/>
  <c r="R1243" i="28"/>
  <c r="R1244" i="28"/>
  <c r="R1245" i="28"/>
  <c r="R1246" i="28"/>
  <c r="R1247" i="28"/>
  <c r="R1248" i="28"/>
  <c r="R1249" i="28"/>
  <c r="R1250" i="28"/>
  <c r="R1251" i="28"/>
  <c r="R1252" i="28"/>
  <c r="R1253" i="28"/>
  <c r="R1254" i="28"/>
  <c r="R1255" i="28"/>
  <c r="R1256" i="28"/>
  <c r="R1257" i="28"/>
  <c r="R1258" i="28"/>
  <c r="R1259" i="28"/>
  <c r="R1260" i="28"/>
  <c r="R1261" i="28"/>
  <c r="R1262" i="28"/>
  <c r="R1263" i="28"/>
  <c r="R1264" i="28"/>
  <c r="R1265" i="28"/>
  <c r="R1266" i="28"/>
  <c r="R1267" i="28"/>
  <c r="R1268" i="28"/>
  <c r="R1269" i="28"/>
  <c r="R1270" i="28"/>
  <c r="R1271" i="28"/>
  <c r="R1272" i="28"/>
  <c r="R1273" i="28"/>
  <c r="R1274" i="28"/>
  <c r="R1275" i="28"/>
  <c r="R1276" i="28"/>
  <c r="R1277" i="28"/>
  <c r="R1278" i="28"/>
  <c r="R1279" i="28"/>
  <c r="R1280" i="28"/>
  <c r="R1281" i="28"/>
  <c r="R1282" i="28"/>
  <c r="R1283" i="28"/>
  <c r="R1284" i="28"/>
  <c r="R1285" i="28"/>
  <c r="R1286" i="28"/>
  <c r="R1287" i="28"/>
  <c r="R1288" i="28"/>
  <c r="R1289" i="28"/>
  <c r="R1290" i="28"/>
  <c r="R1291" i="28"/>
  <c r="R1292" i="28"/>
  <c r="R1293" i="28"/>
  <c r="R1294" i="28"/>
  <c r="R1295" i="28"/>
  <c r="R1296" i="28"/>
  <c r="R1297" i="28"/>
  <c r="R1298" i="28"/>
  <c r="R1299" i="28"/>
  <c r="R1300" i="28"/>
  <c r="R1301" i="28"/>
  <c r="R1302" i="28"/>
  <c r="R1303" i="28"/>
  <c r="R1304" i="28"/>
  <c r="R1305" i="28"/>
  <c r="R1306" i="28"/>
  <c r="R1307" i="28"/>
  <c r="R1308" i="28"/>
  <c r="R1309" i="28"/>
  <c r="R1310" i="28"/>
  <c r="R1311" i="28"/>
  <c r="R1312" i="28"/>
  <c r="R1313" i="28"/>
  <c r="R1314" i="28"/>
  <c r="R1315" i="28"/>
  <c r="R1316" i="28"/>
  <c r="R1317" i="28"/>
  <c r="R1318" i="28"/>
  <c r="R1319" i="28"/>
  <c r="R1320" i="28"/>
  <c r="R1321" i="28"/>
  <c r="R1322" i="28"/>
  <c r="R1323" i="28"/>
  <c r="R1324" i="28"/>
  <c r="R1325" i="28"/>
  <c r="R1326" i="28"/>
  <c r="R1327" i="28"/>
  <c r="R1328" i="28"/>
  <c r="R1329" i="28"/>
  <c r="R1330" i="28"/>
  <c r="R1331" i="28"/>
  <c r="R1332" i="28"/>
  <c r="R1333" i="28"/>
  <c r="R1334" i="28"/>
  <c r="R1335" i="28"/>
  <c r="R1336" i="28"/>
  <c r="R1337" i="28"/>
  <c r="R1338" i="28"/>
  <c r="R1339" i="28"/>
  <c r="R1340" i="28"/>
  <c r="R1341" i="28"/>
  <c r="R1342" i="28"/>
  <c r="R1343" i="28"/>
  <c r="R1344" i="28"/>
  <c r="R1345" i="28"/>
  <c r="R1346" i="28"/>
  <c r="R1347" i="28"/>
  <c r="R1348" i="28"/>
  <c r="R1349" i="28"/>
  <c r="R1350" i="28"/>
  <c r="R1351" i="28"/>
  <c r="R1352" i="28"/>
  <c r="R1353" i="28"/>
  <c r="R1354" i="28"/>
  <c r="R1355" i="28"/>
  <c r="R1356" i="28"/>
  <c r="R1357" i="28"/>
  <c r="R1358" i="28"/>
  <c r="R1359" i="28"/>
  <c r="R1360" i="28"/>
  <c r="R1361" i="28"/>
  <c r="R1362" i="28"/>
  <c r="R1363" i="28"/>
  <c r="R1364" i="28"/>
  <c r="R1365" i="28"/>
  <c r="R1366" i="28"/>
  <c r="R1367" i="28"/>
  <c r="R1368" i="28"/>
  <c r="R1369" i="28"/>
  <c r="R1370" i="28"/>
  <c r="R1371" i="28"/>
  <c r="R1372" i="28"/>
  <c r="R1373" i="28"/>
  <c r="R1374" i="28"/>
  <c r="R1375" i="28"/>
  <c r="R1376" i="28"/>
  <c r="R1377" i="28"/>
  <c r="R1378" i="28"/>
  <c r="R1379" i="28"/>
  <c r="R1380" i="28"/>
  <c r="R1381" i="28"/>
  <c r="R1382" i="28"/>
  <c r="R1383" i="28"/>
  <c r="R1384" i="28"/>
  <c r="R1385" i="28"/>
  <c r="R1386" i="28"/>
  <c r="R1387" i="28"/>
  <c r="R1388" i="28"/>
  <c r="R1389" i="28"/>
  <c r="R1390" i="28"/>
  <c r="R1391" i="28"/>
  <c r="R1392" i="28"/>
  <c r="R1393" i="28"/>
  <c r="R1394" i="28"/>
  <c r="R1395" i="28"/>
  <c r="R1396" i="28"/>
  <c r="R1397" i="28"/>
  <c r="R1398" i="28"/>
  <c r="R1399" i="28"/>
  <c r="R1400" i="28"/>
  <c r="R1401" i="28"/>
  <c r="R1402" i="28"/>
  <c r="R1403" i="28"/>
  <c r="R1404" i="28"/>
  <c r="R1405" i="28"/>
  <c r="R1406" i="28"/>
  <c r="R1407" i="28"/>
  <c r="R1408" i="28"/>
  <c r="R1409" i="28"/>
  <c r="R1410" i="28"/>
  <c r="R1411" i="28"/>
  <c r="R1412" i="28"/>
  <c r="R1413" i="28"/>
  <c r="R1414" i="28"/>
  <c r="R1415" i="28"/>
  <c r="R1416" i="28"/>
  <c r="R1417" i="28"/>
  <c r="R1418" i="28"/>
  <c r="R1419" i="28"/>
  <c r="R1420" i="28"/>
  <c r="R1421" i="28"/>
  <c r="R1422" i="28"/>
  <c r="R1423" i="28"/>
  <c r="R1424" i="28"/>
  <c r="R1425" i="28"/>
  <c r="R1426" i="28"/>
  <c r="R1427" i="28"/>
  <c r="R1428" i="28"/>
  <c r="R1429" i="28"/>
  <c r="R1430" i="28"/>
  <c r="R1431" i="28"/>
  <c r="R1432" i="28"/>
  <c r="R1433" i="28"/>
  <c r="R1434" i="28"/>
  <c r="R1435" i="28"/>
  <c r="R1436" i="28"/>
  <c r="R1437" i="28"/>
  <c r="R1438" i="28"/>
  <c r="R1439" i="28"/>
  <c r="R1440" i="28"/>
  <c r="R1441" i="28"/>
  <c r="R1442" i="28"/>
  <c r="R1443" i="28"/>
  <c r="R1444" i="28"/>
  <c r="R1445" i="28"/>
  <c r="R1446" i="28"/>
  <c r="R1447" i="28"/>
  <c r="R1448" i="28"/>
  <c r="R1449" i="28"/>
  <c r="R1450" i="28"/>
  <c r="R1451" i="28"/>
  <c r="R1452" i="28"/>
  <c r="R1453" i="28"/>
  <c r="R1454" i="28"/>
  <c r="R1455" i="28"/>
  <c r="R1456" i="28"/>
  <c r="R1457" i="28"/>
  <c r="R1458" i="28"/>
  <c r="R1459" i="28"/>
  <c r="R1460" i="28"/>
  <c r="R1461" i="28"/>
  <c r="R1462" i="28"/>
  <c r="R1463" i="28"/>
  <c r="R1464" i="28"/>
  <c r="R1465" i="28"/>
  <c r="R1466" i="28"/>
  <c r="R1467" i="28"/>
  <c r="R1468" i="28"/>
  <c r="R1469" i="28"/>
  <c r="R1470" i="28"/>
  <c r="R1471" i="28"/>
  <c r="R1472" i="28"/>
  <c r="R1473" i="28"/>
  <c r="R1474" i="28"/>
  <c r="R1475" i="28"/>
  <c r="R1476" i="28"/>
  <c r="R1477" i="28"/>
  <c r="R1478" i="28"/>
  <c r="R1479" i="28"/>
  <c r="R1480" i="28"/>
  <c r="R1481" i="28"/>
  <c r="R1482" i="28"/>
  <c r="R1483" i="28"/>
  <c r="R1484" i="28"/>
  <c r="R1485" i="28"/>
  <c r="R1486" i="28"/>
  <c r="R1487" i="28"/>
  <c r="R1488" i="28"/>
  <c r="R1489" i="28"/>
  <c r="R1490" i="28"/>
  <c r="R1491" i="28"/>
  <c r="R1492" i="28"/>
  <c r="R1493" i="28"/>
  <c r="R1494" i="28"/>
  <c r="R1495" i="28"/>
  <c r="R1496" i="28"/>
  <c r="R1497" i="28"/>
  <c r="R1498" i="28"/>
  <c r="R1499" i="28"/>
  <c r="R1500" i="28"/>
  <c r="R1501" i="28"/>
  <c r="R1502" i="28"/>
  <c r="R1503" i="28"/>
  <c r="R1504" i="28"/>
  <c r="R1505" i="28"/>
  <c r="R1506" i="28"/>
  <c r="N6007" i="28"/>
  <c r="N6008" i="28"/>
  <c r="N6009" i="28"/>
  <c r="N6010" i="28"/>
  <c r="N6011" i="28"/>
  <c r="N6012" i="28"/>
  <c r="N6013" i="28"/>
  <c r="N6014" i="28"/>
  <c r="N6015" i="28"/>
  <c r="N6016" i="28"/>
  <c r="N6017" i="28"/>
  <c r="N6018" i="28"/>
  <c r="N6019" i="28"/>
  <c r="N6020" i="28"/>
  <c r="N6021" i="28"/>
  <c r="N6022" i="28"/>
  <c r="N6023" i="28"/>
  <c r="N6024" i="28"/>
  <c r="N6025" i="28"/>
  <c r="N6026" i="28"/>
  <c r="N6027" i="28"/>
  <c r="N6028" i="28"/>
  <c r="N6029" i="28"/>
  <c r="N6030" i="28"/>
  <c r="N6031" i="28"/>
  <c r="N6032" i="28"/>
  <c r="N6033" i="28"/>
  <c r="N6034" i="28"/>
  <c r="N6035" i="28"/>
  <c r="N6036" i="28"/>
  <c r="N6037" i="28"/>
  <c r="N6038" i="28"/>
  <c r="N6039" i="28"/>
  <c r="N6040" i="28"/>
  <c r="N6041" i="28"/>
  <c r="N6042" i="28"/>
  <c r="N6043" i="28"/>
  <c r="N6044" i="28"/>
  <c r="N6045" i="28"/>
  <c r="N6046" i="28"/>
  <c r="N6047" i="28"/>
  <c r="N6048" i="28"/>
  <c r="N6049" i="28"/>
  <c r="N6050" i="28"/>
  <c r="N6051" i="28"/>
  <c r="N6052" i="28"/>
  <c r="N6053" i="28"/>
  <c r="N6054" i="28"/>
  <c r="N6055" i="28"/>
  <c r="N6056" i="28"/>
  <c r="N6057" i="28"/>
  <c r="N6058" i="28"/>
  <c r="N6059" i="28"/>
  <c r="N6060" i="28"/>
  <c r="N6061" i="28"/>
  <c r="N6062" i="28"/>
  <c r="N6063" i="28"/>
  <c r="N6064" i="28"/>
  <c r="N6065" i="28"/>
  <c r="N6066" i="28"/>
  <c r="N6067" i="28"/>
  <c r="N6068" i="28"/>
  <c r="N6069" i="28"/>
  <c r="N6070" i="28"/>
  <c r="N6071" i="28"/>
  <c r="N6072" i="28"/>
  <c r="N6073" i="28"/>
  <c r="N6074" i="28"/>
  <c r="N6075" i="28"/>
  <c r="N6076" i="28"/>
  <c r="N6077" i="28"/>
  <c r="N6078" i="28"/>
  <c r="N6079" i="28"/>
  <c r="N6080" i="28"/>
  <c r="N6081" i="28"/>
  <c r="N6082" i="28"/>
  <c r="N6083" i="28"/>
  <c r="N6084" i="28"/>
  <c r="N6085" i="28"/>
  <c r="N6086" i="28"/>
  <c r="N6087" i="28"/>
  <c r="N6088" i="28"/>
  <c r="N6089" i="28"/>
  <c r="N6090" i="28"/>
  <c r="N6091" i="28"/>
  <c r="N6092" i="28"/>
  <c r="N6093" i="28"/>
  <c r="N6094" i="28"/>
  <c r="N6095" i="28"/>
  <c r="N6096" i="28"/>
  <c r="N6097" i="28"/>
  <c r="N6098" i="28"/>
  <c r="N6099" i="28"/>
  <c r="N6100" i="28"/>
  <c r="N6101" i="28"/>
  <c r="N6102" i="28"/>
  <c r="N6103" i="28"/>
  <c r="N6104" i="28"/>
  <c r="N6105" i="28"/>
  <c r="N6106" i="28"/>
  <c r="N6107" i="28"/>
  <c r="N6108" i="28"/>
  <c r="N6109" i="28"/>
  <c r="N6110" i="28"/>
  <c r="N6111" i="28"/>
  <c r="N6112" i="28"/>
  <c r="N6113" i="28"/>
  <c r="N6114" i="28"/>
  <c r="N6115" i="28"/>
  <c r="N6116" i="28"/>
  <c r="N6117" i="28"/>
  <c r="N6118" i="28"/>
  <c r="N6119" i="28"/>
  <c r="N6120" i="28"/>
  <c r="N6121" i="28"/>
  <c r="N6122" i="28"/>
  <c r="N6123" i="28"/>
  <c r="N6124" i="28"/>
  <c r="N6125" i="28"/>
  <c r="N6126" i="28"/>
  <c r="N6127" i="28"/>
  <c r="N6128" i="28"/>
  <c r="N6129" i="28"/>
  <c r="N6130" i="28"/>
  <c r="N6131" i="28"/>
  <c r="N6132" i="28"/>
  <c r="N6133" i="28"/>
  <c r="N6134" i="28"/>
  <c r="N6135" i="28"/>
  <c r="N6136" i="28"/>
  <c r="N6137" i="28"/>
  <c r="N6138" i="28"/>
  <c r="N6139" i="28"/>
  <c r="N6140" i="28"/>
  <c r="N6141" i="28"/>
  <c r="N6142" i="28"/>
  <c r="N6143" i="28"/>
  <c r="N6144" i="28"/>
  <c r="N6145" i="28"/>
  <c r="N6146" i="28"/>
  <c r="N6147" i="28"/>
  <c r="N6148" i="28"/>
  <c r="N6149" i="28"/>
  <c r="N6150" i="28"/>
  <c r="N6151" i="28"/>
  <c r="N6152" i="28"/>
  <c r="N6153" i="28"/>
  <c r="N6154" i="28"/>
  <c r="N6155" i="28"/>
  <c r="N6156" i="28"/>
  <c r="N6157" i="28"/>
  <c r="N6158" i="28"/>
  <c r="N6159" i="28"/>
  <c r="N6160" i="28"/>
  <c r="N6161" i="28"/>
  <c r="N6162" i="28"/>
  <c r="N6163" i="28"/>
  <c r="N6164" i="28"/>
  <c r="N6165" i="28"/>
  <c r="N6166" i="28"/>
  <c r="N6167" i="28"/>
  <c r="N6168" i="28"/>
  <c r="N6169" i="28"/>
  <c r="N6170" i="28"/>
  <c r="N6171" i="28"/>
  <c r="N6172" i="28"/>
  <c r="N6173" i="28"/>
  <c r="N6174" i="28"/>
  <c r="N6175" i="28"/>
  <c r="N6176" i="28"/>
  <c r="N6177" i="28"/>
  <c r="N6178" i="28"/>
  <c r="N6179" i="28"/>
  <c r="N6180" i="28"/>
  <c r="N6181" i="28"/>
  <c r="N6182" i="28"/>
  <c r="N6183" i="28"/>
  <c r="N6184" i="28"/>
  <c r="N6185" i="28"/>
  <c r="N6186" i="28"/>
  <c r="N6187" i="28"/>
  <c r="N6188" i="28"/>
  <c r="N6189" i="28"/>
  <c r="N6190" i="28"/>
  <c r="N6191" i="28"/>
  <c r="N6192" i="28"/>
  <c r="N6193" i="28"/>
  <c r="N6194" i="28"/>
  <c r="N6195" i="28"/>
  <c r="N6196" i="28"/>
  <c r="N4507" i="28"/>
  <c r="N4508" i="28"/>
  <c r="N4509" i="28"/>
  <c r="N4510" i="28"/>
  <c r="N4511" i="28"/>
  <c r="N4512" i="28"/>
  <c r="N4513" i="28"/>
  <c r="N4514" i="28"/>
  <c r="N4515" i="28"/>
  <c r="N4516" i="28"/>
  <c r="N4517" i="28"/>
  <c r="N4518" i="28"/>
  <c r="N4519" i="28"/>
  <c r="N4520" i="28"/>
  <c r="N4521" i="28"/>
  <c r="N4522" i="28"/>
  <c r="N4523" i="28"/>
  <c r="N4524" i="28"/>
  <c r="N4525" i="28"/>
  <c r="N4526" i="28"/>
  <c r="N4527" i="28"/>
  <c r="N4528" i="28"/>
  <c r="N4529" i="28"/>
  <c r="N4530" i="28"/>
  <c r="N4531" i="28"/>
  <c r="N4532" i="28"/>
  <c r="N4533" i="28"/>
  <c r="N4534" i="28"/>
  <c r="N4535" i="28"/>
  <c r="N4536" i="28"/>
  <c r="N4537" i="28"/>
  <c r="N4538" i="28"/>
  <c r="N4539" i="28"/>
  <c r="N4540" i="28"/>
  <c r="N4541" i="28"/>
  <c r="N4542" i="28"/>
  <c r="N4543" i="28"/>
  <c r="N4544" i="28"/>
  <c r="N4545" i="28"/>
  <c r="N4546" i="28"/>
  <c r="N4547" i="28"/>
  <c r="N4548" i="28"/>
  <c r="N4549" i="28"/>
  <c r="N4550" i="28"/>
  <c r="N4551" i="28"/>
  <c r="N4552" i="28"/>
  <c r="N4553" i="28"/>
  <c r="N4554" i="28"/>
  <c r="N4555" i="28"/>
  <c r="N4556" i="28"/>
  <c r="N4557" i="28"/>
  <c r="N4558" i="28"/>
  <c r="N4559" i="28"/>
  <c r="N4560" i="28"/>
  <c r="N4561" i="28"/>
  <c r="N4562" i="28"/>
  <c r="N4563" i="28"/>
  <c r="N4564" i="28"/>
  <c r="N4565" i="28"/>
  <c r="N4566" i="28"/>
  <c r="N4567" i="28"/>
  <c r="N4568" i="28"/>
  <c r="N4569" i="28"/>
  <c r="N4570" i="28"/>
  <c r="N4571" i="28"/>
  <c r="N4572" i="28"/>
  <c r="N4573" i="28"/>
  <c r="N4574" i="28"/>
  <c r="N4575" i="28"/>
  <c r="N4576" i="28"/>
  <c r="N4577" i="28"/>
  <c r="N4578" i="28"/>
  <c r="N4579" i="28"/>
  <c r="N4580" i="28"/>
  <c r="N4581" i="28"/>
  <c r="N4582" i="28"/>
  <c r="N4583" i="28"/>
  <c r="N4584" i="28"/>
  <c r="N4585" i="28"/>
  <c r="N4586" i="28"/>
  <c r="N4587" i="28"/>
  <c r="N4588" i="28"/>
  <c r="N4589" i="28"/>
  <c r="N4590" i="28"/>
  <c r="N4591" i="28"/>
  <c r="N4592" i="28"/>
  <c r="N4593" i="28"/>
  <c r="N4594" i="28"/>
  <c r="N4595" i="28"/>
  <c r="N4596" i="28"/>
  <c r="N4597" i="28"/>
  <c r="N4598" i="28"/>
  <c r="N4599" i="28"/>
  <c r="N4600" i="28"/>
  <c r="N4601" i="28"/>
  <c r="N4602" i="28"/>
  <c r="N4603" i="28"/>
  <c r="N4604" i="28"/>
  <c r="N4605" i="28"/>
  <c r="N4606" i="28"/>
  <c r="N4607" i="28"/>
  <c r="N4608" i="28"/>
  <c r="N4609" i="28"/>
  <c r="N4610" i="28"/>
  <c r="N4611" i="28"/>
  <c r="N4612" i="28"/>
  <c r="N4613" i="28"/>
  <c r="N4614" i="28"/>
  <c r="N4615" i="28"/>
  <c r="N4616" i="28"/>
  <c r="N4617" i="28"/>
  <c r="N4618" i="28"/>
  <c r="N4619" i="28"/>
  <c r="N4620" i="28"/>
  <c r="N4621" i="28"/>
  <c r="N4622" i="28"/>
  <c r="N4623" i="28"/>
  <c r="N4624" i="28"/>
  <c r="N4625" i="28"/>
  <c r="N4626" i="28"/>
  <c r="N4627" i="28"/>
  <c r="N4628" i="28"/>
  <c r="N4629" i="28"/>
  <c r="N4630" i="28"/>
  <c r="N4631" i="28"/>
  <c r="N4632" i="28"/>
  <c r="N4633" i="28"/>
  <c r="N4634" i="28"/>
  <c r="N4635" i="28"/>
  <c r="N4636" i="28"/>
  <c r="N4637" i="28"/>
  <c r="N4638" i="28"/>
  <c r="N4639" i="28"/>
  <c r="N4640" i="28"/>
  <c r="N4641" i="28"/>
  <c r="N4642" i="28"/>
  <c r="N4643" i="28"/>
  <c r="N4644" i="28"/>
  <c r="N4645" i="28"/>
  <c r="N4646" i="28"/>
  <c r="N4647" i="28"/>
  <c r="N4648" i="28"/>
  <c r="N4649" i="28"/>
  <c r="N4650" i="28"/>
  <c r="N4651" i="28"/>
  <c r="N4652" i="28"/>
  <c r="N4653" i="28"/>
  <c r="N4654" i="28"/>
  <c r="N4655" i="28"/>
  <c r="N4656" i="28"/>
  <c r="N4657" i="28"/>
  <c r="N4658" i="28"/>
  <c r="N4659" i="28"/>
  <c r="N4660" i="28"/>
  <c r="N4661" i="28"/>
  <c r="N4662" i="28"/>
  <c r="N4663" i="28"/>
  <c r="N4664" i="28"/>
  <c r="N4665" i="28"/>
  <c r="N4666" i="28"/>
  <c r="N4667" i="28"/>
  <c r="N4668" i="28"/>
  <c r="N4669" i="28"/>
  <c r="N4670" i="28"/>
  <c r="N4671" i="28"/>
  <c r="N4672" i="28"/>
  <c r="N4673" i="28"/>
  <c r="N4674" i="28"/>
  <c r="N4675" i="28"/>
  <c r="N4676" i="28"/>
  <c r="N4677" i="28"/>
  <c r="N4678" i="28"/>
  <c r="N4679" i="28"/>
  <c r="N4680" i="28"/>
  <c r="N4681" i="28"/>
  <c r="N4682" i="28"/>
  <c r="N4683" i="28"/>
  <c r="N4684" i="28"/>
  <c r="N4685" i="28"/>
  <c r="N4686" i="28"/>
  <c r="N4687" i="28"/>
  <c r="N4688" i="28"/>
  <c r="N4689" i="28"/>
  <c r="N4690" i="28"/>
  <c r="N4691" i="28"/>
  <c r="N4692" i="28"/>
  <c r="N4693" i="28"/>
  <c r="N4694" i="28"/>
  <c r="N4695" i="28"/>
  <c r="N4696" i="28"/>
  <c r="N4697" i="28"/>
  <c r="N4698" i="28"/>
  <c r="N4699" i="28"/>
  <c r="N4700" i="28"/>
  <c r="N4701" i="28"/>
  <c r="N4702" i="28"/>
  <c r="N4703" i="28"/>
  <c r="N4704" i="28"/>
  <c r="N4705" i="28"/>
  <c r="N4706" i="28"/>
  <c r="N4707" i="28"/>
  <c r="N4708" i="28"/>
  <c r="N4709" i="28"/>
  <c r="N4710" i="28"/>
  <c r="N4711" i="28"/>
  <c r="N4712" i="28"/>
  <c r="N4713" i="28"/>
  <c r="N4714" i="28"/>
  <c r="N4715" i="28"/>
  <c r="N4716" i="28"/>
  <c r="N4717" i="28"/>
  <c r="N4718" i="28"/>
  <c r="N4719" i="28"/>
  <c r="N4720" i="28"/>
  <c r="N4721" i="28"/>
  <c r="N4722" i="28"/>
  <c r="N4723" i="28"/>
  <c r="N4724" i="28"/>
  <c r="N4725" i="28"/>
  <c r="N4726" i="28"/>
  <c r="N4727" i="28"/>
  <c r="N4728" i="28"/>
  <c r="N4729" i="28"/>
  <c r="N4730" i="28"/>
  <c r="N4731" i="28"/>
  <c r="N4732" i="28"/>
  <c r="N4733" i="28"/>
  <c r="N4734" i="28"/>
  <c r="N4735" i="28"/>
  <c r="N4736" i="28"/>
  <c r="N4737" i="28"/>
  <c r="N4738" i="28"/>
  <c r="N4739" i="28"/>
  <c r="N4740" i="28"/>
  <c r="N4741" i="28"/>
  <c r="N4742" i="28"/>
  <c r="N4743" i="28"/>
  <c r="N4744" i="28"/>
  <c r="N4745" i="28"/>
  <c r="N4746" i="28"/>
  <c r="N4747" i="28"/>
  <c r="N4748" i="28"/>
  <c r="N4749" i="28"/>
  <c r="N4750" i="28"/>
  <c r="N4751" i="28"/>
  <c r="N4752" i="28"/>
  <c r="N4753" i="28"/>
  <c r="N4754" i="28"/>
  <c r="N4755" i="28"/>
  <c r="N4756" i="28"/>
  <c r="N4757" i="28"/>
  <c r="N4758" i="28"/>
  <c r="N4759" i="28"/>
  <c r="N4760" i="28"/>
  <c r="N4761" i="28"/>
  <c r="N4762" i="28"/>
  <c r="N4763" i="28"/>
  <c r="N4764" i="28"/>
  <c r="N4765" i="28"/>
  <c r="N4766" i="28"/>
  <c r="N4767" i="28"/>
  <c r="N4768" i="28"/>
  <c r="N4769" i="28"/>
  <c r="N4770" i="28"/>
  <c r="N4771" i="28"/>
  <c r="N4772" i="28"/>
  <c r="N4773" i="28"/>
  <c r="N4774" i="28"/>
  <c r="N4775" i="28"/>
  <c r="N4776" i="28"/>
  <c r="N4777" i="28"/>
  <c r="N4778" i="28"/>
  <c r="N4779" i="28"/>
  <c r="N4780" i="28"/>
  <c r="N4781" i="28"/>
  <c r="N4782" i="28"/>
  <c r="N4783" i="28"/>
  <c r="N4784" i="28"/>
  <c r="N4785" i="28"/>
  <c r="N4786" i="28"/>
  <c r="N4787" i="28"/>
  <c r="N4788" i="28"/>
  <c r="N4789" i="28"/>
  <c r="N4790" i="28"/>
  <c r="N4791" i="28"/>
  <c r="N4792" i="28"/>
  <c r="N4793" i="28"/>
  <c r="N4794" i="28"/>
  <c r="N4795" i="28"/>
  <c r="N4796" i="28"/>
  <c r="N4797" i="28"/>
  <c r="N4798" i="28"/>
  <c r="N4799" i="28"/>
  <c r="N4800" i="28"/>
  <c r="N4801" i="28"/>
  <c r="N4802" i="28"/>
  <c r="N4803" i="28"/>
  <c r="N4804" i="28"/>
  <c r="N4805" i="28"/>
  <c r="N4806" i="28"/>
  <c r="N4807" i="28"/>
  <c r="N4808" i="28"/>
  <c r="N4809" i="28"/>
  <c r="N4810" i="28"/>
  <c r="N4811" i="28"/>
  <c r="N4812" i="28"/>
  <c r="N4813" i="28"/>
  <c r="N4814" i="28"/>
  <c r="N4815" i="28"/>
  <c r="N4816" i="28"/>
  <c r="N4817" i="28"/>
  <c r="N4818" i="28"/>
  <c r="N4819" i="28"/>
  <c r="N4820" i="28"/>
  <c r="N4821" i="28"/>
  <c r="N4822" i="28"/>
  <c r="N4823" i="28"/>
  <c r="N4824" i="28"/>
  <c r="N4825" i="28"/>
  <c r="N4826" i="28"/>
  <c r="N4827" i="28"/>
  <c r="N4828" i="28"/>
  <c r="N4829" i="28"/>
  <c r="N4830" i="28"/>
  <c r="N4831" i="28"/>
  <c r="N4832" i="28"/>
  <c r="N4833" i="28"/>
  <c r="N4834" i="28"/>
  <c r="N4835" i="28"/>
  <c r="N4836" i="28"/>
  <c r="N4837" i="28"/>
  <c r="N4838" i="28"/>
  <c r="N4839" i="28"/>
  <c r="N4840" i="28"/>
  <c r="N4841" i="28"/>
  <c r="N4842" i="28"/>
  <c r="N4843" i="28"/>
  <c r="N4844" i="28"/>
  <c r="N4845" i="28"/>
  <c r="N4846" i="28"/>
  <c r="N4847" i="28"/>
  <c r="N4848" i="28"/>
  <c r="N4849" i="28"/>
  <c r="N4850" i="28"/>
  <c r="N4851" i="28"/>
  <c r="N4852" i="28"/>
  <c r="N4853" i="28"/>
  <c r="N4854" i="28"/>
  <c r="N4855" i="28"/>
  <c r="N4856" i="28"/>
  <c r="N4857" i="28"/>
  <c r="N4858" i="28"/>
  <c r="N4859" i="28"/>
  <c r="N4860" i="28"/>
  <c r="N4861" i="28"/>
  <c r="N4862" i="28"/>
  <c r="N4863" i="28"/>
  <c r="N4864" i="28"/>
  <c r="N4865" i="28"/>
  <c r="N4866" i="28"/>
  <c r="N4867" i="28"/>
  <c r="N4868" i="28"/>
  <c r="N4869" i="28"/>
  <c r="N4870" i="28"/>
  <c r="N4871" i="28"/>
  <c r="N4872" i="28"/>
  <c r="N4873" i="28"/>
  <c r="N4874" i="28"/>
  <c r="N4875" i="28"/>
  <c r="N4876" i="28"/>
  <c r="N4877" i="28"/>
  <c r="N4878" i="28"/>
  <c r="N4879" i="28"/>
  <c r="N4880" i="28"/>
  <c r="N4881" i="28"/>
  <c r="N4882" i="28"/>
  <c r="N4883" i="28"/>
  <c r="N4884" i="28"/>
  <c r="N4885" i="28"/>
  <c r="N4886" i="28"/>
  <c r="N4887" i="28"/>
  <c r="N4888" i="28"/>
  <c r="N4889" i="28"/>
  <c r="N4890" i="28"/>
  <c r="N4891" i="28"/>
  <c r="N4892" i="28"/>
  <c r="N4893" i="28"/>
  <c r="N4894" i="28"/>
  <c r="N4895" i="28"/>
  <c r="N4896" i="28"/>
  <c r="N4897" i="28"/>
  <c r="N4898" i="28"/>
  <c r="N4899" i="28"/>
  <c r="N4900" i="28"/>
  <c r="N4901" i="28"/>
  <c r="N4902" i="28"/>
  <c r="N4903" i="28"/>
  <c r="N4904" i="28"/>
  <c r="N4905" i="28"/>
  <c r="N4906" i="28"/>
  <c r="N4907" i="28"/>
  <c r="N4908" i="28"/>
  <c r="N4909" i="28"/>
  <c r="N4910" i="28"/>
  <c r="N4911" i="28"/>
  <c r="N4912" i="28"/>
  <c r="N4913" i="28"/>
  <c r="N4914" i="28"/>
  <c r="N4915" i="28"/>
  <c r="N4916" i="28"/>
  <c r="N4917" i="28"/>
  <c r="N4918" i="28"/>
  <c r="N4919" i="28"/>
  <c r="N4920" i="28"/>
  <c r="N4921" i="28"/>
  <c r="N4922" i="28"/>
  <c r="N4923" i="28"/>
  <c r="N4924" i="28"/>
  <c r="N4925" i="28"/>
  <c r="N4926" i="28"/>
  <c r="N4927" i="28"/>
  <c r="N4928" i="28"/>
  <c r="N4929" i="28"/>
  <c r="N4930" i="28"/>
  <c r="N4931" i="28"/>
  <c r="N4932" i="28"/>
  <c r="N4933" i="28"/>
  <c r="N4934" i="28"/>
  <c r="N4935" i="28"/>
  <c r="N4936" i="28"/>
  <c r="N4937" i="28"/>
  <c r="N4938" i="28"/>
  <c r="N4939" i="28"/>
  <c r="N4940" i="28"/>
  <c r="N4941" i="28"/>
  <c r="N4942" i="28"/>
  <c r="N4943" i="28"/>
  <c r="N4944" i="28"/>
  <c r="N4945" i="28"/>
  <c r="N4946" i="28"/>
  <c r="N4947" i="28"/>
  <c r="N4948" i="28"/>
  <c r="N4949" i="28"/>
  <c r="N4950" i="28"/>
  <c r="N4951" i="28"/>
  <c r="N4952" i="28"/>
  <c r="N4953" i="28"/>
  <c r="N4954" i="28"/>
  <c r="N4955" i="28"/>
  <c r="N4956" i="28"/>
  <c r="N4957" i="28"/>
  <c r="N4958" i="28"/>
  <c r="N4959" i="28"/>
  <c r="N4960" i="28"/>
  <c r="N4961" i="28"/>
  <c r="N4962" i="28"/>
  <c r="N4963" i="28"/>
  <c r="N4964" i="28"/>
  <c r="N4965" i="28"/>
  <c r="N4966" i="28"/>
  <c r="N4967" i="28"/>
  <c r="N4968" i="28"/>
  <c r="N4969" i="28"/>
  <c r="N4970" i="28"/>
  <c r="N4971" i="28"/>
  <c r="N4972" i="28"/>
  <c r="N4973" i="28"/>
  <c r="N4974" i="28"/>
  <c r="N4975" i="28"/>
  <c r="N4976" i="28"/>
  <c r="N4977" i="28"/>
  <c r="N4978" i="28"/>
  <c r="N4979" i="28"/>
  <c r="N4980" i="28"/>
  <c r="N4981" i="28"/>
  <c r="N4982" i="28"/>
  <c r="N4983" i="28"/>
  <c r="N4984" i="28"/>
  <c r="N4985" i="28"/>
  <c r="N4986" i="28"/>
  <c r="N4987" i="28"/>
  <c r="N4988" i="28"/>
  <c r="N4989" i="28"/>
  <c r="N4990" i="28"/>
  <c r="N4991" i="28"/>
  <c r="N4992" i="28"/>
  <c r="N4993" i="28"/>
  <c r="N4994" i="28"/>
  <c r="N4995" i="28"/>
  <c r="N4996" i="28"/>
  <c r="N4997" i="28"/>
  <c r="N4998" i="28"/>
  <c r="N4999" i="28"/>
  <c r="N5000" i="28"/>
  <c r="N5001" i="28"/>
  <c r="N5002" i="28"/>
  <c r="N5003" i="28"/>
  <c r="N5004" i="28"/>
  <c r="N5005" i="28"/>
  <c r="N5006" i="28"/>
  <c r="N5007" i="28"/>
  <c r="N5008" i="28"/>
  <c r="N5009" i="28"/>
  <c r="N5010" i="28"/>
  <c r="N5011" i="28"/>
  <c r="N5012" i="28"/>
  <c r="N5013" i="28"/>
  <c r="N5014" i="28"/>
  <c r="N5015" i="28"/>
  <c r="N5016" i="28"/>
  <c r="N5017" i="28"/>
  <c r="N5018" i="28"/>
  <c r="N5019" i="28"/>
  <c r="N5020" i="28"/>
  <c r="N5021" i="28"/>
  <c r="N5022" i="28"/>
  <c r="N5023" i="28"/>
  <c r="N5024" i="28"/>
  <c r="N5025" i="28"/>
  <c r="N5026" i="28"/>
  <c r="N5027" i="28"/>
  <c r="N5028" i="28"/>
  <c r="N5029" i="28"/>
  <c r="N5030" i="28"/>
  <c r="N5031" i="28"/>
  <c r="N5032" i="28"/>
  <c r="N5033" i="28"/>
  <c r="N5034" i="28"/>
  <c r="N5035" i="28"/>
  <c r="N5036" i="28"/>
  <c r="N5037" i="28"/>
  <c r="N5038" i="28"/>
  <c r="N5039" i="28"/>
  <c r="N5040" i="28"/>
  <c r="N5041" i="28"/>
  <c r="N5042" i="28"/>
  <c r="N5043" i="28"/>
  <c r="N5044" i="28"/>
  <c r="N5045" i="28"/>
  <c r="N5046" i="28"/>
  <c r="N5047" i="28"/>
  <c r="N5048" i="28"/>
  <c r="N5049" i="28"/>
  <c r="N5050" i="28"/>
  <c r="N5051" i="28"/>
  <c r="N5052" i="28"/>
  <c r="N5053" i="28"/>
  <c r="N5054" i="28"/>
  <c r="N5055" i="28"/>
  <c r="N5056" i="28"/>
  <c r="N5057" i="28"/>
  <c r="N5058" i="28"/>
  <c r="N5059" i="28"/>
  <c r="N5060" i="28"/>
  <c r="N5061" i="28"/>
  <c r="N5062" i="28"/>
  <c r="N5063" i="28"/>
  <c r="N5064" i="28"/>
  <c r="N5065" i="28"/>
  <c r="N5066" i="28"/>
  <c r="N5067" i="28"/>
  <c r="N5068" i="28"/>
  <c r="N5069" i="28"/>
  <c r="N5070" i="28"/>
  <c r="N5071" i="28"/>
  <c r="N5072" i="28"/>
  <c r="N5073" i="28"/>
  <c r="N5074" i="28"/>
  <c r="N5075" i="28"/>
  <c r="N5076" i="28"/>
  <c r="N5077" i="28"/>
  <c r="N5078" i="28"/>
  <c r="N5079" i="28"/>
  <c r="N5080" i="28"/>
  <c r="N5081" i="28"/>
  <c r="N5082" i="28"/>
  <c r="N5083" i="28"/>
  <c r="N5084" i="28"/>
  <c r="N5085" i="28"/>
  <c r="N5086" i="28"/>
  <c r="N5087" i="28"/>
  <c r="N5088" i="28"/>
  <c r="N5089" i="28"/>
  <c r="N5090" i="28"/>
  <c r="N5091" i="28"/>
  <c r="N5092" i="28"/>
  <c r="N5093" i="28"/>
  <c r="N5094" i="28"/>
  <c r="N5095" i="28"/>
  <c r="N5096" i="28"/>
  <c r="N5097" i="28"/>
  <c r="N5098" i="28"/>
  <c r="N5099" i="28"/>
  <c r="N5100" i="28"/>
  <c r="N5101" i="28"/>
  <c r="N5102" i="28"/>
  <c r="N5103" i="28"/>
  <c r="N5104" i="28"/>
  <c r="N5105" i="28"/>
  <c r="N5106" i="28"/>
  <c r="N5107" i="28"/>
  <c r="N5108" i="28"/>
  <c r="N5109" i="28"/>
  <c r="N5110" i="28"/>
  <c r="N5111" i="28"/>
  <c r="N5112" i="28"/>
  <c r="N5113" i="28"/>
  <c r="N5114" i="28"/>
  <c r="N5115" i="28"/>
  <c r="N5116" i="28"/>
  <c r="N5117" i="28"/>
  <c r="N5118" i="28"/>
  <c r="N5119" i="28"/>
  <c r="N5120" i="28"/>
  <c r="N5121" i="28"/>
  <c r="N5122" i="28"/>
  <c r="N5123" i="28"/>
  <c r="N5124" i="28"/>
  <c r="N5125" i="28"/>
  <c r="N5126" i="28"/>
  <c r="N5127" i="28"/>
  <c r="N5128" i="28"/>
  <c r="N5129" i="28"/>
  <c r="N5130" i="28"/>
  <c r="N5131" i="28"/>
  <c r="N5132" i="28"/>
  <c r="N5133" i="28"/>
  <c r="N5134" i="28"/>
  <c r="N5135" i="28"/>
  <c r="N5136" i="28"/>
  <c r="N5137" i="28"/>
  <c r="N5138" i="28"/>
  <c r="N5139" i="28"/>
  <c r="N5140" i="28"/>
  <c r="N5141" i="28"/>
  <c r="N5142" i="28"/>
  <c r="N5143" i="28"/>
  <c r="N5144" i="28"/>
  <c r="N5145" i="28"/>
  <c r="N5146" i="28"/>
  <c r="N5147" i="28"/>
  <c r="N5148" i="28"/>
  <c r="N5149" i="28"/>
  <c r="N5150" i="28"/>
  <c r="N5151" i="28"/>
  <c r="N5152" i="28"/>
  <c r="N5153" i="28"/>
  <c r="N5154" i="28"/>
  <c r="N5155" i="28"/>
  <c r="N5156" i="28"/>
  <c r="N5157" i="28"/>
  <c r="N5158" i="28"/>
  <c r="N5159" i="28"/>
  <c r="N5160" i="28"/>
  <c r="N5161" i="28"/>
  <c r="N5162" i="28"/>
  <c r="N5163" i="28"/>
  <c r="N5164" i="28"/>
  <c r="N5165" i="28"/>
  <c r="N5166" i="28"/>
  <c r="N5167" i="28"/>
  <c r="N5168" i="28"/>
  <c r="N5169" i="28"/>
  <c r="N5170" i="28"/>
  <c r="N5171" i="28"/>
  <c r="N5172" i="28"/>
  <c r="N5173" i="28"/>
  <c r="N5174" i="28"/>
  <c r="N5175" i="28"/>
  <c r="N5176" i="28"/>
  <c r="N5177" i="28"/>
  <c r="N5178" i="28"/>
  <c r="N5179" i="28"/>
  <c r="N5180" i="28"/>
  <c r="N5181" i="28"/>
  <c r="N5182" i="28"/>
  <c r="N5183" i="28"/>
  <c r="N5184" i="28"/>
  <c r="N5185" i="28"/>
  <c r="N5186" i="28"/>
  <c r="N5187" i="28"/>
  <c r="N5188" i="28"/>
  <c r="N5189" i="28"/>
  <c r="N5190" i="28"/>
  <c r="N5191" i="28"/>
  <c r="N5192" i="28"/>
  <c r="N5193" i="28"/>
  <c r="N5194" i="28"/>
  <c r="N5195" i="28"/>
  <c r="N5196" i="28"/>
  <c r="N5197" i="28"/>
  <c r="N5198" i="28"/>
  <c r="N5199" i="28"/>
  <c r="N5200" i="28"/>
  <c r="N5201" i="28"/>
  <c r="N5202" i="28"/>
  <c r="N5203" i="28"/>
  <c r="N5204" i="28"/>
  <c r="N5205" i="28"/>
  <c r="N5206" i="28"/>
  <c r="N5207" i="28"/>
  <c r="N5208" i="28"/>
  <c r="N5209" i="28"/>
  <c r="N5210" i="28"/>
  <c r="N5211" i="28"/>
  <c r="N5212" i="28"/>
  <c r="N5213" i="28"/>
  <c r="N5214" i="28"/>
  <c r="N5215" i="28"/>
  <c r="N5216" i="28"/>
  <c r="N5217" i="28"/>
  <c r="N5218" i="28"/>
  <c r="N5219" i="28"/>
  <c r="N5220" i="28"/>
  <c r="N5221" i="28"/>
  <c r="N5222" i="28"/>
  <c r="N5223" i="28"/>
  <c r="N5224" i="28"/>
  <c r="N5225" i="28"/>
  <c r="N5226" i="28"/>
  <c r="N5227" i="28"/>
  <c r="N5228" i="28"/>
  <c r="N5229" i="28"/>
  <c r="N5230" i="28"/>
  <c r="N5231" i="28"/>
  <c r="N5232" i="28"/>
  <c r="N5233" i="28"/>
  <c r="N5234" i="28"/>
  <c r="N5235" i="28"/>
  <c r="N5236" i="28"/>
  <c r="N5237" i="28"/>
  <c r="N5238" i="28"/>
  <c r="N5239" i="28"/>
  <c r="N5240" i="28"/>
  <c r="N5241" i="28"/>
  <c r="N5242" i="28"/>
  <c r="N5243" i="28"/>
  <c r="N5244" i="28"/>
  <c r="N5245" i="28"/>
  <c r="N5246" i="28"/>
  <c r="N5247" i="28"/>
  <c r="N5248" i="28"/>
  <c r="N5249" i="28"/>
  <c r="N5250" i="28"/>
  <c r="N5251" i="28"/>
  <c r="N5252" i="28"/>
  <c r="N5253" i="28"/>
  <c r="N5254" i="28"/>
  <c r="N5255" i="28"/>
  <c r="N5256" i="28"/>
  <c r="N5257" i="28"/>
  <c r="N5258" i="28"/>
  <c r="N5259" i="28"/>
  <c r="N5260" i="28"/>
  <c r="N5261" i="28"/>
  <c r="N5262" i="28"/>
  <c r="N5263" i="28"/>
  <c r="N5264" i="28"/>
  <c r="N5265" i="28"/>
  <c r="N5266" i="28"/>
  <c r="N5267" i="28"/>
  <c r="N5268" i="28"/>
  <c r="N5269" i="28"/>
  <c r="N5270" i="28"/>
  <c r="N5271" i="28"/>
  <c r="N5272" i="28"/>
  <c r="N5273" i="28"/>
  <c r="N5274" i="28"/>
  <c r="N5275" i="28"/>
  <c r="N5276" i="28"/>
  <c r="N5277" i="28"/>
  <c r="N5278" i="28"/>
  <c r="N5279" i="28"/>
  <c r="N5280" i="28"/>
  <c r="N5281" i="28"/>
  <c r="N5282" i="28"/>
  <c r="N5283" i="28"/>
  <c r="N5284" i="28"/>
  <c r="N5285" i="28"/>
  <c r="N5286" i="28"/>
  <c r="N5287" i="28"/>
  <c r="N5288" i="28"/>
  <c r="N5289" i="28"/>
  <c r="N5290" i="28"/>
  <c r="N5291" i="28"/>
  <c r="N5292" i="28"/>
  <c r="N5293" i="28"/>
  <c r="N5294" i="28"/>
  <c r="N5295" i="28"/>
  <c r="N5296" i="28"/>
  <c r="N5297" i="28"/>
  <c r="N5298" i="28"/>
  <c r="N5299" i="28"/>
  <c r="N5300" i="28"/>
  <c r="N5301" i="28"/>
  <c r="N5302" i="28"/>
  <c r="N5303" i="28"/>
  <c r="N5304" i="28"/>
  <c r="N5305" i="28"/>
  <c r="N5306" i="28"/>
  <c r="N5307" i="28"/>
  <c r="N5308" i="28"/>
  <c r="N5309" i="28"/>
  <c r="N5310" i="28"/>
  <c r="N5311" i="28"/>
  <c r="N5312" i="28"/>
  <c r="N5313" i="28"/>
  <c r="N5314" i="28"/>
  <c r="N5315" i="28"/>
  <c r="N5316" i="28"/>
  <c r="N5317" i="28"/>
  <c r="N5318" i="28"/>
  <c r="N5319" i="28"/>
  <c r="N5320" i="28"/>
  <c r="N5321" i="28"/>
  <c r="N5322" i="28"/>
  <c r="N5323" i="28"/>
  <c r="N5324" i="28"/>
  <c r="N5325" i="28"/>
  <c r="N5326" i="28"/>
  <c r="N5327" i="28"/>
  <c r="N5328" i="28"/>
  <c r="N5329" i="28"/>
  <c r="N5330" i="28"/>
  <c r="N5331" i="28"/>
  <c r="N5332" i="28"/>
  <c r="N5333" i="28"/>
  <c r="N5334" i="28"/>
  <c r="N5335" i="28"/>
  <c r="N5336" i="28"/>
  <c r="N5337" i="28"/>
  <c r="N5338" i="28"/>
  <c r="N5339" i="28"/>
  <c r="N5340" i="28"/>
  <c r="N5341" i="28"/>
  <c r="N5342" i="28"/>
  <c r="N5343" i="28"/>
  <c r="N5344" i="28"/>
  <c r="N5345" i="28"/>
  <c r="N5346" i="28"/>
  <c r="N5347" i="28"/>
  <c r="N5348" i="28"/>
  <c r="N5349" i="28"/>
  <c r="N5350" i="28"/>
  <c r="N5351" i="28"/>
  <c r="N5352" i="28"/>
  <c r="N5353" i="28"/>
  <c r="N5354" i="28"/>
  <c r="N5355" i="28"/>
  <c r="N5356" i="28"/>
  <c r="N5357" i="28"/>
  <c r="N5358" i="28"/>
  <c r="N5359" i="28"/>
  <c r="N5360" i="28"/>
  <c r="N5361" i="28"/>
  <c r="N5362" i="28"/>
  <c r="N5363" i="28"/>
  <c r="N5364" i="28"/>
  <c r="N5365" i="28"/>
  <c r="N5366" i="28"/>
  <c r="N5367" i="28"/>
  <c r="N5368" i="28"/>
  <c r="N5369" i="28"/>
  <c r="N5370" i="28"/>
  <c r="N5371" i="28"/>
  <c r="N5372" i="28"/>
  <c r="N5373" i="28"/>
  <c r="N5374" i="28"/>
  <c r="N5375" i="28"/>
  <c r="N5376" i="28"/>
  <c r="N5377" i="28"/>
  <c r="N5378" i="28"/>
  <c r="N5379" i="28"/>
  <c r="N5380" i="28"/>
  <c r="N5381" i="28"/>
  <c r="N5382" i="28"/>
  <c r="N5383" i="28"/>
  <c r="N5384" i="28"/>
  <c r="N5385" i="28"/>
  <c r="N5386" i="28"/>
  <c r="N5387" i="28"/>
  <c r="N5388" i="28"/>
  <c r="N5389" i="28"/>
  <c r="N5390" i="28"/>
  <c r="N5391" i="28"/>
  <c r="N5392" i="28"/>
  <c r="N5393" i="28"/>
  <c r="N5394" i="28"/>
  <c r="N5395" i="28"/>
  <c r="N5396" i="28"/>
  <c r="N5397" i="28"/>
  <c r="N5398" i="28"/>
  <c r="N5399" i="28"/>
  <c r="N5400" i="28"/>
  <c r="N5401" i="28"/>
  <c r="N5402" i="28"/>
  <c r="N5403" i="28"/>
  <c r="N5404" i="28"/>
  <c r="N5405" i="28"/>
  <c r="N5406" i="28"/>
  <c r="N5407" i="28"/>
  <c r="N5408" i="28"/>
  <c r="N5409" i="28"/>
  <c r="N5410" i="28"/>
  <c r="N5411" i="28"/>
  <c r="N5412" i="28"/>
  <c r="N5413" i="28"/>
  <c r="N5414" i="28"/>
  <c r="N5415" i="28"/>
  <c r="N5416" i="28"/>
  <c r="N5417" i="28"/>
  <c r="N5418" i="28"/>
  <c r="N5419" i="28"/>
  <c r="N5420" i="28"/>
  <c r="N5421" i="28"/>
  <c r="N5422" i="28"/>
  <c r="N5423" i="28"/>
  <c r="N5424" i="28"/>
  <c r="N5425" i="28"/>
  <c r="N5426" i="28"/>
  <c r="N5427" i="28"/>
  <c r="N5428" i="28"/>
  <c r="N5429" i="28"/>
  <c r="N5430" i="28"/>
  <c r="N5431" i="28"/>
  <c r="N5432" i="28"/>
  <c r="N5433" i="28"/>
  <c r="N5434" i="28"/>
  <c r="N5435" i="28"/>
  <c r="N5436" i="28"/>
  <c r="N5437" i="28"/>
  <c r="N5438" i="28"/>
  <c r="N5439" i="28"/>
  <c r="N5440" i="28"/>
  <c r="N5441" i="28"/>
  <c r="N5442" i="28"/>
  <c r="N5443" i="28"/>
  <c r="N5444" i="28"/>
  <c r="N5445" i="28"/>
  <c r="N5446" i="28"/>
  <c r="N5447" i="28"/>
  <c r="N5448" i="28"/>
  <c r="N5449" i="28"/>
  <c r="N5450" i="28"/>
  <c r="N5451" i="28"/>
  <c r="N5452" i="28"/>
  <c r="N5453" i="28"/>
  <c r="N5454" i="28"/>
  <c r="N5455" i="28"/>
  <c r="N5456" i="28"/>
  <c r="N5457" i="28"/>
  <c r="N5458" i="28"/>
  <c r="N5459" i="28"/>
  <c r="N5460" i="28"/>
  <c r="N5461" i="28"/>
  <c r="N5462" i="28"/>
  <c r="N5463" i="28"/>
  <c r="N5464" i="28"/>
  <c r="N5465" i="28"/>
  <c r="N5466" i="28"/>
  <c r="N5467" i="28"/>
  <c r="N5468" i="28"/>
  <c r="N5469" i="28"/>
  <c r="N5470" i="28"/>
  <c r="N5471" i="28"/>
  <c r="N5472" i="28"/>
  <c r="N5473" i="28"/>
  <c r="N5474" i="28"/>
  <c r="N5475" i="28"/>
  <c r="N5476" i="28"/>
  <c r="N5477" i="28"/>
  <c r="N5478" i="28"/>
  <c r="N5479" i="28"/>
  <c r="N5480" i="28"/>
  <c r="N5481" i="28"/>
  <c r="N5482" i="28"/>
  <c r="N5483" i="28"/>
  <c r="N5484" i="28"/>
  <c r="N5485" i="28"/>
  <c r="N5486" i="28"/>
  <c r="N5487" i="28"/>
  <c r="N5488" i="28"/>
  <c r="N5489" i="28"/>
  <c r="N5490" i="28"/>
  <c r="N5491" i="28"/>
  <c r="N5492" i="28"/>
  <c r="N5493" i="28"/>
  <c r="N5494" i="28"/>
  <c r="N5495" i="28"/>
  <c r="N5496" i="28"/>
  <c r="N5497" i="28"/>
  <c r="N5498" i="28"/>
  <c r="N5499" i="28"/>
  <c r="N5500" i="28"/>
  <c r="N5501" i="28"/>
  <c r="N5502" i="28"/>
  <c r="N5503" i="28"/>
  <c r="N5504" i="28"/>
  <c r="N5505" i="28"/>
  <c r="N5506" i="28"/>
  <c r="N5507" i="28"/>
  <c r="N5508" i="28"/>
  <c r="N5509" i="28"/>
  <c r="N5510" i="28"/>
  <c r="N5511" i="28"/>
  <c r="N5512" i="28"/>
  <c r="N5513" i="28"/>
  <c r="N5514" i="28"/>
  <c r="N5515" i="28"/>
  <c r="N5516" i="28"/>
  <c r="N5517" i="28"/>
  <c r="N5518" i="28"/>
  <c r="N5519" i="28"/>
  <c r="N5520" i="28"/>
  <c r="N5521" i="28"/>
  <c r="N5522" i="28"/>
  <c r="N5523" i="28"/>
  <c r="N5524" i="28"/>
  <c r="N5525" i="28"/>
  <c r="N5526" i="28"/>
  <c r="N5527" i="28"/>
  <c r="N5528" i="28"/>
  <c r="N5529" i="28"/>
  <c r="N5530" i="28"/>
  <c r="N5531" i="28"/>
  <c r="N5532" i="28"/>
  <c r="N5533" i="28"/>
  <c r="N5534" i="28"/>
  <c r="N5535" i="28"/>
  <c r="N5536" i="28"/>
  <c r="N5537" i="28"/>
  <c r="N5538" i="28"/>
  <c r="N5539" i="28"/>
  <c r="N5540" i="28"/>
  <c r="N5541" i="28"/>
  <c r="N5542" i="28"/>
  <c r="N5543" i="28"/>
  <c r="N5544" i="28"/>
  <c r="N5545" i="28"/>
  <c r="N5546" i="28"/>
  <c r="N5547" i="28"/>
  <c r="N5548" i="28"/>
  <c r="N5549" i="28"/>
  <c r="N5550" i="28"/>
  <c r="N5551" i="28"/>
  <c r="N5552" i="28"/>
  <c r="N5553" i="28"/>
  <c r="N5554" i="28"/>
  <c r="N5555" i="28"/>
  <c r="N5556" i="28"/>
  <c r="N5557" i="28"/>
  <c r="N5558" i="28"/>
  <c r="N5559" i="28"/>
  <c r="N5560" i="28"/>
  <c r="N5561" i="28"/>
  <c r="N5562" i="28"/>
  <c r="N5563" i="28"/>
  <c r="N5564" i="28"/>
  <c r="N5565" i="28"/>
  <c r="N5566" i="28"/>
  <c r="N5567" i="28"/>
  <c r="N5568" i="28"/>
  <c r="N5569" i="28"/>
  <c r="N5570" i="28"/>
  <c r="N5571" i="28"/>
  <c r="N5572" i="28"/>
  <c r="N5573" i="28"/>
  <c r="N5574" i="28"/>
  <c r="N5575" i="28"/>
  <c r="N5576" i="28"/>
  <c r="N5577" i="28"/>
  <c r="N5578" i="28"/>
  <c r="N5579" i="28"/>
  <c r="N5580" i="28"/>
  <c r="N5581" i="28"/>
  <c r="N5582" i="28"/>
  <c r="N5583" i="28"/>
  <c r="N5584" i="28"/>
  <c r="N5585" i="28"/>
  <c r="N5586" i="28"/>
  <c r="N5587" i="28"/>
  <c r="N5588" i="28"/>
  <c r="N5589" i="28"/>
  <c r="N5590" i="28"/>
  <c r="N5591" i="28"/>
  <c r="N5592" i="28"/>
  <c r="N5593" i="28"/>
  <c r="N5594" i="28"/>
  <c r="N5595" i="28"/>
  <c r="N5596" i="28"/>
  <c r="N5597" i="28"/>
  <c r="N5598" i="28"/>
  <c r="N5599" i="28"/>
  <c r="N5600" i="28"/>
  <c r="N5601" i="28"/>
  <c r="N5602" i="28"/>
  <c r="N5603" i="28"/>
  <c r="N5604" i="28"/>
  <c r="N5605" i="28"/>
  <c r="N5606" i="28"/>
  <c r="N5607" i="28"/>
  <c r="N5608" i="28"/>
  <c r="N5609" i="28"/>
  <c r="N5610" i="28"/>
  <c r="N5611" i="28"/>
  <c r="N5612" i="28"/>
  <c r="N5613" i="28"/>
  <c r="N5614" i="28"/>
  <c r="N5615" i="28"/>
  <c r="N5616" i="28"/>
  <c r="N5617" i="28"/>
  <c r="N5618" i="28"/>
  <c r="N5619" i="28"/>
  <c r="N5620" i="28"/>
  <c r="N5621" i="28"/>
  <c r="N5622" i="28"/>
  <c r="N5623" i="28"/>
  <c r="N5624" i="28"/>
  <c r="N5625" i="28"/>
  <c r="N5626" i="28"/>
  <c r="N5627" i="28"/>
  <c r="N5628" i="28"/>
  <c r="N5629" i="28"/>
  <c r="N5630" i="28"/>
  <c r="N5631" i="28"/>
  <c r="N5632" i="28"/>
  <c r="N5633" i="28"/>
  <c r="N5634" i="28"/>
  <c r="N5635" i="28"/>
  <c r="N5636" i="28"/>
  <c r="N5637" i="28"/>
  <c r="N5638" i="28"/>
  <c r="N5639" i="28"/>
  <c r="N5640" i="28"/>
  <c r="N5641" i="28"/>
  <c r="N5642" i="28"/>
  <c r="N5643" i="28"/>
  <c r="N5644" i="28"/>
  <c r="N5645" i="28"/>
  <c r="N5646" i="28"/>
  <c r="N5647" i="28"/>
  <c r="N5648" i="28"/>
  <c r="N5649" i="28"/>
  <c r="N5650" i="28"/>
  <c r="N5651" i="28"/>
  <c r="N5652" i="28"/>
  <c r="N5653" i="28"/>
  <c r="N5654" i="28"/>
  <c r="N5655" i="28"/>
  <c r="N5656" i="28"/>
  <c r="N5657" i="28"/>
  <c r="N5658" i="28"/>
  <c r="N5659" i="28"/>
  <c r="N5660" i="28"/>
  <c r="N5661" i="28"/>
  <c r="N5662" i="28"/>
  <c r="N5663" i="28"/>
  <c r="N5664" i="28"/>
  <c r="N5665" i="28"/>
  <c r="N5666" i="28"/>
  <c r="N5667" i="28"/>
  <c r="N5668" i="28"/>
  <c r="N5669" i="28"/>
  <c r="N5670" i="28"/>
  <c r="N5671" i="28"/>
  <c r="N5672" i="28"/>
  <c r="N5673" i="28"/>
  <c r="N5674" i="28"/>
  <c r="N5675" i="28"/>
  <c r="N5676" i="28"/>
  <c r="N5677" i="28"/>
  <c r="N5678" i="28"/>
  <c r="N5679" i="28"/>
  <c r="N5680" i="28"/>
  <c r="N5681" i="28"/>
  <c r="N5682" i="28"/>
  <c r="N5683" i="28"/>
  <c r="N5684" i="28"/>
  <c r="N5685" i="28"/>
  <c r="N5686" i="28"/>
  <c r="N5687" i="28"/>
  <c r="N5688" i="28"/>
  <c r="N5689" i="28"/>
  <c r="N5690" i="28"/>
  <c r="N5691" i="28"/>
  <c r="N5692" i="28"/>
  <c r="N5693" i="28"/>
  <c r="N5694" i="28"/>
  <c r="N5695" i="28"/>
  <c r="N5696" i="28"/>
  <c r="N5697" i="28"/>
  <c r="N5698" i="28"/>
  <c r="N5699" i="28"/>
  <c r="N5700" i="28"/>
  <c r="N5701" i="28"/>
  <c r="N5702" i="28"/>
  <c r="N5703" i="28"/>
  <c r="N5704" i="28"/>
  <c r="N5705" i="28"/>
  <c r="N5706" i="28"/>
  <c r="N5707" i="28"/>
  <c r="N5708" i="28"/>
  <c r="N5709" i="28"/>
  <c r="N5710" i="28"/>
  <c r="N5711" i="28"/>
  <c r="N5712" i="28"/>
  <c r="N5713" i="28"/>
  <c r="N5714" i="28"/>
  <c r="N5715" i="28"/>
  <c r="N5716" i="28"/>
  <c r="N5717" i="28"/>
  <c r="N5718" i="28"/>
  <c r="N5719" i="28"/>
  <c r="N5720" i="28"/>
  <c r="N5721" i="28"/>
  <c r="N5722" i="28"/>
  <c r="N5723" i="28"/>
  <c r="N5724" i="28"/>
  <c r="N5725" i="28"/>
  <c r="N5726" i="28"/>
  <c r="N5727" i="28"/>
  <c r="N5728" i="28"/>
  <c r="N5729" i="28"/>
  <c r="N5730" i="28"/>
  <c r="N5731" i="28"/>
  <c r="N5732" i="28"/>
  <c r="N5733" i="28"/>
  <c r="N5734" i="28"/>
  <c r="N5735" i="28"/>
  <c r="N5736" i="28"/>
  <c r="N5737" i="28"/>
  <c r="N5738" i="28"/>
  <c r="N5739" i="28"/>
  <c r="N5740" i="28"/>
  <c r="N5741" i="28"/>
  <c r="N5742" i="28"/>
  <c r="N5743" i="28"/>
  <c r="N5744" i="28"/>
  <c r="N5745" i="28"/>
  <c r="N5746" i="28"/>
  <c r="N5747" i="28"/>
  <c r="N5748" i="28"/>
  <c r="N5749" i="28"/>
  <c r="N5750" i="28"/>
  <c r="N5751" i="28"/>
  <c r="N5752" i="28"/>
  <c r="N5753" i="28"/>
  <c r="N5754" i="28"/>
  <c r="N5755" i="28"/>
  <c r="N5756" i="28"/>
  <c r="N5757" i="28"/>
  <c r="N5758" i="28"/>
  <c r="N5759" i="28"/>
  <c r="N5760" i="28"/>
  <c r="N5761" i="28"/>
  <c r="N5762" i="28"/>
  <c r="N5763" i="28"/>
  <c r="N5764" i="28"/>
  <c r="N5765" i="28"/>
  <c r="N5766" i="28"/>
  <c r="N5767" i="28"/>
  <c r="N5768" i="28"/>
  <c r="N5769" i="28"/>
  <c r="N5770" i="28"/>
  <c r="N5771" i="28"/>
  <c r="N5772" i="28"/>
  <c r="N5773" i="28"/>
  <c r="N5774" i="28"/>
  <c r="N5775" i="28"/>
  <c r="N5776" i="28"/>
  <c r="N5777" i="28"/>
  <c r="N5778" i="28"/>
  <c r="N5779" i="28"/>
  <c r="N5780" i="28"/>
  <c r="N5781" i="28"/>
  <c r="N5782" i="28"/>
  <c r="N5783" i="28"/>
  <c r="N5784" i="28"/>
  <c r="N5785" i="28"/>
  <c r="N5786" i="28"/>
  <c r="N5787" i="28"/>
  <c r="N5788" i="28"/>
  <c r="N5789" i="28"/>
  <c r="N5790" i="28"/>
  <c r="N5791" i="28"/>
  <c r="N5792" i="28"/>
  <c r="N5793" i="28"/>
  <c r="N5794" i="28"/>
  <c r="N5795" i="28"/>
  <c r="N5796" i="28"/>
  <c r="N5797" i="28"/>
  <c r="N5798" i="28"/>
  <c r="N5799" i="28"/>
  <c r="N5800" i="28"/>
  <c r="N5801" i="28"/>
  <c r="N5802" i="28"/>
  <c r="N5803" i="28"/>
  <c r="N5804" i="28"/>
  <c r="N5805" i="28"/>
  <c r="N5806" i="28"/>
  <c r="N5807" i="28"/>
  <c r="N5808" i="28"/>
  <c r="N5809" i="28"/>
  <c r="N5810" i="28"/>
  <c r="N5811" i="28"/>
  <c r="N5812" i="28"/>
  <c r="N5813" i="28"/>
  <c r="N5814" i="28"/>
  <c r="N5815" i="28"/>
  <c r="N5816" i="28"/>
  <c r="N5817" i="28"/>
  <c r="N5818" i="28"/>
  <c r="N5819" i="28"/>
  <c r="N5820" i="28"/>
  <c r="N5821" i="28"/>
  <c r="N5822" i="28"/>
  <c r="N5823" i="28"/>
  <c r="N5824" i="28"/>
  <c r="N5825" i="28"/>
  <c r="N5826" i="28"/>
  <c r="N5827" i="28"/>
  <c r="N5828" i="28"/>
  <c r="N5829" i="28"/>
  <c r="N5830" i="28"/>
  <c r="N5831" i="28"/>
  <c r="N5832" i="28"/>
  <c r="N5833" i="28"/>
  <c r="N5834" i="28"/>
  <c r="N5835" i="28"/>
  <c r="N5836" i="28"/>
  <c r="N5837" i="28"/>
  <c r="N5838" i="28"/>
  <c r="N5839" i="28"/>
  <c r="N5840" i="28"/>
  <c r="N5841" i="28"/>
  <c r="N5842" i="28"/>
  <c r="N5843" i="28"/>
  <c r="N5844" i="28"/>
  <c r="N5845" i="28"/>
  <c r="N5846" i="28"/>
  <c r="N5847" i="28"/>
  <c r="N5848" i="28"/>
  <c r="N5849" i="28"/>
  <c r="N5850" i="28"/>
  <c r="N5851" i="28"/>
  <c r="N5852" i="28"/>
  <c r="N5853" i="28"/>
  <c r="N5854" i="28"/>
  <c r="N5855" i="28"/>
  <c r="N5856" i="28"/>
  <c r="N5857" i="28"/>
  <c r="N5858" i="28"/>
  <c r="N5859" i="28"/>
  <c r="N5860" i="28"/>
  <c r="N5861" i="28"/>
  <c r="N5862" i="28"/>
  <c r="N5863" i="28"/>
  <c r="N5864" i="28"/>
  <c r="N5865" i="28"/>
  <c r="N5866" i="28"/>
  <c r="N5867" i="28"/>
  <c r="N5868" i="28"/>
  <c r="N5869" i="28"/>
  <c r="N5870" i="28"/>
  <c r="N5871" i="28"/>
  <c r="N5872" i="28"/>
  <c r="N5873" i="28"/>
  <c r="N5874" i="28"/>
  <c r="N5875" i="28"/>
  <c r="N5876" i="28"/>
  <c r="N5877" i="28"/>
  <c r="N5878" i="28"/>
  <c r="N5879" i="28"/>
  <c r="N5880" i="28"/>
  <c r="N5881" i="28"/>
  <c r="N5882" i="28"/>
  <c r="N5883" i="28"/>
  <c r="N5884" i="28"/>
  <c r="N5885" i="28"/>
  <c r="N5886" i="28"/>
  <c r="N5887" i="28"/>
  <c r="N5888" i="28"/>
  <c r="N5889" i="28"/>
  <c r="N5890" i="28"/>
  <c r="N5891" i="28"/>
  <c r="N5892" i="28"/>
  <c r="N5893" i="28"/>
  <c r="N5894" i="28"/>
  <c r="N5895" i="28"/>
  <c r="N5896" i="28"/>
  <c r="N5897" i="28"/>
  <c r="N5898" i="28"/>
  <c r="N5899" i="28"/>
  <c r="N5900" i="28"/>
  <c r="N5901" i="28"/>
  <c r="N5902" i="28"/>
  <c r="N5903" i="28"/>
  <c r="N5904" i="28"/>
  <c r="N5905" i="28"/>
  <c r="N5906" i="28"/>
  <c r="N5907" i="28"/>
  <c r="N5908" i="28"/>
  <c r="N5909" i="28"/>
  <c r="N5910" i="28"/>
  <c r="N5911" i="28"/>
  <c r="N5912" i="28"/>
  <c r="N5913" i="28"/>
  <c r="N5914" i="28"/>
  <c r="N5915" i="28"/>
  <c r="N5916" i="28"/>
  <c r="N5917" i="28"/>
  <c r="N5918" i="28"/>
  <c r="N5919" i="28"/>
  <c r="N5920" i="28"/>
  <c r="N5921" i="28"/>
  <c r="N5922" i="28"/>
  <c r="N5923" i="28"/>
  <c r="N5924" i="28"/>
  <c r="N5925" i="28"/>
  <c r="N5926" i="28"/>
  <c r="N5927" i="28"/>
  <c r="N5928" i="28"/>
  <c r="N5929" i="28"/>
  <c r="N5930" i="28"/>
  <c r="N5931" i="28"/>
  <c r="N5932" i="28"/>
  <c r="N5933" i="28"/>
  <c r="N5934" i="28"/>
  <c r="N5935" i="28"/>
  <c r="N5936" i="28"/>
  <c r="N5937" i="28"/>
  <c r="N5938" i="28"/>
  <c r="N5939" i="28"/>
  <c r="N5940" i="28"/>
  <c r="N5941" i="28"/>
  <c r="N5942" i="28"/>
  <c r="N5943" i="28"/>
  <c r="N5944" i="28"/>
  <c r="N5945" i="28"/>
  <c r="N5946" i="28"/>
  <c r="N5947" i="28"/>
  <c r="N5948" i="28"/>
  <c r="N5949" i="28"/>
  <c r="N5950" i="28"/>
  <c r="N5951" i="28"/>
  <c r="N5952" i="28"/>
  <c r="N5953" i="28"/>
  <c r="N5954" i="28"/>
  <c r="N5955" i="28"/>
  <c r="N5956" i="28"/>
  <c r="N5957" i="28"/>
  <c r="N5958" i="28"/>
  <c r="N5959" i="28"/>
  <c r="N5960" i="28"/>
  <c r="N5961" i="28"/>
  <c r="N5962" i="28"/>
  <c r="N5963" i="28"/>
  <c r="N5964" i="28"/>
  <c r="N5965" i="28"/>
  <c r="N5966" i="28"/>
  <c r="N5967" i="28"/>
  <c r="N5968" i="28"/>
  <c r="N5969" i="28"/>
  <c r="N5970" i="28"/>
  <c r="N5971" i="28"/>
  <c r="N5972" i="28"/>
  <c r="N5973" i="28"/>
  <c r="N5974" i="28"/>
  <c r="N5975" i="28"/>
  <c r="N5976" i="28"/>
  <c r="N5977" i="28"/>
  <c r="N5978" i="28"/>
  <c r="N5979" i="28"/>
  <c r="N5980" i="28"/>
  <c r="N5981" i="28"/>
  <c r="N5982" i="28"/>
  <c r="N5983" i="28"/>
  <c r="N5984" i="28"/>
  <c r="N5985" i="28"/>
  <c r="N5986" i="28"/>
  <c r="N5987" i="28"/>
  <c r="N5988" i="28"/>
  <c r="N5989" i="28"/>
  <c r="N5990" i="28"/>
  <c r="N5991" i="28"/>
  <c r="N5992" i="28"/>
  <c r="N5993" i="28"/>
  <c r="N5994" i="28"/>
  <c r="N5995" i="28"/>
  <c r="N5996" i="28"/>
  <c r="N5997" i="28"/>
  <c r="N5998" i="28"/>
  <c r="N5999" i="28"/>
  <c r="N6000" i="28"/>
  <c r="N6001" i="28"/>
  <c r="N6002" i="28"/>
  <c r="N6003" i="28"/>
  <c r="N6004" i="28"/>
  <c r="N6005" i="28"/>
  <c r="N6006" i="28"/>
  <c r="N3007" i="28"/>
  <c r="N3008" i="28"/>
  <c r="N3009" i="28"/>
  <c r="N3010" i="28"/>
  <c r="N3011" i="28"/>
  <c r="N3012" i="28"/>
  <c r="N3013" i="28"/>
  <c r="N3014" i="28"/>
  <c r="N3015" i="28"/>
  <c r="N3016" i="28"/>
  <c r="N3017" i="28"/>
  <c r="N3018" i="28"/>
  <c r="N3019" i="28"/>
  <c r="N3020" i="28"/>
  <c r="N3021" i="28"/>
  <c r="N3022" i="28"/>
  <c r="N3023" i="28"/>
  <c r="N3024" i="28"/>
  <c r="N3025" i="28"/>
  <c r="N3026" i="28"/>
  <c r="N3027" i="28"/>
  <c r="N3028" i="28"/>
  <c r="N3029" i="28"/>
  <c r="N3030" i="28"/>
  <c r="N3031" i="28"/>
  <c r="N3032" i="28"/>
  <c r="N3033" i="28"/>
  <c r="N3034" i="28"/>
  <c r="N3035" i="28"/>
  <c r="N3036" i="28"/>
  <c r="N3037" i="28"/>
  <c r="N3038" i="28"/>
  <c r="N3039" i="28"/>
  <c r="N3040" i="28"/>
  <c r="N3041" i="28"/>
  <c r="N3042" i="28"/>
  <c r="N3043" i="28"/>
  <c r="N3044" i="28"/>
  <c r="N3045" i="28"/>
  <c r="N3046" i="28"/>
  <c r="N3047" i="28"/>
  <c r="N3048" i="28"/>
  <c r="N3049" i="28"/>
  <c r="N3050" i="28"/>
  <c r="N3051" i="28"/>
  <c r="N3052" i="28"/>
  <c r="N3053" i="28"/>
  <c r="N3054" i="28"/>
  <c r="N3055" i="28"/>
  <c r="N3056" i="28"/>
  <c r="N3057" i="28"/>
  <c r="N3058" i="28"/>
  <c r="N3059" i="28"/>
  <c r="N3060" i="28"/>
  <c r="N3061" i="28"/>
  <c r="N3062" i="28"/>
  <c r="N3063" i="28"/>
  <c r="N3064" i="28"/>
  <c r="N3065" i="28"/>
  <c r="N3066" i="28"/>
  <c r="N3067" i="28"/>
  <c r="N3068" i="28"/>
  <c r="N3069" i="28"/>
  <c r="N3070" i="28"/>
  <c r="N3071" i="28"/>
  <c r="N3072" i="28"/>
  <c r="N3073" i="28"/>
  <c r="N3074" i="28"/>
  <c r="N3075" i="28"/>
  <c r="N3076" i="28"/>
  <c r="N3077" i="28"/>
  <c r="N3078" i="28"/>
  <c r="N3079" i="28"/>
  <c r="N3080" i="28"/>
  <c r="N3081" i="28"/>
  <c r="N3082" i="28"/>
  <c r="N3083" i="28"/>
  <c r="N3084" i="28"/>
  <c r="N3085" i="28"/>
  <c r="N3086" i="28"/>
  <c r="N3087" i="28"/>
  <c r="N3088" i="28"/>
  <c r="N3089" i="28"/>
  <c r="N3090" i="28"/>
  <c r="N3091" i="28"/>
  <c r="N3092" i="28"/>
  <c r="N3093" i="28"/>
  <c r="N3094" i="28"/>
  <c r="N3095" i="28"/>
  <c r="N3096" i="28"/>
  <c r="N3097" i="28"/>
  <c r="N3098" i="28"/>
  <c r="N3099" i="28"/>
  <c r="N3100" i="28"/>
  <c r="N3101" i="28"/>
  <c r="N3102" i="28"/>
  <c r="N3103" i="28"/>
  <c r="N3104" i="28"/>
  <c r="N3105" i="28"/>
  <c r="N3106" i="28"/>
  <c r="N3107" i="28"/>
  <c r="N3108" i="28"/>
  <c r="N3109" i="28"/>
  <c r="N3110" i="28"/>
  <c r="N3111" i="28"/>
  <c r="N3112" i="28"/>
  <c r="N3113" i="28"/>
  <c r="N3114" i="28"/>
  <c r="N3115" i="28"/>
  <c r="N3116" i="28"/>
  <c r="N3117" i="28"/>
  <c r="N3118" i="28"/>
  <c r="N3119" i="28"/>
  <c r="N3120" i="28"/>
  <c r="N3121" i="28"/>
  <c r="N3122" i="28"/>
  <c r="N3123" i="28"/>
  <c r="N3124" i="28"/>
  <c r="N3125" i="28"/>
  <c r="N3126" i="28"/>
  <c r="N3127" i="28"/>
  <c r="N3128" i="28"/>
  <c r="N3129" i="28"/>
  <c r="N3130" i="28"/>
  <c r="N3131" i="28"/>
  <c r="N3132" i="28"/>
  <c r="N3133" i="28"/>
  <c r="N3134" i="28"/>
  <c r="N3135" i="28"/>
  <c r="N3136" i="28"/>
  <c r="N3137" i="28"/>
  <c r="N3138" i="28"/>
  <c r="N3139" i="28"/>
  <c r="N3140" i="28"/>
  <c r="N3141" i="28"/>
  <c r="N3142" i="28"/>
  <c r="N3143" i="28"/>
  <c r="N3144" i="28"/>
  <c r="N3145" i="28"/>
  <c r="N3146" i="28"/>
  <c r="N3147" i="28"/>
  <c r="N3148" i="28"/>
  <c r="N3149" i="28"/>
  <c r="N3150" i="28"/>
  <c r="N3151" i="28"/>
  <c r="N3152" i="28"/>
  <c r="N3153" i="28"/>
  <c r="N3154" i="28"/>
  <c r="N3155" i="28"/>
  <c r="N3156" i="28"/>
  <c r="N3157" i="28"/>
  <c r="N3158" i="28"/>
  <c r="N3159" i="28"/>
  <c r="N3160" i="28"/>
  <c r="N3161" i="28"/>
  <c r="N3162" i="28"/>
  <c r="N3163" i="28"/>
  <c r="N3164" i="28"/>
  <c r="N3165" i="28"/>
  <c r="N3166" i="28"/>
  <c r="N3167" i="28"/>
  <c r="N3168" i="28"/>
  <c r="N3169" i="28"/>
  <c r="N3170" i="28"/>
  <c r="N3171" i="28"/>
  <c r="N3172" i="28"/>
  <c r="N3173" i="28"/>
  <c r="N3174" i="28"/>
  <c r="N3175" i="28"/>
  <c r="N3176" i="28"/>
  <c r="N3177" i="28"/>
  <c r="N3178" i="28"/>
  <c r="N3179" i="28"/>
  <c r="N3180" i="28"/>
  <c r="N3181" i="28"/>
  <c r="N3182" i="28"/>
  <c r="N3183" i="28"/>
  <c r="N3184" i="28"/>
  <c r="N3185" i="28"/>
  <c r="N3186" i="28"/>
  <c r="N3187" i="28"/>
  <c r="N3188" i="28"/>
  <c r="N3189" i="28"/>
  <c r="N3190" i="28"/>
  <c r="N3191" i="28"/>
  <c r="N3192" i="28"/>
  <c r="N3193" i="28"/>
  <c r="N3194" i="28"/>
  <c r="N3195" i="28"/>
  <c r="N3196" i="28"/>
  <c r="N3197" i="28"/>
  <c r="N3198" i="28"/>
  <c r="N3199" i="28"/>
  <c r="N3200" i="28"/>
  <c r="N3201" i="28"/>
  <c r="N3202" i="28"/>
  <c r="N3203" i="28"/>
  <c r="N3204" i="28"/>
  <c r="N3205" i="28"/>
  <c r="N3206" i="28"/>
  <c r="N3207" i="28"/>
  <c r="N3208" i="28"/>
  <c r="N3209" i="28"/>
  <c r="N3210" i="28"/>
  <c r="N3211" i="28"/>
  <c r="N3212" i="28"/>
  <c r="N3213" i="28"/>
  <c r="N3214" i="28"/>
  <c r="N3215" i="28"/>
  <c r="N3216" i="28"/>
  <c r="N3217" i="28"/>
  <c r="N3218" i="28"/>
  <c r="N3219" i="28"/>
  <c r="N3220" i="28"/>
  <c r="N3221" i="28"/>
  <c r="N3222" i="28"/>
  <c r="N3223" i="28"/>
  <c r="N3224" i="28"/>
  <c r="N3225" i="28"/>
  <c r="N3226" i="28"/>
  <c r="N3227" i="28"/>
  <c r="N3228" i="28"/>
  <c r="N3229" i="28"/>
  <c r="N3230" i="28"/>
  <c r="N3231" i="28"/>
  <c r="N3232" i="28"/>
  <c r="N3233" i="28"/>
  <c r="N3234" i="28"/>
  <c r="N3235" i="28"/>
  <c r="N3236" i="28"/>
  <c r="N3237" i="28"/>
  <c r="N3238" i="28"/>
  <c r="N3239" i="28"/>
  <c r="N3240" i="28"/>
  <c r="N3241" i="28"/>
  <c r="N3242" i="28"/>
  <c r="N3243" i="28"/>
  <c r="N3244" i="28"/>
  <c r="N3245" i="28"/>
  <c r="N3246" i="28"/>
  <c r="N3247" i="28"/>
  <c r="N3248" i="28"/>
  <c r="N3249" i="28"/>
  <c r="N3250" i="28"/>
  <c r="N3251" i="28"/>
  <c r="N3252" i="28"/>
  <c r="N3253" i="28"/>
  <c r="N3254" i="28"/>
  <c r="N3255" i="28"/>
  <c r="N3256" i="28"/>
  <c r="N3257" i="28"/>
  <c r="N3258" i="28"/>
  <c r="N3259" i="28"/>
  <c r="N3260" i="28"/>
  <c r="N3261" i="28"/>
  <c r="N3262" i="28"/>
  <c r="N3263" i="28"/>
  <c r="N3264" i="28"/>
  <c r="N3265" i="28"/>
  <c r="N3266" i="28"/>
  <c r="N3267" i="28"/>
  <c r="N3268" i="28"/>
  <c r="N3269" i="28"/>
  <c r="N3270" i="28"/>
  <c r="N3271" i="28"/>
  <c r="N3272" i="28"/>
  <c r="N3273" i="28"/>
  <c r="N3274" i="28"/>
  <c r="N3275" i="28"/>
  <c r="N3276" i="28"/>
  <c r="N3277" i="28"/>
  <c r="N3278" i="28"/>
  <c r="N3279" i="28"/>
  <c r="N3280" i="28"/>
  <c r="N3281" i="28"/>
  <c r="N3282" i="28"/>
  <c r="N3283" i="28"/>
  <c r="N3284" i="28"/>
  <c r="N3285" i="28"/>
  <c r="N3286" i="28"/>
  <c r="N3287" i="28"/>
  <c r="N3288" i="28"/>
  <c r="N3289" i="28"/>
  <c r="N3290" i="28"/>
  <c r="N3291" i="28"/>
  <c r="N3292" i="28"/>
  <c r="N3293" i="28"/>
  <c r="N3294" i="28"/>
  <c r="N3295" i="28"/>
  <c r="N3296" i="28"/>
  <c r="N3297" i="28"/>
  <c r="N3298" i="28"/>
  <c r="N3299" i="28"/>
  <c r="N3300" i="28"/>
  <c r="N3301" i="28"/>
  <c r="N3302" i="28"/>
  <c r="N3303" i="28"/>
  <c r="N3304" i="28"/>
  <c r="N3305" i="28"/>
  <c r="N3306" i="28"/>
  <c r="N3307" i="28"/>
  <c r="N3308" i="28"/>
  <c r="N3309" i="28"/>
  <c r="N3310" i="28"/>
  <c r="N3311" i="28"/>
  <c r="N3312" i="28"/>
  <c r="N3313" i="28"/>
  <c r="N3314" i="28"/>
  <c r="N3315" i="28"/>
  <c r="N3316" i="28"/>
  <c r="N3317" i="28"/>
  <c r="N3318" i="28"/>
  <c r="N3319" i="28"/>
  <c r="N3320" i="28"/>
  <c r="N3321" i="28"/>
  <c r="N3322" i="28"/>
  <c r="N3323" i="28"/>
  <c r="N3324" i="28"/>
  <c r="N3325" i="28"/>
  <c r="N3326" i="28"/>
  <c r="N3327" i="28"/>
  <c r="N3328" i="28"/>
  <c r="N3329" i="28"/>
  <c r="N3330" i="28"/>
  <c r="N3331" i="28"/>
  <c r="N3332" i="28"/>
  <c r="N3333" i="28"/>
  <c r="N3334" i="28"/>
  <c r="N3335" i="28"/>
  <c r="N3336" i="28"/>
  <c r="N3337" i="28"/>
  <c r="N3338" i="28"/>
  <c r="N3339" i="28"/>
  <c r="N3340" i="28"/>
  <c r="N3341" i="28"/>
  <c r="N3342" i="28"/>
  <c r="N3343" i="28"/>
  <c r="N3344" i="28"/>
  <c r="N3345" i="28"/>
  <c r="N3346" i="28"/>
  <c r="N3347" i="28"/>
  <c r="N3348" i="28"/>
  <c r="N3349" i="28"/>
  <c r="N3350" i="28"/>
  <c r="N3351" i="28"/>
  <c r="N3352" i="28"/>
  <c r="N3353" i="28"/>
  <c r="N3354" i="28"/>
  <c r="N3355" i="28"/>
  <c r="N3356" i="28"/>
  <c r="N3357" i="28"/>
  <c r="N3358" i="28"/>
  <c r="N3359" i="28"/>
  <c r="N3360" i="28"/>
  <c r="N3361" i="28"/>
  <c r="N3362" i="28"/>
  <c r="N3363" i="28"/>
  <c r="N3364" i="28"/>
  <c r="N3365" i="28"/>
  <c r="N3366" i="28"/>
  <c r="N3367" i="28"/>
  <c r="N3368" i="28"/>
  <c r="N3369" i="28"/>
  <c r="N3370" i="28"/>
  <c r="N3371" i="28"/>
  <c r="N3372" i="28"/>
  <c r="N3373" i="28"/>
  <c r="N3374" i="28"/>
  <c r="N3375" i="28"/>
  <c r="N3376" i="28"/>
  <c r="N3377" i="28"/>
  <c r="N3378" i="28"/>
  <c r="N3379" i="28"/>
  <c r="N3380" i="28"/>
  <c r="N3381" i="28"/>
  <c r="N3382" i="28"/>
  <c r="N3383" i="28"/>
  <c r="N3384" i="28"/>
  <c r="N3385" i="28"/>
  <c r="N3386" i="28"/>
  <c r="N3387" i="28"/>
  <c r="N3388" i="28"/>
  <c r="N3389" i="28"/>
  <c r="N3390" i="28"/>
  <c r="N3391" i="28"/>
  <c r="N3392" i="28"/>
  <c r="N3393" i="28"/>
  <c r="N3394" i="28"/>
  <c r="N3395" i="28"/>
  <c r="N3396" i="28"/>
  <c r="N3397" i="28"/>
  <c r="N3398" i="28"/>
  <c r="N3399" i="28"/>
  <c r="N3400" i="28"/>
  <c r="N3401" i="28"/>
  <c r="N3402" i="28"/>
  <c r="N3403" i="28"/>
  <c r="N3404" i="28"/>
  <c r="N3405" i="28"/>
  <c r="N3406" i="28"/>
  <c r="N3407" i="28"/>
  <c r="N3408" i="28"/>
  <c r="N3409" i="28"/>
  <c r="N3410" i="28"/>
  <c r="N3411" i="28"/>
  <c r="N3412" i="28"/>
  <c r="N3413" i="28"/>
  <c r="N3414" i="28"/>
  <c r="N3415" i="28"/>
  <c r="N3416" i="28"/>
  <c r="N3417" i="28"/>
  <c r="N3418" i="28"/>
  <c r="N3419" i="28"/>
  <c r="N3420" i="28"/>
  <c r="N3421" i="28"/>
  <c r="N3422" i="28"/>
  <c r="N3423" i="28"/>
  <c r="N3424" i="28"/>
  <c r="N3425" i="28"/>
  <c r="N3426" i="28"/>
  <c r="N3427" i="28"/>
  <c r="N3428" i="28"/>
  <c r="N3429" i="28"/>
  <c r="N3430" i="28"/>
  <c r="N3431" i="28"/>
  <c r="N3432" i="28"/>
  <c r="N3433" i="28"/>
  <c r="N3434" i="28"/>
  <c r="N3435" i="28"/>
  <c r="N3436" i="28"/>
  <c r="N3437" i="28"/>
  <c r="N3438" i="28"/>
  <c r="N3439" i="28"/>
  <c r="N3440" i="28"/>
  <c r="N3441" i="28"/>
  <c r="N3442" i="28"/>
  <c r="N3443" i="28"/>
  <c r="N3444" i="28"/>
  <c r="N3445" i="28"/>
  <c r="N3446" i="28"/>
  <c r="N3447" i="28"/>
  <c r="N3448" i="28"/>
  <c r="N3449" i="28"/>
  <c r="N3450" i="28"/>
  <c r="N3451" i="28"/>
  <c r="N3452" i="28"/>
  <c r="N3453" i="28"/>
  <c r="N3454" i="28"/>
  <c r="N3455" i="28"/>
  <c r="N3456" i="28"/>
  <c r="N3457" i="28"/>
  <c r="N3458" i="28"/>
  <c r="N3459" i="28"/>
  <c r="N3460" i="28"/>
  <c r="N3461" i="28"/>
  <c r="N3462" i="28"/>
  <c r="N3463" i="28"/>
  <c r="N3464" i="28"/>
  <c r="N3465" i="28"/>
  <c r="N3466" i="28"/>
  <c r="N3467" i="28"/>
  <c r="N3468" i="28"/>
  <c r="N3469" i="28"/>
  <c r="N3470" i="28"/>
  <c r="N3471" i="28"/>
  <c r="N3472" i="28"/>
  <c r="N3473" i="28"/>
  <c r="N3474" i="28"/>
  <c r="N3475" i="28"/>
  <c r="N3476" i="28"/>
  <c r="N3477" i="28"/>
  <c r="N3478" i="28"/>
  <c r="N3479" i="28"/>
  <c r="N3480" i="28"/>
  <c r="N3481" i="28"/>
  <c r="N3482" i="28"/>
  <c r="N3483" i="28"/>
  <c r="N3484" i="28"/>
  <c r="N3485" i="28"/>
  <c r="N3486" i="28"/>
  <c r="N3487" i="28"/>
  <c r="N3488" i="28"/>
  <c r="N3489" i="28"/>
  <c r="N3490" i="28"/>
  <c r="N3491" i="28"/>
  <c r="N3492" i="28"/>
  <c r="N3493" i="28"/>
  <c r="N3494" i="28"/>
  <c r="N3495" i="28"/>
  <c r="N3496" i="28"/>
  <c r="N3497" i="28"/>
  <c r="N3498" i="28"/>
  <c r="N3499" i="28"/>
  <c r="N3500" i="28"/>
  <c r="N3501" i="28"/>
  <c r="N3502" i="28"/>
  <c r="N3503" i="28"/>
  <c r="N3504" i="28"/>
  <c r="N3505" i="28"/>
  <c r="N3506" i="28"/>
  <c r="N3507" i="28"/>
  <c r="N3508" i="28"/>
  <c r="N3509" i="28"/>
  <c r="N3510" i="28"/>
  <c r="N3511" i="28"/>
  <c r="N3512" i="28"/>
  <c r="N3513" i="28"/>
  <c r="N3514" i="28"/>
  <c r="N3515" i="28"/>
  <c r="N3516" i="28"/>
  <c r="N3517" i="28"/>
  <c r="N3518" i="28"/>
  <c r="N3519" i="28"/>
  <c r="N3520" i="28"/>
  <c r="N3521" i="28"/>
  <c r="N3522" i="28"/>
  <c r="N3523" i="28"/>
  <c r="N3524" i="28"/>
  <c r="N3525" i="28"/>
  <c r="N3526" i="28"/>
  <c r="N3527" i="28"/>
  <c r="N3528" i="28"/>
  <c r="N3529" i="28"/>
  <c r="N3530" i="28"/>
  <c r="N3531" i="28"/>
  <c r="N3532" i="28"/>
  <c r="N3533" i="28"/>
  <c r="N3534" i="28"/>
  <c r="N3535" i="28"/>
  <c r="N3536" i="28"/>
  <c r="N3537" i="28"/>
  <c r="N3538" i="28"/>
  <c r="N3539" i="28"/>
  <c r="N3540" i="28"/>
  <c r="N3541" i="28"/>
  <c r="N3542" i="28"/>
  <c r="N3543" i="28"/>
  <c r="N3544" i="28"/>
  <c r="N3545" i="28"/>
  <c r="N3546" i="28"/>
  <c r="N3547" i="28"/>
  <c r="N3548" i="28"/>
  <c r="N3549" i="28"/>
  <c r="N3550" i="28"/>
  <c r="N3551" i="28"/>
  <c r="N3552" i="28"/>
  <c r="N3553" i="28"/>
  <c r="N3554" i="28"/>
  <c r="N3555" i="28"/>
  <c r="N3556" i="28"/>
  <c r="N3557" i="28"/>
  <c r="N3558" i="28"/>
  <c r="N3559" i="28"/>
  <c r="N3560" i="28"/>
  <c r="N3561" i="28"/>
  <c r="N3562" i="28"/>
  <c r="N3563" i="28"/>
  <c r="N3564" i="28"/>
  <c r="N3565" i="28"/>
  <c r="N3566" i="28"/>
  <c r="N3567" i="28"/>
  <c r="N3568" i="28"/>
  <c r="N3569" i="28"/>
  <c r="N3570" i="28"/>
  <c r="N3571" i="28"/>
  <c r="N3572" i="28"/>
  <c r="N3573" i="28"/>
  <c r="N3574" i="28"/>
  <c r="N3575" i="28"/>
  <c r="N3576" i="28"/>
  <c r="N3577" i="28"/>
  <c r="N3578" i="28"/>
  <c r="N3579" i="28"/>
  <c r="N3580" i="28"/>
  <c r="N3581" i="28"/>
  <c r="N3582" i="28"/>
  <c r="N3583" i="28"/>
  <c r="N3584" i="28"/>
  <c r="N3585" i="28"/>
  <c r="N3586" i="28"/>
  <c r="N3587" i="28"/>
  <c r="N3588" i="28"/>
  <c r="N3589" i="28"/>
  <c r="N3590" i="28"/>
  <c r="N3591" i="28"/>
  <c r="N3592" i="28"/>
  <c r="N3593" i="28"/>
  <c r="N3594" i="28"/>
  <c r="N3595" i="28"/>
  <c r="N3596" i="28"/>
  <c r="N3597" i="28"/>
  <c r="N3598" i="28"/>
  <c r="N3599" i="28"/>
  <c r="N3600" i="28"/>
  <c r="N3601" i="28"/>
  <c r="N3602" i="28"/>
  <c r="N3603" i="28"/>
  <c r="N3604" i="28"/>
  <c r="N3605" i="28"/>
  <c r="N3606" i="28"/>
  <c r="N3607" i="28"/>
  <c r="N3608" i="28"/>
  <c r="N3609" i="28"/>
  <c r="N3610" i="28"/>
  <c r="N3611" i="28"/>
  <c r="N3612" i="28"/>
  <c r="N3613" i="28"/>
  <c r="N3614" i="28"/>
  <c r="N3615" i="28"/>
  <c r="N3616" i="28"/>
  <c r="N3617" i="28"/>
  <c r="N3618" i="28"/>
  <c r="N3619" i="28"/>
  <c r="N3620" i="28"/>
  <c r="N3621" i="28"/>
  <c r="N3622" i="28"/>
  <c r="N3623" i="28"/>
  <c r="N3624" i="28"/>
  <c r="N3625" i="28"/>
  <c r="N3626" i="28"/>
  <c r="N3627" i="28"/>
  <c r="N3628" i="28"/>
  <c r="N3629" i="28"/>
  <c r="N3630" i="28"/>
  <c r="N3631" i="28"/>
  <c r="N3632" i="28"/>
  <c r="N3633" i="28"/>
  <c r="N3634" i="28"/>
  <c r="N3635" i="28"/>
  <c r="N3636" i="28"/>
  <c r="N3637" i="28"/>
  <c r="N3638" i="28"/>
  <c r="N3639" i="28"/>
  <c r="N3640" i="28"/>
  <c r="N3641" i="28"/>
  <c r="N3642" i="28"/>
  <c r="N3643" i="28"/>
  <c r="N3644" i="28"/>
  <c r="N3645" i="28"/>
  <c r="N3646" i="28"/>
  <c r="N3647" i="28"/>
  <c r="N3648" i="28"/>
  <c r="N3649" i="28"/>
  <c r="N3650" i="28"/>
  <c r="N3651" i="28"/>
  <c r="N3652" i="28"/>
  <c r="N3653" i="28"/>
  <c r="N3654" i="28"/>
  <c r="N3655" i="28"/>
  <c r="N3656" i="28"/>
  <c r="N3657" i="28"/>
  <c r="N3658" i="28"/>
  <c r="N3659" i="28"/>
  <c r="N3660" i="28"/>
  <c r="N3661" i="28"/>
  <c r="N3662" i="28"/>
  <c r="N3663" i="28"/>
  <c r="N3664" i="28"/>
  <c r="N3665" i="28"/>
  <c r="N3666" i="28"/>
  <c r="N3667" i="28"/>
  <c r="N3668" i="28"/>
  <c r="N3669" i="28"/>
  <c r="N3670" i="28"/>
  <c r="N3671" i="28"/>
  <c r="N3672" i="28"/>
  <c r="N3673" i="28"/>
  <c r="N3674" i="28"/>
  <c r="N3675" i="28"/>
  <c r="N3676" i="28"/>
  <c r="N3677" i="28"/>
  <c r="N3678" i="28"/>
  <c r="N3679" i="28"/>
  <c r="N3680" i="28"/>
  <c r="N3681" i="28"/>
  <c r="N3682" i="28"/>
  <c r="N3683" i="28"/>
  <c r="N3684" i="28"/>
  <c r="N3685" i="28"/>
  <c r="N3686" i="28"/>
  <c r="N3687" i="28"/>
  <c r="N3688" i="28"/>
  <c r="N3689" i="28"/>
  <c r="N3690" i="28"/>
  <c r="N3691" i="28"/>
  <c r="N3692" i="28"/>
  <c r="N3693" i="28"/>
  <c r="N3694" i="28"/>
  <c r="N3695" i="28"/>
  <c r="N3696" i="28"/>
  <c r="N3697" i="28"/>
  <c r="N3698" i="28"/>
  <c r="N3699" i="28"/>
  <c r="N3700" i="28"/>
  <c r="N3701" i="28"/>
  <c r="N3702" i="28"/>
  <c r="N3703" i="28"/>
  <c r="N3704" i="28"/>
  <c r="N3705" i="28"/>
  <c r="N3706" i="28"/>
  <c r="N3707" i="28"/>
  <c r="N3708" i="28"/>
  <c r="N3709" i="28"/>
  <c r="N3710" i="28"/>
  <c r="N3711" i="28"/>
  <c r="N3712" i="28"/>
  <c r="N3713" i="28"/>
  <c r="N3714" i="28"/>
  <c r="N3715" i="28"/>
  <c r="N3716" i="28"/>
  <c r="N3717" i="28"/>
  <c r="N3718" i="28"/>
  <c r="N3719" i="28"/>
  <c r="N3720" i="28"/>
  <c r="N3721" i="28"/>
  <c r="N3722" i="28"/>
  <c r="N3723" i="28"/>
  <c r="N3724" i="28"/>
  <c r="N3725" i="28"/>
  <c r="N3726" i="28"/>
  <c r="N3727" i="28"/>
  <c r="N3728" i="28"/>
  <c r="N3729" i="28"/>
  <c r="N3730" i="28"/>
  <c r="N3731" i="28"/>
  <c r="N3732" i="28"/>
  <c r="N3733" i="28"/>
  <c r="N3734" i="28"/>
  <c r="N3735" i="28"/>
  <c r="N3736" i="28"/>
  <c r="N3737" i="28"/>
  <c r="N3738" i="28"/>
  <c r="N3739" i="28"/>
  <c r="N3740" i="28"/>
  <c r="N3741" i="28"/>
  <c r="N3742" i="28"/>
  <c r="N3743" i="28"/>
  <c r="N3744" i="28"/>
  <c r="N3745" i="28"/>
  <c r="N3746" i="28"/>
  <c r="N3747" i="28"/>
  <c r="N3748" i="28"/>
  <c r="N3749" i="28"/>
  <c r="N3750" i="28"/>
  <c r="N3751" i="28"/>
  <c r="N3752" i="28"/>
  <c r="N3753" i="28"/>
  <c r="N3754" i="28"/>
  <c r="N3755" i="28"/>
  <c r="N3756" i="28"/>
  <c r="N3757" i="28"/>
  <c r="N3758" i="28"/>
  <c r="N3759" i="28"/>
  <c r="N3760" i="28"/>
  <c r="N3761" i="28"/>
  <c r="N3762" i="28"/>
  <c r="N3763" i="28"/>
  <c r="N3764" i="28"/>
  <c r="N3765" i="28"/>
  <c r="N3766" i="28"/>
  <c r="N3767" i="28"/>
  <c r="N3768" i="28"/>
  <c r="N3769" i="28"/>
  <c r="N3770" i="28"/>
  <c r="N3771" i="28"/>
  <c r="N3772" i="28"/>
  <c r="N3773" i="28"/>
  <c r="N3774" i="28"/>
  <c r="N3775" i="28"/>
  <c r="N3776" i="28"/>
  <c r="N3777" i="28"/>
  <c r="N3778" i="28"/>
  <c r="N3779" i="28"/>
  <c r="N3780" i="28"/>
  <c r="N3781" i="28"/>
  <c r="N3782" i="28"/>
  <c r="N3783" i="28"/>
  <c r="N3784" i="28"/>
  <c r="N3785" i="28"/>
  <c r="N3786" i="28"/>
  <c r="N3787" i="28"/>
  <c r="N3788" i="28"/>
  <c r="N3789" i="28"/>
  <c r="N3790" i="28"/>
  <c r="N3791" i="28"/>
  <c r="N3792" i="28"/>
  <c r="N3793" i="28"/>
  <c r="N3794" i="28"/>
  <c r="N3795" i="28"/>
  <c r="N3796" i="28"/>
  <c r="N3797" i="28"/>
  <c r="N3798" i="28"/>
  <c r="N3799" i="28"/>
  <c r="N3800" i="28"/>
  <c r="N3801" i="28"/>
  <c r="N3802" i="28"/>
  <c r="N3803" i="28"/>
  <c r="N3804" i="28"/>
  <c r="N3805" i="28"/>
  <c r="N3806" i="28"/>
  <c r="N3807" i="28"/>
  <c r="N3808" i="28"/>
  <c r="N3809" i="28"/>
  <c r="N3810" i="28"/>
  <c r="N3811" i="28"/>
  <c r="N3812" i="28"/>
  <c r="N3813" i="28"/>
  <c r="N3814" i="28"/>
  <c r="N3815" i="28"/>
  <c r="N3816" i="28"/>
  <c r="N3817" i="28"/>
  <c r="N3818" i="28"/>
  <c r="N3819" i="28"/>
  <c r="N3820" i="28"/>
  <c r="N3821" i="28"/>
  <c r="N3822" i="28"/>
  <c r="N3823" i="28"/>
  <c r="N3824" i="28"/>
  <c r="N3825" i="28"/>
  <c r="N3826" i="28"/>
  <c r="N3827" i="28"/>
  <c r="N3828" i="28"/>
  <c r="N3829" i="28"/>
  <c r="N3830" i="28"/>
  <c r="N3831" i="28"/>
  <c r="N3832" i="28"/>
  <c r="N3833" i="28"/>
  <c r="N3834" i="28"/>
  <c r="N3835" i="28"/>
  <c r="N3836" i="28"/>
  <c r="N3837" i="28"/>
  <c r="N3838" i="28"/>
  <c r="N3839" i="28"/>
  <c r="N3840" i="28"/>
  <c r="N3841" i="28"/>
  <c r="N3842" i="28"/>
  <c r="N3843" i="28"/>
  <c r="N3844" i="28"/>
  <c r="N3845" i="28"/>
  <c r="N3846" i="28"/>
  <c r="N3847" i="28"/>
  <c r="N3848" i="28"/>
  <c r="N3849" i="28"/>
  <c r="N3850" i="28"/>
  <c r="N3851" i="28"/>
  <c r="N3852" i="28"/>
  <c r="N3853" i="28"/>
  <c r="N3854" i="28"/>
  <c r="N3855" i="28"/>
  <c r="N3856" i="28"/>
  <c r="N3857" i="28"/>
  <c r="N3858" i="28"/>
  <c r="N3859" i="28"/>
  <c r="N3860" i="28"/>
  <c r="N3861" i="28"/>
  <c r="N3862" i="28"/>
  <c r="N3863" i="28"/>
  <c r="N3864" i="28"/>
  <c r="N3865" i="28"/>
  <c r="N3866" i="28"/>
  <c r="N3867" i="28"/>
  <c r="N3868" i="28"/>
  <c r="N3869" i="28"/>
  <c r="N3870" i="28"/>
  <c r="N3871" i="28"/>
  <c r="N3872" i="28"/>
  <c r="N3873" i="28"/>
  <c r="N3874" i="28"/>
  <c r="N3875" i="28"/>
  <c r="N3876" i="28"/>
  <c r="N3877" i="28"/>
  <c r="N3878" i="28"/>
  <c r="N3879" i="28"/>
  <c r="N3880" i="28"/>
  <c r="N3881" i="28"/>
  <c r="N3882" i="28"/>
  <c r="N3883" i="28"/>
  <c r="N3884" i="28"/>
  <c r="N3885" i="28"/>
  <c r="N3886" i="28"/>
  <c r="N3887" i="28"/>
  <c r="N3888" i="28"/>
  <c r="N3889" i="28"/>
  <c r="N3890" i="28"/>
  <c r="N3891" i="28"/>
  <c r="N3892" i="28"/>
  <c r="N3893" i="28"/>
  <c r="N3894" i="28"/>
  <c r="N3895" i="28"/>
  <c r="N3896" i="28"/>
  <c r="N3897" i="28"/>
  <c r="N3898" i="28"/>
  <c r="N3899" i="28"/>
  <c r="N3900" i="28"/>
  <c r="N3901" i="28"/>
  <c r="N3902" i="28"/>
  <c r="N3903" i="28"/>
  <c r="N3904" i="28"/>
  <c r="N3905" i="28"/>
  <c r="N3906" i="28"/>
  <c r="N3907" i="28"/>
  <c r="N3908" i="28"/>
  <c r="N3909" i="28"/>
  <c r="N3910" i="28"/>
  <c r="N3911" i="28"/>
  <c r="N3912" i="28"/>
  <c r="N3913" i="28"/>
  <c r="N3914" i="28"/>
  <c r="N3915" i="28"/>
  <c r="N3916" i="28"/>
  <c r="N3917" i="28"/>
  <c r="N3918" i="28"/>
  <c r="N3919" i="28"/>
  <c r="N3920" i="28"/>
  <c r="N3921" i="28"/>
  <c r="N3922" i="28"/>
  <c r="N3923" i="28"/>
  <c r="N3924" i="28"/>
  <c r="N3925" i="28"/>
  <c r="N3926" i="28"/>
  <c r="N3927" i="28"/>
  <c r="N3928" i="28"/>
  <c r="N3929" i="28"/>
  <c r="N3930" i="28"/>
  <c r="N3931" i="28"/>
  <c r="N3932" i="28"/>
  <c r="N3933" i="28"/>
  <c r="N3934" i="28"/>
  <c r="N3935" i="28"/>
  <c r="N3936" i="28"/>
  <c r="N3937" i="28"/>
  <c r="N3938" i="28"/>
  <c r="N3939" i="28"/>
  <c r="N3940" i="28"/>
  <c r="N3941" i="28"/>
  <c r="N3942" i="28"/>
  <c r="N3943" i="28"/>
  <c r="N3944" i="28"/>
  <c r="N3945" i="28"/>
  <c r="N3946" i="28"/>
  <c r="N3947" i="28"/>
  <c r="N3948" i="28"/>
  <c r="N3949" i="28"/>
  <c r="N3950" i="28"/>
  <c r="N3951" i="28"/>
  <c r="N3952" i="28"/>
  <c r="N3953" i="28"/>
  <c r="N3954" i="28"/>
  <c r="N3955" i="28"/>
  <c r="N3956" i="28"/>
  <c r="N3957" i="28"/>
  <c r="N3958" i="28"/>
  <c r="N3959" i="28"/>
  <c r="N3960" i="28"/>
  <c r="N3961" i="28"/>
  <c r="N3962" i="28"/>
  <c r="N3963" i="28"/>
  <c r="N3964" i="28"/>
  <c r="N3965" i="28"/>
  <c r="N3966" i="28"/>
  <c r="N3967" i="28"/>
  <c r="N3968" i="28"/>
  <c r="N3969" i="28"/>
  <c r="N3970" i="28"/>
  <c r="N3971" i="28"/>
  <c r="N3972" i="28"/>
  <c r="N3973" i="28"/>
  <c r="N3974" i="28"/>
  <c r="N3975" i="28"/>
  <c r="N3976" i="28"/>
  <c r="N3977" i="28"/>
  <c r="N3978" i="28"/>
  <c r="N3979" i="28"/>
  <c r="N3980" i="28"/>
  <c r="N3981" i="28"/>
  <c r="N3982" i="28"/>
  <c r="N3983" i="28"/>
  <c r="N3984" i="28"/>
  <c r="N3985" i="28"/>
  <c r="N3986" i="28"/>
  <c r="N3987" i="28"/>
  <c r="N3988" i="28"/>
  <c r="N3989" i="28"/>
  <c r="N3990" i="28"/>
  <c r="N3991" i="28"/>
  <c r="N3992" i="28"/>
  <c r="N3993" i="28"/>
  <c r="N3994" i="28"/>
  <c r="N3995" i="28"/>
  <c r="N3996" i="28"/>
  <c r="N3997" i="28"/>
  <c r="N3998" i="28"/>
  <c r="N3999" i="28"/>
  <c r="N4000" i="28"/>
  <c r="N4001" i="28"/>
  <c r="N4002" i="28"/>
  <c r="N4003" i="28"/>
  <c r="N4004" i="28"/>
  <c r="N4005" i="28"/>
  <c r="N4006" i="28"/>
  <c r="N4007" i="28"/>
  <c r="N4008" i="28"/>
  <c r="N4009" i="28"/>
  <c r="N4010" i="28"/>
  <c r="N4011" i="28"/>
  <c r="N4012" i="28"/>
  <c r="N4013" i="28"/>
  <c r="N4014" i="28"/>
  <c r="N4015" i="28"/>
  <c r="N4016" i="28"/>
  <c r="N4017" i="28"/>
  <c r="N4018" i="28"/>
  <c r="N4019" i="28"/>
  <c r="N4020" i="28"/>
  <c r="N4021" i="28"/>
  <c r="N4022" i="28"/>
  <c r="N4023" i="28"/>
  <c r="N4024" i="28"/>
  <c r="N4025" i="28"/>
  <c r="N4026" i="28"/>
  <c r="N4027" i="28"/>
  <c r="N4028" i="28"/>
  <c r="N4029" i="28"/>
  <c r="N4030" i="28"/>
  <c r="N4031" i="28"/>
  <c r="N4032" i="28"/>
  <c r="N4033" i="28"/>
  <c r="N4034" i="28"/>
  <c r="N4035" i="28"/>
  <c r="N4036" i="28"/>
  <c r="N4037" i="28"/>
  <c r="N4038" i="28"/>
  <c r="N4039" i="28"/>
  <c r="N4040" i="28"/>
  <c r="N4041" i="28"/>
  <c r="N4042" i="28"/>
  <c r="N4043" i="28"/>
  <c r="N4044" i="28"/>
  <c r="N4045" i="28"/>
  <c r="N4046" i="28"/>
  <c r="N4047" i="28"/>
  <c r="N4048" i="28"/>
  <c r="N4049" i="28"/>
  <c r="N4050" i="28"/>
  <c r="N4051" i="28"/>
  <c r="N4052" i="28"/>
  <c r="N4053" i="28"/>
  <c r="N4054" i="28"/>
  <c r="N4055" i="28"/>
  <c r="N4056" i="28"/>
  <c r="N4057" i="28"/>
  <c r="N4058" i="28"/>
  <c r="N4059" i="28"/>
  <c r="N4060" i="28"/>
  <c r="N4061" i="28"/>
  <c r="N4062" i="28"/>
  <c r="N4063" i="28"/>
  <c r="N4064" i="28"/>
  <c r="N4065" i="28"/>
  <c r="N4066" i="28"/>
  <c r="N4067" i="28"/>
  <c r="N4068" i="28"/>
  <c r="N4069" i="28"/>
  <c r="N4070" i="28"/>
  <c r="N4071" i="28"/>
  <c r="N4072" i="28"/>
  <c r="N4073" i="28"/>
  <c r="N4074" i="28"/>
  <c r="N4075" i="28"/>
  <c r="N4076" i="28"/>
  <c r="N4077" i="28"/>
  <c r="N4078" i="28"/>
  <c r="N4079" i="28"/>
  <c r="N4080" i="28"/>
  <c r="N4081" i="28"/>
  <c r="N4082" i="28"/>
  <c r="N4083" i="28"/>
  <c r="N4084" i="28"/>
  <c r="N4085" i="28"/>
  <c r="N4086" i="28"/>
  <c r="N4087" i="28"/>
  <c r="N4088" i="28"/>
  <c r="N4089" i="28"/>
  <c r="N4090" i="28"/>
  <c r="N4091" i="28"/>
  <c r="N4092" i="28"/>
  <c r="N4093" i="28"/>
  <c r="N4094" i="28"/>
  <c r="N4095" i="28"/>
  <c r="N4096" i="28"/>
  <c r="N4097" i="28"/>
  <c r="N4098" i="28"/>
  <c r="N4099" i="28"/>
  <c r="N4100" i="28"/>
  <c r="N4101" i="28"/>
  <c r="N4102" i="28"/>
  <c r="N4103" i="28"/>
  <c r="N4104" i="28"/>
  <c r="N4105" i="28"/>
  <c r="N4106" i="28"/>
  <c r="N4107" i="28"/>
  <c r="N4108" i="28"/>
  <c r="N4109" i="28"/>
  <c r="N4110" i="28"/>
  <c r="N4111" i="28"/>
  <c r="N4112" i="28"/>
  <c r="N4113" i="28"/>
  <c r="N4114" i="28"/>
  <c r="N4115" i="28"/>
  <c r="N4116" i="28"/>
  <c r="N4117" i="28"/>
  <c r="N4118" i="28"/>
  <c r="N4119" i="28"/>
  <c r="N4120" i="28"/>
  <c r="N4121" i="28"/>
  <c r="N4122" i="28"/>
  <c r="N4123" i="28"/>
  <c r="N4124" i="28"/>
  <c r="N4125" i="28"/>
  <c r="N4126" i="28"/>
  <c r="N4127" i="28"/>
  <c r="N4128" i="28"/>
  <c r="N4129" i="28"/>
  <c r="N4130" i="28"/>
  <c r="N4131" i="28"/>
  <c r="N4132" i="28"/>
  <c r="N4133" i="28"/>
  <c r="N4134" i="28"/>
  <c r="N4135" i="28"/>
  <c r="N4136" i="28"/>
  <c r="N4137" i="28"/>
  <c r="N4138" i="28"/>
  <c r="N4139" i="28"/>
  <c r="N4140" i="28"/>
  <c r="N4141" i="28"/>
  <c r="N4142" i="28"/>
  <c r="N4143" i="28"/>
  <c r="N4144" i="28"/>
  <c r="N4145" i="28"/>
  <c r="N4146" i="28"/>
  <c r="N4147" i="28"/>
  <c r="N4148" i="28"/>
  <c r="N4149" i="28"/>
  <c r="N4150" i="28"/>
  <c r="N4151" i="28"/>
  <c r="N4152" i="28"/>
  <c r="N4153" i="28"/>
  <c r="N4154" i="28"/>
  <c r="N4155" i="28"/>
  <c r="N4156" i="28"/>
  <c r="N4157" i="28"/>
  <c r="N4158" i="28"/>
  <c r="N4159" i="28"/>
  <c r="N4160" i="28"/>
  <c r="N4161" i="28"/>
  <c r="N4162" i="28"/>
  <c r="N4163" i="28"/>
  <c r="N4164" i="28"/>
  <c r="N4165" i="28"/>
  <c r="N4166" i="28"/>
  <c r="N4167" i="28"/>
  <c r="N4168" i="28"/>
  <c r="N4169" i="28"/>
  <c r="N4170" i="28"/>
  <c r="N4171" i="28"/>
  <c r="N4172" i="28"/>
  <c r="N4173" i="28"/>
  <c r="N4174" i="28"/>
  <c r="N4175" i="28"/>
  <c r="N4176" i="28"/>
  <c r="N4177" i="28"/>
  <c r="N4178" i="28"/>
  <c r="N4179" i="28"/>
  <c r="N4180" i="28"/>
  <c r="N4181" i="28"/>
  <c r="N4182" i="28"/>
  <c r="N4183" i="28"/>
  <c r="N4184" i="28"/>
  <c r="N4185" i="28"/>
  <c r="N4186" i="28"/>
  <c r="N4187" i="28"/>
  <c r="N4188" i="28"/>
  <c r="N4189" i="28"/>
  <c r="N4190" i="28"/>
  <c r="N4191" i="28"/>
  <c r="N4192" i="28"/>
  <c r="N4193" i="28"/>
  <c r="N4194" i="28"/>
  <c r="N4195" i="28"/>
  <c r="N4196" i="28"/>
  <c r="N4197" i="28"/>
  <c r="N4198" i="28"/>
  <c r="N4199" i="28"/>
  <c r="N4200" i="28"/>
  <c r="N4201" i="28"/>
  <c r="N4202" i="28"/>
  <c r="N4203" i="28"/>
  <c r="N4204" i="28"/>
  <c r="N4205" i="28"/>
  <c r="N4206" i="28"/>
  <c r="N4207" i="28"/>
  <c r="N4208" i="28"/>
  <c r="N4209" i="28"/>
  <c r="N4210" i="28"/>
  <c r="N4211" i="28"/>
  <c r="N4212" i="28"/>
  <c r="N4213" i="28"/>
  <c r="N4214" i="28"/>
  <c r="N4215" i="28"/>
  <c r="N4216" i="28"/>
  <c r="N4217" i="28"/>
  <c r="N4218" i="28"/>
  <c r="N4219" i="28"/>
  <c r="N4220" i="28"/>
  <c r="N4221" i="28"/>
  <c r="N4222" i="28"/>
  <c r="N4223" i="28"/>
  <c r="N4224" i="28"/>
  <c r="N4225" i="28"/>
  <c r="N4226" i="28"/>
  <c r="N4227" i="28"/>
  <c r="N4228" i="28"/>
  <c r="N4229" i="28"/>
  <c r="N4230" i="28"/>
  <c r="N4231" i="28"/>
  <c r="N4232" i="28"/>
  <c r="N4233" i="28"/>
  <c r="N4234" i="28"/>
  <c r="N4235" i="28"/>
  <c r="N4236" i="28"/>
  <c r="N4237" i="28"/>
  <c r="N4238" i="28"/>
  <c r="N4239" i="28"/>
  <c r="N4240" i="28"/>
  <c r="N4241" i="28"/>
  <c r="N4242" i="28"/>
  <c r="N4243" i="28"/>
  <c r="N4244" i="28"/>
  <c r="N4245" i="28"/>
  <c r="N4246" i="28"/>
  <c r="N4247" i="28"/>
  <c r="N4248" i="28"/>
  <c r="N4249" i="28"/>
  <c r="N4250" i="28"/>
  <c r="N4251" i="28"/>
  <c r="N4252" i="28"/>
  <c r="N4253" i="28"/>
  <c r="N4254" i="28"/>
  <c r="N4255" i="28"/>
  <c r="N4256" i="28"/>
  <c r="N4257" i="28"/>
  <c r="N4258" i="28"/>
  <c r="N4259" i="28"/>
  <c r="N4260" i="28"/>
  <c r="N4261" i="28"/>
  <c r="N4262" i="28"/>
  <c r="N4263" i="28"/>
  <c r="N4264" i="28"/>
  <c r="N4265" i="28"/>
  <c r="N4266" i="28"/>
  <c r="N4267" i="28"/>
  <c r="N4268" i="28"/>
  <c r="N4269" i="28"/>
  <c r="N4270" i="28"/>
  <c r="N4271" i="28"/>
  <c r="N4272" i="28"/>
  <c r="N4273" i="28"/>
  <c r="N4274" i="28"/>
  <c r="N4275" i="28"/>
  <c r="N4276" i="28"/>
  <c r="N4277" i="28"/>
  <c r="N4278" i="28"/>
  <c r="N4279" i="28"/>
  <c r="N4280" i="28"/>
  <c r="N4281" i="28"/>
  <c r="N4282" i="28"/>
  <c r="N4283" i="28"/>
  <c r="N4284" i="28"/>
  <c r="N4285" i="28"/>
  <c r="N4286" i="28"/>
  <c r="N4287" i="28"/>
  <c r="N4288" i="28"/>
  <c r="N4289" i="28"/>
  <c r="N4290" i="28"/>
  <c r="N4291" i="28"/>
  <c r="N4292" i="28"/>
  <c r="N4293" i="28"/>
  <c r="N4294" i="28"/>
  <c r="N4295" i="28"/>
  <c r="N4296" i="28"/>
  <c r="N4297" i="28"/>
  <c r="N4298" i="28"/>
  <c r="N4299" i="28"/>
  <c r="N4300" i="28"/>
  <c r="N4301" i="28"/>
  <c r="N4302" i="28"/>
  <c r="N4303" i="28"/>
  <c r="N4304" i="28"/>
  <c r="N4305" i="28"/>
  <c r="N4306" i="28"/>
  <c r="N4307" i="28"/>
  <c r="N4308" i="28"/>
  <c r="N4309" i="28"/>
  <c r="N4310" i="28"/>
  <c r="N4311" i="28"/>
  <c r="N4312" i="28"/>
  <c r="N4313" i="28"/>
  <c r="N4314" i="28"/>
  <c r="N4315" i="28"/>
  <c r="N4316" i="28"/>
  <c r="N4317" i="28"/>
  <c r="N4318" i="28"/>
  <c r="N4319" i="28"/>
  <c r="N4320" i="28"/>
  <c r="N4321" i="28"/>
  <c r="N4322" i="28"/>
  <c r="N4323" i="28"/>
  <c r="N4324" i="28"/>
  <c r="N4325" i="28"/>
  <c r="N4326" i="28"/>
  <c r="N4327" i="28"/>
  <c r="N4328" i="28"/>
  <c r="N4329" i="28"/>
  <c r="N4330" i="28"/>
  <c r="N4331" i="28"/>
  <c r="N4332" i="28"/>
  <c r="N4333" i="28"/>
  <c r="N4334" i="28"/>
  <c r="N4335" i="28"/>
  <c r="N4336" i="28"/>
  <c r="N4337" i="28"/>
  <c r="N4338" i="28"/>
  <c r="N4339" i="28"/>
  <c r="N4340" i="28"/>
  <c r="N4341" i="28"/>
  <c r="N4342" i="28"/>
  <c r="N4343" i="28"/>
  <c r="N4344" i="28"/>
  <c r="N4345" i="28"/>
  <c r="N4346" i="28"/>
  <c r="N4347" i="28"/>
  <c r="N4348" i="28"/>
  <c r="N4349" i="28"/>
  <c r="N4350" i="28"/>
  <c r="N4351" i="28"/>
  <c r="N4352" i="28"/>
  <c r="N4353" i="28"/>
  <c r="N4354" i="28"/>
  <c r="N4355" i="28"/>
  <c r="N4356" i="28"/>
  <c r="N4357" i="28"/>
  <c r="N4358" i="28"/>
  <c r="N4359" i="28"/>
  <c r="N4360" i="28"/>
  <c r="N4361" i="28"/>
  <c r="N4362" i="28"/>
  <c r="N4363" i="28"/>
  <c r="N4364" i="28"/>
  <c r="N4365" i="28"/>
  <c r="N4366" i="28"/>
  <c r="N4367" i="28"/>
  <c r="N4368" i="28"/>
  <c r="N4369" i="28"/>
  <c r="N4370" i="28"/>
  <c r="N4371" i="28"/>
  <c r="N4372" i="28"/>
  <c r="N4373" i="28"/>
  <c r="N4374" i="28"/>
  <c r="N4375" i="28"/>
  <c r="N4376" i="28"/>
  <c r="N4377" i="28"/>
  <c r="N4378" i="28"/>
  <c r="N4379" i="28"/>
  <c r="N4380" i="28"/>
  <c r="N4381" i="28"/>
  <c r="N4382" i="28"/>
  <c r="N4383" i="28"/>
  <c r="N4384" i="28"/>
  <c r="N4385" i="28"/>
  <c r="N4386" i="28"/>
  <c r="N4387" i="28"/>
  <c r="N4388" i="28"/>
  <c r="N4389" i="28"/>
  <c r="N4390" i="28"/>
  <c r="N4391" i="28"/>
  <c r="N4392" i="28"/>
  <c r="N4393" i="28"/>
  <c r="N4394" i="28"/>
  <c r="N4395" i="28"/>
  <c r="N4396" i="28"/>
  <c r="N4397" i="28"/>
  <c r="N4398" i="28"/>
  <c r="N4399" i="28"/>
  <c r="N4400" i="28"/>
  <c r="N4401" i="28"/>
  <c r="N4402" i="28"/>
  <c r="N4403" i="28"/>
  <c r="N4404" i="28"/>
  <c r="N4405" i="28"/>
  <c r="N4406" i="28"/>
  <c r="N4407" i="28"/>
  <c r="N4408" i="28"/>
  <c r="N4409" i="28"/>
  <c r="N4410" i="28"/>
  <c r="N4411" i="28"/>
  <c r="N4412" i="28"/>
  <c r="N4413" i="28"/>
  <c r="N4414" i="28"/>
  <c r="N4415" i="28"/>
  <c r="N4416" i="28"/>
  <c r="N4417" i="28"/>
  <c r="N4418" i="28"/>
  <c r="N4419" i="28"/>
  <c r="N4420" i="28"/>
  <c r="N4421" i="28"/>
  <c r="N4422" i="28"/>
  <c r="N4423" i="28"/>
  <c r="N4424" i="28"/>
  <c r="N4425" i="28"/>
  <c r="N4426" i="28"/>
  <c r="N4427" i="28"/>
  <c r="N4428" i="28"/>
  <c r="N4429" i="28"/>
  <c r="N4430" i="28"/>
  <c r="N4431" i="28"/>
  <c r="N4432" i="28"/>
  <c r="N4433" i="28"/>
  <c r="N4434" i="28"/>
  <c r="N4435" i="28"/>
  <c r="N4436" i="28"/>
  <c r="N4437" i="28"/>
  <c r="N4438" i="28"/>
  <c r="N4439" i="28"/>
  <c r="N4440" i="28"/>
  <c r="N4441" i="28"/>
  <c r="N4442" i="28"/>
  <c r="N4443" i="28"/>
  <c r="N4444" i="28"/>
  <c r="N4445" i="28"/>
  <c r="N4446" i="28"/>
  <c r="N4447" i="28"/>
  <c r="N4448" i="28"/>
  <c r="N4449" i="28"/>
  <c r="N4450" i="28"/>
  <c r="N4451" i="28"/>
  <c r="N4452" i="28"/>
  <c r="N4453" i="28"/>
  <c r="N4454" i="28"/>
  <c r="N4455" i="28"/>
  <c r="N4456" i="28"/>
  <c r="N4457" i="28"/>
  <c r="N4458" i="28"/>
  <c r="N4459" i="28"/>
  <c r="N4460" i="28"/>
  <c r="N4461" i="28"/>
  <c r="N4462" i="28"/>
  <c r="N4463" i="28"/>
  <c r="N4464" i="28"/>
  <c r="N4465" i="28"/>
  <c r="N4466" i="28"/>
  <c r="N4467" i="28"/>
  <c r="N4468" i="28"/>
  <c r="N4469" i="28"/>
  <c r="N4470" i="28"/>
  <c r="N4471" i="28"/>
  <c r="N4472" i="28"/>
  <c r="N4473" i="28"/>
  <c r="N4474" i="28"/>
  <c r="N4475" i="28"/>
  <c r="N4476" i="28"/>
  <c r="N4477" i="28"/>
  <c r="N4478" i="28"/>
  <c r="N4479" i="28"/>
  <c r="N4480" i="28"/>
  <c r="N4481" i="28"/>
  <c r="N4482" i="28"/>
  <c r="N4483" i="28"/>
  <c r="N4484" i="28"/>
  <c r="N4485" i="28"/>
  <c r="N4486" i="28"/>
  <c r="N4487" i="28"/>
  <c r="N4488" i="28"/>
  <c r="N4489" i="28"/>
  <c r="N4490" i="28"/>
  <c r="N4491" i="28"/>
  <c r="N4492" i="28"/>
  <c r="N4493" i="28"/>
  <c r="N4494" i="28"/>
  <c r="N4495" i="28"/>
  <c r="N4496" i="28"/>
  <c r="N4497" i="28"/>
  <c r="N4498" i="28"/>
  <c r="N4499" i="28"/>
  <c r="N4500" i="28"/>
  <c r="N4501" i="28"/>
  <c r="N4502" i="28"/>
  <c r="N4503" i="28"/>
  <c r="N4504" i="28"/>
  <c r="N4505" i="28"/>
  <c r="N4506" i="28"/>
  <c r="N1507" i="28"/>
  <c r="N1508" i="28"/>
  <c r="N1509" i="28"/>
  <c r="N1510" i="28"/>
  <c r="N1511" i="28"/>
  <c r="N1512" i="28"/>
  <c r="N1513" i="28"/>
  <c r="N1514" i="28"/>
  <c r="N1515" i="28"/>
  <c r="N1516" i="28"/>
  <c r="N1517" i="28"/>
  <c r="N1518" i="28"/>
  <c r="N1519" i="28"/>
  <c r="N1520" i="28"/>
  <c r="N1521" i="28"/>
  <c r="N1522" i="28"/>
  <c r="N1523" i="28"/>
  <c r="N1524" i="28"/>
  <c r="N1525" i="28"/>
  <c r="N1526" i="28"/>
  <c r="N1527" i="28"/>
  <c r="N1528" i="28"/>
  <c r="N1529" i="28"/>
  <c r="N1530" i="28"/>
  <c r="N1531" i="28"/>
  <c r="N1532" i="28"/>
  <c r="N1533" i="28"/>
  <c r="N1534" i="28"/>
  <c r="N1535" i="28"/>
  <c r="N1536" i="28"/>
  <c r="N1537" i="28"/>
  <c r="N1538" i="28"/>
  <c r="N1539" i="28"/>
  <c r="N1540" i="28"/>
  <c r="N1541" i="28"/>
  <c r="N1542" i="28"/>
  <c r="N1543" i="28"/>
  <c r="N1544" i="28"/>
  <c r="N1545" i="28"/>
  <c r="N1546" i="28"/>
  <c r="N1547" i="28"/>
  <c r="N1548" i="28"/>
  <c r="N1549" i="28"/>
  <c r="N1550" i="28"/>
  <c r="N1551" i="28"/>
  <c r="N1552" i="28"/>
  <c r="N1553" i="28"/>
  <c r="N1554" i="28"/>
  <c r="N1555" i="28"/>
  <c r="N1556" i="28"/>
  <c r="N1557" i="28"/>
  <c r="N1558" i="28"/>
  <c r="N1559" i="28"/>
  <c r="N1560" i="28"/>
  <c r="N1561" i="28"/>
  <c r="N1562" i="28"/>
  <c r="N1563" i="28"/>
  <c r="N1564" i="28"/>
  <c r="N1565" i="28"/>
  <c r="N1566" i="28"/>
  <c r="N1567" i="28"/>
  <c r="N1568" i="28"/>
  <c r="N1569" i="28"/>
  <c r="N1570" i="28"/>
  <c r="N1571" i="28"/>
  <c r="N1572" i="28"/>
  <c r="N1573" i="28"/>
  <c r="N1574" i="28"/>
  <c r="N1575" i="28"/>
  <c r="N1576" i="28"/>
  <c r="N1577" i="28"/>
  <c r="N1578" i="28"/>
  <c r="N1579" i="28"/>
  <c r="N1580" i="28"/>
  <c r="N1581" i="28"/>
  <c r="N1582" i="28"/>
  <c r="N1583" i="28"/>
  <c r="N1584" i="28"/>
  <c r="N1585" i="28"/>
  <c r="N1586" i="28"/>
  <c r="N1587" i="28"/>
  <c r="N1588" i="28"/>
  <c r="N1589" i="28"/>
  <c r="N1590" i="28"/>
  <c r="N1591" i="28"/>
  <c r="N1592" i="28"/>
  <c r="N1593" i="28"/>
  <c r="N1594" i="28"/>
  <c r="N1595" i="28"/>
  <c r="N1596" i="28"/>
  <c r="N1597" i="28"/>
  <c r="N1598" i="28"/>
  <c r="N1599" i="28"/>
  <c r="N1600" i="28"/>
  <c r="N1601" i="28"/>
  <c r="N1602" i="28"/>
  <c r="N1603" i="28"/>
  <c r="N1604" i="28"/>
  <c r="N1605" i="28"/>
  <c r="N1606" i="28"/>
  <c r="N1607" i="28"/>
  <c r="N1608" i="28"/>
  <c r="N1609" i="28"/>
  <c r="N1610" i="28"/>
  <c r="N1611" i="28"/>
  <c r="N1612" i="28"/>
  <c r="N1613" i="28"/>
  <c r="N1614" i="28"/>
  <c r="N1615" i="28"/>
  <c r="N1616" i="28"/>
  <c r="N1617" i="28"/>
  <c r="N1618" i="28"/>
  <c r="N1619" i="28"/>
  <c r="N1620" i="28"/>
  <c r="N1621" i="28"/>
  <c r="N1622" i="28"/>
  <c r="N1623" i="28"/>
  <c r="N1624" i="28"/>
  <c r="N1625" i="28"/>
  <c r="N1626" i="28"/>
  <c r="N1627" i="28"/>
  <c r="N1628" i="28"/>
  <c r="N1629" i="28"/>
  <c r="N1630" i="28"/>
  <c r="N1631" i="28"/>
  <c r="N1632" i="28"/>
  <c r="N1633" i="28"/>
  <c r="N1634" i="28"/>
  <c r="N1635" i="28"/>
  <c r="N1636" i="28"/>
  <c r="N1637" i="28"/>
  <c r="N1638" i="28"/>
  <c r="N1639" i="28"/>
  <c r="N1640" i="28"/>
  <c r="N1641" i="28"/>
  <c r="N1642" i="28"/>
  <c r="N1643" i="28"/>
  <c r="N1644" i="28"/>
  <c r="N1645" i="28"/>
  <c r="N1646" i="28"/>
  <c r="N1647" i="28"/>
  <c r="N1648" i="28"/>
  <c r="N1649" i="28"/>
  <c r="N1650" i="28"/>
  <c r="N1651" i="28"/>
  <c r="N1652" i="28"/>
  <c r="N1653" i="28"/>
  <c r="N1654" i="28"/>
  <c r="N1655" i="28"/>
  <c r="N1656" i="28"/>
  <c r="N1657" i="28"/>
  <c r="N1658" i="28"/>
  <c r="N1659" i="28"/>
  <c r="N1660" i="28"/>
  <c r="N1661" i="28"/>
  <c r="N1662" i="28"/>
  <c r="N1663" i="28"/>
  <c r="N1664" i="28"/>
  <c r="N1665" i="28"/>
  <c r="N1666" i="28"/>
  <c r="N1667" i="28"/>
  <c r="N1668" i="28"/>
  <c r="N1669" i="28"/>
  <c r="N1670" i="28"/>
  <c r="N1671" i="28"/>
  <c r="N1672" i="28"/>
  <c r="N1673" i="28"/>
  <c r="N1674" i="28"/>
  <c r="N1675" i="28"/>
  <c r="N1676" i="28"/>
  <c r="N1677" i="28"/>
  <c r="N1678" i="28"/>
  <c r="N1679" i="28"/>
  <c r="N1680" i="28"/>
  <c r="N1681" i="28"/>
  <c r="N1682" i="28"/>
  <c r="N1683" i="28"/>
  <c r="N1684" i="28"/>
  <c r="N1685" i="28"/>
  <c r="N1686" i="28"/>
  <c r="N1687" i="28"/>
  <c r="N1688" i="28"/>
  <c r="N1689" i="28"/>
  <c r="N1690" i="28"/>
  <c r="N1691" i="28"/>
  <c r="N1692" i="28"/>
  <c r="N1693" i="28"/>
  <c r="N1694" i="28"/>
  <c r="N1695" i="28"/>
  <c r="N1696" i="28"/>
  <c r="N1697" i="28"/>
  <c r="N1698" i="28"/>
  <c r="N1699" i="28"/>
  <c r="N1700" i="28"/>
  <c r="N1701" i="28"/>
  <c r="N1702" i="28"/>
  <c r="N1703" i="28"/>
  <c r="N1704" i="28"/>
  <c r="N1705" i="28"/>
  <c r="N1706" i="28"/>
  <c r="N1707" i="28"/>
  <c r="N1708" i="28"/>
  <c r="N1709" i="28"/>
  <c r="N1710" i="28"/>
  <c r="N1711" i="28"/>
  <c r="N1712" i="28"/>
  <c r="N1713" i="28"/>
  <c r="N1714" i="28"/>
  <c r="N1715" i="28"/>
  <c r="N1716" i="28"/>
  <c r="N1717" i="28"/>
  <c r="N1718" i="28"/>
  <c r="N1719" i="28"/>
  <c r="N1720" i="28"/>
  <c r="N1721" i="28"/>
  <c r="N1722" i="28"/>
  <c r="N1723" i="28"/>
  <c r="N1724" i="28"/>
  <c r="N1725" i="28"/>
  <c r="N1726" i="28"/>
  <c r="N1727" i="28"/>
  <c r="N1728" i="28"/>
  <c r="N1729" i="28"/>
  <c r="N1730" i="28"/>
  <c r="N1731" i="28"/>
  <c r="N1732" i="28"/>
  <c r="N1733" i="28"/>
  <c r="N1734" i="28"/>
  <c r="N1735" i="28"/>
  <c r="N1736" i="28"/>
  <c r="N1737" i="28"/>
  <c r="N1738" i="28"/>
  <c r="N1739" i="28"/>
  <c r="N1740" i="28"/>
  <c r="N1741" i="28"/>
  <c r="N1742" i="28"/>
  <c r="N1743" i="28"/>
  <c r="N1744" i="28"/>
  <c r="N1745" i="28"/>
  <c r="N1746" i="28"/>
  <c r="N1747" i="28"/>
  <c r="N1748" i="28"/>
  <c r="N1749" i="28"/>
  <c r="N1750" i="28"/>
  <c r="N1751" i="28"/>
  <c r="N1752" i="28"/>
  <c r="N1753" i="28"/>
  <c r="N1754" i="28"/>
  <c r="N1755" i="28"/>
  <c r="N1756" i="28"/>
  <c r="N1757" i="28"/>
  <c r="N1758" i="28"/>
  <c r="N1759" i="28"/>
  <c r="N1760" i="28"/>
  <c r="N1761" i="28"/>
  <c r="N1762" i="28"/>
  <c r="N1763" i="28"/>
  <c r="N1764" i="28"/>
  <c r="N1765" i="28"/>
  <c r="N1766" i="28"/>
  <c r="N1767" i="28"/>
  <c r="N1768" i="28"/>
  <c r="N1769" i="28"/>
  <c r="N1770" i="28"/>
  <c r="N1771" i="28"/>
  <c r="N1772" i="28"/>
  <c r="N1773" i="28"/>
  <c r="N1774" i="28"/>
  <c r="N1775" i="28"/>
  <c r="N1776" i="28"/>
  <c r="N1777" i="28"/>
  <c r="N1778" i="28"/>
  <c r="N1779" i="28"/>
  <c r="N1780" i="28"/>
  <c r="N1781" i="28"/>
  <c r="N1782" i="28"/>
  <c r="N1783" i="28"/>
  <c r="N1784" i="28"/>
  <c r="N1785" i="28"/>
  <c r="N1786" i="28"/>
  <c r="N1787" i="28"/>
  <c r="N1788" i="28"/>
  <c r="N1789" i="28"/>
  <c r="N1790" i="28"/>
  <c r="N1791" i="28"/>
  <c r="N1792" i="28"/>
  <c r="N1793" i="28"/>
  <c r="N1794" i="28"/>
  <c r="N1795" i="28"/>
  <c r="N1796" i="28"/>
  <c r="N1797" i="28"/>
  <c r="N1798" i="28"/>
  <c r="N1799" i="28"/>
  <c r="N1800" i="28"/>
  <c r="N1801" i="28"/>
  <c r="N1802" i="28"/>
  <c r="N1803" i="28"/>
  <c r="N1804" i="28"/>
  <c r="N1805" i="28"/>
  <c r="N1806" i="28"/>
  <c r="N1807" i="28"/>
  <c r="N1808" i="28"/>
  <c r="N1809" i="28"/>
  <c r="N1810" i="28"/>
  <c r="N1811" i="28"/>
  <c r="N1812" i="28"/>
  <c r="N1813" i="28"/>
  <c r="N1814" i="28"/>
  <c r="N1815" i="28"/>
  <c r="N1816" i="28"/>
  <c r="N1817" i="28"/>
  <c r="N1818" i="28"/>
  <c r="N1819" i="28"/>
  <c r="N1820" i="28"/>
  <c r="N1821" i="28"/>
  <c r="N1822" i="28"/>
  <c r="N1823" i="28"/>
  <c r="N1824" i="28"/>
  <c r="N1825" i="28"/>
  <c r="N1826" i="28"/>
  <c r="N1827" i="28"/>
  <c r="N1828" i="28"/>
  <c r="N1829" i="28"/>
  <c r="N1830" i="28"/>
  <c r="N1831" i="28"/>
  <c r="N1832" i="28"/>
  <c r="N1833" i="28"/>
  <c r="N1834" i="28"/>
  <c r="N1835" i="28"/>
  <c r="N1836" i="28"/>
  <c r="N1837" i="28"/>
  <c r="N1838" i="28"/>
  <c r="N1839" i="28"/>
  <c r="N1840" i="28"/>
  <c r="N1841" i="28"/>
  <c r="N1842" i="28"/>
  <c r="N1843" i="28"/>
  <c r="N1844" i="28"/>
  <c r="N1845" i="28"/>
  <c r="N1846" i="28"/>
  <c r="N1847" i="28"/>
  <c r="N1848" i="28"/>
  <c r="N1849" i="28"/>
  <c r="N1850" i="28"/>
  <c r="N1851" i="28"/>
  <c r="N1852" i="28"/>
  <c r="N1853" i="28"/>
  <c r="N1854" i="28"/>
  <c r="N1855" i="28"/>
  <c r="N1856" i="28"/>
  <c r="N1857" i="28"/>
  <c r="N1858" i="28"/>
  <c r="N1859" i="28"/>
  <c r="N1860" i="28"/>
  <c r="N1861" i="28"/>
  <c r="N1862" i="28"/>
  <c r="N1863" i="28"/>
  <c r="N1864" i="28"/>
  <c r="N1865" i="28"/>
  <c r="N1866" i="28"/>
  <c r="N1867" i="28"/>
  <c r="N1868" i="28"/>
  <c r="N1869" i="28"/>
  <c r="N1870" i="28"/>
  <c r="N1871" i="28"/>
  <c r="N1872" i="28"/>
  <c r="N1873" i="28"/>
  <c r="N1874" i="28"/>
  <c r="N1875" i="28"/>
  <c r="N1876" i="28"/>
  <c r="N1877" i="28"/>
  <c r="N1878" i="28"/>
  <c r="N1879" i="28"/>
  <c r="N1880" i="28"/>
  <c r="N1881" i="28"/>
  <c r="N1882" i="28"/>
  <c r="N1883" i="28"/>
  <c r="N1884" i="28"/>
  <c r="N1885" i="28"/>
  <c r="N1886" i="28"/>
  <c r="N1887" i="28"/>
  <c r="N1888" i="28"/>
  <c r="N1889" i="28"/>
  <c r="N1890" i="28"/>
  <c r="N1891" i="28"/>
  <c r="N1892" i="28"/>
  <c r="N1893" i="28"/>
  <c r="N1894" i="28"/>
  <c r="N1895" i="28"/>
  <c r="N1896" i="28"/>
  <c r="N1897" i="28"/>
  <c r="N1898" i="28"/>
  <c r="N1899" i="28"/>
  <c r="N1900" i="28"/>
  <c r="N1901" i="28"/>
  <c r="N1902" i="28"/>
  <c r="N1903" i="28"/>
  <c r="N1904" i="28"/>
  <c r="N1905" i="28"/>
  <c r="N1906" i="28"/>
  <c r="N1907" i="28"/>
  <c r="N1908" i="28"/>
  <c r="N1909" i="28"/>
  <c r="N1910" i="28"/>
  <c r="N1911" i="28"/>
  <c r="N1912" i="28"/>
  <c r="N1913" i="28"/>
  <c r="N1914" i="28"/>
  <c r="N1915" i="28"/>
  <c r="N1916" i="28"/>
  <c r="N1917" i="28"/>
  <c r="N1918" i="28"/>
  <c r="N1919" i="28"/>
  <c r="N1920" i="28"/>
  <c r="N1921" i="28"/>
  <c r="N1922" i="28"/>
  <c r="N1923" i="28"/>
  <c r="N1924" i="28"/>
  <c r="N1925" i="28"/>
  <c r="N1926" i="28"/>
  <c r="N1927" i="28"/>
  <c r="N1928" i="28"/>
  <c r="N1929" i="28"/>
  <c r="N1930" i="28"/>
  <c r="N1931" i="28"/>
  <c r="N1932" i="28"/>
  <c r="N1933" i="28"/>
  <c r="N1934" i="28"/>
  <c r="N1935" i="28"/>
  <c r="N1936" i="28"/>
  <c r="N1937" i="28"/>
  <c r="N1938" i="28"/>
  <c r="N1939" i="28"/>
  <c r="N1940" i="28"/>
  <c r="N1941" i="28"/>
  <c r="N1942" i="28"/>
  <c r="N1943" i="28"/>
  <c r="N1944" i="28"/>
  <c r="N1945" i="28"/>
  <c r="N1946" i="28"/>
  <c r="N1947" i="28"/>
  <c r="N1948" i="28"/>
  <c r="N1949" i="28"/>
  <c r="N1950" i="28"/>
  <c r="N1951" i="28"/>
  <c r="N1952" i="28"/>
  <c r="N1953" i="28"/>
  <c r="N1954" i="28"/>
  <c r="N1955" i="28"/>
  <c r="N1956" i="28"/>
  <c r="N1957" i="28"/>
  <c r="N1958" i="28"/>
  <c r="N1959" i="28"/>
  <c r="N1960" i="28"/>
  <c r="N1961" i="28"/>
  <c r="N1962" i="28"/>
  <c r="N1963" i="28"/>
  <c r="N1964" i="28"/>
  <c r="N1965" i="28"/>
  <c r="N1966" i="28"/>
  <c r="N1967" i="28"/>
  <c r="N1968" i="28"/>
  <c r="N1969" i="28"/>
  <c r="N1970" i="28"/>
  <c r="N1971" i="28"/>
  <c r="N1972" i="28"/>
  <c r="N1973" i="28"/>
  <c r="N1974" i="28"/>
  <c r="N1975" i="28"/>
  <c r="N1976" i="28"/>
  <c r="N1977" i="28"/>
  <c r="N1978" i="28"/>
  <c r="N1979" i="28"/>
  <c r="N1980" i="28"/>
  <c r="N1981" i="28"/>
  <c r="N1982" i="28"/>
  <c r="N1983" i="28"/>
  <c r="N1984" i="28"/>
  <c r="N1985" i="28"/>
  <c r="N1986" i="28"/>
  <c r="N1987" i="28"/>
  <c r="N1988" i="28"/>
  <c r="N1989" i="28"/>
  <c r="N1990" i="28"/>
  <c r="N1991" i="28"/>
  <c r="N1992" i="28"/>
  <c r="N1993" i="28"/>
  <c r="N1994" i="28"/>
  <c r="N1995" i="28"/>
  <c r="N1996" i="28"/>
  <c r="N1997" i="28"/>
  <c r="N1998" i="28"/>
  <c r="N1999" i="28"/>
  <c r="N2000" i="28"/>
  <c r="N2001" i="28"/>
  <c r="N2002" i="28"/>
  <c r="N2003" i="28"/>
  <c r="N2004" i="28"/>
  <c r="N2005" i="28"/>
  <c r="N2006" i="28"/>
  <c r="N2007" i="28"/>
  <c r="N2008" i="28"/>
  <c r="N2009" i="28"/>
  <c r="N2010" i="28"/>
  <c r="N2011" i="28"/>
  <c r="N2012" i="28"/>
  <c r="N2013" i="28"/>
  <c r="N2014" i="28"/>
  <c r="N2015" i="28"/>
  <c r="N2016" i="28"/>
  <c r="N2017" i="28"/>
  <c r="N2018" i="28"/>
  <c r="N2019" i="28"/>
  <c r="N2020" i="28"/>
  <c r="N2021" i="28"/>
  <c r="N2022" i="28"/>
  <c r="N2023" i="28"/>
  <c r="N2024" i="28"/>
  <c r="N2025" i="28"/>
  <c r="N2026" i="28"/>
  <c r="N2027" i="28"/>
  <c r="N2028" i="28"/>
  <c r="N2029" i="28"/>
  <c r="N2030" i="28"/>
  <c r="N2031" i="28"/>
  <c r="N2032" i="28"/>
  <c r="N2033" i="28"/>
  <c r="N2034" i="28"/>
  <c r="N2035" i="28"/>
  <c r="N2036" i="28"/>
  <c r="N2037" i="28"/>
  <c r="N2038" i="28"/>
  <c r="N2039" i="28"/>
  <c r="N2040" i="28"/>
  <c r="N2041" i="28"/>
  <c r="N2042" i="28"/>
  <c r="N2043" i="28"/>
  <c r="N2044" i="28"/>
  <c r="N2045" i="28"/>
  <c r="N2046" i="28"/>
  <c r="N2047" i="28"/>
  <c r="N2048" i="28"/>
  <c r="N2049" i="28"/>
  <c r="N2050" i="28"/>
  <c r="N2051" i="28"/>
  <c r="N2052" i="28"/>
  <c r="N2053" i="28"/>
  <c r="N2054" i="28"/>
  <c r="N2055" i="28"/>
  <c r="N2056" i="28"/>
  <c r="N2057" i="28"/>
  <c r="N2058" i="28"/>
  <c r="N2059" i="28"/>
  <c r="N2060" i="28"/>
  <c r="N2061" i="28"/>
  <c r="N2062" i="28"/>
  <c r="N2063" i="28"/>
  <c r="N2064" i="28"/>
  <c r="N2065" i="28"/>
  <c r="N2066" i="28"/>
  <c r="N2067" i="28"/>
  <c r="N2068" i="28"/>
  <c r="N2069" i="28"/>
  <c r="N2070" i="28"/>
  <c r="N2071" i="28"/>
  <c r="N2072" i="28"/>
  <c r="N2073" i="28"/>
  <c r="N2074" i="28"/>
  <c r="N2075" i="28"/>
  <c r="N2076" i="28"/>
  <c r="N2077" i="28"/>
  <c r="N2078" i="28"/>
  <c r="N2079" i="28"/>
  <c r="N2080" i="28"/>
  <c r="N2081" i="28"/>
  <c r="N2082" i="28"/>
  <c r="N2083" i="28"/>
  <c r="N2084" i="28"/>
  <c r="N2085" i="28"/>
  <c r="N2086" i="28"/>
  <c r="N2087" i="28"/>
  <c r="N2088" i="28"/>
  <c r="N2089" i="28"/>
  <c r="N2090" i="28"/>
  <c r="N2091" i="28"/>
  <c r="N2092" i="28"/>
  <c r="N2093" i="28"/>
  <c r="N2094" i="28"/>
  <c r="N2095" i="28"/>
  <c r="N2096" i="28"/>
  <c r="N2097" i="28"/>
  <c r="N2098" i="28"/>
  <c r="N2099" i="28"/>
  <c r="N2100" i="28"/>
  <c r="N2101" i="28"/>
  <c r="N2102" i="28"/>
  <c r="N2103" i="28"/>
  <c r="N2104" i="28"/>
  <c r="N2105" i="28"/>
  <c r="N2106" i="28"/>
  <c r="N2107" i="28"/>
  <c r="N2108" i="28"/>
  <c r="N2109" i="28"/>
  <c r="N2110" i="28"/>
  <c r="N2111" i="28"/>
  <c r="N2112" i="28"/>
  <c r="N2113" i="28"/>
  <c r="N2114" i="28"/>
  <c r="N2115" i="28"/>
  <c r="N2116" i="28"/>
  <c r="N2117" i="28"/>
  <c r="N2118" i="28"/>
  <c r="N2119" i="28"/>
  <c r="N2120" i="28"/>
  <c r="N2121" i="28"/>
  <c r="N2122" i="28"/>
  <c r="N2123" i="28"/>
  <c r="N2124" i="28"/>
  <c r="N2125" i="28"/>
  <c r="N2126" i="28"/>
  <c r="N2127" i="28"/>
  <c r="N2128" i="28"/>
  <c r="N2129" i="28"/>
  <c r="N2130" i="28"/>
  <c r="N2131" i="28"/>
  <c r="N2132" i="28"/>
  <c r="N2133" i="28"/>
  <c r="N2134" i="28"/>
  <c r="N2135" i="28"/>
  <c r="N2136" i="28"/>
  <c r="N2137" i="28"/>
  <c r="N2138" i="28"/>
  <c r="N2139" i="28"/>
  <c r="N2140" i="28"/>
  <c r="N2141" i="28"/>
  <c r="N2142" i="28"/>
  <c r="N2143" i="28"/>
  <c r="N2144" i="28"/>
  <c r="N2145" i="28"/>
  <c r="N2146" i="28"/>
  <c r="N2147" i="28"/>
  <c r="N2148" i="28"/>
  <c r="N2149" i="28"/>
  <c r="N2150" i="28"/>
  <c r="N2151" i="28"/>
  <c r="N2152" i="28"/>
  <c r="N2153" i="28"/>
  <c r="N2154" i="28"/>
  <c r="N2155" i="28"/>
  <c r="N2156" i="28"/>
  <c r="N2157" i="28"/>
  <c r="N2158" i="28"/>
  <c r="N2159" i="28"/>
  <c r="N2160" i="28"/>
  <c r="N2161" i="28"/>
  <c r="N2162" i="28"/>
  <c r="N2163" i="28"/>
  <c r="N2164" i="28"/>
  <c r="N2165" i="28"/>
  <c r="N2166" i="28"/>
  <c r="N2167" i="28"/>
  <c r="N2168" i="28"/>
  <c r="N2169" i="28"/>
  <c r="N2170" i="28"/>
  <c r="N2171" i="28"/>
  <c r="N2172" i="28"/>
  <c r="N2173" i="28"/>
  <c r="N2174" i="28"/>
  <c r="N2175" i="28"/>
  <c r="N2176" i="28"/>
  <c r="N2177" i="28"/>
  <c r="N2178" i="28"/>
  <c r="N2179" i="28"/>
  <c r="N2180" i="28"/>
  <c r="N2181" i="28"/>
  <c r="N2182" i="28"/>
  <c r="N2183" i="28"/>
  <c r="N2184" i="28"/>
  <c r="N2185" i="28"/>
  <c r="N2186" i="28"/>
  <c r="N2187" i="28"/>
  <c r="N2188" i="28"/>
  <c r="N2189" i="28"/>
  <c r="N2190" i="28"/>
  <c r="N2191" i="28"/>
  <c r="N2192" i="28"/>
  <c r="N2193" i="28"/>
  <c r="N2194" i="28"/>
  <c r="N2195" i="28"/>
  <c r="N2196" i="28"/>
  <c r="N2197" i="28"/>
  <c r="N2198" i="28"/>
  <c r="N2199" i="28"/>
  <c r="N2200" i="28"/>
  <c r="N2201" i="28"/>
  <c r="N2202" i="28"/>
  <c r="N2203" i="28"/>
  <c r="N2204" i="28"/>
  <c r="N2205" i="28"/>
  <c r="N2206" i="28"/>
  <c r="N2207" i="28"/>
  <c r="N2208" i="28"/>
  <c r="N2209" i="28"/>
  <c r="N2210" i="28"/>
  <c r="N2211" i="28"/>
  <c r="N2212" i="28"/>
  <c r="N2213" i="28"/>
  <c r="N2214" i="28"/>
  <c r="N2215" i="28"/>
  <c r="N2216" i="28"/>
  <c r="N2217" i="28"/>
  <c r="N2218" i="28"/>
  <c r="N2219" i="28"/>
  <c r="N2220" i="28"/>
  <c r="N2221" i="28"/>
  <c r="N2222" i="28"/>
  <c r="N2223" i="28"/>
  <c r="N2224" i="28"/>
  <c r="N2225" i="28"/>
  <c r="N2226" i="28"/>
  <c r="N2227" i="28"/>
  <c r="N2228" i="28"/>
  <c r="N2229" i="28"/>
  <c r="N2230" i="28"/>
  <c r="N2231" i="28"/>
  <c r="N2232" i="28"/>
  <c r="N2233" i="28"/>
  <c r="N2234" i="28"/>
  <c r="N2235" i="28"/>
  <c r="N2236" i="28"/>
  <c r="N2237" i="28"/>
  <c r="N2238" i="28"/>
  <c r="N2239" i="28"/>
  <c r="N2240" i="28"/>
  <c r="N2241" i="28"/>
  <c r="N2242" i="28"/>
  <c r="N2243" i="28"/>
  <c r="N2244" i="28"/>
  <c r="N2245" i="28"/>
  <c r="N2246" i="28"/>
  <c r="N2247" i="28"/>
  <c r="N2248" i="28"/>
  <c r="N2249" i="28"/>
  <c r="N2250" i="28"/>
  <c r="N2251" i="28"/>
  <c r="N2252" i="28"/>
  <c r="N2253" i="28"/>
  <c r="N2254" i="28"/>
  <c r="N2255" i="28"/>
  <c r="N2256" i="28"/>
  <c r="N2257" i="28"/>
  <c r="N2258" i="28"/>
  <c r="N2259" i="28"/>
  <c r="N2260" i="28"/>
  <c r="N2261" i="28"/>
  <c r="N2262" i="28"/>
  <c r="N2263" i="28"/>
  <c r="N2264" i="28"/>
  <c r="N2265" i="28"/>
  <c r="N2266" i="28"/>
  <c r="N2267" i="28"/>
  <c r="N2268" i="28"/>
  <c r="N2269" i="28"/>
  <c r="N2270" i="28"/>
  <c r="N2271" i="28"/>
  <c r="N2272" i="28"/>
  <c r="N2273" i="28"/>
  <c r="N2274" i="28"/>
  <c r="N2275" i="28"/>
  <c r="N2276" i="28"/>
  <c r="N2277" i="28"/>
  <c r="N2278" i="28"/>
  <c r="N2279" i="28"/>
  <c r="N2280" i="28"/>
  <c r="N2281" i="28"/>
  <c r="N2282" i="28"/>
  <c r="N2283" i="28"/>
  <c r="N2284" i="28"/>
  <c r="N2285" i="28"/>
  <c r="N2286" i="28"/>
  <c r="N2287" i="28"/>
  <c r="N2288" i="28"/>
  <c r="N2289" i="28"/>
  <c r="N2290" i="28"/>
  <c r="N2291" i="28"/>
  <c r="N2292" i="28"/>
  <c r="N2293" i="28"/>
  <c r="N2294" i="28"/>
  <c r="N2295" i="28"/>
  <c r="N2296" i="28"/>
  <c r="N2297" i="28"/>
  <c r="N2298" i="28"/>
  <c r="N2299" i="28"/>
  <c r="N2300" i="28"/>
  <c r="N2301" i="28"/>
  <c r="N2302" i="28"/>
  <c r="N2303" i="28"/>
  <c r="N2304" i="28"/>
  <c r="N2305" i="28"/>
  <c r="N2306" i="28"/>
  <c r="N2307" i="28"/>
  <c r="N2308" i="28"/>
  <c r="N2309" i="28"/>
  <c r="N2310" i="28"/>
  <c r="N2311" i="28"/>
  <c r="N2312" i="28"/>
  <c r="N2313" i="28"/>
  <c r="N2314" i="28"/>
  <c r="N2315" i="28"/>
  <c r="N2316" i="28"/>
  <c r="N2317" i="28"/>
  <c r="N2318" i="28"/>
  <c r="N2319" i="28"/>
  <c r="N2320" i="28"/>
  <c r="N2321" i="28"/>
  <c r="N2322" i="28"/>
  <c r="N2323" i="28"/>
  <c r="N2324" i="28"/>
  <c r="N2325" i="28"/>
  <c r="N2326" i="28"/>
  <c r="N2327" i="28"/>
  <c r="N2328" i="28"/>
  <c r="N2329" i="28"/>
  <c r="N2330" i="28"/>
  <c r="N2331" i="28"/>
  <c r="N2332" i="28"/>
  <c r="N2333" i="28"/>
  <c r="N2334" i="28"/>
  <c r="N2335" i="28"/>
  <c r="N2336" i="28"/>
  <c r="N2337" i="28"/>
  <c r="N2338" i="28"/>
  <c r="N2339" i="28"/>
  <c r="N2340" i="28"/>
  <c r="N2341" i="28"/>
  <c r="N2342" i="28"/>
  <c r="N2343" i="28"/>
  <c r="N2344" i="28"/>
  <c r="N2345" i="28"/>
  <c r="N2346" i="28"/>
  <c r="N2347" i="28"/>
  <c r="N2348" i="28"/>
  <c r="N2349" i="28"/>
  <c r="N2350" i="28"/>
  <c r="N2351" i="28"/>
  <c r="N2352" i="28"/>
  <c r="N2353" i="28"/>
  <c r="N2354" i="28"/>
  <c r="N2355" i="28"/>
  <c r="N2356" i="28"/>
  <c r="N2357" i="28"/>
  <c r="N2358" i="28"/>
  <c r="N2359" i="28"/>
  <c r="N2360" i="28"/>
  <c r="N2361" i="28"/>
  <c r="N2362" i="28"/>
  <c r="N2363" i="28"/>
  <c r="N2364" i="28"/>
  <c r="N2365" i="28"/>
  <c r="N2366" i="28"/>
  <c r="N2367" i="28"/>
  <c r="N2368" i="28"/>
  <c r="N2369" i="28"/>
  <c r="N2370" i="28"/>
  <c r="N2371" i="28"/>
  <c r="N2372" i="28"/>
  <c r="N2373" i="28"/>
  <c r="N2374" i="28"/>
  <c r="N2375" i="28"/>
  <c r="N2376" i="28"/>
  <c r="N2377" i="28"/>
  <c r="N2378" i="28"/>
  <c r="N2379" i="28"/>
  <c r="N2380" i="28"/>
  <c r="N2381" i="28"/>
  <c r="N2382" i="28"/>
  <c r="N2383" i="28"/>
  <c r="N2384" i="28"/>
  <c r="N2385" i="28"/>
  <c r="N2386" i="28"/>
  <c r="N2387" i="28"/>
  <c r="N2388" i="28"/>
  <c r="N2389" i="28"/>
  <c r="N2390" i="28"/>
  <c r="N2391" i="28"/>
  <c r="N2392" i="28"/>
  <c r="N2393" i="28"/>
  <c r="N2394" i="28"/>
  <c r="N2395" i="28"/>
  <c r="N2396" i="28"/>
  <c r="N2397" i="28"/>
  <c r="N2398" i="28"/>
  <c r="N2399" i="28"/>
  <c r="N2400" i="28"/>
  <c r="N2401" i="28"/>
  <c r="N2402" i="28"/>
  <c r="N2403" i="28"/>
  <c r="N2404" i="28"/>
  <c r="N2405" i="28"/>
  <c r="N2406" i="28"/>
  <c r="N2407" i="28"/>
  <c r="N2408" i="28"/>
  <c r="N2409" i="28"/>
  <c r="N2410" i="28"/>
  <c r="N2411" i="28"/>
  <c r="N2412" i="28"/>
  <c r="N2413" i="28"/>
  <c r="N2414" i="28"/>
  <c r="N2415" i="28"/>
  <c r="N2416" i="28"/>
  <c r="N2417" i="28"/>
  <c r="N2418" i="28"/>
  <c r="N2419" i="28"/>
  <c r="N2420" i="28"/>
  <c r="N2421" i="28"/>
  <c r="N2422" i="28"/>
  <c r="N2423" i="28"/>
  <c r="N2424" i="28"/>
  <c r="N2425" i="28"/>
  <c r="N2426" i="28"/>
  <c r="N2427" i="28"/>
  <c r="N2428" i="28"/>
  <c r="N2429" i="28"/>
  <c r="N2430" i="28"/>
  <c r="N2431" i="28"/>
  <c r="N2432" i="28"/>
  <c r="N2433" i="28"/>
  <c r="N2434" i="28"/>
  <c r="N2435" i="28"/>
  <c r="N2436" i="28"/>
  <c r="N2437" i="28"/>
  <c r="N2438" i="28"/>
  <c r="N2439" i="28"/>
  <c r="N2440" i="28"/>
  <c r="N2441" i="28"/>
  <c r="N2442" i="28"/>
  <c r="N2443" i="28"/>
  <c r="N2444" i="28"/>
  <c r="N2445" i="28"/>
  <c r="N2446" i="28"/>
  <c r="N2447" i="28"/>
  <c r="N2448" i="28"/>
  <c r="N2449" i="28"/>
  <c r="N2450" i="28"/>
  <c r="N2451" i="28"/>
  <c r="N2452" i="28"/>
  <c r="N2453" i="28"/>
  <c r="N2454" i="28"/>
  <c r="N2455" i="28"/>
  <c r="N2456" i="28"/>
  <c r="N2457" i="28"/>
  <c r="N2458" i="28"/>
  <c r="N2459" i="28"/>
  <c r="N2460" i="28"/>
  <c r="N2461" i="28"/>
  <c r="N2462" i="28"/>
  <c r="N2463" i="28"/>
  <c r="N2464" i="28"/>
  <c r="N2465" i="28"/>
  <c r="N2466" i="28"/>
  <c r="N2467" i="28"/>
  <c r="N2468" i="28"/>
  <c r="N2469" i="28"/>
  <c r="N2470" i="28"/>
  <c r="N2471" i="28"/>
  <c r="N2472" i="28"/>
  <c r="N2473" i="28"/>
  <c r="N2474" i="28"/>
  <c r="N2475" i="28"/>
  <c r="N2476" i="28"/>
  <c r="N2477" i="28"/>
  <c r="N2478" i="28"/>
  <c r="N2479" i="28"/>
  <c r="N2480" i="28"/>
  <c r="N2481" i="28"/>
  <c r="N2482" i="28"/>
  <c r="N2483" i="28"/>
  <c r="N2484" i="28"/>
  <c r="N2485" i="28"/>
  <c r="N2486" i="28"/>
  <c r="N2487" i="28"/>
  <c r="N2488" i="28"/>
  <c r="N2489" i="28"/>
  <c r="N2490" i="28"/>
  <c r="N2491" i="28"/>
  <c r="N2492" i="28"/>
  <c r="N2493" i="28"/>
  <c r="N2494" i="28"/>
  <c r="N2495" i="28"/>
  <c r="N2496" i="28"/>
  <c r="N2497" i="28"/>
  <c r="N2498" i="28"/>
  <c r="N2499" i="28"/>
  <c r="N2500" i="28"/>
  <c r="N2501" i="28"/>
  <c r="N2502" i="28"/>
  <c r="N2503" i="28"/>
  <c r="N2504" i="28"/>
  <c r="N2505" i="28"/>
  <c r="N2506" i="28"/>
  <c r="N2507" i="28"/>
  <c r="N2508" i="28"/>
  <c r="N2509" i="28"/>
  <c r="N2510" i="28"/>
  <c r="N2511" i="28"/>
  <c r="N2512" i="28"/>
  <c r="N2513" i="28"/>
  <c r="N2514" i="28"/>
  <c r="N2515" i="28"/>
  <c r="N2516" i="28"/>
  <c r="N2517" i="28"/>
  <c r="N2518" i="28"/>
  <c r="N2519" i="28"/>
  <c r="N2520" i="28"/>
  <c r="N2521" i="28"/>
  <c r="N2522" i="28"/>
  <c r="N2523" i="28"/>
  <c r="N2524" i="28"/>
  <c r="N2525" i="28"/>
  <c r="N2526" i="28"/>
  <c r="N2527" i="28"/>
  <c r="N2528" i="28"/>
  <c r="N2529" i="28"/>
  <c r="N2530" i="28"/>
  <c r="N2531" i="28"/>
  <c r="N2532" i="28"/>
  <c r="N2533" i="28"/>
  <c r="N2534" i="28"/>
  <c r="N2535" i="28"/>
  <c r="N2536" i="28"/>
  <c r="N2537" i="28"/>
  <c r="N2538" i="28"/>
  <c r="N2539" i="28"/>
  <c r="N2540" i="28"/>
  <c r="N2541" i="28"/>
  <c r="N2542" i="28"/>
  <c r="N2543" i="28"/>
  <c r="N2544" i="28"/>
  <c r="N2545" i="28"/>
  <c r="N2546" i="28"/>
  <c r="N2547" i="28"/>
  <c r="N2548" i="28"/>
  <c r="N2549" i="28"/>
  <c r="N2550" i="28"/>
  <c r="N2551" i="28"/>
  <c r="N2552" i="28"/>
  <c r="N2553" i="28"/>
  <c r="N2554" i="28"/>
  <c r="N2555" i="28"/>
  <c r="N2556" i="28"/>
  <c r="N2557" i="28"/>
  <c r="N2558" i="28"/>
  <c r="N2559" i="28"/>
  <c r="N2560" i="28"/>
  <c r="N2561" i="28"/>
  <c r="N2562" i="28"/>
  <c r="N2563" i="28"/>
  <c r="N2564" i="28"/>
  <c r="N2565" i="28"/>
  <c r="N2566" i="28"/>
  <c r="N2567" i="28"/>
  <c r="N2568" i="28"/>
  <c r="N2569" i="28"/>
  <c r="N2570" i="28"/>
  <c r="N2571" i="28"/>
  <c r="N2572" i="28"/>
  <c r="N2573" i="28"/>
  <c r="N2574" i="28"/>
  <c r="N2575" i="28"/>
  <c r="N2576" i="28"/>
  <c r="N2577" i="28"/>
  <c r="N2578" i="28"/>
  <c r="N2579" i="28"/>
  <c r="N2580" i="28"/>
  <c r="N2581" i="28"/>
  <c r="N2582" i="28"/>
  <c r="N2583" i="28"/>
  <c r="N2584" i="28"/>
  <c r="N2585" i="28"/>
  <c r="N2586" i="28"/>
  <c r="N2587" i="28"/>
  <c r="N2588" i="28"/>
  <c r="N2589" i="28"/>
  <c r="N2590" i="28"/>
  <c r="N2591" i="28"/>
  <c r="N2592" i="28"/>
  <c r="N2593" i="28"/>
  <c r="N2594" i="28"/>
  <c r="N2595" i="28"/>
  <c r="N2596" i="28"/>
  <c r="N2597" i="28"/>
  <c r="N2598" i="28"/>
  <c r="N2599" i="28"/>
  <c r="N2600" i="28"/>
  <c r="N2601" i="28"/>
  <c r="N2602" i="28"/>
  <c r="N2603" i="28"/>
  <c r="N2604" i="28"/>
  <c r="N2605" i="28"/>
  <c r="N2606" i="28"/>
  <c r="N2607" i="28"/>
  <c r="N2608" i="28"/>
  <c r="N2609" i="28"/>
  <c r="N2610" i="28"/>
  <c r="N2611" i="28"/>
  <c r="N2612" i="28"/>
  <c r="N2613" i="28"/>
  <c r="N2614" i="28"/>
  <c r="N2615" i="28"/>
  <c r="N2616" i="28"/>
  <c r="N2617" i="28"/>
  <c r="N2618" i="28"/>
  <c r="N2619" i="28"/>
  <c r="N2620" i="28"/>
  <c r="N2621" i="28"/>
  <c r="N2622" i="28"/>
  <c r="N2623" i="28"/>
  <c r="N2624" i="28"/>
  <c r="N2625" i="28"/>
  <c r="N2626" i="28"/>
  <c r="N2627" i="28"/>
  <c r="N2628" i="28"/>
  <c r="N2629" i="28"/>
  <c r="N2630" i="28"/>
  <c r="N2631" i="28"/>
  <c r="N2632" i="28"/>
  <c r="N2633" i="28"/>
  <c r="N2634" i="28"/>
  <c r="N2635" i="28"/>
  <c r="N2636" i="28"/>
  <c r="N2637" i="28"/>
  <c r="N2638" i="28"/>
  <c r="N2639" i="28"/>
  <c r="N2640" i="28"/>
  <c r="N2641" i="28"/>
  <c r="N2642" i="28"/>
  <c r="N2643" i="28"/>
  <c r="N2644" i="28"/>
  <c r="N2645" i="28"/>
  <c r="N2646" i="28"/>
  <c r="N2647" i="28"/>
  <c r="N2648" i="28"/>
  <c r="N2649" i="28"/>
  <c r="N2650" i="28"/>
  <c r="N2651" i="28"/>
  <c r="N2652" i="28"/>
  <c r="N2653" i="28"/>
  <c r="N2654" i="28"/>
  <c r="N2655" i="28"/>
  <c r="N2656" i="28"/>
  <c r="N2657" i="28"/>
  <c r="N2658" i="28"/>
  <c r="N2659" i="28"/>
  <c r="N2660" i="28"/>
  <c r="N2661" i="28"/>
  <c r="N2662" i="28"/>
  <c r="N2663" i="28"/>
  <c r="N2664" i="28"/>
  <c r="N2665" i="28"/>
  <c r="N2666" i="28"/>
  <c r="N2667" i="28"/>
  <c r="N2668" i="28"/>
  <c r="N2669" i="28"/>
  <c r="N2670" i="28"/>
  <c r="N2671" i="28"/>
  <c r="N2672" i="28"/>
  <c r="N2673" i="28"/>
  <c r="N2674" i="28"/>
  <c r="N2675" i="28"/>
  <c r="N2676" i="28"/>
  <c r="N2677" i="28"/>
  <c r="N2678" i="28"/>
  <c r="N2679" i="28"/>
  <c r="N2680" i="28"/>
  <c r="N2681" i="28"/>
  <c r="N2682" i="28"/>
  <c r="N2683" i="28"/>
  <c r="N2684" i="28"/>
  <c r="N2685" i="28"/>
  <c r="N2686" i="28"/>
  <c r="N2687" i="28"/>
  <c r="N2688" i="28"/>
  <c r="N2689" i="28"/>
  <c r="N2690" i="28"/>
  <c r="N2691" i="28"/>
  <c r="N2692" i="28"/>
  <c r="N2693" i="28"/>
  <c r="N2694" i="28"/>
  <c r="N2695" i="28"/>
  <c r="N2696" i="28"/>
  <c r="N2697" i="28"/>
  <c r="N2698" i="28"/>
  <c r="N2699" i="28"/>
  <c r="N2700" i="28"/>
  <c r="N2701" i="28"/>
  <c r="N2702" i="28"/>
  <c r="N2703" i="28"/>
  <c r="N2704" i="28"/>
  <c r="N2705" i="28"/>
  <c r="N2706" i="28"/>
  <c r="N2707" i="28"/>
  <c r="N2708" i="28"/>
  <c r="N2709" i="28"/>
  <c r="N2710" i="28"/>
  <c r="N2711" i="28"/>
  <c r="N2712" i="28"/>
  <c r="N2713" i="28"/>
  <c r="N2714" i="28"/>
  <c r="N2715" i="28"/>
  <c r="N2716" i="28"/>
  <c r="N2717" i="28"/>
  <c r="N2718" i="28"/>
  <c r="N2719" i="28"/>
  <c r="N2720" i="28"/>
  <c r="N2721" i="28"/>
  <c r="N2722" i="28"/>
  <c r="N2723" i="28"/>
  <c r="N2724" i="28"/>
  <c r="N2725" i="28"/>
  <c r="N2726" i="28"/>
  <c r="N2727" i="28"/>
  <c r="N2728" i="28"/>
  <c r="N2729" i="28"/>
  <c r="N2730" i="28"/>
  <c r="N2731" i="28"/>
  <c r="N2732" i="28"/>
  <c r="N2733" i="28"/>
  <c r="N2734" i="28"/>
  <c r="N2735" i="28"/>
  <c r="N2736" i="28"/>
  <c r="N2737" i="28"/>
  <c r="N2738" i="28"/>
  <c r="N2739" i="28"/>
  <c r="N2740" i="28"/>
  <c r="N2741" i="28"/>
  <c r="N2742" i="28"/>
  <c r="N2743" i="28"/>
  <c r="N2744" i="28"/>
  <c r="N2745" i="28"/>
  <c r="N2746" i="28"/>
  <c r="N2747" i="28"/>
  <c r="N2748" i="28"/>
  <c r="N2749" i="28"/>
  <c r="N2750" i="28"/>
  <c r="N2751" i="28"/>
  <c r="N2752" i="28"/>
  <c r="N2753" i="28"/>
  <c r="N2754" i="28"/>
  <c r="N2755" i="28"/>
  <c r="N2756" i="28"/>
  <c r="N2757" i="28"/>
  <c r="N2758" i="28"/>
  <c r="N2759" i="28"/>
  <c r="N2760" i="28"/>
  <c r="N2761" i="28"/>
  <c r="N2762" i="28"/>
  <c r="N2763" i="28"/>
  <c r="N2764" i="28"/>
  <c r="N2765" i="28"/>
  <c r="N2766" i="28"/>
  <c r="N2767" i="28"/>
  <c r="N2768" i="28"/>
  <c r="N2769" i="28"/>
  <c r="N2770" i="28"/>
  <c r="N2771" i="28"/>
  <c r="N2772" i="28"/>
  <c r="N2773" i="28"/>
  <c r="N2774" i="28"/>
  <c r="N2775" i="28"/>
  <c r="N2776" i="28"/>
  <c r="N2777" i="28"/>
  <c r="N2778" i="28"/>
  <c r="N2779" i="28"/>
  <c r="N2780" i="28"/>
  <c r="N2781" i="28"/>
  <c r="N2782" i="28"/>
  <c r="N2783" i="28"/>
  <c r="N2784" i="28"/>
  <c r="N2785" i="28"/>
  <c r="N2786" i="28"/>
  <c r="N2787" i="28"/>
  <c r="N2788" i="28"/>
  <c r="N2789" i="28"/>
  <c r="N2790" i="28"/>
  <c r="N2791" i="28"/>
  <c r="N2792" i="28"/>
  <c r="N2793" i="28"/>
  <c r="N2794" i="28"/>
  <c r="N2795" i="28"/>
  <c r="N2796" i="28"/>
  <c r="N2797" i="28"/>
  <c r="N2798" i="28"/>
  <c r="N2799" i="28"/>
  <c r="N2800" i="28"/>
  <c r="N2801" i="28"/>
  <c r="N2802" i="28"/>
  <c r="N2803" i="28"/>
  <c r="N2804" i="28"/>
  <c r="N2805" i="28"/>
  <c r="N2806" i="28"/>
  <c r="N2807" i="28"/>
  <c r="N2808" i="28"/>
  <c r="N2809" i="28"/>
  <c r="N2810" i="28"/>
  <c r="N2811" i="28"/>
  <c r="N2812" i="28"/>
  <c r="N2813" i="28"/>
  <c r="N2814" i="28"/>
  <c r="N2815" i="28"/>
  <c r="N2816" i="28"/>
  <c r="N2817" i="28"/>
  <c r="N2818" i="28"/>
  <c r="N2819" i="28"/>
  <c r="N2820" i="28"/>
  <c r="N2821" i="28"/>
  <c r="N2822" i="28"/>
  <c r="N2823" i="28"/>
  <c r="N2824" i="28"/>
  <c r="N2825" i="28"/>
  <c r="N2826" i="28"/>
  <c r="N2827" i="28"/>
  <c r="N2828" i="28"/>
  <c r="N2829" i="28"/>
  <c r="N2830" i="28"/>
  <c r="N2831" i="28"/>
  <c r="N2832" i="28"/>
  <c r="N2833" i="28"/>
  <c r="N2834" i="28"/>
  <c r="N2835" i="28"/>
  <c r="N2836" i="28"/>
  <c r="N2837" i="28"/>
  <c r="N2838" i="28"/>
  <c r="N2839" i="28"/>
  <c r="N2840" i="28"/>
  <c r="N2841" i="28"/>
  <c r="N2842" i="28"/>
  <c r="N2843" i="28"/>
  <c r="N2844" i="28"/>
  <c r="N2845" i="28"/>
  <c r="N2846" i="28"/>
  <c r="N2847" i="28"/>
  <c r="N2848" i="28"/>
  <c r="N2849" i="28"/>
  <c r="N2850" i="28"/>
  <c r="N2851" i="28"/>
  <c r="N2852" i="28"/>
  <c r="N2853" i="28"/>
  <c r="N2854" i="28"/>
  <c r="N2855" i="28"/>
  <c r="N2856" i="28"/>
  <c r="N2857" i="28"/>
  <c r="N2858" i="28"/>
  <c r="N2859" i="28"/>
  <c r="N2860" i="28"/>
  <c r="N2861" i="28"/>
  <c r="N2862" i="28"/>
  <c r="N2863" i="28"/>
  <c r="N2864" i="28"/>
  <c r="N2865" i="28"/>
  <c r="N2866" i="28"/>
  <c r="N2867" i="28"/>
  <c r="N2868" i="28"/>
  <c r="N2869" i="28"/>
  <c r="N2870" i="28"/>
  <c r="N2871" i="28"/>
  <c r="N2872" i="28"/>
  <c r="N2873" i="28"/>
  <c r="N2874" i="28"/>
  <c r="N2875" i="28"/>
  <c r="N2876" i="28"/>
  <c r="N2877" i="28"/>
  <c r="N2878" i="28"/>
  <c r="N2879" i="28"/>
  <c r="N2880" i="28"/>
  <c r="N2881" i="28"/>
  <c r="N2882" i="28"/>
  <c r="N2883" i="28"/>
  <c r="N2884" i="28"/>
  <c r="N2885" i="28"/>
  <c r="N2886" i="28"/>
  <c r="N2887" i="28"/>
  <c r="N2888" i="28"/>
  <c r="N2889" i="28"/>
  <c r="N2890" i="28"/>
  <c r="N2891" i="28"/>
  <c r="N2892" i="28"/>
  <c r="N2893" i="28"/>
  <c r="N2894" i="28"/>
  <c r="N2895" i="28"/>
  <c r="N2896" i="28"/>
  <c r="N2897" i="28"/>
  <c r="N2898" i="28"/>
  <c r="N2899" i="28"/>
  <c r="N2900" i="28"/>
  <c r="N2901" i="28"/>
  <c r="N2902" i="28"/>
  <c r="N2903" i="28"/>
  <c r="N2904" i="28"/>
  <c r="N2905" i="28"/>
  <c r="N2906" i="28"/>
  <c r="N2907" i="28"/>
  <c r="N2908" i="28"/>
  <c r="N2909" i="28"/>
  <c r="N2910" i="28"/>
  <c r="N2911" i="28"/>
  <c r="N2912" i="28"/>
  <c r="N2913" i="28"/>
  <c r="N2914" i="28"/>
  <c r="N2915" i="28"/>
  <c r="N2916" i="28"/>
  <c r="N2917" i="28"/>
  <c r="N2918" i="28"/>
  <c r="N2919" i="28"/>
  <c r="N2920" i="28"/>
  <c r="N2921" i="28"/>
  <c r="N2922" i="28"/>
  <c r="N2923" i="28"/>
  <c r="N2924" i="28"/>
  <c r="N2925" i="28"/>
  <c r="N2926" i="28"/>
  <c r="N2927" i="28"/>
  <c r="N2928" i="28"/>
  <c r="N2929" i="28"/>
  <c r="N2930" i="28"/>
  <c r="N2931" i="28"/>
  <c r="N2932" i="28"/>
  <c r="N2933" i="28"/>
  <c r="N2934" i="28"/>
  <c r="N2935" i="28"/>
  <c r="N2936" i="28"/>
  <c r="N2937" i="28"/>
  <c r="N2938" i="28"/>
  <c r="N2939" i="28"/>
  <c r="N2940" i="28"/>
  <c r="N2941" i="28"/>
  <c r="N2942" i="28"/>
  <c r="N2943" i="28"/>
  <c r="N2944" i="28"/>
  <c r="N2945" i="28"/>
  <c r="N2946" i="28"/>
  <c r="N2947" i="28"/>
  <c r="N2948" i="28"/>
  <c r="N2949" i="28"/>
  <c r="N2950" i="28"/>
  <c r="N2951" i="28"/>
  <c r="N2952" i="28"/>
  <c r="N2953" i="28"/>
  <c r="N2954" i="28"/>
  <c r="N2955" i="28"/>
  <c r="N2956" i="28"/>
  <c r="N2957" i="28"/>
  <c r="N2958" i="28"/>
  <c r="N2959" i="28"/>
  <c r="N2960" i="28"/>
  <c r="N2961" i="28"/>
  <c r="N2962" i="28"/>
  <c r="N2963" i="28"/>
  <c r="N2964" i="28"/>
  <c r="N2965" i="28"/>
  <c r="N2966" i="28"/>
  <c r="N2967" i="28"/>
  <c r="N2968" i="28"/>
  <c r="N2969" i="28"/>
  <c r="N2970" i="28"/>
  <c r="N2971" i="28"/>
  <c r="N2972" i="28"/>
  <c r="N2973" i="28"/>
  <c r="N2974" i="28"/>
  <c r="N2975" i="28"/>
  <c r="N2976" i="28"/>
  <c r="N2977" i="28"/>
  <c r="N2978" i="28"/>
  <c r="N2979" i="28"/>
  <c r="N2980" i="28"/>
  <c r="N2981" i="28"/>
  <c r="N2982" i="28"/>
  <c r="N2983" i="28"/>
  <c r="N2984" i="28"/>
  <c r="N2985" i="28"/>
  <c r="N2986" i="28"/>
  <c r="N2987" i="28"/>
  <c r="N2988" i="28"/>
  <c r="N2989" i="28"/>
  <c r="N2990" i="28"/>
  <c r="N2991" i="28"/>
  <c r="N2992" i="28"/>
  <c r="N2993" i="28"/>
  <c r="N2994" i="28"/>
  <c r="N2995" i="28"/>
  <c r="N2996" i="28"/>
  <c r="N2997" i="28"/>
  <c r="N2998" i="28"/>
  <c r="N2999" i="28"/>
  <c r="N3000" i="28"/>
  <c r="N3001" i="28"/>
  <c r="N3002" i="28"/>
  <c r="N3003" i="28"/>
  <c r="N3004" i="28"/>
  <c r="N3005" i="28"/>
  <c r="N3006" i="28"/>
  <c r="N7" i="28"/>
  <c r="N8" i="28"/>
  <c r="N9" i="28"/>
  <c r="N10" i="28"/>
  <c r="N11" i="28"/>
  <c r="N12" i="28"/>
  <c r="N13" i="28"/>
  <c r="N14" i="28"/>
  <c r="N15" i="28"/>
  <c r="N16" i="28"/>
  <c r="N17" i="28"/>
  <c r="N18" i="28"/>
  <c r="N19" i="28"/>
  <c r="N20" i="28"/>
  <c r="N21" i="28"/>
  <c r="N22" i="28"/>
  <c r="N23" i="28"/>
  <c r="N24" i="28"/>
  <c r="N25" i="28"/>
  <c r="N26" i="28"/>
  <c r="N27" i="28"/>
  <c r="N28" i="28"/>
  <c r="N29" i="28"/>
  <c r="N30" i="28"/>
  <c r="N31" i="28"/>
  <c r="N32" i="28"/>
  <c r="N33" i="28"/>
  <c r="N34" i="28"/>
  <c r="N35" i="28"/>
  <c r="N36" i="28"/>
  <c r="N37" i="28"/>
  <c r="N38"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117" i="28"/>
  <c r="N118" i="28"/>
  <c r="N119" i="28"/>
  <c r="N120" i="28"/>
  <c r="N121" i="28"/>
  <c r="N122" i="28"/>
  <c r="N123" i="28"/>
  <c r="N124" i="28"/>
  <c r="N125" i="28"/>
  <c r="N126" i="28"/>
  <c r="N127" i="28"/>
  <c r="N128" i="28"/>
  <c r="N129" i="28"/>
  <c r="N130" i="28"/>
  <c r="N131" i="28"/>
  <c r="N132" i="28"/>
  <c r="N133" i="28"/>
  <c r="N134" i="28"/>
  <c r="N135" i="28"/>
  <c r="N136" i="28"/>
  <c r="N137" i="28"/>
  <c r="N138" i="28"/>
  <c r="N139" i="28"/>
  <c r="N140" i="28"/>
  <c r="N141" i="28"/>
  <c r="N142" i="28"/>
  <c r="N143" i="28"/>
  <c r="N144" i="28"/>
  <c r="N145" i="28"/>
  <c r="N146" i="28"/>
  <c r="N147" i="28"/>
  <c r="N148" i="28"/>
  <c r="N149" i="28"/>
  <c r="N150" i="28"/>
  <c r="N151" i="28"/>
  <c r="N152" i="28"/>
  <c r="N153" i="28"/>
  <c r="N154" i="28"/>
  <c r="N155" i="28"/>
  <c r="N156" i="28"/>
  <c r="N157" i="28"/>
  <c r="N158" i="28"/>
  <c r="N159" i="28"/>
  <c r="N160" i="28"/>
  <c r="N161" i="28"/>
  <c r="N162" i="28"/>
  <c r="N163" i="28"/>
  <c r="N164" i="28"/>
  <c r="N165" i="28"/>
  <c r="N166" i="28"/>
  <c r="N167" i="28"/>
  <c r="N168" i="28"/>
  <c r="N169" i="28"/>
  <c r="N170" i="28"/>
  <c r="N171" i="28"/>
  <c r="N172" i="28"/>
  <c r="N173" i="28"/>
  <c r="N174" i="28"/>
  <c r="N175" i="28"/>
  <c r="N176" i="28"/>
  <c r="N177" i="28"/>
  <c r="N178" i="28"/>
  <c r="N179" i="28"/>
  <c r="N180" i="28"/>
  <c r="N181" i="28"/>
  <c r="N182" i="28"/>
  <c r="N183" i="28"/>
  <c r="N184" i="28"/>
  <c r="N185" i="28"/>
  <c r="N186" i="28"/>
  <c r="N187" i="28"/>
  <c r="N188" i="28"/>
  <c r="N189" i="28"/>
  <c r="N190" i="28"/>
  <c r="N191" i="28"/>
  <c r="N192" i="28"/>
  <c r="N193" i="28"/>
  <c r="N194" i="28"/>
  <c r="N195" i="28"/>
  <c r="N196" i="28"/>
  <c r="N197" i="28"/>
  <c r="N198" i="28"/>
  <c r="N199" i="28"/>
  <c r="N200" i="28"/>
  <c r="N201" i="28"/>
  <c r="N202" i="28"/>
  <c r="N203" i="28"/>
  <c r="N204" i="28"/>
  <c r="N205" i="28"/>
  <c r="N206" i="28"/>
  <c r="N207" i="28"/>
  <c r="N208" i="28"/>
  <c r="N209" i="28"/>
  <c r="N210" i="28"/>
  <c r="N211" i="28"/>
  <c r="N212" i="28"/>
  <c r="N213" i="28"/>
  <c r="N214" i="28"/>
  <c r="N215" i="28"/>
  <c r="N216" i="28"/>
  <c r="N217" i="28"/>
  <c r="N218" i="28"/>
  <c r="N219" i="28"/>
  <c r="N220" i="28"/>
  <c r="N221" i="28"/>
  <c r="N222" i="28"/>
  <c r="N223" i="28"/>
  <c r="N224" i="28"/>
  <c r="N225" i="28"/>
  <c r="N226" i="28"/>
  <c r="N227" i="28"/>
  <c r="N228" i="28"/>
  <c r="N229" i="28"/>
  <c r="N230" i="28"/>
  <c r="N231" i="28"/>
  <c r="N232" i="28"/>
  <c r="N233" i="28"/>
  <c r="N234" i="28"/>
  <c r="N235" i="28"/>
  <c r="N236" i="28"/>
  <c r="N237" i="28"/>
  <c r="N238" i="28"/>
  <c r="N239" i="28"/>
  <c r="N240" i="28"/>
  <c r="N241" i="28"/>
  <c r="N242" i="28"/>
  <c r="N243" i="28"/>
  <c r="N244"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83" i="28"/>
  <c r="N284" i="28"/>
  <c r="N285" i="28"/>
  <c r="N286" i="28"/>
  <c r="N287" i="28"/>
  <c r="N288" i="28"/>
  <c r="N289" i="28"/>
  <c r="N290" i="28"/>
  <c r="N291" i="28"/>
  <c r="N292" i="28"/>
  <c r="N293" i="28"/>
  <c r="N294" i="28"/>
  <c r="N295" i="28"/>
  <c r="N296" i="28"/>
  <c r="N297" i="28"/>
  <c r="N298" i="28"/>
  <c r="N299" i="28"/>
  <c r="N300" i="28"/>
  <c r="N301" i="28"/>
  <c r="N302" i="28"/>
  <c r="N303" i="28"/>
  <c r="N304" i="28"/>
  <c r="N305" i="28"/>
  <c r="N306" i="28"/>
  <c r="N307" i="28"/>
  <c r="N308" i="28"/>
  <c r="N309" i="28"/>
  <c r="N310" i="28"/>
  <c r="N311" i="28"/>
  <c r="N312" i="28"/>
  <c r="N313" i="28"/>
  <c r="N314" i="28"/>
  <c r="N315" i="28"/>
  <c r="N316" i="28"/>
  <c r="N317" i="28"/>
  <c r="N318" i="28"/>
  <c r="N319" i="28"/>
  <c r="N320" i="28"/>
  <c r="N321" i="28"/>
  <c r="N322" i="28"/>
  <c r="N323" i="28"/>
  <c r="N324" i="28"/>
  <c r="N325" i="28"/>
  <c r="N326" i="28"/>
  <c r="N327" i="28"/>
  <c r="N328" i="28"/>
  <c r="N329" i="28"/>
  <c r="N330" i="28"/>
  <c r="N331" i="28"/>
  <c r="N332" i="28"/>
  <c r="N333" i="28"/>
  <c r="N334" i="28"/>
  <c r="N335" i="28"/>
  <c r="N336" i="28"/>
  <c r="N337" i="28"/>
  <c r="N338" i="28"/>
  <c r="N339" i="28"/>
  <c r="N340" i="28"/>
  <c r="N341" i="28"/>
  <c r="N342" i="28"/>
  <c r="N343" i="28"/>
  <c r="N344" i="28"/>
  <c r="N345" i="28"/>
  <c r="N346" i="28"/>
  <c r="N347" i="28"/>
  <c r="N348" i="28"/>
  <c r="N349" i="28"/>
  <c r="N350" i="28"/>
  <c r="N351" i="28"/>
  <c r="N352" i="28"/>
  <c r="N353" i="28"/>
  <c r="N354" i="28"/>
  <c r="N355" i="28"/>
  <c r="N356" i="28"/>
  <c r="N357" i="28"/>
  <c r="N358" i="28"/>
  <c r="N359" i="28"/>
  <c r="N360" i="28"/>
  <c r="N361" i="28"/>
  <c r="N362" i="28"/>
  <c r="N363" i="28"/>
  <c r="N364" i="28"/>
  <c r="N365" i="28"/>
  <c r="N366" i="28"/>
  <c r="N367" i="28"/>
  <c r="N368" i="28"/>
  <c r="N369" i="28"/>
  <c r="N370" i="28"/>
  <c r="N371" i="28"/>
  <c r="N372" i="28"/>
  <c r="N373" i="28"/>
  <c r="N374" i="28"/>
  <c r="N375" i="28"/>
  <c r="N376" i="28"/>
  <c r="N377" i="28"/>
  <c r="N378" i="28"/>
  <c r="N379" i="28"/>
  <c r="N380" i="28"/>
  <c r="N381" i="28"/>
  <c r="N382" i="28"/>
  <c r="N383" i="28"/>
  <c r="N384" i="28"/>
  <c r="N385" i="28"/>
  <c r="N386" i="28"/>
  <c r="N387" i="28"/>
  <c r="N388" i="28"/>
  <c r="N389" i="28"/>
  <c r="N390" i="28"/>
  <c r="N391" i="28"/>
  <c r="N392" i="28"/>
  <c r="N393" i="28"/>
  <c r="N394" i="28"/>
  <c r="N395" i="28"/>
  <c r="N396" i="28"/>
  <c r="N397" i="28"/>
  <c r="N398" i="28"/>
  <c r="N399" i="28"/>
  <c r="N400" i="28"/>
  <c r="N401" i="28"/>
  <c r="N402" i="28"/>
  <c r="N403" i="28"/>
  <c r="N404" i="28"/>
  <c r="N405" i="28"/>
  <c r="N406" i="28"/>
  <c r="N407" i="28"/>
  <c r="N408" i="28"/>
  <c r="N409" i="28"/>
  <c r="N410" i="28"/>
  <c r="N411" i="28"/>
  <c r="N412" i="28"/>
  <c r="N413" i="28"/>
  <c r="N414" i="28"/>
  <c r="N415" i="28"/>
  <c r="N416" i="28"/>
  <c r="N417" i="28"/>
  <c r="N418" i="28"/>
  <c r="N419" i="28"/>
  <c r="N420" i="28"/>
  <c r="N421" i="28"/>
  <c r="N422" i="28"/>
  <c r="N423" i="28"/>
  <c r="N424" i="28"/>
  <c r="N425" i="28"/>
  <c r="N426" i="28"/>
  <c r="N427" i="28"/>
  <c r="N428" i="28"/>
  <c r="N429" i="28"/>
  <c r="N430" i="28"/>
  <c r="N431" i="28"/>
  <c r="N432" i="28"/>
  <c r="N433" i="28"/>
  <c r="N434" i="28"/>
  <c r="N435" i="28"/>
  <c r="N436" i="28"/>
  <c r="N437" i="28"/>
  <c r="N438" i="28"/>
  <c r="N439" i="28"/>
  <c r="N440" i="28"/>
  <c r="N441" i="28"/>
  <c r="N442" i="28"/>
  <c r="N443" i="28"/>
  <c r="N444" i="28"/>
  <c r="N445" i="28"/>
  <c r="N446" i="28"/>
  <c r="N447" i="28"/>
  <c r="N448" i="28"/>
  <c r="N449" i="28"/>
  <c r="N450" i="28"/>
  <c r="N451" i="28"/>
  <c r="N452" i="28"/>
  <c r="N453" i="28"/>
  <c r="N454" i="28"/>
  <c r="N455" i="28"/>
  <c r="N456" i="28"/>
  <c r="N457" i="28"/>
  <c r="N458" i="28"/>
  <c r="N459" i="28"/>
  <c r="N460" i="28"/>
  <c r="N461" i="28"/>
  <c r="N462" i="28"/>
  <c r="N463" i="28"/>
  <c r="N464" i="28"/>
  <c r="N465" i="28"/>
  <c r="N466" i="28"/>
  <c r="N467" i="28"/>
  <c r="N468" i="28"/>
  <c r="N469" i="28"/>
  <c r="N470" i="28"/>
  <c r="N471" i="28"/>
  <c r="N472" i="28"/>
  <c r="N473" i="28"/>
  <c r="N474" i="28"/>
  <c r="N475" i="28"/>
  <c r="N476" i="28"/>
  <c r="N477" i="28"/>
  <c r="N478" i="28"/>
  <c r="N479" i="28"/>
  <c r="N480" i="28"/>
  <c r="N481" i="28"/>
  <c r="N482" i="28"/>
  <c r="N483" i="28"/>
  <c r="N484" i="28"/>
  <c r="N485" i="28"/>
  <c r="N486" i="28"/>
  <c r="N487" i="28"/>
  <c r="N488" i="28"/>
  <c r="N489" i="28"/>
  <c r="N490" i="28"/>
  <c r="N491" i="28"/>
  <c r="N492" i="28"/>
  <c r="N493" i="28"/>
  <c r="N494" i="28"/>
  <c r="N495" i="28"/>
  <c r="N496" i="28"/>
  <c r="N497" i="28"/>
  <c r="N498" i="28"/>
  <c r="N499" i="28"/>
  <c r="N500" i="28"/>
  <c r="N501" i="28"/>
  <c r="N502" i="28"/>
  <c r="N503" i="28"/>
  <c r="N504" i="28"/>
  <c r="N505" i="28"/>
  <c r="N506" i="28"/>
  <c r="N507" i="28"/>
  <c r="N508" i="28"/>
  <c r="N509" i="28"/>
  <c r="N510" i="28"/>
  <c r="N511" i="28"/>
  <c r="N512" i="28"/>
  <c r="N513" i="28"/>
  <c r="N514" i="28"/>
  <c r="N515" i="28"/>
  <c r="N516" i="28"/>
  <c r="N517" i="28"/>
  <c r="N518" i="28"/>
  <c r="N519" i="28"/>
  <c r="N520" i="28"/>
  <c r="N521" i="28"/>
  <c r="N522" i="28"/>
  <c r="N523" i="28"/>
  <c r="N524" i="28"/>
  <c r="N525" i="28"/>
  <c r="N526" i="28"/>
  <c r="N527" i="28"/>
  <c r="N528" i="28"/>
  <c r="N529" i="28"/>
  <c r="N530" i="28"/>
  <c r="N531" i="28"/>
  <c r="N532" i="28"/>
  <c r="N533" i="28"/>
  <c r="N534" i="28"/>
  <c r="N535" i="28"/>
  <c r="N536" i="28"/>
  <c r="N537" i="28"/>
  <c r="N538" i="28"/>
  <c r="N539" i="28"/>
  <c r="N540" i="28"/>
  <c r="N541" i="28"/>
  <c r="N542" i="28"/>
  <c r="N543" i="28"/>
  <c r="N544" i="28"/>
  <c r="N545" i="28"/>
  <c r="N546" i="28"/>
  <c r="N547" i="28"/>
  <c r="N548" i="28"/>
  <c r="N549" i="28"/>
  <c r="N550" i="28"/>
  <c r="N551" i="28"/>
  <c r="N552" i="28"/>
  <c r="N553" i="28"/>
  <c r="N554" i="28"/>
  <c r="N555" i="28"/>
  <c r="N556" i="28"/>
  <c r="N557" i="28"/>
  <c r="N558" i="28"/>
  <c r="N559" i="28"/>
  <c r="N560" i="28"/>
  <c r="N561" i="28"/>
  <c r="N562" i="28"/>
  <c r="N563" i="28"/>
  <c r="N564" i="28"/>
  <c r="N565" i="28"/>
  <c r="N566" i="28"/>
  <c r="N567" i="28"/>
  <c r="N568" i="28"/>
  <c r="N569" i="28"/>
  <c r="N570" i="28"/>
  <c r="N571" i="28"/>
  <c r="N572" i="28"/>
  <c r="N573" i="28"/>
  <c r="N574" i="28"/>
  <c r="N575" i="28"/>
  <c r="N576" i="28"/>
  <c r="N577" i="28"/>
  <c r="N578" i="28"/>
  <c r="N579" i="28"/>
  <c r="N580" i="28"/>
  <c r="N581" i="28"/>
  <c r="N582" i="28"/>
  <c r="N583" i="28"/>
  <c r="N584" i="28"/>
  <c r="N585" i="28"/>
  <c r="N586" i="28"/>
  <c r="N587" i="28"/>
  <c r="N588" i="28"/>
  <c r="N589" i="28"/>
  <c r="N590" i="28"/>
  <c r="N591" i="28"/>
  <c r="N592" i="28"/>
  <c r="N593" i="28"/>
  <c r="N594" i="28"/>
  <c r="N595" i="28"/>
  <c r="N596" i="28"/>
  <c r="N597" i="28"/>
  <c r="N598" i="28"/>
  <c r="N599" i="28"/>
  <c r="N600" i="28"/>
  <c r="N601" i="28"/>
  <c r="N602" i="28"/>
  <c r="N603" i="28"/>
  <c r="N604" i="28"/>
  <c r="N605" i="28"/>
  <c r="N606" i="28"/>
  <c r="N607" i="28"/>
  <c r="N608" i="28"/>
  <c r="N609" i="28"/>
  <c r="N610" i="28"/>
  <c r="N611" i="28"/>
  <c r="N612" i="28"/>
  <c r="N613" i="28"/>
  <c r="N614" i="28"/>
  <c r="N615" i="28"/>
  <c r="N616" i="28"/>
  <c r="N617" i="28"/>
  <c r="N618" i="28"/>
  <c r="N619" i="28"/>
  <c r="N620" i="28"/>
  <c r="N621" i="28"/>
  <c r="N622" i="28"/>
  <c r="N623" i="28"/>
  <c r="N624" i="28"/>
  <c r="N625" i="28"/>
  <c r="N626" i="28"/>
  <c r="N627" i="28"/>
  <c r="N628" i="28"/>
  <c r="N629" i="28"/>
  <c r="N630" i="28"/>
  <c r="N631" i="28"/>
  <c r="N632" i="28"/>
  <c r="N633" i="28"/>
  <c r="N634" i="28"/>
  <c r="N635" i="28"/>
  <c r="N636" i="28"/>
  <c r="N637" i="28"/>
  <c r="N638" i="28"/>
  <c r="N639" i="28"/>
  <c r="N640" i="28"/>
  <c r="N641" i="28"/>
  <c r="N642" i="28"/>
  <c r="N643" i="28"/>
  <c r="N644" i="28"/>
  <c r="N645" i="28"/>
  <c r="N646" i="28"/>
  <c r="N647" i="28"/>
  <c r="N648" i="28"/>
  <c r="N649" i="28"/>
  <c r="N650" i="28"/>
  <c r="N651" i="28"/>
  <c r="N652" i="28"/>
  <c r="N653" i="28"/>
  <c r="N654" i="28"/>
  <c r="N655" i="28"/>
  <c r="N656" i="28"/>
  <c r="N657" i="28"/>
  <c r="N658" i="28"/>
  <c r="N659" i="28"/>
  <c r="N660" i="28"/>
  <c r="N661" i="28"/>
  <c r="N662" i="28"/>
  <c r="N663" i="28"/>
  <c r="N664" i="28"/>
  <c r="N665" i="28"/>
  <c r="N666" i="28"/>
  <c r="N667" i="28"/>
  <c r="N668" i="28"/>
  <c r="N669" i="28"/>
  <c r="N670" i="28"/>
  <c r="N671" i="28"/>
  <c r="N672" i="28"/>
  <c r="N673" i="28"/>
  <c r="N674" i="28"/>
  <c r="N675" i="28"/>
  <c r="N676" i="28"/>
  <c r="N677" i="28"/>
  <c r="N678" i="28"/>
  <c r="N679" i="28"/>
  <c r="N680" i="28"/>
  <c r="N681" i="28"/>
  <c r="N682" i="28"/>
  <c r="N683" i="28"/>
  <c r="N684" i="28"/>
  <c r="N685" i="28"/>
  <c r="N686" i="28"/>
  <c r="N687" i="28"/>
  <c r="N688" i="28"/>
  <c r="N689" i="28"/>
  <c r="N690" i="28"/>
  <c r="N691" i="28"/>
  <c r="N692" i="28"/>
  <c r="N693" i="28"/>
  <c r="N694" i="28"/>
  <c r="N695" i="28"/>
  <c r="N696" i="28"/>
  <c r="N697" i="28"/>
  <c r="N698" i="28"/>
  <c r="N699" i="28"/>
  <c r="N700" i="28"/>
  <c r="N701" i="28"/>
  <c r="N702" i="28"/>
  <c r="N703" i="28"/>
  <c r="N704" i="28"/>
  <c r="N705" i="28"/>
  <c r="N706" i="28"/>
  <c r="N707" i="28"/>
  <c r="N708" i="28"/>
  <c r="N709" i="28"/>
  <c r="N710" i="28"/>
  <c r="N711" i="28"/>
  <c r="N712" i="28"/>
  <c r="N713" i="28"/>
  <c r="N714" i="28"/>
  <c r="N715" i="28"/>
  <c r="N716" i="28"/>
  <c r="N717" i="28"/>
  <c r="N718" i="28"/>
  <c r="N719" i="28"/>
  <c r="N720" i="28"/>
  <c r="N721" i="28"/>
  <c r="N722" i="28"/>
  <c r="N723" i="28"/>
  <c r="N724" i="28"/>
  <c r="N725" i="28"/>
  <c r="N726" i="28"/>
  <c r="N727" i="28"/>
  <c r="N728" i="28"/>
  <c r="N729" i="28"/>
  <c r="N730" i="28"/>
  <c r="N731" i="28"/>
  <c r="N732" i="28"/>
  <c r="N733" i="28"/>
  <c r="N734" i="28"/>
  <c r="N735" i="28"/>
  <c r="N736" i="28"/>
  <c r="N737" i="28"/>
  <c r="N738" i="28"/>
  <c r="N739" i="28"/>
  <c r="N740" i="28"/>
  <c r="N741" i="28"/>
  <c r="N742" i="28"/>
  <c r="N743" i="28"/>
  <c r="N744" i="28"/>
  <c r="N745" i="28"/>
  <c r="N746" i="28"/>
  <c r="N747" i="28"/>
  <c r="N748" i="28"/>
  <c r="N749" i="28"/>
  <c r="N750" i="28"/>
  <c r="N751" i="28"/>
  <c r="N752" i="28"/>
  <c r="N753" i="28"/>
  <c r="N754" i="28"/>
  <c r="N755" i="28"/>
  <c r="N756" i="28"/>
  <c r="N757" i="28"/>
  <c r="N758" i="28"/>
  <c r="N759" i="28"/>
  <c r="N760" i="28"/>
  <c r="N761" i="28"/>
  <c r="N762" i="28"/>
  <c r="N763" i="28"/>
  <c r="N764" i="28"/>
  <c r="N765" i="28"/>
  <c r="N766" i="28"/>
  <c r="N767" i="28"/>
  <c r="N768" i="28"/>
  <c r="N769" i="28"/>
  <c r="N770" i="28"/>
  <c r="N771" i="28"/>
  <c r="N772" i="28"/>
  <c r="N773" i="28"/>
  <c r="N774" i="28"/>
  <c r="N775" i="28"/>
  <c r="N776" i="28"/>
  <c r="N777" i="28"/>
  <c r="N778" i="28"/>
  <c r="N779" i="28"/>
  <c r="N780" i="28"/>
  <c r="N781" i="28"/>
  <c r="N782" i="28"/>
  <c r="N783" i="28"/>
  <c r="N784" i="28"/>
  <c r="N785" i="28"/>
  <c r="N786" i="28"/>
  <c r="N787" i="28"/>
  <c r="N788" i="28"/>
  <c r="N789" i="28"/>
  <c r="N790" i="28"/>
  <c r="N791" i="28"/>
  <c r="N792" i="28"/>
  <c r="N793" i="28"/>
  <c r="N794" i="28"/>
  <c r="N795" i="28"/>
  <c r="N796" i="28"/>
  <c r="N797" i="28"/>
  <c r="N798" i="28"/>
  <c r="N799" i="28"/>
  <c r="N800" i="28"/>
  <c r="N801" i="28"/>
  <c r="N802" i="28"/>
  <c r="N803" i="28"/>
  <c r="N804" i="28"/>
  <c r="N805" i="28"/>
  <c r="N806" i="28"/>
  <c r="N807" i="28"/>
  <c r="N808" i="28"/>
  <c r="N809" i="28"/>
  <c r="N810" i="28"/>
  <c r="N811" i="28"/>
  <c r="N812" i="28"/>
  <c r="N813" i="28"/>
  <c r="N814" i="28"/>
  <c r="N815" i="28"/>
  <c r="N816" i="28"/>
  <c r="N817" i="28"/>
  <c r="N818" i="28"/>
  <c r="N819" i="28"/>
  <c r="N820" i="28"/>
  <c r="N821" i="28"/>
  <c r="N822" i="28"/>
  <c r="N823" i="28"/>
  <c r="N824" i="28"/>
  <c r="N825" i="28"/>
  <c r="N826" i="28"/>
  <c r="N827" i="28"/>
  <c r="N828" i="28"/>
  <c r="N829" i="28"/>
  <c r="N830" i="28"/>
  <c r="N831" i="28"/>
  <c r="N832" i="28"/>
  <c r="N833" i="28"/>
  <c r="N834" i="28"/>
  <c r="N835" i="28"/>
  <c r="N836" i="28"/>
  <c r="N837" i="28"/>
  <c r="N838" i="28"/>
  <c r="N839" i="28"/>
  <c r="N840" i="28"/>
  <c r="N841" i="28"/>
  <c r="N842" i="28"/>
  <c r="N843" i="28"/>
  <c r="N844" i="28"/>
  <c r="N845" i="28"/>
  <c r="N846" i="28"/>
  <c r="N847" i="28"/>
  <c r="N848" i="28"/>
  <c r="N849" i="28"/>
  <c r="N850" i="28"/>
  <c r="N851" i="28"/>
  <c r="N852" i="28"/>
  <c r="N853" i="28"/>
  <c r="N854" i="28"/>
  <c r="N855" i="28"/>
  <c r="N856" i="28"/>
  <c r="N857" i="28"/>
  <c r="N858" i="28"/>
  <c r="N859" i="28"/>
  <c r="N860" i="28"/>
  <c r="N861" i="28"/>
  <c r="N862" i="28"/>
  <c r="N863" i="28"/>
  <c r="N864" i="28"/>
  <c r="N865" i="28"/>
  <c r="N866" i="28"/>
  <c r="N867" i="28"/>
  <c r="N868" i="28"/>
  <c r="N869" i="28"/>
  <c r="N870" i="28"/>
  <c r="N871" i="28"/>
  <c r="N872" i="28"/>
  <c r="N873" i="28"/>
  <c r="N874" i="28"/>
  <c r="N875" i="28"/>
  <c r="N876" i="28"/>
  <c r="N877" i="28"/>
  <c r="N878" i="28"/>
  <c r="N879" i="28"/>
  <c r="N880" i="28"/>
  <c r="N881" i="28"/>
  <c r="N882" i="28"/>
  <c r="N883" i="28"/>
  <c r="N884" i="28"/>
  <c r="N885" i="28"/>
  <c r="N886" i="28"/>
  <c r="N887" i="28"/>
  <c r="N888" i="28"/>
  <c r="N889" i="28"/>
  <c r="N890" i="28"/>
  <c r="N891" i="28"/>
  <c r="N892" i="28"/>
  <c r="N893" i="28"/>
  <c r="N894" i="28"/>
  <c r="N895" i="28"/>
  <c r="N896" i="28"/>
  <c r="N897" i="28"/>
  <c r="N898" i="28"/>
  <c r="N899" i="28"/>
  <c r="N900" i="28"/>
  <c r="N901" i="28"/>
  <c r="N902" i="28"/>
  <c r="N903" i="28"/>
  <c r="N904" i="28"/>
  <c r="N905" i="28"/>
  <c r="N906" i="28"/>
  <c r="N907" i="28"/>
  <c r="N908" i="28"/>
  <c r="N909" i="28"/>
  <c r="N910" i="28"/>
  <c r="N911" i="28"/>
  <c r="N912" i="28"/>
  <c r="N913" i="28"/>
  <c r="N914" i="28"/>
  <c r="N915" i="28"/>
  <c r="N916" i="28"/>
  <c r="N917" i="28"/>
  <c r="N918" i="28"/>
  <c r="N919" i="28"/>
  <c r="N920" i="28"/>
  <c r="N921" i="28"/>
  <c r="N922" i="28"/>
  <c r="N923" i="28"/>
  <c r="N924" i="28"/>
  <c r="N925" i="28"/>
  <c r="N926" i="28"/>
  <c r="N927" i="28"/>
  <c r="N928" i="28"/>
  <c r="N929" i="28"/>
  <c r="N930" i="28"/>
  <c r="N931" i="28"/>
  <c r="N932" i="28"/>
  <c r="N933" i="28"/>
  <c r="N934" i="28"/>
  <c r="N935" i="28"/>
  <c r="N936" i="28"/>
  <c r="N937" i="28"/>
  <c r="N938" i="28"/>
  <c r="N939" i="28"/>
  <c r="N940" i="28"/>
  <c r="N941" i="28"/>
  <c r="N942" i="28"/>
  <c r="N943" i="28"/>
  <c r="N944" i="28"/>
  <c r="N945" i="28"/>
  <c r="N946" i="28"/>
  <c r="N947" i="28"/>
  <c r="N948" i="28"/>
  <c r="N949" i="28"/>
  <c r="N950" i="28"/>
  <c r="N951" i="28"/>
  <c r="N952" i="28"/>
  <c r="N953" i="28"/>
  <c r="N954" i="28"/>
  <c r="N955" i="28"/>
  <c r="N956" i="28"/>
  <c r="N957" i="28"/>
  <c r="N958" i="28"/>
  <c r="N959" i="28"/>
  <c r="N960" i="28"/>
  <c r="N961" i="28"/>
  <c r="N962" i="28"/>
  <c r="N963" i="28"/>
  <c r="N964" i="28"/>
  <c r="N965" i="28"/>
  <c r="N966" i="28"/>
  <c r="N967" i="28"/>
  <c r="N968" i="28"/>
  <c r="N969" i="28"/>
  <c r="N970" i="28"/>
  <c r="N971" i="28"/>
  <c r="N972" i="28"/>
  <c r="N973" i="28"/>
  <c r="N974" i="28"/>
  <c r="N975" i="28"/>
  <c r="N976" i="28"/>
  <c r="N977" i="28"/>
  <c r="N978" i="28"/>
  <c r="N979" i="28"/>
  <c r="N980" i="28"/>
  <c r="N981" i="28"/>
  <c r="N982" i="28"/>
  <c r="N983" i="28"/>
  <c r="N984" i="28"/>
  <c r="N985" i="28"/>
  <c r="N986" i="28"/>
  <c r="N987" i="28"/>
  <c r="N988" i="28"/>
  <c r="N989" i="28"/>
  <c r="N990" i="28"/>
  <c r="N991" i="28"/>
  <c r="N992" i="28"/>
  <c r="N993" i="28"/>
  <c r="N994" i="28"/>
  <c r="N995" i="28"/>
  <c r="N996" i="28"/>
  <c r="N997" i="28"/>
  <c r="N998" i="28"/>
  <c r="N999" i="28"/>
  <c r="N1000" i="28"/>
  <c r="N1001" i="28"/>
  <c r="N1002" i="28"/>
  <c r="N1003" i="28"/>
  <c r="N1004" i="28"/>
  <c r="N1005" i="28"/>
  <c r="N1006" i="28"/>
  <c r="N1007" i="28"/>
  <c r="N1008" i="28"/>
  <c r="N1009" i="28"/>
  <c r="N1010" i="28"/>
  <c r="N1011" i="28"/>
  <c r="N1012" i="28"/>
  <c r="N1013" i="28"/>
  <c r="N1014" i="28"/>
  <c r="N1015" i="28"/>
  <c r="N1016" i="28"/>
  <c r="N1017" i="28"/>
  <c r="N1018" i="28"/>
  <c r="N1019" i="28"/>
  <c r="N1020" i="28"/>
  <c r="N1021" i="28"/>
  <c r="N1022" i="28"/>
  <c r="N1023" i="28"/>
  <c r="N1024" i="28"/>
  <c r="N1025" i="28"/>
  <c r="N1026" i="28"/>
  <c r="N1027" i="28"/>
  <c r="N1028" i="28"/>
  <c r="N1029" i="28"/>
  <c r="N1030" i="28"/>
  <c r="N1031" i="28"/>
  <c r="N1032" i="28"/>
  <c r="N1033" i="28"/>
  <c r="N1034" i="28"/>
  <c r="N1035" i="28"/>
  <c r="N1036" i="28"/>
  <c r="N1037" i="28"/>
  <c r="N1038" i="28"/>
  <c r="N1039" i="28"/>
  <c r="N1040" i="28"/>
  <c r="N1041" i="28"/>
  <c r="N1042" i="28"/>
  <c r="N1043" i="28"/>
  <c r="N1044" i="28"/>
  <c r="N1045" i="28"/>
  <c r="N1046" i="28"/>
  <c r="N1047" i="28"/>
  <c r="N1048" i="28"/>
  <c r="N1049" i="28"/>
  <c r="N1050" i="28"/>
  <c r="N1051" i="28"/>
  <c r="N1052" i="28"/>
  <c r="N1053" i="28"/>
  <c r="N1054" i="28"/>
  <c r="N1055" i="28"/>
  <c r="N1056" i="28"/>
  <c r="N1057" i="28"/>
  <c r="N1058" i="28"/>
  <c r="N1059" i="28"/>
  <c r="N1060" i="28"/>
  <c r="N1061" i="28"/>
  <c r="N1062" i="28"/>
  <c r="N1063" i="28"/>
  <c r="N1064" i="28"/>
  <c r="N1065" i="28"/>
  <c r="N1066" i="28"/>
  <c r="N1067" i="28"/>
  <c r="N1068" i="28"/>
  <c r="N1069" i="28"/>
  <c r="N1070" i="28"/>
  <c r="N1071" i="28"/>
  <c r="N1072" i="28"/>
  <c r="N1073" i="28"/>
  <c r="N1074" i="28"/>
  <c r="N1075" i="28"/>
  <c r="N1076" i="28"/>
  <c r="N1077" i="28"/>
  <c r="N1078" i="28"/>
  <c r="N1079" i="28"/>
  <c r="N1080" i="28"/>
  <c r="N1081" i="28"/>
  <c r="N1082" i="28"/>
  <c r="N1083" i="28"/>
  <c r="N1084" i="28"/>
  <c r="N1085" i="28"/>
  <c r="N1086" i="28"/>
  <c r="N1087" i="28"/>
  <c r="N1088" i="28"/>
  <c r="N1089" i="28"/>
  <c r="N1090" i="28"/>
  <c r="N1091" i="28"/>
  <c r="N1092" i="28"/>
  <c r="N1093" i="28"/>
  <c r="N1094" i="28"/>
  <c r="N1095" i="28"/>
  <c r="N1096" i="28"/>
  <c r="N1097" i="28"/>
  <c r="N1098" i="28"/>
  <c r="N1099" i="28"/>
  <c r="N1100" i="28"/>
  <c r="N1101" i="28"/>
  <c r="N1102" i="28"/>
  <c r="N1103" i="28"/>
  <c r="N1104" i="28"/>
  <c r="N1105" i="28"/>
  <c r="N1106" i="28"/>
  <c r="N1107" i="28"/>
  <c r="N1108" i="28"/>
  <c r="N1109" i="28"/>
  <c r="N1110" i="28"/>
  <c r="N1111" i="28"/>
  <c r="N1112" i="28"/>
  <c r="N1113" i="28"/>
  <c r="N1114" i="28"/>
  <c r="N1115" i="28"/>
  <c r="N1116" i="28"/>
  <c r="N1117" i="28"/>
  <c r="N1118" i="28"/>
  <c r="N1119" i="28"/>
  <c r="N1120" i="28"/>
  <c r="N1121" i="28"/>
  <c r="N1122" i="28"/>
  <c r="N1123" i="28"/>
  <c r="N1124" i="28"/>
  <c r="N1125" i="28"/>
  <c r="N1126" i="28"/>
  <c r="N1127" i="28"/>
  <c r="N1128" i="28"/>
  <c r="N1129" i="28"/>
  <c r="N1130" i="28"/>
  <c r="N1131" i="28"/>
  <c r="N1132" i="28"/>
  <c r="N1133" i="28"/>
  <c r="N1134" i="28"/>
  <c r="N1135" i="28"/>
  <c r="N1136" i="28"/>
  <c r="N1137" i="28"/>
  <c r="N1138" i="28"/>
  <c r="N1139" i="28"/>
  <c r="N1140" i="28"/>
  <c r="N1141" i="28"/>
  <c r="N1142" i="28"/>
  <c r="N1143" i="28"/>
  <c r="N1144" i="28"/>
  <c r="N1145" i="28"/>
  <c r="N1146" i="28"/>
  <c r="N1147" i="28"/>
  <c r="N1148" i="28"/>
  <c r="N1149" i="28"/>
  <c r="N1150" i="28"/>
  <c r="N1151" i="28"/>
  <c r="N1152" i="28"/>
  <c r="N1153" i="28"/>
  <c r="N1154" i="28"/>
  <c r="N1155" i="28"/>
  <c r="N1156" i="28"/>
  <c r="N1157" i="28"/>
  <c r="N1158" i="28"/>
  <c r="N1159" i="28"/>
  <c r="N1160" i="28"/>
  <c r="N1161" i="28"/>
  <c r="N1162" i="28"/>
  <c r="N1163" i="28"/>
  <c r="N1164" i="28"/>
  <c r="N1165" i="28"/>
  <c r="N1166" i="28"/>
  <c r="N1167" i="28"/>
  <c r="N1168" i="28"/>
  <c r="N1169" i="28"/>
  <c r="N1170" i="28"/>
  <c r="N1171" i="28"/>
  <c r="N1172" i="28"/>
  <c r="N1173" i="28"/>
  <c r="N1174" i="28"/>
  <c r="N1175" i="28"/>
  <c r="N1176" i="28"/>
  <c r="N1177" i="28"/>
  <c r="N1178" i="28"/>
  <c r="N1179" i="28"/>
  <c r="N1180" i="28"/>
  <c r="N1181" i="28"/>
  <c r="N1182" i="28"/>
  <c r="N1183" i="28"/>
  <c r="N1184" i="28"/>
  <c r="N1185" i="28"/>
  <c r="N1186" i="28"/>
  <c r="N1187" i="28"/>
  <c r="N1188" i="28"/>
  <c r="N1189" i="28"/>
  <c r="N1190" i="28"/>
  <c r="N1191" i="28"/>
  <c r="N1192" i="28"/>
  <c r="N1193" i="28"/>
  <c r="N1194" i="28"/>
  <c r="N1195" i="28"/>
  <c r="N1196" i="28"/>
  <c r="N1197" i="28"/>
  <c r="N1198" i="28"/>
  <c r="N1199" i="28"/>
  <c r="N1200" i="28"/>
  <c r="N1201" i="28"/>
  <c r="N1202" i="28"/>
  <c r="N1203" i="28"/>
  <c r="N1204" i="28"/>
  <c r="N1205" i="28"/>
  <c r="N1206" i="28"/>
  <c r="N1207" i="28"/>
  <c r="N1208" i="28"/>
  <c r="N1209" i="28"/>
  <c r="N1210" i="28"/>
  <c r="N1211" i="28"/>
  <c r="N1212" i="28"/>
  <c r="N1213" i="28"/>
  <c r="N1214" i="28"/>
  <c r="N1215" i="28"/>
  <c r="N1216" i="28"/>
  <c r="N1217" i="28"/>
  <c r="N1218" i="28"/>
  <c r="N1219" i="28"/>
  <c r="N1220" i="28"/>
  <c r="N1221" i="28"/>
  <c r="N1222" i="28"/>
  <c r="N1223" i="28"/>
  <c r="N1224" i="28"/>
  <c r="N1225" i="28"/>
  <c r="N1226" i="28"/>
  <c r="N1227" i="28"/>
  <c r="N1228" i="28"/>
  <c r="N1229" i="28"/>
  <c r="N1230" i="28"/>
  <c r="N1231" i="28"/>
  <c r="N1232" i="28"/>
  <c r="N1233" i="28"/>
  <c r="N1234" i="28"/>
  <c r="N1235" i="28"/>
  <c r="N1236" i="28"/>
  <c r="N1237" i="28"/>
  <c r="N1238" i="28"/>
  <c r="N1239" i="28"/>
  <c r="N1240" i="28"/>
  <c r="N1241" i="28"/>
  <c r="N1242" i="28"/>
  <c r="N1243" i="28"/>
  <c r="N1244" i="28"/>
  <c r="N1245" i="28"/>
  <c r="N1246" i="28"/>
  <c r="N1247" i="28"/>
  <c r="N1248" i="28"/>
  <c r="N1249" i="28"/>
  <c r="N1250" i="28"/>
  <c r="N1251" i="28"/>
  <c r="N1252" i="28"/>
  <c r="N1253" i="28"/>
  <c r="N1254" i="28"/>
  <c r="N1255" i="28"/>
  <c r="N1256" i="28"/>
  <c r="N1257" i="28"/>
  <c r="N1258" i="28"/>
  <c r="N1259" i="28"/>
  <c r="N1260" i="28"/>
  <c r="N1261" i="28"/>
  <c r="N1262" i="28"/>
  <c r="N1263" i="28"/>
  <c r="N1264" i="28"/>
  <c r="N1265" i="28"/>
  <c r="N1266" i="28"/>
  <c r="N1267" i="28"/>
  <c r="N1268" i="28"/>
  <c r="N1269" i="28"/>
  <c r="N1270" i="28"/>
  <c r="N1271" i="28"/>
  <c r="N1272" i="28"/>
  <c r="N1273" i="28"/>
  <c r="N1274" i="28"/>
  <c r="N1275" i="28"/>
  <c r="N1276" i="28"/>
  <c r="N1277" i="28"/>
  <c r="N1278" i="28"/>
  <c r="N1279" i="28"/>
  <c r="N1280" i="28"/>
  <c r="N1281" i="28"/>
  <c r="N1282" i="28"/>
  <c r="N1283" i="28"/>
  <c r="N1284" i="28"/>
  <c r="N1285" i="28"/>
  <c r="N1286" i="28"/>
  <c r="N1287" i="28"/>
  <c r="N1288" i="28"/>
  <c r="N1289" i="28"/>
  <c r="N1290" i="28"/>
  <c r="N1291" i="28"/>
  <c r="N1292" i="28"/>
  <c r="N1293" i="28"/>
  <c r="N1294" i="28"/>
  <c r="N1295" i="28"/>
  <c r="N1296" i="28"/>
  <c r="N1297" i="28"/>
  <c r="N1298" i="28"/>
  <c r="N1299" i="28"/>
  <c r="N1300" i="28"/>
  <c r="N1301" i="28"/>
  <c r="N1302" i="28"/>
  <c r="N1303" i="28"/>
  <c r="N1304" i="28"/>
  <c r="N1305" i="28"/>
  <c r="N1306" i="28"/>
  <c r="N1307" i="28"/>
  <c r="N1308" i="28"/>
  <c r="N1309" i="28"/>
  <c r="N1310" i="28"/>
  <c r="N1311" i="28"/>
  <c r="N1312" i="28"/>
  <c r="N1313" i="28"/>
  <c r="N1314" i="28"/>
  <c r="N1315" i="28"/>
  <c r="N1316" i="28"/>
  <c r="N1317" i="28"/>
  <c r="N1318" i="28"/>
  <c r="N1319" i="28"/>
  <c r="N1320" i="28"/>
  <c r="N1321" i="28"/>
  <c r="N1322" i="28"/>
  <c r="N1323" i="28"/>
  <c r="N1324" i="28"/>
  <c r="N1325" i="28"/>
  <c r="N1326" i="28"/>
  <c r="N1327" i="28"/>
  <c r="N1328" i="28"/>
  <c r="N1329" i="28"/>
  <c r="N1330" i="28"/>
  <c r="N1331" i="28"/>
  <c r="N1332" i="28"/>
  <c r="N1333" i="28"/>
  <c r="N1334" i="28"/>
  <c r="N1335" i="28"/>
  <c r="N1336" i="28"/>
  <c r="N1337" i="28"/>
  <c r="N1338" i="28"/>
  <c r="N1339" i="28"/>
  <c r="N1340" i="28"/>
  <c r="N1341" i="28"/>
  <c r="N1342" i="28"/>
  <c r="N1343" i="28"/>
  <c r="N1344" i="28"/>
  <c r="N1345" i="28"/>
  <c r="N1346" i="28"/>
  <c r="N1347" i="28"/>
  <c r="N1348" i="28"/>
  <c r="N1349" i="28"/>
  <c r="N1350" i="28"/>
  <c r="N1351" i="28"/>
  <c r="N1352" i="28"/>
  <c r="N1353" i="28"/>
  <c r="N1354" i="28"/>
  <c r="N1355" i="28"/>
  <c r="N1356" i="28"/>
  <c r="N1357" i="28"/>
  <c r="N1358" i="28"/>
  <c r="N1359" i="28"/>
  <c r="N1360" i="28"/>
  <c r="N1361" i="28"/>
  <c r="N1362" i="28"/>
  <c r="N1363" i="28"/>
  <c r="N1364" i="28"/>
  <c r="N1365" i="28"/>
  <c r="N1366" i="28"/>
  <c r="N1367" i="28"/>
  <c r="N1368" i="28"/>
  <c r="N1369" i="28"/>
  <c r="N1370" i="28"/>
  <c r="N1371" i="28"/>
  <c r="N1372" i="28"/>
  <c r="N1373" i="28"/>
  <c r="N1374" i="28"/>
  <c r="N1375" i="28"/>
  <c r="N1376" i="28"/>
  <c r="N1377" i="28"/>
  <c r="N1378" i="28"/>
  <c r="N1379" i="28"/>
  <c r="N1380" i="28"/>
  <c r="N1381" i="28"/>
  <c r="N1382" i="28"/>
  <c r="N1383" i="28"/>
  <c r="N1384" i="28"/>
  <c r="N1385" i="28"/>
  <c r="N1386" i="28"/>
  <c r="N1387" i="28"/>
  <c r="N1388" i="28"/>
  <c r="N1389" i="28"/>
  <c r="N1390" i="28"/>
  <c r="N1391" i="28"/>
  <c r="N1392" i="28"/>
  <c r="N1393" i="28"/>
  <c r="N1394" i="28"/>
  <c r="N1395" i="28"/>
  <c r="N1396" i="28"/>
  <c r="N1397" i="28"/>
  <c r="N1398" i="28"/>
  <c r="N1399" i="28"/>
  <c r="N1400" i="28"/>
  <c r="N1401" i="28"/>
  <c r="N1402" i="28"/>
  <c r="N1403" i="28"/>
  <c r="N1404" i="28"/>
  <c r="N1405" i="28"/>
  <c r="N1406" i="28"/>
  <c r="N1407" i="28"/>
  <c r="N1408" i="28"/>
  <c r="N1409" i="28"/>
  <c r="N1410" i="28"/>
  <c r="N1411" i="28"/>
  <c r="N1412" i="28"/>
  <c r="N1413" i="28"/>
  <c r="N1414" i="28"/>
  <c r="N1415" i="28"/>
  <c r="N1416" i="28"/>
  <c r="N1417" i="28"/>
  <c r="N1418" i="28"/>
  <c r="N1419" i="28"/>
  <c r="N1420" i="28"/>
  <c r="N1421" i="28"/>
  <c r="N1422" i="28"/>
  <c r="N1423" i="28"/>
  <c r="N1424" i="28"/>
  <c r="N1425" i="28"/>
  <c r="N1426" i="28"/>
  <c r="N1427" i="28"/>
  <c r="N1428" i="28"/>
  <c r="N1429" i="28"/>
  <c r="N1430" i="28"/>
  <c r="N1431" i="28"/>
  <c r="N1432" i="28"/>
  <c r="N1433" i="28"/>
  <c r="N1434" i="28"/>
  <c r="N1435" i="28"/>
  <c r="N1436" i="28"/>
  <c r="N1437" i="28"/>
  <c r="N1438" i="28"/>
  <c r="N1439" i="28"/>
  <c r="N1440" i="28"/>
  <c r="N1441" i="28"/>
  <c r="N1442" i="28"/>
  <c r="N1443" i="28"/>
  <c r="N1444" i="28"/>
  <c r="N1445" i="28"/>
  <c r="N1446" i="28"/>
  <c r="N1447" i="28"/>
  <c r="N1448" i="28"/>
  <c r="N1449" i="28"/>
  <c r="N1450" i="28"/>
  <c r="N1451" i="28"/>
  <c r="N1452" i="28"/>
  <c r="N1453" i="28"/>
  <c r="N1454" i="28"/>
  <c r="N1455" i="28"/>
  <c r="N1456" i="28"/>
  <c r="N1457" i="28"/>
  <c r="N1458" i="28"/>
  <c r="N1459" i="28"/>
  <c r="N1460" i="28"/>
  <c r="N1461" i="28"/>
  <c r="N1462" i="28"/>
  <c r="N1463" i="28"/>
  <c r="N1464" i="28"/>
  <c r="N1465" i="28"/>
  <c r="N1466" i="28"/>
  <c r="N1467" i="28"/>
  <c r="N1468" i="28"/>
  <c r="N1469" i="28"/>
  <c r="N1470" i="28"/>
  <c r="N1471" i="28"/>
  <c r="N1472" i="28"/>
  <c r="N1473" i="28"/>
  <c r="N1474" i="28"/>
  <c r="N1475" i="28"/>
  <c r="N1476" i="28"/>
  <c r="N1477" i="28"/>
  <c r="N1478" i="28"/>
  <c r="N1479" i="28"/>
  <c r="N1480" i="28"/>
  <c r="N1481" i="28"/>
  <c r="N1482" i="28"/>
  <c r="N1483" i="28"/>
  <c r="N1484" i="28"/>
  <c r="N1485" i="28"/>
  <c r="N1486" i="28"/>
  <c r="N1487" i="28"/>
  <c r="N1488" i="28"/>
  <c r="N1489" i="28"/>
  <c r="N1490" i="28"/>
  <c r="N1491" i="28"/>
  <c r="N1492" i="28"/>
  <c r="N1493" i="28"/>
  <c r="N1494" i="28"/>
  <c r="N1495" i="28"/>
  <c r="N1496" i="28"/>
  <c r="N1497" i="28"/>
  <c r="N1498" i="28"/>
  <c r="N1499" i="28"/>
  <c r="N1500" i="28"/>
  <c r="N1501" i="28"/>
  <c r="N1502" i="28"/>
  <c r="N1503" i="28"/>
  <c r="N1504" i="28"/>
  <c r="N1505" i="28"/>
  <c r="N1506" i="28"/>
  <c r="J6007" i="28"/>
  <c r="K6007" i="28" s="1"/>
  <c r="J6008" i="28"/>
  <c r="K6008" i="28" s="1"/>
  <c r="J6009" i="28"/>
  <c r="K6009" i="28" s="1"/>
  <c r="J6010" i="28"/>
  <c r="K6010" i="28" s="1"/>
  <c r="J6011" i="28"/>
  <c r="K6011" i="28" s="1"/>
  <c r="J6012" i="28"/>
  <c r="K6012" i="28" s="1"/>
  <c r="J6013" i="28"/>
  <c r="K6013" i="28" s="1"/>
  <c r="J6014" i="28"/>
  <c r="K6014" i="28" s="1"/>
  <c r="J6015" i="28"/>
  <c r="K6015" i="28" s="1"/>
  <c r="J6016" i="28"/>
  <c r="K6016" i="28" s="1"/>
  <c r="J6017" i="28"/>
  <c r="K6017" i="28" s="1"/>
  <c r="J6018" i="28"/>
  <c r="K6018" i="28" s="1"/>
  <c r="J6019" i="28"/>
  <c r="K6019" i="28" s="1"/>
  <c r="J6020" i="28"/>
  <c r="K6020" i="28" s="1"/>
  <c r="J6021" i="28"/>
  <c r="K6021" i="28" s="1"/>
  <c r="J6022" i="28"/>
  <c r="K6022" i="28" s="1"/>
  <c r="J6023" i="28"/>
  <c r="K6023" i="28" s="1"/>
  <c r="J6024" i="28"/>
  <c r="K6024" i="28" s="1"/>
  <c r="J6025" i="28"/>
  <c r="K6025" i="28" s="1"/>
  <c r="J6026" i="28"/>
  <c r="K6026" i="28" s="1"/>
  <c r="J6027" i="28"/>
  <c r="K6027" i="28" s="1"/>
  <c r="J6028" i="28"/>
  <c r="K6028" i="28" s="1"/>
  <c r="J6029" i="28"/>
  <c r="K6029" i="28" s="1"/>
  <c r="J6030" i="28"/>
  <c r="K6030" i="28" s="1"/>
  <c r="J6031" i="28"/>
  <c r="K6031" i="28" s="1"/>
  <c r="J6032" i="28"/>
  <c r="K6032" i="28" s="1"/>
  <c r="J6033" i="28"/>
  <c r="K6033" i="28" s="1"/>
  <c r="J6034" i="28"/>
  <c r="K6034" i="28" s="1"/>
  <c r="J6035" i="28"/>
  <c r="K6035" i="28" s="1"/>
  <c r="J6036" i="28"/>
  <c r="K6036" i="28" s="1"/>
  <c r="J6037" i="28"/>
  <c r="K6037" i="28" s="1"/>
  <c r="J6038" i="28"/>
  <c r="K6038" i="28" s="1"/>
  <c r="J6039" i="28"/>
  <c r="K6039" i="28" s="1"/>
  <c r="J6040" i="28"/>
  <c r="K6040" i="28" s="1"/>
  <c r="J6041" i="28"/>
  <c r="K6041" i="28" s="1"/>
  <c r="J6042" i="28"/>
  <c r="K6042" i="28" s="1"/>
  <c r="J6043" i="28"/>
  <c r="K6043" i="28" s="1"/>
  <c r="J6044" i="28"/>
  <c r="K6044" i="28" s="1"/>
  <c r="J6045" i="28"/>
  <c r="K6045" i="28" s="1"/>
  <c r="J6046" i="28"/>
  <c r="K6046" i="28" s="1"/>
  <c r="J6047" i="28"/>
  <c r="K6047" i="28" s="1"/>
  <c r="J6048" i="28"/>
  <c r="K6048" i="28" s="1"/>
  <c r="J6049" i="28"/>
  <c r="K6049" i="28" s="1"/>
  <c r="J6050" i="28"/>
  <c r="K6050" i="28" s="1"/>
  <c r="J6051" i="28"/>
  <c r="K6051" i="28" s="1"/>
  <c r="J6052" i="28"/>
  <c r="K6052" i="28" s="1"/>
  <c r="J6053" i="28"/>
  <c r="K6053" i="28" s="1"/>
  <c r="J6054" i="28"/>
  <c r="K6054" i="28" s="1"/>
  <c r="J6055" i="28"/>
  <c r="K6055" i="28" s="1"/>
  <c r="J6056" i="28"/>
  <c r="K6056" i="28" s="1"/>
  <c r="J6057" i="28"/>
  <c r="K6057" i="28" s="1"/>
  <c r="J6058" i="28"/>
  <c r="K6058" i="28" s="1"/>
  <c r="J6059" i="28"/>
  <c r="K6059" i="28" s="1"/>
  <c r="J6060" i="28"/>
  <c r="K6060" i="28" s="1"/>
  <c r="J6061" i="28"/>
  <c r="K6061" i="28" s="1"/>
  <c r="J6062" i="28"/>
  <c r="K6062" i="28" s="1"/>
  <c r="J6063" i="28"/>
  <c r="K6063" i="28" s="1"/>
  <c r="J6064" i="28"/>
  <c r="K6064" i="28" s="1"/>
  <c r="J6065" i="28"/>
  <c r="K6065" i="28" s="1"/>
  <c r="J6066" i="28"/>
  <c r="K6066" i="28" s="1"/>
  <c r="J6067" i="28"/>
  <c r="K6067" i="28" s="1"/>
  <c r="J6068" i="28"/>
  <c r="K6068" i="28" s="1"/>
  <c r="J6069" i="28"/>
  <c r="K6069" i="28" s="1"/>
  <c r="J6070" i="28"/>
  <c r="K6070" i="28" s="1"/>
  <c r="J6071" i="28"/>
  <c r="K6071" i="28" s="1"/>
  <c r="J6072" i="28"/>
  <c r="K6072" i="28" s="1"/>
  <c r="J6073" i="28"/>
  <c r="K6073" i="28" s="1"/>
  <c r="J6074" i="28"/>
  <c r="K6074" i="28" s="1"/>
  <c r="J6075" i="28"/>
  <c r="K6075" i="28" s="1"/>
  <c r="J6076" i="28"/>
  <c r="K6076" i="28" s="1"/>
  <c r="J6077" i="28"/>
  <c r="K6077" i="28" s="1"/>
  <c r="J6078" i="28"/>
  <c r="K6078" i="28" s="1"/>
  <c r="J6079" i="28"/>
  <c r="K6079" i="28" s="1"/>
  <c r="J6080" i="28"/>
  <c r="K6080" i="28" s="1"/>
  <c r="J6081" i="28"/>
  <c r="K6081" i="28" s="1"/>
  <c r="J6082" i="28"/>
  <c r="K6082" i="28" s="1"/>
  <c r="J6083" i="28"/>
  <c r="K6083" i="28" s="1"/>
  <c r="J6084" i="28"/>
  <c r="K6084" i="28" s="1"/>
  <c r="J6085" i="28"/>
  <c r="K6085" i="28" s="1"/>
  <c r="J6086" i="28"/>
  <c r="K6086" i="28" s="1"/>
  <c r="J6087" i="28"/>
  <c r="K6087" i="28" s="1"/>
  <c r="J6088" i="28"/>
  <c r="K6088" i="28" s="1"/>
  <c r="J6089" i="28"/>
  <c r="K6089" i="28" s="1"/>
  <c r="J6090" i="28"/>
  <c r="K6090" i="28" s="1"/>
  <c r="J6091" i="28"/>
  <c r="K6091" i="28" s="1"/>
  <c r="J6092" i="28"/>
  <c r="K6092" i="28" s="1"/>
  <c r="J6093" i="28"/>
  <c r="K6093" i="28" s="1"/>
  <c r="J6094" i="28"/>
  <c r="K6094" i="28" s="1"/>
  <c r="J6095" i="28"/>
  <c r="K6095" i="28" s="1"/>
  <c r="J6096" i="28"/>
  <c r="K6096" i="28" s="1"/>
  <c r="J6097" i="28"/>
  <c r="K6097" i="28" s="1"/>
  <c r="J6098" i="28"/>
  <c r="K6098" i="28" s="1"/>
  <c r="J6099" i="28"/>
  <c r="K6099" i="28" s="1"/>
  <c r="J6100" i="28"/>
  <c r="K6100" i="28" s="1"/>
  <c r="J6101" i="28"/>
  <c r="K6101" i="28" s="1"/>
  <c r="J6102" i="28"/>
  <c r="K6102" i="28" s="1"/>
  <c r="J6103" i="28"/>
  <c r="K6103" i="28" s="1"/>
  <c r="J6104" i="28"/>
  <c r="K6104" i="28" s="1"/>
  <c r="J6105" i="28"/>
  <c r="K6105" i="28" s="1"/>
  <c r="J6106" i="28"/>
  <c r="K6106" i="28" s="1"/>
  <c r="J6107" i="28"/>
  <c r="K6107" i="28" s="1"/>
  <c r="J6108" i="28"/>
  <c r="K6108" i="28" s="1"/>
  <c r="J6109" i="28"/>
  <c r="K6109" i="28" s="1"/>
  <c r="J6110" i="28"/>
  <c r="K6110" i="28" s="1"/>
  <c r="J6111" i="28"/>
  <c r="K6111" i="28" s="1"/>
  <c r="J6112" i="28"/>
  <c r="K6112" i="28" s="1"/>
  <c r="J6113" i="28"/>
  <c r="K6113" i="28" s="1"/>
  <c r="J6114" i="28"/>
  <c r="K6114" i="28" s="1"/>
  <c r="J6115" i="28"/>
  <c r="K6115" i="28" s="1"/>
  <c r="J6116" i="28"/>
  <c r="K6116" i="28" s="1"/>
  <c r="J6117" i="28"/>
  <c r="K6117" i="28" s="1"/>
  <c r="J6118" i="28"/>
  <c r="K6118" i="28" s="1"/>
  <c r="J6119" i="28"/>
  <c r="K6119" i="28" s="1"/>
  <c r="J6120" i="28"/>
  <c r="K6120" i="28" s="1"/>
  <c r="J6121" i="28"/>
  <c r="K6121" i="28" s="1"/>
  <c r="J6122" i="28"/>
  <c r="K6122" i="28" s="1"/>
  <c r="J6123" i="28"/>
  <c r="K6123" i="28" s="1"/>
  <c r="J6124" i="28"/>
  <c r="K6124" i="28" s="1"/>
  <c r="J6125" i="28"/>
  <c r="K6125" i="28" s="1"/>
  <c r="J6126" i="28"/>
  <c r="K6126" i="28" s="1"/>
  <c r="J6127" i="28"/>
  <c r="K6127" i="28" s="1"/>
  <c r="J6128" i="28"/>
  <c r="K6128" i="28" s="1"/>
  <c r="J6129" i="28"/>
  <c r="K6129" i="28" s="1"/>
  <c r="J6130" i="28"/>
  <c r="K6130" i="28" s="1"/>
  <c r="J6131" i="28"/>
  <c r="K6131" i="28" s="1"/>
  <c r="J6132" i="28"/>
  <c r="K6132" i="28" s="1"/>
  <c r="J6133" i="28"/>
  <c r="K6133" i="28" s="1"/>
  <c r="J6134" i="28"/>
  <c r="K6134" i="28" s="1"/>
  <c r="J6135" i="28"/>
  <c r="K6135" i="28" s="1"/>
  <c r="J6136" i="28"/>
  <c r="K6136" i="28" s="1"/>
  <c r="J6137" i="28"/>
  <c r="K6137" i="28" s="1"/>
  <c r="J6138" i="28"/>
  <c r="K6138" i="28" s="1"/>
  <c r="J6139" i="28"/>
  <c r="K6139" i="28" s="1"/>
  <c r="J6140" i="28"/>
  <c r="K6140" i="28" s="1"/>
  <c r="J6141" i="28"/>
  <c r="K6141" i="28" s="1"/>
  <c r="J6142" i="28"/>
  <c r="K6142" i="28" s="1"/>
  <c r="J6143" i="28"/>
  <c r="K6143" i="28" s="1"/>
  <c r="J6144" i="28"/>
  <c r="K6144" i="28" s="1"/>
  <c r="J6145" i="28"/>
  <c r="K6145" i="28" s="1"/>
  <c r="J6146" i="28"/>
  <c r="K6146" i="28" s="1"/>
  <c r="J6147" i="28"/>
  <c r="K6147" i="28" s="1"/>
  <c r="J6148" i="28"/>
  <c r="K6148" i="28" s="1"/>
  <c r="J6149" i="28"/>
  <c r="K6149" i="28" s="1"/>
  <c r="J6150" i="28"/>
  <c r="K6150" i="28" s="1"/>
  <c r="J6151" i="28"/>
  <c r="K6151" i="28" s="1"/>
  <c r="J6152" i="28"/>
  <c r="K6152" i="28" s="1"/>
  <c r="J6153" i="28"/>
  <c r="K6153" i="28" s="1"/>
  <c r="J6154" i="28"/>
  <c r="K6154" i="28" s="1"/>
  <c r="J6155" i="28"/>
  <c r="K6155" i="28" s="1"/>
  <c r="J6156" i="28"/>
  <c r="K6156" i="28" s="1"/>
  <c r="J6157" i="28"/>
  <c r="K6157" i="28" s="1"/>
  <c r="J6158" i="28"/>
  <c r="K6158" i="28" s="1"/>
  <c r="J6159" i="28"/>
  <c r="K6159" i="28" s="1"/>
  <c r="J6160" i="28"/>
  <c r="K6160" i="28" s="1"/>
  <c r="J6161" i="28"/>
  <c r="K6161" i="28" s="1"/>
  <c r="J6162" i="28"/>
  <c r="K6162" i="28" s="1"/>
  <c r="J6163" i="28"/>
  <c r="K6163" i="28" s="1"/>
  <c r="J6164" i="28"/>
  <c r="K6164" i="28" s="1"/>
  <c r="J6165" i="28"/>
  <c r="K6165" i="28" s="1"/>
  <c r="J6166" i="28"/>
  <c r="K6166" i="28" s="1"/>
  <c r="J6167" i="28"/>
  <c r="K6167" i="28" s="1"/>
  <c r="J6168" i="28"/>
  <c r="K6168" i="28" s="1"/>
  <c r="J6169" i="28"/>
  <c r="K6169" i="28" s="1"/>
  <c r="J6170" i="28"/>
  <c r="K6170" i="28" s="1"/>
  <c r="J6171" i="28"/>
  <c r="K6171" i="28" s="1"/>
  <c r="J6172" i="28"/>
  <c r="K6172" i="28" s="1"/>
  <c r="J6173" i="28"/>
  <c r="K6173" i="28" s="1"/>
  <c r="J6174" i="28"/>
  <c r="K6174" i="28" s="1"/>
  <c r="J6175" i="28"/>
  <c r="K6175" i="28" s="1"/>
  <c r="J6176" i="28"/>
  <c r="K6176" i="28" s="1"/>
  <c r="J6177" i="28"/>
  <c r="K6177" i="28" s="1"/>
  <c r="J6178" i="28"/>
  <c r="K6178" i="28" s="1"/>
  <c r="J6179" i="28"/>
  <c r="K6179" i="28" s="1"/>
  <c r="J6180" i="28"/>
  <c r="K6180" i="28" s="1"/>
  <c r="J6181" i="28"/>
  <c r="K6181" i="28" s="1"/>
  <c r="J6182" i="28"/>
  <c r="K6182" i="28" s="1"/>
  <c r="J6183" i="28"/>
  <c r="K6183" i="28" s="1"/>
  <c r="J6184" i="28"/>
  <c r="K6184" i="28" s="1"/>
  <c r="J6185" i="28"/>
  <c r="K6185" i="28" s="1"/>
  <c r="J6186" i="28"/>
  <c r="K6186" i="28" s="1"/>
  <c r="J6187" i="28"/>
  <c r="K6187" i="28" s="1"/>
  <c r="J6188" i="28"/>
  <c r="K6188" i="28" s="1"/>
  <c r="J6189" i="28"/>
  <c r="K6189" i="28" s="1"/>
  <c r="J6190" i="28"/>
  <c r="K6190" i="28" s="1"/>
  <c r="J6191" i="28"/>
  <c r="K6191" i="28" s="1"/>
  <c r="J6192" i="28"/>
  <c r="K6192" i="28" s="1"/>
  <c r="J6193" i="28"/>
  <c r="K6193" i="28" s="1"/>
  <c r="J6194" i="28"/>
  <c r="K6194" i="28" s="1"/>
  <c r="J6195" i="28"/>
  <c r="K6195" i="28" s="1"/>
  <c r="J6196" i="28"/>
  <c r="K6196" i="28" s="1"/>
  <c r="J4507" i="28"/>
  <c r="K4507" i="28" s="1"/>
  <c r="J4508" i="28"/>
  <c r="K4508" i="28" s="1"/>
  <c r="J4509" i="28"/>
  <c r="K4509" i="28" s="1"/>
  <c r="J4510" i="28"/>
  <c r="K4510" i="28" s="1"/>
  <c r="J4511" i="28"/>
  <c r="K4511" i="28" s="1"/>
  <c r="J4512" i="28"/>
  <c r="K4512" i="28" s="1"/>
  <c r="J4513" i="28"/>
  <c r="K4513" i="28" s="1"/>
  <c r="J4514" i="28"/>
  <c r="K4514" i="28" s="1"/>
  <c r="J4515" i="28"/>
  <c r="K4515" i="28" s="1"/>
  <c r="J4516" i="28"/>
  <c r="K4516" i="28" s="1"/>
  <c r="J4517" i="28"/>
  <c r="K4517" i="28" s="1"/>
  <c r="J4518" i="28"/>
  <c r="K4518" i="28" s="1"/>
  <c r="J4519" i="28"/>
  <c r="K4519" i="28" s="1"/>
  <c r="J4520" i="28"/>
  <c r="K4520" i="28" s="1"/>
  <c r="J4521" i="28"/>
  <c r="K4521" i="28" s="1"/>
  <c r="J4522" i="28"/>
  <c r="K4522" i="28" s="1"/>
  <c r="J4523" i="28"/>
  <c r="K4523" i="28" s="1"/>
  <c r="J4524" i="28"/>
  <c r="K4524" i="28" s="1"/>
  <c r="J4525" i="28"/>
  <c r="K4525" i="28" s="1"/>
  <c r="J4526" i="28"/>
  <c r="K4526" i="28" s="1"/>
  <c r="J4527" i="28"/>
  <c r="K4527" i="28" s="1"/>
  <c r="J4528" i="28"/>
  <c r="K4528" i="28" s="1"/>
  <c r="J4529" i="28"/>
  <c r="K4529" i="28" s="1"/>
  <c r="J4530" i="28"/>
  <c r="K4530" i="28" s="1"/>
  <c r="J4531" i="28"/>
  <c r="K4531" i="28" s="1"/>
  <c r="J4532" i="28"/>
  <c r="K4532" i="28" s="1"/>
  <c r="J4533" i="28"/>
  <c r="K4533" i="28" s="1"/>
  <c r="J4534" i="28"/>
  <c r="K4534" i="28" s="1"/>
  <c r="J4535" i="28"/>
  <c r="K4535" i="28" s="1"/>
  <c r="J4536" i="28"/>
  <c r="K4536" i="28" s="1"/>
  <c r="J4537" i="28"/>
  <c r="K4537" i="28" s="1"/>
  <c r="J4538" i="28"/>
  <c r="K4538" i="28" s="1"/>
  <c r="J4539" i="28"/>
  <c r="K4539" i="28" s="1"/>
  <c r="J4540" i="28"/>
  <c r="K4540" i="28" s="1"/>
  <c r="J4541" i="28"/>
  <c r="K4541" i="28" s="1"/>
  <c r="J4542" i="28"/>
  <c r="K4542" i="28" s="1"/>
  <c r="J4543" i="28"/>
  <c r="K4543" i="28" s="1"/>
  <c r="J4544" i="28"/>
  <c r="K4544" i="28" s="1"/>
  <c r="J4545" i="28"/>
  <c r="K4545" i="28" s="1"/>
  <c r="J4546" i="28"/>
  <c r="K4546" i="28" s="1"/>
  <c r="J4547" i="28"/>
  <c r="K4547" i="28" s="1"/>
  <c r="J4548" i="28"/>
  <c r="K4548" i="28" s="1"/>
  <c r="J4549" i="28"/>
  <c r="K4549" i="28" s="1"/>
  <c r="J4550" i="28"/>
  <c r="K4550" i="28" s="1"/>
  <c r="J4551" i="28"/>
  <c r="K4551" i="28" s="1"/>
  <c r="J4552" i="28"/>
  <c r="K4552" i="28" s="1"/>
  <c r="J4553" i="28"/>
  <c r="K4553" i="28" s="1"/>
  <c r="J4554" i="28"/>
  <c r="K4554" i="28" s="1"/>
  <c r="J4555" i="28"/>
  <c r="K4555" i="28" s="1"/>
  <c r="J4556" i="28"/>
  <c r="K4556" i="28" s="1"/>
  <c r="J4557" i="28"/>
  <c r="K4557" i="28" s="1"/>
  <c r="J4558" i="28"/>
  <c r="K4558" i="28" s="1"/>
  <c r="J4559" i="28"/>
  <c r="K4559" i="28" s="1"/>
  <c r="J4560" i="28"/>
  <c r="K4560" i="28" s="1"/>
  <c r="J4561" i="28"/>
  <c r="K4561" i="28" s="1"/>
  <c r="J4562" i="28"/>
  <c r="K4562" i="28" s="1"/>
  <c r="J4563" i="28"/>
  <c r="K4563" i="28" s="1"/>
  <c r="J4564" i="28"/>
  <c r="K4564" i="28" s="1"/>
  <c r="J4565" i="28"/>
  <c r="K4565" i="28" s="1"/>
  <c r="J4566" i="28"/>
  <c r="K4566" i="28" s="1"/>
  <c r="J4567" i="28"/>
  <c r="K4567" i="28" s="1"/>
  <c r="J4568" i="28"/>
  <c r="K4568" i="28" s="1"/>
  <c r="J4569" i="28"/>
  <c r="K4569" i="28" s="1"/>
  <c r="J4570" i="28"/>
  <c r="K4570" i="28" s="1"/>
  <c r="J4571" i="28"/>
  <c r="K4571" i="28" s="1"/>
  <c r="J4572" i="28"/>
  <c r="K4572" i="28" s="1"/>
  <c r="J4573" i="28"/>
  <c r="K4573" i="28" s="1"/>
  <c r="J4574" i="28"/>
  <c r="K4574" i="28" s="1"/>
  <c r="J4575" i="28"/>
  <c r="K4575" i="28" s="1"/>
  <c r="J4576" i="28"/>
  <c r="K4576" i="28" s="1"/>
  <c r="J4577" i="28"/>
  <c r="K4577" i="28" s="1"/>
  <c r="J4578" i="28"/>
  <c r="K4578" i="28" s="1"/>
  <c r="J4579" i="28"/>
  <c r="K4579" i="28" s="1"/>
  <c r="J4580" i="28"/>
  <c r="K4580" i="28" s="1"/>
  <c r="J4581" i="28"/>
  <c r="K4581" i="28" s="1"/>
  <c r="J4582" i="28"/>
  <c r="K4582" i="28" s="1"/>
  <c r="J4583" i="28"/>
  <c r="K4583" i="28" s="1"/>
  <c r="J4584" i="28"/>
  <c r="K4584" i="28" s="1"/>
  <c r="J4585" i="28"/>
  <c r="K4585" i="28" s="1"/>
  <c r="J4586" i="28"/>
  <c r="K4586" i="28" s="1"/>
  <c r="J4587" i="28"/>
  <c r="K4587" i="28" s="1"/>
  <c r="J4588" i="28"/>
  <c r="K4588" i="28" s="1"/>
  <c r="J4589" i="28"/>
  <c r="K4589" i="28" s="1"/>
  <c r="J4590" i="28"/>
  <c r="K4590" i="28" s="1"/>
  <c r="J4591" i="28"/>
  <c r="K4591" i="28" s="1"/>
  <c r="J4592" i="28"/>
  <c r="K4592" i="28" s="1"/>
  <c r="J4593" i="28"/>
  <c r="K4593" i="28" s="1"/>
  <c r="J4594" i="28"/>
  <c r="K4594" i="28" s="1"/>
  <c r="J4595" i="28"/>
  <c r="K4595" i="28" s="1"/>
  <c r="J4596" i="28"/>
  <c r="K4596" i="28" s="1"/>
  <c r="J4597" i="28"/>
  <c r="K4597" i="28" s="1"/>
  <c r="J4598" i="28"/>
  <c r="K4598" i="28" s="1"/>
  <c r="J4599" i="28"/>
  <c r="K4599" i="28" s="1"/>
  <c r="J4600" i="28"/>
  <c r="K4600" i="28" s="1"/>
  <c r="J4601" i="28"/>
  <c r="K4601" i="28" s="1"/>
  <c r="J4602" i="28"/>
  <c r="K4602" i="28" s="1"/>
  <c r="J4603" i="28"/>
  <c r="K4603" i="28" s="1"/>
  <c r="J4604" i="28"/>
  <c r="K4604" i="28" s="1"/>
  <c r="J4605" i="28"/>
  <c r="K4605" i="28" s="1"/>
  <c r="J4606" i="28"/>
  <c r="K4606" i="28" s="1"/>
  <c r="J4607" i="28"/>
  <c r="K4607" i="28" s="1"/>
  <c r="J4608" i="28"/>
  <c r="K4608" i="28" s="1"/>
  <c r="J4609" i="28"/>
  <c r="K4609" i="28" s="1"/>
  <c r="J4610" i="28"/>
  <c r="K4610" i="28" s="1"/>
  <c r="J4611" i="28"/>
  <c r="K4611" i="28" s="1"/>
  <c r="J4612" i="28"/>
  <c r="K4612" i="28" s="1"/>
  <c r="J4613" i="28"/>
  <c r="K4613" i="28" s="1"/>
  <c r="J4614" i="28"/>
  <c r="K4614" i="28" s="1"/>
  <c r="J4615" i="28"/>
  <c r="K4615" i="28" s="1"/>
  <c r="J4616" i="28"/>
  <c r="K4616" i="28" s="1"/>
  <c r="J4617" i="28"/>
  <c r="K4617" i="28" s="1"/>
  <c r="J4618" i="28"/>
  <c r="K4618" i="28" s="1"/>
  <c r="U11" i="47" s="1"/>
  <c r="J4619" i="28"/>
  <c r="K4619" i="28" s="1"/>
  <c r="J4620" i="28"/>
  <c r="K4620" i="28" s="1"/>
  <c r="J4621" i="28"/>
  <c r="K4621" i="28" s="1"/>
  <c r="J4622" i="28"/>
  <c r="K4622" i="28" s="1"/>
  <c r="J4623" i="28"/>
  <c r="K4623" i="28" s="1"/>
  <c r="J4624" i="28"/>
  <c r="K4624" i="28" s="1"/>
  <c r="J4625" i="28"/>
  <c r="K4625" i="28" s="1"/>
  <c r="J4626" i="28"/>
  <c r="K4626" i="28" s="1"/>
  <c r="U12" i="47" s="1"/>
  <c r="J4627" i="28"/>
  <c r="K4627" i="28" s="1"/>
  <c r="U13" i="47" s="1"/>
  <c r="J4628" i="28"/>
  <c r="K4628" i="28" s="1"/>
  <c r="J4629" i="28"/>
  <c r="K4629" i="28" s="1"/>
  <c r="U7" i="47" s="1"/>
  <c r="J4630" i="28"/>
  <c r="K4630" i="28" s="1"/>
  <c r="J4631" i="28"/>
  <c r="K4631" i="28" s="1"/>
  <c r="J4632" i="28"/>
  <c r="K4632" i="28" s="1"/>
  <c r="J4633" i="28"/>
  <c r="K4633" i="28" s="1"/>
  <c r="J4634" i="28"/>
  <c r="K4634" i="28" s="1"/>
  <c r="J4635" i="28"/>
  <c r="K4635" i="28" s="1"/>
  <c r="J4636" i="28"/>
  <c r="K4636" i="28" s="1"/>
  <c r="J4637" i="28"/>
  <c r="K4637" i="28" s="1"/>
  <c r="J4638" i="28"/>
  <c r="K4638" i="28" s="1"/>
  <c r="J4639" i="28"/>
  <c r="K4639" i="28" s="1"/>
  <c r="J4640" i="28"/>
  <c r="K4640" i="28" s="1"/>
  <c r="J4641" i="28"/>
  <c r="K4641" i="28" s="1"/>
  <c r="J4642" i="28"/>
  <c r="K4642" i="28" s="1"/>
  <c r="J4643" i="28"/>
  <c r="K4643" i="28" s="1"/>
  <c r="J4644" i="28"/>
  <c r="K4644" i="28" s="1"/>
  <c r="J4645" i="28"/>
  <c r="K4645" i="28" s="1"/>
  <c r="J4646" i="28"/>
  <c r="K4646" i="28" s="1"/>
  <c r="J4647" i="28"/>
  <c r="K4647" i="28" s="1"/>
  <c r="J4648" i="28"/>
  <c r="K4648" i="28" s="1"/>
  <c r="J4649" i="28"/>
  <c r="K4649" i="28" s="1"/>
  <c r="J4650" i="28"/>
  <c r="K4650" i="28" s="1"/>
  <c r="J4651" i="28"/>
  <c r="K4651" i="28" s="1"/>
  <c r="J4652" i="28"/>
  <c r="K4652" i="28" s="1"/>
  <c r="J4653" i="28"/>
  <c r="K4653" i="28" s="1"/>
  <c r="J4654" i="28"/>
  <c r="K4654" i="28" s="1"/>
  <c r="J4655" i="28"/>
  <c r="K4655" i="28" s="1"/>
  <c r="J4656" i="28"/>
  <c r="K4656" i="28" s="1"/>
  <c r="J4657" i="28"/>
  <c r="K4657" i="28" s="1"/>
  <c r="J4658" i="28"/>
  <c r="K4658" i="28" s="1"/>
  <c r="J4659" i="28"/>
  <c r="K4659" i="28" s="1"/>
  <c r="J4660" i="28"/>
  <c r="K4660" i="28" s="1"/>
  <c r="J4661" i="28"/>
  <c r="K4661" i="28" s="1"/>
  <c r="J4662" i="28"/>
  <c r="K4662" i="28" s="1"/>
  <c r="J4663" i="28"/>
  <c r="K4663" i="28" s="1"/>
  <c r="J4664" i="28"/>
  <c r="K4664" i="28" s="1"/>
  <c r="J4665" i="28"/>
  <c r="K4665" i="28" s="1"/>
  <c r="J4666" i="28"/>
  <c r="K4666" i="28" s="1"/>
  <c r="J4667" i="28"/>
  <c r="K4667" i="28" s="1"/>
  <c r="J4668" i="28"/>
  <c r="K4668" i="28" s="1"/>
  <c r="J4669" i="28"/>
  <c r="K4669" i="28" s="1"/>
  <c r="J4670" i="28"/>
  <c r="K4670" i="28" s="1"/>
  <c r="J4671" i="28"/>
  <c r="K4671" i="28" s="1"/>
  <c r="J4672" i="28"/>
  <c r="K4672" i="28" s="1"/>
  <c r="J4673" i="28"/>
  <c r="K4673" i="28" s="1"/>
  <c r="J4674" i="28"/>
  <c r="K4674" i="28" s="1"/>
  <c r="J4675" i="28"/>
  <c r="K4675" i="28" s="1"/>
  <c r="J4676" i="28"/>
  <c r="K4676" i="28" s="1"/>
  <c r="J4677" i="28"/>
  <c r="K4677" i="28" s="1"/>
  <c r="J4678" i="28"/>
  <c r="K4678" i="28" s="1"/>
  <c r="J4679" i="28"/>
  <c r="K4679" i="28" s="1"/>
  <c r="J4680" i="28"/>
  <c r="K4680" i="28" s="1"/>
  <c r="J4681" i="28"/>
  <c r="K4681" i="28" s="1"/>
  <c r="J4682" i="28"/>
  <c r="K4682" i="28" s="1"/>
  <c r="J4683" i="28"/>
  <c r="K4683" i="28" s="1"/>
  <c r="J4684" i="28"/>
  <c r="K4684" i="28" s="1"/>
  <c r="J4685" i="28"/>
  <c r="K4685" i="28" s="1"/>
  <c r="J4686" i="28"/>
  <c r="K4686" i="28" s="1"/>
  <c r="J4687" i="28"/>
  <c r="K4687" i="28" s="1"/>
  <c r="J4688" i="28"/>
  <c r="K4688" i="28" s="1"/>
  <c r="J4689" i="28"/>
  <c r="K4689" i="28" s="1"/>
  <c r="J4690" i="28"/>
  <c r="K4690" i="28" s="1"/>
  <c r="J4691" i="28"/>
  <c r="K4691" i="28" s="1"/>
  <c r="J4692" i="28"/>
  <c r="K4692" i="28" s="1"/>
  <c r="J4693" i="28"/>
  <c r="K4693" i="28" s="1"/>
  <c r="J4694" i="28"/>
  <c r="K4694" i="28" s="1"/>
  <c r="J4695" i="28"/>
  <c r="K4695" i="28" s="1"/>
  <c r="J4696" i="28"/>
  <c r="K4696" i="28" s="1"/>
  <c r="J4697" i="28"/>
  <c r="K4697" i="28" s="1"/>
  <c r="J4698" i="28"/>
  <c r="K4698" i="28" s="1"/>
  <c r="J4699" i="28"/>
  <c r="K4699" i="28" s="1"/>
  <c r="J4700" i="28"/>
  <c r="K4700" i="28" s="1"/>
  <c r="J4701" i="28"/>
  <c r="K4701" i="28" s="1"/>
  <c r="J4702" i="28"/>
  <c r="K4702" i="28" s="1"/>
  <c r="J4703" i="28"/>
  <c r="K4703" i="28" s="1"/>
  <c r="J4704" i="28"/>
  <c r="K4704" i="28" s="1"/>
  <c r="J4705" i="28"/>
  <c r="K4705" i="28" s="1"/>
  <c r="J4706" i="28"/>
  <c r="K4706" i="28" s="1"/>
  <c r="J4707" i="28"/>
  <c r="K4707" i="28" s="1"/>
  <c r="J4708" i="28"/>
  <c r="K4708" i="28" s="1"/>
  <c r="J4709" i="28"/>
  <c r="K4709" i="28" s="1"/>
  <c r="J4710" i="28"/>
  <c r="K4710" i="28" s="1"/>
  <c r="J4711" i="28"/>
  <c r="K4711" i="28" s="1"/>
  <c r="J4712" i="28"/>
  <c r="K4712" i="28" s="1"/>
  <c r="J4713" i="28"/>
  <c r="K4713" i="28" s="1"/>
  <c r="J4714" i="28"/>
  <c r="K4714" i="28" s="1"/>
  <c r="J4715" i="28"/>
  <c r="K4715" i="28" s="1"/>
  <c r="J4716" i="28"/>
  <c r="K4716" i="28" s="1"/>
  <c r="J4717" i="28"/>
  <c r="K4717" i="28" s="1"/>
  <c r="J4718" i="28"/>
  <c r="K4718" i="28" s="1"/>
  <c r="J4719" i="28"/>
  <c r="K4719" i="28" s="1"/>
  <c r="J4720" i="28"/>
  <c r="K4720" i="28" s="1"/>
  <c r="J4721" i="28"/>
  <c r="K4721" i="28" s="1"/>
  <c r="J4722" i="28"/>
  <c r="K4722" i="28" s="1"/>
  <c r="J4723" i="28"/>
  <c r="K4723" i="28" s="1"/>
  <c r="J4724" i="28"/>
  <c r="K4724" i="28" s="1"/>
  <c r="J4725" i="28"/>
  <c r="K4725" i="28" s="1"/>
  <c r="J4726" i="28"/>
  <c r="K4726" i="28" s="1"/>
  <c r="J4727" i="28"/>
  <c r="K4727" i="28" s="1"/>
  <c r="J4728" i="28"/>
  <c r="K4728" i="28" s="1"/>
  <c r="J4729" i="28"/>
  <c r="K4729" i="28" s="1"/>
  <c r="J4730" i="28"/>
  <c r="K4730" i="28" s="1"/>
  <c r="J4731" i="28"/>
  <c r="K4731" i="28" s="1"/>
  <c r="J4732" i="28"/>
  <c r="K4732" i="28" s="1"/>
  <c r="J4733" i="28"/>
  <c r="K4733" i="28" s="1"/>
  <c r="J4734" i="28"/>
  <c r="K4734" i="28" s="1"/>
  <c r="J4735" i="28"/>
  <c r="K4735" i="28" s="1"/>
  <c r="J4736" i="28"/>
  <c r="K4736" i="28" s="1"/>
  <c r="J4737" i="28"/>
  <c r="K4737" i="28" s="1"/>
  <c r="J4738" i="28"/>
  <c r="K4738" i="28" s="1"/>
  <c r="J4739" i="28"/>
  <c r="K4739" i="28" s="1"/>
  <c r="J4740" i="28"/>
  <c r="K4740" i="28" s="1"/>
  <c r="J4741" i="28"/>
  <c r="K4741" i="28" s="1"/>
  <c r="J4742" i="28"/>
  <c r="K4742" i="28" s="1"/>
  <c r="J4743" i="28"/>
  <c r="K4743" i="28" s="1"/>
  <c r="J4744" i="28"/>
  <c r="K4744" i="28" s="1"/>
  <c r="J4745" i="28"/>
  <c r="K4745" i="28" s="1"/>
  <c r="J4746" i="28"/>
  <c r="K4746" i="28" s="1"/>
  <c r="J4747" i="28"/>
  <c r="K4747" i="28" s="1"/>
  <c r="J4748" i="28"/>
  <c r="K4748" i="28" s="1"/>
  <c r="J4749" i="28"/>
  <c r="K4749" i="28" s="1"/>
  <c r="J4750" i="28"/>
  <c r="K4750" i="28" s="1"/>
  <c r="J4751" i="28"/>
  <c r="K4751" i="28" s="1"/>
  <c r="J4752" i="28"/>
  <c r="K4752" i="28" s="1"/>
  <c r="J4753" i="28"/>
  <c r="K4753" i="28" s="1"/>
  <c r="J4754" i="28"/>
  <c r="K4754" i="28" s="1"/>
  <c r="J4755" i="28"/>
  <c r="K4755" i="28" s="1"/>
  <c r="J4756" i="28"/>
  <c r="K4756" i="28" s="1"/>
  <c r="J4757" i="28"/>
  <c r="K4757" i="28" s="1"/>
  <c r="J4758" i="28"/>
  <c r="K4758" i="28" s="1"/>
  <c r="J4759" i="28"/>
  <c r="K4759" i="28" s="1"/>
  <c r="J4760" i="28"/>
  <c r="K4760" i="28" s="1"/>
  <c r="J4761" i="28"/>
  <c r="K4761" i="28" s="1"/>
  <c r="J4762" i="28"/>
  <c r="K4762" i="28" s="1"/>
  <c r="J4763" i="28"/>
  <c r="K4763" i="28" s="1"/>
  <c r="J4764" i="28"/>
  <c r="K4764" i="28" s="1"/>
  <c r="J4765" i="28"/>
  <c r="K4765" i="28" s="1"/>
  <c r="J4766" i="28"/>
  <c r="K4766" i="28" s="1"/>
  <c r="J4767" i="28"/>
  <c r="K4767" i="28" s="1"/>
  <c r="J4768" i="28"/>
  <c r="K4768" i="28" s="1"/>
  <c r="J4769" i="28"/>
  <c r="K4769" i="28" s="1"/>
  <c r="J4770" i="28"/>
  <c r="K4770" i="28" s="1"/>
  <c r="J4771" i="28"/>
  <c r="K4771" i="28" s="1"/>
  <c r="J4772" i="28"/>
  <c r="K4772" i="28" s="1"/>
  <c r="J4773" i="28"/>
  <c r="K4773" i="28" s="1"/>
  <c r="J4774" i="28"/>
  <c r="K4774" i="28" s="1"/>
  <c r="J4775" i="28"/>
  <c r="K4775" i="28" s="1"/>
  <c r="J4776" i="28"/>
  <c r="K4776" i="28" s="1"/>
  <c r="J4777" i="28"/>
  <c r="K4777" i="28" s="1"/>
  <c r="J4778" i="28"/>
  <c r="K4778" i="28" s="1"/>
  <c r="J4779" i="28"/>
  <c r="K4779" i="28" s="1"/>
  <c r="J4780" i="28"/>
  <c r="K4780" i="28" s="1"/>
  <c r="J4781" i="28"/>
  <c r="K4781" i="28" s="1"/>
  <c r="J4782" i="28"/>
  <c r="K4782" i="28" s="1"/>
  <c r="J4783" i="28"/>
  <c r="K4783" i="28" s="1"/>
  <c r="J4784" i="28"/>
  <c r="K4784" i="28" s="1"/>
  <c r="J4785" i="28"/>
  <c r="K4785" i="28" s="1"/>
  <c r="J4786" i="28"/>
  <c r="K4786" i="28" s="1"/>
  <c r="J4787" i="28"/>
  <c r="K4787" i="28" s="1"/>
  <c r="J4788" i="28"/>
  <c r="K4788" i="28" s="1"/>
  <c r="J4789" i="28"/>
  <c r="K4789" i="28" s="1"/>
  <c r="J4790" i="28"/>
  <c r="K4790" i="28" s="1"/>
  <c r="J4791" i="28"/>
  <c r="K4791" i="28" s="1"/>
  <c r="J4792" i="28"/>
  <c r="K4792" i="28" s="1"/>
  <c r="J4793" i="28"/>
  <c r="K4793" i="28" s="1"/>
  <c r="J4794" i="28"/>
  <c r="K4794" i="28" s="1"/>
  <c r="J4795" i="28"/>
  <c r="K4795" i="28" s="1"/>
  <c r="J4796" i="28"/>
  <c r="K4796" i="28" s="1"/>
  <c r="J4797" i="28"/>
  <c r="K4797" i="28" s="1"/>
  <c r="J4798" i="28"/>
  <c r="K4798" i="28" s="1"/>
  <c r="J4799" i="28"/>
  <c r="K4799" i="28" s="1"/>
  <c r="J4800" i="28"/>
  <c r="K4800" i="28" s="1"/>
  <c r="J4801" i="28"/>
  <c r="K4801" i="28" s="1"/>
  <c r="J4802" i="28"/>
  <c r="K4802" i="28" s="1"/>
  <c r="J4803" i="28"/>
  <c r="K4803" i="28" s="1"/>
  <c r="J4804" i="28"/>
  <c r="K4804" i="28" s="1"/>
  <c r="J4805" i="28"/>
  <c r="K4805" i="28" s="1"/>
  <c r="J4806" i="28"/>
  <c r="K4806" i="28" s="1"/>
  <c r="J4807" i="28"/>
  <c r="K4807" i="28" s="1"/>
  <c r="J4808" i="28"/>
  <c r="K4808" i="28" s="1"/>
  <c r="J4809" i="28"/>
  <c r="K4809" i="28" s="1"/>
  <c r="J4810" i="28"/>
  <c r="K4810" i="28" s="1"/>
  <c r="J4811" i="28"/>
  <c r="K4811" i="28" s="1"/>
  <c r="J4812" i="28"/>
  <c r="K4812" i="28" s="1"/>
  <c r="J4813" i="28"/>
  <c r="K4813" i="28" s="1"/>
  <c r="J4814" i="28"/>
  <c r="K4814" i="28" s="1"/>
  <c r="J4815" i="28"/>
  <c r="K4815" i="28" s="1"/>
  <c r="J4816" i="28"/>
  <c r="K4816" i="28" s="1"/>
  <c r="J4817" i="28"/>
  <c r="K4817" i="28" s="1"/>
  <c r="J4818" i="28"/>
  <c r="K4818" i="28" s="1"/>
  <c r="J4819" i="28"/>
  <c r="K4819" i="28" s="1"/>
  <c r="J4820" i="28"/>
  <c r="K4820" i="28" s="1"/>
  <c r="J4821" i="28"/>
  <c r="K4821" i="28" s="1"/>
  <c r="J4822" i="28"/>
  <c r="K4822" i="28" s="1"/>
  <c r="J4823" i="28"/>
  <c r="K4823" i="28" s="1"/>
  <c r="J4824" i="28"/>
  <c r="K4824" i="28" s="1"/>
  <c r="J4825" i="28"/>
  <c r="K4825" i="28" s="1"/>
  <c r="J4826" i="28"/>
  <c r="K4826" i="28" s="1"/>
  <c r="J4827" i="28"/>
  <c r="K4827" i="28" s="1"/>
  <c r="J4828" i="28"/>
  <c r="K4828" i="28" s="1"/>
  <c r="J4829" i="28"/>
  <c r="K4829" i="28" s="1"/>
  <c r="J4830" i="28"/>
  <c r="K4830" i="28" s="1"/>
  <c r="J4831" i="28"/>
  <c r="K4831" i="28" s="1"/>
  <c r="J4832" i="28"/>
  <c r="K4832" i="28" s="1"/>
  <c r="J4833" i="28"/>
  <c r="K4833" i="28" s="1"/>
  <c r="J4834" i="28"/>
  <c r="K4834" i="28" s="1"/>
  <c r="J4835" i="28"/>
  <c r="K4835" i="28" s="1"/>
  <c r="J4836" i="28"/>
  <c r="K4836" i="28" s="1"/>
  <c r="J4837" i="28"/>
  <c r="K4837" i="28" s="1"/>
  <c r="J4838" i="28"/>
  <c r="K4838" i="28" s="1"/>
  <c r="J4839" i="28"/>
  <c r="K4839" i="28" s="1"/>
  <c r="J4840" i="28"/>
  <c r="K4840" i="28" s="1"/>
  <c r="J4841" i="28"/>
  <c r="K4841" i="28" s="1"/>
  <c r="J4842" i="28"/>
  <c r="K4842" i="28" s="1"/>
  <c r="J4843" i="28"/>
  <c r="K4843" i="28" s="1"/>
  <c r="J4844" i="28"/>
  <c r="K4844" i="28" s="1"/>
  <c r="J4845" i="28"/>
  <c r="K4845" i="28" s="1"/>
  <c r="J4846" i="28"/>
  <c r="K4846" i="28" s="1"/>
  <c r="J4847" i="28"/>
  <c r="K4847" i="28" s="1"/>
  <c r="J4848" i="28"/>
  <c r="K4848" i="28" s="1"/>
  <c r="J4849" i="28"/>
  <c r="K4849" i="28" s="1"/>
  <c r="J4850" i="28"/>
  <c r="K4850" i="28" s="1"/>
  <c r="J4851" i="28"/>
  <c r="K4851" i="28" s="1"/>
  <c r="J4852" i="28"/>
  <c r="K4852" i="28" s="1"/>
  <c r="J4853" i="28"/>
  <c r="K4853" i="28" s="1"/>
  <c r="J4854" i="28"/>
  <c r="K4854" i="28" s="1"/>
  <c r="J4855" i="28"/>
  <c r="K4855" i="28" s="1"/>
  <c r="J4856" i="28"/>
  <c r="K4856" i="28" s="1"/>
  <c r="J4857" i="28"/>
  <c r="K4857" i="28" s="1"/>
  <c r="J4858" i="28"/>
  <c r="K4858" i="28" s="1"/>
  <c r="J4859" i="28"/>
  <c r="K4859" i="28" s="1"/>
  <c r="J4860" i="28"/>
  <c r="K4860" i="28" s="1"/>
  <c r="J4861" i="28"/>
  <c r="K4861" i="28" s="1"/>
  <c r="J4862" i="28"/>
  <c r="K4862" i="28" s="1"/>
  <c r="J4863" i="28"/>
  <c r="K4863" i="28" s="1"/>
  <c r="J4864" i="28"/>
  <c r="K4864" i="28" s="1"/>
  <c r="J4865" i="28"/>
  <c r="K4865" i="28" s="1"/>
  <c r="J4866" i="28"/>
  <c r="K4866" i="28" s="1"/>
  <c r="J4867" i="28"/>
  <c r="K4867" i="28" s="1"/>
  <c r="J4868" i="28"/>
  <c r="K4868" i="28" s="1"/>
  <c r="J4869" i="28"/>
  <c r="K4869" i="28" s="1"/>
  <c r="J4870" i="28"/>
  <c r="K4870" i="28" s="1"/>
  <c r="J4871" i="28"/>
  <c r="K4871" i="28" s="1"/>
  <c r="J4872" i="28"/>
  <c r="K4872" i="28" s="1"/>
  <c r="J4873" i="28"/>
  <c r="K4873" i="28" s="1"/>
  <c r="J4874" i="28"/>
  <c r="K4874" i="28" s="1"/>
  <c r="J4875" i="28"/>
  <c r="K4875" i="28" s="1"/>
  <c r="J4876" i="28"/>
  <c r="K4876" i="28" s="1"/>
  <c r="J4877" i="28"/>
  <c r="K4877" i="28" s="1"/>
  <c r="J4878" i="28"/>
  <c r="K4878" i="28" s="1"/>
  <c r="J4879" i="28"/>
  <c r="K4879" i="28" s="1"/>
  <c r="J4880" i="28"/>
  <c r="K4880" i="28" s="1"/>
  <c r="J4881" i="28"/>
  <c r="K4881" i="28" s="1"/>
  <c r="J4882" i="28"/>
  <c r="K4882" i="28" s="1"/>
  <c r="J4883" i="28"/>
  <c r="K4883" i="28" s="1"/>
  <c r="J4884" i="28"/>
  <c r="K4884" i="28" s="1"/>
  <c r="J4885" i="28"/>
  <c r="K4885" i="28" s="1"/>
  <c r="J4886" i="28"/>
  <c r="K4886" i="28" s="1"/>
  <c r="J4887" i="28"/>
  <c r="K4887" i="28" s="1"/>
  <c r="J4888" i="28"/>
  <c r="K4888" i="28" s="1"/>
  <c r="J4889" i="28"/>
  <c r="K4889" i="28" s="1"/>
  <c r="J4890" i="28"/>
  <c r="K4890" i="28" s="1"/>
  <c r="J4891" i="28"/>
  <c r="K4891" i="28" s="1"/>
  <c r="J4892" i="28"/>
  <c r="K4892" i="28" s="1"/>
  <c r="J4893" i="28"/>
  <c r="K4893" i="28" s="1"/>
  <c r="J4894" i="28"/>
  <c r="K4894" i="28" s="1"/>
  <c r="J4895" i="28"/>
  <c r="K4895" i="28" s="1"/>
  <c r="J4896" i="28"/>
  <c r="K4896" i="28" s="1"/>
  <c r="J4897" i="28"/>
  <c r="K4897" i="28" s="1"/>
  <c r="J4898" i="28"/>
  <c r="K4898" i="28" s="1"/>
  <c r="J4899" i="28"/>
  <c r="K4899" i="28" s="1"/>
  <c r="J4900" i="28"/>
  <c r="K4900" i="28" s="1"/>
  <c r="J4901" i="28"/>
  <c r="K4901" i="28" s="1"/>
  <c r="J4902" i="28"/>
  <c r="K4902" i="28" s="1"/>
  <c r="J4903" i="28"/>
  <c r="K4903" i="28" s="1"/>
  <c r="J4904" i="28"/>
  <c r="K4904" i="28" s="1"/>
  <c r="J4905" i="28"/>
  <c r="K4905" i="28" s="1"/>
  <c r="J4906" i="28"/>
  <c r="K4906" i="28" s="1"/>
  <c r="J4907" i="28"/>
  <c r="K4907" i="28" s="1"/>
  <c r="J4908" i="28"/>
  <c r="K4908" i="28" s="1"/>
  <c r="J4909" i="28"/>
  <c r="K4909" i="28" s="1"/>
  <c r="J4910" i="28"/>
  <c r="K4910" i="28" s="1"/>
  <c r="J4911" i="28"/>
  <c r="K4911" i="28" s="1"/>
  <c r="J4912" i="28"/>
  <c r="K4912" i="28" s="1"/>
  <c r="J4913" i="28"/>
  <c r="K4913" i="28" s="1"/>
  <c r="J4914" i="28"/>
  <c r="K4914" i="28" s="1"/>
  <c r="J4915" i="28"/>
  <c r="K4915" i="28" s="1"/>
  <c r="J4916" i="28"/>
  <c r="K4916" i="28" s="1"/>
  <c r="J4917" i="28"/>
  <c r="K4917" i="28" s="1"/>
  <c r="J4918" i="28"/>
  <c r="K4918" i="28" s="1"/>
  <c r="J4919" i="28"/>
  <c r="K4919" i="28" s="1"/>
  <c r="J4920" i="28"/>
  <c r="K4920" i="28" s="1"/>
  <c r="J4921" i="28"/>
  <c r="K4921" i="28" s="1"/>
  <c r="J4922" i="28"/>
  <c r="K4922" i="28" s="1"/>
  <c r="J4923" i="28"/>
  <c r="K4923" i="28" s="1"/>
  <c r="J4924" i="28"/>
  <c r="K4924" i="28" s="1"/>
  <c r="J4925" i="28"/>
  <c r="K4925" i="28" s="1"/>
  <c r="J4926" i="28"/>
  <c r="K4926" i="28" s="1"/>
  <c r="J4927" i="28"/>
  <c r="K4927" i="28" s="1"/>
  <c r="J4928" i="28"/>
  <c r="K4928" i="28" s="1"/>
  <c r="J4929" i="28"/>
  <c r="K4929" i="28" s="1"/>
  <c r="J4930" i="28"/>
  <c r="K4930" i="28" s="1"/>
  <c r="J4931" i="28"/>
  <c r="K4931" i="28" s="1"/>
  <c r="J4932" i="28"/>
  <c r="K4932" i="28" s="1"/>
  <c r="J4933" i="28"/>
  <c r="K4933" i="28" s="1"/>
  <c r="J4934" i="28"/>
  <c r="K4934" i="28" s="1"/>
  <c r="J4935" i="28"/>
  <c r="K4935" i="28" s="1"/>
  <c r="J4936" i="28"/>
  <c r="K4936" i="28" s="1"/>
  <c r="J4937" i="28"/>
  <c r="K4937" i="28" s="1"/>
  <c r="J4938" i="28"/>
  <c r="K4938" i="28" s="1"/>
  <c r="J4939" i="28"/>
  <c r="K4939" i="28" s="1"/>
  <c r="J4940" i="28"/>
  <c r="K4940" i="28" s="1"/>
  <c r="J4941" i="28"/>
  <c r="K4941" i="28" s="1"/>
  <c r="J4942" i="28"/>
  <c r="K4942" i="28" s="1"/>
  <c r="J4943" i="28"/>
  <c r="K4943" i="28" s="1"/>
  <c r="J4944" i="28"/>
  <c r="K4944" i="28" s="1"/>
  <c r="J4945" i="28"/>
  <c r="K4945" i="28" s="1"/>
  <c r="J4946" i="28"/>
  <c r="K4946" i="28" s="1"/>
  <c r="J4947" i="28"/>
  <c r="K4947" i="28" s="1"/>
  <c r="J4948" i="28"/>
  <c r="K4948" i="28" s="1"/>
  <c r="J4949" i="28"/>
  <c r="K4949" i="28" s="1"/>
  <c r="J4950" i="28"/>
  <c r="K4950" i="28" s="1"/>
  <c r="J4951" i="28"/>
  <c r="K4951" i="28" s="1"/>
  <c r="J4952" i="28"/>
  <c r="K4952" i="28" s="1"/>
  <c r="J4953" i="28"/>
  <c r="K4953" i="28" s="1"/>
  <c r="J4954" i="28"/>
  <c r="K4954" i="28" s="1"/>
  <c r="J4955" i="28"/>
  <c r="K4955" i="28" s="1"/>
  <c r="J4956" i="28"/>
  <c r="K4956" i="28" s="1"/>
  <c r="J4957" i="28"/>
  <c r="K4957" i="28" s="1"/>
  <c r="J4958" i="28"/>
  <c r="K4958" i="28" s="1"/>
  <c r="J4959" i="28"/>
  <c r="K4959" i="28" s="1"/>
  <c r="J4960" i="28"/>
  <c r="K4960" i="28" s="1"/>
  <c r="J4961" i="28"/>
  <c r="K4961" i="28" s="1"/>
  <c r="J4962" i="28"/>
  <c r="K4962" i="28" s="1"/>
  <c r="J4963" i="28"/>
  <c r="K4963" i="28" s="1"/>
  <c r="J4964" i="28"/>
  <c r="K4964" i="28" s="1"/>
  <c r="J4965" i="28"/>
  <c r="K4965" i="28" s="1"/>
  <c r="J4966" i="28"/>
  <c r="K4966" i="28" s="1"/>
  <c r="J4967" i="28"/>
  <c r="K4967" i="28" s="1"/>
  <c r="J4968" i="28"/>
  <c r="K4968" i="28" s="1"/>
  <c r="J4969" i="28"/>
  <c r="K4969" i="28" s="1"/>
  <c r="J4970" i="28"/>
  <c r="K4970" i="28" s="1"/>
  <c r="J4971" i="28"/>
  <c r="K4971" i="28" s="1"/>
  <c r="J4972" i="28"/>
  <c r="K4972" i="28" s="1"/>
  <c r="J4973" i="28"/>
  <c r="K4973" i="28" s="1"/>
  <c r="J4974" i="28"/>
  <c r="K4974" i="28" s="1"/>
  <c r="J4975" i="28"/>
  <c r="K4975" i="28" s="1"/>
  <c r="J4976" i="28"/>
  <c r="K4976" i="28" s="1"/>
  <c r="J4977" i="28"/>
  <c r="K4977" i="28" s="1"/>
  <c r="J4978" i="28"/>
  <c r="K4978" i="28" s="1"/>
  <c r="J4979" i="28"/>
  <c r="K4979" i="28" s="1"/>
  <c r="J4980" i="28"/>
  <c r="K4980" i="28" s="1"/>
  <c r="J4981" i="28"/>
  <c r="K4981" i="28" s="1"/>
  <c r="J4982" i="28"/>
  <c r="K4982" i="28" s="1"/>
  <c r="J4983" i="28"/>
  <c r="K4983" i="28" s="1"/>
  <c r="J4984" i="28"/>
  <c r="K4984" i="28" s="1"/>
  <c r="J4985" i="28"/>
  <c r="K4985" i="28" s="1"/>
  <c r="J4986" i="28"/>
  <c r="K4986" i="28" s="1"/>
  <c r="J4987" i="28"/>
  <c r="K4987" i="28" s="1"/>
  <c r="J4988" i="28"/>
  <c r="K4988" i="28" s="1"/>
  <c r="J4989" i="28"/>
  <c r="K4989" i="28" s="1"/>
  <c r="J4990" i="28"/>
  <c r="K4990" i="28" s="1"/>
  <c r="J4991" i="28"/>
  <c r="K4991" i="28" s="1"/>
  <c r="J4992" i="28"/>
  <c r="K4992" i="28" s="1"/>
  <c r="J4993" i="28"/>
  <c r="K4993" i="28" s="1"/>
  <c r="J4994" i="28"/>
  <c r="K4994" i="28" s="1"/>
  <c r="J4995" i="28"/>
  <c r="K4995" i="28" s="1"/>
  <c r="J4996" i="28"/>
  <c r="K4996" i="28" s="1"/>
  <c r="J4997" i="28"/>
  <c r="K4997" i="28" s="1"/>
  <c r="J4998" i="28"/>
  <c r="K4998" i="28" s="1"/>
  <c r="J4999" i="28"/>
  <c r="K4999" i="28" s="1"/>
  <c r="J5000" i="28"/>
  <c r="K5000" i="28" s="1"/>
  <c r="J5001" i="28"/>
  <c r="K5001" i="28" s="1"/>
  <c r="J5002" i="28"/>
  <c r="K5002" i="28" s="1"/>
  <c r="J5003" i="28"/>
  <c r="K5003" i="28" s="1"/>
  <c r="J5004" i="28"/>
  <c r="K5004" i="28" s="1"/>
  <c r="J5005" i="28"/>
  <c r="K5005" i="28" s="1"/>
  <c r="J5006" i="28"/>
  <c r="K5006" i="28" s="1"/>
  <c r="J5007" i="28"/>
  <c r="K5007" i="28" s="1"/>
  <c r="J5008" i="28"/>
  <c r="K5008" i="28" s="1"/>
  <c r="J5009" i="28"/>
  <c r="K5009" i="28" s="1"/>
  <c r="J5010" i="28"/>
  <c r="K5010" i="28" s="1"/>
  <c r="J5011" i="28"/>
  <c r="K5011" i="28" s="1"/>
  <c r="J5012" i="28"/>
  <c r="K5012" i="28" s="1"/>
  <c r="J5013" i="28"/>
  <c r="K5013" i="28" s="1"/>
  <c r="J5014" i="28"/>
  <c r="K5014" i="28" s="1"/>
  <c r="J5015" i="28"/>
  <c r="K5015" i="28" s="1"/>
  <c r="J5016" i="28"/>
  <c r="K5016" i="28" s="1"/>
  <c r="J5017" i="28"/>
  <c r="K5017" i="28" s="1"/>
  <c r="J5018" i="28"/>
  <c r="K5018" i="28" s="1"/>
  <c r="J5019" i="28"/>
  <c r="K5019" i="28" s="1"/>
  <c r="J5020" i="28"/>
  <c r="K5020" i="28" s="1"/>
  <c r="J5021" i="28"/>
  <c r="K5021" i="28" s="1"/>
  <c r="J5022" i="28"/>
  <c r="K5022" i="28" s="1"/>
  <c r="J5023" i="28"/>
  <c r="K5023" i="28" s="1"/>
  <c r="J5024" i="28"/>
  <c r="K5024" i="28" s="1"/>
  <c r="J5025" i="28"/>
  <c r="K5025" i="28" s="1"/>
  <c r="J5026" i="28"/>
  <c r="K5026" i="28" s="1"/>
  <c r="J5027" i="28"/>
  <c r="K5027" i="28" s="1"/>
  <c r="J5028" i="28"/>
  <c r="K5028" i="28" s="1"/>
  <c r="J5029" i="28"/>
  <c r="K5029" i="28" s="1"/>
  <c r="J5030" i="28"/>
  <c r="K5030" i="28" s="1"/>
  <c r="J5031" i="28"/>
  <c r="K5031" i="28" s="1"/>
  <c r="J5032" i="28"/>
  <c r="K5032" i="28" s="1"/>
  <c r="J5033" i="28"/>
  <c r="K5033" i="28" s="1"/>
  <c r="J5034" i="28"/>
  <c r="K5034" i="28" s="1"/>
  <c r="J5035" i="28"/>
  <c r="K5035" i="28" s="1"/>
  <c r="J5036" i="28"/>
  <c r="K5036" i="28" s="1"/>
  <c r="J5037" i="28"/>
  <c r="K5037" i="28" s="1"/>
  <c r="J5038" i="28"/>
  <c r="K5038" i="28" s="1"/>
  <c r="J5039" i="28"/>
  <c r="K5039" i="28" s="1"/>
  <c r="J5040" i="28"/>
  <c r="K5040" i="28" s="1"/>
  <c r="J5041" i="28"/>
  <c r="K5041" i="28" s="1"/>
  <c r="J5042" i="28"/>
  <c r="K5042" i="28" s="1"/>
  <c r="J5043" i="28"/>
  <c r="K5043" i="28" s="1"/>
  <c r="J5044" i="28"/>
  <c r="K5044" i="28" s="1"/>
  <c r="J5045" i="28"/>
  <c r="K5045" i="28" s="1"/>
  <c r="J5046" i="28"/>
  <c r="K5046" i="28" s="1"/>
  <c r="J5047" i="28"/>
  <c r="K5047" i="28" s="1"/>
  <c r="J5048" i="28"/>
  <c r="K5048" i="28" s="1"/>
  <c r="J5049" i="28"/>
  <c r="K5049" i="28" s="1"/>
  <c r="J5050" i="28"/>
  <c r="K5050" i="28" s="1"/>
  <c r="J5051" i="28"/>
  <c r="K5051" i="28" s="1"/>
  <c r="J5052" i="28"/>
  <c r="K5052" i="28" s="1"/>
  <c r="J5053" i="28"/>
  <c r="K5053" i="28" s="1"/>
  <c r="J5054" i="28"/>
  <c r="K5054" i="28" s="1"/>
  <c r="J5055" i="28"/>
  <c r="K5055" i="28" s="1"/>
  <c r="J5056" i="28"/>
  <c r="K5056" i="28" s="1"/>
  <c r="J5057" i="28"/>
  <c r="K5057" i="28" s="1"/>
  <c r="J5058" i="28"/>
  <c r="K5058" i="28" s="1"/>
  <c r="J5059" i="28"/>
  <c r="K5059" i="28" s="1"/>
  <c r="J5060" i="28"/>
  <c r="K5060" i="28" s="1"/>
  <c r="J5061" i="28"/>
  <c r="K5061" i="28" s="1"/>
  <c r="J5062" i="28"/>
  <c r="K5062" i="28" s="1"/>
  <c r="J5063" i="28"/>
  <c r="K5063" i="28" s="1"/>
  <c r="J5064" i="28"/>
  <c r="K5064" i="28" s="1"/>
  <c r="J5065" i="28"/>
  <c r="K5065" i="28" s="1"/>
  <c r="J5066" i="28"/>
  <c r="K5066" i="28" s="1"/>
  <c r="J5067" i="28"/>
  <c r="K5067" i="28" s="1"/>
  <c r="J5068" i="28"/>
  <c r="K5068" i="28" s="1"/>
  <c r="J5069" i="28"/>
  <c r="K5069" i="28" s="1"/>
  <c r="J5070" i="28"/>
  <c r="K5070" i="28" s="1"/>
  <c r="J5071" i="28"/>
  <c r="K5071" i="28" s="1"/>
  <c r="J5072" i="28"/>
  <c r="K5072" i="28" s="1"/>
  <c r="J5073" i="28"/>
  <c r="K5073" i="28" s="1"/>
  <c r="J5074" i="28"/>
  <c r="K5074" i="28" s="1"/>
  <c r="J5075" i="28"/>
  <c r="K5075" i="28" s="1"/>
  <c r="J5076" i="28"/>
  <c r="K5076" i="28" s="1"/>
  <c r="J5077" i="28"/>
  <c r="K5077" i="28" s="1"/>
  <c r="J5078" i="28"/>
  <c r="K5078" i="28" s="1"/>
  <c r="J5079" i="28"/>
  <c r="K5079" i="28" s="1"/>
  <c r="J5080" i="28"/>
  <c r="K5080" i="28" s="1"/>
  <c r="J5081" i="28"/>
  <c r="K5081" i="28" s="1"/>
  <c r="J5082" i="28"/>
  <c r="K5082" i="28" s="1"/>
  <c r="J5083" i="28"/>
  <c r="K5083" i="28" s="1"/>
  <c r="J5084" i="28"/>
  <c r="K5084" i="28" s="1"/>
  <c r="J5085" i="28"/>
  <c r="K5085" i="28" s="1"/>
  <c r="J5086" i="28"/>
  <c r="K5086" i="28" s="1"/>
  <c r="J5087" i="28"/>
  <c r="K5087" i="28" s="1"/>
  <c r="J5088" i="28"/>
  <c r="K5088" i="28" s="1"/>
  <c r="J5089" i="28"/>
  <c r="K5089" i="28" s="1"/>
  <c r="J5090" i="28"/>
  <c r="K5090" i="28" s="1"/>
  <c r="J5091" i="28"/>
  <c r="K5091" i="28" s="1"/>
  <c r="J5092" i="28"/>
  <c r="K5092" i="28" s="1"/>
  <c r="J5093" i="28"/>
  <c r="K5093" i="28" s="1"/>
  <c r="J5094" i="28"/>
  <c r="K5094" i="28" s="1"/>
  <c r="J5095" i="28"/>
  <c r="K5095" i="28" s="1"/>
  <c r="J5096" i="28"/>
  <c r="K5096" i="28" s="1"/>
  <c r="J5097" i="28"/>
  <c r="K5097" i="28" s="1"/>
  <c r="J5098" i="28"/>
  <c r="K5098" i="28" s="1"/>
  <c r="J5099" i="28"/>
  <c r="K5099" i="28" s="1"/>
  <c r="J5100" i="28"/>
  <c r="K5100" i="28" s="1"/>
  <c r="J5101" i="28"/>
  <c r="K5101" i="28" s="1"/>
  <c r="J5102" i="28"/>
  <c r="K5102" i="28" s="1"/>
  <c r="J5103" i="28"/>
  <c r="K5103" i="28" s="1"/>
  <c r="J5104" i="28"/>
  <c r="K5104" i="28" s="1"/>
  <c r="J5105" i="28"/>
  <c r="K5105" i="28" s="1"/>
  <c r="J5106" i="28"/>
  <c r="K5106" i="28" s="1"/>
  <c r="J5107" i="28"/>
  <c r="K5107" i="28" s="1"/>
  <c r="J5108" i="28"/>
  <c r="K5108" i="28" s="1"/>
  <c r="J5109" i="28"/>
  <c r="K5109" i="28" s="1"/>
  <c r="J5110" i="28"/>
  <c r="K5110" i="28" s="1"/>
  <c r="J5111" i="28"/>
  <c r="K5111" i="28" s="1"/>
  <c r="J5112" i="28"/>
  <c r="K5112" i="28" s="1"/>
  <c r="J5113" i="28"/>
  <c r="K5113" i="28" s="1"/>
  <c r="J5114" i="28"/>
  <c r="K5114" i="28" s="1"/>
  <c r="J5115" i="28"/>
  <c r="K5115" i="28" s="1"/>
  <c r="J5116" i="28"/>
  <c r="K5116" i="28" s="1"/>
  <c r="J5117" i="28"/>
  <c r="K5117" i="28" s="1"/>
  <c r="J5118" i="28"/>
  <c r="K5118" i="28" s="1"/>
  <c r="J5119" i="28"/>
  <c r="K5119" i="28" s="1"/>
  <c r="J5120" i="28"/>
  <c r="K5120" i="28" s="1"/>
  <c r="J5121" i="28"/>
  <c r="K5121" i="28" s="1"/>
  <c r="J5122" i="28"/>
  <c r="K5122" i="28" s="1"/>
  <c r="J5123" i="28"/>
  <c r="K5123" i="28" s="1"/>
  <c r="J5124" i="28"/>
  <c r="K5124" i="28" s="1"/>
  <c r="J5125" i="28"/>
  <c r="K5125" i="28" s="1"/>
  <c r="J5126" i="28"/>
  <c r="K5126" i="28" s="1"/>
  <c r="J5127" i="28"/>
  <c r="K5127" i="28" s="1"/>
  <c r="J5128" i="28"/>
  <c r="K5128" i="28" s="1"/>
  <c r="J5129" i="28"/>
  <c r="K5129" i="28" s="1"/>
  <c r="J5130" i="28"/>
  <c r="K5130" i="28" s="1"/>
  <c r="J5131" i="28"/>
  <c r="K5131" i="28" s="1"/>
  <c r="J5132" i="28"/>
  <c r="K5132" i="28" s="1"/>
  <c r="J5133" i="28"/>
  <c r="K5133" i="28" s="1"/>
  <c r="J5134" i="28"/>
  <c r="K5134" i="28" s="1"/>
  <c r="J5135" i="28"/>
  <c r="K5135" i="28" s="1"/>
  <c r="J5136" i="28"/>
  <c r="K5136" i="28" s="1"/>
  <c r="J5137" i="28"/>
  <c r="K5137" i="28" s="1"/>
  <c r="J5138" i="28"/>
  <c r="K5138" i="28" s="1"/>
  <c r="J5139" i="28"/>
  <c r="K5139" i="28" s="1"/>
  <c r="J5140" i="28"/>
  <c r="K5140" i="28" s="1"/>
  <c r="J5141" i="28"/>
  <c r="K5141" i="28" s="1"/>
  <c r="J5142" i="28"/>
  <c r="K5142" i="28" s="1"/>
  <c r="J5143" i="28"/>
  <c r="K5143" i="28" s="1"/>
  <c r="J5144" i="28"/>
  <c r="K5144" i="28" s="1"/>
  <c r="J5145" i="28"/>
  <c r="K5145" i="28" s="1"/>
  <c r="J5146" i="28"/>
  <c r="K5146" i="28" s="1"/>
  <c r="J5147" i="28"/>
  <c r="K5147" i="28" s="1"/>
  <c r="J5148" i="28"/>
  <c r="K5148" i="28" s="1"/>
  <c r="J5149" i="28"/>
  <c r="K5149" i="28" s="1"/>
  <c r="J5150" i="28"/>
  <c r="K5150" i="28" s="1"/>
  <c r="J5151" i="28"/>
  <c r="K5151" i="28" s="1"/>
  <c r="J5152" i="28"/>
  <c r="K5152" i="28" s="1"/>
  <c r="J5153" i="28"/>
  <c r="K5153" i="28" s="1"/>
  <c r="J5154" i="28"/>
  <c r="K5154" i="28" s="1"/>
  <c r="J5155" i="28"/>
  <c r="K5155" i="28" s="1"/>
  <c r="J5156" i="28"/>
  <c r="K5156" i="28" s="1"/>
  <c r="J5157" i="28"/>
  <c r="K5157" i="28" s="1"/>
  <c r="J5158" i="28"/>
  <c r="K5158" i="28" s="1"/>
  <c r="J5159" i="28"/>
  <c r="K5159" i="28" s="1"/>
  <c r="J5160" i="28"/>
  <c r="K5160" i="28" s="1"/>
  <c r="J5161" i="28"/>
  <c r="K5161" i="28" s="1"/>
  <c r="J5162" i="28"/>
  <c r="K5162" i="28" s="1"/>
  <c r="J5163" i="28"/>
  <c r="K5163" i="28" s="1"/>
  <c r="J5164" i="28"/>
  <c r="K5164" i="28" s="1"/>
  <c r="J5165" i="28"/>
  <c r="K5165" i="28" s="1"/>
  <c r="J5166" i="28"/>
  <c r="K5166" i="28" s="1"/>
  <c r="J5167" i="28"/>
  <c r="K5167" i="28" s="1"/>
  <c r="J5168" i="28"/>
  <c r="K5168" i="28" s="1"/>
  <c r="J5169" i="28"/>
  <c r="K5169" i="28" s="1"/>
  <c r="J5170" i="28"/>
  <c r="K5170" i="28" s="1"/>
  <c r="J5171" i="28"/>
  <c r="K5171" i="28" s="1"/>
  <c r="J5172" i="28"/>
  <c r="K5172" i="28" s="1"/>
  <c r="J5173" i="28"/>
  <c r="K5173" i="28" s="1"/>
  <c r="J5174" i="28"/>
  <c r="K5174" i="28" s="1"/>
  <c r="J5175" i="28"/>
  <c r="K5175" i="28" s="1"/>
  <c r="J5176" i="28"/>
  <c r="K5176" i="28" s="1"/>
  <c r="J5177" i="28"/>
  <c r="K5177" i="28" s="1"/>
  <c r="J5178" i="28"/>
  <c r="K5178" i="28" s="1"/>
  <c r="J5179" i="28"/>
  <c r="K5179" i="28" s="1"/>
  <c r="J5180" i="28"/>
  <c r="K5180" i="28" s="1"/>
  <c r="J5181" i="28"/>
  <c r="K5181" i="28" s="1"/>
  <c r="J5182" i="28"/>
  <c r="K5182" i="28" s="1"/>
  <c r="J5183" i="28"/>
  <c r="K5183" i="28" s="1"/>
  <c r="J5184" i="28"/>
  <c r="K5184" i="28" s="1"/>
  <c r="J5185" i="28"/>
  <c r="K5185" i="28" s="1"/>
  <c r="J5186" i="28"/>
  <c r="K5186" i="28" s="1"/>
  <c r="J5187" i="28"/>
  <c r="K5187" i="28" s="1"/>
  <c r="J5188" i="28"/>
  <c r="K5188" i="28" s="1"/>
  <c r="J5189" i="28"/>
  <c r="K5189" i="28" s="1"/>
  <c r="J5190" i="28"/>
  <c r="K5190" i="28" s="1"/>
  <c r="J5191" i="28"/>
  <c r="K5191" i="28" s="1"/>
  <c r="J5192" i="28"/>
  <c r="K5192" i="28" s="1"/>
  <c r="J5193" i="28"/>
  <c r="K5193" i="28" s="1"/>
  <c r="J5194" i="28"/>
  <c r="K5194" i="28" s="1"/>
  <c r="J5195" i="28"/>
  <c r="K5195" i="28" s="1"/>
  <c r="J5196" i="28"/>
  <c r="K5196" i="28" s="1"/>
  <c r="J5197" i="28"/>
  <c r="K5197" i="28" s="1"/>
  <c r="J5198" i="28"/>
  <c r="K5198" i="28" s="1"/>
  <c r="J5199" i="28"/>
  <c r="K5199" i="28" s="1"/>
  <c r="J5200" i="28"/>
  <c r="K5200" i="28" s="1"/>
  <c r="J5201" i="28"/>
  <c r="K5201" i="28" s="1"/>
  <c r="J5202" i="28"/>
  <c r="K5202" i="28" s="1"/>
  <c r="J5203" i="28"/>
  <c r="K5203" i="28" s="1"/>
  <c r="J5204" i="28"/>
  <c r="K5204" i="28" s="1"/>
  <c r="J5205" i="28"/>
  <c r="K5205" i="28" s="1"/>
  <c r="J5206" i="28"/>
  <c r="K5206" i="28" s="1"/>
  <c r="J5207" i="28"/>
  <c r="K5207" i="28" s="1"/>
  <c r="J5208" i="28"/>
  <c r="K5208" i="28" s="1"/>
  <c r="J5209" i="28"/>
  <c r="K5209" i="28" s="1"/>
  <c r="J5210" i="28"/>
  <c r="K5210" i="28" s="1"/>
  <c r="J5211" i="28"/>
  <c r="K5211" i="28" s="1"/>
  <c r="J5212" i="28"/>
  <c r="K5212" i="28" s="1"/>
  <c r="J5213" i="28"/>
  <c r="K5213" i="28" s="1"/>
  <c r="J5214" i="28"/>
  <c r="K5214" i="28" s="1"/>
  <c r="J5215" i="28"/>
  <c r="K5215" i="28" s="1"/>
  <c r="J5216" i="28"/>
  <c r="K5216" i="28" s="1"/>
  <c r="J5217" i="28"/>
  <c r="K5217" i="28" s="1"/>
  <c r="J5218" i="28"/>
  <c r="K5218" i="28" s="1"/>
  <c r="J5219" i="28"/>
  <c r="K5219" i="28" s="1"/>
  <c r="J5220" i="28"/>
  <c r="K5220" i="28" s="1"/>
  <c r="J5221" i="28"/>
  <c r="K5221" i="28" s="1"/>
  <c r="J5222" i="28"/>
  <c r="K5222" i="28" s="1"/>
  <c r="J5223" i="28"/>
  <c r="K5223" i="28" s="1"/>
  <c r="J5224" i="28"/>
  <c r="K5224" i="28" s="1"/>
  <c r="J5225" i="28"/>
  <c r="K5225" i="28" s="1"/>
  <c r="J5226" i="28"/>
  <c r="K5226" i="28" s="1"/>
  <c r="J5227" i="28"/>
  <c r="K5227" i="28" s="1"/>
  <c r="J5228" i="28"/>
  <c r="K5228" i="28" s="1"/>
  <c r="J5229" i="28"/>
  <c r="K5229" i="28" s="1"/>
  <c r="J5230" i="28"/>
  <c r="K5230" i="28" s="1"/>
  <c r="J5231" i="28"/>
  <c r="K5231" i="28" s="1"/>
  <c r="J5232" i="28"/>
  <c r="K5232" i="28" s="1"/>
  <c r="J5233" i="28"/>
  <c r="K5233" i="28" s="1"/>
  <c r="J5234" i="28"/>
  <c r="K5234" i="28" s="1"/>
  <c r="J5235" i="28"/>
  <c r="K5235" i="28" s="1"/>
  <c r="J5236" i="28"/>
  <c r="K5236" i="28" s="1"/>
  <c r="J5237" i="28"/>
  <c r="K5237" i="28" s="1"/>
  <c r="J5238" i="28"/>
  <c r="K5238" i="28" s="1"/>
  <c r="J5239" i="28"/>
  <c r="K5239" i="28" s="1"/>
  <c r="J5240" i="28"/>
  <c r="K5240" i="28" s="1"/>
  <c r="J5241" i="28"/>
  <c r="K5241" i="28" s="1"/>
  <c r="J5242" i="28"/>
  <c r="K5242" i="28" s="1"/>
  <c r="J5243" i="28"/>
  <c r="K5243" i="28" s="1"/>
  <c r="J5244" i="28"/>
  <c r="K5244" i="28" s="1"/>
  <c r="J5245" i="28"/>
  <c r="K5245" i="28" s="1"/>
  <c r="J5246" i="28"/>
  <c r="K5246" i="28" s="1"/>
  <c r="J5247" i="28"/>
  <c r="K5247" i="28" s="1"/>
  <c r="J5248" i="28"/>
  <c r="K5248" i="28" s="1"/>
  <c r="J5249" i="28"/>
  <c r="K5249" i="28" s="1"/>
  <c r="J5250" i="28"/>
  <c r="K5250" i="28" s="1"/>
  <c r="J5251" i="28"/>
  <c r="K5251" i="28" s="1"/>
  <c r="J5252" i="28"/>
  <c r="K5252" i="28" s="1"/>
  <c r="J5253" i="28"/>
  <c r="K5253" i="28" s="1"/>
  <c r="J5254" i="28"/>
  <c r="K5254" i="28" s="1"/>
  <c r="J5255" i="28"/>
  <c r="K5255" i="28" s="1"/>
  <c r="J5256" i="28"/>
  <c r="K5256" i="28" s="1"/>
  <c r="J5257" i="28"/>
  <c r="K5257" i="28" s="1"/>
  <c r="J5258" i="28"/>
  <c r="K5258" i="28" s="1"/>
  <c r="J5259" i="28"/>
  <c r="K5259" i="28" s="1"/>
  <c r="J5260" i="28"/>
  <c r="K5260" i="28" s="1"/>
  <c r="J5261" i="28"/>
  <c r="K5261" i="28" s="1"/>
  <c r="J5262" i="28"/>
  <c r="K5262" i="28" s="1"/>
  <c r="J5263" i="28"/>
  <c r="K5263" i="28" s="1"/>
  <c r="J5264" i="28"/>
  <c r="K5264" i="28" s="1"/>
  <c r="J5265" i="28"/>
  <c r="K5265" i="28" s="1"/>
  <c r="J5266" i="28"/>
  <c r="K5266" i="28" s="1"/>
  <c r="J5267" i="28"/>
  <c r="K5267" i="28" s="1"/>
  <c r="J5268" i="28"/>
  <c r="K5268" i="28" s="1"/>
  <c r="J5269" i="28"/>
  <c r="K5269" i="28" s="1"/>
  <c r="J5270" i="28"/>
  <c r="K5270" i="28" s="1"/>
  <c r="J5271" i="28"/>
  <c r="K5271" i="28" s="1"/>
  <c r="J5272" i="28"/>
  <c r="K5272" i="28" s="1"/>
  <c r="J5273" i="28"/>
  <c r="K5273" i="28" s="1"/>
  <c r="J5274" i="28"/>
  <c r="K5274" i="28" s="1"/>
  <c r="J5275" i="28"/>
  <c r="K5275" i="28" s="1"/>
  <c r="J5276" i="28"/>
  <c r="K5276" i="28" s="1"/>
  <c r="J5277" i="28"/>
  <c r="K5277" i="28" s="1"/>
  <c r="J5278" i="28"/>
  <c r="K5278" i="28" s="1"/>
  <c r="J5279" i="28"/>
  <c r="K5279" i="28" s="1"/>
  <c r="J5280" i="28"/>
  <c r="K5280" i="28" s="1"/>
  <c r="J5281" i="28"/>
  <c r="K5281" i="28" s="1"/>
  <c r="J5282" i="28"/>
  <c r="K5282" i="28" s="1"/>
  <c r="J5283" i="28"/>
  <c r="K5283" i="28" s="1"/>
  <c r="J5284" i="28"/>
  <c r="K5284" i="28" s="1"/>
  <c r="J5285" i="28"/>
  <c r="K5285" i="28" s="1"/>
  <c r="J5286" i="28"/>
  <c r="K5286" i="28" s="1"/>
  <c r="J5287" i="28"/>
  <c r="K5287" i="28" s="1"/>
  <c r="J5288" i="28"/>
  <c r="K5288" i="28" s="1"/>
  <c r="J5289" i="28"/>
  <c r="K5289" i="28" s="1"/>
  <c r="J5290" i="28"/>
  <c r="K5290" i="28" s="1"/>
  <c r="J5291" i="28"/>
  <c r="K5291" i="28" s="1"/>
  <c r="J5292" i="28"/>
  <c r="K5292" i="28" s="1"/>
  <c r="J5293" i="28"/>
  <c r="K5293" i="28" s="1"/>
  <c r="J5294" i="28"/>
  <c r="K5294" i="28" s="1"/>
  <c r="J5295" i="28"/>
  <c r="K5295" i="28" s="1"/>
  <c r="J5296" i="28"/>
  <c r="K5296" i="28" s="1"/>
  <c r="J5297" i="28"/>
  <c r="K5297" i="28" s="1"/>
  <c r="J5298" i="28"/>
  <c r="K5298" i="28" s="1"/>
  <c r="J5299" i="28"/>
  <c r="K5299" i="28" s="1"/>
  <c r="J5300" i="28"/>
  <c r="K5300" i="28" s="1"/>
  <c r="J5301" i="28"/>
  <c r="K5301" i="28" s="1"/>
  <c r="J5302" i="28"/>
  <c r="K5302" i="28" s="1"/>
  <c r="J5303" i="28"/>
  <c r="K5303" i="28" s="1"/>
  <c r="J5304" i="28"/>
  <c r="K5304" i="28" s="1"/>
  <c r="J5305" i="28"/>
  <c r="K5305" i="28" s="1"/>
  <c r="J5306" i="28"/>
  <c r="K5306" i="28" s="1"/>
  <c r="J5307" i="28"/>
  <c r="K5307" i="28" s="1"/>
  <c r="J5308" i="28"/>
  <c r="K5308" i="28" s="1"/>
  <c r="J5309" i="28"/>
  <c r="K5309" i="28" s="1"/>
  <c r="J5310" i="28"/>
  <c r="K5310" i="28" s="1"/>
  <c r="J5311" i="28"/>
  <c r="K5311" i="28" s="1"/>
  <c r="J5312" i="28"/>
  <c r="K5312" i="28" s="1"/>
  <c r="J5313" i="28"/>
  <c r="K5313" i="28" s="1"/>
  <c r="J5314" i="28"/>
  <c r="K5314" i="28" s="1"/>
  <c r="J5315" i="28"/>
  <c r="K5315" i="28" s="1"/>
  <c r="J5316" i="28"/>
  <c r="K5316" i="28" s="1"/>
  <c r="J5317" i="28"/>
  <c r="K5317" i="28" s="1"/>
  <c r="J5318" i="28"/>
  <c r="K5318" i="28" s="1"/>
  <c r="J5319" i="28"/>
  <c r="K5319" i="28" s="1"/>
  <c r="J5320" i="28"/>
  <c r="K5320" i="28" s="1"/>
  <c r="J5321" i="28"/>
  <c r="K5321" i="28" s="1"/>
  <c r="J5322" i="28"/>
  <c r="K5322" i="28" s="1"/>
  <c r="J5323" i="28"/>
  <c r="K5323" i="28" s="1"/>
  <c r="J5324" i="28"/>
  <c r="K5324" i="28" s="1"/>
  <c r="J5325" i="28"/>
  <c r="K5325" i="28" s="1"/>
  <c r="J5326" i="28"/>
  <c r="K5326" i="28" s="1"/>
  <c r="J5327" i="28"/>
  <c r="K5327" i="28" s="1"/>
  <c r="J5328" i="28"/>
  <c r="K5328" i="28" s="1"/>
  <c r="J5329" i="28"/>
  <c r="K5329" i="28" s="1"/>
  <c r="J5330" i="28"/>
  <c r="K5330" i="28" s="1"/>
  <c r="J5331" i="28"/>
  <c r="K5331" i="28" s="1"/>
  <c r="J5332" i="28"/>
  <c r="K5332" i="28" s="1"/>
  <c r="J5333" i="28"/>
  <c r="K5333" i="28" s="1"/>
  <c r="J5334" i="28"/>
  <c r="K5334" i="28" s="1"/>
  <c r="J5335" i="28"/>
  <c r="K5335" i="28" s="1"/>
  <c r="J5336" i="28"/>
  <c r="K5336" i="28" s="1"/>
  <c r="J5337" i="28"/>
  <c r="K5337" i="28" s="1"/>
  <c r="J5338" i="28"/>
  <c r="K5338" i="28" s="1"/>
  <c r="J5339" i="28"/>
  <c r="K5339" i="28" s="1"/>
  <c r="J5340" i="28"/>
  <c r="K5340" i="28" s="1"/>
  <c r="J5341" i="28"/>
  <c r="K5341" i="28" s="1"/>
  <c r="J5342" i="28"/>
  <c r="K5342" i="28" s="1"/>
  <c r="J5343" i="28"/>
  <c r="K5343" i="28" s="1"/>
  <c r="J5344" i="28"/>
  <c r="K5344" i="28" s="1"/>
  <c r="J5345" i="28"/>
  <c r="K5345" i="28" s="1"/>
  <c r="J5346" i="28"/>
  <c r="K5346" i="28" s="1"/>
  <c r="J5347" i="28"/>
  <c r="K5347" i="28" s="1"/>
  <c r="J5348" i="28"/>
  <c r="K5348" i="28" s="1"/>
  <c r="J5349" i="28"/>
  <c r="K5349" i="28" s="1"/>
  <c r="J5350" i="28"/>
  <c r="K5350" i="28" s="1"/>
  <c r="J5351" i="28"/>
  <c r="K5351" i="28" s="1"/>
  <c r="J5352" i="28"/>
  <c r="K5352" i="28" s="1"/>
  <c r="J5353" i="28"/>
  <c r="K5353" i="28" s="1"/>
  <c r="J5354" i="28"/>
  <c r="K5354" i="28" s="1"/>
  <c r="J5355" i="28"/>
  <c r="K5355" i="28" s="1"/>
  <c r="J5356" i="28"/>
  <c r="K5356" i="28" s="1"/>
  <c r="J5357" i="28"/>
  <c r="K5357" i="28" s="1"/>
  <c r="J5358" i="28"/>
  <c r="K5358" i="28" s="1"/>
  <c r="J5359" i="28"/>
  <c r="K5359" i="28" s="1"/>
  <c r="J5360" i="28"/>
  <c r="K5360" i="28" s="1"/>
  <c r="J5361" i="28"/>
  <c r="K5361" i="28" s="1"/>
  <c r="J5362" i="28"/>
  <c r="K5362" i="28" s="1"/>
  <c r="J5363" i="28"/>
  <c r="K5363" i="28" s="1"/>
  <c r="J5364" i="28"/>
  <c r="K5364" i="28" s="1"/>
  <c r="J5365" i="28"/>
  <c r="K5365" i="28" s="1"/>
  <c r="J5366" i="28"/>
  <c r="K5366" i="28" s="1"/>
  <c r="J5367" i="28"/>
  <c r="K5367" i="28" s="1"/>
  <c r="J5368" i="28"/>
  <c r="K5368" i="28" s="1"/>
  <c r="J5369" i="28"/>
  <c r="K5369" i="28" s="1"/>
  <c r="J5370" i="28"/>
  <c r="K5370" i="28" s="1"/>
  <c r="J5371" i="28"/>
  <c r="K5371" i="28" s="1"/>
  <c r="J5372" i="28"/>
  <c r="K5372" i="28" s="1"/>
  <c r="J5373" i="28"/>
  <c r="K5373" i="28" s="1"/>
  <c r="J5374" i="28"/>
  <c r="K5374" i="28" s="1"/>
  <c r="J5375" i="28"/>
  <c r="K5375" i="28" s="1"/>
  <c r="J5376" i="28"/>
  <c r="K5376" i="28" s="1"/>
  <c r="J5377" i="28"/>
  <c r="K5377" i="28" s="1"/>
  <c r="J5378" i="28"/>
  <c r="K5378" i="28" s="1"/>
  <c r="J5379" i="28"/>
  <c r="K5379" i="28" s="1"/>
  <c r="J5380" i="28"/>
  <c r="K5380" i="28" s="1"/>
  <c r="J5381" i="28"/>
  <c r="K5381" i="28" s="1"/>
  <c r="J5382" i="28"/>
  <c r="K5382" i="28" s="1"/>
  <c r="J5383" i="28"/>
  <c r="K5383" i="28" s="1"/>
  <c r="J5384" i="28"/>
  <c r="K5384" i="28" s="1"/>
  <c r="J5385" i="28"/>
  <c r="K5385" i="28" s="1"/>
  <c r="J5386" i="28"/>
  <c r="K5386" i="28" s="1"/>
  <c r="J5387" i="28"/>
  <c r="K5387" i="28" s="1"/>
  <c r="J5388" i="28"/>
  <c r="K5388" i="28" s="1"/>
  <c r="J5389" i="28"/>
  <c r="K5389" i="28" s="1"/>
  <c r="J5390" i="28"/>
  <c r="K5390" i="28" s="1"/>
  <c r="J5391" i="28"/>
  <c r="K5391" i="28" s="1"/>
  <c r="J5392" i="28"/>
  <c r="K5392" i="28" s="1"/>
  <c r="J5393" i="28"/>
  <c r="K5393" i="28" s="1"/>
  <c r="J5394" i="28"/>
  <c r="K5394" i="28" s="1"/>
  <c r="J5395" i="28"/>
  <c r="K5395" i="28" s="1"/>
  <c r="J5396" i="28"/>
  <c r="K5396" i="28" s="1"/>
  <c r="J5397" i="28"/>
  <c r="K5397" i="28" s="1"/>
  <c r="J5398" i="28"/>
  <c r="K5398" i="28" s="1"/>
  <c r="J5399" i="28"/>
  <c r="K5399" i="28" s="1"/>
  <c r="J5400" i="28"/>
  <c r="K5400" i="28" s="1"/>
  <c r="J5401" i="28"/>
  <c r="K5401" i="28" s="1"/>
  <c r="J5402" i="28"/>
  <c r="K5402" i="28" s="1"/>
  <c r="J5403" i="28"/>
  <c r="K5403" i="28" s="1"/>
  <c r="J5404" i="28"/>
  <c r="K5404" i="28" s="1"/>
  <c r="J5405" i="28"/>
  <c r="K5405" i="28" s="1"/>
  <c r="J5406" i="28"/>
  <c r="K5406" i="28" s="1"/>
  <c r="J5407" i="28"/>
  <c r="K5407" i="28" s="1"/>
  <c r="J5408" i="28"/>
  <c r="K5408" i="28" s="1"/>
  <c r="J5409" i="28"/>
  <c r="K5409" i="28" s="1"/>
  <c r="J5410" i="28"/>
  <c r="K5410" i="28" s="1"/>
  <c r="J5411" i="28"/>
  <c r="K5411" i="28" s="1"/>
  <c r="J5412" i="28"/>
  <c r="K5412" i="28" s="1"/>
  <c r="J5413" i="28"/>
  <c r="K5413" i="28" s="1"/>
  <c r="J5414" i="28"/>
  <c r="K5414" i="28" s="1"/>
  <c r="J5415" i="28"/>
  <c r="K5415" i="28" s="1"/>
  <c r="J5416" i="28"/>
  <c r="K5416" i="28" s="1"/>
  <c r="J5417" i="28"/>
  <c r="K5417" i="28" s="1"/>
  <c r="J5418" i="28"/>
  <c r="K5418" i="28" s="1"/>
  <c r="J5419" i="28"/>
  <c r="K5419" i="28" s="1"/>
  <c r="J5420" i="28"/>
  <c r="K5420" i="28" s="1"/>
  <c r="J5421" i="28"/>
  <c r="K5421" i="28" s="1"/>
  <c r="J5422" i="28"/>
  <c r="K5422" i="28" s="1"/>
  <c r="J5423" i="28"/>
  <c r="K5423" i="28" s="1"/>
  <c r="J5424" i="28"/>
  <c r="K5424" i="28" s="1"/>
  <c r="J5425" i="28"/>
  <c r="K5425" i="28" s="1"/>
  <c r="J5426" i="28"/>
  <c r="K5426" i="28" s="1"/>
  <c r="J5427" i="28"/>
  <c r="K5427" i="28" s="1"/>
  <c r="J5428" i="28"/>
  <c r="K5428" i="28" s="1"/>
  <c r="J5429" i="28"/>
  <c r="K5429" i="28" s="1"/>
  <c r="J5430" i="28"/>
  <c r="K5430" i="28" s="1"/>
  <c r="J5431" i="28"/>
  <c r="K5431" i="28" s="1"/>
  <c r="J5432" i="28"/>
  <c r="K5432" i="28" s="1"/>
  <c r="J5433" i="28"/>
  <c r="K5433" i="28" s="1"/>
  <c r="J5434" i="28"/>
  <c r="K5434" i="28" s="1"/>
  <c r="J5435" i="28"/>
  <c r="K5435" i="28" s="1"/>
  <c r="J5436" i="28"/>
  <c r="K5436" i="28" s="1"/>
  <c r="J5437" i="28"/>
  <c r="K5437" i="28" s="1"/>
  <c r="J5438" i="28"/>
  <c r="K5438" i="28" s="1"/>
  <c r="J5439" i="28"/>
  <c r="K5439" i="28" s="1"/>
  <c r="J5440" i="28"/>
  <c r="K5440" i="28" s="1"/>
  <c r="J5441" i="28"/>
  <c r="K5441" i="28" s="1"/>
  <c r="J5442" i="28"/>
  <c r="K5442" i="28" s="1"/>
  <c r="J5443" i="28"/>
  <c r="K5443" i="28" s="1"/>
  <c r="J5444" i="28"/>
  <c r="K5444" i="28" s="1"/>
  <c r="J5445" i="28"/>
  <c r="K5445" i="28" s="1"/>
  <c r="J5446" i="28"/>
  <c r="K5446" i="28" s="1"/>
  <c r="J5447" i="28"/>
  <c r="K5447" i="28" s="1"/>
  <c r="J5448" i="28"/>
  <c r="K5448" i="28" s="1"/>
  <c r="J5449" i="28"/>
  <c r="K5449" i="28" s="1"/>
  <c r="J5450" i="28"/>
  <c r="K5450" i="28" s="1"/>
  <c r="J5451" i="28"/>
  <c r="K5451" i="28" s="1"/>
  <c r="J5452" i="28"/>
  <c r="K5452" i="28" s="1"/>
  <c r="J5453" i="28"/>
  <c r="K5453" i="28" s="1"/>
  <c r="J5454" i="28"/>
  <c r="K5454" i="28" s="1"/>
  <c r="J5455" i="28"/>
  <c r="K5455" i="28" s="1"/>
  <c r="J5456" i="28"/>
  <c r="K5456" i="28" s="1"/>
  <c r="J5457" i="28"/>
  <c r="K5457" i="28" s="1"/>
  <c r="J5458" i="28"/>
  <c r="K5458" i="28" s="1"/>
  <c r="J5459" i="28"/>
  <c r="K5459" i="28" s="1"/>
  <c r="J5460" i="28"/>
  <c r="K5460" i="28" s="1"/>
  <c r="J5461" i="28"/>
  <c r="K5461" i="28" s="1"/>
  <c r="J5462" i="28"/>
  <c r="K5462" i="28" s="1"/>
  <c r="J5463" i="28"/>
  <c r="K5463" i="28" s="1"/>
  <c r="J5464" i="28"/>
  <c r="K5464" i="28" s="1"/>
  <c r="J5465" i="28"/>
  <c r="K5465" i="28" s="1"/>
  <c r="J5466" i="28"/>
  <c r="K5466" i="28" s="1"/>
  <c r="J5467" i="28"/>
  <c r="K5467" i="28" s="1"/>
  <c r="J5468" i="28"/>
  <c r="K5468" i="28" s="1"/>
  <c r="J5469" i="28"/>
  <c r="K5469" i="28" s="1"/>
  <c r="J5470" i="28"/>
  <c r="K5470" i="28" s="1"/>
  <c r="J5471" i="28"/>
  <c r="K5471" i="28" s="1"/>
  <c r="J5472" i="28"/>
  <c r="K5472" i="28" s="1"/>
  <c r="J5473" i="28"/>
  <c r="K5473" i="28" s="1"/>
  <c r="J5474" i="28"/>
  <c r="K5474" i="28" s="1"/>
  <c r="J5475" i="28"/>
  <c r="K5475" i="28" s="1"/>
  <c r="J5476" i="28"/>
  <c r="K5476" i="28" s="1"/>
  <c r="J5477" i="28"/>
  <c r="K5477" i="28" s="1"/>
  <c r="J5478" i="28"/>
  <c r="K5478" i="28" s="1"/>
  <c r="J5479" i="28"/>
  <c r="K5479" i="28" s="1"/>
  <c r="J5480" i="28"/>
  <c r="K5480" i="28" s="1"/>
  <c r="J5481" i="28"/>
  <c r="K5481" i="28" s="1"/>
  <c r="J5482" i="28"/>
  <c r="K5482" i="28" s="1"/>
  <c r="J5483" i="28"/>
  <c r="K5483" i="28" s="1"/>
  <c r="J5484" i="28"/>
  <c r="K5484" i="28" s="1"/>
  <c r="J5485" i="28"/>
  <c r="K5485" i="28" s="1"/>
  <c r="J5486" i="28"/>
  <c r="K5486" i="28" s="1"/>
  <c r="J5487" i="28"/>
  <c r="K5487" i="28" s="1"/>
  <c r="J5488" i="28"/>
  <c r="K5488" i="28" s="1"/>
  <c r="J5489" i="28"/>
  <c r="K5489" i="28" s="1"/>
  <c r="J5490" i="28"/>
  <c r="K5490" i="28" s="1"/>
  <c r="J5491" i="28"/>
  <c r="K5491" i="28" s="1"/>
  <c r="J5492" i="28"/>
  <c r="K5492" i="28" s="1"/>
  <c r="J5493" i="28"/>
  <c r="K5493" i="28" s="1"/>
  <c r="J5494" i="28"/>
  <c r="K5494" i="28" s="1"/>
  <c r="J5495" i="28"/>
  <c r="K5495" i="28" s="1"/>
  <c r="J5496" i="28"/>
  <c r="K5496" i="28" s="1"/>
  <c r="J5497" i="28"/>
  <c r="K5497" i="28" s="1"/>
  <c r="J5498" i="28"/>
  <c r="K5498" i="28" s="1"/>
  <c r="J5499" i="28"/>
  <c r="K5499" i="28" s="1"/>
  <c r="J5500" i="28"/>
  <c r="K5500" i="28" s="1"/>
  <c r="J5501" i="28"/>
  <c r="K5501" i="28" s="1"/>
  <c r="J5502" i="28"/>
  <c r="K5502" i="28" s="1"/>
  <c r="J5503" i="28"/>
  <c r="K5503" i="28" s="1"/>
  <c r="J5504" i="28"/>
  <c r="K5504" i="28" s="1"/>
  <c r="J5505" i="28"/>
  <c r="K5505" i="28" s="1"/>
  <c r="J5506" i="28"/>
  <c r="K5506" i="28" s="1"/>
  <c r="J5507" i="28"/>
  <c r="K5507" i="28" s="1"/>
  <c r="J5508" i="28"/>
  <c r="K5508" i="28" s="1"/>
  <c r="J5509" i="28"/>
  <c r="K5509" i="28" s="1"/>
  <c r="J5510" i="28"/>
  <c r="K5510" i="28" s="1"/>
  <c r="J5511" i="28"/>
  <c r="K5511" i="28" s="1"/>
  <c r="J5512" i="28"/>
  <c r="K5512" i="28" s="1"/>
  <c r="J5513" i="28"/>
  <c r="K5513" i="28" s="1"/>
  <c r="J5514" i="28"/>
  <c r="K5514" i="28" s="1"/>
  <c r="J5515" i="28"/>
  <c r="K5515" i="28" s="1"/>
  <c r="J5516" i="28"/>
  <c r="K5516" i="28" s="1"/>
  <c r="J5517" i="28"/>
  <c r="K5517" i="28" s="1"/>
  <c r="J5518" i="28"/>
  <c r="K5518" i="28" s="1"/>
  <c r="J5519" i="28"/>
  <c r="K5519" i="28" s="1"/>
  <c r="J5520" i="28"/>
  <c r="K5520" i="28" s="1"/>
  <c r="J5521" i="28"/>
  <c r="K5521" i="28" s="1"/>
  <c r="J5522" i="28"/>
  <c r="K5522" i="28" s="1"/>
  <c r="J5523" i="28"/>
  <c r="K5523" i="28" s="1"/>
  <c r="J5524" i="28"/>
  <c r="K5524" i="28" s="1"/>
  <c r="J5525" i="28"/>
  <c r="K5525" i="28" s="1"/>
  <c r="J5526" i="28"/>
  <c r="K5526" i="28" s="1"/>
  <c r="J5527" i="28"/>
  <c r="K5527" i="28" s="1"/>
  <c r="J5528" i="28"/>
  <c r="K5528" i="28" s="1"/>
  <c r="J5529" i="28"/>
  <c r="K5529" i="28" s="1"/>
  <c r="J5530" i="28"/>
  <c r="K5530" i="28" s="1"/>
  <c r="J5531" i="28"/>
  <c r="K5531" i="28" s="1"/>
  <c r="J5532" i="28"/>
  <c r="K5532" i="28" s="1"/>
  <c r="J5533" i="28"/>
  <c r="K5533" i="28" s="1"/>
  <c r="J5534" i="28"/>
  <c r="K5534" i="28" s="1"/>
  <c r="J5535" i="28"/>
  <c r="K5535" i="28" s="1"/>
  <c r="J5536" i="28"/>
  <c r="K5536" i="28" s="1"/>
  <c r="J5537" i="28"/>
  <c r="K5537" i="28" s="1"/>
  <c r="J5538" i="28"/>
  <c r="K5538" i="28" s="1"/>
  <c r="J5539" i="28"/>
  <c r="K5539" i="28" s="1"/>
  <c r="J5540" i="28"/>
  <c r="K5540" i="28" s="1"/>
  <c r="J5541" i="28"/>
  <c r="K5541" i="28" s="1"/>
  <c r="J5542" i="28"/>
  <c r="K5542" i="28" s="1"/>
  <c r="J5543" i="28"/>
  <c r="K5543" i="28" s="1"/>
  <c r="J5544" i="28"/>
  <c r="K5544" i="28" s="1"/>
  <c r="J5545" i="28"/>
  <c r="K5545" i="28" s="1"/>
  <c r="J5546" i="28"/>
  <c r="K5546" i="28" s="1"/>
  <c r="J5547" i="28"/>
  <c r="K5547" i="28" s="1"/>
  <c r="J5548" i="28"/>
  <c r="K5548" i="28" s="1"/>
  <c r="J5549" i="28"/>
  <c r="K5549" i="28" s="1"/>
  <c r="J5550" i="28"/>
  <c r="K5550" i="28" s="1"/>
  <c r="J5551" i="28"/>
  <c r="K5551" i="28" s="1"/>
  <c r="J5552" i="28"/>
  <c r="K5552" i="28" s="1"/>
  <c r="J5553" i="28"/>
  <c r="K5553" i="28" s="1"/>
  <c r="J5554" i="28"/>
  <c r="K5554" i="28" s="1"/>
  <c r="J5555" i="28"/>
  <c r="K5555" i="28" s="1"/>
  <c r="J5556" i="28"/>
  <c r="K5556" i="28" s="1"/>
  <c r="J5557" i="28"/>
  <c r="K5557" i="28" s="1"/>
  <c r="J5558" i="28"/>
  <c r="K5558" i="28" s="1"/>
  <c r="J5559" i="28"/>
  <c r="K5559" i="28" s="1"/>
  <c r="J5560" i="28"/>
  <c r="K5560" i="28" s="1"/>
  <c r="J5561" i="28"/>
  <c r="K5561" i="28" s="1"/>
  <c r="J5562" i="28"/>
  <c r="K5562" i="28" s="1"/>
  <c r="J5563" i="28"/>
  <c r="K5563" i="28" s="1"/>
  <c r="J5564" i="28"/>
  <c r="K5564" i="28" s="1"/>
  <c r="J5565" i="28"/>
  <c r="K5565" i="28" s="1"/>
  <c r="J5566" i="28"/>
  <c r="K5566" i="28" s="1"/>
  <c r="J5567" i="28"/>
  <c r="K5567" i="28" s="1"/>
  <c r="J5568" i="28"/>
  <c r="K5568" i="28" s="1"/>
  <c r="J5569" i="28"/>
  <c r="K5569" i="28" s="1"/>
  <c r="J5570" i="28"/>
  <c r="K5570" i="28" s="1"/>
  <c r="J5571" i="28"/>
  <c r="K5571" i="28" s="1"/>
  <c r="J5572" i="28"/>
  <c r="K5572" i="28" s="1"/>
  <c r="J5573" i="28"/>
  <c r="K5573" i="28" s="1"/>
  <c r="J5574" i="28"/>
  <c r="K5574" i="28" s="1"/>
  <c r="J5575" i="28"/>
  <c r="K5575" i="28" s="1"/>
  <c r="J5576" i="28"/>
  <c r="K5576" i="28" s="1"/>
  <c r="J5577" i="28"/>
  <c r="K5577" i="28" s="1"/>
  <c r="J5578" i="28"/>
  <c r="K5578" i="28" s="1"/>
  <c r="J5579" i="28"/>
  <c r="K5579" i="28" s="1"/>
  <c r="J5580" i="28"/>
  <c r="K5580" i="28" s="1"/>
  <c r="J5581" i="28"/>
  <c r="K5581" i="28" s="1"/>
  <c r="J5582" i="28"/>
  <c r="K5582" i="28" s="1"/>
  <c r="J5583" i="28"/>
  <c r="K5583" i="28" s="1"/>
  <c r="J5584" i="28"/>
  <c r="K5584" i="28" s="1"/>
  <c r="J5585" i="28"/>
  <c r="K5585" i="28" s="1"/>
  <c r="J5586" i="28"/>
  <c r="K5586" i="28" s="1"/>
  <c r="J5587" i="28"/>
  <c r="K5587" i="28" s="1"/>
  <c r="J5588" i="28"/>
  <c r="K5588" i="28" s="1"/>
  <c r="J5589" i="28"/>
  <c r="K5589" i="28" s="1"/>
  <c r="J5590" i="28"/>
  <c r="K5590" i="28" s="1"/>
  <c r="J5591" i="28"/>
  <c r="K5591" i="28" s="1"/>
  <c r="J5592" i="28"/>
  <c r="K5592" i="28" s="1"/>
  <c r="J5593" i="28"/>
  <c r="K5593" i="28" s="1"/>
  <c r="J5594" i="28"/>
  <c r="K5594" i="28" s="1"/>
  <c r="J5595" i="28"/>
  <c r="K5595" i="28" s="1"/>
  <c r="J5596" i="28"/>
  <c r="K5596" i="28" s="1"/>
  <c r="J5597" i="28"/>
  <c r="K5597" i="28" s="1"/>
  <c r="J5598" i="28"/>
  <c r="K5598" i="28" s="1"/>
  <c r="J5599" i="28"/>
  <c r="K5599" i="28" s="1"/>
  <c r="J5600" i="28"/>
  <c r="K5600" i="28" s="1"/>
  <c r="J5601" i="28"/>
  <c r="K5601" i="28" s="1"/>
  <c r="J5602" i="28"/>
  <c r="K5602" i="28" s="1"/>
  <c r="J5603" i="28"/>
  <c r="K5603" i="28" s="1"/>
  <c r="J5604" i="28"/>
  <c r="K5604" i="28" s="1"/>
  <c r="J5605" i="28"/>
  <c r="K5605" i="28" s="1"/>
  <c r="J5606" i="28"/>
  <c r="K5606" i="28" s="1"/>
  <c r="J5607" i="28"/>
  <c r="K5607" i="28" s="1"/>
  <c r="J5608" i="28"/>
  <c r="K5608" i="28" s="1"/>
  <c r="J5609" i="28"/>
  <c r="K5609" i="28" s="1"/>
  <c r="J5610" i="28"/>
  <c r="K5610" i="28" s="1"/>
  <c r="J5611" i="28"/>
  <c r="K5611" i="28" s="1"/>
  <c r="J5612" i="28"/>
  <c r="K5612" i="28" s="1"/>
  <c r="J5613" i="28"/>
  <c r="K5613" i="28" s="1"/>
  <c r="J5614" i="28"/>
  <c r="K5614" i="28" s="1"/>
  <c r="J5615" i="28"/>
  <c r="K5615" i="28" s="1"/>
  <c r="J5616" i="28"/>
  <c r="K5616" i="28" s="1"/>
  <c r="J5617" i="28"/>
  <c r="K5617" i="28" s="1"/>
  <c r="J5618" i="28"/>
  <c r="K5618" i="28" s="1"/>
  <c r="J5619" i="28"/>
  <c r="K5619" i="28" s="1"/>
  <c r="J5620" i="28"/>
  <c r="K5620" i="28" s="1"/>
  <c r="J5621" i="28"/>
  <c r="K5621" i="28" s="1"/>
  <c r="J5622" i="28"/>
  <c r="K5622" i="28" s="1"/>
  <c r="J5623" i="28"/>
  <c r="K5623" i="28" s="1"/>
  <c r="J5624" i="28"/>
  <c r="K5624" i="28" s="1"/>
  <c r="J5625" i="28"/>
  <c r="K5625" i="28" s="1"/>
  <c r="J5626" i="28"/>
  <c r="K5626" i="28" s="1"/>
  <c r="J5627" i="28"/>
  <c r="K5627" i="28" s="1"/>
  <c r="J5628" i="28"/>
  <c r="K5628" i="28" s="1"/>
  <c r="J5629" i="28"/>
  <c r="K5629" i="28" s="1"/>
  <c r="J5630" i="28"/>
  <c r="K5630" i="28" s="1"/>
  <c r="J5631" i="28"/>
  <c r="K5631" i="28" s="1"/>
  <c r="J5632" i="28"/>
  <c r="K5632" i="28" s="1"/>
  <c r="J5633" i="28"/>
  <c r="K5633" i="28" s="1"/>
  <c r="J5634" i="28"/>
  <c r="K5634" i="28" s="1"/>
  <c r="J5635" i="28"/>
  <c r="K5635" i="28" s="1"/>
  <c r="J5636" i="28"/>
  <c r="K5636" i="28" s="1"/>
  <c r="J5637" i="28"/>
  <c r="K5637" i="28" s="1"/>
  <c r="J5638" i="28"/>
  <c r="K5638" i="28" s="1"/>
  <c r="J5639" i="28"/>
  <c r="K5639" i="28" s="1"/>
  <c r="J5640" i="28"/>
  <c r="K5640" i="28" s="1"/>
  <c r="J5641" i="28"/>
  <c r="K5641" i="28" s="1"/>
  <c r="J5642" i="28"/>
  <c r="K5642" i="28" s="1"/>
  <c r="J5643" i="28"/>
  <c r="K5643" i="28" s="1"/>
  <c r="J5644" i="28"/>
  <c r="K5644" i="28" s="1"/>
  <c r="J5645" i="28"/>
  <c r="K5645" i="28" s="1"/>
  <c r="J5646" i="28"/>
  <c r="K5646" i="28" s="1"/>
  <c r="J5647" i="28"/>
  <c r="K5647" i="28" s="1"/>
  <c r="J5648" i="28"/>
  <c r="K5648" i="28" s="1"/>
  <c r="J5649" i="28"/>
  <c r="K5649" i="28" s="1"/>
  <c r="J5650" i="28"/>
  <c r="K5650" i="28" s="1"/>
  <c r="J5651" i="28"/>
  <c r="K5651" i="28" s="1"/>
  <c r="J5652" i="28"/>
  <c r="K5652" i="28" s="1"/>
  <c r="J5653" i="28"/>
  <c r="K5653" i="28" s="1"/>
  <c r="J5654" i="28"/>
  <c r="K5654" i="28" s="1"/>
  <c r="J5655" i="28"/>
  <c r="K5655" i="28" s="1"/>
  <c r="J5656" i="28"/>
  <c r="K5656" i="28" s="1"/>
  <c r="J5657" i="28"/>
  <c r="K5657" i="28" s="1"/>
  <c r="J5658" i="28"/>
  <c r="K5658" i="28" s="1"/>
  <c r="J5659" i="28"/>
  <c r="K5659" i="28" s="1"/>
  <c r="J5660" i="28"/>
  <c r="K5660" i="28" s="1"/>
  <c r="J5661" i="28"/>
  <c r="K5661" i="28" s="1"/>
  <c r="J5662" i="28"/>
  <c r="K5662" i="28" s="1"/>
  <c r="J5663" i="28"/>
  <c r="K5663" i="28" s="1"/>
  <c r="J5664" i="28"/>
  <c r="K5664" i="28" s="1"/>
  <c r="J5665" i="28"/>
  <c r="K5665" i="28" s="1"/>
  <c r="J5666" i="28"/>
  <c r="K5666" i="28" s="1"/>
  <c r="J5667" i="28"/>
  <c r="K5667" i="28" s="1"/>
  <c r="J5668" i="28"/>
  <c r="K5668" i="28" s="1"/>
  <c r="J5669" i="28"/>
  <c r="K5669" i="28" s="1"/>
  <c r="J5670" i="28"/>
  <c r="K5670" i="28" s="1"/>
  <c r="J5671" i="28"/>
  <c r="K5671" i="28" s="1"/>
  <c r="J5672" i="28"/>
  <c r="K5672" i="28" s="1"/>
  <c r="J5673" i="28"/>
  <c r="K5673" i="28" s="1"/>
  <c r="J5674" i="28"/>
  <c r="K5674" i="28" s="1"/>
  <c r="J5675" i="28"/>
  <c r="K5675" i="28" s="1"/>
  <c r="J5676" i="28"/>
  <c r="K5676" i="28" s="1"/>
  <c r="J5677" i="28"/>
  <c r="K5677" i="28" s="1"/>
  <c r="J5678" i="28"/>
  <c r="K5678" i="28" s="1"/>
  <c r="J5679" i="28"/>
  <c r="K5679" i="28" s="1"/>
  <c r="J5680" i="28"/>
  <c r="K5680" i="28" s="1"/>
  <c r="J5681" i="28"/>
  <c r="K5681" i="28" s="1"/>
  <c r="J5682" i="28"/>
  <c r="K5682" i="28" s="1"/>
  <c r="J5683" i="28"/>
  <c r="K5683" i="28" s="1"/>
  <c r="J5684" i="28"/>
  <c r="K5684" i="28" s="1"/>
  <c r="J5685" i="28"/>
  <c r="K5685" i="28" s="1"/>
  <c r="J5686" i="28"/>
  <c r="K5686" i="28" s="1"/>
  <c r="J5687" i="28"/>
  <c r="K5687" i="28" s="1"/>
  <c r="J5688" i="28"/>
  <c r="K5688" i="28" s="1"/>
  <c r="J5689" i="28"/>
  <c r="K5689" i="28" s="1"/>
  <c r="J5690" i="28"/>
  <c r="K5690" i="28" s="1"/>
  <c r="J5691" i="28"/>
  <c r="K5691" i="28" s="1"/>
  <c r="J5692" i="28"/>
  <c r="K5692" i="28" s="1"/>
  <c r="J5693" i="28"/>
  <c r="K5693" i="28" s="1"/>
  <c r="J5694" i="28"/>
  <c r="K5694" i="28" s="1"/>
  <c r="J5695" i="28"/>
  <c r="K5695" i="28" s="1"/>
  <c r="J5696" i="28"/>
  <c r="K5696" i="28" s="1"/>
  <c r="J5697" i="28"/>
  <c r="K5697" i="28" s="1"/>
  <c r="J5698" i="28"/>
  <c r="K5698" i="28" s="1"/>
  <c r="J5699" i="28"/>
  <c r="K5699" i="28" s="1"/>
  <c r="J5700" i="28"/>
  <c r="K5700" i="28" s="1"/>
  <c r="J5701" i="28"/>
  <c r="K5701" i="28" s="1"/>
  <c r="J5702" i="28"/>
  <c r="K5702" i="28" s="1"/>
  <c r="J5703" i="28"/>
  <c r="K5703" i="28" s="1"/>
  <c r="J5704" i="28"/>
  <c r="K5704" i="28" s="1"/>
  <c r="J5705" i="28"/>
  <c r="K5705" i="28" s="1"/>
  <c r="J5706" i="28"/>
  <c r="K5706" i="28" s="1"/>
  <c r="J5707" i="28"/>
  <c r="K5707" i="28" s="1"/>
  <c r="J5708" i="28"/>
  <c r="K5708" i="28" s="1"/>
  <c r="J5709" i="28"/>
  <c r="K5709" i="28" s="1"/>
  <c r="J5710" i="28"/>
  <c r="K5710" i="28" s="1"/>
  <c r="J5711" i="28"/>
  <c r="K5711" i="28" s="1"/>
  <c r="J5712" i="28"/>
  <c r="K5712" i="28" s="1"/>
  <c r="J5713" i="28"/>
  <c r="K5713" i="28" s="1"/>
  <c r="J5714" i="28"/>
  <c r="K5714" i="28" s="1"/>
  <c r="J5715" i="28"/>
  <c r="K5715" i="28" s="1"/>
  <c r="J5716" i="28"/>
  <c r="K5716" i="28" s="1"/>
  <c r="J5717" i="28"/>
  <c r="K5717" i="28" s="1"/>
  <c r="J5718" i="28"/>
  <c r="K5718" i="28" s="1"/>
  <c r="J5719" i="28"/>
  <c r="K5719" i="28" s="1"/>
  <c r="J5720" i="28"/>
  <c r="K5720" i="28" s="1"/>
  <c r="J5721" i="28"/>
  <c r="K5721" i="28" s="1"/>
  <c r="J5722" i="28"/>
  <c r="K5722" i="28" s="1"/>
  <c r="J5723" i="28"/>
  <c r="K5723" i="28" s="1"/>
  <c r="J5724" i="28"/>
  <c r="K5724" i="28" s="1"/>
  <c r="J5725" i="28"/>
  <c r="K5725" i="28" s="1"/>
  <c r="J5726" i="28"/>
  <c r="K5726" i="28" s="1"/>
  <c r="J5727" i="28"/>
  <c r="K5727" i="28" s="1"/>
  <c r="J5728" i="28"/>
  <c r="K5728" i="28" s="1"/>
  <c r="J5729" i="28"/>
  <c r="K5729" i="28" s="1"/>
  <c r="J5730" i="28"/>
  <c r="K5730" i="28" s="1"/>
  <c r="J5731" i="28"/>
  <c r="K5731" i="28" s="1"/>
  <c r="J5732" i="28"/>
  <c r="K5732" i="28" s="1"/>
  <c r="J5733" i="28"/>
  <c r="K5733" i="28" s="1"/>
  <c r="J5734" i="28"/>
  <c r="K5734" i="28" s="1"/>
  <c r="J5735" i="28"/>
  <c r="K5735" i="28" s="1"/>
  <c r="J5736" i="28"/>
  <c r="K5736" i="28" s="1"/>
  <c r="J5737" i="28"/>
  <c r="K5737" i="28" s="1"/>
  <c r="J5738" i="28"/>
  <c r="K5738" i="28" s="1"/>
  <c r="J5739" i="28"/>
  <c r="K5739" i="28" s="1"/>
  <c r="J5740" i="28"/>
  <c r="K5740" i="28" s="1"/>
  <c r="J5741" i="28"/>
  <c r="K5741" i="28" s="1"/>
  <c r="J5742" i="28"/>
  <c r="K5742" i="28" s="1"/>
  <c r="J5743" i="28"/>
  <c r="K5743" i="28" s="1"/>
  <c r="J5744" i="28"/>
  <c r="K5744" i="28" s="1"/>
  <c r="J5745" i="28"/>
  <c r="K5745" i="28" s="1"/>
  <c r="J5746" i="28"/>
  <c r="K5746" i="28" s="1"/>
  <c r="J5747" i="28"/>
  <c r="K5747" i="28" s="1"/>
  <c r="J5748" i="28"/>
  <c r="K5748" i="28" s="1"/>
  <c r="J5749" i="28"/>
  <c r="K5749" i="28" s="1"/>
  <c r="J5750" i="28"/>
  <c r="K5750" i="28" s="1"/>
  <c r="J5751" i="28"/>
  <c r="K5751" i="28" s="1"/>
  <c r="J5752" i="28"/>
  <c r="K5752" i="28" s="1"/>
  <c r="J5753" i="28"/>
  <c r="K5753" i="28" s="1"/>
  <c r="J5754" i="28"/>
  <c r="K5754" i="28" s="1"/>
  <c r="J5755" i="28"/>
  <c r="K5755" i="28" s="1"/>
  <c r="J5756" i="28"/>
  <c r="K5756" i="28" s="1"/>
  <c r="J5757" i="28"/>
  <c r="K5757" i="28" s="1"/>
  <c r="J5758" i="28"/>
  <c r="K5758" i="28" s="1"/>
  <c r="J5759" i="28"/>
  <c r="K5759" i="28" s="1"/>
  <c r="J5760" i="28"/>
  <c r="K5760" i="28" s="1"/>
  <c r="J5761" i="28"/>
  <c r="K5761" i="28" s="1"/>
  <c r="J5762" i="28"/>
  <c r="K5762" i="28" s="1"/>
  <c r="J5763" i="28"/>
  <c r="K5763" i="28" s="1"/>
  <c r="J5764" i="28"/>
  <c r="K5764" i="28" s="1"/>
  <c r="J5765" i="28"/>
  <c r="K5765" i="28" s="1"/>
  <c r="J5766" i="28"/>
  <c r="K5766" i="28" s="1"/>
  <c r="J5767" i="28"/>
  <c r="K5767" i="28" s="1"/>
  <c r="J5768" i="28"/>
  <c r="K5768" i="28" s="1"/>
  <c r="J5769" i="28"/>
  <c r="K5769" i="28" s="1"/>
  <c r="J5770" i="28"/>
  <c r="K5770" i="28" s="1"/>
  <c r="J5771" i="28"/>
  <c r="K5771" i="28" s="1"/>
  <c r="J5772" i="28"/>
  <c r="K5772" i="28" s="1"/>
  <c r="J5773" i="28"/>
  <c r="K5773" i="28" s="1"/>
  <c r="J5774" i="28"/>
  <c r="K5774" i="28" s="1"/>
  <c r="J5775" i="28"/>
  <c r="K5775" i="28" s="1"/>
  <c r="J5776" i="28"/>
  <c r="K5776" i="28" s="1"/>
  <c r="J5777" i="28"/>
  <c r="K5777" i="28" s="1"/>
  <c r="J5778" i="28"/>
  <c r="K5778" i="28" s="1"/>
  <c r="J5779" i="28"/>
  <c r="K5779" i="28" s="1"/>
  <c r="J5780" i="28"/>
  <c r="K5780" i="28" s="1"/>
  <c r="J5781" i="28"/>
  <c r="K5781" i="28" s="1"/>
  <c r="J5782" i="28"/>
  <c r="K5782" i="28" s="1"/>
  <c r="J5783" i="28"/>
  <c r="K5783" i="28" s="1"/>
  <c r="J5784" i="28"/>
  <c r="K5784" i="28" s="1"/>
  <c r="J5785" i="28"/>
  <c r="K5785" i="28" s="1"/>
  <c r="J5786" i="28"/>
  <c r="K5786" i="28" s="1"/>
  <c r="J5787" i="28"/>
  <c r="K5787" i="28" s="1"/>
  <c r="J5788" i="28"/>
  <c r="K5788" i="28" s="1"/>
  <c r="J5789" i="28"/>
  <c r="K5789" i="28" s="1"/>
  <c r="J5790" i="28"/>
  <c r="K5790" i="28" s="1"/>
  <c r="J5791" i="28"/>
  <c r="K5791" i="28" s="1"/>
  <c r="J5792" i="28"/>
  <c r="K5792" i="28" s="1"/>
  <c r="J5793" i="28"/>
  <c r="K5793" i="28" s="1"/>
  <c r="J5794" i="28"/>
  <c r="K5794" i="28" s="1"/>
  <c r="J5795" i="28"/>
  <c r="K5795" i="28" s="1"/>
  <c r="J5796" i="28"/>
  <c r="K5796" i="28" s="1"/>
  <c r="J5797" i="28"/>
  <c r="K5797" i="28" s="1"/>
  <c r="J5798" i="28"/>
  <c r="K5798" i="28" s="1"/>
  <c r="J5799" i="28"/>
  <c r="K5799" i="28" s="1"/>
  <c r="J5800" i="28"/>
  <c r="K5800" i="28" s="1"/>
  <c r="J5801" i="28"/>
  <c r="K5801" i="28" s="1"/>
  <c r="J5802" i="28"/>
  <c r="K5802" i="28" s="1"/>
  <c r="J5803" i="28"/>
  <c r="K5803" i="28" s="1"/>
  <c r="J5804" i="28"/>
  <c r="K5804" i="28" s="1"/>
  <c r="J5805" i="28"/>
  <c r="K5805" i="28" s="1"/>
  <c r="J5806" i="28"/>
  <c r="K5806" i="28" s="1"/>
  <c r="J5807" i="28"/>
  <c r="K5807" i="28" s="1"/>
  <c r="J5808" i="28"/>
  <c r="K5808" i="28" s="1"/>
  <c r="J5809" i="28"/>
  <c r="K5809" i="28" s="1"/>
  <c r="J5810" i="28"/>
  <c r="K5810" i="28" s="1"/>
  <c r="J5811" i="28"/>
  <c r="K5811" i="28" s="1"/>
  <c r="J5812" i="28"/>
  <c r="K5812" i="28" s="1"/>
  <c r="J5813" i="28"/>
  <c r="K5813" i="28" s="1"/>
  <c r="J5814" i="28"/>
  <c r="K5814" i="28" s="1"/>
  <c r="J5815" i="28"/>
  <c r="K5815" i="28" s="1"/>
  <c r="J5816" i="28"/>
  <c r="K5816" i="28" s="1"/>
  <c r="J5817" i="28"/>
  <c r="K5817" i="28" s="1"/>
  <c r="J5818" i="28"/>
  <c r="K5818" i="28" s="1"/>
  <c r="J5819" i="28"/>
  <c r="K5819" i="28" s="1"/>
  <c r="J5820" i="28"/>
  <c r="K5820" i="28" s="1"/>
  <c r="J5821" i="28"/>
  <c r="K5821" i="28" s="1"/>
  <c r="J5822" i="28"/>
  <c r="K5822" i="28" s="1"/>
  <c r="J5823" i="28"/>
  <c r="K5823" i="28" s="1"/>
  <c r="J5824" i="28"/>
  <c r="K5824" i="28" s="1"/>
  <c r="J5825" i="28"/>
  <c r="K5825" i="28" s="1"/>
  <c r="J5826" i="28"/>
  <c r="K5826" i="28" s="1"/>
  <c r="J5827" i="28"/>
  <c r="K5827" i="28" s="1"/>
  <c r="J5828" i="28"/>
  <c r="K5828" i="28" s="1"/>
  <c r="J5829" i="28"/>
  <c r="K5829" i="28" s="1"/>
  <c r="J5830" i="28"/>
  <c r="K5830" i="28" s="1"/>
  <c r="J5831" i="28"/>
  <c r="K5831" i="28" s="1"/>
  <c r="J5832" i="28"/>
  <c r="K5832" i="28" s="1"/>
  <c r="J5833" i="28"/>
  <c r="K5833" i="28" s="1"/>
  <c r="J5834" i="28"/>
  <c r="K5834" i="28" s="1"/>
  <c r="J5835" i="28"/>
  <c r="K5835" i="28" s="1"/>
  <c r="J5836" i="28"/>
  <c r="K5836" i="28" s="1"/>
  <c r="J5837" i="28"/>
  <c r="K5837" i="28" s="1"/>
  <c r="J5838" i="28"/>
  <c r="K5838" i="28" s="1"/>
  <c r="J5839" i="28"/>
  <c r="K5839" i="28" s="1"/>
  <c r="J5840" i="28"/>
  <c r="K5840" i="28" s="1"/>
  <c r="J5841" i="28"/>
  <c r="K5841" i="28" s="1"/>
  <c r="J5842" i="28"/>
  <c r="K5842" i="28" s="1"/>
  <c r="J5843" i="28"/>
  <c r="K5843" i="28" s="1"/>
  <c r="J5844" i="28"/>
  <c r="K5844" i="28" s="1"/>
  <c r="J5845" i="28"/>
  <c r="K5845" i="28" s="1"/>
  <c r="J5846" i="28"/>
  <c r="K5846" i="28" s="1"/>
  <c r="J5847" i="28"/>
  <c r="K5847" i="28" s="1"/>
  <c r="J5848" i="28"/>
  <c r="K5848" i="28" s="1"/>
  <c r="J5849" i="28"/>
  <c r="K5849" i="28" s="1"/>
  <c r="J5850" i="28"/>
  <c r="K5850" i="28" s="1"/>
  <c r="J5851" i="28"/>
  <c r="K5851" i="28" s="1"/>
  <c r="J5852" i="28"/>
  <c r="K5852" i="28" s="1"/>
  <c r="J5853" i="28"/>
  <c r="K5853" i="28" s="1"/>
  <c r="J5854" i="28"/>
  <c r="K5854" i="28" s="1"/>
  <c r="J5855" i="28"/>
  <c r="K5855" i="28" s="1"/>
  <c r="J5856" i="28"/>
  <c r="K5856" i="28" s="1"/>
  <c r="J5857" i="28"/>
  <c r="K5857" i="28" s="1"/>
  <c r="J5858" i="28"/>
  <c r="K5858" i="28" s="1"/>
  <c r="J5859" i="28"/>
  <c r="K5859" i="28" s="1"/>
  <c r="J5860" i="28"/>
  <c r="K5860" i="28" s="1"/>
  <c r="J5861" i="28"/>
  <c r="K5861" i="28" s="1"/>
  <c r="J5862" i="28"/>
  <c r="K5862" i="28" s="1"/>
  <c r="J5863" i="28"/>
  <c r="K5863" i="28" s="1"/>
  <c r="J5864" i="28"/>
  <c r="K5864" i="28" s="1"/>
  <c r="J5865" i="28"/>
  <c r="K5865" i="28" s="1"/>
  <c r="J5866" i="28"/>
  <c r="K5866" i="28" s="1"/>
  <c r="J5867" i="28"/>
  <c r="K5867" i="28" s="1"/>
  <c r="J5868" i="28"/>
  <c r="K5868" i="28" s="1"/>
  <c r="J5869" i="28"/>
  <c r="K5869" i="28" s="1"/>
  <c r="J5870" i="28"/>
  <c r="K5870" i="28" s="1"/>
  <c r="J5871" i="28"/>
  <c r="K5871" i="28" s="1"/>
  <c r="J5872" i="28"/>
  <c r="K5872" i="28" s="1"/>
  <c r="J5873" i="28"/>
  <c r="K5873" i="28" s="1"/>
  <c r="J5874" i="28"/>
  <c r="K5874" i="28" s="1"/>
  <c r="J5875" i="28"/>
  <c r="K5875" i="28" s="1"/>
  <c r="J5876" i="28"/>
  <c r="K5876" i="28" s="1"/>
  <c r="J5877" i="28"/>
  <c r="K5877" i="28" s="1"/>
  <c r="J5878" i="28"/>
  <c r="K5878" i="28" s="1"/>
  <c r="J5879" i="28"/>
  <c r="K5879" i="28" s="1"/>
  <c r="J5880" i="28"/>
  <c r="K5880" i="28" s="1"/>
  <c r="J5881" i="28"/>
  <c r="K5881" i="28" s="1"/>
  <c r="J5882" i="28"/>
  <c r="K5882" i="28" s="1"/>
  <c r="J5883" i="28"/>
  <c r="K5883" i="28" s="1"/>
  <c r="J5884" i="28"/>
  <c r="K5884" i="28" s="1"/>
  <c r="J5885" i="28"/>
  <c r="K5885" i="28" s="1"/>
  <c r="J5886" i="28"/>
  <c r="K5886" i="28" s="1"/>
  <c r="J5887" i="28"/>
  <c r="K5887" i="28" s="1"/>
  <c r="J5888" i="28"/>
  <c r="K5888" i="28" s="1"/>
  <c r="J5889" i="28"/>
  <c r="K5889" i="28" s="1"/>
  <c r="J5890" i="28"/>
  <c r="K5890" i="28" s="1"/>
  <c r="J5891" i="28"/>
  <c r="K5891" i="28" s="1"/>
  <c r="J5892" i="28"/>
  <c r="K5892" i="28" s="1"/>
  <c r="J5893" i="28"/>
  <c r="K5893" i="28" s="1"/>
  <c r="J5894" i="28"/>
  <c r="K5894" i="28" s="1"/>
  <c r="J5895" i="28"/>
  <c r="K5895" i="28" s="1"/>
  <c r="J5896" i="28"/>
  <c r="K5896" i="28" s="1"/>
  <c r="J5897" i="28"/>
  <c r="K5897" i="28" s="1"/>
  <c r="J5898" i="28"/>
  <c r="K5898" i="28" s="1"/>
  <c r="J5899" i="28"/>
  <c r="K5899" i="28" s="1"/>
  <c r="J5900" i="28"/>
  <c r="K5900" i="28" s="1"/>
  <c r="J5901" i="28"/>
  <c r="K5901" i="28" s="1"/>
  <c r="J5902" i="28"/>
  <c r="K5902" i="28" s="1"/>
  <c r="J5903" i="28"/>
  <c r="K5903" i="28" s="1"/>
  <c r="J5904" i="28"/>
  <c r="K5904" i="28" s="1"/>
  <c r="J5905" i="28"/>
  <c r="K5905" i="28" s="1"/>
  <c r="J5906" i="28"/>
  <c r="K5906" i="28" s="1"/>
  <c r="J5907" i="28"/>
  <c r="K5907" i="28" s="1"/>
  <c r="J5908" i="28"/>
  <c r="K5908" i="28" s="1"/>
  <c r="J5909" i="28"/>
  <c r="K5909" i="28" s="1"/>
  <c r="J5910" i="28"/>
  <c r="K5910" i="28" s="1"/>
  <c r="J5911" i="28"/>
  <c r="K5911" i="28" s="1"/>
  <c r="J5912" i="28"/>
  <c r="K5912" i="28" s="1"/>
  <c r="J5913" i="28"/>
  <c r="K5913" i="28" s="1"/>
  <c r="J5914" i="28"/>
  <c r="K5914" i="28" s="1"/>
  <c r="J5915" i="28"/>
  <c r="K5915" i="28" s="1"/>
  <c r="J5916" i="28"/>
  <c r="K5916" i="28" s="1"/>
  <c r="J5917" i="28"/>
  <c r="K5917" i="28" s="1"/>
  <c r="J5918" i="28"/>
  <c r="K5918" i="28" s="1"/>
  <c r="J5919" i="28"/>
  <c r="K5919" i="28" s="1"/>
  <c r="J5920" i="28"/>
  <c r="K5920" i="28" s="1"/>
  <c r="J5921" i="28"/>
  <c r="K5921" i="28" s="1"/>
  <c r="J5922" i="28"/>
  <c r="K5922" i="28" s="1"/>
  <c r="J5923" i="28"/>
  <c r="K5923" i="28" s="1"/>
  <c r="J5924" i="28"/>
  <c r="K5924" i="28" s="1"/>
  <c r="J5925" i="28"/>
  <c r="K5925" i="28" s="1"/>
  <c r="J5926" i="28"/>
  <c r="K5926" i="28" s="1"/>
  <c r="J5927" i="28"/>
  <c r="K5927" i="28" s="1"/>
  <c r="J5928" i="28"/>
  <c r="K5928" i="28" s="1"/>
  <c r="J5929" i="28"/>
  <c r="K5929" i="28" s="1"/>
  <c r="J5930" i="28"/>
  <c r="K5930" i="28" s="1"/>
  <c r="J5931" i="28"/>
  <c r="K5931" i="28" s="1"/>
  <c r="J5932" i="28"/>
  <c r="K5932" i="28" s="1"/>
  <c r="J5933" i="28"/>
  <c r="K5933" i="28" s="1"/>
  <c r="J5934" i="28"/>
  <c r="K5934" i="28" s="1"/>
  <c r="J5935" i="28"/>
  <c r="K5935" i="28" s="1"/>
  <c r="J5936" i="28"/>
  <c r="K5936" i="28" s="1"/>
  <c r="J5937" i="28"/>
  <c r="K5937" i="28" s="1"/>
  <c r="J5938" i="28"/>
  <c r="K5938" i="28" s="1"/>
  <c r="J5939" i="28"/>
  <c r="K5939" i="28" s="1"/>
  <c r="J5940" i="28"/>
  <c r="K5940" i="28" s="1"/>
  <c r="J5941" i="28"/>
  <c r="K5941" i="28" s="1"/>
  <c r="J5942" i="28"/>
  <c r="K5942" i="28" s="1"/>
  <c r="J5943" i="28"/>
  <c r="K5943" i="28" s="1"/>
  <c r="J5944" i="28"/>
  <c r="K5944" i="28" s="1"/>
  <c r="J5945" i="28"/>
  <c r="K5945" i="28" s="1"/>
  <c r="J5946" i="28"/>
  <c r="K5946" i="28" s="1"/>
  <c r="J5947" i="28"/>
  <c r="K5947" i="28" s="1"/>
  <c r="J5948" i="28"/>
  <c r="K5948" i="28" s="1"/>
  <c r="J5949" i="28"/>
  <c r="K5949" i="28" s="1"/>
  <c r="J5950" i="28"/>
  <c r="K5950" i="28" s="1"/>
  <c r="J5951" i="28"/>
  <c r="K5951" i="28" s="1"/>
  <c r="J5952" i="28"/>
  <c r="K5952" i="28" s="1"/>
  <c r="J5953" i="28"/>
  <c r="K5953" i="28" s="1"/>
  <c r="J5954" i="28"/>
  <c r="K5954" i="28" s="1"/>
  <c r="J5955" i="28"/>
  <c r="K5955" i="28" s="1"/>
  <c r="J5956" i="28"/>
  <c r="K5956" i="28" s="1"/>
  <c r="J5957" i="28"/>
  <c r="K5957" i="28" s="1"/>
  <c r="J5958" i="28"/>
  <c r="K5958" i="28" s="1"/>
  <c r="J5959" i="28"/>
  <c r="K5959" i="28" s="1"/>
  <c r="J5960" i="28"/>
  <c r="K5960" i="28" s="1"/>
  <c r="J5961" i="28"/>
  <c r="K5961" i="28" s="1"/>
  <c r="J5962" i="28"/>
  <c r="K5962" i="28" s="1"/>
  <c r="J5963" i="28"/>
  <c r="K5963" i="28" s="1"/>
  <c r="J5964" i="28"/>
  <c r="K5964" i="28" s="1"/>
  <c r="J5965" i="28"/>
  <c r="K5965" i="28" s="1"/>
  <c r="J5966" i="28"/>
  <c r="K5966" i="28" s="1"/>
  <c r="J5967" i="28"/>
  <c r="K5967" i="28" s="1"/>
  <c r="J5968" i="28"/>
  <c r="K5968" i="28" s="1"/>
  <c r="J5969" i="28"/>
  <c r="K5969" i="28" s="1"/>
  <c r="J5970" i="28"/>
  <c r="K5970" i="28" s="1"/>
  <c r="J5971" i="28"/>
  <c r="K5971" i="28" s="1"/>
  <c r="J5972" i="28"/>
  <c r="K5972" i="28" s="1"/>
  <c r="J5973" i="28"/>
  <c r="K5973" i="28" s="1"/>
  <c r="J5974" i="28"/>
  <c r="K5974" i="28" s="1"/>
  <c r="J5975" i="28"/>
  <c r="K5975" i="28" s="1"/>
  <c r="J5976" i="28"/>
  <c r="K5976" i="28" s="1"/>
  <c r="J5977" i="28"/>
  <c r="K5977" i="28" s="1"/>
  <c r="J5978" i="28"/>
  <c r="K5978" i="28" s="1"/>
  <c r="J5979" i="28"/>
  <c r="K5979" i="28" s="1"/>
  <c r="J5980" i="28"/>
  <c r="K5980" i="28" s="1"/>
  <c r="J5981" i="28"/>
  <c r="K5981" i="28" s="1"/>
  <c r="J5982" i="28"/>
  <c r="K5982" i="28" s="1"/>
  <c r="J5983" i="28"/>
  <c r="K5983" i="28" s="1"/>
  <c r="J5984" i="28"/>
  <c r="K5984" i="28" s="1"/>
  <c r="J5985" i="28"/>
  <c r="K5985" i="28" s="1"/>
  <c r="J5986" i="28"/>
  <c r="K5986" i="28" s="1"/>
  <c r="J5987" i="28"/>
  <c r="K5987" i="28" s="1"/>
  <c r="J5988" i="28"/>
  <c r="K5988" i="28" s="1"/>
  <c r="J5989" i="28"/>
  <c r="K5989" i="28" s="1"/>
  <c r="J5990" i="28"/>
  <c r="K5990" i="28" s="1"/>
  <c r="J5991" i="28"/>
  <c r="K5991" i="28" s="1"/>
  <c r="J5992" i="28"/>
  <c r="K5992" i="28" s="1"/>
  <c r="J5993" i="28"/>
  <c r="K5993" i="28" s="1"/>
  <c r="J5994" i="28"/>
  <c r="K5994" i="28" s="1"/>
  <c r="J5995" i="28"/>
  <c r="K5995" i="28" s="1"/>
  <c r="J5996" i="28"/>
  <c r="K5996" i="28" s="1"/>
  <c r="J5997" i="28"/>
  <c r="K5997" i="28" s="1"/>
  <c r="J5998" i="28"/>
  <c r="K5998" i="28" s="1"/>
  <c r="J5999" i="28"/>
  <c r="K5999" i="28" s="1"/>
  <c r="J6000" i="28"/>
  <c r="K6000" i="28" s="1"/>
  <c r="J6001" i="28"/>
  <c r="K6001" i="28" s="1"/>
  <c r="J6002" i="28"/>
  <c r="K6002" i="28" s="1"/>
  <c r="J6003" i="28"/>
  <c r="K6003" i="28" s="1"/>
  <c r="J6004" i="28"/>
  <c r="K6004" i="28" s="1"/>
  <c r="J6005" i="28"/>
  <c r="K6005" i="28" s="1"/>
  <c r="J6006" i="28"/>
  <c r="K6006" i="28" s="1"/>
  <c r="J3007" i="28"/>
  <c r="K3007" i="28" s="1"/>
  <c r="J3008" i="28"/>
  <c r="K3008" i="28" s="1"/>
  <c r="J3009" i="28"/>
  <c r="K3009" i="28" s="1"/>
  <c r="J3010" i="28"/>
  <c r="K3010" i="28" s="1"/>
  <c r="J3011" i="28"/>
  <c r="K3011" i="28" s="1"/>
  <c r="J3012" i="28"/>
  <c r="K3012" i="28" s="1"/>
  <c r="J3013" i="28"/>
  <c r="K3013" i="28" s="1"/>
  <c r="J3014" i="28"/>
  <c r="K3014" i="28" s="1"/>
  <c r="J3015" i="28"/>
  <c r="K3015" i="28" s="1"/>
  <c r="J3016" i="28"/>
  <c r="K3016" i="28" s="1"/>
  <c r="J3017" i="28"/>
  <c r="K3017" i="28" s="1"/>
  <c r="J3018" i="28"/>
  <c r="K3018" i="28" s="1"/>
  <c r="J3019" i="28"/>
  <c r="K3019" i="28" s="1"/>
  <c r="J3020" i="28"/>
  <c r="K3020" i="28" s="1"/>
  <c r="J3021" i="28"/>
  <c r="K3021" i="28" s="1"/>
  <c r="J3022" i="28"/>
  <c r="K3022" i="28" s="1"/>
  <c r="J3023" i="28"/>
  <c r="K3023" i="28" s="1"/>
  <c r="J3024" i="28"/>
  <c r="K3024" i="28" s="1"/>
  <c r="J3025" i="28"/>
  <c r="K3025" i="28" s="1"/>
  <c r="J3026" i="28"/>
  <c r="K3026" i="28" s="1"/>
  <c r="J3027" i="28"/>
  <c r="K3027" i="28" s="1"/>
  <c r="J3028" i="28"/>
  <c r="K3028" i="28" s="1"/>
  <c r="J3029" i="28"/>
  <c r="K3029" i="28" s="1"/>
  <c r="J3030" i="28"/>
  <c r="K3030" i="28" s="1"/>
  <c r="J3031" i="28"/>
  <c r="K3031" i="28" s="1"/>
  <c r="J3032" i="28"/>
  <c r="K3032" i="28" s="1"/>
  <c r="J3033" i="28"/>
  <c r="K3033" i="28" s="1"/>
  <c r="J3034" i="28"/>
  <c r="K3034" i="28" s="1"/>
  <c r="J3035" i="28"/>
  <c r="K3035" i="28" s="1"/>
  <c r="J3036" i="28"/>
  <c r="K3036" i="28" s="1"/>
  <c r="J3037" i="28"/>
  <c r="K3037" i="28" s="1"/>
  <c r="J3038" i="28"/>
  <c r="K3038" i="28" s="1"/>
  <c r="J3039" i="28"/>
  <c r="K3039" i="28" s="1"/>
  <c r="J3040" i="28"/>
  <c r="K3040" i="28" s="1"/>
  <c r="J3041" i="28"/>
  <c r="K3041" i="28" s="1"/>
  <c r="J3042" i="28"/>
  <c r="K3042" i="28" s="1"/>
  <c r="J3043" i="28"/>
  <c r="K3043" i="28" s="1"/>
  <c r="J3044" i="28"/>
  <c r="K3044" i="28" s="1"/>
  <c r="J3045" i="28"/>
  <c r="K3045" i="28" s="1"/>
  <c r="J3046" i="28"/>
  <c r="K3046" i="28" s="1"/>
  <c r="J3047" i="28"/>
  <c r="K3047" i="28" s="1"/>
  <c r="J3048" i="28"/>
  <c r="K3048" i="28" s="1"/>
  <c r="J3049" i="28"/>
  <c r="K3049" i="28" s="1"/>
  <c r="J3050" i="28"/>
  <c r="K3050" i="28" s="1"/>
  <c r="J3051" i="28"/>
  <c r="K3051" i="28" s="1"/>
  <c r="J3052" i="28"/>
  <c r="K3052" i="28" s="1"/>
  <c r="J3053" i="28"/>
  <c r="K3053" i="28" s="1"/>
  <c r="J3054" i="28"/>
  <c r="K3054" i="28" s="1"/>
  <c r="J3055" i="28"/>
  <c r="K3055" i="28" s="1"/>
  <c r="J3056" i="28"/>
  <c r="K3056" i="28" s="1"/>
  <c r="J3057" i="28"/>
  <c r="K3057" i="28" s="1"/>
  <c r="J3058" i="28"/>
  <c r="K3058" i="28" s="1"/>
  <c r="J3059" i="28"/>
  <c r="K3059" i="28" s="1"/>
  <c r="J3060" i="28"/>
  <c r="K3060" i="28" s="1"/>
  <c r="J3061" i="28"/>
  <c r="K3061" i="28" s="1"/>
  <c r="J3062" i="28"/>
  <c r="K3062" i="28" s="1"/>
  <c r="J3063" i="28"/>
  <c r="K3063" i="28" s="1"/>
  <c r="J3064" i="28"/>
  <c r="K3064" i="28" s="1"/>
  <c r="J3065" i="28"/>
  <c r="K3065" i="28" s="1"/>
  <c r="J3066" i="28"/>
  <c r="K3066" i="28" s="1"/>
  <c r="J3067" i="28"/>
  <c r="K3067" i="28" s="1"/>
  <c r="J3068" i="28"/>
  <c r="K3068" i="28" s="1"/>
  <c r="J3069" i="28"/>
  <c r="K3069" i="28" s="1"/>
  <c r="J3070" i="28"/>
  <c r="K3070" i="28" s="1"/>
  <c r="J3071" i="28"/>
  <c r="K3071" i="28" s="1"/>
  <c r="J3072" i="28"/>
  <c r="K3072" i="28" s="1"/>
  <c r="J3073" i="28"/>
  <c r="K3073" i="28" s="1"/>
  <c r="J3074" i="28"/>
  <c r="K3074" i="28" s="1"/>
  <c r="J3075" i="28"/>
  <c r="K3075" i="28" s="1"/>
  <c r="J3076" i="28"/>
  <c r="K3076" i="28" s="1"/>
  <c r="J3077" i="28"/>
  <c r="K3077" i="28" s="1"/>
  <c r="J3078" i="28"/>
  <c r="K3078" i="28" s="1"/>
  <c r="J3079" i="28"/>
  <c r="K3079" i="28" s="1"/>
  <c r="J3080" i="28"/>
  <c r="K3080" i="28" s="1"/>
  <c r="J3081" i="28"/>
  <c r="K3081" i="28" s="1"/>
  <c r="J3082" i="28"/>
  <c r="K3082" i="28" s="1"/>
  <c r="J3083" i="28"/>
  <c r="K3083" i="28" s="1"/>
  <c r="J3084" i="28"/>
  <c r="K3084" i="28" s="1"/>
  <c r="J3085" i="28"/>
  <c r="K3085" i="28" s="1"/>
  <c r="J3086" i="28"/>
  <c r="K3086" i="28" s="1"/>
  <c r="J3087" i="28"/>
  <c r="K3087" i="28" s="1"/>
  <c r="J3088" i="28"/>
  <c r="K3088" i="28" s="1"/>
  <c r="J3089" i="28"/>
  <c r="K3089" i="28" s="1"/>
  <c r="J3090" i="28"/>
  <c r="K3090" i="28" s="1"/>
  <c r="J3091" i="28"/>
  <c r="K3091" i="28" s="1"/>
  <c r="J3092" i="28"/>
  <c r="K3092" i="28" s="1"/>
  <c r="J3093" i="28"/>
  <c r="K3093" i="28" s="1"/>
  <c r="J3094" i="28"/>
  <c r="K3094" i="28" s="1"/>
  <c r="J3095" i="28"/>
  <c r="K3095" i="28" s="1"/>
  <c r="J3096" i="28"/>
  <c r="K3096" i="28" s="1"/>
  <c r="J3097" i="28"/>
  <c r="K3097" i="28" s="1"/>
  <c r="J3098" i="28"/>
  <c r="K3098" i="28" s="1"/>
  <c r="J3099" i="28"/>
  <c r="K3099" i="28" s="1"/>
  <c r="J3100" i="28"/>
  <c r="K3100" i="28" s="1"/>
  <c r="J3101" i="28"/>
  <c r="K3101" i="28" s="1"/>
  <c r="J3102" i="28"/>
  <c r="K3102" i="28" s="1"/>
  <c r="J3103" i="28"/>
  <c r="K3103" i="28" s="1"/>
  <c r="J3104" i="28"/>
  <c r="K3104" i="28" s="1"/>
  <c r="J3105" i="28"/>
  <c r="K3105" i="28" s="1"/>
  <c r="J3106" i="28"/>
  <c r="K3106" i="28" s="1"/>
  <c r="J3107" i="28"/>
  <c r="K3107" i="28" s="1"/>
  <c r="J3108" i="28"/>
  <c r="K3108" i="28" s="1"/>
  <c r="J3109" i="28"/>
  <c r="K3109" i="28" s="1"/>
  <c r="J3110" i="28"/>
  <c r="K3110" i="28" s="1"/>
  <c r="J3111" i="28"/>
  <c r="K3111" i="28" s="1"/>
  <c r="J3112" i="28"/>
  <c r="K3112" i="28" s="1"/>
  <c r="J3113" i="28"/>
  <c r="K3113" i="28" s="1"/>
  <c r="J3114" i="28"/>
  <c r="K3114" i="28" s="1"/>
  <c r="J3115" i="28"/>
  <c r="K3115" i="28" s="1"/>
  <c r="J3116" i="28"/>
  <c r="K3116" i="28" s="1"/>
  <c r="J3117" i="28"/>
  <c r="K3117" i="28" s="1"/>
  <c r="J3118" i="28"/>
  <c r="K3118" i="28" s="1"/>
  <c r="J3119" i="28"/>
  <c r="K3119" i="28" s="1"/>
  <c r="J3120" i="28"/>
  <c r="K3120" i="28" s="1"/>
  <c r="J3121" i="28"/>
  <c r="K3121" i="28" s="1"/>
  <c r="J3122" i="28"/>
  <c r="K3122" i="28" s="1"/>
  <c r="J3123" i="28"/>
  <c r="K3123" i="28" s="1"/>
  <c r="J3124" i="28"/>
  <c r="K3124" i="28" s="1"/>
  <c r="J3125" i="28"/>
  <c r="K3125" i="28" s="1"/>
  <c r="J3126" i="28"/>
  <c r="K3126" i="28" s="1"/>
  <c r="J3127" i="28"/>
  <c r="K3127" i="28" s="1"/>
  <c r="J3128" i="28"/>
  <c r="K3128" i="28" s="1"/>
  <c r="J3129" i="28"/>
  <c r="K3129" i="28" s="1"/>
  <c r="J3130" i="28"/>
  <c r="K3130" i="28" s="1"/>
  <c r="J3131" i="28"/>
  <c r="K3131" i="28" s="1"/>
  <c r="J3132" i="28"/>
  <c r="K3132" i="28" s="1"/>
  <c r="J3133" i="28"/>
  <c r="K3133" i="28" s="1"/>
  <c r="J3134" i="28"/>
  <c r="K3134" i="28" s="1"/>
  <c r="J3135" i="28"/>
  <c r="K3135" i="28" s="1"/>
  <c r="J3136" i="28"/>
  <c r="K3136" i="28" s="1"/>
  <c r="J3137" i="28"/>
  <c r="K3137" i="28" s="1"/>
  <c r="J3138" i="28"/>
  <c r="K3138" i="28" s="1"/>
  <c r="J3139" i="28"/>
  <c r="K3139" i="28" s="1"/>
  <c r="J3140" i="28"/>
  <c r="K3140" i="28" s="1"/>
  <c r="J3141" i="28"/>
  <c r="K3141" i="28" s="1"/>
  <c r="J3142" i="28"/>
  <c r="K3142" i="28" s="1"/>
  <c r="J3143" i="28"/>
  <c r="K3143" i="28" s="1"/>
  <c r="J3144" i="28"/>
  <c r="K3144" i="28" s="1"/>
  <c r="J3145" i="28"/>
  <c r="K3145" i="28" s="1"/>
  <c r="J3146" i="28"/>
  <c r="K3146" i="28" s="1"/>
  <c r="J3147" i="28"/>
  <c r="K3147" i="28" s="1"/>
  <c r="J3148" i="28"/>
  <c r="K3148" i="28" s="1"/>
  <c r="J3149" i="28"/>
  <c r="K3149" i="28" s="1"/>
  <c r="J3150" i="28"/>
  <c r="K3150" i="28" s="1"/>
  <c r="J3151" i="28"/>
  <c r="K3151" i="28" s="1"/>
  <c r="J3152" i="28"/>
  <c r="K3152" i="28" s="1"/>
  <c r="J3153" i="28"/>
  <c r="K3153" i="28" s="1"/>
  <c r="J3154" i="28"/>
  <c r="K3154" i="28" s="1"/>
  <c r="J3155" i="28"/>
  <c r="K3155" i="28" s="1"/>
  <c r="J3156" i="28"/>
  <c r="K3156" i="28" s="1"/>
  <c r="J3157" i="28"/>
  <c r="K3157" i="28" s="1"/>
  <c r="J3158" i="28"/>
  <c r="K3158" i="28" s="1"/>
  <c r="J3159" i="28"/>
  <c r="K3159" i="28" s="1"/>
  <c r="J3160" i="28"/>
  <c r="K3160" i="28" s="1"/>
  <c r="J3161" i="28"/>
  <c r="K3161" i="28" s="1"/>
  <c r="J3162" i="28"/>
  <c r="K3162" i="28" s="1"/>
  <c r="J3163" i="28"/>
  <c r="K3163" i="28" s="1"/>
  <c r="J3164" i="28"/>
  <c r="K3164" i="28" s="1"/>
  <c r="J3165" i="28"/>
  <c r="K3165" i="28" s="1"/>
  <c r="J3166" i="28"/>
  <c r="K3166" i="28" s="1"/>
  <c r="J3167" i="28"/>
  <c r="K3167" i="28" s="1"/>
  <c r="J3168" i="28"/>
  <c r="K3168" i="28" s="1"/>
  <c r="J3169" i="28"/>
  <c r="K3169" i="28" s="1"/>
  <c r="J3170" i="28"/>
  <c r="K3170" i="28" s="1"/>
  <c r="J3171" i="28"/>
  <c r="K3171" i="28" s="1"/>
  <c r="J3172" i="28"/>
  <c r="K3172" i="28" s="1"/>
  <c r="J3173" i="28"/>
  <c r="K3173" i="28" s="1"/>
  <c r="J3174" i="28"/>
  <c r="K3174" i="28" s="1"/>
  <c r="J3175" i="28"/>
  <c r="K3175" i="28" s="1"/>
  <c r="J3176" i="28"/>
  <c r="K3176" i="28" s="1"/>
  <c r="J3177" i="28"/>
  <c r="K3177" i="28" s="1"/>
  <c r="J3178" i="28"/>
  <c r="K3178" i="28" s="1"/>
  <c r="J3179" i="28"/>
  <c r="K3179" i="28" s="1"/>
  <c r="J3180" i="28"/>
  <c r="K3180" i="28" s="1"/>
  <c r="J3181" i="28"/>
  <c r="K3181" i="28" s="1"/>
  <c r="J3182" i="28"/>
  <c r="K3182" i="28" s="1"/>
  <c r="J3183" i="28"/>
  <c r="K3183" i="28" s="1"/>
  <c r="J3184" i="28"/>
  <c r="K3184" i="28" s="1"/>
  <c r="J3185" i="28"/>
  <c r="K3185" i="28" s="1"/>
  <c r="J3186" i="28"/>
  <c r="K3186" i="28" s="1"/>
  <c r="J3187" i="28"/>
  <c r="K3187" i="28" s="1"/>
  <c r="J3188" i="28"/>
  <c r="K3188" i="28" s="1"/>
  <c r="J3189" i="28"/>
  <c r="K3189" i="28" s="1"/>
  <c r="J3190" i="28"/>
  <c r="K3190" i="28" s="1"/>
  <c r="J3191" i="28"/>
  <c r="K3191" i="28" s="1"/>
  <c r="J3192" i="28"/>
  <c r="K3192" i="28" s="1"/>
  <c r="J3193" i="28"/>
  <c r="K3193" i="28" s="1"/>
  <c r="J3194" i="28"/>
  <c r="K3194" i="28" s="1"/>
  <c r="J3195" i="28"/>
  <c r="K3195" i="28" s="1"/>
  <c r="J3196" i="28"/>
  <c r="K3196" i="28" s="1"/>
  <c r="J3197" i="28"/>
  <c r="K3197" i="28" s="1"/>
  <c r="J3198" i="28"/>
  <c r="K3198" i="28" s="1"/>
  <c r="J3199" i="28"/>
  <c r="K3199" i="28" s="1"/>
  <c r="J3200" i="28"/>
  <c r="K3200" i="28" s="1"/>
  <c r="J3201" i="28"/>
  <c r="K3201" i="28" s="1"/>
  <c r="J3202" i="28"/>
  <c r="K3202" i="28" s="1"/>
  <c r="J3203" i="28"/>
  <c r="K3203" i="28" s="1"/>
  <c r="J3204" i="28"/>
  <c r="K3204" i="28" s="1"/>
  <c r="J3205" i="28"/>
  <c r="K3205" i="28" s="1"/>
  <c r="J3206" i="28"/>
  <c r="K3206" i="28" s="1"/>
  <c r="J3207" i="28"/>
  <c r="K3207" i="28" s="1"/>
  <c r="J3208" i="28"/>
  <c r="K3208" i="28" s="1"/>
  <c r="J3209" i="28"/>
  <c r="K3209" i="28" s="1"/>
  <c r="J3210" i="28"/>
  <c r="K3210" i="28" s="1"/>
  <c r="J3211" i="28"/>
  <c r="K3211" i="28" s="1"/>
  <c r="J3212" i="28"/>
  <c r="K3212" i="28" s="1"/>
  <c r="J3213" i="28"/>
  <c r="K3213" i="28" s="1"/>
  <c r="J3214" i="28"/>
  <c r="K3214" i="28" s="1"/>
  <c r="J3215" i="28"/>
  <c r="K3215" i="28" s="1"/>
  <c r="J3216" i="28"/>
  <c r="K3216" i="28" s="1"/>
  <c r="J3217" i="28"/>
  <c r="K3217" i="28" s="1"/>
  <c r="J3218" i="28"/>
  <c r="K3218" i="28" s="1"/>
  <c r="J3219" i="28"/>
  <c r="K3219" i="28" s="1"/>
  <c r="J3220" i="28"/>
  <c r="K3220" i="28" s="1"/>
  <c r="J3221" i="28"/>
  <c r="K3221" i="28" s="1"/>
  <c r="J3222" i="28"/>
  <c r="K3222" i="28" s="1"/>
  <c r="J3223" i="28"/>
  <c r="K3223" i="28" s="1"/>
  <c r="J3224" i="28"/>
  <c r="K3224" i="28" s="1"/>
  <c r="J3225" i="28"/>
  <c r="K3225" i="28" s="1"/>
  <c r="J3226" i="28"/>
  <c r="K3226" i="28" s="1"/>
  <c r="J3227" i="28"/>
  <c r="K3227" i="28" s="1"/>
  <c r="J3228" i="28"/>
  <c r="K3228" i="28" s="1"/>
  <c r="J3229" i="28"/>
  <c r="K3229" i="28" s="1"/>
  <c r="J3230" i="28"/>
  <c r="K3230" i="28" s="1"/>
  <c r="J3231" i="28"/>
  <c r="K3231" i="28" s="1"/>
  <c r="J3232" i="28"/>
  <c r="K3232" i="28" s="1"/>
  <c r="J3233" i="28"/>
  <c r="K3233" i="28" s="1"/>
  <c r="J3234" i="28"/>
  <c r="K3234" i="28" s="1"/>
  <c r="J3235" i="28"/>
  <c r="K3235" i="28" s="1"/>
  <c r="J3236" i="28"/>
  <c r="K3236" i="28" s="1"/>
  <c r="J3237" i="28"/>
  <c r="K3237" i="28" s="1"/>
  <c r="J3238" i="28"/>
  <c r="K3238" i="28" s="1"/>
  <c r="J3239" i="28"/>
  <c r="K3239" i="28" s="1"/>
  <c r="J3240" i="28"/>
  <c r="K3240" i="28" s="1"/>
  <c r="J3241" i="28"/>
  <c r="K3241" i="28" s="1"/>
  <c r="J3242" i="28"/>
  <c r="K3242" i="28" s="1"/>
  <c r="J3243" i="28"/>
  <c r="K3243" i="28" s="1"/>
  <c r="J3244" i="28"/>
  <c r="K3244" i="28" s="1"/>
  <c r="J3245" i="28"/>
  <c r="K3245" i="28" s="1"/>
  <c r="J3246" i="28"/>
  <c r="K3246" i="28" s="1"/>
  <c r="J3247" i="28"/>
  <c r="K3247" i="28" s="1"/>
  <c r="J3248" i="28"/>
  <c r="K3248" i="28" s="1"/>
  <c r="J3249" i="28"/>
  <c r="K3249" i="28" s="1"/>
  <c r="J3250" i="28"/>
  <c r="K3250" i="28" s="1"/>
  <c r="J3251" i="28"/>
  <c r="K3251" i="28" s="1"/>
  <c r="J3252" i="28"/>
  <c r="K3252" i="28" s="1"/>
  <c r="J3253" i="28"/>
  <c r="K3253" i="28" s="1"/>
  <c r="J3254" i="28"/>
  <c r="K3254" i="28" s="1"/>
  <c r="J3255" i="28"/>
  <c r="K3255" i="28" s="1"/>
  <c r="J3256" i="28"/>
  <c r="K3256" i="28" s="1"/>
  <c r="J3257" i="28"/>
  <c r="K3257" i="28" s="1"/>
  <c r="J3258" i="28"/>
  <c r="K3258" i="28" s="1"/>
  <c r="J3259" i="28"/>
  <c r="K3259" i="28" s="1"/>
  <c r="J3260" i="28"/>
  <c r="K3260" i="28" s="1"/>
  <c r="J3261" i="28"/>
  <c r="K3261" i="28" s="1"/>
  <c r="J3262" i="28"/>
  <c r="K3262" i="28" s="1"/>
  <c r="J3263" i="28"/>
  <c r="K3263" i="28" s="1"/>
  <c r="J3264" i="28"/>
  <c r="K3264" i="28" s="1"/>
  <c r="J3265" i="28"/>
  <c r="K3265" i="28" s="1"/>
  <c r="J3266" i="28"/>
  <c r="K3266" i="28" s="1"/>
  <c r="J3267" i="28"/>
  <c r="K3267" i="28" s="1"/>
  <c r="J3268" i="28"/>
  <c r="K3268" i="28" s="1"/>
  <c r="J3269" i="28"/>
  <c r="K3269" i="28" s="1"/>
  <c r="J3270" i="28"/>
  <c r="K3270" i="28" s="1"/>
  <c r="J3271" i="28"/>
  <c r="K3271" i="28" s="1"/>
  <c r="J3272" i="28"/>
  <c r="K3272" i="28" s="1"/>
  <c r="J3273" i="28"/>
  <c r="K3273" i="28" s="1"/>
  <c r="J3274" i="28"/>
  <c r="K3274" i="28" s="1"/>
  <c r="J3275" i="28"/>
  <c r="K3275" i="28" s="1"/>
  <c r="J3276" i="28"/>
  <c r="K3276" i="28" s="1"/>
  <c r="J3277" i="28"/>
  <c r="K3277" i="28" s="1"/>
  <c r="J3278" i="28"/>
  <c r="K3278" i="28" s="1"/>
  <c r="J3279" i="28"/>
  <c r="K3279" i="28" s="1"/>
  <c r="J3280" i="28"/>
  <c r="K3280" i="28" s="1"/>
  <c r="J3281" i="28"/>
  <c r="K3281" i="28" s="1"/>
  <c r="J3282" i="28"/>
  <c r="K3282" i="28" s="1"/>
  <c r="J3283" i="28"/>
  <c r="K3283" i="28" s="1"/>
  <c r="J3284" i="28"/>
  <c r="K3284" i="28" s="1"/>
  <c r="J3285" i="28"/>
  <c r="K3285" i="28" s="1"/>
  <c r="J3286" i="28"/>
  <c r="K3286" i="28" s="1"/>
  <c r="J3287" i="28"/>
  <c r="K3287" i="28" s="1"/>
  <c r="J3288" i="28"/>
  <c r="K3288" i="28" s="1"/>
  <c r="J3289" i="28"/>
  <c r="K3289" i="28" s="1"/>
  <c r="J3290" i="28"/>
  <c r="K3290" i="28" s="1"/>
  <c r="J3291" i="28"/>
  <c r="K3291" i="28" s="1"/>
  <c r="J3292" i="28"/>
  <c r="K3292" i="28" s="1"/>
  <c r="J3293" i="28"/>
  <c r="K3293" i="28" s="1"/>
  <c r="J3294" i="28"/>
  <c r="K3294" i="28" s="1"/>
  <c r="J3295" i="28"/>
  <c r="K3295" i="28" s="1"/>
  <c r="J3296" i="28"/>
  <c r="K3296" i="28" s="1"/>
  <c r="J3297" i="28"/>
  <c r="K3297" i="28" s="1"/>
  <c r="J3298" i="28"/>
  <c r="K3298" i="28" s="1"/>
  <c r="J3299" i="28"/>
  <c r="K3299" i="28" s="1"/>
  <c r="J3300" i="28"/>
  <c r="K3300" i="28" s="1"/>
  <c r="J3301" i="28"/>
  <c r="K3301" i="28" s="1"/>
  <c r="J3302" i="28"/>
  <c r="K3302" i="28" s="1"/>
  <c r="J3303" i="28"/>
  <c r="K3303" i="28" s="1"/>
  <c r="J3304" i="28"/>
  <c r="K3304" i="28" s="1"/>
  <c r="J3305" i="28"/>
  <c r="K3305" i="28" s="1"/>
  <c r="J3306" i="28"/>
  <c r="K3306" i="28" s="1"/>
  <c r="J3307" i="28"/>
  <c r="K3307" i="28" s="1"/>
  <c r="J3308" i="28"/>
  <c r="K3308" i="28" s="1"/>
  <c r="J3309" i="28"/>
  <c r="K3309" i="28" s="1"/>
  <c r="J3310" i="28"/>
  <c r="K3310" i="28" s="1"/>
  <c r="J3311" i="28"/>
  <c r="K3311" i="28" s="1"/>
  <c r="J3312" i="28"/>
  <c r="K3312" i="28" s="1"/>
  <c r="J3313" i="28"/>
  <c r="K3313" i="28" s="1"/>
  <c r="J3314" i="28"/>
  <c r="K3314" i="28" s="1"/>
  <c r="J3315" i="28"/>
  <c r="K3315" i="28" s="1"/>
  <c r="J3316" i="28"/>
  <c r="K3316" i="28" s="1"/>
  <c r="J3317" i="28"/>
  <c r="K3317" i="28" s="1"/>
  <c r="J3318" i="28"/>
  <c r="K3318" i="28" s="1"/>
  <c r="J3319" i="28"/>
  <c r="K3319" i="28" s="1"/>
  <c r="J3320" i="28"/>
  <c r="K3320" i="28" s="1"/>
  <c r="J3321" i="28"/>
  <c r="K3321" i="28" s="1"/>
  <c r="J3322" i="28"/>
  <c r="K3322" i="28" s="1"/>
  <c r="J3323" i="28"/>
  <c r="K3323" i="28" s="1"/>
  <c r="J3324" i="28"/>
  <c r="K3324" i="28" s="1"/>
  <c r="J3325" i="28"/>
  <c r="K3325" i="28" s="1"/>
  <c r="J3326" i="28"/>
  <c r="K3326" i="28" s="1"/>
  <c r="J3327" i="28"/>
  <c r="K3327" i="28" s="1"/>
  <c r="J3328" i="28"/>
  <c r="K3328" i="28" s="1"/>
  <c r="J3329" i="28"/>
  <c r="K3329" i="28" s="1"/>
  <c r="J3330" i="28"/>
  <c r="K3330" i="28" s="1"/>
  <c r="J3331" i="28"/>
  <c r="K3331" i="28" s="1"/>
  <c r="J3332" i="28"/>
  <c r="K3332" i="28" s="1"/>
  <c r="J3333" i="28"/>
  <c r="K3333" i="28" s="1"/>
  <c r="J3334" i="28"/>
  <c r="K3334" i="28" s="1"/>
  <c r="J3335" i="28"/>
  <c r="K3335" i="28" s="1"/>
  <c r="J3336" i="28"/>
  <c r="K3336" i="28" s="1"/>
  <c r="J3337" i="28"/>
  <c r="K3337" i="28" s="1"/>
  <c r="J3338" i="28"/>
  <c r="K3338" i="28" s="1"/>
  <c r="J3339" i="28"/>
  <c r="K3339" i="28" s="1"/>
  <c r="J3340" i="28"/>
  <c r="K3340" i="28" s="1"/>
  <c r="J3341" i="28"/>
  <c r="K3341" i="28" s="1"/>
  <c r="J3342" i="28"/>
  <c r="K3342" i="28" s="1"/>
  <c r="J3343" i="28"/>
  <c r="K3343" i="28" s="1"/>
  <c r="J3344" i="28"/>
  <c r="K3344" i="28" s="1"/>
  <c r="J3345" i="28"/>
  <c r="K3345" i="28" s="1"/>
  <c r="J3346" i="28"/>
  <c r="K3346" i="28" s="1"/>
  <c r="J3347" i="28"/>
  <c r="K3347" i="28" s="1"/>
  <c r="J3348" i="28"/>
  <c r="K3348" i="28" s="1"/>
  <c r="J3349" i="28"/>
  <c r="K3349" i="28" s="1"/>
  <c r="J3350" i="28"/>
  <c r="K3350" i="28" s="1"/>
  <c r="J3351" i="28"/>
  <c r="K3351" i="28" s="1"/>
  <c r="J3352" i="28"/>
  <c r="K3352" i="28" s="1"/>
  <c r="J3353" i="28"/>
  <c r="K3353" i="28" s="1"/>
  <c r="J3354" i="28"/>
  <c r="K3354" i="28" s="1"/>
  <c r="J3355" i="28"/>
  <c r="K3355" i="28" s="1"/>
  <c r="J3356" i="28"/>
  <c r="K3356" i="28" s="1"/>
  <c r="J3357" i="28"/>
  <c r="K3357" i="28" s="1"/>
  <c r="J3358" i="28"/>
  <c r="K3358" i="28" s="1"/>
  <c r="J3359" i="28"/>
  <c r="K3359" i="28" s="1"/>
  <c r="J3360" i="28"/>
  <c r="K3360" i="28" s="1"/>
  <c r="J3361" i="28"/>
  <c r="K3361" i="28" s="1"/>
  <c r="J3362" i="28"/>
  <c r="K3362" i="28" s="1"/>
  <c r="J3363" i="28"/>
  <c r="K3363" i="28" s="1"/>
  <c r="J3364" i="28"/>
  <c r="K3364" i="28" s="1"/>
  <c r="J3365" i="28"/>
  <c r="K3365" i="28" s="1"/>
  <c r="J3366" i="28"/>
  <c r="K3366" i="28" s="1"/>
  <c r="J3367" i="28"/>
  <c r="K3367" i="28" s="1"/>
  <c r="J3368" i="28"/>
  <c r="K3368" i="28" s="1"/>
  <c r="J3369" i="28"/>
  <c r="K3369" i="28" s="1"/>
  <c r="J3370" i="28"/>
  <c r="K3370" i="28" s="1"/>
  <c r="J3371" i="28"/>
  <c r="K3371" i="28" s="1"/>
  <c r="J3372" i="28"/>
  <c r="K3372" i="28" s="1"/>
  <c r="J3373" i="28"/>
  <c r="K3373" i="28" s="1"/>
  <c r="J3374" i="28"/>
  <c r="K3374" i="28" s="1"/>
  <c r="J3375" i="28"/>
  <c r="K3375" i="28" s="1"/>
  <c r="J3376" i="28"/>
  <c r="K3376" i="28" s="1"/>
  <c r="J3377" i="28"/>
  <c r="K3377" i="28" s="1"/>
  <c r="J3378" i="28"/>
  <c r="K3378" i="28" s="1"/>
  <c r="J3379" i="28"/>
  <c r="K3379" i="28" s="1"/>
  <c r="J3380" i="28"/>
  <c r="K3380" i="28" s="1"/>
  <c r="J3381" i="28"/>
  <c r="K3381" i="28" s="1"/>
  <c r="J3382" i="28"/>
  <c r="K3382" i="28" s="1"/>
  <c r="J3383" i="28"/>
  <c r="K3383" i="28" s="1"/>
  <c r="J3384" i="28"/>
  <c r="K3384" i="28" s="1"/>
  <c r="J3385" i="28"/>
  <c r="K3385" i="28" s="1"/>
  <c r="J3386" i="28"/>
  <c r="K3386" i="28" s="1"/>
  <c r="J3387" i="28"/>
  <c r="K3387" i="28" s="1"/>
  <c r="J3388" i="28"/>
  <c r="K3388" i="28" s="1"/>
  <c r="J3389" i="28"/>
  <c r="K3389" i="28" s="1"/>
  <c r="J3390" i="28"/>
  <c r="K3390" i="28" s="1"/>
  <c r="J3391" i="28"/>
  <c r="K3391" i="28" s="1"/>
  <c r="J3392" i="28"/>
  <c r="K3392" i="28" s="1"/>
  <c r="J3393" i="28"/>
  <c r="K3393" i="28" s="1"/>
  <c r="J3394" i="28"/>
  <c r="K3394" i="28" s="1"/>
  <c r="J3395" i="28"/>
  <c r="K3395" i="28" s="1"/>
  <c r="J3396" i="28"/>
  <c r="K3396" i="28" s="1"/>
  <c r="J3397" i="28"/>
  <c r="K3397" i="28" s="1"/>
  <c r="J3398" i="28"/>
  <c r="K3398" i="28" s="1"/>
  <c r="J3399" i="28"/>
  <c r="K3399" i="28" s="1"/>
  <c r="J3400" i="28"/>
  <c r="K3400" i="28" s="1"/>
  <c r="J3401" i="28"/>
  <c r="K3401" i="28" s="1"/>
  <c r="J3402" i="28"/>
  <c r="K3402" i="28" s="1"/>
  <c r="J3403" i="28"/>
  <c r="K3403" i="28" s="1"/>
  <c r="J3404" i="28"/>
  <c r="K3404" i="28" s="1"/>
  <c r="J3405" i="28"/>
  <c r="K3405" i="28" s="1"/>
  <c r="J3406" i="28"/>
  <c r="K3406" i="28" s="1"/>
  <c r="J3407" i="28"/>
  <c r="K3407" i="28" s="1"/>
  <c r="J3408" i="28"/>
  <c r="K3408" i="28" s="1"/>
  <c r="J3409" i="28"/>
  <c r="K3409" i="28" s="1"/>
  <c r="J3410" i="28"/>
  <c r="K3410" i="28" s="1"/>
  <c r="J3411" i="28"/>
  <c r="K3411" i="28" s="1"/>
  <c r="J3412" i="28"/>
  <c r="K3412" i="28" s="1"/>
  <c r="J3413" i="28"/>
  <c r="K3413" i="28" s="1"/>
  <c r="J3414" i="28"/>
  <c r="K3414" i="28" s="1"/>
  <c r="J3415" i="28"/>
  <c r="K3415" i="28" s="1"/>
  <c r="J3416" i="28"/>
  <c r="K3416" i="28" s="1"/>
  <c r="J3417" i="28"/>
  <c r="K3417" i="28" s="1"/>
  <c r="J3418" i="28"/>
  <c r="K3418" i="28" s="1"/>
  <c r="J3419" i="28"/>
  <c r="K3419" i="28" s="1"/>
  <c r="J3420" i="28"/>
  <c r="K3420" i="28" s="1"/>
  <c r="J3421" i="28"/>
  <c r="K3421" i="28" s="1"/>
  <c r="J3422" i="28"/>
  <c r="K3422" i="28" s="1"/>
  <c r="J3423" i="28"/>
  <c r="K3423" i="28" s="1"/>
  <c r="J3424" i="28"/>
  <c r="K3424" i="28" s="1"/>
  <c r="J3425" i="28"/>
  <c r="K3425" i="28" s="1"/>
  <c r="J3426" i="28"/>
  <c r="K3426" i="28" s="1"/>
  <c r="J3427" i="28"/>
  <c r="K3427" i="28" s="1"/>
  <c r="J3428" i="28"/>
  <c r="K3428" i="28" s="1"/>
  <c r="J3429" i="28"/>
  <c r="K3429" i="28" s="1"/>
  <c r="J3430" i="28"/>
  <c r="K3430" i="28" s="1"/>
  <c r="J3431" i="28"/>
  <c r="K3431" i="28" s="1"/>
  <c r="J3432" i="28"/>
  <c r="K3432" i="28" s="1"/>
  <c r="J3433" i="28"/>
  <c r="K3433" i="28" s="1"/>
  <c r="J3434" i="28"/>
  <c r="K3434" i="28" s="1"/>
  <c r="J3435" i="28"/>
  <c r="K3435" i="28" s="1"/>
  <c r="J3436" i="28"/>
  <c r="K3436" i="28" s="1"/>
  <c r="J3437" i="28"/>
  <c r="K3437" i="28" s="1"/>
  <c r="J3438" i="28"/>
  <c r="K3438" i="28" s="1"/>
  <c r="J3439" i="28"/>
  <c r="K3439" i="28" s="1"/>
  <c r="J3440" i="28"/>
  <c r="K3440" i="28" s="1"/>
  <c r="J3441" i="28"/>
  <c r="K3441" i="28" s="1"/>
  <c r="J3442" i="28"/>
  <c r="K3442" i="28" s="1"/>
  <c r="J3443" i="28"/>
  <c r="K3443" i="28" s="1"/>
  <c r="J3444" i="28"/>
  <c r="K3444" i="28" s="1"/>
  <c r="J3445" i="28"/>
  <c r="K3445" i="28" s="1"/>
  <c r="J3446" i="28"/>
  <c r="K3446" i="28" s="1"/>
  <c r="J3447" i="28"/>
  <c r="K3447" i="28" s="1"/>
  <c r="J3448" i="28"/>
  <c r="K3448" i="28" s="1"/>
  <c r="J3449" i="28"/>
  <c r="K3449" i="28" s="1"/>
  <c r="J3450" i="28"/>
  <c r="K3450" i="28" s="1"/>
  <c r="J3451" i="28"/>
  <c r="K3451" i="28" s="1"/>
  <c r="J3452" i="28"/>
  <c r="K3452" i="28" s="1"/>
  <c r="J3453" i="28"/>
  <c r="K3453" i="28" s="1"/>
  <c r="J3454" i="28"/>
  <c r="K3454" i="28" s="1"/>
  <c r="J3455" i="28"/>
  <c r="K3455" i="28" s="1"/>
  <c r="J3456" i="28"/>
  <c r="K3456" i="28" s="1"/>
  <c r="J3457" i="28"/>
  <c r="K3457" i="28" s="1"/>
  <c r="J3458" i="28"/>
  <c r="K3458" i="28" s="1"/>
  <c r="J3459" i="28"/>
  <c r="K3459" i="28" s="1"/>
  <c r="J3460" i="28"/>
  <c r="K3460" i="28" s="1"/>
  <c r="J3461" i="28"/>
  <c r="K3461" i="28" s="1"/>
  <c r="J3462" i="28"/>
  <c r="K3462" i="28" s="1"/>
  <c r="J3463" i="28"/>
  <c r="K3463" i="28" s="1"/>
  <c r="J3464" i="28"/>
  <c r="K3464" i="28" s="1"/>
  <c r="J3465" i="28"/>
  <c r="K3465" i="28" s="1"/>
  <c r="J3466" i="28"/>
  <c r="K3466" i="28" s="1"/>
  <c r="J3467" i="28"/>
  <c r="K3467" i="28" s="1"/>
  <c r="J3468" i="28"/>
  <c r="K3468" i="28" s="1"/>
  <c r="J3469" i="28"/>
  <c r="K3469" i="28" s="1"/>
  <c r="J3470" i="28"/>
  <c r="K3470" i="28" s="1"/>
  <c r="J3471" i="28"/>
  <c r="K3471" i="28" s="1"/>
  <c r="J3472" i="28"/>
  <c r="K3472" i="28" s="1"/>
  <c r="J3473" i="28"/>
  <c r="K3473" i="28" s="1"/>
  <c r="J3474" i="28"/>
  <c r="K3474" i="28" s="1"/>
  <c r="J3475" i="28"/>
  <c r="K3475" i="28" s="1"/>
  <c r="J3476" i="28"/>
  <c r="K3476" i="28" s="1"/>
  <c r="J3477" i="28"/>
  <c r="K3477" i="28" s="1"/>
  <c r="J3478" i="28"/>
  <c r="K3478" i="28" s="1"/>
  <c r="J3479" i="28"/>
  <c r="K3479" i="28" s="1"/>
  <c r="J3480" i="28"/>
  <c r="K3480" i="28" s="1"/>
  <c r="J3481" i="28"/>
  <c r="K3481" i="28" s="1"/>
  <c r="J3482" i="28"/>
  <c r="K3482" i="28" s="1"/>
  <c r="J3483" i="28"/>
  <c r="K3483" i="28" s="1"/>
  <c r="J3484" i="28"/>
  <c r="K3484" i="28" s="1"/>
  <c r="J3485" i="28"/>
  <c r="K3485" i="28" s="1"/>
  <c r="J3486" i="28"/>
  <c r="K3486" i="28" s="1"/>
  <c r="J3487" i="28"/>
  <c r="K3487" i="28" s="1"/>
  <c r="J3488" i="28"/>
  <c r="K3488" i="28" s="1"/>
  <c r="J3489" i="28"/>
  <c r="K3489" i="28" s="1"/>
  <c r="J3490" i="28"/>
  <c r="K3490" i="28" s="1"/>
  <c r="J3491" i="28"/>
  <c r="K3491" i="28" s="1"/>
  <c r="J3492" i="28"/>
  <c r="K3492" i="28" s="1"/>
  <c r="J3493" i="28"/>
  <c r="K3493" i="28" s="1"/>
  <c r="J3494" i="28"/>
  <c r="K3494" i="28" s="1"/>
  <c r="J3495" i="28"/>
  <c r="K3495" i="28" s="1"/>
  <c r="J3496" i="28"/>
  <c r="K3496" i="28" s="1"/>
  <c r="J3497" i="28"/>
  <c r="K3497" i="28" s="1"/>
  <c r="J3498" i="28"/>
  <c r="K3498" i="28" s="1"/>
  <c r="J3499" i="28"/>
  <c r="K3499" i="28" s="1"/>
  <c r="J3500" i="28"/>
  <c r="K3500" i="28" s="1"/>
  <c r="J3501" i="28"/>
  <c r="K3501" i="28" s="1"/>
  <c r="J3502" i="28"/>
  <c r="K3502" i="28" s="1"/>
  <c r="J3503" i="28"/>
  <c r="K3503" i="28" s="1"/>
  <c r="J3504" i="28"/>
  <c r="K3504" i="28" s="1"/>
  <c r="J3505" i="28"/>
  <c r="K3505" i="28" s="1"/>
  <c r="J3506" i="28"/>
  <c r="K3506" i="28" s="1"/>
  <c r="J3507" i="28"/>
  <c r="K3507" i="28" s="1"/>
  <c r="J3508" i="28"/>
  <c r="K3508" i="28" s="1"/>
  <c r="J3509" i="28"/>
  <c r="K3509" i="28" s="1"/>
  <c r="J3510" i="28"/>
  <c r="K3510" i="28" s="1"/>
  <c r="J3511" i="28"/>
  <c r="K3511" i="28" s="1"/>
  <c r="J3512" i="28"/>
  <c r="K3512" i="28" s="1"/>
  <c r="J3513" i="28"/>
  <c r="K3513" i="28" s="1"/>
  <c r="J3514" i="28"/>
  <c r="K3514" i="28" s="1"/>
  <c r="J3515" i="28"/>
  <c r="K3515" i="28" s="1"/>
  <c r="J3516" i="28"/>
  <c r="K3516" i="28" s="1"/>
  <c r="J3517" i="28"/>
  <c r="K3517" i="28" s="1"/>
  <c r="J3518" i="28"/>
  <c r="K3518" i="28" s="1"/>
  <c r="J3519" i="28"/>
  <c r="K3519" i="28" s="1"/>
  <c r="J3520" i="28"/>
  <c r="K3520" i="28" s="1"/>
  <c r="J3521" i="28"/>
  <c r="K3521" i="28" s="1"/>
  <c r="J3522" i="28"/>
  <c r="K3522" i="28" s="1"/>
  <c r="J3523" i="28"/>
  <c r="K3523" i="28" s="1"/>
  <c r="J3524" i="28"/>
  <c r="K3524" i="28" s="1"/>
  <c r="J3525" i="28"/>
  <c r="K3525" i="28" s="1"/>
  <c r="J3526" i="28"/>
  <c r="K3526" i="28" s="1"/>
  <c r="J3527" i="28"/>
  <c r="K3527" i="28" s="1"/>
  <c r="J3528" i="28"/>
  <c r="K3528" i="28" s="1"/>
  <c r="J3529" i="28"/>
  <c r="K3529" i="28" s="1"/>
  <c r="J3530" i="28"/>
  <c r="K3530" i="28" s="1"/>
  <c r="J3531" i="28"/>
  <c r="K3531" i="28" s="1"/>
  <c r="J3532" i="28"/>
  <c r="K3532" i="28" s="1"/>
  <c r="J3533" i="28"/>
  <c r="K3533" i="28" s="1"/>
  <c r="J3534" i="28"/>
  <c r="K3534" i="28" s="1"/>
  <c r="J3535" i="28"/>
  <c r="K3535" i="28" s="1"/>
  <c r="J3536" i="28"/>
  <c r="K3536" i="28" s="1"/>
  <c r="J3537" i="28"/>
  <c r="K3537" i="28" s="1"/>
  <c r="J3538" i="28"/>
  <c r="K3538" i="28" s="1"/>
  <c r="J3539" i="28"/>
  <c r="K3539" i="28" s="1"/>
  <c r="J3540" i="28"/>
  <c r="K3540" i="28" s="1"/>
  <c r="J3541" i="28"/>
  <c r="K3541" i="28" s="1"/>
  <c r="J3542" i="28"/>
  <c r="K3542" i="28" s="1"/>
  <c r="J3543" i="28"/>
  <c r="K3543" i="28" s="1"/>
  <c r="J3544" i="28"/>
  <c r="K3544" i="28" s="1"/>
  <c r="J3545" i="28"/>
  <c r="K3545" i="28" s="1"/>
  <c r="J3546" i="28"/>
  <c r="K3546" i="28" s="1"/>
  <c r="J3547" i="28"/>
  <c r="K3547" i="28" s="1"/>
  <c r="J3548" i="28"/>
  <c r="K3548" i="28" s="1"/>
  <c r="J3549" i="28"/>
  <c r="K3549" i="28" s="1"/>
  <c r="J3550" i="28"/>
  <c r="K3550" i="28" s="1"/>
  <c r="J3551" i="28"/>
  <c r="K3551" i="28" s="1"/>
  <c r="J3552" i="28"/>
  <c r="K3552" i="28" s="1"/>
  <c r="J3553" i="28"/>
  <c r="K3553" i="28" s="1"/>
  <c r="J3554" i="28"/>
  <c r="K3554" i="28" s="1"/>
  <c r="J3555" i="28"/>
  <c r="K3555" i="28" s="1"/>
  <c r="J3556" i="28"/>
  <c r="K3556" i="28" s="1"/>
  <c r="J3557" i="28"/>
  <c r="K3557" i="28" s="1"/>
  <c r="J3558" i="28"/>
  <c r="K3558" i="28" s="1"/>
  <c r="J3559" i="28"/>
  <c r="K3559" i="28" s="1"/>
  <c r="J3560" i="28"/>
  <c r="K3560" i="28" s="1"/>
  <c r="J3561" i="28"/>
  <c r="K3561" i="28" s="1"/>
  <c r="J3562" i="28"/>
  <c r="K3562" i="28" s="1"/>
  <c r="J3563" i="28"/>
  <c r="K3563" i="28" s="1"/>
  <c r="J3564" i="28"/>
  <c r="K3564" i="28" s="1"/>
  <c r="J3565" i="28"/>
  <c r="K3565" i="28" s="1"/>
  <c r="J3566" i="28"/>
  <c r="K3566" i="28" s="1"/>
  <c r="J3567" i="28"/>
  <c r="K3567" i="28" s="1"/>
  <c r="J3568" i="28"/>
  <c r="K3568" i="28" s="1"/>
  <c r="J3569" i="28"/>
  <c r="K3569" i="28" s="1"/>
  <c r="J3570" i="28"/>
  <c r="K3570" i="28" s="1"/>
  <c r="J3571" i="28"/>
  <c r="K3571" i="28" s="1"/>
  <c r="J3572" i="28"/>
  <c r="K3572" i="28" s="1"/>
  <c r="J3573" i="28"/>
  <c r="K3573" i="28" s="1"/>
  <c r="J3574" i="28"/>
  <c r="K3574" i="28" s="1"/>
  <c r="J3575" i="28"/>
  <c r="K3575" i="28" s="1"/>
  <c r="J3576" i="28"/>
  <c r="K3576" i="28" s="1"/>
  <c r="J3577" i="28"/>
  <c r="K3577" i="28" s="1"/>
  <c r="J3578" i="28"/>
  <c r="K3578" i="28" s="1"/>
  <c r="J3579" i="28"/>
  <c r="K3579" i="28" s="1"/>
  <c r="J3580" i="28"/>
  <c r="K3580" i="28" s="1"/>
  <c r="J3581" i="28"/>
  <c r="K3581" i="28" s="1"/>
  <c r="J3582" i="28"/>
  <c r="K3582" i="28" s="1"/>
  <c r="J3583" i="28"/>
  <c r="K3583" i="28" s="1"/>
  <c r="J3584" i="28"/>
  <c r="K3584" i="28" s="1"/>
  <c r="J3585" i="28"/>
  <c r="K3585" i="28" s="1"/>
  <c r="J3586" i="28"/>
  <c r="K3586" i="28" s="1"/>
  <c r="J3587" i="28"/>
  <c r="K3587" i="28" s="1"/>
  <c r="J3588" i="28"/>
  <c r="K3588" i="28" s="1"/>
  <c r="J3589" i="28"/>
  <c r="K3589" i="28" s="1"/>
  <c r="J3590" i="28"/>
  <c r="K3590" i="28" s="1"/>
  <c r="J3591" i="28"/>
  <c r="K3591" i="28" s="1"/>
  <c r="J3592" i="28"/>
  <c r="K3592" i="28" s="1"/>
  <c r="J3593" i="28"/>
  <c r="K3593" i="28" s="1"/>
  <c r="J3594" i="28"/>
  <c r="K3594" i="28" s="1"/>
  <c r="J3595" i="28"/>
  <c r="K3595" i="28" s="1"/>
  <c r="J3596" i="28"/>
  <c r="K3596" i="28" s="1"/>
  <c r="J3597" i="28"/>
  <c r="K3597" i="28" s="1"/>
  <c r="J3598" i="28"/>
  <c r="K3598" i="28" s="1"/>
  <c r="J3599" i="28"/>
  <c r="K3599" i="28" s="1"/>
  <c r="J3600" i="28"/>
  <c r="K3600" i="28" s="1"/>
  <c r="J3601" i="28"/>
  <c r="K3601" i="28" s="1"/>
  <c r="J3602" i="28"/>
  <c r="K3602" i="28" s="1"/>
  <c r="J3603" i="28"/>
  <c r="K3603" i="28" s="1"/>
  <c r="J3604" i="28"/>
  <c r="K3604" i="28" s="1"/>
  <c r="J3605" i="28"/>
  <c r="K3605" i="28" s="1"/>
  <c r="J3606" i="28"/>
  <c r="K3606" i="28" s="1"/>
  <c r="J3607" i="28"/>
  <c r="K3607" i="28" s="1"/>
  <c r="J3608" i="28"/>
  <c r="K3608" i="28" s="1"/>
  <c r="J3609" i="28"/>
  <c r="K3609" i="28" s="1"/>
  <c r="J3610" i="28"/>
  <c r="K3610" i="28" s="1"/>
  <c r="J3611" i="28"/>
  <c r="K3611" i="28" s="1"/>
  <c r="J3612" i="28"/>
  <c r="K3612" i="28" s="1"/>
  <c r="J3613" i="28"/>
  <c r="K3613" i="28" s="1"/>
  <c r="J3614" i="28"/>
  <c r="K3614" i="28" s="1"/>
  <c r="J3615" i="28"/>
  <c r="K3615" i="28" s="1"/>
  <c r="J3616" i="28"/>
  <c r="K3616" i="28" s="1"/>
  <c r="J3617" i="28"/>
  <c r="K3617" i="28" s="1"/>
  <c r="J3618" i="28"/>
  <c r="K3618" i="28" s="1"/>
  <c r="J3619" i="28"/>
  <c r="K3619" i="28" s="1"/>
  <c r="J3620" i="28"/>
  <c r="K3620" i="28" s="1"/>
  <c r="J3621" i="28"/>
  <c r="K3621" i="28" s="1"/>
  <c r="J3622" i="28"/>
  <c r="K3622" i="28" s="1"/>
  <c r="J3623" i="28"/>
  <c r="K3623" i="28" s="1"/>
  <c r="J3624" i="28"/>
  <c r="K3624" i="28" s="1"/>
  <c r="J3625" i="28"/>
  <c r="K3625" i="28" s="1"/>
  <c r="J3626" i="28"/>
  <c r="K3626" i="28" s="1"/>
  <c r="J3627" i="28"/>
  <c r="K3627" i="28" s="1"/>
  <c r="J3628" i="28"/>
  <c r="K3628" i="28" s="1"/>
  <c r="J3629" i="28"/>
  <c r="K3629" i="28" s="1"/>
  <c r="J3630" i="28"/>
  <c r="K3630" i="28" s="1"/>
  <c r="J3631" i="28"/>
  <c r="K3631" i="28" s="1"/>
  <c r="J3632" i="28"/>
  <c r="K3632" i="28" s="1"/>
  <c r="J3633" i="28"/>
  <c r="K3633" i="28" s="1"/>
  <c r="J3634" i="28"/>
  <c r="K3634" i="28" s="1"/>
  <c r="J3635" i="28"/>
  <c r="K3635" i="28" s="1"/>
  <c r="J3636" i="28"/>
  <c r="K3636" i="28" s="1"/>
  <c r="J3637" i="28"/>
  <c r="K3637" i="28" s="1"/>
  <c r="J3638" i="28"/>
  <c r="K3638" i="28" s="1"/>
  <c r="J3639" i="28"/>
  <c r="K3639" i="28" s="1"/>
  <c r="J3640" i="28"/>
  <c r="K3640" i="28" s="1"/>
  <c r="J3641" i="28"/>
  <c r="K3641" i="28" s="1"/>
  <c r="J3642" i="28"/>
  <c r="K3642" i="28" s="1"/>
  <c r="J3643" i="28"/>
  <c r="K3643" i="28" s="1"/>
  <c r="J3644" i="28"/>
  <c r="K3644" i="28" s="1"/>
  <c r="J3645" i="28"/>
  <c r="K3645" i="28" s="1"/>
  <c r="J3646" i="28"/>
  <c r="K3646" i="28" s="1"/>
  <c r="J3647" i="28"/>
  <c r="K3647" i="28" s="1"/>
  <c r="J3648" i="28"/>
  <c r="K3648" i="28" s="1"/>
  <c r="J3649" i="28"/>
  <c r="K3649" i="28" s="1"/>
  <c r="J3650" i="28"/>
  <c r="K3650" i="28" s="1"/>
  <c r="J3651" i="28"/>
  <c r="K3651" i="28" s="1"/>
  <c r="J3652" i="28"/>
  <c r="K3652" i="28" s="1"/>
  <c r="J3653" i="28"/>
  <c r="K3653" i="28" s="1"/>
  <c r="J3654" i="28"/>
  <c r="K3654" i="28" s="1"/>
  <c r="J3655" i="28"/>
  <c r="K3655" i="28" s="1"/>
  <c r="J3656" i="28"/>
  <c r="K3656" i="28" s="1"/>
  <c r="J3657" i="28"/>
  <c r="K3657" i="28" s="1"/>
  <c r="J3658" i="28"/>
  <c r="K3658" i="28" s="1"/>
  <c r="J3659" i="28"/>
  <c r="K3659" i="28" s="1"/>
  <c r="J3660" i="28"/>
  <c r="K3660" i="28" s="1"/>
  <c r="J3661" i="28"/>
  <c r="K3661" i="28" s="1"/>
  <c r="J3662" i="28"/>
  <c r="K3662" i="28" s="1"/>
  <c r="J3663" i="28"/>
  <c r="K3663" i="28" s="1"/>
  <c r="J3664" i="28"/>
  <c r="K3664" i="28" s="1"/>
  <c r="J3665" i="28"/>
  <c r="K3665" i="28" s="1"/>
  <c r="J3666" i="28"/>
  <c r="K3666" i="28" s="1"/>
  <c r="J3667" i="28"/>
  <c r="K3667" i="28" s="1"/>
  <c r="J3668" i="28"/>
  <c r="K3668" i="28" s="1"/>
  <c r="J3669" i="28"/>
  <c r="K3669" i="28" s="1"/>
  <c r="J3670" i="28"/>
  <c r="K3670" i="28" s="1"/>
  <c r="J3671" i="28"/>
  <c r="K3671" i="28" s="1"/>
  <c r="J3672" i="28"/>
  <c r="K3672" i="28" s="1"/>
  <c r="J3673" i="28"/>
  <c r="K3673" i="28" s="1"/>
  <c r="J3674" i="28"/>
  <c r="K3674" i="28" s="1"/>
  <c r="J3675" i="28"/>
  <c r="K3675" i="28" s="1"/>
  <c r="J3676" i="28"/>
  <c r="K3676" i="28" s="1"/>
  <c r="J3677" i="28"/>
  <c r="K3677" i="28" s="1"/>
  <c r="J3678" i="28"/>
  <c r="K3678" i="28" s="1"/>
  <c r="J3679" i="28"/>
  <c r="K3679" i="28" s="1"/>
  <c r="J3680" i="28"/>
  <c r="K3680" i="28" s="1"/>
  <c r="J3681" i="28"/>
  <c r="K3681" i="28" s="1"/>
  <c r="J3682" i="28"/>
  <c r="K3682" i="28" s="1"/>
  <c r="J3683" i="28"/>
  <c r="K3683" i="28" s="1"/>
  <c r="J3684" i="28"/>
  <c r="K3684" i="28" s="1"/>
  <c r="J3685" i="28"/>
  <c r="K3685" i="28" s="1"/>
  <c r="J3686" i="28"/>
  <c r="K3686" i="28" s="1"/>
  <c r="J3687" i="28"/>
  <c r="K3687" i="28" s="1"/>
  <c r="J3688" i="28"/>
  <c r="K3688" i="28" s="1"/>
  <c r="J3689" i="28"/>
  <c r="K3689" i="28" s="1"/>
  <c r="J3690" i="28"/>
  <c r="K3690" i="28" s="1"/>
  <c r="J3691" i="28"/>
  <c r="K3691" i="28" s="1"/>
  <c r="J3692" i="28"/>
  <c r="K3692" i="28" s="1"/>
  <c r="J3693" i="28"/>
  <c r="K3693" i="28" s="1"/>
  <c r="J3694" i="28"/>
  <c r="K3694" i="28" s="1"/>
  <c r="J3695" i="28"/>
  <c r="K3695" i="28" s="1"/>
  <c r="J3696" i="28"/>
  <c r="K3696" i="28" s="1"/>
  <c r="J3697" i="28"/>
  <c r="K3697" i="28" s="1"/>
  <c r="J3698" i="28"/>
  <c r="K3698" i="28" s="1"/>
  <c r="J3699" i="28"/>
  <c r="K3699" i="28" s="1"/>
  <c r="J3700" i="28"/>
  <c r="K3700" i="28" s="1"/>
  <c r="J3701" i="28"/>
  <c r="K3701" i="28" s="1"/>
  <c r="J3702" i="28"/>
  <c r="K3702" i="28" s="1"/>
  <c r="J3703" i="28"/>
  <c r="K3703" i="28" s="1"/>
  <c r="J3704" i="28"/>
  <c r="K3704" i="28" s="1"/>
  <c r="J3705" i="28"/>
  <c r="K3705" i="28" s="1"/>
  <c r="J3706" i="28"/>
  <c r="K3706" i="28" s="1"/>
  <c r="J3707" i="28"/>
  <c r="K3707" i="28" s="1"/>
  <c r="J3708" i="28"/>
  <c r="K3708" i="28" s="1"/>
  <c r="J3709" i="28"/>
  <c r="K3709" i="28" s="1"/>
  <c r="J3710" i="28"/>
  <c r="K3710" i="28" s="1"/>
  <c r="J3711" i="28"/>
  <c r="K3711" i="28" s="1"/>
  <c r="J3712" i="28"/>
  <c r="K3712" i="28" s="1"/>
  <c r="J3713" i="28"/>
  <c r="K3713" i="28" s="1"/>
  <c r="J3714" i="28"/>
  <c r="K3714" i="28" s="1"/>
  <c r="J3715" i="28"/>
  <c r="K3715" i="28" s="1"/>
  <c r="J3716" i="28"/>
  <c r="K3716" i="28" s="1"/>
  <c r="J3717" i="28"/>
  <c r="K3717" i="28" s="1"/>
  <c r="J3718" i="28"/>
  <c r="K3718" i="28" s="1"/>
  <c r="J3719" i="28"/>
  <c r="K3719" i="28" s="1"/>
  <c r="J3720" i="28"/>
  <c r="K3720" i="28" s="1"/>
  <c r="J3721" i="28"/>
  <c r="K3721" i="28" s="1"/>
  <c r="J3722" i="28"/>
  <c r="K3722" i="28" s="1"/>
  <c r="J3723" i="28"/>
  <c r="K3723" i="28" s="1"/>
  <c r="J3724" i="28"/>
  <c r="K3724" i="28" s="1"/>
  <c r="J3725" i="28"/>
  <c r="K3725" i="28" s="1"/>
  <c r="J3726" i="28"/>
  <c r="K3726" i="28" s="1"/>
  <c r="J3727" i="28"/>
  <c r="K3727" i="28" s="1"/>
  <c r="J3728" i="28"/>
  <c r="K3728" i="28" s="1"/>
  <c r="J3729" i="28"/>
  <c r="K3729" i="28" s="1"/>
  <c r="J3730" i="28"/>
  <c r="K3730" i="28" s="1"/>
  <c r="J3731" i="28"/>
  <c r="K3731" i="28" s="1"/>
  <c r="J3732" i="28"/>
  <c r="K3732" i="28" s="1"/>
  <c r="J3733" i="28"/>
  <c r="K3733" i="28" s="1"/>
  <c r="J3734" i="28"/>
  <c r="K3734" i="28" s="1"/>
  <c r="J3735" i="28"/>
  <c r="K3735" i="28" s="1"/>
  <c r="J3736" i="28"/>
  <c r="K3736" i="28" s="1"/>
  <c r="J3737" i="28"/>
  <c r="K3737" i="28" s="1"/>
  <c r="J3738" i="28"/>
  <c r="K3738" i="28" s="1"/>
  <c r="J3739" i="28"/>
  <c r="K3739" i="28" s="1"/>
  <c r="J3740" i="28"/>
  <c r="K3740" i="28" s="1"/>
  <c r="J3741" i="28"/>
  <c r="K3741" i="28" s="1"/>
  <c r="J3742" i="28"/>
  <c r="K3742" i="28" s="1"/>
  <c r="J3743" i="28"/>
  <c r="K3743" i="28" s="1"/>
  <c r="J3744" i="28"/>
  <c r="K3744" i="28" s="1"/>
  <c r="J3745" i="28"/>
  <c r="K3745" i="28" s="1"/>
  <c r="J3746" i="28"/>
  <c r="K3746" i="28" s="1"/>
  <c r="J3747" i="28"/>
  <c r="K3747" i="28" s="1"/>
  <c r="J3748" i="28"/>
  <c r="K3748" i="28" s="1"/>
  <c r="J3749" i="28"/>
  <c r="K3749" i="28" s="1"/>
  <c r="J3750" i="28"/>
  <c r="K3750" i="28" s="1"/>
  <c r="J3751" i="28"/>
  <c r="K3751" i="28" s="1"/>
  <c r="J3752" i="28"/>
  <c r="K3752" i="28" s="1"/>
  <c r="J3753" i="28"/>
  <c r="K3753" i="28" s="1"/>
  <c r="J3754" i="28"/>
  <c r="K3754" i="28" s="1"/>
  <c r="J3755" i="28"/>
  <c r="K3755" i="28" s="1"/>
  <c r="J3756" i="28"/>
  <c r="K3756" i="28" s="1"/>
  <c r="J3757" i="28"/>
  <c r="K3757" i="28" s="1"/>
  <c r="J3758" i="28"/>
  <c r="K3758" i="28" s="1"/>
  <c r="J3759" i="28"/>
  <c r="K3759" i="28" s="1"/>
  <c r="J3760" i="28"/>
  <c r="K3760" i="28" s="1"/>
  <c r="J3761" i="28"/>
  <c r="K3761" i="28" s="1"/>
  <c r="J3762" i="28"/>
  <c r="K3762" i="28" s="1"/>
  <c r="J3763" i="28"/>
  <c r="K3763" i="28" s="1"/>
  <c r="J3764" i="28"/>
  <c r="K3764" i="28" s="1"/>
  <c r="J3765" i="28"/>
  <c r="K3765" i="28" s="1"/>
  <c r="J3766" i="28"/>
  <c r="K3766" i="28" s="1"/>
  <c r="J3767" i="28"/>
  <c r="K3767" i="28" s="1"/>
  <c r="J3768" i="28"/>
  <c r="K3768" i="28" s="1"/>
  <c r="J3769" i="28"/>
  <c r="K3769" i="28" s="1"/>
  <c r="J3770" i="28"/>
  <c r="K3770" i="28" s="1"/>
  <c r="J3771" i="28"/>
  <c r="K3771" i="28" s="1"/>
  <c r="J3772" i="28"/>
  <c r="K3772" i="28" s="1"/>
  <c r="J3773" i="28"/>
  <c r="K3773" i="28" s="1"/>
  <c r="J3774" i="28"/>
  <c r="K3774" i="28" s="1"/>
  <c r="J3775" i="28"/>
  <c r="K3775" i="28" s="1"/>
  <c r="J3776" i="28"/>
  <c r="K3776" i="28" s="1"/>
  <c r="J3777" i="28"/>
  <c r="K3777" i="28" s="1"/>
  <c r="J3778" i="28"/>
  <c r="K3778" i="28" s="1"/>
  <c r="J3779" i="28"/>
  <c r="K3779" i="28" s="1"/>
  <c r="J3780" i="28"/>
  <c r="K3780" i="28" s="1"/>
  <c r="J3781" i="28"/>
  <c r="K3781" i="28" s="1"/>
  <c r="J3782" i="28"/>
  <c r="K3782" i="28" s="1"/>
  <c r="J3783" i="28"/>
  <c r="K3783" i="28" s="1"/>
  <c r="J3784" i="28"/>
  <c r="K3784" i="28" s="1"/>
  <c r="J3785" i="28"/>
  <c r="K3785" i="28" s="1"/>
  <c r="J3786" i="28"/>
  <c r="K3786" i="28" s="1"/>
  <c r="J3787" i="28"/>
  <c r="K3787" i="28" s="1"/>
  <c r="J3788" i="28"/>
  <c r="K3788" i="28" s="1"/>
  <c r="J3789" i="28"/>
  <c r="K3789" i="28" s="1"/>
  <c r="J3790" i="28"/>
  <c r="K3790" i="28" s="1"/>
  <c r="J3791" i="28"/>
  <c r="K3791" i="28" s="1"/>
  <c r="J3792" i="28"/>
  <c r="K3792" i="28" s="1"/>
  <c r="J3793" i="28"/>
  <c r="K3793" i="28" s="1"/>
  <c r="J3794" i="28"/>
  <c r="K3794" i="28" s="1"/>
  <c r="J3795" i="28"/>
  <c r="K3795" i="28" s="1"/>
  <c r="J3796" i="28"/>
  <c r="K3796" i="28" s="1"/>
  <c r="J3797" i="28"/>
  <c r="K3797" i="28" s="1"/>
  <c r="J3798" i="28"/>
  <c r="K3798" i="28" s="1"/>
  <c r="J3799" i="28"/>
  <c r="K3799" i="28" s="1"/>
  <c r="J3800" i="28"/>
  <c r="K3800" i="28" s="1"/>
  <c r="J3801" i="28"/>
  <c r="K3801" i="28" s="1"/>
  <c r="J3802" i="28"/>
  <c r="K3802" i="28" s="1"/>
  <c r="J3803" i="28"/>
  <c r="K3803" i="28" s="1"/>
  <c r="J3804" i="28"/>
  <c r="K3804" i="28" s="1"/>
  <c r="J3805" i="28"/>
  <c r="K3805" i="28" s="1"/>
  <c r="J3806" i="28"/>
  <c r="K3806" i="28" s="1"/>
  <c r="J3807" i="28"/>
  <c r="K3807" i="28" s="1"/>
  <c r="J3808" i="28"/>
  <c r="K3808" i="28" s="1"/>
  <c r="J3809" i="28"/>
  <c r="K3809" i="28" s="1"/>
  <c r="J3810" i="28"/>
  <c r="K3810" i="28" s="1"/>
  <c r="J3811" i="28"/>
  <c r="K3811" i="28" s="1"/>
  <c r="J3812" i="28"/>
  <c r="K3812" i="28" s="1"/>
  <c r="J3813" i="28"/>
  <c r="K3813" i="28" s="1"/>
  <c r="J3814" i="28"/>
  <c r="K3814" i="28" s="1"/>
  <c r="J3815" i="28"/>
  <c r="K3815" i="28" s="1"/>
  <c r="J3816" i="28"/>
  <c r="K3816" i="28" s="1"/>
  <c r="J3817" i="28"/>
  <c r="K3817" i="28" s="1"/>
  <c r="J3818" i="28"/>
  <c r="K3818" i="28" s="1"/>
  <c r="J3819" i="28"/>
  <c r="K3819" i="28" s="1"/>
  <c r="J3820" i="28"/>
  <c r="K3820" i="28" s="1"/>
  <c r="J3821" i="28"/>
  <c r="K3821" i="28" s="1"/>
  <c r="J3822" i="28"/>
  <c r="K3822" i="28" s="1"/>
  <c r="J3823" i="28"/>
  <c r="K3823" i="28" s="1"/>
  <c r="J3824" i="28"/>
  <c r="K3824" i="28" s="1"/>
  <c r="J3825" i="28"/>
  <c r="K3825" i="28" s="1"/>
  <c r="J3826" i="28"/>
  <c r="K3826" i="28" s="1"/>
  <c r="J3827" i="28"/>
  <c r="K3827" i="28" s="1"/>
  <c r="J3828" i="28"/>
  <c r="K3828" i="28" s="1"/>
  <c r="J3829" i="28"/>
  <c r="K3829" i="28" s="1"/>
  <c r="J3830" i="28"/>
  <c r="K3830" i="28" s="1"/>
  <c r="J3831" i="28"/>
  <c r="K3831" i="28" s="1"/>
  <c r="J3832" i="28"/>
  <c r="K3832" i="28" s="1"/>
  <c r="J3833" i="28"/>
  <c r="K3833" i="28" s="1"/>
  <c r="J3834" i="28"/>
  <c r="K3834" i="28" s="1"/>
  <c r="J3835" i="28"/>
  <c r="K3835" i="28" s="1"/>
  <c r="J3836" i="28"/>
  <c r="K3836" i="28" s="1"/>
  <c r="J3837" i="28"/>
  <c r="K3837" i="28" s="1"/>
  <c r="J3838" i="28"/>
  <c r="K3838" i="28" s="1"/>
  <c r="J3839" i="28"/>
  <c r="K3839" i="28" s="1"/>
  <c r="J3840" i="28"/>
  <c r="K3840" i="28" s="1"/>
  <c r="J3841" i="28"/>
  <c r="K3841" i="28" s="1"/>
  <c r="J3842" i="28"/>
  <c r="K3842" i="28" s="1"/>
  <c r="J3843" i="28"/>
  <c r="K3843" i="28" s="1"/>
  <c r="J3844" i="28"/>
  <c r="K3844" i="28" s="1"/>
  <c r="J3845" i="28"/>
  <c r="K3845" i="28" s="1"/>
  <c r="J3846" i="28"/>
  <c r="K3846" i="28" s="1"/>
  <c r="J3847" i="28"/>
  <c r="K3847" i="28" s="1"/>
  <c r="J3848" i="28"/>
  <c r="K3848" i="28" s="1"/>
  <c r="J3849" i="28"/>
  <c r="K3849" i="28" s="1"/>
  <c r="J3850" i="28"/>
  <c r="K3850" i="28" s="1"/>
  <c r="J3851" i="28"/>
  <c r="K3851" i="28" s="1"/>
  <c r="J3852" i="28"/>
  <c r="K3852" i="28" s="1"/>
  <c r="J3853" i="28"/>
  <c r="K3853" i="28" s="1"/>
  <c r="J3854" i="28"/>
  <c r="K3854" i="28" s="1"/>
  <c r="J3855" i="28"/>
  <c r="K3855" i="28" s="1"/>
  <c r="J3856" i="28"/>
  <c r="K3856" i="28" s="1"/>
  <c r="J3857" i="28"/>
  <c r="K3857" i="28" s="1"/>
  <c r="J3858" i="28"/>
  <c r="K3858" i="28" s="1"/>
  <c r="J3859" i="28"/>
  <c r="K3859" i="28" s="1"/>
  <c r="J3860" i="28"/>
  <c r="K3860" i="28" s="1"/>
  <c r="J3861" i="28"/>
  <c r="K3861" i="28" s="1"/>
  <c r="J3862" i="28"/>
  <c r="K3862" i="28" s="1"/>
  <c r="J3863" i="28"/>
  <c r="K3863" i="28" s="1"/>
  <c r="J3864" i="28"/>
  <c r="K3864" i="28" s="1"/>
  <c r="J3865" i="28"/>
  <c r="K3865" i="28" s="1"/>
  <c r="J3866" i="28"/>
  <c r="K3866" i="28" s="1"/>
  <c r="J3867" i="28"/>
  <c r="K3867" i="28" s="1"/>
  <c r="J3868" i="28"/>
  <c r="K3868" i="28" s="1"/>
  <c r="J3869" i="28"/>
  <c r="K3869" i="28" s="1"/>
  <c r="J3870" i="28"/>
  <c r="K3870" i="28" s="1"/>
  <c r="J3871" i="28"/>
  <c r="K3871" i="28" s="1"/>
  <c r="J3872" i="28"/>
  <c r="K3872" i="28" s="1"/>
  <c r="J3873" i="28"/>
  <c r="K3873" i="28" s="1"/>
  <c r="J3874" i="28"/>
  <c r="K3874" i="28" s="1"/>
  <c r="J3875" i="28"/>
  <c r="K3875" i="28" s="1"/>
  <c r="J3876" i="28"/>
  <c r="K3876" i="28" s="1"/>
  <c r="J3877" i="28"/>
  <c r="K3877" i="28" s="1"/>
  <c r="J3878" i="28"/>
  <c r="K3878" i="28" s="1"/>
  <c r="J3879" i="28"/>
  <c r="K3879" i="28" s="1"/>
  <c r="J3880" i="28"/>
  <c r="K3880" i="28" s="1"/>
  <c r="J3881" i="28"/>
  <c r="K3881" i="28" s="1"/>
  <c r="J3882" i="28"/>
  <c r="K3882" i="28" s="1"/>
  <c r="J3883" i="28"/>
  <c r="K3883" i="28" s="1"/>
  <c r="J3884" i="28"/>
  <c r="K3884" i="28" s="1"/>
  <c r="J3885" i="28"/>
  <c r="K3885" i="28" s="1"/>
  <c r="J3886" i="28"/>
  <c r="K3886" i="28" s="1"/>
  <c r="J3887" i="28"/>
  <c r="K3887" i="28" s="1"/>
  <c r="J3888" i="28"/>
  <c r="K3888" i="28" s="1"/>
  <c r="J3889" i="28"/>
  <c r="K3889" i="28" s="1"/>
  <c r="J3890" i="28"/>
  <c r="K3890" i="28" s="1"/>
  <c r="J3891" i="28"/>
  <c r="K3891" i="28" s="1"/>
  <c r="J3892" i="28"/>
  <c r="K3892" i="28" s="1"/>
  <c r="J3893" i="28"/>
  <c r="K3893" i="28" s="1"/>
  <c r="J3894" i="28"/>
  <c r="K3894" i="28" s="1"/>
  <c r="J3895" i="28"/>
  <c r="K3895" i="28" s="1"/>
  <c r="J3896" i="28"/>
  <c r="K3896" i="28" s="1"/>
  <c r="J3897" i="28"/>
  <c r="K3897" i="28" s="1"/>
  <c r="J3898" i="28"/>
  <c r="K3898" i="28" s="1"/>
  <c r="J3899" i="28"/>
  <c r="K3899" i="28" s="1"/>
  <c r="J3900" i="28"/>
  <c r="K3900" i="28" s="1"/>
  <c r="J3901" i="28"/>
  <c r="K3901" i="28" s="1"/>
  <c r="J3902" i="28"/>
  <c r="K3902" i="28" s="1"/>
  <c r="J3903" i="28"/>
  <c r="K3903" i="28" s="1"/>
  <c r="J3904" i="28"/>
  <c r="K3904" i="28" s="1"/>
  <c r="J3905" i="28"/>
  <c r="K3905" i="28" s="1"/>
  <c r="J3906" i="28"/>
  <c r="K3906" i="28" s="1"/>
  <c r="J3907" i="28"/>
  <c r="K3907" i="28" s="1"/>
  <c r="J3908" i="28"/>
  <c r="K3908" i="28" s="1"/>
  <c r="J3909" i="28"/>
  <c r="K3909" i="28" s="1"/>
  <c r="J3910" i="28"/>
  <c r="K3910" i="28" s="1"/>
  <c r="J3911" i="28"/>
  <c r="K3911" i="28" s="1"/>
  <c r="J3912" i="28"/>
  <c r="K3912" i="28" s="1"/>
  <c r="J3913" i="28"/>
  <c r="K3913" i="28" s="1"/>
  <c r="J3914" i="28"/>
  <c r="K3914" i="28" s="1"/>
  <c r="J3915" i="28"/>
  <c r="K3915" i="28" s="1"/>
  <c r="J3916" i="28"/>
  <c r="K3916" i="28" s="1"/>
  <c r="J3917" i="28"/>
  <c r="K3917" i="28" s="1"/>
  <c r="J3918" i="28"/>
  <c r="K3918" i="28" s="1"/>
  <c r="J3919" i="28"/>
  <c r="K3919" i="28" s="1"/>
  <c r="J3920" i="28"/>
  <c r="K3920" i="28" s="1"/>
  <c r="J3921" i="28"/>
  <c r="K3921" i="28" s="1"/>
  <c r="J3922" i="28"/>
  <c r="K3922" i="28" s="1"/>
  <c r="J3923" i="28"/>
  <c r="K3923" i="28" s="1"/>
  <c r="J3924" i="28"/>
  <c r="K3924" i="28" s="1"/>
  <c r="J3925" i="28"/>
  <c r="K3925" i="28" s="1"/>
  <c r="J3926" i="28"/>
  <c r="K3926" i="28" s="1"/>
  <c r="J3927" i="28"/>
  <c r="K3927" i="28" s="1"/>
  <c r="J3928" i="28"/>
  <c r="K3928" i="28" s="1"/>
  <c r="J3929" i="28"/>
  <c r="K3929" i="28" s="1"/>
  <c r="J3930" i="28"/>
  <c r="K3930" i="28" s="1"/>
  <c r="J3931" i="28"/>
  <c r="K3931" i="28" s="1"/>
  <c r="J3932" i="28"/>
  <c r="K3932" i="28" s="1"/>
  <c r="J3933" i="28"/>
  <c r="K3933" i="28" s="1"/>
  <c r="J3934" i="28"/>
  <c r="K3934" i="28" s="1"/>
  <c r="J3935" i="28"/>
  <c r="K3935" i="28" s="1"/>
  <c r="J3936" i="28"/>
  <c r="K3936" i="28" s="1"/>
  <c r="J3937" i="28"/>
  <c r="K3937" i="28" s="1"/>
  <c r="J3938" i="28"/>
  <c r="K3938" i="28" s="1"/>
  <c r="J3939" i="28"/>
  <c r="K3939" i="28" s="1"/>
  <c r="J3940" i="28"/>
  <c r="K3940" i="28" s="1"/>
  <c r="J3941" i="28"/>
  <c r="K3941" i="28" s="1"/>
  <c r="J3942" i="28"/>
  <c r="K3942" i="28" s="1"/>
  <c r="J3943" i="28"/>
  <c r="K3943" i="28" s="1"/>
  <c r="J3944" i="28"/>
  <c r="K3944" i="28" s="1"/>
  <c r="J3945" i="28"/>
  <c r="K3945" i="28" s="1"/>
  <c r="J3946" i="28"/>
  <c r="K3946" i="28" s="1"/>
  <c r="J3947" i="28"/>
  <c r="K3947" i="28" s="1"/>
  <c r="J3948" i="28"/>
  <c r="K3948" i="28" s="1"/>
  <c r="J3949" i="28"/>
  <c r="K3949" i="28" s="1"/>
  <c r="J3950" i="28"/>
  <c r="K3950" i="28" s="1"/>
  <c r="J3951" i="28"/>
  <c r="K3951" i="28" s="1"/>
  <c r="J3952" i="28"/>
  <c r="K3952" i="28" s="1"/>
  <c r="J3953" i="28"/>
  <c r="K3953" i="28" s="1"/>
  <c r="J3954" i="28"/>
  <c r="K3954" i="28" s="1"/>
  <c r="J3955" i="28"/>
  <c r="K3955" i="28" s="1"/>
  <c r="J3956" i="28"/>
  <c r="K3956" i="28" s="1"/>
  <c r="J3957" i="28"/>
  <c r="K3957" i="28" s="1"/>
  <c r="J3958" i="28"/>
  <c r="K3958" i="28" s="1"/>
  <c r="J3959" i="28"/>
  <c r="K3959" i="28" s="1"/>
  <c r="J3960" i="28"/>
  <c r="K3960" i="28" s="1"/>
  <c r="J3961" i="28"/>
  <c r="K3961" i="28" s="1"/>
  <c r="J3962" i="28"/>
  <c r="K3962" i="28" s="1"/>
  <c r="J3963" i="28"/>
  <c r="K3963" i="28" s="1"/>
  <c r="J3964" i="28"/>
  <c r="K3964" i="28" s="1"/>
  <c r="J3965" i="28"/>
  <c r="K3965" i="28" s="1"/>
  <c r="J3966" i="28"/>
  <c r="K3966" i="28" s="1"/>
  <c r="J3967" i="28"/>
  <c r="K3967" i="28" s="1"/>
  <c r="J3968" i="28"/>
  <c r="K3968" i="28" s="1"/>
  <c r="J3969" i="28"/>
  <c r="K3969" i="28" s="1"/>
  <c r="J3970" i="28"/>
  <c r="K3970" i="28" s="1"/>
  <c r="J3971" i="28"/>
  <c r="K3971" i="28" s="1"/>
  <c r="J3972" i="28"/>
  <c r="K3972" i="28" s="1"/>
  <c r="J3973" i="28"/>
  <c r="K3973" i="28" s="1"/>
  <c r="J3974" i="28"/>
  <c r="K3974" i="28" s="1"/>
  <c r="J3975" i="28"/>
  <c r="K3975" i="28" s="1"/>
  <c r="J3976" i="28"/>
  <c r="K3976" i="28" s="1"/>
  <c r="J3977" i="28"/>
  <c r="K3977" i="28" s="1"/>
  <c r="J3978" i="28"/>
  <c r="K3978" i="28" s="1"/>
  <c r="J3979" i="28"/>
  <c r="K3979" i="28" s="1"/>
  <c r="J3980" i="28"/>
  <c r="K3980" i="28" s="1"/>
  <c r="J3981" i="28"/>
  <c r="K3981" i="28" s="1"/>
  <c r="J3982" i="28"/>
  <c r="K3982" i="28" s="1"/>
  <c r="J3983" i="28"/>
  <c r="K3983" i="28" s="1"/>
  <c r="J3984" i="28"/>
  <c r="K3984" i="28" s="1"/>
  <c r="J3985" i="28"/>
  <c r="K3985" i="28" s="1"/>
  <c r="J3986" i="28"/>
  <c r="K3986" i="28" s="1"/>
  <c r="J3987" i="28"/>
  <c r="K3987" i="28" s="1"/>
  <c r="J3988" i="28"/>
  <c r="K3988" i="28" s="1"/>
  <c r="J3989" i="28"/>
  <c r="K3989" i="28" s="1"/>
  <c r="J3990" i="28"/>
  <c r="K3990" i="28" s="1"/>
  <c r="J3991" i="28"/>
  <c r="K3991" i="28" s="1"/>
  <c r="J3992" i="28"/>
  <c r="K3992" i="28" s="1"/>
  <c r="J3993" i="28"/>
  <c r="K3993" i="28" s="1"/>
  <c r="J3994" i="28"/>
  <c r="K3994" i="28" s="1"/>
  <c r="J3995" i="28"/>
  <c r="K3995" i="28" s="1"/>
  <c r="J3996" i="28"/>
  <c r="K3996" i="28" s="1"/>
  <c r="J3997" i="28"/>
  <c r="K3997" i="28" s="1"/>
  <c r="J3998" i="28"/>
  <c r="K3998" i="28" s="1"/>
  <c r="J3999" i="28"/>
  <c r="K3999" i="28" s="1"/>
  <c r="J4000" i="28"/>
  <c r="K4000" i="28" s="1"/>
  <c r="J4001" i="28"/>
  <c r="K4001" i="28" s="1"/>
  <c r="J4002" i="28"/>
  <c r="K4002" i="28" s="1"/>
  <c r="J4003" i="28"/>
  <c r="K4003" i="28" s="1"/>
  <c r="J4004" i="28"/>
  <c r="K4004" i="28" s="1"/>
  <c r="J4005" i="28"/>
  <c r="K4005" i="28" s="1"/>
  <c r="J4006" i="28"/>
  <c r="K4006" i="28" s="1"/>
  <c r="J4007" i="28"/>
  <c r="K4007" i="28" s="1"/>
  <c r="J4008" i="28"/>
  <c r="K4008" i="28" s="1"/>
  <c r="J4009" i="28"/>
  <c r="K4009" i="28" s="1"/>
  <c r="J4010" i="28"/>
  <c r="K4010" i="28" s="1"/>
  <c r="J4011" i="28"/>
  <c r="K4011" i="28" s="1"/>
  <c r="J4012" i="28"/>
  <c r="K4012" i="28" s="1"/>
  <c r="J4013" i="28"/>
  <c r="K4013" i="28" s="1"/>
  <c r="J4014" i="28"/>
  <c r="K4014" i="28" s="1"/>
  <c r="J4015" i="28"/>
  <c r="K4015" i="28" s="1"/>
  <c r="J4016" i="28"/>
  <c r="K4016" i="28" s="1"/>
  <c r="J4017" i="28"/>
  <c r="K4017" i="28" s="1"/>
  <c r="J4018" i="28"/>
  <c r="K4018" i="28" s="1"/>
  <c r="J4019" i="28"/>
  <c r="K4019" i="28" s="1"/>
  <c r="J4020" i="28"/>
  <c r="K4020" i="28" s="1"/>
  <c r="J4021" i="28"/>
  <c r="K4021" i="28" s="1"/>
  <c r="J4022" i="28"/>
  <c r="K4022" i="28" s="1"/>
  <c r="J4023" i="28"/>
  <c r="K4023" i="28" s="1"/>
  <c r="J4024" i="28"/>
  <c r="K4024" i="28" s="1"/>
  <c r="J4025" i="28"/>
  <c r="K4025" i="28" s="1"/>
  <c r="J4026" i="28"/>
  <c r="K4026" i="28" s="1"/>
  <c r="J4027" i="28"/>
  <c r="K4027" i="28" s="1"/>
  <c r="J4028" i="28"/>
  <c r="K4028" i="28" s="1"/>
  <c r="J4029" i="28"/>
  <c r="K4029" i="28" s="1"/>
  <c r="J4030" i="28"/>
  <c r="K4030" i="28" s="1"/>
  <c r="J4031" i="28"/>
  <c r="K4031" i="28" s="1"/>
  <c r="J4032" i="28"/>
  <c r="K4032" i="28" s="1"/>
  <c r="J4033" i="28"/>
  <c r="K4033" i="28" s="1"/>
  <c r="J4034" i="28"/>
  <c r="K4034" i="28" s="1"/>
  <c r="J4035" i="28"/>
  <c r="K4035" i="28" s="1"/>
  <c r="J4036" i="28"/>
  <c r="K4036" i="28" s="1"/>
  <c r="J4037" i="28"/>
  <c r="K4037" i="28" s="1"/>
  <c r="J4038" i="28"/>
  <c r="K4038" i="28" s="1"/>
  <c r="J4039" i="28"/>
  <c r="K4039" i="28" s="1"/>
  <c r="J4040" i="28"/>
  <c r="K4040" i="28" s="1"/>
  <c r="J4041" i="28"/>
  <c r="K4041" i="28" s="1"/>
  <c r="J4042" i="28"/>
  <c r="K4042" i="28" s="1"/>
  <c r="J4043" i="28"/>
  <c r="K4043" i="28" s="1"/>
  <c r="J4044" i="28"/>
  <c r="K4044" i="28" s="1"/>
  <c r="J4045" i="28"/>
  <c r="K4045" i="28" s="1"/>
  <c r="J4046" i="28"/>
  <c r="K4046" i="28" s="1"/>
  <c r="J4047" i="28"/>
  <c r="K4047" i="28" s="1"/>
  <c r="J4048" i="28"/>
  <c r="K4048" i="28" s="1"/>
  <c r="J4049" i="28"/>
  <c r="K4049" i="28" s="1"/>
  <c r="J4050" i="28"/>
  <c r="K4050" i="28" s="1"/>
  <c r="J4051" i="28"/>
  <c r="K4051" i="28" s="1"/>
  <c r="J4052" i="28"/>
  <c r="K4052" i="28" s="1"/>
  <c r="J4053" i="28"/>
  <c r="K4053" i="28" s="1"/>
  <c r="J4054" i="28"/>
  <c r="K4054" i="28" s="1"/>
  <c r="J4055" i="28"/>
  <c r="K4055" i="28" s="1"/>
  <c r="J4056" i="28"/>
  <c r="K4056" i="28" s="1"/>
  <c r="J4057" i="28"/>
  <c r="K4057" i="28" s="1"/>
  <c r="J4058" i="28"/>
  <c r="K4058" i="28" s="1"/>
  <c r="J4059" i="28"/>
  <c r="K4059" i="28" s="1"/>
  <c r="J4060" i="28"/>
  <c r="K4060" i="28" s="1"/>
  <c r="J4061" i="28"/>
  <c r="K4061" i="28" s="1"/>
  <c r="J4062" i="28"/>
  <c r="K4062" i="28" s="1"/>
  <c r="J4063" i="28"/>
  <c r="K4063" i="28" s="1"/>
  <c r="J4064" i="28"/>
  <c r="K4064" i="28" s="1"/>
  <c r="J4065" i="28"/>
  <c r="K4065" i="28" s="1"/>
  <c r="J4066" i="28"/>
  <c r="K4066" i="28" s="1"/>
  <c r="J4067" i="28"/>
  <c r="K4067" i="28" s="1"/>
  <c r="J4068" i="28"/>
  <c r="K4068" i="28" s="1"/>
  <c r="J4069" i="28"/>
  <c r="K4069" i="28" s="1"/>
  <c r="J4070" i="28"/>
  <c r="K4070" i="28" s="1"/>
  <c r="J4071" i="28"/>
  <c r="K4071" i="28" s="1"/>
  <c r="J4072" i="28"/>
  <c r="K4072" i="28" s="1"/>
  <c r="J4073" i="28"/>
  <c r="K4073" i="28" s="1"/>
  <c r="J4074" i="28"/>
  <c r="K4074" i="28" s="1"/>
  <c r="J4075" i="28"/>
  <c r="K4075" i="28" s="1"/>
  <c r="J4076" i="28"/>
  <c r="K4076" i="28" s="1"/>
  <c r="J4077" i="28"/>
  <c r="K4077" i="28" s="1"/>
  <c r="J4078" i="28"/>
  <c r="K4078" i="28" s="1"/>
  <c r="J4079" i="28"/>
  <c r="K4079" i="28" s="1"/>
  <c r="J4080" i="28"/>
  <c r="K4080" i="28" s="1"/>
  <c r="J4081" i="28"/>
  <c r="K4081" i="28" s="1"/>
  <c r="J4082" i="28"/>
  <c r="K4082" i="28" s="1"/>
  <c r="J4083" i="28"/>
  <c r="K4083" i="28" s="1"/>
  <c r="J4084" i="28"/>
  <c r="K4084" i="28" s="1"/>
  <c r="J4085" i="28"/>
  <c r="K4085" i="28" s="1"/>
  <c r="J4086" i="28"/>
  <c r="K4086" i="28" s="1"/>
  <c r="J4087" i="28"/>
  <c r="K4087" i="28" s="1"/>
  <c r="J4088" i="28"/>
  <c r="K4088" i="28" s="1"/>
  <c r="J4089" i="28"/>
  <c r="K4089" i="28" s="1"/>
  <c r="J4090" i="28"/>
  <c r="K4090" i="28" s="1"/>
  <c r="J4091" i="28"/>
  <c r="K4091" i="28" s="1"/>
  <c r="J4092" i="28"/>
  <c r="K4092" i="28" s="1"/>
  <c r="J4093" i="28"/>
  <c r="K4093" i="28" s="1"/>
  <c r="J4094" i="28"/>
  <c r="K4094" i="28" s="1"/>
  <c r="J4095" i="28"/>
  <c r="K4095" i="28" s="1"/>
  <c r="J4096" i="28"/>
  <c r="K4096" i="28" s="1"/>
  <c r="J4097" i="28"/>
  <c r="K4097" i="28" s="1"/>
  <c r="J4098" i="28"/>
  <c r="K4098" i="28" s="1"/>
  <c r="J4099" i="28"/>
  <c r="K4099" i="28" s="1"/>
  <c r="J4100" i="28"/>
  <c r="K4100" i="28" s="1"/>
  <c r="J4101" i="28"/>
  <c r="K4101" i="28" s="1"/>
  <c r="J4102" i="28"/>
  <c r="K4102" i="28" s="1"/>
  <c r="J4103" i="28"/>
  <c r="K4103" i="28" s="1"/>
  <c r="J4104" i="28"/>
  <c r="K4104" i="28" s="1"/>
  <c r="J4105" i="28"/>
  <c r="K4105" i="28" s="1"/>
  <c r="J4106" i="28"/>
  <c r="K4106" i="28" s="1"/>
  <c r="J4107" i="28"/>
  <c r="K4107" i="28" s="1"/>
  <c r="J4108" i="28"/>
  <c r="K4108" i="28" s="1"/>
  <c r="J4109" i="28"/>
  <c r="K4109" i="28" s="1"/>
  <c r="J4110" i="28"/>
  <c r="K4110" i="28" s="1"/>
  <c r="J4111" i="28"/>
  <c r="K4111" i="28" s="1"/>
  <c r="J4112" i="28"/>
  <c r="K4112" i="28" s="1"/>
  <c r="J4113" i="28"/>
  <c r="K4113" i="28" s="1"/>
  <c r="J4114" i="28"/>
  <c r="K4114" i="28" s="1"/>
  <c r="J4115" i="28"/>
  <c r="K4115" i="28" s="1"/>
  <c r="J4116" i="28"/>
  <c r="K4116" i="28" s="1"/>
  <c r="J4117" i="28"/>
  <c r="K4117" i="28" s="1"/>
  <c r="J4118" i="28"/>
  <c r="K4118" i="28" s="1"/>
  <c r="J4119" i="28"/>
  <c r="K4119" i="28" s="1"/>
  <c r="J4120" i="28"/>
  <c r="K4120" i="28" s="1"/>
  <c r="J4121" i="28"/>
  <c r="K4121" i="28" s="1"/>
  <c r="J4122" i="28"/>
  <c r="K4122" i="28" s="1"/>
  <c r="J4123" i="28"/>
  <c r="K4123" i="28" s="1"/>
  <c r="J4124" i="28"/>
  <c r="K4124" i="28" s="1"/>
  <c r="J4125" i="28"/>
  <c r="K4125" i="28" s="1"/>
  <c r="J4126" i="28"/>
  <c r="K4126" i="28" s="1"/>
  <c r="J4127" i="28"/>
  <c r="K4127" i="28" s="1"/>
  <c r="J4128" i="28"/>
  <c r="K4128" i="28" s="1"/>
  <c r="J4129" i="28"/>
  <c r="K4129" i="28" s="1"/>
  <c r="J4130" i="28"/>
  <c r="K4130" i="28" s="1"/>
  <c r="J4131" i="28"/>
  <c r="K4131" i="28" s="1"/>
  <c r="J4132" i="28"/>
  <c r="K4132" i="28" s="1"/>
  <c r="J4133" i="28"/>
  <c r="K4133" i="28" s="1"/>
  <c r="J4134" i="28"/>
  <c r="K4134" i="28" s="1"/>
  <c r="J4135" i="28"/>
  <c r="K4135" i="28" s="1"/>
  <c r="J4136" i="28"/>
  <c r="K4136" i="28" s="1"/>
  <c r="J4137" i="28"/>
  <c r="K4137" i="28" s="1"/>
  <c r="J4138" i="28"/>
  <c r="K4138" i="28" s="1"/>
  <c r="J4139" i="28"/>
  <c r="K4139" i="28" s="1"/>
  <c r="J4140" i="28"/>
  <c r="K4140" i="28" s="1"/>
  <c r="J4141" i="28"/>
  <c r="K4141" i="28" s="1"/>
  <c r="J4142" i="28"/>
  <c r="K4142" i="28" s="1"/>
  <c r="J4143" i="28"/>
  <c r="K4143" i="28" s="1"/>
  <c r="J4144" i="28"/>
  <c r="K4144" i="28" s="1"/>
  <c r="J4145" i="28"/>
  <c r="K4145" i="28" s="1"/>
  <c r="J4146" i="28"/>
  <c r="K4146" i="28" s="1"/>
  <c r="J4147" i="28"/>
  <c r="K4147" i="28" s="1"/>
  <c r="J4148" i="28"/>
  <c r="K4148" i="28" s="1"/>
  <c r="J4149" i="28"/>
  <c r="K4149" i="28" s="1"/>
  <c r="J4150" i="28"/>
  <c r="K4150" i="28" s="1"/>
  <c r="J4151" i="28"/>
  <c r="K4151" i="28" s="1"/>
  <c r="J4152" i="28"/>
  <c r="K4152" i="28" s="1"/>
  <c r="J4153" i="28"/>
  <c r="K4153" i="28" s="1"/>
  <c r="J4154" i="28"/>
  <c r="K4154" i="28" s="1"/>
  <c r="J4155" i="28"/>
  <c r="K4155" i="28" s="1"/>
  <c r="J4156" i="28"/>
  <c r="K4156" i="28" s="1"/>
  <c r="J4157" i="28"/>
  <c r="K4157" i="28" s="1"/>
  <c r="J4158" i="28"/>
  <c r="K4158" i="28" s="1"/>
  <c r="J4159" i="28"/>
  <c r="K4159" i="28" s="1"/>
  <c r="J4160" i="28"/>
  <c r="K4160" i="28" s="1"/>
  <c r="J4161" i="28"/>
  <c r="K4161" i="28" s="1"/>
  <c r="J4162" i="28"/>
  <c r="K4162" i="28" s="1"/>
  <c r="J4163" i="28"/>
  <c r="K4163" i="28" s="1"/>
  <c r="J4164" i="28"/>
  <c r="K4164" i="28" s="1"/>
  <c r="J4165" i="28"/>
  <c r="K4165" i="28" s="1"/>
  <c r="J4166" i="28"/>
  <c r="K4166" i="28" s="1"/>
  <c r="J4167" i="28"/>
  <c r="K4167" i="28" s="1"/>
  <c r="J4168" i="28"/>
  <c r="K4168" i="28" s="1"/>
  <c r="J4169" i="28"/>
  <c r="K4169" i="28" s="1"/>
  <c r="J4170" i="28"/>
  <c r="K4170" i="28" s="1"/>
  <c r="J4171" i="28"/>
  <c r="K4171" i="28" s="1"/>
  <c r="J4172" i="28"/>
  <c r="K4172" i="28" s="1"/>
  <c r="J4173" i="28"/>
  <c r="K4173" i="28" s="1"/>
  <c r="J4174" i="28"/>
  <c r="K4174" i="28" s="1"/>
  <c r="J4175" i="28"/>
  <c r="K4175" i="28" s="1"/>
  <c r="J4176" i="28"/>
  <c r="K4176" i="28" s="1"/>
  <c r="J4177" i="28"/>
  <c r="K4177" i="28" s="1"/>
  <c r="J4178" i="28"/>
  <c r="K4178" i="28" s="1"/>
  <c r="J4179" i="28"/>
  <c r="K4179" i="28" s="1"/>
  <c r="J4180" i="28"/>
  <c r="K4180" i="28" s="1"/>
  <c r="J4181" i="28"/>
  <c r="K4181" i="28" s="1"/>
  <c r="J4182" i="28"/>
  <c r="K4182" i="28" s="1"/>
  <c r="J4183" i="28"/>
  <c r="K4183" i="28" s="1"/>
  <c r="J4184" i="28"/>
  <c r="K4184" i="28" s="1"/>
  <c r="J4185" i="28"/>
  <c r="K4185" i="28" s="1"/>
  <c r="J4186" i="28"/>
  <c r="K4186" i="28" s="1"/>
  <c r="J4187" i="28"/>
  <c r="K4187" i="28" s="1"/>
  <c r="J4188" i="28"/>
  <c r="K4188" i="28" s="1"/>
  <c r="J4189" i="28"/>
  <c r="K4189" i="28" s="1"/>
  <c r="J4190" i="28"/>
  <c r="K4190" i="28" s="1"/>
  <c r="J4191" i="28"/>
  <c r="K4191" i="28" s="1"/>
  <c r="J4192" i="28"/>
  <c r="K4192" i="28" s="1"/>
  <c r="J4193" i="28"/>
  <c r="K4193" i="28" s="1"/>
  <c r="J4194" i="28"/>
  <c r="K4194" i="28" s="1"/>
  <c r="J4195" i="28"/>
  <c r="K4195" i="28" s="1"/>
  <c r="J4196" i="28"/>
  <c r="K4196" i="28" s="1"/>
  <c r="J4197" i="28"/>
  <c r="K4197" i="28" s="1"/>
  <c r="J4198" i="28"/>
  <c r="K4198" i="28" s="1"/>
  <c r="J4199" i="28"/>
  <c r="K4199" i="28" s="1"/>
  <c r="J4200" i="28"/>
  <c r="K4200" i="28" s="1"/>
  <c r="J4201" i="28"/>
  <c r="K4201" i="28" s="1"/>
  <c r="J4202" i="28"/>
  <c r="K4202" i="28" s="1"/>
  <c r="J4203" i="28"/>
  <c r="K4203" i="28" s="1"/>
  <c r="J4204" i="28"/>
  <c r="K4204" i="28" s="1"/>
  <c r="J4205" i="28"/>
  <c r="K4205" i="28" s="1"/>
  <c r="J4206" i="28"/>
  <c r="K4206" i="28" s="1"/>
  <c r="J4207" i="28"/>
  <c r="K4207" i="28" s="1"/>
  <c r="J4208" i="28"/>
  <c r="K4208" i="28" s="1"/>
  <c r="J4209" i="28"/>
  <c r="K4209" i="28" s="1"/>
  <c r="J4210" i="28"/>
  <c r="K4210" i="28" s="1"/>
  <c r="J4211" i="28"/>
  <c r="K4211" i="28" s="1"/>
  <c r="J4212" i="28"/>
  <c r="K4212" i="28" s="1"/>
  <c r="J4213" i="28"/>
  <c r="K4213" i="28" s="1"/>
  <c r="J4214" i="28"/>
  <c r="K4214" i="28" s="1"/>
  <c r="J4215" i="28"/>
  <c r="K4215" i="28" s="1"/>
  <c r="J4216" i="28"/>
  <c r="K4216" i="28" s="1"/>
  <c r="J4217" i="28"/>
  <c r="K4217" i="28" s="1"/>
  <c r="J4218" i="28"/>
  <c r="K4218" i="28" s="1"/>
  <c r="J4219" i="28"/>
  <c r="K4219" i="28" s="1"/>
  <c r="J4220" i="28"/>
  <c r="K4220" i="28" s="1"/>
  <c r="J4221" i="28"/>
  <c r="K4221" i="28" s="1"/>
  <c r="J4222" i="28"/>
  <c r="K4222" i="28" s="1"/>
  <c r="J4223" i="28"/>
  <c r="K4223" i="28" s="1"/>
  <c r="J4224" i="28"/>
  <c r="K4224" i="28" s="1"/>
  <c r="J4225" i="28"/>
  <c r="K4225" i="28" s="1"/>
  <c r="J4226" i="28"/>
  <c r="K4226" i="28" s="1"/>
  <c r="J4227" i="28"/>
  <c r="K4227" i="28" s="1"/>
  <c r="J4228" i="28"/>
  <c r="K4228" i="28" s="1"/>
  <c r="J4229" i="28"/>
  <c r="K4229" i="28" s="1"/>
  <c r="J4230" i="28"/>
  <c r="K4230" i="28" s="1"/>
  <c r="J4231" i="28"/>
  <c r="K4231" i="28" s="1"/>
  <c r="J4232" i="28"/>
  <c r="K4232" i="28" s="1"/>
  <c r="J4233" i="28"/>
  <c r="K4233" i="28" s="1"/>
  <c r="J4234" i="28"/>
  <c r="K4234" i="28" s="1"/>
  <c r="J4235" i="28"/>
  <c r="K4235" i="28" s="1"/>
  <c r="J4236" i="28"/>
  <c r="K4236" i="28" s="1"/>
  <c r="J4237" i="28"/>
  <c r="K4237" i="28" s="1"/>
  <c r="J4238" i="28"/>
  <c r="K4238" i="28" s="1"/>
  <c r="J4239" i="28"/>
  <c r="K4239" i="28" s="1"/>
  <c r="J4240" i="28"/>
  <c r="K4240" i="28" s="1"/>
  <c r="J4241" i="28"/>
  <c r="K4241" i="28" s="1"/>
  <c r="J4242" i="28"/>
  <c r="K4242" i="28" s="1"/>
  <c r="J4243" i="28"/>
  <c r="K4243" i="28" s="1"/>
  <c r="J4244" i="28"/>
  <c r="K4244" i="28" s="1"/>
  <c r="J4245" i="28"/>
  <c r="K4245" i="28" s="1"/>
  <c r="J4246" i="28"/>
  <c r="K4246" i="28" s="1"/>
  <c r="J4247" i="28"/>
  <c r="K4247" i="28" s="1"/>
  <c r="J4248" i="28"/>
  <c r="K4248" i="28" s="1"/>
  <c r="J4249" i="28"/>
  <c r="K4249" i="28" s="1"/>
  <c r="J4250" i="28"/>
  <c r="K4250" i="28" s="1"/>
  <c r="J4251" i="28"/>
  <c r="K4251" i="28" s="1"/>
  <c r="J4252" i="28"/>
  <c r="K4252" i="28" s="1"/>
  <c r="J4253" i="28"/>
  <c r="K4253" i="28" s="1"/>
  <c r="J4254" i="28"/>
  <c r="K4254" i="28" s="1"/>
  <c r="J4255" i="28"/>
  <c r="K4255" i="28" s="1"/>
  <c r="J4256" i="28"/>
  <c r="K4256" i="28" s="1"/>
  <c r="J4257" i="28"/>
  <c r="K4257" i="28" s="1"/>
  <c r="J4258" i="28"/>
  <c r="K4258" i="28" s="1"/>
  <c r="J4259" i="28"/>
  <c r="K4259" i="28" s="1"/>
  <c r="J4260" i="28"/>
  <c r="K4260" i="28" s="1"/>
  <c r="J4261" i="28"/>
  <c r="K4261" i="28" s="1"/>
  <c r="J4262" i="28"/>
  <c r="K4262" i="28" s="1"/>
  <c r="J4263" i="28"/>
  <c r="K4263" i="28" s="1"/>
  <c r="J4264" i="28"/>
  <c r="K4264" i="28" s="1"/>
  <c r="J4265" i="28"/>
  <c r="K4265" i="28" s="1"/>
  <c r="J4266" i="28"/>
  <c r="K4266" i="28" s="1"/>
  <c r="J4267" i="28"/>
  <c r="K4267" i="28" s="1"/>
  <c r="J4268" i="28"/>
  <c r="K4268" i="28" s="1"/>
  <c r="J4269" i="28"/>
  <c r="K4269" i="28" s="1"/>
  <c r="J4270" i="28"/>
  <c r="K4270" i="28" s="1"/>
  <c r="J4271" i="28"/>
  <c r="K4271" i="28" s="1"/>
  <c r="J4272" i="28"/>
  <c r="K4272" i="28" s="1"/>
  <c r="J4273" i="28"/>
  <c r="K4273" i="28" s="1"/>
  <c r="J4274" i="28"/>
  <c r="K4274" i="28" s="1"/>
  <c r="J4275" i="28"/>
  <c r="K4275" i="28" s="1"/>
  <c r="J4276" i="28"/>
  <c r="K4276" i="28" s="1"/>
  <c r="J4277" i="28"/>
  <c r="K4277" i="28" s="1"/>
  <c r="J4278" i="28"/>
  <c r="K4278" i="28" s="1"/>
  <c r="J4279" i="28"/>
  <c r="K4279" i="28" s="1"/>
  <c r="J4280" i="28"/>
  <c r="K4280" i="28" s="1"/>
  <c r="J4281" i="28"/>
  <c r="K4281" i="28" s="1"/>
  <c r="J4282" i="28"/>
  <c r="K4282" i="28" s="1"/>
  <c r="J4283" i="28"/>
  <c r="K4283" i="28" s="1"/>
  <c r="J4284" i="28"/>
  <c r="K4284" i="28" s="1"/>
  <c r="J4285" i="28"/>
  <c r="K4285" i="28" s="1"/>
  <c r="J4286" i="28"/>
  <c r="K4286" i="28" s="1"/>
  <c r="J4287" i="28"/>
  <c r="K4287" i="28" s="1"/>
  <c r="J4288" i="28"/>
  <c r="K4288" i="28" s="1"/>
  <c r="J4289" i="28"/>
  <c r="K4289" i="28" s="1"/>
  <c r="J4290" i="28"/>
  <c r="K4290" i="28" s="1"/>
  <c r="J4291" i="28"/>
  <c r="K4291" i="28" s="1"/>
  <c r="J4292" i="28"/>
  <c r="K4292" i="28" s="1"/>
  <c r="J4293" i="28"/>
  <c r="K4293" i="28" s="1"/>
  <c r="J4294" i="28"/>
  <c r="K4294" i="28" s="1"/>
  <c r="J4295" i="28"/>
  <c r="K4295" i="28" s="1"/>
  <c r="J4296" i="28"/>
  <c r="K4296" i="28" s="1"/>
  <c r="J4297" i="28"/>
  <c r="K4297" i="28" s="1"/>
  <c r="J4298" i="28"/>
  <c r="K4298" i="28" s="1"/>
  <c r="J4299" i="28"/>
  <c r="K4299" i="28" s="1"/>
  <c r="J4300" i="28"/>
  <c r="K4300" i="28" s="1"/>
  <c r="J4301" i="28"/>
  <c r="K4301" i="28" s="1"/>
  <c r="J4302" i="28"/>
  <c r="K4302" i="28" s="1"/>
  <c r="J4303" i="28"/>
  <c r="K4303" i="28" s="1"/>
  <c r="J4304" i="28"/>
  <c r="K4304" i="28" s="1"/>
  <c r="J4305" i="28"/>
  <c r="K4305" i="28" s="1"/>
  <c r="J4306" i="28"/>
  <c r="K4306" i="28" s="1"/>
  <c r="J4307" i="28"/>
  <c r="K4307" i="28" s="1"/>
  <c r="J4308" i="28"/>
  <c r="K4308" i="28" s="1"/>
  <c r="J4309" i="28"/>
  <c r="K4309" i="28" s="1"/>
  <c r="J4310" i="28"/>
  <c r="K4310" i="28" s="1"/>
  <c r="J4311" i="28"/>
  <c r="K4311" i="28" s="1"/>
  <c r="J4312" i="28"/>
  <c r="K4312" i="28" s="1"/>
  <c r="J4313" i="28"/>
  <c r="K4313" i="28" s="1"/>
  <c r="J4314" i="28"/>
  <c r="K4314" i="28" s="1"/>
  <c r="J4315" i="28"/>
  <c r="K4315" i="28" s="1"/>
  <c r="J4316" i="28"/>
  <c r="K4316" i="28" s="1"/>
  <c r="J4317" i="28"/>
  <c r="K4317" i="28" s="1"/>
  <c r="J4318" i="28"/>
  <c r="K4318" i="28" s="1"/>
  <c r="J4319" i="28"/>
  <c r="K4319" i="28" s="1"/>
  <c r="J4320" i="28"/>
  <c r="K4320" i="28" s="1"/>
  <c r="J4321" i="28"/>
  <c r="K4321" i="28" s="1"/>
  <c r="J4322" i="28"/>
  <c r="K4322" i="28" s="1"/>
  <c r="J4323" i="28"/>
  <c r="K4323" i="28" s="1"/>
  <c r="J4324" i="28"/>
  <c r="K4324" i="28" s="1"/>
  <c r="J4325" i="28"/>
  <c r="K4325" i="28" s="1"/>
  <c r="J4326" i="28"/>
  <c r="K4326" i="28" s="1"/>
  <c r="J4327" i="28"/>
  <c r="K4327" i="28" s="1"/>
  <c r="J4328" i="28"/>
  <c r="K4328" i="28" s="1"/>
  <c r="J4329" i="28"/>
  <c r="K4329" i="28" s="1"/>
  <c r="J4330" i="28"/>
  <c r="K4330" i="28" s="1"/>
  <c r="J4331" i="28"/>
  <c r="K4331" i="28" s="1"/>
  <c r="J4332" i="28"/>
  <c r="K4332" i="28" s="1"/>
  <c r="J4333" i="28"/>
  <c r="K4333" i="28" s="1"/>
  <c r="J4334" i="28"/>
  <c r="K4334" i="28" s="1"/>
  <c r="J4335" i="28"/>
  <c r="K4335" i="28" s="1"/>
  <c r="J4336" i="28"/>
  <c r="K4336" i="28" s="1"/>
  <c r="J4337" i="28"/>
  <c r="K4337" i="28" s="1"/>
  <c r="J4338" i="28"/>
  <c r="K4338" i="28" s="1"/>
  <c r="J4339" i="28"/>
  <c r="K4339" i="28" s="1"/>
  <c r="J4340" i="28"/>
  <c r="K4340" i="28" s="1"/>
  <c r="J4341" i="28"/>
  <c r="K4341" i="28" s="1"/>
  <c r="J4342" i="28"/>
  <c r="K4342" i="28" s="1"/>
  <c r="J4343" i="28"/>
  <c r="K4343" i="28" s="1"/>
  <c r="J4344" i="28"/>
  <c r="K4344" i="28" s="1"/>
  <c r="J4345" i="28"/>
  <c r="K4345" i="28" s="1"/>
  <c r="J4346" i="28"/>
  <c r="K4346" i="28" s="1"/>
  <c r="J4347" i="28"/>
  <c r="K4347" i="28" s="1"/>
  <c r="J4348" i="28"/>
  <c r="K4348" i="28" s="1"/>
  <c r="J4349" i="28"/>
  <c r="K4349" i="28" s="1"/>
  <c r="J4350" i="28"/>
  <c r="K4350" i="28" s="1"/>
  <c r="J4351" i="28"/>
  <c r="K4351" i="28" s="1"/>
  <c r="J4352" i="28"/>
  <c r="K4352" i="28" s="1"/>
  <c r="J4353" i="28"/>
  <c r="K4353" i="28" s="1"/>
  <c r="J4354" i="28"/>
  <c r="K4354" i="28" s="1"/>
  <c r="J4355" i="28"/>
  <c r="K4355" i="28" s="1"/>
  <c r="J4356" i="28"/>
  <c r="K4356" i="28" s="1"/>
  <c r="J4357" i="28"/>
  <c r="K4357" i="28" s="1"/>
  <c r="J4358" i="28"/>
  <c r="K4358" i="28" s="1"/>
  <c r="J4359" i="28"/>
  <c r="K4359" i="28" s="1"/>
  <c r="J4360" i="28"/>
  <c r="K4360" i="28" s="1"/>
  <c r="J4361" i="28"/>
  <c r="K4361" i="28" s="1"/>
  <c r="J4362" i="28"/>
  <c r="K4362" i="28" s="1"/>
  <c r="J4363" i="28"/>
  <c r="K4363" i="28" s="1"/>
  <c r="J4364" i="28"/>
  <c r="K4364" i="28" s="1"/>
  <c r="J4365" i="28"/>
  <c r="K4365" i="28" s="1"/>
  <c r="J4366" i="28"/>
  <c r="K4366" i="28" s="1"/>
  <c r="J4367" i="28"/>
  <c r="K4367" i="28" s="1"/>
  <c r="J4368" i="28"/>
  <c r="K4368" i="28" s="1"/>
  <c r="J4369" i="28"/>
  <c r="K4369" i="28" s="1"/>
  <c r="J4370" i="28"/>
  <c r="K4370" i="28" s="1"/>
  <c r="J4371" i="28"/>
  <c r="K4371" i="28" s="1"/>
  <c r="J4372" i="28"/>
  <c r="K4372" i="28" s="1"/>
  <c r="J4373" i="28"/>
  <c r="K4373" i="28" s="1"/>
  <c r="J4374" i="28"/>
  <c r="K4374" i="28" s="1"/>
  <c r="J4375" i="28"/>
  <c r="K4375" i="28" s="1"/>
  <c r="J4376" i="28"/>
  <c r="K4376" i="28" s="1"/>
  <c r="J4377" i="28"/>
  <c r="K4377" i="28" s="1"/>
  <c r="J4378" i="28"/>
  <c r="K4378" i="28" s="1"/>
  <c r="J4379" i="28"/>
  <c r="K4379" i="28" s="1"/>
  <c r="J4380" i="28"/>
  <c r="K4380" i="28" s="1"/>
  <c r="J4381" i="28"/>
  <c r="K4381" i="28" s="1"/>
  <c r="J4382" i="28"/>
  <c r="K4382" i="28" s="1"/>
  <c r="J4383" i="28"/>
  <c r="K4383" i="28" s="1"/>
  <c r="J4384" i="28"/>
  <c r="K4384" i="28" s="1"/>
  <c r="J4385" i="28"/>
  <c r="K4385" i="28" s="1"/>
  <c r="J4386" i="28"/>
  <c r="K4386" i="28" s="1"/>
  <c r="J4387" i="28"/>
  <c r="K4387" i="28" s="1"/>
  <c r="J4388" i="28"/>
  <c r="K4388" i="28" s="1"/>
  <c r="J4389" i="28"/>
  <c r="K4389" i="28" s="1"/>
  <c r="J4390" i="28"/>
  <c r="K4390" i="28" s="1"/>
  <c r="J4391" i="28"/>
  <c r="K4391" i="28" s="1"/>
  <c r="J4392" i="28"/>
  <c r="K4392" i="28" s="1"/>
  <c r="J4393" i="28"/>
  <c r="K4393" i="28" s="1"/>
  <c r="J4394" i="28"/>
  <c r="K4394" i="28" s="1"/>
  <c r="J4395" i="28"/>
  <c r="K4395" i="28" s="1"/>
  <c r="J4396" i="28"/>
  <c r="K4396" i="28" s="1"/>
  <c r="J4397" i="28"/>
  <c r="K4397" i="28" s="1"/>
  <c r="J4398" i="28"/>
  <c r="K4398" i="28" s="1"/>
  <c r="J4399" i="28"/>
  <c r="K4399" i="28" s="1"/>
  <c r="J4400" i="28"/>
  <c r="K4400" i="28" s="1"/>
  <c r="J4401" i="28"/>
  <c r="K4401" i="28" s="1"/>
  <c r="J4402" i="28"/>
  <c r="K4402" i="28" s="1"/>
  <c r="J4403" i="28"/>
  <c r="K4403" i="28" s="1"/>
  <c r="J4404" i="28"/>
  <c r="K4404" i="28" s="1"/>
  <c r="J4405" i="28"/>
  <c r="K4405" i="28" s="1"/>
  <c r="J4406" i="28"/>
  <c r="K4406" i="28" s="1"/>
  <c r="J4407" i="28"/>
  <c r="K4407" i="28" s="1"/>
  <c r="J4408" i="28"/>
  <c r="K4408" i="28" s="1"/>
  <c r="J4409" i="28"/>
  <c r="K4409" i="28" s="1"/>
  <c r="J4410" i="28"/>
  <c r="K4410" i="28" s="1"/>
  <c r="J4411" i="28"/>
  <c r="K4411" i="28" s="1"/>
  <c r="J4412" i="28"/>
  <c r="K4412" i="28" s="1"/>
  <c r="J4413" i="28"/>
  <c r="K4413" i="28" s="1"/>
  <c r="J4414" i="28"/>
  <c r="K4414" i="28" s="1"/>
  <c r="J4415" i="28"/>
  <c r="K4415" i="28" s="1"/>
  <c r="J4416" i="28"/>
  <c r="K4416" i="28" s="1"/>
  <c r="J4417" i="28"/>
  <c r="K4417" i="28" s="1"/>
  <c r="J4418" i="28"/>
  <c r="K4418" i="28" s="1"/>
  <c r="J4419" i="28"/>
  <c r="K4419" i="28" s="1"/>
  <c r="J4420" i="28"/>
  <c r="K4420" i="28" s="1"/>
  <c r="J4421" i="28"/>
  <c r="K4421" i="28" s="1"/>
  <c r="J4422" i="28"/>
  <c r="K4422" i="28" s="1"/>
  <c r="J4423" i="28"/>
  <c r="K4423" i="28" s="1"/>
  <c r="J4424" i="28"/>
  <c r="K4424" i="28" s="1"/>
  <c r="J4425" i="28"/>
  <c r="K4425" i="28" s="1"/>
  <c r="J4426" i="28"/>
  <c r="K4426" i="28" s="1"/>
  <c r="J4427" i="28"/>
  <c r="K4427" i="28" s="1"/>
  <c r="J4428" i="28"/>
  <c r="K4428" i="28" s="1"/>
  <c r="J4429" i="28"/>
  <c r="K4429" i="28" s="1"/>
  <c r="J4430" i="28"/>
  <c r="K4430" i="28" s="1"/>
  <c r="J4431" i="28"/>
  <c r="K4431" i="28" s="1"/>
  <c r="J4432" i="28"/>
  <c r="K4432" i="28" s="1"/>
  <c r="J4433" i="28"/>
  <c r="K4433" i="28" s="1"/>
  <c r="J4434" i="28"/>
  <c r="K4434" i="28" s="1"/>
  <c r="J4435" i="28"/>
  <c r="K4435" i="28" s="1"/>
  <c r="J4436" i="28"/>
  <c r="K4436" i="28" s="1"/>
  <c r="J4437" i="28"/>
  <c r="K4437" i="28" s="1"/>
  <c r="J4438" i="28"/>
  <c r="K4438" i="28" s="1"/>
  <c r="J4439" i="28"/>
  <c r="K4439" i="28" s="1"/>
  <c r="J4440" i="28"/>
  <c r="K4440" i="28" s="1"/>
  <c r="J4441" i="28"/>
  <c r="K4441" i="28" s="1"/>
  <c r="J4442" i="28"/>
  <c r="K4442" i="28" s="1"/>
  <c r="J4443" i="28"/>
  <c r="K4443" i="28" s="1"/>
  <c r="J4444" i="28"/>
  <c r="K4444" i="28" s="1"/>
  <c r="J4445" i="28"/>
  <c r="K4445" i="28" s="1"/>
  <c r="J4446" i="28"/>
  <c r="K4446" i="28" s="1"/>
  <c r="J4447" i="28"/>
  <c r="K4447" i="28" s="1"/>
  <c r="J4448" i="28"/>
  <c r="K4448" i="28" s="1"/>
  <c r="J4449" i="28"/>
  <c r="K4449" i="28" s="1"/>
  <c r="J4450" i="28"/>
  <c r="K4450" i="28" s="1"/>
  <c r="J4451" i="28"/>
  <c r="K4451" i="28" s="1"/>
  <c r="J4452" i="28"/>
  <c r="K4452" i="28" s="1"/>
  <c r="J4453" i="28"/>
  <c r="K4453" i="28" s="1"/>
  <c r="J4454" i="28"/>
  <c r="K4454" i="28" s="1"/>
  <c r="J4455" i="28"/>
  <c r="K4455" i="28" s="1"/>
  <c r="J4456" i="28"/>
  <c r="K4456" i="28" s="1"/>
  <c r="J4457" i="28"/>
  <c r="K4457" i="28" s="1"/>
  <c r="J4458" i="28"/>
  <c r="K4458" i="28" s="1"/>
  <c r="J4459" i="28"/>
  <c r="K4459" i="28" s="1"/>
  <c r="J4460" i="28"/>
  <c r="K4460" i="28" s="1"/>
  <c r="J4461" i="28"/>
  <c r="K4461" i="28" s="1"/>
  <c r="J4462" i="28"/>
  <c r="K4462" i="28" s="1"/>
  <c r="J4463" i="28"/>
  <c r="K4463" i="28" s="1"/>
  <c r="J4464" i="28"/>
  <c r="K4464" i="28" s="1"/>
  <c r="J4465" i="28"/>
  <c r="K4465" i="28" s="1"/>
  <c r="J4466" i="28"/>
  <c r="K4466" i="28" s="1"/>
  <c r="J4467" i="28"/>
  <c r="K4467" i="28" s="1"/>
  <c r="J4468" i="28"/>
  <c r="K4468" i="28" s="1"/>
  <c r="J4469" i="28"/>
  <c r="K4469" i="28" s="1"/>
  <c r="J4470" i="28"/>
  <c r="K4470" i="28" s="1"/>
  <c r="J4471" i="28"/>
  <c r="K4471" i="28" s="1"/>
  <c r="J4472" i="28"/>
  <c r="K4472" i="28" s="1"/>
  <c r="J4473" i="28"/>
  <c r="K4473" i="28" s="1"/>
  <c r="J4474" i="28"/>
  <c r="K4474" i="28" s="1"/>
  <c r="J4475" i="28"/>
  <c r="K4475" i="28" s="1"/>
  <c r="J4476" i="28"/>
  <c r="K4476" i="28" s="1"/>
  <c r="J4477" i="28"/>
  <c r="K4477" i="28" s="1"/>
  <c r="J4478" i="28"/>
  <c r="K4478" i="28" s="1"/>
  <c r="J4479" i="28"/>
  <c r="K4479" i="28" s="1"/>
  <c r="J4480" i="28"/>
  <c r="K4480" i="28" s="1"/>
  <c r="J4481" i="28"/>
  <c r="K4481" i="28" s="1"/>
  <c r="J4482" i="28"/>
  <c r="K4482" i="28" s="1"/>
  <c r="J4483" i="28"/>
  <c r="K4483" i="28" s="1"/>
  <c r="J4484" i="28"/>
  <c r="K4484" i="28" s="1"/>
  <c r="J4485" i="28"/>
  <c r="K4485" i="28" s="1"/>
  <c r="J4486" i="28"/>
  <c r="K4486" i="28" s="1"/>
  <c r="J4487" i="28"/>
  <c r="K4487" i="28" s="1"/>
  <c r="J4488" i="28"/>
  <c r="K4488" i="28" s="1"/>
  <c r="J4489" i="28"/>
  <c r="K4489" i="28" s="1"/>
  <c r="J4490" i="28"/>
  <c r="K4490" i="28" s="1"/>
  <c r="J4491" i="28"/>
  <c r="K4491" i="28" s="1"/>
  <c r="J4492" i="28"/>
  <c r="K4492" i="28" s="1"/>
  <c r="J4493" i="28"/>
  <c r="K4493" i="28" s="1"/>
  <c r="J4494" i="28"/>
  <c r="K4494" i="28" s="1"/>
  <c r="J4495" i="28"/>
  <c r="K4495" i="28" s="1"/>
  <c r="J4496" i="28"/>
  <c r="K4496" i="28" s="1"/>
  <c r="J4497" i="28"/>
  <c r="K4497" i="28" s="1"/>
  <c r="J4498" i="28"/>
  <c r="K4498" i="28" s="1"/>
  <c r="J4499" i="28"/>
  <c r="K4499" i="28" s="1"/>
  <c r="J4500" i="28"/>
  <c r="K4500" i="28" s="1"/>
  <c r="J4501" i="28"/>
  <c r="K4501" i="28" s="1"/>
  <c r="J4502" i="28"/>
  <c r="K4502" i="28" s="1"/>
  <c r="J4503" i="28"/>
  <c r="K4503" i="28" s="1"/>
  <c r="J4504" i="28"/>
  <c r="K4504" i="28" s="1"/>
  <c r="J4505" i="28"/>
  <c r="K4505" i="28" s="1"/>
  <c r="J4506" i="28"/>
  <c r="K4506" i="28" s="1"/>
  <c r="J1507" i="28"/>
  <c r="K1507" i="28" s="1"/>
  <c r="J1508" i="28"/>
  <c r="K1508" i="28" s="1"/>
  <c r="J1509" i="28"/>
  <c r="K1509" i="28" s="1"/>
  <c r="J1510" i="28"/>
  <c r="K1510" i="28" s="1"/>
  <c r="J1511" i="28"/>
  <c r="K1511" i="28" s="1"/>
  <c r="J1512" i="28"/>
  <c r="K1512" i="28" s="1"/>
  <c r="J1513" i="28"/>
  <c r="K1513" i="28" s="1"/>
  <c r="J1514" i="28"/>
  <c r="K1514" i="28" s="1"/>
  <c r="J1515" i="28"/>
  <c r="K1515" i="28" s="1"/>
  <c r="J1516" i="28"/>
  <c r="K1516" i="28" s="1"/>
  <c r="J1517" i="28"/>
  <c r="K1517" i="28" s="1"/>
  <c r="J1518" i="28"/>
  <c r="K1518" i="28" s="1"/>
  <c r="J1519" i="28"/>
  <c r="K1519" i="28" s="1"/>
  <c r="J1520" i="28"/>
  <c r="K1520" i="28" s="1"/>
  <c r="J1521" i="28"/>
  <c r="K1521" i="28" s="1"/>
  <c r="J1522" i="28"/>
  <c r="K1522" i="28" s="1"/>
  <c r="J1523" i="28"/>
  <c r="K1523" i="28" s="1"/>
  <c r="J1524" i="28"/>
  <c r="K1524" i="28" s="1"/>
  <c r="J1525" i="28"/>
  <c r="K1525" i="28" s="1"/>
  <c r="J1526" i="28"/>
  <c r="K1526" i="28" s="1"/>
  <c r="J1527" i="28"/>
  <c r="K1527" i="28" s="1"/>
  <c r="J1528" i="28"/>
  <c r="K1528" i="28" s="1"/>
  <c r="J1529" i="28"/>
  <c r="K1529" i="28" s="1"/>
  <c r="J1530" i="28"/>
  <c r="K1530" i="28" s="1"/>
  <c r="J1531" i="28"/>
  <c r="K1531" i="28" s="1"/>
  <c r="J1532" i="28"/>
  <c r="K1532" i="28" s="1"/>
  <c r="J1533" i="28"/>
  <c r="K1533" i="28" s="1"/>
  <c r="J1534" i="28"/>
  <c r="K1534" i="28" s="1"/>
  <c r="J1535" i="28"/>
  <c r="K1535" i="28" s="1"/>
  <c r="J1536" i="28"/>
  <c r="K1536" i="28" s="1"/>
  <c r="J1537" i="28"/>
  <c r="K1537" i="28" s="1"/>
  <c r="J1538" i="28"/>
  <c r="K1538" i="28" s="1"/>
  <c r="J1539" i="28"/>
  <c r="K1539" i="28" s="1"/>
  <c r="J1540" i="28"/>
  <c r="K1540" i="28" s="1"/>
  <c r="J1541" i="28"/>
  <c r="K1541" i="28" s="1"/>
  <c r="J1542" i="28"/>
  <c r="K1542" i="28" s="1"/>
  <c r="J1543" i="28"/>
  <c r="K1543" i="28" s="1"/>
  <c r="J1544" i="28"/>
  <c r="K1544" i="28" s="1"/>
  <c r="J1545" i="28"/>
  <c r="K1545" i="28" s="1"/>
  <c r="J1546" i="28"/>
  <c r="K1546" i="28" s="1"/>
  <c r="J1547" i="28"/>
  <c r="K1547" i="28" s="1"/>
  <c r="J1548" i="28"/>
  <c r="K1548" i="28" s="1"/>
  <c r="J1549" i="28"/>
  <c r="K1549" i="28" s="1"/>
  <c r="J1550" i="28"/>
  <c r="K1550" i="28" s="1"/>
  <c r="J1551" i="28"/>
  <c r="K1551" i="28" s="1"/>
  <c r="J1552" i="28"/>
  <c r="K1552" i="28" s="1"/>
  <c r="J1553" i="28"/>
  <c r="K1553" i="28" s="1"/>
  <c r="J1554" i="28"/>
  <c r="K1554" i="28" s="1"/>
  <c r="J1555" i="28"/>
  <c r="K1555" i="28" s="1"/>
  <c r="J1556" i="28"/>
  <c r="K1556" i="28" s="1"/>
  <c r="J1557" i="28"/>
  <c r="K1557" i="28" s="1"/>
  <c r="J1558" i="28"/>
  <c r="K1558" i="28" s="1"/>
  <c r="J1559" i="28"/>
  <c r="K1559" i="28" s="1"/>
  <c r="J1560" i="28"/>
  <c r="K1560" i="28" s="1"/>
  <c r="J1561" i="28"/>
  <c r="K1561" i="28" s="1"/>
  <c r="J1562" i="28"/>
  <c r="K1562" i="28" s="1"/>
  <c r="J1563" i="28"/>
  <c r="K1563" i="28" s="1"/>
  <c r="J1564" i="28"/>
  <c r="K1564" i="28" s="1"/>
  <c r="J1565" i="28"/>
  <c r="K1565" i="28" s="1"/>
  <c r="J1566" i="28"/>
  <c r="K1566" i="28" s="1"/>
  <c r="J1567" i="28"/>
  <c r="K1567" i="28" s="1"/>
  <c r="J1568" i="28"/>
  <c r="K1568" i="28" s="1"/>
  <c r="J1569" i="28"/>
  <c r="K1569" i="28" s="1"/>
  <c r="J1570" i="28"/>
  <c r="K1570" i="28" s="1"/>
  <c r="J1571" i="28"/>
  <c r="K1571" i="28" s="1"/>
  <c r="J1572" i="28"/>
  <c r="K1572" i="28" s="1"/>
  <c r="J1573" i="28"/>
  <c r="K1573" i="28" s="1"/>
  <c r="J1574" i="28"/>
  <c r="K1574" i="28" s="1"/>
  <c r="J1575" i="28"/>
  <c r="K1575" i="28" s="1"/>
  <c r="J1576" i="28"/>
  <c r="K1576" i="28" s="1"/>
  <c r="J1577" i="28"/>
  <c r="K1577" i="28" s="1"/>
  <c r="J1578" i="28"/>
  <c r="K1578" i="28" s="1"/>
  <c r="J1579" i="28"/>
  <c r="K1579" i="28" s="1"/>
  <c r="J1580" i="28"/>
  <c r="K1580" i="28" s="1"/>
  <c r="J1581" i="28"/>
  <c r="K1581" i="28" s="1"/>
  <c r="J1582" i="28"/>
  <c r="K1582" i="28" s="1"/>
  <c r="J1583" i="28"/>
  <c r="K1583" i="28" s="1"/>
  <c r="J1584" i="28"/>
  <c r="K1584" i="28" s="1"/>
  <c r="J1585" i="28"/>
  <c r="K1585" i="28" s="1"/>
  <c r="J1586" i="28"/>
  <c r="K1586" i="28" s="1"/>
  <c r="J1587" i="28"/>
  <c r="K1587" i="28" s="1"/>
  <c r="J1588" i="28"/>
  <c r="K1588" i="28" s="1"/>
  <c r="J1589" i="28"/>
  <c r="K1589" i="28" s="1"/>
  <c r="J1590" i="28"/>
  <c r="K1590" i="28" s="1"/>
  <c r="J1591" i="28"/>
  <c r="K1591" i="28" s="1"/>
  <c r="J1592" i="28"/>
  <c r="K1592" i="28" s="1"/>
  <c r="J1593" i="28"/>
  <c r="K1593" i="28" s="1"/>
  <c r="J1594" i="28"/>
  <c r="K1594" i="28" s="1"/>
  <c r="J1595" i="28"/>
  <c r="K1595" i="28" s="1"/>
  <c r="J1596" i="28"/>
  <c r="K1596" i="28" s="1"/>
  <c r="J1597" i="28"/>
  <c r="K1597" i="28" s="1"/>
  <c r="J1598" i="28"/>
  <c r="K1598" i="28" s="1"/>
  <c r="J1599" i="28"/>
  <c r="K1599" i="28" s="1"/>
  <c r="J1600" i="28"/>
  <c r="K1600" i="28" s="1"/>
  <c r="J1601" i="28"/>
  <c r="K1601" i="28" s="1"/>
  <c r="J1602" i="28"/>
  <c r="K1602" i="28" s="1"/>
  <c r="J1603" i="28"/>
  <c r="K1603" i="28" s="1"/>
  <c r="J1604" i="28"/>
  <c r="K1604" i="28" s="1"/>
  <c r="J1605" i="28"/>
  <c r="K1605" i="28" s="1"/>
  <c r="J1606" i="28"/>
  <c r="K1606" i="28" s="1"/>
  <c r="J1607" i="28"/>
  <c r="K1607" i="28" s="1"/>
  <c r="J1608" i="28"/>
  <c r="K1608" i="28" s="1"/>
  <c r="J1609" i="28"/>
  <c r="K1609" i="28" s="1"/>
  <c r="J1610" i="28"/>
  <c r="K1610" i="28" s="1"/>
  <c r="J1611" i="28"/>
  <c r="K1611" i="28" s="1"/>
  <c r="J1612" i="28"/>
  <c r="K1612" i="28" s="1"/>
  <c r="J1613" i="28"/>
  <c r="K1613" i="28" s="1"/>
  <c r="J1614" i="28"/>
  <c r="K1614" i="28" s="1"/>
  <c r="J1615" i="28"/>
  <c r="K1615" i="28" s="1"/>
  <c r="J1616" i="28"/>
  <c r="K1616" i="28" s="1"/>
  <c r="J1617" i="28"/>
  <c r="K1617" i="28" s="1"/>
  <c r="J1618" i="28"/>
  <c r="K1618" i="28" s="1"/>
  <c r="J1619" i="28"/>
  <c r="K1619" i="28" s="1"/>
  <c r="J1620" i="28"/>
  <c r="K1620" i="28" s="1"/>
  <c r="J1621" i="28"/>
  <c r="K1621" i="28" s="1"/>
  <c r="J1622" i="28"/>
  <c r="K1622" i="28" s="1"/>
  <c r="J1623" i="28"/>
  <c r="K1623" i="28" s="1"/>
  <c r="J1624" i="28"/>
  <c r="K1624" i="28" s="1"/>
  <c r="J1625" i="28"/>
  <c r="K1625" i="28" s="1"/>
  <c r="J1626" i="28"/>
  <c r="K1626" i="28" s="1"/>
  <c r="J1627" i="28"/>
  <c r="K1627" i="28" s="1"/>
  <c r="J1628" i="28"/>
  <c r="K1628" i="28" s="1"/>
  <c r="J1629" i="28"/>
  <c r="K1629" i="28" s="1"/>
  <c r="J1630" i="28"/>
  <c r="K1630" i="28" s="1"/>
  <c r="J1631" i="28"/>
  <c r="K1631" i="28" s="1"/>
  <c r="J1632" i="28"/>
  <c r="K1632" i="28" s="1"/>
  <c r="J1633" i="28"/>
  <c r="K1633" i="28" s="1"/>
  <c r="J1634" i="28"/>
  <c r="K1634" i="28" s="1"/>
  <c r="J1635" i="28"/>
  <c r="K1635" i="28" s="1"/>
  <c r="J1636" i="28"/>
  <c r="K1636" i="28" s="1"/>
  <c r="J1637" i="28"/>
  <c r="K1637" i="28" s="1"/>
  <c r="J1638" i="28"/>
  <c r="K1638" i="28" s="1"/>
  <c r="J1639" i="28"/>
  <c r="K1639" i="28" s="1"/>
  <c r="J1640" i="28"/>
  <c r="K1640" i="28" s="1"/>
  <c r="J1641" i="28"/>
  <c r="K1641" i="28" s="1"/>
  <c r="J1642" i="28"/>
  <c r="K1642" i="28" s="1"/>
  <c r="J1643" i="28"/>
  <c r="K1643" i="28" s="1"/>
  <c r="J1644" i="28"/>
  <c r="K1644" i="28" s="1"/>
  <c r="J1645" i="28"/>
  <c r="K1645" i="28" s="1"/>
  <c r="J1646" i="28"/>
  <c r="K1646" i="28" s="1"/>
  <c r="J1647" i="28"/>
  <c r="K1647" i="28" s="1"/>
  <c r="J1648" i="28"/>
  <c r="K1648" i="28" s="1"/>
  <c r="J1649" i="28"/>
  <c r="K1649" i="28" s="1"/>
  <c r="J1650" i="28"/>
  <c r="K1650" i="28" s="1"/>
  <c r="J1651" i="28"/>
  <c r="K1651" i="28" s="1"/>
  <c r="J1652" i="28"/>
  <c r="K1652" i="28" s="1"/>
  <c r="J1653" i="28"/>
  <c r="K1653" i="28" s="1"/>
  <c r="J1654" i="28"/>
  <c r="K1654" i="28" s="1"/>
  <c r="J1655" i="28"/>
  <c r="K1655" i="28" s="1"/>
  <c r="J1656" i="28"/>
  <c r="K1656" i="28" s="1"/>
  <c r="J1657" i="28"/>
  <c r="K1657" i="28" s="1"/>
  <c r="J1658" i="28"/>
  <c r="K1658" i="28" s="1"/>
  <c r="J1659" i="28"/>
  <c r="K1659" i="28" s="1"/>
  <c r="J1660" i="28"/>
  <c r="K1660" i="28" s="1"/>
  <c r="J1661" i="28"/>
  <c r="K1661" i="28" s="1"/>
  <c r="J1662" i="28"/>
  <c r="K1662" i="28" s="1"/>
  <c r="J1663" i="28"/>
  <c r="K1663" i="28" s="1"/>
  <c r="J1664" i="28"/>
  <c r="K1664" i="28" s="1"/>
  <c r="J1665" i="28"/>
  <c r="K1665" i="28" s="1"/>
  <c r="J1666" i="28"/>
  <c r="K1666" i="28" s="1"/>
  <c r="J1667" i="28"/>
  <c r="K1667" i="28" s="1"/>
  <c r="J1668" i="28"/>
  <c r="K1668" i="28" s="1"/>
  <c r="J1669" i="28"/>
  <c r="K1669" i="28" s="1"/>
  <c r="J1670" i="28"/>
  <c r="K1670" i="28" s="1"/>
  <c r="J1671" i="28"/>
  <c r="K1671" i="28" s="1"/>
  <c r="J1672" i="28"/>
  <c r="K1672" i="28" s="1"/>
  <c r="J1673" i="28"/>
  <c r="K1673" i="28" s="1"/>
  <c r="J1674" i="28"/>
  <c r="K1674" i="28" s="1"/>
  <c r="J1675" i="28"/>
  <c r="K1675" i="28" s="1"/>
  <c r="J1676" i="28"/>
  <c r="K1676" i="28" s="1"/>
  <c r="J1677" i="28"/>
  <c r="K1677" i="28" s="1"/>
  <c r="J1678" i="28"/>
  <c r="K1678" i="28" s="1"/>
  <c r="J1679" i="28"/>
  <c r="K1679" i="28" s="1"/>
  <c r="J1680" i="28"/>
  <c r="K1680" i="28" s="1"/>
  <c r="J1681" i="28"/>
  <c r="K1681" i="28" s="1"/>
  <c r="J1682" i="28"/>
  <c r="K1682" i="28" s="1"/>
  <c r="J1683" i="28"/>
  <c r="K1683" i="28" s="1"/>
  <c r="J1684" i="28"/>
  <c r="K1684" i="28" s="1"/>
  <c r="J1685" i="28"/>
  <c r="K1685" i="28" s="1"/>
  <c r="J1686" i="28"/>
  <c r="K1686" i="28" s="1"/>
  <c r="J1687" i="28"/>
  <c r="K1687" i="28" s="1"/>
  <c r="J1688" i="28"/>
  <c r="K1688" i="28" s="1"/>
  <c r="J1689" i="28"/>
  <c r="K1689" i="28" s="1"/>
  <c r="J1690" i="28"/>
  <c r="K1690" i="28" s="1"/>
  <c r="J1691" i="28"/>
  <c r="K1691" i="28" s="1"/>
  <c r="J1692" i="28"/>
  <c r="K1692" i="28" s="1"/>
  <c r="J1693" i="28"/>
  <c r="K1693" i="28" s="1"/>
  <c r="J1694" i="28"/>
  <c r="K1694" i="28" s="1"/>
  <c r="J1695" i="28"/>
  <c r="K1695" i="28" s="1"/>
  <c r="J1696" i="28"/>
  <c r="K1696" i="28" s="1"/>
  <c r="J1697" i="28"/>
  <c r="K1697" i="28" s="1"/>
  <c r="J1698" i="28"/>
  <c r="K1698" i="28" s="1"/>
  <c r="J1699" i="28"/>
  <c r="K1699" i="28" s="1"/>
  <c r="J1700" i="28"/>
  <c r="K1700" i="28" s="1"/>
  <c r="J1701" i="28"/>
  <c r="K1701" i="28" s="1"/>
  <c r="J1702" i="28"/>
  <c r="K1702" i="28" s="1"/>
  <c r="J1703" i="28"/>
  <c r="K1703" i="28" s="1"/>
  <c r="J1704" i="28"/>
  <c r="K1704" i="28" s="1"/>
  <c r="J1705" i="28"/>
  <c r="K1705" i="28" s="1"/>
  <c r="J1706" i="28"/>
  <c r="K1706" i="28" s="1"/>
  <c r="J1707" i="28"/>
  <c r="K1707" i="28" s="1"/>
  <c r="J1708" i="28"/>
  <c r="K1708" i="28" s="1"/>
  <c r="J1709" i="28"/>
  <c r="K1709" i="28" s="1"/>
  <c r="J1710" i="28"/>
  <c r="K1710" i="28" s="1"/>
  <c r="J1711" i="28"/>
  <c r="K1711" i="28" s="1"/>
  <c r="J1712" i="28"/>
  <c r="K1712" i="28" s="1"/>
  <c r="J1713" i="28"/>
  <c r="K1713" i="28" s="1"/>
  <c r="J1714" i="28"/>
  <c r="K1714" i="28" s="1"/>
  <c r="J1715" i="28"/>
  <c r="K1715" i="28" s="1"/>
  <c r="J1716" i="28"/>
  <c r="K1716" i="28" s="1"/>
  <c r="J1717" i="28"/>
  <c r="K1717" i="28" s="1"/>
  <c r="J1718" i="28"/>
  <c r="K1718" i="28" s="1"/>
  <c r="J1719" i="28"/>
  <c r="K1719" i="28" s="1"/>
  <c r="J1720" i="28"/>
  <c r="K1720" i="28" s="1"/>
  <c r="J1721" i="28"/>
  <c r="K1721" i="28" s="1"/>
  <c r="J1722" i="28"/>
  <c r="K1722" i="28" s="1"/>
  <c r="J1723" i="28"/>
  <c r="K1723" i="28" s="1"/>
  <c r="J1724" i="28"/>
  <c r="K1724" i="28" s="1"/>
  <c r="J1725" i="28"/>
  <c r="K1725" i="28" s="1"/>
  <c r="J1726" i="28"/>
  <c r="K1726" i="28" s="1"/>
  <c r="J1727" i="28"/>
  <c r="K1727" i="28" s="1"/>
  <c r="J1728" i="28"/>
  <c r="K1728" i="28" s="1"/>
  <c r="J1729" i="28"/>
  <c r="K1729" i="28" s="1"/>
  <c r="J1730" i="28"/>
  <c r="K1730" i="28" s="1"/>
  <c r="J1731" i="28"/>
  <c r="K1731" i="28" s="1"/>
  <c r="J1732" i="28"/>
  <c r="K1732" i="28" s="1"/>
  <c r="J1733" i="28"/>
  <c r="K1733" i="28" s="1"/>
  <c r="J1734" i="28"/>
  <c r="K1734" i="28" s="1"/>
  <c r="J1735" i="28"/>
  <c r="K1735" i="28" s="1"/>
  <c r="J1736" i="28"/>
  <c r="K1736" i="28" s="1"/>
  <c r="J1737" i="28"/>
  <c r="K1737" i="28" s="1"/>
  <c r="J1738" i="28"/>
  <c r="K1738" i="28" s="1"/>
  <c r="J1739" i="28"/>
  <c r="K1739" i="28" s="1"/>
  <c r="J1740" i="28"/>
  <c r="K1740" i="28" s="1"/>
  <c r="J1741" i="28"/>
  <c r="K1741" i="28" s="1"/>
  <c r="J1742" i="28"/>
  <c r="K1742" i="28" s="1"/>
  <c r="J1743" i="28"/>
  <c r="K1743" i="28" s="1"/>
  <c r="J1744" i="28"/>
  <c r="K1744" i="28" s="1"/>
  <c r="J1745" i="28"/>
  <c r="K1745" i="28" s="1"/>
  <c r="J1746" i="28"/>
  <c r="K1746" i="28" s="1"/>
  <c r="J1747" i="28"/>
  <c r="K1747" i="28" s="1"/>
  <c r="J1748" i="28"/>
  <c r="K1748" i="28" s="1"/>
  <c r="J1749" i="28"/>
  <c r="K1749" i="28" s="1"/>
  <c r="J1750" i="28"/>
  <c r="K1750" i="28" s="1"/>
  <c r="J1751" i="28"/>
  <c r="K1751" i="28" s="1"/>
  <c r="J1752" i="28"/>
  <c r="K1752" i="28" s="1"/>
  <c r="J1753" i="28"/>
  <c r="K1753" i="28" s="1"/>
  <c r="J1754" i="28"/>
  <c r="K1754" i="28" s="1"/>
  <c r="J1755" i="28"/>
  <c r="K1755" i="28" s="1"/>
  <c r="J1756" i="28"/>
  <c r="K1756" i="28" s="1"/>
  <c r="J1757" i="28"/>
  <c r="K1757" i="28" s="1"/>
  <c r="J1758" i="28"/>
  <c r="K1758" i="28" s="1"/>
  <c r="J1759" i="28"/>
  <c r="K1759" i="28" s="1"/>
  <c r="J1760" i="28"/>
  <c r="K1760" i="28" s="1"/>
  <c r="J1761" i="28"/>
  <c r="K1761" i="28" s="1"/>
  <c r="J1762" i="28"/>
  <c r="K1762" i="28" s="1"/>
  <c r="J1763" i="28"/>
  <c r="K1763" i="28" s="1"/>
  <c r="J1764" i="28"/>
  <c r="K1764" i="28" s="1"/>
  <c r="J1765" i="28"/>
  <c r="K1765" i="28" s="1"/>
  <c r="J1766" i="28"/>
  <c r="K1766" i="28" s="1"/>
  <c r="J1767" i="28"/>
  <c r="K1767" i="28" s="1"/>
  <c r="J1768" i="28"/>
  <c r="K1768" i="28" s="1"/>
  <c r="J1769" i="28"/>
  <c r="K1769" i="28" s="1"/>
  <c r="J1770" i="28"/>
  <c r="K1770" i="28" s="1"/>
  <c r="J1771" i="28"/>
  <c r="K1771" i="28" s="1"/>
  <c r="J1772" i="28"/>
  <c r="K1772" i="28" s="1"/>
  <c r="J1773" i="28"/>
  <c r="K1773" i="28" s="1"/>
  <c r="J1774" i="28"/>
  <c r="K1774" i="28" s="1"/>
  <c r="J1775" i="28"/>
  <c r="K1775" i="28" s="1"/>
  <c r="J1776" i="28"/>
  <c r="K1776" i="28" s="1"/>
  <c r="J1777" i="28"/>
  <c r="K1777" i="28" s="1"/>
  <c r="J1778" i="28"/>
  <c r="K1778" i="28" s="1"/>
  <c r="J1779" i="28"/>
  <c r="K1779" i="28" s="1"/>
  <c r="J1780" i="28"/>
  <c r="K1780" i="28" s="1"/>
  <c r="J1781" i="28"/>
  <c r="K1781" i="28" s="1"/>
  <c r="J1782" i="28"/>
  <c r="K1782" i="28" s="1"/>
  <c r="J1783" i="28"/>
  <c r="K1783" i="28" s="1"/>
  <c r="J1784" i="28"/>
  <c r="K1784" i="28" s="1"/>
  <c r="J1785" i="28"/>
  <c r="K1785" i="28" s="1"/>
  <c r="J1786" i="28"/>
  <c r="K1786" i="28" s="1"/>
  <c r="J1787" i="28"/>
  <c r="K1787" i="28" s="1"/>
  <c r="J1788" i="28"/>
  <c r="K1788" i="28" s="1"/>
  <c r="J1789" i="28"/>
  <c r="K1789" i="28" s="1"/>
  <c r="J1790" i="28"/>
  <c r="K1790" i="28" s="1"/>
  <c r="J1791" i="28"/>
  <c r="K1791" i="28" s="1"/>
  <c r="J1792" i="28"/>
  <c r="K1792" i="28" s="1"/>
  <c r="J1793" i="28"/>
  <c r="K1793" i="28" s="1"/>
  <c r="J1794" i="28"/>
  <c r="K1794" i="28" s="1"/>
  <c r="J1795" i="28"/>
  <c r="K1795" i="28" s="1"/>
  <c r="J1796" i="28"/>
  <c r="K1796" i="28" s="1"/>
  <c r="J1797" i="28"/>
  <c r="K1797" i="28" s="1"/>
  <c r="J1798" i="28"/>
  <c r="K1798" i="28" s="1"/>
  <c r="J1799" i="28"/>
  <c r="K1799" i="28" s="1"/>
  <c r="J1800" i="28"/>
  <c r="K1800" i="28" s="1"/>
  <c r="J1801" i="28"/>
  <c r="K1801" i="28" s="1"/>
  <c r="J1802" i="28"/>
  <c r="K1802" i="28" s="1"/>
  <c r="J1803" i="28"/>
  <c r="K1803" i="28" s="1"/>
  <c r="J1804" i="28"/>
  <c r="K1804" i="28" s="1"/>
  <c r="J1805" i="28"/>
  <c r="K1805" i="28" s="1"/>
  <c r="J1806" i="28"/>
  <c r="K1806" i="28" s="1"/>
  <c r="J1807" i="28"/>
  <c r="K1807" i="28" s="1"/>
  <c r="J1808" i="28"/>
  <c r="K1808" i="28" s="1"/>
  <c r="J1809" i="28"/>
  <c r="K1809" i="28" s="1"/>
  <c r="J1810" i="28"/>
  <c r="K1810" i="28" s="1"/>
  <c r="J1811" i="28"/>
  <c r="K1811" i="28" s="1"/>
  <c r="J1812" i="28"/>
  <c r="K1812" i="28" s="1"/>
  <c r="J1813" i="28"/>
  <c r="K1813" i="28" s="1"/>
  <c r="J1814" i="28"/>
  <c r="K1814" i="28" s="1"/>
  <c r="J1815" i="28"/>
  <c r="K1815" i="28" s="1"/>
  <c r="J1816" i="28"/>
  <c r="K1816" i="28" s="1"/>
  <c r="J1817" i="28"/>
  <c r="K1817" i="28" s="1"/>
  <c r="J1818" i="28"/>
  <c r="K1818" i="28" s="1"/>
  <c r="J1819" i="28"/>
  <c r="K1819" i="28" s="1"/>
  <c r="J1820" i="28"/>
  <c r="K1820" i="28" s="1"/>
  <c r="J1821" i="28"/>
  <c r="K1821" i="28" s="1"/>
  <c r="J1822" i="28"/>
  <c r="K1822" i="28" s="1"/>
  <c r="J1823" i="28"/>
  <c r="K1823" i="28" s="1"/>
  <c r="J1824" i="28"/>
  <c r="K1824" i="28" s="1"/>
  <c r="J1825" i="28"/>
  <c r="K1825" i="28" s="1"/>
  <c r="J1826" i="28"/>
  <c r="K1826" i="28" s="1"/>
  <c r="J1827" i="28"/>
  <c r="K1827" i="28" s="1"/>
  <c r="J1828" i="28"/>
  <c r="K1828" i="28" s="1"/>
  <c r="J1829" i="28"/>
  <c r="K1829" i="28" s="1"/>
  <c r="J1830" i="28"/>
  <c r="K1830" i="28" s="1"/>
  <c r="J1831" i="28"/>
  <c r="K1831" i="28" s="1"/>
  <c r="J1832" i="28"/>
  <c r="K1832" i="28" s="1"/>
  <c r="J1833" i="28"/>
  <c r="K1833" i="28" s="1"/>
  <c r="J1834" i="28"/>
  <c r="K1834" i="28" s="1"/>
  <c r="J1835" i="28"/>
  <c r="K1835" i="28" s="1"/>
  <c r="J1836" i="28"/>
  <c r="K1836" i="28" s="1"/>
  <c r="J1837" i="28"/>
  <c r="K1837" i="28" s="1"/>
  <c r="J1838" i="28"/>
  <c r="K1838" i="28" s="1"/>
  <c r="J1839" i="28"/>
  <c r="K1839" i="28" s="1"/>
  <c r="J1840" i="28"/>
  <c r="K1840" i="28" s="1"/>
  <c r="J1841" i="28"/>
  <c r="K1841" i="28" s="1"/>
  <c r="J1842" i="28"/>
  <c r="K1842" i="28" s="1"/>
  <c r="J1843" i="28"/>
  <c r="K1843" i="28" s="1"/>
  <c r="J1844" i="28"/>
  <c r="K1844" i="28" s="1"/>
  <c r="J1845" i="28"/>
  <c r="K1845" i="28" s="1"/>
  <c r="J1846" i="28"/>
  <c r="K1846" i="28" s="1"/>
  <c r="J1847" i="28"/>
  <c r="K1847" i="28" s="1"/>
  <c r="J1848" i="28"/>
  <c r="K1848" i="28" s="1"/>
  <c r="J1849" i="28"/>
  <c r="K1849" i="28" s="1"/>
  <c r="J1850" i="28"/>
  <c r="K1850" i="28" s="1"/>
  <c r="J1851" i="28"/>
  <c r="K1851" i="28" s="1"/>
  <c r="J1852" i="28"/>
  <c r="K1852" i="28" s="1"/>
  <c r="J1853" i="28"/>
  <c r="K1853" i="28" s="1"/>
  <c r="J1854" i="28"/>
  <c r="K1854" i="28" s="1"/>
  <c r="J1855" i="28"/>
  <c r="K1855" i="28" s="1"/>
  <c r="J1856" i="28"/>
  <c r="K1856" i="28" s="1"/>
  <c r="J1857" i="28"/>
  <c r="K1857" i="28" s="1"/>
  <c r="J1858" i="28"/>
  <c r="K1858" i="28" s="1"/>
  <c r="J1859" i="28"/>
  <c r="K1859" i="28" s="1"/>
  <c r="J1860" i="28"/>
  <c r="K1860" i="28" s="1"/>
  <c r="J1861" i="28"/>
  <c r="K1861" i="28" s="1"/>
  <c r="J1862" i="28"/>
  <c r="K1862" i="28" s="1"/>
  <c r="J1863" i="28"/>
  <c r="K1863" i="28" s="1"/>
  <c r="J1864" i="28"/>
  <c r="K1864" i="28" s="1"/>
  <c r="J1865" i="28"/>
  <c r="K1865" i="28" s="1"/>
  <c r="J1866" i="28"/>
  <c r="K1866" i="28" s="1"/>
  <c r="J1867" i="28"/>
  <c r="K1867" i="28" s="1"/>
  <c r="J1868" i="28"/>
  <c r="K1868" i="28" s="1"/>
  <c r="J1869" i="28"/>
  <c r="K1869" i="28" s="1"/>
  <c r="J1870" i="28"/>
  <c r="K1870" i="28" s="1"/>
  <c r="J1871" i="28"/>
  <c r="K1871" i="28" s="1"/>
  <c r="J1872" i="28"/>
  <c r="K1872" i="28" s="1"/>
  <c r="J1873" i="28"/>
  <c r="K1873" i="28" s="1"/>
  <c r="J1874" i="28"/>
  <c r="K1874" i="28" s="1"/>
  <c r="J1875" i="28"/>
  <c r="K1875" i="28" s="1"/>
  <c r="J1876" i="28"/>
  <c r="K1876" i="28" s="1"/>
  <c r="J1877" i="28"/>
  <c r="K1877" i="28" s="1"/>
  <c r="J1878" i="28"/>
  <c r="K1878" i="28" s="1"/>
  <c r="J1879" i="28"/>
  <c r="K1879" i="28" s="1"/>
  <c r="J1880" i="28"/>
  <c r="K1880" i="28" s="1"/>
  <c r="J1881" i="28"/>
  <c r="K1881" i="28" s="1"/>
  <c r="J1882" i="28"/>
  <c r="K1882" i="28" s="1"/>
  <c r="J1883" i="28"/>
  <c r="K1883" i="28" s="1"/>
  <c r="J1884" i="28"/>
  <c r="K1884" i="28" s="1"/>
  <c r="J1885" i="28"/>
  <c r="K1885" i="28" s="1"/>
  <c r="J1886" i="28"/>
  <c r="K1886" i="28" s="1"/>
  <c r="J1887" i="28"/>
  <c r="K1887" i="28" s="1"/>
  <c r="J1888" i="28"/>
  <c r="K1888" i="28" s="1"/>
  <c r="J1889" i="28"/>
  <c r="K1889" i="28" s="1"/>
  <c r="J1890" i="28"/>
  <c r="K1890" i="28" s="1"/>
  <c r="J1891" i="28"/>
  <c r="K1891" i="28" s="1"/>
  <c r="J1892" i="28"/>
  <c r="K1892" i="28" s="1"/>
  <c r="J1893" i="28"/>
  <c r="K1893" i="28" s="1"/>
  <c r="J1894" i="28"/>
  <c r="K1894" i="28" s="1"/>
  <c r="J1895" i="28"/>
  <c r="K1895" i="28" s="1"/>
  <c r="J1896" i="28"/>
  <c r="K1896" i="28" s="1"/>
  <c r="J1897" i="28"/>
  <c r="K1897" i="28" s="1"/>
  <c r="J1898" i="28"/>
  <c r="K1898" i="28" s="1"/>
  <c r="J1899" i="28"/>
  <c r="K1899" i="28" s="1"/>
  <c r="J1900" i="28"/>
  <c r="K1900" i="28" s="1"/>
  <c r="J1901" i="28"/>
  <c r="K1901" i="28" s="1"/>
  <c r="J1902" i="28"/>
  <c r="K1902" i="28" s="1"/>
  <c r="J1903" i="28"/>
  <c r="K1903" i="28" s="1"/>
  <c r="J1904" i="28"/>
  <c r="K1904" i="28" s="1"/>
  <c r="J1905" i="28"/>
  <c r="K1905" i="28" s="1"/>
  <c r="J1906" i="28"/>
  <c r="K1906" i="28" s="1"/>
  <c r="J1907" i="28"/>
  <c r="K1907" i="28" s="1"/>
  <c r="J1908" i="28"/>
  <c r="K1908" i="28" s="1"/>
  <c r="J1909" i="28"/>
  <c r="K1909" i="28" s="1"/>
  <c r="J1910" i="28"/>
  <c r="K1910" i="28" s="1"/>
  <c r="J1911" i="28"/>
  <c r="K1911" i="28" s="1"/>
  <c r="J1912" i="28"/>
  <c r="K1912" i="28" s="1"/>
  <c r="J1913" i="28"/>
  <c r="K1913" i="28" s="1"/>
  <c r="J1914" i="28"/>
  <c r="K1914" i="28" s="1"/>
  <c r="J1915" i="28"/>
  <c r="K1915" i="28" s="1"/>
  <c r="J1916" i="28"/>
  <c r="K1916" i="28" s="1"/>
  <c r="J1917" i="28"/>
  <c r="K1917" i="28" s="1"/>
  <c r="J1918" i="28"/>
  <c r="K1918" i="28" s="1"/>
  <c r="J1919" i="28"/>
  <c r="K1919" i="28" s="1"/>
  <c r="J1920" i="28"/>
  <c r="K1920" i="28" s="1"/>
  <c r="J1921" i="28"/>
  <c r="K1921" i="28" s="1"/>
  <c r="J1922" i="28"/>
  <c r="K1922" i="28" s="1"/>
  <c r="J1923" i="28"/>
  <c r="K1923" i="28" s="1"/>
  <c r="J1924" i="28"/>
  <c r="K1924" i="28" s="1"/>
  <c r="J1925" i="28"/>
  <c r="K1925" i="28" s="1"/>
  <c r="J1926" i="28"/>
  <c r="K1926" i="28" s="1"/>
  <c r="J1927" i="28"/>
  <c r="K1927" i="28" s="1"/>
  <c r="J1928" i="28"/>
  <c r="K1928" i="28" s="1"/>
  <c r="J1929" i="28"/>
  <c r="K1929" i="28" s="1"/>
  <c r="J1930" i="28"/>
  <c r="K1930" i="28" s="1"/>
  <c r="J1931" i="28"/>
  <c r="K1931" i="28" s="1"/>
  <c r="J1932" i="28"/>
  <c r="K1932" i="28" s="1"/>
  <c r="J1933" i="28"/>
  <c r="K1933" i="28" s="1"/>
  <c r="J1934" i="28"/>
  <c r="K1934" i="28" s="1"/>
  <c r="J1935" i="28"/>
  <c r="K1935" i="28" s="1"/>
  <c r="J1936" i="28"/>
  <c r="K1936" i="28" s="1"/>
  <c r="J1937" i="28"/>
  <c r="K1937" i="28" s="1"/>
  <c r="J1938" i="28"/>
  <c r="K1938" i="28" s="1"/>
  <c r="J1939" i="28"/>
  <c r="K1939" i="28" s="1"/>
  <c r="J1940" i="28"/>
  <c r="K1940" i="28" s="1"/>
  <c r="J1941" i="28"/>
  <c r="K1941" i="28" s="1"/>
  <c r="J1942" i="28"/>
  <c r="K1942" i="28" s="1"/>
  <c r="J1943" i="28"/>
  <c r="K1943" i="28" s="1"/>
  <c r="J1944" i="28"/>
  <c r="K1944" i="28" s="1"/>
  <c r="J1945" i="28"/>
  <c r="K1945" i="28" s="1"/>
  <c r="J1946" i="28"/>
  <c r="K1946" i="28" s="1"/>
  <c r="J1947" i="28"/>
  <c r="K1947" i="28" s="1"/>
  <c r="J1948" i="28"/>
  <c r="K1948" i="28" s="1"/>
  <c r="J1949" i="28"/>
  <c r="K1949" i="28" s="1"/>
  <c r="J1950" i="28"/>
  <c r="K1950" i="28" s="1"/>
  <c r="J1951" i="28"/>
  <c r="K1951" i="28" s="1"/>
  <c r="J1952" i="28"/>
  <c r="K1952" i="28" s="1"/>
  <c r="J1953" i="28"/>
  <c r="K1953" i="28" s="1"/>
  <c r="J1954" i="28"/>
  <c r="K1954" i="28" s="1"/>
  <c r="J1955" i="28"/>
  <c r="K1955" i="28" s="1"/>
  <c r="J1956" i="28"/>
  <c r="K1956" i="28" s="1"/>
  <c r="J1957" i="28"/>
  <c r="K1957" i="28" s="1"/>
  <c r="J1958" i="28"/>
  <c r="K1958" i="28" s="1"/>
  <c r="J1959" i="28"/>
  <c r="K1959" i="28" s="1"/>
  <c r="J1960" i="28"/>
  <c r="K1960" i="28" s="1"/>
  <c r="J1961" i="28"/>
  <c r="K1961" i="28" s="1"/>
  <c r="J1962" i="28"/>
  <c r="K1962" i="28" s="1"/>
  <c r="J1963" i="28"/>
  <c r="K1963" i="28" s="1"/>
  <c r="J1964" i="28"/>
  <c r="K1964" i="28" s="1"/>
  <c r="J1965" i="28"/>
  <c r="K1965" i="28" s="1"/>
  <c r="J1966" i="28"/>
  <c r="K1966" i="28" s="1"/>
  <c r="J1967" i="28"/>
  <c r="K1967" i="28" s="1"/>
  <c r="J1968" i="28"/>
  <c r="K1968" i="28" s="1"/>
  <c r="J1969" i="28"/>
  <c r="K1969" i="28" s="1"/>
  <c r="J1970" i="28"/>
  <c r="K1970" i="28" s="1"/>
  <c r="J1971" i="28"/>
  <c r="K1971" i="28" s="1"/>
  <c r="J1972" i="28"/>
  <c r="K1972" i="28" s="1"/>
  <c r="J1973" i="28"/>
  <c r="K1973" i="28" s="1"/>
  <c r="J1974" i="28"/>
  <c r="K1974" i="28" s="1"/>
  <c r="J1975" i="28"/>
  <c r="K1975" i="28" s="1"/>
  <c r="J1976" i="28"/>
  <c r="K1976" i="28" s="1"/>
  <c r="J1977" i="28"/>
  <c r="K1977" i="28" s="1"/>
  <c r="J1978" i="28"/>
  <c r="K1978" i="28" s="1"/>
  <c r="J1979" i="28"/>
  <c r="K1979" i="28" s="1"/>
  <c r="J1980" i="28"/>
  <c r="K1980" i="28" s="1"/>
  <c r="J1981" i="28"/>
  <c r="K1981" i="28" s="1"/>
  <c r="J1982" i="28"/>
  <c r="K1982" i="28" s="1"/>
  <c r="J1983" i="28"/>
  <c r="K1983" i="28" s="1"/>
  <c r="J1984" i="28"/>
  <c r="K1984" i="28" s="1"/>
  <c r="J1985" i="28"/>
  <c r="K1985" i="28" s="1"/>
  <c r="J1986" i="28"/>
  <c r="K1986" i="28" s="1"/>
  <c r="J1987" i="28"/>
  <c r="K1987" i="28" s="1"/>
  <c r="J1988" i="28"/>
  <c r="K1988" i="28" s="1"/>
  <c r="J1989" i="28"/>
  <c r="K1989" i="28" s="1"/>
  <c r="J1990" i="28"/>
  <c r="K1990" i="28" s="1"/>
  <c r="J1991" i="28"/>
  <c r="K1991" i="28" s="1"/>
  <c r="J1992" i="28"/>
  <c r="K1992" i="28" s="1"/>
  <c r="J1993" i="28"/>
  <c r="K1993" i="28" s="1"/>
  <c r="J1994" i="28"/>
  <c r="K1994" i="28" s="1"/>
  <c r="J1995" i="28"/>
  <c r="K1995" i="28" s="1"/>
  <c r="J1996" i="28"/>
  <c r="K1996" i="28" s="1"/>
  <c r="J1997" i="28"/>
  <c r="K1997" i="28" s="1"/>
  <c r="J1998" i="28"/>
  <c r="K1998" i="28" s="1"/>
  <c r="J1999" i="28"/>
  <c r="K1999" i="28" s="1"/>
  <c r="J2000" i="28"/>
  <c r="K2000" i="28" s="1"/>
  <c r="J2001" i="28"/>
  <c r="K2001" i="28" s="1"/>
  <c r="J2002" i="28"/>
  <c r="K2002" i="28" s="1"/>
  <c r="J2003" i="28"/>
  <c r="K2003" i="28" s="1"/>
  <c r="J2004" i="28"/>
  <c r="K2004" i="28" s="1"/>
  <c r="J2005" i="28"/>
  <c r="K2005" i="28" s="1"/>
  <c r="J2006" i="28"/>
  <c r="K2006" i="28" s="1"/>
  <c r="J2007" i="28"/>
  <c r="K2007" i="28" s="1"/>
  <c r="J2008" i="28"/>
  <c r="K2008" i="28" s="1"/>
  <c r="J2009" i="28"/>
  <c r="K2009" i="28" s="1"/>
  <c r="J2010" i="28"/>
  <c r="K2010" i="28" s="1"/>
  <c r="J2011" i="28"/>
  <c r="K2011" i="28" s="1"/>
  <c r="J2012" i="28"/>
  <c r="K2012" i="28" s="1"/>
  <c r="J2013" i="28"/>
  <c r="K2013" i="28" s="1"/>
  <c r="J2014" i="28"/>
  <c r="K2014" i="28" s="1"/>
  <c r="J2015" i="28"/>
  <c r="K2015" i="28" s="1"/>
  <c r="J2016" i="28"/>
  <c r="K2016" i="28" s="1"/>
  <c r="J2017" i="28"/>
  <c r="K2017" i="28" s="1"/>
  <c r="J2018" i="28"/>
  <c r="K2018" i="28" s="1"/>
  <c r="J2019" i="28"/>
  <c r="K2019" i="28" s="1"/>
  <c r="J2020" i="28"/>
  <c r="K2020" i="28" s="1"/>
  <c r="J2021" i="28"/>
  <c r="K2021" i="28" s="1"/>
  <c r="J2022" i="28"/>
  <c r="K2022" i="28" s="1"/>
  <c r="J2023" i="28"/>
  <c r="K2023" i="28" s="1"/>
  <c r="J2024" i="28"/>
  <c r="K2024" i="28" s="1"/>
  <c r="J2025" i="28"/>
  <c r="K2025" i="28" s="1"/>
  <c r="J2026" i="28"/>
  <c r="K2026" i="28" s="1"/>
  <c r="J2027" i="28"/>
  <c r="K2027" i="28" s="1"/>
  <c r="J2028" i="28"/>
  <c r="K2028" i="28" s="1"/>
  <c r="J2029" i="28"/>
  <c r="K2029" i="28" s="1"/>
  <c r="J2030" i="28"/>
  <c r="K2030" i="28" s="1"/>
  <c r="J2031" i="28"/>
  <c r="K2031" i="28" s="1"/>
  <c r="J2032" i="28"/>
  <c r="K2032" i="28" s="1"/>
  <c r="J2033" i="28"/>
  <c r="K2033" i="28" s="1"/>
  <c r="J2034" i="28"/>
  <c r="K2034" i="28" s="1"/>
  <c r="J2035" i="28"/>
  <c r="K2035" i="28" s="1"/>
  <c r="J2036" i="28"/>
  <c r="K2036" i="28" s="1"/>
  <c r="J2037" i="28"/>
  <c r="K2037" i="28" s="1"/>
  <c r="J2038" i="28"/>
  <c r="K2038" i="28" s="1"/>
  <c r="J2039" i="28"/>
  <c r="K2039" i="28" s="1"/>
  <c r="J2040" i="28"/>
  <c r="K2040" i="28" s="1"/>
  <c r="J2041" i="28"/>
  <c r="K2041" i="28" s="1"/>
  <c r="J2042" i="28"/>
  <c r="K2042" i="28" s="1"/>
  <c r="J2043" i="28"/>
  <c r="K2043" i="28" s="1"/>
  <c r="J2044" i="28"/>
  <c r="K2044" i="28" s="1"/>
  <c r="J2045" i="28"/>
  <c r="K2045" i="28" s="1"/>
  <c r="J2046" i="28"/>
  <c r="K2046" i="28" s="1"/>
  <c r="J2047" i="28"/>
  <c r="K2047" i="28" s="1"/>
  <c r="J2048" i="28"/>
  <c r="K2048" i="28" s="1"/>
  <c r="J2049" i="28"/>
  <c r="K2049" i="28" s="1"/>
  <c r="J2050" i="28"/>
  <c r="K2050" i="28" s="1"/>
  <c r="J2051" i="28"/>
  <c r="K2051" i="28" s="1"/>
  <c r="J2052" i="28"/>
  <c r="K2052" i="28" s="1"/>
  <c r="J2053" i="28"/>
  <c r="K2053" i="28" s="1"/>
  <c r="J2054" i="28"/>
  <c r="K2054" i="28" s="1"/>
  <c r="J2055" i="28"/>
  <c r="K2055" i="28" s="1"/>
  <c r="J2056" i="28"/>
  <c r="K2056" i="28" s="1"/>
  <c r="J2057" i="28"/>
  <c r="K2057" i="28" s="1"/>
  <c r="J2058" i="28"/>
  <c r="K2058" i="28" s="1"/>
  <c r="J2059" i="28"/>
  <c r="K2059" i="28" s="1"/>
  <c r="J2060" i="28"/>
  <c r="K2060" i="28" s="1"/>
  <c r="J2061" i="28"/>
  <c r="K2061" i="28" s="1"/>
  <c r="J2062" i="28"/>
  <c r="K2062" i="28" s="1"/>
  <c r="J2063" i="28"/>
  <c r="K2063" i="28" s="1"/>
  <c r="J2064" i="28"/>
  <c r="K2064" i="28" s="1"/>
  <c r="J2065" i="28"/>
  <c r="K2065" i="28" s="1"/>
  <c r="J2066" i="28"/>
  <c r="K2066" i="28" s="1"/>
  <c r="J2067" i="28"/>
  <c r="K2067" i="28" s="1"/>
  <c r="J2068" i="28"/>
  <c r="K2068" i="28" s="1"/>
  <c r="J2069" i="28"/>
  <c r="K2069" i="28" s="1"/>
  <c r="J2070" i="28"/>
  <c r="K2070" i="28" s="1"/>
  <c r="J2071" i="28"/>
  <c r="K2071" i="28" s="1"/>
  <c r="J2072" i="28"/>
  <c r="K2072" i="28" s="1"/>
  <c r="J2073" i="28"/>
  <c r="K2073" i="28" s="1"/>
  <c r="J2074" i="28"/>
  <c r="K2074" i="28" s="1"/>
  <c r="J2075" i="28"/>
  <c r="K2075" i="28" s="1"/>
  <c r="J2076" i="28"/>
  <c r="K2076" i="28" s="1"/>
  <c r="J2077" i="28"/>
  <c r="K2077" i="28" s="1"/>
  <c r="J2078" i="28"/>
  <c r="K2078" i="28" s="1"/>
  <c r="J2079" i="28"/>
  <c r="K2079" i="28" s="1"/>
  <c r="J2080" i="28"/>
  <c r="K2080" i="28" s="1"/>
  <c r="J2081" i="28"/>
  <c r="K2081" i="28" s="1"/>
  <c r="J2082" i="28"/>
  <c r="K2082" i="28" s="1"/>
  <c r="J2083" i="28"/>
  <c r="K2083" i="28" s="1"/>
  <c r="J2084" i="28"/>
  <c r="K2084" i="28" s="1"/>
  <c r="J2085" i="28"/>
  <c r="K2085" i="28" s="1"/>
  <c r="J2086" i="28"/>
  <c r="K2086" i="28" s="1"/>
  <c r="J2087" i="28"/>
  <c r="K2087" i="28" s="1"/>
  <c r="J2088" i="28"/>
  <c r="K2088" i="28" s="1"/>
  <c r="J2089" i="28"/>
  <c r="K2089" i="28" s="1"/>
  <c r="J2090" i="28"/>
  <c r="K2090" i="28" s="1"/>
  <c r="J2091" i="28"/>
  <c r="K2091" i="28" s="1"/>
  <c r="J2092" i="28"/>
  <c r="K2092" i="28" s="1"/>
  <c r="J2093" i="28"/>
  <c r="K2093" i="28" s="1"/>
  <c r="J2094" i="28"/>
  <c r="K2094" i="28" s="1"/>
  <c r="J2095" i="28"/>
  <c r="K2095" i="28" s="1"/>
  <c r="J2096" i="28"/>
  <c r="K2096" i="28" s="1"/>
  <c r="J2097" i="28"/>
  <c r="K2097" i="28" s="1"/>
  <c r="J2098" i="28"/>
  <c r="K2098" i="28" s="1"/>
  <c r="J2099" i="28"/>
  <c r="K2099" i="28" s="1"/>
  <c r="J2100" i="28"/>
  <c r="K2100" i="28" s="1"/>
  <c r="J2101" i="28"/>
  <c r="K2101" i="28" s="1"/>
  <c r="J2102" i="28"/>
  <c r="K2102" i="28" s="1"/>
  <c r="J2103" i="28"/>
  <c r="K2103" i="28" s="1"/>
  <c r="J2104" i="28"/>
  <c r="K2104" i="28" s="1"/>
  <c r="J2105" i="28"/>
  <c r="K2105" i="28" s="1"/>
  <c r="J2106" i="28"/>
  <c r="K2106" i="28" s="1"/>
  <c r="J2107" i="28"/>
  <c r="K2107" i="28" s="1"/>
  <c r="J2108" i="28"/>
  <c r="K2108" i="28" s="1"/>
  <c r="J2109" i="28"/>
  <c r="K2109" i="28" s="1"/>
  <c r="J2110" i="28"/>
  <c r="K2110" i="28" s="1"/>
  <c r="J2111" i="28"/>
  <c r="K2111" i="28" s="1"/>
  <c r="J2112" i="28"/>
  <c r="K2112" i="28" s="1"/>
  <c r="J2113" i="28"/>
  <c r="K2113" i="28" s="1"/>
  <c r="J2114" i="28"/>
  <c r="K2114" i="28" s="1"/>
  <c r="J2115" i="28"/>
  <c r="K2115" i="28" s="1"/>
  <c r="J2116" i="28"/>
  <c r="K2116" i="28" s="1"/>
  <c r="J2117" i="28"/>
  <c r="K2117" i="28" s="1"/>
  <c r="J2118" i="28"/>
  <c r="K2118" i="28" s="1"/>
  <c r="J2119" i="28"/>
  <c r="K2119" i="28" s="1"/>
  <c r="J2120" i="28"/>
  <c r="K2120" i="28" s="1"/>
  <c r="J2121" i="28"/>
  <c r="K2121" i="28" s="1"/>
  <c r="J2122" i="28"/>
  <c r="K2122" i="28" s="1"/>
  <c r="J2123" i="28"/>
  <c r="K2123" i="28" s="1"/>
  <c r="J2124" i="28"/>
  <c r="K2124" i="28" s="1"/>
  <c r="J2125" i="28"/>
  <c r="K2125" i="28" s="1"/>
  <c r="J2126" i="28"/>
  <c r="K2126" i="28" s="1"/>
  <c r="J2127" i="28"/>
  <c r="K2127" i="28" s="1"/>
  <c r="J2128" i="28"/>
  <c r="K2128" i="28" s="1"/>
  <c r="J2129" i="28"/>
  <c r="K2129" i="28" s="1"/>
  <c r="J2130" i="28"/>
  <c r="K2130" i="28" s="1"/>
  <c r="J2131" i="28"/>
  <c r="K2131" i="28" s="1"/>
  <c r="J2132" i="28"/>
  <c r="K2132" i="28" s="1"/>
  <c r="J2133" i="28"/>
  <c r="K2133" i="28" s="1"/>
  <c r="J2134" i="28"/>
  <c r="K2134" i="28" s="1"/>
  <c r="J2135" i="28"/>
  <c r="K2135" i="28" s="1"/>
  <c r="J2136" i="28"/>
  <c r="K2136" i="28" s="1"/>
  <c r="J2137" i="28"/>
  <c r="K2137" i="28" s="1"/>
  <c r="J2138" i="28"/>
  <c r="K2138" i="28" s="1"/>
  <c r="J2139" i="28"/>
  <c r="K2139" i="28" s="1"/>
  <c r="J2140" i="28"/>
  <c r="K2140" i="28" s="1"/>
  <c r="J2141" i="28"/>
  <c r="K2141" i="28" s="1"/>
  <c r="J2142" i="28"/>
  <c r="K2142" i="28" s="1"/>
  <c r="J2143" i="28"/>
  <c r="K2143" i="28" s="1"/>
  <c r="J2144" i="28"/>
  <c r="K2144" i="28" s="1"/>
  <c r="J2145" i="28"/>
  <c r="K2145" i="28" s="1"/>
  <c r="J2146" i="28"/>
  <c r="K2146" i="28" s="1"/>
  <c r="J2147" i="28"/>
  <c r="K2147" i="28" s="1"/>
  <c r="J2148" i="28"/>
  <c r="K2148" i="28" s="1"/>
  <c r="J2149" i="28"/>
  <c r="K2149" i="28" s="1"/>
  <c r="J2150" i="28"/>
  <c r="K2150" i="28" s="1"/>
  <c r="J2151" i="28"/>
  <c r="K2151" i="28" s="1"/>
  <c r="J2152" i="28"/>
  <c r="K2152" i="28" s="1"/>
  <c r="J2153" i="28"/>
  <c r="K2153" i="28" s="1"/>
  <c r="J2154" i="28"/>
  <c r="K2154" i="28" s="1"/>
  <c r="J2155" i="28"/>
  <c r="K2155" i="28" s="1"/>
  <c r="J2156" i="28"/>
  <c r="K2156" i="28" s="1"/>
  <c r="J2157" i="28"/>
  <c r="K2157" i="28" s="1"/>
  <c r="J2158" i="28"/>
  <c r="K2158" i="28" s="1"/>
  <c r="J2159" i="28"/>
  <c r="K2159" i="28" s="1"/>
  <c r="J2160" i="28"/>
  <c r="K2160" i="28" s="1"/>
  <c r="J2161" i="28"/>
  <c r="K2161" i="28" s="1"/>
  <c r="J2162" i="28"/>
  <c r="K2162" i="28" s="1"/>
  <c r="J2163" i="28"/>
  <c r="K2163" i="28" s="1"/>
  <c r="J2164" i="28"/>
  <c r="K2164" i="28" s="1"/>
  <c r="J2165" i="28"/>
  <c r="K2165" i="28" s="1"/>
  <c r="J2166" i="28"/>
  <c r="K2166" i="28" s="1"/>
  <c r="J2167" i="28"/>
  <c r="K2167" i="28" s="1"/>
  <c r="J2168" i="28"/>
  <c r="K2168" i="28" s="1"/>
  <c r="J2169" i="28"/>
  <c r="K2169" i="28" s="1"/>
  <c r="J2170" i="28"/>
  <c r="K2170" i="28" s="1"/>
  <c r="J2171" i="28"/>
  <c r="K2171" i="28" s="1"/>
  <c r="J2172" i="28"/>
  <c r="K2172" i="28" s="1"/>
  <c r="J2173" i="28"/>
  <c r="K2173" i="28" s="1"/>
  <c r="J2174" i="28"/>
  <c r="K2174" i="28" s="1"/>
  <c r="J2175" i="28"/>
  <c r="K2175" i="28" s="1"/>
  <c r="J2176" i="28"/>
  <c r="K2176" i="28" s="1"/>
  <c r="J2177" i="28"/>
  <c r="K2177" i="28" s="1"/>
  <c r="J2178" i="28"/>
  <c r="K2178" i="28" s="1"/>
  <c r="J2179" i="28"/>
  <c r="K2179" i="28" s="1"/>
  <c r="J2180" i="28"/>
  <c r="K2180" i="28" s="1"/>
  <c r="J2181" i="28"/>
  <c r="K2181" i="28" s="1"/>
  <c r="J2182" i="28"/>
  <c r="K2182" i="28" s="1"/>
  <c r="J2183" i="28"/>
  <c r="K2183" i="28" s="1"/>
  <c r="J2184" i="28"/>
  <c r="K2184" i="28" s="1"/>
  <c r="J2185" i="28"/>
  <c r="K2185" i="28" s="1"/>
  <c r="J2186" i="28"/>
  <c r="K2186" i="28" s="1"/>
  <c r="J2187" i="28"/>
  <c r="K2187" i="28" s="1"/>
  <c r="J2188" i="28"/>
  <c r="K2188" i="28" s="1"/>
  <c r="J2189" i="28"/>
  <c r="K2189" i="28" s="1"/>
  <c r="J2190" i="28"/>
  <c r="K2190" i="28" s="1"/>
  <c r="J2191" i="28"/>
  <c r="K2191" i="28" s="1"/>
  <c r="J2192" i="28"/>
  <c r="K2192" i="28" s="1"/>
  <c r="J2193" i="28"/>
  <c r="K2193" i="28" s="1"/>
  <c r="J2194" i="28"/>
  <c r="K2194" i="28" s="1"/>
  <c r="J2195" i="28"/>
  <c r="K2195" i="28" s="1"/>
  <c r="J2196" i="28"/>
  <c r="K2196" i="28" s="1"/>
  <c r="J2197" i="28"/>
  <c r="K2197" i="28" s="1"/>
  <c r="J2198" i="28"/>
  <c r="K2198" i="28" s="1"/>
  <c r="J2199" i="28"/>
  <c r="K2199" i="28" s="1"/>
  <c r="J2200" i="28"/>
  <c r="K2200" i="28" s="1"/>
  <c r="J2201" i="28"/>
  <c r="K2201" i="28" s="1"/>
  <c r="J2202" i="28"/>
  <c r="K2202" i="28" s="1"/>
  <c r="J2203" i="28"/>
  <c r="K2203" i="28" s="1"/>
  <c r="J2204" i="28"/>
  <c r="K2204" i="28" s="1"/>
  <c r="J2205" i="28"/>
  <c r="K2205" i="28" s="1"/>
  <c r="J2206" i="28"/>
  <c r="K2206" i="28" s="1"/>
  <c r="J2207" i="28"/>
  <c r="K2207" i="28" s="1"/>
  <c r="J2208" i="28"/>
  <c r="K2208" i="28" s="1"/>
  <c r="J2209" i="28"/>
  <c r="K2209" i="28" s="1"/>
  <c r="J2210" i="28"/>
  <c r="K2210" i="28" s="1"/>
  <c r="J2211" i="28"/>
  <c r="K2211" i="28" s="1"/>
  <c r="J2212" i="28"/>
  <c r="K2212" i="28" s="1"/>
  <c r="J2213" i="28"/>
  <c r="K2213" i="28" s="1"/>
  <c r="J2214" i="28"/>
  <c r="K2214" i="28" s="1"/>
  <c r="J2215" i="28"/>
  <c r="K2215" i="28" s="1"/>
  <c r="J2216" i="28"/>
  <c r="K2216" i="28" s="1"/>
  <c r="J2217" i="28"/>
  <c r="K2217" i="28" s="1"/>
  <c r="J2218" i="28"/>
  <c r="K2218" i="28" s="1"/>
  <c r="J2219" i="28"/>
  <c r="K2219" i="28" s="1"/>
  <c r="J2220" i="28"/>
  <c r="K2220" i="28" s="1"/>
  <c r="J2221" i="28"/>
  <c r="K2221" i="28" s="1"/>
  <c r="J2222" i="28"/>
  <c r="K2222" i="28" s="1"/>
  <c r="J2223" i="28"/>
  <c r="K2223" i="28" s="1"/>
  <c r="J2224" i="28"/>
  <c r="K2224" i="28" s="1"/>
  <c r="J2225" i="28"/>
  <c r="K2225" i="28" s="1"/>
  <c r="J2226" i="28"/>
  <c r="K2226" i="28" s="1"/>
  <c r="J2227" i="28"/>
  <c r="K2227" i="28" s="1"/>
  <c r="J2228" i="28"/>
  <c r="K2228" i="28" s="1"/>
  <c r="J2229" i="28"/>
  <c r="K2229" i="28" s="1"/>
  <c r="J2230" i="28"/>
  <c r="K2230" i="28" s="1"/>
  <c r="J2231" i="28"/>
  <c r="K2231" i="28" s="1"/>
  <c r="J2232" i="28"/>
  <c r="K2232" i="28" s="1"/>
  <c r="J2233" i="28"/>
  <c r="K2233" i="28" s="1"/>
  <c r="J2234" i="28"/>
  <c r="K2234" i="28" s="1"/>
  <c r="J2235" i="28"/>
  <c r="K2235" i="28" s="1"/>
  <c r="J2236" i="28"/>
  <c r="K2236" i="28" s="1"/>
  <c r="J2237" i="28"/>
  <c r="K2237" i="28" s="1"/>
  <c r="J2238" i="28"/>
  <c r="K2238" i="28" s="1"/>
  <c r="J2239" i="28"/>
  <c r="K2239" i="28" s="1"/>
  <c r="J2240" i="28"/>
  <c r="K2240" i="28" s="1"/>
  <c r="J2241" i="28"/>
  <c r="K2241" i="28" s="1"/>
  <c r="J2242" i="28"/>
  <c r="K2242" i="28" s="1"/>
  <c r="J2243" i="28"/>
  <c r="K2243" i="28" s="1"/>
  <c r="J2244" i="28"/>
  <c r="K2244" i="28" s="1"/>
  <c r="J2245" i="28"/>
  <c r="K2245" i="28" s="1"/>
  <c r="J2246" i="28"/>
  <c r="K2246" i="28" s="1"/>
  <c r="J2247" i="28"/>
  <c r="K2247" i="28" s="1"/>
  <c r="J2248" i="28"/>
  <c r="K2248" i="28" s="1"/>
  <c r="J2249" i="28"/>
  <c r="K2249" i="28" s="1"/>
  <c r="J2250" i="28"/>
  <c r="K2250" i="28" s="1"/>
  <c r="J2251" i="28"/>
  <c r="K2251" i="28" s="1"/>
  <c r="J2252" i="28"/>
  <c r="K2252" i="28" s="1"/>
  <c r="J2253" i="28"/>
  <c r="K2253" i="28" s="1"/>
  <c r="J2254" i="28"/>
  <c r="K2254" i="28" s="1"/>
  <c r="J2255" i="28"/>
  <c r="K2255" i="28" s="1"/>
  <c r="J2256" i="28"/>
  <c r="K2256" i="28" s="1"/>
  <c r="J2257" i="28"/>
  <c r="K2257" i="28" s="1"/>
  <c r="J2258" i="28"/>
  <c r="K2258" i="28" s="1"/>
  <c r="J2259" i="28"/>
  <c r="K2259" i="28" s="1"/>
  <c r="J2260" i="28"/>
  <c r="K2260" i="28" s="1"/>
  <c r="J2261" i="28"/>
  <c r="K2261" i="28" s="1"/>
  <c r="J2262" i="28"/>
  <c r="K2262" i="28" s="1"/>
  <c r="J2263" i="28"/>
  <c r="K2263" i="28" s="1"/>
  <c r="J2264" i="28"/>
  <c r="K2264" i="28" s="1"/>
  <c r="J2265" i="28"/>
  <c r="K2265" i="28" s="1"/>
  <c r="J2266" i="28"/>
  <c r="K2266" i="28" s="1"/>
  <c r="J2267" i="28"/>
  <c r="K2267" i="28" s="1"/>
  <c r="J2268" i="28"/>
  <c r="K2268" i="28" s="1"/>
  <c r="J2269" i="28"/>
  <c r="K2269" i="28" s="1"/>
  <c r="J2270" i="28"/>
  <c r="K2270" i="28" s="1"/>
  <c r="J2271" i="28"/>
  <c r="K2271" i="28" s="1"/>
  <c r="J2272" i="28"/>
  <c r="K2272" i="28" s="1"/>
  <c r="J2273" i="28"/>
  <c r="K2273" i="28" s="1"/>
  <c r="J2274" i="28"/>
  <c r="K2274" i="28" s="1"/>
  <c r="J2275" i="28"/>
  <c r="K2275" i="28" s="1"/>
  <c r="J2276" i="28"/>
  <c r="K2276" i="28" s="1"/>
  <c r="J2277" i="28"/>
  <c r="K2277" i="28" s="1"/>
  <c r="J2278" i="28"/>
  <c r="K2278" i="28" s="1"/>
  <c r="J2279" i="28"/>
  <c r="K2279" i="28" s="1"/>
  <c r="J2280" i="28"/>
  <c r="K2280" i="28" s="1"/>
  <c r="J2281" i="28"/>
  <c r="K2281" i="28" s="1"/>
  <c r="J2282" i="28"/>
  <c r="K2282" i="28" s="1"/>
  <c r="J2283" i="28"/>
  <c r="K2283" i="28" s="1"/>
  <c r="J2284" i="28"/>
  <c r="K2284" i="28" s="1"/>
  <c r="J2285" i="28"/>
  <c r="K2285" i="28" s="1"/>
  <c r="J2286" i="28"/>
  <c r="K2286" i="28" s="1"/>
  <c r="J2287" i="28"/>
  <c r="K2287" i="28" s="1"/>
  <c r="J2288" i="28"/>
  <c r="K2288" i="28" s="1"/>
  <c r="J2289" i="28"/>
  <c r="K2289" i="28" s="1"/>
  <c r="J2290" i="28"/>
  <c r="K2290" i="28" s="1"/>
  <c r="J2291" i="28"/>
  <c r="K2291" i="28" s="1"/>
  <c r="J2292" i="28"/>
  <c r="K2292" i="28" s="1"/>
  <c r="J2293" i="28"/>
  <c r="K2293" i="28" s="1"/>
  <c r="J2294" i="28"/>
  <c r="K2294" i="28" s="1"/>
  <c r="J2295" i="28"/>
  <c r="K2295" i="28" s="1"/>
  <c r="J2296" i="28"/>
  <c r="K2296" i="28" s="1"/>
  <c r="J2297" i="28"/>
  <c r="K2297" i="28" s="1"/>
  <c r="J2298" i="28"/>
  <c r="K2298" i="28" s="1"/>
  <c r="J2299" i="28"/>
  <c r="K2299" i="28" s="1"/>
  <c r="J2300" i="28"/>
  <c r="K2300" i="28" s="1"/>
  <c r="J2301" i="28"/>
  <c r="K2301" i="28" s="1"/>
  <c r="J2302" i="28"/>
  <c r="K2302" i="28" s="1"/>
  <c r="J2303" i="28"/>
  <c r="K2303" i="28" s="1"/>
  <c r="J2304" i="28"/>
  <c r="K2304" i="28" s="1"/>
  <c r="J2305" i="28"/>
  <c r="K2305" i="28" s="1"/>
  <c r="J2306" i="28"/>
  <c r="K2306" i="28" s="1"/>
  <c r="J2307" i="28"/>
  <c r="K2307" i="28" s="1"/>
  <c r="J2308" i="28"/>
  <c r="K2308" i="28" s="1"/>
  <c r="J2309" i="28"/>
  <c r="K2309" i="28" s="1"/>
  <c r="J2310" i="28"/>
  <c r="K2310" i="28" s="1"/>
  <c r="J2311" i="28"/>
  <c r="K2311" i="28" s="1"/>
  <c r="J2312" i="28"/>
  <c r="K2312" i="28" s="1"/>
  <c r="J2313" i="28"/>
  <c r="K2313" i="28" s="1"/>
  <c r="J2314" i="28"/>
  <c r="K2314" i="28" s="1"/>
  <c r="J2315" i="28"/>
  <c r="K2315" i="28" s="1"/>
  <c r="J2316" i="28"/>
  <c r="K2316" i="28" s="1"/>
  <c r="J2317" i="28"/>
  <c r="K2317" i="28" s="1"/>
  <c r="J2318" i="28"/>
  <c r="K2318" i="28" s="1"/>
  <c r="J2319" i="28"/>
  <c r="K2319" i="28" s="1"/>
  <c r="J2320" i="28"/>
  <c r="K2320" i="28" s="1"/>
  <c r="J2321" i="28"/>
  <c r="K2321" i="28" s="1"/>
  <c r="J2322" i="28"/>
  <c r="K2322" i="28" s="1"/>
  <c r="J2323" i="28"/>
  <c r="K2323" i="28" s="1"/>
  <c r="J2324" i="28"/>
  <c r="K2324" i="28" s="1"/>
  <c r="J2325" i="28"/>
  <c r="K2325" i="28" s="1"/>
  <c r="J2326" i="28"/>
  <c r="K2326" i="28" s="1"/>
  <c r="J2327" i="28"/>
  <c r="K2327" i="28" s="1"/>
  <c r="J2328" i="28"/>
  <c r="K2328" i="28" s="1"/>
  <c r="J2329" i="28"/>
  <c r="K2329" i="28" s="1"/>
  <c r="J2330" i="28"/>
  <c r="K2330" i="28" s="1"/>
  <c r="J2331" i="28"/>
  <c r="K2331" i="28" s="1"/>
  <c r="J2332" i="28"/>
  <c r="K2332" i="28" s="1"/>
  <c r="J2333" i="28"/>
  <c r="K2333" i="28" s="1"/>
  <c r="J2334" i="28"/>
  <c r="K2334" i="28" s="1"/>
  <c r="J2335" i="28"/>
  <c r="K2335" i="28" s="1"/>
  <c r="J2336" i="28"/>
  <c r="K2336" i="28" s="1"/>
  <c r="J2337" i="28"/>
  <c r="K2337" i="28" s="1"/>
  <c r="J2338" i="28"/>
  <c r="K2338" i="28" s="1"/>
  <c r="J2339" i="28"/>
  <c r="K2339" i="28" s="1"/>
  <c r="J2340" i="28"/>
  <c r="K2340" i="28" s="1"/>
  <c r="J2341" i="28"/>
  <c r="K2341" i="28" s="1"/>
  <c r="J2342" i="28"/>
  <c r="K2342" i="28" s="1"/>
  <c r="J2343" i="28"/>
  <c r="K2343" i="28" s="1"/>
  <c r="J2344" i="28"/>
  <c r="K2344" i="28" s="1"/>
  <c r="J2345" i="28"/>
  <c r="K2345" i="28" s="1"/>
  <c r="J2346" i="28"/>
  <c r="K2346" i="28" s="1"/>
  <c r="J2347" i="28"/>
  <c r="K2347" i="28" s="1"/>
  <c r="J2348" i="28"/>
  <c r="K2348" i="28" s="1"/>
  <c r="J2349" i="28"/>
  <c r="K2349" i="28" s="1"/>
  <c r="J2350" i="28"/>
  <c r="K2350" i="28" s="1"/>
  <c r="J2351" i="28"/>
  <c r="K2351" i="28" s="1"/>
  <c r="J2352" i="28"/>
  <c r="K2352" i="28" s="1"/>
  <c r="J2353" i="28"/>
  <c r="K2353" i="28" s="1"/>
  <c r="J2354" i="28"/>
  <c r="K2354" i="28" s="1"/>
  <c r="J2355" i="28"/>
  <c r="K2355" i="28" s="1"/>
  <c r="J2356" i="28"/>
  <c r="K2356" i="28" s="1"/>
  <c r="J2357" i="28"/>
  <c r="K2357" i="28" s="1"/>
  <c r="J2358" i="28"/>
  <c r="K2358" i="28" s="1"/>
  <c r="J2359" i="28"/>
  <c r="K2359" i="28" s="1"/>
  <c r="J2360" i="28"/>
  <c r="K2360" i="28" s="1"/>
  <c r="J2361" i="28"/>
  <c r="K2361" i="28" s="1"/>
  <c r="J2362" i="28"/>
  <c r="K2362" i="28" s="1"/>
  <c r="J2363" i="28"/>
  <c r="K2363" i="28" s="1"/>
  <c r="J2364" i="28"/>
  <c r="K2364" i="28" s="1"/>
  <c r="J2365" i="28"/>
  <c r="K2365" i="28" s="1"/>
  <c r="J2366" i="28"/>
  <c r="K2366" i="28" s="1"/>
  <c r="J2367" i="28"/>
  <c r="K2367" i="28" s="1"/>
  <c r="J2368" i="28"/>
  <c r="K2368" i="28" s="1"/>
  <c r="J2369" i="28"/>
  <c r="K2369" i="28" s="1"/>
  <c r="J2370" i="28"/>
  <c r="K2370" i="28" s="1"/>
  <c r="J2371" i="28"/>
  <c r="K2371" i="28" s="1"/>
  <c r="J2372" i="28"/>
  <c r="K2372" i="28" s="1"/>
  <c r="J2373" i="28"/>
  <c r="K2373" i="28" s="1"/>
  <c r="J2374" i="28"/>
  <c r="K2374" i="28" s="1"/>
  <c r="J2375" i="28"/>
  <c r="K2375" i="28" s="1"/>
  <c r="J2376" i="28"/>
  <c r="K2376" i="28" s="1"/>
  <c r="J2377" i="28"/>
  <c r="K2377" i="28" s="1"/>
  <c r="J2378" i="28"/>
  <c r="K2378" i="28" s="1"/>
  <c r="J2379" i="28"/>
  <c r="K2379" i="28" s="1"/>
  <c r="J2380" i="28"/>
  <c r="K2380" i="28" s="1"/>
  <c r="J2381" i="28"/>
  <c r="K2381" i="28" s="1"/>
  <c r="J2382" i="28"/>
  <c r="K2382" i="28" s="1"/>
  <c r="J2383" i="28"/>
  <c r="K2383" i="28" s="1"/>
  <c r="J2384" i="28"/>
  <c r="K2384" i="28" s="1"/>
  <c r="J2385" i="28"/>
  <c r="K2385" i="28" s="1"/>
  <c r="J2386" i="28"/>
  <c r="K2386" i="28" s="1"/>
  <c r="J2387" i="28"/>
  <c r="K2387" i="28" s="1"/>
  <c r="J2388" i="28"/>
  <c r="K2388" i="28" s="1"/>
  <c r="J2389" i="28"/>
  <c r="K2389" i="28" s="1"/>
  <c r="J2390" i="28"/>
  <c r="K2390" i="28" s="1"/>
  <c r="J2391" i="28"/>
  <c r="K2391" i="28" s="1"/>
  <c r="J2392" i="28"/>
  <c r="K2392" i="28" s="1"/>
  <c r="J2393" i="28"/>
  <c r="K2393" i="28" s="1"/>
  <c r="J2394" i="28"/>
  <c r="K2394" i="28" s="1"/>
  <c r="J2395" i="28"/>
  <c r="K2395" i="28" s="1"/>
  <c r="J2396" i="28"/>
  <c r="K2396" i="28" s="1"/>
  <c r="J2397" i="28"/>
  <c r="K2397" i="28" s="1"/>
  <c r="J2398" i="28"/>
  <c r="K2398" i="28" s="1"/>
  <c r="J2399" i="28"/>
  <c r="K2399" i="28" s="1"/>
  <c r="J2400" i="28"/>
  <c r="K2400" i="28" s="1"/>
  <c r="J2401" i="28"/>
  <c r="K2401" i="28" s="1"/>
  <c r="J2402" i="28"/>
  <c r="K2402" i="28" s="1"/>
  <c r="J2403" i="28"/>
  <c r="K2403" i="28" s="1"/>
  <c r="J2404" i="28"/>
  <c r="K2404" i="28" s="1"/>
  <c r="J2405" i="28"/>
  <c r="K2405" i="28" s="1"/>
  <c r="J2406" i="28"/>
  <c r="K2406" i="28" s="1"/>
  <c r="J2407" i="28"/>
  <c r="K2407" i="28" s="1"/>
  <c r="J2408" i="28"/>
  <c r="K2408" i="28" s="1"/>
  <c r="J2409" i="28"/>
  <c r="K2409" i="28" s="1"/>
  <c r="J2410" i="28"/>
  <c r="K2410" i="28" s="1"/>
  <c r="J2411" i="28"/>
  <c r="K2411" i="28" s="1"/>
  <c r="J2412" i="28"/>
  <c r="K2412" i="28" s="1"/>
  <c r="J2413" i="28"/>
  <c r="K2413" i="28" s="1"/>
  <c r="J2414" i="28"/>
  <c r="K2414" i="28" s="1"/>
  <c r="J2415" i="28"/>
  <c r="K2415" i="28" s="1"/>
  <c r="J2416" i="28"/>
  <c r="K2416" i="28" s="1"/>
  <c r="J2417" i="28"/>
  <c r="K2417" i="28" s="1"/>
  <c r="J2418" i="28"/>
  <c r="K2418" i="28" s="1"/>
  <c r="J2419" i="28"/>
  <c r="K2419" i="28" s="1"/>
  <c r="J2420" i="28"/>
  <c r="K2420" i="28" s="1"/>
  <c r="J2421" i="28"/>
  <c r="K2421" i="28" s="1"/>
  <c r="J2422" i="28"/>
  <c r="K2422" i="28" s="1"/>
  <c r="J2423" i="28"/>
  <c r="K2423" i="28" s="1"/>
  <c r="J2424" i="28"/>
  <c r="K2424" i="28" s="1"/>
  <c r="J2425" i="28"/>
  <c r="K2425" i="28" s="1"/>
  <c r="J2426" i="28"/>
  <c r="K2426" i="28" s="1"/>
  <c r="J2427" i="28"/>
  <c r="K2427" i="28" s="1"/>
  <c r="J2428" i="28"/>
  <c r="K2428" i="28" s="1"/>
  <c r="J2429" i="28"/>
  <c r="K2429" i="28" s="1"/>
  <c r="J2430" i="28"/>
  <c r="K2430" i="28" s="1"/>
  <c r="J2431" i="28"/>
  <c r="K2431" i="28" s="1"/>
  <c r="J2432" i="28"/>
  <c r="K2432" i="28" s="1"/>
  <c r="J2433" i="28"/>
  <c r="K2433" i="28" s="1"/>
  <c r="J2434" i="28"/>
  <c r="K2434" i="28" s="1"/>
  <c r="J2435" i="28"/>
  <c r="K2435" i="28" s="1"/>
  <c r="J2436" i="28"/>
  <c r="K2436" i="28" s="1"/>
  <c r="J2437" i="28"/>
  <c r="K2437" i="28" s="1"/>
  <c r="J2438" i="28"/>
  <c r="K2438" i="28" s="1"/>
  <c r="J2439" i="28"/>
  <c r="K2439" i="28" s="1"/>
  <c r="J2440" i="28"/>
  <c r="K2440" i="28" s="1"/>
  <c r="J2441" i="28"/>
  <c r="K2441" i="28" s="1"/>
  <c r="J2442" i="28"/>
  <c r="K2442" i="28" s="1"/>
  <c r="J2443" i="28"/>
  <c r="K2443" i="28" s="1"/>
  <c r="J2444" i="28"/>
  <c r="K2444" i="28" s="1"/>
  <c r="J2445" i="28"/>
  <c r="K2445" i="28" s="1"/>
  <c r="J2446" i="28"/>
  <c r="K2446" i="28" s="1"/>
  <c r="J2447" i="28"/>
  <c r="K2447" i="28" s="1"/>
  <c r="J2448" i="28"/>
  <c r="K2448" i="28" s="1"/>
  <c r="J2449" i="28"/>
  <c r="K2449" i="28" s="1"/>
  <c r="J2450" i="28"/>
  <c r="K2450" i="28" s="1"/>
  <c r="J2451" i="28"/>
  <c r="K2451" i="28" s="1"/>
  <c r="J2452" i="28"/>
  <c r="K2452" i="28" s="1"/>
  <c r="J2453" i="28"/>
  <c r="K2453" i="28" s="1"/>
  <c r="J2454" i="28"/>
  <c r="K2454" i="28" s="1"/>
  <c r="J2455" i="28"/>
  <c r="K2455" i="28" s="1"/>
  <c r="J2456" i="28"/>
  <c r="K2456" i="28" s="1"/>
  <c r="J2457" i="28"/>
  <c r="K2457" i="28" s="1"/>
  <c r="J2458" i="28"/>
  <c r="K2458" i="28" s="1"/>
  <c r="J2459" i="28"/>
  <c r="K2459" i="28" s="1"/>
  <c r="J2460" i="28"/>
  <c r="K2460" i="28" s="1"/>
  <c r="J2461" i="28"/>
  <c r="K2461" i="28" s="1"/>
  <c r="J2462" i="28"/>
  <c r="K2462" i="28" s="1"/>
  <c r="J2463" i="28"/>
  <c r="K2463" i="28" s="1"/>
  <c r="J2464" i="28"/>
  <c r="K2464" i="28" s="1"/>
  <c r="J2465" i="28"/>
  <c r="K2465" i="28" s="1"/>
  <c r="J2466" i="28"/>
  <c r="K2466" i="28" s="1"/>
  <c r="J2467" i="28"/>
  <c r="K2467" i="28" s="1"/>
  <c r="J2468" i="28"/>
  <c r="K2468" i="28" s="1"/>
  <c r="J2469" i="28"/>
  <c r="K2469" i="28" s="1"/>
  <c r="J2470" i="28"/>
  <c r="K2470" i="28" s="1"/>
  <c r="J2471" i="28"/>
  <c r="K2471" i="28" s="1"/>
  <c r="J2472" i="28"/>
  <c r="K2472" i="28" s="1"/>
  <c r="J2473" i="28"/>
  <c r="K2473" i="28" s="1"/>
  <c r="J2474" i="28"/>
  <c r="K2474" i="28" s="1"/>
  <c r="J2475" i="28"/>
  <c r="K2475" i="28" s="1"/>
  <c r="J2476" i="28"/>
  <c r="K2476" i="28" s="1"/>
  <c r="J2477" i="28"/>
  <c r="K2477" i="28" s="1"/>
  <c r="J2478" i="28"/>
  <c r="K2478" i="28" s="1"/>
  <c r="J2479" i="28"/>
  <c r="K2479" i="28" s="1"/>
  <c r="J2480" i="28"/>
  <c r="K2480" i="28" s="1"/>
  <c r="J2481" i="28"/>
  <c r="K2481" i="28" s="1"/>
  <c r="J2482" i="28"/>
  <c r="K2482" i="28" s="1"/>
  <c r="J2483" i="28"/>
  <c r="K2483" i="28" s="1"/>
  <c r="J2484" i="28"/>
  <c r="K2484" i="28" s="1"/>
  <c r="J2485" i="28"/>
  <c r="K2485" i="28" s="1"/>
  <c r="J2486" i="28"/>
  <c r="K2486" i="28" s="1"/>
  <c r="J2487" i="28"/>
  <c r="K2487" i="28" s="1"/>
  <c r="J2488" i="28"/>
  <c r="K2488" i="28" s="1"/>
  <c r="J2489" i="28"/>
  <c r="K2489" i="28" s="1"/>
  <c r="J2490" i="28"/>
  <c r="K2490" i="28" s="1"/>
  <c r="J2491" i="28"/>
  <c r="K2491" i="28" s="1"/>
  <c r="J2492" i="28"/>
  <c r="K2492" i="28" s="1"/>
  <c r="J2493" i="28"/>
  <c r="K2493" i="28" s="1"/>
  <c r="J2494" i="28"/>
  <c r="K2494" i="28" s="1"/>
  <c r="J2495" i="28"/>
  <c r="K2495" i="28" s="1"/>
  <c r="J2496" i="28"/>
  <c r="K2496" i="28" s="1"/>
  <c r="J2497" i="28"/>
  <c r="K2497" i="28" s="1"/>
  <c r="J2498" i="28"/>
  <c r="K2498" i="28" s="1"/>
  <c r="J2499" i="28"/>
  <c r="K2499" i="28" s="1"/>
  <c r="J2500" i="28"/>
  <c r="K2500" i="28" s="1"/>
  <c r="J2501" i="28"/>
  <c r="K2501" i="28" s="1"/>
  <c r="J2502" i="28"/>
  <c r="K2502" i="28" s="1"/>
  <c r="J2503" i="28"/>
  <c r="K2503" i="28" s="1"/>
  <c r="J2504" i="28"/>
  <c r="K2504" i="28" s="1"/>
  <c r="J2505" i="28"/>
  <c r="K2505" i="28" s="1"/>
  <c r="J2506" i="28"/>
  <c r="K2506" i="28" s="1"/>
  <c r="J2507" i="28"/>
  <c r="K2507" i="28" s="1"/>
  <c r="J2508" i="28"/>
  <c r="K2508" i="28" s="1"/>
  <c r="J2509" i="28"/>
  <c r="K2509" i="28" s="1"/>
  <c r="J2510" i="28"/>
  <c r="K2510" i="28" s="1"/>
  <c r="J2511" i="28"/>
  <c r="K2511" i="28" s="1"/>
  <c r="J2512" i="28"/>
  <c r="K2512" i="28" s="1"/>
  <c r="J2513" i="28"/>
  <c r="K2513" i="28" s="1"/>
  <c r="J2514" i="28"/>
  <c r="K2514" i="28" s="1"/>
  <c r="J2515" i="28"/>
  <c r="K2515" i="28" s="1"/>
  <c r="J2516" i="28"/>
  <c r="K2516" i="28" s="1"/>
  <c r="J2517" i="28"/>
  <c r="K2517" i="28" s="1"/>
  <c r="J2518" i="28"/>
  <c r="K2518" i="28" s="1"/>
  <c r="J2519" i="28"/>
  <c r="K2519" i="28" s="1"/>
  <c r="J2520" i="28"/>
  <c r="K2520" i="28" s="1"/>
  <c r="J2521" i="28"/>
  <c r="K2521" i="28" s="1"/>
  <c r="J2522" i="28"/>
  <c r="K2522" i="28" s="1"/>
  <c r="J2523" i="28"/>
  <c r="K2523" i="28" s="1"/>
  <c r="J2524" i="28"/>
  <c r="K2524" i="28" s="1"/>
  <c r="J2525" i="28"/>
  <c r="K2525" i="28" s="1"/>
  <c r="J2526" i="28"/>
  <c r="K2526" i="28" s="1"/>
  <c r="J2527" i="28"/>
  <c r="K2527" i="28" s="1"/>
  <c r="J2528" i="28"/>
  <c r="K2528" i="28" s="1"/>
  <c r="J2529" i="28"/>
  <c r="K2529" i="28" s="1"/>
  <c r="J2530" i="28"/>
  <c r="K2530" i="28" s="1"/>
  <c r="J2531" i="28"/>
  <c r="K2531" i="28" s="1"/>
  <c r="J2532" i="28"/>
  <c r="K2532" i="28" s="1"/>
  <c r="J2533" i="28"/>
  <c r="K2533" i="28" s="1"/>
  <c r="J2534" i="28"/>
  <c r="K2534" i="28" s="1"/>
  <c r="J2535" i="28"/>
  <c r="K2535" i="28" s="1"/>
  <c r="J2536" i="28"/>
  <c r="K2536" i="28" s="1"/>
  <c r="J2537" i="28"/>
  <c r="K2537" i="28" s="1"/>
  <c r="J2538" i="28"/>
  <c r="K2538" i="28" s="1"/>
  <c r="J2539" i="28"/>
  <c r="K2539" i="28" s="1"/>
  <c r="J2540" i="28"/>
  <c r="K2540" i="28" s="1"/>
  <c r="J2541" i="28"/>
  <c r="K2541" i="28" s="1"/>
  <c r="J2542" i="28"/>
  <c r="K2542" i="28" s="1"/>
  <c r="J2543" i="28"/>
  <c r="K2543" i="28" s="1"/>
  <c r="J2544" i="28"/>
  <c r="K2544" i="28" s="1"/>
  <c r="J2545" i="28"/>
  <c r="K2545" i="28" s="1"/>
  <c r="J2546" i="28"/>
  <c r="K2546" i="28" s="1"/>
  <c r="J2547" i="28"/>
  <c r="K2547" i="28" s="1"/>
  <c r="J2548" i="28"/>
  <c r="K2548" i="28" s="1"/>
  <c r="J2549" i="28"/>
  <c r="K2549" i="28" s="1"/>
  <c r="J2550" i="28"/>
  <c r="K2550" i="28" s="1"/>
  <c r="J2551" i="28"/>
  <c r="K2551" i="28" s="1"/>
  <c r="J2552" i="28"/>
  <c r="K2552" i="28" s="1"/>
  <c r="J2553" i="28"/>
  <c r="K2553" i="28" s="1"/>
  <c r="J2554" i="28"/>
  <c r="K2554" i="28" s="1"/>
  <c r="J2555" i="28"/>
  <c r="K2555" i="28" s="1"/>
  <c r="J2556" i="28"/>
  <c r="K2556" i="28" s="1"/>
  <c r="J2557" i="28"/>
  <c r="K2557" i="28" s="1"/>
  <c r="J2558" i="28"/>
  <c r="K2558" i="28" s="1"/>
  <c r="J2559" i="28"/>
  <c r="K2559" i="28" s="1"/>
  <c r="J2560" i="28"/>
  <c r="K2560" i="28" s="1"/>
  <c r="J2561" i="28"/>
  <c r="K2561" i="28" s="1"/>
  <c r="J2562" i="28"/>
  <c r="K2562" i="28" s="1"/>
  <c r="J2563" i="28"/>
  <c r="K2563" i="28" s="1"/>
  <c r="J2564" i="28"/>
  <c r="K2564" i="28" s="1"/>
  <c r="J2565" i="28"/>
  <c r="K2565" i="28" s="1"/>
  <c r="J2566" i="28"/>
  <c r="K2566" i="28" s="1"/>
  <c r="J2567" i="28"/>
  <c r="K2567" i="28" s="1"/>
  <c r="J2568" i="28"/>
  <c r="K2568" i="28" s="1"/>
  <c r="J2569" i="28"/>
  <c r="K2569" i="28" s="1"/>
  <c r="J2570" i="28"/>
  <c r="K2570" i="28" s="1"/>
  <c r="J2571" i="28"/>
  <c r="K2571" i="28" s="1"/>
  <c r="J2572" i="28"/>
  <c r="K2572" i="28" s="1"/>
  <c r="J2573" i="28"/>
  <c r="K2573" i="28" s="1"/>
  <c r="J2574" i="28"/>
  <c r="K2574" i="28" s="1"/>
  <c r="J2575" i="28"/>
  <c r="K2575" i="28" s="1"/>
  <c r="J2576" i="28"/>
  <c r="K2576" i="28" s="1"/>
  <c r="J2577" i="28"/>
  <c r="K2577" i="28" s="1"/>
  <c r="J2578" i="28"/>
  <c r="K2578" i="28" s="1"/>
  <c r="J2579" i="28"/>
  <c r="K2579" i="28" s="1"/>
  <c r="J2580" i="28"/>
  <c r="K2580" i="28" s="1"/>
  <c r="J2581" i="28"/>
  <c r="K2581" i="28" s="1"/>
  <c r="J2582" i="28"/>
  <c r="K2582" i="28" s="1"/>
  <c r="J2583" i="28"/>
  <c r="K2583" i="28" s="1"/>
  <c r="J2584" i="28"/>
  <c r="K2584" i="28" s="1"/>
  <c r="J2585" i="28"/>
  <c r="K2585" i="28" s="1"/>
  <c r="J2586" i="28"/>
  <c r="K2586" i="28" s="1"/>
  <c r="J2587" i="28"/>
  <c r="K2587" i="28" s="1"/>
  <c r="J2588" i="28"/>
  <c r="K2588" i="28" s="1"/>
  <c r="J2589" i="28"/>
  <c r="K2589" i="28" s="1"/>
  <c r="J2590" i="28"/>
  <c r="K2590" i="28" s="1"/>
  <c r="J2591" i="28"/>
  <c r="K2591" i="28" s="1"/>
  <c r="J2592" i="28"/>
  <c r="K2592" i="28" s="1"/>
  <c r="J2593" i="28"/>
  <c r="K2593" i="28" s="1"/>
  <c r="J2594" i="28"/>
  <c r="K2594" i="28" s="1"/>
  <c r="J2595" i="28"/>
  <c r="K2595" i="28" s="1"/>
  <c r="J2596" i="28"/>
  <c r="K2596" i="28" s="1"/>
  <c r="J2597" i="28"/>
  <c r="K2597" i="28" s="1"/>
  <c r="J2598" i="28"/>
  <c r="K2598" i="28" s="1"/>
  <c r="J2599" i="28"/>
  <c r="K2599" i="28" s="1"/>
  <c r="J2600" i="28"/>
  <c r="K2600" i="28" s="1"/>
  <c r="J2601" i="28"/>
  <c r="K2601" i="28" s="1"/>
  <c r="J2602" i="28"/>
  <c r="K2602" i="28" s="1"/>
  <c r="J2603" i="28"/>
  <c r="K2603" i="28" s="1"/>
  <c r="J2604" i="28"/>
  <c r="K2604" i="28" s="1"/>
  <c r="J2605" i="28"/>
  <c r="K2605" i="28" s="1"/>
  <c r="J2606" i="28"/>
  <c r="K2606" i="28" s="1"/>
  <c r="J2607" i="28"/>
  <c r="K2607" i="28" s="1"/>
  <c r="J2608" i="28"/>
  <c r="K2608" i="28" s="1"/>
  <c r="J2609" i="28"/>
  <c r="K2609" i="28" s="1"/>
  <c r="J2610" i="28"/>
  <c r="K2610" i="28" s="1"/>
  <c r="J2611" i="28"/>
  <c r="K2611" i="28" s="1"/>
  <c r="J2612" i="28"/>
  <c r="K2612" i="28" s="1"/>
  <c r="J2613" i="28"/>
  <c r="K2613" i="28" s="1"/>
  <c r="J2614" i="28"/>
  <c r="K2614" i="28" s="1"/>
  <c r="J2615" i="28"/>
  <c r="K2615" i="28" s="1"/>
  <c r="J2616" i="28"/>
  <c r="K2616" i="28" s="1"/>
  <c r="J2617" i="28"/>
  <c r="K2617" i="28" s="1"/>
  <c r="J2618" i="28"/>
  <c r="K2618" i="28" s="1"/>
  <c r="J2619" i="28"/>
  <c r="K2619" i="28" s="1"/>
  <c r="J2620" i="28"/>
  <c r="K2620" i="28" s="1"/>
  <c r="J2621" i="28"/>
  <c r="K2621" i="28" s="1"/>
  <c r="J2622" i="28"/>
  <c r="K2622" i="28" s="1"/>
  <c r="J2623" i="28"/>
  <c r="K2623" i="28" s="1"/>
  <c r="J2624" i="28"/>
  <c r="K2624" i="28" s="1"/>
  <c r="J2625" i="28"/>
  <c r="K2625" i="28" s="1"/>
  <c r="J2626" i="28"/>
  <c r="K2626" i="28" s="1"/>
  <c r="J2627" i="28"/>
  <c r="K2627" i="28" s="1"/>
  <c r="J2628" i="28"/>
  <c r="K2628" i="28" s="1"/>
  <c r="J2629" i="28"/>
  <c r="K2629" i="28" s="1"/>
  <c r="J2630" i="28"/>
  <c r="K2630" i="28" s="1"/>
  <c r="J2631" i="28"/>
  <c r="K2631" i="28" s="1"/>
  <c r="J2632" i="28"/>
  <c r="K2632" i="28" s="1"/>
  <c r="J2633" i="28"/>
  <c r="K2633" i="28" s="1"/>
  <c r="J2634" i="28"/>
  <c r="K2634" i="28" s="1"/>
  <c r="J2635" i="28"/>
  <c r="K2635" i="28" s="1"/>
  <c r="J2636" i="28"/>
  <c r="K2636" i="28" s="1"/>
  <c r="J2637" i="28"/>
  <c r="K2637" i="28" s="1"/>
  <c r="J2638" i="28"/>
  <c r="K2638" i="28" s="1"/>
  <c r="J2639" i="28"/>
  <c r="K2639" i="28" s="1"/>
  <c r="J2640" i="28"/>
  <c r="K2640" i="28" s="1"/>
  <c r="J2641" i="28"/>
  <c r="K2641" i="28" s="1"/>
  <c r="J2642" i="28"/>
  <c r="K2642" i="28" s="1"/>
  <c r="J2643" i="28"/>
  <c r="K2643" i="28" s="1"/>
  <c r="J2644" i="28"/>
  <c r="K2644" i="28" s="1"/>
  <c r="J2645" i="28"/>
  <c r="K2645" i="28" s="1"/>
  <c r="J2646" i="28"/>
  <c r="K2646" i="28" s="1"/>
  <c r="J2647" i="28"/>
  <c r="K2647" i="28" s="1"/>
  <c r="J2648" i="28"/>
  <c r="K2648" i="28" s="1"/>
  <c r="J2649" i="28"/>
  <c r="K2649" i="28" s="1"/>
  <c r="J2650" i="28"/>
  <c r="K2650" i="28" s="1"/>
  <c r="J2651" i="28"/>
  <c r="K2651" i="28" s="1"/>
  <c r="J2652" i="28"/>
  <c r="K2652" i="28" s="1"/>
  <c r="J2653" i="28"/>
  <c r="K2653" i="28" s="1"/>
  <c r="J2654" i="28"/>
  <c r="K2654" i="28" s="1"/>
  <c r="J2655" i="28"/>
  <c r="K2655" i="28" s="1"/>
  <c r="J2656" i="28"/>
  <c r="K2656" i="28" s="1"/>
  <c r="J2657" i="28"/>
  <c r="K2657" i="28" s="1"/>
  <c r="J2658" i="28"/>
  <c r="K2658" i="28" s="1"/>
  <c r="J2659" i="28"/>
  <c r="K2659" i="28" s="1"/>
  <c r="J2660" i="28"/>
  <c r="K2660" i="28" s="1"/>
  <c r="J2661" i="28"/>
  <c r="K2661" i="28" s="1"/>
  <c r="J2662" i="28"/>
  <c r="K2662" i="28" s="1"/>
  <c r="J2663" i="28"/>
  <c r="K2663" i="28" s="1"/>
  <c r="J2664" i="28"/>
  <c r="K2664" i="28" s="1"/>
  <c r="J2665" i="28"/>
  <c r="K2665" i="28" s="1"/>
  <c r="J2666" i="28"/>
  <c r="K2666" i="28" s="1"/>
  <c r="J2667" i="28"/>
  <c r="K2667" i="28" s="1"/>
  <c r="J2668" i="28"/>
  <c r="K2668" i="28" s="1"/>
  <c r="J2669" i="28"/>
  <c r="K2669" i="28" s="1"/>
  <c r="J2670" i="28"/>
  <c r="K2670" i="28" s="1"/>
  <c r="J2671" i="28"/>
  <c r="K2671" i="28" s="1"/>
  <c r="J2672" i="28"/>
  <c r="K2672" i="28" s="1"/>
  <c r="J2673" i="28"/>
  <c r="K2673" i="28" s="1"/>
  <c r="J2674" i="28"/>
  <c r="K2674" i="28" s="1"/>
  <c r="J2675" i="28"/>
  <c r="K2675" i="28" s="1"/>
  <c r="J2676" i="28"/>
  <c r="K2676" i="28" s="1"/>
  <c r="J2677" i="28"/>
  <c r="K2677" i="28" s="1"/>
  <c r="J2678" i="28"/>
  <c r="K2678" i="28" s="1"/>
  <c r="J2679" i="28"/>
  <c r="K2679" i="28" s="1"/>
  <c r="J2680" i="28"/>
  <c r="K2680" i="28" s="1"/>
  <c r="J2681" i="28"/>
  <c r="K2681" i="28" s="1"/>
  <c r="J2682" i="28"/>
  <c r="K2682" i="28" s="1"/>
  <c r="J2683" i="28"/>
  <c r="K2683" i="28" s="1"/>
  <c r="J2684" i="28"/>
  <c r="K2684" i="28" s="1"/>
  <c r="J2685" i="28"/>
  <c r="K2685" i="28" s="1"/>
  <c r="J2686" i="28"/>
  <c r="K2686" i="28" s="1"/>
  <c r="J2687" i="28"/>
  <c r="K2687" i="28" s="1"/>
  <c r="J2688" i="28"/>
  <c r="K2688" i="28" s="1"/>
  <c r="J2689" i="28"/>
  <c r="K2689" i="28" s="1"/>
  <c r="J2690" i="28"/>
  <c r="K2690" i="28" s="1"/>
  <c r="J2691" i="28"/>
  <c r="K2691" i="28" s="1"/>
  <c r="J2692" i="28"/>
  <c r="K2692" i="28" s="1"/>
  <c r="J2693" i="28"/>
  <c r="K2693" i="28" s="1"/>
  <c r="J2694" i="28"/>
  <c r="K2694" i="28" s="1"/>
  <c r="J2695" i="28"/>
  <c r="K2695" i="28" s="1"/>
  <c r="J2696" i="28"/>
  <c r="K2696" i="28" s="1"/>
  <c r="J2697" i="28"/>
  <c r="K2697" i="28" s="1"/>
  <c r="J2698" i="28"/>
  <c r="K2698" i="28" s="1"/>
  <c r="J2699" i="28"/>
  <c r="K2699" i="28" s="1"/>
  <c r="J2700" i="28"/>
  <c r="K2700" i="28" s="1"/>
  <c r="J2701" i="28"/>
  <c r="K2701" i="28" s="1"/>
  <c r="J2702" i="28"/>
  <c r="K2702" i="28" s="1"/>
  <c r="J2703" i="28"/>
  <c r="K2703" i="28" s="1"/>
  <c r="J2704" i="28"/>
  <c r="K2704" i="28" s="1"/>
  <c r="J2705" i="28"/>
  <c r="K2705" i="28" s="1"/>
  <c r="J2706" i="28"/>
  <c r="K2706" i="28" s="1"/>
  <c r="J2707" i="28"/>
  <c r="K2707" i="28" s="1"/>
  <c r="J2708" i="28"/>
  <c r="K2708" i="28" s="1"/>
  <c r="J2709" i="28"/>
  <c r="K2709" i="28" s="1"/>
  <c r="J2710" i="28"/>
  <c r="K2710" i="28" s="1"/>
  <c r="J2711" i="28"/>
  <c r="K2711" i="28" s="1"/>
  <c r="J2712" i="28"/>
  <c r="K2712" i="28" s="1"/>
  <c r="J2713" i="28"/>
  <c r="K2713" i="28" s="1"/>
  <c r="J2714" i="28"/>
  <c r="K2714" i="28" s="1"/>
  <c r="J2715" i="28"/>
  <c r="K2715" i="28" s="1"/>
  <c r="J2716" i="28"/>
  <c r="K2716" i="28" s="1"/>
  <c r="J2717" i="28"/>
  <c r="K2717" i="28" s="1"/>
  <c r="J2718" i="28"/>
  <c r="K2718" i="28" s="1"/>
  <c r="J2719" i="28"/>
  <c r="K2719" i="28" s="1"/>
  <c r="J2720" i="28"/>
  <c r="K2720" i="28" s="1"/>
  <c r="J2721" i="28"/>
  <c r="K2721" i="28" s="1"/>
  <c r="J2722" i="28"/>
  <c r="K2722" i="28" s="1"/>
  <c r="J2723" i="28"/>
  <c r="K2723" i="28" s="1"/>
  <c r="J2724" i="28"/>
  <c r="K2724" i="28" s="1"/>
  <c r="J2725" i="28"/>
  <c r="K2725" i="28" s="1"/>
  <c r="J2726" i="28"/>
  <c r="K2726" i="28" s="1"/>
  <c r="J2727" i="28"/>
  <c r="K2727" i="28" s="1"/>
  <c r="J2728" i="28"/>
  <c r="K2728" i="28" s="1"/>
  <c r="J2729" i="28"/>
  <c r="K2729" i="28" s="1"/>
  <c r="J2730" i="28"/>
  <c r="K2730" i="28" s="1"/>
  <c r="J2731" i="28"/>
  <c r="K2731" i="28" s="1"/>
  <c r="J2732" i="28"/>
  <c r="K2732" i="28" s="1"/>
  <c r="J2733" i="28"/>
  <c r="K2733" i="28" s="1"/>
  <c r="J2734" i="28"/>
  <c r="K2734" i="28" s="1"/>
  <c r="J2735" i="28"/>
  <c r="K2735" i="28" s="1"/>
  <c r="J2736" i="28"/>
  <c r="K2736" i="28" s="1"/>
  <c r="J2737" i="28"/>
  <c r="K2737" i="28" s="1"/>
  <c r="J2738" i="28"/>
  <c r="K2738" i="28" s="1"/>
  <c r="J2739" i="28"/>
  <c r="K2739" i="28" s="1"/>
  <c r="J2740" i="28"/>
  <c r="K2740" i="28" s="1"/>
  <c r="J2741" i="28"/>
  <c r="K2741" i="28" s="1"/>
  <c r="J2742" i="28"/>
  <c r="K2742" i="28" s="1"/>
  <c r="J2743" i="28"/>
  <c r="K2743" i="28" s="1"/>
  <c r="J2744" i="28"/>
  <c r="K2744" i="28" s="1"/>
  <c r="J2745" i="28"/>
  <c r="K2745" i="28" s="1"/>
  <c r="J2746" i="28"/>
  <c r="K2746" i="28" s="1"/>
  <c r="J2747" i="28"/>
  <c r="K2747" i="28" s="1"/>
  <c r="J2748" i="28"/>
  <c r="K2748" i="28" s="1"/>
  <c r="J2749" i="28"/>
  <c r="K2749" i="28" s="1"/>
  <c r="J2750" i="28"/>
  <c r="K2750" i="28" s="1"/>
  <c r="J2751" i="28"/>
  <c r="K2751" i="28" s="1"/>
  <c r="J2752" i="28"/>
  <c r="K2752" i="28" s="1"/>
  <c r="J2753" i="28"/>
  <c r="K2753" i="28" s="1"/>
  <c r="J2754" i="28"/>
  <c r="K2754" i="28" s="1"/>
  <c r="J2755" i="28"/>
  <c r="K2755" i="28" s="1"/>
  <c r="J2756" i="28"/>
  <c r="K2756" i="28" s="1"/>
  <c r="J2757" i="28"/>
  <c r="K2757" i="28" s="1"/>
  <c r="J2758" i="28"/>
  <c r="K2758" i="28" s="1"/>
  <c r="J2759" i="28"/>
  <c r="K2759" i="28" s="1"/>
  <c r="J2760" i="28"/>
  <c r="K2760" i="28" s="1"/>
  <c r="J2761" i="28"/>
  <c r="K2761" i="28" s="1"/>
  <c r="J2762" i="28"/>
  <c r="K2762" i="28" s="1"/>
  <c r="J2763" i="28"/>
  <c r="K2763" i="28" s="1"/>
  <c r="J2764" i="28"/>
  <c r="K2764" i="28" s="1"/>
  <c r="J2765" i="28"/>
  <c r="K2765" i="28" s="1"/>
  <c r="J2766" i="28"/>
  <c r="K2766" i="28" s="1"/>
  <c r="J2767" i="28"/>
  <c r="K2767" i="28" s="1"/>
  <c r="J2768" i="28"/>
  <c r="K2768" i="28" s="1"/>
  <c r="J2769" i="28"/>
  <c r="K2769" i="28" s="1"/>
  <c r="J2770" i="28"/>
  <c r="K2770" i="28" s="1"/>
  <c r="J2771" i="28"/>
  <c r="K2771" i="28" s="1"/>
  <c r="J2772" i="28"/>
  <c r="K2772" i="28" s="1"/>
  <c r="J2773" i="28"/>
  <c r="K2773" i="28" s="1"/>
  <c r="J2774" i="28"/>
  <c r="K2774" i="28" s="1"/>
  <c r="J2775" i="28"/>
  <c r="K2775" i="28" s="1"/>
  <c r="J2776" i="28"/>
  <c r="K2776" i="28" s="1"/>
  <c r="J2777" i="28"/>
  <c r="K2777" i="28" s="1"/>
  <c r="J2778" i="28"/>
  <c r="K2778" i="28" s="1"/>
  <c r="J2779" i="28"/>
  <c r="K2779" i="28" s="1"/>
  <c r="J2780" i="28"/>
  <c r="K2780" i="28" s="1"/>
  <c r="J2781" i="28"/>
  <c r="K2781" i="28" s="1"/>
  <c r="J2782" i="28"/>
  <c r="K2782" i="28" s="1"/>
  <c r="J2783" i="28"/>
  <c r="K2783" i="28" s="1"/>
  <c r="J2784" i="28"/>
  <c r="K2784" i="28" s="1"/>
  <c r="J2785" i="28"/>
  <c r="K2785" i="28" s="1"/>
  <c r="J2786" i="28"/>
  <c r="K2786" i="28" s="1"/>
  <c r="J2787" i="28"/>
  <c r="K2787" i="28" s="1"/>
  <c r="J2788" i="28"/>
  <c r="K2788" i="28" s="1"/>
  <c r="J2789" i="28"/>
  <c r="K2789" i="28" s="1"/>
  <c r="J2790" i="28"/>
  <c r="K2790" i="28" s="1"/>
  <c r="J2791" i="28"/>
  <c r="K2791" i="28" s="1"/>
  <c r="J2792" i="28"/>
  <c r="K2792" i="28" s="1"/>
  <c r="J2793" i="28"/>
  <c r="K2793" i="28" s="1"/>
  <c r="J2794" i="28"/>
  <c r="K2794" i="28" s="1"/>
  <c r="J2795" i="28"/>
  <c r="K2795" i="28" s="1"/>
  <c r="J2796" i="28"/>
  <c r="K2796" i="28" s="1"/>
  <c r="J2797" i="28"/>
  <c r="K2797" i="28" s="1"/>
  <c r="J2798" i="28"/>
  <c r="K2798" i="28" s="1"/>
  <c r="J2799" i="28"/>
  <c r="K2799" i="28" s="1"/>
  <c r="J2800" i="28"/>
  <c r="K2800" i="28" s="1"/>
  <c r="J2801" i="28"/>
  <c r="K2801" i="28" s="1"/>
  <c r="J2802" i="28"/>
  <c r="K2802" i="28" s="1"/>
  <c r="J2803" i="28"/>
  <c r="K2803" i="28" s="1"/>
  <c r="J2804" i="28"/>
  <c r="K2804" i="28" s="1"/>
  <c r="J2805" i="28"/>
  <c r="K2805" i="28" s="1"/>
  <c r="J2806" i="28"/>
  <c r="K2806" i="28" s="1"/>
  <c r="J2807" i="28"/>
  <c r="K2807" i="28" s="1"/>
  <c r="J2808" i="28"/>
  <c r="K2808" i="28" s="1"/>
  <c r="J2809" i="28"/>
  <c r="K2809" i="28" s="1"/>
  <c r="J2810" i="28"/>
  <c r="K2810" i="28" s="1"/>
  <c r="J2811" i="28"/>
  <c r="K2811" i="28" s="1"/>
  <c r="J2812" i="28"/>
  <c r="K2812" i="28" s="1"/>
  <c r="J2813" i="28"/>
  <c r="K2813" i="28" s="1"/>
  <c r="J2814" i="28"/>
  <c r="K2814" i="28" s="1"/>
  <c r="J2815" i="28"/>
  <c r="K2815" i="28" s="1"/>
  <c r="J2816" i="28"/>
  <c r="K2816" i="28" s="1"/>
  <c r="J2817" i="28"/>
  <c r="K2817" i="28" s="1"/>
  <c r="J2818" i="28"/>
  <c r="K2818" i="28" s="1"/>
  <c r="J2819" i="28"/>
  <c r="K2819" i="28" s="1"/>
  <c r="J2820" i="28"/>
  <c r="K2820" i="28" s="1"/>
  <c r="J2821" i="28"/>
  <c r="K2821" i="28" s="1"/>
  <c r="J2822" i="28"/>
  <c r="K2822" i="28" s="1"/>
  <c r="J2823" i="28"/>
  <c r="K2823" i="28" s="1"/>
  <c r="J2824" i="28"/>
  <c r="K2824" i="28" s="1"/>
  <c r="J2825" i="28"/>
  <c r="K2825" i="28" s="1"/>
  <c r="J2826" i="28"/>
  <c r="K2826" i="28" s="1"/>
  <c r="J2827" i="28"/>
  <c r="K2827" i="28" s="1"/>
  <c r="J2828" i="28"/>
  <c r="K2828" i="28" s="1"/>
  <c r="J2829" i="28"/>
  <c r="K2829" i="28" s="1"/>
  <c r="J2830" i="28"/>
  <c r="K2830" i="28" s="1"/>
  <c r="J2831" i="28"/>
  <c r="K2831" i="28" s="1"/>
  <c r="J2832" i="28"/>
  <c r="K2832" i="28" s="1"/>
  <c r="J2833" i="28"/>
  <c r="K2833" i="28" s="1"/>
  <c r="J2834" i="28"/>
  <c r="K2834" i="28" s="1"/>
  <c r="J2835" i="28"/>
  <c r="K2835" i="28" s="1"/>
  <c r="J2836" i="28"/>
  <c r="K2836" i="28" s="1"/>
  <c r="J2837" i="28"/>
  <c r="K2837" i="28" s="1"/>
  <c r="J2838" i="28"/>
  <c r="K2838" i="28" s="1"/>
  <c r="J2839" i="28"/>
  <c r="K2839" i="28" s="1"/>
  <c r="J2840" i="28"/>
  <c r="K2840" i="28" s="1"/>
  <c r="J2841" i="28"/>
  <c r="K2841" i="28" s="1"/>
  <c r="J2842" i="28"/>
  <c r="K2842" i="28" s="1"/>
  <c r="J2843" i="28"/>
  <c r="K2843" i="28" s="1"/>
  <c r="J2844" i="28"/>
  <c r="K2844" i="28" s="1"/>
  <c r="J2845" i="28"/>
  <c r="K2845" i="28" s="1"/>
  <c r="J2846" i="28"/>
  <c r="K2846" i="28" s="1"/>
  <c r="J2847" i="28"/>
  <c r="K2847" i="28" s="1"/>
  <c r="J2848" i="28"/>
  <c r="K2848" i="28" s="1"/>
  <c r="J2849" i="28"/>
  <c r="K2849" i="28" s="1"/>
  <c r="J2850" i="28"/>
  <c r="K2850" i="28" s="1"/>
  <c r="J2851" i="28"/>
  <c r="K2851" i="28" s="1"/>
  <c r="J2852" i="28"/>
  <c r="K2852" i="28" s="1"/>
  <c r="J2853" i="28"/>
  <c r="K2853" i="28" s="1"/>
  <c r="J2854" i="28"/>
  <c r="K2854" i="28" s="1"/>
  <c r="J2855" i="28"/>
  <c r="K2855" i="28" s="1"/>
  <c r="J2856" i="28"/>
  <c r="K2856" i="28" s="1"/>
  <c r="J2857" i="28"/>
  <c r="K2857" i="28" s="1"/>
  <c r="J2858" i="28"/>
  <c r="K2858" i="28" s="1"/>
  <c r="J2859" i="28"/>
  <c r="K2859" i="28" s="1"/>
  <c r="J2860" i="28"/>
  <c r="K2860" i="28" s="1"/>
  <c r="J2861" i="28"/>
  <c r="K2861" i="28" s="1"/>
  <c r="J2862" i="28"/>
  <c r="K2862" i="28" s="1"/>
  <c r="J2863" i="28"/>
  <c r="K2863" i="28" s="1"/>
  <c r="J2864" i="28"/>
  <c r="K2864" i="28" s="1"/>
  <c r="J2865" i="28"/>
  <c r="K2865" i="28" s="1"/>
  <c r="J2866" i="28"/>
  <c r="K2866" i="28" s="1"/>
  <c r="J2867" i="28"/>
  <c r="K2867" i="28" s="1"/>
  <c r="J2868" i="28"/>
  <c r="K2868" i="28" s="1"/>
  <c r="J2869" i="28"/>
  <c r="K2869" i="28" s="1"/>
  <c r="J2870" i="28"/>
  <c r="K2870" i="28" s="1"/>
  <c r="J2871" i="28"/>
  <c r="K2871" i="28" s="1"/>
  <c r="J2872" i="28"/>
  <c r="K2872" i="28" s="1"/>
  <c r="J2873" i="28"/>
  <c r="K2873" i="28" s="1"/>
  <c r="J2874" i="28"/>
  <c r="K2874" i="28" s="1"/>
  <c r="J2875" i="28"/>
  <c r="K2875" i="28" s="1"/>
  <c r="J2876" i="28"/>
  <c r="K2876" i="28" s="1"/>
  <c r="J2877" i="28"/>
  <c r="K2877" i="28" s="1"/>
  <c r="J2878" i="28"/>
  <c r="K2878" i="28" s="1"/>
  <c r="J2879" i="28"/>
  <c r="K2879" i="28" s="1"/>
  <c r="J2880" i="28"/>
  <c r="K2880" i="28" s="1"/>
  <c r="J2881" i="28"/>
  <c r="K2881" i="28" s="1"/>
  <c r="J2882" i="28"/>
  <c r="K2882" i="28" s="1"/>
  <c r="J2883" i="28"/>
  <c r="K2883" i="28" s="1"/>
  <c r="J2884" i="28"/>
  <c r="K2884" i="28" s="1"/>
  <c r="J2885" i="28"/>
  <c r="K2885" i="28" s="1"/>
  <c r="J2886" i="28"/>
  <c r="K2886" i="28" s="1"/>
  <c r="J2887" i="28"/>
  <c r="K2887" i="28" s="1"/>
  <c r="J2888" i="28"/>
  <c r="K2888" i="28" s="1"/>
  <c r="J2889" i="28"/>
  <c r="K2889" i="28" s="1"/>
  <c r="J2890" i="28"/>
  <c r="K2890" i="28" s="1"/>
  <c r="J2891" i="28"/>
  <c r="K2891" i="28" s="1"/>
  <c r="J2892" i="28"/>
  <c r="K2892" i="28" s="1"/>
  <c r="J2893" i="28"/>
  <c r="K2893" i="28" s="1"/>
  <c r="J2894" i="28"/>
  <c r="K2894" i="28" s="1"/>
  <c r="J2895" i="28"/>
  <c r="K2895" i="28" s="1"/>
  <c r="J2896" i="28"/>
  <c r="K2896" i="28" s="1"/>
  <c r="J2897" i="28"/>
  <c r="K2897" i="28" s="1"/>
  <c r="J2898" i="28"/>
  <c r="K2898" i="28" s="1"/>
  <c r="J2899" i="28"/>
  <c r="K2899" i="28" s="1"/>
  <c r="J2900" i="28"/>
  <c r="K2900" i="28" s="1"/>
  <c r="J2901" i="28"/>
  <c r="K2901" i="28" s="1"/>
  <c r="J2902" i="28"/>
  <c r="K2902" i="28" s="1"/>
  <c r="J2903" i="28"/>
  <c r="K2903" i="28" s="1"/>
  <c r="J2904" i="28"/>
  <c r="K2904" i="28" s="1"/>
  <c r="J2905" i="28"/>
  <c r="K2905" i="28" s="1"/>
  <c r="J2906" i="28"/>
  <c r="K2906" i="28" s="1"/>
  <c r="J2907" i="28"/>
  <c r="K2907" i="28" s="1"/>
  <c r="J2908" i="28"/>
  <c r="K2908" i="28" s="1"/>
  <c r="J2909" i="28"/>
  <c r="K2909" i="28" s="1"/>
  <c r="J2910" i="28"/>
  <c r="K2910" i="28" s="1"/>
  <c r="J2911" i="28"/>
  <c r="K2911" i="28" s="1"/>
  <c r="J2912" i="28"/>
  <c r="K2912" i="28" s="1"/>
  <c r="J2913" i="28"/>
  <c r="K2913" i="28" s="1"/>
  <c r="J2914" i="28"/>
  <c r="K2914" i="28" s="1"/>
  <c r="J2915" i="28"/>
  <c r="K2915" i="28" s="1"/>
  <c r="J2916" i="28"/>
  <c r="K2916" i="28" s="1"/>
  <c r="J2917" i="28"/>
  <c r="K2917" i="28" s="1"/>
  <c r="J2918" i="28"/>
  <c r="K2918" i="28" s="1"/>
  <c r="J2919" i="28"/>
  <c r="K2919" i="28" s="1"/>
  <c r="J2920" i="28"/>
  <c r="K2920" i="28" s="1"/>
  <c r="J2921" i="28"/>
  <c r="K2921" i="28" s="1"/>
  <c r="J2922" i="28"/>
  <c r="K2922" i="28" s="1"/>
  <c r="J2923" i="28"/>
  <c r="K2923" i="28" s="1"/>
  <c r="J2924" i="28"/>
  <c r="K2924" i="28" s="1"/>
  <c r="J2925" i="28"/>
  <c r="K2925" i="28" s="1"/>
  <c r="J2926" i="28"/>
  <c r="K2926" i="28" s="1"/>
  <c r="J2927" i="28"/>
  <c r="K2927" i="28" s="1"/>
  <c r="J2928" i="28"/>
  <c r="K2928" i="28" s="1"/>
  <c r="J2929" i="28"/>
  <c r="K2929" i="28" s="1"/>
  <c r="J2930" i="28"/>
  <c r="K2930" i="28" s="1"/>
  <c r="J2931" i="28"/>
  <c r="K2931" i="28" s="1"/>
  <c r="J2932" i="28"/>
  <c r="K2932" i="28" s="1"/>
  <c r="J2933" i="28"/>
  <c r="K2933" i="28" s="1"/>
  <c r="J2934" i="28"/>
  <c r="K2934" i="28" s="1"/>
  <c r="J2935" i="28"/>
  <c r="K2935" i="28" s="1"/>
  <c r="J2936" i="28"/>
  <c r="K2936" i="28" s="1"/>
  <c r="J2937" i="28"/>
  <c r="K2937" i="28" s="1"/>
  <c r="J2938" i="28"/>
  <c r="K2938" i="28" s="1"/>
  <c r="J2939" i="28"/>
  <c r="K2939" i="28" s="1"/>
  <c r="J2940" i="28"/>
  <c r="K2940" i="28" s="1"/>
  <c r="J2941" i="28"/>
  <c r="K2941" i="28" s="1"/>
  <c r="J2942" i="28"/>
  <c r="K2942" i="28" s="1"/>
  <c r="J2943" i="28"/>
  <c r="K2943" i="28" s="1"/>
  <c r="J2944" i="28"/>
  <c r="K2944" i="28" s="1"/>
  <c r="J2945" i="28"/>
  <c r="K2945" i="28" s="1"/>
  <c r="J2946" i="28"/>
  <c r="K2946" i="28" s="1"/>
  <c r="J2947" i="28"/>
  <c r="K2947" i="28" s="1"/>
  <c r="J2948" i="28"/>
  <c r="K2948" i="28" s="1"/>
  <c r="J2949" i="28"/>
  <c r="K2949" i="28" s="1"/>
  <c r="J2950" i="28"/>
  <c r="K2950" i="28" s="1"/>
  <c r="J2951" i="28"/>
  <c r="K2951" i="28" s="1"/>
  <c r="J2952" i="28"/>
  <c r="K2952" i="28" s="1"/>
  <c r="J2953" i="28"/>
  <c r="K2953" i="28" s="1"/>
  <c r="J2954" i="28"/>
  <c r="K2954" i="28" s="1"/>
  <c r="J2955" i="28"/>
  <c r="K2955" i="28" s="1"/>
  <c r="J2956" i="28"/>
  <c r="K2956" i="28" s="1"/>
  <c r="J2957" i="28"/>
  <c r="K2957" i="28" s="1"/>
  <c r="J2958" i="28"/>
  <c r="K2958" i="28" s="1"/>
  <c r="J2959" i="28"/>
  <c r="K2959" i="28" s="1"/>
  <c r="J2960" i="28"/>
  <c r="K2960" i="28" s="1"/>
  <c r="J2961" i="28"/>
  <c r="K2961" i="28" s="1"/>
  <c r="J2962" i="28"/>
  <c r="K2962" i="28" s="1"/>
  <c r="J2963" i="28"/>
  <c r="K2963" i="28" s="1"/>
  <c r="J2964" i="28"/>
  <c r="K2964" i="28" s="1"/>
  <c r="J2965" i="28"/>
  <c r="K2965" i="28" s="1"/>
  <c r="J2966" i="28"/>
  <c r="K2966" i="28" s="1"/>
  <c r="J2967" i="28"/>
  <c r="K2967" i="28" s="1"/>
  <c r="J2968" i="28"/>
  <c r="K2968" i="28" s="1"/>
  <c r="J2969" i="28"/>
  <c r="K2969" i="28" s="1"/>
  <c r="J2970" i="28"/>
  <c r="K2970" i="28" s="1"/>
  <c r="J2971" i="28"/>
  <c r="K2971" i="28" s="1"/>
  <c r="J2972" i="28"/>
  <c r="K2972" i="28" s="1"/>
  <c r="J2973" i="28"/>
  <c r="K2973" i="28" s="1"/>
  <c r="J2974" i="28"/>
  <c r="K2974" i="28" s="1"/>
  <c r="J2975" i="28"/>
  <c r="K2975" i="28" s="1"/>
  <c r="J2976" i="28"/>
  <c r="K2976" i="28" s="1"/>
  <c r="J2977" i="28"/>
  <c r="K2977" i="28" s="1"/>
  <c r="J2978" i="28"/>
  <c r="K2978" i="28" s="1"/>
  <c r="J2979" i="28"/>
  <c r="K2979" i="28" s="1"/>
  <c r="J2980" i="28"/>
  <c r="K2980" i="28" s="1"/>
  <c r="J2981" i="28"/>
  <c r="K2981" i="28" s="1"/>
  <c r="J2982" i="28"/>
  <c r="K2982" i="28" s="1"/>
  <c r="J2983" i="28"/>
  <c r="K2983" i="28" s="1"/>
  <c r="J2984" i="28"/>
  <c r="K2984" i="28" s="1"/>
  <c r="J2985" i="28"/>
  <c r="K2985" i="28" s="1"/>
  <c r="J2986" i="28"/>
  <c r="K2986" i="28" s="1"/>
  <c r="J2987" i="28"/>
  <c r="K2987" i="28" s="1"/>
  <c r="J2988" i="28"/>
  <c r="K2988" i="28" s="1"/>
  <c r="J2989" i="28"/>
  <c r="K2989" i="28" s="1"/>
  <c r="J2990" i="28"/>
  <c r="K2990" i="28" s="1"/>
  <c r="J2991" i="28"/>
  <c r="K2991" i="28" s="1"/>
  <c r="J2992" i="28"/>
  <c r="K2992" i="28" s="1"/>
  <c r="J2993" i="28"/>
  <c r="K2993" i="28" s="1"/>
  <c r="J2994" i="28"/>
  <c r="K2994" i="28" s="1"/>
  <c r="J2995" i="28"/>
  <c r="K2995" i="28" s="1"/>
  <c r="J2996" i="28"/>
  <c r="K2996" i="28" s="1"/>
  <c r="J2997" i="28"/>
  <c r="K2997" i="28" s="1"/>
  <c r="J2998" i="28"/>
  <c r="K2998" i="28" s="1"/>
  <c r="J2999" i="28"/>
  <c r="K2999" i="28" s="1"/>
  <c r="J3000" i="28"/>
  <c r="K3000" i="28" s="1"/>
  <c r="J3001" i="28"/>
  <c r="K3001" i="28" s="1"/>
  <c r="J3002" i="28"/>
  <c r="K3002" i="28" s="1"/>
  <c r="J3003" i="28"/>
  <c r="K3003" i="28" s="1"/>
  <c r="J3004" i="28"/>
  <c r="K3004" i="28" s="1"/>
  <c r="J3005" i="28"/>
  <c r="K3005" i="28" s="1"/>
  <c r="J3006" i="28"/>
  <c r="K3006" i="28" s="1"/>
  <c r="J7" i="28"/>
  <c r="K7" i="28" s="1"/>
  <c r="J8" i="28"/>
  <c r="K8" i="28" s="1"/>
  <c r="J9" i="28"/>
  <c r="K9" i="28" s="1"/>
  <c r="J10" i="28"/>
  <c r="K10" i="28" s="1"/>
  <c r="J11" i="28"/>
  <c r="K11" i="28" s="1"/>
  <c r="J12" i="28"/>
  <c r="K12" i="28" s="1"/>
  <c r="J13" i="28"/>
  <c r="K13" i="28" s="1"/>
  <c r="J14" i="28"/>
  <c r="K14" i="28" s="1"/>
  <c r="J15" i="28"/>
  <c r="K15" i="28" s="1"/>
  <c r="J16" i="28"/>
  <c r="K16" i="28" s="1"/>
  <c r="J17" i="28"/>
  <c r="K17" i="28" s="1"/>
  <c r="J18" i="28"/>
  <c r="K18" i="28" s="1"/>
  <c r="J19" i="28"/>
  <c r="K19" i="28" s="1"/>
  <c r="J20" i="28"/>
  <c r="K20" i="28" s="1"/>
  <c r="J21" i="28"/>
  <c r="K21" i="28" s="1"/>
  <c r="J22" i="28"/>
  <c r="K22" i="28" s="1"/>
  <c r="J23" i="28"/>
  <c r="K23" i="28" s="1"/>
  <c r="J24" i="28"/>
  <c r="K24" i="28" s="1"/>
  <c r="J25" i="28"/>
  <c r="K25" i="28" s="1"/>
  <c r="J26" i="28"/>
  <c r="K26" i="28" s="1"/>
  <c r="J27" i="28"/>
  <c r="K27" i="28" s="1"/>
  <c r="J28" i="28"/>
  <c r="K28" i="28" s="1"/>
  <c r="J29" i="28"/>
  <c r="K29" i="28" s="1"/>
  <c r="J30" i="28"/>
  <c r="K30" i="28" s="1"/>
  <c r="J31" i="28"/>
  <c r="K31" i="28" s="1"/>
  <c r="J32" i="28"/>
  <c r="K32" i="28" s="1"/>
  <c r="J33" i="28"/>
  <c r="K33" i="28" s="1"/>
  <c r="J34" i="28"/>
  <c r="K34" i="28" s="1"/>
  <c r="J35" i="28"/>
  <c r="K35" i="28" s="1"/>
  <c r="J36" i="28"/>
  <c r="K36" i="28" s="1"/>
  <c r="J37" i="28"/>
  <c r="K37" i="28" s="1"/>
  <c r="J38" i="28"/>
  <c r="K38" i="28" s="1"/>
  <c r="J39" i="28"/>
  <c r="K39" i="28" s="1"/>
  <c r="J40" i="28"/>
  <c r="K40" i="28" s="1"/>
  <c r="J41" i="28"/>
  <c r="K41" i="28" s="1"/>
  <c r="J42" i="28"/>
  <c r="K42" i="28" s="1"/>
  <c r="J43" i="28"/>
  <c r="K43" i="28" s="1"/>
  <c r="J44" i="28"/>
  <c r="K44" i="28" s="1"/>
  <c r="J45" i="28"/>
  <c r="K45" i="28" s="1"/>
  <c r="J46" i="28"/>
  <c r="K46" i="28" s="1"/>
  <c r="J47" i="28"/>
  <c r="K47" i="28" s="1"/>
  <c r="J48" i="28"/>
  <c r="K48" i="28" s="1"/>
  <c r="J49" i="28"/>
  <c r="K49" i="28" s="1"/>
  <c r="J50" i="28"/>
  <c r="K50" i="28" s="1"/>
  <c r="J51" i="28"/>
  <c r="K51" i="28" s="1"/>
  <c r="J52" i="28"/>
  <c r="K52" i="28" s="1"/>
  <c r="J53" i="28"/>
  <c r="K53" i="28" s="1"/>
  <c r="J54" i="28"/>
  <c r="K54" i="28" s="1"/>
  <c r="J55" i="28"/>
  <c r="K55" i="28" s="1"/>
  <c r="J56" i="28"/>
  <c r="K56" i="28" s="1"/>
  <c r="J57" i="28"/>
  <c r="K57" i="28" s="1"/>
  <c r="J58" i="28"/>
  <c r="K58" i="28" s="1"/>
  <c r="J59" i="28"/>
  <c r="K59" i="28" s="1"/>
  <c r="J60" i="28"/>
  <c r="K60" i="28" s="1"/>
  <c r="J61" i="28"/>
  <c r="K61" i="28" s="1"/>
  <c r="J62" i="28"/>
  <c r="K62" i="28" s="1"/>
  <c r="J63" i="28"/>
  <c r="K63" i="28" s="1"/>
  <c r="J64" i="28"/>
  <c r="K64" i="28" s="1"/>
  <c r="J65" i="28"/>
  <c r="K65" i="28" s="1"/>
  <c r="J66" i="28"/>
  <c r="K66" i="28" s="1"/>
  <c r="J67" i="28"/>
  <c r="K67" i="28" s="1"/>
  <c r="J68" i="28"/>
  <c r="K68" i="28" s="1"/>
  <c r="J69" i="28"/>
  <c r="K69" i="28" s="1"/>
  <c r="J70" i="28"/>
  <c r="K70" i="28" s="1"/>
  <c r="J71" i="28"/>
  <c r="K71" i="28" s="1"/>
  <c r="J72" i="28"/>
  <c r="K72" i="28" s="1"/>
  <c r="J73" i="28"/>
  <c r="K73" i="28" s="1"/>
  <c r="J74" i="28"/>
  <c r="K74" i="28" s="1"/>
  <c r="J75" i="28"/>
  <c r="K75" i="28" s="1"/>
  <c r="J76" i="28"/>
  <c r="K76" i="28" s="1"/>
  <c r="J77" i="28"/>
  <c r="K77" i="28" s="1"/>
  <c r="J78" i="28"/>
  <c r="K78" i="28" s="1"/>
  <c r="J79" i="28"/>
  <c r="K79" i="28" s="1"/>
  <c r="J80" i="28"/>
  <c r="K80" i="28" s="1"/>
  <c r="J81" i="28"/>
  <c r="K81" i="28" s="1"/>
  <c r="J82" i="28"/>
  <c r="K82" i="28" s="1"/>
  <c r="J83" i="28"/>
  <c r="K83" i="28" s="1"/>
  <c r="J84" i="28"/>
  <c r="K84" i="28" s="1"/>
  <c r="J85" i="28"/>
  <c r="K85" i="28" s="1"/>
  <c r="J86" i="28"/>
  <c r="K86" i="28" s="1"/>
  <c r="J87" i="28"/>
  <c r="K87" i="28" s="1"/>
  <c r="J88" i="28"/>
  <c r="K88" i="28" s="1"/>
  <c r="J89" i="28"/>
  <c r="K89" i="28" s="1"/>
  <c r="J90" i="28"/>
  <c r="K90" i="28" s="1"/>
  <c r="J91" i="28"/>
  <c r="K91" i="28" s="1"/>
  <c r="J92" i="28"/>
  <c r="K92" i="28" s="1"/>
  <c r="J93" i="28"/>
  <c r="K93" i="28" s="1"/>
  <c r="J94" i="28"/>
  <c r="K94" i="28" s="1"/>
  <c r="J95" i="28"/>
  <c r="K95" i="28" s="1"/>
  <c r="J96" i="28"/>
  <c r="K96" i="28" s="1"/>
  <c r="J97" i="28"/>
  <c r="K97" i="28" s="1"/>
  <c r="J98" i="28"/>
  <c r="K98" i="28" s="1"/>
  <c r="J99" i="28"/>
  <c r="K99" i="28" s="1"/>
  <c r="J100" i="28"/>
  <c r="K100" i="28" s="1"/>
  <c r="J101" i="28"/>
  <c r="K101" i="28" s="1"/>
  <c r="J102" i="28"/>
  <c r="K102" i="28" s="1"/>
  <c r="J103" i="28"/>
  <c r="K103" i="28" s="1"/>
  <c r="J104" i="28"/>
  <c r="K104" i="28" s="1"/>
  <c r="J105" i="28"/>
  <c r="K105" i="28" s="1"/>
  <c r="J106" i="28"/>
  <c r="K106" i="28" s="1"/>
  <c r="J107" i="28"/>
  <c r="K107" i="28" s="1"/>
  <c r="J108" i="28"/>
  <c r="K108" i="28" s="1"/>
  <c r="J109" i="28"/>
  <c r="K109" i="28" s="1"/>
  <c r="J110" i="28"/>
  <c r="K110" i="28" s="1"/>
  <c r="J111" i="28"/>
  <c r="K111" i="28" s="1"/>
  <c r="J112" i="28"/>
  <c r="K112" i="28" s="1"/>
  <c r="J113" i="28"/>
  <c r="K113" i="28" s="1"/>
  <c r="J114" i="28"/>
  <c r="K114" i="28" s="1"/>
  <c r="J115" i="28"/>
  <c r="K115" i="28" s="1"/>
  <c r="J116" i="28"/>
  <c r="K116" i="28" s="1"/>
  <c r="J117" i="28"/>
  <c r="K117" i="28" s="1"/>
  <c r="J118" i="28"/>
  <c r="K118" i="28" s="1"/>
  <c r="J119" i="28"/>
  <c r="K119" i="28" s="1"/>
  <c r="J120" i="28"/>
  <c r="K120" i="28" s="1"/>
  <c r="J121" i="28"/>
  <c r="K121" i="28" s="1"/>
  <c r="J122" i="28"/>
  <c r="K122" i="28" s="1"/>
  <c r="J123" i="28"/>
  <c r="K123" i="28" s="1"/>
  <c r="J124" i="28"/>
  <c r="K124" i="28" s="1"/>
  <c r="J125" i="28"/>
  <c r="K125" i="28" s="1"/>
  <c r="J126" i="28"/>
  <c r="K126" i="28" s="1"/>
  <c r="J127" i="28"/>
  <c r="K127" i="28" s="1"/>
  <c r="J128" i="28"/>
  <c r="K128" i="28" s="1"/>
  <c r="J129" i="28"/>
  <c r="K129" i="28" s="1"/>
  <c r="J130" i="28"/>
  <c r="K130" i="28" s="1"/>
  <c r="J131" i="28"/>
  <c r="K131" i="28" s="1"/>
  <c r="J132" i="28"/>
  <c r="K132" i="28" s="1"/>
  <c r="J133" i="28"/>
  <c r="K133" i="28" s="1"/>
  <c r="J134" i="28"/>
  <c r="K134" i="28" s="1"/>
  <c r="J135" i="28"/>
  <c r="K135" i="28" s="1"/>
  <c r="J136" i="28"/>
  <c r="K136" i="28" s="1"/>
  <c r="J137" i="28"/>
  <c r="K137" i="28" s="1"/>
  <c r="J138" i="28"/>
  <c r="K138" i="28" s="1"/>
  <c r="J139" i="28"/>
  <c r="K139" i="28" s="1"/>
  <c r="J140" i="28"/>
  <c r="K140" i="28" s="1"/>
  <c r="J141" i="28"/>
  <c r="K141" i="28" s="1"/>
  <c r="J142" i="28"/>
  <c r="K142" i="28" s="1"/>
  <c r="J143" i="28"/>
  <c r="K143" i="28" s="1"/>
  <c r="J144" i="28"/>
  <c r="K144" i="28" s="1"/>
  <c r="J145" i="28"/>
  <c r="K145" i="28" s="1"/>
  <c r="J146" i="28"/>
  <c r="K146" i="28" s="1"/>
  <c r="J147" i="28"/>
  <c r="K147" i="28" s="1"/>
  <c r="J148" i="28"/>
  <c r="K148" i="28" s="1"/>
  <c r="J149" i="28"/>
  <c r="K149" i="28" s="1"/>
  <c r="J150" i="28"/>
  <c r="K150" i="28" s="1"/>
  <c r="J151" i="28"/>
  <c r="K151" i="28" s="1"/>
  <c r="J152" i="28"/>
  <c r="K152" i="28" s="1"/>
  <c r="J153" i="28"/>
  <c r="K153" i="28" s="1"/>
  <c r="J154" i="28"/>
  <c r="K154" i="28" s="1"/>
  <c r="J155" i="28"/>
  <c r="K155" i="28" s="1"/>
  <c r="J156" i="28"/>
  <c r="K156" i="28" s="1"/>
  <c r="J157" i="28"/>
  <c r="K157" i="28" s="1"/>
  <c r="J158" i="28"/>
  <c r="K158" i="28" s="1"/>
  <c r="J159" i="28"/>
  <c r="K159" i="28" s="1"/>
  <c r="J160" i="28"/>
  <c r="K160" i="28" s="1"/>
  <c r="J161" i="28"/>
  <c r="K161" i="28" s="1"/>
  <c r="J162" i="28"/>
  <c r="K162" i="28" s="1"/>
  <c r="J163" i="28"/>
  <c r="K163" i="28" s="1"/>
  <c r="J164" i="28"/>
  <c r="K164" i="28" s="1"/>
  <c r="J165" i="28"/>
  <c r="K165" i="28" s="1"/>
  <c r="J166" i="28"/>
  <c r="K166" i="28" s="1"/>
  <c r="J167" i="28"/>
  <c r="K167" i="28" s="1"/>
  <c r="J168" i="28"/>
  <c r="K168" i="28" s="1"/>
  <c r="J169" i="28"/>
  <c r="K169" i="28" s="1"/>
  <c r="J170" i="28"/>
  <c r="K170" i="28" s="1"/>
  <c r="J171" i="28"/>
  <c r="K171" i="28" s="1"/>
  <c r="J172" i="28"/>
  <c r="K172" i="28" s="1"/>
  <c r="J173" i="28"/>
  <c r="K173" i="28" s="1"/>
  <c r="J174" i="28"/>
  <c r="K174" i="28" s="1"/>
  <c r="J175" i="28"/>
  <c r="K175" i="28" s="1"/>
  <c r="J176" i="28"/>
  <c r="K176" i="28" s="1"/>
  <c r="J177" i="28"/>
  <c r="K177" i="28" s="1"/>
  <c r="J178" i="28"/>
  <c r="K178" i="28" s="1"/>
  <c r="J179" i="28"/>
  <c r="K179" i="28" s="1"/>
  <c r="J180" i="28"/>
  <c r="K180" i="28" s="1"/>
  <c r="J181" i="28"/>
  <c r="K181" i="28" s="1"/>
  <c r="J182" i="28"/>
  <c r="K182" i="28" s="1"/>
  <c r="J183" i="28"/>
  <c r="K183" i="28" s="1"/>
  <c r="J184" i="28"/>
  <c r="K184" i="28" s="1"/>
  <c r="J185" i="28"/>
  <c r="K185" i="28" s="1"/>
  <c r="J186" i="28"/>
  <c r="K186" i="28" s="1"/>
  <c r="J187" i="28"/>
  <c r="K187" i="28" s="1"/>
  <c r="J188" i="28"/>
  <c r="K188" i="28" s="1"/>
  <c r="J189" i="28"/>
  <c r="K189" i="28" s="1"/>
  <c r="J190" i="28"/>
  <c r="K190" i="28" s="1"/>
  <c r="J191" i="28"/>
  <c r="K191" i="28" s="1"/>
  <c r="J192" i="28"/>
  <c r="K192" i="28" s="1"/>
  <c r="J193" i="28"/>
  <c r="K193" i="28" s="1"/>
  <c r="J194" i="28"/>
  <c r="K194" i="28" s="1"/>
  <c r="J195" i="28"/>
  <c r="K195" i="28" s="1"/>
  <c r="J196" i="28"/>
  <c r="K196" i="28" s="1"/>
  <c r="J197" i="28"/>
  <c r="K197" i="28" s="1"/>
  <c r="J198" i="28"/>
  <c r="K198" i="28" s="1"/>
  <c r="J199" i="28"/>
  <c r="K199" i="28" s="1"/>
  <c r="J200" i="28"/>
  <c r="K200" i="28" s="1"/>
  <c r="J201" i="28"/>
  <c r="K201" i="28" s="1"/>
  <c r="J202" i="28"/>
  <c r="K202" i="28" s="1"/>
  <c r="J203" i="28"/>
  <c r="K203" i="28" s="1"/>
  <c r="J204" i="28"/>
  <c r="K204" i="28" s="1"/>
  <c r="J205" i="28"/>
  <c r="K205" i="28" s="1"/>
  <c r="J206" i="28"/>
  <c r="K206" i="28" s="1"/>
  <c r="J207" i="28"/>
  <c r="K207" i="28" s="1"/>
  <c r="J208" i="28"/>
  <c r="K208" i="28" s="1"/>
  <c r="J209" i="28"/>
  <c r="K209" i="28" s="1"/>
  <c r="J210" i="28"/>
  <c r="K210" i="28" s="1"/>
  <c r="J211" i="28"/>
  <c r="K211" i="28" s="1"/>
  <c r="J212" i="28"/>
  <c r="K212" i="28" s="1"/>
  <c r="J213" i="28"/>
  <c r="K213" i="28" s="1"/>
  <c r="J214" i="28"/>
  <c r="K214" i="28" s="1"/>
  <c r="J215" i="28"/>
  <c r="K215" i="28" s="1"/>
  <c r="J216" i="28"/>
  <c r="K216" i="28" s="1"/>
  <c r="J217" i="28"/>
  <c r="K217" i="28" s="1"/>
  <c r="J218" i="28"/>
  <c r="K218" i="28" s="1"/>
  <c r="J219" i="28"/>
  <c r="K219" i="28" s="1"/>
  <c r="J220" i="28"/>
  <c r="K220" i="28" s="1"/>
  <c r="J221" i="28"/>
  <c r="K221" i="28" s="1"/>
  <c r="J222" i="28"/>
  <c r="K222" i="28" s="1"/>
  <c r="J223" i="28"/>
  <c r="K223" i="28" s="1"/>
  <c r="J224" i="28"/>
  <c r="K224" i="28" s="1"/>
  <c r="J225" i="28"/>
  <c r="K225" i="28" s="1"/>
  <c r="J226" i="28"/>
  <c r="K226" i="28" s="1"/>
  <c r="J227" i="28"/>
  <c r="K227" i="28" s="1"/>
  <c r="J228" i="28"/>
  <c r="K228" i="28" s="1"/>
  <c r="J229" i="28"/>
  <c r="K229" i="28" s="1"/>
  <c r="J230" i="28"/>
  <c r="K230" i="28" s="1"/>
  <c r="J231" i="28"/>
  <c r="K231" i="28" s="1"/>
  <c r="J232" i="28"/>
  <c r="K232" i="28" s="1"/>
  <c r="J233" i="28"/>
  <c r="K233" i="28" s="1"/>
  <c r="J234" i="28"/>
  <c r="K234" i="28" s="1"/>
  <c r="J235" i="28"/>
  <c r="K235" i="28" s="1"/>
  <c r="J236" i="28"/>
  <c r="K236" i="28" s="1"/>
  <c r="J237" i="28"/>
  <c r="K237" i="28" s="1"/>
  <c r="J238" i="28"/>
  <c r="K238" i="28" s="1"/>
  <c r="J239" i="28"/>
  <c r="K239" i="28" s="1"/>
  <c r="J240" i="28"/>
  <c r="K240" i="28" s="1"/>
  <c r="J241" i="28"/>
  <c r="K241" i="28" s="1"/>
  <c r="J242" i="28"/>
  <c r="K242" i="28" s="1"/>
  <c r="J243" i="28"/>
  <c r="K243" i="28" s="1"/>
  <c r="J244" i="28"/>
  <c r="K244" i="28" s="1"/>
  <c r="J245" i="28"/>
  <c r="K245" i="28" s="1"/>
  <c r="J246" i="28"/>
  <c r="K246" i="28" s="1"/>
  <c r="J247" i="28"/>
  <c r="K247" i="28" s="1"/>
  <c r="J248" i="28"/>
  <c r="K248" i="28" s="1"/>
  <c r="J249" i="28"/>
  <c r="K249" i="28" s="1"/>
  <c r="J250" i="28"/>
  <c r="K250" i="28" s="1"/>
  <c r="J251" i="28"/>
  <c r="K251" i="28" s="1"/>
  <c r="J252" i="28"/>
  <c r="K252" i="28" s="1"/>
  <c r="J253" i="28"/>
  <c r="K253" i="28" s="1"/>
  <c r="J254" i="28"/>
  <c r="K254" i="28" s="1"/>
  <c r="J255" i="28"/>
  <c r="K255" i="28" s="1"/>
  <c r="J256" i="28"/>
  <c r="K256" i="28" s="1"/>
  <c r="J257" i="28"/>
  <c r="K257" i="28" s="1"/>
  <c r="J258" i="28"/>
  <c r="K258" i="28" s="1"/>
  <c r="J259" i="28"/>
  <c r="K259" i="28" s="1"/>
  <c r="J260" i="28"/>
  <c r="K260" i="28" s="1"/>
  <c r="J261" i="28"/>
  <c r="K261" i="28" s="1"/>
  <c r="J262" i="28"/>
  <c r="K262" i="28" s="1"/>
  <c r="J263" i="28"/>
  <c r="K263" i="28" s="1"/>
  <c r="J264" i="28"/>
  <c r="K264" i="28" s="1"/>
  <c r="J265" i="28"/>
  <c r="K265" i="28" s="1"/>
  <c r="J266" i="28"/>
  <c r="K266" i="28" s="1"/>
  <c r="J267" i="28"/>
  <c r="K267" i="28" s="1"/>
  <c r="J268" i="28"/>
  <c r="K268" i="28" s="1"/>
  <c r="J269" i="28"/>
  <c r="K269" i="28" s="1"/>
  <c r="J270" i="28"/>
  <c r="K270" i="28" s="1"/>
  <c r="J271" i="28"/>
  <c r="K271" i="28" s="1"/>
  <c r="J272" i="28"/>
  <c r="K272" i="28" s="1"/>
  <c r="J273" i="28"/>
  <c r="K273" i="28" s="1"/>
  <c r="J274" i="28"/>
  <c r="K274" i="28" s="1"/>
  <c r="J275" i="28"/>
  <c r="K275" i="28" s="1"/>
  <c r="J276" i="28"/>
  <c r="K276" i="28" s="1"/>
  <c r="J277" i="28"/>
  <c r="K277" i="28" s="1"/>
  <c r="J278" i="28"/>
  <c r="K278" i="28" s="1"/>
  <c r="J279" i="28"/>
  <c r="K279" i="28" s="1"/>
  <c r="J280" i="28"/>
  <c r="K280" i="28" s="1"/>
  <c r="J281" i="28"/>
  <c r="K281" i="28" s="1"/>
  <c r="J282" i="28"/>
  <c r="K282" i="28" s="1"/>
  <c r="J283" i="28"/>
  <c r="K283" i="28" s="1"/>
  <c r="J284" i="28"/>
  <c r="K284" i="28" s="1"/>
  <c r="J285" i="28"/>
  <c r="K285" i="28" s="1"/>
  <c r="J286" i="28"/>
  <c r="K286" i="28" s="1"/>
  <c r="J287" i="28"/>
  <c r="K287" i="28" s="1"/>
  <c r="J288" i="28"/>
  <c r="K288" i="28" s="1"/>
  <c r="J289" i="28"/>
  <c r="K289" i="28" s="1"/>
  <c r="J290" i="28"/>
  <c r="K290" i="28" s="1"/>
  <c r="J291" i="28"/>
  <c r="K291" i="28" s="1"/>
  <c r="J292" i="28"/>
  <c r="K292" i="28" s="1"/>
  <c r="J293" i="28"/>
  <c r="K293" i="28" s="1"/>
  <c r="J294" i="28"/>
  <c r="K294" i="28" s="1"/>
  <c r="J295" i="28"/>
  <c r="K295" i="28" s="1"/>
  <c r="J296" i="28"/>
  <c r="K296" i="28" s="1"/>
  <c r="J297" i="28"/>
  <c r="K297" i="28" s="1"/>
  <c r="J298" i="28"/>
  <c r="K298" i="28" s="1"/>
  <c r="J299" i="28"/>
  <c r="K299" i="28" s="1"/>
  <c r="J300" i="28"/>
  <c r="K300" i="28" s="1"/>
  <c r="J301" i="28"/>
  <c r="K301" i="28" s="1"/>
  <c r="J302" i="28"/>
  <c r="K302" i="28" s="1"/>
  <c r="J303" i="28"/>
  <c r="K303" i="28" s="1"/>
  <c r="J304" i="28"/>
  <c r="K304" i="28" s="1"/>
  <c r="J305" i="28"/>
  <c r="K305" i="28" s="1"/>
  <c r="J306" i="28"/>
  <c r="K306" i="28" s="1"/>
  <c r="J307" i="28"/>
  <c r="K307" i="28" s="1"/>
  <c r="J308" i="28"/>
  <c r="K308" i="28" s="1"/>
  <c r="J309" i="28"/>
  <c r="K309" i="28" s="1"/>
  <c r="J310" i="28"/>
  <c r="K310" i="28" s="1"/>
  <c r="J311" i="28"/>
  <c r="K311" i="28" s="1"/>
  <c r="J312" i="28"/>
  <c r="K312" i="28" s="1"/>
  <c r="J313" i="28"/>
  <c r="K313" i="28" s="1"/>
  <c r="J314" i="28"/>
  <c r="K314" i="28" s="1"/>
  <c r="J315" i="28"/>
  <c r="K315" i="28" s="1"/>
  <c r="J316" i="28"/>
  <c r="K316" i="28" s="1"/>
  <c r="J317" i="28"/>
  <c r="K317" i="28" s="1"/>
  <c r="J318" i="28"/>
  <c r="K318" i="28" s="1"/>
  <c r="J319" i="28"/>
  <c r="K319" i="28" s="1"/>
  <c r="J320" i="28"/>
  <c r="K320" i="28" s="1"/>
  <c r="J321" i="28"/>
  <c r="K321" i="28" s="1"/>
  <c r="J322" i="28"/>
  <c r="K322" i="28" s="1"/>
  <c r="J323" i="28"/>
  <c r="K323" i="28" s="1"/>
  <c r="J324" i="28"/>
  <c r="K324" i="28" s="1"/>
  <c r="J325" i="28"/>
  <c r="K325" i="28" s="1"/>
  <c r="J326" i="28"/>
  <c r="K326" i="28" s="1"/>
  <c r="J327" i="28"/>
  <c r="K327" i="28" s="1"/>
  <c r="J328" i="28"/>
  <c r="K328" i="28" s="1"/>
  <c r="J329" i="28"/>
  <c r="K329" i="28" s="1"/>
  <c r="J330" i="28"/>
  <c r="K330" i="28" s="1"/>
  <c r="J331" i="28"/>
  <c r="K331" i="28" s="1"/>
  <c r="J332" i="28"/>
  <c r="K332" i="28" s="1"/>
  <c r="J333" i="28"/>
  <c r="K333" i="28" s="1"/>
  <c r="J334" i="28"/>
  <c r="K334" i="28" s="1"/>
  <c r="J335" i="28"/>
  <c r="K335" i="28" s="1"/>
  <c r="J336" i="28"/>
  <c r="K336" i="28" s="1"/>
  <c r="J337" i="28"/>
  <c r="K337" i="28" s="1"/>
  <c r="J338" i="28"/>
  <c r="K338" i="28" s="1"/>
  <c r="J339" i="28"/>
  <c r="K339" i="28" s="1"/>
  <c r="J340" i="28"/>
  <c r="K340" i="28" s="1"/>
  <c r="J341" i="28"/>
  <c r="K341" i="28" s="1"/>
  <c r="J342" i="28"/>
  <c r="K342" i="28" s="1"/>
  <c r="J343" i="28"/>
  <c r="K343" i="28" s="1"/>
  <c r="J344" i="28"/>
  <c r="K344" i="28" s="1"/>
  <c r="J345" i="28"/>
  <c r="K345" i="28" s="1"/>
  <c r="J346" i="28"/>
  <c r="K346" i="28" s="1"/>
  <c r="J347" i="28"/>
  <c r="K347" i="28" s="1"/>
  <c r="J348" i="28"/>
  <c r="K348" i="28" s="1"/>
  <c r="J349" i="28"/>
  <c r="K349" i="28" s="1"/>
  <c r="J350" i="28"/>
  <c r="K350" i="28" s="1"/>
  <c r="J351" i="28"/>
  <c r="K351" i="28" s="1"/>
  <c r="J352" i="28"/>
  <c r="K352" i="28" s="1"/>
  <c r="J353" i="28"/>
  <c r="K353" i="28" s="1"/>
  <c r="J354" i="28"/>
  <c r="K354" i="28" s="1"/>
  <c r="J355" i="28"/>
  <c r="K355" i="28" s="1"/>
  <c r="J356" i="28"/>
  <c r="K356" i="28" s="1"/>
  <c r="J357" i="28"/>
  <c r="K357" i="28" s="1"/>
  <c r="J358" i="28"/>
  <c r="K358" i="28" s="1"/>
  <c r="J359" i="28"/>
  <c r="K359" i="28" s="1"/>
  <c r="J360" i="28"/>
  <c r="K360" i="28" s="1"/>
  <c r="J361" i="28"/>
  <c r="K361" i="28" s="1"/>
  <c r="J362" i="28"/>
  <c r="K362" i="28" s="1"/>
  <c r="J363" i="28"/>
  <c r="K363" i="28" s="1"/>
  <c r="J364" i="28"/>
  <c r="K364" i="28" s="1"/>
  <c r="J365" i="28"/>
  <c r="K365" i="28" s="1"/>
  <c r="J366" i="28"/>
  <c r="K366" i="28" s="1"/>
  <c r="J367" i="28"/>
  <c r="K367" i="28" s="1"/>
  <c r="J368" i="28"/>
  <c r="K368" i="28" s="1"/>
  <c r="J369" i="28"/>
  <c r="K369" i="28" s="1"/>
  <c r="J370" i="28"/>
  <c r="K370" i="28" s="1"/>
  <c r="J371" i="28"/>
  <c r="K371" i="28" s="1"/>
  <c r="J372" i="28"/>
  <c r="K372" i="28" s="1"/>
  <c r="J373" i="28"/>
  <c r="K373" i="28" s="1"/>
  <c r="J374" i="28"/>
  <c r="K374" i="28" s="1"/>
  <c r="J375" i="28"/>
  <c r="K375" i="28" s="1"/>
  <c r="J376" i="28"/>
  <c r="K376" i="28" s="1"/>
  <c r="J377" i="28"/>
  <c r="K377" i="28" s="1"/>
  <c r="J378" i="28"/>
  <c r="K378" i="28" s="1"/>
  <c r="J379" i="28"/>
  <c r="K379" i="28" s="1"/>
  <c r="J380" i="28"/>
  <c r="K380" i="28" s="1"/>
  <c r="J381" i="28"/>
  <c r="K381" i="28" s="1"/>
  <c r="J382" i="28"/>
  <c r="K382" i="28" s="1"/>
  <c r="J383" i="28"/>
  <c r="K383" i="28" s="1"/>
  <c r="J384" i="28"/>
  <c r="K384" i="28" s="1"/>
  <c r="J385" i="28"/>
  <c r="K385" i="28" s="1"/>
  <c r="J386" i="28"/>
  <c r="K386" i="28" s="1"/>
  <c r="J387" i="28"/>
  <c r="K387" i="28" s="1"/>
  <c r="J388" i="28"/>
  <c r="K388" i="28" s="1"/>
  <c r="J389" i="28"/>
  <c r="K389" i="28" s="1"/>
  <c r="J390" i="28"/>
  <c r="K390" i="28" s="1"/>
  <c r="J391" i="28"/>
  <c r="K391" i="28" s="1"/>
  <c r="J392" i="28"/>
  <c r="K392" i="28" s="1"/>
  <c r="J393" i="28"/>
  <c r="K393" i="28" s="1"/>
  <c r="J394" i="28"/>
  <c r="K394" i="28" s="1"/>
  <c r="J395" i="28"/>
  <c r="K395" i="28" s="1"/>
  <c r="J396" i="28"/>
  <c r="K396" i="28" s="1"/>
  <c r="J397" i="28"/>
  <c r="K397" i="28" s="1"/>
  <c r="J398" i="28"/>
  <c r="K398" i="28" s="1"/>
  <c r="J399" i="28"/>
  <c r="K399" i="28" s="1"/>
  <c r="J400" i="28"/>
  <c r="K400" i="28" s="1"/>
  <c r="J401" i="28"/>
  <c r="K401" i="28" s="1"/>
  <c r="J402" i="28"/>
  <c r="K402" i="28" s="1"/>
  <c r="J403" i="28"/>
  <c r="K403" i="28" s="1"/>
  <c r="J404" i="28"/>
  <c r="K404" i="28" s="1"/>
  <c r="J405" i="28"/>
  <c r="K405" i="28" s="1"/>
  <c r="J406" i="28"/>
  <c r="K406" i="28" s="1"/>
  <c r="J407" i="28"/>
  <c r="K407" i="28" s="1"/>
  <c r="J408" i="28"/>
  <c r="K408" i="28" s="1"/>
  <c r="J409" i="28"/>
  <c r="K409" i="28" s="1"/>
  <c r="J410" i="28"/>
  <c r="K410" i="28" s="1"/>
  <c r="J411" i="28"/>
  <c r="K411" i="28" s="1"/>
  <c r="J412" i="28"/>
  <c r="K412" i="28" s="1"/>
  <c r="J413" i="28"/>
  <c r="K413" i="28" s="1"/>
  <c r="J414" i="28"/>
  <c r="K414" i="28" s="1"/>
  <c r="J415" i="28"/>
  <c r="K415" i="28" s="1"/>
  <c r="J416" i="28"/>
  <c r="K416" i="28" s="1"/>
  <c r="J417" i="28"/>
  <c r="K417" i="28" s="1"/>
  <c r="J418" i="28"/>
  <c r="K418" i="28" s="1"/>
  <c r="J419" i="28"/>
  <c r="K419" i="28" s="1"/>
  <c r="J420" i="28"/>
  <c r="K420" i="28" s="1"/>
  <c r="J421" i="28"/>
  <c r="K421" i="28" s="1"/>
  <c r="J422" i="28"/>
  <c r="K422" i="28" s="1"/>
  <c r="J423" i="28"/>
  <c r="K423" i="28" s="1"/>
  <c r="J424" i="28"/>
  <c r="K424" i="28" s="1"/>
  <c r="J425" i="28"/>
  <c r="K425" i="28" s="1"/>
  <c r="J426" i="28"/>
  <c r="K426" i="28" s="1"/>
  <c r="J427" i="28"/>
  <c r="K427" i="28" s="1"/>
  <c r="J428" i="28"/>
  <c r="K428" i="28" s="1"/>
  <c r="J429" i="28"/>
  <c r="K429" i="28" s="1"/>
  <c r="J430" i="28"/>
  <c r="K430" i="28" s="1"/>
  <c r="J431" i="28"/>
  <c r="K431" i="28" s="1"/>
  <c r="J432" i="28"/>
  <c r="K432" i="28" s="1"/>
  <c r="J433" i="28"/>
  <c r="K433" i="28" s="1"/>
  <c r="J434" i="28"/>
  <c r="K434" i="28" s="1"/>
  <c r="J435" i="28"/>
  <c r="K435" i="28" s="1"/>
  <c r="J436" i="28"/>
  <c r="K436" i="28" s="1"/>
  <c r="J437" i="28"/>
  <c r="K437" i="28" s="1"/>
  <c r="J438" i="28"/>
  <c r="K438" i="28" s="1"/>
  <c r="J439" i="28"/>
  <c r="K439" i="28" s="1"/>
  <c r="J440" i="28"/>
  <c r="K440" i="28" s="1"/>
  <c r="J441" i="28"/>
  <c r="K441" i="28" s="1"/>
  <c r="J442" i="28"/>
  <c r="K442" i="28" s="1"/>
  <c r="J443" i="28"/>
  <c r="K443" i="28" s="1"/>
  <c r="J444" i="28"/>
  <c r="K444" i="28" s="1"/>
  <c r="J445" i="28"/>
  <c r="K445" i="28" s="1"/>
  <c r="J446" i="28"/>
  <c r="K446" i="28" s="1"/>
  <c r="J447" i="28"/>
  <c r="K447" i="28" s="1"/>
  <c r="J448" i="28"/>
  <c r="K448" i="28" s="1"/>
  <c r="J449" i="28"/>
  <c r="K449" i="28" s="1"/>
  <c r="J450" i="28"/>
  <c r="K450" i="28" s="1"/>
  <c r="J451" i="28"/>
  <c r="K451" i="28" s="1"/>
  <c r="J452" i="28"/>
  <c r="K452" i="28" s="1"/>
  <c r="J453" i="28"/>
  <c r="K453" i="28" s="1"/>
  <c r="J454" i="28"/>
  <c r="K454" i="28" s="1"/>
  <c r="J455" i="28"/>
  <c r="K455" i="28" s="1"/>
  <c r="J456" i="28"/>
  <c r="K456" i="28" s="1"/>
  <c r="J457" i="28"/>
  <c r="K457" i="28" s="1"/>
  <c r="J458" i="28"/>
  <c r="K458" i="28" s="1"/>
  <c r="J459" i="28"/>
  <c r="K459" i="28" s="1"/>
  <c r="J460" i="28"/>
  <c r="K460" i="28" s="1"/>
  <c r="J461" i="28"/>
  <c r="K461" i="28" s="1"/>
  <c r="J462" i="28"/>
  <c r="K462" i="28" s="1"/>
  <c r="J463" i="28"/>
  <c r="K463" i="28" s="1"/>
  <c r="J464" i="28"/>
  <c r="K464" i="28" s="1"/>
  <c r="J465" i="28"/>
  <c r="K465" i="28" s="1"/>
  <c r="J466" i="28"/>
  <c r="K466" i="28" s="1"/>
  <c r="J467" i="28"/>
  <c r="K467" i="28" s="1"/>
  <c r="J468" i="28"/>
  <c r="K468" i="28" s="1"/>
  <c r="J469" i="28"/>
  <c r="K469" i="28" s="1"/>
  <c r="J470" i="28"/>
  <c r="K470" i="28" s="1"/>
  <c r="J471" i="28"/>
  <c r="K471" i="28" s="1"/>
  <c r="J472" i="28"/>
  <c r="K472" i="28" s="1"/>
  <c r="J473" i="28"/>
  <c r="K473" i="28" s="1"/>
  <c r="J474" i="28"/>
  <c r="K474" i="28" s="1"/>
  <c r="J475" i="28"/>
  <c r="K475" i="28" s="1"/>
  <c r="J476" i="28"/>
  <c r="K476" i="28" s="1"/>
  <c r="J477" i="28"/>
  <c r="K477" i="28" s="1"/>
  <c r="J478" i="28"/>
  <c r="K478" i="28" s="1"/>
  <c r="J479" i="28"/>
  <c r="K479" i="28" s="1"/>
  <c r="J480" i="28"/>
  <c r="K480" i="28" s="1"/>
  <c r="J481" i="28"/>
  <c r="K481" i="28" s="1"/>
  <c r="J482" i="28"/>
  <c r="K482" i="28" s="1"/>
  <c r="J483" i="28"/>
  <c r="K483" i="28" s="1"/>
  <c r="J484" i="28"/>
  <c r="K484" i="28" s="1"/>
  <c r="J485" i="28"/>
  <c r="K485" i="28" s="1"/>
  <c r="J486" i="28"/>
  <c r="K486" i="28" s="1"/>
  <c r="J487" i="28"/>
  <c r="K487" i="28" s="1"/>
  <c r="J488" i="28"/>
  <c r="K488" i="28" s="1"/>
  <c r="J489" i="28"/>
  <c r="K489" i="28" s="1"/>
  <c r="J490" i="28"/>
  <c r="K490" i="28" s="1"/>
  <c r="J491" i="28"/>
  <c r="K491" i="28" s="1"/>
  <c r="J492" i="28"/>
  <c r="K492" i="28" s="1"/>
  <c r="J493" i="28"/>
  <c r="K493" i="28" s="1"/>
  <c r="J494" i="28"/>
  <c r="K494" i="28" s="1"/>
  <c r="J495" i="28"/>
  <c r="K495" i="28" s="1"/>
  <c r="J496" i="28"/>
  <c r="K496" i="28" s="1"/>
  <c r="J497" i="28"/>
  <c r="K497" i="28" s="1"/>
  <c r="J498" i="28"/>
  <c r="K498" i="28" s="1"/>
  <c r="J499" i="28"/>
  <c r="K499" i="28" s="1"/>
  <c r="J500" i="28"/>
  <c r="K500" i="28" s="1"/>
  <c r="J501" i="28"/>
  <c r="K501" i="28" s="1"/>
  <c r="J502" i="28"/>
  <c r="K502" i="28" s="1"/>
  <c r="J503" i="28"/>
  <c r="K503" i="28" s="1"/>
  <c r="J504" i="28"/>
  <c r="K504" i="28" s="1"/>
  <c r="J505" i="28"/>
  <c r="K505" i="28" s="1"/>
  <c r="J506" i="28"/>
  <c r="K506" i="28" s="1"/>
  <c r="J507" i="28"/>
  <c r="K507" i="28" s="1"/>
  <c r="J508" i="28"/>
  <c r="K508" i="28" s="1"/>
  <c r="J509" i="28"/>
  <c r="K509" i="28" s="1"/>
  <c r="J510" i="28"/>
  <c r="K510" i="28" s="1"/>
  <c r="J511" i="28"/>
  <c r="K511" i="28" s="1"/>
  <c r="J512" i="28"/>
  <c r="K512" i="28" s="1"/>
  <c r="J513" i="28"/>
  <c r="K513" i="28" s="1"/>
  <c r="J514" i="28"/>
  <c r="K514" i="28" s="1"/>
  <c r="J515" i="28"/>
  <c r="K515" i="28" s="1"/>
  <c r="J516" i="28"/>
  <c r="K516" i="28" s="1"/>
  <c r="J517" i="28"/>
  <c r="K517" i="28" s="1"/>
  <c r="J518" i="28"/>
  <c r="K518" i="28" s="1"/>
  <c r="J519" i="28"/>
  <c r="K519" i="28" s="1"/>
  <c r="J520" i="28"/>
  <c r="K520" i="28" s="1"/>
  <c r="J521" i="28"/>
  <c r="K521" i="28" s="1"/>
  <c r="J522" i="28"/>
  <c r="K522" i="28" s="1"/>
  <c r="J523" i="28"/>
  <c r="K523" i="28" s="1"/>
  <c r="J524" i="28"/>
  <c r="K524" i="28" s="1"/>
  <c r="J525" i="28"/>
  <c r="K525" i="28" s="1"/>
  <c r="J526" i="28"/>
  <c r="K526" i="28" s="1"/>
  <c r="J527" i="28"/>
  <c r="K527" i="28" s="1"/>
  <c r="J528" i="28"/>
  <c r="K528" i="28" s="1"/>
  <c r="J529" i="28"/>
  <c r="K529" i="28" s="1"/>
  <c r="J530" i="28"/>
  <c r="K530" i="28" s="1"/>
  <c r="J531" i="28"/>
  <c r="K531" i="28" s="1"/>
  <c r="J532" i="28"/>
  <c r="K532" i="28" s="1"/>
  <c r="J533" i="28"/>
  <c r="K533" i="28" s="1"/>
  <c r="J534" i="28"/>
  <c r="K534" i="28" s="1"/>
  <c r="J535" i="28"/>
  <c r="K535" i="28" s="1"/>
  <c r="J536" i="28"/>
  <c r="K536" i="28" s="1"/>
  <c r="J537" i="28"/>
  <c r="K537" i="28" s="1"/>
  <c r="J538" i="28"/>
  <c r="K538" i="28" s="1"/>
  <c r="J539" i="28"/>
  <c r="K539" i="28" s="1"/>
  <c r="J540" i="28"/>
  <c r="K540" i="28" s="1"/>
  <c r="J541" i="28"/>
  <c r="K541" i="28" s="1"/>
  <c r="J542" i="28"/>
  <c r="K542" i="28" s="1"/>
  <c r="J543" i="28"/>
  <c r="K543" i="28" s="1"/>
  <c r="J544" i="28"/>
  <c r="K544" i="28" s="1"/>
  <c r="J545" i="28"/>
  <c r="K545" i="28" s="1"/>
  <c r="J546" i="28"/>
  <c r="K546" i="28" s="1"/>
  <c r="J547" i="28"/>
  <c r="K547" i="28" s="1"/>
  <c r="J548" i="28"/>
  <c r="K548" i="28" s="1"/>
  <c r="J549" i="28"/>
  <c r="K549" i="28" s="1"/>
  <c r="J550" i="28"/>
  <c r="K550" i="28" s="1"/>
  <c r="J551" i="28"/>
  <c r="K551" i="28" s="1"/>
  <c r="J552" i="28"/>
  <c r="K552" i="28" s="1"/>
  <c r="J553" i="28"/>
  <c r="K553" i="28" s="1"/>
  <c r="J554" i="28"/>
  <c r="K554" i="28" s="1"/>
  <c r="J555" i="28"/>
  <c r="K555" i="28" s="1"/>
  <c r="J556" i="28"/>
  <c r="K556" i="28" s="1"/>
  <c r="J557" i="28"/>
  <c r="K557" i="28" s="1"/>
  <c r="J558" i="28"/>
  <c r="K558" i="28" s="1"/>
  <c r="J559" i="28"/>
  <c r="K559" i="28" s="1"/>
  <c r="J560" i="28"/>
  <c r="K560" i="28" s="1"/>
  <c r="J561" i="28"/>
  <c r="K561" i="28" s="1"/>
  <c r="J562" i="28"/>
  <c r="K562" i="28" s="1"/>
  <c r="J563" i="28"/>
  <c r="K563" i="28" s="1"/>
  <c r="J564" i="28"/>
  <c r="K564" i="28" s="1"/>
  <c r="J565" i="28"/>
  <c r="K565" i="28" s="1"/>
  <c r="J566" i="28"/>
  <c r="K566" i="28" s="1"/>
  <c r="J567" i="28"/>
  <c r="K567" i="28" s="1"/>
  <c r="J568" i="28"/>
  <c r="K568" i="28" s="1"/>
  <c r="J569" i="28"/>
  <c r="K569" i="28" s="1"/>
  <c r="J570" i="28"/>
  <c r="K570" i="28" s="1"/>
  <c r="J571" i="28"/>
  <c r="K571" i="28" s="1"/>
  <c r="J572" i="28"/>
  <c r="K572" i="28" s="1"/>
  <c r="J573" i="28"/>
  <c r="K573" i="28" s="1"/>
  <c r="J574" i="28"/>
  <c r="K574" i="28" s="1"/>
  <c r="J575" i="28"/>
  <c r="K575" i="28" s="1"/>
  <c r="J576" i="28"/>
  <c r="K576" i="28" s="1"/>
  <c r="J577" i="28"/>
  <c r="K577" i="28" s="1"/>
  <c r="J578" i="28"/>
  <c r="K578" i="28" s="1"/>
  <c r="J579" i="28"/>
  <c r="K579" i="28" s="1"/>
  <c r="J580" i="28"/>
  <c r="K580" i="28" s="1"/>
  <c r="J581" i="28"/>
  <c r="K581" i="28" s="1"/>
  <c r="J582" i="28"/>
  <c r="K582" i="28" s="1"/>
  <c r="J583" i="28"/>
  <c r="K583" i="28" s="1"/>
  <c r="J584" i="28"/>
  <c r="K584" i="28" s="1"/>
  <c r="J585" i="28"/>
  <c r="K585" i="28" s="1"/>
  <c r="J586" i="28"/>
  <c r="K586" i="28" s="1"/>
  <c r="J587" i="28"/>
  <c r="K587" i="28" s="1"/>
  <c r="J588" i="28"/>
  <c r="K588" i="28" s="1"/>
  <c r="J589" i="28"/>
  <c r="K589" i="28" s="1"/>
  <c r="J590" i="28"/>
  <c r="K590" i="28" s="1"/>
  <c r="J591" i="28"/>
  <c r="K591" i="28" s="1"/>
  <c r="J592" i="28"/>
  <c r="K592" i="28" s="1"/>
  <c r="J593" i="28"/>
  <c r="K593" i="28" s="1"/>
  <c r="J594" i="28"/>
  <c r="K594" i="28" s="1"/>
  <c r="J595" i="28"/>
  <c r="K595" i="28" s="1"/>
  <c r="J596" i="28"/>
  <c r="K596" i="28" s="1"/>
  <c r="J597" i="28"/>
  <c r="K597" i="28" s="1"/>
  <c r="J598" i="28"/>
  <c r="K598" i="28" s="1"/>
  <c r="J599" i="28"/>
  <c r="K599" i="28" s="1"/>
  <c r="J600" i="28"/>
  <c r="K600" i="28" s="1"/>
  <c r="J601" i="28"/>
  <c r="K601" i="28" s="1"/>
  <c r="J602" i="28"/>
  <c r="K602" i="28" s="1"/>
  <c r="J603" i="28"/>
  <c r="K603" i="28" s="1"/>
  <c r="J604" i="28"/>
  <c r="K604" i="28" s="1"/>
  <c r="J605" i="28"/>
  <c r="K605" i="28" s="1"/>
  <c r="J606" i="28"/>
  <c r="K606" i="28" s="1"/>
  <c r="J607" i="28"/>
  <c r="K607" i="28" s="1"/>
  <c r="J608" i="28"/>
  <c r="K608" i="28" s="1"/>
  <c r="J609" i="28"/>
  <c r="K609" i="28" s="1"/>
  <c r="J610" i="28"/>
  <c r="K610" i="28" s="1"/>
  <c r="J611" i="28"/>
  <c r="K611" i="28" s="1"/>
  <c r="J612" i="28"/>
  <c r="K612" i="28" s="1"/>
  <c r="J613" i="28"/>
  <c r="K613" i="28" s="1"/>
  <c r="J614" i="28"/>
  <c r="K614" i="28" s="1"/>
  <c r="J615" i="28"/>
  <c r="K615" i="28" s="1"/>
  <c r="J616" i="28"/>
  <c r="K616" i="28" s="1"/>
  <c r="J617" i="28"/>
  <c r="K617" i="28" s="1"/>
  <c r="J618" i="28"/>
  <c r="K618" i="28" s="1"/>
  <c r="J619" i="28"/>
  <c r="K619" i="28" s="1"/>
  <c r="J620" i="28"/>
  <c r="K620" i="28" s="1"/>
  <c r="J621" i="28"/>
  <c r="K621" i="28" s="1"/>
  <c r="J622" i="28"/>
  <c r="K622" i="28" s="1"/>
  <c r="J623" i="28"/>
  <c r="K623" i="28" s="1"/>
  <c r="J624" i="28"/>
  <c r="K624" i="28" s="1"/>
  <c r="J625" i="28"/>
  <c r="K625" i="28" s="1"/>
  <c r="J626" i="28"/>
  <c r="K626" i="28" s="1"/>
  <c r="J627" i="28"/>
  <c r="K627" i="28" s="1"/>
  <c r="J628" i="28"/>
  <c r="K628" i="28" s="1"/>
  <c r="J629" i="28"/>
  <c r="K629" i="28" s="1"/>
  <c r="J630" i="28"/>
  <c r="K630" i="28" s="1"/>
  <c r="J631" i="28"/>
  <c r="K631" i="28" s="1"/>
  <c r="J632" i="28"/>
  <c r="K632" i="28" s="1"/>
  <c r="J633" i="28"/>
  <c r="K633" i="28" s="1"/>
  <c r="J634" i="28"/>
  <c r="K634" i="28" s="1"/>
  <c r="J635" i="28"/>
  <c r="K635" i="28" s="1"/>
  <c r="J636" i="28"/>
  <c r="K636" i="28" s="1"/>
  <c r="J637" i="28"/>
  <c r="K637" i="28" s="1"/>
  <c r="J638" i="28"/>
  <c r="K638" i="28" s="1"/>
  <c r="J639" i="28"/>
  <c r="K639" i="28" s="1"/>
  <c r="J640" i="28"/>
  <c r="K640" i="28" s="1"/>
  <c r="J641" i="28"/>
  <c r="K641" i="28" s="1"/>
  <c r="J642" i="28"/>
  <c r="K642" i="28" s="1"/>
  <c r="J643" i="28"/>
  <c r="K643" i="28" s="1"/>
  <c r="J644" i="28"/>
  <c r="K644" i="28" s="1"/>
  <c r="J645" i="28"/>
  <c r="K645" i="28" s="1"/>
  <c r="J646" i="28"/>
  <c r="K646" i="28" s="1"/>
  <c r="J647" i="28"/>
  <c r="K647" i="28" s="1"/>
  <c r="J648" i="28"/>
  <c r="K648" i="28" s="1"/>
  <c r="J649" i="28"/>
  <c r="K649" i="28" s="1"/>
  <c r="J650" i="28"/>
  <c r="K650" i="28" s="1"/>
  <c r="J651" i="28"/>
  <c r="K651" i="28" s="1"/>
  <c r="J652" i="28"/>
  <c r="K652" i="28" s="1"/>
  <c r="J653" i="28"/>
  <c r="K653" i="28" s="1"/>
  <c r="J654" i="28"/>
  <c r="K654" i="28" s="1"/>
  <c r="J655" i="28"/>
  <c r="K655" i="28" s="1"/>
  <c r="J656" i="28"/>
  <c r="K656" i="28" s="1"/>
  <c r="J657" i="28"/>
  <c r="K657" i="28" s="1"/>
  <c r="J658" i="28"/>
  <c r="K658" i="28" s="1"/>
  <c r="J659" i="28"/>
  <c r="K659" i="28" s="1"/>
  <c r="J660" i="28"/>
  <c r="K660" i="28" s="1"/>
  <c r="J661" i="28"/>
  <c r="K661" i="28" s="1"/>
  <c r="J662" i="28"/>
  <c r="K662" i="28" s="1"/>
  <c r="J663" i="28"/>
  <c r="K663" i="28" s="1"/>
  <c r="J664" i="28"/>
  <c r="K664" i="28" s="1"/>
  <c r="J665" i="28"/>
  <c r="K665" i="28" s="1"/>
  <c r="J666" i="28"/>
  <c r="K666" i="28" s="1"/>
  <c r="J667" i="28"/>
  <c r="K667" i="28" s="1"/>
  <c r="J668" i="28"/>
  <c r="K668" i="28" s="1"/>
  <c r="J669" i="28"/>
  <c r="K669" i="28" s="1"/>
  <c r="J670" i="28"/>
  <c r="K670" i="28" s="1"/>
  <c r="J671" i="28"/>
  <c r="K671" i="28" s="1"/>
  <c r="J672" i="28"/>
  <c r="K672" i="28" s="1"/>
  <c r="J673" i="28"/>
  <c r="K673" i="28" s="1"/>
  <c r="J674" i="28"/>
  <c r="K674" i="28" s="1"/>
  <c r="J675" i="28"/>
  <c r="K675" i="28" s="1"/>
  <c r="J676" i="28"/>
  <c r="K676" i="28" s="1"/>
  <c r="J677" i="28"/>
  <c r="K677" i="28" s="1"/>
  <c r="J678" i="28"/>
  <c r="K678" i="28" s="1"/>
  <c r="J679" i="28"/>
  <c r="K679" i="28" s="1"/>
  <c r="J680" i="28"/>
  <c r="K680" i="28" s="1"/>
  <c r="J681" i="28"/>
  <c r="K681" i="28" s="1"/>
  <c r="J682" i="28"/>
  <c r="K682" i="28" s="1"/>
  <c r="J683" i="28"/>
  <c r="K683" i="28" s="1"/>
  <c r="J684" i="28"/>
  <c r="K684" i="28" s="1"/>
  <c r="J685" i="28"/>
  <c r="K685" i="28" s="1"/>
  <c r="J686" i="28"/>
  <c r="K686" i="28" s="1"/>
  <c r="J687" i="28"/>
  <c r="K687" i="28" s="1"/>
  <c r="J688" i="28"/>
  <c r="K688" i="28" s="1"/>
  <c r="J689" i="28"/>
  <c r="K689" i="28" s="1"/>
  <c r="J690" i="28"/>
  <c r="K690" i="28" s="1"/>
  <c r="J691" i="28"/>
  <c r="K691" i="28" s="1"/>
  <c r="J692" i="28"/>
  <c r="K692" i="28" s="1"/>
  <c r="J693" i="28"/>
  <c r="K693" i="28" s="1"/>
  <c r="J694" i="28"/>
  <c r="K694" i="28" s="1"/>
  <c r="J695" i="28"/>
  <c r="K695" i="28" s="1"/>
  <c r="J696" i="28"/>
  <c r="K696" i="28" s="1"/>
  <c r="J697" i="28"/>
  <c r="K697" i="28" s="1"/>
  <c r="J698" i="28"/>
  <c r="K698" i="28" s="1"/>
  <c r="J699" i="28"/>
  <c r="K699" i="28" s="1"/>
  <c r="J700" i="28"/>
  <c r="K700" i="28" s="1"/>
  <c r="J701" i="28"/>
  <c r="K701" i="28" s="1"/>
  <c r="J702" i="28"/>
  <c r="K702" i="28" s="1"/>
  <c r="J703" i="28"/>
  <c r="K703" i="28" s="1"/>
  <c r="J704" i="28"/>
  <c r="K704" i="28" s="1"/>
  <c r="J705" i="28"/>
  <c r="K705" i="28" s="1"/>
  <c r="J706" i="28"/>
  <c r="K706" i="28" s="1"/>
  <c r="J707" i="28"/>
  <c r="K707" i="28" s="1"/>
  <c r="J708" i="28"/>
  <c r="K708" i="28" s="1"/>
  <c r="J709" i="28"/>
  <c r="K709" i="28" s="1"/>
  <c r="J710" i="28"/>
  <c r="K710" i="28" s="1"/>
  <c r="J711" i="28"/>
  <c r="K711" i="28" s="1"/>
  <c r="J712" i="28"/>
  <c r="K712" i="28" s="1"/>
  <c r="J713" i="28"/>
  <c r="K713" i="28" s="1"/>
  <c r="J714" i="28"/>
  <c r="K714" i="28" s="1"/>
  <c r="J715" i="28"/>
  <c r="K715" i="28" s="1"/>
  <c r="J716" i="28"/>
  <c r="K716" i="28" s="1"/>
  <c r="J717" i="28"/>
  <c r="K717" i="28" s="1"/>
  <c r="J718" i="28"/>
  <c r="K718" i="28" s="1"/>
  <c r="J719" i="28"/>
  <c r="K719" i="28" s="1"/>
  <c r="J720" i="28"/>
  <c r="K720" i="28" s="1"/>
  <c r="J721" i="28"/>
  <c r="K721" i="28" s="1"/>
  <c r="J722" i="28"/>
  <c r="K722" i="28" s="1"/>
  <c r="J723" i="28"/>
  <c r="K723" i="28" s="1"/>
  <c r="J724" i="28"/>
  <c r="K724" i="28" s="1"/>
  <c r="J725" i="28"/>
  <c r="K725" i="28" s="1"/>
  <c r="J726" i="28"/>
  <c r="K726" i="28" s="1"/>
  <c r="J727" i="28"/>
  <c r="K727" i="28" s="1"/>
  <c r="J728" i="28"/>
  <c r="K728" i="28" s="1"/>
  <c r="J729" i="28"/>
  <c r="K729" i="28" s="1"/>
  <c r="J730" i="28"/>
  <c r="K730" i="28" s="1"/>
  <c r="J731" i="28"/>
  <c r="K731" i="28" s="1"/>
  <c r="J732" i="28"/>
  <c r="K732" i="28" s="1"/>
  <c r="J733" i="28"/>
  <c r="K733" i="28" s="1"/>
  <c r="J734" i="28"/>
  <c r="K734" i="28" s="1"/>
  <c r="J735" i="28"/>
  <c r="K735" i="28" s="1"/>
  <c r="J736" i="28"/>
  <c r="K736" i="28" s="1"/>
  <c r="J737" i="28"/>
  <c r="K737" i="28" s="1"/>
  <c r="J738" i="28"/>
  <c r="K738" i="28" s="1"/>
  <c r="J739" i="28"/>
  <c r="K739" i="28" s="1"/>
  <c r="J740" i="28"/>
  <c r="K740" i="28" s="1"/>
  <c r="J741" i="28"/>
  <c r="K741" i="28" s="1"/>
  <c r="J742" i="28"/>
  <c r="K742" i="28" s="1"/>
  <c r="J743" i="28"/>
  <c r="K743" i="28" s="1"/>
  <c r="J744" i="28"/>
  <c r="K744" i="28" s="1"/>
  <c r="J745" i="28"/>
  <c r="K745" i="28" s="1"/>
  <c r="J746" i="28"/>
  <c r="K746" i="28" s="1"/>
  <c r="J747" i="28"/>
  <c r="K747" i="28" s="1"/>
  <c r="J748" i="28"/>
  <c r="K748" i="28" s="1"/>
  <c r="J749" i="28"/>
  <c r="K749" i="28" s="1"/>
  <c r="J750" i="28"/>
  <c r="K750" i="28" s="1"/>
  <c r="J751" i="28"/>
  <c r="K751" i="28" s="1"/>
  <c r="J752" i="28"/>
  <c r="K752" i="28" s="1"/>
  <c r="J753" i="28"/>
  <c r="K753" i="28" s="1"/>
  <c r="J754" i="28"/>
  <c r="K754" i="28" s="1"/>
  <c r="J755" i="28"/>
  <c r="K755" i="28" s="1"/>
  <c r="J756" i="28"/>
  <c r="K756" i="28" s="1"/>
  <c r="J757" i="28"/>
  <c r="K757" i="28" s="1"/>
  <c r="J758" i="28"/>
  <c r="K758" i="28" s="1"/>
  <c r="J759" i="28"/>
  <c r="K759" i="28" s="1"/>
  <c r="J760" i="28"/>
  <c r="K760" i="28" s="1"/>
  <c r="J761" i="28"/>
  <c r="K761" i="28" s="1"/>
  <c r="J762" i="28"/>
  <c r="K762" i="28" s="1"/>
  <c r="J763" i="28"/>
  <c r="K763" i="28" s="1"/>
  <c r="J764" i="28"/>
  <c r="K764" i="28" s="1"/>
  <c r="J765" i="28"/>
  <c r="K765" i="28" s="1"/>
  <c r="J766" i="28"/>
  <c r="K766" i="28" s="1"/>
  <c r="J767" i="28"/>
  <c r="K767" i="28" s="1"/>
  <c r="J768" i="28"/>
  <c r="K768" i="28" s="1"/>
  <c r="J769" i="28"/>
  <c r="K769" i="28" s="1"/>
  <c r="J770" i="28"/>
  <c r="K770" i="28" s="1"/>
  <c r="J771" i="28"/>
  <c r="K771" i="28" s="1"/>
  <c r="J772" i="28"/>
  <c r="K772" i="28" s="1"/>
  <c r="J773" i="28"/>
  <c r="K773" i="28" s="1"/>
  <c r="J774" i="28"/>
  <c r="K774" i="28" s="1"/>
  <c r="J775" i="28"/>
  <c r="K775" i="28" s="1"/>
  <c r="J776" i="28"/>
  <c r="K776" i="28" s="1"/>
  <c r="J777" i="28"/>
  <c r="K777" i="28" s="1"/>
  <c r="J778" i="28"/>
  <c r="K778" i="28" s="1"/>
  <c r="J779" i="28"/>
  <c r="K779" i="28" s="1"/>
  <c r="J780" i="28"/>
  <c r="K780" i="28" s="1"/>
  <c r="J781" i="28"/>
  <c r="K781" i="28" s="1"/>
  <c r="J782" i="28"/>
  <c r="K782" i="28" s="1"/>
  <c r="J783" i="28"/>
  <c r="K783" i="28" s="1"/>
  <c r="J784" i="28"/>
  <c r="K784" i="28" s="1"/>
  <c r="J785" i="28"/>
  <c r="K785" i="28" s="1"/>
  <c r="J786" i="28"/>
  <c r="K786" i="28" s="1"/>
  <c r="J787" i="28"/>
  <c r="K787" i="28" s="1"/>
  <c r="J788" i="28"/>
  <c r="K788" i="28" s="1"/>
  <c r="J789" i="28"/>
  <c r="K789" i="28" s="1"/>
  <c r="J790" i="28"/>
  <c r="K790" i="28" s="1"/>
  <c r="J791" i="28"/>
  <c r="K791" i="28" s="1"/>
  <c r="J792" i="28"/>
  <c r="K792" i="28" s="1"/>
  <c r="J793" i="28"/>
  <c r="K793" i="28" s="1"/>
  <c r="J794" i="28"/>
  <c r="K794" i="28" s="1"/>
  <c r="J795" i="28"/>
  <c r="K795" i="28" s="1"/>
  <c r="J796" i="28"/>
  <c r="K796" i="28" s="1"/>
  <c r="J797" i="28"/>
  <c r="K797" i="28" s="1"/>
  <c r="J798" i="28"/>
  <c r="K798" i="28" s="1"/>
  <c r="J799" i="28"/>
  <c r="K799" i="28" s="1"/>
  <c r="J800" i="28"/>
  <c r="K800" i="28" s="1"/>
  <c r="J801" i="28"/>
  <c r="K801" i="28" s="1"/>
  <c r="J802" i="28"/>
  <c r="K802" i="28" s="1"/>
  <c r="J803" i="28"/>
  <c r="K803" i="28" s="1"/>
  <c r="J804" i="28"/>
  <c r="K804" i="28" s="1"/>
  <c r="J805" i="28"/>
  <c r="K805" i="28" s="1"/>
  <c r="J806" i="28"/>
  <c r="K806" i="28" s="1"/>
  <c r="J807" i="28"/>
  <c r="K807" i="28" s="1"/>
  <c r="J808" i="28"/>
  <c r="K808" i="28" s="1"/>
  <c r="J809" i="28"/>
  <c r="K809" i="28" s="1"/>
  <c r="J810" i="28"/>
  <c r="K810" i="28" s="1"/>
  <c r="J811" i="28"/>
  <c r="K811" i="28" s="1"/>
  <c r="J812" i="28"/>
  <c r="K812" i="28" s="1"/>
  <c r="J813" i="28"/>
  <c r="K813" i="28" s="1"/>
  <c r="J814" i="28"/>
  <c r="K814" i="28" s="1"/>
  <c r="J815" i="28"/>
  <c r="K815" i="28" s="1"/>
  <c r="J816" i="28"/>
  <c r="K816" i="28" s="1"/>
  <c r="J817" i="28"/>
  <c r="K817" i="28" s="1"/>
  <c r="J818" i="28"/>
  <c r="K818" i="28" s="1"/>
  <c r="J819" i="28"/>
  <c r="K819" i="28" s="1"/>
  <c r="J820" i="28"/>
  <c r="K820" i="28" s="1"/>
  <c r="J821" i="28"/>
  <c r="K821" i="28" s="1"/>
  <c r="J822" i="28"/>
  <c r="K822" i="28" s="1"/>
  <c r="J823" i="28"/>
  <c r="K823" i="28" s="1"/>
  <c r="J824" i="28"/>
  <c r="K824" i="28" s="1"/>
  <c r="J825" i="28"/>
  <c r="K825" i="28" s="1"/>
  <c r="J826" i="28"/>
  <c r="K826" i="28" s="1"/>
  <c r="J827" i="28"/>
  <c r="K827" i="28" s="1"/>
  <c r="J828" i="28"/>
  <c r="K828" i="28" s="1"/>
  <c r="J829" i="28"/>
  <c r="K829" i="28" s="1"/>
  <c r="J830" i="28"/>
  <c r="K830" i="28" s="1"/>
  <c r="J831" i="28"/>
  <c r="K831" i="28" s="1"/>
  <c r="J832" i="28"/>
  <c r="K832" i="28" s="1"/>
  <c r="J833" i="28"/>
  <c r="K833" i="28" s="1"/>
  <c r="J834" i="28"/>
  <c r="K834" i="28" s="1"/>
  <c r="J835" i="28"/>
  <c r="K835" i="28" s="1"/>
  <c r="J836" i="28"/>
  <c r="K836" i="28" s="1"/>
  <c r="J837" i="28"/>
  <c r="K837" i="28" s="1"/>
  <c r="J838" i="28"/>
  <c r="K838" i="28" s="1"/>
  <c r="J839" i="28"/>
  <c r="K839" i="28" s="1"/>
  <c r="J840" i="28"/>
  <c r="K840" i="28" s="1"/>
  <c r="J841" i="28"/>
  <c r="K841" i="28" s="1"/>
  <c r="J842" i="28"/>
  <c r="K842" i="28" s="1"/>
  <c r="J843" i="28"/>
  <c r="K843" i="28" s="1"/>
  <c r="J844" i="28"/>
  <c r="K844" i="28" s="1"/>
  <c r="J845" i="28"/>
  <c r="K845" i="28" s="1"/>
  <c r="J846" i="28"/>
  <c r="K846" i="28" s="1"/>
  <c r="J847" i="28"/>
  <c r="K847" i="28" s="1"/>
  <c r="J848" i="28"/>
  <c r="K848" i="28" s="1"/>
  <c r="J849" i="28"/>
  <c r="K849" i="28" s="1"/>
  <c r="J850" i="28"/>
  <c r="K850" i="28" s="1"/>
  <c r="J851" i="28"/>
  <c r="K851" i="28" s="1"/>
  <c r="J852" i="28"/>
  <c r="K852" i="28" s="1"/>
  <c r="J853" i="28"/>
  <c r="K853" i="28" s="1"/>
  <c r="J854" i="28"/>
  <c r="K854" i="28" s="1"/>
  <c r="J855" i="28"/>
  <c r="K855" i="28" s="1"/>
  <c r="J856" i="28"/>
  <c r="K856" i="28" s="1"/>
  <c r="J857" i="28"/>
  <c r="K857" i="28" s="1"/>
  <c r="J858" i="28"/>
  <c r="K858" i="28" s="1"/>
  <c r="J859" i="28"/>
  <c r="K859" i="28" s="1"/>
  <c r="J860" i="28"/>
  <c r="K860" i="28" s="1"/>
  <c r="J861" i="28"/>
  <c r="K861" i="28" s="1"/>
  <c r="J862" i="28"/>
  <c r="K862" i="28" s="1"/>
  <c r="J863" i="28"/>
  <c r="K863" i="28" s="1"/>
  <c r="J864" i="28"/>
  <c r="K864" i="28" s="1"/>
  <c r="J865" i="28"/>
  <c r="K865" i="28" s="1"/>
  <c r="J866" i="28"/>
  <c r="K866" i="28" s="1"/>
  <c r="J867" i="28"/>
  <c r="K867" i="28" s="1"/>
  <c r="J868" i="28"/>
  <c r="K868" i="28" s="1"/>
  <c r="J869" i="28"/>
  <c r="K869" i="28" s="1"/>
  <c r="J870" i="28"/>
  <c r="K870" i="28" s="1"/>
  <c r="J871" i="28"/>
  <c r="K871" i="28" s="1"/>
  <c r="J872" i="28"/>
  <c r="K872" i="28" s="1"/>
  <c r="J873" i="28"/>
  <c r="K873" i="28" s="1"/>
  <c r="J874" i="28"/>
  <c r="K874" i="28" s="1"/>
  <c r="J875" i="28"/>
  <c r="K875" i="28" s="1"/>
  <c r="J876" i="28"/>
  <c r="K876" i="28" s="1"/>
  <c r="J877" i="28"/>
  <c r="K877" i="28" s="1"/>
  <c r="J878" i="28"/>
  <c r="K878" i="28" s="1"/>
  <c r="J879" i="28"/>
  <c r="K879" i="28" s="1"/>
  <c r="J880" i="28"/>
  <c r="K880" i="28" s="1"/>
  <c r="J881" i="28"/>
  <c r="K881" i="28" s="1"/>
  <c r="J882" i="28"/>
  <c r="K882" i="28" s="1"/>
  <c r="J883" i="28"/>
  <c r="K883" i="28" s="1"/>
  <c r="J884" i="28"/>
  <c r="K884" i="28" s="1"/>
  <c r="J885" i="28"/>
  <c r="K885" i="28" s="1"/>
  <c r="J886" i="28"/>
  <c r="K886" i="28" s="1"/>
  <c r="J887" i="28"/>
  <c r="K887" i="28" s="1"/>
  <c r="J888" i="28"/>
  <c r="K888" i="28" s="1"/>
  <c r="J889" i="28"/>
  <c r="K889" i="28" s="1"/>
  <c r="J890" i="28"/>
  <c r="K890" i="28" s="1"/>
  <c r="J891" i="28"/>
  <c r="K891" i="28" s="1"/>
  <c r="J892" i="28"/>
  <c r="K892" i="28" s="1"/>
  <c r="J893" i="28"/>
  <c r="K893" i="28" s="1"/>
  <c r="J894" i="28"/>
  <c r="K894" i="28" s="1"/>
  <c r="J895" i="28"/>
  <c r="K895" i="28" s="1"/>
  <c r="J896" i="28"/>
  <c r="K896" i="28" s="1"/>
  <c r="J897" i="28"/>
  <c r="K897" i="28" s="1"/>
  <c r="J898" i="28"/>
  <c r="K898" i="28" s="1"/>
  <c r="J899" i="28"/>
  <c r="K899" i="28" s="1"/>
  <c r="J900" i="28"/>
  <c r="K900" i="28" s="1"/>
  <c r="J901" i="28"/>
  <c r="K901" i="28" s="1"/>
  <c r="J902" i="28"/>
  <c r="K902" i="28" s="1"/>
  <c r="J903" i="28"/>
  <c r="K903" i="28" s="1"/>
  <c r="J904" i="28"/>
  <c r="K904" i="28" s="1"/>
  <c r="J905" i="28"/>
  <c r="K905" i="28" s="1"/>
  <c r="J906" i="28"/>
  <c r="K906" i="28" s="1"/>
  <c r="J907" i="28"/>
  <c r="K907" i="28" s="1"/>
  <c r="J908" i="28"/>
  <c r="K908" i="28" s="1"/>
  <c r="J909" i="28"/>
  <c r="K909" i="28" s="1"/>
  <c r="J910" i="28"/>
  <c r="K910" i="28" s="1"/>
  <c r="J911" i="28"/>
  <c r="K911" i="28" s="1"/>
  <c r="J912" i="28"/>
  <c r="K912" i="28" s="1"/>
  <c r="J913" i="28"/>
  <c r="K913" i="28" s="1"/>
  <c r="J914" i="28"/>
  <c r="K914" i="28" s="1"/>
  <c r="J915" i="28"/>
  <c r="K915" i="28" s="1"/>
  <c r="J916" i="28"/>
  <c r="K916" i="28" s="1"/>
  <c r="J917" i="28"/>
  <c r="K917" i="28" s="1"/>
  <c r="J918" i="28"/>
  <c r="K918" i="28" s="1"/>
  <c r="J919" i="28"/>
  <c r="K919" i="28" s="1"/>
  <c r="J920" i="28"/>
  <c r="K920" i="28" s="1"/>
  <c r="J921" i="28"/>
  <c r="K921" i="28" s="1"/>
  <c r="J922" i="28"/>
  <c r="K922" i="28" s="1"/>
  <c r="J923" i="28"/>
  <c r="K923" i="28" s="1"/>
  <c r="J924" i="28"/>
  <c r="K924" i="28" s="1"/>
  <c r="J925" i="28"/>
  <c r="K925" i="28" s="1"/>
  <c r="J926" i="28"/>
  <c r="K926" i="28" s="1"/>
  <c r="J927" i="28"/>
  <c r="K927" i="28" s="1"/>
  <c r="J928" i="28"/>
  <c r="K928" i="28" s="1"/>
  <c r="J929" i="28"/>
  <c r="K929" i="28" s="1"/>
  <c r="J930" i="28"/>
  <c r="K930" i="28" s="1"/>
  <c r="J931" i="28"/>
  <c r="K931" i="28" s="1"/>
  <c r="J932" i="28"/>
  <c r="K932" i="28" s="1"/>
  <c r="J933" i="28"/>
  <c r="K933" i="28" s="1"/>
  <c r="J934" i="28"/>
  <c r="K934" i="28" s="1"/>
  <c r="J935" i="28"/>
  <c r="K935" i="28" s="1"/>
  <c r="J936" i="28"/>
  <c r="K936" i="28" s="1"/>
  <c r="J937" i="28"/>
  <c r="K937" i="28" s="1"/>
  <c r="J938" i="28"/>
  <c r="K938" i="28" s="1"/>
  <c r="J939" i="28"/>
  <c r="K939" i="28" s="1"/>
  <c r="J940" i="28"/>
  <c r="K940" i="28" s="1"/>
  <c r="J941" i="28"/>
  <c r="K941" i="28" s="1"/>
  <c r="J942" i="28"/>
  <c r="K942" i="28" s="1"/>
  <c r="J943" i="28"/>
  <c r="K943" i="28" s="1"/>
  <c r="J944" i="28"/>
  <c r="K944" i="28" s="1"/>
  <c r="J945" i="28"/>
  <c r="K945" i="28" s="1"/>
  <c r="J946" i="28"/>
  <c r="K946" i="28" s="1"/>
  <c r="J947" i="28"/>
  <c r="K947" i="28" s="1"/>
  <c r="J948" i="28"/>
  <c r="K948" i="28" s="1"/>
  <c r="J949" i="28"/>
  <c r="K949" i="28" s="1"/>
  <c r="J950" i="28"/>
  <c r="K950" i="28" s="1"/>
  <c r="J951" i="28"/>
  <c r="K951" i="28" s="1"/>
  <c r="J952" i="28"/>
  <c r="K952" i="28" s="1"/>
  <c r="J953" i="28"/>
  <c r="K953" i="28" s="1"/>
  <c r="J954" i="28"/>
  <c r="K954" i="28" s="1"/>
  <c r="J955" i="28"/>
  <c r="K955" i="28" s="1"/>
  <c r="J956" i="28"/>
  <c r="K956" i="28" s="1"/>
  <c r="J957" i="28"/>
  <c r="K957" i="28" s="1"/>
  <c r="J958" i="28"/>
  <c r="K958" i="28" s="1"/>
  <c r="J959" i="28"/>
  <c r="K959" i="28" s="1"/>
  <c r="J960" i="28"/>
  <c r="K960" i="28" s="1"/>
  <c r="J961" i="28"/>
  <c r="K961" i="28" s="1"/>
  <c r="J962" i="28"/>
  <c r="K962" i="28" s="1"/>
  <c r="J963" i="28"/>
  <c r="K963" i="28" s="1"/>
  <c r="J964" i="28"/>
  <c r="K964" i="28" s="1"/>
  <c r="J965" i="28"/>
  <c r="K965" i="28" s="1"/>
  <c r="J966" i="28"/>
  <c r="K966" i="28" s="1"/>
  <c r="J967" i="28"/>
  <c r="K967" i="28" s="1"/>
  <c r="J968" i="28"/>
  <c r="K968" i="28" s="1"/>
  <c r="J969" i="28"/>
  <c r="K969" i="28" s="1"/>
  <c r="J970" i="28"/>
  <c r="K970" i="28" s="1"/>
  <c r="J971" i="28"/>
  <c r="K971" i="28" s="1"/>
  <c r="J972" i="28"/>
  <c r="K972" i="28" s="1"/>
  <c r="J973" i="28"/>
  <c r="K973" i="28" s="1"/>
  <c r="J974" i="28"/>
  <c r="K974" i="28" s="1"/>
  <c r="J975" i="28"/>
  <c r="K975" i="28" s="1"/>
  <c r="J976" i="28"/>
  <c r="K976" i="28" s="1"/>
  <c r="J977" i="28"/>
  <c r="K977" i="28" s="1"/>
  <c r="J978" i="28"/>
  <c r="K978" i="28" s="1"/>
  <c r="J979" i="28"/>
  <c r="K979" i="28" s="1"/>
  <c r="J980" i="28"/>
  <c r="K980" i="28" s="1"/>
  <c r="J981" i="28"/>
  <c r="K981" i="28" s="1"/>
  <c r="J982" i="28"/>
  <c r="K982" i="28" s="1"/>
  <c r="J983" i="28"/>
  <c r="K983" i="28" s="1"/>
  <c r="J984" i="28"/>
  <c r="K984" i="28" s="1"/>
  <c r="J985" i="28"/>
  <c r="K985" i="28" s="1"/>
  <c r="J986" i="28"/>
  <c r="K986" i="28" s="1"/>
  <c r="J987" i="28"/>
  <c r="K987" i="28" s="1"/>
  <c r="J988" i="28"/>
  <c r="K988" i="28" s="1"/>
  <c r="J989" i="28"/>
  <c r="K989" i="28" s="1"/>
  <c r="J990" i="28"/>
  <c r="K990" i="28" s="1"/>
  <c r="J991" i="28"/>
  <c r="K991" i="28" s="1"/>
  <c r="J992" i="28"/>
  <c r="K992" i="28" s="1"/>
  <c r="J993" i="28"/>
  <c r="K993" i="28" s="1"/>
  <c r="J994" i="28"/>
  <c r="K994" i="28" s="1"/>
  <c r="J995" i="28"/>
  <c r="K995" i="28" s="1"/>
  <c r="J996" i="28"/>
  <c r="K996" i="28" s="1"/>
  <c r="J997" i="28"/>
  <c r="K997" i="28" s="1"/>
  <c r="J998" i="28"/>
  <c r="K998" i="28" s="1"/>
  <c r="J999" i="28"/>
  <c r="K999" i="28" s="1"/>
  <c r="J1000" i="28"/>
  <c r="K1000" i="28" s="1"/>
  <c r="J1001" i="28"/>
  <c r="K1001" i="28" s="1"/>
  <c r="J1002" i="28"/>
  <c r="K1002" i="28" s="1"/>
  <c r="J1003" i="28"/>
  <c r="K1003" i="28" s="1"/>
  <c r="J1004" i="28"/>
  <c r="K1004" i="28" s="1"/>
  <c r="J1005" i="28"/>
  <c r="K1005" i="28" s="1"/>
  <c r="J1006" i="28"/>
  <c r="K1006" i="28" s="1"/>
  <c r="J1007" i="28"/>
  <c r="K1007" i="28" s="1"/>
  <c r="J1008" i="28"/>
  <c r="K1008" i="28" s="1"/>
  <c r="J1009" i="28"/>
  <c r="K1009" i="28" s="1"/>
  <c r="J1010" i="28"/>
  <c r="K1010" i="28" s="1"/>
  <c r="J1011" i="28"/>
  <c r="K1011" i="28" s="1"/>
  <c r="J1012" i="28"/>
  <c r="K1012" i="28" s="1"/>
  <c r="J1013" i="28"/>
  <c r="K1013" i="28" s="1"/>
  <c r="J1014" i="28"/>
  <c r="K1014" i="28" s="1"/>
  <c r="J1015" i="28"/>
  <c r="K1015" i="28" s="1"/>
  <c r="J1016" i="28"/>
  <c r="K1016" i="28" s="1"/>
  <c r="J1017" i="28"/>
  <c r="K1017" i="28" s="1"/>
  <c r="J1018" i="28"/>
  <c r="K1018" i="28" s="1"/>
  <c r="J1019" i="28"/>
  <c r="K1019" i="28" s="1"/>
  <c r="J1020" i="28"/>
  <c r="K1020" i="28" s="1"/>
  <c r="J1021" i="28"/>
  <c r="K1021" i="28" s="1"/>
  <c r="J1022" i="28"/>
  <c r="K1022" i="28" s="1"/>
  <c r="J1023" i="28"/>
  <c r="K1023" i="28" s="1"/>
  <c r="J1024" i="28"/>
  <c r="K1024" i="28" s="1"/>
  <c r="J1025" i="28"/>
  <c r="K1025" i="28" s="1"/>
  <c r="J1026" i="28"/>
  <c r="K1026" i="28" s="1"/>
  <c r="J1027" i="28"/>
  <c r="K1027" i="28" s="1"/>
  <c r="J1028" i="28"/>
  <c r="K1028" i="28" s="1"/>
  <c r="J1029" i="28"/>
  <c r="K1029" i="28" s="1"/>
  <c r="J1030" i="28"/>
  <c r="K1030" i="28" s="1"/>
  <c r="J1031" i="28"/>
  <c r="K1031" i="28" s="1"/>
  <c r="J1032" i="28"/>
  <c r="K1032" i="28" s="1"/>
  <c r="J1033" i="28"/>
  <c r="K1033" i="28" s="1"/>
  <c r="J1034" i="28"/>
  <c r="K1034" i="28" s="1"/>
  <c r="J1035" i="28"/>
  <c r="K1035" i="28" s="1"/>
  <c r="J1036" i="28"/>
  <c r="K1036" i="28" s="1"/>
  <c r="J1037" i="28"/>
  <c r="K1037" i="28" s="1"/>
  <c r="J1038" i="28"/>
  <c r="K1038" i="28" s="1"/>
  <c r="J1039" i="28"/>
  <c r="K1039" i="28" s="1"/>
  <c r="J1040" i="28"/>
  <c r="K1040" i="28" s="1"/>
  <c r="J1041" i="28"/>
  <c r="K1041" i="28" s="1"/>
  <c r="J1042" i="28"/>
  <c r="K1042" i="28" s="1"/>
  <c r="J1043" i="28"/>
  <c r="K1043" i="28" s="1"/>
  <c r="J1044" i="28"/>
  <c r="K1044" i="28" s="1"/>
  <c r="J1045" i="28"/>
  <c r="K1045" i="28" s="1"/>
  <c r="J1046" i="28"/>
  <c r="K1046" i="28" s="1"/>
  <c r="J1047" i="28"/>
  <c r="K1047" i="28" s="1"/>
  <c r="J1048" i="28"/>
  <c r="K1048" i="28" s="1"/>
  <c r="J1049" i="28"/>
  <c r="K1049" i="28" s="1"/>
  <c r="J1050" i="28"/>
  <c r="K1050" i="28" s="1"/>
  <c r="J1051" i="28"/>
  <c r="K1051" i="28" s="1"/>
  <c r="J1052" i="28"/>
  <c r="K1052" i="28" s="1"/>
  <c r="J1053" i="28"/>
  <c r="K1053" i="28" s="1"/>
  <c r="J1054" i="28"/>
  <c r="K1054" i="28" s="1"/>
  <c r="J1055" i="28"/>
  <c r="K1055" i="28" s="1"/>
  <c r="J1056" i="28"/>
  <c r="K1056" i="28" s="1"/>
  <c r="J1057" i="28"/>
  <c r="K1057" i="28" s="1"/>
  <c r="J1058" i="28"/>
  <c r="K1058" i="28" s="1"/>
  <c r="J1059" i="28"/>
  <c r="K1059" i="28" s="1"/>
  <c r="J1060" i="28"/>
  <c r="K1060" i="28" s="1"/>
  <c r="J1061" i="28"/>
  <c r="K1061" i="28" s="1"/>
  <c r="J1062" i="28"/>
  <c r="K1062" i="28" s="1"/>
  <c r="J1063" i="28"/>
  <c r="K1063" i="28" s="1"/>
  <c r="J1064" i="28"/>
  <c r="K1064" i="28" s="1"/>
  <c r="J1065" i="28"/>
  <c r="K1065" i="28" s="1"/>
  <c r="J1066" i="28"/>
  <c r="K1066" i="28" s="1"/>
  <c r="J1067" i="28"/>
  <c r="K1067" i="28" s="1"/>
  <c r="J1068" i="28"/>
  <c r="K1068" i="28" s="1"/>
  <c r="J1069" i="28"/>
  <c r="K1069" i="28" s="1"/>
  <c r="J1070" i="28"/>
  <c r="K1070" i="28" s="1"/>
  <c r="J1071" i="28"/>
  <c r="K1071" i="28" s="1"/>
  <c r="J1072" i="28"/>
  <c r="K1072" i="28" s="1"/>
  <c r="J1073" i="28"/>
  <c r="K1073" i="28" s="1"/>
  <c r="J1074" i="28"/>
  <c r="K1074" i="28" s="1"/>
  <c r="J1075" i="28"/>
  <c r="K1075" i="28" s="1"/>
  <c r="J1076" i="28"/>
  <c r="K1076" i="28" s="1"/>
  <c r="J1077" i="28"/>
  <c r="K1077" i="28" s="1"/>
  <c r="J1078" i="28"/>
  <c r="K1078" i="28" s="1"/>
  <c r="J1079" i="28"/>
  <c r="K1079" i="28" s="1"/>
  <c r="J1080" i="28"/>
  <c r="K1080" i="28" s="1"/>
  <c r="J1081" i="28"/>
  <c r="K1081" i="28" s="1"/>
  <c r="J1082" i="28"/>
  <c r="K1082" i="28" s="1"/>
  <c r="J1083" i="28"/>
  <c r="K1083" i="28" s="1"/>
  <c r="J1084" i="28"/>
  <c r="K1084" i="28" s="1"/>
  <c r="J1085" i="28"/>
  <c r="K1085" i="28" s="1"/>
  <c r="J1086" i="28"/>
  <c r="K1086" i="28" s="1"/>
  <c r="J1087" i="28"/>
  <c r="K1087" i="28" s="1"/>
  <c r="J1088" i="28"/>
  <c r="K1088" i="28" s="1"/>
  <c r="J1089" i="28"/>
  <c r="K1089" i="28" s="1"/>
  <c r="J1090" i="28"/>
  <c r="K1090" i="28" s="1"/>
  <c r="J1091" i="28"/>
  <c r="K1091" i="28" s="1"/>
  <c r="J1092" i="28"/>
  <c r="K1092" i="28" s="1"/>
  <c r="J1093" i="28"/>
  <c r="K1093" i="28" s="1"/>
  <c r="J1094" i="28"/>
  <c r="K1094" i="28" s="1"/>
  <c r="J1095" i="28"/>
  <c r="K1095" i="28" s="1"/>
  <c r="J1096" i="28"/>
  <c r="K1096" i="28" s="1"/>
  <c r="J1097" i="28"/>
  <c r="K1097" i="28" s="1"/>
  <c r="J1098" i="28"/>
  <c r="K1098" i="28" s="1"/>
  <c r="J1099" i="28"/>
  <c r="K1099" i="28" s="1"/>
  <c r="J1100" i="28"/>
  <c r="K1100" i="28" s="1"/>
  <c r="J1101" i="28"/>
  <c r="K1101" i="28" s="1"/>
  <c r="J1102" i="28"/>
  <c r="K1102" i="28" s="1"/>
  <c r="J1103" i="28"/>
  <c r="K1103" i="28" s="1"/>
  <c r="J1104" i="28"/>
  <c r="K1104" i="28" s="1"/>
  <c r="J1105" i="28"/>
  <c r="K1105" i="28" s="1"/>
  <c r="J1106" i="28"/>
  <c r="K1106" i="28" s="1"/>
  <c r="J1107" i="28"/>
  <c r="K1107" i="28" s="1"/>
  <c r="J1108" i="28"/>
  <c r="K1108" i="28" s="1"/>
  <c r="J1109" i="28"/>
  <c r="K1109" i="28" s="1"/>
  <c r="J1110" i="28"/>
  <c r="K1110" i="28" s="1"/>
  <c r="J1111" i="28"/>
  <c r="K1111" i="28" s="1"/>
  <c r="J1112" i="28"/>
  <c r="K1112" i="28" s="1"/>
  <c r="J1113" i="28"/>
  <c r="K1113" i="28" s="1"/>
  <c r="J1114" i="28"/>
  <c r="K1114" i="28" s="1"/>
  <c r="J1115" i="28"/>
  <c r="K1115" i="28" s="1"/>
  <c r="J1116" i="28"/>
  <c r="K1116" i="28" s="1"/>
  <c r="J1117" i="28"/>
  <c r="K1117" i="28" s="1"/>
  <c r="J1118" i="28"/>
  <c r="K1118" i="28" s="1"/>
  <c r="J1119" i="28"/>
  <c r="K1119" i="28" s="1"/>
  <c r="J1120" i="28"/>
  <c r="K1120" i="28" s="1"/>
  <c r="J1121" i="28"/>
  <c r="K1121" i="28" s="1"/>
  <c r="J1122" i="28"/>
  <c r="K1122" i="28" s="1"/>
  <c r="J1123" i="28"/>
  <c r="K1123" i="28" s="1"/>
  <c r="J1124" i="28"/>
  <c r="K1124" i="28" s="1"/>
  <c r="J1125" i="28"/>
  <c r="K1125" i="28" s="1"/>
  <c r="J1126" i="28"/>
  <c r="K1126" i="28" s="1"/>
  <c r="J1127" i="28"/>
  <c r="K1127" i="28" s="1"/>
  <c r="J1128" i="28"/>
  <c r="K1128" i="28" s="1"/>
  <c r="J1129" i="28"/>
  <c r="K1129" i="28" s="1"/>
  <c r="J1130" i="28"/>
  <c r="K1130" i="28" s="1"/>
  <c r="J1131" i="28"/>
  <c r="K1131" i="28" s="1"/>
  <c r="J1132" i="28"/>
  <c r="K1132" i="28" s="1"/>
  <c r="J1133" i="28"/>
  <c r="K1133" i="28" s="1"/>
  <c r="J1134" i="28"/>
  <c r="K1134" i="28" s="1"/>
  <c r="J1135" i="28"/>
  <c r="K1135" i="28" s="1"/>
  <c r="J1136" i="28"/>
  <c r="K1136" i="28" s="1"/>
  <c r="J1137" i="28"/>
  <c r="K1137" i="28" s="1"/>
  <c r="J1138" i="28"/>
  <c r="K1138" i="28" s="1"/>
  <c r="J1139" i="28"/>
  <c r="K1139" i="28" s="1"/>
  <c r="J1140" i="28"/>
  <c r="K1140" i="28" s="1"/>
  <c r="J1141" i="28"/>
  <c r="K1141" i="28" s="1"/>
  <c r="J1142" i="28"/>
  <c r="K1142" i="28" s="1"/>
  <c r="J1143" i="28"/>
  <c r="K1143" i="28" s="1"/>
  <c r="J1144" i="28"/>
  <c r="K1144" i="28" s="1"/>
  <c r="J1145" i="28"/>
  <c r="K1145" i="28" s="1"/>
  <c r="J1146" i="28"/>
  <c r="K1146" i="28" s="1"/>
  <c r="J1147" i="28"/>
  <c r="K1147" i="28" s="1"/>
  <c r="J1148" i="28"/>
  <c r="K1148" i="28" s="1"/>
  <c r="J1149" i="28"/>
  <c r="K1149" i="28" s="1"/>
  <c r="J1150" i="28"/>
  <c r="K1150" i="28" s="1"/>
  <c r="J1151" i="28"/>
  <c r="K1151" i="28" s="1"/>
  <c r="J1152" i="28"/>
  <c r="K1152" i="28" s="1"/>
  <c r="J1153" i="28"/>
  <c r="K1153" i="28" s="1"/>
  <c r="J1154" i="28"/>
  <c r="K1154" i="28" s="1"/>
  <c r="J1155" i="28"/>
  <c r="K1155" i="28" s="1"/>
  <c r="J1156" i="28"/>
  <c r="K1156" i="28" s="1"/>
  <c r="J1157" i="28"/>
  <c r="K1157" i="28" s="1"/>
  <c r="J1158" i="28"/>
  <c r="K1158" i="28" s="1"/>
  <c r="J1159" i="28"/>
  <c r="K1159" i="28" s="1"/>
  <c r="J1160" i="28"/>
  <c r="K1160" i="28" s="1"/>
  <c r="J1161" i="28"/>
  <c r="K1161" i="28" s="1"/>
  <c r="J1162" i="28"/>
  <c r="K1162" i="28" s="1"/>
  <c r="J1163" i="28"/>
  <c r="K1163" i="28" s="1"/>
  <c r="J1164" i="28"/>
  <c r="K1164" i="28" s="1"/>
  <c r="J1165" i="28"/>
  <c r="K1165" i="28" s="1"/>
  <c r="J1166" i="28"/>
  <c r="K1166" i="28" s="1"/>
  <c r="J1167" i="28"/>
  <c r="K1167" i="28" s="1"/>
  <c r="J1168" i="28"/>
  <c r="K1168" i="28" s="1"/>
  <c r="J1169" i="28"/>
  <c r="K1169" i="28" s="1"/>
  <c r="J1170" i="28"/>
  <c r="K1170" i="28" s="1"/>
  <c r="J1171" i="28"/>
  <c r="K1171" i="28" s="1"/>
  <c r="J1172" i="28"/>
  <c r="K1172" i="28" s="1"/>
  <c r="J1173" i="28"/>
  <c r="K1173" i="28" s="1"/>
  <c r="J1174" i="28"/>
  <c r="K1174" i="28" s="1"/>
  <c r="J1175" i="28"/>
  <c r="K1175" i="28" s="1"/>
  <c r="J1176" i="28"/>
  <c r="K1176" i="28" s="1"/>
  <c r="J1177" i="28"/>
  <c r="K1177" i="28" s="1"/>
  <c r="J1178" i="28"/>
  <c r="K1178" i="28" s="1"/>
  <c r="J1179" i="28"/>
  <c r="K1179" i="28" s="1"/>
  <c r="J1180" i="28"/>
  <c r="K1180" i="28" s="1"/>
  <c r="J1181" i="28"/>
  <c r="K1181" i="28" s="1"/>
  <c r="J1182" i="28"/>
  <c r="K1182" i="28" s="1"/>
  <c r="J1183" i="28"/>
  <c r="K1183" i="28" s="1"/>
  <c r="J1184" i="28"/>
  <c r="K1184" i="28" s="1"/>
  <c r="J1185" i="28"/>
  <c r="K1185" i="28" s="1"/>
  <c r="J1186" i="28"/>
  <c r="K1186" i="28" s="1"/>
  <c r="J1187" i="28"/>
  <c r="K1187" i="28" s="1"/>
  <c r="J1188" i="28"/>
  <c r="K1188" i="28" s="1"/>
  <c r="J1189" i="28"/>
  <c r="K1189" i="28" s="1"/>
  <c r="J1190" i="28"/>
  <c r="K1190" i="28" s="1"/>
  <c r="J1191" i="28"/>
  <c r="K1191" i="28" s="1"/>
  <c r="J1192" i="28"/>
  <c r="K1192" i="28" s="1"/>
  <c r="J1193" i="28"/>
  <c r="K1193" i="28" s="1"/>
  <c r="J1194" i="28"/>
  <c r="K1194" i="28" s="1"/>
  <c r="J1195" i="28"/>
  <c r="K1195" i="28" s="1"/>
  <c r="J1196" i="28"/>
  <c r="K1196" i="28" s="1"/>
  <c r="J1197" i="28"/>
  <c r="K1197" i="28" s="1"/>
  <c r="J1198" i="28"/>
  <c r="K1198" i="28" s="1"/>
  <c r="J1199" i="28"/>
  <c r="K1199" i="28" s="1"/>
  <c r="J1200" i="28"/>
  <c r="K1200" i="28" s="1"/>
  <c r="J1201" i="28"/>
  <c r="K1201" i="28" s="1"/>
  <c r="J1202" i="28"/>
  <c r="K1202" i="28" s="1"/>
  <c r="J1203" i="28"/>
  <c r="K1203" i="28" s="1"/>
  <c r="J1204" i="28"/>
  <c r="K1204" i="28" s="1"/>
  <c r="J1205" i="28"/>
  <c r="K1205" i="28" s="1"/>
  <c r="J1206" i="28"/>
  <c r="K1206" i="28" s="1"/>
  <c r="J1207" i="28"/>
  <c r="K1207" i="28" s="1"/>
  <c r="J1208" i="28"/>
  <c r="K1208" i="28" s="1"/>
  <c r="J1209" i="28"/>
  <c r="K1209" i="28" s="1"/>
  <c r="J1210" i="28"/>
  <c r="K1210" i="28" s="1"/>
  <c r="J1211" i="28"/>
  <c r="K1211" i="28" s="1"/>
  <c r="J1212" i="28"/>
  <c r="K1212" i="28" s="1"/>
  <c r="J1213" i="28"/>
  <c r="K1213" i="28" s="1"/>
  <c r="J1214" i="28"/>
  <c r="K1214" i="28" s="1"/>
  <c r="J1215" i="28"/>
  <c r="K1215" i="28" s="1"/>
  <c r="J1216" i="28"/>
  <c r="K1216" i="28" s="1"/>
  <c r="J1217" i="28"/>
  <c r="K1217" i="28" s="1"/>
  <c r="J1218" i="28"/>
  <c r="K1218" i="28" s="1"/>
  <c r="J1219" i="28"/>
  <c r="K1219" i="28" s="1"/>
  <c r="J1220" i="28"/>
  <c r="K1220" i="28" s="1"/>
  <c r="J1221" i="28"/>
  <c r="K1221" i="28" s="1"/>
  <c r="J1222" i="28"/>
  <c r="K1222" i="28" s="1"/>
  <c r="J1223" i="28"/>
  <c r="K1223" i="28" s="1"/>
  <c r="J1224" i="28"/>
  <c r="K1224" i="28" s="1"/>
  <c r="J1225" i="28"/>
  <c r="K1225" i="28" s="1"/>
  <c r="J1226" i="28"/>
  <c r="K1226" i="28" s="1"/>
  <c r="J1227" i="28"/>
  <c r="K1227" i="28" s="1"/>
  <c r="J1228" i="28"/>
  <c r="K1228" i="28" s="1"/>
  <c r="J1229" i="28"/>
  <c r="K1229" i="28" s="1"/>
  <c r="J1230" i="28"/>
  <c r="K1230" i="28" s="1"/>
  <c r="J1231" i="28"/>
  <c r="K1231" i="28" s="1"/>
  <c r="J1232" i="28"/>
  <c r="K1232" i="28" s="1"/>
  <c r="J1233" i="28"/>
  <c r="K1233" i="28" s="1"/>
  <c r="J1234" i="28"/>
  <c r="K1234" i="28" s="1"/>
  <c r="J1235" i="28"/>
  <c r="K1235" i="28" s="1"/>
  <c r="J1236" i="28"/>
  <c r="K1236" i="28" s="1"/>
  <c r="J1237" i="28"/>
  <c r="K1237" i="28" s="1"/>
  <c r="J1238" i="28"/>
  <c r="K1238" i="28" s="1"/>
  <c r="J1239" i="28"/>
  <c r="K1239" i="28" s="1"/>
  <c r="J1240" i="28"/>
  <c r="K1240" i="28" s="1"/>
  <c r="J1241" i="28"/>
  <c r="K1241" i="28" s="1"/>
  <c r="J1242" i="28"/>
  <c r="K1242" i="28" s="1"/>
  <c r="J1243" i="28"/>
  <c r="K1243" i="28" s="1"/>
  <c r="J1244" i="28"/>
  <c r="K1244" i="28" s="1"/>
  <c r="J1245" i="28"/>
  <c r="K1245" i="28" s="1"/>
  <c r="J1246" i="28"/>
  <c r="K1246" i="28" s="1"/>
  <c r="J1247" i="28"/>
  <c r="K1247" i="28" s="1"/>
  <c r="J1248" i="28"/>
  <c r="K1248" i="28" s="1"/>
  <c r="J1249" i="28"/>
  <c r="K1249" i="28" s="1"/>
  <c r="J1250" i="28"/>
  <c r="K1250" i="28" s="1"/>
  <c r="J1251" i="28"/>
  <c r="K1251" i="28" s="1"/>
  <c r="J1252" i="28"/>
  <c r="K1252" i="28" s="1"/>
  <c r="J1253" i="28"/>
  <c r="K1253" i="28" s="1"/>
  <c r="J1254" i="28"/>
  <c r="K1254" i="28" s="1"/>
  <c r="J1255" i="28"/>
  <c r="K1255" i="28" s="1"/>
  <c r="J1256" i="28"/>
  <c r="K1256" i="28" s="1"/>
  <c r="J1257" i="28"/>
  <c r="K1257" i="28" s="1"/>
  <c r="J1258" i="28"/>
  <c r="K1258" i="28" s="1"/>
  <c r="J1259" i="28"/>
  <c r="K1259" i="28" s="1"/>
  <c r="J1260" i="28"/>
  <c r="K1260" i="28" s="1"/>
  <c r="J1261" i="28"/>
  <c r="K1261" i="28" s="1"/>
  <c r="J1262" i="28"/>
  <c r="K1262" i="28" s="1"/>
  <c r="J1263" i="28"/>
  <c r="K1263" i="28" s="1"/>
  <c r="J1264" i="28"/>
  <c r="K1264" i="28" s="1"/>
  <c r="J1265" i="28"/>
  <c r="K1265" i="28" s="1"/>
  <c r="J1266" i="28"/>
  <c r="K1266" i="28" s="1"/>
  <c r="J1267" i="28"/>
  <c r="K1267" i="28" s="1"/>
  <c r="J1268" i="28"/>
  <c r="K1268" i="28" s="1"/>
  <c r="J1269" i="28"/>
  <c r="K1269" i="28" s="1"/>
  <c r="J1270" i="28"/>
  <c r="K1270" i="28" s="1"/>
  <c r="J1271" i="28"/>
  <c r="K1271" i="28" s="1"/>
  <c r="J1272" i="28"/>
  <c r="K1272" i="28" s="1"/>
  <c r="J1273" i="28"/>
  <c r="K1273" i="28" s="1"/>
  <c r="J1274" i="28"/>
  <c r="K1274" i="28" s="1"/>
  <c r="J1275" i="28"/>
  <c r="K1275" i="28" s="1"/>
  <c r="J1276" i="28"/>
  <c r="K1276" i="28" s="1"/>
  <c r="J1277" i="28"/>
  <c r="K1277" i="28" s="1"/>
  <c r="J1278" i="28"/>
  <c r="K1278" i="28" s="1"/>
  <c r="J1279" i="28"/>
  <c r="K1279" i="28" s="1"/>
  <c r="J1280" i="28"/>
  <c r="K1280" i="28" s="1"/>
  <c r="J1281" i="28"/>
  <c r="K1281" i="28" s="1"/>
  <c r="J1282" i="28"/>
  <c r="K1282" i="28" s="1"/>
  <c r="J1283" i="28"/>
  <c r="K1283" i="28" s="1"/>
  <c r="J1284" i="28"/>
  <c r="K1284" i="28" s="1"/>
  <c r="J1285" i="28"/>
  <c r="K1285" i="28" s="1"/>
  <c r="J1286" i="28"/>
  <c r="K1286" i="28" s="1"/>
  <c r="J1287" i="28"/>
  <c r="K1287" i="28" s="1"/>
  <c r="J1288" i="28"/>
  <c r="K1288" i="28" s="1"/>
  <c r="J1289" i="28"/>
  <c r="K1289" i="28" s="1"/>
  <c r="J1290" i="28"/>
  <c r="K1290" i="28" s="1"/>
  <c r="J1291" i="28"/>
  <c r="K1291" i="28" s="1"/>
  <c r="J1292" i="28"/>
  <c r="K1292" i="28" s="1"/>
  <c r="J1293" i="28"/>
  <c r="K1293" i="28" s="1"/>
  <c r="J1294" i="28"/>
  <c r="K1294" i="28" s="1"/>
  <c r="J1295" i="28"/>
  <c r="K1295" i="28" s="1"/>
  <c r="J1296" i="28"/>
  <c r="K1296" i="28" s="1"/>
  <c r="J1297" i="28"/>
  <c r="K1297" i="28" s="1"/>
  <c r="J1298" i="28"/>
  <c r="K1298" i="28" s="1"/>
  <c r="J1299" i="28"/>
  <c r="K1299" i="28" s="1"/>
  <c r="J1300" i="28"/>
  <c r="K1300" i="28" s="1"/>
  <c r="J1301" i="28"/>
  <c r="K1301" i="28" s="1"/>
  <c r="J1302" i="28"/>
  <c r="K1302" i="28" s="1"/>
  <c r="J1303" i="28"/>
  <c r="K1303" i="28" s="1"/>
  <c r="J1304" i="28"/>
  <c r="K1304" i="28" s="1"/>
  <c r="J1305" i="28"/>
  <c r="K1305" i="28" s="1"/>
  <c r="J1306" i="28"/>
  <c r="K1306" i="28" s="1"/>
  <c r="J1307" i="28"/>
  <c r="K1307" i="28" s="1"/>
  <c r="J1308" i="28"/>
  <c r="K1308" i="28" s="1"/>
  <c r="J1309" i="28"/>
  <c r="K1309" i="28" s="1"/>
  <c r="J1310" i="28"/>
  <c r="K1310" i="28" s="1"/>
  <c r="J1311" i="28"/>
  <c r="K1311" i="28" s="1"/>
  <c r="J1312" i="28"/>
  <c r="K1312" i="28" s="1"/>
  <c r="J1313" i="28"/>
  <c r="K1313" i="28" s="1"/>
  <c r="J1314" i="28"/>
  <c r="K1314" i="28" s="1"/>
  <c r="J1315" i="28"/>
  <c r="K1315" i="28" s="1"/>
  <c r="J1316" i="28"/>
  <c r="K1316" i="28" s="1"/>
  <c r="J1317" i="28"/>
  <c r="K1317" i="28" s="1"/>
  <c r="J1318" i="28"/>
  <c r="K1318" i="28" s="1"/>
  <c r="J1319" i="28"/>
  <c r="K1319" i="28" s="1"/>
  <c r="J1320" i="28"/>
  <c r="K1320" i="28" s="1"/>
  <c r="J1321" i="28"/>
  <c r="K1321" i="28" s="1"/>
  <c r="J1322" i="28"/>
  <c r="K1322" i="28" s="1"/>
  <c r="J1323" i="28"/>
  <c r="K1323" i="28" s="1"/>
  <c r="J1324" i="28"/>
  <c r="K1324" i="28" s="1"/>
  <c r="J1325" i="28"/>
  <c r="K1325" i="28" s="1"/>
  <c r="J1326" i="28"/>
  <c r="K1326" i="28" s="1"/>
  <c r="J1327" i="28"/>
  <c r="K1327" i="28" s="1"/>
  <c r="J1328" i="28"/>
  <c r="K1328" i="28" s="1"/>
  <c r="J1329" i="28"/>
  <c r="K1329" i="28" s="1"/>
  <c r="J1330" i="28"/>
  <c r="K1330" i="28" s="1"/>
  <c r="J1331" i="28"/>
  <c r="K1331" i="28" s="1"/>
  <c r="J1332" i="28"/>
  <c r="K1332" i="28" s="1"/>
  <c r="J1333" i="28"/>
  <c r="K1333" i="28" s="1"/>
  <c r="J1334" i="28"/>
  <c r="K1334" i="28" s="1"/>
  <c r="J1335" i="28"/>
  <c r="K1335" i="28" s="1"/>
  <c r="J1336" i="28"/>
  <c r="K1336" i="28" s="1"/>
  <c r="J1337" i="28"/>
  <c r="K1337" i="28" s="1"/>
  <c r="J1338" i="28"/>
  <c r="K1338" i="28" s="1"/>
  <c r="J1339" i="28"/>
  <c r="K1339" i="28" s="1"/>
  <c r="J1340" i="28"/>
  <c r="K1340" i="28" s="1"/>
  <c r="J1341" i="28"/>
  <c r="K1341" i="28" s="1"/>
  <c r="J1342" i="28"/>
  <c r="K1342" i="28" s="1"/>
  <c r="J1343" i="28"/>
  <c r="K1343" i="28" s="1"/>
  <c r="J1344" i="28"/>
  <c r="K1344" i="28" s="1"/>
  <c r="J1345" i="28"/>
  <c r="K1345" i="28" s="1"/>
  <c r="J1346" i="28"/>
  <c r="K1346" i="28" s="1"/>
  <c r="J1347" i="28"/>
  <c r="K1347" i="28" s="1"/>
  <c r="J1348" i="28"/>
  <c r="K1348" i="28" s="1"/>
  <c r="J1349" i="28"/>
  <c r="K1349" i="28" s="1"/>
  <c r="J1350" i="28"/>
  <c r="K1350" i="28" s="1"/>
  <c r="J1351" i="28"/>
  <c r="K1351" i="28" s="1"/>
  <c r="J1352" i="28"/>
  <c r="K1352" i="28" s="1"/>
  <c r="J1353" i="28"/>
  <c r="K1353" i="28" s="1"/>
  <c r="J1354" i="28"/>
  <c r="K1354" i="28" s="1"/>
  <c r="J1355" i="28"/>
  <c r="K1355" i="28" s="1"/>
  <c r="J1356" i="28"/>
  <c r="K1356" i="28" s="1"/>
  <c r="J1357" i="28"/>
  <c r="K1357" i="28" s="1"/>
  <c r="J1358" i="28"/>
  <c r="K1358" i="28" s="1"/>
  <c r="J1359" i="28"/>
  <c r="K1359" i="28" s="1"/>
  <c r="J1360" i="28"/>
  <c r="K1360" i="28" s="1"/>
  <c r="J1361" i="28"/>
  <c r="K1361" i="28" s="1"/>
  <c r="J1362" i="28"/>
  <c r="K1362" i="28" s="1"/>
  <c r="J1363" i="28"/>
  <c r="K1363" i="28" s="1"/>
  <c r="J1364" i="28"/>
  <c r="K1364" i="28" s="1"/>
  <c r="J1365" i="28"/>
  <c r="K1365" i="28" s="1"/>
  <c r="J1366" i="28"/>
  <c r="K1366" i="28" s="1"/>
  <c r="J1367" i="28"/>
  <c r="K1367" i="28" s="1"/>
  <c r="J1368" i="28"/>
  <c r="K1368" i="28" s="1"/>
  <c r="J1369" i="28"/>
  <c r="K1369" i="28" s="1"/>
  <c r="J1370" i="28"/>
  <c r="K1370" i="28" s="1"/>
  <c r="J1371" i="28"/>
  <c r="K1371" i="28" s="1"/>
  <c r="J1372" i="28"/>
  <c r="K1372" i="28" s="1"/>
  <c r="J1373" i="28"/>
  <c r="K1373" i="28" s="1"/>
  <c r="J1374" i="28"/>
  <c r="K1374" i="28" s="1"/>
  <c r="J1375" i="28"/>
  <c r="K1375" i="28" s="1"/>
  <c r="J1376" i="28"/>
  <c r="K1376" i="28" s="1"/>
  <c r="J1377" i="28"/>
  <c r="K1377" i="28" s="1"/>
  <c r="J1378" i="28"/>
  <c r="K1378" i="28" s="1"/>
  <c r="J1379" i="28"/>
  <c r="K1379" i="28" s="1"/>
  <c r="J1380" i="28"/>
  <c r="K1380" i="28" s="1"/>
  <c r="J1381" i="28"/>
  <c r="K1381" i="28" s="1"/>
  <c r="J1382" i="28"/>
  <c r="K1382" i="28" s="1"/>
  <c r="J1383" i="28"/>
  <c r="K1383" i="28" s="1"/>
  <c r="J1384" i="28"/>
  <c r="K1384" i="28" s="1"/>
  <c r="J1385" i="28"/>
  <c r="K1385" i="28" s="1"/>
  <c r="J1386" i="28"/>
  <c r="K1386" i="28" s="1"/>
  <c r="J1387" i="28"/>
  <c r="K1387" i="28" s="1"/>
  <c r="J1388" i="28"/>
  <c r="K1388" i="28" s="1"/>
  <c r="J1389" i="28"/>
  <c r="K1389" i="28" s="1"/>
  <c r="J1390" i="28"/>
  <c r="K1390" i="28" s="1"/>
  <c r="J1391" i="28"/>
  <c r="K1391" i="28" s="1"/>
  <c r="J1392" i="28"/>
  <c r="K1392" i="28" s="1"/>
  <c r="J1393" i="28"/>
  <c r="K1393" i="28" s="1"/>
  <c r="J1394" i="28"/>
  <c r="K1394" i="28" s="1"/>
  <c r="J1395" i="28"/>
  <c r="K1395" i="28" s="1"/>
  <c r="J1396" i="28"/>
  <c r="K1396" i="28" s="1"/>
  <c r="J1397" i="28"/>
  <c r="K1397" i="28" s="1"/>
  <c r="J1398" i="28"/>
  <c r="K1398" i="28" s="1"/>
  <c r="J1399" i="28"/>
  <c r="K1399" i="28" s="1"/>
  <c r="J1400" i="28"/>
  <c r="K1400" i="28" s="1"/>
  <c r="J1401" i="28"/>
  <c r="K1401" i="28" s="1"/>
  <c r="J1402" i="28"/>
  <c r="K1402" i="28" s="1"/>
  <c r="J1403" i="28"/>
  <c r="K1403" i="28" s="1"/>
  <c r="J1404" i="28"/>
  <c r="K1404" i="28" s="1"/>
  <c r="J1405" i="28"/>
  <c r="K1405" i="28" s="1"/>
  <c r="J1406" i="28"/>
  <c r="K1406" i="28" s="1"/>
  <c r="J1407" i="28"/>
  <c r="K1407" i="28" s="1"/>
  <c r="J1408" i="28"/>
  <c r="K1408" i="28" s="1"/>
  <c r="J1409" i="28"/>
  <c r="K1409" i="28" s="1"/>
  <c r="J1410" i="28"/>
  <c r="K1410" i="28" s="1"/>
  <c r="J1411" i="28"/>
  <c r="K1411" i="28" s="1"/>
  <c r="J1412" i="28"/>
  <c r="K1412" i="28" s="1"/>
  <c r="J1413" i="28"/>
  <c r="K1413" i="28" s="1"/>
  <c r="J1414" i="28"/>
  <c r="K1414" i="28" s="1"/>
  <c r="J1415" i="28"/>
  <c r="K1415" i="28" s="1"/>
  <c r="J1416" i="28"/>
  <c r="K1416" i="28" s="1"/>
  <c r="J1417" i="28"/>
  <c r="K1417" i="28" s="1"/>
  <c r="J1418" i="28"/>
  <c r="K1418" i="28" s="1"/>
  <c r="J1419" i="28"/>
  <c r="K1419" i="28" s="1"/>
  <c r="J1420" i="28"/>
  <c r="K1420" i="28" s="1"/>
  <c r="J1421" i="28"/>
  <c r="K1421" i="28" s="1"/>
  <c r="J1422" i="28"/>
  <c r="K1422" i="28" s="1"/>
  <c r="J1423" i="28"/>
  <c r="K1423" i="28" s="1"/>
  <c r="J1424" i="28"/>
  <c r="K1424" i="28" s="1"/>
  <c r="J1425" i="28"/>
  <c r="K1425" i="28" s="1"/>
  <c r="J1426" i="28"/>
  <c r="K1426" i="28" s="1"/>
  <c r="J1427" i="28"/>
  <c r="K1427" i="28" s="1"/>
  <c r="J1428" i="28"/>
  <c r="K1428" i="28" s="1"/>
  <c r="J1429" i="28"/>
  <c r="K1429" i="28" s="1"/>
  <c r="J1430" i="28"/>
  <c r="K1430" i="28" s="1"/>
  <c r="J1431" i="28"/>
  <c r="K1431" i="28" s="1"/>
  <c r="J1432" i="28"/>
  <c r="K1432" i="28" s="1"/>
  <c r="J1433" i="28"/>
  <c r="K1433" i="28" s="1"/>
  <c r="J1434" i="28"/>
  <c r="K1434" i="28" s="1"/>
  <c r="J1435" i="28"/>
  <c r="K1435" i="28" s="1"/>
  <c r="J1436" i="28"/>
  <c r="K1436" i="28" s="1"/>
  <c r="J1437" i="28"/>
  <c r="K1437" i="28" s="1"/>
  <c r="J1438" i="28"/>
  <c r="K1438" i="28" s="1"/>
  <c r="J1439" i="28"/>
  <c r="K1439" i="28" s="1"/>
  <c r="J1440" i="28"/>
  <c r="K1440" i="28" s="1"/>
  <c r="J1441" i="28"/>
  <c r="K1441" i="28" s="1"/>
  <c r="J1442" i="28"/>
  <c r="K1442" i="28" s="1"/>
  <c r="J1443" i="28"/>
  <c r="K1443" i="28" s="1"/>
  <c r="J1444" i="28"/>
  <c r="K1444" i="28" s="1"/>
  <c r="J1445" i="28"/>
  <c r="K1445" i="28" s="1"/>
  <c r="J1446" i="28"/>
  <c r="K1446" i="28" s="1"/>
  <c r="J1447" i="28"/>
  <c r="K1447" i="28" s="1"/>
  <c r="J1448" i="28"/>
  <c r="K1448" i="28" s="1"/>
  <c r="J1449" i="28"/>
  <c r="K1449" i="28" s="1"/>
  <c r="J1450" i="28"/>
  <c r="K1450" i="28" s="1"/>
  <c r="J1451" i="28"/>
  <c r="K1451" i="28" s="1"/>
  <c r="J1452" i="28"/>
  <c r="K1452" i="28" s="1"/>
  <c r="J1453" i="28"/>
  <c r="K1453" i="28" s="1"/>
  <c r="J1454" i="28"/>
  <c r="K1454" i="28" s="1"/>
  <c r="J1455" i="28"/>
  <c r="K1455" i="28" s="1"/>
  <c r="J1456" i="28"/>
  <c r="K1456" i="28" s="1"/>
  <c r="J1457" i="28"/>
  <c r="K1457" i="28" s="1"/>
  <c r="J1458" i="28"/>
  <c r="K1458" i="28" s="1"/>
  <c r="J1459" i="28"/>
  <c r="K1459" i="28" s="1"/>
  <c r="J1460" i="28"/>
  <c r="K1460" i="28" s="1"/>
  <c r="J1461" i="28"/>
  <c r="K1461" i="28" s="1"/>
  <c r="J1462" i="28"/>
  <c r="K1462" i="28" s="1"/>
  <c r="J1463" i="28"/>
  <c r="K1463" i="28" s="1"/>
  <c r="J1464" i="28"/>
  <c r="K1464" i="28" s="1"/>
  <c r="J1465" i="28"/>
  <c r="K1465" i="28" s="1"/>
  <c r="J1466" i="28"/>
  <c r="K1466" i="28" s="1"/>
  <c r="J1467" i="28"/>
  <c r="K1467" i="28" s="1"/>
  <c r="J1468" i="28"/>
  <c r="K1468" i="28" s="1"/>
  <c r="J1469" i="28"/>
  <c r="K1469" i="28" s="1"/>
  <c r="J1470" i="28"/>
  <c r="K1470" i="28" s="1"/>
  <c r="J1471" i="28"/>
  <c r="K1471" i="28" s="1"/>
  <c r="J1472" i="28"/>
  <c r="K1472" i="28" s="1"/>
  <c r="J1473" i="28"/>
  <c r="K1473" i="28" s="1"/>
  <c r="J1474" i="28"/>
  <c r="K1474" i="28" s="1"/>
  <c r="J1475" i="28"/>
  <c r="K1475" i="28" s="1"/>
  <c r="J1476" i="28"/>
  <c r="K1476" i="28" s="1"/>
  <c r="J1477" i="28"/>
  <c r="K1477" i="28" s="1"/>
  <c r="J1478" i="28"/>
  <c r="K1478" i="28" s="1"/>
  <c r="J1479" i="28"/>
  <c r="K1479" i="28" s="1"/>
  <c r="J1480" i="28"/>
  <c r="K1480" i="28" s="1"/>
  <c r="J1481" i="28"/>
  <c r="K1481" i="28" s="1"/>
  <c r="J1482" i="28"/>
  <c r="K1482" i="28" s="1"/>
  <c r="J1483" i="28"/>
  <c r="K1483" i="28" s="1"/>
  <c r="J1484" i="28"/>
  <c r="K1484" i="28" s="1"/>
  <c r="J1485" i="28"/>
  <c r="K1485" i="28" s="1"/>
  <c r="J1486" i="28"/>
  <c r="K1486" i="28" s="1"/>
  <c r="J1487" i="28"/>
  <c r="K1487" i="28" s="1"/>
  <c r="J1488" i="28"/>
  <c r="K1488" i="28" s="1"/>
  <c r="J1489" i="28"/>
  <c r="K1489" i="28" s="1"/>
  <c r="J1490" i="28"/>
  <c r="K1490" i="28" s="1"/>
  <c r="J1491" i="28"/>
  <c r="K1491" i="28" s="1"/>
  <c r="J1492" i="28"/>
  <c r="K1492" i="28" s="1"/>
  <c r="J1493" i="28"/>
  <c r="K1493" i="28" s="1"/>
  <c r="J1494" i="28"/>
  <c r="K1494" i="28" s="1"/>
  <c r="J1495" i="28"/>
  <c r="K1495" i="28" s="1"/>
  <c r="J1496" i="28"/>
  <c r="K1496" i="28" s="1"/>
  <c r="J1497" i="28"/>
  <c r="K1497" i="28" s="1"/>
  <c r="J1498" i="28"/>
  <c r="K1498" i="28" s="1"/>
  <c r="J1499" i="28"/>
  <c r="K1499" i="28" s="1"/>
  <c r="J1500" i="28"/>
  <c r="K1500" i="28" s="1"/>
  <c r="J1501" i="28"/>
  <c r="K1501" i="28" s="1"/>
  <c r="J1502" i="28"/>
  <c r="K1502" i="28" s="1"/>
  <c r="J1503" i="28"/>
  <c r="K1503" i="28" s="1"/>
  <c r="J1504" i="28"/>
  <c r="K1504" i="28" s="1"/>
  <c r="J1505" i="28"/>
  <c r="K1505" i="28" s="1"/>
  <c r="J1506" i="28"/>
  <c r="K1506" i="28" s="1"/>
  <c r="E6007" i="28"/>
  <c r="E6008" i="28"/>
  <c r="E6009" i="28"/>
  <c r="E6010" i="28"/>
  <c r="E6011" i="28"/>
  <c r="E6012" i="28"/>
  <c r="E6013" i="28"/>
  <c r="E6014" i="28"/>
  <c r="E6015" i="28"/>
  <c r="E6016" i="28"/>
  <c r="E6017" i="28"/>
  <c r="E6018" i="28"/>
  <c r="E6019" i="28"/>
  <c r="E6020" i="28"/>
  <c r="E6021" i="28"/>
  <c r="E6022" i="28"/>
  <c r="E6023" i="28"/>
  <c r="E6024" i="28"/>
  <c r="E6025" i="28"/>
  <c r="E6026" i="28"/>
  <c r="E6027" i="28"/>
  <c r="E6028" i="28"/>
  <c r="E6029" i="28"/>
  <c r="E6030" i="28"/>
  <c r="E6031" i="28"/>
  <c r="E6032" i="28"/>
  <c r="E6033" i="28"/>
  <c r="E6034" i="28"/>
  <c r="E6035" i="28"/>
  <c r="E6036" i="28"/>
  <c r="E6037" i="28"/>
  <c r="E6038" i="28"/>
  <c r="E6039" i="28"/>
  <c r="E6040" i="28"/>
  <c r="E6041" i="28"/>
  <c r="E6042" i="28"/>
  <c r="E6043" i="28"/>
  <c r="E6044" i="28"/>
  <c r="E6045" i="28"/>
  <c r="E6046" i="28"/>
  <c r="E6047" i="28"/>
  <c r="E6048" i="28"/>
  <c r="E6049" i="28"/>
  <c r="E6050" i="28"/>
  <c r="E6051" i="28"/>
  <c r="E6052" i="28"/>
  <c r="E6053" i="28"/>
  <c r="E6054" i="28"/>
  <c r="E6055" i="28"/>
  <c r="E6056" i="28"/>
  <c r="E6057" i="28"/>
  <c r="E6058" i="28"/>
  <c r="E6059" i="28"/>
  <c r="E6060" i="28"/>
  <c r="E6061" i="28"/>
  <c r="E6062" i="28"/>
  <c r="E6063" i="28"/>
  <c r="E6064" i="28"/>
  <c r="E6065" i="28"/>
  <c r="E6066" i="28"/>
  <c r="E6067" i="28"/>
  <c r="E6068" i="28"/>
  <c r="E6069" i="28"/>
  <c r="E6070" i="28"/>
  <c r="E6071" i="28"/>
  <c r="E6072" i="28"/>
  <c r="E6073" i="28"/>
  <c r="E6074" i="28"/>
  <c r="E6075" i="28"/>
  <c r="E6076" i="28"/>
  <c r="E6077" i="28"/>
  <c r="E6078" i="28"/>
  <c r="E6079" i="28"/>
  <c r="E6080" i="28"/>
  <c r="E6081" i="28"/>
  <c r="E6082" i="28"/>
  <c r="E6083" i="28"/>
  <c r="E6084" i="28"/>
  <c r="E6085" i="28"/>
  <c r="E6086" i="28"/>
  <c r="E6087" i="28"/>
  <c r="E6088" i="28"/>
  <c r="E6089" i="28"/>
  <c r="E6090" i="28"/>
  <c r="E6091" i="28"/>
  <c r="E6092" i="28"/>
  <c r="E6093" i="28"/>
  <c r="E6094" i="28"/>
  <c r="E6095" i="28"/>
  <c r="E6096" i="28"/>
  <c r="E6097" i="28"/>
  <c r="E6098" i="28"/>
  <c r="E6099" i="28"/>
  <c r="E6100" i="28"/>
  <c r="E6101" i="28"/>
  <c r="E6102" i="28"/>
  <c r="E6103" i="28"/>
  <c r="E6104" i="28"/>
  <c r="E6105" i="28"/>
  <c r="E6106" i="28"/>
  <c r="E6107" i="28"/>
  <c r="E6108" i="28"/>
  <c r="E6109" i="28"/>
  <c r="E6110" i="28"/>
  <c r="E6111" i="28"/>
  <c r="E6112" i="28"/>
  <c r="E6113" i="28"/>
  <c r="E6114" i="28"/>
  <c r="E6115" i="28"/>
  <c r="E6116" i="28"/>
  <c r="E6117" i="28"/>
  <c r="E6118" i="28"/>
  <c r="E6119" i="28"/>
  <c r="E6120" i="28"/>
  <c r="E6121" i="28"/>
  <c r="E6122" i="28"/>
  <c r="E6123" i="28"/>
  <c r="E6124" i="28"/>
  <c r="E6125" i="28"/>
  <c r="E6126" i="28"/>
  <c r="E6127" i="28"/>
  <c r="E6128" i="28"/>
  <c r="E6129" i="28"/>
  <c r="E6130" i="28"/>
  <c r="E6131" i="28"/>
  <c r="E6132" i="28"/>
  <c r="E6133" i="28"/>
  <c r="E6134" i="28"/>
  <c r="E6135" i="28"/>
  <c r="E6136" i="28"/>
  <c r="E6137" i="28"/>
  <c r="E6138" i="28"/>
  <c r="E6139" i="28"/>
  <c r="E6140" i="28"/>
  <c r="E6141" i="28"/>
  <c r="E6142" i="28"/>
  <c r="E6143" i="28"/>
  <c r="E6144" i="28"/>
  <c r="E6145" i="28"/>
  <c r="E6146" i="28"/>
  <c r="E6147" i="28"/>
  <c r="E6148" i="28"/>
  <c r="E6149" i="28"/>
  <c r="E6150" i="28"/>
  <c r="E6151" i="28"/>
  <c r="E6152" i="28"/>
  <c r="E6153" i="28"/>
  <c r="E6154" i="28"/>
  <c r="E6155" i="28"/>
  <c r="E6156" i="28"/>
  <c r="E6157" i="28"/>
  <c r="E6158" i="28"/>
  <c r="E6159" i="28"/>
  <c r="E6160" i="28"/>
  <c r="E6161" i="28"/>
  <c r="E6162" i="28"/>
  <c r="E6163" i="28"/>
  <c r="E6164" i="28"/>
  <c r="E6165" i="28"/>
  <c r="E6166" i="28"/>
  <c r="E6167" i="28"/>
  <c r="E6168" i="28"/>
  <c r="E6169" i="28"/>
  <c r="E6170" i="28"/>
  <c r="E6171" i="28"/>
  <c r="E6172" i="28"/>
  <c r="E6173" i="28"/>
  <c r="E6174" i="28"/>
  <c r="E6175" i="28"/>
  <c r="E6176" i="28"/>
  <c r="E6177" i="28"/>
  <c r="E6178" i="28"/>
  <c r="E6179" i="28"/>
  <c r="E6180" i="28"/>
  <c r="E6181" i="28"/>
  <c r="E6182" i="28"/>
  <c r="E6183" i="28"/>
  <c r="E6184" i="28"/>
  <c r="E6185" i="28"/>
  <c r="E6186" i="28"/>
  <c r="E6187" i="28"/>
  <c r="E6188" i="28"/>
  <c r="E6189" i="28"/>
  <c r="E6190" i="28"/>
  <c r="E6191" i="28"/>
  <c r="E6192" i="28"/>
  <c r="E6193" i="28"/>
  <c r="E6194" i="28"/>
  <c r="E6195" i="28"/>
  <c r="E6196" i="28"/>
  <c r="E4507" i="28"/>
  <c r="E4508" i="28"/>
  <c r="E4509" i="28"/>
  <c r="E4510" i="28"/>
  <c r="E4511" i="28"/>
  <c r="E4512" i="28"/>
  <c r="E4513" i="28"/>
  <c r="E4514" i="28"/>
  <c r="E4515" i="28"/>
  <c r="E4516" i="28"/>
  <c r="E4517" i="28"/>
  <c r="E4518" i="28"/>
  <c r="E4519" i="28"/>
  <c r="E4520" i="28"/>
  <c r="E4521" i="28"/>
  <c r="E4522" i="28"/>
  <c r="E4523" i="28"/>
  <c r="E4524" i="28"/>
  <c r="E4525" i="28"/>
  <c r="E4526" i="28"/>
  <c r="E4527" i="28"/>
  <c r="E4528" i="28"/>
  <c r="E4529" i="28"/>
  <c r="E4530" i="28"/>
  <c r="E4531" i="28"/>
  <c r="E4532" i="28"/>
  <c r="E4533" i="28"/>
  <c r="E4534" i="28"/>
  <c r="E4535" i="28"/>
  <c r="E4536" i="28"/>
  <c r="E4537" i="28"/>
  <c r="E4538" i="28"/>
  <c r="E4539" i="28"/>
  <c r="E4540" i="28"/>
  <c r="E4541" i="28"/>
  <c r="E4542" i="28"/>
  <c r="E4543" i="28"/>
  <c r="E4544" i="28"/>
  <c r="E4545" i="28"/>
  <c r="E4546" i="28"/>
  <c r="E4547" i="28"/>
  <c r="E4548" i="28"/>
  <c r="E4549" i="28"/>
  <c r="E4550" i="28"/>
  <c r="E4551" i="28"/>
  <c r="E4552" i="28"/>
  <c r="E4553" i="28"/>
  <c r="E4554" i="28"/>
  <c r="E4555" i="28"/>
  <c r="E4556" i="28"/>
  <c r="E4557" i="28"/>
  <c r="E4558" i="28"/>
  <c r="E4559" i="28"/>
  <c r="E4560" i="28"/>
  <c r="E4561" i="28"/>
  <c r="E4562" i="28"/>
  <c r="E4563" i="28"/>
  <c r="E4564" i="28"/>
  <c r="E4565" i="28"/>
  <c r="E4566" i="28"/>
  <c r="E4567" i="28"/>
  <c r="E4568" i="28"/>
  <c r="E4569" i="28"/>
  <c r="E4570" i="28"/>
  <c r="E4571" i="28"/>
  <c r="E4572" i="28"/>
  <c r="E4573" i="28"/>
  <c r="E4574" i="28"/>
  <c r="E4575" i="28"/>
  <c r="E4576" i="28"/>
  <c r="E4577" i="28"/>
  <c r="E4578" i="28"/>
  <c r="E4579" i="28"/>
  <c r="E4580" i="28"/>
  <c r="E4581" i="28"/>
  <c r="E4582" i="28"/>
  <c r="E4583" i="28"/>
  <c r="E4584" i="28"/>
  <c r="E4585" i="28"/>
  <c r="E4586" i="28"/>
  <c r="E4587" i="28"/>
  <c r="E4588" i="28"/>
  <c r="E4589" i="28"/>
  <c r="E4590" i="28"/>
  <c r="E4591" i="28"/>
  <c r="E4592" i="28"/>
  <c r="E4593" i="28"/>
  <c r="E4594" i="28"/>
  <c r="E4595" i="28"/>
  <c r="E4596" i="28"/>
  <c r="E4597" i="28"/>
  <c r="E4598" i="28"/>
  <c r="E4599" i="28"/>
  <c r="E4600" i="28"/>
  <c r="E4601" i="28"/>
  <c r="E4602" i="28"/>
  <c r="E4603" i="28"/>
  <c r="E4604" i="28"/>
  <c r="E4605" i="28"/>
  <c r="E4606" i="28"/>
  <c r="E4607" i="28"/>
  <c r="E4608" i="28"/>
  <c r="E4609" i="28"/>
  <c r="E4610" i="28"/>
  <c r="E4611" i="28"/>
  <c r="E4612" i="28"/>
  <c r="E4613" i="28"/>
  <c r="E4614" i="28"/>
  <c r="E4615" i="28"/>
  <c r="E4616" i="28"/>
  <c r="E4617" i="28"/>
  <c r="E4618" i="28"/>
  <c r="E4619" i="28"/>
  <c r="E4620" i="28"/>
  <c r="E4621" i="28"/>
  <c r="E4622" i="28"/>
  <c r="E4623" i="28"/>
  <c r="E4624" i="28"/>
  <c r="E4625" i="28"/>
  <c r="E4626" i="28"/>
  <c r="E4627" i="28"/>
  <c r="E4628" i="28"/>
  <c r="E4629" i="28"/>
  <c r="E4630" i="28"/>
  <c r="E4631" i="28"/>
  <c r="E4632" i="28"/>
  <c r="E4633" i="28"/>
  <c r="E4634" i="28"/>
  <c r="E4635" i="28"/>
  <c r="E4636" i="28"/>
  <c r="E4637" i="28"/>
  <c r="E4638" i="28"/>
  <c r="E4639" i="28"/>
  <c r="E4640" i="28"/>
  <c r="E4641" i="28"/>
  <c r="E4642" i="28"/>
  <c r="E4643" i="28"/>
  <c r="E4644" i="28"/>
  <c r="E4645" i="28"/>
  <c r="E4646" i="28"/>
  <c r="E4647" i="28"/>
  <c r="E4648" i="28"/>
  <c r="E4649" i="28"/>
  <c r="E4650" i="28"/>
  <c r="E4651" i="28"/>
  <c r="E4652" i="28"/>
  <c r="E4653" i="28"/>
  <c r="E4654" i="28"/>
  <c r="E4655" i="28"/>
  <c r="E4656" i="28"/>
  <c r="E4657" i="28"/>
  <c r="E4658" i="28"/>
  <c r="E4659" i="28"/>
  <c r="E4660" i="28"/>
  <c r="E4661" i="28"/>
  <c r="E4662" i="28"/>
  <c r="E4663" i="28"/>
  <c r="E4664" i="28"/>
  <c r="E4665" i="28"/>
  <c r="E4666" i="28"/>
  <c r="E4667" i="28"/>
  <c r="E4668" i="28"/>
  <c r="E4669" i="28"/>
  <c r="E4670" i="28"/>
  <c r="E4671" i="28"/>
  <c r="E4672" i="28"/>
  <c r="E4673" i="28"/>
  <c r="E4674" i="28"/>
  <c r="E4675" i="28"/>
  <c r="E4676" i="28"/>
  <c r="E4677" i="28"/>
  <c r="E4678" i="28"/>
  <c r="E4679" i="28"/>
  <c r="E4680" i="28"/>
  <c r="E4681" i="28"/>
  <c r="E4682" i="28"/>
  <c r="E4683" i="28"/>
  <c r="E4684" i="28"/>
  <c r="E4685" i="28"/>
  <c r="E4686" i="28"/>
  <c r="E4687" i="28"/>
  <c r="E4688" i="28"/>
  <c r="E4689" i="28"/>
  <c r="E4690" i="28"/>
  <c r="E4691" i="28"/>
  <c r="E4692" i="28"/>
  <c r="E4693" i="28"/>
  <c r="E4694" i="28"/>
  <c r="E4695" i="28"/>
  <c r="E4696" i="28"/>
  <c r="E4697" i="28"/>
  <c r="E4698" i="28"/>
  <c r="E4699" i="28"/>
  <c r="E4700" i="28"/>
  <c r="E4701" i="28"/>
  <c r="E4702" i="28"/>
  <c r="E4703" i="28"/>
  <c r="E4704" i="28"/>
  <c r="E4705" i="28"/>
  <c r="E4706" i="28"/>
  <c r="E4707" i="28"/>
  <c r="E4708" i="28"/>
  <c r="E4709" i="28"/>
  <c r="E4710" i="28"/>
  <c r="E4711" i="28"/>
  <c r="E4712" i="28"/>
  <c r="E4713" i="28"/>
  <c r="E4714" i="28"/>
  <c r="E4715" i="28"/>
  <c r="E4716" i="28"/>
  <c r="E4717" i="28"/>
  <c r="E4718" i="28"/>
  <c r="E4719" i="28"/>
  <c r="E4720" i="28"/>
  <c r="E4721" i="28"/>
  <c r="E4722" i="28"/>
  <c r="E4723" i="28"/>
  <c r="E4724" i="28"/>
  <c r="E4725" i="28"/>
  <c r="E4726" i="28"/>
  <c r="E4727" i="28"/>
  <c r="E4728" i="28"/>
  <c r="E4729" i="28"/>
  <c r="E4730" i="28"/>
  <c r="E4731" i="28"/>
  <c r="E4732" i="28"/>
  <c r="E4733" i="28"/>
  <c r="E4734" i="28"/>
  <c r="E4735" i="28"/>
  <c r="E4736" i="28"/>
  <c r="E4737" i="28"/>
  <c r="E4738" i="28"/>
  <c r="E4739" i="28"/>
  <c r="E4740" i="28"/>
  <c r="E4741" i="28"/>
  <c r="E4742" i="28"/>
  <c r="E4743" i="28"/>
  <c r="E4744" i="28"/>
  <c r="E4745" i="28"/>
  <c r="E4746" i="28"/>
  <c r="E4747" i="28"/>
  <c r="E4748" i="28"/>
  <c r="E4749" i="28"/>
  <c r="E4750" i="28"/>
  <c r="E4751" i="28"/>
  <c r="E4752" i="28"/>
  <c r="E4753" i="28"/>
  <c r="E4754" i="28"/>
  <c r="E4755" i="28"/>
  <c r="E4756" i="28"/>
  <c r="E4757" i="28"/>
  <c r="E4758" i="28"/>
  <c r="E4759" i="28"/>
  <c r="E4760" i="28"/>
  <c r="E4761" i="28"/>
  <c r="E4762" i="28"/>
  <c r="E4763" i="28"/>
  <c r="E4764" i="28"/>
  <c r="E4765" i="28"/>
  <c r="E4766" i="28"/>
  <c r="E4767" i="28"/>
  <c r="E4768" i="28"/>
  <c r="E4769" i="28"/>
  <c r="E4770" i="28"/>
  <c r="E4771" i="28"/>
  <c r="E4772" i="28"/>
  <c r="E4773" i="28"/>
  <c r="E4774" i="28"/>
  <c r="E4775" i="28"/>
  <c r="E4776" i="28"/>
  <c r="E4777" i="28"/>
  <c r="E4778" i="28"/>
  <c r="E4779" i="28"/>
  <c r="E4780" i="28"/>
  <c r="E4781" i="28"/>
  <c r="E4782" i="28"/>
  <c r="E4783" i="28"/>
  <c r="E4784" i="28"/>
  <c r="E4785" i="28"/>
  <c r="E4786" i="28"/>
  <c r="E4787" i="28"/>
  <c r="E4788" i="28"/>
  <c r="E4789" i="28"/>
  <c r="E4790" i="28"/>
  <c r="E4791" i="28"/>
  <c r="E4792" i="28"/>
  <c r="E4793" i="28"/>
  <c r="E4794" i="28"/>
  <c r="E4795" i="28"/>
  <c r="E4796" i="28"/>
  <c r="E4797" i="28"/>
  <c r="E4798" i="28"/>
  <c r="E4799" i="28"/>
  <c r="E4800" i="28"/>
  <c r="E4801" i="28"/>
  <c r="E4802" i="28"/>
  <c r="E4803" i="28"/>
  <c r="E4804" i="28"/>
  <c r="E4805" i="28"/>
  <c r="E4806" i="28"/>
  <c r="E4807" i="28"/>
  <c r="E4808" i="28"/>
  <c r="E4809" i="28"/>
  <c r="E4810" i="28"/>
  <c r="E4811" i="28"/>
  <c r="E4812" i="28"/>
  <c r="E4813" i="28"/>
  <c r="E4814" i="28"/>
  <c r="E4815" i="28"/>
  <c r="E4816" i="28"/>
  <c r="E4817" i="28"/>
  <c r="E4818" i="28"/>
  <c r="E4819" i="28"/>
  <c r="E4820" i="28"/>
  <c r="E4821" i="28"/>
  <c r="E4822" i="28"/>
  <c r="E4823" i="28"/>
  <c r="E4824" i="28"/>
  <c r="E4825" i="28"/>
  <c r="E4826" i="28"/>
  <c r="E4827" i="28"/>
  <c r="E4828" i="28"/>
  <c r="E4829" i="28"/>
  <c r="E4830" i="28"/>
  <c r="E4831" i="28"/>
  <c r="E4832" i="28"/>
  <c r="E4833" i="28"/>
  <c r="E4834" i="28"/>
  <c r="E4835" i="28"/>
  <c r="E4836" i="28"/>
  <c r="E4837" i="28"/>
  <c r="E4838" i="28"/>
  <c r="E4839" i="28"/>
  <c r="E4840" i="28"/>
  <c r="E4841" i="28"/>
  <c r="E4842" i="28"/>
  <c r="E4843" i="28"/>
  <c r="E4844" i="28"/>
  <c r="E4845" i="28"/>
  <c r="E4846" i="28"/>
  <c r="E4847" i="28"/>
  <c r="E4848" i="28"/>
  <c r="E4849" i="28"/>
  <c r="E4850" i="28"/>
  <c r="E4851" i="28"/>
  <c r="E4852" i="28"/>
  <c r="E4853" i="28"/>
  <c r="E4854" i="28"/>
  <c r="E4855" i="28"/>
  <c r="E4856" i="28"/>
  <c r="E4857" i="28"/>
  <c r="E4858" i="28"/>
  <c r="E4859" i="28"/>
  <c r="E4860" i="28"/>
  <c r="E4861" i="28"/>
  <c r="E4862" i="28"/>
  <c r="E4863" i="28"/>
  <c r="E4864" i="28"/>
  <c r="E4865" i="28"/>
  <c r="E4866" i="28"/>
  <c r="E4867" i="28"/>
  <c r="E4868" i="28"/>
  <c r="E4869" i="28"/>
  <c r="E4870" i="28"/>
  <c r="E4871" i="28"/>
  <c r="E4872" i="28"/>
  <c r="E4873" i="28"/>
  <c r="E4874" i="28"/>
  <c r="E4875" i="28"/>
  <c r="E4876" i="28"/>
  <c r="E4877" i="28"/>
  <c r="E4878" i="28"/>
  <c r="E4879" i="28"/>
  <c r="E4880" i="28"/>
  <c r="E4881" i="28"/>
  <c r="E4882" i="28"/>
  <c r="E4883" i="28"/>
  <c r="E4884" i="28"/>
  <c r="E4885" i="28"/>
  <c r="E4886" i="28"/>
  <c r="E4887" i="28"/>
  <c r="E4888" i="28"/>
  <c r="E4889" i="28"/>
  <c r="E4890" i="28"/>
  <c r="E4891" i="28"/>
  <c r="E4892" i="28"/>
  <c r="E4893" i="28"/>
  <c r="E4894" i="28"/>
  <c r="E4895" i="28"/>
  <c r="E4896" i="28"/>
  <c r="E4897" i="28"/>
  <c r="E4898" i="28"/>
  <c r="E4899" i="28"/>
  <c r="E4900" i="28"/>
  <c r="E4901" i="28"/>
  <c r="E4902" i="28"/>
  <c r="E4903" i="28"/>
  <c r="E4904" i="28"/>
  <c r="E4905" i="28"/>
  <c r="E4906" i="28"/>
  <c r="E4907" i="28"/>
  <c r="E4908" i="28"/>
  <c r="E4909" i="28"/>
  <c r="E4910" i="28"/>
  <c r="E4911" i="28"/>
  <c r="E4912" i="28"/>
  <c r="E4913" i="28"/>
  <c r="E4914" i="28"/>
  <c r="E4915" i="28"/>
  <c r="E4916" i="28"/>
  <c r="E4917" i="28"/>
  <c r="E4918" i="28"/>
  <c r="E4919" i="28"/>
  <c r="E4920" i="28"/>
  <c r="E4921" i="28"/>
  <c r="E4922" i="28"/>
  <c r="E4923" i="28"/>
  <c r="E4924" i="28"/>
  <c r="E4925" i="28"/>
  <c r="E4926" i="28"/>
  <c r="E4927" i="28"/>
  <c r="E4928" i="28"/>
  <c r="E4929" i="28"/>
  <c r="E4930" i="28"/>
  <c r="E4931" i="28"/>
  <c r="E4932" i="28"/>
  <c r="E4933" i="28"/>
  <c r="E4934" i="28"/>
  <c r="E4935" i="28"/>
  <c r="E4936" i="28"/>
  <c r="E4937" i="28"/>
  <c r="E4938" i="28"/>
  <c r="E4939" i="28"/>
  <c r="E4940" i="28"/>
  <c r="E4941" i="28"/>
  <c r="E4942" i="28"/>
  <c r="E4943" i="28"/>
  <c r="E4944" i="28"/>
  <c r="E4945" i="28"/>
  <c r="E4946" i="28"/>
  <c r="E4947" i="28"/>
  <c r="E4948" i="28"/>
  <c r="E4949" i="28"/>
  <c r="E4950" i="28"/>
  <c r="E4951" i="28"/>
  <c r="E4952" i="28"/>
  <c r="E4953" i="28"/>
  <c r="E4954" i="28"/>
  <c r="E4955" i="28"/>
  <c r="E4956" i="28"/>
  <c r="E4957" i="28"/>
  <c r="E4958" i="28"/>
  <c r="E4959" i="28"/>
  <c r="E4960" i="28"/>
  <c r="E4961" i="28"/>
  <c r="E4962" i="28"/>
  <c r="E4963" i="28"/>
  <c r="E4964" i="28"/>
  <c r="E4965" i="28"/>
  <c r="E4966" i="28"/>
  <c r="E4967" i="28"/>
  <c r="E4968" i="28"/>
  <c r="E4969" i="28"/>
  <c r="E4970" i="28"/>
  <c r="E4971" i="28"/>
  <c r="E4972" i="28"/>
  <c r="E4973" i="28"/>
  <c r="E4974" i="28"/>
  <c r="E4975" i="28"/>
  <c r="E4976" i="28"/>
  <c r="E4977" i="28"/>
  <c r="E4978" i="28"/>
  <c r="E4979" i="28"/>
  <c r="E4980" i="28"/>
  <c r="E4981" i="28"/>
  <c r="E4982" i="28"/>
  <c r="E4983" i="28"/>
  <c r="E4984" i="28"/>
  <c r="E4985" i="28"/>
  <c r="E4986" i="28"/>
  <c r="E4987" i="28"/>
  <c r="E4988" i="28"/>
  <c r="E4989" i="28"/>
  <c r="E4990" i="28"/>
  <c r="E4991" i="28"/>
  <c r="E4992" i="28"/>
  <c r="E4993" i="28"/>
  <c r="E4994" i="28"/>
  <c r="E4995" i="28"/>
  <c r="E4996" i="28"/>
  <c r="E4997" i="28"/>
  <c r="E4998" i="28"/>
  <c r="E4999" i="28"/>
  <c r="E5000" i="28"/>
  <c r="E5001" i="28"/>
  <c r="E5002" i="28"/>
  <c r="E5003" i="28"/>
  <c r="E5004" i="28"/>
  <c r="E5005" i="28"/>
  <c r="E5006" i="28"/>
  <c r="E5007" i="28"/>
  <c r="E5008" i="28"/>
  <c r="E5009" i="28"/>
  <c r="E5010" i="28"/>
  <c r="E5011" i="28"/>
  <c r="E5012" i="28"/>
  <c r="E5013" i="28"/>
  <c r="E5014" i="28"/>
  <c r="E5015" i="28"/>
  <c r="E5016" i="28"/>
  <c r="E5017" i="28"/>
  <c r="E5018" i="28"/>
  <c r="E5019" i="28"/>
  <c r="E5020" i="28"/>
  <c r="E5021" i="28"/>
  <c r="E5022" i="28"/>
  <c r="E5023" i="28"/>
  <c r="E5024" i="28"/>
  <c r="E5025" i="28"/>
  <c r="E5026" i="28"/>
  <c r="E5027" i="28"/>
  <c r="E5028" i="28"/>
  <c r="E5029" i="28"/>
  <c r="E5030" i="28"/>
  <c r="E5031" i="28"/>
  <c r="E5032" i="28"/>
  <c r="E5033" i="28"/>
  <c r="E5034" i="28"/>
  <c r="E5035" i="28"/>
  <c r="E5036" i="28"/>
  <c r="E5037" i="28"/>
  <c r="E5038" i="28"/>
  <c r="E5039" i="28"/>
  <c r="E5040" i="28"/>
  <c r="E5041" i="28"/>
  <c r="E5042" i="28"/>
  <c r="E5043" i="28"/>
  <c r="E5044" i="28"/>
  <c r="E5045" i="28"/>
  <c r="E5046" i="28"/>
  <c r="E5047" i="28"/>
  <c r="E5048" i="28"/>
  <c r="E5049" i="28"/>
  <c r="E5050" i="28"/>
  <c r="E5051" i="28"/>
  <c r="E5052" i="28"/>
  <c r="E5053" i="28"/>
  <c r="E5054" i="28"/>
  <c r="E5055" i="28"/>
  <c r="E5056" i="28"/>
  <c r="E5057" i="28"/>
  <c r="E5058" i="28"/>
  <c r="E5059" i="28"/>
  <c r="E5060" i="28"/>
  <c r="E5061" i="28"/>
  <c r="E5062" i="28"/>
  <c r="E5063" i="28"/>
  <c r="E5064" i="28"/>
  <c r="E5065" i="28"/>
  <c r="E5066" i="28"/>
  <c r="E5067" i="28"/>
  <c r="E5068" i="28"/>
  <c r="E5069" i="28"/>
  <c r="E5070" i="28"/>
  <c r="E5071" i="28"/>
  <c r="E5072" i="28"/>
  <c r="E5073" i="28"/>
  <c r="E5074" i="28"/>
  <c r="E5075" i="28"/>
  <c r="E5076" i="28"/>
  <c r="E5077" i="28"/>
  <c r="E5078" i="28"/>
  <c r="E5079" i="28"/>
  <c r="E5080" i="28"/>
  <c r="E5081" i="28"/>
  <c r="E5082" i="28"/>
  <c r="E5083" i="28"/>
  <c r="E5084" i="28"/>
  <c r="E5085" i="28"/>
  <c r="E5086" i="28"/>
  <c r="E5087" i="28"/>
  <c r="E5088" i="28"/>
  <c r="E5089" i="28"/>
  <c r="E5090" i="28"/>
  <c r="E5091" i="28"/>
  <c r="E5092" i="28"/>
  <c r="E5093" i="28"/>
  <c r="E5094" i="28"/>
  <c r="E5095" i="28"/>
  <c r="E5096" i="28"/>
  <c r="E5097" i="28"/>
  <c r="E5098" i="28"/>
  <c r="E5099" i="28"/>
  <c r="E5100" i="28"/>
  <c r="E5101" i="28"/>
  <c r="E5102" i="28"/>
  <c r="E5103" i="28"/>
  <c r="E5104" i="28"/>
  <c r="E5105" i="28"/>
  <c r="E5106" i="28"/>
  <c r="E5107" i="28"/>
  <c r="E5108" i="28"/>
  <c r="E5109" i="28"/>
  <c r="E5110" i="28"/>
  <c r="E5111" i="28"/>
  <c r="E5112" i="28"/>
  <c r="E5113" i="28"/>
  <c r="E5114" i="28"/>
  <c r="E5115" i="28"/>
  <c r="E5116" i="28"/>
  <c r="E5117" i="28"/>
  <c r="E5118" i="28"/>
  <c r="E5119" i="28"/>
  <c r="E5120" i="28"/>
  <c r="E5121" i="28"/>
  <c r="E5122" i="28"/>
  <c r="E5123" i="28"/>
  <c r="E5124" i="28"/>
  <c r="E5125" i="28"/>
  <c r="E5126" i="28"/>
  <c r="E5127" i="28"/>
  <c r="E5128" i="28"/>
  <c r="E5129" i="28"/>
  <c r="E5130" i="28"/>
  <c r="E5131" i="28"/>
  <c r="E5132" i="28"/>
  <c r="E5133" i="28"/>
  <c r="E5134" i="28"/>
  <c r="E5135" i="28"/>
  <c r="E5136" i="28"/>
  <c r="E5137" i="28"/>
  <c r="E5138" i="28"/>
  <c r="E5139" i="28"/>
  <c r="E5140" i="28"/>
  <c r="E5141" i="28"/>
  <c r="E5142" i="28"/>
  <c r="E5143" i="28"/>
  <c r="E5144" i="28"/>
  <c r="E5145" i="28"/>
  <c r="E5146" i="28"/>
  <c r="E5147" i="28"/>
  <c r="E5148" i="28"/>
  <c r="E5149" i="28"/>
  <c r="E5150" i="28"/>
  <c r="E5151" i="28"/>
  <c r="E5152" i="28"/>
  <c r="E5153" i="28"/>
  <c r="E5154" i="28"/>
  <c r="E5155" i="28"/>
  <c r="E5156" i="28"/>
  <c r="E5157" i="28"/>
  <c r="E5158" i="28"/>
  <c r="E5159" i="28"/>
  <c r="E5160" i="28"/>
  <c r="E5161" i="28"/>
  <c r="E5162" i="28"/>
  <c r="E5163" i="28"/>
  <c r="E5164" i="28"/>
  <c r="E5165" i="28"/>
  <c r="E5166" i="28"/>
  <c r="E5167" i="28"/>
  <c r="E5168" i="28"/>
  <c r="E5169" i="28"/>
  <c r="E5170" i="28"/>
  <c r="E5171" i="28"/>
  <c r="E5172" i="28"/>
  <c r="E5173" i="28"/>
  <c r="E5174" i="28"/>
  <c r="E5175" i="28"/>
  <c r="E5176" i="28"/>
  <c r="E5177" i="28"/>
  <c r="E5178" i="28"/>
  <c r="E5179" i="28"/>
  <c r="E5180" i="28"/>
  <c r="E5181" i="28"/>
  <c r="E5182" i="28"/>
  <c r="E5183" i="28"/>
  <c r="E5184" i="28"/>
  <c r="E5185" i="28"/>
  <c r="E5186" i="28"/>
  <c r="E5187" i="28"/>
  <c r="E5188" i="28"/>
  <c r="E5189" i="28"/>
  <c r="E5190" i="28"/>
  <c r="E5191" i="28"/>
  <c r="E5192" i="28"/>
  <c r="E5193" i="28"/>
  <c r="E5194" i="28"/>
  <c r="E5195" i="28"/>
  <c r="E5196" i="28"/>
  <c r="E5197" i="28"/>
  <c r="E5198" i="28"/>
  <c r="E5199" i="28"/>
  <c r="E5200" i="28"/>
  <c r="E5201" i="28"/>
  <c r="E5202" i="28"/>
  <c r="E5203" i="28"/>
  <c r="E5204" i="28"/>
  <c r="E5205" i="28"/>
  <c r="E5206" i="28"/>
  <c r="E5207" i="28"/>
  <c r="E5208" i="28"/>
  <c r="E5209" i="28"/>
  <c r="E5210" i="28"/>
  <c r="E5211" i="28"/>
  <c r="E5212" i="28"/>
  <c r="E5213" i="28"/>
  <c r="E5214" i="28"/>
  <c r="E5215" i="28"/>
  <c r="E5216" i="28"/>
  <c r="E5217" i="28"/>
  <c r="E5218" i="28"/>
  <c r="E5219" i="28"/>
  <c r="E5220" i="28"/>
  <c r="E5221" i="28"/>
  <c r="E5222" i="28"/>
  <c r="E5223" i="28"/>
  <c r="E5224" i="28"/>
  <c r="E5225" i="28"/>
  <c r="E5226" i="28"/>
  <c r="E5227" i="28"/>
  <c r="E5228" i="28"/>
  <c r="E5229" i="28"/>
  <c r="E5230" i="28"/>
  <c r="E5231" i="28"/>
  <c r="E5232" i="28"/>
  <c r="E5233" i="28"/>
  <c r="E5234" i="28"/>
  <c r="E5235" i="28"/>
  <c r="E5236" i="28"/>
  <c r="E5237" i="28"/>
  <c r="E5238" i="28"/>
  <c r="E5239" i="28"/>
  <c r="E5240" i="28"/>
  <c r="E5241" i="28"/>
  <c r="E5242" i="28"/>
  <c r="E5243" i="28"/>
  <c r="E5244" i="28"/>
  <c r="E5245" i="28"/>
  <c r="E5246" i="28"/>
  <c r="E5247" i="28"/>
  <c r="E5248" i="28"/>
  <c r="E5249" i="28"/>
  <c r="E5250" i="28"/>
  <c r="E5251" i="28"/>
  <c r="E5252" i="28"/>
  <c r="E5253" i="28"/>
  <c r="E5254" i="28"/>
  <c r="E5255" i="28"/>
  <c r="E5256" i="28"/>
  <c r="E5257" i="28"/>
  <c r="E5258" i="28"/>
  <c r="E5259" i="28"/>
  <c r="E5260" i="28"/>
  <c r="E5261" i="28"/>
  <c r="E5262" i="28"/>
  <c r="E5263" i="28"/>
  <c r="E5264" i="28"/>
  <c r="E5265" i="28"/>
  <c r="E5266" i="28"/>
  <c r="E5267" i="28"/>
  <c r="E5268" i="28"/>
  <c r="E5269" i="28"/>
  <c r="E5270" i="28"/>
  <c r="E5271" i="28"/>
  <c r="E5272" i="28"/>
  <c r="E5273" i="28"/>
  <c r="E5274" i="28"/>
  <c r="E5275" i="28"/>
  <c r="E5276" i="28"/>
  <c r="E5277" i="28"/>
  <c r="E5278" i="28"/>
  <c r="E5279" i="28"/>
  <c r="E5280" i="28"/>
  <c r="E5281" i="28"/>
  <c r="E5282" i="28"/>
  <c r="E5283" i="28"/>
  <c r="E5284" i="28"/>
  <c r="E5285" i="28"/>
  <c r="E5286" i="28"/>
  <c r="E5287" i="28"/>
  <c r="E5288" i="28"/>
  <c r="E5289" i="28"/>
  <c r="E5290" i="28"/>
  <c r="E5291" i="28"/>
  <c r="E5292" i="28"/>
  <c r="E5293" i="28"/>
  <c r="E5294" i="28"/>
  <c r="E5295" i="28"/>
  <c r="E5296" i="28"/>
  <c r="E5297" i="28"/>
  <c r="E5298" i="28"/>
  <c r="E5299" i="28"/>
  <c r="E5300" i="28"/>
  <c r="E5301" i="28"/>
  <c r="E5302" i="28"/>
  <c r="E5303" i="28"/>
  <c r="E5304" i="28"/>
  <c r="E5305" i="28"/>
  <c r="E5306" i="28"/>
  <c r="E5307" i="28"/>
  <c r="E5308" i="28"/>
  <c r="E5309" i="28"/>
  <c r="E5310" i="28"/>
  <c r="E5311" i="28"/>
  <c r="E5312" i="28"/>
  <c r="E5313" i="28"/>
  <c r="E5314" i="28"/>
  <c r="E5315" i="28"/>
  <c r="E5316" i="28"/>
  <c r="E5317" i="28"/>
  <c r="E5318" i="28"/>
  <c r="E5319" i="28"/>
  <c r="E5320" i="28"/>
  <c r="E5321" i="28"/>
  <c r="E5322" i="28"/>
  <c r="E5323" i="28"/>
  <c r="E5324" i="28"/>
  <c r="E5325" i="28"/>
  <c r="E5326" i="28"/>
  <c r="E5327" i="28"/>
  <c r="E5328" i="28"/>
  <c r="E5329" i="28"/>
  <c r="E5330" i="28"/>
  <c r="E5331" i="28"/>
  <c r="E5332" i="28"/>
  <c r="E5333" i="28"/>
  <c r="E5334" i="28"/>
  <c r="E5335" i="28"/>
  <c r="E5336" i="28"/>
  <c r="E5337" i="28"/>
  <c r="E5338" i="28"/>
  <c r="E5339" i="28"/>
  <c r="E5340" i="28"/>
  <c r="E5341" i="28"/>
  <c r="E5342" i="28"/>
  <c r="E5343" i="28"/>
  <c r="E5344" i="28"/>
  <c r="E5345" i="28"/>
  <c r="E5346" i="28"/>
  <c r="E5347" i="28"/>
  <c r="E5348" i="28"/>
  <c r="E5349" i="28"/>
  <c r="E5350" i="28"/>
  <c r="E5351" i="28"/>
  <c r="E5352" i="28"/>
  <c r="E5353" i="28"/>
  <c r="E5354" i="28"/>
  <c r="E5355" i="28"/>
  <c r="E5356" i="28"/>
  <c r="E5357" i="28"/>
  <c r="E5358" i="28"/>
  <c r="E5359" i="28"/>
  <c r="E5360" i="28"/>
  <c r="E5361" i="28"/>
  <c r="E5362" i="28"/>
  <c r="E5363" i="28"/>
  <c r="E5364" i="28"/>
  <c r="E5365" i="28"/>
  <c r="E5366" i="28"/>
  <c r="E5367" i="28"/>
  <c r="E5368" i="28"/>
  <c r="E5369" i="28"/>
  <c r="E5370" i="28"/>
  <c r="E5371" i="28"/>
  <c r="E5372" i="28"/>
  <c r="E5373" i="28"/>
  <c r="E5374" i="28"/>
  <c r="E5375" i="28"/>
  <c r="E5376" i="28"/>
  <c r="E5377" i="28"/>
  <c r="E5378" i="28"/>
  <c r="E5379" i="28"/>
  <c r="E5380" i="28"/>
  <c r="E5381" i="28"/>
  <c r="E5382" i="28"/>
  <c r="E5383" i="28"/>
  <c r="E5384" i="28"/>
  <c r="E5385" i="28"/>
  <c r="E5386" i="28"/>
  <c r="E5387" i="28"/>
  <c r="E5388" i="28"/>
  <c r="E5389" i="28"/>
  <c r="E5390" i="28"/>
  <c r="E5391" i="28"/>
  <c r="E5392" i="28"/>
  <c r="E5393" i="28"/>
  <c r="E5394" i="28"/>
  <c r="E5395" i="28"/>
  <c r="E5396" i="28"/>
  <c r="E5397" i="28"/>
  <c r="E5398" i="28"/>
  <c r="E5399" i="28"/>
  <c r="E5400" i="28"/>
  <c r="E5401" i="28"/>
  <c r="E5402" i="28"/>
  <c r="E5403" i="28"/>
  <c r="E5404" i="28"/>
  <c r="E5405" i="28"/>
  <c r="E5406" i="28"/>
  <c r="E5407" i="28"/>
  <c r="E5408" i="28"/>
  <c r="E5409" i="28"/>
  <c r="E5410" i="28"/>
  <c r="E5411" i="28"/>
  <c r="E5412" i="28"/>
  <c r="E5413" i="28"/>
  <c r="E5414" i="28"/>
  <c r="E5415" i="28"/>
  <c r="E5416" i="28"/>
  <c r="E5417" i="28"/>
  <c r="E5418" i="28"/>
  <c r="E5419" i="28"/>
  <c r="E5420" i="28"/>
  <c r="E5421" i="28"/>
  <c r="E5422" i="28"/>
  <c r="E5423" i="28"/>
  <c r="E5424" i="28"/>
  <c r="E5425" i="28"/>
  <c r="E5426" i="28"/>
  <c r="E5427" i="28"/>
  <c r="E5428" i="28"/>
  <c r="E5429" i="28"/>
  <c r="E5430" i="28"/>
  <c r="E5431" i="28"/>
  <c r="E5432" i="28"/>
  <c r="E5433" i="28"/>
  <c r="E5434" i="28"/>
  <c r="E5435" i="28"/>
  <c r="E5436" i="28"/>
  <c r="E5437" i="28"/>
  <c r="E5438" i="28"/>
  <c r="E5439" i="28"/>
  <c r="E5440" i="28"/>
  <c r="E5441" i="28"/>
  <c r="E5442" i="28"/>
  <c r="E5443" i="28"/>
  <c r="E5444" i="28"/>
  <c r="E5445" i="28"/>
  <c r="E5446" i="28"/>
  <c r="E5447" i="28"/>
  <c r="E5448" i="28"/>
  <c r="E5449" i="28"/>
  <c r="E5450" i="28"/>
  <c r="E5451" i="28"/>
  <c r="E5452" i="28"/>
  <c r="E5453" i="28"/>
  <c r="E5454" i="28"/>
  <c r="E5455" i="28"/>
  <c r="E5456" i="28"/>
  <c r="E5457" i="28"/>
  <c r="E5458" i="28"/>
  <c r="E5459" i="28"/>
  <c r="E5460" i="28"/>
  <c r="E5461" i="28"/>
  <c r="E5462" i="28"/>
  <c r="E5463" i="28"/>
  <c r="E5464" i="28"/>
  <c r="E5465" i="28"/>
  <c r="E5466" i="28"/>
  <c r="E5467" i="28"/>
  <c r="E5468" i="28"/>
  <c r="E5469" i="28"/>
  <c r="E5470" i="28"/>
  <c r="E5471" i="28"/>
  <c r="E5472" i="28"/>
  <c r="E5473" i="28"/>
  <c r="E5474" i="28"/>
  <c r="E5475" i="28"/>
  <c r="E5476" i="28"/>
  <c r="E5477" i="28"/>
  <c r="E5478" i="28"/>
  <c r="E5479" i="28"/>
  <c r="E5480" i="28"/>
  <c r="E5481" i="28"/>
  <c r="E5482" i="28"/>
  <c r="E5483" i="28"/>
  <c r="E5484" i="28"/>
  <c r="E5485" i="28"/>
  <c r="E5486" i="28"/>
  <c r="E5487" i="28"/>
  <c r="E5488" i="28"/>
  <c r="E5489" i="28"/>
  <c r="E5490" i="28"/>
  <c r="E5491" i="28"/>
  <c r="E5492" i="28"/>
  <c r="E5493" i="28"/>
  <c r="E5494" i="28"/>
  <c r="E5495" i="28"/>
  <c r="E5496" i="28"/>
  <c r="E5497" i="28"/>
  <c r="E5498" i="28"/>
  <c r="E5499" i="28"/>
  <c r="E5500" i="28"/>
  <c r="E5501" i="28"/>
  <c r="E5502" i="28"/>
  <c r="E5503" i="28"/>
  <c r="E5504" i="28"/>
  <c r="E5505" i="28"/>
  <c r="E5506" i="28"/>
  <c r="E5507" i="28"/>
  <c r="E5508" i="28"/>
  <c r="E5509" i="28"/>
  <c r="E5510" i="28"/>
  <c r="E5511" i="28"/>
  <c r="E5512" i="28"/>
  <c r="E5513" i="28"/>
  <c r="E5514" i="28"/>
  <c r="E5515" i="28"/>
  <c r="E5516" i="28"/>
  <c r="E5517" i="28"/>
  <c r="E5518" i="28"/>
  <c r="E5519" i="28"/>
  <c r="E5520" i="28"/>
  <c r="E5521" i="28"/>
  <c r="E5522" i="28"/>
  <c r="E5523" i="28"/>
  <c r="E5524" i="28"/>
  <c r="E5525" i="28"/>
  <c r="E5526" i="28"/>
  <c r="E5527" i="28"/>
  <c r="E5528" i="28"/>
  <c r="E5529" i="28"/>
  <c r="E5530" i="28"/>
  <c r="E5531" i="28"/>
  <c r="E5532" i="28"/>
  <c r="E5533" i="28"/>
  <c r="E5534" i="28"/>
  <c r="E5535" i="28"/>
  <c r="E5536" i="28"/>
  <c r="E5537" i="28"/>
  <c r="E5538" i="28"/>
  <c r="E5539" i="28"/>
  <c r="E5540" i="28"/>
  <c r="E5541" i="28"/>
  <c r="E5542" i="28"/>
  <c r="E5543" i="28"/>
  <c r="E5544" i="28"/>
  <c r="E5545" i="28"/>
  <c r="E5546" i="28"/>
  <c r="E5547" i="28"/>
  <c r="E5548" i="28"/>
  <c r="E5549" i="28"/>
  <c r="E5550" i="28"/>
  <c r="E5551" i="28"/>
  <c r="E5552" i="28"/>
  <c r="E5553" i="28"/>
  <c r="E5554" i="28"/>
  <c r="E5555" i="28"/>
  <c r="E5556" i="28"/>
  <c r="E5557" i="28"/>
  <c r="E5558" i="28"/>
  <c r="E5559" i="28"/>
  <c r="E5560" i="28"/>
  <c r="E5561" i="28"/>
  <c r="E5562" i="28"/>
  <c r="E5563" i="28"/>
  <c r="E5564" i="28"/>
  <c r="E5565" i="28"/>
  <c r="E5566" i="28"/>
  <c r="E5567" i="28"/>
  <c r="E5568" i="28"/>
  <c r="E5569" i="28"/>
  <c r="E5570" i="28"/>
  <c r="E5571" i="28"/>
  <c r="E5572" i="28"/>
  <c r="E5573" i="28"/>
  <c r="E5574" i="28"/>
  <c r="E5575" i="28"/>
  <c r="E5576" i="28"/>
  <c r="E5577" i="28"/>
  <c r="E5578" i="28"/>
  <c r="E5579" i="28"/>
  <c r="E5580" i="28"/>
  <c r="E5581" i="28"/>
  <c r="E5582" i="28"/>
  <c r="E5583" i="28"/>
  <c r="E5584" i="28"/>
  <c r="E5585" i="28"/>
  <c r="E5586" i="28"/>
  <c r="E5587" i="28"/>
  <c r="E5588" i="28"/>
  <c r="E5589" i="28"/>
  <c r="E5590" i="28"/>
  <c r="E5591" i="28"/>
  <c r="E5592" i="28"/>
  <c r="E5593" i="28"/>
  <c r="E5594" i="28"/>
  <c r="E5595" i="28"/>
  <c r="E5596" i="28"/>
  <c r="E5597" i="28"/>
  <c r="E5598" i="28"/>
  <c r="E5599" i="28"/>
  <c r="E5600" i="28"/>
  <c r="E5601" i="28"/>
  <c r="E5602" i="28"/>
  <c r="E5603" i="28"/>
  <c r="E5604" i="28"/>
  <c r="E5605" i="28"/>
  <c r="E5606" i="28"/>
  <c r="E5607" i="28"/>
  <c r="E5608" i="28"/>
  <c r="E5609" i="28"/>
  <c r="E5610" i="28"/>
  <c r="E5611" i="28"/>
  <c r="E5612" i="28"/>
  <c r="E5613" i="28"/>
  <c r="E5614" i="28"/>
  <c r="E5615" i="28"/>
  <c r="E5616" i="28"/>
  <c r="E5617" i="28"/>
  <c r="E5618" i="28"/>
  <c r="E5619" i="28"/>
  <c r="E5620" i="28"/>
  <c r="E5621" i="28"/>
  <c r="E5622" i="28"/>
  <c r="E5623" i="28"/>
  <c r="E5624" i="28"/>
  <c r="E5625" i="28"/>
  <c r="E5626" i="28"/>
  <c r="E5627" i="28"/>
  <c r="E5628" i="28"/>
  <c r="E5629" i="28"/>
  <c r="E5630" i="28"/>
  <c r="E5631" i="28"/>
  <c r="E5632" i="28"/>
  <c r="E5633" i="28"/>
  <c r="E5634" i="28"/>
  <c r="E5635" i="28"/>
  <c r="E5636" i="28"/>
  <c r="E5637" i="28"/>
  <c r="E5638" i="28"/>
  <c r="E5639" i="28"/>
  <c r="E5640" i="28"/>
  <c r="E5641" i="28"/>
  <c r="E5642" i="28"/>
  <c r="E5643" i="28"/>
  <c r="E5644" i="28"/>
  <c r="E5645" i="28"/>
  <c r="E5646" i="28"/>
  <c r="E5647" i="28"/>
  <c r="E5648" i="28"/>
  <c r="E5649" i="28"/>
  <c r="E5650" i="28"/>
  <c r="E5651" i="28"/>
  <c r="E5652" i="28"/>
  <c r="E5653" i="28"/>
  <c r="E5654" i="28"/>
  <c r="E5655" i="28"/>
  <c r="E5656" i="28"/>
  <c r="E5657" i="28"/>
  <c r="E5658" i="28"/>
  <c r="E5659" i="28"/>
  <c r="E5660" i="28"/>
  <c r="E5661" i="28"/>
  <c r="E5662" i="28"/>
  <c r="E5663" i="28"/>
  <c r="E5664" i="28"/>
  <c r="E5665" i="28"/>
  <c r="E5666" i="28"/>
  <c r="E5667" i="28"/>
  <c r="E5668" i="28"/>
  <c r="E5669" i="28"/>
  <c r="E5670" i="28"/>
  <c r="E5671" i="28"/>
  <c r="E5672" i="28"/>
  <c r="E5673" i="28"/>
  <c r="E5674" i="28"/>
  <c r="E5675" i="28"/>
  <c r="E5676" i="28"/>
  <c r="E5677" i="28"/>
  <c r="E5678" i="28"/>
  <c r="E5679" i="28"/>
  <c r="E5680" i="28"/>
  <c r="E5681" i="28"/>
  <c r="E5682" i="28"/>
  <c r="E5683" i="28"/>
  <c r="E5684" i="28"/>
  <c r="E5685" i="28"/>
  <c r="E5686" i="28"/>
  <c r="E5687" i="28"/>
  <c r="E5688" i="28"/>
  <c r="E5689" i="28"/>
  <c r="E5690" i="28"/>
  <c r="E5691" i="28"/>
  <c r="E5692" i="28"/>
  <c r="E5693" i="28"/>
  <c r="E5694" i="28"/>
  <c r="E5695" i="28"/>
  <c r="E5696" i="28"/>
  <c r="E5697" i="28"/>
  <c r="E5698" i="28"/>
  <c r="E5699" i="28"/>
  <c r="E5700" i="28"/>
  <c r="E5701" i="28"/>
  <c r="E5702" i="28"/>
  <c r="E5703" i="28"/>
  <c r="E5704" i="28"/>
  <c r="E5705" i="28"/>
  <c r="E5706" i="28"/>
  <c r="E5707" i="28"/>
  <c r="E5708" i="28"/>
  <c r="E5709" i="28"/>
  <c r="E5710" i="28"/>
  <c r="E5711" i="28"/>
  <c r="E5712" i="28"/>
  <c r="E5713" i="28"/>
  <c r="E5714" i="28"/>
  <c r="E5715" i="28"/>
  <c r="E5716" i="28"/>
  <c r="E5717" i="28"/>
  <c r="E5718" i="28"/>
  <c r="E5719" i="28"/>
  <c r="E5720" i="28"/>
  <c r="E5721" i="28"/>
  <c r="E5722" i="28"/>
  <c r="E5723" i="28"/>
  <c r="E5724" i="28"/>
  <c r="E5725" i="28"/>
  <c r="E5726" i="28"/>
  <c r="E5727" i="28"/>
  <c r="E5728" i="28"/>
  <c r="E5729" i="28"/>
  <c r="E5730" i="28"/>
  <c r="E5731" i="28"/>
  <c r="E5732" i="28"/>
  <c r="E5733" i="28"/>
  <c r="E5734" i="28"/>
  <c r="E5735" i="28"/>
  <c r="E5736" i="28"/>
  <c r="E5737" i="28"/>
  <c r="E5738" i="28"/>
  <c r="E5739" i="28"/>
  <c r="E5740" i="28"/>
  <c r="E5741" i="28"/>
  <c r="E5742" i="28"/>
  <c r="E5743" i="28"/>
  <c r="E5744" i="28"/>
  <c r="E5745" i="28"/>
  <c r="E5746" i="28"/>
  <c r="E5747" i="28"/>
  <c r="E5748" i="28"/>
  <c r="E5749" i="28"/>
  <c r="E5750" i="28"/>
  <c r="E5751" i="28"/>
  <c r="E5752" i="28"/>
  <c r="E5753" i="28"/>
  <c r="E5754" i="28"/>
  <c r="E5755" i="28"/>
  <c r="E5756" i="28"/>
  <c r="E5757" i="28"/>
  <c r="E5758" i="28"/>
  <c r="E5759" i="28"/>
  <c r="E5760" i="28"/>
  <c r="E5761" i="28"/>
  <c r="E5762" i="28"/>
  <c r="E5763" i="28"/>
  <c r="E5764" i="28"/>
  <c r="E5765" i="28"/>
  <c r="E5766" i="28"/>
  <c r="E5767" i="28"/>
  <c r="E5768" i="28"/>
  <c r="E5769" i="28"/>
  <c r="E5770" i="28"/>
  <c r="E5771" i="28"/>
  <c r="E5772" i="28"/>
  <c r="E5773" i="28"/>
  <c r="E5774" i="28"/>
  <c r="E5775" i="28"/>
  <c r="E5776" i="28"/>
  <c r="E5777" i="28"/>
  <c r="E5778" i="28"/>
  <c r="E5779" i="28"/>
  <c r="E5780" i="28"/>
  <c r="E5781" i="28"/>
  <c r="E5782" i="28"/>
  <c r="E5783" i="28"/>
  <c r="E5784" i="28"/>
  <c r="E5785" i="28"/>
  <c r="E5786" i="28"/>
  <c r="E5787" i="28"/>
  <c r="E5788" i="28"/>
  <c r="E5789" i="28"/>
  <c r="E5790" i="28"/>
  <c r="E5791" i="28"/>
  <c r="E5792" i="28"/>
  <c r="E5793" i="28"/>
  <c r="E5794" i="28"/>
  <c r="E5795" i="28"/>
  <c r="E5796" i="28"/>
  <c r="E5797" i="28"/>
  <c r="E5798" i="28"/>
  <c r="E5799" i="28"/>
  <c r="E5800" i="28"/>
  <c r="E5801" i="28"/>
  <c r="E5802" i="28"/>
  <c r="E5803" i="28"/>
  <c r="E5804" i="28"/>
  <c r="E5805" i="28"/>
  <c r="E5806" i="28"/>
  <c r="E5807" i="28"/>
  <c r="E5808" i="28"/>
  <c r="E5809" i="28"/>
  <c r="E5810" i="28"/>
  <c r="E5811" i="28"/>
  <c r="E5812" i="28"/>
  <c r="E5813" i="28"/>
  <c r="E5814" i="28"/>
  <c r="E5815" i="28"/>
  <c r="E5816" i="28"/>
  <c r="E5817" i="28"/>
  <c r="E5818" i="28"/>
  <c r="E5819" i="28"/>
  <c r="E5820" i="28"/>
  <c r="E5821" i="28"/>
  <c r="E5822" i="28"/>
  <c r="E5823" i="28"/>
  <c r="E5824" i="28"/>
  <c r="E5825" i="28"/>
  <c r="E5826" i="28"/>
  <c r="E5827" i="28"/>
  <c r="E5828" i="28"/>
  <c r="E5829" i="28"/>
  <c r="E5830" i="28"/>
  <c r="E5831" i="28"/>
  <c r="E5832" i="28"/>
  <c r="E5833" i="28"/>
  <c r="E5834" i="28"/>
  <c r="E5835" i="28"/>
  <c r="E5836" i="28"/>
  <c r="E5837" i="28"/>
  <c r="E5838" i="28"/>
  <c r="E5839" i="28"/>
  <c r="E5840" i="28"/>
  <c r="E5841" i="28"/>
  <c r="E5842" i="28"/>
  <c r="E5843" i="28"/>
  <c r="E5844" i="28"/>
  <c r="E5845" i="28"/>
  <c r="E5846" i="28"/>
  <c r="E5847" i="28"/>
  <c r="E5848" i="28"/>
  <c r="E5849" i="28"/>
  <c r="E5850" i="28"/>
  <c r="E5851" i="28"/>
  <c r="E5852" i="28"/>
  <c r="E5853" i="28"/>
  <c r="E5854" i="28"/>
  <c r="E5855" i="28"/>
  <c r="E5856" i="28"/>
  <c r="E5857" i="28"/>
  <c r="E5858" i="28"/>
  <c r="E5859" i="28"/>
  <c r="E5860" i="28"/>
  <c r="E5861" i="28"/>
  <c r="E5862" i="28"/>
  <c r="E5863" i="28"/>
  <c r="E5864" i="28"/>
  <c r="E5865" i="28"/>
  <c r="E5866" i="28"/>
  <c r="E5867" i="28"/>
  <c r="E5868" i="28"/>
  <c r="E5869" i="28"/>
  <c r="E5870" i="28"/>
  <c r="E5871" i="28"/>
  <c r="E5872" i="28"/>
  <c r="E5873" i="28"/>
  <c r="E5874" i="28"/>
  <c r="E5875" i="28"/>
  <c r="E5876" i="28"/>
  <c r="E5877" i="28"/>
  <c r="E5878" i="28"/>
  <c r="E5879" i="28"/>
  <c r="E5880" i="28"/>
  <c r="E5881" i="28"/>
  <c r="E5882" i="28"/>
  <c r="E5883" i="28"/>
  <c r="E5884" i="28"/>
  <c r="E5885" i="28"/>
  <c r="E5886" i="28"/>
  <c r="E5887" i="28"/>
  <c r="E5888" i="28"/>
  <c r="E5889" i="28"/>
  <c r="E5890" i="28"/>
  <c r="E5891" i="28"/>
  <c r="E5892" i="28"/>
  <c r="E5893" i="28"/>
  <c r="E5894" i="28"/>
  <c r="E5895" i="28"/>
  <c r="E5896" i="28"/>
  <c r="E5897" i="28"/>
  <c r="E5898" i="28"/>
  <c r="E5899" i="28"/>
  <c r="E5900" i="28"/>
  <c r="E5901" i="28"/>
  <c r="E5902" i="28"/>
  <c r="E5903" i="28"/>
  <c r="E5904" i="28"/>
  <c r="E5905" i="28"/>
  <c r="E5906" i="28"/>
  <c r="E5907" i="28"/>
  <c r="E5908" i="28"/>
  <c r="E5909" i="28"/>
  <c r="E5910" i="28"/>
  <c r="E5911" i="28"/>
  <c r="E5912" i="28"/>
  <c r="E5913" i="28"/>
  <c r="E5914" i="28"/>
  <c r="E5915" i="28"/>
  <c r="E5916" i="28"/>
  <c r="E5917" i="28"/>
  <c r="E5918" i="28"/>
  <c r="E5919" i="28"/>
  <c r="E5920" i="28"/>
  <c r="E5921" i="28"/>
  <c r="E5922" i="28"/>
  <c r="E5923" i="28"/>
  <c r="E5924" i="28"/>
  <c r="E5925" i="28"/>
  <c r="E5926" i="28"/>
  <c r="E5927" i="28"/>
  <c r="E5928" i="28"/>
  <c r="E5929" i="28"/>
  <c r="E5930" i="28"/>
  <c r="E5931" i="28"/>
  <c r="E5932" i="28"/>
  <c r="E5933" i="28"/>
  <c r="E5934" i="28"/>
  <c r="E5935" i="28"/>
  <c r="E5936" i="28"/>
  <c r="E5937" i="28"/>
  <c r="E5938" i="28"/>
  <c r="E5939" i="28"/>
  <c r="E5940" i="28"/>
  <c r="E5941" i="28"/>
  <c r="E5942" i="28"/>
  <c r="E5943" i="28"/>
  <c r="E5944" i="28"/>
  <c r="E5945" i="28"/>
  <c r="E5946" i="28"/>
  <c r="E5947" i="28"/>
  <c r="E5948" i="28"/>
  <c r="E5949" i="28"/>
  <c r="E5950" i="28"/>
  <c r="E5951" i="28"/>
  <c r="E5952" i="28"/>
  <c r="E5953" i="28"/>
  <c r="E5954" i="28"/>
  <c r="E5955" i="28"/>
  <c r="E5956" i="28"/>
  <c r="E5957" i="28"/>
  <c r="E5958" i="28"/>
  <c r="E5959" i="28"/>
  <c r="E5960" i="28"/>
  <c r="E5961" i="28"/>
  <c r="E5962" i="28"/>
  <c r="E5963" i="28"/>
  <c r="E5964" i="28"/>
  <c r="E5965" i="28"/>
  <c r="E5966" i="28"/>
  <c r="E5967" i="28"/>
  <c r="E5968" i="28"/>
  <c r="E5969" i="28"/>
  <c r="E5970" i="28"/>
  <c r="E5971" i="28"/>
  <c r="E5972" i="28"/>
  <c r="E5973" i="28"/>
  <c r="E5974" i="28"/>
  <c r="E5975" i="28"/>
  <c r="E5976" i="28"/>
  <c r="E5977" i="28"/>
  <c r="E5978" i="28"/>
  <c r="E5979" i="28"/>
  <c r="E5980" i="28"/>
  <c r="E5981" i="28"/>
  <c r="E5982" i="28"/>
  <c r="E5983" i="28"/>
  <c r="E5984" i="28"/>
  <c r="E5985" i="28"/>
  <c r="E5986" i="28"/>
  <c r="E5987" i="28"/>
  <c r="E5988" i="28"/>
  <c r="E5989" i="28"/>
  <c r="E5990" i="28"/>
  <c r="E5991" i="28"/>
  <c r="E5992" i="28"/>
  <c r="E5993" i="28"/>
  <c r="E5994" i="28"/>
  <c r="E5995" i="28"/>
  <c r="E5996" i="28"/>
  <c r="E5997" i="28"/>
  <c r="E5998" i="28"/>
  <c r="E5999" i="28"/>
  <c r="E6000" i="28"/>
  <c r="E6001" i="28"/>
  <c r="E6002" i="28"/>
  <c r="E6003" i="28"/>
  <c r="E6004" i="28"/>
  <c r="E6005" i="28"/>
  <c r="E6006" i="28"/>
  <c r="E3007" i="28"/>
  <c r="E3008" i="28"/>
  <c r="E3009" i="28"/>
  <c r="E3010" i="28"/>
  <c r="E3011" i="28"/>
  <c r="E3012" i="28"/>
  <c r="E3013" i="28"/>
  <c r="E3014" i="28"/>
  <c r="E3015" i="28"/>
  <c r="E3016" i="28"/>
  <c r="E3017" i="28"/>
  <c r="E3018" i="28"/>
  <c r="E3019" i="28"/>
  <c r="E3020" i="28"/>
  <c r="E3021" i="28"/>
  <c r="E3022" i="28"/>
  <c r="E3023" i="28"/>
  <c r="E3024" i="28"/>
  <c r="E3025" i="28"/>
  <c r="E3026" i="28"/>
  <c r="E3027" i="28"/>
  <c r="E3028" i="28"/>
  <c r="E3029" i="28"/>
  <c r="E3030" i="28"/>
  <c r="E3031" i="28"/>
  <c r="E3032" i="28"/>
  <c r="E3033" i="28"/>
  <c r="E3034" i="28"/>
  <c r="E3035" i="28"/>
  <c r="E3036" i="28"/>
  <c r="E3037" i="28"/>
  <c r="E3038" i="28"/>
  <c r="E3039" i="28"/>
  <c r="E3040" i="28"/>
  <c r="E3041" i="28"/>
  <c r="E3042" i="28"/>
  <c r="E3043" i="28"/>
  <c r="E3044" i="28"/>
  <c r="E3045" i="28"/>
  <c r="E3046" i="28"/>
  <c r="E3047" i="28"/>
  <c r="E3048" i="28"/>
  <c r="E3049" i="28"/>
  <c r="E3050" i="28"/>
  <c r="E3051" i="28"/>
  <c r="E3052" i="28"/>
  <c r="E3053" i="28"/>
  <c r="E3054" i="28"/>
  <c r="E3055" i="28"/>
  <c r="E3056" i="28"/>
  <c r="E3057" i="28"/>
  <c r="E3058" i="28"/>
  <c r="E3059" i="28"/>
  <c r="E3060" i="28"/>
  <c r="E3061" i="28"/>
  <c r="E3062" i="28"/>
  <c r="E3063" i="28"/>
  <c r="E3064" i="28"/>
  <c r="E3065" i="28"/>
  <c r="E3066" i="28"/>
  <c r="E3067" i="28"/>
  <c r="E3068" i="28"/>
  <c r="E3069" i="28"/>
  <c r="E3070" i="28"/>
  <c r="E3071" i="28"/>
  <c r="E3072" i="28"/>
  <c r="E3073" i="28"/>
  <c r="E3074" i="28"/>
  <c r="E3075" i="28"/>
  <c r="E3076" i="28"/>
  <c r="E3077" i="28"/>
  <c r="E3078" i="28"/>
  <c r="E3079" i="28"/>
  <c r="E3080" i="28"/>
  <c r="E3081" i="28"/>
  <c r="E3082" i="28"/>
  <c r="E3083" i="28"/>
  <c r="E3084" i="28"/>
  <c r="E3085" i="28"/>
  <c r="E3086" i="28"/>
  <c r="E3087" i="28"/>
  <c r="E3088" i="28"/>
  <c r="E3089" i="28"/>
  <c r="E3090" i="28"/>
  <c r="E3091" i="28"/>
  <c r="E3092" i="28"/>
  <c r="E3093" i="28"/>
  <c r="E3094" i="28"/>
  <c r="E3095" i="28"/>
  <c r="E3096" i="28"/>
  <c r="E3097" i="28"/>
  <c r="E3098" i="28"/>
  <c r="E3099" i="28"/>
  <c r="E3100" i="28"/>
  <c r="E3101" i="28"/>
  <c r="E3102" i="28"/>
  <c r="E3103" i="28"/>
  <c r="E3104" i="28"/>
  <c r="E3105" i="28"/>
  <c r="E3106" i="28"/>
  <c r="E3107" i="28"/>
  <c r="E3108" i="28"/>
  <c r="E3109" i="28"/>
  <c r="E3110" i="28"/>
  <c r="E3111" i="28"/>
  <c r="E3112" i="28"/>
  <c r="E3113" i="28"/>
  <c r="E3114" i="28"/>
  <c r="E3115" i="28"/>
  <c r="E3116" i="28"/>
  <c r="E3117" i="28"/>
  <c r="E3118" i="28"/>
  <c r="E3119" i="28"/>
  <c r="E3120" i="28"/>
  <c r="E3121" i="28"/>
  <c r="E3122" i="28"/>
  <c r="E3123" i="28"/>
  <c r="E3124" i="28"/>
  <c r="E3125" i="28"/>
  <c r="E3126" i="28"/>
  <c r="E3127" i="28"/>
  <c r="E3128" i="28"/>
  <c r="E3129" i="28"/>
  <c r="E3130" i="28"/>
  <c r="E3131" i="28"/>
  <c r="E3132" i="28"/>
  <c r="E3133" i="28"/>
  <c r="E3134" i="28"/>
  <c r="E3135" i="28"/>
  <c r="E3136" i="28"/>
  <c r="E3137" i="28"/>
  <c r="E3138" i="28"/>
  <c r="E3139" i="28"/>
  <c r="E3140" i="28"/>
  <c r="E3141" i="28"/>
  <c r="E3142" i="28"/>
  <c r="E3143" i="28"/>
  <c r="E3144" i="28"/>
  <c r="E3145" i="28"/>
  <c r="E3146" i="28"/>
  <c r="E3147" i="28"/>
  <c r="E3148" i="28"/>
  <c r="E3149" i="28"/>
  <c r="E3150" i="28"/>
  <c r="E3151" i="28"/>
  <c r="E3152" i="28"/>
  <c r="E3153" i="28"/>
  <c r="E3154" i="28"/>
  <c r="E3155" i="28"/>
  <c r="E3156" i="28"/>
  <c r="E3157" i="28"/>
  <c r="E3158" i="28"/>
  <c r="E3159" i="28"/>
  <c r="E3160" i="28"/>
  <c r="E3161" i="28"/>
  <c r="E3162" i="28"/>
  <c r="E3163" i="28"/>
  <c r="E3164" i="28"/>
  <c r="E3165" i="28"/>
  <c r="E3166" i="28"/>
  <c r="E3167" i="28"/>
  <c r="E3168" i="28"/>
  <c r="E3169" i="28"/>
  <c r="E3170" i="28"/>
  <c r="E3171" i="28"/>
  <c r="E3172" i="28"/>
  <c r="E3173" i="28"/>
  <c r="E3174" i="28"/>
  <c r="E3175" i="28"/>
  <c r="E3176" i="28"/>
  <c r="E3177" i="28"/>
  <c r="E3178" i="28"/>
  <c r="E3179" i="28"/>
  <c r="E3180" i="28"/>
  <c r="E3181" i="28"/>
  <c r="E3182" i="28"/>
  <c r="E3183" i="28"/>
  <c r="E3184" i="28"/>
  <c r="E3185" i="28"/>
  <c r="E3186" i="28"/>
  <c r="E3187" i="28"/>
  <c r="E3188" i="28"/>
  <c r="E3189" i="28"/>
  <c r="E3190" i="28"/>
  <c r="E3191" i="28"/>
  <c r="E3192" i="28"/>
  <c r="E3193" i="28"/>
  <c r="E3194" i="28"/>
  <c r="E3195" i="28"/>
  <c r="E3196" i="28"/>
  <c r="E3197" i="28"/>
  <c r="E3198" i="28"/>
  <c r="E3199" i="28"/>
  <c r="E3200" i="28"/>
  <c r="E3201" i="28"/>
  <c r="E3202" i="28"/>
  <c r="E3203" i="28"/>
  <c r="E3204" i="28"/>
  <c r="E3205" i="28"/>
  <c r="E3206" i="28"/>
  <c r="E3207" i="28"/>
  <c r="E3208" i="28"/>
  <c r="E3209" i="28"/>
  <c r="E3210" i="28"/>
  <c r="E3211" i="28"/>
  <c r="E3212" i="28"/>
  <c r="E3213" i="28"/>
  <c r="E3214" i="28"/>
  <c r="E3215" i="28"/>
  <c r="E3216" i="28"/>
  <c r="E3217" i="28"/>
  <c r="E3218" i="28"/>
  <c r="E3219" i="28"/>
  <c r="E3220" i="28"/>
  <c r="E3221" i="28"/>
  <c r="E3222" i="28"/>
  <c r="E3223" i="28"/>
  <c r="E3224" i="28"/>
  <c r="E3225" i="28"/>
  <c r="E3226" i="28"/>
  <c r="E3227" i="28"/>
  <c r="E3228" i="28"/>
  <c r="E3229" i="28"/>
  <c r="E3230" i="28"/>
  <c r="E3231" i="28"/>
  <c r="E3232" i="28"/>
  <c r="E3233" i="28"/>
  <c r="E3234" i="28"/>
  <c r="E3235" i="28"/>
  <c r="E3236" i="28"/>
  <c r="E3237" i="28"/>
  <c r="E3238" i="28"/>
  <c r="E3239" i="28"/>
  <c r="E3240" i="28"/>
  <c r="E3241" i="28"/>
  <c r="E3242" i="28"/>
  <c r="E3243" i="28"/>
  <c r="E3244" i="28"/>
  <c r="E3245" i="28"/>
  <c r="E3246" i="28"/>
  <c r="E3247" i="28"/>
  <c r="E3248" i="28"/>
  <c r="E3249" i="28"/>
  <c r="E3250" i="28"/>
  <c r="E3251" i="28"/>
  <c r="E3252" i="28"/>
  <c r="E3253" i="28"/>
  <c r="E3254" i="28"/>
  <c r="E3255" i="28"/>
  <c r="E3256" i="28"/>
  <c r="E3257" i="28"/>
  <c r="E3258" i="28"/>
  <c r="E3259" i="28"/>
  <c r="E3260" i="28"/>
  <c r="E3261" i="28"/>
  <c r="E3262" i="28"/>
  <c r="E3263" i="28"/>
  <c r="E3264" i="28"/>
  <c r="E3265" i="28"/>
  <c r="E3266" i="28"/>
  <c r="E3267" i="28"/>
  <c r="E3268" i="28"/>
  <c r="E3269" i="28"/>
  <c r="E3270" i="28"/>
  <c r="E3271" i="28"/>
  <c r="E3272" i="28"/>
  <c r="E3273" i="28"/>
  <c r="E3274" i="28"/>
  <c r="E3275" i="28"/>
  <c r="E3276" i="28"/>
  <c r="E3277" i="28"/>
  <c r="E3278" i="28"/>
  <c r="E3279" i="28"/>
  <c r="E3280" i="28"/>
  <c r="E3281" i="28"/>
  <c r="E3282" i="28"/>
  <c r="E3283" i="28"/>
  <c r="E3284" i="28"/>
  <c r="E3285" i="28"/>
  <c r="E3286" i="28"/>
  <c r="E3287" i="28"/>
  <c r="E3288" i="28"/>
  <c r="E3289" i="28"/>
  <c r="E3290" i="28"/>
  <c r="E3291" i="28"/>
  <c r="E3292" i="28"/>
  <c r="E3293" i="28"/>
  <c r="E3294" i="28"/>
  <c r="E3295" i="28"/>
  <c r="E3296" i="28"/>
  <c r="E3297" i="28"/>
  <c r="E3298" i="28"/>
  <c r="E3299" i="28"/>
  <c r="E3300" i="28"/>
  <c r="E3301" i="28"/>
  <c r="E3302" i="28"/>
  <c r="E3303" i="28"/>
  <c r="E3304" i="28"/>
  <c r="E3305" i="28"/>
  <c r="E3306" i="28"/>
  <c r="E3307" i="28"/>
  <c r="E3308" i="28"/>
  <c r="E3309" i="28"/>
  <c r="E3310" i="28"/>
  <c r="E3311" i="28"/>
  <c r="E3312" i="28"/>
  <c r="E3313" i="28"/>
  <c r="E3314" i="28"/>
  <c r="E3315" i="28"/>
  <c r="E3316" i="28"/>
  <c r="E3317" i="28"/>
  <c r="E3318" i="28"/>
  <c r="E3319" i="28"/>
  <c r="E3320" i="28"/>
  <c r="E3321" i="28"/>
  <c r="E3322" i="28"/>
  <c r="E3323" i="28"/>
  <c r="E3324" i="28"/>
  <c r="E3325" i="28"/>
  <c r="E3326" i="28"/>
  <c r="E3327" i="28"/>
  <c r="E3328" i="28"/>
  <c r="E3329" i="28"/>
  <c r="E3330" i="28"/>
  <c r="E3331" i="28"/>
  <c r="E3332" i="28"/>
  <c r="E3333" i="28"/>
  <c r="E3334" i="28"/>
  <c r="E3335" i="28"/>
  <c r="E3336" i="28"/>
  <c r="E3337" i="28"/>
  <c r="E3338" i="28"/>
  <c r="E3339" i="28"/>
  <c r="E3340" i="28"/>
  <c r="E3341" i="28"/>
  <c r="E3342" i="28"/>
  <c r="E3343" i="28"/>
  <c r="E3344" i="28"/>
  <c r="E3345" i="28"/>
  <c r="E3346" i="28"/>
  <c r="E3347" i="28"/>
  <c r="E3348" i="28"/>
  <c r="E3349" i="28"/>
  <c r="E3350" i="28"/>
  <c r="E3351" i="28"/>
  <c r="E3352" i="28"/>
  <c r="E3353" i="28"/>
  <c r="E3354" i="28"/>
  <c r="E3355" i="28"/>
  <c r="E3356" i="28"/>
  <c r="E3357" i="28"/>
  <c r="E3358" i="28"/>
  <c r="E3359" i="28"/>
  <c r="E3360" i="28"/>
  <c r="E3361" i="28"/>
  <c r="E3362" i="28"/>
  <c r="E3363" i="28"/>
  <c r="E3364" i="28"/>
  <c r="E3365" i="28"/>
  <c r="E3366" i="28"/>
  <c r="E3367" i="28"/>
  <c r="E3368" i="28"/>
  <c r="E3369" i="28"/>
  <c r="E3370" i="28"/>
  <c r="E3371" i="28"/>
  <c r="E3372" i="28"/>
  <c r="E3373" i="28"/>
  <c r="E3374" i="28"/>
  <c r="E3375" i="28"/>
  <c r="E3376" i="28"/>
  <c r="E3377" i="28"/>
  <c r="E3378" i="28"/>
  <c r="E3379" i="28"/>
  <c r="E3380" i="28"/>
  <c r="E3381" i="28"/>
  <c r="E3382" i="28"/>
  <c r="E3383" i="28"/>
  <c r="E3384" i="28"/>
  <c r="E3385" i="28"/>
  <c r="E3386" i="28"/>
  <c r="E3387" i="28"/>
  <c r="E3388" i="28"/>
  <c r="E3389" i="28"/>
  <c r="E3390" i="28"/>
  <c r="E3391" i="28"/>
  <c r="E3392" i="28"/>
  <c r="E3393" i="28"/>
  <c r="E3394" i="28"/>
  <c r="E3395" i="28"/>
  <c r="E3396" i="28"/>
  <c r="E3397" i="28"/>
  <c r="E3398" i="28"/>
  <c r="E3399" i="28"/>
  <c r="E3400" i="28"/>
  <c r="E3401" i="28"/>
  <c r="E3402" i="28"/>
  <c r="E3403" i="28"/>
  <c r="E3404" i="28"/>
  <c r="E3405" i="28"/>
  <c r="E3406" i="28"/>
  <c r="E3407" i="28"/>
  <c r="E3408" i="28"/>
  <c r="E3409" i="28"/>
  <c r="E3410" i="28"/>
  <c r="E3411" i="28"/>
  <c r="E3412" i="28"/>
  <c r="E3413" i="28"/>
  <c r="E3414" i="28"/>
  <c r="E3415" i="28"/>
  <c r="E3416" i="28"/>
  <c r="E3417" i="28"/>
  <c r="E3418" i="28"/>
  <c r="E3419" i="28"/>
  <c r="E3420" i="28"/>
  <c r="E3421" i="28"/>
  <c r="E3422" i="28"/>
  <c r="E3423" i="28"/>
  <c r="E3424" i="28"/>
  <c r="E3425" i="28"/>
  <c r="E3426" i="28"/>
  <c r="E3427" i="28"/>
  <c r="E3428" i="28"/>
  <c r="E3429" i="28"/>
  <c r="E3430" i="28"/>
  <c r="E3431" i="28"/>
  <c r="E3432" i="28"/>
  <c r="E3433" i="28"/>
  <c r="E3434" i="28"/>
  <c r="E3435" i="28"/>
  <c r="E3436" i="28"/>
  <c r="E3437" i="28"/>
  <c r="E3438" i="28"/>
  <c r="E3439" i="28"/>
  <c r="E3440" i="28"/>
  <c r="E3441" i="28"/>
  <c r="E3442" i="28"/>
  <c r="E3443" i="28"/>
  <c r="E3444" i="28"/>
  <c r="E3445" i="28"/>
  <c r="E3446" i="28"/>
  <c r="E3447" i="28"/>
  <c r="E3448" i="28"/>
  <c r="E3449" i="28"/>
  <c r="E3450" i="28"/>
  <c r="E3451" i="28"/>
  <c r="E3452" i="28"/>
  <c r="E3453" i="28"/>
  <c r="E3454" i="28"/>
  <c r="E3455" i="28"/>
  <c r="E3456" i="28"/>
  <c r="E3457" i="28"/>
  <c r="E3458" i="28"/>
  <c r="E3459" i="28"/>
  <c r="E3460" i="28"/>
  <c r="E3461" i="28"/>
  <c r="E3462" i="28"/>
  <c r="E3463" i="28"/>
  <c r="E3464" i="28"/>
  <c r="E3465" i="28"/>
  <c r="E3466" i="28"/>
  <c r="E3467" i="28"/>
  <c r="E3468" i="28"/>
  <c r="E3469" i="28"/>
  <c r="E3470" i="28"/>
  <c r="E3471" i="28"/>
  <c r="E3472" i="28"/>
  <c r="E3473" i="28"/>
  <c r="E3474" i="28"/>
  <c r="E3475" i="28"/>
  <c r="E3476" i="28"/>
  <c r="E3477" i="28"/>
  <c r="E3478" i="28"/>
  <c r="E3479" i="28"/>
  <c r="E3480" i="28"/>
  <c r="E3481" i="28"/>
  <c r="E3482" i="28"/>
  <c r="E3483" i="28"/>
  <c r="E3484" i="28"/>
  <c r="E3485" i="28"/>
  <c r="E3486" i="28"/>
  <c r="E3487" i="28"/>
  <c r="E3488" i="28"/>
  <c r="E3489" i="28"/>
  <c r="E3490" i="28"/>
  <c r="E3491" i="28"/>
  <c r="E3492" i="28"/>
  <c r="E3493" i="28"/>
  <c r="E3494" i="28"/>
  <c r="E3495" i="28"/>
  <c r="E3496" i="28"/>
  <c r="E3497" i="28"/>
  <c r="E3498" i="28"/>
  <c r="E3499" i="28"/>
  <c r="E3500" i="28"/>
  <c r="E3501" i="28"/>
  <c r="E3502" i="28"/>
  <c r="E3503" i="28"/>
  <c r="E3504" i="28"/>
  <c r="E3505" i="28"/>
  <c r="E3506" i="28"/>
  <c r="E3507" i="28"/>
  <c r="E3508" i="28"/>
  <c r="E3509" i="28"/>
  <c r="E3510" i="28"/>
  <c r="E3511" i="28"/>
  <c r="E3512" i="28"/>
  <c r="E3513" i="28"/>
  <c r="E3514" i="28"/>
  <c r="E3515" i="28"/>
  <c r="E3516" i="28"/>
  <c r="E3517" i="28"/>
  <c r="E3518" i="28"/>
  <c r="E3519" i="28"/>
  <c r="E3520" i="28"/>
  <c r="E3521" i="28"/>
  <c r="E3522" i="28"/>
  <c r="E3523" i="28"/>
  <c r="E3524" i="28"/>
  <c r="E3525" i="28"/>
  <c r="E3526" i="28"/>
  <c r="E3527" i="28"/>
  <c r="E3528" i="28"/>
  <c r="E3529" i="28"/>
  <c r="E3530" i="28"/>
  <c r="E3531" i="28"/>
  <c r="E3532" i="28"/>
  <c r="E3533" i="28"/>
  <c r="E3534" i="28"/>
  <c r="E3535" i="28"/>
  <c r="E3536" i="28"/>
  <c r="E3537" i="28"/>
  <c r="E3538" i="28"/>
  <c r="E3539" i="28"/>
  <c r="E3540" i="28"/>
  <c r="E3541" i="28"/>
  <c r="E3542" i="28"/>
  <c r="E3543" i="28"/>
  <c r="E3544" i="28"/>
  <c r="E3545" i="28"/>
  <c r="E3546" i="28"/>
  <c r="E3547" i="28"/>
  <c r="E3548" i="28"/>
  <c r="E3549" i="28"/>
  <c r="E3550" i="28"/>
  <c r="E3551" i="28"/>
  <c r="E3552" i="28"/>
  <c r="E3553" i="28"/>
  <c r="E3554" i="28"/>
  <c r="E3555" i="28"/>
  <c r="E3556" i="28"/>
  <c r="E3557" i="28"/>
  <c r="E3558" i="28"/>
  <c r="E3559" i="28"/>
  <c r="E3560" i="28"/>
  <c r="E3561" i="28"/>
  <c r="E3562" i="28"/>
  <c r="E3563" i="28"/>
  <c r="E3564" i="28"/>
  <c r="E3565" i="28"/>
  <c r="E3566" i="28"/>
  <c r="E3567" i="28"/>
  <c r="E3568" i="28"/>
  <c r="E3569" i="28"/>
  <c r="E3570" i="28"/>
  <c r="E3571" i="28"/>
  <c r="E3572" i="28"/>
  <c r="E3573" i="28"/>
  <c r="E3574" i="28"/>
  <c r="E3575" i="28"/>
  <c r="E3576" i="28"/>
  <c r="E3577" i="28"/>
  <c r="E3578" i="28"/>
  <c r="E3579" i="28"/>
  <c r="E3580" i="28"/>
  <c r="E3581" i="28"/>
  <c r="E3582" i="28"/>
  <c r="E3583" i="28"/>
  <c r="E3584" i="28"/>
  <c r="E3585" i="28"/>
  <c r="E3586" i="28"/>
  <c r="E3587" i="28"/>
  <c r="E3588" i="28"/>
  <c r="E3589" i="28"/>
  <c r="E3590" i="28"/>
  <c r="E3591" i="28"/>
  <c r="E3592" i="28"/>
  <c r="E3593" i="28"/>
  <c r="E3594" i="28"/>
  <c r="E3595" i="28"/>
  <c r="E3596" i="28"/>
  <c r="E3597" i="28"/>
  <c r="E3598" i="28"/>
  <c r="E3599" i="28"/>
  <c r="E3600" i="28"/>
  <c r="E3601" i="28"/>
  <c r="E3602" i="28"/>
  <c r="E3603" i="28"/>
  <c r="E3604" i="28"/>
  <c r="E3605" i="28"/>
  <c r="E3606" i="28"/>
  <c r="E3607" i="28"/>
  <c r="E3608" i="28"/>
  <c r="E3609" i="28"/>
  <c r="E3610" i="28"/>
  <c r="E3611" i="28"/>
  <c r="E3612" i="28"/>
  <c r="E3613" i="28"/>
  <c r="E3614" i="28"/>
  <c r="E3615" i="28"/>
  <c r="E3616" i="28"/>
  <c r="E3617" i="28"/>
  <c r="E3618" i="28"/>
  <c r="E3619" i="28"/>
  <c r="E3620" i="28"/>
  <c r="E3621" i="28"/>
  <c r="E3622" i="28"/>
  <c r="E3623" i="28"/>
  <c r="E3624" i="28"/>
  <c r="E3625" i="28"/>
  <c r="E3626" i="28"/>
  <c r="E3627" i="28"/>
  <c r="E3628" i="28"/>
  <c r="E3629" i="28"/>
  <c r="E3630" i="28"/>
  <c r="E3631" i="28"/>
  <c r="E3632" i="28"/>
  <c r="E3633" i="28"/>
  <c r="E3634" i="28"/>
  <c r="E3635" i="28"/>
  <c r="E3636" i="28"/>
  <c r="E3637" i="28"/>
  <c r="E3638" i="28"/>
  <c r="E3639" i="28"/>
  <c r="E3640" i="28"/>
  <c r="E3641" i="28"/>
  <c r="E3642" i="28"/>
  <c r="E3643" i="28"/>
  <c r="E3644" i="28"/>
  <c r="E3645" i="28"/>
  <c r="E3646" i="28"/>
  <c r="E3647" i="28"/>
  <c r="E3648" i="28"/>
  <c r="E3649" i="28"/>
  <c r="E3650" i="28"/>
  <c r="E3651" i="28"/>
  <c r="E3652" i="28"/>
  <c r="E3653" i="28"/>
  <c r="E3654" i="28"/>
  <c r="E3655" i="28"/>
  <c r="E3656" i="28"/>
  <c r="E3657" i="28"/>
  <c r="E3658" i="28"/>
  <c r="E3659" i="28"/>
  <c r="E3660" i="28"/>
  <c r="E3661" i="28"/>
  <c r="E3662" i="28"/>
  <c r="E3663" i="28"/>
  <c r="E3664" i="28"/>
  <c r="E3665" i="28"/>
  <c r="E3666" i="28"/>
  <c r="E3667" i="28"/>
  <c r="E3668" i="28"/>
  <c r="E3669" i="28"/>
  <c r="E3670" i="28"/>
  <c r="E3671" i="28"/>
  <c r="E3672" i="28"/>
  <c r="E3673" i="28"/>
  <c r="E3674" i="28"/>
  <c r="E3675" i="28"/>
  <c r="E3676" i="28"/>
  <c r="E3677" i="28"/>
  <c r="E3678" i="28"/>
  <c r="E3679" i="28"/>
  <c r="E3680" i="28"/>
  <c r="E3681" i="28"/>
  <c r="E3682" i="28"/>
  <c r="E3683" i="28"/>
  <c r="E3684" i="28"/>
  <c r="E3685" i="28"/>
  <c r="E3686" i="28"/>
  <c r="E3687" i="28"/>
  <c r="E3688" i="28"/>
  <c r="E3689" i="28"/>
  <c r="E3690" i="28"/>
  <c r="E3691" i="28"/>
  <c r="E3692" i="28"/>
  <c r="E3693" i="28"/>
  <c r="E3694" i="28"/>
  <c r="E3695" i="28"/>
  <c r="E3696" i="28"/>
  <c r="E3697" i="28"/>
  <c r="E3698" i="28"/>
  <c r="E3699" i="28"/>
  <c r="E3700" i="28"/>
  <c r="E3701" i="28"/>
  <c r="E3702" i="28"/>
  <c r="E3703" i="28"/>
  <c r="E3704" i="28"/>
  <c r="E3705" i="28"/>
  <c r="E3706" i="28"/>
  <c r="E3707" i="28"/>
  <c r="E3708" i="28"/>
  <c r="E3709" i="28"/>
  <c r="E3710" i="28"/>
  <c r="E3711" i="28"/>
  <c r="E3712" i="28"/>
  <c r="E3713" i="28"/>
  <c r="E3714" i="28"/>
  <c r="E3715" i="28"/>
  <c r="E3716" i="28"/>
  <c r="E3717" i="28"/>
  <c r="E3718" i="28"/>
  <c r="E3719" i="28"/>
  <c r="E3720" i="28"/>
  <c r="E3721" i="28"/>
  <c r="E3722" i="28"/>
  <c r="E3723" i="28"/>
  <c r="E3724" i="28"/>
  <c r="E3725" i="28"/>
  <c r="E3726" i="28"/>
  <c r="E3727" i="28"/>
  <c r="E3728" i="28"/>
  <c r="E3729" i="28"/>
  <c r="E3730" i="28"/>
  <c r="E3731" i="28"/>
  <c r="E3732" i="28"/>
  <c r="E3733" i="28"/>
  <c r="E3734" i="28"/>
  <c r="E3735" i="28"/>
  <c r="E3736" i="28"/>
  <c r="E3737" i="28"/>
  <c r="E3738" i="28"/>
  <c r="E3739" i="28"/>
  <c r="E3740" i="28"/>
  <c r="E3741" i="28"/>
  <c r="E3742" i="28"/>
  <c r="E3743" i="28"/>
  <c r="E3744" i="28"/>
  <c r="E3745" i="28"/>
  <c r="E3746" i="28"/>
  <c r="E3747" i="28"/>
  <c r="E3748" i="28"/>
  <c r="E3749" i="28"/>
  <c r="E3750" i="28"/>
  <c r="E3751" i="28"/>
  <c r="E3752" i="28"/>
  <c r="E3753" i="28"/>
  <c r="E3754" i="28"/>
  <c r="E3755" i="28"/>
  <c r="E3756" i="28"/>
  <c r="E3757" i="28"/>
  <c r="E3758" i="28"/>
  <c r="E3759" i="28"/>
  <c r="E3760" i="28"/>
  <c r="E3761" i="28"/>
  <c r="E3762" i="28"/>
  <c r="E3763" i="28"/>
  <c r="E3764" i="28"/>
  <c r="E3765" i="28"/>
  <c r="E3766" i="28"/>
  <c r="E3767" i="28"/>
  <c r="E3768" i="28"/>
  <c r="E3769" i="28"/>
  <c r="E3770" i="28"/>
  <c r="E3771" i="28"/>
  <c r="E3772" i="28"/>
  <c r="E3773" i="28"/>
  <c r="E3774" i="28"/>
  <c r="E3775" i="28"/>
  <c r="E3776" i="28"/>
  <c r="E3777" i="28"/>
  <c r="E3778" i="28"/>
  <c r="E3779" i="28"/>
  <c r="E3780" i="28"/>
  <c r="E3781" i="28"/>
  <c r="E3782" i="28"/>
  <c r="E3783" i="28"/>
  <c r="E3784" i="28"/>
  <c r="E3785" i="28"/>
  <c r="E3786" i="28"/>
  <c r="E3787" i="28"/>
  <c r="E3788" i="28"/>
  <c r="E3789" i="28"/>
  <c r="E3790" i="28"/>
  <c r="E3791" i="28"/>
  <c r="E3792" i="28"/>
  <c r="E3793" i="28"/>
  <c r="E3794" i="28"/>
  <c r="E3795" i="28"/>
  <c r="E3796" i="28"/>
  <c r="E3797" i="28"/>
  <c r="E3798" i="28"/>
  <c r="E3799" i="28"/>
  <c r="E3800" i="28"/>
  <c r="E3801" i="28"/>
  <c r="E3802" i="28"/>
  <c r="E3803" i="28"/>
  <c r="E3804" i="28"/>
  <c r="E3805" i="28"/>
  <c r="E3806" i="28"/>
  <c r="E3807" i="28"/>
  <c r="E3808" i="28"/>
  <c r="E3809" i="28"/>
  <c r="E3810" i="28"/>
  <c r="E3811" i="28"/>
  <c r="E3812" i="28"/>
  <c r="E3813" i="28"/>
  <c r="E3814" i="28"/>
  <c r="E3815" i="28"/>
  <c r="E3816" i="28"/>
  <c r="E3817" i="28"/>
  <c r="E3818" i="28"/>
  <c r="E3819" i="28"/>
  <c r="E3820" i="28"/>
  <c r="E3821" i="28"/>
  <c r="E3822" i="28"/>
  <c r="E3823" i="28"/>
  <c r="E3824" i="28"/>
  <c r="E3825" i="28"/>
  <c r="E3826" i="28"/>
  <c r="E3827" i="28"/>
  <c r="E3828" i="28"/>
  <c r="E3829" i="28"/>
  <c r="E3830" i="28"/>
  <c r="E3831" i="28"/>
  <c r="E3832" i="28"/>
  <c r="E3833" i="28"/>
  <c r="E3834" i="28"/>
  <c r="E3835" i="28"/>
  <c r="E3836" i="28"/>
  <c r="E3837" i="28"/>
  <c r="E3838" i="28"/>
  <c r="E3839" i="28"/>
  <c r="E3840" i="28"/>
  <c r="E3841" i="28"/>
  <c r="E3842" i="28"/>
  <c r="E3843" i="28"/>
  <c r="E3844" i="28"/>
  <c r="E3845" i="28"/>
  <c r="E3846" i="28"/>
  <c r="E3847" i="28"/>
  <c r="E3848" i="28"/>
  <c r="E3849" i="28"/>
  <c r="E3850" i="28"/>
  <c r="E3851" i="28"/>
  <c r="E3852" i="28"/>
  <c r="E3853" i="28"/>
  <c r="E3854" i="28"/>
  <c r="E3855" i="28"/>
  <c r="E3856" i="28"/>
  <c r="E3857" i="28"/>
  <c r="E3858" i="28"/>
  <c r="E3859" i="28"/>
  <c r="E3860" i="28"/>
  <c r="E3861" i="28"/>
  <c r="E3862" i="28"/>
  <c r="E3863" i="28"/>
  <c r="E3864" i="28"/>
  <c r="E3865" i="28"/>
  <c r="E3866" i="28"/>
  <c r="E3867" i="28"/>
  <c r="E3868" i="28"/>
  <c r="E3869" i="28"/>
  <c r="E3870" i="28"/>
  <c r="E3871" i="28"/>
  <c r="E3872" i="28"/>
  <c r="E3873" i="28"/>
  <c r="E3874" i="28"/>
  <c r="E3875" i="28"/>
  <c r="E3876" i="28"/>
  <c r="E3877" i="28"/>
  <c r="E3878" i="28"/>
  <c r="E3879" i="28"/>
  <c r="E3880" i="28"/>
  <c r="E3881" i="28"/>
  <c r="E3882" i="28"/>
  <c r="E3883" i="28"/>
  <c r="E3884" i="28"/>
  <c r="E3885" i="28"/>
  <c r="E3886" i="28"/>
  <c r="E3887" i="28"/>
  <c r="E3888" i="28"/>
  <c r="E3889" i="28"/>
  <c r="E3890" i="28"/>
  <c r="E3891" i="28"/>
  <c r="E3892" i="28"/>
  <c r="E3893" i="28"/>
  <c r="E3894" i="28"/>
  <c r="E3895" i="28"/>
  <c r="E3896" i="28"/>
  <c r="E3897" i="28"/>
  <c r="E3898" i="28"/>
  <c r="E3899" i="28"/>
  <c r="E3900" i="28"/>
  <c r="E3901" i="28"/>
  <c r="E3902" i="28"/>
  <c r="E3903" i="28"/>
  <c r="E3904" i="28"/>
  <c r="E3905" i="28"/>
  <c r="E3906" i="28"/>
  <c r="E3907" i="28"/>
  <c r="E3908" i="28"/>
  <c r="E3909" i="28"/>
  <c r="E3910" i="28"/>
  <c r="E3911" i="28"/>
  <c r="E3912" i="28"/>
  <c r="E3913" i="28"/>
  <c r="E3914" i="28"/>
  <c r="E3915" i="28"/>
  <c r="E3916" i="28"/>
  <c r="E3917" i="28"/>
  <c r="E3918" i="28"/>
  <c r="E3919" i="28"/>
  <c r="E3920" i="28"/>
  <c r="E3921" i="28"/>
  <c r="E3922" i="28"/>
  <c r="E3923" i="28"/>
  <c r="E3924" i="28"/>
  <c r="E3925" i="28"/>
  <c r="E3926" i="28"/>
  <c r="E3927" i="28"/>
  <c r="E3928" i="28"/>
  <c r="E3929" i="28"/>
  <c r="E3930" i="28"/>
  <c r="E3931" i="28"/>
  <c r="E3932" i="28"/>
  <c r="E3933" i="28"/>
  <c r="E3934" i="28"/>
  <c r="E3935" i="28"/>
  <c r="E3936" i="28"/>
  <c r="E3937" i="28"/>
  <c r="E3938" i="28"/>
  <c r="E3939" i="28"/>
  <c r="E3940" i="28"/>
  <c r="E3941" i="28"/>
  <c r="E3942" i="28"/>
  <c r="E3943" i="28"/>
  <c r="E3944" i="28"/>
  <c r="E3945" i="28"/>
  <c r="E3946" i="28"/>
  <c r="E3947" i="28"/>
  <c r="E3948" i="28"/>
  <c r="E3949" i="28"/>
  <c r="E3950" i="28"/>
  <c r="E3951" i="28"/>
  <c r="E3952" i="28"/>
  <c r="E3953" i="28"/>
  <c r="E3954" i="28"/>
  <c r="E3955" i="28"/>
  <c r="E3956" i="28"/>
  <c r="E3957" i="28"/>
  <c r="E3958" i="28"/>
  <c r="E3959" i="28"/>
  <c r="E3960" i="28"/>
  <c r="E3961" i="28"/>
  <c r="E3962" i="28"/>
  <c r="E3963" i="28"/>
  <c r="E3964" i="28"/>
  <c r="E3965" i="28"/>
  <c r="E3966" i="28"/>
  <c r="E3967" i="28"/>
  <c r="E3968" i="28"/>
  <c r="E3969" i="28"/>
  <c r="E3970" i="28"/>
  <c r="E3971" i="28"/>
  <c r="E3972" i="28"/>
  <c r="E3973" i="28"/>
  <c r="E3974" i="28"/>
  <c r="E3975" i="28"/>
  <c r="E3976" i="28"/>
  <c r="E3977" i="28"/>
  <c r="E3978" i="28"/>
  <c r="E3979" i="28"/>
  <c r="E3980" i="28"/>
  <c r="E3981" i="28"/>
  <c r="E3982" i="28"/>
  <c r="E3983" i="28"/>
  <c r="E3984" i="28"/>
  <c r="E3985" i="28"/>
  <c r="E3986" i="28"/>
  <c r="E3987" i="28"/>
  <c r="E3988" i="28"/>
  <c r="E3989" i="28"/>
  <c r="E3990" i="28"/>
  <c r="E3991" i="28"/>
  <c r="E3992" i="28"/>
  <c r="E3993" i="28"/>
  <c r="E3994" i="28"/>
  <c r="E3995" i="28"/>
  <c r="E3996" i="28"/>
  <c r="E3997" i="28"/>
  <c r="E3998" i="28"/>
  <c r="E3999" i="28"/>
  <c r="E4000" i="28"/>
  <c r="E4001" i="28"/>
  <c r="E4002" i="28"/>
  <c r="E4003" i="28"/>
  <c r="E4004" i="28"/>
  <c r="E4005" i="28"/>
  <c r="E4006" i="28"/>
  <c r="E4007" i="28"/>
  <c r="E4008" i="28"/>
  <c r="E4009" i="28"/>
  <c r="E4010" i="28"/>
  <c r="E4011" i="28"/>
  <c r="E4012" i="28"/>
  <c r="E4013" i="28"/>
  <c r="E4014" i="28"/>
  <c r="E4015" i="28"/>
  <c r="E4016" i="28"/>
  <c r="E4017" i="28"/>
  <c r="E4018" i="28"/>
  <c r="E4019" i="28"/>
  <c r="E4020" i="28"/>
  <c r="E4021" i="28"/>
  <c r="E4022" i="28"/>
  <c r="E4023" i="28"/>
  <c r="E4024" i="28"/>
  <c r="E4025" i="28"/>
  <c r="E4026" i="28"/>
  <c r="E4027" i="28"/>
  <c r="E4028" i="28"/>
  <c r="E4029" i="28"/>
  <c r="E4030" i="28"/>
  <c r="E4031" i="28"/>
  <c r="E4032" i="28"/>
  <c r="E4033" i="28"/>
  <c r="E4034" i="28"/>
  <c r="E4035" i="28"/>
  <c r="E4036" i="28"/>
  <c r="E4037" i="28"/>
  <c r="E4038" i="28"/>
  <c r="E4039" i="28"/>
  <c r="E4040" i="28"/>
  <c r="E4041" i="28"/>
  <c r="E4042" i="28"/>
  <c r="E4043" i="28"/>
  <c r="E4044" i="28"/>
  <c r="E4045" i="28"/>
  <c r="E4046" i="28"/>
  <c r="E4047" i="28"/>
  <c r="E4048" i="28"/>
  <c r="E4049" i="28"/>
  <c r="E4050" i="28"/>
  <c r="E4051" i="28"/>
  <c r="E4052" i="28"/>
  <c r="E4053" i="28"/>
  <c r="E4054" i="28"/>
  <c r="E4055" i="28"/>
  <c r="E4056" i="28"/>
  <c r="E4057" i="28"/>
  <c r="E4058" i="28"/>
  <c r="E4059" i="28"/>
  <c r="E4060" i="28"/>
  <c r="E4061" i="28"/>
  <c r="E4062" i="28"/>
  <c r="E4063" i="28"/>
  <c r="E4064" i="28"/>
  <c r="E4065" i="28"/>
  <c r="E4066" i="28"/>
  <c r="E4067" i="28"/>
  <c r="E4068" i="28"/>
  <c r="E4069" i="28"/>
  <c r="E4070" i="28"/>
  <c r="E4071" i="28"/>
  <c r="E4072" i="28"/>
  <c r="E4073" i="28"/>
  <c r="E4074" i="28"/>
  <c r="E4075" i="28"/>
  <c r="E4076" i="28"/>
  <c r="E4077" i="28"/>
  <c r="E4078" i="28"/>
  <c r="E4079" i="28"/>
  <c r="E4080" i="28"/>
  <c r="E4081" i="28"/>
  <c r="E4082" i="28"/>
  <c r="E4083" i="28"/>
  <c r="E4084" i="28"/>
  <c r="E4085" i="28"/>
  <c r="E4086" i="28"/>
  <c r="E4087" i="28"/>
  <c r="E4088" i="28"/>
  <c r="E4089" i="28"/>
  <c r="E4090" i="28"/>
  <c r="E4091" i="28"/>
  <c r="E4092" i="28"/>
  <c r="E4093" i="28"/>
  <c r="E4094" i="28"/>
  <c r="E4095" i="28"/>
  <c r="E4096" i="28"/>
  <c r="E4097" i="28"/>
  <c r="E4098" i="28"/>
  <c r="E4099" i="28"/>
  <c r="E4100" i="28"/>
  <c r="E4101" i="28"/>
  <c r="E4102" i="28"/>
  <c r="E4103" i="28"/>
  <c r="E4104" i="28"/>
  <c r="E4105" i="28"/>
  <c r="E4106" i="28"/>
  <c r="E4107" i="28"/>
  <c r="E4108" i="28"/>
  <c r="E4109" i="28"/>
  <c r="E4110" i="28"/>
  <c r="E4111" i="28"/>
  <c r="E4112" i="28"/>
  <c r="E4113" i="28"/>
  <c r="E4114" i="28"/>
  <c r="E4115" i="28"/>
  <c r="E4116" i="28"/>
  <c r="E4117" i="28"/>
  <c r="E4118" i="28"/>
  <c r="E4119" i="28"/>
  <c r="E4120" i="28"/>
  <c r="E4121" i="28"/>
  <c r="E4122" i="28"/>
  <c r="E4123" i="28"/>
  <c r="E4124" i="28"/>
  <c r="E4125" i="28"/>
  <c r="E4126" i="28"/>
  <c r="E4127" i="28"/>
  <c r="E4128" i="28"/>
  <c r="E4129" i="28"/>
  <c r="E4130" i="28"/>
  <c r="E4131" i="28"/>
  <c r="E4132" i="28"/>
  <c r="E4133" i="28"/>
  <c r="E4134" i="28"/>
  <c r="E4135" i="28"/>
  <c r="E4136" i="28"/>
  <c r="E4137" i="28"/>
  <c r="E4138" i="28"/>
  <c r="E4139" i="28"/>
  <c r="E4140" i="28"/>
  <c r="E4141" i="28"/>
  <c r="E4142" i="28"/>
  <c r="E4143" i="28"/>
  <c r="E4144" i="28"/>
  <c r="E4145" i="28"/>
  <c r="E4146" i="28"/>
  <c r="E4147" i="28"/>
  <c r="E4148" i="28"/>
  <c r="E4149" i="28"/>
  <c r="E4150" i="28"/>
  <c r="E4151" i="28"/>
  <c r="E4152" i="28"/>
  <c r="E4153" i="28"/>
  <c r="E4154" i="28"/>
  <c r="E4155" i="28"/>
  <c r="E4156" i="28"/>
  <c r="E4157" i="28"/>
  <c r="E4158" i="28"/>
  <c r="E4159" i="28"/>
  <c r="E4160" i="28"/>
  <c r="E4161" i="28"/>
  <c r="E4162" i="28"/>
  <c r="E4163" i="28"/>
  <c r="E4164" i="28"/>
  <c r="E4165" i="28"/>
  <c r="E4166" i="28"/>
  <c r="E4167" i="28"/>
  <c r="E4168" i="28"/>
  <c r="E4169" i="28"/>
  <c r="E4170" i="28"/>
  <c r="E4171" i="28"/>
  <c r="E4172" i="28"/>
  <c r="E4173" i="28"/>
  <c r="E4174" i="28"/>
  <c r="E4175" i="28"/>
  <c r="E4176" i="28"/>
  <c r="E4177" i="28"/>
  <c r="E4178" i="28"/>
  <c r="E4179" i="28"/>
  <c r="E4180" i="28"/>
  <c r="E4181" i="28"/>
  <c r="E4182" i="28"/>
  <c r="E4183" i="28"/>
  <c r="E4184" i="28"/>
  <c r="E4185" i="28"/>
  <c r="E4186" i="28"/>
  <c r="E4187" i="28"/>
  <c r="E4188" i="28"/>
  <c r="E4189" i="28"/>
  <c r="E4190" i="28"/>
  <c r="E4191" i="28"/>
  <c r="E4192" i="28"/>
  <c r="E4193" i="28"/>
  <c r="E4194" i="28"/>
  <c r="E4195" i="28"/>
  <c r="E4196" i="28"/>
  <c r="E4197" i="28"/>
  <c r="E4198" i="28"/>
  <c r="E4199" i="28"/>
  <c r="E4200" i="28"/>
  <c r="E4201" i="28"/>
  <c r="E4202" i="28"/>
  <c r="E4203" i="28"/>
  <c r="E4204" i="28"/>
  <c r="E4205" i="28"/>
  <c r="E4206" i="28"/>
  <c r="E4207" i="28"/>
  <c r="E4208" i="28"/>
  <c r="E4209" i="28"/>
  <c r="E4210" i="28"/>
  <c r="E4211" i="28"/>
  <c r="E4212" i="28"/>
  <c r="E4213" i="28"/>
  <c r="E4214" i="28"/>
  <c r="E4215" i="28"/>
  <c r="E4216" i="28"/>
  <c r="E4217" i="28"/>
  <c r="E4218" i="28"/>
  <c r="E4219" i="28"/>
  <c r="E4220" i="28"/>
  <c r="E4221" i="28"/>
  <c r="E4222" i="28"/>
  <c r="E4223" i="28"/>
  <c r="E4224" i="28"/>
  <c r="E4225" i="28"/>
  <c r="E4226" i="28"/>
  <c r="E4227" i="28"/>
  <c r="E4228" i="28"/>
  <c r="E4229" i="28"/>
  <c r="E4230" i="28"/>
  <c r="E4231" i="28"/>
  <c r="E4232" i="28"/>
  <c r="E4233" i="28"/>
  <c r="E4234" i="28"/>
  <c r="E4235" i="28"/>
  <c r="E4236" i="28"/>
  <c r="E4237" i="28"/>
  <c r="E4238" i="28"/>
  <c r="E4239" i="28"/>
  <c r="E4240" i="28"/>
  <c r="E4241" i="28"/>
  <c r="E4242" i="28"/>
  <c r="E4243" i="28"/>
  <c r="E4244" i="28"/>
  <c r="E4245" i="28"/>
  <c r="E4246" i="28"/>
  <c r="E4247" i="28"/>
  <c r="E4248" i="28"/>
  <c r="E4249" i="28"/>
  <c r="E4250" i="28"/>
  <c r="E4251" i="28"/>
  <c r="E4252" i="28"/>
  <c r="E4253" i="28"/>
  <c r="E4254" i="28"/>
  <c r="E4255" i="28"/>
  <c r="E4256" i="28"/>
  <c r="E4257" i="28"/>
  <c r="E4258" i="28"/>
  <c r="E4259" i="28"/>
  <c r="E4260" i="28"/>
  <c r="E4261" i="28"/>
  <c r="E4262" i="28"/>
  <c r="E4263" i="28"/>
  <c r="E4264" i="28"/>
  <c r="E4265" i="28"/>
  <c r="E4266" i="28"/>
  <c r="E4267" i="28"/>
  <c r="E4268" i="28"/>
  <c r="E4269" i="28"/>
  <c r="E4270" i="28"/>
  <c r="E4271" i="28"/>
  <c r="E4272" i="28"/>
  <c r="E4273" i="28"/>
  <c r="E4274" i="28"/>
  <c r="E4275" i="28"/>
  <c r="E4276" i="28"/>
  <c r="E4277" i="28"/>
  <c r="E4278" i="28"/>
  <c r="E4279" i="28"/>
  <c r="E4280" i="28"/>
  <c r="E4281" i="28"/>
  <c r="E4282" i="28"/>
  <c r="E4283" i="28"/>
  <c r="E4284" i="28"/>
  <c r="E4285" i="28"/>
  <c r="E4286" i="28"/>
  <c r="E4287" i="28"/>
  <c r="E4288" i="28"/>
  <c r="E4289" i="28"/>
  <c r="E4290" i="28"/>
  <c r="E4291" i="28"/>
  <c r="E4292" i="28"/>
  <c r="E4293" i="28"/>
  <c r="E4294" i="28"/>
  <c r="E4295" i="28"/>
  <c r="E4296" i="28"/>
  <c r="E4297" i="28"/>
  <c r="E4298" i="28"/>
  <c r="E4299" i="28"/>
  <c r="E4300" i="28"/>
  <c r="E4301" i="28"/>
  <c r="E4302" i="28"/>
  <c r="E4303" i="28"/>
  <c r="E4304" i="28"/>
  <c r="E4305" i="28"/>
  <c r="E4306" i="28"/>
  <c r="E4307" i="28"/>
  <c r="E4308" i="28"/>
  <c r="E4309" i="28"/>
  <c r="E4310" i="28"/>
  <c r="E4311" i="28"/>
  <c r="E4312" i="28"/>
  <c r="E4313" i="28"/>
  <c r="E4314" i="28"/>
  <c r="E4315" i="28"/>
  <c r="E4316" i="28"/>
  <c r="E4317" i="28"/>
  <c r="E4318" i="28"/>
  <c r="E4319" i="28"/>
  <c r="E4320" i="28"/>
  <c r="E4321" i="28"/>
  <c r="E4322" i="28"/>
  <c r="E4323" i="28"/>
  <c r="E4324" i="28"/>
  <c r="E4325" i="28"/>
  <c r="E4326" i="28"/>
  <c r="E4327" i="28"/>
  <c r="E4328" i="28"/>
  <c r="E4329" i="28"/>
  <c r="E4330" i="28"/>
  <c r="E4331" i="28"/>
  <c r="E4332" i="28"/>
  <c r="E4333" i="28"/>
  <c r="E4334" i="28"/>
  <c r="E4335" i="28"/>
  <c r="E4336" i="28"/>
  <c r="E4337" i="28"/>
  <c r="E4338" i="28"/>
  <c r="E4339" i="28"/>
  <c r="E4340" i="28"/>
  <c r="E4341" i="28"/>
  <c r="E4342" i="28"/>
  <c r="E4343" i="28"/>
  <c r="E4344" i="28"/>
  <c r="E4345" i="28"/>
  <c r="E4346" i="28"/>
  <c r="E4347" i="28"/>
  <c r="E4348" i="28"/>
  <c r="E4349" i="28"/>
  <c r="E4350" i="28"/>
  <c r="E4351" i="28"/>
  <c r="E4352" i="28"/>
  <c r="E4353" i="28"/>
  <c r="E4354" i="28"/>
  <c r="E4355" i="28"/>
  <c r="E4356" i="28"/>
  <c r="E4357" i="28"/>
  <c r="E4358" i="28"/>
  <c r="E4359" i="28"/>
  <c r="E4360" i="28"/>
  <c r="E4361" i="28"/>
  <c r="E4362" i="28"/>
  <c r="E4363" i="28"/>
  <c r="E4364" i="28"/>
  <c r="E4365" i="28"/>
  <c r="E4366" i="28"/>
  <c r="E4367" i="28"/>
  <c r="E4368" i="28"/>
  <c r="E4369" i="28"/>
  <c r="E4370" i="28"/>
  <c r="E4371" i="28"/>
  <c r="E4372" i="28"/>
  <c r="E4373" i="28"/>
  <c r="E4374" i="28"/>
  <c r="E4375" i="28"/>
  <c r="E4376" i="28"/>
  <c r="E4377" i="28"/>
  <c r="E4378" i="28"/>
  <c r="E4379" i="28"/>
  <c r="E4380" i="28"/>
  <c r="E4381" i="28"/>
  <c r="E4382" i="28"/>
  <c r="E4383" i="28"/>
  <c r="E4384" i="28"/>
  <c r="E4385" i="28"/>
  <c r="E4386" i="28"/>
  <c r="E4387" i="28"/>
  <c r="E4388" i="28"/>
  <c r="E4389" i="28"/>
  <c r="E4390" i="28"/>
  <c r="E4391" i="28"/>
  <c r="E4392" i="28"/>
  <c r="E4393" i="28"/>
  <c r="E4394" i="28"/>
  <c r="E4395" i="28"/>
  <c r="E4396" i="28"/>
  <c r="E4397" i="28"/>
  <c r="E4398" i="28"/>
  <c r="E4399" i="28"/>
  <c r="E4400" i="28"/>
  <c r="E4401" i="28"/>
  <c r="E4402" i="28"/>
  <c r="E4403" i="28"/>
  <c r="E4404" i="28"/>
  <c r="E4405" i="28"/>
  <c r="E4406" i="28"/>
  <c r="E4407" i="28"/>
  <c r="E4408" i="28"/>
  <c r="E4409" i="28"/>
  <c r="E4410" i="28"/>
  <c r="E4411" i="28"/>
  <c r="E4412" i="28"/>
  <c r="E4413" i="28"/>
  <c r="E4414" i="28"/>
  <c r="E4415" i="28"/>
  <c r="E4416" i="28"/>
  <c r="E4417" i="28"/>
  <c r="E4418" i="28"/>
  <c r="E4419" i="28"/>
  <c r="E4420" i="28"/>
  <c r="E4421" i="28"/>
  <c r="E4422" i="28"/>
  <c r="E4423" i="28"/>
  <c r="E4424" i="28"/>
  <c r="E4425" i="28"/>
  <c r="E4426" i="28"/>
  <c r="E4427" i="28"/>
  <c r="E4428" i="28"/>
  <c r="E4429" i="28"/>
  <c r="E4430" i="28"/>
  <c r="E4431" i="28"/>
  <c r="E4432" i="28"/>
  <c r="E4433" i="28"/>
  <c r="E4434" i="28"/>
  <c r="E4435" i="28"/>
  <c r="E4436" i="28"/>
  <c r="E4437" i="28"/>
  <c r="E4438" i="28"/>
  <c r="E4439" i="28"/>
  <c r="E4440" i="28"/>
  <c r="E4441" i="28"/>
  <c r="E4442" i="28"/>
  <c r="E4443" i="28"/>
  <c r="E4444" i="28"/>
  <c r="E4445" i="28"/>
  <c r="E4446" i="28"/>
  <c r="E4447" i="28"/>
  <c r="E4448" i="28"/>
  <c r="E4449" i="28"/>
  <c r="E4450" i="28"/>
  <c r="E4451" i="28"/>
  <c r="E4452" i="28"/>
  <c r="E4453" i="28"/>
  <c r="E4454" i="28"/>
  <c r="E4455" i="28"/>
  <c r="E4456" i="28"/>
  <c r="E4457" i="28"/>
  <c r="E4458" i="28"/>
  <c r="E4459" i="28"/>
  <c r="E4460" i="28"/>
  <c r="E4461" i="28"/>
  <c r="E4462" i="28"/>
  <c r="E4463" i="28"/>
  <c r="E4464" i="28"/>
  <c r="E4465" i="28"/>
  <c r="E4466" i="28"/>
  <c r="E4467" i="28"/>
  <c r="E4468" i="28"/>
  <c r="E4469" i="28"/>
  <c r="E4470" i="28"/>
  <c r="E4471" i="28"/>
  <c r="E4472" i="28"/>
  <c r="E4473" i="28"/>
  <c r="E4474" i="28"/>
  <c r="E4475" i="28"/>
  <c r="E4476" i="28"/>
  <c r="E4477" i="28"/>
  <c r="E4478" i="28"/>
  <c r="E4479" i="28"/>
  <c r="E4480" i="28"/>
  <c r="E4481" i="28"/>
  <c r="E4482" i="28"/>
  <c r="E4483" i="28"/>
  <c r="E4484" i="28"/>
  <c r="E4485" i="28"/>
  <c r="E4486" i="28"/>
  <c r="E4487" i="28"/>
  <c r="E4488" i="28"/>
  <c r="E4489" i="28"/>
  <c r="E4490" i="28"/>
  <c r="E4491" i="28"/>
  <c r="E4492" i="28"/>
  <c r="E4493" i="28"/>
  <c r="E4494" i="28"/>
  <c r="E4495" i="28"/>
  <c r="E4496" i="28"/>
  <c r="E4497" i="28"/>
  <c r="E4498" i="28"/>
  <c r="E4499" i="28"/>
  <c r="E4500" i="28"/>
  <c r="E4501" i="28"/>
  <c r="E4502" i="28"/>
  <c r="E4503" i="28"/>
  <c r="E4504" i="28"/>
  <c r="E4505" i="28"/>
  <c r="E4506" i="28"/>
  <c r="E1507" i="28"/>
  <c r="E1508" i="28"/>
  <c r="E1509" i="28"/>
  <c r="E1510" i="28"/>
  <c r="E1511" i="28"/>
  <c r="E1512" i="28"/>
  <c r="E1513" i="28"/>
  <c r="E1514" i="28"/>
  <c r="E1515" i="28"/>
  <c r="E1516" i="28"/>
  <c r="E1517" i="28"/>
  <c r="E1518" i="28"/>
  <c r="E1519" i="28"/>
  <c r="E1520" i="28"/>
  <c r="E1521" i="28"/>
  <c r="E1522" i="28"/>
  <c r="E1523" i="28"/>
  <c r="E1524" i="28"/>
  <c r="E1525" i="28"/>
  <c r="E1526" i="28"/>
  <c r="E1527" i="28"/>
  <c r="E1528" i="28"/>
  <c r="E1529" i="28"/>
  <c r="E1530" i="28"/>
  <c r="E1531" i="28"/>
  <c r="E1532" i="28"/>
  <c r="E1533" i="28"/>
  <c r="E1534" i="28"/>
  <c r="E1535" i="28"/>
  <c r="E1536" i="28"/>
  <c r="E1537" i="28"/>
  <c r="E1538" i="28"/>
  <c r="E1539" i="28"/>
  <c r="E1540" i="28"/>
  <c r="E1541" i="28"/>
  <c r="E1542" i="28"/>
  <c r="E1543" i="28"/>
  <c r="E1544" i="28"/>
  <c r="E1545" i="28"/>
  <c r="E1546" i="28"/>
  <c r="E1547" i="28"/>
  <c r="E1548" i="28"/>
  <c r="E1549" i="28"/>
  <c r="E1550" i="28"/>
  <c r="E1551" i="28"/>
  <c r="E1552" i="28"/>
  <c r="E1553" i="28"/>
  <c r="E1554" i="28"/>
  <c r="E1555" i="28"/>
  <c r="E1556" i="28"/>
  <c r="E1557" i="28"/>
  <c r="E1558" i="28"/>
  <c r="E1559" i="28"/>
  <c r="E1560" i="28"/>
  <c r="E1561" i="28"/>
  <c r="E1562" i="28"/>
  <c r="E1563" i="28"/>
  <c r="E1564" i="28"/>
  <c r="E1565" i="28"/>
  <c r="E1566" i="28"/>
  <c r="E1567" i="28"/>
  <c r="E1568" i="28"/>
  <c r="E1569" i="28"/>
  <c r="E1570" i="28"/>
  <c r="E1571" i="28"/>
  <c r="E1572" i="28"/>
  <c r="E1573" i="28"/>
  <c r="E1574" i="28"/>
  <c r="E1575" i="28"/>
  <c r="E1576" i="28"/>
  <c r="E1577" i="28"/>
  <c r="E1578" i="28"/>
  <c r="E1579" i="28"/>
  <c r="E1580" i="28"/>
  <c r="E1581" i="28"/>
  <c r="E1582" i="28"/>
  <c r="E1583" i="28"/>
  <c r="E1584" i="28"/>
  <c r="E1585" i="28"/>
  <c r="E1586" i="28"/>
  <c r="E1587" i="28"/>
  <c r="E1588" i="28"/>
  <c r="E1589" i="28"/>
  <c r="E1590" i="28"/>
  <c r="E1591" i="28"/>
  <c r="E1592" i="28"/>
  <c r="E1593" i="28"/>
  <c r="E1594" i="28"/>
  <c r="E1595" i="28"/>
  <c r="E1596" i="28"/>
  <c r="E1597" i="28"/>
  <c r="E1598" i="28"/>
  <c r="E1599" i="28"/>
  <c r="E1600" i="28"/>
  <c r="E1601" i="28"/>
  <c r="E1602" i="28"/>
  <c r="E1603" i="28"/>
  <c r="E1604" i="28"/>
  <c r="E1605" i="28"/>
  <c r="E1606" i="28"/>
  <c r="E1607" i="28"/>
  <c r="E1608" i="28"/>
  <c r="E1609" i="28"/>
  <c r="E1610" i="28"/>
  <c r="E1611" i="28"/>
  <c r="E1612" i="28"/>
  <c r="E1613" i="28"/>
  <c r="E1614" i="28"/>
  <c r="E1615" i="28"/>
  <c r="E1616" i="28"/>
  <c r="E1617" i="28"/>
  <c r="E1618" i="28"/>
  <c r="E1619" i="28"/>
  <c r="E1620" i="28"/>
  <c r="E1621" i="28"/>
  <c r="E1622" i="28"/>
  <c r="E1623" i="28"/>
  <c r="E1624" i="28"/>
  <c r="E1625" i="28"/>
  <c r="E1626" i="28"/>
  <c r="E1627" i="28"/>
  <c r="E1628" i="28"/>
  <c r="E1629" i="28"/>
  <c r="E1630" i="28"/>
  <c r="E1631" i="28"/>
  <c r="E1632" i="28"/>
  <c r="E1633" i="28"/>
  <c r="E1634" i="28"/>
  <c r="E1635" i="28"/>
  <c r="E1636" i="28"/>
  <c r="E1637" i="28"/>
  <c r="E1638" i="28"/>
  <c r="E1639" i="28"/>
  <c r="E1640" i="28"/>
  <c r="E1641" i="28"/>
  <c r="E1642" i="28"/>
  <c r="E1643" i="28"/>
  <c r="E1644" i="28"/>
  <c r="E1645" i="28"/>
  <c r="E1646" i="28"/>
  <c r="E1647" i="28"/>
  <c r="E1648" i="28"/>
  <c r="E1649" i="28"/>
  <c r="E1650" i="28"/>
  <c r="E1651" i="28"/>
  <c r="E1652" i="28"/>
  <c r="E1653" i="28"/>
  <c r="E1654" i="28"/>
  <c r="E1655" i="28"/>
  <c r="E1656" i="28"/>
  <c r="E1657" i="28"/>
  <c r="E1658" i="28"/>
  <c r="E1659" i="28"/>
  <c r="E1660" i="28"/>
  <c r="E1661" i="28"/>
  <c r="E1662" i="28"/>
  <c r="E1663" i="28"/>
  <c r="E1664" i="28"/>
  <c r="E1665" i="28"/>
  <c r="E1666" i="28"/>
  <c r="E1667" i="28"/>
  <c r="E1668" i="28"/>
  <c r="E1669" i="28"/>
  <c r="E1670" i="28"/>
  <c r="E1671" i="28"/>
  <c r="E1672" i="28"/>
  <c r="E1673" i="28"/>
  <c r="E1674" i="28"/>
  <c r="E1675" i="28"/>
  <c r="E1676" i="28"/>
  <c r="E1677" i="28"/>
  <c r="E1678" i="28"/>
  <c r="E1679" i="28"/>
  <c r="E1680" i="28"/>
  <c r="E1681" i="28"/>
  <c r="E1682" i="28"/>
  <c r="E1683" i="28"/>
  <c r="E1684" i="28"/>
  <c r="E1685" i="28"/>
  <c r="E1686" i="28"/>
  <c r="E1687" i="28"/>
  <c r="E1688" i="28"/>
  <c r="E1689" i="28"/>
  <c r="E1690" i="28"/>
  <c r="E1691" i="28"/>
  <c r="E1692" i="28"/>
  <c r="E1693" i="28"/>
  <c r="E1694" i="28"/>
  <c r="E1695" i="28"/>
  <c r="E1696" i="28"/>
  <c r="E1697" i="28"/>
  <c r="E1698" i="28"/>
  <c r="E1699" i="28"/>
  <c r="E1700" i="28"/>
  <c r="E1701" i="28"/>
  <c r="E1702" i="28"/>
  <c r="E1703" i="28"/>
  <c r="E1704" i="28"/>
  <c r="E1705" i="28"/>
  <c r="E1706" i="28"/>
  <c r="E1707" i="28"/>
  <c r="E1708" i="28"/>
  <c r="E1709" i="28"/>
  <c r="E1710" i="28"/>
  <c r="E1711" i="28"/>
  <c r="E1712" i="28"/>
  <c r="E1713" i="28"/>
  <c r="E1714" i="28"/>
  <c r="E1715" i="28"/>
  <c r="E1716" i="28"/>
  <c r="E1717" i="28"/>
  <c r="E1718" i="28"/>
  <c r="E1719" i="28"/>
  <c r="E1720" i="28"/>
  <c r="E1721" i="28"/>
  <c r="E1722" i="28"/>
  <c r="E1723" i="28"/>
  <c r="E1724" i="28"/>
  <c r="E1725" i="28"/>
  <c r="E1726" i="28"/>
  <c r="E1727" i="28"/>
  <c r="E1728" i="28"/>
  <c r="E1729" i="28"/>
  <c r="E1730" i="28"/>
  <c r="E1731" i="28"/>
  <c r="E1732" i="28"/>
  <c r="E1733" i="28"/>
  <c r="E1734" i="28"/>
  <c r="E1735" i="28"/>
  <c r="E1736" i="28"/>
  <c r="E1737" i="28"/>
  <c r="E1738" i="28"/>
  <c r="E1739" i="28"/>
  <c r="E1740" i="28"/>
  <c r="E1741" i="28"/>
  <c r="E1742" i="28"/>
  <c r="E1743" i="28"/>
  <c r="E1744" i="28"/>
  <c r="E1745" i="28"/>
  <c r="E1746" i="28"/>
  <c r="E1747" i="28"/>
  <c r="E1748" i="28"/>
  <c r="E1749" i="28"/>
  <c r="E1750" i="28"/>
  <c r="E1751" i="28"/>
  <c r="E1752" i="28"/>
  <c r="E1753" i="28"/>
  <c r="E1754" i="28"/>
  <c r="E1755" i="28"/>
  <c r="E1756" i="28"/>
  <c r="E1757" i="28"/>
  <c r="E1758" i="28"/>
  <c r="E1759" i="28"/>
  <c r="E1760" i="28"/>
  <c r="E1761" i="28"/>
  <c r="E1762" i="28"/>
  <c r="E1763" i="28"/>
  <c r="E1764" i="28"/>
  <c r="E1765" i="28"/>
  <c r="E1766" i="28"/>
  <c r="E1767" i="28"/>
  <c r="E1768" i="28"/>
  <c r="E1769" i="28"/>
  <c r="E1770" i="28"/>
  <c r="E1771" i="28"/>
  <c r="E1772" i="28"/>
  <c r="E1773" i="28"/>
  <c r="E1774" i="28"/>
  <c r="E1775" i="28"/>
  <c r="E1776" i="28"/>
  <c r="E1777" i="28"/>
  <c r="E1778" i="28"/>
  <c r="E1779" i="28"/>
  <c r="E1780" i="28"/>
  <c r="E1781" i="28"/>
  <c r="E1782" i="28"/>
  <c r="E1783" i="28"/>
  <c r="E1784" i="28"/>
  <c r="E1785" i="28"/>
  <c r="E1786" i="28"/>
  <c r="E1787" i="28"/>
  <c r="E1788" i="28"/>
  <c r="E1789" i="28"/>
  <c r="E1790" i="28"/>
  <c r="E1791" i="28"/>
  <c r="E1792" i="28"/>
  <c r="E1793" i="28"/>
  <c r="E1794" i="28"/>
  <c r="E1795" i="28"/>
  <c r="E1796" i="28"/>
  <c r="E1797" i="28"/>
  <c r="E1798" i="28"/>
  <c r="E1799" i="28"/>
  <c r="E1800" i="28"/>
  <c r="E1801" i="28"/>
  <c r="E1802" i="28"/>
  <c r="E1803" i="28"/>
  <c r="E1804" i="28"/>
  <c r="E1805" i="28"/>
  <c r="E1806" i="28"/>
  <c r="E1807" i="28"/>
  <c r="E1808" i="28"/>
  <c r="E1809" i="28"/>
  <c r="E1810" i="28"/>
  <c r="E1811" i="28"/>
  <c r="E1812" i="28"/>
  <c r="E1813" i="28"/>
  <c r="E1814" i="28"/>
  <c r="E1815" i="28"/>
  <c r="E1816" i="28"/>
  <c r="E1817" i="28"/>
  <c r="E1818" i="28"/>
  <c r="E1819" i="28"/>
  <c r="E1820" i="28"/>
  <c r="E1821" i="28"/>
  <c r="E1822" i="28"/>
  <c r="E1823" i="28"/>
  <c r="E1824" i="28"/>
  <c r="E1825" i="28"/>
  <c r="E1826" i="28"/>
  <c r="E1827" i="28"/>
  <c r="E1828" i="28"/>
  <c r="E1829" i="28"/>
  <c r="E1830" i="28"/>
  <c r="E1831" i="28"/>
  <c r="E1832" i="28"/>
  <c r="E1833" i="28"/>
  <c r="E1834" i="28"/>
  <c r="E1835" i="28"/>
  <c r="E1836" i="28"/>
  <c r="E1837" i="28"/>
  <c r="E1838" i="28"/>
  <c r="E1839" i="28"/>
  <c r="E1840" i="28"/>
  <c r="E1841" i="28"/>
  <c r="E1842" i="28"/>
  <c r="E1843" i="28"/>
  <c r="E1844" i="28"/>
  <c r="E1845" i="28"/>
  <c r="E1846" i="28"/>
  <c r="E1847" i="28"/>
  <c r="E1848" i="28"/>
  <c r="E1849" i="28"/>
  <c r="E1850" i="28"/>
  <c r="E1851" i="28"/>
  <c r="E1852" i="28"/>
  <c r="E1853" i="28"/>
  <c r="E1854" i="28"/>
  <c r="E1855" i="28"/>
  <c r="E1856" i="28"/>
  <c r="E1857" i="28"/>
  <c r="E1858" i="28"/>
  <c r="E1859" i="28"/>
  <c r="E1860" i="28"/>
  <c r="E1861" i="28"/>
  <c r="E1862" i="28"/>
  <c r="E1863" i="28"/>
  <c r="E1864" i="28"/>
  <c r="E1865" i="28"/>
  <c r="E1866" i="28"/>
  <c r="E1867" i="28"/>
  <c r="E1868" i="28"/>
  <c r="E1869" i="28"/>
  <c r="E1870" i="28"/>
  <c r="E1871" i="28"/>
  <c r="E1872" i="28"/>
  <c r="E1873" i="28"/>
  <c r="E1874" i="28"/>
  <c r="E1875" i="28"/>
  <c r="E1876" i="28"/>
  <c r="E1877" i="28"/>
  <c r="E1878" i="28"/>
  <c r="E1879" i="28"/>
  <c r="E1880" i="28"/>
  <c r="E1881" i="28"/>
  <c r="E1882" i="28"/>
  <c r="E1883" i="28"/>
  <c r="E1884" i="28"/>
  <c r="E1885" i="28"/>
  <c r="E1886" i="28"/>
  <c r="E1887" i="28"/>
  <c r="E1888" i="28"/>
  <c r="E1889" i="28"/>
  <c r="E1890" i="28"/>
  <c r="E1891" i="28"/>
  <c r="E1892" i="28"/>
  <c r="E1893" i="28"/>
  <c r="E1894" i="28"/>
  <c r="E1895" i="28"/>
  <c r="E1896" i="28"/>
  <c r="E1897" i="28"/>
  <c r="E1898" i="28"/>
  <c r="E1899" i="28"/>
  <c r="E1900" i="28"/>
  <c r="E1901" i="28"/>
  <c r="E1902" i="28"/>
  <c r="E1903" i="28"/>
  <c r="E1904" i="28"/>
  <c r="E1905" i="28"/>
  <c r="E1906" i="28"/>
  <c r="E1907" i="28"/>
  <c r="E1908" i="28"/>
  <c r="E1909" i="28"/>
  <c r="E1910" i="28"/>
  <c r="E1911" i="28"/>
  <c r="E1912" i="28"/>
  <c r="E1913" i="28"/>
  <c r="E1914" i="28"/>
  <c r="E1915" i="28"/>
  <c r="E1916" i="28"/>
  <c r="E1917" i="28"/>
  <c r="E1918" i="28"/>
  <c r="E1919" i="28"/>
  <c r="E1920" i="28"/>
  <c r="E1921" i="28"/>
  <c r="E1922" i="28"/>
  <c r="E1923" i="28"/>
  <c r="E1924" i="28"/>
  <c r="E1925" i="28"/>
  <c r="E1926" i="28"/>
  <c r="E1927" i="28"/>
  <c r="E1928" i="28"/>
  <c r="E1929" i="28"/>
  <c r="E1930" i="28"/>
  <c r="E1931" i="28"/>
  <c r="E1932" i="28"/>
  <c r="E1933" i="28"/>
  <c r="E1934" i="28"/>
  <c r="E1935" i="28"/>
  <c r="E1936" i="28"/>
  <c r="E1937" i="28"/>
  <c r="E1938" i="28"/>
  <c r="E1939" i="28"/>
  <c r="E1940" i="28"/>
  <c r="E1941" i="28"/>
  <c r="E1942" i="28"/>
  <c r="E1943" i="28"/>
  <c r="E1944" i="28"/>
  <c r="E1945" i="28"/>
  <c r="E1946" i="28"/>
  <c r="E1947" i="28"/>
  <c r="E1948" i="28"/>
  <c r="E1949" i="28"/>
  <c r="E1950" i="28"/>
  <c r="E1951" i="28"/>
  <c r="E1952" i="28"/>
  <c r="E1953" i="28"/>
  <c r="E1954" i="28"/>
  <c r="E1955" i="28"/>
  <c r="E1956" i="28"/>
  <c r="E1957" i="28"/>
  <c r="E1958" i="28"/>
  <c r="E1959" i="28"/>
  <c r="E1960" i="28"/>
  <c r="E1961" i="28"/>
  <c r="E1962" i="28"/>
  <c r="E1963" i="28"/>
  <c r="E1964" i="28"/>
  <c r="E1965" i="28"/>
  <c r="E1966" i="28"/>
  <c r="E1967" i="28"/>
  <c r="E1968" i="28"/>
  <c r="E1969" i="28"/>
  <c r="E1970" i="28"/>
  <c r="E1971" i="28"/>
  <c r="E1972" i="28"/>
  <c r="E1973" i="28"/>
  <c r="E1974" i="28"/>
  <c r="E1975" i="28"/>
  <c r="E1976" i="28"/>
  <c r="E1977" i="28"/>
  <c r="E1978" i="28"/>
  <c r="E1979" i="28"/>
  <c r="E1980" i="28"/>
  <c r="E1981" i="28"/>
  <c r="E1982" i="28"/>
  <c r="E1983" i="28"/>
  <c r="E1984" i="28"/>
  <c r="E1985" i="28"/>
  <c r="E1986" i="28"/>
  <c r="E1987" i="28"/>
  <c r="E1988" i="28"/>
  <c r="E1989" i="28"/>
  <c r="E1990" i="28"/>
  <c r="E1991" i="28"/>
  <c r="E1992" i="28"/>
  <c r="E1993" i="28"/>
  <c r="E1994" i="28"/>
  <c r="E1995" i="28"/>
  <c r="E1996" i="28"/>
  <c r="E1997" i="28"/>
  <c r="E1998" i="28"/>
  <c r="E1999" i="28"/>
  <c r="E2000" i="28"/>
  <c r="E2001" i="28"/>
  <c r="E2002" i="28"/>
  <c r="E2003" i="28"/>
  <c r="E2004" i="28"/>
  <c r="E2005" i="28"/>
  <c r="E2006" i="28"/>
  <c r="E2007" i="28"/>
  <c r="E2008" i="28"/>
  <c r="E2009" i="28"/>
  <c r="E2010" i="28"/>
  <c r="E2011" i="28"/>
  <c r="E2012" i="28"/>
  <c r="E2013" i="28"/>
  <c r="E2014" i="28"/>
  <c r="E2015" i="28"/>
  <c r="E2016" i="28"/>
  <c r="E2017" i="28"/>
  <c r="E2018" i="28"/>
  <c r="E2019" i="28"/>
  <c r="E2020" i="28"/>
  <c r="E2021" i="28"/>
  <c r="E2022" i="28"/>
  <c r="E2023" i="28"/>
  <c r="E2024" i="28"/>
  <c r="E2025" i="28"/>
  <c r="E2026" i="28"/>
  <c r="E2027" i="28"/>
  <c r="E2028" i="28"/>
  <c r="E2029" i="28"/>
  <c r="E2030" i="28"/>
  <c r="E2031" i="28"/>
  <c r="E2032" i="28"/>
  <c r="E2033" i="28"/>
  <c r="E2034" i="28"/>
  <c r="E2035" i="28"/>
  <c r="E2036" i="28"/>
  <c r="E2037" i="28"/>
  <c r="E2038" i="28"/>
  <c r="E2039" i="28"/>
  <c r="E2040" i="28"/>
  <c r="E2041" i="28"/>
  <c r="E2042" i="28"/>
  <c r="E2043" i="28"/>
  <c r="E2044" i="28"/>
  <c r="E2045" i="28"/>
  <c r="E2046" i="28"/>
  <c r="E2047" i="28"/>
  <c r="E2048" i="28"/>
  <c r="E2049" i="28"/>
  <c r="E2050" i="28"/>
  <c r="E2051" i="28"/>
  <c r="E2052" i="28"/>
  <c r="E2053" i="28"/>
  <c r="E2054" i="28"/>
  <c r="E2055" i="28"/>
  <c r="E2056" i="28"/>
  <c r="E2057" i="28"/>
  <c r="E2058" i="28"/>
  <c r="E2059" i="28"/>
  <c r="E2060" i="28"/>
  <c r="E2061" i="28"/>
  <c r="E2062" i="28"/>
  <c r="E2063" i="28"/>
  <c r="E2064" i="28"/>
  <c r="E2065" i="28"/>
  <c r="E2066" i="28"/>
  <c r="E2067" i="28"/>
  <c r="E2068" i="28"/>
  <c r="E2069" i="28"/>
  <c r="E2070" i="28"/>
  <c r="E2071" i="28"/>
  <c r="E2072" i="28"/>
  <c r="E2073" i="28"/>
  <c r="E2074" i="28"/>
  <c r="E2075" i="28"/>
  <c r="E2076" i="28"/>
  <c r="E2077" i="28"/>
  <c r="E2078" i="28"/>
  <c r="E2079" i="28"/>
  <c r="E2080" i="28"/>
  <c r="E2081" i="28"/>
  <c r="E2082" i="28"/>
  <c r="E2083" i="28"/>
  <c r="E2084" i="28"/>
  <c r="E2085" i="28"/>
  <c r="E2086" i="28"/>
  <c r="E2087" i="28"/>
  <c r="E2088" i="28"/>
  <c r="E2089" i="28"/>
  <c r="E2090" i="28"/>
  <c r="E2091" i="28"/>
  <c r="E2092" i="28"/>
  <c r="E2093" i="28"/>
  <c r="E2094" i="28"/>
  <c r="E2095" i="28"/>
  <c r="E2096" i="28"/>
  <c r="E2097" i="28"/>
  <c r="E2098" i="28"/>
  <c r="E2099" i="28"/>
  <c r="E2100" i="28"/>
  <c r="E2101" i="28"/>
  <c r="E2102" i="28"/>
  <c r="E2103" i="28"/>
  <c r="E2104" i="28"/>
  <c r="E2105" i="28"/>
  <c r="E2106" i="28"/>
  <c r="E2107" i="28"/>
  <c r="E2108" i="28"/>
  <c r="E2109" i="28"/>
  <c r="E2110" i="28"/>
  <c r="E2111" i="28"/>
  <c r="E2112" i="28"/>
  <c r="E2113" i="28"/>
  <c r="E2114" i="28"/>
  <c r="E2115" i="28"/>
  <c r="E2116" i="28"/>
  <c r="E2117" i="28"/>
  <c r="E2118" i="28"/>
  <c r="E2119" i="28"/>
  <c r="E2120" i="28"/>
  <c r="E2121" i="28"/>
  <c r="E2122" i="28"/>
  <c r="E2123" i="28"/>
  <c r="E2124" i="28"/>
  <c r="E2125" i="28"/>
  <c r="E2126" i="28"/>
  <c r="E2127" i="28"/>
  <c r="E2128" i="28"/>
  <c r="E2129" i="28"/>
  <c r="E2130" i="28"/>
  <c r="E2131" i="28"/>
  <c r="E2132" i="28"/>
  <c r="E2133" i="28"/>
  <c r="E2134" i="28"/>
  <c r="E2135" i="28"/>
  <c r="E2136" i="28"/>
  <c r="E2137" i="28"/>
  <c r="E2138" i="28"/>
  <c r="E2139" i="28"/>
  <c r="E2140" i="28"/>
  <c r="E2141" i="28"/>
  <c r="E2142" i="28"/>
  <c r="E2143" i="28"/>
  <c r="E2144" i="28"/>
  <c r="E2145" i="28"/>
  <c r="E2146" i="28"/>
  <c r="E2147" i="28"/>
  <c r="E2148" i="28"/>
  <c r="E2149" i="28"/>
  <c r="E2150" i="28"/>
  <c r="E2151" i="28"/>
  <c r="E2152" i="28"/>
  <c r="E2153" i="28"/>
  <c r="E2154" i="28"/>
  <c r="E2155" i="28"/>
  <c r="E2156" i="28"/>
  <c r="E2157" i="28"/>
  <c r="E2158" i="28"/>
  <c r="E2159" i="28"/>
  <c r="E2160" i="28"/>
  <c r="E2161" i="28"/>
  <c r="E2162" i="28"/>
  <c r="E2163" i="28"/>
  <c r="E2164" i="28"/>
  <c r="E2165" i="28"/>
  <c r="E2166" i="28"/>
  <c r="E2167" i="28"/>
  <c r="E2168" i="28"/>
  <c r="E2169" i="28"/>
  <c r="E2170" i="28"/>
  <c r="E2171" i="28"/>
  <c r="E2172" i="28"/>
  <c r="E2173" i="28"/>
  <c r="E2174" i="28"/>
  <c r="E2175" i="28"/>
  <c r="E2176" i="28"/>
  <c r="E2177" i="28"/>
  <c r="E2178" i="28"/>
  <c r="E2179" i="28"/>
  <c r="E2180" i="28"/>
  <c r="E2181" i="28"/>
  <c r="E2182" i="28"/>
  <c r="E2183" i="28"/>
  <c r="E2184" i="28"/>
  <c r="E2185" i="28"/>
  <c r="E2186" i="28"/>
  <c r="E2187" i="28"/>
  <c r="E2188" i="28"/>
  <c r="E2189" i="28"/>
  <c r="E2190" i="28"/>
  <c r="E2191" i="28"/>
  <c r="E2192" i="28"/>
  <c r="E2193" i="28"/>
  <c r="E2194" i="28"/>
  <c r="E2195" i="28"/>
  <c r="E2196" i="28"/>
  <c r="E2197" i="28"/>
  <c r="E2198" i="28"/>
  <c r="E2199" i="28"/>
  <c r="E2200" i="28"/>
  <c r="E2201" i="28"/>
  <c r="E2202" i="28"/>
  <c r="E2203" i="28"/>
  <c r="E2204" i="28"/>
  <c r="E2205" i="28"/>
  <c r="E2206" i="28"/>
  <c r="E2207" i="28"/>
  <c r="E2208" i="28"/>
  <c r="E2209" i="28"/>
  <c r="E2210" i="28"/>
  <c r="E2211" i="28"/>
  <c r="E2212" i="28"/>
  <c r="E2213" i="28"/>
  <c r="E2214" i="28"/>
  <c r="E2215" i="28"/>
  <c r="E2216" i="28"/>
  <c r="E2217" i="28"/>
  <c r="E2218" i="28"/>
  <c r="E2219" i="28"/>
  <c r="E2220" i="28"/>
  <c r="E2221" i="28"/>
  <c r="E2222" i="28"/>
  <c r="E2223" i="28"/>
  <c r="E2224" i="28"/>
  <c r="E2225" i="28"/>
  <c r="E2226" i="28"/>
  <c r="E2227" i="28"/>
  <c r="E2228" i="28"/>
  <c r="E2229" i="28"/>
  <c r="E2230" i="28"/>
  <c r="E2231" i="28"/>
  <c r="E2232" i="28"/>
  <c r="E2233" i="28"/>
  <c r="E2234" i="28"/>
  <c r="E2235" i="28"/>
  <c r="E2236" i="28"/>
  <c r="E2237" i="28"/>
  <c r="E2238" i="28"/>
  <c r="E2239" i="28"/>
  <c r="E2240" i="28"/>
  <c r="E2241" i="28"/>
  <c r="E2242" i="28"/>
  <c r="E2243" i="28"/>
  <c r="E2244" i="28"/>
  <c r="E2245" i="28"/>
  <c r="E2246" i="28"/>
  <c r="E2247" i="28"/>
  <c r="E2248" i="28"/>
  <c r="E2249" i="28"/>
  <c r="E2250" i="28"/>
  <c r="E2251" i="28"/>
  <c r="E2252" i="28"/>
  <c r="E2253" i="28"/>
  <c r="E2254" i="28"/>
  <c r="E2255" i="28"/>
  <c r="E2256" i="28"/>
  <c r="E2257" i="28"/>
  <c r="E2258" i="28"/>
  <c r="E2259" i="28"/>
  <c r="E2260" i="28"/>
  <c r="E2261" i="28"/>
  <c r="E2262" i="28"/>
  <c r="E2263" i="28"/>
  <c r="E2264" i="28"/>
  <c r="E2265" i="28"/>
  <c r="E2266" i="28"/>
  <c r="E2267" i="28"/>
  <c r="E2268" i="28"/>
  <c r="E2269" i="28"/>
  <c r="E2270" i="28"/>
  <c r="E2271" i="28"/>
  <c r="E2272" i="28"/>
  <c r="E2273" i="28"/>
  <c r="E2274" i="28"/>
  <c r="E2275" i="28"/>
  <c r="E2276" i="28"/>
  <c r="E2277" i="28"/>
  <c r="E2278" i="28"/>
  <c r="E2279" i="28"/>
  <c r="E2280" i="28"/>
  <c r="E2281" i="28"/>
  <c r="E2282" i="28"/>
  <c r="E2283" i="28"/>
  <c r="E2284" i="28"/>
  <c r="E2285" i="28"/>
  <c r="E2286" i="28"/>
  <c r="E2287" i="28"/>
  <c r="E2288" i="28"/>
  <c r="E2289" i="28"/>
  <c r="E2290" i="28"/>
  <c r="E2291" i="28"/>
  <c r="E2292" i="28"/>
  <c r="E2293" i="28"/>
  <c r="E2294" i="28"/>
  <c r="E2295" i="28"/>
  <c r="E2296" i="28"/>
  <c r="E2297" i="28"/>
  <c r="E2298" i="28"/>
  <c r="E2299" i="28"/>
  <c r="E2300" i="28"/>
  <c r="E2301" i="28"/>
  <c r="E2302" i="28"/>
  <c r="E2303" i="28"/>
  <c r="E2304" i="28"/>
  <c r="E2305" i="28"/>
  <c r="E2306" i="28"/>
  <c r="E2307" i="28"/>
  <c r="E2308" i="28"/>
  <c r="E2309" i="28"/>
  <c r="E2310" i="28"/>
  <c r="E2311" i="28"/>
  <c r="E2312" i="28"/>
  <c r="E2313" i="28"/>
  <c r="E2314" i="28"/>
  <c r="E2315" i="28"/>
  <c r="E2316" i="28"/>
  <c r="E2317" i="28"/>
  <c r="E2318" i="28"/>
  <c r="E2319" i="28"/>
  <c r="E2320" i="28"/>
  <c r="E2321" i="28"/>
  <c r="E2322" i="28"/>
  <c r="E2323" i="28"/>
  <c r="E2324" i="28"/>
  <c r="E2325" i="28"/>
  <c r="E2326" i="28"/>
  <c r="E2327" i="28"/>
  <c r="E2328" i="28"/>
  <c r="E2329" i="28"/>
  <c r="E2330" i="28"/>
  <c r="E2331" i="28"/>
  <c r="E2332" i="28"/>
  <c r="E2333" i="28"/>
  <c r="E2334" i="28"/>
  <c r="E2335" i="28"/>
  <c r="E2336" i="28"/>
  <c r="E2337" i="28"/>
  <c r="E2338" i="28"/>
  <c r="E2339" i="28"/>
  <c r="E2340" i="28"/>
  <c r="E2341" i="28"/>
  <c r="E2342" i="28"/>
  <c r="E2343" i="28"/>
  <c r="E2344" i="28"/>
  <c r="E2345" i="28"/>
  <c r="E2346" i="28"/>
  <c r="E2347" i="28"/>
  <c r="E2348" i="28"/>
  <c r="E2349" i="28"/>
  <c r="E2350" i="28"/>
  <c r="E2351" i="28"/>
  <c r="E2352" i="28"/>
  <c r="E2353" i="28"/>
  <c r="E2354" i="28"/>
  <c r="E2355" i="28"/>
  <c r="E2356" i="28"/>
  <c r="E2357" i="28"/>
  <c r="E2358" i="28"/>
  <c r="E2359" i="28"/>
  <c r="E2360" i="28"/>
  <c r="E2361" i="28"/>
  <c r="E2362" i="28"/>
  <c r="E2363" i="28"/>
  <c r="E2364" i="28"/>
  <c r="E2365" i="28"/>
  <c r="E2366" i="28"/>
  <c r="E2367" i="28"/>
  <c r="E2368" i="28"/>
  <c r="E2369" i="28"/>
  <c r="E2370" i="28"/>
  <c r="E2371" i="28"/>
  <c r="E2372" i="28"/>
  <c r="E2373" i="28"/>
  <c r="E2374" i="28"/>
  <c r="E2375" i="28"/>
  <c r="E2376" i="28"/>
  <c r="E2377" i="28"/>
  <c r="E2378" i="28"/>
  <c r="E2379" i="28"/>
  <c r="E2380" i="28"/>
  <c r="E2381" i="28"/>
  <c r="E2382" i="28"/>
  <c r="E2383" i="28"/>
  <c r="E2384" i="28"/>
  <c r="E2385" i="28"/>
  <c r="E2386" i="28"/>
  <c r="E2387" i="28"/>
  <c r="E2388" i="28"/>
  <c r="E2389" i="28"/>
  <c r="E2390" i="28"/>
  <c r="E2391" i="28"/>
  <c r="E2392" i="28"/>
  <c r="E2393" i="28"/>
  <c r="E2394" i="28"/>
  <c r="E2395" i="28"/>
  <c r="E2396" i="28"/>
  <c r="E2397" i="28"/>
  <c r="E2398" i="28"/>
  <c r="E2399" i="28"/>
  <c r="E2400" i="28"/>
  <c r="E2401" i="28"/>
  <c r="E2402" i="28"/>
  <c r="E2403" i="28"/>
  <c r="E2404" i="28"/>
  <c r="E2405" i="28"/>
  <c r="E2406" i="28"/>
  <c r="E2407" i="28"/>
  <c r="E2408" i="28"/>
  <c r="E2409" i="28"/>
  <c r="E2410" i="28"/>
  <c r="E2411" i="28"/>
  <c r="E2412" i="28"/>
  <c r="E2413" i="28"/>
  <c r="E2414" i="28"/>
  <c r="E2415" i="28"/>
  <c r="E2416" i="28"/>
  <c r="E2417" i="28"/>
  <c r="E2418" i="28"/>
  <c r="E2419" i="28"/>
  <c r="E2420" i="28"/>
  <c r="E2421" i="28"/>
  <c r="E2422" i="28"/>
  <c r="E2423" i="28"/>
  <c r="E2424" i="28"/>
  <c r="E2425" i="28"/>
  <c r="E2426" i="28"/>
  <c r="E2427" i="28"/>
  <c r="E2428" i="28"/>
  <c r="E2429" i="28"/>
  <c r="E2430" i="28"/>
  <c r="E2431" i="28"/>
  <c r="E2432" i="28"/>
  <c r="E2433" i="28"/>
  <c r="E2434" i="28"/>
  <c r="E2435" i="28"/>
  <c r="E2436" i="28"/>
  <c r="E2437" i="28"/>
  <c r="E2438" i="28"/>
  <c r="E2439" i="28"/>
  <c r="E2440" i="28"/>
  <c r="E2441" i="28"/>
  <c r="E2442" i="28"/>
  <c r="E2443" i="28"/>
  <c r="E2444" i="28"/>
  <c r="E2445" i="28"/>
  <c r="E2446" i="28"/>
  <c r="E2447" i="28"/>
  <c r="E2448" i="28"/>
  <c r="E2449" i="28"/>
  <c r="E2450" i="28"/>
  <c r="E2451" i="28"/>
  <c r="E2452" i="28"/>
  <c r="E2453" i="28"/>
  <c r="E2454" i="28"/>
  <c r="E2455" i="28"/>
  <c r="E2456" i="28"/>
  <c r="E2457" i="28"/>
  <c r="E2458" i="28"/>
  <c r="E2459" i="28"/>
  <c r="E2460" i="28"/>
  <c r="E2461" i="28"/>
  <c r="E2462" i="28"/>
  <c r="E2463" i="28"/>
  <c r="E2464" i="28"/>
  <c r="E2465" i="28"/>
  <c r="E2466" i="28"/>
  <c r="E2467" i="28"/>
  <c r="E2468" i="28"/>
  <c r="E2469" i="28"/>
  <c r="E2470" i="28"/>
  <c r="E2471" i="28"/>
  <c r="E2472" i="28"/>
  <c r="E2473" i="28"/>
  <c r="E2474" i="28"/>
  <c r="E2475" i="28"/>
  <c r="E2476" i="28"/>
  <c r="E2477" i="28"/>
  <c r="E2478" i="28"/>
  <c r="E2479" i="28"/>
  <c r="E2480" i="28"/>
  <c r="E2481" i="28"/>
  <c r="E2482" i="28"/>
  <c r="E2483" i="28"/>
  <c r="E2484" i="28"/>
  <c r="E2485" i="28"/>
  <c r="E2486" i="28"/>
  <c r="E2487" i="28"/>
  <c r="E2488" i="28"/>
  <c r="E2489" i="28"/>
  <c r="E2490" i="28"/>
  <c r="E2491" i="28"/>
  <c r="E2492" i="28"/>
  <c r="E2493" i="28"/>
  <c r="E2494" i="28"/>
  <c r="E2495" i="28"/>
  <c r="E2496" i="28"/>
  <c r="E2497" i="28"/>
  <c r="E2498" i="28"/>
  <c r="E2499" i="28"/>
  <c r="E2500" i="28"/>
  <c r="E2501" i="28"/>
  <c r="E2502" i="28"/>
  <c r="E2503" i="28"/>
  <c r="E2504" i="28"/>
  <c r="E2505" i="28"/>
  <c r="E2506" i="28"/>
  <c r="E2507" i="28"/>
  <c r="E2508" i="28"/>
  <c r="E2509" i="28"/>
  <c r="E2510" i="28"/>
  <c r="E2511" i="28"/>
  <c r="E2512" i="28"/>
  <c r="E2513" i="28"/>
  <c r="E2514" i="28"/>
  <c r="E2515" i="28"/>
  <c r="E2516" i="28"/>
  <c r="E2517" i="28"/>
  <c r="E2518" i="28"/>
  <c r="E2519" i="28"/>
  <c r="E2520" i="28"/>
  <c r="E2521" i="28"/>
  <c r="E2522" i="28"/>
  <c r="E2523" i="28"/>
  <c r="E2524" i="28"/>
  <c r="E2525" i="28"/>
  <c r="E2526" i="28"/>
  <c r="E2527" i="28"/>
  <c r="E2528" i="28"/>
  <c r="E2529" i="28"/>
  <c r="E2530" i="28"/>
  <c r="E2531" i="28"/>
  <c r="E2532" i="28"/>
  <c r="E2533" i="28"/>
  <c r="E2534" i="28"/>
  <c r="E2535" i="28"/>
  <c r="E2536" i="28"/>
  <c r="E2537" i="28"/>
  <c r="E2538" i="28"/>
  <c r="E2539" i="28"/>
  <c r="E2540" i="28"/>
  <c r="E2541" i="28"/>
  <c r="E2542" i="28"/>
  <c r="E2543" i="28"/>
  <c r="E2544" i="28"/>
  <c r="E2545" i="28"/>
  <c r="E2546" i="28"/>
  <c r="E2547" i="28"/>
  <c r="E2548" i="28"/>
  <c r="E2549" i="28"/>
  <c r="E2550" i="28"/>
  <c r="E2551" i="28"/>
  <c r="E2552" i="28"/>
  <c r="E2553" i="28"/>
  <c r="E2554" i="28"/>
  <c r="E2555" i="28"/>
  <c r="E2556" i="28"/>
  <c r="E2557" i="28"/>
  <c r="E2558" i="28"/>
  <c r="E2559" i="28"/>
  <c r="E2560" i="28"/>
  <c r="E2561" i="28"/>
  <c r="E2562" i="28"/>
  <c r="E2563" i="28"/>
  <c r="E2564" i="28"/>
  <c r="E2565" i="28"/>
  <c r="E2566" i="28"/>
  <c r="E2567" i="28"/>
  <c r="E2568" i="28"/>
  <c r="E2569" i="28"/>
  <c r="E2570" i="28"/>
  <c r="E2571" i="28"/>
  <c r="E2572" i="28"/>
  <c r="E2573" i="28"/>
  <c r="E2574" i="28"/>
  <c r="E2575" i="28"/>
  <c r="E2576" i="28"/>
  <c r="E2577" i="28"/>
  <c r="E2578" i="28"/>
  <c r="E2579" i="28"/>
  <c r="E2580" i="28"/>
  <c r="E2581" i="28"/>
  <c r="E2582" i="28"/>
  <c r="E2583" i="28"/>
  <c r="E2584" i="28"/>
  <c r="E2585" i="28"/>
  <c r="E2586" i="28"/>
  <c r="E2587" i="28"/>
  <c r="E2588" i="28"/>
  <c r="E2589" i="28"/>
  <c r="E2590" i="28"/>
  <c r="E2591" i="28"/>
  <c r="E2592" i="28"/>
  <c r="E2593" i="28"/>
  <c r="E2594" i="28"/>
  <c r="E2595" i="28"/>
  <c r="E2596" i="28"/>
  <c r="E2597" i="28"/>
  <c r="E2598" i="28"/>
  <c r="E2599" i="28"/>
  <c r="E2600" i="28"/>
  <c r="E2601" i="28"/>
  <c r="E2602" i="28"/>
  <c r="E2603" i="28"/>
  <c r="E2604" i="28"/>
  <c r="E2605" i="28"/>
  <c r="E2606" i="28"/>
  <c r="E2607" i="28"/>
  <c r="E2608" i="28"/>
  <c r="E2609" i="28"/>
  <c r="E2610" i="28"/>
  <c r="E2611" i="28"/>
  <c r="E2612" i="28"/>
  <c r="E2613" i="28"/>
  <c r="E2614" i="28"/>
  <c r="E2615" i="28"/>
  <c r="E2616" i="28"/>
  <c r="E2617" i="28"/>
  <c r="E2618" i="28"/>
  <c r="E2619" i="28"/>
  <c r="E2620" i="28"/>
  <c r="E2621" i="28"/>
  <c r="E2622" i="28"/>
  <c r="E2623" i="28"/>
  <c r="E2624" i="28"/>
  <c r="E2625" i="28"/>
  <c r="E2626" i="28"/>
  <c r="E2627" i="28"/>
  <c r="E2628" i="28"/>
  <c r="E2629" i="28"/>
  <c r="E2630" i="28"/>
  <c r="E2631" i="28"/>
  <c r="E2632" i="28"/>
  <c r="E2633" i="28"/>
  <c r="E2634" i="28"/>
  <c r="E2635" i="28"/>
  <c r="E2636" i="28"/>
  <c r="E2637" i="28"/>
  <c r="E2638" i="28"/>
  <c r="E2639" i="28"/>
  <c r="E2640" i="28"/>
  <c r="E2641" i="28"/>
  <c r="E2642" i="28"/>
  <c r="E2643" i="28"/>
  <c r="E2644" i="28"/>
  <c r="E2645" i="28"/>
  <c r="E2646" i="28"/>
  <c r="E2647" i="28"/>
  <c r="E2648" i="28"/>
  <c r="E2649" i="28"/>
  <c r="E2650" i="28"/>
  <c r="E2651" i="28"/>
  <c r="E2652" i="28"/>
  <c r="E2653" i="28"/>
  <c r="E2654" i="28"/>
  <c r="E2655" i="28"/>
  <c r="E2656" i="28"/>
  <c r="E2657" i="28"/>
  <c r="E2658" i="28"/>
  <c r="E2659" i="28"/>
  <c r="E2660" i="28"/>
  <c r="E2661" i="28"/>
  <c r="E2662" i="28"/>
  <c r="E2663" i="28"/>
  <c r="E2664" i="28"/>
  <c r="E2665" i="28"/>
  <c r="E2666" i="28"/>
  <c r="E2667" i="28"/>
  <c r="E2668" i="28"/>
  <c r="E2669" i="28"/>
  <c r="E2670" i="28"/>
  <c r="E2671" i="28"/>
  <c r="E2672" i="28"/>
  <c r="E2673" i="28"/>
  <c r="E2674" i="28"/>
  <c r="E2675" i="28"/>
  <c r="E2676" i="28"/>
  <c r="E2677" i="28"/>
  <c r="E2678" i="28"/>
  <c r="E2679" i="28"/>
  <c r="E2680" i="28"/>
  <c r="E2681" i="28"/>
  <c r="E2682" i="28"/>
  <c r="E2683" i="28"/>
  <c r="E2684" i="28"/>
  <c r="E2685" i="28"/>
  <c r="E2686" i="28"/>
  <c r="E2687" i="28"/>
  <c r="E2688" i="28"/>
  <c r="E2689" i="28"/>
  <c r="E2690" i="28"/>
  <c r="E2691" i="28"/>
  <c r="E2692" i="28"/>
  <c r="E2693" i="28"/>
  <c r="E2694" i="28"/>
  <c r="E2695" i="28"/>
  <c r="E2696" i="28"/>
  <c r="E2697" i="28"/>
  <c r="E2698" i="28"/>
  <c r="E2699" i="28"/>
  <c r="E2700" i="28"/>
  <c r="E2701" i="28"/>
  <c r="E2702" i="28"/>
  <c r="E2703" i="28"/>
  <c r="E2704" i="28"/>
  <c r="E2705" i="28"/>
  <c r="E2706" i="28"/>
  <c r="E2707" i="28"/>
  <c r="E2708" i="28"/>
  <c r="E2709" i="28"/>
  <c r="E2710" i="28"/>
  <c r="E2711" i="28"/>
  <c r="E2712" i="28"/>
  <c r="E2713" i="28"/>
  <c r="E2714" i="28"/>
  <c r="E2715" i="28"/>
  <c r="E2716" i="28"/>
  <c r="E2717" i="28"/>
  <c r="E2718" i="28"/>
  <c r="E2719" i="28"/>
  <c r="E2720" i="28"/>
  <c r="E2721" i="28"/>
  <c r="E2722" i="28"/>
  <c r="E2723" i="28"/>
  <c r="E2724" i="28"/>
  <c r="E2725" i="28"/>
  <c r="E2726" i="28"/>
  <c r="E2727" i="28"/>
  <c r="E2728" i="28"/>
  <c r="E2729" i="28"/>
  <c r="E2730" i="28"/>
  <c r="E2731" i="28"/>
  <c r="E2732" i="28"/>
  <c r="E2733" i="28"/>
  <c r="E2734" i="28"/>
  <c r="E2735" i="28"/>
  <c r="E2736" i="28"/>
  <c r="E2737" i="28"/>
  <c r="E2738" i="28"/>
  <c r="E2739" i="28"/>
  <c r="E2740" i="28"/>
  <c r="E2741" i="28"/>
  <c r="E2742" i="28"/>
  <c r="E2743" i="28"/>
  <c r="E2744" i="28"/>
  <c r="E2745" i="28"/>
  <c r="E2746" i="28"/>
  <c r="E2747" i="28"/>
  <c r="E2748" i="28"/>
  <c r="E2749" i="28"/>
  <c r="E2750" i="28"/>
  <c r="E2751" i="28"/>
  <c r="E2752" i="28"/>
  <c r="E2753" i="28"/>
  <c r="E2754" i="28"/>
  <c r="E2755" i="28"/>
  <c r="E2756" i="28"/>
  <c r="E2757" i="28"/>
  <c r="E2758" i="28"/>
  <c r="E2759" i="28"/>
  <c r="E2760" i="28"/>
  <c r="E2761" i="28"/>
  <c r="E2762" i="28"/>
  <c r="E2763" i="28"/>
  <c r="E2764" i="28"/>
  <c r="E2765" i="28"/>
  <c r="E2766" i="28"/>
  <c r="E2767" i="28"/>
  <c r="E2768" i="28"/>
  <c r="E2769" i="28"/>
  <c r="E2770" i="28"/>
  <c r="E2771" i="28"/>
  <c r="E2772" i="28"/>
  <c r="E2773" i="28"/>
  <c r="E2774" i="28"/>
  <c r="E2775" i="28"/>
  <c r="E2776" i="28"/>
  <c r="E2777" i="28"/>
  <c r="E2778" i="28"/>
  <c r="E2779" i="28"/>
  <c r="E2780" i="28"/>
  <c r="E2781" i="28"/>
  <c r="E2782" i="28"/>
  <c r="E2783" i="28"/>
  <c r="E2784" i="28"/>
  <c r="E2785" i="28"/>
  <c r="E2786" i="28"/>
  <c r="E2787" i="28"/>
  <c r="E2788" i="28"/>
  <c r="E2789" i="28"/>
  <c r="E2790" i="28"/>
  <c r="E2791" i="28"/>
  <c r="E2792" i="28"/>
  <c r="E2793" i="28"/>
  <c r="E2794" i="28"/>
  <c r="E2795" i="28"/>
  <c r="E2796" i="28"/>
  <c r="E2797" i="28"/>
  <c r="E2798" i="28"/>
  <c r="E2799" i="28"/>
  <c r="E2800" i="28"/>
  <c r="E2801" i="28"/>
  <c r="E2802" i="28"/>
  <c r="E2803" i="28"/>
  <c r="E2804" i="28"/>
  <c r="E2805" i="28"/>
  <c r="E2806" i="28"/>
  <c r="E2807" i="28"/>
  <c r="E2808" i="28"/>
  <c r="E2809" i="28"/>
  <c r="E2810" i="28"/>
  <c r="E2811" i="28"/>
  <c r="E2812" i="28"/>
  <c r="E2813" i="28"/>
  <c r="E2814" i="28"/>
  <c r="E2815" i="28"/>
  <c r="E2816" i="28"/>
  <c r="E2817" i="28"/>
  <c r="E2818" i="28"/>
  <c r="E2819" i="28"/>
  <c r="E2820" i="28"/>
  <c r="E2821" i="28"/>
  <c r="E2822" i="28"/>
  <c r="E2823" i="28"/>
  <c r="E2824" i="28"/>
  <c r="E2825" i="28"/>
  <c r="E2826" i="28"/>
  <c r="E2827" i="28"/>
  <c r="E2828" i="28"/>
  <c r="E2829" i="28"/>
  <c r="E2830" i="28"/>
  <c r="E2831" i="28"/>
  <c r="E2832" i="28"/>
  <c r="E2833" i="28"/>
  <c r="E2834" i="28"/>
  <c r="E2835" i="28"/>
  <c r="E2836" i="28"/>
  <c r="E2837" i="28"/>
  <c r="E2838" i="28"/>
  <c r="E2839" i="28"/>
  <c r="E2840" i="28"/>
  <c r="E2841" i="28"/>
  <c r="E2842" i="28"/>
  <c r="E2843" i="28"/>
  <c r="E2844" i="28"/>
  <c r="E2845" i="28"/>
  <c r="E2846" i="28"/>
  <c r="E2847" i="28"/>
  <c r="E2848" i="28"/>
  <c r="E2849" i="28"/>
  <c r="E2850" i="28"/>
  <c r="E2851" i="28"/>
  <c r="E2852" i="28"/>
  <c r="E2853" i="28"/>
  <c r="E2854" i="28"/>
  <c r="E2855" i="28"/>
  <c r="E2856" i="28"/>
  <c r="E2857" i="28"/>
  <c r="E2858" i="28"/>
  <c r="E2859" i="28"/>
  <c r="E2860" i="28"/>
  <c r="E2861" i="28"/>
  <c r="E2862" i="28"/>
  <c r="E2863" i="28"/>
  <c r="E2864" i="28"/>
  <c r="E2865" i="28"/>
  <c r="E2866" i="28"/>
  <c r="E2867" i="28"/>
  <c r="E2868" i="28"/>
  <c r="E2869" i="28"/>
  <c r="E2870" i="28"/>
  <c r="E2871" i="28"/>
  <c r="E2872" i="28"/>
  <c r="E2873" i="28"/>
  <c r="E2874" i="28"/>
  <c r="E2875" i="28"/>
  <c r="E2876" i="28"/>
  <c r="E2877" i="28"/>
  <c r="E2878" i="28"/>
  <c r="E2879" i="28"/>
  <c r="E2880" i="28"/>
  <c r="E2881" i="28"/>
  <c r="E2882" i="28"/>
  <c r="E2883" i="28"/>
  <c r="E2884" i="28"/>
  <c r="E2885" i="28"/>
  <c r="E2886" i="28"/>
  <c r="E2887" i="28"/>
  <c r="E2888" i="28"/>
  <c r="E2889" i="28"/>
  <c r="E2890" i="28"/>
  <c r="E2891" i="28"/>
  <c r="E2892" i="28"/>
  <c r="E2893" i="28"/>
  <c r="E2894" i="28"/>
  <c r="E2895" i="28"/>
  <c r="E2896" i="28"/>
  <c r="E2897" i="28"/>
  <c r="E2898" i="28"/>
  <c r="E2899" i="28"/>
  <c r="E2900" i="28"/>
  <c r="E2901" i="28"/>
  <c r="E2902" i="28"/>
  <c r="E2903" i="28"/>
  <c r="E2904" i="28"/>
  <c r="E2905" i="28"/>
  <c r="E2906" i="28"/>
  <c r="E2907" i="28"/>
  <c r="E2908" i="28"/>
  <c r="E2909" i="28"/>
  <c r="E2910" i="28"/>
  <c r="E2911" i="28"/>
  <c r="E2912" i="28"/>
  <c r="E2913" i="28"/>
  <c r="E2914" i="28"/>
  <c r="E2915" i="28"/>
  <c r="E2916" i="28"/>
  <c r="E2917" i="28"/>
  <c r="E2918" i="28"/>
  <c r="E2919" i="28"/>
  <c r="E2920" i="28"/>
  <c r="E2921" i="28"/>
  <c r="E2922" i="28"/>
  <c r="E2923" i="28"/>
  <c r="E2924" i="28"/>
  <c r="E2925" i="28"/>
  <c r="E2926" i="28"/>
  <c r="E2927" i="28"/>
  <c r="E2928" i="28"/>
  <c r="E2929" i="28"/>
  <c r="E2930" i="28"/>
  <c r="E2931" i="28"/>
  <c r="E2932" i="28"/>
  <c r="E2933" i="28"/>
  <c r="E2934" i="28"/>
  <c r="E2935" i="28"/>
  <c r="E2936" i="28"/>
  <c r="E2937" i="28"/>
  <c r="E2938" i="28"/>
  <c r="E2939" i="28"/>
  <c r="E2940" i="28"/>
  <c r="E2941" i="28"/>
  <c r="E2942" i="28"/>
  <c r="E2943" i="28"/>
  <c r="E2944" i="28"/>
  <c r="E2945" i="28"/>
  <c r="E2946" i="28"/>
  <c r="E2947" i="28"/>
  <c r="E2948" i="28"/>
  <c r="E2949" i="28"/>
  <c r="E2950" i="28"/>
  <c r="E2951" i="28"/>
  <c r="E2952" i="28"/>
  <c r="E2953" i="28"/>
  <c r="E2954" i="28"/>
  <c r="E2955" i="28"/>
  <c r="E2956" i="28"/>
  <c r="E2957" i="28"/>
  <c r="E2958" i="28"/>
  <c r="E2959" i="28"/>
  <c r="E2960" i="28"/>
  <c r="E2961" i="28"/>
  <c r="E2962" i="28"/>
  <c r="E2963" i="28"/>
  <c r="E2964" i="28"/>
  <c r="E2965" i="28"/>
  <c r="E2966" i="28"/>
  <c r="E2967" i="28"/>
  <c r="E2968" i="28"/>
  <c r="E2969" i="28"/>
  <c r="E2970" i="28"/>
  <c r="E2971" i="28"/>
  <c r="E2972" i="28"/>
  <c r="E2973" i="28"/>
  <c r="E2974" i="28"/>
  <c r="E2975" i="28"/>
  <c r="E2976" i="28"/>
  <c r="E2977" i="28"/>
  <c r="E2978" i="28"/>
  <c r="E2979" i="28"/>
  <c r="E2980" i="28"/>
  <c r="E2981" i="28"/>
  <c r="E2982" i="28"/>
  <c r="E2983" i="28"/>
  <c r="E2984" i="28"/>
  <c r="E2985" i="28"/>
  <c r="E2986" i="28"/>
  <c r="E2987" i="28"/>
  <c r="E2988" i="28"/>
  <c r="E2989" i="28"/>
  <c r="E2990" i="28"/>
  <c r="E2991" i="28"/>
  <c r="E2992" i="28"/>
  <c r="E2993" i="28"/>
  <c r="E2994" i="28"/>
  <c r="E2995" i="28"/>
  <c r="E2996" i="28"/>
  <c r="E2997" i="28"/>
  <c r="E2998" i="28"/>
  <c r="E2999" i="28"/>
  <c r="E3000" i="28"/>
  <c r="E3001" i="28"/>
  <c r="E3002" i="28"/>
  <c r="E3003" i="28"/>
  <c r="E3004" i="28"/>
  <c r="E3005" i="28"/>
  <c r="E300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2" i="28"/>
  <c r="E253" i="28"/>
  <c r="E254" i="28"/>
  <c r="E255" i="28"/>
  <c r="E256" i="28"/>
  <c r="E257" i="28"/>
  <c r="E258" i="28"/>
  <c r="E259" i="28"/>
  <c r="E260" i="28"/>
  <c r="E261" i="28"/>
  <c r="E262" i="28"/>
  <c r="E263" i="28"/>
  <c r="E264" i="28"/>
  <c r="E265" i="28"/>
  <c r="E266" i="28"/>
  <c r="E267" i="28"/>
  <c r="E268" i="28"/>
  <c r="E269" i="28"/>
  <c r="E270" i="28"/>
  <c r="E271" i="28"/>
  <c r="E272" i="28"/>
  <c r="E273" i="28"/>
  <c r="E274" i="28"/>
  <c r="E275" i="28"/>
  <c r="E276" i="28"/>
  <c r="E277" i="28"/>
  <c r="E278" i="28"/>
  <c r="E279" i="28"/>
  <c r="E280" i="28"/>
  <c r="E281" i="28"/>
  <c r="E282" i="28"/>
  <c r="E283" i="28"/>
  <c r="E284" i="28"/>
  <c r="E285" i="28"/>
  <c r="E286" i="28"/>
  <c r="E287" i="28"/>
  <c r="E288" i="28"/>
  <c r="E289" i="28"/>
  <c r="E290" i="28"/>
  <c r="E291" i="28"/>
  <c r="E292" i="28"/>
  <c r="E293" i="28"/>
  <c r="E294" i="28"/>
  <c r="E295" i="28"/>
  <c r="E296" i="28"/>
  <c r="E297" i="28"/>
  <c r="E298" i="28"/>
  <c r="E299" i="28"/>
  <c r="E300" i="28"/>
  <c r="E301" i="28"/>
  <c r="E302" i="28"/>
  <c r="E303" i="28"/>
  <c r="E304" i="28"/>
  <c r="E305" i="28"/>
  <c r="E306" i="28"/>
  <c r="E307" i="28"/>
  <c r="E308" i="28"/>
  <c r="E309" i="28"/>
  <c r="E310" i="28"/>
  <c r="E311" i="28"/>
  <c r="E312" i="28"/>
  <c r="E313" i="28"/>
  <c r="E314" i="28"/>
  <c r="E315" i="28"/>
  <c r="E316" i="28"/>
  <c r="E317" i="28"/>
  <c r="E318" i="28"/>
  <c r="E319" i="28"/>
  <c r="E320" i="28"/>
  <c r="E321" i="28"/>
  <c r="E322" i="28"/>
  <c r="E323" i="28"/>
  <c r="E324" i="28"/>
  <c r="E325" i="28"/>
  <c r="E326" i="28"/>
  <c r="E327" i="28"/>
  <c r="E328" i="28"/>
  <c r="E329" i="28"/>
  <c r="E330" i="28"/>
  <c r="E331" i="28"/>
  <c r="E332" i="28"/>
  <c r="E333" i="28"/>
  <c r="E334" i="28"/>
  <c r="E335" i="28"/>
  <c r="E336" i="28"/>
  <c r="E337" i="28"/>
  <c r="E338" i="28"/>
  <c r="E339" i="28"/>
  <c r="E340" i="28"/>
  <c r="E341" i="28"/>
  <c r="E342" i="28"/>
  <c r="E343" i="28"/>
  <c r="E344" i="28"/>
  <c r="E345" i="28"/>
  <c r="E346" i="28"/>
  <c r="E347" i="28"/>
  <c r="E348" i="28"/>
  <c r="E349" i="28"/>
  <c r="E350" i="28"/>
  <c r="E351" i="28"/>
  <c r="E352" i="28"/>
  <c r="E353" i="28"/>
  <c r="E354" i="28"/>
  <c r="E355" i="28"/>
  <c r="E356" i="28"/>
  <c r="E357" i="28"/>
  <c r="E358" i="28"/>
  <c r="E359" i="28"/>
  <c r="E360" i="28"/>
  <c r="E361" i="28"/>
  <c r="E362" i="28"/>
  <c r="E363" i="28"/>
  <c r="E364" i="28"/>
  <c r="E365" i="28"/>
  <c r="E366" i="28"/>
  <c r="E367" i="28"/>
  <c r="E368" i="28"/>
  <c r="E369" i="28"/>
  <c r="E370" i="28"/>
  <c r="E371" i="28"/>
  <c r="E372" i="28"/>
  <c r="E373" i="28"/>
  <c r="E374" i="28"/>
  <c r="E375" i="28"/>
  <c r="E376" i="28"/>
  <c r="E377" i="28"/>
  <c r="E378" i="28"/>
  <c r="E379" i="28"/>
  <c r="E380" i="28"/>
  <c r="E381" i="28"/>
  <c r="E382" i="28"/>
  <c r="E383" i="28"/>
  <c r="E384" i="28"/>
  <c r="E385" i="28"/>
  <c r="E386" i="28"/>
  <c r="E387" i="28"/>
  <c r="E388" i="28"/>
  <c r="E389" i="28"/>
  <c r="E390" i="28"/>
  <c r="E391" i="28"/>
  <c r="E392" i="28"/>
  <c r="E393" i="28"/>
  <c r="E394" i="28"/>
  <c r="E395" i="28"/>
  <c r="E396" i="28"/>
  <c r="E397" i="28"/>
  <c r="E398" i="28"/>
  <c r="E399" i="28"/>
  <c r="E400" i="28"/>
  <c r="E401" i="28"/>
  <c r="E402" i="28"/>
  <c r="E403" i="28"/>
  <c r="E404" i="28"/>
  <c r="E405" i="28"/>
  <c r="E406" i="28"/>
  <c r="E407" i="28"/>
  <c r="E408" i="28"/>
  <c r="E409" i="28"/>
  <c r="E410" i="28"/>
  <c r="E411" i="28"/>
  <c r="E412" i="28"/>
  <c r="E413" i="28"/>
  <c r="E414" i="28"/>
  <c r="E415" i="28"/>
  <c r="E416" i="28"/>
  <c r="E417" i="28"/>
  <c r="E418" i="28"/>
  <c r="E419" i="28"/>
  <c r="E420" i="28"/>
  <c r="E421" i="28"/>
  <c r="E422" i="28"/>
  <c r="E423" i="28"/>
  <c r="E424" i="28"/>
  <c r="E425" i="28"/>
  <c r="E426" i="28"/>
  <c r="E427" i="28"/>
  <c r="E428" i="28"/>
  <c r="E429" i="28"/>
  <c r="E430" i="28"/>
  <c r="E431" i="28"/>
  <c r="E432" i="28"/>
  <c r="E433" i="28"/>
  <c r="E434" i="28"/>
  <c r="E435" i="28"/>
  <c r="E436" i="28"/>
  <c r="E437" i="28"/>
  <c r="E438" i="28"/>
  <c r="E439" i="28"/>
  <c r="E440" i="28"/>
  <c r="E441" i="28"/>
  <c r="E442" i="28"/>
  <c r="E443" i="28"/>
  <c r="E444" i="28"/>
  <c r="E445" i="28"/>
  <c r="E446" i="28"/>
  <c r="E447" i="28"/>
  <c r="E448" i="28"/>
  <c r="E449" i="28"/>
  <c r="E450" i="28"/>
  <c r="E451" i="28"/>
  <c r="E452" i="28"/>
  <c r="E453" i="28"/>
  <c r="E454" i="28"/>
  <c r="E455" i="28"/>
  <c r="E456" i="28"/>
  <c r="E457" i="28"/>
  <c r="E458" i="28"/>
  <c r="E459" i="28"/>
  <c r="E460" i="28"/>
  <c r="E461" i="28"/>
  <c r="E462" i="28"/>
  <c r="E463" i="28"/>
  <c r="E464" i="28"/>
  <c r="E465" i="28"/>
  <c r="E466" i="28"/>
  <c r="E467" i="28"/>
  <c r="E468" i="28"/>
  <c r="E469" i="28"/>
  <c r="E470" i="28"/>
  <c r="E471" i="28"/>
  <c r="E472" i="28"/>
  <c r="E473" i="28"/>
  <c r="E474" i="28"/>
  <c r="E475" i="28"/>
  <c r="E476" i="28"/>
  <c r="E477" i="28"/>
  <c r="E478" i="28"/>
  <c r="E479" i="28"/>
  <c r="E480" i="28"/>
  <c r="E481" i="28"/>
  <c r="E482" i="28"/>
  <c r="E483" i="28"/>
  <c r="E484" i="28"/>
  <c r="E485" i="28"/>
  <c r="E486" i="28"/>
  <c r="E487" i="28"/>
  <c r="E488" i="28"/>
  <c r="E489" i="28"/>
  <c r="E490" i="28"/>
  <c r="E491" i="28"/>
  <c r="E492" i="28"/>
  <c r="E493" i="28"/>
  <c r="E494" i="28"/>
  <c r="E495" i="28"/>
  <c r="E496" i="28"/>
  <c r="E497" i="28"/>
  <c r="E498" i="28"/>
  <c r="E499" i="28"/>
  <c r="E500" i="28"/>
  <c r="E501" i="28"/>
  <c r="E502" i="28"/>
  <c r="E503" i="28"/>
  <c r="E504" i="28"/>
  <c r="E505" i="28"/>
  <c r="E506" i="28"/>
  <c r="E507" i="28"/>
  <c r="E508" i="28"/>
  <c r="E509" i="28"/>
  <c r="E510" i="28"/>
  <c r="E511" i="28"/>
  <c r="E512" i="28"/>
  <c r="E513" i="28"/>
  <c r="E514" i="28"/>
  <c r="E515" i="28"/>
  <c r="E516" i="28"/>
  <c r="E517" i="28"/>
  <c r="E518" i="28"/>
  <c r="E519" i="28"/>
  <c r="E520" i="28"/>
  <c r="E521" i="28"/>
  <c r="E522" i="28"/>
  <c r="E523" i="28"/>
  <c r="E524" i="28"/>
  <c r="E525" i="28"/>
  <c r="E526" i="28"/>
  <c r="E527" i="28"/>
  <c r="E528" i="28"/>
  <c r="E529" i="28"/>
  <c r="E530" i="28"/>
  <c r="E531" i="28"/>
  <c r="E532" i="28"/>
  <c r="E533" i="28"/>
  <c r="E534" i="28"/>
  <c r="E535" i="28"/>
  <c r="E536" i="28"/>
  <c r="E537" i="28"/>
  <c r="E538" i="28"/>
  <c r="E539" i="28"/>
  <c r="E540" i="28"/>
  <c r="E541" i="28"/>
  <c r="E542" i="28"/>
  <c r="E543" i="28"/>
  <c r="E544" i="28"/>
  <c r="E545" i="28"/>
  <c r="E546" i="28"/>
  <c r="E547" i="28"/>
  <c r="E548" i="28"/>
  <c r="E549" i="28"/>
  <c r="E550" i="28"/>
  <c r="E551" i="28"/>
  <c r="E552" i="28"/>
  <c r="E553" i="28"/>
  <c r="E554" i="28"/>
  <c r="E555" i="28"/>
  <c r="E556" i="28"/>
  <c r="E557" i="28"/>
  <c r="E558" i="28"/>
  <c r="E559" i="28"/>
  <c r="E560" i="28"/>
  <c r="E561" i="28"/>
  <c r="E562" i="28"/>
  <c r="E563" i="28"/>
  <c r="E564" i="28"/>
  <c r="E565" i="28"/>
  <c r="E566" i="28"/>
  <c r="E567" i="28"/>
  <c r="E568" i="28"/>
  <c r="E569" i="28"/>
  <c r="E570" i="28"/>
  <c r="E571" i="28"/>
  <c r="E572" i="28"/>
  <c r="E573" i="28"/>
  <c r="E574" i="28"/>
  <c r="E575" i="28"/>
  <c r="E576" i="28"/>
  <c r="E577" i="28"/>
  <c r="E578" i="28"/>
  <c r="E579" i="28"/>
  <c r="E580" i="28"/>
  <c r="E581" i="28"/>
  <c r="E582" i="28"/>
  <c r="E583" i="28"/>
  <c r="E584" i="28"/>
  <c r="E585" i="28"/>
  <c r="E586" i="28"/>
  <c r="E587" i="28"/>
  <c r="E588" i="28"/>
  <c r="E589" i="28"/>
  <c r="E590" i="28"/>
  <c r="E591" i="28"/>
  <c r="E592" i="28"/>
  <c r="E593" i="28"/>
  <c r="E594" i="28"/>
  <c r="E595" i="28"/>
  <c r="E596" i="28"/>
  <c r="E597" i="28"/>
  <c r="E598" i="28"/>
  <c r="E599" i="28"/>
  <c r="E600" i="28"/>
  <c r="E601" i="28"/>
  <c r="E602" i="28"/>
  <c r="E603" i="28"/>
  <c r="E604" i="28"/>
  <c r="E605" i="28"/>
  <c r="E606" i="28"/>
  <c r="E607" i="28"/>
  <c r="E608" i="28"/>
  <c r="E609" i="28"/>
  <c r="E610" i="28"/>
  <c r="E611" i="28"/>
  <c r="E612" i="28"/>
  <c r="E613" i="28"/>
  <c r="E614" i="28"/>
  <c r="E615" i="28"/>
  <c r="E616" i="28"/>
  <c r="E617" i="28"/>
  <c r="E618" i="28"/>
  <c r="E619" i="28"/>
  <c r="E620" i="28"/>
  <c r="E621" i="28"/>
  <c r="E622" i="28"/>
  <c r="E623" i="28"/>
  <c r="E624" i="28"/>
  <c r="E625" i="28"/>
  <c r="E626" i="28"/>
  <c r="E627" i="28"/>
  <c r="E628" i="28"/>
  <c r="E629" i="28"/>
  <c r="E630" i="28"/>
  <c r="E631" i="28"/>
  <c r="E632" i="28"/>
  <c r="E633" i="28"/>
  <c r="E634" i="28"/>
  <c r="E635" i="28"/>
  <c r="E636" i="28"/>
  <c r="E637" i="28"/>
  <c r="E638" i="28"/>
  <c r="E639" i="28"/>
  <c r="E640" i="28"/>
  <c r="E641" i="28"/>
  <c r="E642" i="28"/>
  <c r="E643" i="28"/>
  <c r="E644" i="28"/>
  <c r="E645" i="28"/>
  <c r="E646" i="28"/>
  <c r="E647" i="28"/>
  <c r="E648" i="28"/>
  <c r="E649" i="28"/>
  <c r="E650" i="28"/>
  <c r="E651" i="28"/>
  <c r="E652" i="28"/>
  <c r="E653" i="28"/>
  <c r="E654" i="28"/>
  <c r="E655" i="28"/>
  <c r="E656" i="28"/>
  <c r="E657" i="28"/>
  <c r="E658" i="28"/>
  <c r="E659" i="28"/>
  <c r="E660" i="28"/>
  <c r="E661" i="28"/>
  <c r="E662" i="28"/>
  <c r="E663" i="28"/>
  <c r="E664" i="28"/>
  <c r="E665" i="28"/>
  <c r="E666" i="28"/>
  <c r="E667" i="28"/>
  <c r="E668" i="28"/>
  <c r="E669" i="28"/>
  <c r="E670" i="28"/>
  <c r="E671" i="28"/>
  <c r="E672" i="28"/>
  <c r="E673" i="28"/>
  <c r="E674" i="28"/>
  <c r="E675" i="28"/>
  <c r="E676" i="28"/>
  <c r="E677" i="28"/>
  <c r="E678" i="28"/>
  <c r="E679" i="28"/>
  <c r="E680" i="28"/>
  <c r="E681" i="28"/>
  <c r="E682" i="28"/>
  <c r="E683" i="28"/>
  <c r="E684" i="28"/>
  <c r="E685" i="28"/>
  <c r="E686" i="28"/>
  <c r="E687" i="28"/>
  <c r="E688" i="28"/>
  <c r="E689" i="28"/>
  <c r="E690" i="28"/>
  <c r="E691" i="28"/>
  <c r="E692" i="28"/>
  <c r="E693" i="28"/>
  <c r="E694" i="28"/>
  <c r="E695" i="28"/>
  <c r="E696" i="28"/>
  <c r="E697" i="28"/>
  <c r="E698" i="28"/>
  <c r="E699" i="28"/>
  <c r="E700" i="28"/>
  <c r="E701" i="28"/>
  <c r="E702" i="28"/>
  <c r="E703" i="28"/>
  <c r="E704" i="28"/>
  <c r="E705" i="28"/>
  <c r="E706" i="28"/>
  <c r="E707" i="28"/>
  <c r="E708" i="28"/>
  <c r="E709" i="28"/>
  <c r="E710" i="28"/>
  <c r="E711" i="28"/>
  <c r="E712" i="28"/>
  <c r="E713" i="28"/>
  <c r="E714" i="28"/>
  <c r="E715" i="28"/>
  <c r="E716" i="28"/>
  <c r="E717" i="28"/>
  <c r="E718" i="28"/>
  <c r="E719" i="28"/>
  <c r="E720" i="28"/>
  <c r="E721" i="28"/>
  <c r="E722" i="28"/>
  <c r="E723" i="28"/>
  <c r="E724" i="28"/>
  <c r="E725" i="28"/>
  <c r="E726" i="28"/>
  <c r="E727" i="28"/>
  <c r="E728" i="28"/>
  <c r="E729" i="28"/>
  <c r="E730" i="28"/>
  <c r="E731" i="28"/>
  <c r="E732" i="28"/>
  <c r="E733" i="28"/>
  <c r="E734" i="28"/>
  <c r="E735" i="28"/>
  <c r="E736" i="28"/>
  <c r="E737" i="28"/>
  <c r="E738" i="28"/>
  <c r="E739" i="28"/>
  <c r="E740" i="28"/>
  <c r="E741" i="28"/>
  <c r="E742" i="28"/>
  <c r="E743" i="28"/>
  <c r="E744" i="28"/>
  <c r="E745" i="28"/>
  <c r="E746" i="28"/>
  <c r="E747" i="28"/>
  <c r="E748" i="28"/>
  <c r="E749" i="28"/>
  <c r="E750" i="28"/>
  <c r="E751" i="28"/>
  <c r="E752" i="28"/>
  <c r="E753" i="28"/>
  <c r="E754" i="28"/>
  <c r="E755" i="28"/>
  <c r="E756" i="28"/>
  <c r="E757" i="28"/>
  <c r="E758" i="28"/>
  <c r="E759" i="28"/>
  <c r="E760" i="28"/>
  <c r="E761" i="28"/>
  <c r="E762" i="28"/>
  <c r="E763" i="28"/>
  <c r="E764" i="28"/>
  <c r="E765" i="28"/>
  <c r="E766" i="28"/>
  <c r="E767" i="28"/>
  <c r="E768" i="28"/>
  <c r="E769" i="28"/>
  <c r="E770" i="28"/>
  <c r="E771" i="28"/>
  <c r="E772" i="28"/>
  <c r="E773" i="28"/>
  <c r="E774" i="28"/>
  <c r="E775" i="28"/>
  <c r="E776" i="28"/>
  <c r="E777" i="28"/>
  <c r="E778" i="28"/>
  <c r="E779" i="28"/>
  <c r="E780" i="28"/>
  <c r="E781" i="28"/>
  <c r="E782" i="28"/>
  <c r="E783" i="28"/>
  <c r="E784" i="28"/>
  <c r="E785" i="28"/>
  <c r="E786" i="28"/>
  <c r="E787" i="28"/>
  <c r="E788" i="28"/>
  <c r="E789" i="28"/>
  <c r="E790" i="28"/>
  <c r="E791" i="28"/>
  <c r="E792" i="28"/>
  <c r="E793" i="28"/>
  <c r="E794" i="28"/>
  <c r="E795" i="28"/>
  <c r="E796" i="28"/>
  <c r="E797" i="28"/>
  <c r="E798" i="28"/>
  <c r="E799" i="28"/>
  <c r="E800" i="28"/>
  <c r="E801" i="28"/>
  <c r="E802" i="28"/>
  <c r="E803" i="28"/>
  <c r="E804" i="28"/>
  <c r="E805" i="28"/>
  <c r="E806" i="28"/>
  <c r="E807" i="28"/>
  <c r="E808" i="28"/>
  <c r="E809" i="28"/>
  <c r="E810" i="28"/>
  <c r="E811" i="28"/>
  <c r="E812" i="28"/>
  <c r="E813" i="28"/>
  <c r="E814" i="28"/>
  <c r="E815" i="28"/>
  <c r="E816" i="28"/>
  <c r="E817" i="28"/>
  <c r="E818" i="28"/>
  <c r="E819" i="28"/>
  <c r="E820" i="28"/>
  <c r="E821" i="28"/>
  <c r="E822" i="28"/>
  <c r="E823" i="28"/>
  <c r="E824" i="28"/>
  <c r="E825" i="28"/>
  <c r="E826" i="28"/>
  <c r="E827" i="28"/>
  <c r="E828" i="28"/>
  <c r="E829" i="28"/>
  <c r="E830" i="28"/>
  <c r="E831" i="28"/>
  <c r="E832" i="28"/>
  <c r="E833" i="28"/>
  <c r="E834" i="28"/>
  <c r="E835" i="28"/>
  <c r="E836" i="28"/>
  <c r="E837" i="28"/>
  <c r="E838" i="28"/>
  <c r="E839" i="28"/>
  <c r="E840" i="28"/>
  <c r="E841" i="28"/>
  <c r="E842" i="28"/>
  <c r="E843" i="28"/>
  <c r="E844" i="28"/>
  <c r="E845" i="28"/>
  <c r="E846" i="28"/>
  <c r="E847" i="28"/>
  <c r="E848" i="28"/>
  <c r="E849" i="28"/>
  <c r="E850" i="28"/>
  <c r="E851" i="28"/>
  <c r="E852" i="28"/>
  <c r="E853" i="28"/>
  <c r="E854" i="28"/>
  <c r="E855" i="28"/>
  <c r="E856" i="28"/>
  <c r="E857" i="28"/>
  <c r="E858" i="28"/>
  <c r="E859" i="28"/>
  <c r="E860" i="28"/>
  <c r="E861" i="28"/>
  <c r="E862" i="28"/>
  <c r="E863" i="28"/>
  <c r="E864" i="28"/>
  <c r="E865" i="28"/>
  <c r="E866" i="28"/>
  <c r="E867" i="28"/>
  <c r="E868" i="28"/>
  <c r="E869" i="28"/>
  <c r="E870" i="28"/>
  <c r="E871" i="28"/>
  <c r="E872" i="28"/>
  <c r="E873" i="28"/>
  <c r="E874" i="28"/>
  <c r="E875" i="28"/>
  <c r="E876" i="28"/>
  <c r="E877" i="28"/>
  <c r="E878" i="28"/>
  <c r="E879" i="28"/>
  <c r="E880" i="28"/>
  <c r="E881" i="28"/>
  <c r="E882" i="28"/>
  <c r="E883" i="28"/>
  <c r="E884" i="28"/>
  <c r="E885" i="28"/>
  <c r="E886" i="28"/>
  <c r="E887" i="28"/>
  <c r="E888" i="28"/>
  <c r="E889" i="28"/>
  <c r="E890" i="28"/>
  <c r="E891" i="28"/>
  <c r="E892" i="28"/>
  <c r="E893" i="28"/>
  <c r="E894" i="28"/>
  <c r="E895" i="28"/>
  <c r="E896" i="28"/>
  <c r="E897" i="28"/>
  <c r="E898" i="28"/>
  <c r="E899" i="28"/>
  <c r="E900" i="28"/>
  <c r="E901" i="28"/>
  <c r="E902" i="28"/>
  <c r="E903" i="28"/>
  <c r="E904" i="28"/>
  <c r="E905" i="28"/>
  <c r="E906" i="28"/>
  <c r="E907" i="28"/>
  <c r="E908" i="28"/>
  <c r="E909" i="28"/>
  <c r="E910" i="28"/>
  <c r="E911" i="28"/>
  <c r="E912" i="28"/>
  <c r="E913" i="28"/>
  <c r="E914" i="28"/>
  <c r="E915" i="28"/>
  <c r="E916" i="28"/>
  <c r="E917" i="28"/>
  <c r="E918" i="28"/>
  <c r="E919" i="28"/>
  <c r="E920" i="28"/>
  <c r="E921" i="28"/>
  <c r="E922" i="28"/>
  <c r="E923" i="28"/>
  <c r="E924" i="28"/>
  <c r="E925" i="28"/>
  <c r="E926" i="28"/>
  <c r="E927" i="28"/>
  <c r="E928" i="28"/>
  <c r="E929" i="28"/>
  <c r="E930" i="28"/>
  <c r="E931" i="28"/>
  <c r="E932" i="28"/>
  <c r="E933" i="28"/>
  <c r="E934" i="28"/>
  <c r="E935" i="28"/>
  <c r="E936" i="28"/>
  <c r="E937" i="28"/>
  <c r="E938" i="28"/>
  <c r="E939" i="28"/>
  <c r="E940" i="28"/>
  <c r="E941" i="28"/>
  <c r="E942" i="28"/>
  <c r="E943" i="28"/>
  <c r="E944" i="28"/>
  <c r="E945" i="28"/>
  <c r="E946" i="28"/>
  <c r="E947" i="28"/>
  <c r="E948" i="28"/>
  <c r="E949" i="28"/>
  <c r="E950" i="28"/>
  <c r="E951" i="28"/>
  <c r="E952" i="28"/>
  <c r="E953" i="28"/>
  <c r="E954" i="28"/>
  <c r="E955" i="28"/>
  <c r="E956" i="28"/>
  <c r="E957" i="28"/>
  <c r="E958" i="28"/>
  <c r="E959" i="28"/>
  <c r="E960" i="28"/>
  <c r="E961" i="28"/>
  <c r="E962" i="28"/>
  <c r="E963" i="28"/>
  <c r="E964" i="28"/>
  <c r="E965" i="28"/>
  <c r="E966" i="28"/>
  <c r="E967" i="28"/>
  <c r="E968" i="28"/>
  <c r="E969" i="28"/>
  <c r="E970" i="28"/>
  <c r="E971" i="28"/>
  <c r="E972" i="28"/>
  <c r="E973" i="28"/>
  <c r="E974" i="28"/>
  <c r="E975" i="28"/>
  <c r="E976" i="28"/>
  <c r="E977" i="28"/>
  <c r="E978" i="28"/>
  <c r="E979" i="28"/>
  <c r="E980" i="28"/>
  <c r="E981" i="28"/>
  <c r="E982" i="28"/>
  <c r="E983" i="28"/>
  <c r="E984" i="28"/>
  <c r="E985" i="28"/>
  <c r="E986" i="28"/>
  <c r="E987" i="28"/>
  <c r="E988" i="28"/>
  <c r="E989" i="28"/>
  <c r="E990" i="28"/>
  <c r="E991" i="28"/>
  <c r="E992" i="28"/>
  <c r="E993" i="28"/>
  <c r="E994" i="28"/>
  <c r="E995" i="28"/>
  <c r="E996" i="28"/>
  <c r="E997" i="28"/>
  <c r="E998" i="28"/>
  <c r="E999" i="28"/>
  <c r="E1000" i="28"/>
  <c r="E1001" i="28"/>
  <c r="E1002" i="28"/>
  <c r="E1003" i="28"/>
  <c r="E1004" i="28"/>
  <c r="E1005" i="28"/>
  <c r="E1006" i="28"/>
  <c r="E1007" i="28"/>
  <c r="E1008" i="28"/>
  <c r="E1009" i="28"/>
  <c r="E1010" i="28"/>
  <c r="E1011" i="28"/>
  <c r="E1012" i="28"/>
  <c r="E1013" i="28"/>
  <c r="E1014" i="28"/>
  <c r="E1015" i="28"/>
  <c r="E1016" i="28"/>
  <c r="E1017" i="28"/>
  <c r="E1018" i="28"/>
  <c r="E1019" i="28"/>
  <c r="E1020" i="28"/>
  <c r="E1021" i="28"/>
  <c r="E1022" i="28"/>
  <c r="E1023" i="28"/>
  <c r="E1024" i="28"/>
  <c r="E1025" i="28"/>
  <c r="E1026" i="28"/>
  <c r="E1027" i="28"/>
  <c r="E1028" i="28"/>
  <c r="E1029" i="28"/>
  <c r="E1030" i="28"/>
  <c r="E1031" i="28"/>
  <c r="E1032" i="28"/>
  <c r="E1033" i="28"/>
  <c r="E1034" i="28"/>
  <c r="E1035" i="28"/>
  <c r="E1036" i="28"/>
  <c r="E1037" i="28"/>
  <c r="E1038" i="28"/>
  <c r="E1039" i="28"/>
  <c r="E1040" i="28"/>
  <c r="E1041" i="28"/>
  <c r="E1042" i="28"/>
  <c r="E1043" i="28"/>
  <c r="E1044" i="28"/>
  <c r="E1045" i="28"/>
  <c r="E1046" i="28"/>
  <c r="E1047" i="28"/>
  <c r="E1048" i="28"/>
  <c r="E1049" i="28"/>
  <c r="E1050" i="28"/>
  <c r="E1051" i="28"/>
  <c r="E1052" i="28"/>
  <c r="E1053" i="28"/>
  <c r="E1054" i="28"/>
  <c r="E1055" i="28"/>
  <c r="E1056" i="28"/>
  <c r="E1057" i="28"/>
  <c r="E1058" i="28"/>
  <c r="E1059" i="28"/>
  <c r="E1060" i="28"/>
  <c r="E1061" i="28"/>
  <c r="E1062" i="28"/>
  <c r="E1063" i="28"/>
  <c r="E1064" i="28"/>
  <c r="E1065" i="28"/>
  <c r="E1066" i="28"/>
  <c r="E1067" i="28"/>
  <c r="E1068" i="28"/>
  <c r="E1069" i="28"/>
  <c r="E1070" i="28"/>
  <c r="E1071" i="28"/>
  <c r="E1072" i="28"/>
  <c r="E1073" i="28"/>
  <c r="E1074" i="28"/>
  <c r="E1075" i="28"/>
  <c r="E1076" i="28"/>
  <c r="E1077" i="28"/>
  <c r="E1078" i="28"/>
  <c r="E1079" i="28"/>
  <c r="E1080" i="28"/>
  <c r="E1081" i="28"/>
  <c r="E1082" i="28"/>
  <c r="E1083" i="28"/>
  <c r="E1084" i="28"/>
  <c r="E1085" i="28"/>
  <c r="E1086" i="28"/>
  <c r="E1087" i="28"/>
  <c r="E1088" i="28"/>
  <c r="E1089" i="28"/>
  <c r="E1090" i="28"/>
  <c r="E1091" i="28"/>
  <c r="E1092" i="28"/>
  <c r="E1093" i="28"/>
  <c r="E1094" i="28"/>
  <c r="E1095" i="28"/>
  <c r="E1096" i="28"/>
  <c r="E1097" i="28"/>
  <c r="E1098" i="28"/>
  <c r="E1099" i="28"/>
  <c r="E1100" i="28"/>
  <c r="E1101" i="28"/>
  <c r="E1102" i="28"/>
  <c r="E1103" i="28"/>
  <c r="E1104" i="28"/>
  <c r="E1105" i="28"/>
  <c r="E1106" i="28"/>
  <c r="E1107" i="28"/>
  <c r="E1108" i="28"/>
  <c r="E1109" i="28"/>
  <c r="E1110" i="28"/>
  <c r="E1111" i="28"/>
  <c r="E1112" i="28"/>
  <c r="E1113" i="28"/>
  <c r="E1114" i="28"/>
  <c r="E1115" i="28"/>
  <c r="E1116" i="28"/>
  <c r="E1117" i="28"/>
  <c r="E1118" i="28"/>
  <c r="E1119" i="28"/>
  <c r="E1120" i="28"/>
  <c r="E1121" i="28"/>
  <c r="E1122" i="28"/>
  <c r="E1123" i="28"/>
  <c r="E1124" i="28"/>
  <c r="E1125" i="28"/>
  <c r="E1126" i="28"/>
  <c r="E1127" i="28"/>
  <c r="E1128" i="28"/>
  <c r="E1129" i="28"/>
  <c r="E1130" i="28"/>
  <c r="E1131" i="28"/>
  <c r="E1132" i="28"/>
  <c r="E1133" i="28"/>
  <c r="E1134" i="28"/>
  <c r="E1135" i="28"/>
  <c r="E1136" i="28"/>
  <c r="E1137" i="28"/>
  <c r="E1138" i="28"/>
  <c r="E1139" i="28"/>
  <c r="E1140" i="28"/>
  <c r="E1141" i="28"/>
  <c r="E1142" i="28"/>
  <c r="E1143" i="28"/>
  <c r="E1144" i="28"/>
  <c r="E1145" i="28"/>
  <c r="E1146" i="28"/>
  <c r="E1147" i="28"/>
  <c r="E1148" i="28"/>
  <c r="E1149" i="28"/>
  <c r="E1150" i="28"/>
  <c r="E1151" i="28"/>
  <c r="E1152" i="28"/>
  <c r="E1153" i="28"/>
  <c r="E1154" i="28"/>
  <c r="E1155" i="28"/>
  <c r="E1156" i="28"/>
  <c r="E1157" i="28"/>
  <c r="E1158" i="28"/>
  <c r="E1159" i="28"/>
  <c r="E1160" i="28"/>
  <c r="E1161" i="28"/>
  <c r="E1162" i="28"/>
  <c r="E1163" i="28"/>
  <c r="E1164" i="28"/>
  <c r="E1165" i="28"/>
  <c r="E1166" i="28"/>
  <c r="E1167" i="28"/>
  <c r="E1168" i="28"/>
  <c r="E1169" i="28"/>
  <c r="E1170" i="28"/>
  <c r="E1171" i="28"/>
  <c r="E1172" i="28"/>
  <c r="E1173" i="28"/>
  <c r="E1174" i="28"/>
  <c r="E1175" i="28"/>
  <c r="E1176" i="28"/>
  <c r="E1177" i="28"/>
  <c r="E1178" i="28"/>
  <c r="E1179" i="28"/>
  <c r="E1180" i="28"/>
  <c r="E1181" i="28"/>
  <c r="E1182" i="28"/>
  <c r="E1183" i="28"/>
  <c r="E1184" i="28"/>
  <c r="E1185" i="28"/>
  <c r="E1186" i="28"/>
  <c r="E1187" i="28"/>
  <c r="E1188" i="28"/>
  <c r="E1189" i="28"/>
  <c r="E1190" i="28"/>
  <c r="E1191" i="28"/>
  <c r="E1192" i="28"/>
  <c r="E1193" i="28"/>
  <c r="E1194" i="28"/>
  <c r="E1195" i="28"/>
  <c r="E1196" i="28"/>
  <c r="E1197" i="28"/>
  <c r="E1198" i="28"/>
  <c r="E1199" i="28"/>
  <c r="E1200" i="28"/>
  <c r="E1201" i="28"/>
  <c r="E1202" i="28"/>
  <c r="E1203" i="28"/>
  <c r="E1204" i="28"/>
  <c r="E1205" i="28"/>
  <c r="E1206" i="28"/>
  <c r="E1207" i="28"/>
  <c r="E1208" i="28"/>
  <c r="E1209" i="28"/>
  <c r="E1210" i="28"/>
  <c r="E1211" i="28"/>
  <c r="E1212" i="28"/>
  <c r="E1213" i="28"/>
  <c r="E1214" i="28"/>
  <c r="E1215" i="28"/>
  <c r="E1216" i="28"/>
  <c r="E1217" i="28"/>
  <c r="E1218" i="28"/>
  <c r="E1219" i="28"/>
  <c r="E1220" i="28"/>
  <c r="E1221" i="28"/>
  <c r="E1222" i="28"/>
  <c r="E1223" i="28"/>
  <c r="E1224" i="28"/>
  <c r="E1225" i="28"/>
  <c r="E1226" i="28"/>
  <c r="E1227" i="28"/>
  <c r="E1228" i="28"/>
  <c r="E1229" i="28"/>
  <c r="E1230" i="28"/>
  <c r="E1231" i="28"/>
  <c r="E1232" i="28"/>
  <c r="E1233" i="28"/>
  <c r="E1234" i="28"/>
  <c r="E1235" i="28"/>
  <c r="E1236" i="28"/>
  <c r="E1237" i="28"/>
  <c r="E1238" i="28"/>
  <c r="E1239" i="28"/>
  <c r="E1240" i="28"/>
  <c r="E1241" i="28"/>
  <c r="E1242" i="28"/>
  <c r="E1243" i="28"/>
  <c r="E1244" i="28"/>
  <c r="E1245" i="28"/>
  <c r="E1246" i="28"/>
  <c r="E1247" i="28"/>
  <c r="E1248" i="28"/>
  <c r="E1249" i="28"/>
  <c r="E1250" i="28"/>
  <c r="E1251" i="28"/>
  <c r="E1252" i="28"/>
  <c r="E1253" i="28"/>
  <c r="E1254" i="28"/>
  <c r="E1255" i="28"/>
  <c r="E1256" i="28"/>
  <c r="E1257" i="28"/>
  <c r="E1258" i="28"/>
  <c r="E1259" i="28"/>
  <c r="E1260" i="28"/>
  <c r="E1261" i="28"/>
  <c r="E1262" i="28"/>
  <c r="E1263" i="28"/>
  <c r="E1264" i="28"/>
  <c r="E1265" i="28"/>
  <c r="E1266" i="28"/>
  <c r="E1267" i="28"/>
  <c r="E1268" i="28"/>
  <c r="E1269" i="28"/>
  <c r="E1270" i="28"/>
  <c r="E1271" i="28"/>
  <c r="E1272" i="28"/>
  <c r="E1273" i="28"/>
  <c r="E1274" i="28"/>
  <c r="E1275" i="28"/>
  <c r="E1276" i="28"/>
  <c r="E1277" i="28"/>
  <c r="E1278" i="28"/>
  <c r="E1279" i="28"/>
  <c r="E1280" i="28"/>
  <c r="E1281" i="28"/>
  <c r="E1282" i="28"/>
  <c r="E1283" i="28"/>
  <c r="E1284" i="28"/>
  <c r="E1285" i="28"/>
  <c r="E1286" i="28"/>
  <c r="E1287" i="28"/>
  <c r="E1288" i="28"/>
  <c r="E1289" i="28"/>
  <c r="E1290" i="28"/>
  <c r="E1291" i="28"/>
  <c r="E1292" i="28"/>
  <c r="E1293" i="28"/>
  <c r="E1294" i="28"/>
  <c r="E1295" i="28"/>
  <c r="E1296" i="28"/>
  <c r="E1297" i="28"/>
  <c r="E1298" i="28"/>
  <c r="E1299" i="28"/>
  <c r="E1300" i="28"/>
  <c r="E1301" i="28"/>
  <c r="E1302" i="28"/>
  <c r="E1303" i="28"/>
  <c r="E1304" i="28"/>
  <c r="E1305" i="28"/>
  <c r="E1306" i="28"/>
  <c r="E1307" i="28"/>
  <c r="E1308" i="28"/>
  <c r="E1309" i="28"/>
  <c r="E1310" i="28"/>
  <c r="E1311" i="28"/>
  <c r="E1312" i="28"/>
  <c r="E1313" i="28"/>
  <c r="E1314" i="28"/>
  <c r="E1315" i="28"/>
  <c r="E1316" i="28"/>
  <c r="E1317" i="28"/>
  <c r="E1318" i="28"/>
  <c r="E1319" i="28"/>
  <c r="E1320" i="28"/>
  <c r="E1321" i="28"/>
  <c r="E1322" i="28"/>
  <c r="E1323" i="28"/>
  <c r="E1324" i="28"/>
  <c r="E1325" i="28"/>
  <c r="E1326" i="28"/>
  <c r="E1327" i="28"/>
  <c r="E1328" i="28"/>
  <c r="E1329" i="28"/>
  <c r="E1330" i="28"/>
  <c r="E1331" i="28"/>
  <c r="E1332" i="28"/>
  <c r="E1333" i="28"/>
  <c r="E1334" i="28"/>
  <c r="E1335" i="28"/>
  <c r="E1336" i="28"/>
  <c r="E1337" i="28"/>
  <c r="E1338" i="28"/>
  <c r="E1339" i="28"/>
  <c r="E1340" i="28"/>
  <c r="E1341" i="28"/>
  <c r="E1342" i="28"/>
  <c r="E1343" i="28"/>
  <c r="E1344" i="28"/>
  <c r="E1345" i="28"/>
  <c r="E1346" i="28"/>
  <c r="E1347" i="28"/>
  <c r="E1348" i="28"/>
  <c r="E1349" i="28"/>
  <c r="E1350" i="28"/>
  <c r="E1351" i="28"/>
  <c r="E1352" i="28"/>
  <c r="E1353" i="28"/>
  <c r="E1354" i="28"/>
  <c r="E1355" i="28"/>
  <c r="E1356" i="28"/>
  <c r="E1357" i="28"/>
  <c r="E1358" i="28"/>
  <c r="E1359" i="28"/>
  <c r="E1360" i="28"/>
  <c r="E1361" i="28"/>
  <c r="E1362" i="28"/>
  <c r="E1363" i="28"/>
  <c r="E1364" i="28"/>
  <c r="E1365" i="28"/>
  <c r="E1366" i="28"/>
  <c r="E1367" i="28"/>
  <c r="E1368" i="28"/>
  <c r="E1369" i="28"/>
  <c r="E1370" i="28"/>
  <c r="E1371" i="28"/>
  <c r="E1372" i="28"/>
  <c r="E1373" i="28"/>
  <c r="E1374" i="28"/>
  <c r="E1375" i="28"/>
  <c r="E1376" i="28"/>
  <c r="E1377" i="28"/>
  <c r="E1378" i="28"/>
  <c r="E1379" i="28"/>
  <c r="E1380" i="28"/>
  <c r="E1381" i="28"/>
  <c r="E1382" i="28"/>
  <c r="E1383" i="28"/>
  <c r="E1384" i="28"/>
  <c r="E1385" i="28"/>
  <c r="E1386" i="28"/>
  <c r="E1387" i="28"/>
  <c r="E1388" i="28"/>
  <c r="E1389" i="28"/>
  <c r="E1390" i="28"/>
  <c r="E1391" i="28"/>
  <c r="E1392" i="28"/>
  <c r="E1393" i="28"/>
  <c r="E1394" i="28"/>
  <c r="E1395" i="28"/>
  <c r="E1396" i="28"/>
  <c r="E1397" i="28"/>
  <c r="E1398" i="28"/>
  <c r="E1399" i="28"/>
  <c r="E1400" i="28"/>
  <c r="E1401" i="28"/>
  <c r="E1402" i="28"/>
  <c r="E1403" i="28"/>
  <c r="E1404" i="28"/>
  <c r="E1405" i="28"/>
  <c r="E1406" i="28"/>
  <c r="E1407" i="28"/>
  <c r="E1408" i="28"/>
  <c r="E1409" i="28"/>
  <c r="E1410" i="28"/>
  <c r="E1411" i="28"/>
  <c r="E1412" i="28"/>
  <c r="E1413" i="28"/>
  <c r="E1414" i="28"/>
  <c r="E1415" i="28"/>
  <c r="E1416" i="28"/>
  <c r="E1417" i="28"/>
  <c r="E1418" i="28"/>
  <c r="E1419" i="28"/>
  <c r="E1420" i="28"/>
  <c r="E1421" i="28"/>
  <c r="E1422" i="28"/>
  <c r="E1423" i="28"/>
  <c r="E1424" i="28"/>
  <c r="E1425" i="28"/>
  <c r="E1426" i="28"/>
  <c r="E1427" i="28"/>
  <c r="E1428" i="28"/>
  <c r="E1429" i="28"/>
  <c r="E1430" i="28"/>
  <c r="E1431" i="28"/>
  <c r="E1432" i="28"/>
  <c r="E1433" i="28"/>
  <c r="E1434" i="28"/>
  <c r="E1435" i="28"/>
  <c r="E1436" i="28"/>
  <c r="E1437" i="28"/>
  <c r="E1438" i="28"/>
  <c r="E1439" i="28"/>
  <c r="E1440" i="28"/>
  <c r="E1441" i="28"/>
  <c r="E1442" i="28"/>
  <c r="E1443" i="28"/>
  <c r="E1444" i="28"/>
  <c r="E1445" i="28"/>
  <c r="E1446" i="28"/>
  <c r="E1447" i="28"/>
  <c r="E1448" i="28"/>
  <c r="E1449" i="28"/>
  <c r="E1450" i="28"/>
  <c r="E1451" i="28"/>
  <c r="E1452" i="28"/>
  <c r="E1453" i="28"/>
  <c r="E1454" i="28"/>
  <c r="E1455" i="28"/>
  <c r="E1456" i="28"/>
  <c r="E1457" i="28"/>
  <c r="E1458" i="28"/>
  <c r="E1459" i="28"/>
  <c r="E1460" i="28"/>
  <c r="E1461" i="28"/>
  <c r="E1462" i="28"/>
  <c r="E1463" i="28"/>
  <c r="E1464" i="28"/>
  <c r="E1465" i="28"/>
  <c r="E1466" i="28"/>
  <c r="E1467" i="28"/>
  <c r="E1468" i="28"/>
  <c r="E1469" i="28"/>
  <c r="E1470" i="28"/>
  <c r="E1471" i="28"/>
  <c r="E1472" i="28"/>
  <c r="E1473" i="28"/>
  <c r="E1474" i="28"/>
  <c r="E1475" i="28"/>
  <c r="E1476" i="28"/>
  <c r="E1477" i="28"/>
  <c r="E1478" i="28"/>
  <c r="E1479" i="28"/>
  <c r="E1480" i="28"/>
  <c r="E1481" i="28"/>
  <c r="E1482" i="28"/>
  <c r="E1483" i="28"/>
  <c r="E1484" i="28"/>
  <c r="E1485" i="28"/>
  <c r="E1486" i="28"/>
  <c r="E1487" i="28"/>
  <c r="E1488" i="28"/>
  <c r="E1489" i="28"/>
  <c r="E1490" i="28"/>
  <c r="E1491" i="28"/>
  <c r="E1492" i="28"/>
  <c r="E1493" i="28"/>
  <c r="E1494" i="28"/>
  <c r="E1495" i="28"/>
  <c r="E1496" i="28"/>
  <c r="E1497" i="28"/>
  <c r="E1498" i="28"/>
  <c r="E1499" i="28"/>
  <c r="E1500" i="28"/>
  <c r="E1501" i="28"/>
  <c r="E1502" i="28"/>
  <c r="E1503" i="28"/>
  <c r="E1504" i="28"/>
  <c r="E1505" i="28"/>
  <c r="E1506" i="28"/>
  <c r="L11" i="23"/>
  <c r="I24" i="32"/>
  <c r="F30" i="31"/>
  <c r="Z17" i="32"/>
  <c r="Z18" i="32"/>
  <c r="Z20" i="32"/>
  <c r="Y17" i="32"/>
  <c r="Y18" i="32"/>
  <c r="Y20" i="32"/>
  <c r="X17" i="32"/>
  <c r="X19" i="32"/>
  <c r="X20" i="32"/>
  <c r="W17" i="32"/>
  <c r="W19" i="32"/>
  <c r="W20" i="32"/>
  <c r="V17" i="32"/>
  <c r="V19" i="32"/>
  <c r="V20" i="32"/>
  <c r="U17" i="32"/>
  <c r="U19" i="32"/>
  <c r="U20" i="32"/>
  <c r="T17" i="32"/>
  <c r="T19" i="32"/>
  <c r="T21" i="32"/>
  <c r="S17" i="32"/>
  <c r="S19" i="32"/>
  <c r="S21" i="32"/>
  <c r="R17" i="32"/>
  <c r="R19" i="32"/>
  <c r="R21" i="32"/>
  <c r="Q17" i="32"/>
  <c r="Q19" i="32"/>
  <c r="Q21" i="32"/>
  <c r="P17" i="32"/>
  <c r="P19" i="32"/>
  <c r="P21" i="32"/>
  <c r="O17" i="32"/>
  <c r="O19" i="32"/>
  <c r="O21" i="32"/>
  <c r="O23" i="32"/>
  <c r="M16" i="32"/>
  <c r="M17" i="32"/>
  <c r="M18" i="32"/>
  <c r="M19" i="32"/>
  <c r="M20" i="32"/>
  <c r="M21" i="32"/>
  <c r="M22" i="32"/>
  <c r="M23" i="32"/>
  <c r="L16" i="32"/>
  <c r="L17" i="32"/>
  <c r="L18" i="32"/>
  <c r="L19" i="32"/>
  <c r="L20" i="32"/>
  <c r="L21" i="32"/>
  <c r="L22" i="32"/>
  <c r="L23" i="32"/>
  <c r="G16" i="32"/>
  <c r="G17" i="32"/>
  <c r="G18" i="32"/>
  <c r="G19" i="32"/>
  <c r="G20" i="32"/>
  <c r="G21" i="32"/>
  <c r="G22" i="32"/>
  <c r="G23" i="32"/>
  <c r="F16" i="32"/>
  <c r="F17" i="32"/>
  <c r="F18" i="32"/>
  <c r="F19" i="32"/>
  <c r="F20" i="32"/>
  <c r="F21" i="32"/>
  <c r="F22" i="32"/>
  <c r="F23" i="32"/>
  <c r="L16" i="31"/>
  <c r="L17" i="31"/>
  <c r="L18" i="31"/>
  <c r="L19" i="31"/>
  <c r="L20" i="31"/>
  <c r="L21" i="31"/>
  <c r="L22" i="31"/>
  <c r="L23" i="31"/>
  <c r="L24" i="31"/>
  <c r="L25" i="31"/>
  <c r="L26" i="31"/>
  <c r="L27" i="31"/>
  <c r="L28" i="31"/>
  <c r="L29" i="31"/>
  <c r="J16" i="31"/>
  <c r="J17" i="31"/>
  <c r="J18" i="31"/>
  <c r="J19" i="31"/>
  <c r="J20" i="31"/>
  <c r="J21" i="31"/>
  <c r="J22" i="31"/>
  <c r="J23" i="31"/>
  <c r="J24" i="31"/>
  <c r="J25" i="31"/>
  <c r="J26" i="31"/>
  <c r="J27" i="31"/>
  <c r="J28" i="31"/>
  <c r="J29" i="31"/>
  <c r="I16" i="31"/>
  <c r="I17" i="31"/>
  <c r="I18" i="31"/>
  <c r="I19" i="31"/>
  <c r="I20" i="31"/>
  <c r="I21" i="31"/>
  <c r="I22" i="31"/>
  <c r="I23" i="31"/>
  <c r="I24" i="31"/>
  <c r="I25" i="31"/>
  <c r="I26" i="31"/>
  <c r="I27" i="31"/>
  <c r="I28" i="31"/>
  <c r="I29" i="31"/>
  <c r="H16" i="31"/>
  <c r="H17" i="31"/>
  <c r="H18" i="31"/>
  <c r="H19" i="31"/>
  <c r="H20" i="31"/>
  <c r="H21" i="31"/>
  <c r="H22" i="31"/>
  <c r="H23" i="31"/>
  <c r="H24" i="31"/>
  <c r="H25" i="31"/>
  <c r="H26" i="31"/>
  <c r="H27" i="31"/>
  <c r="H28" i="31"/>
  <c r="H29" i="31"/>
  <c r="G16" i="31"/>
  <c r="G17" i="31"/>
  <c r="G18" i="31"/>
  <c r="G19" i="31"/>
  <c r="G20" i="31"/>
  <c r="G21" i="31"/>
  <c r="G22" i="31"/>
  <c r="G23" i="31"/>
  <c r="G24" i="31"/>
  <c r="G25" i="31"/>
  <c r="G26" i="31"/>
  <c r="G27" i="31"/>
  <c r="G28" i="31"/>
  <c r="G29" i="31"/>
  <c r="I7" i="27"/>
  <c r="I8" i="27"/>
  <c r="I9" i="27"/>
  <c r="I10" i="27"/>
  <c r="I11" i="27"/>
  <c r="I12" i="27"/>
  <c r="I13" i="27"/>
  <c r="I14" i="27"/>
  <c r="I15" i="27"/>
  <c r="I16" i="27"/>
  <c r="C19" i="21"/>
  <c r="L7" i="26"/>
  <c r="L8" i="26"/>
  <c r="L9" i="26"/>
  <c r="L10" i="26"/>
  <c r="L11" i="26"/>
  <c r="L12" i="26"/>
  <c r="L13" i="26"/>
  <c r="L14" i="26"/>
  <c r="L15" i="26"/>
  <c r="L16" i="26"/>
  <c r="L17" i="26"/>
  <c r="L18" i="26"/>
  <c r="L19" i="26"/>
  <c r="L20" i="26"/>
  <c r="L21" i="26"/>
  <c r="C7" i="22"/>
  <c r="C8" i="22"/>
  <c r="C9" i="22"/>
  <c r="C10" i="22"/>
  <c r="C14" i="23" s="1"/>
  <c r="C11" i="22"/>
  <c r="C12" i="22"/>
  <c r="C13" i="22"/>
  <c r="C14" i="22"/>
  <c r="C15" i="22"/>
  <c r="P7" i="27" s="1"/>
  <c r="C16" i="22"/>
  <c r="P8" i="27" s="1"/>
  <c r="C17" i="22"/>
  <c r="P9" i="27" s="1"/>
  <c r="C18" i="22"/>
  <c r="C7" i="27" s="1"/>
  <c r="C19" i="22"/>
  <c r="C8" i="27" s="1"/>
  <c r="C20" i="22"/>
  <c r="C9" i="27" s="1"/>
  <c r="C21" i="22"/>
  <c r="C10" i="27" s="1"/>
  <c r="C22" i="22"/>
  <c r="C11" i="27" s="1"/>
  <c r="C23" i="22"/>
  <c r="C12" i="27" s="1"/>
  <c r="C24" i="22"/>
  <c r="C13" i="27" s="1"/>
  <c r="C25" i="22"/>
  <c r="C14" i="27" s="1"/>
  <c r="C26" i="22"/>
  <c r="C15" i="27" s="1"/>
  <c r="C27" i="22"/>
  <c r="C16" i="27" s="1"/>
  <c r="C28" i="22"/>
  <c r="C50" i="21" a="1"/>
  <c r="C38" i="21"/>
  <c r="C39" i="21" s="1"/>
  <c r="C33" i="21"/>
  <c r="C32" i="21"/>
  <c r="C31" i="21"/>
  <c r="N114" i="29" l="1"/>
  <c r="W11" i="30"/>
  <c r="N120" i="29"/>
  <c r="W72" i="30"/>
  <c r="AA17" i="32" a="1"/>
  <c r="M15" i="47"/>
  <c r="C48" i="23"/>
  <c r="B9" i="46"/>
  <c r="C49" i="23"/>
  <c r="B10" i="46"/>
  <c r="B20" i="20"/>
  <c r="B5" i="46"/>
  <c r="Q70" i="41"/>
  <c r="O24" i="46" a="1"/>
  <c r="H17" i="47" s="1"/>
  <c r="P24" i="46" a="1"/>
  <c r="H18" i="47" s="1"/>
  <c r="L24" i="46" a="1"/>
  <c r="H14" i="47" s="1"/>
  <c r="N24" i="46" a="1"/>
  <c r="H16" i="47" s="1"/>
  <c r="M24" i="46" a="1"/>
  <c r="H15" i="47" s="1"/>
  <c r="K24" i="46" a="1"/>
  <c r="H13" i="47" s="1"/>
  <c r="B31" i="44"/>
  <c r="E26" i="46"/>
  <c r="H26" i="46"/>
  <c r="L26" i="46"/>
  <c r="E24" i="46" a="1"/>
  <c r="G26" i="46"/>
  <c r="K26" i="46"/>
  <c r="F24" i="46" a="1"/>
  <c r="H8" i="47" s="1"/>
  <c r="N26" i="46"/>
  <c r="H24" i="46" a="1"/>
  <c r="H10" i="47" s="1"/>
  <c r="J26" i="46"/>
  <c r="P26" i="46"/>
  <c r="J24" i="46" a="1"/>
  <c r="H12" i="47" s="1"/>
  <c r="F26" i="46"/>
  <c r="I26" i="46"/>
  <c r="O26" i="46"/>
  <c r="I24" i="46" a="1"/>
  <c r="M26" i="46"/>
  <c r="G24" i="46" a="1"/>
  <c r="H9" i="47" s="1"/>
  <c r="G785" i="33"/>
  <c r="G790" i="33"/>
  <c r="G791" i="33"/>
  <c r="G792" i="33"/>
  <c r="G793" i="33"/>
  <c r="G789" i="33"/>
  <c r="G787" i="33"/>
  <c r="G788" i="33"/>
  <c r="M16" i="43"/>
  <c r="P16" i="43"/>
  <c r="H848" i="33"/>
  <c r="H924" i="33"/>
  <c r="G926" i="33"/>
  <c r="P10" i="46" s="1"/>
  <c r="H927" i="33"/>
  <c r="H204" i="33"/>
  <c r="M33" i="47"/>
  <c r="M34" i="47"/>
  <c r="H40" i="33"/>
  <c r="H115" i="33"/>
  <c r="M14" i="43"/>
  <c r="P14" i="43"/>
  <c r="M9" i="43"/>
  <c r="P9" i="43"/>
  <c r="H779" i="33"/>
  <c r="G781" i="33"/>
  <c r="N10" i="46" s="1"/>
  <c r="H782" i="33"/>
  <c r="H845" i="33"/>
  <c r="G847" i="33"/>
  <c r="O10" i="46" s="1"/>
  <c r="M31" i="47"/>
  <c r="M29" i="47"/>
  <c r="M30" i="47"/>
  <c r="M32" i="47"/>
  <c r="M35" i="47"/>
  <c r="U10" i="47"/>
  <c r="M10" i="47"/>
  <c r="M11" i="47"/>
  <c r="M12" i="47"/>
  <c r="M13" i="47"/>
  <c r="M14" i="47"/>
  <c r="M16" i="47"/>
  <c r="V17" i="47"/>
  <c r="N81" i="20" s="1"/>
  <c r="C35" i="47"/>
  <c r="H7" i="47"/>
  <c r="F123" i="40"/>
  <c r="F124" i="40" s="1"/>
  <c r="E123" i="40"/>
  <c r="E124" i="40" s="1"/>
  <c r="E116" i="40"/>
  <c r="F116" i="40"/>
  <c r="E115" i="40"/>
  <c r="F115" i="40"/>
  <c r="F114" i="40"/>
  <c r="E114" i="40"/>
  <c r="E113" i="40"/>
  <c r="F113" i="40"/>
  <c r="F112" i="40"/>
  <c r="E112" i="40"/>
  <c r="M19" i="43"/>
  <c r="P19" i="43"/>
  <c r="M18" i="43"/>
  <c r="P18" i="43"/>
  <c r="P17" i="43"/>
  <c r="M17" i="43"/>
  <c r="P15" i="43"/>
  <c r="M15" i="43"/>
  <c r="P13" i="43"/>
  <c r="M13" i="43"/>
  <c r="P12" i="43"/>
  <c r="M12" i="43"/>
  <c r="P11" i="43"/>
  <c r="M11" i="43"/>
  <c r="M10" i="43"/>
  <c r="P10" i="43"/>
  <c r="P8" i="43"/>
  <c r="M8" i="43"/>
  <c r="H17" i="46"/>
  <c r="L17" i="46"/>
  <c r="N17" i="46"/>
  <c r="J17" i="46"/>
  <c r="E16" i="46"/>
  <c r="F18" i="46"/>
  <c r="G18" i="46"/>
  <c r="H18" i="46"/>
  <c r="I18" i="46"/>
  <c r="G16" i="46"/>
  <c r="M18" i="46"/>
  <c r="P16" i="46"/>
  <c r="N16" i="46"/>
  <c r="L16" i="46"/>
  <c r="H16" i="46"/>
  <c r="I16" i="46"/>
  <c r="J18" i="46"/>
  <c r="F16" i="46"/>
  <c r="L18" i="46"/>
  <c r="O18" i="46"/>
  <c r="P17" i="46"/>
  <c r="N18" i="46"/>
  <c r="I17" i="46"/>
  <c r="E17" i="46"/>
  <c r="P18" i="46"/>
  <c r="K18" i="46"/>
  <c r="K16" i="46"/>
  <c r="M16" i="46"/>
  <c r="O16" i="46"/>
  <c r="J16" i="46"/>
  <c r="F17" i="46"/>
  <c r="G17" i="46"/>
  <c r="K17" i="46"/>
  <c r="M17" i="46"/>
  <c r="O17" i="46"/>
  <c r="E18" i="46"/>
  <c r="L47" i="41"/>
  <c r="L48" i="41" s="1"/>
  <c r="K47" i="41"/>
  <c r="K48" i="41" s="1"/>
  <c r="I47" i="41"/>
  <c r="I48" i="41" s="1"/>
  <c r="F47" i="41"/>
  <c r="F48" i="41" s="1"/>
  <c r="P47" i="41"/>
  <c r="P48" i="41" s="1"/>
  <c r="E47" i="41"/>
  <c r="E48" i="41" s="1"/>
  <c r="G47" i="41"/>
  <c r="G48" i="41" s="1"/>
  <c r="H47" i="41"/>
  <c r="H48" i="41" s="1"/>
  <c r="J47" i="41"/>
  <c r="J48" i="41" s="1"/>
  <c r="M47" i="41"/>
  <c r="M48" i="41" s="1"/>
  <c r="O47" i="41"/>
  <c r="O48" i="41" s="1"/>
  <c r="N47" i="41"/>
  <c r="N48" i="41" s="1"/>
  <c r="G851" i="33"/>
  <c r="G930" i="33"/>
  <c r="G46" i="33"/>
  <c r="G544" i="33"/>
  <c r="G210" i="33"/>
  <c r="G703" i="33"/>
  <c r="G379" i="33"/>
  <c r="G623" i="33"/>
  <c r="G295" i="33"/>
  <c r="G121" i="33"/>
  <c r="G460" i="33"/>
  <c r="G51" i="33"/>
  <c r="G548" i="33"/>
  <c r="G855" i="33"/>
  <c r="G935" i="33"/>
  <c r="G215" i="33"/>
  <c r="G126" i="33"/>
  <c r="G299" i="33"/>
  <c r="G707" i="33"/>
  <c r="G383" i="33"/>
  <c r="G466" i="33"/>
  <c r="G628" i="33"/>
  <c r="G461" i="33"/>
  <c r="G122" i="33"/>
  <c r="G47" i="33"/>
  <c r="G127" i="33"/>
  <c r="G384" i="33"/>
  <c r="G936" i="33"/>
  <c r="G300" i="33"/>
  <c r="G856" i="33"/>
  <c r="G549" i="33"/>
  <c r="G629" i="33"/>
  <c r="G52" i="33"/>
  <c r="G467" i="33"/>
  <c r="G216" i="33"/>
  <c r="G708" i="33"/>
  <c r="G385" i="33"/>
  <c r="G550" i="33"/>
  <c r="G53" i="33"/>
  <c r="G218" i="33"/>
  <c r="G857" i="33"/>
  <c r="G938" i="33"/>
  <c r="G302" i="33"/>
  <c r="G630" i="33"/>
  <c r="G469" i="33"/>
  <c r="G128" i="33"/>
  <c r="G710" i="33"/>
  <c r="G551" i="33"/>
  <c r="G129" i="33"/>
  <c r="G386" i="33"/>
  <c r="G303" i="33"/>
  <c r="G858" i="33"/>
  <c r="G711" i="33"/>
  <c r="G939" i="33"/>
  <c r="G470" i="33"/>
  <c r="G631" i="33"/>
  <c r="G54" i="33"/>
  <c r="G219" i="33"/>
  <c r="G298" i="33"/>
  <c r="G547" i="33"/>
  <c r="G854" i="33"/>
  <c r="G214" i="33"/>
  <c r="G125" i="33"/>
  <c r="G382" i="33"/>
  <c r="G50" i="33"/>
  <c r="G934" i="33"/>
  <c r="G706" i="33"/>
  <c r="G465" i="33"/>
  <c r="G627" i="33"/>
  <c r="G852" i="33"/>
  <c r="G380" i="33"/>
  <c r="G625" i="33"/>
  <c r="G932" i="33"/>
  <c r="G48" i="33"/>
  <c r="G704" i="33"/>
  <c r="G123" i="33"/>
  <c r="G545" i="33"/>
  <c r="G296" i="33"/>
  <c r="G463" i="33"/>
  <c r="G212" i="33"/>
  <c r="G853" i="33"/>
  <c r="G381" i="33"/>
  <c r="G213" i="33"/>
  <c r="G626" i="33"/>
  <c r="G546" i="33"/>
  <c r="G49" i="33"/>
  <c r="G705" i="33"/>
  <c r="G933" i="33"/>
  <c r="G464" i="33"/>
  <c r="G297" i="33"/>
  <c r="G124" i="33"/>
  <c r="G301" i="33"/>
  <c r="G468" i="33"/>
  <c r="G937" i="33"/>
  <c r="G709" i="33"/>
  <c r="G217" i="33"/>
  <c r="H376" i="33"/>
  <c r="H289" i="33"/>
  <c r="G291" i="33"/>
  <c r="H10" i="46" s="1"/>
  <c r="H617" i="33"/>
  <c r="G619" i="33"/>
  <c r="L10" i="46" s="1"/>
  <c r="H620" i="33"/>
  <c r="G375" i="33"/>
  <c r="I10" i="46" s="1"/>
  <c r="H373" i="33"/>
  <c r="H292" i="33"/>
  <c r="H697" i="33"/>
  <c r="G699" i="33"/>
  <c r="M10" i="46" s="1"/>
  <c r="H700" i="33"/>
  <c r="H541" i="33"/>
  <c r="G540" i="33"/>
  <c r="K10" i="46" s="1"/>
  <c r="H538" i="33"/>
  <c r="H457" i="33"/>
  <c r="G456" i="33"/>
  <c r="J10" i="46" s="1"/>
  <c r="H454" i="33"/>
  <c r="G42" i="33"/>
  <c r="E10" i="46" s="1"/>
  <c r="H43" i="33"/>
  <c r="H118" i="33"/>
  <c r="G117" i="33"/>
  <c r="F10" i="46" s="1"/>
  <c r="G206" i="33"/>
  <c r="G10" i="46" s="1"/>
  <c r="H207" i="33"/>
  <c r="R16" i="32"/>
  <c r="O16" i="32"/>
  <c r="T16" i="32"/>
  <c r="W16" i="32"/>
  <c r="V16" i="32"/>
  <c r="Q16" i="32"/>
  <c r="P16" i="32"/>
  <c r="S16" i="32"/>
  <c r="U16" i="32"/>
  <c r="G567" i="33" s="1"/>
  <c r="X18" i="32"/>
  <c r="T18" i="32"/>
  <c r="U18" i="32"/>
  <c r="R18" i="32"/>
  <c r="Q18" i="32"/>
  <c r="O18" i="32"/>
  <c r="V18" i="32"/>
  <c r="S18" i="32"/>
  <c r="W18" i="32"/>
  <c r="P18" i="32"/>
  <c r="S20" i="32"/>
  <c r="T20" i="32"/>
  <c r="P20" i="32"/>
  <c r="O20" i="32"/>
  <c r="Q20" i="32"/>
  <c r="R20" i="32"/>
  <c r="U21" i="32"/>
  <c r="V21" i="32"/>
  <c r="O22" i="32"/>
  <c r="U22" i="32"/>
  <c r="T22" i="32"/>
  <c r="P22" i="32"/>
  <c r="V22" i="32"/>
  <c r="R22" i="32"/>
  <c r="Q22" i="32"/>
  <c r="W22" i="32"/>
  <c r="G729" i="33" s="1"/>
  <c r="P23" i="32"/>
  <c r="R23" i="32"/>
  <c r="Q23" i="32"/>
  <c r="V23" i="32"/>
  <c r="U23" i="32"/>
  <c r="T23" i="32"/>
  <c r="H491" i="33" s="1"/>
  <c r="G875" i="33"/>
  <c r="G876" i="33"/>
  <c r="G403" i="33"/>
  <c r="G955" i="33"/>
  <c r="G957" i="33"/>
  <c r="G70" i="33"/>
  <c r="G728" i="33"/>
  <c r="G404" i="33"/>
  <c r="G235" i="33"/>
  <c r="G236" i="33"/>
  <c r="G320" i="33"/>
  <c r="G147" i="33"/>
  <c r="G402" i="33"/>
  <c r="G149" i="33"/>
  <c r="G148" i="33"/>
  <c r="G487" i="33"/>
  <c r="G486" i="33"/>
  <c r="G874" i="33"/>
  <c r="G956" i="33"/>
  <c r="G71" i="33"/>
  <c r="G727" i="33"/>
  <c r="G647" i="33"/>
  <c r="G648" i="33"/>
  <c r="H152" i="33"/>
  <c r="H151" i="33"/>
  <c r="H150" i="33"/>
  <c r="H731" i="33"/>
  <c r="H730" i="33"/>
  <c r="H570" i="33"/>
  <c r="H572" i="33"/>
  <c r="H74" i="33"/>
  <c r="H405" i="33"/>
  <c r="H406" i="33"/>
  <c r="H407" i="33"/>
  <c r="H490" i="33"/>
  <c r="H489" i="33"/>
  <c r="H958" i="33"/>
  <c r="H877" i="33"/>
  <c r="H878" i="33"/>
  <c r="H879" i="33"/>
  <c r="H73" i="33"/>
  <c r="H959" i="33"/>
  <c r="H960" i="33"/>
  <c r="H732" i="33"/>
  <c r="H650" i="33"/>
  <c r="H240" i="33"/>
  <c r="H239" i="33"/>
  <c r="H238" i="33"/>
  <c r="H651" i="33"/>
  <c r="H323" i="33"/>
  <c r="H562" i="33"/>
  <c r="H722" i="33"/>
  <c r="H953" i="33"/>
  <c r="I28" i="23"/>
  <c r="H65" i="33"/>
  <c r="H233" i="33"/>
  <c r="H481" i="33"/>
  <c r="G7" i="30"/>
  <c r="G22" i="30"/>
  <c r="G97" i="30"/>
  <c r="G82" i="30"/>
  <c r="G52" i="30"/>
  <c r="G127" i="30"/>
  <c r="G67" i="30"/>
  <c r="G37" i="30"/>
  <c r="G142" i="30"/>
  <c r="G172" i="30"/>
  <c r="G157" i="30"/>
  <c r="G112" i="30"/>
  <c r="G98" i="30"/>
  <c r="G173" i="30"/>
  <c r="G128" i="30"/>
  <c r="G83" i="30"/>
  <c r="G143" i="30"/>
  <c r="G23" i="30"/>
  <c r="G53" i="30"/>
  <c r="G158" i="30"/>
  <c r="G113" i="30"/>
  <c r="G68" i="30"/>
  <c r="G129" i="30"/>
  <c r="G54" i="30"/>
  <c r="G174" i="30"/>
  <c r="G144" i="30"/>
  <c r="G114" i="30"/>
  <c r="G84" i="30"/>
  <c r="G99" i="30"/>
  <c r="G159" i="30"/>
  <c r="G69" i="30"/>
  <c r="G24" i="30"/>
  <c r="G130" i="30"/>
  <c r="G115" i="30"/>
  <c r="G55" i="30"/>
  <c r="G175" i="30"/>
  <c r="G70" i="30"/>
  <c r="G85" i="30"/>
  <c r="G145" i="30"/>
  <c r="G25" i="30"/>
  <c r="G100" i="30"/>
  <c r="G160" i="30"/>
  <c r="G176" i="30"/>
  <c r="G146" i="30"/>
  <c r="G71" i="30"/>
  <c r="G56" i="30"/>
  <c r="G11" i="30"/>
  <c r="G116" i="30"/>
  <c r="G131" i="30"/>
  <c r="G101" i="30"/>
  <c r="G86" i="30"/>
  <c r="G161" i="30"/>
  <c r="G162" i="30"/>
  <c r="G117" i="30"/>
  <c r="G102" i="30"/>
  <c r="G132" i="30"/>
  <c r="G177" i="30"/>
  <c r="G87" i="30"/>
  <c r="G12" i="30"/>
  <c r="G72" i="30"/>
  <c r="G57" i="30"/>
  <c r="G147" i="30"/>
  <c r="G178" i="30"/>
  <c r="G103" i="30"/>
  <c r="G133" i="30"/>
  <c r="G58" i="30"/>
  <c r="G88" i="30"/>
  <c r="G163" i="30"/>
  <c r="G73" i="30"/>
  <c r="G118" i="30"/>
  <c r="G148" i="30"/>
  <c r="G149" i="30"/>
  <c r="G119" i="30"/>
  <c r="G134" i="30"/>
  <c r="G74" i="30"/>
  <c r="G89" i="30"/>
  <c r="G59" i="30"/>
  <c r="G104" i="30"/>
  <c r="G179" i="30"/>
  <c r="G164" i="30"/>
  <c r="G150" i="30"/>
  <c r="G120" i="30"/>
  <c r="G180" i="30"/>
  <c r="G75" i="30"/>
  <c r="G165" i="30"/>
  <c r="G135" i="30"/>
  <c r="G105" i="30"/>
  <c r="G90" i="30"/>
  <c r="G60" i="30"/>
  <c r="G151" i="30"/>
  <c r="G76" i="30"/>
  <c r="G181" i="30"/>
  <c r="G166" i="30"/>
  <c r="G61" i="30"/>
  <c r="G136" i="30"/>
  <c r="G91" i="30"/>
  <c r="G121" i="30"/>
  <c r="G106" i="30"/>
  <c r="G152" i="30"/>
  <c r="G122" i="30"/>
  <c r="G167" i="30"/>
  <c r="G107" i="30"/>
  <c r="G182" i="30"/>
  <c r="G77" i="30"/>
  <c r="G62" i="30"/>
  <c r="G92" i="30"/>
  <c r="G137" i="30"/>
  <c r="G63" i="30"/>
  <c r="G108" i="30"/>
  <c r="G183" i="30"/>
  <c r="G123" i="30"/>
  <c r="G168" i="30"/>
  <c r="G93" i="30"/>
  <c r="G78" i="30"/>
  <c r="G153" i="30"/>
  <c r="G138" i="30"/>
  <c r="G64" i="30"/>
  <c r="G184" i="30"/>
  <c r="G109" i="30"/>
  <c r="G94" i="30"/>
  <c r="G124" i="30"/>
  <c r="G169" i="30"/>
  <c r="G79" i="30"/>
  <c r="G139" i="30"/>
  <c r="G154" i="30"/>
  <c r="G80" i="30"/>
  <c r="G65" i="30"/>
  <c r="G125" i="30"/>
  <c r="G170" i="30"/>
  <c r="G140" i="30"/>
  <c r="G155" i="30"/>
  <c r="G185" i="30"/>
  <c r="G110" i="30"/>
  <c r="G95" i="30"/>
  <c r="G171" i="30"/>
  <c r="G111" i="30"/>
  <c r="G126" i="30"/>
  <c r="G81" i="30"/>
  <c r="G96" i="30"/>
  <c r="G156" i="30"/>
  <c r="G141" i="30"/>
  <c r="G66" i="30"/>
  <c r="G186" i="30"/>
  <c r="C8" i="21"/>
  <c r="E779" i="33"/>
  <c r="E924" i="33"/>
  <c r="E697" i="33"/>
  <c r="E289" i="33"/>
  <c r="E204" i="33"/>
  <c r="E845" i="33"/>
  <c r="E115" i="33"/>
  <c r="E40" i="33"/>
  <c r="E454" i="33"/>
  <c r="E373" i="33"/>
  <c r="E617" i="33"/>
  <c r="E538" i="33"/>
  <c r="E699" i="33"/>
  <c r="E619" i="33"/>
  <c r="E42" i="33"/>
  <c r="E781" i="33"/>
  <c r="E375" i="33"/>
  <c r="E926" i="33"/>
  <c r="E456" i="33"/>
  <c r="E117" i="33"/>
  <c r="E291" i="33"/>
  <c r="E847" i="33"/>
  <c r="E206" i="33"/>
  <c r="E540" i="33"/>
  <c r="E927" i="33"/>
  <c r="E544" i="33"/>
  <c r="E460" i="33"/>
  <c r="E376" i="33"/>
  <c r="E851" i="33"/>
  <c r="E620" i="33"/>
  <c r="E379" i="33"/>
  <c r="E785" i="33"/>
  <c r="E43" i="33"/>
  <c r="E930" i="33"/>
  <c r="E703" i="33"/>
  <c r="E623" i="33"/>
  <c r="E295" i="33"/>
  <c r="E782" i="33"/>
  <c r="E700" i="33"/>
  <c r="E541" i="33"/>
  <c r="E292" i="33"/>
  <c r="E207" i="33"/>
  <c r="E46" i="33"/>
  <c r="E848" i="33"/>
  <c r="E210" i="33"/>
  <c r="E121" i="33"/>
  <c r="H135" i="29"/>
  <c r="H131" i="29"/>
  <c r="H128" i="29"/>
  <c r="H124" i="29"/>
  <c r="H121" i="29"/>
  <c r="H118" i="29"/>
  <c r="H113" i="29"/>
  <c r="H110" i="29"/>
  <c r="H107" i="29"/>
  <c r="H102" i="29"/>
  <c r="H99" i="29"/>
  <c r="H96" i="29"/>
  <c r="H92" i="29"/>
  <c r="H89" i="29"/>
  <c r="H85" i="29"/>
  <c r="H81" i="29"/>
  <c r="H78" i="29"/>
  <c r="H75" i="29"/>
  <c r="H69" i="29"/>
  <c r="H65" i="29"/>
  <c r="H62" i="29"/>
  <c r="H58" i="29"/>
  <c r="H55" i="29"/>
  <c r="H52" i="29"/>
  <c r="H48" i="29"/>
  <c r="H45" i="29"/>
  <c r="H41" i="29"/>
  <c r="H36" i="29"/>
  <c r="H32" i="29"/>
  <c r="H29" i="29"/>
  <c r="H25" i="29"/>
  <c r="H22" i="29"/>
  <c r="H18" i="29"/>
  <c r="H14" i="29"/>
  <c r="H11" i="29"/>
  <c r="H7" i="29"/>
  <c r="E457" i="33"/>
  <c r="E118" i="33"/>
  <c r="C8" i="35" a="1"/>
  <c r="F13" i="27"/>
  <c r="F15" i="27"/>
  <c r="F14" i="27"/>
  <c r="F12" i="27"/>
  <c r="F16" i="27"/>
  <c r="F8" i="27"/>
  <c r="F9" i="27"/>
  <c r="F7" i="27"/>
  <c r="F11" i="27"/>
  <c r="F10" i="27"/>
  <c r="E9" i="27" a="1"/>
  <c r="E7" i="27" a="1"/>
  <c r="E8" i="27" a="1"/>
  <c r="E10" i="27" a="1"/>
  <c r="E11" i="27" a="1"/>
  <c r="E12" i="27" a="1"/>
  <c r="E13" i="27" a="1"/>
  <c r="E15" i="27" a="1"/>
  <c r="E16" i="27" a="1"/>
  <c r="E14" i="27" a="1"/>
  <c r="Q1506" i="28"/>
  <c r="Q1505" i="28"/>
  <c r="Q1504" i="28"/>
  <c r="Q1503" i="28"/>
  <c r="Q1502" i="28"/>
  <c r="Q1501" i="28"/>
  <c r="Q1498" i="28"/>
  <c r="Q1495" i="28"/>
  <c r="Q1494" i="28"/>
  <c r="Q1492" i="28"/>
  <c r="Q1491" i="28"/>
  <c r="Q1490" i="28"/>
  <c r="Q1489" i="28"/>
  <c r="Q1485" i="28"/>
  <c r="Q1484" i="28"/>
  <c r="Q1483" i="28"/>
  <c r="Q1482" i="28"/>
  <c r="Q1481" i="28"/>
  <c r="Q1480" i="28"/>
  <c r="Q1479" i="28"/>
  <c r="Q1478" i="28"/>
  <c r="Q1477" i="28"/>
  <c r="Q1476" i="28"/>
  <c r="Q1475" i="28"/>
  <c r="Q1474" i="28"/>
  <c r="Q1473" i="28"/>
  <c r="Q1472" i="28"/>
  <c r="Q1471" i="28"/>
  <c r="Q1469" i="28"/>
  <c r="Q1468" i="28"/>
  <c r="Q1466" i="28"/>
  <c r="Q1459" i="28"/>
  <c r="Q1458" i="28"/>
  <c r="Q1457" i="28"/>
  <c r="Q1455" i="28"/>
  <c r="Q1451" i="28"/>
  <c r="Q1446" i="28"/>
  <c r="Q1444" i="28"/>
  <c r="Q1437" i="28"/>
  <c r="Q1436" i="28"/>
  <c r="Q1435" i="28"/>
  <c r="Q1434" i="28"/>
  <c r="Q1433" i="28"/>
  <c r="Q1432" i="28"/>
  <c r="Q1431" i="28"/>
  <c r="Q1430" i="28"/>
  <c r="Q1429" i="28"/>
  <c r="Q1428" i="28"/>
  <c r="Q1427" i="28"/>
  <c r="Q1423" i="28"/>
  <c r="Q1416" i="28"/>
  <c r="Q1415" i="28"/>
  <c r="Q1414" i="28"/>
  <c r="Q1413" i="28"/>
  <c r="Q1412" i="28"/>
  <c r="Q1411" i="28"/>
  <c r="Q1410" i="28"/>
  <c r="Q1409" i="28"/>
  <c r="Q1408" i="28"/>
  <c r="Q1407" i="28"/>
  <c r="Q1405" i="28"/>
  <c r="Q1404" i="28"/>
  <c r="Q1399" i="28"/>
  <c r="Q1398" i="28"/>
  <c r="Q1397" i="28"/>
  <c r="Q1396" i="28"/>
  <c r="Q1395" i="28"/>
  <c r="Q1394" i="28"/>
  <c r="Q1392" i="28"/>
  <c r="Q1391" i="28"/>
  <c r="Q1390" i="28"/>
  <c r="Q1389" i="28"/>
  <c r="Q1388" i="28"/>
  <c r="Q1387" i="28"/>
  <c r="Q1386" i="28"/>
  <c r="Q1385" i="28"/>
  <c r="Q1384" i="28"/>
  <c r="Q1383" i="28"/>
  <c r="Q1382" i="28"/>
  <c r="Q1373" i="28"/>
  <c r="Q1372" i="28"/>
  <c r="Q1371" i="28"/>
  <c r="Q1370" i="28"/>
  <c r="Q1369" i="28"/>
  <c r="Q1368" i="28"/>
  <c r="Q1367" i="28"/>
  <c r="Q1366" i="28"/>
  <c r="Q1365" i="28"/>
  <c r="Q1364" i="28"/>
  <c r="Q1363" i="28"/>
  <c r="Q1361" i="28"/>
  <c r="Q1360" i="28"/>
  <c r="Q1359" i="28"/>
  <c r="Q1358" i="28"/>
  <c r="Q1357" i="28"/>
  <c r="Q1356" i="28"/>
  <c r="Q1355" i="28"/>
  <c r="Q1353" i="28"/>
  <c r="Q1352" i="28"/>
  <c r="Q1351" i="28"/>
  <c r="Q1347" i="28"/>
  <c r="Q1346" i="28"/>
  <c r="Q1345" i="28"/>
  <c r="Q1344" i="28"/>
  <c r="Q1342" i="28"/>
  <c r="Q1341" i="28"/>
  <c r="Q1340" i="28"/>
  <c r="Q1336" i="28"/>
  <c r="Q1335" i="28"/>
  <c r="Q1334" i="28"/>
  <c r="Q1333" i="28"/>
  <c r="Q1332" i="28"/>
  <c r="Q1331" i="28"/>
  <c r="Q1330" i="28"/>
  <c r="Q1329" i="28"/>
  <c r="Q1325" i="28"/>
  <c r="Q1324" i="28"/>
  <c r="Q1323" i="28"/>
  <c r="Q1322" i="28"/>
  <c r="Q1320" i="28"/>
  <c r="Q1319" i="28"/>
  <c r="Q1318" i="28"/>
  <c r="Q1315" i="28"/>
  <c r="Q1314" i="28"/>
  <c r="Q1313" i="28"/>
  <c r="Q1312" i="28"/>
  <c r="Q1311" i="28"/>
  <c r="Q1310" i="28"/>
  <c r="Q1309" i="28"/>
  <c r="Q1308" i="28"/>
  <c r="Q1307" i="28"/>
  <c r="Q1305" i="28"/>
  <c r="Q1304" i="28"/>
  <c r="Q1303" i="28"/>
  <c r="Q1302" i="28"/>
  <c r="Q1301" i="28"/>
  <c r="Q1300" i="28"/>
  <c r="Q1299" i="28"/>
  <c r="Q1298" i="28"/>
  <c r="Q1297" i="28"/>
  <c r="Q1296" i="28"/>
  <c r="Q1295" i="28"/>
  <c r="Q1294" i="28"/>
  <c r="Q1293" i="28"/>
  <c r="Q1292" i="28"/>
  <c r="Q1291" i="28"/>
  <c r="Q1289" i="28"/>
  <c r="Q1288" i="28"/>
  <c r="Q1286" i="28"/>
  <c r="Q1283" i="28"/>
  <c r="Q1282" i="28"/>
  <c r="Q1276" i="28"/>
  <c r="Q1275" i="28"/>
  <c r="Q1270" i="28"/>
  <c r="Q1268" i="28"/>
  <c r="Q1266" i="28"/>
  <c r="Q1265" i="28"/>
  <c r="Q1264" i="28"/>
  <c r="Q1263" i="28"/>
  <c r="Q1261" i="28"/>
  <c r="Q1259" i="28"/>
  <c r="Q1258" i="28"/>
  <c r="Q1256" i="28"/>
  <c r="Q1253" i="28"/>
  <c r="Q1252" i="28"/>
  <c r="Q1251" i="28"/>
  <c r="Q1248" i="28"/>
  <c r="Q1247" i="28"/>
  <c r="Q1246" i="28"/>
  <c r="Q1245" i="28"/>
  <c r="Q1244" i="28"/>
  <c r="Q1243" i="28"/>
  <c r="Q1242" i="28"/>
  <c r="Q1241" i="28"/>
  <c r="Q1240" i="28"/>
  <c r="Q1236" i="28"/>
  <c r="Q1235" i="28"/>
  <c r="Q1234" i="28"/>
  <c r="Q1233" i="28"/>
  <c r="Q1230" i="28"/>
  <c r="Q1229" i="28"/>
  <c r="Q1228" i="28"/>
  <c r="Q1227" i="28"/>
  <c r="Q1226" i="28"/>
  <c r="Q1225" i="28"/>
  <c r="Q1224" i="28"/>
  <c r="Q1223" i="28"/>
  <c r="Q1222" i="28"/>
  <c r="Q1221" i="28"/>
  <c r="Q1220" i="28"/>
  <c r="Q1219" i="28"/>
  <c r="Q1218" i="28"/>
  <c r="Q1217" i="28"/>
  <c r="Q1216" i="28"/>
  <c r="Q1209" i="28"/>
  <c r="Q1208" i="28"/>
  <c r="Q1206" i="28"/>
  <c r="Q1205" i="28"/>
  <c r="Q1204" i="28"/>
  <c r="Q1203" i="28"/>
  <c r="Q1202" i="28"/>
  <c r="Q1201" i="28"/>
  <c r="Q1200" i="28"/>
  <c r="Q1198" i="28"/>
  <c r="Q1197" i="28"/>
  <c r="Q1196" i="28"/>
  <c r="Q1192" i="28"/>
  <c r="Q1191" i="28"/>
  <c r="Q1185" i="28"/>
  <c r="Q1181" i="28"/>
  <c r="Q1180" i="28"/>
  <c r="Q1179" i="28"/>
  <c r="Q1178" i="28"/>
  <c r="Q1177" i="28"/>
  <c r="Q1176" i="28"/>
  <c r="Q1174" i="28"/>
  <c r="Q1173" i="28"/>
  <c r="Q1172" i="28"/>
  <c r="Q1171" i="28"/>
  <c r="Q1167" i="28"/>
  <c r="Q1166" i="28"/>
  <c r="Q1164" i="28"/>
  <c r="Q1163" i="28"/>
  <c r="Q1158" i="28"/>
  <c r="Q1157" i="28"/>
  <c r="Q1156" i="28"/>
  <c r="Q1155" i="28"/>
  <c r="Q1154" i="28"/>
  <c r="Q1153" i="28"/>
  <c r="Q1152" i="28"/>
  <c r="Q1151" i="28"/>
  <c r="Q1150" i="28"/>
  <c r="Q1148" i="28"/>
  <c r="Q1147" i="28"/>
  <c r="Q1145" i="28"/>
  <c r="Q1143" i="28"/>
  <c r="Q1141" i="28"/>
  <c r="Q1140" i="28"/>
  <c r="Q1139" i="28"/>
  <c r="Q1135" i="28"/>
  <c r="Q1134" i="28"/>
  <c r="Q1133" i="28"/>
  <c r="Q1132" i="28"/>
  <c r="Q1128" i="28"/>
  <c r="Q1127" i="28"/>
  <c r="Q1126" i="28"/>
  <c r="Q1125" i="28"/>
  <c r="Q1122" i="28"/>
  <c r="Q1121" i="28"/>
  <c r="Q1120" i="28"/>
  <c r="Q1119" i="28"/>
  <c r="Q1117" i="28"/>
  <c r="Q1116" i="28"/>
  <c r="Q1113" i="28"/>
  <c r="Q1109" i="28"/>
  <c r="Q1108" i="28"/>
  <c r="Q1106" i="28"/>
  <c r="Q1105" i="28"/>
  <c r="Q1104" i="28"/>
  <c r="Q1103" i="28"/>
  <c r="Q1101" i="28"/>
  <c r="Q1100" i="28"/>
  <c r="Q1099" i="28"/>
  <c r="Q1098" i="28"/>
  <c r="Q1097" i="28"/>
  <c r="Q1096" i="28"/>
  <c r="Q1091" i="28"/>
  <c r="Q1090" i="28"/>
  <c r="Q1089" i="28"/>
  <c r="Q1088" i="28"/>
  <c r="Q1087" i="28"/>
  <c r="Q1086" i="28"/>
  <c r="Q1085" i="28"/>
  <c r="Q1084" i="28"/>
  <c r="Q1083" i="28"/>
  <c r="Q1082" i="28"/>
  <c r="Q1081" i="28"/>
  <c r="Q1080" i="28"/>
  <c r="Q1079" i="28"/>
  <c r="Q1078" i="28"/>
  <c r="Q1077" i="28"/>
  <c r="Q1076" i="28"/>
  <c r="Q1075" i="28"/>
  <c r="Q1074" i="28"/>
  <c r="Q1073" i="28"/>
  <c r="Q1072" i="28"/>
  <c r="Q1067" i="28"/>
  <c r="Q1065" i="28"/>
  <c r="Q1063" i="28"/>
  <c r="Q1061" i="28"/>
  <c r="Q1060" i="28"/>
  <c r="Q1059" i="28"/>
  <c r="Q1056" i="28"/>
  <c r="Q1055" i="28"/>
  <c r="Q1046" i="28"/>
  <c r="Q1045" i="28"/>
  <c r="Q1044" i="28"/>
  <c r="Q1041" i="28"/>
  <c r="Q1040" i="28"/>
  <c r="Q1039" i="28"/>
  <c r="Q1035" i="28"/>
  <c r="Q1034" i="28"/>
  <c r="Q1033" i="28"/>
  <c r="Q1032" i="28"/>
  <c r="Q1031" i="28"/>
  <c r="Q1029" i="28"/>
  <c r="Q1025" i="28"/>
  <c r="Q1023" i="28"/>
  <c r="Q1020" i="28"/>
  <c r="Q1015" i="28"/>
  <c r="Q1014" i="28"/>
  <c r="Q1010" i="28"/>
  <c r="Q1008" i="28"/>
  <c r="Q1007" i="28"/>
  <c r="Q1006" i="28"/>
  <c r="Q1005" i="28"/>
  <c r="Q1004" i="28"/>
  <c r="Q998" i="28"/>
  <c r="Q997" i="28"/>
  <c r="Q995" i="28"/>
  <c r="Q994" i="28"/>
  <c r="Q993" i="28"/>
  <c r="Q991" i="28"/>
  <c r="Q990" i="28"/>
  <c r="Q988" i="28"/>
  <c r="Q984" i="28"/>
  <c r="Q983" i="28"/>
  <c r="Q982" i="28"/>
  <c r="Q981" i="28"/>
  <c r="Q980" i="28"/>
  <c r="Q979" i="28"/>
  <c r="Q978" i="28"/>
  <c r="Q977" i="28"/>
  <c r="Q976" i="28"/>
  <c r="Q975" i="28"/>
  <c r="Q972" i="28"/>
  <c r="Q965" i="28"/>
  <c r="Q964" i="28"/>
  <c r="Q963" i="28"/>
  <c r="Q961" i="28"/>
  <c r="Q960" i="28"/>
  <c r="Q959" i="28"/>
  <c r="Q958" i="28"/>
  <c r="Q956" i="28"/>
  <c r="Q955" i="28"/>
  <c r="Q954" i="28"/>
  <c r="Q952" i="28"/>
  <c r="Q951" i="28"/>
  <c r="Q950" i="28"/>
  <c r="Q949" i="28"/>
  <c r="Q948" i="28"/>
  <c r="Q947" i="28"/>
  <c r="Q946" i="28"/>
  <c r="Q945" i="28"/>
  <c r="Q944" i="28"/>
  <c r="Q943" i="28"/>
  <c r="Q942" i="28"/>
  <c r="Q941" i="28"/>
  <c r="Q940" i="28"/>
  <c r="Q935" i="28"/>
  <c r="Q934" i="28"/>
  <c r="Q933" i="28"/>
  <c r="Q930" i="28"/>
  <c r="Q929" i="28"/>
  <c r="Q928" i="28"/>
  <c r="Q925" i="28"/>
  <c r="Q921" i="28"/>
  <c r="Q920" i="28"/>
  <c r="Q919" i="28"/>
  <c r="Q918" i="28"/>
  <c r="Q917" i="28"/>
  <c r="Q916" i="28"/>
  <c r="Q915" i="28"/>
  <c r="Q913" i="28"/>
  <c r="Q912" i="28"/>
  <c r="Q910" i="28"/>
  <c r="Q909" i="28"/>
  <c r="Q908" i="28"/>
  <c r="Q907" i="28"/>
  <c r="Q906" i="28"/>
  <c r="Q904" i="28"/>
  <c r="Q903" i="28"/>
  <c r="Q902" i="28"/>
  <c r="Q901" i="28"/>
  <c r="Q898" i="28"/>
  <c r="Q897" i="28"/>
  <c r="Q894" i="28"/>
  <c r="Q893" i="28"/>
  <c r="Q891" i="28"/>
  <c r="Q890" i="28"/>
  <c r="Q889" i="28"/>
  <c r="Q888" i="28"/>
  <c r="Q887" i="28"/>
  <c r="Q886" i="28"/>
  <c r="Q882" i="28"/>
  <c r="Q881" i="28"/>
  <c r="Q880" i="28"/>
  <c r="Q879" i="28"/>
  <c r="Q878" i="28"/>
  <c r="Q876" i="28"/>
  <c r="Q875" i="28"/>
  <c r="Q874" i="28"/>
  <c r="Q873" i="28"/>
  <c r="Q870" i="28"/>
  <c r="Q865" i="28"/>
  <c r="Q864" i="28"/>
  <c r="Q863" i="28"/>
  <c r="Q862" i="28"/>
  <c r="Q861" i="28"/>
  <c r="Q860" i="28"/>
  <c r="Q859" i="28"/>
  <c r="Q858" i="28"/>
  <c r="Q856" i="28"/>
  <c r="Q855" i="28"/>
  <c r="Q854" i="28"/>
  <c r="Q853" i="28"/>
  <c r="Q852" i="28"/>
  <c r="Q851" i="28"/>
  <c r="Q848" i="28"/>
  <c r="Q847" i="28"/>
  <c r="Q846" i="28"/>
  <c r="Q843" i="28"/>
  <c r="Q841" i="28"/>
  <c r="Q839" i="28"/>
  <c r="Q838" i="28"/>
  <c r="Q837" i="28"/>
  <c r="Q836" i="28"/>
  <c r="Q833" i="28"/>
  <c r="Q831" i="28"/>
  <c r="Q830" i="28"/>
  <c r="Q829" i="28"/>
  <c r="Q827" i="28"/>
  <c r="Q826" i="28"/>
  <c r="Q825" i="28"/>
  <c r="Q824" i="28"/>
  <c r="Q823" i="28"/>
  <c r="Q821" i="28"/>
  <c r="Q819" i="28"/>
  <c r="Q818" i="28"/>
  <c r="Q817" i="28"/>
  <c r="Q816" i="28"/>
  <c r="Q815" i="28"/>
  <c r="Q814" i="28"/>
  <c r="Q810" i="28"/>
  <c r="Q809" i="28"/>
  <c r="Q808" i="28"/>
  <c r="Q807" i="28"/>
  <c r="Q806" i="28"/>
  <c r="Q805" i="28"/>
  <c r="Q804" i="28"/>
  <c r="Q799" i="28"/>
  <c r="Q798" i="28"/>
  <c r="Q797" i="28"/>
  <c r="Q796" i="28"/>
  <c r="Q795" i="28"/>
  <c r="Q791" i="28"/>
  <c r="Q789" i="28"/>
  <c r="Q788" i="28"/>
  <c r="Q787" i="28"/>
  <c r="Q786" i="28"/>
  <c r="Q785" i="28"/>
  <c r="Q784" i="28"/>
  <c r="Q783" i="28"/>
  <c r="Q781" i="28"/>
  <c r="Q780" i="28"/>
  <c r="Q779" i="28"/>
  <c r="Q776" i="28"/>
  <c r="Q775" i="28"/>
  <c r="Q774" i="28"/>
  <c r="Q773" i="28"/>
  <c r="Q772" i="28"/>
  <c r="Q771" i="28"/>
  <c r="Q768" i="28"/>
  <c r="Q767" i="28"/>
  <c r="Q766" i="28"/>
  <c r="Q765" i="28"/>
  <c r="Q764" i="28"/>
  <c r="Q763" i="28"/>
  <c r="Q762" i="28"/>
  <c r="Q761" i="28"/>
  <c r="Q760" i="28"/>
  <c r="Q759" i="28"/>
  <c r="Q758" i="28"/>
  <c r="Q757" i="28"/>
  <c r="Q756" i="28"/>
  <c r="Q755" i="28"/>
  <c r="Q754" i="28"/>
  <c r="Q753" i="28"/>
  <c r="Q752" i="28"/>
  <c r="Q751" i="28"/>
  <c r="Q750" i="28"/>
  <c r="Q748" i="28"/>
  <c r="Q747" i="28"/>
  <c r="Q746" i="28"/>
  <c r="Q743" i="28"/>
  <c r="Q742" i="28"/>
  <c r="Q741" i="28"/>
  <c r="Q740" i="28"/>
  <c r="Q738" i="28"/>
  <c r="Q734" i="28"/>
  <c r="Q733" i="28"/>
  <c r="Q731" i="28"/>
  <c r="Q730" i="28"/>
  <c r="Q729" i="28"/>
  <c r="Q728" i="28"/>
  <c r="Q727" i="28"/>
  <c r="Q726" i="28"/>
  <c r="Q725" i="28"/>
  <c r="Q722" i="28"/>
  <c r="Q721" i="28"/>
  <c r="Q720" i="28"/>
  <c r="Q718" i="28"/>
  <c r="Q716" i="28"/>
  <c r="Q714" i="28"/>
  <c r="Q713" i="28"/>
  <c r="Q712" i="28"/>
  <c r="Q711" i="28"/>
  <c r="Q710" i="28"/>
  <c r="Q708" i="28"/>
  <c r="Q705" i="28"/>
  <c r="Q698" i="28"/>
  <c r="Q697" i="28"/>
  <c r="Q696" i="28"/>
  <c r="Q695" i="28"/>
  <c r="Q691" i="28"/>
  <c r="Q690" i="28"/>
  <c r="Q689" i="28"/>
  <c r="Q688" i="28"/>
  <c r="Q687" i="28"/>
  <c r="Q686" i="28"/>
  <c r="Q685" i="28"/>
  <c r="Q684" i="28"/>
  <c r="Q682" i="28"/>
  <c r="Q681" i="28"/>
  <c r="Q680" i="28"/>
  <c r="Q679" i="28"/>
  <c r="Q678" i="28"/>
  <c r="Q674" i="28"/>
  <c r="Q673" i="28"/>
  <c r="Q672" i="28"/>
  <c r="Q671" i="28"/>
  <c r="Q670" i="28"/>
  <c r="Q669" i="28"/>
  <c r="Q667" i="28"/>
  <c r="Q666" i="28"/>
  <c r="Q665" i="28"/>
  <c r="Q664" i="28"/>
  <c r="Q663" i="28"/>
  <c r="Q662" i="28"/>
  <c r="Q661" i="28"/>
  <c r="Q660" i="28"/>
  <c r="Q659" i="28"/>
  <c r="Q658" i="28"/>
  <c r="Q656" i="28"/>
  <c r="Q653" i="28"/>
  <c r="Q652" i="28"/>
  <c r="Q651" i="28"/>
  <c r="Q650" i="28"/>
  <c r="Q649" i="28"/>
  <c r="Q648" i="28"/>
  <c r="Q645" i="28"/>
  <c r="Q644" i="28"/>
  <c r="Q643" i="28"/>
  <c r="Q640" i="28"/>
  <c r="Q639" i="28"/>
  <c r="Q638" i="28"/>
  <c r="Q637" i="28"/>
  <c r="Q634" i="28"/>
  <c r="Q633" i="28"/>
  <c r="Q632" i="28"/>
  <c r="Q631" i="28"/>
  <c r="Q630" i="28"/>
  <c r="Q629" i="28"/>
  <c r="Q628" i="28"/>
  <c r="Q627" i="28"/>
  <c r="Q626" i="28"/>
  <c r="Q625" i="28"/>
  <c r="Q624" i="28"/>
  <c r="Q623" i="28"/>
  <c r="Q622" i="28"/>
  <c r="Q621" i="28"/>
  <c r="Q620" i="28"/>
  <c r="Q619" i="28"/>
  <c r="Q618" i="28"/>
  <c r="Q617" i="28"/>
  <c r="Q615" i="28"/>
  <c r="Q613" i="28"/>
  <c r="Q612" i="28"/>
  <c r="Q609" i="28"/>
  <c r="Q608" i="28"/>
  <c r="Q607" i="28"/>
  <c r="Q606" i="28"/>
  <c r="Q605" i="28"/>
  <c r="Q604" i="28"/>
  <c r="Q603" i="28"/>
  <c r="Q599" i="28"/>
  <c r="Q598" i="28"/>
  <c r="Q597" i="28"/>
  <c r="Q596" i="28"/>
  <c r="Q595" i="28"/>
  <c r="Q594" i="28"/>
  <c r="Q593" i="28"/>
  <c r="Q591" i="28"/>
  <c r="Q590" i="28"/>
  <c r="Q589" i="28"/>
  <c r="Q588" i="28"/>
  <c r="Q586" i="28"/>
  <c r="Q585" i="28"/>
  <c r="Q584" i="28"/>
  <c r="Q583" i="28"/>
  <c r="Q581" i="28"/>
  <c r="Q580" i="28"/>
  <c r="Q579" i="28"/>
  <c r="Q572" i="28"/>
  <c r="Q571" i="28"/>
  <c r="Q570" i="28"/>
  <c r="Q569" i="28"/>
  <c r="Q568" i="28"/>
  <c r="Q567" i="28"/>
  <c r="Q564" i="28"/>
  <c r="Q563" i="28"/>
  <c r="Q562" i="28"/>
  <c r="Q561" i="28"/>
  <c r="Q560" i="28"/>
  <c r="Q559" i="28"/>
  <c r="Q558" i="28"/>
  <c r="Q557" i="28"/>
  <c r="Q556" i="28"/>
  <c r="Q555" i="28"/>
  <c r="Q554" i="28"/>
  <c r="Q549" i="28"/>
  <c r="Q548" i="28"/>
  <c r="Q547" i="28"/>
  <c r="Q546" i="28"/>
  <c r="Q544" i="28"/>
  <c r="Q543" i="28"/>
  <c r="Q539" i="28"/>
  <c r="Q538" i="28"/>
  <c r="Q537" i="28"/>
  <c r="Q536" i="28"/>
  <c r="Q535" i="28"/>
  <c r="Q534" i="28"/>
  <c r="Q533" i="28"/>
  <c r="Q532" i="28"/>
  <c r="Q531" i="28"/>
  <c r="Q530" i="28"/>
  <c r="Q529" i="28"/>
  <c r="Q528" i="28"/>
  <c r="Q527" i="28"/>
  <c r="Q526" i="28"/>
  <c r="Q525" i="28"/>
  <c r="Q524" i="28"/>
  <c r="Q523" i="28"/>
  <c r="Q521" i="28"/>
  <c r="Q520" i="28"/>
  <c r="Q515" i="28"/>
  <c r="Q514" i="28"/>
  <c r="Q513" i="28"/>
  <c r="Q512" i="28"/>
  <c r="Q511" i="28"/>
  <c r="Q510" i="28"/>
  <c r="Q509" i="28"/>
  <c r="Q508" i="28"/>
  <c r="Q507" i="28"/>
  <c r="Q505" i="28"/>
  <c r="Q502" i="28"/>
  <c r="Q499" i="28"/>
  <c r="Q498" i="28"/>
  <c r="Q497" i="28"/>
  <c r="Q496" i="28"/>
  <c r="Q495" i="28"/>
  <c r="Q494" i="28"/>
  <c r="Q491" i="28"/>
  <c r="Q490" i="28"/>
  <c r="Q489" i="28"/>
  <c r="Q488" i="28"/>
  <c r="Q487" i="28"/>
  <c r="Q486" i="28"/>
  <c r="Q485" i="28"/>
  <c r="Q483" i="28"/>
  <c r="Q482" i="28"/>
  <c r="Q481" i="28"/>
  <c r="Q480" i="28"/>
  <c r="Q479" i="28"/>
  <c r="Q478" i="28"/>
  <c r="Q477" i="28"/>
  <c r="Q476" i="28"/>
  <c r="Q475" i="28"/>
  <c r="Q471" i="28"/>
  <c r="Q470" i="28"/>
  <c r="Q469" i="28"/>
  <c r="Q468" i="28"/>
  <c r="Q466" i="28"/>
  <c r="Q465" i="28"/>
  <c r="Q464" i="28"/>
  <c r="Q463" i="28"/>
  <c r="Q462" i="28"/>
  <c r="Q461" i="28"/>
  <c r="Q460" i="28"/>
  <c r="Q459" i="28"/>
  <c r="Q458" i="28"/>
  <c r="Q457" i="28"/>
  <c r="Q456" i="28"/>
  <c r="Q453" i="28"/>
  <c r="Q451" i="28"/>
  <c r="Q447" i="28"/>
  <c r="Q445" i="28"/>
  <c r="Q444" i="28"/>
  <c r="Q443" i="28"/>
  <c r="Q442" i="28"/>
  <c r="Q438" i="28"/>
  <c r="Q435" i="28"/>
  <c r="Q434" i="28"/>
  <c r="Q433" i="28"/>
  <c r="Q432" i="28"/>
  <c r="Q431" i="28"/>
  <c r="Q430" i="28"/>
  <c r="Q429" i="28"/>
  <c r="Q427" i="28"/>
  <c r="Q426" i="28"/>
  <c r="Q420" i="28"/>
  <c r="Q418" i="28"/>
  <c r="Q417" i="28"/>
  <c r="Q414" i="28"/>
  <c r="Q412" i="28"/>
  <c r="Q411" i="28"/>
  <c r="Q409" i="28"/>
  <c r="Q408" i="28"/>
  <c r="Q407" i="28"/>
  <c r="Q406" i="28"/>
  <c r="Q405" i="28"/>
  <c r="Q402" i="28"/>
  <c r="Q401" i="28"/>
  <c r="Q400" i="28"/>
  <c r="Q399" i="28"/>
  <c r="Q398" i="28"/>
  <c r="Q397" i="28"/>
  <c r="Q396" i="28"/>
  <c r="Q395" i="28"/>
  <c r="Q394" i="28"/>
  <c r="Q393" i="28"/>
  <c r="Q392" i="28"/>
  <c r="Q391" i="28"/>
  <c r="Q390" i="28"/>
  <c r="Q389" i="28"/>
  <c r="Q388" i="28"/>
  <c r="Q385" i="28"/>
  <c r="Q384" i="28"/>
  <c r="Q383" i="28"/>
  <c r="Q382" i="28"/>
  <c r="Q381" i="28"/>
  <c r="Q380" i="28"/>
  <c r="Q379" i="28"/>
  <c r="Q378" i="28"/>
  <c r="Q375" i="28"/>
  <c r="Q374" i="28"/>
  <c r="Q373" i="28"/>
  <c r="Q372" i="28"/>
  <c r="Q371" i="28"/>
  <c r="Q368" i="28"/>
  <c r="Q367" i="28"/>
  <c r="Q366" i="28"/>
  <c r="Q365" i="28"/>
  <c r="Q364" i="28"/>
  <c r="Q363" i="28"/>
  <c r="Q362" i="28"/>
  <c r="Q359" i="28"/>
  <c r="Q358" i="28"/>
  <c r="Q356" i="28"/>
  <c r="Q355" i="28"/>
  <c r="Q354" i="28"/>
  <c r="Q353" i="28"/>
  <c r="Q349" i="28"/>
  <c r="Q348" i="28"/>
  <c r="Q347" i="28"/>
  <c r="Q346" i="28"/>
  <c r="Q345" i="28"/>
  <c r="Q343" i="28"/>
  <c r="Q342" i="28"/>
  <c r="Q341" i="28"/>
  <c r="Q340" i="28"/>
  <c r="Q337" i="28"/>
  <c r="Q336" i="28"/>
  <c r="Q335" i="28"/>
  <c r="Q334" i="28"/>
  <c r="Q333" i="28"/>
  <c r="Q332" i="28"/>
  <c r="Q331" i="28"/>
  <c r="Q330" i="28"/>
  <c r="Q329" i="28"/>
  <c r="Q324" i="28"/>
  <c r="Q323" i="28"/>
  <c r="Q320" i="28"/>
  <c r="Q319" i="28"/>
  <c r="Q318" i="28"/>
  <c r="Q315" i="28"/>
  <c r="Q314" i="28"/>
  <c r="Q312" i="28"/>
  <c r="Q311" i="28"/>
  <c r="Q310" i="28"/>
  <c r="Q309" i="28"/>
  <c r="Q308" i="28"/>
  <c r="Q306" i="28"/>
  <c r="Q305" i="28"/>
  <c r="Q302" i="28"/>
  <c r="Q301" i="28"/>
  <c r="Q300" i="28"/>
  <c r="Q299" i="28"/>
  <c r="Q298" i="28"/>
  <c r="Q296" i="28"/>
  <c r="Q295" i="28"/>
  <c r="Q292" i="28"/>
  <c r="Q291" i="28"/>
  <c r="Q290" i="28"/>
  <c r="Q289" i="28"/>
  <c r="Q288" i="28"/>
  <c r="Q287" i="28"/>
  <c r="Q285" i="28"/>
  <c r="Q284" i="28"/>
  <c r="Q283" i="28"/>
  <c r="Q280" i="28"/>
  <c r="Q278" i="28"/>
  <c r="Q277" i="28"/>
  <c r="Q276" i="28"/>
  <c r="Q275" i="28"/>
  <c r="Q274" i="28"/>
  <c r="Q273" i="28"/>
  <c r="Q272" i="28"/>
  <c r="Q271" i="28"/>
  <c r="Q269" i="28"/>
  <c r="Q268" i="28"/>
  <c r="Q267" i="28"/>
  <c r="Q266" i="28"/>
  <c r="Q265" i="28"/>
  <c r="Q264" i="28"/>
  <c r="Q263" i="28"/>
  <c r="Q262" i="28"/>
  <c r="Q261" i="28"/>
  <c r="Q260" i="28"/>
  <c r="Q259" i="28"/>
  <c r="Q258" i="28"/>
  <c r="Q257" i="28"/>
  <c r="Q256" i="28"/>
  <c r="Q255" i="28"/>
  <c r="Q253" i="28"/>
  <c r="Q252" i="28"/>
  <c r="Q251" i="28"/>
  <c r="Q250" i="28"/>
  <c r="Q249" i="28"/>
  <c r="Q248" i="28"/>
  <c r="Q247" i="28"/>
  <c r="Q246" i="28"/>
  <c r="Q245" i="28"/>
  <c r="Q244" i="28"/>
  <c r="Q242" i="28"/>
  <c r="Q241" i="28"/>
  <c r="Q239" i="28"/>
  <c r="Q238" i="28"/>
  <c r="Q237" i="28"/>
  <c r="Q236" i="28"/>
  <c r="Q235" i="28"/>
  <c r="Q233" i="28"/>
  <c r="Q232" i="28"/>
  <c r="Q231" i="28"/>
  <c r="Q230" i="28"/>
  <c r="Q229" i="28"/>
  <c r="Q228" i="28"/>
  <c r="Q222" i="28"/>
  <c r="Q220" i="28"/>
  <c r="Q218" i="28"/>
  <c r="Q217" i="28"/>
  <c r="Q216" i="28"/>
  <c r="Q215" i="28"/>
  <c r="Q214" i="28"/>
  <c r="Q213" i="28"/>
  <c r="Q212" i="28"/>
  <c r="Q211" i="28"/>
  <c r="Q210" i="28"/>
  <c r="Q209" i="28"/>
  <c r="Q208" i="28"/>
  <c r="Q207" i="28"/>
  <c r="Q204" i="28"/>
  <c r="Q202" i="28"/>
  <c r="Q201" i="28"/>
  <c r="Q200" i="28"/>
  <c r="Q199" i="28"/>
  <c r="Q198" i="28"/>
  <c r="Q196" i="28"/>
  <c r="Q193" i="28"/>
  <c r="Q192" i="28"/>
  <c r="Q190" i="28"/>
  <c r="Q189" i="28"/>
  <c r="Q186" i="28"/>
  <c r="Q185" i="28"/>
  <c r="Q184" i="28"/>
  <c r="Q183" i="28"/>
  <c r="Q180" i="28"/>
  <c r="Q179" i="28"/>
  <c r="Q178" i="28"/>
  <c r="Q177" i="28"/>
  <c r="Q175" i="28"/>
  <c r="Q174" i="28"/>
  <c r="Q173" i="28"/>
  <c r="Q172" i="28"/>
  <c r="Q171" i="28"/>
  <c r="Q170" i="28"/>
  <c r="Q169" i="28"/>
  <c r="Q168" i="28"/>
  <c r="Q167" i="28"/>
  <c r="Q166" i="28"/>
  <c r="Q165" i="28"/>
  <c r="Q164" i="28"/>
  <c r="Q163" i="28"/>
  <c r="Q162" i="28"/>
  <c r="Q160" i="28"/>
  <c r="Q159" i="28"/>
  <c r="Q158" i="28"/>
  <c r="Q157" i="28"/>
  <c r="Q155" i="28"/>
  <c r="Q154" i="28"/>
  <c r="Q153" i="28"/>
  <c r="Q150" i="28"/>
  <c r="Q149" i="28"/>
  <c r="Q147" i="28"/>
  <c r="Q144" i="28"/>
  <c r="Q143" i="28"/>
  <c r="Q142" i="28"/>
  <c r="Q141" i="28"/>
  <c r="Q140" i="28"/>
  <c r="Q139" i="28"/>
  <c r="Q135" i="28"/>
  <c r="Q134" i="28"/>
  <c r="Q133" i="28"/>
  <c r="Q132" i="28"/>
  <c r="Q131" i="28"/>
  <c r="Q128" i="28"/>
  <c r="Q127" i="28"/>
  <c r="Q125" i="28"/>
  <c r="Q124" i="28"/>
  <c r="Q123" i="28"/>
  <c r="Q121" i="28"/>
  <c r="Q120" i="28"/>
  <c r="Q119" i="28"/>
  <c r="Q118" i="28"/>
  <c r="Q116" i="28"/>
  <c r="Q115" i="28"/>
  <c r="Q112" i="28"/>
  <c r="Q103" i="28"/>
  <c r="Q100" i="28"/>
  <c r="Q98" i="28"/>
  <c r="Q97" i="28"/>
  <c r="Q96" i="28"/>
  <c r="Q95" i="28"/>
  <c r="Q94" i="28"/>
  <c r="Q92" i="28"/>
  <c r="Q91" i="28"/>
  <c r="Q90" i="28"/>
  <c r="Q89" i="28"/>
  <c r="Q88" i="28"/>
  <c r="Q84" i="28"/>
  <c r="Q83" i="28"/>
  <c r="Q82" i="28"/>
  <c r="Q81" i="28"/>
  <c r="Q80" i="28"/>
  <c r="Q79" i="28"/>
  <c r="Q77" i="28"/>
  <c r="Q76" i="28"/>
  <c r="Q75" i="28"/>
  <c r="Q74" i="28"/>
  <c r="Q73" i="28"/>
  <c r="Q71" i="28"/>
  <c r="Q70" i="28"/>
  <c r="Q69" i="28"/>
  <c r="Q68" i="28"/>
  <c r="Q65" i="28"/>
  <c r="Q64" i="28"/>
  <c r="Q63" i="28"/>
  <c r="Q62" i="28"/>
  <c r="Q59" i="28"/>
  <c r="Q58" i="28"/>
  <c r="Q57" i="28"/>
  <c r="Q56" i="28"/>
  <c r="Q55" i="28"/>
  <c r="Q54" i="28"/>
  <c r="Q53" i="28"/>
  <c r="Q51" i="28"/>
  <c r="Q50" i="28"/>
  <c r="Q49" i="28"/>
  <c r="Q45" i="28"/>
  <c r="Q44" i="28"/>
  <c r="Q42" i="28"/>
  <c r="Q41" i="28"/>
  <c r="Q40" i="28"/>
  <c r="Q39" i="28"/>
  <c r="Q38" i="28"/>
  <c r="Q37" i="28"/>
  <c r="Q36" i="28"/>
  <c r="Q35" i="28"/>
  <c r="Q32" i="28"/>
  <c r="Q29" i="28"/>
  <c r="Q28" i="28"/>
  <c r="Q25" i="28"/>
  <c r="Q24" i="28"/>
  <c r="Q20" i="28"/>
  <c r="Q19" i="28"/>
  <c r="Q18" i="28"/>
  <c r="Q17" i="28"/>
  <c r="Q16" i="28"/>
  <c r="Q15" i="28"/>
  <c r="Q14" i="28"/>
  <c r="Q13" i="28"/>
  <c r="Q12" i="28"/>
  <c r="Q11" i="28"/>
  <c r="Q10" i="28"/>
  <c r="Q9" i="28"/>
  <c r="Q3006" i="28"/>
  <c r="Q3005" i="28"/>
  <c r="Q3004" i="28"/>
  <c r="Q3003" i="28"/>
  <c r="Q3000" i="28"/>
  <c r="Q2999" i="28"/>
  <c r="Q2998" i="28"/>
  <c r="Q2997" i="28"/>
  <c r="Q2996" i="28"/>
  <c r="Q2995" i="28"/>
  <c r="Q2994" i="28"/>
  <c r="Q2991" i="28"/>
  <c r="Q2990" i="28"/>
  <c r="Q2989" i="28"/>
  <c r="Q2985" i="28"/>
  <c r="Q2984" i="28"/>
  <c r="Q2983" i="28"/>
  <c r="Q2982" i="28"/>
  <c r="Q2981" i="28"/>
  <c r="Q2980" i="28"/>
  <c r="Q2979" i="28"/>
  <c r="Q2978" i="28"/>
  <c r="Q2977" i="28"/>
  <c r="Q2976" i="28"/>
  <c r="Q2975" i="28"/>
  <c r="Q2974" i="28"/>
  <c r="Q2972" i="28"/>
  <c r="Q2969" i="28"/>
  <c r="Q2968" i="28"/>
  <c r="Q2967" i="28"/>
  <c r="Q2966" i="28"/>
  <c r="Q2965" i="28"/>
  <c r="Q2964" i="28"/>
  <c r="Q2962" i="28"/>
  <c r="Q2958" i="28"/>
  <c r="Q2956" i="28"/>
  <c r="Q2955" i="28"/>
  <c r="Q2953" i="28"/>
  <c r="Q2952" i="28"/>
  <c r="Q2951" i="28"/>
  <c r="Q2950" i="28"/>
  <c r="Q2947" i="28"/>
  <c r="Q2946" i="28"/>
  <c r="Q2945" i="28"/>
  <c r="Q2944" i="28"/>
  <c r="Q2943" i="28"/>
  <c r="Q2941" i="28"/>
  <c r="Q2938" i="28"/>
  <c r="Q2937" i="28"/>
  <c r="Q2936" i="28"/>
  <c r="Q2934" i="28"/>
  <c r="Q2933" i="28"/>
  <c r="Q2932" i="28"/>
  <c r="Q2931" i="28"/>
  <c r="Q2930" i="28"/>
  <c r="Q2929" i="28"/>
  <c r="Q2928" i="28"/>
  <c r="Q2923" i="28"/>
  <c r="Q2922" i="28"/>
  <c r="Q2921" i="28"/>
  <c r="Q2920" i="28"/>
  <c r="Q2916" i="28"/>
  <c r="Q2915" i="28"/>
  <c r="Q2914" i="28"/>
  <c r="Q2913" i="28"/>
  <c r="Q2912" i="28"/>
  <c r="Q2910" i="28"/>
  <c r="Q2909" i="28"/>
  <c r="Q2907" i="28"/>
  <c r="Q2906" i="28"/>
  <c r="Q2905" i="28"/>
  <c r="Q2904" i="28"/>
  <c r="Q2903" i="28"/>
  <c r="Q2902" i="28"/>
  <c r="Q2901" i="28"/>
  <c r="Q2900" i="28"/>
  <c r="Q2899" i="28"/>
  <c r="Q2897" i="28"/>
  <c r="Q2896" i="28"/>
  <c r="Q2895" i="28"/>
  <c r="Q2894" i="28"/>
  <c r="Q2891" i="28"/>
  <c r="Q2888" i="28"/>
  <c r="Q2887" i="28"/>
  <c r="Q2886" i="28"/>
  <c r="Q2885" i="28"/>
  <c r="Q2883" i="28"/>
  <c r="Q2882" i="28"/>
  <c r="Q2877" i="28"/>
  <c r="Q2876" i="28"/>
  <c r="Q2875" i="28"/>
  <c r="Q2874" i="28"/>
  <c r="Q2873" i="28"/>
  <c r="Q2872" i="28"/>
  <c r="Q2871" i="28"/>
  <c r="Q2870" i="28"/>
  <c r="Q2869" i="28"/>
  <c r="Q2868" i="28"/>
  <c r="Q2866" i="28"/>
  <c r="Q2865" i="28"/>
  <c r="Q2864" i="28"/>
  <c r="Q2863" i="28"/>
  <c r="Q2861" i="28"/>
  <c r="Q2859" i="28"/>
  <c r="Q2857" i="28"/>
  <c r="Q2856" i="28"/>
  <c r="Q2855" i="28"/>
  <c r="Q2854" i="28"/>
  <c r="Q2853" i="28"/>
  <c r="Q2852" i="28"/>
  <c r="Q2851" i="28"/>
  <c r="Q2848" i="28"/>
  <c r="Q2845" i="28"/>
  <c r="Q2844" i="28"/>
  <c r="Q2843" i="28"/>
  <c r="Q2842" i="28"/>
  <c r="Q2841" i="28"/>
  <c r="Q2840" i="28"/>
  <c r="Q2839" i="28"/>
  <c r="Q2838" i="28"/>
  <c r="Q2836" i="28"/>
  <c r="Q2835" i="28"/>
  <c r="Q2833" i="28"/>
  <c r="Q2832" i="28"/>
  <c r="Q2831" i="28"/>
  <c r="Q2828" i="28"/>
  <c r="Q2827" i="28"/>
  <c r="Q2826" i="28"/>
  <c r="Q2825" i="28"/>
  <c r="Q2824" i="28"/>
  <c r="Q2823" i="28"/>
  <c r="Q2822" i="28"/>
  <c r="Q2821" i="28"/>
  <c r="Q2820" i="28"/>
  <c r="Q2819" i="28"/>
  <c r="Q2818" i="28"/>
  <c r="Q2817" i="28"/>
  <c r="Q2815" i="28"/>
  <c r="Q2814" i="28"/>
  <c r="Q2813" i="28"/>
  <c r="Q2810" i="28"/>
  <c r="Q2809" i="28"/>
  <c r="Q2808" i="28"/>
  <c r="Q2805" i="28"/>
  <c r="Q2804" i="28"/>
  <c r="Q2803" i="28"/>
  <c r="Q2802" i="28"/>
  <c r="Q2801" i="28"/>
  <c r="Q2800" i="28"/>
  <c r="Q2799" i="28"/>
  <c r="Q2798" i="28"/>
  <c r="Q2793" i="28"/>
  <c r="Q2792" i="28"/>
  <c r="Q2791" i="28"/>
  <c r="Q2790" i="28"/>
  <c r="Q2789" i="28"/>
  <c r="Q2788" i="28"/>
  <c r="Q2787" i="28"/>
  <c r="Q2784" i="28"/>
  <c r="Q2783" i="28"/>
  <c r="Q2782" i="28"/>
  <c r="Q2781" i="28"/>
  <c r="Q2779" i="28"/>
  <c r="Q2778" i="28"/>
  <c r="Q2776" i="28"/>
  <c r="Q2775" i="28"/>
  <c r="Q2774" i="28"/>
  <c r="Q2773" i="28"/>
  <c r="Q2772" i="28"/>
  <c r="Q2771" i="28"/>
  <c r="Q2770" i="28"/>
  <c r="Q2769" i="28"/>
  <c r="Q2766" i="28"/>
  <c r="Q2765" i="28"/>
  <c r="Q2764" i="28"/>
  <c r="Q2763" i="28"/>
  <c r="Q2762" i="28"/>
  <c r="Q2761" i="28"/>
  <c r="Q2759" i="28"/>
  <c r="Q2758" i="28"/>
  <c r="Q2756" i="28"/>
  <c r="Q2755" i="28"/>
  <c r="Q2754" i="28"/>
  <c r="Q2753" i="28"/>
  <c r="Q2752" i="28"/>
  <c r="Q2747" i="28"/>
  <c r="Q2746" i="28"/>
  <c r="Q2745" i="28"/>
  <c r="Q2744" i="28"/>
  <c r="Q2743" i="28"/>
  <c r="Q2742" i="28"/>
  <c r="Q2741" i="28"/>
  <c r="Q2740" i="28"/>
  <c r="Q2739" i="28"/>
  <c r="Q2735" i="28"/>
  <c r="Q2732" i="28"/>
  <c r="Q2731" i="28"/>
  <c r="Q2730" i="28"/>
  <c r="Q2729" i="28"/>
  <c r="Q2728" i="28"/>
  <c r="Q2727" i="28"/>
  <c r="Q2725" i="28"/>
  <c r="Q2724" i="28"/>
  <c r="Q2723" i="28"/>
  <c r="Q2722" i="28"/>
  <c r="Q2721" i="28"/>
  <c r="Q2720" i="28"/>
  <c r="Q2717" i="28"/>
  <c r="Q2716" i="28"/>
  <c r="Q2715" i="28"/>
  <c r="Q2714" i="28"/>
  <c r="Q2713" i="28"/>
  <c r="Q2712" i="28"/>
  <c r="Q2710" i="28"/>
  <c r="Q2709" i="28"/>
  <c r="Q2708" i="28"/>
  <c r="Q2706" i="28"/>
  <c r="Q2700" i="28"/>
  <c r="Q2699" i="28"/>
  <c r="Q2698" i="28"/>
  <c r="Q2697" i="28"/>
  <c r="Q2696" i="28"/>
  <c r="Q2695" i="28"/>
  <c r="Q2694" i="28"/>
  <c r="Q2693" i="28"/>
  <c r="Q2691" i="28"/>
  <c r="Q2689" i="28"/>
  <c r="Q2688" i="28"/>
  <c r="Q2687" i="28"/>
  <c r="Q2686" i="28"/>
  <c r="Q2685" i="28"/>
  <c r="Q2684" i="28"/>
  <c r="Q2683" i="28"/>
  <c r="Q2682" i="28"/>
  <c r="Q2680" i="28"/>
  <c r="Q2679" i="28"/>
  <c r="Q2677" i="28"/>
  <c r="Q2676" i="28"/>
  <c r="Q2675" i="28"/>
  <c r="Q2674" i="28"/>
  <c r="Q2673" i="28"/>
  <c r="Q2672" i="28"/>
  <c r="Q2670" i="28"/>
  <c r="Q2668" i="28"/>
  <c r="Q2667" i="28"/>
  <c r="Q2666" i="28"/>
  <c r="Q2665" i="28"/>
  <c r="Q2663" i="28"/>
  <c r="Q2662" i="28"/>
  <c r="Q2661" i="28"/>
  <c r="Q2660" i="28"/>
  <c r="Q2657" i="28"/>
  <c r="Q2656" i="28"/>
  <c r="Q2655" i="28"/>
  <c r="Q2654" i="28"/>
  <c r="Q2653" i="28"/>
  <c r="Q2652" i="28"/>
  <c r="Q2649" i="28"/>
  <c r="Q2647" i="28"/>
  <c r="Q2646" i="28"/>
  <c r="Q2645" i="28"/>
  <c r="Q2643" i="28"/>
  <c r="Q2642" i="28"/>
  <c r="Q2641" i="28"/>
  <c r="Q2640" i="28"/>
  <c r="Q2638" i="28"/>
  <c r="Q2635" i="28"/>
  <c r="Q2634" i="28"/>
  <c r="Q2633" i="28"/>
  <c r="Q2631" i="28"/>
  <c r="Q2630" i="28"/>
  <c r="Q2629" i="28"/>
  <c r="Q2628" i="28"/>
  <c r="Q2624" i="28"/>
  <c r="Q2620" i="28"/>
  <c r="Q2619" i="28"/>
  <c r="Q2617" i="28"/>
  <c r="Q2616" i="28"/>
  <c r="Q2614" i="28"/>
  <c r="Q2613" i="28"/>
  <c r="Q2612" i="28"/>
  <c r="Q2611" i="28"/>
  <c r="Q2608" i="28"/>
  <c r="Q2607" i="28"/>
  <c r="Q2606" i="28"/>
  <c r="Q2605" i="28"/>
  <c r="Q2601" i="28"/>
  <c r="Q2600" i="28"/>
  <c r="Q2598" i="28"/>
  <c r="Q2597" i="28"/>
  <c r="Q2596" i="28"/>
  <c r="Q2591" i="28"/>
  <c r="Q2590" i="28"/>
  <c r="Q2586" i="28"/>
  <c r="Q2581" i="28"/>
  <c r="Q2575" i="28"/>
  <c r="Q2574" i="28"/>
  <c r="Q2573" i="28"/>
  <c r="Q2572" i="28"/>
  <c r="Q2571" i="28"/>
  <c r="Q2569" i="28"/>
  <c r="Q2568" i="28"/>
  <c r="Q2567" i="28"/>
  <c r="Q2566" i="28"/>
  <c r="Q2565" i="28"/>
  <c r="Q2564" i="28"/>
  <c r="Q2563" i="28"/>
  <c r="Q2559" i="28"/>
  <c r="Q2558" i="28"/>
  <c r="Q2556" i="28"/>
  <c r="Q2555" i="28"/>
  <c r="Q2554" i="28"/>
  <c r="Q2553" i="28"/>
  <c r="Q2552" i="28"/>
  <c r="Q2550" i="28"/>
  <c r="Q2549" i="28"/>
  <c r="Q2548" i="28"/>
  <c r="Q2545" i="28"/>
  <c r="Q2543" i="28"/>
  <c r="Q2541" i="28"/>
  <c r="Q2540" i="28"/>
  <c r="Q2539" i="28"/>
  <c r="Q2538" i="28"/>
  <c r="Q2536" i="28"/>
  <c r="Q2535" i="28"/>
  <c r="Q2533" i="28"/>
  <c r="Q2531" i="28"/>
  <c r="Q2529" i="28"/>
  <c r="Q2528" i="28"/>
  <c r="Q2527" i="28"/>
  <c r="Q2526" i="28"/>
  <c r="Q2525" i="28"/>
  <c r="Q2523" i="28"/>
  <c r="Q2522" i="28"/>
  <c r="Q2521" i="28"/>
  <c r="Q2520" i="28"/>
  <c r="Q2519" i="28"/>
  <c r="Q2518" i="28"/>
  <c r="Q2517" i="28"/>
  <c r="Q2515" i="28"/>
  <c r="Q2514" i="28"/>
  <c r="Q2513" i="28"/>
  <c r="Q2512" i="28"/>
  <c r="Q2511" i="28"/>
  <c r="Q2510" i="28"/>
  <c r="Q2509" i="28"/>
  <c r="Q2508" i="28"/>
  <c r="Q2506" i="28"/>
  <c r="Q2505" i="28"/>
  <c r="Q2504" i="28"/>
  <c r="Q2503" i="28"/>
  <c r="Q2502" i="28"/>
  <c r="Q2501" i="28"/>
  <c r="Q2500" i="28"/>
  <c r="Q2496" i="28"/>
  <c r="Q2495" i="28"/>
  <c r="Q2492" i="28"/>
  <c r="Q2491" i="28"/>
  <c r="Q2490" i="28"/>
  <c r="Q2489" i="28"/>
  <c r="Q2488" i="28"/>
  <c r="Q2487" i="28"/>
  <c r="Q2485" i="28"/>
  <c r="Q2481" i="28"/>
  <c r="Q2479" i="28"/>
  <c r="Q2476" i="28"/>
  <c r="Q2475" i="28"/>
  <c r="Q2474" i="28"/>
  <c r="Q2473" i="28"/>
  <c r="Q2470" i="28"/>
  <c r="Q2469" i="28"/>
  <c r="Q2468" i="28"/>
  <c r="Q2463" i="28"/>
  <c r="Q2462" i="28"/>
  <c r="Q2461" i="28"/>
  <c r="Q2460" i="28"/>
  <c r="Q2459" i="28"/>
  <c r="Q2458" i="28"/>
  <c r="Q2457" i="28"/>
  <c r="Q2455" i="28"/>
  <c r="Q2451" i="28"/>
  <c r="Q2447" i="28"/>
  <c r="Q2445" i="28"/>
  <c r="Q2444" i="28"/>
  <c r="Q2443" i="28"/>
  <c r="Q2441" i="28"/>
  <c r="Q2438" i="28"/>
  <c r="Q2434" i="28"/>
  <c r="Q2433" i="28"/>
  <c r="Q2432" i="28"/>
  <c r="Q2431" i="28"/>
  <c r="Q2430" i="28"/>
  <c r="Q2429" i="28"/>
  <c r="Q2427" i="28"/>
  <c r="Q2426" i="28"/>
  <c r="Q2425" i="28"/>
  <c r="Q2424" i="28"/>
  <c r="Q2423" i="28"/>
  <c r="Q2422" i="28"/>
  <c r="Q2421" i="28"/>
  <c r="Q2420" i="28"/>
  <c r="Q2416" i="28"/>
  <c r="Q2415" i="28"/>
  <c r="Q2414" i="28"/>
  <c r="Q2413" i="28"/>
  <c r="Q2411" i="28"/>
  <c r="Q2410" i="28"/>
  <c r="Q2402" i="28"/>
  <c r="Q2395" i="28"/>
  <c r="Q2394" i="28"/>
  <c r="Q2393" i="28"/>
  <c r="Q2392" i="28"/>
  <c r="Q2384" i="28"/>
  <c r="Q2383" i="28"/>
  <c r="Q2382" i="28"/>
  <c r="Q2381" i="28"/>
  <c r="Q2380" i="28"/>
  <c r="Q2379" i="28"/>
  <c r="Q2378" i="28"/>
  <c r="Q2377" i="28"/>
  <c r="Q2376" i="28"/>
  <c r="Q2375" i="28"/>
  <c r="Q2372" i="28"/>
  <c r="Q2371" i="28"/>
  <c r="Q2370" i="28"/>
  <c r="Q2369" i="28"/>
  <c r="Q2368" i="28"/>
  <c r="Q2367" i="28"/>
  <c r="Q2366" i="28"/>
  <c r="Q2365" i="28"/>
  <c r="Q2363" i="28"/>
  <c r="Q2362" i="28"/>
  <c r="Q2361" i="28"/>
  <c r="Q2359" i="28"/>
  <c r="Q2358" i="28"/>
  <c r="Q2357" i="28"/>
  <c r="Q2356" i="28"/>
  <c r="Q2355" i="28"/>
  <c r="Q2354" i="28"/>
  <c r="Q2353" i="28"/>
  <c r="Q2351" i="28"/>
  <c r="Q2350" i="28"/>
  <c r="Q2349" i="28"/>
  <c r="Q2348" i="28"/>
  <c r="Q2347" i="28"/>
  <c r="Q2345" i="28"/>
  <c r="Q2344" i="28"/>
  <c r="Q2343" i="28"/>
  <c r="Q2342" i="28"/>
  <c r="Q2341" i="28"/>
  <c r="Q2340" i="28"/>
  <c r="Q2339" i="28"/>
  <c r="Q2338" i="28"/>
  <c r="Q2334" i="28"/>
  <c r="Q2333" i="28"/>
  <c r="Q2332" i="28"/>
  <c r="Q2331" i="28"/>
  <c r="Q2330" i="28"/>
  <c r="Q2329" i="28"/>
  <c r="Q2328" i="28"/>
  <c r="Q2327" i="28"/>
  <c r="Q2326" i="28"/>
  <c r="Q2325" i="28"/>
  <c r="Q2324" i="28"/>
  <c r="Q2323" i="28"/>
  <c r="Q2322" i="28"/>
  <c r="Q2321" i="28"/>
  <c r="Q2311" i="28"/>
  <c r="Q2310" i="28"/>
  <c r="Q2305" i="28"/>
  <c r="Q2304" i="28"/>
  <c r="Q2301" i="28"/>
  <c r="Q2300" i="28"/>
  <c r="Q2299" i="28"/>
  <c r="Q2298" i="28"/>
  <c r="Q2297" i="28"/>
  <c r="Q2296" i="28"/>
  <c r="Q2295" i="28"/>
  <c r="Q2294" i="28"/>
  <c r="Q2293" i="28"/>
  <c r="Q2291" i="28"/>
  <c r="Q2287" i="28"/>
  <c r="Q2286" i="28"/>
  <c r="Q2285" i="28"/>
  <c r="Q2284" i="28"/>
  <c r="Q2281" i="28"/>
  <c r="Q2280" i="28"/>
  <c r="Q2279" i="28"/>
  <c r="Q2278" i="28"/>
  <c r="Q2277" i="28"/>
  <c r="Q2276" i="28"/>
  <c r="Q2275" i="28"/>
  <c r="Q2274" i="28"/>
  <c r="Q2273" i="28"/>
  <c r="Q2272" i="28"/>
  <c r="Q2271" i="28"/>
  <c r="Q2270" i="28"/>
  <c r="Q2269" i="28"/>
  <c r="Q2268" i="28"/>
  <c r="Q2267" i="28"/>
  <c r="Q2266" i="28"/>
  <c r="Q2265" i="28"/>
  <c r="Q2264" i="28"/>
  <c r="Q2263" i="28"/>
  <c r="Q2262" i="28"/>
  <c r="Q2261" i="28"/>
  <c r="Q2260" i="28"/>
  <c r="Q2259" i="28"/>
  <c r="Q2258" i="28"/>
  <c r="Q2257" i="28"/>
  <c r="Q2256" i="28"/>
  <c r="Q2255" i="28"/>
  <c r="Q2254" i="28"/>
  <c r="Q2252" i="28"/>
  <c r="Q2250" i="28"/>
  <c r="Q2249" i="28"/>
  <c r="Q2248" i="28"/>
  <c r="Q2247" i="28"/>
  <c r="Q2246" i="28"/>
  <c r="Q2245" i="28"/>
  <c r="Q2244" i="28"/>
  <c r="Q2243" i="28"/>
  <c r="Q2241" i="28"/>
  <c r="Q2240" i="28"/>
  <c r="Q2239" i="28"/>
  <c r="Q2238" i="28"/>
  <c r="Q2237" i="28"/>
  <c r="Q2235" i="28"/>
  <c r="Q2234" i="28"/>
  <c r="Q2232" i="28"/>
  <c r="Q2231" i="28"/>
  <c r="Q2229" i="28"/>
  <c r="Q2228" i="28"/>
  <c r="Q2227" i="28"/>
  <c r="Q2226" i="28"/>
  <c r="Q2225" i="28"/>
  <c r="Q2222" i="28"/>
  <c r="Q2221" i="28"/>
  <c r="Q2220" i="28"/>
  <c r="Q2219" i="28"/>
  <c r="Q2218" i="28"/>
  <c r="Q2217" i="28"/>
  <c r="Q2213" i="28"/>
  <c r="Q2211" i="28"/>
  <c r="Q2210" i="28"/>
  <c r="Q2209" i="28"/>
  <c r="Q2208" i="28"/>
  <c r="Q2207" i="28"/>
  <c r="Q2206" i="28"/>
  <c r="Q2205" i="28"/>
  <c r="Q2204" i="28"/>
  <c r="Q2202" i="28"/>
  <c r="Q2199" i="28"/>
  <c r="Q2197" i="28"/>
  <c r="Q2196" i="28"/>
  <c r="Q2195" i="28"/>
  <c r="Q2194" i="28"/>
  <c r="Q2193" i="28"/>
  <c r="Q2192" i="28"/>
  <c r="Q2191" i="28"/>
  <c r="Q2190" i="28"/>
  <c r="Q2189" i="28"/>
  <c r="Q2188" i="28"/>
  <c r="Q2187" i="28"/>
  <c r="Q2186" i="28"/>
  <c r="Q2185" i="28"/>
  <c r="Q2181" i="28"/>
  <c r="Q2180" i="28"/>
  <c r="Q2179" i="28"/>
  <c r="Q2178" i="28"/>
  <c r="Q2176" i="28"/>
  <c r="Q2175" i="28"/>
  <c r="Q2174" i="28"/>
  <c r="Q2170" i="28"/>
  <c r="Q2169" i="28"/>
  <c r="Q2168" i="28"/>
  <c r="Q2167" i="28"/>
  <c r="Q2166" i="28"/>
  <c r="Q2165" i="28"/>
  <c r="Q2164" i="28"/>
  <c r="Q2163" i="28"/>
  <c r="Q2162" i="28"/>
  <c r="Q2160" i="28"/>
  <c r="Q2159" i="28"/>
  <c r="Q2157" i="28"/>
  <c r="Q2156" i="28"/>
  <c r="Q2155" i="28"/>
  <c r="Q2154" i="28"/>
  <c r="Q2153" i="28"/>
  <c r="Q2152" i="28"/>
  <c r="Q2151" i="28"/>
  <c r="Q2150" i="28"/>
  <c r="Q2147" i="28"/>
  <c r="Q2146" i="28"/>
  <c r="Q2145" i="28"/>
  <c r="Q2144" i="28"/>
  <c r="Q2142" i="28"/>
  <c r="Q2141" i="28"/>
  <c r="Q2140" i="28"/>
  <c r="Q2139" i="28"/>
  <c r="Q2138" i="28"/>
  <c r="Q2137" i="28"/>
  <c r="Q2136" i="28"/>
  <c r="Q2135" i="28"/>
  <c r="Q2134" i="28"/>
  <c r="Q2133" i="28"/>
  <c r="Q2129" i="28"/>
  <c r="Q2128" i="28"/>
  <c r="Q2126" i="28"/>
  <c r="Q2125" i="28"/>
  <c r="Q2124" i="28"/>
  <c r="Q2123" i="28"/>
  <c r="Q2122" i="28"/>
  <c r="Q2121" i="28"/>
  <c r="Q2119" i="28"/>
  <c r="Q2118" i="28"/>
  <c r="Q2117" i="28"/>
  <c r="Q2116" i="28"/>
  <c r="Q2114" i="28"/>
  <c r="Q2113" i="28"/>
  <c r="Q2110" i="28"/>
  <c r="Q2109" i="28"/>
  <c r="Q2108" i="28"/>
  <c r="Q2105" i="28"/>
  <c r="Q2104" i="28"/>
  <c r="Q2103" i="28"/>
  <c r="Q2102" i="28"/>
  <c r="Q2101" i="28"/>
  <c r="Q2100" i="28"/>
  <c r="Q2099" i="28"/>
  <c r="Q2098" i="28"/>
  <c r="Q2097" i="28"/>
  <c r="Q2096" i="28"/>
  <c r="Q2095" i="28"/>
  <c r="Q2094" i="28"/>
  <c r="Q2093" i="28"/>
  <c r="Q2092" i="28"/>
  <c r="Q2091" i="28"/>
  <c r="Q2090" i="28"/>
  <c r="Q2089" i="28"/>
  <c r="Q2088" i="28"/>
  <c r="Q2086" i="28"/>
  <c r="Q2085" i="28"/>
  <c r="Q2084" i="28"/>
  <c r="Q2083" i="28"/>
  <c r="Q2082" i="28"/>
  <c r="Q2080" i="28"/>
  <c r="Q2074" i="28"/>
  <c r="Q2073" i="28"/>
  <c r="Q2072" i="28"/>
  <c r="Q2071" i="28"/>
  <c r="Q2069" i="28"/>
  <c r="Q2068" i="28"/>
  <c r="Q2067" i="28"/>
  <c r="Q2066" i="28"/>
  <c r="Q2065" i="28"/>
  <c r="Q2063" i="28"/>
  <c r="Q2062" i="28"/>
  <c r="Q2061" i="28"/>
  <c r="Q2060" i="28"/>
  <c r="Q2059" i="28"/>
  <c r="Q2058" i="28"/>
  <c r="Q2057" i="28"/>
  <c r="Q2056" i="28"/>
  <c r="Q2054" i="28"/>
  <c r="Q2053" i="28"/>
  <c r="Q2052" i="28"/>
  <c r="Q2051" i="28"/>
  <c r="Q2050" i="28"/>
  <c r="Q2049" i="28"/>
  <c r="Q2048" i="28"/>
  <c r="Q2047" i="28"/>
  <c r="Q2046" i="28"/>
  <c r="Q2045" i="28"/>
  <c r="Q2041" i="28"/>
  <c r="Q2036" i="28"/>
  <c r="Q2033" i="28"/>
  <c r="Q2027" i="28"/>
  <c r="Q2026" i="28"/>
  <c r="Q2025" i="28"/>
  <c r="Q2020" i="28"/>
  <c r="Q2019" i="28"/>
  <c r="Q2018" i="28"/>
  <c r="Q2017" i="28"/>
  <c r="Q2012" i="28"/>
  <c r="Q2011" i="28"/>
  <c r="Q2010" i="28"/>
  <c r="Q2009" i="28"/>
  <c r="Q2008" i="28"/>
  <c r="Q2007" i="28"/>
  <c r="Q2006" i="28"/>
  <c r="Q2004" i="28"/>
  <c r="Q2003" i="28"/>
  <c r="Q2001" i="28"/>
  <c r="Q2000" i="28"/>
  <c r="Q1999" i="28"/>
  <c r="Q1997" i="28"/>
  <c r="Q1995" i="28"/>
  <c r="Q1994" i="28"/>
  <c r="Q1992" i="28"/>
  <c r="Q1991" i="28"/>
  <c r="Q1990" i="28"/>
  <c r="Q1989" i="28"/>
  <c r="Q1983" i="28"/>
  <c r="Q1982" i="28"/>
  <c r="Q1981" i="28"/>
  <c r="Q1980" i="28"/>
  <c r="Q1972" i="28"/>
  <c r="Q1970" i="28"/>
  <c r="Q1969" i="28"/>
  <c r="Q1968" i="28"/>
  <c r="Q1967" i="28"/>
  <c r="Q1966" i="28"/>
  <c r="Q1965" i="28"/>
  <c r="Q1964" i="28"/>
  <c r="Q1963" i="28"/>
  <c r="Q1961" i="28"/>
  <c r="Q1960" i="28"/>
  <c r="Q1959" i="28"/>
  <c r="Q1958" i="28"/>
  <c r="Q1957" i="28"/>
  <c r="Q1956" i="28"/>
  <c r="Q1955" i="28"/>
  <c r="Q1954" i="28"/>
  <c r="Q1953" i="28"/>
  <c r="Q1951" i="28"/>
  <c r="Q1950" i="28"/>
  <c r="Q1949" i="28"/>
  <c r="Q1948" i="28"/>
  <c r="Q1947" i="28"/>
  <c r="Q1946" i="28"/>
  <c r="Q1945" i="28"/>
  <c r="Q1944" i="28"/>
  <c r="Q1942" i="28"/>
  <c r="Q1941" i="28"/>
  <c r="Q1939" i="28"/>
  <c r="Q1933" i="28"/>
  <c r="Q1932" i="28"/>
  <c r="Q1930" i="28"/>
  <c r="Q1929" i="28"/>
  <c r="Q1928" i="28"/>
  <c r="Q1927" i="28"/>
  <c r="Q1926" i="28"/>
  <c r="Q1925" i="28"/>
  <c r="Q1924" i="28"/>
  <c r="Q1923" i="28"/>
  <c r="Q1922" i="28"/>
  <c r="Q1921" i="28"/>
  <c r="Q1918" i="28"/>
  <c r="Q1917" i="28"/>
  <c r="Q1916" i="28"/>
  <c r="Q1915" i="28"/>
  <c r="Q1914" i="28"/>
  <c r="Q1913" i="28"/>
  <c r="Q1912" i="28"/>
  <c r="Q1911" i="28"/>
  <c r="Q1910" i="28"/>
  <c r="Q1907" i="28"/>
  <c r="Q1906" i="28"/>
  <c r="Q1905" i="28"/>
  <c r="Q1903" i="28"/>
  <c r="Q1901" i="28"/>
  <c r="Q1900" i="28"/>
  <c r="Q1898" i="28"/>
  <c r="Q1897" i="28"/>
  <c r="Q1896" i="28"/>
  <c r="Q1894" i="28"/>
  <c r="Q1893" i="28"/>
  <c r="Q1892" i="28"/>
  <c r="Q1891" i="28"/>
  <c r="Q1890" i="28"/>
  <c r="Q1888" i="28"/>
  <c r="Q1887" i="28"/>
  <c r="Q1883" i="28"/>
  <c r="Q1882" i="28"/>
  <c r="Q1881" i="28"/>
  <c r="Q1880" i="28"/>
  <c r="Q1879" i="28"/>
  <c r="Q1877" i="28"/>
  <c r="Q1875" i="28"/>
  <c r="Q1874" i="28"/>
  <c r="Q1873" i="28"/>
  <c r="Q1870" i="28"/>
  <c r="Q1869" i="28"/>
  <c r="Q1868" i="28"/>
  <c r="Q1867" i="28"/>
  <c r="Q1864" i="28"/>
  <c r="Q1862" i="28"/>
  <c r="Q1861" i="28"/>
  <c r="Q1860" i="28"/>
  <c r="Q1859" i="28"/>
  <c r="Q1858" i="28"/>
  <c r="Q1857" i="28"/>
  <c r="Q1856" i="28"/>
  <c r="Q1855" i="28"/>
  <c r="Q1851" i="28"/>
  <c r="Q1850" i="28"/>
  <c r="Q1849" i="28"/>
  <c r="Q1848" i="28"/>
  <c r="Q1846" i="28"/>
  <c r="Q1845" i="28"/>
  <c r="Q1844" i="28"/>
  <c r="Q1841" i="28"/>
  <c r="Q1840" i="28"/>
  <c r="Q1839" i="28"/>
  <c r="Q1838" i="28"/>
  <c r="Q1837" i="28"/>
  <c r="Q1836" i="28"/>
  <c r="Q1835" i="28"/>
  <c r="Q1834" i="28"/>
  <c r="Q1833" i="28"/>
  <c r="Q1832" i="28"/>
  <c r="Q1831" i="28"/>
  <c r="Q1829" i="28"/>
  <c r="Q1828" i="28"/>
  <c r="Q1827" i="28"/>
  <c r="Q1826" i="28"/>
  <c r="Q1825" i="28"/>
  <c r="Q1824" i="28"/>
  <c r="Q1821" i="28"/>
  <c r="Q1820" i="28"/>
  <c r="Q1819" i="28"/>
  <c r="Q1818" i="28"/>
  <c r="Q1815" i="28"/>
  <c r="Q1814" i="28"/>
  <c r="Q1813" i="28"/>
  <c r="Q1812" i="28"/>
  <c r="Q1811" i="28"/>
  <c r="Q1810" i="28"/>
  <c r="Q1809" i="28"/>
  <c r="Q1807" i="28"/>
  <c r="Q1804" i="28"/>
  <c r="Q1803" i="28"/>
  <c r="Q1802" i="28"/>
  <c r="Q1800" i="28"/>
  <c r="Q1798" i="28"/>
  <c r="Q1796" i="28"/>
  <c r="Q1795" i="28"/>
  <c r="Q1794" i="28"/>
  <c r="Q1793" i="28"/>
  <c r="Q1792" i="28"/>
  <c r="Q1791" i="28"/>
  <c r="Q1790" i="28"/>
  <c r="Q1789" i="28"/>
  <c r="Q1788" i="28"/>
  <c r="Q1782" i="28"/>
  <c r="Q1781" i="28"/>
  <c r="Q1779" i="28"/>
  <c r="Q1778" i="28"/>
  <c r="Q1774" i="28"/>
  <c r="Q1771" i="28"/>
  <c r="Q1770" i="28"/>
  <c r="Q1769" i="28"/>
  <c r="Q1768" i="28"/>
  <c r="Q1767" i="28"/>
  <c r="Q1766" i="28"/>
  <c r="Q1762" i="28"/>
  <c r="Q1761" i="28"/>
  <c r="Q1760" i="28"/>
  <c r="Q1759" i="28"/>
  <c r="Q1755" i="28"/>
  <c r="Q1754" i="28"/>
  <c r="Q1753" i="28"/>
  <c r="Q1749" i="28"/>
  <c r="Q1748" i="28"/>
  <c r="Q1747" i="28"/>
  <c r="Q1746" i="28"/>
  <c r="Q1745" i="28"/>
  <c r="Q1743" i="28"/>
  <c r="Q1742" i="28"/>
  <c r="Q1741" i="28"/>
  <c r="Q1740" i="28"/>
  <c r="Q1739" i="28"/>
  <c r="Q1738" i="28"/>
  <c r="Q1737" i="28"/>
  <c r="Q1736" i="28"/>
  <c r="Q1735" i="28"/>
  <c r="Q1734" i="28"/>
  <c r="Q1733" i="28"/>
  <c r="Q1732" i="28"/>
  <c r="Q1731" i="28"/>
  <c r="Q1730" i="28"/>
  <c r="Q1729" i="28"/>
  <c r="Q1728" i="28"/>
  <c r="Q1727" i="28"/>
  <c r="Q1726" i="28"/>
  <c r="Q1725" i="28"/>
  <c r="Q1724" i="28"/>
  <c r="Q1719" i="28"/>
  <c r="Q1718" i="28"/>
  <c r="Q1717" i="28"/>
  <c r="Q1716" i="28"/>
  <c r="Q1714" i="28"/>
  <c r="Q1713" i="28"/>
  <c r="Q1712" i="28"/>
  <c r="Q1711" i="28"/>
  <c r="Q1710" i="28"/>
  <c r="Q1709" i="28"/>
  <c r="Q1708" i="28"/>
  <c r="Q1707" i="28"/>
  <c r="Q1706" i="28"/>
  <c r="Q1704" i="28"/>
  <c r="Q1703" i="28"/>
  <c r="Q1702" i="28"/>
  <c r="Q1701" i="28"/>
  <c r="Q1700" i="28"/>
  <c r="Q1699" i="28"/>
  <c r="Q1697" i="28"/>
  <c r="Q1696" i="28"/>
  <c r="Q1695" i="28"/>
  <c r="Q1690" i="28"/>
  <c r="Q1689" i="28"/>
  <c r="Q1688" i="28"/>
  <c r="Q1687" i="28"/>
  <c r="Q1683" i="28"/>
  <c r="Q1682" i="28"/>
  <c r="Q1681" i="28"/>
  <c r="Q1680" i="28"/>
  <c r="Q1679" i="28"/>
  <c r="Q1676" i="28"/>
  <c r="Q1675" i="28"/>
  <c r="Q1674" i="28"/>
  <c r="Q1673" i="28"/>
  <c r="Q1670" i="28"/>
  <c r="Q1669" i="28"/>
  <c r="Q1668" i="28"/>
  <c r="Q1667" i="28"/>
  <c r="Q1666" i="28"/>
  <c r="Q1665" i="28"/>
  <c r="Q1664" i="28"/>
  <c r="Q1663" i="28"/>
  <c r="Q1662" i="28"/>
  <c r="Q1661" i="28"/>
  <c r="Q1657" i="28"/>
  <c r="Q1656" i="28"/>
  <c r="Q1655" i="28"/>
  <c r="Q1654" i="28"/>
  <c r="Q1650" i="28"/>
  <c r="Q1649" i="28"/>
  <c r="Q1647" i="28"/>
  <c r="Q1646" i="28"/>
  <c r="Q1645" i="28"/>
  <c r="Q1644" i="28"/>
  <c r="Q1642" i="28"/>
  <c r="Q1641" i="28"/>
  <c r="Q1640" i="28"/>
  <c r="Q1639" i="28"/>
  <c r="Q1638" i="28"/>
  <c r="Q1637" i="28"/>
  <c r="Q1636" i="28"/>
  <c r="Q1635" i="28"/>
  <c r="Q1634" i="28"/>
  <c r="Q1633" i="28"/>
  <c r="Q1629" i="28"/>
  <c r="Q1627" i="28"/>
  <c r="Q1622" i="28"/>
  <c r="Q1620" i="28"/>
  <c r="Q1618" i="28"/>
  <c r="Q1617" i="28"/>
  <c r="Q1616" i="28"/>
  <c r="Q1615" i="28"/>
  <c r="Q1613" i="28"/>
  <c r="Q1612" i="28"/>
  <c r="Q1611" i="28"/>
  <c r="Q1610" i="28"/>
  <c r="Q1609" i="28"/>
  <c r="Q1608" i="28"/>
  <c r="Q1607" i="28"/>
  <c r="Q1606" i="28"/>
  <c r="Q1605" i="28"/>
  <c r="Q1604" i="28"/>
  <c r="Q1603" i="28"/>
  <c r="Q1602" i="28"/>
  <c r="Q1598" i="28"/>
  <c r="Q1597" i="28"/>
  <c r="Q1596" i="28"/>
  <c r="Q1594" i="28"/>
  <c r="Q1593" i="28"/>
  <c r="Q1592" i="28"/>
  <c r="Q1591" i="28"/>
  <c r="Q1590" i="28"/>
  <c r="Q1589" i="28"/>
  <c r="Q1585" i="28"/>
  <c r="Q1581" i="28"/>
  <c r="Q1579" i="28"/>
  <c r="Q1578" i="28"/>
  <c r="Q1577" i="28"/>
  <c r="Q1576" i="28"/>
  <c r="Q1575" i="28"/>
  <c r="Q1574" i="28"/>
  <c r="Q1573" i="28"/>
  <c r="Q1572" i="28"/>
  <c r="Q1571" i="28"/>
  <c r="Q1570" i="28"/>
  <c r="Q1568" i="28"/>
  <c r="Q1567" i="28"/>
  <c r="Q1566" i="28"/>
  <c r="Q1565" i="28"/>
  <c r="Q1564" i="28"/>
  <c r="Q1563" i="28"/>
  <c r="Q1558" i="28"/>
  <c r="Q1557" i="28"/>
  <c r="Q1555" i="28"/>
  <c r="Q1551" i="28"/>
  <c r="Q1550" i="28"/>
  <c r="Q1549" i="28"/>
  <c r="Q1547" i="28"/>
  <c r="Q1544" i="28"/>
  <c r="Q1543" i="28"/>
  <c r="Q1542" i="28"/>
  <c r="Q1541" i="28"/>
  <c r="X16" i="47"/>
  <c r="Q1499" i="28"/>
  <c r="Q1497" i="28"/>
  <c r="Q1496" i="28"/>
  <c r="Q1487" i="28"/>
  <c r="Q1486" i="28"/>
  <c r="Q1470" i="28"/>
  <c r="Q1467" i="28"/>
  <c r="Q1465" i="28"/>
  <c r="Q1463" i="28"/>
  <c r="Q1462" i="28"/>
  <c r="Q1461" i="28"/>
  <c r="Q1454" i="28"/>
  <c r="Q1453" i="28"/>
  <c r="Q1452" i="28"/>
  <c r="Q1450" i="28"/>
  <c r="Q1449" i="28"/>
  <c r="Q1448" i="28"/>
  <c r="Q1447" i="28"/>
  <c r="Q1445" i="28"/>
  <c r="Q1440" i="28"/>
  <c r="Q1439" i="28"/>
  <c r="Q1438" i="28"/>
  <c r="Q1426" i="28"/>
  <c r="Q1422" i="28"/>
  <c r="Q1421" i="28"/>
  <c r="Q1417" i="28"/>
  <c r="Q1381" i="28"/>
  <c r="Q1380" i="28"/>
  <c r="Q1378" i="28"/>
  <c r="Q1377" i="28"/>
  <c r="Q1376" i="28"/>
  <c r="Q1375" i="28"/>
  <c r="Q1374" i="28"/>
  <c r="Q1362" i="28"/>
  <c r="Q1354" i="28"/>
  <c r="Q1348" i="28"/>
  <c r="Q1343" i="28"/>
  <c r="Q1337" i="28"/>
  <c r="Q1328" i="28"/>
  <c r="Q1327" i="28"/>
  <c r="Q1326" i="28"/>
  <c r="Q1317" i="28"/>
  <c r="Q1316" i="28"/>
  <c r="Q1306" i="28"/>
  <c r="Q1290" i="28"/>
  <c r="Q1280" i="28"/>
  <c r="Q1279" i="28"/>
  <c r="Q1274" i="28"/>
  <c r="Q1273" i="28"/>
  <c r="Q1271" i="28"/>
  <c r="Q1269" i="28"/>
  <c r="Q1262" i="28"/>
  <c r="Q1260" i="28"/>
  <c r="Q1255" i="28"/>
  <c r="Q1250" i="28"/>
  <c r="Q1239" i="28"/>
  <c r="Q1238" i="28"/>
  <c r="Q1237" i="28"/>
  <c r="Q1213" i="28"/>
  <c r="Q1212" i="28"/>
  <c r="Q1211" i="28"/>
  <c r="Q1210" i="28"/>
  <c r="Q1207" i="28"/>
  <c r="Q1195" i="28"/>
  <c r="Q1194" i="28"/>
  <c r="Q1193" i="28"/>
  <c r="Q1190" i="28"/>
  <c r="Q1189" i="28"/>
  <c r="Q1187" i="28"/>
  <c r="Q1186" i="28"/>
  <c r="Q1184" i="28"/>
  <c r="Q1183" i="28"/>
  <c r="Q1182" i="28"/>
  <c r="Q1175" i="28"/>
  <c r="Q1170" i="28"/>
  <c r="Q1165" i="28"/>
  <c r="Q1146" i="28"/>
  <c r="Q1144" i="28"/>
  <c r="Q1142" i="28"/>
  <c r="Q1138" i="28"/>
  <c r="Q1137" i="28"/>
  <c r="Q1131" i="28"/>
  <c r="Q1130" i="28"/>
  <c r="Q1124" i="28"/>
  <c r="Q1123" i="28"/>
  <c r="Q1118" i="28"/>
  <c r="Q1115" i="28"/>
  <c r="Q1114" i="28"/>
  <c r="Q1112" i="28"/>
  <c r="Q1111" i="28"/>
  <c r="Q1110" i="28"/>
  <c r="Q1107" i="28"/>
  <c r="Q1102" i="28"/>
  <c r="Q1071" i="28"/>
  <c r="Q1070" i="28"/>
  <c r="Q1069" i="28"/>
  <c r="Q1068" i="28"/>
  <c r="Q1066" i="28"/>
  <c r="Q1062" i="28"/>
  <c r="Q1058" i="28"/>
  <c r="Q1054" i="28"/>
  <c r="Q1053" i="28"/>
  <c r="Q1052" i="28"/>
  <c r="Q1051" i="28"/>
  <c r="Q1049" i="28"/>
  <c r="Q1048" i="28"/>
  <c r="Q1047" i="28"/>
  <c r="Q1043" i="28"/>
  <c r="Q1042" i="28"/>
  <c r="Q1019" i="28"/>
  <c r="Q1018" i="28"/>
  <c r="Q1017" i="28"/>
  <c r="Q1016" i="28"/>
  <c r="Q1013" i="28"/>
  <c r="Q1012" i="28"/>
  <c r="Q1011" i="28"/>
  <c r="Q1009" i="28"/>
  <c r="Q1003" i="28"/>
  <c r="Q1002" i="28"/>
  <c r="Q1001" i="28"/>
  <c r="Q1000" i="28"/>
  <c r="Q999" i="28"/>
  <c r="Q996" i="28"/>
  <c r="Q992" i="28"/>
  <c r="Q989" i="28"/>
  <c r="Q987" i="28"/>
  <c r="Q986" i="28"/>
  <c r="Q985" i="28"/>
  <c r="Q971" i="28"/>
  <c r="Q970" i="28"/>
  <c r="Q969" i="28"/>
  <c r="Q962" i="28"/>
  <c r="Q957" i="28"/>
  <c r="Q953" i="28"/>
  <c r="Q939" i="28"/>
  <c r="Q926" i="28"/>
  <c r="Q922" i="28"/>
  <c r="Q905" i="28"/>
  <c r="Q896" i="28"/>
  <c r="Q895" i="28"/>
  <c r="Q892" i="28"/>
  <c r="Q884" i="28"/>
  <c r="Q883" i="28"/>
  <c r="Q877" i="28"/>
  <c r="Q872" i="28"/>
  <c r="Q868" i="28"/>
  <c r="Q867" i="28"/>
  <c r="Q866" i="28"/>
  <c r="Q850" i="28"/>
  <c r="Q849" i="28"/>
  <c r="Q842" i="28"/>
  <c r="Q822" i="28"/>
  <c r="Q813" i="28"/>
  <c r="Q812" i="28"/>
  <c r="Q811" i="28"/>
  <c r="Q803" i="28"/>
  <c r="Q802" i="28"/>
  <c r="Q801" i="28"/>
  <c r="Q800" i="28"/>
  <c r="Q777" i="28"/>
  <c r="Q770" i="28"/>
  <c r="Q769" i="28"/>
  <c r="Q749" i="28"/>
  <c r="Q745" i="28"/>
  <c r="Q744" i="28"/>
  <c r="Q737" i="28"/>
  <c r="Q736" i="28"/>
  <c r="Q735" i="28"/>
  <c r="Q732" i="28"/>
  <c r="Q724" i="28"/>
  <c r="Q723" i="28"/>
  <c r="Q719" i="28"/>
  <c r="Q717" i="28"/>
  <c r="Q715" i="28"/>
  <c r="Q709" i="28"/>
  <c r="Q707" i="28"/>
  <c r="Q706" i="28"/>
  <c r="Q704" i="28"/>
  <c r="Q703" i="28"/>
  <c r="Q701" i="28"/>
  <c r="Q699" i="28"/>
  <c r="Q675" i="28"/>
  <c r="Q642" i="28"/>
  <c r="Q636" i="28"/>
  <c r="Q635" i="28"/>
  <c r="Q614" i="28"/>
  <c r="Q611" i="28"/>
  <c r="Q602" i="28"/>
  <c r="Q601" i="28"/>
  <c r="Q600" i="28"/>
  <c r="Q587" i="28"/>
  <c r="Q582" i="28"/>
  <c r="Q578" i="28"/>
  <c r="Q577" i="28"/>
  <c r="Q575" i="28"/>
  <c r="Q566" i="28"/>
  <c r="Q565" i="28"/>
  <c r="Q553" i="28"/>
  <c r="Q552" i="28"/>
  <c r="Q551" i="28"/>
  <c r="Q542" i="28"/>
  <c r="Q541" i="28"/>
  <c r="Q519" i="28"/>
  <c r="Q518" i="28"/>
  <c r="Q517" i="28"/>
  <c r="Q506" i="28"/>
  <c r="Q504" i="28"/>
  <c r="Q503" i="28"/>
  <c r="Q501" i="28"/>
  <c r="Q493" i="28"/>
  <c r="Q473" i="28"/>
  <c r="Q472" i="28"/>
  <c r="Q467" i="28"/>
  <c r="Q455" i="28"/>
  <c r="Q454" i="28"/>
  <c r="Q450" i="28"/>
  <c r="Q449" i="28"/>
  <c r="Q448" i="28"/>
  <c r="Q446" i="28"/>
  <c r="Q441" i="28"/>
  <c r="Q440" i="28"/>
  <c r="Q439" i="28"/>
  <c r="Q437" i="28"/>
  <c r="Q436" i="28"/>
  <c r="Q428" i="28"/>
  <c r="Q421" i="28"/>
  <c r="Q419" i="28"/>
  <c r="Q416" i="28"/>
  <c r="Q415" i="28"/>
  <c r="Q410" i="28"/>
  <c r="Q387" i="28"/>
  <c r="Q386" i="28"/>
  <c r="Q376" i="28"/>
  <c r="Q361" i="28"/>
  <c r="Q360" i="28"/>
  <c r="Q338" i="28"/>
  <c r="Q321" i="28"/>
  <c r="Q313" i="28"/>
  <c r="Q307" i="28"/>
  <c r="Q304" i="28"/>
  <c r="Q303" i="28"/>
  <c r="Q286" i="28"/>
  <c r="Q254" i="28"/>
  <c r="Q240" i="28"/>
  <c r="Q234" i="28"/>
  <c r="Q227" i="28"/>
  <c r="Q226" i="28"/>
  <c r="Q225" i="28"/>
  <c r="Q224" i="28"/>
  <c r="Q221" i="28"/>
  <c r="Q219" i="28"/>
  <c r="Q203" i="28"/>
  <c r="Q197" i="28"/>
  <c r="Q194" i="28"/>
  <c r="Q191" i="28"/>
  <c r="Q188" i="28"/>
  <c r="Q187" i="28"/>
  <c r="Q182" i="28"/>
  <c r="Q181" i="28"/>
  <c r="Q176" i="28"/>
  <c r="Q161" i="28"/>
  <c r="Q156" i="28"/>
  <c r="Q152" i="28"/>
  <c r="Q148" i="28"/>
  <c r="Q146" i="28"/>
  <c r="Q138" i="28"/>
  <c r="Q137" i="28"/>
  <c r="Q136" i="28"/>
  <c r="Q130" i="28"/>
  <c r="Q129" i="28"/>
  <c r="Q122" i="28"/>
  <c r="Q117" i="28"/>
  <c r="Q111" i="28"/>
  <c r="Q110" i="28"/>
  <c r="Q108" i="28"/>
  <c r="Q107" i="28"/>
  <c r="Q105" i="28"/>
  <c r="Q104" i="28"/>
  <c r="Q93" i="28"/>
  <c r="Q87" i="28"/>
  <c r="Q86" i="28"/>
  <c r="Q85" i="28"/>
  <c r="Q78" i="28"/>
  <c r="Q72" i="28"/>
  <c r="Q67" i="28"/>
  <c r="Q66" i="28"/>
  <c r="Q52" i="28"/>
  <c r="Q48" i="28"/>
  <c r="Q47" i="28"/>
  <c r="Q46" i="28"/>
  <c r="Q34" i="28"/>
  <c r="Q26" i="28"/>
  <c r="Q23" i="28"/>
  <c r="Q22" i="28"/>
  <c r="Q3002" i="28"/>
  <c r="Q3001" i="28"/>
  <c r="Q2993" i="28"/>
  <c r="Q2992" i="28"/>
  <c r="Q2988" i="28"/>
  <c r="Q2987" i="28"/>
  <c r="Q2986" i="28"/>
  <c r="Q2973" i="28"/>
  <c r="Q2971" i="28"/>
  <c r="Q2970" i="28"/>
  <c r="Q2963" i="28"/>
  <c r="Q2960" i="28"/>
  <c r="Q2959" i="28"/>
  <c r="Q2957" i="28"/>
  <c r="Q2954" i="28"/>
  <c r="Q2948" i="28"/>
  <c r="Q2942" i="28"/>
  <c r="Q2935" i="28"/>
  <c r="Q2925" i="28"/>
  <c r="Q2924" i="28"/>
  <c r="Q2908" i="28"/>
  <c r="Q2893" i="28"/>
  <c r="Q2892" i="28"/>
  <c r="Q2890" i="28"/>
  <c r="Q2889" i="28"/>
  <c r="Q2884" i="28"/>
  <c r="Q2878" i="28"/>
  <c r="Q2862" i="28"/>
  <c r="Q2860" i="28"/>
  <c r="Q2858" i="28"/>
  <c r="Q2850" i="28"/>
  <c r="Q2849" i="28"/>
  <c r="Q2846" i="28"/>
  <c r="Q2837" i="28"/>
  <c r="Q2834" i="28"/>
  <c r="Q2816" i="28"/>
  <c r="Q2812" i="28"/>
  <c r="Q2811" i="28"/>
  <c r="Q2807" i="28"/>
  <c r="Q2806" i="28"/>
  <c r="Q2796" i="28"/>
  <c r="Q2795" i="28"/>
  <c r="Q2794" i="28"/>
  <c r="Q2780" i="28"/>
  <c r="Q2777" i="28"/>
  <c r="Q2760" i="28"/>
  <c r="Q2757" i="28"/>
  <c r="Q2751" i="28"/>
  <c r="Q2750" i="28"/>
  <c r="Q2749" i="28"/>
  <c r="Q2748" i="28"/>
  <c r="Q2738" i="28"/>
  <c r="Q2737" i="28"/>
  <c r="Q2736" i="28"/>
  <c r="Q2734" i="28"/>
  <c r="Q2733" i="28"/>
  <c r="Q2718" i="28"/>
  <c r="Q2711" i="28"/>
  <c r="Q2707" i="28"/>
  <c r="Q2705" i="28"/>
  <c r="Q2704" i="28"/>
  <c r="Q2690" i="28"/>
  <c r="Q2681" i="28"/>
  <c r="Q2678" i="28"/>
  <c r="Q2671" i="28"/>
  <c r="Q2664" i="28"/>
  <c r="Q2651" i="28"/>
  <c r="Q2650" i="28"/>
  <c r="Q2644" i="28"/>
  <c r="Q2639" i="28"/>
  <c r="Q2636" i="28"/>
  <c r="Q2632" i="28"/>
  <c r="Q2625" i="28"/>
  <c r="Q2623" i="28"/>
  <c r="Q2622" i="28"/>
  <c r="Q2621" i="28"/>
  <c r="Q2609" i="28"/>
  <c r="Q2604" i="28"/>
  <c r="Q2603" i="28"/>
  <c r="Q2602" i="28"/>
  <c r="Q2599" i="28"/>
  <c r="Q2595" i="28"/>
  <c r="Q2594" i="28"/>
  <c r="Q2593" i="28"/>
  <c r="Q2592" i="28"/>
  <c r="Q2583" i="28"/>
  <c r="Q2582" i="28"/>
  <c r="Q2561" i="28"/>
  <c r="Q2560" i="28"/>
  <c r="Q2557" i="28"/>
  <c r="Q2551" i="28"/>
  <c r="Q2546" i="28"/>
  <c r="Q2542" i="28"/>
  <c r="Q2537" i="28"/>
  <c r="Q2534" i="28"/>
  <c r="Q2530" i="28"/>
  <c r="Q2524" i="28"/>
  <c r="Q2516" i="28"/>
  <c r="Q2499" i="28"/>
  <c r="Q2498" i="28"/>
  <c r="Q2497" i="28"/>
  <c r="Q2486" i="28"/>
  <c r="Q2477" i="28"/>
  <c r="Q2471" i="28"/>
  <c r="Q2467" i="28"/>
  <c r="Q2466" i="28"/>
  <c r="Q2465" i="28"/>
  <c r="Q2464" i="28"/>
  <c r="Q2453" i="28"/>
  <c r="Q2452" i="28"/>
  <c r="Q2450" i="28"/>
  <c r="Q2449" i="28"/>
  <c r="Q2448" i="28"/>
  <c r="Q2442" i="28"/>
  <c r="Q2440" i="28"/>
  <c r="Q2439" i="28"/>
  <c r="Q2437" i="28"/>
  <c r="Q2436" i="28"/>
  <c r="Q2435" i="28"/>
  <c r="Q2428" i="28"/>
  <c r="Q2419" i="28"/>
  <c r="Q2418" i="28"/>
  <c r="Q2417" i="28"/>
  <c r="Q2404" i="28"/>
  <c r="Q2403" i="28"/>
  <c r="Q2399" i="28"/>
  <c r="Q2398" i="28"/>
  <c r="Q2397" i="28"/>
  <c r="Q2396" i="28"/>
  <c r="Q2391" i="28"/>
  <c r="Q2390" i="28"/>
  <c r="Q2389" i="28"/>
  <c r="Q2388" i="28"/>
  <c r="Q2387" i="28"/>
  <c r="Q2386" i="28"/>
  <c r="Q2385" i="28"/>
  <c r="Q2364" i="28"/>
  <c r="Q2352" i="28"/>
  <c r="Q2337" i="28"/>
  <c r="Q2336" i="28"/>
  <c r="Q2319" i="28"/>
  <c r="Q2318" i="28"/>
  <c r="Q2316" i="28"/>
  <c r="Q2315" i="28"/>
  <c r="Q2314" i="28"/>
  <c r="Q2303" i="28"/>
  <c r="Q2302" i="28"/>
  <c r="Q2290" i="28"/>
  <c r="Q2289" i="28"/>
  <c r="Q2288" i="28"/>
  <c r="Q2283" i="28"/>
  <c r="Q2282" i="28"/>
  <c r="Q2253" i="28"/>
  <c r="Q2251" i="28"/>
  <c r="Q2233" i="28"/>
  <c r="Q2216" i="28"/>
  <c r="Q2215" i="28"/>
  <c r="Q2214" i="28"/>
  <c r="Q2184" i="28"/>
  <c r="Q2177" i="28"/>
  <c r="Q2143" i="28"/>
  <c r="Q2120" i="28"/>
  <c r="Q2112" i="28"/>
  <c r="Q2111" i="28"/>
  <c r="Q2079" i="28"/>
  <c r="Q2078" i="28"/>
  <c r="Q2077" i="28"/>
  <c r="Q2076" i="28"/>
  <c r="Q2070" i="28"/>
  <c r="Q2044" i="28"/>
  <c r="Q2043" i="28"/>
  <c r="Q2042" i="28"/>
  <c r="Q2038" i="28"/>
  <c r="Q2037" i="28"/>
  <c r="Q2035" i="28"/>
  <c r="Q2034" i="28"/>
  <c r="Q2032" i="28"/>
  <c r="Q2031" i="28"/>
  <c r="Q2030" i="28"/>
  <c r="Q2029" i="28"/>
  <c r="Q2028" i="28"/>
  <c r="Q2023" i="28"/>
  <c r="Q2022" i="28"/>
  <c r="Q2021" i="28"/>
  <c r="Q2013" i="28"/>
  <c r="Q2005" i="28"/>
  <c r="Q2002" i="28"/>
  <c r="Q1996" i="28"/>
  <c r="Q1988" i="28"/>
  <c r="Q1987" i="28"/>
  <c r="Q1986" i="28"/>
  <c r="Q1979" i="28"/>
  <c r="Q1975" i="28"/>
  <c r="Q1974" i="28"/>
  <c r="Q1973" i="28"/>
  <c r="Q1971" i="28"/>
  <c r="Q1952" i="28"/>
  <c r="Q1940" i="28"/>
  <c r="Q1938" i="28"/>
  <c r="Q1937" i="28"/>
  <c r="Q1936" i="28"/>
  <c r="Q1935" i="28"/>
  <c r="Q1934" i="28"/>
  <c r="Q1920" i="28"/>
  <c r="Q1919" i="28"/>
  <c r="Q1909" i="28"/>
  <c r="Q1908" i="28"/>
  <c r="Q1904" i="28"/>
  <c r="Q1902" i="28"/>
  <c r="Q1899" i="28"/>
  <c r="Q1885" i="28"/>
  <c r="Q1884" i="28"/>
  <c r="Q1876" i="28"/>
  <c r="Q1872" i="28"/>
  <c r="Q1871" i="28"/>
  <c r="Q1866" i="28"/>
  <c r="Q1865" i="28"/>
  <c r="Q1863" i="28"/>
  <c r="Q1854" i="28"/>
  <c r="Q1853" i="28"/>
  <c r="Q1852" i="28"/>
  <c r="Q1843" i="28"/>
  <c r="Q1842" i="28"/>
  <c r="Q1830" i="28"/>
  <c r="Q1823" i="28"/>
  <c r="Q1822" i="28"/>
  <c r="Q1817" i="28"/>
  <c r="Q1806" i="28"/>
  <c r="Q1805" i="28"/>
  <c r="Q1801" i="28"/>
  <c r="Q1787" i="28"/>
  <c r="Q1786" i="28"/>
  <c r="Q1785" i="28"/>
  <c r="Q1780" i="28"/>
  <c r="Q1776" i="28"/>
  <c r="Q1775" i="28"/>
  <c r="Q1757" i="28"/>
  <c r="Q1756" i="28"/>
  <c r="Q1752" i="28"/>
  <c r="Q1751" i="28"/>
  <c r="Q1744" i="28"/>
  <c r="Q1723" i="28"/>
  <c r="Q1722" i="28"/>
  <c r="Q1721" i="28"/>
  <c r="Q1720" i="28"/>
  <c r="Q1715" i="28"/>
  <c r="Q1705" i="28"/>
  <c r="Q1698" i="28"/>
  <c r="Q1694" i="28"/>
  <c r="Q1678" i="28"/>
  <c r="Q1672" i="28"/>
  <c r="Q1671" i="28"/>
  <c r="Q1660" i="28"/>
  <c r="Q1659" i="28"/>
  <c r="Q1658" i="28"/>
  <c r="Q1653" i="28"/>
  <c r="Q1652" i="28"/>
  <c r="Q1651" i="28"/>
  <c r="Q1643" i="28"/>
  <c r="Q1632" i="28"/>
  <c r="Q1631" i="28"/>
  <c r="Q1630" i="28"/>
  <c r="Q1628" i="28"/>
  <c r="Q1624" i="28"/>
  <c r="Q1623" i="28"/>
  <c r="Q1601" i="28"/>
  <c r="Q1600" i="28"/>
  <c r="Q1599" i="28"/>
  <c r="Q1588" i="28"/>
  <c r="Q1584" i="28"/>
  <c r="Q1583" i="28"/>
  <c r="Q1582" i="28"/>
  <c r="Q1580" i="28"/>
  <c r="Q1562" i="28"/>
  <c r="Q1556" i="28"/>
  <c r="Q1546" i="28"/>
  <c r="X17" i="47"/>
  <c r="Q1500" i="28"/>
  <c r="Q1493" i="28"/>
  <c r="Q1488" i="28"/>
  <c r="Q1464" i="28"/>
  <c r="Q1460" i="28"/>
  <c r="Q1456" i="28"/>
  <c r="Q1443" i="28"/>
  <c r="Q1442" i="28"/>
  <c r="Q1441" i="28"/>
  <c r="Q1425" i="28"/>
  <c r="Q1424" i="28"/>
  <c r="Q1420" i="28"/>
  <c r="Q1419" i="28"/>
  <c r="Q1418" i="28"/>
  <c r="Q1406" i="28"/>
  <c r="Q1403" i="28"/>
  <c r="Q1402" i="28"/>
  <c r="Q1401" i="28"/>
  <c r="Q1400" i="28"/>
  <c r="Q1393" i="28"/>
  <c r="Q1379" i="28"/>
  <c r="Q1350" i="28"/>
  <c r="Q1349" i="28"/>
  <c r="Q1339" i="28"/>
  <c r="Q1338" i="28"/>
  <c r="Q1321" i="28"/>
  <c r="Q1287" i="28"/>
  <c r="Q1285" i="28"/>
  <c r="Q1284" i="28"/>
  <c r="Q1281" i="28"/>
  <c r="Q1278" i="28"/>
  <c r="Q1277" i="28"/>
  <c r="Q1272" i="28"/>
  <c r="Q1267" i="28"/>
  <c r="Q1257" i="28"/>
  <c r="Q1254" i="28"/>
  <c r="Q1249" i="28"/>
  <c r="Q1232" i="28"/>
  <c r="Q1231" i="28"/>
  <c r="Q1215" i="28"/>
  <c r="Q1214" i="28"/>
  <c r="Q1199" i="28"/>
  <c r="Q1188" i="28"/>
  <c r="Q1169" i="28"/>
  <c r="Q1168" i="28"/>
  <c r="Q1162" i="28"/>
  <c r="Q1161" i="28"/>
  <c r="Q1160" i="28"/>
  <c r="Q1159" i="28"/>
  <c r="Q1149" i="28"/>
  <c r="Q1136" i="28"/>
  <c r="Q1129" i="28"/>
  <c r="Q1095" i="28"/>
  <c r="Q1094" i="28"/>
  <c r="Q1093" i="28"/>
  <c r="Q1092" i="28"/>
  <c r="Q1064" i="28"/>
  <c r="Q1057" i="28"/>
  <c r="Q1050" i="28"/>
  <c r="Q1038" i="28"/>
  <c r="Q1037" i="28"/>
  <c r="Q1036" i="28"/>
  <c r="Q1030" i="28"/>
  <c r="Q1028" i="28"/>
  <c r="Q1027" i="28"/>
  <c r="Q1026" i="28"/>
  <c r="Q1024" i="28"/>
  <c r="Q1022" i="28"/>
  <c r="Q1021" i="28"/>
  <c r="Q974" i="28"/>
  <c r="Q973" i="28"/>
  <c r="Q968" i="28"/>
  <c r="Q967" i="28"/>
  <c r="Q966" i="28"/>
  <c r="Q938" i="28"/>
  <c r="Q937" i="28"/>
  <c r="Q936" i="28"/>
  <c r="Q932" i="28"/>
  <c r="Q931" i="28"/>
  <c r="Q927" i="28"/>
  <c r="Q924" i="28"/>
  <c r="Q923" i="28"/>
  <c r="Q914" i="28"/>
  <c r="Q911" i="28"/>
  <c r="Q900" i="28"/>
  <c r="Q899" i="28"/>
  <c r="Q885" i="28"/>
  <c r="Q871" i="28"/>
  <c r="Q869" i="28"/>
  <c r="Q857" i="28"/>
  <c r="Q845" i="28"/>
  <c r="Q844" i="28"/>
  <c r="Q840" i="28"/>
  <c r="Q835" i="28"/>
  <c r="Q834" i="28"/>
  <c r="Q832" i="28"/>
  <c r="Q828" i="28"/>
  <c r="Q820" i="28"/>
  <c r="Q794" i="28"/>
  <c r="Q793" i="28"/>
  <c r="Q792" i="28"/>
  <c r="Q790" i="28"/>
  <c r="Q782" i="28"/>
  <c r="Q778" i="28"/>
  <c r="Q739" i="28"/>
  <c r="Q702" i="28"/>
  <c r="Q700" i="28"/>
  <c r="Q694" i="28"/>
  <c r="Q693" i="28"/>
  <c r="Q692" i="28"/>
  <c r="Q683" i="28"/>
  <c r="Q677" i="28"/>
  <c r="Q676" i="28"/>
  <c r="Q668" i="28"/>
  <c r="Q657" i="28"/>
  <c r="Q655" i="28"/>
  <c r="Q654" i="28"/>
  <c r="Q647" i="28"/>
  <c r="Q646" i="28"/>
  <c r="Q641" i="28"/>
  <c r="Q616" i="28"/>
  <c r="Q610" i="28"/>
  <c r="Q592" i="28"/>
  <c r="Q576" i="28"/>
  <c r="Q574" i="28"/>
  <c r="Q573" i="28"/>
  <c r="Q550" i="28"/>
  <c r="Q545" i="28"/>
  <c r="Q540" i="28"/>
  <c r="Q522" i="28"/>
  <c r="Q516" i="28"/>
  <c r="Q500" i="28"/>
  <c r="Q492" i="28"/>
  <c r="Q484" i="28"/>
  <c r="Q474" i="28"/>
  <c r="Q452" i="28"/>
  <c r="Q425" i="28"/>
  <c r="Q424" i="28"/>
  <c r="Q423" i="28"/>
  <c r="Q422" i="28"/>
  <c r="Q413" i="28"/>
  <c r="Q404" i="28"/>
  <c r="Q403" i="28"/>
  <c r="Q377" i="28"/>
  <c r="Q370" i="28"/>
  <c r="Q369" i="28"/>
  <c r="Q357" i="28"/>
  <c r="Q352" i="28"/>
  <c r="Q351" i="28"/>
  <c r="Q350" i="28"/>
  <c r="Q344" i="28"/>
  <c r="Q339" i="28"/>
  <c r="Q328" i="28"/>
  <c r="Q327" i="28"/>
  <c r="Q326" i="28"/>
  <c r="Q325" i="28"/>
  <c r="Q322" i="28"/>
  <c r="Q317" i="28"/>
  <c r="Q316" i="28"/>
  <c r="Q297" i="28"/>
  <c r="Q294" i="28"/>
  <c r="Q293" i="28"/>
  <c r="Q282" i="28"/>
  <c r="Q281" i="28"/>
  <c r="Q279" i="28"/>
  <c r="Q270" i="28"/>
  <c r="Q243" i="28"/>
  <c r="Q223" i="28"/>
  <c r="Q206" i="28"/>
  <c r="Q205" i="28"/>
  <c r="Q195" i="28"/>
  <c r="Q151" i="28"/>
  <c r="Q145" i="28"/>
  <c r="Q126" i="28"/>
  <c r="Q114" i="28"/>
  <c r="Q113" i="28"/>
  <c r="Q109" i="28"/>
  <c r="Q106" i="28"/>
  <c r="Q102" i="28"/>
  <c r="Q101" i="28"/>
  <c r="Q99" i="28"/>
  <c r="Q61" i="28"/>
  <c r="Q60" i="28"/>
  <c r="Q43" i="28"/>
  <c r="Q33" i="28"/>
  <c r="Q31" i="28"/>
  <c r="Q30" i="28"/>
  <c r="Q27" i="28"/>
  <c r="Q21" i="28"/>
  <c r="Q8" i="28"/>
  <c r="Q7" i="28"/>
  <c r="Q2961" i="28"/>
  <c r="Q2949" i="28"/>
  <c r="Q2940" i="28"/>
  <c r="Q2939" i="28"/>
  <c r="Q2927" i="28"/>
  <c r="Q2926" i="28"/>
  <c r="Q2919" i="28"/>
  <c r="Q2918" i="28"/>
  <c r="Q2917" i="28"/>
  <c r="Q2911" i="28"/>
  <c r="Q2898" i="28"/>
  <c r="Q2881" i="28"/>
  <c r="Q2880" i="28"/>
  <c r="Q2879" i="28"/>
  <c r="Q2867" i="28"/>
  <c r="Q2847" i="28"/>
  <c r="Q2830" i="28"/>
  <c r="Q2829" i="28"/>
  <c r="Q2797" i="28"/>
  <c r="Q2786" i="28"/>
  <c r="Q2785" i="28"/>
  <c r="Q2768" i="28"/>
  <c r="Q2767" i="28"/>
  <c r="Q2726" i="28"/>
  <c r="Q2719" i="28"/>
  <c r="Q2703" i="28"/>
  <c r="Q2702" i="28"/>
  <c r="Q2701" i="28"/>
  <c r="Q2692" i="28"/>
  <c r="Q2669" i="28"/>
  <c r="Q2659" i="28"/>
  <c r="Q2658" i="28"/>
  <c r="Q2648" i="28"/>
  <c r="Q2637" i="28"/>
  <c r="Q2627" i="28"/>
  <c r="Q2626" i="28"/>
  <c r="Q2618" i="28"/>
  <c r="Q2615" i="28"/>
  <c r="Q2610" i="28"/>
  <c r="Q2589" i="28"/>
  <c r="Q2588" i="28"/>
  <c r="Q2587" i="28"/>
  <c r="Q2585" i="28"/>
  <c r="Q2584" i="28"/>
  <c r="Q2580" i="28"/>
  <c r="Q2579" i="28"/>
  <c r="Q2578" i="28"/>
  <c r="Q2577" i="28"/>
  <c r="Q2576" i="28"/>
  <c r="Q2570" i="28"/>
  <c r="Q2562" i="28"/>
  <c r="Q2547" i="28"/>
  <c r="Q2544" i="28"/>
  <c r="Q2532" i="28"/>
  <c r="Q2507" i="28"/>
  <c r="Q2494" i="28"/>
  <c r="Q2493" i="28"/>
  <c r="Q2484" i="28"/>
  <c r="Q2483" i="28"/>
  <c r="Q2482" i="28"/>
  <c r="Q2480" i="28"/>
  <c r="Q2478" i="28"/>
  <c r="Q2472" i="28"/>
  <c r="Q2456" i="28"/>
  <c r="Q2454" i="28"/>
  <c r="Q2446" i="28"/>
  <c r="Q2412" i="28"/>
  <c r="Q2409" i="28"/>
  <c r="Q2408" i="28"/>
  <c r="Q2407" i="28"/>
  <c r="Q2406" i="28"/>
  <c r="Q2405" i="28"/>
  <c r="Q2401" i="28"/>
  <c r="Q2400" i="28"/>
  <c r="Q2374" i="28"/>
  <c r="Q2373" i="28"/>
  <c r="Q2360" i="28"/>
  <c r="Q2346" i="28"/>
  <c r="Q2335" i="28"/>
  <c r="Q2320" i="28"/>
  <c r="Q2317" i="28"/>
  <c r="Q2313" i="28"/>
  <c r="Q2312" i="28"/>
  <c r="Q2309" i="28"/>
  <c r="Q2308" i="28"/>
  <c r="Q2307" i="28"/>
  <c r="Q2306" i="28"/>
  <c r="Q2292" i="28"/>
  <c r="Q2242" i="28"/>
  <c r="Q2236" i="28"/>
  <c r="Q2230" i="28"/>
  <c r="Q2224" i="28"/>
  <c r="Q2223" i="28"/>
  <c r="Q2212" i="28"/>
  <c r="Q2203" i="28"/>
  <c r="Q2201" i="28"/>
  <c r="Q2200" i="28"/>
  <c r="Q2198" i="28"/>
  <c r="Q2183" i="28"/>
  <c r="Q2182" i="28"/>
  <c r="Q2173" i="28"/>
  <c r="Q2172" i="28"/>
  <c r="Q2171" i="28"/>
  <c r="Q2161" i="28"/>
  <c r="Q2158" i="28"/>
  <c r="Q2149" i="28"/>
  <c r="Q2148" i="28"/>
  <c r="Q2132" i="28"/>
  <c r="Q2131" i="28"/>
  <c r="Q2130" i="28"/>
  <c r="Q2127" i="28"/>
  <c r="Q2115" i="28"/>
  <c r="Q2107" i="28"/>
  <c r="Q2106" i="28"/>
  <c r="Q2087" i="28"/>
  <c r="Q2081" i="28"/>
  <c r="Q2075" i="28"/>
  <c r="Q2064" i="28"/>
  <c r="Q2055" i="28"/>
  <c r="Q2040" i="28"/>
  <c r="Q2039" i="28"/>
  <c r="Q2024" i="28"/>
  <c r="Q2016" i="28"/>
  <c r="Q2015" i="28"/>
  <c r="Q2014" i="28"/>
  <c r="Q1998" i="28"/>
  <c r="Q1993" i="28"/>
  <c r="Q1985" i="28"/>
  <c r="Q1984" i="28"/>
  <c r="Q1978" i="28"/>
  <c r="Q1977" i="28"/>
  <c r="Q1976" i="28"/>
  <c r="Q1962" i="28"/>
  <c r="Q1943" i="28"/>
  <c r="Q1931" i="28"/>
  <c r="Q1895" i="28"/>
  <c r="Q1889" i="28"/>
  <c r="Q1886" i="28"/>
  <c r="Q1878" i="28"/>
  <c r="Q1847" i="28"/>
  <c r="Q1816" i="28"/>
  <c r="Q1808" i="28"/>
  <c r="Q1799" i="28"/>
  <c r="Q1797" i="28"/>
  <c r="Q1784" i="28"/>
  <c r="Q1783" i="28"/>
  <c r="Q1777" i="28"/>
  <c r="Q1773" i="28"/>
  <c r="Q1772" i="28"/>
  <c r="Q1765" i="28"/>
  <c r="Q1764" i="28"/>
  <c r="Q1763" i="28"/>
  <c r="Q1758" i="28"/>
  <c r="Q1750" i="28"/>
  <c r="Q1693" i="28"/>
  <c r="Q1692" i="28"/>
  <c r="Q1691" i="28"/>
  <c r="Q1686" i="28"/>
  <c r="Q1685" i="28"/>
  <c r="Q1684" i="28"/>
  <c r="Q1677" i="28"/>
  <c r="Q1648" i="28"/>
  <c r="Q1626" i="28"/>
  <c r="Q1625" i="28"/>
  <c r="Q1621" i="28"/>
  <c r="Q1619" i="28"/>
  <c r="Q1614" i="28"/>
  <c r="Q1595" i="28"/>
  <c r="Q1587" i="28"/>
  <c r="Q1586" i="28"/>
  <c r="Q1569" i="28"/>
  <c r="Q1561" i="28"/>
  <c r="Q1560" i="28"/>
  <c r="Q1559" i="28"/>
  <c r="Q1554" i="28"/>
  <c r="Q1553" i="28"/>
  <c r="Q1552" i="28"/>
  <c r="Q1548" i="28"/>
  <c r="Q1545" i="28"/>
  <c r="X18" i="47"/>
  <c r="G3006" i="28"/>
  <c r="G3000" i="28"/>
  <c r="G2986" i="28"/>
  <c r="G2983" i="28"/>
  <c r="G2977" i="28"/>
  <c r="G2975" i="28"/>
  <c r="G2931" i="28"/>
  <c r="G2919" i="28"/>
  <c r="G2911" i="28"/>
  <c r="G2899" i="28"/>
  <c r="G2846" i="28"/>
  <c r="G2813" i="28"/>
  <c r="G2787" i="28"/>
  <c r="G2768" i="28"/>
  <c r="G2729" i="28"/>
  <c r="G2714" i="28"/>
  <c r="G2676" i="28"/>
  <c r="G2668" i="28"/>
  <c r="G2653" i="28"/>
  <c r="G2648" i="28"/>
  <c r="G2646" i="28"/>
  <c r="G2620" i="28"/>
  <c r="G2566" i="28"/>
  <c r="G2564" i="28"/>
  <c r="G2555" i="28"/>
  <c r="G2528" i="28"/>
  <c r="G2522" i="28"/>
  <c r="G2510" i="28"/>
  <c r="G2508" i="28"/>
  <c r="G2474" i="28"/>
  <c r="G2458" i="28"/>
  <c r="G2454" i="28"/>
  <c r="G2416" i="28"/>
  <c r="G2414" i="28"/>
  <c r="G2411" i="28"/>
  <c r="G2405" i="28"/>
  <c r="G2378" i="28"/>
  <c r="G2355" i="28"/>
  <c r="G2343" i="28"/>
  <c r="G2338" i="28"/>
  <c r="G2317" i="28"/>
  <c r="G2292" i="28"/>
  <c r="G2291" i="28"/>
  <c r="G2273" i="28"/>
  <c r="G2267" i="28"/>
  <c r="G2262" i="28"/>
  <c r="G2224" i="28"/>
  <c r="G2221" i="28"/>
  <c r="G2206" i="28"/>
  <c r="G2179" i="28"/>
  <c r="G2176" i="28"/>
  <c r="G2158" i="28"/>
  <c r="G2148" i="28"/>
  <c r="G2141" i="28"/>
  <c r="G2132" i="28"/>
  <c r="G2127" i="28"/>
  <c r="G2104" i="28"/>
  <c r="G2062" i="28"/>
  <c r="G2029" i="28"/>
  <c r="G2020" i="28"/>
  <c r="G2008" i="28"/>
  <c r="G1999" i="28"/>
  <c r="G1993" i="28"/>
  <c r="G1969" i="28"/>
  <c r="G1933" i="28"/>
  <c r="G1930" i="28"/>
  <c r="G1927" i="28"/>
  <c r="G1919" i="28"/>
  <c r="G1906" i="28"/>
  <c r="G1904" i="28"/>
  <c r="G1894" i="28"/>
  <c r="G1880" i="28"/>
  <c r="G1874" i="28"/>
  <c r="G1871" i="28"/>
  <c r="G1866" i="28"/>
  <c r="G1864" i="28"/>
  <c r="G1846" i="28"/>
  <c r="G1817" i="28"/>
  <c r="G1793" i="28"/>
  <c r="G1778" i="28"/>
  <c r="G1775" i="28"/>
  <c r="G1748" i="28"/>
  <c r="G1742" i="28"/>
  <c r="G1725" i="28"/>
  <c r="G1681" i="28"/>
  <c r="G1672" i="28"/>
  <c r="G1647" i="28"/>
  <c r="G1616" i="28"/>
  <c r="G1613" i="28"/>
  <c r="G1590" i="28"/>
  <c r="G1587" i="28"/>
  <c r="G1563" i="28"/>
  <c r="G1558" i="28"/>
  <c r="G1553" i="28"/>
  <c r="G1539" i="28"/>
  <c r="G4491" i="28"/>
  <c r="G4473" i="28"/>
  <c r="G4459" i="28"/>
  <c r="G4457" i="28"/>
  <c r="G4451" i="28"/>
  <c r="G4448" i="28"/>
  <c r="G4446" i="28"/>
  <c r="G4430" i="28"/>
  <c r="G4402" i="28"/>
  <c r="G4391" i="28"/>
  <c r="G4377" i="28"/>
  <c r="G4366" i="28"/>
  <c r="G4340" i="28"/>
  <c r="G4331" i="28"/>
  <c r="G4314" i="28"/>
  <c r="G4289" i="28"/>
  <c r="G4261" i="28"/>
  <c r="G4249" i="28"/>
  <c r="G4223" i="28"/>
  <c r="G4218" i="28"/>
  <c r="G4168" i="28"/>
  <c r="G4143" i="28"/>
  <c r="G4133" i="28"/>
  <c r="G4123" i="28"/>
  <c r="G4107" i="28"/>
  <c r="G4105" i="28"/>
  <c r="G4093" i="28"/>
  <c r="G4091" i="28"/>
  <c r="G4085" i="28"/>
  <c r="G4068" i="28"/>
  <c r="G4055" i="28"/>
  <c r="G4049" i="28"/>
  <c r="G4028" i="28"/>
  <c r="G4022" i="28"/>
  <c r="G4020" i="28"/>
  <c r="G4011" i="28"/>
  <c r="G3993" i="28"/>
  <c r="G3971" i="28"/>
  <c r="G3906" i="28"/>
  <c r="G3903" i="28"/>
  <c r="G3887" i="28"/>
  <c r="G3855" i="28"/>
  <c r="G3833" i="28"/>
  <c r="G3827" i="28"/>
  <c r="G3821" i="28"/>
  <c r="G3706" i="28"/>
  <c r="G3697" i="28"/>
  <c r="G3692" i="28"/>
  <c r="G3683" i="28"/>
  <c r="G3680" i="28"/>
  <c r="G3678" i="28"/>
  <c r="G3666" i="28"/>
  <c r="G3663" i="28"/>
  <c r="G3658" i="28"/>
  <c r="G3650" i="28"/>
  <c r="G3601" i="28"/>
  <c r="G3594" i="28"/>
  <c r="G3566" i="28"/>
  <c r="G3549" i="28"/>
  <c r="G3541" i="28"/>
  <c r="G3533" i="28"/>
  <c r="G3527" i="28"/>
  <c r="G3518" i="28"/>
  <c r="G3467" i="28"/>
  <c r="G3451" i="28"/>
  <c r="G3445" i="28"/>
  <c r="G3437" i="28"/>
  <c r="G3420" i="28"/>
  <c r="G3410" i="28"/>
  <c r="G3308" i="28"/>
  <c r="G3288" i="28"/>
  <c r="G3270" i="28"/>
  <c r="G3258" i="28"/>
  <c r="G3255" i="28"/>
  <c r="G3252" i="28"/>
  <c r="G3250" i="28"/>
  <c r="G3236" i="28"/>
  <c r="G3215" i="28"/>
  <c r="G3198" i="28"/>
  <c r="G3184" i="28"/>
  <c r="G3150" i="28"/>
  <c r="G3146" i="28"/>
  <c r="G3142" i="28"/>
  <c r="G3099" i="28"/>
  <c r="G3097" i="28"/>
  <c r="G3075" i="28"/>
  <c r="G3066" i="28"/>
  <c r="G3051" i="28"/>
  <c r="G3033" i="28"/>
  <c r="G3014" i="28"/>
  <c r="G6000" i="28"/>
  <c r="G5969" i="28"/>
  <c r="G5947" i="28"/>
  <c r="G5937" i="28"/>
  <c r="G5932" i="28"/>
  <c r="G5929" i="28"/>
  <c r="G5885" i="28"/>
  <c r="G5865" i="28"/>
  <c r="G5829" i="28"/>
  <c r="G5821" i="28"/>
  <c r="G5803" i="28"/>
  <c r="G5795" i="28"/>
  <c r="G5786" i="28"/>
  <c r="G5778" i="28"/>
  <c r="G5763" i="28"/>
  <c r="G5762" i="28"/>
  <c r="G5744" i="28"/>
  <c r="G5731" i="28"/>
  <c r="G5725" i="28"/>
  <c r="G5722" i="28"/>
  <c r="G5718" i="28"/>
  <c r="G5708" i="28"/>
  <c r="G5706" i="28"/>
  <c r="G5703" i="28"/>
  <c r="G5692" i="28"/>
  <c r="G5605" i="28"/>
  <c r="G5541" i="28"/>
  <c r="G5536" i="28"/>
  <c r="G5530" i="28"/>
  <c r="G5510" i="28"/>
  <c r="G5501" i="28"/>
  <c r="G5479" i="28"/>
  <c r="G5473" i="28"/>
  <c r="G5470" i="28"/>
  <c r="G5442" i="28"/>
  <c r="G5439" i="28"/>
  <c r="G5411" i="28"/>
  <c r="G5386" i="28"/>
  <c r="G5377" i="28"/>
  <c r="G5368" i="28"/>
  <c r="G5345" i="28"/>
  <c r="G5317" i="28"/>
  <c r="G5299" i="28"/>
  <c r="G5297" i="28"/>
  <c r="G5279" i="28"/>
  <c r="G5259" i="28"/>
  <c r="G5256" i="28"/>
  <c r="G5254" i="28"/>
  <c r="G5245" i="28"/>
  <c r="G5239" i="28"/>
  <c r="G5216" i="28"/>
  <c r="G5205" i="28"/>
  <c r="G5184" i="28"/>
  <c r="G5144" i="28"/>
  <c r="G5121" i="28"/>
  <c r="G5118" i="28"/>
  <c r="G5095" i="28"/>
  <c r="G5086" i="28"/>
  <c r="G5078" i="28"/>
  <c r="G5070" i="28"/>
  <c r="G5064" i="28"/>
  <c r="G5039" i="28"/>
  <c r="G5011" i="28"/>
  <c r="G4992" i="28"/>
  <c r="G4980" i="28"/>
  <c r="G4968" i="28"/>
  <c r="G4966" i="28"/>
  <c r="G4942" i="28"/>
  <c r="G4916" i="28"/>
  <c r="G4880" i="28"/>
  <c r="G4872" i="28"/>
  <c r="G4839" i="28"/>
  <c r="G4830" i="28"/>
  <c r="G4821" i="28"/>
  <c r="G4793" i="28"/>
  <c r="G4770" i="28"/>
  <c r="G4766" i="28"/>
  <c r="G4760" i="28"/>
  <c r="G4754" i="28"/>
  <c r="Q7" i="47"/>
  <c r="G25" i="28"/>
  <c r="G20" i="28"/>
  <c r="G18" i="28"/>
  <c r="G16" i="28"/>
  <c r="G7" i="28"/>
  <c r="G3004" i="28"/>
  <c r="G2990" i="28"/>
  <c r="G2946" i="28"/>
  <c r="G2943" i="28"/>
  <c r="G2924" i="28"/>
  <c r="G2923" i="28"/>
  <c r="G2920" i="28"/>
  <c r="G2904" i="28"/>
  <c r="G2864" i="28"/>
  <c r="G2856" i="28"/>
  <c r="G2850" i="28"/>
  <c r="G2797" i="28"/>
  <c r="G2783" i="28"/>
  <c r="G2780" i="28"/>
  <c r="G2775" i="28"/>
  <c r="G2773" i="28"/>
  <c r="G2770" i="28"/>
  <c r="G2758" i="28"/>
  <c r="G2725" i="28"/>
  <c r="G2649" i="28"/>
  <c r="G2627" i="28"/>
  <c r="G2621" i="28"/>
  <c r="G2596" i="28"/>
  <c r="G2591" i="28"/>
  <c r="G2585" i="28"/>
  <c r="G2578" i="28"/>
  <c r="G2575" i="28"/>
  <c r="G2545" i="28"/>
  <c r="G2539" i="28"/>
  <c r="G2484" i="28"/>
  <c r="G2475" i="28"/>
  <c r="G2469" i="28"/>
  <c r="G2467" i="28"/>
  <c r="G2453" i="28"/>
  <c r="G2444" i="28"/>
  <c r="G2427" i="28"/>
  <c r="G2404" i="28"/>
  <c r="G2395" i="28"/>
  <c r="G2336" i="28"/>
  <c r="G2333" i="28"/>
  <c r="G2314" i="28"/>
  <c r="G2296" i="28"/>
  <c r="G2288" i="28"/>
  <c r="G2257" i="28"/>
  <c r="G2231" i="28"/>
  <c r="G2220" i="28"/>
  <c r="G2214" i="28"/>
  <c r="G2211" i="28"/>
  <c r="G2209" i="28"/>
  <c r="G2134" i="28"/>
  <c r="G2115" i="28"/>
  <c r="G2095" i="28"/>
  <c r="G2086" i="28"/>
  <c r="G2074" i="28"/>
  <c r="G2072" i="28"/>
  <c r="G2067" i="28"/>
  <c r="G2058" i="28"/>
  <c r="G2053" i="28"/>
  <c r="G2042" i="28"/>
  <c r="G2039" i="28"/>
  <c r="G2034" i="28"/>
  <c r="G2025" i="28"/>
  <c r="G2014" i="28"/>
  <c r="G2012" i="28"/>
  <c r="G2003" i="28"/>
  <c r="G1967" i="28"/>
  <c r="G1961" i="28"/>
  <c r="G1941" i="28"/>
  <c r="G1923" i="28"/>
  <c r="G1918" i="28"/>
  <c r="G1913" i="28"/>
  <c r="G1910" i="28"/>
  <c r="G1892" i="28"/>
  <c r="G1887" i="28"/>
  <c r="G1884" i="28"/>
  <c r="G1881" i="28"/>
  <c r="G1878" i="28"/>
  <c r="G1870" i="28"/>
  <c r="G1861" i="28"/>
  <c r="G1841" i="28"/>
  <c r="G1753" i="28"/>
  <c r="G1744" i="28"/>
  <c r="G1732" i="28"/>
  <c r="G1729" i="28"/>
  <c r="G1680" i="28"/>
  <c r="G1634" i="28"/>
  <c r="G1625" i="28"/>
  <c r="G1623" i="28"/>
  <c r="G1611" i="28"/>
  <c r="G1603" i="28"/>
  <c r="G1588" i="28"/>
  <c r="G1573" i="28"/>
  <c r="G1545" i="28"/>
  <c r="G1532" i="28"/>
  <c r="G1517" i="28"/>
  <c r="G4495" i="28"/>
  <c r="G4478" i="28"/>
  <c r="G4469" i="28"/>
  <c r="G4447" i="28"/>
  <c r="G4444" i="28"/>
  <c r="G4431" i="28"/>
  <c r="G4414" i="28"/>
  <c r="G4412" i="28"/>
  <c r="G4361" i="28"/>
  <c r="G4321" i="28"/>
  <c r="G4318" i="28"/>
  <c r="G4309" i="28"/>
  <c r="G4296" i="28"/>
  <c r="G4294" i="28"/>
  <c r="G4282" i="28"/>
  <c r="G4268" i="28"/>
  <c r="G4262" i="28"/>
  <c r="G4259" i="28"/>
  <c r="G4248" i="28"/>
  <c r="G4219" i="28"/>
  <c r="G4216" i="28"/>
  <c r="G4196" i="28"/>
  <c r="G4140" i="28"/>
  <c r="G4111" i="28"/>
  <c r="G4072" i="28"/>
  <c r="G4051" i="28"/>
  <c r="G4039" i="28"/>
  <c r="G4015" i="28"/>
  <c r="G3985" i="28"/>
  <c r="G3969" i="28"/>
  <c r="G3959" i="28"/>
  <c r="G3954" i="28"/>
  <c r="G3951" i="28"/>
  <c r="G3914" i="28"/>
  <c r="G3911" i="28"/>
  <c r="G3856" i="28"/>
  <c r="G3853" i="28"/>
  <c r="G3839" i="28"/>
  <c r="G3832" i="28"/>
  <c r="G3811" i="28"/>
  <c r="G3808" i="28"/>
  <c r="G3805" i="28"/>
  <c r="G3802" i="28"/>
  <c r="G3800" i="28"/>
  <c r="G3780" i="28"/>
  <c r="G3760" i="28"/>
  <c r="G3743" i="28"/>
  <c r="G3735" i="28"/>
  <c r="G3719" i="28"/>
  <c r="G3713" i="28"/>
  <c r="G3695" i="28"/>
  <c r="G3677" i="28"/>
  <c r="G3675" i="28"/>
  <c r="G3662" i="28"/>
  <c r="G3640" i="28"/>
  <c r="G3638" i="28"/>
  <c r="G3626" i="28"/>
  <c r="G3620" i="28"/>
  <c r="G3608" i="28"/>
  <c r="G3597" i="28"/>
  <c r="G3584" i="28"/>
  <c r="G3559" i="28"/>
  <c r="G3521" i="28"/>
  <c r="G3517" i="28"/>
  <c r="G3496" i="28"/>
  <c r="G3478" i="28"/>
  <c r="G3456" i="28"/>
  <c r="G3435" i="28"/>
  <c r="G3403" i="28"/>
  <c r="G3400" i="28"/>
  <c r="G3378" i="28"/>
  <c r="G3365" i="28"/>
  <c r="G3314" i="28"/>
  <c r="G3301" i="28"/>
  <c r="G3293" i="28"/>
  <c r="G3280" i="28"/>
  <c r="G3277" i="28"/>
  <c r="G3265" i="28"/>
  <c r="G3249" i="28"/>
  <c r="G3229" i="28"/>
  <c r="G3226" i="28"/>
  <c r="G3214" i="28"/>
  <c r="G3211" i="28"/>
  <c r="G3203" i="28"/>
  <c r="G3179" i="28"/>
  <c r="G3173" i="28"/>
  <c r="G3164" i="28"/>
  <c r="G3161" i="28"/>
  <c r="G3086" i="28"/>
  <c r="G3083" i="28"/>
  <c r="G3074" i="28"/>
  <c r="G3061" i="28"/>
  <c r="G5962" i="28"/>
  <c r="G5935" i="28"/>
  <c r="G5919" i="28"/>
  <c r="G5916" i="28"/>
  <c r="G5901" i="28"/>
  <c r="G5876" i="28"/>
  <c r="G5831" i="28"/>
  <c r="G5822" i="28"/>
  <c r="G5819" i="28"/>
  <c r="G5816" i="28"/>
  <c r="G5784" i="28"/>
  <c r="G5761" i="28"/>
  <c r="G5754" i="28"/>
  <c r="G5742" i="28"/>
  <c r="G5727" i="28"/>
  <c r="G5665" i="28"/>
  <c r="G5662" i="28"/>
  <c r="G5648" i="28"/>
  <c r="G5639" i="28"/>
  <c r="G5630" i="28"/>
  <c r="G5624" i="28"/>
  <c r="G5615" i="28"/>
  <c r="G5592" i="28"/>
  <c r="G5571" i="28"/>
  <c r="G5568" i="28"/>
  <c r="G5563" i="28"/>
  <c r="G5560" i="28"/>
  <c r="G5554" i="28"/>
  <c r="G5534" i="28"/>
  <c r="G5515" i="28"/>
  <c r="G5503" i="28"/>
  <c r="G5494" i="28"/>
  <c r="G5485" i="28"/>
  <c r="G5462" i="28"/>
  <c r="G5437" i="28"/>
  <c r="G5434" i="28"/>
  <c r="G5425" i="28"/>
  <c r="G5417" i="28"/>
  <c r="G5414" i="28"/>
  <c r="G5310" i="28"/>
  <c r="G5305" i="28"/>
  <c r="G5271" i="28"/>
  <c r="G5262" i="28"/>
  <c r="G5243" i="28"/>
  <c r="G5240" i="28"/>
  <c r="G5228" i="28"/>
  <c r="G5212" i="28"/>
  <c r="G5146" i="28"/>
  <c r="G5134" i="28"/>
  <c r="G5125" i="28"/>
  <c r="G5116" i="28"/>
  <c r="G5085" i="28"/>
  <c r="G5054" i="28"/>
  <c r="G5042" i="28"/>
  <c r="G5025" i="28"/>
  <c r="G4978" i="28"/>
  <c r="G4964" i="28"/>
  <c r="G4938" i="28"/>
  <c r="G4920" i="28"/>
  <c r="G4905" i="28"/>
  <c r="G4899" i="28"/>
  <c r="G4890" i="28"/>
  <c r="G4884" i="28"/>
  <c r="G4860" i="28"/>
  <c r="G4832" i="28"/>
  <c r="G4796" i="28"/>
  <c r="G4781" i="28"/>
  <c r="G4761" i="28"/>
  <c r="G4759" i="28"/>
  <c r="G4749" i="28"/>
  <c r="G4743" i="28"/>
  <c r="G4738" i="28"/>
  <c r="G4735" i="28"/>
  <c r="G4732" i="28"/>
  <c r="G4728" i="28"/>
  <c r="G4722" i="28"/>
  <c r="G4719" i="28"/>
  <c r="G4710" i="28"/>
  <c r="G4709" i="28"/>
  <c r="G4708" i="28"/>
  <c r="G4703" i="28"/>
  <c r="G4699" i="28"/>
  <c r="G4689" i="28"/>
  <c r="G4681" i="28"/>
  <c r="G4673" i="28"/>
  <c r="G4664" i="28"/>
  <c r="G4662" i="28"/>
  <c r="G4653" i="28"/>
  <c r="G4649" i="28"/>
  <c r="G4648" i="28"/>
  <c r="G4640" i="28"/>
  <c r="G4637" i="28"/>
  <c r="G4629" i="28"/>
  <c r="G4599" i="28"/>
  <c r="G4582" i="28"/>
  <c r="G4576" i="28"/>
  <c r="G4575" i="28"/>
  <c r="G4557" i="28"/>
  <c r="G4549" i="28"/>
  <c r="G4546" i="28"/>
  <c r="G4543" i="28"/>
  <c r="G4542" i="28"/>
  <c r="G4539" i="28"/>
  <c r="G4534" i="28"/>
  <c r="G4532" i="28"/>
  <c r="G4512" i="28"/>
  <c r="G4511" i="28"/>
  <c r="G4508" i="28"/>
  <c r="G6193" i="28"/>
  <c r="G6192" i="28"/>
  <c r="G6190" i="28"/>
  <c r="G6183" i="28"/>
  <c r="G6180" i="28"/>
  <c r="G6168" i="28"/>
  <c r="G6160" i="28"/>
  <c r="G6144" i="28"/>
  <c r="G6127" i="28"/>
  <c r="G6125" i="28"/>
  <c r="G6109" i="28"/>
  <c r="G6104" i="28"/>
  <c r="G6103" i="28"/>
  <c r="G6102" i="28"/>
  <c r="G6101" i="28"/>
  <c r="G6100" i="28"/>
  <c r="G6093" i="28"/>
  <c r="G6076" i="28"/>
  <c r="G6071" i="28"/>
  <c r="G6070" i="28"/>
  <c r="G6061" i="28"/>
  <c r="G6058" i="28"/>
  <c r="G6056" i="28"/>
  <c r="G6045" i="28"/>
  <c r="G6037" i="28"/>
  <c r="G6022" i="28"/>
  <c r="G6019" i="28"/>
  <c r="G6016" i="28"/>
  <c r="G3002" i="28"/>
  <c r="G2963" i="28"/>
  <c r="G2941" i="28"/>
  <c r="G2912" i="28"/>
  <c r="G2910" i="28"/>
  <c r="G2897" i="28"/>
  <c r="G2894" i="28"/>
  <c r="G2892" i="28"/>
  <c r="G2886" i="28"/>
  <c r="G2874" i="28"/>
  <c r="G2855" i="28"/>
  <c r="G2839" i="28"/>
  <c r="G2830" i="28"/>
  <c r="G2812" i="28"/>
  <c r="G2789" i="28"/>
  <c r="G2766" i="28"/>
  <c r="G2763" i="28"/>
  <c r="G2742" i="28"/>
  <c r="G2718" i="28"/>
  <c r="G2715" i="28"/>
  <c r="G2712" i="28"/>
  <c r="G2706" i="28"/>
  <c r="G2700" i="28"/>
  <c r="G2639" i="28"/>
  <c r="G2590" i="28"/>
  <c r="G2588" i="28"/>
  <c r="G2570" i="28"/>
  <c r="G2541" i="28"/>
  <c r="G2532" i="28"/>
  <c r="G2526" i="28"/>
  <c r="G2517" i="28"/>
  <c r="G2502" i="28"/>
  <c r="G2457" i="28"/>
  <c r="G2450" i="28"/>
  <c r="G2417" i="28"/>
  <c r="G2380" i="28"/>
  <c r="G2377" i="28"/>
  <c r="G2374" i="28"/>
  <c r="G2365" i="28"/>
  <c r="G2356" i="28"/>
  <c r="G2350" i="28"/>
  <c r="G2347" i="28"/>
  <c r="G2328" i="28"/>
  <c r="G2326" i="28"/>
  <c r="G2306" i="28"/>
  <c r="G2300" i="28"/>
  <c r="G2274" i="28"/>
  <c r="G2268" i="28"/>
  <c r="G2191" i="28"/>
  <c r="G2168" i="28"/>
  <c r="G2162" i="28"/>
  <c r="G2099" i="28"/>
  <c r="G2096" i="28"/>
  <c r="G2088" i="28"/>
  <c r="G2024" i="28"/>
  <c r="G2021" i="28"/>
  <c r="G1989" i="28"/>
  <c r="G1965" i="28"/>
  <c r="G1963" i="28"/>
  <c r="G1937" i="28"/>
  <c r="G1811" i="28"/>
  <c r="G1808" i="28"/>
  <c r="G1773" i="28"/>
  <c r="G1758" i="28"/>
  <c r="G1746" i="28"/>
  <c r="G1733" i="28"/>
  <c r="G1727" i="28"/>
  <c r="G1682" i="28"/>
  <c r="G1665" i="28"/>
  <c r="G1658" i="28"/>
  <c r="G1656" i="28"/>
  <c r="G1645" i="28"/>
  <c r="G1635" i="28"/>
  <c r="G1612" i="28"/>
  <c r="G1596" i="28"/>
  <c r="G1593" i="28"/>
  <c r="G1562" i="28"/>
  <c r="G1557" i="28"/>
  <c r="G1525" i="28"/>
  <c r="G4505" i="28"/>
  <c r="G4503" i="28"/>
  <c r="G4490" i="28"/>
  <c r="G4487" i="28"/>
  <c r="G4452" i="28"/>
  <c r="G4432" i="28"/>
  <c r="G4429" i="28"/>
  <c r="G4426" i="28"/>
  <c r="G4421" i="28"/>
  <c r="G4418" i="28"/>
  <c r="G4396" i="28"/>
  <c r="G4384" i="28"/>
  <c r="G4381" i="28"/>
  <c r="G4372" i="28"/>
  <c r="G4332" i="28"/>
  <c r="G4275" i="28"/>
  <c r="G4266" i="28"/>
  <c r="G4247" i="28"/>
  <c r="G4242" i="28"/>
  <c r="G4236" i="28"/>
  <c r="G4233" i="28"/>
  <c r="G4230" i="28"/>
  <c r="G4178" i="28"/>
  <c r="G4173" i="28"/>
  <c r="G4158" i="28"/>
  <c r="G4116" i="28"/>
  <c r="G3980" i="28"/>
  <c r="G3974" i="28"/>
  <c r="G3943" i="28"/>
  <c r="G3934" i="28"/>
  <c r="G3910" i="28"/>
  <c r="G3904" i="28"/>
  <c r="G3863" i="28"/>
  <c r="G3840" i="28"/>
  <c r="G3828" i="28"/>
  <c r="G3813" i="28"/>
  <c r="G3779" i="28"/>
  <c r="G3767" i="28"/>
  <c r="G3690" i="28"/>
  <c r="G3667" i="28"/>
  <c r="G3644" i="28"/>
  <c r="G3641" i="28"/>
  <c r="G3622" i="28"/>
  <c r="G3603" i="28"/>
  <c r="G3580" i="28"/>
  <c r="G3578" i="28"/>
  <c r="G3556" i="28"/>
  <c r="G3550" i="28"/>
  <c r="G3547" i="28"/>
  <c r="G3534" i="28"/>
  <c r="G3497" i="28"/>
  <c r="G3488" i="28"/>
  <c r="G3482" i="28"/>
  <c r="G3453" i="28"/>
  <c r="G3434" i="28"/>
  <c r="G3427" i="28"/>
  <c r="G3411" i="28"/>
  <c r="G3390" i="28"/>
  <c r="G3387" i="28"/>
  <c r="G3321" i="28"/>
  <c r="G3318" i="28"/>
  <c r="G3315" i="28"/>
  <c r="G3266" i="28"/>
  <c r="G3241" i="28"/>
  <c r="G3234" i="28"/>
  <c r="G3232" i="28"/>
  <c r="G3187" i="28"/>
  <c r="G3169" i="28"/>
  <c r="G3166" i="28"/>
  <c r="G3133" i="28"/>
  <c r="G3119" i="28"/>
  <c r="G3102" i="28"/>
  <c r="G3068" i="28"/>
  <c r="G3053" i="28"/>
  <c r="G3044" i="28"/>
  <c r="G3026" i="28"/>
  <c r="G3020" i="28"/>
  <c r="G6005" i="28"/>
  <c r="G5997" i="28"/>
  <c r="G5964" i="28"/>
  <c r="G5909" i="28"/>
  <c r="G5906" i="28"/>
  <c r="G5891" i="28"/>
  <c r="G5870" i="28"/>
  <c r="G5849" i="28"/>
  <c r="G5827" i="28"/>
  <c r="G5808" i="28"/>
  <c r="G5791" i="28"/>
  <c r="G5779" i="28"/>
  <c r="G5770" i="28"/>
  <c r="G5757" i="28"/>
  <c r="G5746" i="28"/>
  <c r="G5709" i="28"/>
  <c r="G5699" i="28"/>
  <c r="G5679" i="28"/>
  <c r="G5666" i="28"/>
  <c r="G5654" i="28"/>
  <c r="G5623" i="28"/>
  <c r="G5618" i="28"/>
  <c r="G5600" i="28"/>
  <c r="G5582" i="28"/>
  <c r="G5576" i="28"/>
  <c r="G5550" i="28"/>
  <c r="G5544" i="28"/>
  <c r="G5493" i="28"/>
  <c r="G5487" i="28"/>
  <c r="G5482" i="28"/>
  <c r="G5451" i="28"/>
  <c r="G5445" i="28"/>
  <c r="G5430" i="28"/>
  <c r="G5409" i="28"/>
  <c r="G5399" i="28"/>
  <c r="G5384" i="28"/>
  <c r="G5382" i="28"/>
  <c r="G5352" i="28"/>
  <c r="G5350" i="28"/>
  <c r="G5326" i="28"/>
  <c r="G5309" i="28"/>
  <c r="G5272" i="28"/>
  <c r="G5266" i="28"/>
  <c r="G5238" i="28"/>
  <c r="G5220" i="28"/>
  <c r="G5198" i="28"/>
  <c r="G5178" i="28"/>
  <c r="G5172" i="28"/>
  <c r="G5169" i="28"/>
  <c r="G5139" i="28"/>
  <c r="G5114" i="28"/>
  <c r="G5093" i="28"/>
  <c r="G5029" i="28"/>
  <c r="G5002" i="28"/>
  <c r="G4990" i="28"/>
  <c r="G4959" i="28"/>
  <c r="G4956" i="28"/>
  <c r="G4946" i="28"/>
  <c r="G4927" i="28"/>
  <c r="G4924" i="28"/>
  <c r="G4895" i="28"/>
  <c r="G4873" i="28"/>
  <c r="G4850" i="28"/>
  <c r="G4814" i="28"/>
  <c r="G4812" i="28"/>
  <c r="G4780" i="28"/>
  <c r="G4775" i="28"/>
  <c r="G2979" i="28"/>
  <c r="G2969" i="28"/>
  <c r="G2960" i="28"/>
  <c r="G2954" i="28"/>
  <c r="G2889" i="28"/>
  <c r="G2868" i="28"/>
  <c r="G2848" i="28"/>
  <c r="G2833" i="28"/>
  <c r="G2815" i="28"/>
  <c r="G2809" i="28"/>
  <c r="G2772" i="28"/>
  <c r="G2760" i="28"/>
  <c r="G2745" i="28"/>
  <c r="G2733" i="28"/>
  <c r="G2727" i="28"/>
  <c r="G2709" i="28"/>
  <c r="G2688" i="28"/>
  <c r="G2680" i="28"/>
  <c r="G2677" i="28"/>
  <c r="G2642" i="28"/>
  <c r="G2623" i="28"/>
  <c r="G2600" i="28"/>
  <c r="G2597" i="28"/>
  <c r="G2595" i="28"/>
  <c r="G2551" i="28"/>
  <c r="G2535" i="28"/>
  <c r="G2524" i="28"/>
  <c r="G2514" i="28"/>
  <c r="G2511" i="28"/>
  <c r="G2499" i="28"/>
  <c r="G2489" i="28"/>
  <c r="G2486" i="28"/>
  <c r="G2473" i="28"/>
  <c r="G2470" i="28"/>
  <c r="G2440" i="28"/>
  <c r="G2407" i="28"/>
  <c r="G2283" i="28"/>
  <c r="G2255" i="28"/>
  <c r="G2242" i="28"/>
  <c r="G2233" i="28"/>
  <c r="G2219" i="28"/>
  <c r="G2210" i="28"/>
  <c r="G2194" i="28"/>
  <c r="G2177" i="28"/>
  <c r="G2159" i="28"/>
  <c r="G2156" i="28"/>
  <c r="G2133" i="28"/>
  <c r="G2037" i="28"/>
  <c r="G1986" i="28"/>
  <c r="G1983" i="28"/>
  <c r="G1968" i="28"/>
  <c r="G1960" i="28"/>
  <c r="G1954" i="28"/>
  <c r="G1934" i="28"/>
  <c r="G1911" i="28"/>
  <c r="G1845" i="28"/>
  <c r="G1789" i="28"/>
  <c r="G1779" i="28"/>
  <c r="G1764" i="28"/>
  <c r="G1752" i="28"/>
  <c r="G1736" i="28"/>
  <c r="G1730" i="28"/>
  <c r="G1697" i="28"/>
  <c r="G1676" i="28"/>
  <c r="G1671" i="28"/>
  <c r="G1668" i="28"/>
  <c r="G1602" i="28"/>
  <c r="G1599" i="28"/>
  <c r="G1576" i="28"/>
  <c r="G1551" i="28"/>
  <c r="G1512" i="28"/>
  <c r="G4497" i="28"/>
  <c r="G4484" i="28"/>
  <c r="G4442" i="28"/>
  <c r="G4424" i="28"/>
  <c r="G4362" i="28"/>
  <c r="G4356" i="28"/>
  <c r="G4344" i="28"/>
  <c r="G4341" i="28"/>
  <c r="G4304" i="28"/>
  <c r="G4297" i="28"/>
  <c r="G4281" i="28"/>
  <c r="G4263" i="28"/>
  <c r="G4260" i="28"/>
  <c r="G4239" i="28"/>
  <c r="G4224" i="28"/>
  <c r="G4209" i="28"/>
  <c r="G4203" i="28"/>
  <c r="G4197" i="28"/>
  <c r="G4176" i="28"/>
  <c r="G4132" i="28"/>
  <c r="G4119" i="28"/>
  <c r="G4095" i="28"/>
  <c r="G4061" i="28"/>
  <c r="G4054" i="28"/>
  <c r="G4048" i="28"/>
  <c r="G3958" i="28"/>
  <c r="G3952" i="28"/>
  <c r="G3949" i="28"/>
  <c r="G3937" i="28"/>
  <c r="G3932" i="28"/>
  <c r="G3930" i="28"/>
  <c r="G3879" i="28"/>
  <c r="G3876" i="28"/>
  <c r="G3869" i="28"/>
  <c r="G3816" i="28"/>
  <c r="G3810" i="28"/>
  <c r="G3801" i="28"/>
  <c r="G3749" i="28"/>
  <c r="G3747" i="28"/>
  <c r="G3718" i="28"/>
  <c r="G3712" i="28"/>
  <c r="G3705" i="28"/>
  <c r="G3699" i="28"/>
  <c r="G3679" i="28"/>
  <c r="G3670" i="28"/>
  <c r="G3625" i="28"/>
  <c r="G3583" i="28"/>
  <c r="G3575" i="28"/>
  <c r="G3565" i="28"/>
  <c r="G3558" i="28"/>
  <c r="G3500" i="28"/>
  <c r="G3475" i="28"/>
  <c r="G3462" i="28"/>
  <c r="G3424" i="28"/>
  <c r="G3406" i="28"/>
  <c r="G3379" i="28"/>
  <c r="G3366" i="28"/>
  <c r="G3330" i="28"/>
  <c r="G3309" i="28"/>
  <c r="G3303" i="28"/>
  <c r="G3291" i="28"/>
  <c r="G3284" i="28"/>
  <c r="G3281" i="28"/>
  <c r="G3269" i="28"/>
  <c r="G3257" i="28"/>
  <c r="G3202" i="28"/>
  <c r="G3190" i="28"/>
  <c r="G3177" i="28"/>
  <c r="G3172" i="28"/>
  <c r="G3155" i="28"/>
  <c r="G3147" i="28"/>
  <c r="G3145" i="28"/>
  <c r="G3127" i="28"/>
  <c r="G3121" i="28"/>
  <c r="G3108" i="28"/>
  <c r="G3090" i="28"/>
  <c r="G3062" i="28"/>
  <c r="G3050" i="28"/>
  <c r="G3012" i="28"/>
  <c r="G5982" i="28"/>
  <c r="G5961" i="28"/>
  <c r="G5955" i="28"/>
  <c r="G5930" i="28"/>
  <c r="G5915" i="28"/>
  <c r="G5896" i="28"/>
  <c r="G5893" i="28"/>
  <c r="G5881" i="28"/>
  <c r="G5875" i="28"/>
  <c r="G5858" i="28"/>
  <c r="G5851" i="28"/>
  <c r="G5843" i="28"/>
  <c r="G5796" i="28"/>
  <c r="G5793" i="28"/>
  <c r="G5788" i="28"/>
  <c r="G5785" i="28"/>
  <c r="G5768" i="28"/>
  <c r="G5730" i="28"/>
  <c r="G5719" i="28"/>
  <c r="G5673" i="28"/>
  <c r="G5651" i="28"/>
  <c r="G5638" i="28"/>
  <c r="G5629" i="28"/>
  <c r="G5570" i="28"/>
  <c r="G5539" i="28"/>
  <c r="G5533" i="28"/>
  <c r="G5514" i="28"/>
  <c r="G5476" i="28"/>
  <c r="G5457" i="28"/>
  <c r="G5454" i="28"/>
  <c r="G5433" i="28"/>
  <c r="G5422" i="28"/>
  <c r="G5419" i="28"/>
  <c r="G5402" i="28"/>
  <c r="G5393" i="28"/>
  <c r="G5387" i="28"/>
  <c r="G5379" i="28"/>
  <c r="G5376" i="28"/>
  <c r="G5361" i="28"/>
  <c r="G5358" i="28"/>
  <c r="G5335" i="28"/>
  <c r="G5332" i="28"/>
  <c r="G5321" i="28"/>
  <c r="G5303" i="28"/>
  <c r="G5300" i="28"/>
  <c r="G5293" i="28"/>
  <c r="G5291" i="28"/>
  <c r="G5284" i="28"/>
  <c r="G5275" i="28"/>
  <c r="G5263" i="28"/>
  <c r="G5232" i="28"/>
  <c r="G5226" i="28"/>
  <c r="G5189" i="28"/>
  <c r="G5186" i="28"/>
  <c r="G5162" i="28"/>
  <c r="G5142" i="28"/>
  <c r="G5102" i="28"/>
  <c r="G5084" i="28"/>
  <c r="G5050" i="28"/>
  <c r="G5035" i="28"/>
  <c r="G5023" i="28"/>
  <c r="G4985" i="28"/>
  <c r="G4965" i="28"/>
  <c r="G4943" i="28"/>
  <c r="G4915" i="28"/>
  <c r="G4904" i="28"/>
  <c r="G4901" i="28"/>
  <c r="G4892" i="28"/>
  <c r="G4857" i="28"/>
  <c r="G4844" i="28"/>
  <c r="G4831" i="28"/>
  <c r="G4806" i="28"/>
  <c r="G4800" i="28"/>
  <c r="G4794" i="28"/>
  <c r="G4787" i="28"/>
  <c r="G4762" i="28"/>
  <c r="G9" i="28"/>
  <c r="G2956" i="28"/>
  <c r="G2948" i="28"/>
  <c r="G2942" i="28"/>
  <c r="G2933" i="28"/>
  <c r="G2914" i="28"/>
  <c r="G2908" i="28"/>
  <c r="G2905" i="28"/>
  <c r="G2896" i="28"/>
  <c r="G2872" i="28"/>
  <c r="G2854" i="28"/>
  <c r="G2852" i="28"/>
  <c r="G2834" i="28"/>
  <c r="G2825" i="28"/>
  <c r="G2807" i="28"/>
  <c r="G2796" i="28"/>
  <c r="G2793" i="28"/>
  <c r="G2784" i="28"/>
  <c r="G2759" i="28"/>
  <c r="G2737" i="28"/>
  <c r="G2731" i="28"/>
  <c r="G2726" i="28"/>
  <c r="G2696" i="28"/>
  <c r="G2693" i="28"/>
  <c r="G2662" i="28"/>
  <c r="G2659" i="28"/>
  <c r="G2634" i="28"/>
  <c r="G2625" i="28"/>
  <c r="G2576" i="28"/>
  <c r="G2574" i="28"/>
  <c r="G2572" i="28"/>
  <c r="G2540" i="28"/>
  <c r="G2516" i="28"/>
  <c r="G2485" i="28"/>
  <c r="G2479" i="28"/>
  <c r="G2445" i="28"/>
  <c r="G2431" i="28"/>
  <c r="G2425" i="28"/>
  <c r="G2408" i="28"/>
  <c r="G2381" i="28"/>
  <c r="G2364" i="28"/>
  <c r="G2332" i="28"/>
  <c r="G2304" i="28"/>
  <c r="G2302" i="28"/>
  <c r="G2253" i="28"/>
  <c r="G2247" i="28"/>
  <c r="G2227" i="28"/>
  <c r="G2183" i="28"/>
  <c r="G2173" i="28"/>
  <c r="G2153" i="28"/>
  <c r="G2150" i="28"/>
  <c r="G2113" i="28"/>
  <c r="G2076" i="28"/>
  <c r="G2059" i="28"/>
  <c r="G2044" i="28"/>
  <c r="G2035" i="28"/>
  <c r="G2023" i="28"/>
  <c r="G1978" i="28"/>
  <c r="G1972" i="28"/>
  <c r="G1912" i="28"/>
  <c r="G1901" i="28"/>
  <c r="G1896" i="28"/>
  <c r="G1891" i="28"/>
  <c r="G1885" i="28"/>
  <c r="G1869" i="28"/>
  <c r="G1837" i="28"/>
  <c r="G1834" i="28"/>
  <c r="G1801" i="28"/>
  <c r="G1780" i="28"/>
  <c r="G1760" i="28"/>
  <c r="G1757" i="28"/>
  <c r="G1754" i="28"/>
  <c r="G1737" i="28"/>
  <c r="G1734" i="28"/>
  <c r="G1707" i="28"/>
  <c r="G1704" i="28"/>
  <c r="G1699" i="28"/>
  <c r="G1693" i="28"/>
  <c r="G1675" i="28"/>
  <c r="G1667" i="28"/>
  <c r="G1642" i="28"/>
  <c r="G1630" i="28"/>
  <c r="G1624" i="28"/>
  <c r="G1621" i="28"/>
  <c r="G1592" i="28"/>
  <c r="G1542" i="28"/>
  <c r="G4485" i="28"/>
  <c r="G4441" i="28"/>
  <c r="G4438" i="28"/>
  <c r="G4435" i="28"/>
  <c r="G4380" i="28"/>
  <c r="G4371" i="28"/>
  <c r="G4360" i="28"/>
  <c r="G4334" i="28"/>
  <c r="G4323" i="28"/>
  <c r="G4307" i="28"/>
  <c r="G4246" i="28"/>
  <c r="G4237" i="28"/>
  <c r="G4234" i="28"/>
  <c r="G4229" i="28"/>
  <c r="G4215" i="28"/>
  <c r="G4207" i="28"/>
  <c r="G4201" i="28"/>
  <c r="G4190" i="28"/>
  <c r="G4184" i="28"/>
  <c r="G4128" i="28"/>
  <c r="G4120" i="28"/>
  <c r="G4115" i="28"/>
  <c r="G4112" i="28"/>
  <c r="G4099" i="28"/>
  <c r="G4088" i="28"/>
  <c r="G4071" i="28"/>
  <c r="G4062" i="28"/>
  <c r="G4052" i="28"/>
  <c r="G4007" i="28"/>
  <c r="G3968" i="28"/>
  <c r="G3963" i="28"/>
  <c r="G3960" i="28"/>
  <c r="G3944" i="28"/>
  <c r="G3924" i="28"/>
  <c r="G3918" i="28"/>
  <c r="G3899" i="28"/>
  <c r="G3873" i="28"/>
  <c r="G3812" i="28"/>
  <c r="G3764" i="28"/>
  <c r="G3755" i="28"/>
  <c r="G3751" i="28"/>
  <c r="G3745" i="28"/>
  <c r="G3742" i="28"/>
  <c r="G3739" i="28"/>
  <c r="G3737" i="28"/>
  <c r="G3661" i="28"/>
  <c r="G3604" i="28"/>
  <c r="G3598" i="28"/>
  <c r="G3579" i="28"/>
  <c r="G3563" i="28"/>
  <c r="G3560" i="28"/>
  <c r="G3552" i="28"/>
  <c r="G3501" i="28"/>
  <c r="G3495" i="28"/>
  <c r="G3490" i="28"/>
  <c r="G3473" i="28"/>
  <c r="G3460" i="28"/>
  <c r="G3454" i="28"/>
  <c r="G3431" i="28"/>
  <c r="G3418" i="28"/>
  <c r="G3404" i="28"/>
  <c r="G3398" i="28"/>
  <c r="G3383" i="28"/>
  <c r="G3375" i="28"/>
  <c r="G3355" i="28"/>
  <c r="G3350" i="28"/>
  <c r="G3336" i="28"/>
  <c r="G3334" i="28"/>
  <c r="G3325" i="28"/>
  <c r="G3322" i="28"/>
  <c r="G3279" i="28"/>
  <c r="G3230" i="28"/>
  <c r="G3218" i="28"/>
  <c r="G3212" i="28"/>
  <c r="G3178" i="28"/>
  <c r="G3158" i="28"/>
  <c r="G3136" i="28"/>
  <c r="G3132" i="28"/>
  <c r="G3128" i="28"/>
  <c r="G3113" i="28"/>
  <c r="G3089" i="28"/>
  <c r="G3080" i="28"/>
  <c r="G3064" i="28"/>
  <c r="G3043" i="28"/>
  <c r="G3031" i="28"/>
  <c r="G3016" i="28"/>
  <c r="G3011" i="28"/>
  <c r="G5990" i="28"/>
  <c r="G5981" i="28"/>
  <c r="G5978" i="28"/>
  <c r="G5953" i="28"/>
  <c r="G5950" i="28"/>
  <c r="G5939" i="28"/>
  <c r="G5923" i="28"/>
  <c r="G5914" i="28"/>
  <c r="G5835" i="28"/>
  <c r="G5818" i="28"/>
  <c r="G5756" i="28"/>
  <c r="G5661" i="28"/>
  <c r="G5655" i="28"/>
  <c r="G5631" i="28"/>
  <c r="G5610" i="28"/>
  <c r="G5599" i="28"/>
  <c r="G5596" i="28"/>
  <c r="G5575" i="28"/>
  <c r="G5572" i="28"/>
  <c r="G5552" i="28"/>
  <c r="G5549" i="28"/>
  <c r="G5547" i="28"/>
  <c r="G5532" i="28"/>
  <c r="G5513" i="28"/>
  <c r="G5499" i="28"/>
  <c r="G5491" i="28"/>
  <c r="G5461" i="28"/>
  <c r="G5456" i="28"/>
  <c r="G5444" i="28"/>
  <c r="G5418" i="28"/>
  <c r="G5398" i="28"/>
  <c r="G5370" i="28"/>
  <c r="G5365" i="28"/>
  <c r="G5322" i="28"/>
  <c r="G5288" i="28"/>
  <c r="G5264" i="28"/>
  <c r="G5225" i="28"/>
  <c r="G5222" i="28"/>
  <c r="G5203" i="28"/>
  <c r="G5191" i="28"/>
  <c r="G5185" i="28"/>
  <c r="G5171" i="28"/>
  <c r="G5157" i="28"/>
  <c r="G5150" i="28"/>
  <c r="G5115" i="28"/>
  <c r="G5104" i="28"/>
  <c r="G5092" i="28"/>
  <c r="G5049" i="28"/>
  <c r="G5041" i="28"/>
  <c r="G5027" i="28"/>
  <c r="G5017" i="28"/>
  <c r="G4976" i="28"/>
  <c r="G4960" i="28"/>
  <c r="G4957" i="28"/>
  <c r="G4950" i="28"/>
  <c r="G4947" i="28"/>
  <c r="G4911" i="28"/>
  <c r="G4908" i="28"/>
  <c r="G4875" i="28"/>
  <c r="G4833" i="28"/>
  <c r="G4823" i="28"/>
  <c r="G4810" i="28"/>
  <c r="Q8" i="47"/>
  <c r="G30" i="28"/>
  <c r="G13" i="28"/>
  <c r="G10" i="28"/>
  <c r="G2998" i="28"/>
  <c r="G2984" i="28"/>
  <c r="G2970" i="28"/>
  <c r="G2964" i="28"/>
  <c r="G2927" i="28"/>
  <c r="G2888" i="28"/>
  <c r="G2885" i="28"/>
  <c r="G2835" i="28"/>
  <c r="G2818" i="28"/>
  <c r="G2794" i="28"/>
  <c r="G2778" i="28"/>
  <c r="G2767" i="28"/>
  <c r="G2744" i="28"/>
  <c r="G2728" i="28"/>
  <c r="G2722" i="28"/>
  <c r="G2720" i="28"/>
  <c r="G2699" i="28"/>
  <c r="G2686" i="28"/>
  <c r="G2672" i="28"/>
  <c r="G2655" i="28"/>
  <c r="G2636" i="28"/>
  <c r="G2618" i="28"/>
  <c r="G2613" i="28"/>
  <c r="G2602" i="28"/>
  <c r="G2587" i="28"/>
  <c r="G2580" i="28"/>
  <c r="G2562" i="28"/>
  <c r="G2550" i="28"/>
  <c r="G2542" i="28"/>
  <c r="G2518" i="28"/>
  <c r="G2496" i="28"/>
  <c r="G2481" i="28"/>
  <c r="G2462" i="28"/>
  <c r="G2433" i="28"/>
  <c r="G2430" i="28"/>
  <c r="G2424" i="28"/>
  <c r="G2401" i="28"/>
  <c r="G2357" i="28"/>
  <c r="G2327" i="28"/>
  <c r="G2294" i="28"/>
  <c r="G2272" i="28"/>
  <c r="G2260" i="28"/>
  <c r="G2243" i="28"/>
  <c r="G2228" i="28"/>
  <c r="G2225" i="28"/>
  <c r="G2223" i="28"/>
  <c r="G2166" i="28"/>
  <c r="G2142" i="28"/>
  <c r="G2101" i="28"/>
  <c r="G2048" i="28"/>
  <c r="G2036" i="28"/>
  <c r="G1976" i="28"/>
  <c r="G1973" i="28"/>
  <c r="G1970" i="28"/>
  <c r="G1915" i="28"/>
  <c r="G1908" i="28"/>
  <c r="G1905" i="28"/>
  <c r="G1850" i="28"/>
  <c r="G1844" i="28"/>
  <c r="G1830" i="28"/>
  <c r="G1812" i="28"/>
  <c r="G1803" i="28"/>
  <c r="G1800" i="28"/>
  <c r="G1792" i="28"/>
  <c r="G1786" i="28"/>
  <c r="G1774" i="28"/>
  <c r="G1741" i="28"/>
  <c r="G1723" i="28"/>
  <c r="G1705" i="28"/>
  <c r="G1687" i="28"/>
  <c r="G1683" i="28"/>
  <c r="G1620" i="28"/>
  <c r="G1608" i="28"/>
  <c r="G1606" i="28"/>
  <c r="G1583" i="28"/>
  <c r="G1577" i="28"/>
  <c r="G1520" i="28"/>
  <c r="G1516" i="28"/>
  <c r="G4504" i="28"/>
  <c r="G4420" i="28"/>
  <c r="G4406" i="28"/>
  <c r="G4376" i="28"/>
  <c r="G4373" i="28"/>
  <c r="G4333" i="28"/>
  <c r="G4315" i="28"/>
  <c r="G4302" i="28"/>
  <c r="G4277" i="28"/>
  <c r="G4245" i="28"/>
  <c r="G4228" i="28"/>
  <c r="G4180" i="28"/>
  <c r="G4166" i="28"/>
  <c r="G4156" i="28"/>
  <c r="G4152" i="28"/>
  <c r="G4146" i="28"/>
  <c r="G4103" i="28"/>
  <c r="G4087" i="28"/>
  <c r="G4084" i="28"/>
  <c r="G4075" i="28"/>
  <c r="G4036" i="28"/>
  <c r="G4013" i="28"/>
  <c r="G3998" i="28"/>
  <c r="G3996" i="28"/>
  <c r="G3987" i="28"/>
  <c r="G3983" i="28"/>
  <c r="G3978" i="28"/>
  <c r="G3920" i="28"/>
  <c r="G3908" i="28"/>
  <c r="G3898" i="28"/>
  <c r="G3890" i="28"/>
  <c r="G3845" i="28"/>
  <c r="G3842" i="28"/>
  <c r="G3830" i="28"/>
  <c r="G3814" i="28"/>
  <c r="G3798" i="28"/>
  <c r="G3786" i="28"/>
  <c r="G3778" i="28"/>
  <c r="G3772" i="28"/>
  <c r="G3768" i="28"/>
  <c r="G3653" i="28"/>
  <c r="G3649" i="28"/>
  <c r="G3643" i="28"/>
  <c r="G3623" i="28"/>
  <c r="G3617" i="28"/>
  <c r="G3600" i="28"/>
  <c r="G3581" i="28"/>
  <c r="G3562" i="28"/>
  <c r="G3545" i="28"/>
  <c r="G3532" i="28"/>
  <c r="G3526" i="28"/>
  <c r="G3523" i="28"/>
  <c r="G3502" i="28"/>
  <c r="G3499" i="28"/>
  <c r="G3486" i="28"/>
  <c r="G3469" i="28"/>
  <c r="G3441" i="28"/>
  <c r="G3438" i="28"/>
  <c r="G3426" i="28"/>
  <c r="G3391" i="28"/>
  <c r="G3381" i="28"/>
  <c r="G3362" i="28"/>
  <c r="G3351" i="28"/>
  <c r="G3320" i="28"/>
  <c r="G3295" i="28"/>
  <c r="G3271" i="28"/>
  <c r="G3259" i="28"/>
  <c r="G3253" i="28"/>
  <c r="G3245" i="28"/>
  <c r="G3220" i="28"/>
  <c r="G3208" i="28"/>
  <c r="G3040" i="28"/>
  <c r="G3037" i="28"/>
  <c r="G3010" i="28"/>
  <c r="G5989" i="28"/>
  <c r="G5983" i="28"/>
  <c r="G5977" i="28"/>
  <c r="G5959" i="28"/>
  <c r="G5940" i="28"/>
  <c r="G5913" i="28"/>
  <c r="G5910" i="28"/>
  <c r="G5907" i="28"/>
  <c r="G5838" i="28"/>
  <c r="G5828" i="28"/>
  <c r="G5814" i="28"/>
  <c r="G5807" i="28"/>
  <c r="G5798" i="28"/>
  <c r="G5759" i="28"/>
  <c r="G5749" i="28"/>
  <c r="G5734" i="28"/>
  <c r="G5729" i="28"/>
  <c r="G5724" i="28"/>
  <c r="G5713" i="28"/>
  <c r="G5704" i="28"/>
  <c r="G5674" i="28"/>
  <c r="G5671" i="28"/>
  <c r="G5668" i="28"/>
  <c r="G5601" i="28"/>
  <c r="G5589" i="28"/>
  <c r="G5584" i="28"/>
  <c r="G5551" i="28"/>
  <c r="G5548" i="28"/>
  <c r="G5540" i="28"/>
  <c r="G5505" i="28"/>
  <c r="G5449" i="28"/>
  <c r="G5431" i="28"/>
  <c r="G5397" i="28"/>
  <c r="G5391" i="28"/>
  <c r="G5385" i="28"/>
  <c r="G5367" i="28"/>
  <c r="G5354" i="28"/>
  <c r="G5308" i="28"/>
  <c r="G5286" i="28"/>
  <c r="G5252" i="28"/>
  <c r="G5234" i="28"/>
  <c r="G5206" i="28"/>
  <c r="G5181" i="28"/>
  <c r="G5128" i="28"/>
  <c r="G5097" i="28"/>
  <c r="G5091" i="28"/>
  <c r="G5000" i="28"/>
  <c r="G4961" i="28"/>
  <c r="G4926" i="28"/>
  <c r="G4923" i="28"/>
  <c r="G4851" i="28"/>
  <c r="G4848" i="28"/>
  <c r="G4845" i="28"/>
  <c r="G4792" i="28"/>
  <c r="G4789" i="28"/>
  <c r="G4784" i="28"/>
  <c r="G4767" i="28"/>
  <c r="G4748" i="28"/>
  <c r="G4746" i="28"/>
  <c r="G4737" i="28"/>
  <c r="G4734" i="28"/>
  <c r="G4721" i="28"/>
  <c r="G4715" i="28"/>
  <c r="G4705" i="28"/>
  <c r="G4698" i="28"/>
  <c r="G4695" i="28"/>
  <c r="G4694" i="28"/>
  <c r="G4693" i="28"/>
  <c r="G4685" i="28"/>
  <c r="G4674" i="28"/>
  <c r="G4661" i="28"/>
  <c r="G4658" i="28"/>
  <c r="G4656" i="28"/>
  <c r="G4650" i="28"/>
  <c r="G4646" i="28"/>
  <c r="G4639" i="28"/>
  <c r="G4625" i="28"/>
  <c r="G4622" i="28"/>
  <c r="G4621" i="28"/>
  <c r="G4612" i="28"/>
  <c r="G4607" i="28"/>
  <c r="G4606" i="28"/>
  <c r="G4592" i="28"/>
  <c r="G4590" i="28"/>
  <c r="G4571" i="28"/>
  <c r="G4563" i="28"/>
  <c r="G4558" i="28"/>
  <c r="G4550" i="28"/>
  <c r="G4536" i="28"/>
  <c r="G4530" i="28"/>
  <c r="G4529" i="28"/>
  <c r="G4527" i="28"/>
  <c r="G4523" i="28"/>
  <c r="G4517" i="28"/>
  <c r="G4514" i="28"/>
  <c r="G6188" i="28"/>
  <c r="G6186" i="28"/>
  <c r="G6185" i="28"/>
  <c r="G6184" i="28"/>
  <c r="G6177" i="28"/>
  <c r="G6173" i="28"/>
  <c r="G6167" i="28"/>
  <c r="G6163" i="28"/>
  <c r="G6161" i="28"/>
  <c r="G6157" i="28"/>
  <c r="G6153" i="28"/>
  <c r="G6152" i="28"/>
  <c r="G6147" i="28"/>
  <c r="G6146" i="28"/>
  <c r="G6141" i="28"/>
  <c r="G6140" i="28"/>
  <c r="G6139" i="28"/>
  <c r="G6136" i="28"/>
  <c r="G6131" i="28"/>
  <c r="G6124" i="28"/>
  <c r="G6106" i="28"/>
  <c r="G6092" i="28"/>
  <c r="G6091" i="28"/>
  <c r="G6088" i="28"/>
  <c r="G6084" i="28"/>
  <c r="G6079" i="28"/>
  <c r="G6073" i="28"/>
  <c r="G6072" i="28"/>
  <c r="G6059" i="28"/>
  <c r="G6052" i="28"/>
  <c r="G6050" i="28"/>
  <c r="G6048" i="28"/>
  <c r="G6047" i="28"/>
  <c r="G6046" i="28"/>
  <c r="G6040" i="28"/>
  <c r="G6036" i="28"/>
  <c r="G6020" i="28"/>
  <c r="G6014" i="28"/>
  <c r="G6009" i="28"/>
  <c r="G2993" i="28"/>
  <c r="G2973" i="28"/>
  <c r="G2961" i="28"/>
  <c r="G2949" i="28"/>
  <c r="G2907" i="28"/>
  <c r="G2901" i="28"/>
  <c r="G2882" i="28"/>
  <c r="G2859" i="28"/>
  <c r="G2841" i="28"/>
  <c r="G2829" i="28"/>
  <c r="G2808" i="28"/>
  <c r="G2803" i="28"/>
  <c r="G2785" i="28"/>
  <c r="G2756" i="28"/>
  <c r="G2710" i="28"/>
  <c r="G2705" i="28"/>
  <c r="G2692" i="28"/>
  <c r="G2675" i="28"/>
  <c r="G2666" i="28"/>
  <c r="G2664" i="28"/>
  <c r="G2644" i="28"/>
  <c r="G2638" i="28"/>
  <c r="G2605" i="28"/>
  <c r="G2547" i="28"/>
  <c r="G2527" i="28"/>
  <c r="G2521" i="28"/>
  <c r="G2509" i="28"/>
  <c r="G2490" i="28"/>
  <c r="G2465" i="28"/>
  <c r="G2447" i="28"/>
  <c r="G2438" i="28"/>
  <c r="G2412" i="28"/>
  <c r="G2376" i="28"/>
  <c r="G2354" i="28"/>
  <c r="G2351" i="28"/>
  <c r="G2342" i="28"/>
  <c r="G2321" i="28"/>
  <c r="G2320" i="28"/>
  <c r="G2311" i="28"/>
  <c r="G2282" i="28"/>
  <c r="G2275" i="28"/>
  <c r="G2266" i="28"/>
  <c r="G2217" i="28"/>
  <c r="G2163" i="28"/>
  <c r="G2157" i="28"/>
  <c r="G2098" i="28"/>
  <c r="G2092" i="28"/>
  <c r="G2070" i="28"/>
  <c r="G2065" i="28"/>
  <c r="G2061" i="28"/>
  <c r="G2028" i="28"/>
  <c r="G2022" i="28"/>
  <c r="G1985" i="28"/>
  <c r="G1938" i="28"/>
  <c r="G1932" i="28"/>
  <c r="G1929" i="28"/>
  <c r="G1902" i="28"/>
  <c r="G1873" i="28"/>
  <c r="G1855" i="28"/>
  <c r="G1836" i="28"/>
  <c r="G1833" i="28"/>
  <c r="G1818" i="28"/>
  <c r="G1815" i="28"/>
  <c r="G1784" i="28"/>
  <c r="G1781" i="28"/>
  <c r="G1771" i="28"/>
  <c r="G1765" i="28"/>
  <c r="G1759" i="28"/>
  <c r="G1714" i="28"/>
  <c r="G1692" i="28"/>
  <c r="G1689" i="28"/>
  <c r="G1660" i="28"/>
  <c r="G1652" i="28"/>
  <c r="G1643" i="28"/>
  <c r="G1628" i="28"/>
  <c r="G1617" i="28"/>
  <c r="G1597" i="28"/>
  <c r="G1591" i="28"/>
  <c r="G1575" i="28"/>
  <c r="G1541" i="28"/>
  <c r="G1535" i="28"/>
  <c r="G1507" i="28"/>
  <c r="G4492" i="28"/>
  <c r="G4486" i="28"/>
  <c r="G4463" i="28"/>
  <c r="G4460" i="28"/>
  <c r="G4456" i="28"/>
  <c r="G4453" i="28"/>
  <c r="G4450" i="28"/>
  <c r="G4440" i="28"/>
  <c r="G4387" i="28"/>
  <c r="G4379" i="28"/>
  <c r="G4343" i="28"/>
  <c r="G4330" i="28"/>
  <c r="G4327" i="28"/>
  <c r="G4288" i="28"/>
  <c r="G4265" i="28"/>
  <c r="G4257" i="28"/>
  <c r="G4174" i="28"/>
  <c r="G4171" i="28"/>
  <c r="G4153" i="28"/>
  <c r="G4142" i="28"/>
  <c r="G4131" i="28"/>
  <c r="G4127" i="28"/>
  <c r="G4122" i="28"/>
  <c r="G4100" i="28"/>
  <c r="G4063" i="28"/>
  <c r="G4060" i="28"/>
  <c r="G4057" i="28"/>
  <c r="G4008" i="28"/>
  <c r="G3948" i="28"/>
  <c r="G3896" i="28"/>
  <c r="G3882" i="28"/>
  <c r="G3880" i="28"/>
  <c r="G3859" i="28"/>
  <c r="G3850" i="28"/>
  <c r="G3847" i="28"/>
  <c r="G3823" i="28"/>
  <c r="G3795" i="28"/>
  <c r="G3762" i="28"/>
  <c r="G3741" i="28"/>
  <c r="G3732" i="28"/>
  <c r="G3722" i="28"/>
  <c r="G3688" i="28"/>
  <c r="G3686" i="28"/>
  <c r="G3672" i="28"/>
  <c r="G3665" i="28"/>
  <c r="G3605" i="28"/>
  <c r="G3602" i="28"/>
  <c r="G3590" i="28"/>
  <c r="G3567" i="28"/>
  <c r="G3564" i="28"/>
  <c r="G3542" i="28"/>
  <c r="G3515" i="28"/>
  <c r="G3509" i="28"/>
  <c r="G3483" i="28"/>
  <c r="G3472" i="28"/>
  <c r="G3450" i="28"/>
  <c r="G3405" i="28"/>
  <c r="G3397" i="28"/>
  <c r="G3354" i="28"/>
  <c r="G3345" i="28"/>
  <c r="G3339" i="28"/>
  <c r="G3329" i="28"/>
  <c r="G3307" i="28"/>
  <c r="G3274" i="28"/>
  <c r="G3262" i="28"/>
  <c r="G3242" i="28"/>
  <c r="G3239" i="28"/>
  <c r="G3231" i="28"/>
  <c r="G3217" i="28"/>
  <c r="G3188" i="28"/>
  <c r="G3167" i="28"/>
  <c r="G3092" i="28"/>
  <c r="G3081" i="28"/>
  <c r="G3058" i="28"/>
  <c r="G3052" i="28"/>
  <c r="G3042" i="28"/>
  <c r="G3009" i="28"/>
  <c r="G6006" i="28"/>
  <c r="G5995" i="28"/>
  <c r="G5980" i="28"/>
  <c r="G5946" i="28"/>
  <c r="G5886" i="28"/>
  <c r="G5882" i="28"/>
  <c r="G5869" i="28"/>
  <c r="G5860" i="28"/>
  <c r="G5825" i="28"/>
  <c r="G5790" i="28"/>
  <c r="G5752" i="28"/>
  <c r="G5710" i="28"/>
  <c r="G5701" i="28"/>
  <c r="G5690" i="28"/>
  <c r="G5681" i="28"/>
  <c r="G5636" i="28"/>
  <c r="G5627" i="28"/>
  <c r="G5621" i="28"/>
  <c r="G5598" i="28"/>
  <c r="G5531" i="28"/>
  <c r="G5518" i="28"/>
  <c r="G5500" i="28"/>
  <c r="G5478" i="28"/>
  <c r="G5465" i="28"/>
  <c r="G5440" i="28"/>
  <c r="G5348" i="28"/>
  <c r="G5341" i="28"/>
  <c r="G5313" i="28"/>
  <c r="G5292" i="28"/>
  <c r="G5283" i="28"/>
  <c r="G5274" i="28"/>
  <c r="G5209" i="28"/>
  <c r="G5149" i="28"/>
  <c r="G5112" i="28"/>
  <c r="G5088" i="28"/>
  <c r="G5066" i="28"/>
  <c r="G5060" i="28"/>
  <c r="G5057" i="28"/>
  <c r="G5019" i="28"/>
  <c r="G5003" i="28"/>
  <c r="G4941" i="28"/>
  <c r="G4935" i="28"/>
  <c r="G4896" i="28"/>
  <c r="G4887" i="28"/>
  <c r="G4862" i="28"/>
  <c r="G4799" i="28"/>
  <c r="G4756" i="28"/>
  <c r="G4751" i="28"/>
  <c r="G4745" i="28"/>
  <c r="G4742" i="28"/>
  <c r="G4740" i="28"/>
  <c r="G4736" i="28"/>
  <c r="G4729" i="28"/>
  <c r="G4720" i="28"/>
  <c r="G4717" i="28"/>
  <c r="G4697" i="28"/>
  <c r="G4688" i="28"/>
  <c r="G4672" i="28"/>
  <c r="G4666" i="28"/>
  <c r="G4665" i="28"/>
  <c r="G4652" i="28"/>
  <c r="G4633" i="28"/>
  <c r="G4631" i="28"/>
  <c r="G4628" i="28"/>
  <c r="G4623" i="28"/>
  <c r="G4615" i="28"/>
  <c r="G4608" i="28"/>
  <c r="G4604" i="28"/>
  <c r="G4602" i="28"/>
  <c r="G4601" i="28"/>
  <c r="G4587" i="28"/>
  <c r="G4567" i="28"/>
  <c r="G4562" i="28"/>
  <c r="G4561" i="28"/>
  <c r="G4556" i="28"/>
  <c r="G4548" i="28"/>
  <c r="G4524" i="28"/>
  <c r="G4519" i="28"/>
  <c r="G4507" i="28"/>
  <c r="G6196" i="28"/>
  <c r="G6194" i="28"/>
  <c r="G6189" i="28"/>
  <c r="G6178" i="28"/>
  <c r="G6176" i="28"/>
  <c r="G6175" i="28"/>
  <c r="G6172" i="28"/>
  <c r="G6169" i="28"/>
  <c r="G6165" i="28"/>
  <c r="G6162" i="28"/>
  <c r="G6158" i="28"/>
  <c r="G6155" i="28"/>
  <c r="G6151" i="28"/>
  <c r="G6135" i="28"/>
  <c r="G6129" i="28"/>
  <c r="G6123" i="28"/>
  <c r="G6119" i="28"/>
  <c r="G6094" i="28"/>
  <c r="G6089" i="28"/>
  <c r="G6086" i="28"/>
  <c r="G6077" i="28"/>
  <c r="G6067" i="28"/>
  <c r="G6063" i="28"/>
  <c r="G6055" i="28"/>
  <c r="G6049" i="28"/>
  <c r="G6039" i="28"/>
  <c r="G6033" i="28"/>
  <c r="G6027" i="28"/>
  <c r="G6012" i="28"/>
  <c r="G8" i="28"/>
  <c r="G2966" i="28"/>
  <c r="G2944" i="28"/>
  <c r="G2932" i="28"/>
  <c r="G2922" i="28"/>
  <c r="G2903" i="28"/>
  <c r="G2883" i="28"/>
  <c r="G2865" i="28"/>
  <c r="G2836" i="28"/>
  <c r="G2821" i="28"/>
  <c r="G2799" i="28"/>
  <c r="G2792" i="28"/>
  <c r="G2786" i="28"/>
  <c r="G2736" i="28"/>
  <c r="G2694" i="28"/>
  <c r="G2691" i="28"/>
  <c r="G2667" i="28"/>
  <c r="G2657" i="28"/>
  <c r="G2629" i="28"/>
  <c r="G2626" i="28"/>
  <c r="G2396" i="28"/>
  <c r="G2393" i="28"/>
  <c r="G2390" i="28"/>
  <c r="G2368" i="28"/>
  <c r="G2344" i="28"/>
  <c r="G2334" i="28"/>
  <c r="G2331" i="28"/>
  <c r="G2323" i="28"/>
  <c r="G2271" i="28"/>
  <c r="G2258" i="28"/>
  <c r="G2252" i="28"/>
  <c r="G2230" i="28"/>
  <c r="G2207" i="28"/>
  <c r="G2182" i="28"/>
  <c r="G2165" i="28"/>
  <c r="G2143" i="28"/>
  <c r="G2123" i="28"/>
  <c r="G2120" i="28"/>
  <c r="G2111" i="28"/>
  <c r="G2106" i="28"/>
  <c r="G2093" i="28"/>
  <c r="G2057" i="28"/>
  <c r="G2054" i="28"/>
  <c r="G2017" i="28"/>
  <c r="G2005" i="28"/>
  <c r="G2002" i="28"/>
  <c r="G1980" i="28"/>
  <c r="G1977" i="28"/>
  <c r="G1971" i="28"/>
  <c r="G1957" i="28"/>
  <c r="G1951" i="28"/>
  <c r="G1944" i="28"/>
  <c r="G1876" i="28"/>
  <c r="G1868" i="28"/>
  <c r="G1859" i="28"/>
  <c r="G1820" i="28"/>
  <c r="G1816" i="28"/>
  <c r="G1814" i="28"/>
  <c r="G1802" i="28"/>
  <c r="G1799" i="28"/>
  <c r="G1767" i="28"/>
  <c r="G1755" i="28"/>
  <c r="G1718" i="28"/>
  <c r="G1712" i="28"/>
  <c r="G1703" i="28"/>
  <c r="G1685" i="28"/>
  <c r="G1679" i="28"/>
  <c r="G1632" i="28"/>
  <c r="G1619" i="28"/>
  <c r="G1615" i="28"/>
  <c r="G1568" i="28"/>
  <c r="G1548" i="28"/>
  <c r="G1534" i="28"/>
  <c r="G1531" i="28"/>
  <c r="G4474" i="28"/>
  <c r="G4468" i="28"/>
  <c r="G4458" i="28"/>
  <c r="G4449" i="28"/>
  <c r="G4436" i="28"/>
  <c r="G4390" i="28"/>
  <c r="G4353" i="28"/>
  <c r="G4326" i="28"/>
  <c r="G4211" i="28"/>
  <c r="G4206" i="28"/>
  <c r="G4188" i="28"/>
  <c r="G4141" i="28"/>
  <c r="G4129" i="28"/>
  <c r="G4113" i="28"/>
  <c r="G4108" i="28"/>
  <c r="G4104" i="28"/>
  <c r="G4102" i="28"/>
  <c r="G4077" i="28"/>
  <c r="G4070" i="28"/>
  <c r="G4042" i="28"/>
  <c r="G3967" i="28"/>
  <c r="G3926" i="28"/>
  <c r="G3897" i="28"/>
  <c r="G3895" i="28"/>
  <c r="G3857" i="28"/>
  <c r="G3851" i="28"/>
  <c r="G3838" i="28"/>
  <c r="G3826" i="28"/>
  <c r="G3775" i="28"/>
  <c r="G3730" i="28"/>
  <c r="G3724" i="28"/>
  <c r="G3673" i="28"/>
  <c r="G3657" i="28"/>
  <c r="G3609" i="28"/>
  <c r="G3586" i="28"/>
  <c r="G3544" i="28"/>
  <c r="G3531" i="28"/>
  <c r="G3522" i="28"/>
  <c r="G3508" i="28"/>
  <c r="G3494" i="28"/>
  <c r="G3459" i="28"/>
  <c r="G3409" i="28"/>
  <c r="G3385" i="28"/>
  <c r="G3382" i="28"/>
  <c r="G3363" i="28"/>
  <c r="G3327" i="28"/>
  <c r="G3324" i="28"/>
  <c r="G3294" i="28"/>
  <c r="G3260" i="28"/>
  <c r="G3251" i="28"/>
  <c r="G3222" i="28"/>
  <c r="G3219" i="28"/>
  <c r="G3160" i="28"/>
  <c r="G3149" i="28"/>
  <c r="G3135" i="28"/>
  <c r="G3131" i="28"/>
  <c r="G3098" i="28"/>
  <c r="G3087" i="28"/>
  <c r="G3078" i="28"/>
  <c r="G3035" i="28"/>
  <c r="G3008" i="28"/>
  <c r="G5985" i="28"/>
  <c r="G5976" i="28"/>
  <c r="G5970" i="28"/>
  <c r="G5958" i="28"/>
  <c r="G5924" i="28"/>
  <c r="G5922" i="28"/>
  <c r="G5872" i="28"/>
  <c r="G5805" i="28"/>
  <c r="G5748" i="28"/>
  <c r="G5743" i="28"/>
  <c r="G5728" i="28"/>
  <c r="G5702" i="28"/>
  <c r="G5685" i="28"/>
  <c r="G5609" i="28"/>
  <c r="G5597" i="28"/>
  <c r="G5585" i="28"/>
  <c r="G5553" i="28"/>
  <c r="G5542" i="28"/>
  <c r="G5509" i="28"/>
  <c r="G5506" i="28"/>
  <c r="G5495" i="28"/>
  <c r="G5489" i="28"/>
  <c r="G5469" i="28"/>
  <c r="G5438" i="28"/>
  <c r="G5407" i="28"/>
  <c r="G5372" i="28"/>
  <c r="G5355" i="28"/>
  <c r="G5250" i="28"/>
  <c r="G5244" i="28"/>
  <c r="G5235" i="28"/>
  <c r="G5229" i="28"/>
  <c r="G5210" i="28"/>
  <c r="G5201" i="28"/>
  <c r="G5159" i="28"/>
  <c r="G5105" i="28"/>
  <c r="G5090" i="28"/>
  <c r="G5087" i="28"/>
  <c r="G5071" i="28"/>
  <c r="G5063" i="28"/>
  <c r="G5045" i="28"/>
  <c r="G5020" i="28"/>
  <c r="G5005" i="28"/>
  <c r="G4999" i="28"/>
  <c r="G4996" i="28"/>
  <c r="G4982" i="28"/>
  <c r="G4972" i="28"/>
  <c r="G4940" i="28"/>
  <c r="G4909" i="28"/>
  <c r="G4898" i="28"/>
  <c r="G4883" i="28"/>
  <c r="G4847" i="28"/>
  <c r="G4817" i="28"/>
  <c r="G4809" i="28"/>
  <c r="G4772" i="28"/>
  <c r="G4765" i="28"/>
  <c r="G11" i="28"/>
  <c r="G2997" i="28"/>
  <c r="G2991" i="28"/>
  <c r="G2988" i="28"/>
  <c r="G2939" i="28"/>
  <c r="G2936" i="28"/>
  <c r="G2926" i="28"/>
  <c r="G2875" i="28"/>
  <c r="G2863" i="28"/>
  <c r="G2843" i="28"/>
  <c r="G2837" i="28"/>
  <c r="G2831" i="28"/>
  <c r="G2810" i="28"/>
  <c r="G2806" i="28"/>
  <c r="G2765" i="28"/>
  <c r="G2746" i="28"/>
  <c r="G2734" i="28"/>
  <c r="G2723" i="28"/>
  <c r="G2716" i="28"/>
  <c r="G2711" i="28"/>
  <c r="G2701" i="28"/>
  <c r="G2698" i="28"/>
  <c r="G2684" i="28"/>
  <c r="G2674" i="28"/>
  <c r="G2628" i="28"/>
  <c r="G2614" i="28"/>
  <c r="G2579" i="28"/>
  <c r="G2552" i="28"/>
  <c r="G2549" i="28"/>
  <c r="G2537" i="28"/>
  <c r="G2500" i="28"/>
  <c r="G2468" i="28"/>
  <c r="G2456" i="28"/>
  <c r="G2402" i="28"/>
  <c r="G2394" i="28"/>
  <c r="G2372" i="28"/>
  <c r="G2346" i="28"/>
  <c r="G2307" i="28"/>
  <c r="G2285" i="28"/>
  <c r="G2279" i="28"/>
  <c r="G2270" i="28"/>
  <c r="G2264" i="28"/>
  <c r="G2259" i="28"/>
  <c r="G2244" i="28"/>
  <c r="G2229" i="28"/>
  <c r="G2171" i="28"/>
  <c r="G2119" i="28"/>
  <c r="G2116" i="28"/>
  <c r="G2110" i="28"/>
  <c r="G2108" i="28"/>
  <c r="G2094" i="28"/>
  <c r="G2078" i="28"/>
  <c r="G2066" i="28"/>
  <c r="G2064" i="28"/>
  <c r="G2032" i="28"/>
  <c r="G1990" i="28"/>
  <c r="G1975" i="28"/>
  <c r="G1945" i="28"/>
  <c r="G1939" i="28"/>
  <c r="G1925" i="28"/>
  <c r="G1916" i="28"/>
  <c r="G1882" i="28"/>
  <c r="G1877" i="28"/>
  <c r="G1795" i="28"/>
  <c r="G1790" i="28"/>
  <c r="G1769" i="28"/>
  <c r="G1763" i="28"/>
  <c r="G1731" i="28"/>
  <c r="G1669" i="28"/>
  <c r="G1664" i="28"/>
  <c r="G1662" i="28"/>
  <c r="G1653" i="28"/>
  <c r="G1644" i="28"/>
  <c r="G1636" i="28"/>
  <c r="G1618" i="28"/>
  <c r="G1604" i="28"/>
  <c r="G1601" i="28"/>
  <c r="G1571" i="28"/>
  <c r="G1569" i="28"/>
  <c r="G1550" i="28"/>
  <c r="G1527" i="28"/>
  <c r="G1509" i="28"/>
  <c r="G4488" i="28"/>
  <c r="G4482" i="28"/>
  <c r="G4479" i="28"/>
  <c r="G4461" i="28"/>
  <c r="G4443" i="28"/>
  <c r="G4428" i="28"/>
  <c r="G4425" i="28"/>
  <c r="G4422" i="28"/>
  <c r="G4400" i="28"/>
  <c r="G4388" i="28"/>
  <c r="G4363" i="28"/>
  <c r="G4351" i="28"/>
  <c r="G4317" i="28"/>
  <c r="G4295" i="28"/>
  <c r="G4274" i="28"/>
  <c r="G4271" i="28"/>
  <c r="G4226" i="28"/>
  <c r="G4182" i="28"/>
  <c r="G4160" i="28"/>
  <c r="G4157" i="28"/>
  <c r="G4155" i="28"/>
  <c r="G4149" i="28"/>
  <c r="G4126" i="28"/>
  <c r="G4074" i="28"/>
  <c r="G4040" i="28"/>
  <c r="G4037" i="28"/>
  <c r="G4035" i="28"/>
  <c r="G4026" i="28"/>
  <c r="G3984" i="28"/>
  <c r="G3982" i="28"/>
  <c r="G3979" i="28"/>
  <c r="G3973" i="28"/>
  <c r="G3927" i="28"/>
  <c r="G3889" i="28"/>
  <c r="G3875" i="28"/>
  <c r="G3870" i="28"/>
  <c r="G3867" i="28"/>
  <c r="G3861" i="28"/>
  <c r="G3844" i="28"/>
  <c r="G3824" i="28"/>
  <c r="G3799" i="28"/>
  <c r="G3789" i="28"/>
  <c r="G3758" i="28"/>
  <c r="G3728" i="28"/>
  <c r="G3723" i="28"/>
  <c r="G3694" i="28"/>
  <c r="G3671" i="28"/>
  <c r="G3656" i="28"/>
  <c r="G3645" i="28"/>
  <c r="G3642" i="28"/>
  <c r="G3630" i="28"/>
  <c r="G3627" i="28"/>
  <c r="G3624" i="28"/>
  <c r="G3576" i="28"/>
  <c r="G3573" i="28"/>
  <c r="G3571" i="28"/>
  <c r="G3554" i="28"/>
  <c r="G3536" i="28"/>
  <c r="G3524" i="28"/>
  <c r="G3504" i="28"/>
  <c r="G3485" i="28"/>
  <c r="G3479" i="28"/>
  <c r="G3461" i="28"/>
  <c r="G3428" i="28"/>
  <c r="G3422" i="28"/>
  <c r="G3412" i="28"/>
  <c r="G3389" i="28"/>
  <c r="G3380" i="28"/>
  <c r="G3370" i="28"/>
  <c r="G3341" i="28"/>
  <c r="G3313" i="28"/>
  <c r="G3282" i="28"/>
  <c r="G3201" i="28"/>
  <c r="G3196" i="28"/>
  <c r="G3154" i="28"/>
  <c r="G3152" i="28"/>
  <c r="G3120" i="28"/>
  <c r="G3111" i="28"/>
  <c r="G3107" i="28"/>
  <c r="G3103" i="28"/>
  <c r="G3072" i="28"/>
  <c r="G5984" i="28"/>
  <c r="G5957" i="28"/>
  <c r="G5926" i="28"/>
  <c r="G5918" i="28"/>
  <c r="G5888" i="28"/>
  <c r="G5880" i="28"/>
  <c r="G5877" i="28"/>
  <c r="G5859" i="28"/>
  <c r="G5852" i="28"/>
  <c r="G5842" i="28"/>
  <c r="G5837" i="28"/>
  <c r="G5832" i="28"/>
  <c r="G5826" i="28"/>
  <c r="G5783" i="28"/>
  <c r="G5775" i="28"/>
  <c r="G5772" i="28"/>
  <c r="G5678" i="28"/>
  <c r="G5640" i="28"/>
  <c r="G5619" i="28"/>
  <c r="G5607" i="28"/>
  <c r="G5593" i="28"/>
  <c r="G5581" i="28"/>
  <c r="G5564" i="28"/>
  <c r="G5561" i="28"/>
  <c r="G5504" i="28"/>
  <c r="G5467" i="28"/>
  <c r="G5464" i="28"/>
  <c r="G5459" i="28"/>
  <c r="G5421" i="28"/>
  <c r="G5416" i="28"/>
  <c r="G5413" i="28"/>
  <c r="G5359" i="28"/>
  <c r="G5346" i="28"/>
  <c r="G5336" i="28"/>
  <c r="G5328" i="28"/>
  <c r="G5325" i="28"/>
  <c r="G5311" i="28"/>
  <c r="G5301" i="28"/>
  <c r="G5294" i="28"/>
  <c r="G5290" i="28"/>
  <c r="G5285" i="28"/>
  <c r="G5261" i="28"/>
  <c r="G5197" i="28"/>
  <c r="G5163" i="28"/>
  <c r="G5147" i="28"/>
  <c r="G5138" i="28"/>
  <c r="G5129" i="28"/>
  <c r="G5124" i="28"/>
  <c r="G5061" i="28"/>
  <c r="G5043" i="28"/>
  <c r="G5024" i="28"/>
  <c r="G5006" i="28"/>
  <c r="G5001" i="28"/>
  <c r="G4979" i="28"/>
  <c r="G4963" i="28"/>
  <c r="G4954" i="28"/>
  <c r="G4944" i="28"/>
  <c r="G4925" i="28"/>
  <c r="G4897" i="28"/>
  <c r="G4882" i="28"/>
  <c r="G4878" i="28"/>
  <c r="G4867" i="28"/>
  <c r="G4864" i="28"/>
  <c r="G4852" i="28"/>
  <c r="G4846" i="28"/>
  <c r="G4828" i="28"/>
  <c r="Q9" i="47"/>
  <c r="G26" i="28"/>
  <c r="G19" i="28"/>
  <c r="G15" i="28"/>
  <c r="G14" i="28"/>
  <c r="G31" i="28"/>
  <c r="G29" i="28"/>
  <c r="G24" i="28"/>
  <c r="G2967" i="28"/>
  <c r="G2898" i="28"/>
  <c r="G2832" i="28"/>
  <c r="G2805" i="28"/>
  <c r="G2800" i="28"/>
  <c r="G2761" i="28"/>
  <c r="G2747" i="28"/>
  <c r="G2735" i="28"/>
  <c r="G2732" i="28"/>
  <c r="G2717" i="28"/>
  <c r="G2615" i="28"/>
  <c r="G2593" i="28"/>
  <c r="G2571" i="28"/>
  <c r="G2553" i="28"/>
  <c r="G2533" i="28"/>
  <c r="G2487" i="28"/>
  <c r="G2472" i="28"/>
  <c r="G2455" i="28"/>
  <c r="G2441" i="28"/>
  <c r="G2415" i="28"/>
  <c r="G2406" i="28"/>
  <c r="G2373" i="28"/>
  <c r="G2360" i="28"/>
  <c r="G2324" i="28"/>
  <c r="G2316" i="28"/>
  <c r="G2305" i="28"/>
  <c r="G2172" i="28"/>
  <c r="G2139" i="28"/>
  <c r="G2131" i="28"/>
  <c r="G2109" i="28"/>
  <c r="G2103" i="28"/>
  <c r="G2083" i="28"/>
  <c r="G2050" i="28"/>
  <c r="G2016" i="28"/>
  <c r="G1991" i="28"/>
  <c r="G1952" i="28"/>
  <c r="G1926" i="28"/>
  <c r="G1867" i="28"/>
  <c r="G1847" i="28"/>
  <c r="G1797" i="28"/>
  <c r="G1762" i="28"/>
  <c r="G1747" i="28"/>
  <c r="G1720" i="28"/>
  <c r="G1717" i="28"/>
  <c r="G1702" i="28"/>
  <c r="G1663" i="28"/>
  <c r="G1657" i="28"/>
  <c r="G1654" i="28"/>
  <c r="G1631" i="28"/>
  <c r="G1600" i="28"/>
  <c r="G1570" i="28"/>
  <c r="G1556" i="28"/>
  <c r="G1552" i="28"/>
  <c r="G1510" i="28"/>
  <c r="G4475" i="28"/>
  <c r="G4434" i="28"/>
  <c r="G4427" i="28"/>
  <c r="G4423" i="28"/>
  <c r="G4364" i="28"/>
  <c r="G4352" i="28"/>
  <c r="G4339" i="28"/>
  <c r="G4291" i="28"/>
  <c r="G4285" i="28"/>
  <c r="G4254" i="28"/>
  <c r="G4189" i="28"/>
  <c r="G4148" i="28"/>
  <c r="G4134" i="28"/>
  <c r="G4106" i="28"/>
  <c r="G4053" i="28"/>
  <c r="G4021" i="28"/>
  <c r="G4019" i="28"/>
  <c r="G4017" i="28"/>
  <c r="G4000" i="28"/>
  <c r="G3966" i="28"/>
  <c r="G3928" i="28"/>
  <c r="G3884" i="28"/>
  <c r="G3877" i="28"/>
  <c r="G3820" i="28"/>
  <c r="G3817" i="28"/>
  <c r="G3788" i="28"/>
  <c r="G3783" i="28"/>
  <c r="G3776" i="28"/>
  <c r="G3774" i="28"/>
  <c r="G3707" i="28"/>
  <c r="G3698" i="28"/>
  <c r="G3611" i="28"/>
  <c r="G3535" i="28"/>
  <c r="G3529" i="28"/>
  <c r="G3444" i="28"/>
  <c r="G3432" i="28"/>
  <c r="G3416" i="28"/>
  <c r="G3323" i="28"/>
  <c r="G3246" i="28"/>
  <c r="G3206" i="28"/>
  <c r="G3200" i="28"/>
  <c r="G3197" i="28"/>
  <c r="G3194" i="28"/>
  <c r="G3185" i="28"/>
  <c r="G3094" i="28"/>
  <c r="G3067" i="28"/>
  <c r="G3055" i="28"/>
  <c r="G3021" i="28"/>
  <c r="G5986" i="28"/>
  <c r="G5971" i="28"/>
  <c r="G5956" i="28"/>
  <c r="G5948" i="28"/>
  <c r="G5943" i="28"/>
  <c r="G5938" i="28"/>
  <c r="G5928" i="28"/>
  <c r="G5899" i="28"/>
  <c r="G5892" i="28"/>
  <c r="G5889" i="28"/>
  <c r="G5850" i="28"/>
  <c r="G5774" i="28"/>
  <c r="G5771" i="28"/>
  <c r="G5740" i="28"/>
  <c r="G5693" i="28"/>
  <c r="G5684" i="28"/>
  <c r="G5660" i="28"/>
  <c r="G5595" i="28"/>
  <c r="G5580" i="28"/>
  <c r="G5565" i="28"/>
  <c r="G5545" i="28"/>
  <c r="G5521" i="28"/>
  <c r="G5486" i="28"/>
  <c r="G5481" i="28"/>
  <c r="G5468" i="28"/>
  <c r="G5446" i="28"/>
  <c r="G5428" i="28"/>
  <c r="G5394" i="28"/>
  <c r="G5378" i="28"/>
  <c r="G5357" i="28"/>
  <c r="G5334" i="28"/>
  <c r="G5298" i="28"/>
  <c r="G5280" i="28"/>
  <c r="G5199" i="28"/>
  <c r="G5177" i="28"/>
  <c r="G5170" i="28"/>
  <c r="G5167" i="28"/>
  <c r="G5164" i="28"/>
  <c r="G5161" i="28"/>
  <c r="G5152" i="28"/>
  <c r="G5143" i="28"/>
  <c r="G5140" i="28"/>
  <c r="G5119" i="28"/>
  <c r="G5100" i="28"/>
  <c r="G5079" i="28"/>
  <c r="G5075" i="28"/>
  <c r="G5073" i="28"/>
  <c r="G5031" i="28"/>
  <c r="G5028" i="28"/>
  <c r="G4997" i="28"/>
  <c r="G4994" i="28"/>
  <c r="G4981" i="28"/>
  <c r="G4958" i="28"/>
  <c r="G4910" i="28"/>
  <c r="G4893" i="28"/>
  <c r="G4874" i="28"/>
  <c r="G4868" i="28"/>
  <c r="G4865" i="28"/>
  <c r="G4819" i="28"/>
  <c r="G4744" i="28"/>
  <c r="G4730" i="28"/>
  <c r="G4726" i="28"/>
  <c r="G4701" i="28"/>
  <c r="G4687" i="28"/>
  <c r="G4683" i="28"/>
  <c r="G4679" i="28"/>
  <c r="G4677" i="28"/>
  <c r="G4668" i="28"/>
  <c r="G4660" i="28"/>
  <c r="G4651" i="28"/>
  <c r="G4647" i="28"/>
  <c r="G4632" i="28"/>
  <c r="G4624" i="28"/>
  <c r="G4620" i="28"/>
  <c r="G4617" i="28"/>
  <c r="G4614" i="28"/>
  <c r="G4603" i="28"/>
  <c r="G4600" i="28"/>
  <c r="G4595" i="28"/>
  <c r="G4589" i="28"/>
  <c r="G4584" i="28"/>
  <c r="G4581" i="28"/>
  <c r="G4578" i="28"/>
  <c r="G4569" i="28"/>
  <c r="G4566" i="28"/>
  <c r="G4540" i="28"/>
  <c r="G4538" i="28"/>
  <c r="G4537" i="28"/>
  <c r="G4535" i="28"/>
  <c r="G4531" i="28"/>
  <c r="G4521" i="28"/>
  <c r="G4510" i="28"/>
  <c r="G6171" i="28"/>
  <c r="G6170" i="28"/>
  <c r="G6166" i="28"/>
  <c r="G6156" i="28"/>
  <c r="G6148" i="28"/>
  <c r="G6128" i="28"/>
  <c r="G6122" i="28"/>
  <c r="G6117" i="28"/>
  <c r="G6114" i="28"/>
  <c r="G6113" i="28"/>
  <c r="G6112" i="28"/>
  <c r="G6108" i="28"/>
  <c r="G6107" i="28"/>
  <c r="G6095" i="28"/>
  <c r="G6087" i="28"/>
  <c r="G6085" i="28"/>
  <c r="G6078" i="28"/>
  <c r="G6075" i="28"/>
  <c r="G6065" i="28"/>
  <c r="G6064" i="28"/>
  <c r="G6062" i="28"/>
  <c r="G6060" i="28"/>
  <c r="G6041" i="28"/>
  <c r="G6034" i="28"/>
  <c r="G6030" i="28"/>
  <c r="G6025" i="28"/>
  <c r="G6018" i="28"/>
  <c r="G6015" i="28"/>
  <c r="G2999" i="28"/>
  <c r="G2992" i="28"/>
  <c r="G2877" i="28"/>
  <c r="G2845" i="28"/>
  <c r="G2802" i="28"/>
  <c r="G2754" i="28"/>
  <c r="G2739" i="28"/>
  <c r="G2685" i="28"/>
  <c r="G2673" i="28"/>
  <c r="G2660" i="28"/>
  <c r="G2651" i="28"/>
  <c r="G2645" i="28"/>
  <c r="G2619" i="28"/>
  <c r="G2616" i="28"/>
  <c r="G2609" i="28"/>
  <c r="G2557" i="28"/>
  <c r="G2548" i="28"/>
  <c r="G2538" i="28"/>
  <c r="G2495" i="28"/>
  <c r="G2492" i="28"/>
  <c r="G2446" i="28"/>
  <c r="G2387" i="28"/>
  <c r="G2362" i="28"/>
  <c r="G2246" i="28"/>
  <c r="G2204" i="28"/>
  <c r="G2197" i="28"/>
  <c r="G2152" i="28"/>
  <c r="G2146" i="28"/>
  <c r="G2126" i="28"/>
  <c r="G2079" i="28"/>
  <c r="G2033" i="28"/>
  <c r="G2007" i="28"/>
  <c r="G1862" i="28"/>
  <c r="G1832" i="28"/>
  <c r="G1829" i="28"/>
  <c r="G1749" i="28"/>
  <c r="G1724" i="28"/>
  <c r="G1715" i="28"/>
  <c r="G1709" i="28"/>
  <c r="G1694" i="28"/>
  <c r="G1691" i="28"/>
  <c r="G1661" i="28"/>
  <c r="G1626" i="28"/>
  <c r="G1605" i="28"/>
  <c r="G1528" i="28"/>
  <c r="G4500" i="28"/>
  <c r="G4471" i="28"/>
  <c r="G4462" i="28"/>
  <c r="G4455" i="28"/>
  <c r="G4439" i="28"/>
  <c r="G4405" i="28"/>
  <c r="G4398" i="28"/>
  <c r="G4378" i="28"/>
  <c r="G4369" i="28"/>
  <c r="G4350" i="28"/>
  <c r="G4316" i="28"/>
  <c r="G4272" i="28"/>
  <c r="G4244" i="28"/>
  <c r="G4227" i="28"/>
  <c r="G4217" i="28"/>
  <c r="G4200" i="28"/>
  <c r="G4194" i="28"/>
  <c r="G4098" i="28"/>
  <c r="G4092" i="28"/>
  <c r="G4067" i="28"/>
  <c r="G3961" i="28"/>
  <c r="G3919" i="28"/>
  <c r="G3733" i="28"/>
  <c r="G3702" i="28"/>
  <c r="G3693" i="28"/>
  <c r="G3687" i="28"/>
  <c r="G3647" i="28"/>
  <c r="G3589" i="28"/>
  <c r="G3572" i="28"/>
  <c r="G3568" i="28"/>
  <c r="G3511" i="28"/>
  <c r="G3506" i="28"/>
  <c r="G3503" i="28"/>
  <c r="G3399" i="28"/>
  <c r="G3396" i="28"/>
  <c r="G3340" i="28"/>
  <c r="G3300" i="28"/>
  <c r="G3275" i="28"/>
  <c r="G3263" i="28"/>
  <c r="G3216" i="28"/>
  <c r="G3151" i="28"/>
  <c r="G3143" i="28"/>
  <c r="G3129" i="28"/>
  <c r="G3123" i="28"/>
  <c r="G3115" i="28"/>
  <c r="G3096" i="28"/>
  <c r="G3059" i="28"/>
  <c r="G3032" i="28"/>
  <c r="G3023" i="28"/>
  <c r="G5994" i="28"/>
  <c r="G5949" i="28"/>
  <c r="G5945" i="28"/>
  <c r="G5867" i="28"/>
  <c r="G5820" i="28"/>
  <c r="G5733" i="28"/>
  <c r="G5682" i="28"/>
  <c r="G5672" i="28"/>
  <c r="G5669" i="28"/>
  <c r="G5663" i="28"/>
  <c r="G5641" i="28"/>
  <c r="G5633" i="28"/>
  <c r="G5626" i="28"/>
  <c r="G5606" i="28"/>
  <c r="G5594" i="28"/>
  <c r="G5579" i="28"/>
  <c r="G5546" i="28"/>
  <c r="G5529" i="28"/>
  <c r="G5524" i="28"/>
  <c r="G5502" i="28"/>
  <c r="G5441" i="28"/>
  <c r="G5390" i="28"/>
  <c r="G5373" i="28"/>
  <c r="G5366" i="28"/>
  <c r="G5363" i="28"/>
  <c r="G5343" i="28"/>
  <c r="G5312" i="28"/>
  <c r="G5281" i="28"/>
  <c r="G5278" i="28"/>
  <c r="G5253" i="28"/>
  <c r="G5241" i="28"/>
  <c r="G5204" i="28"/>
  <c r="G5192" i="28"/>
  <c r="G5179" i="28"/>
  <c r="G5136" i="28"/>
  <c r="G5130" i="28"/>
  <c r="G5096" i="28"/>
  <c r="G5068" i="28"/>
  <c r="G5059" i="28"/>
  <c r="G5037" i="28"/>
  <c r="G5032" i="28"/>
  <c r="G5010" i="28"/>
  <c r="G4993" i="28"/>
  <c r="G4987" i="28"/>
  <c r="G4969" i="28"/>
  <c r="G4889" i="28"/>
  <c r="G4876" i="28"/>
  <c r="G4853" i="28"/>
  <c r="G4803" i="28"/>
  <c r="G4769" i="28"/>
  <c r="G2994" i="28"/>
  <c r="G2945" i="28"/>
  <c r="G2928" i="28"/>
  <c r="G2917" i="28"/>
  <c r="G2887" i="28"/>
  <c r="G2857" i="28"/>
  <c r="G2819" i="28"/>
  <c r="G2816" i="28"/>
  <c r="G2687" i="28"/>
  <c r="G2681" i="28"/>
  <c r="G2558" i="28"/>
  <c r="G2501" i="28"/>
  <c r="G2494" i="28"/>
  <c r="G2491" i="28"/>
  <c r="G2451" i="28"/>
  <c r="G2436" i="28"/>
  <c r="G2434" i="28"/>
  <c r="G2422" i="28"/>
  <c r="G2419" i="28"/>
  <c r="G2397" i="28"/>
  <c r="G2383" i="28"/>
  <c r="G2349" i="28"/>
  <c r="G2335" i="28"/>
  <c r="G2325" i="28"/>
  <c r="G2310" i="28"/>
  <c r="G2256" i="28"/>
  <c r="G2198" i="28"/>
  <c r="G2195" i="28"/>
  <c r="G2181" i="28"/>
  <c r="G2164" i="28"/>
  <c r="G2155" i="28"/>
  <c r="G2122" i="28"/>
  <c r="G2105" i="28"/>
  <c r="G2081" i="28"/>
  <c r="G2046" i="28"/>
  <c r="G2038" i="28"/>
  <c r="G2018" i="28"/>
  <c r="G1981" i="28"/>
  <c r="G1956" i="28"/>
  <c r="G1947" i="28"/>
  <c r="G1936" i="28"/>
  <c r="G1909" i="28"/>
  <c r="G1899" i="28"/>
  <c r="G1888" i="28"/>
  <c r="G1860" i="28"/>
  <c r="G1851" i="28"/>
  <c r="G1840" i="28"/>
  <c r="G1828" i="28"/>
  <c r="G1825" i="28"/>
  <c r="G1804" i="28"/>
  <c r="G1696" i="28"/>
  <c r="G1650" i="28"/>
  <c r="G1639" i="28"/>
  <c r="G1633" i="28"/>
  <c r="G1610" i="28"/>
  <c r="G1595" i="28"/>
  <c r="G1581" i="28"/>
  <c r="G1574" i="28"/>
  <c r="G4494" i="28"/>
  <c r="G4416" i="28"/>
  <c r="G4413" i="28"/>
  <c r="G4407" i="28"/>
  <c r="G4404" i="28"/>
  <c r="G4385" i="28"/>
  <c r="G4374" i="28"/>
  <c r="G4348" i="28"/>
  <c r="G4337" i="28"/>
  <c r="G4311" i="28"/>
  <c r="G4308" i="28"/>
  <c r="G4220" i="28"/>
  <c r="G4199" i="28"/>
  <c r="G4175" i="28"/>
  <c r="G4170" i="28"/>
  <c r="G4162" i="28"/>
  <c r="G4130" i="28"/>
  <c r="G4065" i="28"/>
  <c r="G4059" i="28"/>
  <c r="G4046" i="28"/>
  <c r="G4043" i="28"/>
  <c r="G4033" i="28"/>
  <c r="G4016" i="28"/>
  <c r="G4014" i="28"/>
  <c r="G4001" i="28"/>
  <c r="G3997" i="28"/>
  <c r="G3990" i="28"/>
  <c r="G3988" i="28"/>
  <c r="G3976" i="28"/>
  <c r="G3965" i="28"/>
  <c r="G3921" i="28"/>
  <c r="G3909" i="28"/>
  <c r="G3883" i="28"/>
  <c r="G3852" i="28"/>
  <c r="G3849" i="28"/>
  <c r="G3846" i="28"/>
  <c r="G3806" i="28"/>
  <c r="G3766" i="28"/>
  <c r="G3734" i="28"/>
  <c r="G3726" i="28"/>
  <c r="G3720" i="28"/>
  <c r="G3717" i="28"/>
  <c r="G3711" i="28"/>
  <c r="G3648" i="28"/>
  <c r="G3636" i="28"/>
  <c r="G3621" i="28"/>
  <c r="G3569" i="28"/>
  <c r="G3557" i="28"/>
  <c r="G3539" i="28"/>
  <c r="G3520" i="28"/>
  <c r="G3516" i="28"/>
  <c r="G3513" i="28"/>
  <c r="G3510" i="28"/>
  <c r="G3487" i="28"/>
  <c r="G3470" i="28"/>
  <c r="G3457" i="28"/>
  <c r="G3439" i="28"/>
  <c r="G3425" i="28"/>
  <c r="G3392" i="28"/>
  <c r="G3377" i="28"/>
  <c r="G3358" i="28"/>
  <c r="G3347" i="28"/>
  <c r="G3328" i="28"/>
  <c r="G3305" i="28"/>
  <c r="G3292" i="28"/>
  <c r="G3244" i="28"/>
  <c r="G3221" i="28"/>
  <c r="G3210" i="28"/>
  <c r="G3189" i="28"/>
  <c r="G3168" i="28"/>
  <c r="G3162" i="28"/>
  <c r="G3156" i="28"/>
  <c r="G3130" i="28"/>
  <c r="G3118" i="28"/>
  <c r="G3114" i="28"/>
  <c r="G3095" i="28"/>
  <c r="G3082" i="28"/>
  <c r="G6001" i="28"/>
  <c r="G5960" i="28"/>
  <c r="G5944" i="28"/>
  <c r="G5897" i="28"/>
  <c r="G5862" i="28"/>
  <c r="G5854" i="28"/>
  <c r="G5845" i="28"/>
  <c r="G5840" i="28"/>
  <c r="G5809" i="28"/>
  <c r="G5801" i="28"/>
  <c r="G5753" i="28"/>
  <c r="G5750" i="28"/>
  <c r="G5747" i="28"/>
  <c r="G5738" i="28"/>
  <c r="G5695" i="28"/>
  <c r="G5689" i="28"/>
  <c r="G5680" i="28"/>
  <c r="G5637" i="28"/>
  <c r="G5622" i="28"/>
  <c r="G5613" i="28"/>
  <c r="G5538" i="28"/>
  <c r="G5516" i="28"/>
  <c r="G5496" i="28"/>
  <c r="G5488" i="28"/>
  <c r="G5484" i="28"/>
  <c r="G5447" i="28"/>
  <c r="G5426" i="28"/>
  <c r="G5408" i="28"/>
  <c r="G5342" i="28"/>
  <c r="G5319" i="28"/>
  <c r="G5314" i="28"/>
  <c r="G5273" i="28"/>
  <c r="G5200" i="28"/>
  <c r="G5180" i="28"/>
  <c r="G5174" i="28"/>
  <c r="G5160" i="28"/>
  <c r="G5154" i="28"/>
  <c r="G5113" i="28"/>
  <c r="G5089" i="28"/>
  <c r="G5076" i="28"/>
  <c r="G5055" i="28"/>
  <c r="G5046" i="28"/>
  <c r="G5018" i="28"/>
  <c r="G5009" i="28"/>
  <c r="G4971" i="28"/>
  <c r="G4936" i="28"/>
  <c r="G4931" i="28"/>
  <c r="G4928" i="28"/>
  <c r="G4891" i="28"/>
  <c r="G4888" i="28"/>
  <c r="G4870" i="28"/>
  <c r="G4788" i="28"/>
  <c r="G4768" i="28"/>
  <c r="Q10" i="47"/>
  <c r="G2968" i="28"/>
  <c r="G2965" i="28"/>
  <c r="G2959" i="28"/>
  <c r="G2953" i="28"/>
  <c r="G2893" i="28"/>
  <c r="G2890" i="28"/>
  <c r="G2884" i="28"/>
  <c r="G2866" i="28"/>
  <c r="G2860" i="28"/>
  <c r="G2798" i="28"/>
  <c r="G2755" i="28"/>
  <c r="G2640" i="28"/>
  <c r="G2631" i="28"/>
  <c r="G2617" i="28"/>
  <c r="G2598" i="28"/>
  <c r="G2569" i="28"/>
  <c r="G2497" i="28"/>
  <c r="G2488" i="28"/>
  <c r="G2482" i="28"/>
  <c r="G2477" i="28"/>
  <c r="G2375" i="28"/>
  <c r="G2322" i="28"/>
  <c r="G2276" i="28"/>
  <c r="G2232" i="28"/>
  <c r="G2218" i="28"/>
  <c r="G2215" i="28"/>
  <c r="G2203" i="28"/>
  <c r="G2201" i="28"/>
  <c r="G2186" i="28"/>
  <c r="G2167" i="28"/>
  <c r="G2135" i="28"/>
  <c r="G2130" i="28"/>
  <c r="G2125" i="28"/>
  <c r="G2097" i="28"/>
  <c r="G2087" i="28"/>
  <c r="G2056" i="28"/>
  <c r="G2049" i="28"/>
  <c r="G2026" i="28"/>
  <c r="G1942" i="28"/>
  <c r="G1854" i="28"/>
  <c r="G1831" i="28"/>
  <c r="G1751" i="28"/>
  <c r="G1728" i="28"/>
  <c r="G1719" i="28"/>
  <c r="G1716" i="28"/>
  <c r="G1701" i="28"/>
  <c r="G1659" i="28"/>
  <c r="G1544" i="28"/>
  <c r="G1536" i="28"/>
  <c r="G1530" i="28"/>
  <c r="G4476" i="28"/>
  <c r="G4464" i="28"/>
  <c r="G4368" i="28"/>
  <c r="G4328" i="28"/>
  <c r="G4325" i="28"/>
  <c r="G4303" i="28"/>
  <c r="G4301" i="28"/>
  <c r="G4286" i="28"/>
  <c r="G4280" i="28"/>
  <c r="G4264" i="28"/>
  <c r="G4232" i="28"/>
  <c r="G4213" i="28"/>
  <c r="G4204" i="28"/>
  <c r="G4195" i="28"/>
  <c r="G4193" i="28"/>
  <c r="G4179" i="28"/>
  <c r="G4172" i="28"/>
  <c r="G4096" i="28"/>
  <c r="G4076" i="28"/>
  <c r="G4056" i="28"/>
  <c r="G4012" i="28"/>
  <c r="G4009" i="28"/>
  <c r="G4003" i="28"/>
  <c r="G3991" i="28"/>
  <c r="G3986" i="28"/>
  <c r="G3936" i="28"/>
  <c r="G3912" i="28"/>
  <c r="G3841" i="28"/>
  <c r="G3835" i="28"/>
  <c r="G3815" i="28"/>
  <c r="G3794" i="28"/>
  <c r="G3791" i="28"/>
  <c r="G3748" i="28"/>
  <c r="G3731" i="28"/>
  <c r="G3668" i="28"/>
  <c r="G3633" i="28"/>
  <c r="G3607" i="28"/>
  <c r="G3596" i="28"/>
  <c r="G3543" i="28"/>
  <c r="G3507" i="28"/>
  <c r="G3498" i="28"/>
  <c r="G3476" i="28"/>
  <c r="G3373" i="28"/>
  <c r="G3299" i="28"/>
  <c r="G3290" i="28"/>
  <c r="G3273" i="28"/>
  <c r="G3175" i="28"/>
  <c r="G3159" i="28"/>
  <c r="G3124" i="28"/>
  <c r="G3116" i="28"/>
  <c r="G3077" i="28"/>
  <c r="G3069" i="28"/>
  <c r="G3057" i="28"/>
  <c r="G3028" i="28"/>
  <c r="G3025" i="28"/>
  <c r="G3019" i="28"/>
  <c r="G3007" i="28"/>
  <c r="G5975" i="28"/>
  <c r="G5972" i="28"/>
  <c r="G5963" i="28"/>
  <c r="G5954" i="28"/>
  <c r="G5920" i="28"/>
  <c r="G5912" i="28"/>
  <c r="G5903" i="28"/>
  <c r="G5894" i="28"/>
  <c r="G5883" i="28"/>
  <c r="G5856" i="28"/>
  <c r="G5812" i="28"/>
  <c r="G5789" i="28"/>
  <c r="G5716" i="28"/>
  <c r="G5711" i="28"/>
  <c r="G5700" i="28"/>
  <c r="G5683" i="28"/>
  <c r="G5675" i="28"/>
  <c r="G5658" i="28"/>
  <c r="G5646" i="28"/>
  <c r="G5569" i="28"/>
  <c r="G5555" i="28"/>
  <c r="G5525" i="28"/>
  <c r="G5522" i="28"/>
  <c r="G5519" i="28"/>
  <c r="G5453" i="28"/>
  <c r="G5424" i="28"/>
  <c r="G5395" i="28"/>
  <c r="G5389" i="28"/>
  <c r="G5374" i="28"/>
  <c r="G5362" i="28"/>
  <c r="G5356" i="28"/>
  <c r="G5276" i="28"/>
  <c r="G5242" i="28"/>
  <c r="G5237" i="28"/>
  <c r="G5211" i="28"/>
  <c r="G5194" i="28"/>
  <c r="G5168" i="28"/>
  <c r="G5135" i="28"/>
  <c r="G5132" i="28"/>
  <c r="G5067" i="28"/>
  <c r="G5014" i="28"/>
  <c r="G5004" i="28"/>
  <c r="G4973" i="28"/>
  <c r="G4939" i="28"/>
  <c r="G4913" i="28"/>
  <c r="G4906" i="28"/>
  <c r="G4903" i="28"/>
  <c r="G4841" i="28"/>
  <c r="G4818" i="28"/>
  <c r="G4791" i="28"/>
  <c r="G4785" i="28"/>
  <c r="G4776" i="28"/>
  <c r="G4763" i="28"/>
  <c r="G4757" i="28"/>
  <c r="Q11" i="47"/>
  <c r="G28" i="28"/>
  <c r="G27" i="28"/>
  <c r="G22" i="28"/>
  <c r="G3001" i="28"/>
  <c r="G2987" i="28"/>
  <c r="G2981" i="28"/>
  <c r="G2978" i="28"/>
  <c r="G2876" i="28"/>
  <c r="G2867" i="28"/>
  <c r="G2823" i="28"/>
  <c r="G2814" i="28"/>
  <c r="G2750" i="28"/>
  <c r="G2738" i="28"/>
  <c r="G2713" i="28"/>
  <c r="G2708" i="28"/>
  <c r="G2678" i="28"/>
  <c r="G2647" i="28"/>
  <c r="G2624" i="28"/>
  <c r="G2599" i="28"/>
  <c r="G2583" i="28"/>
  <c r="G2556" i="28"/>
  <c r="G2530" i="28"/>
  <c r="G2515" i="28"/>
  <c r="G2493" i="28"/>
  <c r="G2478" i="28"/>
  <c r="G2435" i="28"/>
  <c r="G2418" i="28"/>
  <c r="G2398" i="28"/>
  <c r="G2385" i="28"/>
  <c r="G2308" i="28"/>
  <c r="G2240" i="28"/>
  <c r="G2196" i="28"/>
  <c r="G2193" i="28"/>
  <c r="G2145" i="28"/>
  <c r="G2121" i="28"/>
  <c r="G1994" i="28"/>
  <c r="G1955" i="28"/>
  <c r="G1935" i="28"/>
  <c r="G1863" i="28"/>
  <c r="G1809" i="28"/>
  <c r="G1806" i="28"/>
  <c r="G1794" i="28"/>
  <c r="G1777" i="28"/>
  <c r="G1750" i="28"/>
  <c r="G1677" i="28"/>
  <c r="G1646" i="28"/>
  <c r="G1561" i="28"/>
  <c r="G1559" i="28"/>
  <c r="G1546" i="28"/>
  <c r="G1526" i="28"/>
  <c r="G4501" i="28"/>
  <c r="G4498" i="28"/>
  <c r="G4483" i="28"/>
  <c r="G4472" i="28"/>
  <c r="G4389" i="28"/>
  <c r="G4367" i="28"/>
  <c r="G4324" i="28"/>
  <c r="G4273" i="28"/>
  <c r="G4251" i="28"/>
  <c r="G4235" i="28"/>
  <c r="G4183" i="28"/>
  <c r="G4137" i="28"/>
  <c r="G4069" i="28"/>
  <c r="G4066" i="28"/>
  <c r="G4047" i="28"/>
  <c r="G4002" i="28"/>
  <c r="G3975" i="28"/>
  <c r="G3972" i="28"/>
  <c r="G3945" i="28"/>
  <c r="G3939" i="28"/>
  <c r="G3874" i="28"/>
  <c r="G3871" i="28"/>
  <c r="G3792" i="28"/>
  <c r="G3782" i="28"/>
  <c r="G3770" i="28"/>
  <c r="G3729" i="28"/>
  <c r="G3710" i="28"/>
  <c r="G3691" i="28"/>
  <c r="G3646" i="28"/>
  <c r="G3635" i="28"/>
  <c r="G3632" i="28"/>
  <c r="G3570" i="28"/>
  <c r="G3512" i="28"/>
  <c r="G3480" i="28"/>
  <c r="G3423" i="28"/>
  <c r="G3368" i="28"/>
  <c r="G3342" i="28"/>
  <c r="G3268" i="28"/>
  <c r="G3223" i="28"/>
  <c r="G3088" i="28"/>
  <c r="G3063" i="28"/>
  <c r="G3030" i="28"/>
  <c r="G3015" i="28"/>
  <c r="G6003" i="28"/>
  <c r="G5992" i="28"/>
  <c r="G5925" i="28"/>
  <c r="G5866" i="28"/>
  <c r="G5857" i="28"/>
  <c r="G5853" i="28"/>
  <c r="G5844" i="28"/>
  <c r="G5781" i="28"/>
  <c r="G5707" i="28"/>
  <c r="G5586" i="28"/>
  <c r="G5490" i="28"/>
  <c r="G5458" i="28"/>
  <c r="G5443" i="28"/>
  <c r="G5406" i="28"/>
  <c r="G5381" i="28"/>
  <c r="G5351" i="28"/>
  <c r="G5344" i="28"/>
  <c r="G5316" i="28"/>
  <c r="G5277" i="28"/>
  <c r="G5255" i="28"/>
  <c r="G5218" i="28"/>
  <c r="G5196" i="28"/>
  <c r="G5193" i="28"/>
  <c r="G5103" i="28"/>
  <c r="G5048" i="28"/>
  <c r="G5038" i="28"/>
  <c r="G5022" i="28"/>
  <c r="G4967" i="28"/>
  <c r="G4955" i="28"/>
  <c r="G4945" i="28"/>
  <c r="G4871" i="28"/>
  <c r="G4859" i="28"/>
  <c r="G4835" i="28"/>
  <c r="G4826" i="28"/>
  <c r="G4811" i="28"/>
  <c r="G4774" i="28"/>
  <c r="G4741" i="28"/>
  <c r="G4739" i="28"/>
  <c r="G4733" i="28"/>
  <c r="G4724" i="28"/>
  <c r="G4718" i="28"/>
  <c r="G4714" i="28"/>
  <c r="G4712" i="28"/>
  <c r="G4707" i="28"/>
  <c r="G4700" i="28"/>
  <c r="G4690" i="28"/>
  <c r="G4682" i="28"/>
  <c r="G4678" i="28"/>
  <c r="G4675" i="28"/>
  <c r="G4669" i="28"/>
  <c r="G4655" i="28"/>
  <c r="G4645" i="28"/>
  <c r="G4638" i="28"/>
  <c r="G4635" i="28"/>
  <c r="G4618" i="28"/>
  <c r="G4611" i="28"/>
  <c r="G4609" i="28"/>
  <c r="G4593" i="28"/>
  <c r="G4583" i="28"/>
  <c r="G4580" i="28"/>
  <c r="G4572" i="28"/>
  <c r="G4564" i="28"/>
  <c r="G4554" i="28"/>
  <c r="G4522" i="28"/>
  <c r="G4518" i="28"/>
  <c r="G4516" i="28"/>
  <c r="G4509" i="28"/>
  <c r="G6182" i="28"/>
  <c r="G6174" i="28"/>
  <c r="G6159" i="28"/>
  <c r="G6154" i="28"/>
  <c r="G6150" i="28"/>
  <c r="G6142" i="28"/>
  <c r="G6130" i="28"/>
  <c r="G6126" i="28"/>
  <c r="G6121" i="28"/>
  <c r="G6118" i="28"/>
  <c r="G6115" i="28"/>
  <c r="G6110" i="28"/>
  <c r="G6096" i="28"/>
  <c r="G6083" i="28"/>
  <c r="G6069" i="28"/>
  <c r="G6057" i="28"/>
  <c r="G6053" i="28"/>
  <c r="G6051" i="28"/>
  <c r="G6038" i="28"/>
  <c r="G6032" i="28"/>
  <c r="G6028" i="28"/>
  <c r="G6007" i="28"/>
  <c r="G2996" i="28"/>
  <c r="G2989" i="28"/>
  <c r="G2935" i="28"/>
  <c r="G2915" i="28"/>
  <c r="G2906" i="28"/>
  <c r="G2900" i="28"/>
  <c r="G2861" i="28"/>
  <c r="G2851" i="28"/>
  <c r="G2827" i="28"/>
  <c r="G2817" i="28"/>
  <c r="G2724" i="28"/>
  <c r="G2721" i="28"/>
  <c r="G2703" i="28"/>
  <c r="G2671" i="28"/>
  <c r="G2654" i="28"/>
  <c r="G2635" i="28"/>
  <c r="G2612" i="28"/>
  <c r="G2603" i="28"/>
  <c r="G2584" i="28"/>
  <c r="G2581" i="28"/>
  <c r="G2577" i="28"/>
  <c r="G2560" i="28"/>
  <c r="G2554" i="28"/>
  <c r="G2544" i="28"/>
  <c r="G2529" i="28"/>
  <c r="G2507" i="28"/>
  <c r="G2504" i="28"/>
  <c r="G2460" i="28"/>
  <c r="G2429" i="28"/>
  <c r="G2426" i="28"/>
  <c r="G2413" i="28"/>
  <c r="G2384" i="28"/>
  <c r="G2371" i="28"/>
  <c r="G2309" i="28"/>
  <c r="G2293" i="28"/>
  <c r="G2280" i="28"/>
  <c r="G2265" i="28"/>
  <c r="G2261" i="28"/>
  <c r="G2213" i="28"/>
  <c r="G2180" i="28"/>
  <c r="G2170" i="28"/>
  <c r="G2149" i="28"/>
  <c r="G2082" i="28"/>
  <c r="G2075" i="28"/>
  <c r="G2071" i="28"/>
  <c r="G2060" i="28"/>
  <c r="G1974" i="28"/>
  <c r="G1940" i="28"/>
  <c r="G1931" i="28"/>
  <c r="G1928" i="28"/>
  <c r="G1924" i="28"/>
  <c r="G1917" i="28"/>
  <c r="G1914" i="28"/>
  <c r="G1903" i="28"/>
  <c r="G1886" i="28"/>
  <c r="G1842" i="28"/>
  <c r="G1839" i="28"/>
  <c r="G1805" i="28"/>
  <c r="G1785" i="28"/>
  <c r="G1782" i="28"/>
  <c r="G1776" i="28"/>
  <c r="G1770" i="28"/>
  <c r="G1761" i="28"/>
  <c r="G1743" i="28"/>
  <c r="G1706" i="28"/>
  <c r="G1673" i="28"/>
  <c r="G1648" i="28"/>
  <c r="G1582" i="28"/>
  <c r="G1572" i="28"/>
  <c r="G1565" i="28"/>
  <c r="G1515" i="28"/>
  <c r="G4465" i="28"/>
  <c r="G4445" i="28"/>
  <c r="G4415" i="28"/>
  <c r="G4338" i="28"/>
  <c r="G4335" i="28"/>
  <c r="G4284" i="28"/>
  <c r="G4253" i="28"/>
  <c r="G4167" i="28"/>
  <c r="G4161" i="28"/>
  <c r="G4144" i="28"/>
  <c r="G4135" i="28"/>
  <c r="G4110" i="28"/>
  <c r="G4050" i="28"/>
  <c r="G4034" i="28"/>
  <c r="G3977" i="28"/>
  <c r="G3940" i="28"/>
  <c r="G3907" i="28"/>
  <c r="G3819" i="28"/>
  <c r="G3804" i="28"/>
  <c r="G3797" i="28"/>
  <c r="G3777" i="28"/>
  <c r="G3727" i="28"/>
  <c r="G3721" i="28"/>
  <c r="G3696" i="28"/>
  <c r="G3664" i="28"/>
  <c r="G3654" i="28"/>
  <c r="G3651" i="28"/>
  <c r="G3637" i="28"/>
  <c r="G3628" i="28"/>
  <c r="G3615" i="28"/>
  <c r="G3599" i="28"/>
  <c r="G3595" i="28"/>
  <c r="G3540" i="28"/>
  <c r="G3525" i="28"/>
  <c r="G3468" i="28"/>
  <c r="G3440" i="28"/>
  <c r="G3429" i="28"/>
  <c r="G3414" i="28"/>
  <c r="G3359" i="28"/>
  <c r="G3346" i="28"/>
  <c r="G3254" i="28"/>
  <c r="G3238" i="28"/>
  <c r="G3225" i="28"/>
  <c r="G3193" i="28"/>
  <c r="G3112" i="28"/>
  <c r="G3093" i="28"/>
  <c r="G3084" i="28"/>
  <c r="G3065" i="28"/>
  <c r="G3047" i="28"/>
  <c r="G5999" i="28"/>
  <c r="G5936" i="28"/>
  <c r="G5887" i="28"/>
  <c r="G5884" i="28"/>
  <c r="G5846" i="28"/>
  <c r="G5836" i="28"/>
  <c r="G5833" i="28"/>
  <c r="G5755" i="28"/>
  <c r="G5751" i="28"/>
  <c r="G5715" i="28"/>
  <c r="G5712" i="28"/>
  <c r="G5694" i="28"/>
  <c r="G5676" i="28"/>
  <c r="G5656" i="28"/>
  <c r="G5635" i="28"/>
  <c r="G5620" i="28"/>
  <c r="G5614" i="28"/>
  <c r="G5603" i="28"/>
  <c r="G5591" i="28"/>
  <c r="G5527" i="28"/>
  <c r="G5483" i="28"/>
  <c r="G5477" i="28"/>
  <c r="G5466" i="28"/>
  <c r="G5460" i="28"/>
  <c r="G5427" i="28"/>
  <c r="G5415" i="28"/>
  <c r="G5405" i="28"/>
  <c r="G5369" i="28"/>
  <c r="G5347" i="28"/>
  <c r="G5318" i="28"/>
  <c r="G5315" i="28"/>
  <c r="G5287" i="28"/>
  <c r="G5269" i="28"/>
  <c r="G5260" i="28"/>
  <c r="G5223" i="28"/>
  <c r="G5217" i="28"/>
  <c r="G5214" i="28"/>
  <c r="G5166" i="28"/>
  <c r="G5133" i="28"/>
  <c r="G5120" i="28"/>
  <c r="G5117" i="28"/>
  <c r="G5111" i="28"/>
  <c r="G5108" i="28"/>
  <c r="G5077" i="28"/>
  <c r="G5056" i="28"/>
  <c r="G5026" i="28"/>
  <c r="G4949" i="28"/>
  <c r="G4934" i="28"/>
  <c r="G4921" i="28"/>
  <c r="G4863" i="28"/>
  <c r="G4855" i="28"/>
  <c r="G4834" i="28"/>
  <c r="G4827" i="28"/>
  <c r="G4758" i="28"/>
  <c r="G2980" i="28"/>
  <c r="G2962" i="28"/>
  <c r="G2665" i="28"/>
  <c r="G2650" i="28"/>
  <c r="G2622" i="28"/>
  <c r="G2604" i="28"/>
  <c r="G2582" i="28"/>
  <c r="G2546" i="28"/>
  <c r="G2525" i="28"/>
  <c r="G2461" i="28"/>
  <c r="G2400" i="28"/>
  <c r="G2369" i="28"/>
  <c r="G2319" i="28"/>
  <c r="G2295" i="28"/>
  <c r="G2281" i="28"/>
  <c r="G2241" i="28"/>
  <c r="G2238" i="28"/>
  <c r="G2212" i="28"/>
  <c r="G2192" i="28"/>
  <c r="G2144" i="28"/>
  <c r="G2041" i="28"/>
  <c r="G1962" i="28"/>
  <c r="G1953" i="28"/>
  <c r="G1950" i="28"/>
  <c r="G1843" i="28"/>
  <c r="G1807" i="28"/>
  <c r="G1798" i="28"/>
  <c r="G1783" i="28"/>
  <c r="G1745" i="28"/>
  <c r="G1740" i="28"/>
  <c r="G1722" i="28"/>
  <c r="G1598" i="28"/>
  <c r="G1578" i="28"/>
  <c r="G1555" i="28"/>
  <c r="G1518" i="28"/>
  <c r="G4506" i="28"/>
  <c r="G4502" i="28"/>
  <c r="G4433" i="28"/>
  <c r="G4419" i="28"/>
  <c r="G4342" i="28"/>
  <c r="G4298" i="28"/>
  <c r="G4267" i="28"/>
  <c r="G4187" i="28"/>
  <c r="G4136" i="28"/>
  <c r="G4117" i="28"/>
  <c r="G4109" i="28"/>
  <c r="G4005" i="28"/>
  <c r="G3947" i="28"/>
  <c r="G3938" i="28"/>
  <c r="G3901" i="28"/>
  <c r="G3892" i="28"/>
  <c r="G3885" i="28"/>
  <c r="G3878" i="28"/>
  <c r="G3864" i="28"/>
  <c r="G3837" i="28"/>
  <c r="G3829" i="28"/>
  <c r="G3803" i="28"/>
  <c r="G3703" i="28"/>
  <c r="G3700" i="28"/>
  <c r="G3689" i="28"/>
  <c r="G3639" i="28"/>
  <c r="G3613" i="28"/>
  <c r="G3610" i="28"/>
  <c r="G3591" i="28"/>
  <c r="G3588" i="28"/>
  <c r="G3582" i="28"/>
  <c r="G3546" i="28"/>
  <c r="G3415" i="28"/>
  <c r="G3407" i="28"/>
  <c r="G3367" i="28"/>
  <c r="G3352" i="28"/>
  <c r="G3344" i="28"/>
  <c r="G3338" i="28"/>
  <c r="G3316" i="28"/>
  <c r="G3310" i="28"/>
  <c r="G3296" i="28"/>
  <c r="G3261" i="28"/>
  <c r="G3233" i="28"/>
  <c r="G3204" i="28"/>
  <c r="G3134" i="28"/>
  <c r="G3091" i="28"/>
  <c r="G3048" i="28"/>
  <c r="G5996" i="28"/>
  <c r="G5967" i="28"/>
  <c r="G5900" i="28"/>
  <c r="G5823" i="28"/>
  <c r="G5758" i="28"/>
  <c r="G5714" i="28"/>
  <c r="G5698" i="28"/>
  <c r="G5634" i="28"/>
  <c r="G5602" i="28"/>
  <c r="G5578" i="28"/>
  <c r="G5528" i="28"/>
  <c r="G5507" i="28"/>
  <c r="G5492" i="28"/>
  <c r="G5404" i="28"/>
  <c r="G5401" i="28"/>
  <c r="G5383" i="28"/>
  <c r="G5353" i="28"/>
  <c r="G5349" i="28"/>
  <c r="G5307" i="28"/>
  <c r="G5267" i="28"/>
  <c r="G5251" i="28"/>
  <c r="G5208" i="28"/>
  <c r="G5188" i="28"/>
  <c r="G5110" i="28"/>
  <c r="G5101" i="28"/>
  <c r="G5083" i="28"/>
  <c r="G5052" i="28"/>
  <c r="G5036" i="28"/>
  <c r="G5030" i="28"/>
  <c r="G4995" i="28"/>
  <c r="G4983" i="28"/>
  <c r="G4952" i="28"/>
  <c r="G4894" i="28"/>
  <c r="G4885" i="28"/>
  <c r="G4843" i="28"/>
  <c r="G4825" i="28"/>
  <c r="G4813" i="28"/>
  <c r="G4798" i="28"/>
  <c r="Q12" i="47"/>
  <c r="G2995" i="28"/>
  <c r="G2955" i="28"/>
  <c r="G2937" i="28"/>
  <c r="G2934" i="28"/>
  <c r="G2916" i="28"/>
  <c r="G2862" i="28"/>
  <c r="G2811" i="28"/>
  <c r="G2764" i="28"/>
  <c r="G2669" i="28"/>
  <c r="G2658" i="28"/>
  <c r="G2633" i="28"/>
  <c r="G2630" i="28"/>
  <c r="G2607" i="28"/>
  <c r="G2565" i="28"/>
  <c r="G2536" i="28"/>
  <c r="G2512" i="28"/>
  <c r="G2506" i="28"/>
  <c r="G2459" i="28"/>
  <c r="G2449" i="28"/>
  <c r="G2388" i="28"/>
  <c r="G2382" i="28"/>
  <c r="G2363" i="28"/>
  <c r="G2339" i="28"/>
  <c r="G2254" i="28"/>
  <c r="G2251" i="28"/>
  <c r="G2248" i="28"/>
  <c r="G2205" i="28"/>
  <c r="G2202" i="28"/>
  <c r="G2190" i="28"/>
  <c r="G2175" i="28"/>
  <c r="G2154" i="28"/>
  <c r="G2151" i="28"/>
  <c r="G2136" i="28"/>
  <c r="G2128" i="28"/>
  <c r="G2089" i="28"/>
  <c r="G2055" i="28"/>
  <c r="G2045" i="28"/>
  <c r="G2009" i="28"/>
  <c r="G1997" i="28"/>
  <c r="G1979" i="28"/>
  <c r="G1958" i="28"/>
  <c r="G1946" i="28"/>
  <c r="G1943" i="28"/>
  <c r="G1920" i="28"/>
  <c r="G1895" i="28"/>
  <c r="G1838" i="28"/>
  <c r="G1708" i="28"/>
  <c r="G1666" i="28"/>
  <c r="G1640" i="28"/>
  <c r="G1637" i="28"/>
  <c r="G1614" i="28"/>
  <c r="G4489" i="28"/>
  <c r="G4437" i="28"/>
  <c r="G4403" i="28"/>
  <c r="G4399" i="28"/>
  <c r="G4395" i="28"/>
  <c r="G4305" i="28"/>
  <c r="G4279" i="28"/>
  <c r="G4241" i="28"/>
  <c r="G4238" i="28"/>
  <c r="G4205" i="28"/>
  <c r="G4202" i="28"/>
  <c r="G4124" i="28"/>
  <c r="G4114" i="28"/>
  <c r="G4023" i="28"/>
  <c r="G3994" i="28"/>
  <c r="G3992" i="28"/>
  <c r="G3962" i="28"/>
  <c r="G3942" i="28"/>
  <c r="G3886" i="28"/>
  <c r="G3868" i="28"/>
  <c r="G3754" i="28"/>
  <c r="G3669" i="28"/>
  <c r="G3629" i="28"/>
  <c r="G3577" i="28"/>
  <c r="G3555" i="28"/>
  <c r="G3474" i="28"/>
  <c r="G3466" i="28"/>
  <c r="G3430" i="28"/>
  <c r="G3335" i="28"/>
  <c r="G3332" i="28"/>
  <c r="G3311" i="28"/>
  <c r="G3304" i="28"/>
  <c r="G3298" i="28"/>
  <c r="G3034" i="28"/>
  <c r="G3018" i="28"/>
  <c r="G5974" i="28"/>
  <c r="G5968" i="28"/>
  <c r="G5921" i="28"/>
  <c r="G5847" i="28"/>
  <c r="G5800" i="28"/>
  <c r="G5767" i="28"/>
  <c r="G5736" i="28"/>
  <c r="G5657" i="28"/>
  <c r="G5645" i="28"/>
  <c r="G5642" i="28"/>
  <c r="G5617" i="28"/>
  <c r="G5608" i="28"/>
  <c r="G5574" i="28"/>
  <c r="G5557" i="28"/>
  <c r="G5523" i="28"/>
  <c r="G5455" i="28"/>
  <c r="G5423" i="28"/>
  <c r="G5371" i="28"/>
  <c r="G5265" i="28"/>
  <c r="G5236" i="28"/>
  <c r="G5137" i="28"/>
  <c r="G4988" i="28"/>
  <c r="G4932" i="28"/>
  <c r="G4881" i="28"/>
  <c r="G4877" i="28"/>
  <c r="G4822" i="28"/>
  <c r="G4808" i="28"/>
  <c r="G4805" i="28"/>
  <c r="G4802" i="28"/>
  <c r="G4747" i="28"/>
  <c r="G4723" i="28"/>
  <c r="G4713" i="28"/>
  <c r="G4711" i="28"/>
  <c r="G4704" i="28"/>
  <c r="G4702" i="28"/>
  <c r="G4644" i="28"/>
  <c r="G4636" i="28"/>
  <c r="G4626" i="28"/>
  <c r="G4605" i="28"/>
  <c r="G4597" i="28"/>
  <c r="G4594" i="28"/>
  <c r="G4579" i="28"/>
  <c r="G4573" i="28"/>
  <c r="G4565" i="28"/>
  <c r="G4553" i="28"/>
  <c r="G4552" i="28"/>
  <c r="G4544" i="28"/>
  <c r="G4541" i="28"/>
  <c r="G4525" i="28"/>
  <c r="G6195" i="28"/>
  <c r="G6191" i="28"/>
  <c r="G6149" i="28"/>
  <c r="G6145" i="28"/>
  <c r="G6138" i="28"/>
  <c r="G6120" i="28"/>
  <c r="G6098" i="28"/>
  <c r="G6082" i="28"/>
  <c r="G6054" i="28"/>
  <c r="G6035" i="28"/>
  <c r="G6029" i="28"/>
  <c r="G6021" i="28"/>
  <c r="G6013" i="28"/>
  <c r="G12" i="28"/>
  <c r="G2985" i="28"/>
  <c r="G2951" i="28"/>
  <c r="G2929" i="28"/>
  <c r="G2880" i="28"/>
  <c r="G2858" i="28"/>
  <c r="G2757" i="28"/>
  <c r="G2751" i="28"/>
  <c r="G2697" i="28"/>
  <c r="G2663" i="28"/>
  <c r="G2573" i="28"/>
  <c r="G2483" i="28"/>
  <c r="G2423" i="28"/>
  <c r="G2420" i="28"/>
  <c r="G2403" i="28"/>
  <c r="G2303" i="28"/>
  <c r="G2277" i="28"/>
  <c r="G2222" i="28"/>
  <c r="G2188" i="28"/>
  <c r="G2129" i="28"/>
  <c r="G2117" i="28"/>
  <c r="G2068" i="28"/>
  <c r="G2043" i="28"/>
  <c r="G2030" i="28"/>
  <c r="G2011" i="28"/>
  <c r="G1992" i="28"/>
  <c r="G1900" i="28"/>
  <c r="G1890" i="28"/>
  <c r="G1883" i="28"/>
  <c r="G1879" i="28"/>
  <c r="G1872" i="28"/>
  <c r="G1865" i="28"/>
  <c r="G1856" i="28"/>
  <c r="G1849" i="28"/>
  <c r="G1796" i="28"/>
  <c r="G1688" i="28"/>
  <c r="G1638" i="28"/>
  <c r="G1629" i="28"/>
  <c r="G1519" i="28"/>
  <c r="G4493" i="28"/>
  <c r="G4393" i="28"/>
  <c r="G4375" i="28"/>
  <c r="G4347" i="28"/>
  <c r="G4313" i="28"/>
  <c r="G4287" i="28"/>
  <c r="G4256" i="28"/>
  <c r="G4221" i="28"/>
  <c r="G4138" i="28"/>
  <c r="G4089" i="28"/>
  <c r="G4083" i="28"/>
  <c r="G4031" i="28"/>
  <c r="G3913" i="28"/>
  <c r="G3866" i="28"/>
  <c r="G3860" i="28"/>
  <c r="G3854" i="28"/>
  <c r="G3831" i="28"/>
  <c r="G3807" i="28"/>
  <c r="G3773" i="28"/>
  <c r="G3634" i="28"/>
  <c r="G3619" i="28"/>
  <c r="G3606" i="28"/>
  <c r="G3561" i="28"/>
  <c r="G3553" i="28"/>
  <c r="G3491" i="28"/>
  <c r="G3484" i="28"/>
  <c r="G3455" i="28"/>
  <c r="G3446" i="28"/>
  <c r="G3369" i="28"/>
  <c r="G3356" i="28"/>
  <c r="G3248" i="28"/>
  <c r="G3228" i="28"/>
  <c r="G3174" i="28"/>
  <c r="G3141" i="28"/>
  <c r="G3110" i="28"/>
  <c r="G3106" i="28"/>
  <c r="G3079" i="28"/>
  <c r="G3071" i="28"/>
  <c r="G3041" i="28"/>
  <c r="G6002" i="28"/>
  <c r="G5991" i="28"/>
  <c r="G5942" i="28"/>
  <c r="G5861" i="28"/>
  <c r="G5839" i="28"/>
  <c r="G5830" i="28"/>
  <c r="G5824" i="28"/>
  <c r="G5817" i="28"/>
  <c r="G5811" i="28"/>
  <c r="G5773" i="28"/>
  <c r="G5737" i="28"/>
  <c r="G5691" i="28"/>
  <c r="G5647" i="28"/>
  <c r="G5588" i="28"/>
  <c r="G5535" i="28"/>
  <c r="G5463" i="28"/>
  <c r="G5448" i="28"/>
  <c r="G5396" i="28"/>
  <c r="G5323" i="28"/>
  <c r="G5306" i="28"/>
  <c r="G5099" i="28"/>
  <c r="G5065" i="28"/>
  <c r="G5047" i="28"/>
  <c r="G5007" i="28"/>
  <c r="G4937" i="28"/>
  <c r="G4912" i="28"/>
  <c r="G4866" i="28"/>
  <c r="G4790" i="28"/>
  <c r="G2913" i="28"/>
  <c r="G2879" i="28"/>
  <c r="G2847" i="28"/>
  <c r="G2844" i="28"/>
  <c r="G2820" i="28"/>
  <c r="G2589" i="28"/>
  <c r="G2523" i="28"/>
  <c r="G2409" i="28"/>
  <c r="G2391" i="28"/>
  <c r="G2370" i="28"/>
  <c r="G2366" i="28"/>
  <c r="G2330" i="28"/>
  <c r="G2298" i="28"/>
  <c r="G2284" i="28"/>
  <c r="G2263" i="28"/>
  <c r="G2245" i="28"/>
  <c r="G2199" i="28"/>
  <c r="G2187" i="28"/>
  <c r="G2184" i="28"/>
  <c r="G2147" i="28"/>
  <c r="G2112" i="28"/>
  <c r="G2080" i="28"/>
  <c r="G2031" i="28"/>
  <c r="G1982" i="28"/>
  <c r="G1858" i="28"/>
  <c r="G1821" i="28"/>
  <c r="G1698" i="28"/>
  <c r="G1529" i="28"/>
  <c r="G4480" i="28"/>
  <c r="G4383" i="28"/>
  <c r="G4349" i="28"/>
  <c r="G4336" i="28"/>
  <c r="G4231" i="28"/>
  <c r="G4225" i="28"/>
  <c r="G4212" i="28"/>
  <c r="G4192" i="28"/>
  <c r="G4094" i="28"/>
  <c r="G4081" i="28"/>
  <c r="G4045" i="28"/>
  <c r="G4041" i="28"/>
  <c r="G4004" i="28"/>
  <c r="G3925" i="28"/>
  <c r="G3922" i="28"/>
  <c r="G3902" i="28"/>
  <c r="G3893" i="28"/>
  <c r="G3865" i="28"/>
  <c r="G3836" i="28"/>
  <c r="G3750" i="28"/>
  <c r="G3746" i="28"/>
  <c r="G3738" i="28"/>
  <c r="G3704" i="28"/>
  <c r="G3701" i="28"/>
  <c r="G3682" i="28"/>
  <c r="G3614" i="28"/>
  <c r="G3587" i="28"/>
  <c r="G3551" i="28"/>
  <c r="G3548" i="28"/>
  <c r="G3493" i="28"/>
  <c r="G3489" i="28"/>
  <c r="G3463" i="28"/>
  <c r="G3419" i="28"/>
  <c r="G3191" i="28"/>
  <c r="G3182" i="28"/>
  <c r="G3049" i="28"/>
  <c r="G3046" i="28"/>
  <c r="G5965" i="28"/>
  <c r="G5952" i="28"/>
  <c r="G5904" i="28"/>
  <c r="G5879" i="28"/>
  <c r="G5794" i="28"/>
  <c r="G5687" i="28"/>
  <c r="G5612" i="28"/>
  <c r="G5577" i="28"/>
  <c r="G5420" i="28"/>
  <c r="G5403" i="28"/>
  <c r="G5400" i="28"/>
  <c r="G5331" i="28"/>
  <c r="G5324" i="28"/>
  <c r="G5320" i="28"/>
  <c r="G5302" i="28"/>
  <c r="G5295" i="28"/>
  <c r="G5289" i="28"/>
  <c r="G5246" i="28"/>
  <c r="G5202" i="28"/>
  <c r="G5187" i="28"/>
  <c r="G5034" i="28"/>
  <c r="G4970" i="28"/>
  <c r="G4951" i="28"/>
  <c r="G4917" i="28"/>
  <c r="G4854" i="28"/>
  <c r="G4829" i="28"/>
  <c r="G4786" i="28"/>
  <c r="G4778" i="28"/>
  <c r="G4764" i="28"/>
  <c r="G4753" i="28"/>
  <c r="G4731" i="28"/>
  <c r="G4725" i="28"/>
  <c r="G4696" i="28"/>
  <c r="G4692" i="28"/>
  <c r="G4691" i="28"/>
  <c r="G4667" i="28"/>
  <c r="G4663" i="28"/>
  <c r="G4657" i="28"/>
  <c r="G4643" i="28"/>
  <c r="G4641" i="28"/>
  <c r="G4634" i="28"/>
  <c r="G4627" i="28"/>
  <c r="G4616" i="28"/>
  <c r="G4610" i="28"/>
  <c r="G4596" i="28"/>
  <c r="G4591" i="28"/>
  <c r="G4577" i="28"/>
  <c r="G4568" i="28"/>
  <c r="G4555" i="28"/>
  <c r="G4513" i="28"/>
  <c r="G6181" i="28"/>
  <c r="G6164" i="28"/>
  <c r="G6133" i="28"/>
  <c r="G6097" i="28"/>
  <c r="G6081" i="28"/>
  <c r="G6044" i="28"/>
  <c r="G6008" i="28"/>
  <c r="G3005" i="28"/>
  <c r="G2976" i="28"/>
  <c r="G2957" i="28"/>
  <c r="G2947" i="28"/>
  <c r="G2925" i="28"/>
  <c r="G2918" i="28"/>
  <c r="G2804" i="28"/>
  <c r="G2782" i="28"/>
  <c r="G2779" i="28"/>
  <c r="G2776" i="28"/>
  <c r="G2748" i="28"/>
  <c r="G2606" i="28"/>
  <c r="G2592" i="28"/>
  <c r="G2567" i="28"/>
  <c r="G2480" i="28"/>
  <c r="G2463" i="28"/>
  <c r="G2452" i="28"/>
  <c r="G2443" i="28"/>
  <c r="G2437" i="28"/>
  <c r="G2359" i="28"/>
  <c r="G2341" i="28"/>
  <c r="G2337" i="28"/>
  <c r="G2239" i="28"/>
  <c r="G2236" i="28"/>
  <c r="G2216" i="28"/>
  <c r="G2063" i="28"/>
  <c r="G2040" i="28"/>
  <c r="G1995" i="28"/>
  <c r="G1893" i="28"/>
  <c r="G1853" i="28"/>
  <c r="G1700" i="28"/>
  <c r="G1579" i="28"/>
  <c r="G1540" i="28"/>
  <c r="G1522" i="28"/>
  <c r="G1508" i="28"/>
  <c r="G4481" i="28"/>
  <c r="G4477" i="28"/>
  <c r="G4411" i="28"/>
  <c r="G4401" i="28"/>
  <c r="G4365" i="28"/>
  <c r="G4322" i="28"/>
  <c r="G4250" i="28"/>
  <c r="G4214" i="28"/>
  <c r="G4181" i="28"/>
  <c r="G4150" i="28"/>
  <c r="G4147" i="28"/>
  <c r="G4080" i="28"/>
  <c r="G4073" i="28"/>
  <c r="G3955" i="28"/>
  <c r="G3891" i="28"/>
  <c r="G3888" i="28"/>
  <c r="G3848" i="28"/>
  <c r="G3790" i="28"/>
  <c r="G3781" i="28"/>
  <c r="G3709" i="28"/>
  <c r="G3681" i="28"/>
  <c r="G3676" i="28"/>
  <c r="G3537" i="28"/>
  <c r="G3528" i="28"/>
  <c r="G3471" i="28"/>
  <c r="G3465" i="28"/>
  <c r="G3449" i="28"/>
  <c r="G3443" i="28"/>
  <c r="G3436" i="28"/>
  <c r="G3421" i="28"/>
  <c r="G3343" i="28"/>
  <c r="G3312" i="28"/>
  <c r="G3306" i="28"/>
  <c r="G3272" i="28"/>
  <c r="G3213" i="28"/>
  <c r="G3205" i="28"/>
  <c r="G3199" i="28"/>
  <c r="G3163" i="28"/>
  <c r="G3157" i="28"/>
  <c r="G3137" i="28"/>
  <c r="G3125" i="28"/>
  <c r="G3104" i="28"/>
  <c r="G3029" i="28"/>
  <c r="G5973" i="28"/>
  <c r="G5927" i="28"/>
  <c r="G5917" i="28"/>
  <c r="G5864" i="28"/>
  <c r="G5855" i="28"/>
  <c r="G5799" i="28"/>
  <c r="G5782" i="28"/>
  <c r="G5760" i="28"/>
  <c r="G5717" i="28"/>
  <c r="G5697" i="28"/>
  <c r="G5556" i="28"/>
  <c r="G5517" i="28"/>
  <c r="G5511" i="28"/>
  <c r="G5498" i="28"/>
  <c r="G5195" i="28"/>
  <c r="G5053" i="28"/>
  <c r="G5013" i="28"/>
  <c r="G4977" i="28"/>
  <c r="G4953" i="28"/>
  <c r="G4930" i="28"/>
  <c r="G4879" i="28"/>
  <c r="G4858" i="28"/>
  <c r="G4840" i="28"/>
  <c r="G4820" i="28"/>
  <c r="G4783" i="28"/>
  <c r="G2950" i="28"/>
  <c r="G2840" i="28"/>
  <c r="G2822" i="28"/>
  <c r="G2771" i="28"/>
  <c r="G2762" i="28"/>
  <c r="G2743" i="28"/>
  <c r="G2719" i="28"/>
  <c r="G2656" i="28"/>
  <c r="G2611" i="28"/>
  <c r="G2561" i="28"/>
  <c r="G2531" i="28"/>
  <c r="G2505" i="28"/>
  <c r="G2471" i="28"/>
  <c r="G2439" i="28"/>
  <c r="G2428" i="28"/>
  <c r="G2367" i="28"/>
  <c r="G2352" i="28"/>
  <c r="G2313" i="28"/>
  <c r="G2287" i="28"/>
  <c r="G2250" i="28"/>
  <c r="G2189" i="28"/>
  <c r="G2138" i="28"/>
  <c r="G2073" i="28"/>
  <c r="G2004" i="28"/>
  <c r="G1996" i="28"/>
  <c r="G1984" i="28"/>
  <c r="G1959" i="28"/>
  <c r="G1810" i="28"/>
  <c r="G1787" i="28"/>
  <c r="G1772" i="28"/>
  <c r="G1766" i="28"/>
  <c r="G1710" i="28"/>
  <c r="G1684" i="28"/>
  <c r="G1627" i="28"/>
  <c r="G1607" i="28"/>
  <c r="G1584" i="28"/>
  <c r="G1566" i="28"/>
  <c r="G1547" i="28"/>
  <c r="G4496" i="28"/>
  <c r="G4470" i="28"/>
  <c r="G4454" i="28"/>
  <c r="G4410" i="28"/>
  <c r="G4394" i="28"/>
  <c r="G4357" i="28"/>
  <c r="G4292" i="28"/>
  <c r="G4210" i="28"/>
  <c r="G4018" i="28"/>
  <c r="G3995" i="28"/>
  <c r="G3950" i="28"/>
  <c r="G3809" i="28"/>
  <c r="G3708" i="28"/>
  <c r="G3674" i="28"/>
  <c r="G3585" i="28"/>
  <c r="G3448" i="28"/>
  <c r="G3433" i="28"/>
  <c r="G3401" i="28"/>
  <c r="G3386" i="28"/>
  <c r="G3364" i="28"/>
  <c r="G3331" i="28"/>
  <c r="G3276" i="28"/>
  <c r="G3264" i="28"/>
  <c r="G3247" i="28"/>
  <c r="G3237" i="28"/>
  <c r="G3227" i="28"/>
  <c r="G3140" i="28"/>
  <c r="G3122" i="28"/>
  <c r="G3105" i="28"/>
  <c r="G3054" i="28"/>
  <c r="G3022" i="28"/>
  <c r="G6004" i="28"/>
  <c r="G5941" i="28"/>
  <c r="G5890" i="28"/>
  <c r="G5868" i="28"/>
  <c r="G5741" i="28"/>
  <c r="G5732" i="28"/>
  <c r="G5664" i="28"/>
  <c r="G5652" i="28"/>
  <c r="G5649" i="28"/>
  <c r="G5543" i="28"/>
  <c r="G5475" i="28"/>
  <c r="G5429" i="28"/>
  <c r="G5380" i="28"/>
  <c r="G5339" i="28"/>
  <c r="G5330" i="28"/>
  <c r="G5248" i="28"/>
  <c r="G5233" i="28"/>
  <c r="G5213" i="28"/>
  <c r="G5165" i="28"/>
  <c r="G5151" i="28"/>
  <c r="G5098" i="28"/>
  <c r="G5080" i="28"/>
  <c r="G5021" i="28"/>
  <c r="G4815" i="28"/>
  <c r="G4804" i="28"/>
  <c r="G4795" i="28"/>
  <c r="Q13" i="47"/>
  <c r="G2921" i="28"/>
  <c r="G2881" i="28"/>
  <c r="G2849" i="28"/>
  <c r="G2777" i="28"/>
  <c r="G2774" i="28"/>
  <c r="G2749" i="28"/>
  <c r="G2704" i="28"/>
  <c r="G2690" i="28"/>
  <c r="G2679" i="28"/>
  <c r="G2637" i="28"/>
  <c r="G2594" i="28"/>
  <c r="G2534" i="28"/>
  <c r="G2392" i="28"/>
  <c r="G2386" i="28"/>
  <c r="G2361" i="28"/>
  <c r="G2358" i="28"/>
  <c r="G2329" i="28"/>
  <c r="G2235" i="28"/>
  <c r="G2100" i="28"/>
  <c r="G2084" i="28"/>
  <c r="G2069" i="28"/>
  <c r="G1966" i="28"/>
  <c r="G1922" i="28"/>
  <c r="G1819" i="28"/>
  <c r="G1713" i="28"/>
  <c r="G1690" i="28"/>
  <c r="G1686" i="28"/>
  <c r="G1560" i="28"/>
  <c r="G1533" i="28"/>
  <c r="G1524" i="28"/>
  <c r="G1511" i="28"/>
  <c r="G4382" i="28"/>
  <c r="G4320" i="28"/>
  <c r="G4283" i="28"/>
  <c r="G4243" i="28"/>
  <c r="G4240" i="28"/>
  <c r="G4165" i="28"/>
  <c r="G4145" i="28"/>
  <c r="G4024" i="28"/>
  <c r="G3999" i="28"/>
  <c r="G3858" i="28"/>
  <c r="G3652" i="28"/>
  <c r="G3618" i="28"/>
  <c r="G3492" i="28"/>
  <c r="G3464" i="28"/>
  <c r="G3442" i="28"/>
  <c r="G3395" i="28"/>
  <c r="G3302" i="28"/>
  <c r="G3224" i="28"/>
  <c r="G3207" i="28"/>
  <c r="G3186" i="28"/>
  <c r="G3171" i="28"/>
  <c r="G3138" i="28"/>
  <c r="G3126" i="28"/>
  <c r="G3045" i="28"/>
  <c r="G5993" i="28"/>
  <c r="G5934" i="28"/>
  <c r="G5815" i="28"/>
  <c r="G5625" i="28"/>
  <c r="G5587" i="28"/>
  <c r="G5583" i="28"/>
  <c r="G5567" i="28"/>
  <c r="G5450" i="28"/>
  <c r="G5282" i="28"/>
  <c r="G5270" i="28"/>
  <c r="G5230" i="28"/>
  <c r="G5227" i="28"/>
  <c r="G5219" i="28"/>
  <c r="G5176" i="28"/>
  <c r="G5126" i="28"/>
  <c r="G5107" i="28"/>
  <c r="G5058" i="28"/>
  <c r="G4922" i="28"/>
  <c r="G4919" i="28"/>
  <c r="G4836" i="28"/>
  <c r="G4801" i="28"/>
  <c r="G4773" i="28"/>
  <c r="Q14" i="47"/>
  <c r="G23" i="28"/>
  <c r="G17" i="28"/>
  <c r="G2974" i="28"/>
  <c r="G2958" i="28"/>
  <c r="G2909" i="28"/>
  <c r="G2895" i="28"/>
  <c r="G2873" i="28"/>
  <c r="G2870" i="28"/>
  <c r="G2853" i="28"/>
  <c r="G2788" i="28"/>
  <c r="G2753" i="28"/>
  <c r="G2741" i="28"/>
  <c r="G2702" i="28"/>
  <c r="G2689" i="28"/>
  <c r="G2661" i="28"/>
  <c r="G2652" i="28"/>
  <c r="G2559" i="28"/>
  <c r="G2498" i="28"/>
  <c r="G2379" i="28"/>
  <c r="G2348" i="28"/>
  <c r="G2301" i="28"/>
  <c r="G2290" i="28"/>
  <c r="G2269" i="28"/>
  <c r="G2237" i="28"/>
  <c r="G2178" i="28"/>
  <c r="G2077" i="28"/>
  <c r="G2006" i="28"/>
  <c r="G1898" i="28"/>
  <c r="G1852" i="28"/>
  <c r="G1824" i="28"/>
  <c r="G1756" i="28"/>
  <c r="G1738" i="28"/>
  <c r="G1670" i="28"/>
  <c r="G1649" i="28"/>
  <c r="G1594" i="28"/>
  <c r="G1580" i="28"/>
  <c r="G1538" i="28"/>
  <c r="G1513" i="28"/>
  <c r="G4409" i="28"/>
  <c r="G4358" i="28"/>
  <c r="G4355" i="28"/>
  <c r="G4346" i="28"/>
  <c r="G4222" i="28"/>
  <c r="G4208" i="28"/>
  <c r="G4177" i="28"/>
  <c r="G4090" i="28"/>
  <c r="G4078" i="28"/>
  <c r="G4029" i="28"/>
  <c r="G4027" i="28"/>
  <c r="G4010" i="28"/>
  <c r="G3989" i="28"/>
  <c r="G3981" i="28"/>
  <c r="G3956" i="28"/>
  <c r="G3935" i="28"/>
  <c r="G3905" i="28"/>
  <c r="G3765" i="28"/>
  <c r="G3757" i="28"/>
  <c r="G3725" i="28"/>
  <c r="G3655" i="28"/>
  <c r="G3593" i="28"/>
  <c r="G3505" i="28"/>
  <c r="G3458" i="28"/>
  <c r="G3394" i="28"/>
  <c r="G3360" i="28"/>
  <c r="G3357" i="28"/>
  <c r="G3326" i="28"/>
  <c r="G3289" i="28"/>
  <c r="G3256" i="28"/>
  <c r="G3235" i="28"/>
  <c r="G3176" i="28"/>
  <c r="G3070" i="28"/>
  <c r="G5873" i="28"/>
  <c r="G5863" i="28"/>
  <c r="G5804" i="28"/>
  <c r="G5787" i="28"/>
  <c r="G5745" i="28"/>
  <c r="G5653" i="28"/>
  <c r="G5650" i="28"/>
  <c r="G5604" i="28"/>
  <c r="G5512" i="28"/>
  <c r="G5471" i="28"/>
  <c r="G5452" i="28"/>
  <c r="G5388" i="28"/>
  <c r="G5364" i="28"/>
  <c r="G5360" i="28"/>
  <c r="G5327" i="28"/>
  <c r="G5258" i="28"/>
  <c r="G5249" i="28"/>
  <c r="G5183" i="28"/>
  <c r="G5158" i="28"/>
  <c r="G5155" i="28"/>
  <c r="G5109" i="28"/>
  <c r="G5094" i="28"/>
  <c r="G5062" i="28"/>
  <c r="G5051" i="28"/>
  <c r="G5044" i="28"/>
  <c r="G5015" i="28"/>
  <c r="G4991" i="28"/>
  <c r="G4984" i="28"/>
  <c r="G4842" i="28"/>
  <c r="G4838" i="28"/>
  <c r="G4771" i="28"/>
  <c r="G4752" i="28"/>
  <c r="G4716" i="28"/>
  <c r="G4680" i="28"/>
  <c r="G4676" i="28"/>
  <c r="G4659" i="28"/>
  <c r="G4630" i="28"/>
  <c r="G4619" i="28"/>
  <c r="G4585" i="28"/>
  <c r="G4574" i="28"/>
  <c r="G4533" i="28"/>
  <c r="G4528" i="28"/>
  <c r="G4515" i="28"/>
  <c r="G6179" i="28"/>
  <c r="G6137" i="28"/>
  <c r="G6074" i="28"/>
  <c r="G6068" i="28"/>
  <c r="G6031" i="28"/>
  <c r="G6026" i="28"/>
  <c r="G6024" i="28"/>
  <c r="G6011" i="28"/>
  <c r="G6010" i="28"/>
  <c r="G2982" i="28"/>
  <c r="G2972" i="28"/>
  <c r="G2824" i="28"/>
  <c r="G2730" i="28"/>
  <c r="G2586" i="28"/>
  <c r="G2563" i="28"/>
  <c r="G2399" i="28"/>
  <c r="G2353" i="28"/>
  <c r="G2315" i="28"/>
  <c r="G2312" i="28"/>
  <c r="G2297" i="28"/>
  <c r="G2286" i="28"/>
  <c r="G2249" i="28"/>
  <c r="G2185" i="28"/>
  <c r="G2140" i="28"/>
  <c r="G2137" i="28"/>
  <c r="G2051" i="28"/>
  <c r="G2047" i="28"/>
  <c r="G1907" i="28"/>
  <c r="G1897" i="28"/>
  <c r="G1826" i="28"/>
  <c r="G1791" i="28"/>
  <c r="G1721" i="28"/>
  <c r="G1554" i="28"/>
  <c r="G1543" i="28"/>
  <c r="G4359" i="28"/>
  <c r="G4319" i="28"/>
  <c r="G4310" i="28"/>
  <c r="G4306" i="28"/>
  <c r="G4269" i="28"/>
  <c r="G4125" i="28"/>
  <c r="G4121" i="28"/>
  <c r="G4086" i="28"/>
  <c r="G4038" i="28"/>
  <c r="G3964" i="28"/>
  <c r="G3946" i="28"/>
  <c r="G3923" i="28"/>
  <c r="G3916" i="28"/>
  <c r="G3843" i="28"/>
  <c r="G3834" i="28"/>
  <c r="G3769" i="28"/>
  <c r="G3763" i="28"/>
  <c r="G3759" i="28"/>
  <c r="G3752" i="28"/>
  <c r="G3736" i="28"/>
  <c r="G3715" i="28"/>
  <c r="G3660" i="28"/>
  <c r="G3612" i="28"/>
  <c r="G3519" i="28"/>
  <c r="G3514" i="28"/>
  <c r="G3417" i="28"/>
  <c r="G3402" i="28"/>
  <c r="G3376" i="28"/>
  <c r="G3337" i="28"/>
  <c r="G3278" i="28"/>
  <c r="G3243" i="28"/>
  <c r="G3073" i="28"/>
  <c r="G3017" i="28"/>
  <c r="G3013" i="28"/>
  <c r="G5979" i="28"/>
  <c r="G5951" i="28"/>
  <c r="G5933" i="28"/>
  <c r="G5898" i="28"/>
  <c r="G5878" i="28"/>
  <c r="G5813" i="28"/>
  <c r="G5802" i="28"/>
  <c r="G5776" i="28"/>
  <c r="G5765" i="28"/>
  <c r="G5723" i="28"/>
  <c r="G5721" i="28"/>
  <c r="G5705" i="28"/>
  <c r="G5688" i="28"/>
  <c r="G5644" i="28"/>
  <c r="G5566" i="28"/>
  <c r="G5562" i="28"/>
  <c r="G5435" i="28"/>
  <c r="G5412" i="28"/>
  <c r="G5338" i="28"/>
  <c r="G5257" i="28"/>
  <c r="G5247" i="28"/>
  <c r="G5182" i="28"/>
  <c r="G5145" i="28"/>
  <c r="G5123" i="28"/>
  <c r="G5081" i="28"/>
  <c r="G5040" i="28"/>
  <c r="G5016" i="28"/>
  <c r="G4974" i="28"/>
  <c r="G4962" i="28"/>
  <c r="G4886" i="28"/>
  <c r="G2902" i="28"/>
  <c r="G2801" i="28"/>
  <c r="G2781" i="28"/>
  <c r="G2740" i="28"/>
  <c r="G2670" i="28"/>
  <c r="G2643" i="28"/>
  <c r="G2608" i="28"/>
  <c r="G2513" i="28"/>
  <c r="G2442" i="28"/>
  <c r="G2389" i="28"/>
  <c r="G2299" i="28"/>
  <c r="G2161" i="28"/>
  <c r="G2013" i="28"/>
  <c r="G1823" i="28"/>
  <c r="G1813" i="28"/>
  <c r="G1678" i="28"/>
  <c r="G1655" i="28"/>
  <c r="G1514" i="28"/>
  <c r="G4499" i="28"/>
  <c r="G4467" i="28"/>
  <c r="G4354" i="28"/>
  <c r="G4276" i="28"/>
  <c r="G4258" i="28"/>
  <c r="G4139" i="28"/>
  <c r="G4101" i="28"/>
  <c r="G4082" i="28"/>
  <c r="G3915" i="28"/>
  <c r="G3796" i="28"/>
  <c r="G3761" i="28"/>
  <c r="G3753" i="28"/>
  <c r="G3714" i="28"/>
  <c r="G3616" i="28"/>
  <c r="G3530" i="28"/>
  <c r="G3481" i="28"/>
  <c r="G3319" i="28"/>
  <c r="G3285" i="28"/>
  <c r="G3267" i="28"/>
  <c r="G3240" i="28"/>
  <c r="G3109" i="28"/>
  <c r="G3085" i="28"/>
  <c r="G3060" i="28"/>
  <c r="G3039" i="28"/>
  <c r="G5905" i="28"/>
  <c r="G5874" i="28"/>
  <c r="G5806" i="28"/>
  <c r="G5792" i="28"/>
  <c r="G5780" i="28"/>
  <c r="G5766" i="28"/>
  <c r="G5735" i="28"/>
  <c r="G5670" i="28"/>
  <c r="G5643" i="28"/>
  <c r="G5628" i="28"/>
  <c r="G5616" i="28"/>
  <c r="G5590" i="28"/>
  <c r="G5480" i="28"/>
  <c r="G5432" i="28"/>
  <c r="G5392" i="28"/>
  <c r="G5333" i="28"/>
  <c r="G5304" i="28"/>
  <c r="G5072" i="28"/>
  <c r="G5033" i="28"/>
  <c r="G4998" i="28"/>
  <c r="G4989" i="28"/>
  <c r="G4849" i="28"/>
  <c r="G4807" i="28"/>
  <c r="G4779" i="28"/>
  <c r="G2952" i="28"/>
  <c r="G2940" i="28"/>
  <c r="G2930" i="28"/>
  <c r="G2826" i="28"/>
  <c r="G2791" i="28"/>
  <c r="G2641" i="28"/>
  <c r="G2568" i="28"/>
  <c r="G2421" i="28"/>
  <c r="G2234" i="28"/>
  <c r="G2160" i="28"/>
  <c r="G2124" i="28"/>
  <c r="G2118" i="28"/>
  <c r="G2107" i="28"/>
  <c r="G2000" i="28"/>
  <c r="G1988" i="28"/>
  <c r="G1949" i="28"/>
  <c r="G1889" i="28"/>
  <c r="G1827" i="28"/>
  <c r="G1788" i="28"/>
  <c r="G1735" i="28"/>
  <c r="G1726" i="28"/>
  <c r="G1695" i="28"/>
  <c r="G1586" i="28"/>
  <c r="G1564" i="28"/>
  <c r="G1523" i="28"/>
  <c r="G4417" i="28"/>
  <c r="G4392" i="28"/>
  <c r="G4370" i="28"/>
  <c r="G4299" i="28"/>
  <c r="G4270" i="28"/>
  <c r="G4198" i="28"/>
  <c r="G4163" i="28"/>
  <c r="G4118" i="28"/>
  <c r="G4032" i="28"/>
  <c r="G4025" i="28"/>
  <c r="G3931" i="28"/>
  <c r="G3917" i="28"/>
  <c r="G3825" i="28"/>
  <c r="G3716" i="28"/>
  <c r="G3659" i="28"/>
  <c r="G3452" i="28"/>
  <c r="G3447" i="28"/>
  <c r="G3374" i="28"/>
  <c r="G3348" i="28"/>
  <c r="G3027" i="28"/>
  <c r="G5998" i="28"/>
  <c r="G5834" i="28"/>
  <c r="G5810" i="28"/>
  <c r="G5777" i="28"/>
  <c r="G5696" i="28"/>
  <c r="G5677" i="28"/>
  <c r="G5632" i="28"/>
  <c r="G5526" i="28"/>
  <c r="G5497" i="28"/>
  <c r="G5375" i="28"/>
  <c r="G5268" i="28"/>
  <c r="G5215" i="28"/>
  <c r="G5173" i="28"/>
  <c r="G5106" i="28"/>
  <c r="G5082" i="28"/>
  <c r="G5069" i="28"/>
  <c r="G5012" i="28"/>
  <c r="G4948" i="28"/>
  <c r="G4929" i="28"/>
  <c r="G4914" i="28"/>
  <c r="G4902" i="28"/>
  <c r="G4856" i="28"/>
  <c r="G4750" i="28"/>
  <c r="G4727" i="28"/>
  <c r="G4706" i="28"/>
  <c r="G4686" i="28"/>
  <c r="G4671" i="28"/>
  <c r="G4670" i="28"/>
  <c r="G4586" i="28"/>
  <c r="G4560" i="28"/>
  <c r="G4559" i="28"/>
  <c r="G4551" i="28"/>
  <c r="G4547" i="28"/>
  <c r="G4526" i="28"/>
  <c r="G4520" i="28"/>
  <c r="G6187" i="28"/>
  <c r="G6105" i="28"/>
  <c r="G6099" i="28"/>
  <c r="G6066" i="28"/>
  <c r="G6043" i="28"/>
  <c r="G6042" i="28"/>
  <c r="G6023" i="28"/>
  <c r="G6017" i="28"/>
  <c r="G2938" i="28"/>
  <c r="G2795" i="28"/>
  <c r="G2769" i="28"/>
  <c r="G2432" i="28"/>
  <c r="G2410" i="28"/>
  <c r="G2289" i="28"/>
  <c r="G2226" i="28"/>
  <c r="G2114" i="28"/>
  <c r="G2102" i="28"/>
  <c r="G1921" i="28"/>
  <c r="G1835" i="28"/>
  <c r="G1739" i="28"/>
  <c r="G1622" i="28"/>
  <c r="G1609" i="28"/>
  <c r="G1589" i="28"/>
  <c r="G1585" i="28"/>
  <c r="G4408" i="28"/>
  <c r="G4386" i="28"/>
  <c r="G4191" i="28"/>
  <c r="G4185" i="28"/>
  <c r="G4169" i="28"/>
  <c r="G4064" i="28"/>
  <c r="G4058" i="28"/>
  <c r="G3872" i="28"/>
  <c r="G3787" i="28"/>
  <c r="G3784" i="28"/>
  <c r="G3771" i="28"/>
  <c r="G3756" i="28"/>
  <c r="G3631" i="28"/>
  <c r="G3477" i="28"/>
  <c r="G3333" i="28"/>
  <c r="G3287" i="28"/>
  <c r="G3209" i="28"/>
  <c r="G3180" i="28"/>
  <c r="G3153" i="28"/>
  <c r="G3100" i="28"/>
  <c r="G5988" i="28"/>
  <c r="G5902" i="28"/>
  <c r="G5611" i="28"/>
  <c r="G5573" i="28"/>
  <c r="G5472" i="28"/>
  <c r="G5340" i="28"/>
  <c r="G5296" i="28"/>
  <c r="G5207" i="28"/>
  <c r="G5175" i="28"/>
  <c r="G5153" i="28"/>
  <c r="G4869" i="28"/>
  <c r="G4861" i="28"/>
  <c r="G4837" i="28"/>
  <c r="G4824" i="28"/>
  <c r="G4797" i="28"/>
  <c r="G4777" i="28"/>
  <c r="G4755" i="28"/>
  <c r="G21" i="28"/>
  <c r="G2891" i="28"/>
  <c r="G2838" i="28"/>
  <c r="G2695" i="28"/>
  <c r="G2683" i="28"/>
  <c r="G2610" i="28"/>
  <c r="G2503" i="28"/>
  <c r="G2345" i="28"/>
  <c r="G2278" i="28"/>
  <c r="G2169" i="28"/>
  <c r="G2019" i="28"/>
  <c r="G1964" i="28"/>
  <c r="G1875" i="28"/>
  <c r="G1768" i="28"/>
  <c r="G1711" i="28"/>
  <c r="G1674" i="28"/>
  <c r="G1567" i="28"/>
  <c r="G1549" i="28"/>
  <c r="G4466" i="28"/>
  <c r="G4312" i="28"/>
  <c r="G4186" i="28"/>
  <c r="G4159" i="28"/>
  <c r="G4097" i="28"/>
  <c r="G4006" i="28"/>
  <c r="G3862" i="28"/>
  <c r="G3574" i="28"/>
  <c r="G3538" i="28"/>
  <c r="G3413" i="28"/>
  <c r="G3408" i="28"/>
  <c r="G3388" i="28"/>
  <c r="G3384" i="28"/>
  <c r="G3371" i="28"/>
  <c r="G3317" i="28"/>
  <c r="G3286" i="28"/>
  <c r="G3283" i="28"/>
  <c r="G3170" i="28"/>
  <c r="G3076" i="28"/>
  <c r="G3024" i="28"/>
  <c r="G5931" i="28"/>
  <c r="G5895" i="28"/>
  <c r="G5841" i="28"/>
  <c r="G5764" i="28"/>
  <c r="G5537" i="28"/>
  <c r="G5508" i="28"/>
  <c r="G5474" i="28"/>
  <c r="G5410" i="28"/>
  <c r="G5337" i="28"/>
  <c r="G5231" i="28"/>
  <c r="G5224" i="28"/>
  <c r="G5221" i="28"/>
  <c r="G5190" i="28"/>
  <c r="G5131" i="28"/>
  <c r="G5122" i="28"/>
  <c r="G5008" i="28"/>
  <c r="G4975" i="28"/>
  <c r="G4907" i="28"/>
  <c r="G4816" i="28"/>
  <c r="G4684" i="28"/>
  <c r="G4654" i="28"/>
  <c r="G4642" i="28"/>
  <c r="G4613" i="28"/>
  <c r="G4598" i="28"/>
  <c r="G4588" i="28"/>
  <c r="G4570" i="28"/>
  <c r="G4545" i="28"/>
  <c r="G6143" i="28"/>
  <c r="G6134" i="28"/>
  <c r="G6132" i="28"/>
  <c r="G6116" i="28"/>
  <c r="G6111" i="28"/>
  <c r="G6090" i="28"/>
  <c r="G6080" i="28"/>
  <c r="G2871" i="28"/>
  <c r="G2842" i="28"/>
  <c r="G2682" i="28"/>
  <c r="G2632" i="28"/>
  <c r="G2520" i="28"/>
  <c r="G2476" i="28"/>
  <c r="G2466" i="28"/>
  <c r="G2318" i="28"/>
  <c r="G2200" i="28"/>
  <c r="G2174" i="28"/>
  <c r="G2090" i="28"/>
  <c r="G2085" i="28"/>
  <c r="G2027" i="28"/>
  <c r="G2015" i="28"/>
  <c r="G1998" i="28"/>
  <c r="G1948" i="28"/>
  <c r="G1822" i="28"/>
  <c r="G1651" i="28"/>
  <c r="G1641" i="28"/>
  <c r="G1537" i="28"/>
  <c r="G4329" i="28"/>
  <c r="G4300" i="28"/>
  <c r="G4293" i="28"/>
  <c r="G4290" i="28"/>
  <c r="G4278" i="28"/>
  <c r="G4164" i="28"/>
  <c r="G4154" i="28"/>
  <c r="G4044" i="28"/>
  <c r="G3970" i="28"/>
  <c r="G3900" i="28"/>
  <c r="G3822" i="28"/>
  <c r="G3793" i="28"/>
  <c r="G3744" i="28"/>
  <c r="G3740" i="28"/>
  <c r="G3684" i="28"/>
  <c r="G3592" i="28"/>
  <c r="G3393" i="28"/>
  <c r="G3372" i="28"/>
  <c r="G3353" i="28"/>
  <c r="G3349" i="28"/>
  <c r="G3297" i="28"/>
  <c r="G3195" i="28"/>
  <c r="G3183" i="28"/>
  <c r="G3139" i="28"/>
  <c r="G3117" i="28"/>
  <c r="G3056" i="28"/>
  <c r="G3038" i="28"/>
  <c r="G5966" i="28"/>
  <c r="G5911" i="28"/>
  <c r="G5739" i="28"/>
  <c r="G5659" i="28"/>
  <c r="G5559" i="28"/>
  <c r="G5520" i="28"/>
  <c r="G5329" i="28"/>
  <c r="G5156" i="28"/>
  <c r="G5148" i="28"/>
  <c r="G5127" i="28"/>
  <c r="G5074" i="28"/>
  <c r="G4918" i="28"/>
  <c r="G3003" i="28"/>
  <c r="G2971" i="28"/>
  <c r="G2878" i="28"/>
  <c r="G2869" i="28"/>
  <c r="G2828" i="28"/>
  <c r="G2790" i="28"/>
  <c r="G2752" i="28"/>
  <c r="G2707" i="28"/>
  <c r="G2601" i="28"/>
  <c r="G2543" i="28"/>
  <c r="G2519" i="28"/>
  <c r="G2464" i="28"/>
  <c r="G2448" i="28"/>
  <c r="G2340" i="28"/>
  <c r="G2208" i="28"/>
  <c r="G2091" i="28"/>
  <c r="G2052" i="28"/>
  <c r="G2010" i="28"/>
  <c r="G2001" i="28"/>
  <c r="G1987" i="28"/>
  <c r="G1857" i="28"/>
  <c r="G1848" i="28"/>
  <c r="G1521" i="28"/>
  <c r="G4397" i="28"/>
  <c r="G4345" i="28"/>
  <c r="G4255" i="28"/>
  <c r="G4252" i="28"/>
  <c r="G4151" i="28"/>
  <c r="G4079" i="28"/>
  <c r="G4030" i="28"/>
  <c r="G3957" i="28"/>
  <c r="G3953" i="28"/>
  <c r="G3941" i="28"/>
  <c r="G3933" i="28"/>
  <c r="G3929" i="28"/>
  <c r="G3894" i="28"/>
  <c r="G3881" i="28"/>
  <c r="G3818" i="28"/>
  <c r="G3785" i="28"/>
  <c r="G3685" i="28"/>
  <c r="G3361" i="28"/>
  <c r="G3192" i="28"/>
  <c r="G3181" i="28"/>
  <c r="G3165" i="28"/>
  <c r="G3148" i="28"/>
  <c r="G3144" i="28"/>
  <c r="G3101" i="28"/>
  <c r="G3036" i="28"/>
  <c r="G5987" i="28"/>
  <c r="G5908" i="28"/>
  <c r="G5871" i="28"/>
  <c r="G5848" i="28"/>
  <c r="G5797" i="28"/>
  <c r="G5769" i="28"/>
  <c r="G5726" i="28"/>
  <c r="G5720" i="28"/>
  <c r="G5686" i="28"/>
  <c r="G5667" i="28"/>
  <c r="G5558" i="28"/>
  <c r="G5436" i="28"/>
  <c r="G5141" i="28"/>
  <c r="G4986" i="28"/>
  <c r="G4933" i="28"/>
  <c r="G4900" i="28"/>
  <c r="G4782" i="28"/>
  <c r="J139" i="29"/>
  <c r="N139" i="29" s="1"/>
  <c r="J138" i="29"/>
  <c r="N138" i="29" s="1"/>
  <c r="J137" i="29"/>
  <c r="N137" i="29" s="1"/>
  <c r="J136" i="29"/>
  <c r="N136" i="29" s="1"/>
  <c r="J134" i="29"/>
  <c r="N134" i="29" s="1"/>
  <c r="J131" i="29"/>
  <c r="N131" i="29" s="1"/>
  <c r="J129" i="29"/>
  <c r="N129" i="29" s="1"/>
  <c r="J128" i="29"/>
  <c r="J127" i="29"/>
  <c r="N127" i="29" s="1"/>
  <c r="J126" i="29"/>
  <c r="N126" i="29" s="1"/>
  <c r="J125" i="29"/>
  <c r="N125" i="29" s="1"/>
  <c r="J121" i="29"/>
  <c r="N121" i="29" s="1"/>
  <c r="J119" i="29"/>
  <c r="N119" i="29" s="1"/>
  <c r="J118" i="29"/>
  <c r="J117" i="29"/>
  <c r="N117" i="29" s="1"/>
  <c r="J116" i="29"/>
  <c r="N116" i="29" s="1"/>
  <c r="J115" i="29"/>
  <c r="N115" i="29" s="1"/>
  <c r="J110" i="29"/>
  <c r="N110" i="29" s="1"/>
  <c r="J108" i="29"/>
  <c r="N108" i="29" s="1"/>
  <c r="J107" i="29"/>
  <c r="J106" i="29"/>
  <c r="N106" i="29" s="1"/>
  <c r="J105" i="29"/>
  <c r="N105" i="29" s="1"/>
  <c r="J104" i="29"/>
  <c r="N104" i="29" s="1"/>
  <c r="J103" i="29"/>
  <c r="N103" i="29" s="1"/>
  <c r="J99" i="29"/>
  <c r="N99" i="29" s="1"/>
  <c r="J97" i="29"/>
  <c r="N97" i="29" s="1"/>
  <c r="J96" i="29"/>
  <c r="J95" i="29"/>
  <c r="N95" i="29" s="1"/>
  <c r="J94" i="29"/>
  <c r="N94" i="29" s="1"/>
  <c r="J93" i="29"/>
  <c r="N93" i="29" s="1"/>
  <c r="J89" i="29"/>
  <c r="N89" i="29" s="1"/>
  <c r="J88" i="29"/>
  <c r="N88" i="29" s="1"/>
  <c r="J86" i="29"/>
  <c r="N86" i="29" s="1"/>
  <c r="J85" i="29"/>
  <c r="J84" i="29"/>
  <c r="N84" i="29" s="1"/>
  <c r="J83" i="29"/>
  <c r="N83" i="29" s="1"/>
  <c r="J82" i="29"/>
  <c r="N82" i="29" s="1"/>
  <c r="J78" i="29"/>
  <c r="N78" i="29" s="1"/>
  <c r="J76" i="29"/>
  <c r="N76" i="29" s="1"/>
  <c r="J75" i="29"/>
  <c r="J74" i="29"/>
  <c r="N74" i="29" s="1"/>
  <c r="J73" i="29"/>
  <c r="N73" i="29" s="1"/>
  <c r="J72" i="29"/>
  <c r="N72" i="29" s="1"/>
  <c r="J71" i="29"/>
  <c r="N71" i="29" s="1"/>
  <c r="J70" i="29"/>
  <c r="N70" i="29" s="1"/>
  <c r="J66" i="29"/>
  <c r="N66" i="29" s="1"/>
  <c r="J65" i="29"/>
  <c r="N65" i="29" s="1"/>
  <c r="J63" i="29"/>
  <c r="N63" i="29" s="1"/>
  <c r="J62" i="29"/>
  <c r="J61" i="29"/>
  <c r="N61" i="29" s="1"/>
  <c r="J60" i="29"/>
  <c r="N60" i="29" s="1"/>
  <c r="J59" i="29"/>
  <c r="N59" i="29" s="1"/>
  <c r="J55" i="29"/>
  <c r="N55" i="29" s="1"/>
  <c r="J53" i="29"/>
  <c r="N53" i="29" s="1"/>
  <c r="J52" i="29"/>
  <c r="J51" i="29"/>
  <c r="N51" i="29" s="1"/>
  <c r="J50" i="29"/>
  <c r="N50" i="29" s="1"/>
  <c r="J49" i="29"/>
  <c r="N49" i="29" s="1"/>
  <c r="J45" i="29"/>
  <c r="N45" i="29" s="1"/>
  <c r="J44" i="29"/>
  <c r="N44" i="29" s="1"/>
  <c r="J42" i="29"/>
  <c r="N42" i="29" s="1"/>
  <c r="J41" i="29"/>
  <c r="J40" i="29"/>
  <c r="N40" i="29" s="1"/>
  <c r="J39" i="29"/>
  <c r="N39" i="29" s="1"/>
  <c r="J38" i="29"/>
  <c r="N38" i="29" s="1"/>
  <c r="J37" i="29"/>
  <c r="N37" i="29" s="1"/>
  <c r="J34" i="29"/>
  <c r="N34" i="29" s="1"/>
  <c r="J32" i="29"/>
  <c r="N32" i="29" s="1"/>
  <c r="J30" i="29"/>
  <c r="N30" i="29" s="1"/>
  <c r="J29" i="29"/>
  <c r="J28" i="29"/>
  <c r="N28" i="29" s="1"/>
  <c r="J27" i="29"/>
  <c r="N27" i="29" s="1"/>
  <c r="J26" i="29"/>
  <c r="N26" i="29" s="1"/>
  <c r="J22" i="29"/>
  <c r="N22" i="29" s="1"/>
  <c r="J20" i="29"/>
  <c r="N20" i="29" s="1"/>
  <c r="J19" i="29"/>
  <c r="N19" i="29" s="1"/>
  <c r="J18" i="29"/>
  <c r="J17" i="29"/>
  <c r="N17" i="29" s="1"/>
  <c r="J16" i="29"/>
  <c r="N16" i="29" s="1"/>
  <c r="J15" i="29"/>
  <c r="N15" i="29" s="1"/>
  <c r="J11" i="29"/>
  <c r="N11" i="29" s="1"/>
  <c r="J9" i="29"/>
  <c r="N9" i="29" s="1"/>
  <c r="J8" i="29"/>
  <c r="N8" i="29" s="1"/>
  <c r="J7" i="29"/>
  <c r="AB17" i="32"/>
  <c r="N23" i="32"/>
  <c r="N27" i="31"/>
  <c r="N16" i="32"/>
  <c r="N18" i="32"/>
  <c r="I29" i="23"/>
  <c r="N20" i="32"/>
  <c r="N22" i="32"/>
  <c r="N29" i="31"/>
  <c r="N17" i="32"/>
  <c r="N21" i="32"/>
  <c r="N19" i="32"/>
  <c r="I23" i="23"/>
  <c r="I22" i="23"/>
  <c r="I21" i="23"/>
  <c r="C49" i="21" a="1"/>
  <c r="N28" i="31"/>
  <c r="I24" i="23"/>
  <c r="I20" i="23"/>
  <c r="L17" i="25"/>
  <c r="L18" i="25"/>
  <c r="L19" i="25"/>
  <c r="L20" i="25"/>
  <c r="L21" i="25"/>
  <c r="L22" i="25"/>
  <c r="L23" i="25"/>
  <c r="AC17" i="32"/>
  <c r="AC18" i="31"/>
  <c r="AC22" i="31"/>
  <c r="R16" i="47"/>
  <c r="K8" i="27"/>
  <c r="R15" i="47"/>
  <c r="R14" i="47"/>
  <c r="R13" i="47"/>
  <c r="R12" i="47"/>
  <c r="R11" i="47"/>
  <c r="R10" i="47"/>
  <c r="R8" i="47"/>
  <c r="R7" i="47"/>
  <c r="R9" i="47"/>
  <c r="K9" i="27"/>
  <c r="K10" i="27"/>
  <c r="K11" i="27"/>
  <c r="K12" i="27"/>
  <c r="K13" i="27"/>
  <c r="K14" i="27"/>
  <c r="K15" i="27"/>
  <c r="K16" i="27"/>
  <c r="J7" i="27"/>
  <c r="J8" i="27"/>
  <c r="J9" i="27"/>
  <c r="J10" i="27"/>
  <c r="J11" i="27"/>
  <c r="J12" i="27"/>
  <c r="J13" i="27"/>
  <c r="J14" i="27"/>
  <c r="J15" i="27"/>
  <c r="J16" i="27"/>
  <c r="M8" i="25"/>
  <c r="M9" i="25"/>
  <c r="M10" i="25"/>
  <c r="M11" i="25"/>
  <c r="M12" i="25"/>
  <c r="K7" i="27"/>
  <c r="M13" i="25"/>
  <c r="AC16" i="31"/>
  <c r="G112" i="40" s="1"/>
  <c r="AC19" i="31"/>
  <c r="AC21" i="31"/>
  <c r="AC25" i="31"/>
  <c r="AC29" i="31"/>
  <c r="M14" i="25"/>
  <c r="M15" i="25"/>
  <c r="AC17" i="31"/>
  <c r="G113" i="40" s="1"/>
  <c r="AC23" i="31"/>
  <c r="AC27" i="31"/>
  <c r="AC24" i="31"/>
  <c r="M16" i="25"/>
  <c r="M17" i="25"/>
  <c r="M18" i="25"/>
  <c r="M19" i="25"/>
  <c r="M20" i="25"/>
  <c r="C48" i="21" a="1"/>
  <c r="M21" i="25"/>
  <c r="M22" i="25"/>
  <c r="M23" i="25"/>
  <c r="L7" i="25"/>
  <c r="L8" i="25"/>
  <c r="AC20" i="31"/>
  <c r="G115" i="40" s="1"/>
  <c r="AC28" i="31"/>
  <c r="L9" i="25"/>
  <c r="C47" i="21" a="1"/>
  <c r="B3" i="20" s="1"/>
  <c r="L10" i="25"/>
  <c r="L11" i="25"/>
  <c r="L12" i="25"/>
  <c r="L13" i="25"/>
  <c r="L14" i="25"/>
  <c r="L15" i="25"/>
  <c r="L16" i="25"/>
  <c r="AC26" i="31"/>
  <c r="G123" i="40" s="1"/>
  <c r="G124" i="40" s="1"/>
  <c r="M36" i="47"/>
  <c r="M19" i="47"/>
  <c r="M17" i="47"/>
  <c r="U9" i="47"/>
  <c r="C31" i="47"/>
  <c r="M18" i="47"/>
  <c r="M20" i="47"/>
  <c r="M21" i="47"/>
  <c r="M22" i="47"/>
  <c r="M23" i="47"/>
  <c r="M24" i="47"/>
  <c r="M25" i="47"/>
  <c r="M26" i="47"/>
  <c r="M27" i="47"/>
  <c r="M28" i="47"/>
  <c r="L11" i="24"/>
  <c r="S15" i="47"/>
  <c r="T15" i="47" s="1"/>
  <c r="Q5990" i="28"/>
  <c r="Q5993" i="28"/>
  <c r="Q5995" i="28"/>
  <c r="Q5997" i="28"/>
  <c r="Q5999" i="28"/>
  <c r="Q6001" i="28"/>
  <c r="Q6003" i="28"/>
  <c r="Q6004" i="28"/>
  <c r="Q6006" i="28"/>
  <c r="Q3008" i="28"/>
  <c r="Q3010" i="28"/>
  <c r="Q3012" i="28"/>
  <c r="Q3014" i="28"/>
  <c r="Q3207" i="28"/>
  <c r="Q3208" i="28"/>
  <c r="Q3021" i="28"/>
  <c r="Q3022" i="28"/>
  <c r="Q3024" i="28"/>
  <c r="Q3026" i="28"/>
  <c r="Q3028" i="28"/>
  <c r="Q3030" i="28"/>
  <c r="Q3032" i="28"/>
  <c r="Q3034" i="28"/>
  <c r="Q4264" i="28"/>
  <c r="Q3038" i="28"/>
  <c r="Q3040" i="28"/>
  <c r="Q3042" i="28"/>
  <c r="Q3044" i="28"/>
  <c r="Q3046" i="28"/>
  <c r="Q3048" i="28"/>
  <c r="Q3050" i="28"/>
  <c r="Q3051" i="28"/>
  <c r="Q3053" i="28"/>
  <c r="Q3210" i="28"/>
  <c r="Q3057" i="28"/>
  <c r="Q3059" i="28"/>
  <c r="Q3061" i="28"/>
  <c r="Q3063" i="28"/>
  <c r="Q3065" i="28"/>
  <c r="Q3067" i="28"/>
  <c r="Q3069" i="28"/>
  <c r="Q3071" i="28"/>
  <c r="Q3211" i="28"/>
  <c r="Q3075" i="28"/>
  <c r="Q3212" i="28"/>
  <c r="Q4266" i="28"/>
  <c r="Q3081" i="28"/>
  <c r="Q3084" i="28"/>
  <c r="Q3086" i="28"/>
  <c r="Q3087" i="28"/>
  <c r="Q3214" i="28"/>
  <c r="Q3215" i="28"/>
  <c r="Q3094" i="28"/>
  <c r="Q3096" i="28"/>
  <c r="Q3098" i="28"/>
  <c r="Q3100" i="28"/>
  <c r="Q3102" i="28"/>
  <c r="Q3104" i="28"/>
  <c r="Q3106" i="28"/>
  <c r="Q3108" i="28"/>
  <c r="Q3110" i="28"/>
  <c r="Q3216" i="28"/>
  <c r="Q3217" i="28"/>
  <c r="Q3116" i="28"/>
  <c r="Q3118" i="28"/>
  <c r="Q3120" i="28"/>
  <c r="Q3122" i="28"/>
  <c r="Q4271" i="28"/>
  <c r="Q3125" i="28"/>
  <c r="Q4274" i="28"/>
  <c r="Q3129" i="28"/>
  <c r="Q3131" i="28"/>
  <c r="Q4275" i="28"/>
  <c r="Q3221" i="28"/>
  <c r="Q3138" i="28"/>
  <c r="Q3140" i="28"/>
  <c r="Q3142" i="28"/>
  <c r="Q3144" i="28"/>
  <c r="Q3146" i="28"/>
  <c r="Q3148" i="28"/>
  <c r="Q3150" i="28"/>
  <c r="Q3222" i="28"/>
  <c r="Q3154" i="28"/>
  <c r="Q3156" i="28"/>
  <c r="Q3223" i="28"/>
  <c r="Q3227" i="28"/>
  <c r="Q3224" i="28"/>
  <c r="Q3225" i="28"/>
  <c r="Q4283" i="28"/>
  <c r="Q3228" i="28"/>
  <c r="Q3235" i="28"/>
  <c r="Q4287" i="28"/>
  <c r="Q3232" i="28"/>
  <c r="Q3233" i="28"/>
  <c r="Q3234" i="28"/>
  <c r="Q3236" i="28"/>
  <c r="Q3237" i="28"/>
  <c r="Q3243" i="28"/>
  <c r="Q4289" i="28"/>
  <c r="Q4292" i="28"/>
  <c r="Q3242" i="28"/>
  <c r="Q4303" i="28"/>
  <c r="Q4311" i="28"/>
  <c r="Q4318" i="28"/>
  <c r="Q3248" i="28"/>
  <c r="Q3249" i="28"/>
  <c r="Q3266" i="28"/>
  <c r="Q3270" i="28"/>
  <c r="Q3274" i="28"/>
  <c r="Q3255" i="28"/>
  <c r="Q3256" i="28"/>
  <c r="Q4322" i="28"/>
  <c r="Q3259" i="28"/>
  <c r="Q3260" i="28"/>
  <c r="Q3261" i="28"/>
  <c r="Q3263" i="28"/>
  <c r="Q3281" i="28"/>
  <c r="Q3285" i="28"/>
  <c r="Q3267" i="28"/>
  <c r="Q3268" i="28"/>
  <c r="Q4325" i="28"/>
  <c r="Q4333" i="28"/>
  <c r="Q4336" i="28"/>
  <c r="Q4340" i="28"/>
  <c r="Q3275" i="28"/>
  <c r="Q4344" i="28"/>
  <c r="Q3278" i="28"/>
  <c r="Q3279" i="28"/>
  <c r="Q3280" i="28"/>
  <c r="Q3282" i="28"/>
  <c r="Q3283" i="28"/>
  <c r="Q3311" i="28"/>
  <c r="Q3286" i="28"/>
  <c r="Q3287" i="28"/>
  <c r="Q4348" i="28"/>
  <c r="Q4355" i="28"/>
  <c r="Q3291" i="28"/>
  <c r="Q3292" i="28"/>
  <c r="Q3326" i="28"/>
  <c r="Q3329" i="28"/>
  <c r="Q3333" i="28"/>
  <c r="Q3298" i="28"/>
  <c r="Q3299" i="28"/>
  <c r="Q3336" i="28"/>
  <c r="Q3302" i="28"/>
  <c r="Q3303" i="28"/>
  <c r="Q3340" i="28"/>
  <c r="Q3344" i="28"/>
  <c r="Q3307" i="28"/>
  <c r="Q3308" i="28"/>
  <c r="Q3309" i="28"/>
  <c r="Q3310" i="28"/>
  <c r="Q3312" i="28"/>
  <c r="Q3313" i="28"/>
  <c r="Q3348" i="28"/>
  <c r="Q3352" i="28"/>
  <c r="Q3356" i="28"/>
  <c r="Q3360" i="28"/>
  <c r="Q4359" i="28"/>
  <c r="Q3368" i="28"/>
  <c r="Q3321" i="28"/>
  <c r="Q4362" i="28"/>
  <c r="Q3324" i="28"/>
  <c r="Q4366" i="28"/>
  <c r="Q3381" i="28"/>
  <c r="Q3386" i="28"/>
  <c r="Q3390" i="28"/>
  <c r="Q4374" i="28"/>
  <c r="Q3332" i="28"/>
  <c r="Q3334" i="28"/>
  <c r="Q3335" i="28"/>
  <c r="Q3337" i="28"/>
  <c r="Q3338" i="28"/>
  <c r="Q4377" i="28"/>
  <c r="Q3401" i="28"/>
  <c r="Q4384" i="28"/>
  <c r="Q3343" i="28"/>
  <c r="Q3345" i="28"/>
  <c r="Q3346" i="28"/>
  <c r="Q3347" i="28"/>
  <c r="Q3349" i="28"/>
  <c r="Q3350" i="28"/>
  <c r="Q3351" i="28"/>
  <c r="Q3353" i="28"/>
  <c r="Q3354" i="28"/>
  <c r="Q3355" i="28"/>
  <c r="Q4390" i="28"/>
  <c r="Q3415" i="28"/>
  <c r="Q3419" i="28"/>
  <c r="Q3424" i="28"/>
  <c r="Q3428" i="28"/>
  <c r="Q3432" i="28"/>
  <c r="Q4393" i="28"/>
  <c r="Q3366" i="28"/>
  <c r="Q4395" i="28"/>
  <c r="Q3369" i="28"/>
  <c r="Q3445" i="28"/>
  <c r="Q4397" i="28"/>
  <c r="Q4399" i="28"/>
  <c r="Q3458" i="28"/>
  <c r="Q3375" i="28"/>
  <c r="Q3463" i="28"/>
  <c r="Q3467" i="28"/>
  <c r="Q3379" i="28"/>
  <c r="Q4401" i="28"/>
  <c r="Q3382" i="28"/>
  <c r="Q3383" i="28"/>
  <c r="Q3384" i="28"/>
  <c r="Q3385" i="28"/>
  <c r="Q3387" i="28"/>
  <c r="Q3388" i="28"/>
  <c r="Q4403" i="28"/>
  <c r="Q3391" i="28"/>
  <c r="Q3475" i="28"/>
  <c r="Q4407" i="28"/>
  <c r="Q3395" i="28"/>
  <c r="Q3396" i="28"/>
  <c r="Q3398" i="28"/>
  <c r="Q3399" i="28"/>
  <c r="Q3400" i="28"/>
  <c r="Q3402" i="28"/>
  <c r="Q3403" i="28"/>
  <c r="Q3404" i="28"/>
  <c r="Q3405" i="28"/>
  <c r="Q3477" i="28"/>
  <c r="Q3408" i="28"/>
  <c r="Q3409" i="28"/>
  <c r="Q3478" i="28"/>
  <c r="Q3479" i="28"/>
  <c r="Q3413" i="28"/>
  <c r="Q3414" i="28"/>
  <c r="Q3416" i="28"/>
  <c r="Q3417" i="28"/>
  <c r="Q3418" i="28"/>
  <c r="Q3420" i="28"/>
  <c r="Q3421" i="28"/>
  <c r="Q3422" i="28"/>
  <c r="Q4409" i="28"/>
  <c r="Q3425" i="28"/>
  <c r="Q3426" i="28"/>
  <c r="Q3427" i="28"/>
  <c r="Q3429" i="28"/>
  <c r="Q3481" i="28"/>
  <c r="Q4411" i="28"/>
  <c r="Q3433" i="28"/>
  <c r="Q3434" i="28"/>
  <c r="Q3483" i="28"/>
  <c r="Q3484" i="28"/>
  <c r="Q3438" i="28"/>
  <c r="Q3439" i="28"/>
  <c r="Q3440" i="28"/>
  <c r="Q3485" i="28"/>
  <c r="Q3443" i="28"/>
  <c r="Q3444" i="28"/>
  <c r="Q3446" i="28"/>
  <c r="Q3447" i="28"/>
  <c r="Q3448" i="28"/>
  <c r="Q3450" i="28"/>
  <c r="Q3451" i="28"/>
  <c r="Q3486" i="28"/>
  <c r="Q3453" i="28"/>
  <c r="Q3487" i="28"/>
  <c r="Q3456" i="28"/>
  <c r="Q4413" i="28"/>
  <c r="Q3459" i="28"/>
  <c r="Q3490" i="28"/>
  <c r="Q3461" i="28"/>
  <c r="Q3462" i="28"/>
  <c r="Q3464" i="28"/>
  <c r="Q3465" i="28"/>
  <c r="Q3466" i="28"/>
  <c r="Q3468" i="28"/>
  <c r="Q3469" i="28"/>
  <c r="Q3491" i="28"/>
  <c r="Q3472" i="28"/>
  <c r="Q3473" i="28"/>
  <c r="Q3495" i="28"/>
  <c r="Q3492" i="28"/>
  <c r="Q3493" i="28"/>
  <c r="Q3494" i="28"/>
  <c r="Q3499" i="28"/>
  <c r="Q3497" i="28"/>
  <c r="Q3498" i="28"/>
  <c r="Q3500" i="28"/>
  <c r="Q3501" i="28"/>
  <c r="Q4415" i="28"/>
  <c r="Q4421" i="28"/>
  <c r="Q3511" i="28"/>
  <c r="Q3515" i="28"/>
  <c r="Q4428" i="28"/>
  <c r="Q3509" i="28"/>
  <c r="Q3510" i="28"/>
  <c r="Q3512" i="28"/>
  <c r="Q3513" i="28"/>
  <c r="Q3514" i="28"/>
  <c r="Q3516" i="28"/>
  <c r="Q3522" i="28"/>
  <c r="Q3519" i="28"/>
  <c r="Q3520" i="28"/>
  <c r="Q4430" i="28"/>
  <c r="Q3523" i="28"/>
  <c r="Q3524" i="28"/>
  <c r="Q3526" i="28"/>
  <c r="Q3527" i="28"/>
  <c r="Q3528" i="28"/>
  <c r="Q3529" i="28"/>
  <c r="Q3531" i="28"/>
  <c r="Q3532" i="28"/>
  <c r="Q3534" i="28"/>
  <c r="Q3535" i="28"/>
  <c r="Q3536" i="28"/>
  <c r="Q3538" i="28"/>
  <c r="Q4434" i="28"/>
  <c r="Q3542" i="28"/>
  <c r="Q3537" i="28"/>
  <c r="Q3546" i="28"/>
  <c r="Q3549" i="28"/>
  <c r="Q3551" i="28"/>
  <c r="Q3539" i="28"/>
  <c r="Q3555" i="28"/>
  <c r="Q3556" i="28"/>
  <c r="Q3541" i="28"/>
  <c r="Q3543" i="28"/>
  <c r="Q3545" i="28"/>
  <c r="Q3561" i="28"/>
  <c r="Q3547" i="28"/>
  <c r="Q4438" i="28"/>
  <c r="Q3550" i="28"/>
  <c r="Q3567" i="28"/>
  <c r="Q3568" i="28"/>
  <c r="Q3569" i="28"/>
  <c r="Q3571" i="28"/>
  <c r="Q4441" i="28"/>
  <c r="Q3573" i="28"/>
  <c r="Q3574" i="28"/>
  <c r="Q3554" i="28"/>
  <c r="Q3558" i="28"/>
  <c r="Q3562" i="28"/>
  <c r="Q3580" i="28"/>
  <c r="Q3581" i="28"/>
  <c r="Q3582" i="28"/>
  <c r="Q3566" i="28"/>
  <c r="Q3587" i="28"/>
  <c r="Q4443" i="28"/>
  <c r="Q3575" i="28"/>
  <c r="Q3579" i="28"/>
  <c r="Q4445" i="28"/>
  <c r="Q3594" i="28"/>
  <c r="Q3595" i="28"/>
  <c r="Q3585" i="28"/>
  <c r="Q3598" i="28"/>
  <c r="Q3599" i="28"/>
  <c r="Q3600" i="28"/>
  <c r="Q3586" i="28"/>
  <c r="Q3589" i="28"/>
  <c r="Q3593" i="28"/>
  <c r="Q3597" i="28"/>
  <c r="Q4449" i="28"/>
  <c r="Q3608" i="28"/>
  <c r="Q3610" i="28"/>
  <c r="Q3611" i="28"/>
  <c r="Q3612" i="28"/>
  <c r="Q3613" i="28"/>
  <c r="Q3615" i="28"/>
  <c r="Q4451" i="28"/>
  <c r="Q3609" i="28"/>
  <c r="Q3619" i="28"/>
  <c r="Q3620" i="28"/>
  <c r="Q3622" i="28"/>
  <c r="Q3623" i="28"/>
  <c r="Q3624" i="28"/>
  <c r="Q3626" i="28"/>
  <c r="Q3634" i="28"/>
  <c r="Q3614" i="28"/>
  <c r="Q3637" i="28"/>
  <c r="Q3638" i="28"/>
  <c r="Q3639" i="28"/>
  <c r="Q3640" i="28"/>
  <c r="Q3642" i="28"/>
  <c r="Q3618" i="28"/>
  <c r="Q3621" i="28"/>
  <c r="Q3646" i="28"/>
  <c r="Q3647" i="28"/>
  <c r="Q3648" i="28"/>
  <c r="Q3625" i="28"/>
  <c r="Q3627" i="28"/>
  <c r="Q4455" i="28"/>
  <c r="Q4457" i="28"/>
  <c r="Q3655" i="28"/>
  <c r="Q4459" i="28"/>
  <c r="Q4461" i="28"/>
  <c r="Q4463" i="28"/>
  <c r="Q3660" i="28"/>
  <c r="Q3661" i="28"/>
  <c r="Q3663" i="28"/>
  <c r="Q3664" i="28"/>
  <c r="Q3665" i="28"/>
  <c r="Q3667" i="28"/>
  <c r="Q3668" i="28"/>
  <c r="Q3633" i="28"/>
  <c r="Q3636" i="28"/>
  <c r="Q3672" i="28"/>
  <c r="Q3673" i="28"/>
  <c r="Q3675" i="28"/>
  <c r="Q3676" i="28"/>
  <c r="Q3677" i="28"/>
  <c r="Q3679" i="28"/>
  <c r="Q3680" i="28"/>
  <c r="Q3681" i="28"/>
  <c r="Q3683" i="28"/>
  <c r="Q3641" i="28"/>
  <c r="Q3685" i="28"/>
  <c r="Q3687" i="28"/>
  <c r="Q3688" i="28"/>
  <c r="Q3689" i="28"/>
  <c r="Q3690" i="28"/>
  <c r="Q4465" i="28"/>
  <c r="Q3649" i="28"/>
  <c r="Q3695" i="28"/>
  <c r="Q3653" i="28"/>
  <c r="Q3657" i="28"/>
  <c r="Q3699" i="28"/>
  <c r="Q3662" i="28"/>
  <c r="Q3701" i="28"/>
  <c r="Q4470" i="28"/>
  <c r="Q3704" i="28"/>
  <c r="Q3705" i="28"/>
  <c r="Q3707" i="28"/>
  <c r="Q3708" i="28"/>
  <c r="Q3709" i="28"/>
  <c r="Q4474" i="28"/>
  <c r="Q3674" i="28"/>
  <c r="Q4476" i="28"/>
  <c r="Q3715" i="28"/>
  <c r="Q4480" i="28"/>
  <c r="Q3686" i="28"/>
  <c r="Q3691" i="28"/>
  <c r="Q3694" i="28"/>
  <c r="Q3698" i="28"/>
  <c r="Q3723" i="28"/>
  <c r="Q3724" i="28"/>
  <c r="Q3726" i="28"/>
  <c r="Q3727" i="28"/>
  <c r="Q3728" i="28"/>
  <c r="Q3730" i="28"/>
  <c r="Q3702" i="28"/>
  <c r="Q3733" i="28"/>
  <c r="Q3734" i="28"/>
  <c r="Q3735" i="28"/>
  <c r="Q3737" i="28"/>
  <c r="Q3738" i="28"/>
  <c r="Q3739" i="28"/>
  <c r="Q3741" i="28"/>
  <c r="Q3745" i="28"/>
  <c r="Q3746" i="28"/>
  <c r="Q3706" i="28"/>
  <c r="Q3749" i="28"/>
  <c r="Q3750" i="28"/>
  <c r="Q4485" i="28"/>
  <c r="Q3714" i="28"/>
  <c r="Q3755" i="28"/>
  <c r="Q3756" i="28"/>
  <c r="Q3758" i="28"/>
  <c r="Q4489" i="28"/>
  <c r="Q3760" i="28"/>
  <c r="Q3762" i="28"/>
  <c r="Q3763" i="28"/>
  <c r="Q3764" i="28"/>
  <c r="Q3766" i="28"/>
  <c r="Q3767" i="28"/>
  <c r="Q3768" i="28"/>
  <c r="Q3770" i="28"/>
  <c r="Q4491" i="28"/>
  <c r="Q3725" i="28"/>
  <c r="Q3774" i="28"/>
  <c r="Q3775" i="28"/>
  <c r="Q3729" i="28"/>
  <c r="Q3778" i="28"/>
  <c r="Q3779" i="28"/>
  <c r="Q3780" i="28"/>
  <c r="Q3732" i="28"/>
  <c r="Q3783" i="28"/>
  <c r="Q3785" i="28"/>
  <c r="Q3786" i="28"/>
  <c r="Q3787" i="28"/>
  <c r="Q4504" i="28"/>
  <c r="Q3740" i="28"/>
  <c r="Q3791" i="28"/>
  <c r="Q3742" i="28"/>
  <c r="Q3743" i="28"/>
  <c r="Q3744" i="28"/>
  <c r="Q3797" i="28"/>
  <c r="Q3798" i="28"/>
  <c r="Q3799" i="28"/>
  <c r="Q3801" i="28"/>
  <c r="Q3802" i="28"/>
  <c r="Q3803" i="28"/>
  <c r="Q3805" i="28"/>
  <c r="Q3806" i="28"/>
  <c r="Q3807" i="28"/>
  <c r="Q3808" i="28"/>
  <c r="Q3810" i="28"/>
  <c r="Q3811" i="28"/>
  <c r="Q3812" i="28"/>
  <c r="Q1510" i="28"/>
  <c r="Q3814" i="28"/>
  <c r="Q3815" i="28"/>
  <c r="Q3816" i="28"/>
  <c r="Q3817" i="28"/>
  <c r="Q3818" i="28"/>
  <c r="Q3819" i="28"/>
  <c r="Q3820" i="28"/>
  <c r="Q3821" i="28"/>
  <c r="Q3822" i="28"/>
  <c r="Q1512" i="28"/>
  <c r="Q3824" i="28"/>
  <c r="Q3825" i="28"/>
  <c r="Q3754" i="28"/>
  <c r="Q3757" i="28"/>
  <c r="Q3761" i="28"/>
  <c r="Q3765" i="28"/>
  <c r="Q3831" i="28"/>
  <c r="Q3832" i="28"/>
  <c r="Q3769" i="28"/>
  <c r="Q3773" i="28"/>
  <c r="Q1514" i="28"/>
  <c r="Q3781" i="28"/>
  <c r="Q3784" i="28"/>
  <c r="Q3788" i="28"/>
  <c r="Q3792" i="28"/>
  <c r="Q3840" i="28"/>
  <c r="Q3841" i="28"/>
  <c r="Q3842" i="28"/>
  <c r="Q3843" i="28"/>
  <c r="Q3844" i="28"/>
  <c r="Q3845" i="28"/>
  <c r="Q3846" i="28"/>
  <c r="Q3854" i="28"/>
  <c r="Q3855" i="28"/>
  <c r="Q1516" i="28"/>
  <c r="Q3857" i="28"/>
  <c r="Q3858" i="28"/>
  <c r="Q3859" i="28"/>
  <c r="Q3800" i="28"/>
  <c r="Q3804" i="28"/>
  <c r="Q3809" i="28"/>
  <c r="Q3826" i="28"/>
  <c r="Q3847" i="28"/>
  <c r="Q3869" i="28"/>
  <c r="Q3871" i="28"/>
  <c r="Q1518" i="28"/>
  <c r="Q3849" i="28"/>
  <c r="Q3850" i="28"/>
  <c r="Q3879" i="28"/>
  <c r="Q3881" i="28"/>
  <c r="Q3883" i="28"/>
  <c r="Q1523" i="28"/>
  <c r="Q1531" i="28"/>
  <c r="Q3853" i="28"/>
  <c r="Q3890" i="28"/>
  <c r="Q1533" i="28"/>
  <c r="Q3892" i="28"/>
  <c r="Q3893" i="28"/>
  <c r="Q3894" i="28"/>
  <c r="Q1535" i="28"/>
  <c r="Q3866" i="28"/>
  <c r="Q3868" i="28"/>
  <c r="Q3899" i="28"/>
  <c r="Q3870" i="28"/>
  <c r="Q3902" i="28"/>
  <c r="Q1537" i="28"/>
  <c r="Q3906" i="28"/>
  <c r="Q3874" i="28"/>
  <c r="Q1525" i="28"/>
  <c r="Q3878" i="28"/>
  <c r="Q3915" i="28"/>
  <c r="Q3917" i="28"/>
  <c r="Q3919" i="28"/>
  <c r="Q3920" i="28"/>
  <c r="Q3922" i="28"/>
  <c r="Q3880" i="28"/>
  <c r="Q3926" i="28"/>
  <c r="Q3882" i="28"/>
  <c r="Q3930" i="28"/>
  <c r="Q3932" i="28"/>
  <c r="Q3934" i="28"/>
  <c r="Q3936" i="28"/>
  <c r="Q3938" i="28"/>
  <c r="Q3940" i="28"/>
  <c r="Q3942" i="28"/>
  <c r="Q3944" i="28"/>
  <c r="Q3886" i="28"/>
  <c r="Q3948" i="28"/>
  <c r="Q3950" i="28"/>
  <c r="Q3952" i="28"/>
  <c r="Q3954" i="28"/>
  <c r="Q3956" i="28"/>
  <c r="Q3958" i="28"/>
  <c r="Q3960" i="28"/>
  <c r="Q3962" i="28"/>
  <c r="Q3964" i="28"/>
  <c r="Q3888" i="28"/>
  <c r="Q3968" i="28"/>
  <c r="Q3970" i="28"/>
  <c r="Q3901" i="28"/>
  <c r="Q3903" i="28"/>
  <c r="Q3976" i="28"/>
  <c r="Q3905" i="28"/>
  <c r="Q3980" i="28"/>
  <c r="Q3982" i="28"/>
  <c r="Q3984" i="28"/>
  <c r="Q3986" i="28"/>
  <c r="Q3988" i="28"/>
  <c r="Q3989" i="28"/>
  <c r="Q3991" i="28"/>
  <c r="Q3907" i="28"/>
  <c r="Q3995" i="28"/>
  <c r="Q3997" i="28"/>
  <c r="Q3999" i="28"/>
  <c r="Q4001" i="28"/>
  <c r="Q4003" i="28"/>
  <c r="Q4005" i="28"/>
  <c r="Q4007" i="28"/>
  <c r="Q4009" i="28"/>
  <c r="Q3910" i="28"/>
  <c r="Q3914" i="28"/>
  <c r="Q4015" i="28"/>
  <c r="Q3916" i="28"/>
  <c r="Q4019" i="28"/>
  <c r="Q3918" i="28"/>
  <c r="Q3929" i="28"/>
  <c r="Q3931" i="28"/>
  <c r="Q4027" i="28"/>
  <c r="Q4029" i="28"/>
  <c r="Q3933" i="28"/>
  <c r="Q4033" i="28"/>
  <c r="Q4035" i="28"/>
  <c r="Q4037" i="28"/>
  <c r="Q4039" i="28"/>
  <c r="Q4041" i="28"/>
  <c r="Q4043" i="28"/>
  <c r="Q4045" i="28"/>
  <c r="Q4047" i="28"/>
  <c r="Q4049" i="28"/>
  <c r="Q4051" i="28"/>
  <c r="Q3935" i="28"/>
  <c r="Q3937" i="28"/>
  <c r="Q4057" i="28"/>
  <c r="Q4060" i="28"/>
  <c r="Q4062" i="28"/>
  <c r="Q4064" i="28"/>
  <c r="Q4066" i="28"/>
  <c r="Q4068" i="28"/>
  <c r="Q3939" i="28"/>
  <c r="Q3941" i="28"/>
  <c r="Q4074" i="28"/>
  <c r="Q4076" i="28"/>
  <c r="Q4078" i="28"/>
  <c r="Q3943" i="28"/>
  <c r="Q4082" i="28"/>
  <c r="Q4084" i="28"/>
  <c r="Q4085" i="28"/>
  <c r="Q4087" i="28"/>
  <c r="Q4089" i="28"/>
  <c r="Q4091" i="28"/>
  <c r="Q4093" i="28"/>
  <c r="Q4095" i="28"/>
  <c r="Q4097" i="28"/>
  <c r="Q4099" i="28"/>
  <c r="Q4101" i="28"/>
  <c r="Q4103" i="28"/>
  <c r="Q3945" i="28"/>
  <c r="Q4108" i="28"/>
  <c r="Q4110" i="28"/>
  <c r="Q3947" i="28"/>
  <c r="Q4114" i="28"/>
  <c r="Q4116" i="28"/>
  <c r="Q4118" i="28"/>
  <c r="Q4120" i="28"/>
  <c r="Q4122" i="28"/>
  <c r="Q3949" i="28"/>
  <c r="Q4126" i="28"/>
  <c r="Q3951" i="28"/>
  <c r="Q3953" i="28"/>
  <c r="Q4147" i="28"/>
  <c r="Q4148" i="28"/>
  <c r="Q3957" i="28"/>
  <c r="Q4152" i="28"/>
  <c r="Q4154" i="28"/>
  <c r="Q4156" i="28"/>
  <c r="Q3959" i="28"/>
  <c r="Q4160" i="28"/>
  <c r="Q3961" i="28"/>
  <c r="Q4164" i="28"/>
  <c r="Q3963" i="28"/>
  <c r="Q4168" i="28"/>
  <c r="Q4170" i="28"/>
  <c r="Q3967" i="28"/>
  <c r="Q3971" i="28"/>
  <c r="Q4176" i="28"/>
  <c r="Q4178" i="28"/>
  <c r="Q3973" i="28"/>
  <c r="Q4182" i="28"/>
  <c r="Q3975" i="28"/>
  <c r="Q3977" i="28"/>
  <c r="Q3979" i="28"/>
  <c r="Q4187" i="28"/>
  <c r="Q4188" i="28"/>
  <c r="Q4189" i="28"/>
  <c r="Q3981" i="28"/>
  <c r="Q4191" i="28"/>
  <c r="Q4192" i="28"/>
  <c r="Q4193" i="28"/>
  <c r="Q4195" i="28"/>
  <c r="Q3983" i="28"/>
  <c r="Q4198" i="28"/>
  <c r="Q3985" i="28"/>
  <c r="Q3987" i="28"/>
  <c r="Q3990" i="28"/>
  <c r="Q4206" i="28"/>
  <c r="Q3992" i="28"/>
  <c r="Q3996" i="28"/>
  <c r="Q4213" i="28"/>
  <c r="Q4215" i="28"/>
  <c r="Q4216" i="28"/>
  <c r="Q4218" i="28"/>
  <c r="Q4220" i="28"/>
  <c r="Q4000" i="28"/>
  <c r="Q4246" i="28"/>
  <c r="Q4002" i="28"/>
  <c r="Q4252" i="28"/>
  <c r="Q4006" i="28"/>
  <c r="Q4256" i="28"/>
  <c r="Q4008" i="28"/>
  <c r="Q4261" i="28"/>
  <c r="Q4263" i="28"/>
  <c r="Q4265" i="28"/>
  <c r="Q4267" i="28"/>
  <c r="Q4010" i="28"/>
  <c r="Q4272" i="28"/>
  <c r="Q4014" i="28"/>
  <c r="Q4276" i="28"/>
  <c r="Q4278" i="28"/>
  <c r="Q4280" i="28"/>
  <c r="Q4282" i="28"/>
  <c r="Q4284" i="28"/>
  <c r="Q4285" i="28"/>
  <c r="Q4286" i="28"/>
  <c r="Q4020" i="28"/>
  <c r="Q4290" i="28"/>
  <c r="Q4026" i="28"/>
  <c r="Q4028" i="28"/>
  <c r="Q4030" i="28"/>
  <c r="Q4034" i="28"/>
  <c r="Q4036" i="28"/>
  <c r="Q4298" i="28"/>
  <c r="Q4299" i="28"/>
  <c r="Q4038" i="28"/>
  <c r="Q4302" i="28"/>
  <c r="Q4304" i="28"/>
  <c r="Q4305" i="28"/>
  <c r="Q4040" i="28"/>
  <c r="Q4308" i="28"/>
  <c r="Q4309" i="28"/>
  <c r="Q4310" i="28"/>
  <c r="Q4042" i="28"/>
  <c r="Q4044" i="28"/>
  <c r="Q4048" i="28"/>
  <c r="Q4050" i="28"/>
  <c r="Q4317" i="28"/>
  <c r="Q4319" i="28"/>
  <c r="Q4320" i="28"/>
  <c r="Q4321" i="28"/>
  <c r="Q4323" i="28"/>
  <c r="Q4324" i="28"/>
  <c r="Q4326" i="28"/>
  <c r="Q4054" i="28"/>
  <c r="Q4056" i="28"/>
  <c r="Q4058" i="28"/>
  <c r="Q4063" i="28"/>
  <c r="Q4332" i="28"/>
  <c r="Q4065" i="28"/>
  <c r="Q4335" i="28"/>
  <c r="Q4337" i="28"/>
  <c r="Q4338" i="28"/>
  <c r="Q4339" i="28"/>
  <c r="Q4067" i="28"/>
  <c r="Q4342" i="28"/>
  <c r="Q4343" i="28"/>
  <c r="Q4345" i="28"/>
  <c r="Q4346" i="28"/>
  <c r="Q4347" i="28"/>
  <c r="Q4349" i="28"/>
  <c r="Q4350" i="28"/>
  <c r="Q4352" i="28"/>
  <c r="Q4353" i="28"/>
  <c r="Q4354" i="28"/>
  <c r="Q4071" i="28"/>
  <c r="Q4073" i="28"/>
  <c r="Q4075" i="28"/>
  <c r="Q4079" i="28"/>
  <c r="Q4361" i="28"/>
  <c r="Q4363" i="28"/>
  <c r="Q4081" i="28"/>
  <c r="Q4086" i="28"/>
  <c r="Q4088" i="28"/>
  <c r="Q4368" i="28"/>
  <c r="Q4369" i="28"/>
  <c r="Q4371" i="28"/>
  <c r="Q4372" i="28"/>
  <c r="Q4373" i="28"/>
  <c r="Q4375" i="28"/>
  <c r="Q4376" i="28"/>
  <c r="Q4378" i="28"/>
  <c r="Q4379" i="28"/>
  <c r="Q4380" i="28"/>
  <c r="Q4090" i="28"/>
  <c r="Q4094" i="28"/>
  <c r="Q4096" i="28"/>
  <c r="Q4388" i="28"/>
  <c r="Q4389" i="28"/>
  <c r="Q4098" i="28"/>
  <c r="Q4392" i="28"/>
  <c r="Q4100" i="28"/>
  <c r="Q4396" i="28"/>
  <c r="Q4398" i="28"/>
  <c r="Q4400" i="28"/>
  <c r="Q4402" i="28"/>
  <c r="Q4404" i="28"/>
  <c r="Q4102" i="28"/>
  <c r="Q4408" i="28"/>
  <c r="Q4106" i="28"/>
  <c r="Q4412" i="28"/>
  <c r="Q4414" i="28"/>
  <c r="Q4107" i="28"/>
  <c r="Q4418" i="28"/>
  <c r="Q4420" i="28"/>
  <c r="Q4109" i="28"/>
  <c r="Q4424" i="28"/>
  <c r="Q4425" i="28"/>
  <c r="Q4111" i="28"/>
  <c r="Q4429" i="28"/>
  <c r="Q4113" i="28"/>
  <c r="Q4433" i="28"/>
  <c r="Q4435" i="28"/>
  <c r="Q4115" i="28"/>
  <c r="Q4439" i="28"/>
  <c r="Q4440" i="28"/>
  <c r="Q4442" i="28"/>
  <c r="Q4444" i="28"/>
  <c r="Q4117" i="28"/>
  <c r="Q4448" i="28"/>
  <c r="Q4450" i="28"/>
  <c r="Q4119" i="28"/>
  <c r="Q4121" i="28"/>
  <c r="Q4456" i="28"/>
  <c r="Q4458" i="28"/>
  <c r="Q4125" i="28"/>
  <c r="Q4127" i="28"/>
  <c r="Q4464" i="28"/>
  <c r="Q4466" i="28"/>
  <c r="Q4468" i="28"/>
  <c r="Q4469" i="28"/>
  <c r="Q4471" i="28"/>
  <c r="Q4133" i="28"/>
  <c r="Q4475" i="28"/>
  <c r="Q4134" i="28"/>
  <c r="Q4479" i="28"/>
  <c r="Q4481" i="28"/>
  <c r="Q4135" i="28"/>
  <c r="Q4137" i="28"/>
  <c r="Q4486" i="28"/>
  <c r="Q4488" i="28"/>
  <c r="Q4490" i="28"/>
  <c r="Q4492" i="28"/>
  <c r="Q4138" i="28"/>
  <c r="Q4139" i="28"/>
  <c r="Q4140" i="28"/>
  <c r="Q4500" i="28"/>
  <c r="Q4141" i="28"/>
  <c r="Q4503" i="28"/>
  <c r="Q4153" i="28"/>
  <c r="Q4159" i="28"/>
  <c r="Q1509" i="28"/>
  <c r="Q1511" i="28"/>
  <c r="Q1513" i="28"/>
  <c r="Q1515" i="28"/>
  <c r="Q1517" i="28"/>
  <c r="Q1519" i="28"/>
  <c r="Q4161" i="28"/>
  <c r="Q4165" i="28"/>
  <c r="Q1524" i="28"/>
  <c r="Q4169" i="28"/>
  <c r="Q4171" i="28"/>
  <c r="Q1530" i="28"/>
  <c r="Q1532" i="28"/>
  <c r="Q1534" i="28"/>
  <c r="Q4175" i="28"/>
  <c r="Q4177" i="28"/>
  <c r="Q4179" i="28"/>
  <c r="Q5989" i="28"/>
  <c r="Q5991" i="28"/>
  <c r="Q5992" i="28"/>
  <c r="Q5994" i="28"/>
  <c r="Q5996" i="28"/>
  <c r="Q5998" i="28"/>
  <c r="Q6000" i="28"/>
  <c r="Q6002" i="28"/>
  <c r="Q6005" i="28"/>
  <c r="Q3007" i="28"/>
  <c r="Q3009" i="28"/>
  <c r="Q3011" i="28"/>
  <c r="Q3013" i="28"/>
  <c r="Q3015" i="28"/>
  <c r="Q4181" i="28"/>
  <c r="Q3019" i="28"/>
  <c r="Q3020" i="28"/>
  <c r="Q3023" i="28"/>
  <c r="Q3025" i="28"/>
  <c r="Q4183" i="28"/>
  <c r="Q3029" i="28"/>
  <c r="Q3031" i="28"/>
  <c r="Q3033" i="28"/>
  <c r="Q3035" i="28"/>
  <c r="Q3037" i="28"/>
  <c r="Q3039" i="28"/>
  <c r="Q3041" i="28"/>
  <c r="Q4194" i="28"/>
  <c r="Q3045" i="28"/>
  <c r="Q4199" i="28"/>
  <c r="Q4207" i="28"/>
  <c r="Q3052" i="28"/>
  <c r="Q4210" i="28"/>
  <c r="Q3056" i="28"/>
  <c r="Q3058" i="28"/>
  <c r="Q3060" i="28"/>
  <c r="Q3062" i="28"/>
  <c r="Q3064" i="28"/>
  <c r="Q3066" i="28"/>
  <c r="Q3068" i="28"/>
  <c r="Q3070" i="28"/>
  <c r="Q4217" i="28"/>
  <c r="Q4219" i="28"/>
  <c r="Q3076" i="28"/>
  <c r="Q4221" i="28"/>
  <c r="Q3080" i="28"/>
  <c r="Q3082" i="28"/>
  <c r="Q3083" i="28"/>
  <c r="Q3085" i="28"/>
  <c r="Q3088" i="28"/>
  <c r="Q3090" i="28"/>
  <c r="Q4223" i="28"/>
  <c r="Q3093" i="28"/>
  <c r="Q3095" i="28"/>
  <c r="Q3097" i="28"/>
  <c r="Q3099" i="28"/>
  <c r="Q3101" i="28"/>
  <c r="Q3103" i="28"/>
  <c r="Q3105" i="28"/>
  <c r="Q3107" i="28"/>
  <c r="Q3109" i="28"/>
  <c r="Q3111" i="28"/>
  <c r="Q4224" i="28"/>
  <c r="Q3115" i="28"/>
  <c r="Q3117" i="28"/>
  <c r="Q3119" i="28"/>
  <c r="Q3121" i="28"/>
  <c r="Q3124" i="28"/>
  <c r="Q3126" i="28"/>
  <c r="Q4225" i="28"/>
  <c r="Q4226" i="28"/>
  <c r="Q3132" i="28"/>
  <c r="Q3133" i="28"/>
  <c r="Q4227" i="28"/>
  <c r="Q3137" i="28"/>
  <c r="Q3139" i="28"/>
  <c r="Q4228" i="28"/>
  <c r="Q3143" i="28"/>
  <c r="Q4229" i="28"/>
  <c r="Q3147" i="28"/>
  <c r="Q3149" i="28"/>
  <c r="Q3151" i="28"/>
  <c r="Q3153" i="28"/>
  <c r="Q3155" i="28"/>
  <c r="Q4230" i="28"/>
  <c r="Q4231" i="28"/>
  <c r="Q3161" i="28"/>
  <c r="Q3162" i="28"/>
  <c r="Q3163" i="28"/>
  <c r="Q4232" i="28"/>
  <c r="Q3165" i="28"/>
  <c r="Q3166" i="28"/>
  <c r="Q4233" i="28"/>
  <c r="Q3168" i="28"/>
  <c r="Q3169" i="28"/>
  <c r="Q3170" i="28"/>
  <c r="Q3171" i="28"/>
  <c r="Q3172" i="28"/>
  <c r="Q3173" i="28"/>
  <c r="Q4234" i="28"/>
  <c r="Q4235" i="28"/>
  <c r="Q3176" i="28"/>
  <c r="Q4236" i="28"/>
  <c r="Q3178" i="28"/>
  <c r="Q3179" i="28"/>
  <c r="Q3180" i="28"/>
  <c r="Q3181" i="28"/>
  <c r="Q3182" i="28"/>
  <c r="Q3183" i="28"/>
  <c r="Q3184" i="28"/>
  <c r="Q4238" i="28"/>
  <c r="Q4239" i="28"/>
  <c r="Q3187" i="28"/>
  <c r="Q3188" i="28"/>
  <c r="Q4242" i="28"/>
  <c r="Q4243" i="28"/>
  <c r="Q3191" i="28"/>
  <c r="Q3192" i="28"/>
  <c r="Q3193" i="28"/>
  <c r="Q3194" i="28"/>
  <c r="Q4247" i="28"/>
  <c r="Q4253" i="28"/>
  <c r="Q3197" i="28"/>
  <c r="Q3198" i="28"/>
  <c r="Q3199" i="28"/>
  <c r="Q4260" i="28"/>
  <c r="Q3201" i="28"/>
  <c r="Q3202" i="28"/>
  <c r="Q4262" i="28"/>
  <c r="Q3204" i="28"/>
  <c r="Q3205" i="28"/>
  <c r="Q3206" i="28"/>
  <c r="Q3836" i="28"/>
  <c r="Q3018" i="28"/>
  <c r="Q3036" i="28"/>
  <c r="Q3055" i="28"/>
  <c r="Q3073" i="28"/>
  <c r="Q4436" i="28"/>
  <c r="Q1507" i="28"/>
  <c r="Q3089" i="28"/>
  <c r="Q1520" i="28"/>
  <c r="Q1522" i="28"/>
  <c r="Q3884" i="28"/>
  <c r="Q3123" i="28"/>
  <c r="Q4136" i="28"/>
  <c r="Q3134" i="28"/>
  <c r="Q3136" i="28"/>
  <c r="Q3152" i="28"/>
  <c r="Q3158" i="28"/>
  <c r="Q3160" i="28"/>
  <c r="Q4173" i="28"/>
  <c r="Q1538" i="28"/>
  <c r="Q1540" i="28"/>
  <c r="Q3238" i="28"/>
  <c r="Q3921" i="28"/>
  <c r="Q3965" i="28"/>
  <c r="Q3994" i="28"/>
  <c r="Q3047" i="28"/>
  <c r="Q3049" i="28"/>
  <c r="Q3251" i="28"/>
  <c r="Q4046" i="28"/>
  <c r="Q3072" i="28"/>
  <c r="Q3257" i="28"/>
  <c r="Q3074" i="28"/>
  <c r="Q4104" i="28"/>
  <c r="Q3269" i="28"/>
  <c r="Q3092" i="28"/>
  <c r="Q3955" i="28"/>
  <c r="Q3128" i="28"/>
  <c r="Q3130" i="28"/>
  <c r="Q3923" i="28"/>
  <c r="Q3288" i="28"/>
  <c r="Q3290" i="28"/>
  <c r="Q3294" i="28"/>
  <c r="Q3141" i="28"/>
  <c r="Q4237" i="28"/>
  <c r="Q3157" i="28"/>
  <c r="Q3304" i="28"/>
  <c r="Q3305" i="28"/>
  <c r="Q3159" i="28"/>
  <c r="Q3315" i="28"/>
  <c r="Q3316" i="28"/>
  <c r="Q4351" i="28"/>
  <c r="Q3319" i="28"/>
  <c r="Q3320" i="28"/>
  <c r="Q3323" i="28"/>
  <c r="Q3325" i="28"/>
  <c r="Q1521" i="28"/>
  <c r="Q3174" i="28"/>
  <c r="Q3175" i="28"/>
  <c r="Q3177" i="28"/>
  <c r="Q3339" i="28"/>
  <c r="Q3341" i="28"/>
  <c r="Q3342" i="28"/>
  <c r="Q3357" i="28"/>
  <c r="Q3185" i="28"/>
  <c r="Q3186" i="28"/>
  <c r="Q3361" i="28"/>
  <c r="Q3362" i="28"/>
  <c r="Q3363" i="28"/>
  <c r="Q3365" i="28"/>
  <c r="Q3189" i="28"/>
  <c r="Q3370" i="28"/>
  <c r="Q3371" i="28"/>
  <c r="Q3373" i="28"/>
  <c r="Q3374" i="28"/>
  <c r="Q3376" i="28"/>
  <c r="Q3378" i="28"/>
  <c r="Q3190" i="28"/>
  <c r="Q3195" i="28"/>
  <c r="Q3392" i="28"/>
  <c r="Q3394" i="28"/>
  <c r="Q3196" i="28"/>
  <c r="Q3411" i="28"/>
  <c r="Q3412" i="28"/>
  <c r="Q3200" i="28"/>
  <c r="Q3430" i="28"/>
  <c r="Q3431" i="28"/>
  <c r="Q3203" i="28"/>
  <c r="Q4201" i="28"/>
  <c r="Q3442" i="28"/>
  <c r="Q3452" i="28"/>
  <c r="Q3455" i="28"/>
  <c r="Q3457" i="28"/>
  <c r="Q3898" i="28"/>
  <c r="Q3470" i="28"/>
  <c r="Q3489" i="28"/>
  <c r="Q3496" i="28"/>
  <c r="Q3502" i="28"/>
  <c r="Q3504" i="28"/>
  <c r="Q3505" i="28"/>
  <c r="Q3506" i="28"/>
  <c r="Q3508" i="28"/>
  <c r="Q3969" i="28"/>
  <c r="Q3521" i="28"/>
  <c r="Q3530" i="28"/>
  <c r="Q3540" i="28"/>
  <c r="Q3219" i="28"/>
  <c r="Q3553" i="28"/>
  <c r="Q3557" i="28"/>
  <c r="Q3559" i="28"/>
  <c r="Q4257" i="28"/>
  <c r="Q3925" i="28"/>
  <c r="Q3239" i="28"/>
  <c r="Q3565" i="28"/>
  <c r="Q3572" i="28"/>
  <c r="Q3576" i="28"/>
  <c r="Q3577" i="28"/>
  <c r="Q3578" i="28"/>
  <c r="Q4208" i="28"/>
  <c r="Q3588" i="28"/>
  <c r="Q3590" i="28"/>
  <c r="Q3591" i="28"/>
  <c r="Q3592" i="28"/>
  <c r="Q3596" i="28"/>
  <c r="Q3602" i="28"/>
  <c r="Q3603" i="28"/>
  <c r="Q3604" i="28"/>
  <c r="Q3606" i="28"/>
  <c r="Q3250" i="28"/>
  <c r="Q4294" i="28"/>
  <c r="Q3254" i="28"/>
  <c r="Q3258" i="28"/>
  <c r="Q3643" i="28"/>
  <c r="Q3262" i="28"/>
  <c r="Q3650" i="28"/>
  <c r="Q3651" i="28"/>
  <c r="Q3652" i="28"/>
  <c r="Q3654" i="28"/>
  <c r="Q3656" i="28"/>
  <c r="Q3658" i="28"/>
  <c r="Q3659" i="28"/>
  <c r="Q3669" i="28"/>
  <c r="Q3277" i="28"/>
  <c r="Q3684" i="28"/>
  <c r="Q3692" i="28"/>
  <c r="Q3289" i="28"/>
  <c r="Q3696" i="28"/>
  <c r="Q3293" i="28"/>
  <c r="Q3700" i="28"/>
  <c r="Q3703" i="28"/>
  <c r="Q4493" i="28"/>
  <c r="Q3712" i="28"/>
  <c r="Q4277" i="28"/>
  <c r="Q4012" i="28"/>
  <c r="Q3318" i="28"/>
  <c r="Q3719" i="28"/>
  <c r="Q3720" i="28"/>
  <c r="Q3722" i="28"/>
  <c r="Q3731" i="28"/>
  <c r="Q3747" i="28"/>
  <c r="Q3876" i="28"/>
  <c r="Q3364" i="28"/>
  <c r="Q3759" i="28"/>
  <c r="Q3771" i="28"/>
  <c r="Q3372" i="28"/>
  <c r="Q3776" i="28"/>
  <c r="Q3782" i="28"/>
  <c r="Q3789" i="28"/>
  <c r="Q3790" i="28"/>
  <c r="Q3793" i="28"/>
  <c r="Q3794" i="28"/>
  <c r="Q3795" i="28"/>
  <c r="Q3813" i="28"/>
  <c r="Q3823" i="28"/>
  <c r="Q3827" i="28"/>
  <c r="Q3377" i="28"/>
  <c r="Q3393" i="28"/>
  <c r="Q3397" i="28"/>
  <c r="Q4212" i="28"/>
  <c r="Q3410" i="28"/>
  <c r="Q3436" i="28"/>
  <c r="Q3306" i="28"/>
  <c r="Q3837" i="28"/>
  <c r="Q3838" i="28"/>
  <c r="Q3839" i="28"/>
  <c r="Q3441" i="28"/>
  <c r="Q4142" i="28"/>
  <c r="Q3861" i="28"/>
  <c r="Q3863" i="28"/>
  <c r="Q3454" i="28"/>
  <c r="Q3867" i="28"/>
  <c r="Q3873" i="28"/>
  <c r="Q3875" i="28"/>
  <c r="Q3877" i="28"/>
  <c r="Q3885" i="28"/>
  <c r="Q3887" i="28"/>
  <c r="Q3889" i="28"/>
  <c r="Q3891" i="28"/>
  <c r="Q3895" i="28"/>
  <c r="Q3471" i="28"/>
  <c r="Q3897" i="28"/>
  <c r="Q3900" i="28"/>
  <c r="Q3904" i="28"/>
  <c r="Q3909" i="28"/>
  <c r="Q3911" i="28"/>
  <c r="Q3474" i="28"/>
  <c r="Q3924" i="28"/>
  <c r="Q4499" i="28"/>
  <c r="Q3946" i="28"/>
  <c r="Q4502" i="28"/>
  <c r="Q3972" i="28"/>
  <c r="Q3974" i="28"/>
  <c r="Q4061" i="28"/>
  <c r="Q3993" i="28"/>
  <c r="Q4011" i="28"/>
  <c r="Q4013" i="28"/>
  <c r="Q4017" i="28"/>
  <c r="Q4021" i="28"/>
  <c r="Q3488" i="28"/>
  <c r="Q3503" i="28"/>
  <c r="Q4031" i="28"/>
  <c r="Q3507" i="28"/>
  <c r="Q4055" i="28"/>
  <c r="Q4070" i="28"/>
  <c r="Q4072" i="28"/>
  <c r="Q4080" i="28"/>
  <c r="Q4105" i="28"/>
  <c r="Q4112" i="28"/>
  <c r="Q4016" i="28"/>
  <c r="Q4128" i="28"/>
  <c r="Q4123" i="28"/>
  <c r="Q4259" i="28"/>
  <c r="Q3548" i="28"/>
  <c r="Q3552" i="28"/>
  <c r="Q1539" i="28"/>
  <c r="Q3912" i="28"/>
  <c r="Q4174" i="28"/>
  <c r="Q4180" i="28"/>
  <c r="Q4184" i="28"/>
  <c r="Q4185" i="28"/>
  <c r="Q4186" i="28"/>
  <c r="Q4190" i="28"/>
  <c r="Q4197" i="28"/>
  <c r="Q4200" i="28"/>
  <c r="Q4202" i="28"/>
  <c r="Q3601" i="28"/>
  <c r="Q4209" i="28"/>
  <c r="Q3605" i="28"/>
  <c r="Q4129" i="28"/>
  <c r="Q4130" i="28"/>
  <c r="Q3630" i="28"/>
  <c r="Q4258" i="28"/>
  <c r="Q3631" i="28"/>
  <c r="Q3632" i="28"/>
  <c r="Q4472" i="28"/>
  <c r="Q3666" i="28"/>
  <c r="Q4293" i="28"/>
  <c r="Q4417" i="28"/>
  <c r="Q4295" i="28"/>
  <c r="Q4297" i="28"/>
  <c r="Q3678" i="28"/>
  <c r="Q3682" i="28"/>
  <c r="Q4312" i="28"/>
  <c r="Q1508" i="28"/>
  <c r="Q4132" i="28"/>
  <c r="Q3721" i="28"/>
  <c r="Q4327" i="28"/>
  <c r="Q4328" i="28"/>
  <c r="Q3736" i="28"/>
  <c r="Q4331" i="28"/>
  <c r="Q3748" i="28"/>
  <c r="Q4423" i="28"/>
  <c r="Q3777" i="28"/>
  <c r="Q3796" i="28"/>
  <c r="Q1529" i="28"/>
  <c r="Q4360" i="28"/>
  <c r="Q4364" i="28"/>
  <c r="Q4365" i="28"/>
  <c r="Q4367" i="28"/>
  <c r="Q4155" i="28"/>
  <c r="Q3852" i="28"/>
  <c r="Q3862" i="28"/>
  <c r="Q4391" i="28"/>
  <c r="Q4157" i="28"/>
  <c r="Q3872" i="28"/>
  <c r="Q4482" i="28"/>
  <c r="Q4416" i="28"/>
  <c r="Q4422" i="28"/>
  <c r="Q4281" i="28"/>
  <c r="Q4431" i="28"/>
  <c r="Q4437" i="28"/>
  <c r="Q4446" i="28"/>
  <c r="Q4452" i="28"/>
  <c r="Q3908" i="28"/>
  <c r="Q4163" i="28"/>
  <c r="Q4092" i="28"/>
  <c r="Q4473" i="28"/>
  <c r="Q4477" i="28"/>
  <c r="Q4167" i="28"/>
  <c r="Q4296" i="28"/>
  <c r="Q4494" i="28"/>
  <c r="Q4300" i="28"/>
  <c r="Q4032" i="28"/>
  <c r="Q4501" i="28"/>
  <c r="Q3077" i="28"/>
  <c r="Q3079" i="28"/>
  <c r="Q3091" i="28"/>
  <c r="Q3112" i="28"/>
  <c r="Q3114" i="28"/>
  <c r="Q3127" i="28"/>
  <c r="Q3226" i="28"/>
  <c r="Q3229" i="28"/>
  <c r="Q3230" i="28"/>
  <c r="Q3240" i="28"/>
  <c r="Q3241" i="28"/>
  <c r="Q3244" i="28"/>
  <c r="Q3245" i="28"/>
  <c r="Q3246" i="28"/>
  <c r="Q3252" i="28"/>
  <c r="Q3253" i="28"/>
  <c r="Q3264" i="28"/>
  <c r="Q3265" i="28"/>
  <c r="Q3271" i="28"/>
  <c r="Q3272" i="28"/>
  <c r="Q3273" i="28"/>
  <c r="Q3276" i="28"/>
  <c r="Q3284" i="28"/>
  <c r="Q3295" i="28"/>
  <c r="Q3296" i="28"/>
  <c r="Q3300" i="28"/>
  <c r="Q3314" i="28"/>
  <c r="Q3317" i="28"/>
  <c r="Q3327" i="28"/>
  <c r="Q3328" i="28"/>
  <c r="Q3330" i="28"/>
  <c r="Q3331" i="28"/>
  <c r="Q3358" i="28"/>
  <c r="Q3359" i="28"/>
  <c r="Q3367" i="28"/>
  <c r="Q3380" i="28"/>
  <c r="Q3389" i="28"/>
  <c r="Q3407" i="28"/>
  <c r="Q3423" i="28"/>
  <c r="Q3435" i="28"/>
  <c r="Q3437" i="28"/>
  <c r="Q3460" i="28"/>
  <c r="Q3518" i="28"/>
  <c r="Q3544" i="28"/>
  <c r="Q3560" i="28"/>
  <c r="Q3563" i="28"/>
  <c r="Q3564" i="28"/>
  <c r="Q3584" i="28"/>
  <c r="Q3607" i="28"/>
  <c r="Q3617" i="28"/>
  <c r="Q3635" i="28"/>
  <c r="Q3644" i="28"/>
  <c r="Q3671" i="28"/>
  <c r="Q3693" i="28"/>
  <c r="Q3697" i="28"/>
  <c r="Q3711" i="28"/>
  <c r="Q3713" i="28"/>
  <c r="Q3716" i="28"/>
  <c r="Q3718" i="28"/>
  <c r="Q3752" i="28"/>
  <c r="Q3753" i="28"/>
  <c r="Q3772" i="28"/>
  <c r="Q3828" i="28"/>
  <c r="Q3829" i="28"/>
  <c r="Q3830" i="28"/>
  <c r="Q3833" i="28"/>
  <c r="Q3834" i="28"/>
  <c r="Q3835" i="28"/>
  <c r="Q3856" i="28"/>
  <c r="Q3860" i="28"/>
  <c r="Q3865" i="28"/>
  <c r="Q3896" i="28"/>
  <c r="Q3913" i="28"/>
  <c r="Q3928" i="28"/>
  <c r="Q3966" i="28"/>
  <c r="Q3978" i="28"/>
  <c r="Q4023" i="28"/>
  <c r="Q4025" i="28"/>
  <c r="Q4053" i="28"/>
  <c r="Q4124" i="28"/>
  <c r="Q4145" i="28"/>
  <c r="Q4150" i="28"/>
  <c r="Q4158" i="28"/>
  <c r="Q4162" i="28"/>
  <c r="Q4166" i="28"/>
  <c r="Q4172" i="28"/>
  <c r="Q4204" i="28"/>
  <c r="Q4211" i="28"/>
  <c r="Q4222" i="28"/>
  <c r="Q4249" i="28"/>
  <c r="Q4254" i="28"/>
  <c r="Q4269" i="28"/>
  <c r="Q4273" i="28"/>
  <c r="Q4288" i="28"/>
  <c r="Q4291" i="28"/>
  <c r="Q3616" i="28"/>
  <c r="Q4301" i="28"/>
  <c r="Q4306" i="28"/>
  <c r="Q4313" i="28"/>
  <c r="Q4315" i="28"/>
  <c r="Q4316" i="28"/>
  <c r="Q4330" i="28"/>
  <c r="Q4334" i="28"/>
  <c r="Q4341" i="28"/>
  <c r="Q4356" i="28"/>
  <c r="Q4357" i="28"/>
  <c r="Q4358" i="28"/>
  <c r="Q4382" i="28"/>
  <c r="Q4385" i="28"/>
  <c r="Q4387" i="28"/>
  <c r="Q4394" i="28"/>
  <c r="Q4406" i="28"/>
  <c r="Q4410" i="28"/>
  <c r="Q4427" i="28"/>
  <c r="Q4454" i="28"/>
  <c r="Q4460" i="28"/>
  <c r="Q4462" i="28"/>
  <c r="Q4483" i="28"/>
  <c r="Q4484" i="28"/>
  <c r="Q4496" i="28"/>
  <c r="Q4498" i="28"/>
  <c r="Q4505" i="28"/>
  <c r="Q1526" i="28"/>
  <c r="Q1528" i="28"/>
  <c r="Q1536" i="28"/>
  <c r="Q3017" i="28"/>
  <c r="Q3027" i="28"/>
  <c r="Q3043" i="28"/>
  <c r="Q3054" i="28"/>
  <c r="Q3078" i="28"/>
  <c r="Q3113" i="28"/>
  <c r="Q3135" i="28"/>
  <c r="Q3145" i="28"/>
  <c r="Q3164" i="28"/>
  <c r="Q3167" i="28"/>
  <c r="Q3209" i="28"/>
  <c r="Q3213" i="28"/>
  <c r="Q3218" i="28"/>
  <c r="Q3220" i="28"/>
  <c r="Q3231" i="28"/>
  <c r="Q3247" i="28"/>
  <c r="Q3297" i="28"/>
  <c r="Q3301" i="28"/>
  <c r="Q3016" i="28"/>
  <c r="Q3322" i="28"/>
  <c r="Q3406" i="28"/>
  <c r="Q3449" i="28"/>
  <c r="Q3476" i="28"/>
  <c r="Q3480" i="28"/>
  <c r="Q3482" i="28"/>
  <c r="Q3517" i="28"/>
  <c r="Q3525" i="28"/>
  <c r="Q3533" i="28"/>
  <c r="Q3570" i="28"/>
  <c r="Q3583" i="28"/>
  <c r="Q3628" i="28"/>
  <c r="Q3629" i="28"/>
  <c r="Q3645" i="28"/>
  <c r="Q3670" i="28"/>
  <c r="Q3710" i="28"/>
  <c r="Q3717" i="28"/>
  <c r="Q3751" i="28"/>
  <c r="Q3848" i="28"/>
  <c r="Q3851" i="28"/>
  <c r="Q3864" i="28"/>
  <c r="Q4279" i="28"/>
  <c r="Q3998" i="28"/>
  <c r="Q4307" i="28"/>
  <c r="Q4314" i="28"/>
  <c r="Q4004" i="28"/>
  <c r="Q4329" i="28"/>
  <c r="Q4196" i="28"/>
  <c r="Q4052" i="28"/>
  <c r="Q4203" i="28"/>
  <c r="Q4205" i="28"/>
  <c r="Q4370" i="28"/>
  <c r="Q4381" i="28"/>
  <c r="Q4383" i="28"/>
  <c r="Q4386" i="28"/>
  <c r="Q4214" i="28"/>
  <c r="Q3927" i="28"/>
  <c r="Q4059" i="28"/>
  <c r="Q4405" i="28"/>
  <c r="Q4018" i="28"/>
  <c r="Q4131" i="28"/>
  <c r="Q4419" i="28"/>
  <c r="Q4426" i="28"/>
  <c r="Q4069" i="28"/>
  <c r="Q4022" i="28"/>
  <c r="Q4432" i="28"/>
  <c r="Q4024" i="28"/>
  <c r="Q4077" i="28"/>
  <c r="Q4447" i="28"/>
  <c r="Q4453" i="28"/>
  <c r="Q4240" i="28"/>
  <c r="Q4241" i="28"/>
  <c r="Q4083" i="28"/>
  <c r="Q4244" i="28"/>
  <c r="Q4245" i="28"/>
  <c r="Q4467" i="28"/>
  <c r="Q4143" i="28"/>
  <c r="Q4248" i="28"/>
  <c r="Q4250" i="28"/>
  <c r="Q4478" i="28"/>
  <c r="Q4251" i="28"/>
  <c r="Q4144" i="28"/>
  <c r="Q4487" i="28"/>
  <c r="Q4255" i="28"/>
  <c r="Q4495" i="28"/>
  <c r="Q4497" i="28"/>
  <c r="Q4506" i="28"/>
  <c r="Q4146" i="28"/>
  <c r="Q4149" i="28"/>
  <c r="Q4151" i="28"/>
  <c r="Q4268" i="28"/>
  <c r="Q4270" i="28"/>
  <c r="Q1527" i="28"/>
  <c r="G185" i="28"/>
  <c r="G233" i="28"/>
  <c r="G246" i="28"/>
  <c r="G249" i="28"/>
  <c r="G252" i="28"/>
  <c r="G37" i="28"/>
  <c r="G38" i="28"/>
  <c r="G253" i="28"/>
  <c r="G40" i="28"/>
  <c r="G220" i="28"/>
  <c r="G258" i="28"/>
  <c r="G43" i="28"/>
  <c r="G263" i="28"/>
  <c r="G267" i="28"/>
  <c r="G281" i="28"/>
  <c r="G287" i="28"/>
  <c r="G212" i="28"/>
  <c r="G141" i="28"/>
  <c r="G292" i="28"/>
  <c r="G297" i="28"/>
  <c r="G301" i="28"/>
  <c r="G53" i="28"/>
  <c r="G208" i="28"/>
  <c r="G206" i="28"/>
  <c r="G309" i="28"/>
  <c r="G57" i="28"/>
  <c r="G58" i="28"/>
  <c r="G261" i="28"/>
  <c r="G204" i="28"/>
  <c r="G66" i="28"/>
  <c r="G195" i="28"/>
  <c r="G71" i="28"/>
  <c r="G194" i="28"/>
  <c r="G140" i="28"/>
  <c r="G81" i="28"/>
  <c r="G83" i="28"/>
  <c r="G88" i="28"/>
  <c r="G181" i="28"/>
  <c r="G130" i="28"/>
  <c r="G96" i="28"/>
  <c r="G105" i="28"/>
  <c r="G168" i="28"/>
  <c r="G109" i="28"/>
  <c r="G114" i="28"/>
  <c r="G134" i="28"/>
  <c r="G158" i="28"/>
  <c r="G150" i="28"/>
  <c r="G120" i="28"/>
  <c r="G121" i="28"/>
  <c r="G224" i="28"/>
  <c r="G228" i="28"/>
  <c r="G232" i="28"/>
  <c r="G146" i="28"/>
  <c r="G222" i="28"/>
  <c r="G123" i="28"/>
  <c r="G36" i="28"/>
  <c r="G221" i="28"/>
  <c r="G85" i="28"/>
  <c r="G44" i="28"/>
  <c r="G184" i="28"/>
  <c r="G144" i="28"/>
  <c r="G217" i="28"/>
  <c r="G104" i="28"/>
  <c r="G260" i="28"/>
  <c r="G59" i="28"/>
  <c r="G56" i="28"/>
  <c r="G262" i="28"/>
  <c r="G90" i="28"/>
  <c r="G264" i="28"/>
  <c r="G101" i="28"/>
  <c r="G173" i="28"/>
  <c r="G103" i="28"/>
  <c r="G69" i="28"/>
  <c r="G274" i="28"/>
  <c r="G276" i="28"/>
  <c r="G165" i="28"/>
  <c r="G138" i="28"/>
  <c r="G74" i="28"/>
  <c r="G286" i="28"/>
  <c r="G176" i="28"/>
  <c r="G129" i="28"/>
  <c r="G113" i="28"/>
  <c r="G299" i="28"/>
  <c r="G303" i="28"/>
  <c r="G229" i="28"/>
  <c r="G155" i="28"/>
  <c r="G118" i="28"/>
  <c r="G65" i="28"/>
  <c r="G127" i="28"/>
  <c r="G97" i="28"/>
  <c r="G61" i="28"/>
  <c r="G311" i="28"/>
  <c r="G227" i="28"/>
  <c r="G187" i="28"/>
  <c r="G296" i="28"/>
  <c r="G200" i="28"/>
  <c r="G84" i="28"/>
  <c r="G241" i="28"/>
  <c r="G219" i="28"/>
  <c r="G218" i="28"/>
  <c r="G51" i="28"/>
  <c r="G209" i="28"/>
  <c r="G98" i="28"/>
  <c r="G137" i="28"/>
  <c r="G100" i="28"/>
  <c r="G210" i="28"/>
  <c r="G72" i="28"/>
  <c r="G201" i="28"/>
  <c r="G163" i="28"/>
  <c r="G110" i="28"/>
  <c r="G162" i="28"/>
  <c r="G112" i="28"/>
  <c r="G75" i="28"/>
  <c r="G188" i="28"/>
  <c r="G80" i="28"/>
  <c r="G225" i="28"/>
  <c r="G257" i="28"/>
  <c r="G239" i="28"/>
  <c r="G278" i="28"/>
  <c r="G279" i="28"/>
  <c r="G248" i="28"/>
  <c r="G282" i="28"/>
  <c r="G32" i="28"/>
  <c r="G251" i="28"/>
  <c r="G291" i="28"/>
  <c r="G133" i="28"/>
  <c r="G77" i="28"/>
  <c r="G205" i="28"/>
  <c r="G198" i="28"/>
  <c r="G300" i="28"/>
  <c r="G63" i="28"/>
  <c r="G302" i="28"/>
  <c r="G265" i="28"/>
  <c r="G306" i="28"/>
  <c r="G255" i="28"/>
  <c r="G272" i="28"/>
  <c r="G315" i="28"/>
  <c r="G169" i="28"/>
  <c r="G186" i="28"/>
  <c r="G191" i="28"/>
  <c r="G199" i="28"/>
  <c r="G215" i="28"/>
  <c r="G33" i="28"/>
  <c r="G35" i="28"/>
  <c r="G271" i="28"/>
  <c r="G46" i="28"/>
  <c r="G49" i="28"/>
  <c r="G78" i="28"/>
  <c r="G231" i="28"/>
  <c r="G79" i="28"/>
  <c r="G280" i="28"/>
  <c r="G92" i="28"/>
  <c r="G238" i="28"/>
  <c r="G94" i="28"/>
  <c r="G95" i="28"/>
  <c r="G243" i="28"/>
  <c r="G244" i="28"/>
  <c r="G99" i="28"/>
  <c r="G115" i="28"/>
  <c r="G270" i="28"/>
  <c r="G135" i="28"/>
  <c r="G143" i="28"/>
  <c r="G153" i="28"/>
  <c r="G154" i="28"/>
  <c r="G256" i="28"/>
  <c r="G156" i="28"/>
  <c r="G167" i="28"/>
  <c r="G313" i="28"/>
  <c r="G259" i="28"/>
  <c r="G54" i="28"/>
  <c r="G131" i="28"/>
  <c r="G117" i="28"/>
  <c r="G242" i="28"/>
  <c r="G171" i="28"/>
  <c r="G157" i="28"/>
  <c r="G207" i="28"/>
  <c r="G93" i="28"/>
  <c r="G289" i="28"/>
  <c r="G73" i="28"/>
  <c r="G245" i="28"/>
  <c r="G48" i="28"/>
  <c r="G116" i="28"/>
  <c r="G214" i="28"/>
  <c r="G164" i="28"/>
  <c r="G284" i="28"/>
  <c r="G175" i="28"/>
  <c r="G174" i="28"/>
  <c r="G295" i="28"/>
  <c r="G41" i="28"/>
  <c r="G308" i="28"/>
  <c r="G34" i="28"/>
  <c r="G223" i="28"/>
  <c r="G145" i="28"/>
  <c r="G122" i="28"/>
  <c r="G226" i="28"/>
  <c r="G197" i="28"/>
  <c r="G314" i="28"/>
  <c r="G179" i="28"/>
  <c r="G192" i="28"/>
  <c r="G151" i="28"/>
  <c r="G87" i="28"/>
  <c r="G235" i="28"/>
  <c r="G294" i="28"/>
  <c r="G290" i="28"/>
  <c r="G62" i="28"/>
  <c r="G60" i="28"/>
  <c r="G107" i="28"/>
  <c r="G125" i="28"/>
  <c r="G126" i="28"/>
  <c r="G273" i="28"/>
  <c r="G47" i="28"/>
  <c r="G42" i="28"/>
  <c r="G39" i="28"/>
  <c r="G183" i="28"/>
  <c r="G277" i="28"/>
  <c r="G119" i="28"/>
  <c r="G269" i="28"/>
  <c r="G266" i="28"/>
  <c r="G102" i="28"/>
  <c r="G298" i="28"/>
  <c r="G64" i="28"/>
  <c r="G70" i="28"/>
  <c r="G196" i="28"/>
  <c r="G268" i="28"/>
  <c r="G234" i="28"/>
  <c r="G312" i="28"/>
  <c r="G132" i="28"/>
  <c r="G240" i="28"/>
  <c r="G170" i="28"/>
  <c r="G177" i="28"/>
  <c r="G106" i="28"/>
  <c r="G178" i="28"/>
  <c r="G182" i="28"/>
  <c r="G89" i="28"/>
  <c r="G283" i="28"/>
  <c r="G86" i="28"/>
  <c r="G55" i="28"/>
  <c r="G189" i="28"/>
  <c r="G213" i="28"/>
  <c r="G45" i="28"/>
  <c r="G288" i="28"/>
  <c r="G237" i="28"/>
  <c r="G128" i="28"/>
  <c r="G307" i="28"/>
  <c r="G247" i="28"/>
  <c r="G250" i="28"/>
  <c r="G310" i="28"/>
  <c r="G161" i="28"/>
  <c r="G139" i="28"/>
  <c r="G149" i="28"/>
  <c r="G142" i="28"/>
  <c r="G166" i="28"/>
  <c r="G254" i="28"/>
  <c r="G304" i="28"/>
  <c r="G159" i="28"/>
  <c r="G211" i="28"/>
  <c r="G305" i="28"/>
  <c r="G172" i="28"/>
  <c r="G203" i="28"/>
  <c r="G275" i="28"/>
  <c r="G148" i="28"/>
  <c r="G293" i="28"/>
  <c r="G91" i="28"/>
  <c r="G136" i="28"/>
  <c r="G236" i="28"/>
  <c r="G108" i="28"/>
  <c r="G152" i="28"/>
  <c r="G316" i="28"/>
  <c r="G193" i="28"/>
  <c r="G216" i="28"/>
  <c r="G285" i="28"/>
  <c r="G50" i="28"/>
  <c r="G52" i="28"/>
  <c r="G82" i="28"/>
  <c r="G202" i="28"/>
  <c r="G190" i="28"/>
  <c r="G180" i="28"/>
  <c r="G68" i="28"/>
  <c r="G67" i="28"/>
  <c r="G160" i="28"/>
  <c r="G76" i="28"/>
  <c r="G124" i="28"/>
  <c r="G230" i="28"/>
  <c r="G147" i="28"/>
  <c r="G111" i="28"/>
  <c r="S9" i="47"/>
  <c r="T9" i="47" s="1"/>
  <c r="S7" i="47"/>
  <c r="T7" i="47" s="1"/>
  <c r="C24" i="47"/>
  <c r="C23" i="47"/>
  <c r="U14" i="47"/>
  <c r="U8" i="47"/>
  <c r="L10" i="24"/>
  <c r="L9" i="24"/>
  <c r="L13" i="24"/>
  <c r="L17" i="24"/>
  <c r="L15" i="24"/>
  <c r="L12" i="24"/>
  <c r="C33" i="47"/>
  <c r="L16" i="24"/>
  <c r="L14" i="24"/>
  <c r="L19" i="24"/>
  <c r="L18" i="24"/>
  <c r="Y17" i="47"/>
  <c r="Y18" i="47"/>
  <c r="S16" i="47"/>
  <c r="T16" i="47" s="1"/>
  <c r="X28" i="47" a="1"/>
  <c r="S14" i="47"/>
  <c r="T14" i="47" s="1"/>
  <c r="S13" i="47"/>
  <c r="T13" i="47" s="1"/>
  <c r="S12" i="47"/>
  <c r="T12" i="47" s="1"/>
  <c r="S11" i="47"/>
  <c r="T11" i="47" s="1"/>
  <c r="S10" i="47"/>
  <c r="T10" i="47" s="1"/>
  <c r="L8" i="24"/>
  <c r="G454" i="28"/>
  <c r="G328" i="28"/>
  <c r="G445" i="28"/>
  <c r="G442" i="28"/>
  <c r="G385" i="28"/>
  <c r="G441" i="28"/>
  <c r="G435" i="28"/>
  <c r="G334" i="28"/>
  <c r="G434" i="28"/>
  <c r="G432" i="28"/>
  <c r="G337" i="28"/>
  <c r="G428" i="28"/>
  <c r="G509" i="28"/>
  <c r="G340" i="28"/>
  <c r="G382" i="28"/>
  <c r="G408" i="28"/>
  <c r="G406" i="28"/>
  <c r="G398" i="28"/>
  <c r="G516" i="28"/>
  <c r="G517" i="28"/>
  <c r="G523" i="28"/>
  <c r="G515" i="28"/>
  <c r="G536" i="28"/>
  <c r="G538" i="28"/>
  <c r="G539" i="28"/>
  <c r="G542" i="28"/>
  <c r="G547" i="28"/>
  <c r="G548" i="28"/>
  <c r="G553" i="28"/>
  <c r="G554" i="28"/>
  <c r="G557" i="28"/>
  <c r="G560" i="28"/>
  <c r="G566" i="28"/>
  <c r="G568" i="28"/>
  <c r="G571" i="28"/>
  <c r="G572" i="28"/>
  <c r="G574" i="28"/>
  <c r="G578" i="28"/>
  <c r="G628" i="28"/>
  <c r="G629" i="28"/>
  <c r="G634" i="28"/>
  <c r="G635" i="28"/>
  <c r="G645" i="28"/>
  <c r="G650" i="28"/>
  <c r="G656" i="28"/>
  <c r="G658" i="28"/>
  <c r="G661" i="28"/>
  <c r="G677" i="28"/>
  <c r="G688" i="28"/>
  <c r="G507" i="28"/>
  <c r="G497" i="28"/>
  <c r="G485" i="28"/>
  <c r="G469" i="28"/>
  <c r="G380" i="28"/>
  <c r="G397" i="28"/>
  <c r="G393" i="28"/>
  <c r="G468" i="28"/>
  <c r="G358" i="28"/>
  <c r="G464" i="28"/>
  <c r="G412" i="28"/>
  <c r="G325" i="28"/>
  <c r="G331" i="28"/>
  <c r="G341" i="28"/>
  <c r="G345" i="28"/>
  <c r="G348" i="28"/>
  <c r="G353" i="28"/>
  <c r="G354" i="28"/>
  <c r="G549" i="28"/>
  <c r="G550" i="28"/>
  <c r="G551" i="28"/>
  <c r="G360" i="28"/>
  <c r="G362" i="28"/>
  <c r="G368" i="28"/>
  <c r="G558" i="28"/>
  <c r="G559" i="28"/>
  <c r="G390" i="28"/>
  <c r="G563" i="28"/>
  <c r="G391" i="28"/>
  <c r="G395" i="28"/>
  <c r="G569" i="28"/>
  <c r="G401" i="28"/>
  <c r="G405" i="28"/>
  <c r="G413" i="28"/>
  <c r="G419" i="28"/>
  <c r="G579" i="28"/>
  <c r="G583" i="28"/>
  <c r="G586" i="28"/>
  <c r="G593" i="28"/>
  <c r="G596" i="28"/>
  <c r="G604" i="28"/>
  <c r="G609" i="28"/>
  <c r="G612" i="28"/>
  <c r="G618" i="28"/>
  <c r="G620" i="28"/>
  <c r="G423" i="28"/>
  <c r="G424" i="28"/>
  <c r="G633" i="28"/>
  <c r="G426" i="28"/>
  <c r="G427" i="28"/>
  <c r="G637" i="28"/>
  <c r="G430" i="28"/>
  <c r="G647" i="28"/>
  <c r="G648" i="28"/>
  <c r="G449" i="28"/>
  <c r="G653" i="28"/>
  <c r="G655" i="28"/>
  <c r="G452" i="28"/>
  <c r="G456" i="28"/>
  <c r="G460" i="28"/>
  <c r="G664" i="28"/>
  <c r="G670" i="28"/>
  <c r="G675" i="28"/>
  <c r="G462" i="28"/>
  <c r="G680" i="28"/>
  <c r="G682" i="28"/>
  <c r="G473" i="28"/>
  <c r="G482" i="28"/>
  <c r="G486" i="28"/>
  <c r="G488" i="28"/>
  <c r="G490" i="28"/>
  <c r="G505" i="28"/>
  <c r="G510" i="28"/>
  <c r="G512" i="28"/>
  <c r="G321" i="28"/>
  <c r="G322" i="28"/>
  <c r="G323" i="28"/>
  <c r="G524" i="28"/>
  <c r="G327" i="28"/>
  <c r="G404" i="28"/>
  <c r="G606" i="28"/>
  <c r="G595" i="28"/>
  <c r="G370" i="28"/>
  <c r="G600" i="28"/>
  <c r="G446" i="28"/>
  <c r="G686" i="28"/>
  <c r="G351" i="28"/>
  <c r="G570" i="28"/>
  <c r="G332" i="28"/>
  <c r="G465" i="28"/>
  <c r="G678" i="28"/>
  <c r="G439" i="28"/>
  <c r="G407" i="28"/>
  <c r="G668" i="28"/>
  <c r="G577" i="28"/>
  <c r="G347" i="28"/>
  <c r="G472" i="28"/>
  <c r="G657" i="28"/>
  <c r="G336" i="28"/>
  <c r="G475" i="28"/>
  <c r="G429" i="28"/>
  <c r="G384" i="28"/>
  <c r="G518" i="28"/>
  <c r="G599" i="28"/>
  <c r="G338" i="28"/>
  <c r="G642" i="28"/>
  <c r="G376" i="28"/>
  <c r="G483" i="28"/>
  <c r="G514" i="28"/>
  <c r="G641" i="28"/>
  <c r="G589" i="28"/>
  <c r="G487" i="28"/>
  <c r="G640" i="28"/>
  <c r="G400" i="28"/>
  <c r="G526" i="28"/>
  <c r="G367" i="28"/>
  <c r="G366" i="28"/>
  <c r="G625" i="28"/>
  <c r="G622" i="28"/>
  <c r="G616" i="28"/>
  <c r="G528" i="28"/>
  <c r="G565" i="28"/>
  <c r="G591" i="28"/>
  <c r="G597" i="28"/>
  <c r="G602" i="28"/>
  <c r="G350" i="28"/>
  <c r="G513" i="28"/>
  <c r="G613" i="28"/>
  <c r="G461" i="28"/>
  <c r="G364" i="28"/>
  <c r="G463" i="28"/>
  <c r="G621" i="28"/>
  <c r="G519" i="28"/>
  <c r="G624" i="28"/>
  <c r="G324" i="28"/>
  <c r="G320" i="28"/>
  <c r="G521" i="28"/>
  <c r="G425" i="28"/>
  <c r="G643" i="28"/>
  <c r="G474" i="28"/>
  <c r="G357" i="28"/>
  <c r="G525" i="28"/>
  <c r="G646" i="28"/>
  <c r="G660" i="28"/>
  <c r="G436" i="28"/>
  <c r="G669" i="28"/>
  <c r="G531" i="28"/>
  <c r="G614" i="28"/>
  <c r="G672" i="28"/>
  <c r="G489" i="28"/>
  <c r="G534" i="28"/>
  <c r="G535" i="28"/>
  <c r="G453" i="28"/>
  <c r="G389" i="28"/>
  <c r="G541" i="28"/>
  <c r="G545" i="28"/>
  <c r="G552" i="28"/>
  <c r="G556" i="28"/>
  <c r="G356" i="28"/>
  <c r="G499" i="28"/>
  <c r="G500" i="28"/>
  <c r="G573" i="28"/>
  <c r="G575" i="28"/>
  <c r="G503" i="28"/>
  <c r="G392" i="28"/>
  <c r="G581" i="28"/>
  <c r="G317" i="28"/>
  <c r="G584" i="28"/>
  <c r="G455" i="28"/>
  <c r="G679" i="28"/>
  <c r="G414" i="28"/>
  <c r="G420" i="28"/>
  <c r="G459" i="28"/>
  <c r="G520" i="28"/>
  <c r="G662" i="28"/>
  <c r="G349" i="28"/>
  <c r="G417" i="28"/>
  <c r="G527" i="28"/>
  <c r="G387" i="28"/>
  <c r="G335" i="28"/>
  <c r="G610" i="28"/>
  <c r="G623" i="28"/>
  <c r="G477" i="28"/>
  <c r="G361" i="28"/>
  <c r="G631" i="28"/>
  <c r="G480" i="28"/>
  <c r="G396" i="28"/>
  <c r="G511" i="28"/>
  <c r="G377" i="28"/>
  <c r="G627" i="28"/>
  <c r="G379" i="28"/>
  <c r="G491" i="28"/>
  <c r="G590" i="28"/>
  <c r="G576" i="28"/>
  <c r="G644" i="28"/>
  <c r="G619" i="28"/>
  <c r="G603" i="28"/>
  <c r="G416" i="28"/>
  <c r="G639" i="28"/>
  <c r="G567" i="28"/>
  <c r="G371" i="28"/>
  <c r="G450" i="28"/>
  <c r="G506" i="28"/>
  <c r="G447" i="28"/>
  <c r="G330" i="28"/>
  <c r="G403" i="28"/>
  <c r="G687" i="28"/>
  <c r="G344" i="28"/>
  <c r="G649" i="28"/>
  <c r="G458" i="28"/>
  <c r="G355" i="28"/>
  <c r="G433" i="28"/>
  <c r="G326" i="28"/>
  <c r="G466" i="28"/>
  <c r="G580" i="28"/>
  <c r="G592" i="28"/>
  <c r="G665" i="28"/>
  <c r="G594" i="28"/>
  <c r="G438" i="28"/>
  <c r="G676" i="28"/>
  <c r="G544" i="28"/>
  <c r="G440" i="28"/>
  <c r="G378" i="28"/>
  <c r="G683" i="28"/>
  <c r="G444" i="28"/>
  <c r="G329" i="28"/>
  <c r="G448" i="28"/>
  <c r="G496" i="28"/>
  <c r="G451" i="28"/>
  <c r="G498" i="28"/>
  <c r="G501" i="28"/>
  <c r="G381" i="28"/>
  <c r="G383" i="28"/>
  <c r="G386" i="28"/>
  <c r="G530" i="28"/>
  <c r="G532" i="28"/>
  <c r="G533" i="28"/>
  <c r="G388" i="28"/>
  <c r="G598" i="28"/>
  <c r="G582" i="28"/>
  <c r="G607" i="28"/>
  <c r="G608" i="28"/>
  <c r="G611" i="28"/>
  <c r="G615" i="28"/>
  <c r="G617" i="28"/>
  <c r="G411" i="28"/>
  <c r="G681" i="28"/>
  <c r="G363" i="28"/>
  <c r="G421" i="28"/>
  <c r="G422" i="28"/>
  <c r="G402" i="28"/>
  <c r="G587" i="28"/>
  <c r="G636" i="28"/>
  <c r="G638" i="28"/>
  <c r="G318" i="28"/>
  <c r="G457" i="28"/>
  <c r="G540" i="28"/>
  <c r="G685" i="28"/>
  <c r="G667" i="28"/>
  <c r="G522" i="28"/>
  <c r="G471" i="28"/>
  <c r="G684" i="28"/>
  <c r="G437" i="28"/>
  <c r="G630" i="28"/>
  <c r="G479" i="28"/>
  <c r="G626" i="28"/>
  <c r="G484" i="28"/>
  <c r="G493" i="28"/>
  <c r="G494" i="28"/>
  <c r="G495" i="28"/>
  <c r="G543" i="28"/>
  <c r="G674" i="28"/>
  <c r="G671" i="28"/>
  <c r="G339" i="28"/>
  <c r="G369" i="28"/>
  <c r="G651" i="28"/>
  <c r="G418" i="28"/>
  <c r="G431" i="28"/>
  <c r="G654" i="28"/>
  <c r="G504" i="28"/>
  <c r="G470" i="28"/>
  <c r="G481" i="28"/>
  <c r="G632" i="28"/>
  <c r="G365" i="28"/>
  <c r="G394" i="28"/>
  <c r="G529" i="28"/>
  <c r="G659" i="28"/>
  <c r="G333" i="28"/>
  <c r="G663" i="28"/>
  <c r="G372" i="28"/>
  <c r="G409" i="28"/>
  <c r="G673" i="28"/>
  <c r="G399" i="28"/>
  <c r="G562" i="28"/>
  <c r="G359" i="28"/>
  <c r="G319" i="28"/>
  <c r="G588" i="28"/>
  <c r="G585" i="28"/>
  <c r="G508" i="28"/>
  <c r="G467" i="28"/>
  <c r="G352" i="28"/>
  <c r="G374" i="28"/>
  <c r="Q15" i="47"/>
  <c r="G666" i="28"/>
  <c r="G346" i="28"/>
  <c r="G537" i="28"/>
  <c r="G342" i="28"/>
  <c r="G605" i="28"/>
  <c r="G546" i="28"/>
  <c r="G476" i="28"/>
  <c r="G492" i="28"/>
  <c r="G555" i="28"/>
  <c r="Q16" i="47"/>
  <c r="G652" i="28"/>
  <c r="G478" i="28"/>
  <c r="G375" i="28"/>
  <c r="G373" i="28"/>
  <c r="G410" i="28"/>
  <c r="G443" i="28"/>
  <c r="G601" i="28"/>
  <c r="G564" i="28"/>
  <c r="G343" i="28"/>
  <c r="G561" i="28"/>
  <c r="G502" i="28"/>
  <c r="G415" i="28"/>
  <c r="L18" i="42"/>
  <c r="M18" i="42" s="1"/>
  <c r="C30" i="47"/>
  <c r="S8" i="47"/>
  <c r="L7" i="24"/>
  <c r="Y16" i="47"/>
  <c r="Q6066" i="28"/>
  <c r="Q5313" i="28"/>
  <c r="Q5859" i="28"/>
  <c r="Q6079" i="28"/>
  <c r="Q6081" i="28"/>
  <c r="Q6083" i="28"/>
  <c r="Q6085" i="28"/>
  <c r="Q6087" i="28"/>
  <c r="Q6089" i="28"/>
  <c r="Q6091" i="28"/>
  <c r="Q6093" i="28"/>
  <c r="Q6095" i="28"/>
  <c r="Q6096" i="28"/>
  <c r="Q6098" i="28"/>
  <c r="Q6100" i="28"/>
  <c r="Q6102" i="28"/>
  <c r="Q6104" i="28"/>
  <c r="Q6106" i="28"/>
  <c r="Q6108" i="28"/>
  <c r="Q5318" i="28"/>
  <c r="Q5319" i="28"/>
  <c r="Q6114" i="28"/>
  <c r="Q6116" i="28"/>
  <c r="Q6118" i="28"/>
  <c r="Q6120" i="28"/>
  <c r="Q5326" i="28"/>
  <c r="Q6124" i="28"/>
  <c r="Q6126" i="28"/>
  <c r="Q6128" i="28"/>
  <c r="Q6130" i="28"/>
  <c r="Q6132" i="28"/>
  <c r="Q6134" i="28"/>
  <c r="Q6136" i="28"/>
  <c r="Q6138" i="28"/>
  <c r="Q6140" i="28"/>
  <c r="Q6142" i="28"/>
  <c r="Q6144" i="28"/>
  <c r="Q5327" i="28"/>
  <c r="Q6148" i="28"/>
  <c r="Q6150" i="28"/>
  <c r="Q6152" i="28"/>
  <c r="Q5860" i="28"/>
  <c r="Q6156" i="28"/>
  <c r="Q5330" i="28"/>
  <c r="Q5332" i="28"/>
  <c r="Q5334" i="28"/>
  <c r="Q6164" i="28"/>
  <c r="Q5336" i="28"/>
  <c r="Q5338" i="28"/>
  <c r="Q5344" i="28"/>
  <c r="Q5346" i="28"/>
  <c r="Q6173" i="28"/>
  <c r="Q6174" i="28"/>
  <c r="Q5348" i="28"/>
  <c r="Q6177" i="28"/>
  <c r="Q6179" i="28"/>
  <c r="Q5350" i="28"/>
  <c r="Q6190" i="28"/>
  <c r="Q6192" i="28"/>
  <c r="Q6194" i="28"/>
  <c r="Q6196" i="28"/>
  <c r="Q4508" i="28"/>
  <c r="Q5352" i="28"/>
  <c r="Q4511" i="28"/>
  <c r="Q4513" i="28"/>
  <c r="Q4515" i="28"/>
  <c r="Q4517" i="28"/>
  <c r="Q4519" i="28"/>
  <c r="Q4521" i="28"/>
  <c r="Q4523" i="28"/>
  <c r="Q4525" i="28"/>
  <c r="Q5861" i="28"/>
  <c r="Q4529" i="28"/>
  <c r="Q4531" i="28"/>
  <c r="Q4533" i="28"/>
  <c r="Q4535" i="28"/>
  <c r="Q4537" i="28"/>
  <c r="Q5356" i="28"/>
  <c r="Q4541" i="28"/>
  <c r="Q5358" i="28"/>
  <c r="Q5360" i="28"/>
  <c r="Q5362" i="28"/>
  <c r="Q5364" i="28"/>
  <c r="Q5366" i="28"/>
  <c r="Q4553" i="28"/>
  <c r="Q5368" i="28"/>
  <c r="Q4556" i="28"/>
  <c r="Q5370" i="28"/>
  <c r="Q4561" i="28"/>
  <c r="Q5372" i="28"/>
  <c r="Q4565" i="28"/>
  <c r="Q4567" i="28"/>
  <c r="Q4571" i="28"/>
  <c r="Q4573" i="28"/>
  <c r="Q4575" i="28"/>
  <c r="Q4577" i="28"/>
  <c r="Q4578" i="28"/>
  <c r="Q4580" i="28"/>
  <c r="Q4582" i="28"/>
  <c r="Q5376" i="28"/>
  <c r="Q5378" i="28"/>
  <c r="Q5380" i="28"/>
  <c r="Q5382" i="28"/>
  <c r="Q4594" i="28"/>
  <c r="Q4596" i="28"/>
  <c r="Q5862" i="28"/>
  <c r="Q4600" i="28"/>
  <c r="Q4602" i="28"/>
  <c r="Q4604" i="28"/>
  <c r="Q4606" i="28"/>
  <c r="Q5863" i="28"/>
  <c r="Q4610" i="28"/>
  <c r="Q4612" i="28"/>
  <c r="Q4614" i="28"/>
  <c r="Q4616" i="28"/>
  <c r="Q4618" i="28"/>
  <c r="Q4619" i="28"/>
  <c r="Q4621" i="28"/>
  <c r="Q4623" i="28"/>
  <c r="Q5390" i="28"/>
  <c r="Q5392" i="28"/>
  <c r="Q4633" i="28"/>
  <c r="Q4635" i="28"/>
  <c r="Q4637" i="28"/>
  <c r="Q4639" i="28"/>
  <c r="Q4641" i="28"/>
  <c r="Q4643" i="28"/>
  <c r="Q4645" i="28"/>
  <c r="Q4647" i="28"/>
  <c r="Q4649" i="28"/>
  <c r="Q5398" i="28"/>
  <c r="Q5400" i="28"/>
  <c r="Q5402" i="28"/>
  <c r="Q4657" i="28"/>
  <c r="Q5404" i="28"/>
  <c r="Q4661" i="28"/>
  <c r="Q5406" i="28"/>
  <c r="Q4665" i="28"/>
  <c r="Q5408" i="28"/>
  <c r="Q4670" i="28"/>
  <c r="Q4672" i="28"/>
  <c r="Q4674" i="28"/>
  <c r="Q5864" i="28"/>
  <c r="Q4678" i="28"/>
  <c r="Q4679" i="28"/>
  <c r="Q4683" i="28"/>
  <c r="Q4685" i="28"/>
  <c r="Q4687" i="28"/>
  <c r="Q4689" i="28"/>
  <c r="Q4691" i="28"/>
  <c r="Q5414" i="28"/>
  <c r="Q4695" i="28"/>
  <c r="Q4697" i="28"/>
  <c r="Q4699" i="28"/>
  <c r="Q4701" i="28"/>
  <c r="Q4702" i="28"/>
  <c r="Q5865" i="28"/>
  <c r="Q5418" i="28"/>
  <c r="Q4708" i="28"/>
  <c r="Q4710" i="28"/>
  <c r="Q5866" i="28"/>
  <c r="Q4714" i="28"/>
  <c r="Q5422" i="28"/>
  <c r="Q5424" i="28"/>
  <c r="Q5867" i="28"/>
  <c r="Q4722" i="28"/>
  <c r="Q4724" i="28"/>
  <c r="Q4726" i="28"/>
  <c r="Q4728" i="28"/>
  <c r="Q4730" i="28"/>
  <c r="Q4732" i="28"/>
  <c r="Q4734" i="28"/>
  <c r="Q4735" i="28"/>
  <c r="Q4737" i="28"/>
  <c r="Q5428" i="28"/>
  <c r="Q5430" i="28"/>
  <c r="Q4743" i="28"/>
  <c r="Q4745" i="28"/>
  <c r="Q4747" i="28"/>
  <c r="Q5868" i="28"/>
  <c r="Q4751" i="28"/>
  <c r="Q4753" i="28"/>
  <c r="Q4755" i="28"/>
  <c r="Q4757" i="28"/>
  <c r="Q4759" i="28"/>
  <c r="Q4765" i="28"/>
  <c r="Q4766" i="28"/>
  <c r="Q4768" i="28"/>
  <c r="Q4770" i="28"/>
  <c r="Q4772" i="28"/>
  <c r="Q4774" i="28"/>
  <c r="Q4776" i="28"/>
  <c r="Q4778" i="28"/>
  <c r="Q4780" i="28"/>
  <c r="Q4782" i="28"/>
  <c r="Q5438" i="28"/>
  <c r="Q4786" i="28"/>
  <c r="Q5440" i="28"/>
  <c r="Q4790" i="28"/>
  <c r="Q4792" i="28"/>
  <c r="Q4796" i="28"/>
  <c r="Q4800" i="28"/>
  <c r="Q5869" i="28"/>
  <c r="Q4804" i="28"/>
  <c r="Q5981" i="28"/>
  <c r="Q4808" i="28"/>
  <c r="Q4810" i="28"/>
  <c r="Q4812" i="28"/>
  <c r="Q4814" i="28"/>
  <c r="Q4816" i="28"/>
  <c r="Q4822" i="28"/>
  <c r="Q5457" i="28"/>
  <c r="Q4828" i="28"/>
  <c r="Q4830" i="28"/>
  <c r="Q5459" i="28"/>
  <c r="Q4834" i="28"/>
  <c r="Q5461" i="28"/>
  <c r="Q4838" i="28"/>
  <c r="Q4840" i="28"/>
  <c r="Q5463" i="28"/>
  <c r="Q5465" i="28"/>
  <c r="Q4846" i="28"/>
  <c r="Q5467" i="28"/>
  <c r="Q4850" i="28"/>
  <c r="Q4852" i="28"/>
  <c r="Q5469" i="28"/>
  <c r="Q5471" i="28"/>
  <c r="Q4858" i="28"/>
  <c r="Q5473" i="28"/>
  <c r="Q4864" i="28"/>
  <c r="Q4866" i="28"/>
  <c r="Q4868" i="28"/>
  <c r="Q5477" i="28"/>
  <c r="Q4871" i="28"/>
  <c r="Q5979" i="28"/>
  <c r="Q4875" i="28"/>
  <c r="Q4877" i="28"/>
  <c r="Q5481" i="28"/>
  <c r="Q4881" i="28"/>
  <c r="Q4883" i="28"/>
  <c r="Q5978" i="28"/>
  <c r="Q4887" i="28"/>
  <c r="Q4891" i="28"/>
  <c r="Q4893" i="28"/>
  <c r="Q5487" i="28"/>
  <c r="Q4897" i="28"/>
  <c r="Q5489" i="28"/>
  <c r="Q4901" i="28"/>
  <c r="Q4903" i="28"/>
  <c r="Q4905" i="28"/>
  <c r="Q4909" i="28"/>
  <c r="Q5513" i="28"/>
  <c r="Q5515" i="28"/>
  <c r="Q5936" i="28"/>
  <c r="Q5519" i="28"/>
  <c r="Q4921" i="28"/>
  <c r="Q4923" i="28"/>
  <c r="Q4927" i="28"/>
  <c r="Q5941" i="28"/>
  <c r="Q4931" i="28"/>
  <c r="Q4933" i="28"/>
  <c r="Q4935" i="28"/>
  <c r="Q4937" i="28"/>
  <c r="Q4941" i="28"/>
  <c r="Q4943" i="28"/>
  <c r="Q4945" i="28"/>
  <c r="Q4947" i="28"/>
  <c r="Q4949" i="28"/>
  <c r="Q4951" i="28"/>
  <c r="Q4953" i="28"/>
  <c r="Q5529" i="28"/>
  <c r="Q5969" i="28"/>
  <c r="Q4959" i="28"/>
  <c r="Q4961" i="28"/>
  <c r="Q4963" i="28"/>
  <c r="Q4965" i="28"/>
  <c r="Q4967" i="28"/>
  <c r="Q4969" i="28"/>
  <c r="Q4971" i="28"/>
  <c r="Q5533" i="28"/>
  <c r="Q5535" i="28"/>
  <c r="Q5537" i="28"/>
  <c r="Q4979" i="28"/>
  <c r="Q4981" i="28"/>
  <c r="Q4983" i="28"/>
  <c r="Q4984" i="28"/>
  <c r="Q4986" i="28"/>
  <c r="Q4988" i="28"/>
  <c r="Q4990" i="28"/>
  <c r="Q4992" i="28"/>
  <c r="Q4996" i="28"/>
  <c r="Q5541" i="28"/>
  <c r="Q5543" i="28"/>
  <c r="Q5545" i="28"/>
  <c r="Q5547" i="28"/>
  <c r="Q5007" i="28"/>
  <c r="Q5009" i="28"/>
  <c r="Q5016" i="28"/>
  <c r="Q5017" i="28"/>
  <c r="Q5018" i="28"/>
  <c r="Q5019" i="28"/>
  <c r="Q5020" i="28"/>
  <c r="Q5021" i="28"/>
  <c r="Q5022" i="28"/>
  <c r="Q5023" i="28"/>
  <c r="Q5024" i="28"/>
  <c r="Q5025" i="28"/>
  <c r="Q5026" i="28"/>
  <c r="Q5027" i="28"/>
  <c r="Q5551" i="28"/>
  <c r="Q5553" i="28"/>
  <c r="Q5555" i="28"/>
  <c r="Q5965" i="28"/>
  <c r="Q5559" i="28"/>
  <c r="Q5035" i="28"/>
  <c r="Q5036" i="28"/>
  <c r="Q5037" i="28"/>
  <c r="Q5038" i="28"/>
  <c r="Q5039" i="28"/>
  <c r="Q5569" i="28"/>
  <c r="Q5573" i="28"/>
  <c r="Q5045" i="28"/>
  <c r="Q5574" i="28"/>
  <c r="Q5047" i="28"/>
  <c r="Q5048" i="28"/>
  <c r="Q5049" i="28"/>
  <c r="Q5575" i="28"/>
  <c r="Q5051" i="28"/>
  <c r="Q5052" i="28"/>
  <c r="Q5053" i="28"/>
  <c r="Q5576" i="28"/>
  <c r="Q5055" i="28"/>
  <c r="Q4721" i="28"/>
  <c r="Q5577" i="28"/>
  <c r="Q5058" i="28"/>
  <c r="Q5059" i="28"/>
  <c r="Q5060" i="28"/>
  <c r="Q5061" i="28"/>
  <c r="Q5062" i="28"/>
  <c r="Q5063" i="28"/>
  <c r="Q5064" i="28"/>
  <c r="Q5065" i="28"/>
  <c r="Q5066" i="28"/>
  <c r="Q5067" i="28"/>
  <c r="Q5068" i="28"/>
  <c r="Q5069" i="28"/>
  <c r="Q5070" i="28"/>
  <c r="Q5071" i="28"/>
  <c r="Q5072" i="28"/>
  <c r="Q5073" i="28"/>
  <c r="Q5320" i="28"/>
  <c r="Q5579" i="28"/>
  <c r="Q5581" i="28"/>
  <c r="Q5323" i="28"/>
  <c r="Q5324" i="28"/>
  <c r="Q5583" i="28"/>
  <c r="Q5585" i="28"/>
  <c r="Q5331" i="28"/>
  <c r="Q5333" i="28"/>
  <c r="Q5335" i="28"/>
  <c r="Q5337" i="28"/>
  <c r="Q5339" i="28"/>
  <c r="Q5926" i="28"/>
  <c r="Q5343" i="28"/>
  <c r="Q5594" i="28"/>
  <c r="Q5347" i="28"/>
  <c r="Q5349" i="28"/>
  <c r="Q5351" i="28"/>
  <c r="Q5353" i="28"/>
  <c r="Q5355" i="28"/>
  <c r="Q5357" i="28"/>
  <c r="Q5359" i="28"/>
  <c r="Q5361" i="28"/>
  <c r="Q5363" i="28"/>
  <c r="Q5365" i="28"/>
  <c r="Q5367" i="28"/>
  <c r="Q5369" i="28"/>
  <c r="Q5371" i="28"/>
  <c r="Q5373" i="28"/>
  <c r="Q5375" i="28"/>
  <c r="Q5377" i="28"/>
  <c r="Q5598" i="28"/>
  <c r="Q5381" i="28"/>
  <c r="Q5383" i="28"/>
  <c r="Q5601" i="28"/>
  <c r="Q5387" i="28"/>
  <c r="Q5389" i="28"/>
  <c r="Q5391" i="28"/>
  <c r="Q5603" i="28"/>
  <c r="Q5397" i="28"/>
  <c r="Q5399" i="28"/>
  <c r="Q5401" i="28"/>
  <c r="Q5607" i="28"/>
  <c r="Q5405" i="28"/>
  <c r="Q5407" i="28"/>
  <c r="Q5409" i="28"/>
  <c r="Q5411" i="28"/>
  <c r="Q5609" i="28"/>
  <c r="Q5415" i="28"/>
  <c r="Q5417" i="28"/>
  <c r="Q5419" i="28"/>
  <c r="Q5880" i="28"/>
  <c r="Q5423" i="28"/>
  <c r="Q5425" i="28"/>
  <c r="Q5613" i="28"/>
  <c r="Q5429" i="28"/>
  <c r="Q5431" i="28"/>
  <c r="Q5433" i="28"/>
  <c r="Q5615" i="28"/>
  <c r="Q5439" i="28"/>
  <c r="Q5441" i="28"/>
  <c r="Q5445" i="28"/>
  <c r="Q5619" i="28"/>
  <c r="Q5620" i="28"/>
  <c r="Q5451" i="28"/>
  <c r="Q5452" i="28"/>
  <c r="Q5621" i="28"/>
  <c r="Q5456" i="28"/>
  <c r="Q5458" i="28"/>
  <c r="Q5460" i="28"/>
  <c r="Q5462" i="28"/>
  <c r="Q5464" i="28"/>
  <c r="Q5466" i="28"/>
  <c r="Q5468" i="28"/>
  <c r="Q5470" i="28"/>
  <c r="Q5472" i="28"/>
  <c r="Q5474" i="28"/>
  <c r="Q5476" i="28"/>
  <c r="Q5478" i="28"/>
  <c r="Q5622" i="28"/>
  <c r="Q5623" i="28"/>
  <c r="Q5624" i="28"/>
  <c r="Q5625" i="28"/>
  <c r="Q5488" i="28"/>
  <c r="Q5626" i="28"/>
  <c r="Q5491" i="28"/>
  <c r="Q5492" i="28"/>
  <c r="Q5493" i="28"/>
  <c r="Q5494" i="28"/>
  <c r="Q5495" i="28"/>
  <c r="Q5881" i="28"/>
  <c r="Q5628" i="28"/>
  <c r="Q5498" i="28"/>
  <c r="Q5499" i="28"/>
  <c r="Q5500" i="28"/>
  <c r="Q5629" i="28"/>
  <c r="Q5630" i="28"/>
  <c r="Q5631" i="28"/>
  <c r="Q5504" i="28"/>
  <c r="Q5632" i="28"/>
  <c r="Q5506" i="28"/>
  <c r="Q5882" i="28"/>
  <c r="Q5634" i="28"/>
  <c r="Q5635" i="28"/>
  <c r="Q5636" i="28"/>
  <c r="Q5512" i="28"/>
  <c r="Q5514" i="28"/>
  <c r="Q5516" i="28"/>
  <c r="Q5637" i="28"/>
  <c r="Q5520" i="28"/>
  <c r="Q5528" i="28"/>
  <c r="Q5641" i="28"/>
  <c r="Q5642" i="28"/>
  <c r="Q5534" i="28"/>
  <c r="Q5643" i="28"/>
  <c r="Q5538" i="28"/>
  <c r="Q5540" i="28"/>
  <c r="Q5542" i="28"/>
  <c r="Q5544" i="28"/>
  <c r="Q5546" i="28"/>
  <c r="Q5644" i="28"/>
  <c r="Q5645" i="28"/>
  <c r="Q5552" i="28"/>
  <c r="Q5554" i="28"/>
  <c r="Q5556" i="28"/>
  <c r="Q5558" i="28"/>
  <c r="Q5560" i="28"/>
  <c r="Q5646" i="28"/>
  <c r="Q5564" i="28"/>
  <c r="Q5647" i="28"/>
  <c r="Q5648" i="28"/>
  <c r="Q5567" i="28"/>
  <c r="Q5568" i="28"/>
  <c r="Q5649" i="28"/>
  <c r="Q5578" i="28"/>
  <c r="Q5580" i="28"/>
  <c r="Q5582" i="28"/>
  <c r="Q5584" i="28"/>
  <c r="Q5586" i="28"/>
  <c r="Q5587" i="28"/>
  <c r="Q5588" i="28"/>
  <c r="Q5650" i="28"/>
  <c r="Q5591" i="28"/>
  <c r="Q5592" i="28"/>
  <c r="Q5593" i="28"/>
  <c r="Q5651" i="28"/>
  <c r="Q5596" i="28"/>
  <c r="Q5597" i="28"/>
  <c r="Q5599" i="28"/>
  <c r="Q5600" i="28"/>
  <c r="Q5602" i="28"/>
  <c r="Q5604" i="28"/>
  <c r="Q5606" i="28"/>
  <c r="Q5608" i="28"/>
  <c r="Q5652" i="28"/>
  <c r="Q5612" i="28"/>
  <c r="Q5614" i="28"/>
  <c r="Q5653" i="28"/>
  <c r="Q5797" i="28"/>
  <c r="Q5798" i="28"/>
  <c r="Q5799" i="28"/>
  <c r="Q5800" i="28"/>
  <c r="Q5801" i="28"/>
  <c r="Q5802" i="28"/>
  <c r="Q5803" i="28"/>
  <c r="Q5870" i="28"/>
  <c r="Q5874" i="28"/>
  <c r="Q5914" i="28"/>
  <c r="Q5654" i="28"/>
  <c r="Q5655" i="28"/>
  <c r="Q5656" i="28"/>
  <c r="Q5657" i="28"/>
  <c r="Q5658" i="28"/>
  <c r="Q5924" i="28"/>
  <c r="Q5929" i="28"/>
  <c r="Q5933" i="28"/>
  <c r="Q5659" i="28"/>
  <c r="Q5943" i="28"/>
  <c r="Q5660" i="28"/>
  <c r="Q5661" i="28"/>
  <c r="Q5883" i="28"/>
  <c r="Q5961" i="28"/>
  <c r="Q6013" i="28"/>
  <c r="Q5970" i="28"/>
  <c r="Q6020" i="28"/>
  <c r="Q5980" i="28"/>
  <c r="Q6022" i="28"/>
  <c r="Q6007" i="28"/>
  <c r="Q6008" i="28"/>
  <c r="Q5666" i="28"/>
  <c r="Q5667" i="28"/>
  <c r="Q5668" i="28"/>
  <c r="Q6012" i="28"/>
  <c r="Q6014" i="28"/>
  <c r="Q6015" i="28"/>
  <c r="Q6016" i="28"/>
  <c r="Q6017" i="28"/>
  <c r="Q5669" i="28"/>
  <c r="Q5670" i="28"/>
  <c r="Q6021" i="28"/>
  <c r="Q5671" i="28"/>
  <c r="Q5672" i="28"/>
  <c r="Q6027" i="28"/>
  <c r="Q6029" i="28"/>
  <c r="Q6031" i="28"/>
  <c r="Q5963" i="28"/>
  <c r="Q5674" i="28"/>
  <c r="Q6037" i="28"/>
  <c r="Q6039" i="28"/>
  <c r="Q6041" i="28"/>
  <c r="Q6043" i="28"/>
  <c r="Q6045" i="28"/>
  <c r="Q6047" i="28"/>
  <c r="Q6049" i="28"/>
  <c r="Q6051" i="28"/>
  <c r="Q6053" i="28"/>
  <c r="Q6055" i="28"/>
  <c r="Q6057" i="28"/>
  <c r="Q6059" i="28"/>
  <c r="Q6026" i="28"/>
  <c r="Q6063" i="28"/>
  <c r="Q6065" i="28"/>
  <c r="Q6067" i="28"/>
  <c r="Q6069" i="28"/>
  <c r="Q6070" i="28"/>
  <c r="Q6072" i="28"/>
  <c r="Q5676" i="28"/>
  <c r="Q5885" i="28"/>
  <c r="Q5678" i="28"/>
  <c r="Q6080" i="28"/>
  <c r="Q6082" i="28"/>
  <c r="Q6084" i="28"/>
  <c r="Q6086" i="28"/>
  <c r="Q6088" i="28"/>
  <c r="Q6090" i="28"/>
  <c r="Q6092" i="28"/>
  <c r="Q6094" i="28"/>
  <c r="Q6097" i="28"/>
  <c r="Q6099" i="28"/>
  <c r="Q5679" i="28"/>
  <c r="Q5680" i="28"/>
  <c r="Q6105" i="28"/>
  <c r="Q5886" i="28"/>
  <c r="Q5682" i="28"/>
  <c r="Q6111" i="28"/>
  <c r="Q6113" i="28"/>
  <c r="Q6115" i="28"/>
  <c r="Q6117" i="28"/>
  <c r="Q6119" i="28"/>
  <c r="Q6121" i="28"/>
  <c r="Q6123" i="28"/>
  <c r="Q6125" i="28"/>
  <c r="Q6127" i="28"/>
  <c r="Q6129" i="28"/>
  <c r="Q6131" i="28"/>
  <c r="Q6133" i="28"/>
  <c r="Q6135" i="28"/>
  <c r="Q5683" i="28"/>
  <c r="Q6139" i="28"/>
  <c r="Q6141" i="28"/>
  <c r="Q6143" i="28"/>
  <c r="Q5684" i="28"/>
  <c r="Q6147" i="28"/>
  <c r="Q6149" i="28"/>
  <c r="Q5685" i="28"/>
  <c r="Q6153" i="28"/>
  <c r="Q5686" i="28"/>
  <c r="Q6157" i="28"/>
  <c r="Q5687" i="28"/>
  <c r="Q5688" i="28"/>
  <c r="Q5689" i="28"/>
  <c r="Q6165" i="28"/>
  <c r="Q6167" i="28"/>
  <c r="Q5690" i="28"/>
  <c r="Q6178" i="28"/>
  <c r="Q6180" i="28"/>
  <c r="Q5691" i="28"/>
  <c r="Q6183" i="28"/>
  <c r="Q6184" i="28"/>
  <c r="Q5692" i="28"/>
  <c r="Q6186" i="28"/>
  <c r="Q6187" i="28"/>
  <c r="Q5693" i="28"/>
  <c r="Q6189" i="28"/>
  <c r="Q6191" i="28"/>
  <c r="Q6193" i="28"/>
  <c r="Q6195" i="28"/>
  <c r="Q5694" i="28"/>
  <c r="Q5695" i="28"/>
  <c r="Q4512" i="28"/>
  <c r="Q4514" i="28"/>
  <c r="H14" i="44" s="1"/>
  <c r="Q4516" i="28"/>
  <c r="Q4518" i="28"/>
  <c r="Q4520" i="28"/>
  <c r="Q5696" i="28"/>
  <c r="Q4524" i="28"/>
  <c r="Q5697" i="28"/>
  <c r="Q5698" i="28"/>
  <c r="Q4530" i="28"/>
  <c r="Q5699" i="28"/>
  <c r="Q4534" i="28"/>
  <c r="Q4536" i="28"/>
  <c r="Q5700" i="28"/>
  <c r="Q5701" i="28"/>
  <c r="Q4542" i="28"/>
  <c r="Q5702" i="28"/>
  <c r="Q5703" i="28"/>
  <c r="Q5704" i="28"/>
  <c r="Q5887" i="28"/>
  <c r="Q5706" i="28"/>
  <c r="Q4555" i="28"/>
  <c r="Q4557" i="28"/>
  <c r="Q4559" i="28"/>
  <c r="Q4560" i="28"/>
  <c r="Q5888" i="28"/>
  <c r="Q5889" i="28"/>
  <c r="Q5890" i="28"/>
  <c r="Q4569" i="28"/>
  <c r="Q4570" i="28"/>
  <c r="Q4572" i="28"/>
  <c r="Q4574" i="28"/>
  <c r="Q5891" i="28"/>
  <c r="Q4579" i="28"/>
  <c r="Q5892" i="28"/>
  <c r="Q4583" i="28"/>
  <c r="Q5927" i="28"/>
  <c r="Q5713" i="28"/>
  <c r="Q5894" i="28"/>
  <c r="Q4591" i="28"/>
  <c r="Q4593" i="28"/>
  <c r="Q4595" i="28"/>
  <c r="Q4597" i="28"/>
  <c r="Q5962" i="28"/>
  <c r="Q5716" i="28"/>
  <c r="Q4603" i="28"/>
  <c r="Q4605" i="28"/>
  <c r="Q5717" i="28"/>
  <c r="Q5718" i="28"/>
  <c r="Q4611" i="28"/>
  <c r="Q4613" i="28"/>
  <c r="Q4615" i="28"/>
  <c r="Q4617" i="28"/>
  <c r="Q4620" i="28"/>
  <c r="Q4622" i="28"/>
  <c r="Q4624" i="28"/>
  <c r="Q5719" i="28"/>
  <c r="Q4628" i="28"/>
  <c r="Q5720" i="28"/>
  <c r="Q4632" i="28"/>
  <c r="Q4634" i="28"/>
  <c r="Q4636" i="28"/>
  <c r="Q4638" i="28"/>
  <c r="Q4640" i="28"/>
  <c r="Q4642" i="28"/>
  <c r="Q4644" i="28"/>
  <c r="Q4646" i="28"/>
  <c r="Q5721" i="28"/>
  <c r="Q4650" i="28"/>
  <c r="Q6030" i="28"/>
  <c r="Q4655" i="28"/>
  <c r="Q4656" i="28"/>
  <c r="Q4658" i="28"/>
  <c r="Q4660" i="28"/>
  <c r="Q4662" i="28"/>
  <c r="Q4664" i="28"/>
  <c r="Q4666" i="28"/>
  <c r="Q4667" i="28"/>
  <c r="Q4669" i="28"/>
  <c r="Q5723" i="28"/>
  <c r="Q4673" i="28"/>
  <c r="Q4676" i="28"/>
  <c r="Q4677" i="28"/>
  <c r="Q6036" i="28"/>
  <c r="Q6038" i="28"/>
  <c r="Q4684" i="28"/>
  <c r="Q4686" i="28"/>
  <c r="Q4688" i="28"/>
  <c r="Q6040" i="28"/>
  <c r="Q4692" i="28"/>
  <c r="Q5727" i="28"/>
  <c r="Q5728" i="28"/>
  <c r="Q4698" i="28"/>
  <c r="Q4700" i="28"/>
  <c r="Q5307" i="28"/>
  <c r="Q5730" i="28"/>
  <c r="Q4707" i="28"/>
  <c r="Q4709" i="28"/>
  <c r="Q5731" i="28"/>
  <c r="Q5732" i="28"/>
  <c r="Q4715" i="28"/>
  <c r="Q5733" i="28"/>
  <c r="Q5734" i="28"/>
  <c r="Q5735" i="28"/>
  <c r="Q4723" i="28"/>
  <c r="Q4725" i="28"/>
  <c r="Q4727" i="28"/>
  <c r="Q4729" i="28"/>
  <c r="Q4731" i="28"/>
  <c r="Q4733" i="28"/>
  <c r="Q4736" i="28"/>
  <c r="Q4738" i="28"/>
  <c r="Q4740" i="28"/>
  <c r="Q5960" i="28"/>
  <c r="Q5737" i="28"/>
  <c r="Q4746" i="28"/>
  <c r="Q5738" i="28"/>
  <c r="Q5739" i="28"/>
  <c r="Q4752" i="28"/>
  <c r="Q4754" i="28"/>
  <c r="Q4756" i="28"/>
  <c r="Q5740" i="28"/>
  <c r="Q4760" i="28"/>
  <c r="Q5741" i="28"/>
  <c r="Q5742" i="28"/>
  <c r="Q4767" i="28"/>
  <c r="Q4769" i="28"/>
  <c r="Q5959" i="28"/>
  <c r="Q4773" i="28"/>
  <c r="Q4775" i="28"/>
  <c r="Q4777" i="28"/>
  <c r="Q4779" i="28"/>
  <c r="Q4781" i="28"/>
  <c r="Q4783" i="28"/>
  <c r="Q5744" i="28"/>
  <c r="Q4787" i="28"/>
  <c r="Q4789" i="28"/>
  <c r="Q4791" i="28"/>
  <c r="Q4793" i="28"/>
  <c r="Q4795" i="28"/>
  <c r="Q4797" i="28"/>
  <c r="Q4799" i="28"/>
  <c r="Q4801" i="28"/>
  <c r="Q4803" i="28"/>
  <c r="Q4805" i="28"/>
  <c r="Q5745" i="28"/>
  <c r="Q4809" i="28"/>
  <c r="Q4811" i="28"/>
  <c r="Q5746" i="28"/>
  <c r="Q4815" i="28"/>
  <c r="Q6044" i="28"/>
  <c r="Q6046" i="28"/>
  <c r="Q4821" i="28"/>
  <c r="Q4823" i="28"/>
  <c r="Q5749" i="28"/>
  <c r="Q4827" i="28"/>
  <c r="Q4829" i="28"/>
  <c r="Q5750" i="28"/>
  <c r="Q5751" i="28"/>
  <c r="Q4835" i="28"/>
  <c r="Q4837" i="28"/>
  <c r="Q4839" i="28"/>
  <c r="Q4841" i="28"/>
  <c r="Q5752" i="28"/>
  <c r="Q4845" i="28"/>
  <c r="Q5928" i="28"/>
  <c r="Q4849" i="28"/>
  <c r="Q4851" i="28"/>
  <c r="Q5930" i="28"/>
  <c r="Q5900" i="28"/>
  <c r="Q4857" i="28"/>
  <c r="Q4859" i="28"/>
  <c r="Q5756" i="28"/>
  <c r="Q5958" i="28"/>
  <c r="Q4865" i="28"/>
  <c r="Q4867" i="28"/>
  <c r="Q4870" i="28"/>
  <c r="Q5758" i="28"/>
  <c r="Q5759" i="28"/>
  <c r="Q4876" i="28"/>
  <c r="Q4878" i="28"/>
  <c r="Q4880" i="28"/>
  <c r="Q4882" i="28"/>
  <c r="Q4884" i="28"/>
  <c r="Q4886" i="28"/>
  <c r="Q5760" i="28"/>
  <c r="Q4890" i="28"/>
  <c r="Q4892" i="28"/>
  <c r="Q6048" i="28"/>
  <c r="Q4896" i="28"/>
  <c r="Q4898" i="28"/>
  <c r="Q4900" i="28"/>
  <c r="Q4902" i="28"/>
  <c r="Q4904" i="28"/>
  <c r="Q4906" i="28"/>
  <c r="Q5762" i="28"/>
  <c r="Q4910" i="28"/>
  <c r="Q6050" i="28"/>
  <c r="Q4914" i="28"/>
  <c r="Q6052" i="28"/>
  <c r="Q5765" i="28"/>
  <c r="Q5766" i="28"/>
  <c r="Q4922" i="28"/>
  <c r="Q4924" i="28"/>
  <c r="Q5767" i="28"/>
  <c r="Q4928" i="28"/>
  <c r="Q4930" i="28"/>
  <c r="Q4932" i="28"/>
  <c r="Q4934" i="28"/>
  <c r="Q4936" i="28"/>
  <c r="Q4938" i="28"/>
  <c r="Q4940" i="28"/>
  <c r="Q5957" i="28"/>
  <c r="Q4944" i="28"/>
  <c r="Q4946" i="28"/>
  <c r="Q4948" i="28"/>
  <c r="Q4950" i="28"/>
  <c r="Q4952" i="28"/>
  <c r="Q4954" i="28"/>
  <c r="Q5769" i="28"/>
  <c r="Q4958" i="28"/>
  <c r="Q4960" i="28"/>
  <c r="Q4962" i="28"/>
  <c r="Q4964" i="28"/>
  <c r="Q4966" i="28"/>
  <c r="Q4968" i="28"/>
  <c r="Q4970" i="28"/>
  <c r="Q4972" i="28"/>
  <c r="Q5770" i="28"/>
  <c r="Q5771" i="28"/>
  <c r="Q5903" i="28"/>
  <c r="Q4980" i="28"/>
  <c r="Q4982" i="28"/>
  <c r="Q4985" i="28"/>
  <c r="Q4987" i="28"/>
  <c r="Q4989" i="28"/>
  <c r="Q4991" i="28"/>
  <c r="Q4993" i="28"/>
  <c r="Q4995" i="28"/>
  <c r="Q4997" i="28"/>
  <c r="Q5001" i="28"/>
  <c r="Q5002" i="28"/>
  <c r="Q5003" i="28"/>
  <c r="Q5773" i="28"/>
  <c r="Q5006" i="28"/>
  <c r="Q5008" i="28"/>
  <c r="Q5308" i="28"/>
  <c r="Q5775" i="28"/>
  <c r="Q5776" i="28"/>
  <c r="Q5013" i="28"/>
  <c r="Q5014" i="28"/>
  <c r="Q5015" i="28"/>
  <c r="Q6058" i="28"/>
  <c r="Q5310" i="28"/>
  <c r="Q5076" i="28"/>
  <c r="Q5077" i="28"/>
  <c r="Q5078" i="28"/>
  <c r="Q5079" i="28"/>
  <c r="Q5779" i="28"/>
  <c r="Q5942" i="28"/>
  <c r="Q5082" i="28"/>
  <c r="Q5083" i="28"/>
  <c r="Q5084" i="28"/>
  <c r="Q5781" i="28"/>
  <c r="Q5782" i="28"/>
  <c r="Q5087" i="28"/>
  <c r="Q5783" i="28"/>
  <c r="Q5784" i="28"/>
  <c r="Q5090" i="28"/>
  <c r="Q5091" i="28"/>
  <c r="Q5785" i="28"/>
  <c r="Q5093" i="28"/>
  <c r="Q5094" i="28"/>
  <c r="Q5095" i="28"/>
  <c r="Q5096" i="28"/>
  <c r="Q5097" i="28"/>
  <c r="Q5786" i="28"/>
  <c r="Q5099" i="28"/>
  <c r="Q5787" i="28"/>
  <c r="Q5986" i="28"/>
  <c r="Q5789" i="28"/>
  <c r="Q5940" i="28"/>
  <c r="Q5104" i="28"/>
  <c r="Q5105" i="28"/>
  <c r="Q5106" i="28"/>
  <c r="Q5107" i="28"/>
  <c r="Q5108" i="28"/>
  <c r="Q5791" i="28"/>
  <c r="Q5792" i="28"/>
  <c r="Q5793" i="28"/>
  <c r="Q5112" i="28"/>
  <c r="Q5113" i="28"/>
  <c r="Q5114" i="28"/>
  <c r="Q5794" i="28"/>
  <c r="Q5795" i="28"/>
  <c r="Q5796" i="28"/>
  <c r="Q5118" i="28"/>
  <c r="Q5119" i="28"/>
  <c r="Q5949" i="28"/>
  <c r="Q5121" i="28"/>
  <c r="Q5122" i="28"/>
  <c r="Q5123" i="28"/>
  <c r="Q5124" i="28"/>
  <c r="Q5125" i="28"/>
  <c r="Q5907" i="28"/>
  <c r="Q5908" i="28"/>
  <c r="Q5807" i="28"/>
  <c r="Q5129" i="28"/>
  <c r="Q5130" i="28"/>
  <c r="Q5131" i="28"/>
  <c r="Q5132" i="28"/>
  <c r="Q5133" i="28"/>
  <c r="Q5808" i="28"/>
  <c r="Q5809" i="28"/>
  <c r="Q5810" i="28"/>
  <c r="Q5137" i="28"/>
  <c r="Q5138" i="28"/>
  <c r="Q5139" i="28"/>
  <c r="Q5140" i="28"/>
  <c r="Q5811" i="28"/>
  <c r="Q5812" i="28"/>
  <c r="Q5813" i="28"/>
  <c r="Q5144" i="28"/>
  <c r="Q5814" i="28"/>
  <c r="Q5909" i="28"/>
  <c r="Q5816" i="28"/>
  <c r="Q5148" i="28"/>
  <c r="Q5817" i="28"/>
  <c r="Q5818" i="28"/>
  <c r="Q5819" i="28"/>
  <c r="Q5152" i="28"/>
  <c r="Q5153" i="28"/>
  <c r="Q5154" i="28"/>
  <c r="Q5155" i="28"/>
  <c r="Q5156" i="28"/>
  <c r="Q5157" i="28"/>
  <c r="Q5158" i="28"/>
  <c r="Q5159" i="28"/>
  <c r="Q5160" i="28"/>
  <c r="Q5820" i="28"/>
  <c r="Q5162" i="28"/>
  <c r="Q5163" i="28"/>
  <c r="Q5985" i="28"/>
  <c r="Q5822" i="28"/>
  <c r="Q5166" i="28"/>
  <c r="Q5167" i="28"/>
  <c r="Q5823" i="28"/>
  <c r="Q5824" i="28"/>
  <c r="Q5825" i="28"/>
  <c r="Q5171" i="28"/>
  <c r="Q5172" i="28"/>
  <c r="Q5826" i="28"/>
  <c r="Q5827" i="28"/>
  <c r="Q5828" i="28"/>
  <c r="Q5176" i="28"/>
  <c r="Q5829" i="28"/>
  <c r="Q5178" i="28"/>
  <c r="Q5179" i="28"/>
  <c r="Q5180" i="28"/>
  <c r="Q5181" i="28"/>
  <c r="Q5182" i="28"/>
  <c r="Q5183" i="28"/>
  <c r="Q5184" i="28"/>
  <c r="Q5185" i="28"/>
  <c r="Q5186" i="28"/>
  <c r="Q5187" i="28"/>
  <c r="Q5188" i="28"/>
  <c r="Q5189" i="28"/>
  <c r="Q5830" i="28"/>
  <c r="Q5191" i="28"/>
  <c r="Q5192" i="28"/>
  <c r="Q5910" i="28"/>
  <c r="Q5194" i="28"/>
  <c r="Q5195" i="28"/>
  <c r="Q5911" i="28"/>
  <c r="Q5197" i="28"/>
  <c r="Q5198" i="28"/>
  <c r="Q5199" i="28"/>
  <c r="Q5833" i="28"/>
  <c r="Q5201" i="28"/>
  <c r="Q5202" i="28"/>
  <c r="Q5203" i="28"/>
  <c r="Q5834" i="28"/>
  <c r="Q5835" i="28"/>
  <c r="Q5206" i="28"/>
  <c r="Q5836" i="28"/>
  <c r="Q5912" i="28"/>
  <c r="Q5209" i="28"/>
  <c r="Q5913" i="28"/>
  <c r="Q5839" i="28"/>
  <c r="Q5212" i="28"/>
  <c r="Q5213" i="28"/>
  <c r="Q5214" i="28"/>
  <c r="Q5215" i="28"/>
  <c r="Q5216" i="28"/>
  <c r="Q5217" i="28"/>
  <c r="Q5840" i="28"/>
  <c r="Q5219" i="28"/>
  <c r="Q5841" i="28"/>
  <c r="Q5221" i="28"/>
  <c r="Q5222" i="28"/>
  <c r="Q5223" i="28"/>
  <c r="Q5842" i="28"/>
  <c r="Q5843" i="28"/>
  <c r="Q5844" i="28"/>
  <c r="Q5227" i="28"/>
  <c r="Q5228" i="28"/>
  <c r="Q5229" i="28"/>
  <c r="Q5230" i="28"/>
  <c r="Q5231" i="28"/>
  <c r="Q5232" i="28"/>
  <c r="Q5233" i="28"/>
  <c r="Q5234" i="28"/>
  <c r="Q5235" i="28"/>
  <c r="Q5236" i="28"/>
  <c r="Q5237" i="28"/>
  <c r="Q5238" i="28"/>
  <c r="Q5916" i="28"/>
  <c r="Q5240" i="28"/>
  <c r="Q5948" i="28"/>
  <c r="Q5847" i="28"/>
  <c r="Q5243" i="28"/>
  <c r="Q5244" i="28"/>
  <c r="Q5245" i="28"/>
  <c r="Q5246" i="28"/>
  <c r="Q5247" i="28"/>
  <c r="Q5248" i="28"/>
  <c r="Q5848" i="28"/>
  <c r="Q5849" i="28"/>
  <c r="Q5251" i="28"/>
  <c r="Q5252" i="28"/>
  <c r="Q5253" i="28"/>
  <c r="Q5254" i="28"/>
  <c r="Q5255" i="28"/>
  <c r="Q5256" i="28"/>
  <c r="Q5257" i="28"/>
  <c r="Q5850" i="28"/>
  <c r="Q5851" i="28"/>
  <c r="Q5852" i="28"/>
  <c r="Q5261" i="28"/>
  <c r="Q5262" i="28"/>
  <c r="Q5263" i="28"/>
  <c r="Q5264" i="28"/>
  <c r="Q5265" i="28"/>
  <c r="Q5266" i="28"/>
  <c r="Q5267" i="28"/>
  <c r="Q5268" i="28"/>
  <c r="Q5269" i="28"/>
  <c r="Q5853" i="28"/>
  <c r="Q5311" i="28"/>
  <c r="Q5854" i="28"/>
  <c r="Q5273" i="28"/>
  <c r="Q5274" i="28"/>
  <c r="Q5275" i="28"/>
  <c r="Q5276" i="28"/>
  <c r="Q5277" i="28"/>
  <c r="Q5278" i="28"/>
  <c r="Q5279" i="28"/>
  <c r="Q5280" i="28"/>
  <c r="Q5281" i="28"/>
  <c r="Q5282" i="28"/>
  <c r="Q5283" i="28"/>
  <c r="Q5284" i="28"/>
  <c r="Q5945" i="28"/>
  <c r="Q5856" i="28"/>
  <c r="Q5857" i="28"/>
  <c r="Q5312" i="28"/>
  <c r="Q5289" i="28"/>
  <c r="Q5290" i="28"/>
  <c r="Q5291" i="28"/>
  <c r="Q5292" i="28"/>
  <c r="Q5293" i="28"/>
  <c r="Q5294" i="28"/>
  <c r="Q5295" i="28"/>
  <c r="Q5296" i="28"/>
  <c r="Q5297" i="28"/>
  <c r="Q5298" i="28"/>
  <c r="Q5299" i="28"/>
  <c r="Q5300" i="28"/>
  <c r="Q5301" i="28"/>
  <c r="Q5858" i="28"/>
  <c r="Q5876" i="28"/>
  <c r="Q5879" i="28"/>
  <c r="Q6032" i="28"/>
  <c r="Q6034" i="28"/>
  <c r="Q6042" i="28"/>
  <c r="Q6054" i="28"/>
  <c r="Q6056" i="28"/>
  <c r="Q6060" i="28"/>
  <c r="Q6062" i="28"/>
  <c r="Q6064" i="28"/>
  <c r="Q6068" i="28"/>
  <c r="Q5893" i="28"/>
  <c r="Q6073" i="28"/>
  <c r="Q6075" i="28"/>
  <c r="Q6077" i="28"/>
  <c r="Q5101" i="28"/>
  <c r="Q5102" i="28"/>
  <c r="Q5898" i="28"/>
  <c r="Q5109" i="28"/>
  <c r="Q6154" i="28"/>
  <c r="Q6158" i="28"/>
  <c r="Q5110" i="28"/>
  <c r="Q6162" i="28"/>
  <c r="Q6166" i="28"/>
  <c r="Q6168" i="28"/>
  <c r="Q6169" i="28"/>
  <c r="Q6170" i="28"/>
  <c r="Q6171" i="28"/>
  <c r="Q6172" i="28"/>
  <c r="Q6175" i="28"/>
  <c r="Q5111" i="28"/>
  <c r="Q4510" i="28"/>
  <c r="Q4527" i="28"/>
  <c r="Q4539" i="28"/>
  <c r="Q5899" i="28"/>
  <c r="Q5904" i="28"/>
  <c r="Q5905" i="28"/>
  <c r="Q5120" i="28"/>
  <c r="Q4551" i="28"/>
  <c r="Q4554" i="28"/>
  <c r="Q5126" i="28"/>
  <c r="Q4563" i="28"/>
  <c r="Q5127" i="28"/>
  <c r="Q5128" i="28"/>
  <c r="Q4586" i="28"/>
  <c r="Q5134" i="28"/>
  <c r="Q5135" i="28"/>
  <c r="Q5136" i="28"/>
  <c r="Q5918" i="28"/>
  <c r="Q4608" i="28"/>
  <c r="Q5920" i="28"/>
  <c r="Q5922" i="28"/>
  <c r="Q4629" i="28"/>
  <c r="Q4631" i="28"/>
  <c r="Q4651" i="28"/>
  <c r="Q5145" i="28"/>
  <c r="Q5146" i="28"/>
  <c r="Q5147" i="28"/>
  <c r="Q4663" i="28"/>
  <c r="Q4668" i="28"/>
  <c r="Q5149" i="28"/>
  <c r="Q5150" i="28"/>
  <c r="Q4693" i="28"/>
  <c r="Q4704" i="28"/>
  <c r="Q4706" i="28"/>
  <c r="Q4712" i="28"/>
  <c r="Q4716" i="28"/>
  <c r="Q5151" i="28"/>
  <c r="Q4720" i="28"/>
  <c r="Q4739" i="28"/>
  <c r="Q4741" i="28"/>
  <c r="Q4749" i="28"/>
  <c r="Q4761" i="28"/>
  <c r="Q5161" i="28"/>
  <c r="Q4784" i="28"/>
  <c r="Q4788" i="28"/>
  <c r="Q4794" i="28"/>
  <c r="Q4798" i="28"/>
  <c r="Q4802" i="28"/>
  <c r="Q4806" i="28"/>
  <c r="Q4818" i="28"/>
  <c r="Q4820" i="28"/>
  <c r="Q4824" i="28"/>
  <c r="Q5925" i="28"/>
  <c r="Q5931" i="28"/>
  <c r="Q4836" i="28"/>
  <c r="Q5932" i="28"/>
  <c r="Q5937" i="28"/>
  <c r="Q4848" i="28"/>
  <c r="Q5939" i="28"/>
  <c r="Q4856" i="28"/>
  <c r="Q5173" i="28"/>
  <c r="Q4862" i="28"/>
  <c r="Q4869" i="28"/>
  <c r="Q5944" i="28"/>
  <c r="Q5950" i="28"/>
  <c r="Q5177" i="28"/>
  <c r="Q4889" i="28"/>
  <c r="Q5951" i="28"/>
  <c r="Q5193" i="28"/>
  <c r="Q4907" i="28"/>
  <c r="Q5953" i="28"/>
  <c r="Q4913" i="28"/>
  <c r="Q5200" i="28"/>
  <c r="Q5204" i="28"/>
  <c r="Q4919" i="28"/>
  <c r="Q4925" i="28"/>
  <c r="Q4929" i="28"/>
  <c r="Q4939" i="28"/>
  <c r="Q4955" i="28"/>
  <c r="Q4957" i="28"/>
  <c r="Q4973" i="28"/>
  <c r="Q4975" i="28"/>
  <c r="Q4977" i="28"/>
  <c r="Q4994" i="28"/>
  <c r="Q5954" i="28"/>
  <c r="Q5967" i="28"/>
  <c r="Q5000" i="28"/>
  <c r="Q5005" i="28"/>
  <c r="Q5968" i="28"/>
  <c r="Q5029" i="28"/>
  <c r="Q5030" i="28"/>
  <c r="Q5971" i="28"/>
  <c r="Q5211" i="28"/>
  <c r="Q5972" i="28"/>
  <c r="Q5973" i="28"/>
  <c r="Q5040" i="28"/>
  <c r="Q5041" i="28"/>
  <c r="Q5042" i="28"/>
  <c r="Q5224" i="28"/>
  <c r="Q5225" i="28"/>
  <c r="Q5046" i="28"/>
  <c r="Q5974" i="28"/>
  <c r="Q5054" i="28"/>
  <c r="Q5057" i="28"/>
  <c r="Q5239" i="28"/>
  <c r="Q5322" i="28"/>
  <c r="Q5325" i="28"/>
  <c r="Q5241" i="28"/>
  <c r="Q5977" i="28"/>
  <c r="Q5983" i="28"/>
  <c r="Q5379" i="28"/>
  <c r="Q5987" i="28"/>
  <c r="Q5393" i="28"/>
  <c r="Q5258" i="28"/>
  <c r="Q5403" i="28"/>
  <c r="Q5413" i="28"/>
  <c r="Q5421" i="28"/>
  <c r="Q5427" i="28"/>
  <c r="Q5259" i="28"/>
  <c r="Q5260" i="28"/>
  <c r="Q5988" i="28"/>
  <c r="Q5447" i="28"/>
  <c r="Q5449" i="28"/>
  <c r="Q5272" i="28"/>
  <c r="Q5285" i="28"/>
  <c r="Q5482" i="28"/>
  <c r="Q5286" i="28"/>
  <c r="Q5287" i="28"/>
  <c r="Q5490" i="28"/>
  <c r="Q5496" i="28"/>
  <c r="Q5497" i="28"/>
  <c r="Q5302" i="28"/>
  <c r="Q5316" i="28"/>
  <c r="Q5503" i="28"/>
  <c r="Q5505" i="28"/>
  <c r="Q5328" i="28"/>
  <c r="Q5354" i="28"/>
  <c r="Q5509" i="28"/>
  <c r="Q5510" i="28"/>
  <c r="Q5518" i="28"/>
  <c r="Q5386" i="28"/>
  <c r="Q5388" i="28"/>
  <c r="Q5526" i="28"/>
  <c r="Q5530" i="28"/>
  <c r="Q5532" i="28"/>
  <c r="Q5536" i="28"/>
  <c r="Q5548" i="28"/>
  <c r="Q5410" i="28"/>
  <c r="Q5416" i="28"/>
  <c r="Q5565" i="28"/>
  <c r="Q5566" i="28"/>
  <c r="Q5420" i="28"/>
  <c r="Q5426" i="28"/>
  <c r="Q5595" i="28"/>
  <c r="Q5610" i="28"/>
  <c r="Q5432" i="28"/>
  <c r="Q5915" i="28"/>
  <c r="Q5446" i="28"/>
  <c r="Q5919" i="28"/>
  <c r="Q5921" i="28"/>
  <c r="Q5923" i="28"/>
  <c r="Q5938" i="28"/>
  <c r="Q5448" i="28"/>
  <c r="Q5952" i="28"/>
  <c r="Q5479" i="28"/>
  <c r="Q5966" i="28"/>
  <c r="Q5483" i="28"/>
  <c r="Q5517" i="28"/>
  <c r="Q5525" i="28"/>
  <c r="Q5531" i="28"/>
  <c r="Q5557" i="28"/>
  <c r="Q6018" i="28"/>
  <c r="Q6019" i="28"/>
  <c r="Q5589" i="28"/>
  <c r="Q5611" i="28"/>
  <c r="Q6033" i="28"/>
  <c r="Q5627" i="28"/>
  <c r="Q6061" i="28"/>
  <c r="Q6074" i="28"/>
  <c r="Q6076" i="28"/>
  <c r="Q5633" i="28"/>
  <c r="Q5662" i="28"/>
  <c r="Q6103" i="28"/>
  <c r="Q5673" i="28"/>
  <c r="Q5677" i="28"/>
  <c r="Q6137" i="28"/>
  <c r="Q5681" i="28"/>
  <c r="Q6151" i="28"/>
  <c r="Q6155" i="28"/>
  <c r="Q6159" i="28"/>
  <c r="Q6161" i="28"/>
  <c r="Q5705" i="28"/>
  <c r="Q5707" i="28"/>
  <c r="Q5708" i="28"/>
  <c r="Q6185" i="28"/>
  <c r="Q6188" i="28"/>
  <c r="Q4507" i="28"/>
  <c r="Q4509" i="28"/>
  <c r="Q5709" i="28"/>
  <c r="Q4526" i="28"/>
  <c r="Q4528" i="28"/>
  <c r="Q4532" i="28"/>
  <c r="Q4538" i="28"/>
  <c r="Q4540" i="28"/>
  <c r="Q4544" i="28"/>
  <c r="Q5710" i="28"/>
  <c r="Q5711" i="28"/>
  <c r="Q5712" i="28"/>
  <c r="Q4552" i="28"/>
  <c r="Q4562" i="28"/>
  <c r="Q4564" i="28"/>
  <c r="Q5714" i="28"/>
  <c r="Q4576" i="28"/>
  <c r="Q5715" i="28"/>
  <c r="Q4585" i="28"/>
  <c r="Q4587" i="28"/>
  <c r="Q5736" i="28"/>
  <c r="Q5743" i="28"/>
  <c r="Q5753" i="28"/>
  <c r="Q4607" i="28"/>
  <c r="Q4609" i="28"/>
  <c r="Q5754" i="28"/>
  <c r="Q4630" i="28"/>
  <c r="Q4648" i="28"/>
  <c r="Q5755" i="28"/>
  <c r="Q4671" i="28"/>
  <c r="Q4680" i="28"/>
  <c r="Q4682" i="28"/>
  <c r="Q4690" i="28"/>
  <c r="Q4694" i="28"/>
  <c r="Q4696" i="28"/>
  <c r="Q4703" i="28"/>
  <c r="Q4705" i="28"/>
  <c r="Q5757" i="28"/>
  <c r="Q4713" i="28"/>
  <c r="Q5768" i="28"/>
  <c r="Q5772" i="28"/>
  <c r="Q5056" i="28"/>
  <c r="Q4742" i="28"/>
  <c r="Q4744" i="28"/>
  <c r="Q4748" i="28"/>
  <c r="Q4750" i="28"/>
  <c r="Q4758" i="28"/>
  <c r="Q5780" i="28"/>
  <c r="Q5790" i="28"/>
  <c r="Q4771" i="28"/>
  <c r="Q4785" i="28"/>
  <c r="Q4807" i="28"/>
  <c r="Q4813" i="28"/>
  <c r="Q4817" i="28"/>
  <c r="Q4819" i="28"/>
  <c r="Q4825" i="28"/>
  <c r="Q5804" i="28"/>
  <c r="Q4833" i="28"/>
  <c r="Q5805" i="28"/>
  <c r="Q4847" i="28"/>
  <c r="Q5806" i="28"/>
  <c r="Q5815" i="28"/>
  <c r="Q5831" i="28"/>
  <c r="Q4863" i="28"/>
  <c r="Q5832" i="28"/>
  <c r="Q4874" i="28"/>
  <c r="Q4888" i="28"/>
  <c r="Q4894" i="28"/>
  <c r="Q4908" i="28"/>
  <c r="Q5837" i="28"/>
  <c r="Q5838" i="28"/>
  <c r="Q5845" i="28"/>
  <c r="Q5846" i="28"/>
  <c r="Q4926" i="28"/>
  <c r="Q4942" i="28"/>
  <c r="Q4956" i="28"/>
  <c r="Q4974" i="28"/>
  <c r="Q4976" i="28"/>
  <c r="Q4978" i="28"/>
  <c r="Q5004" i="28"/>
  <c r="Q5010" i="28"/>
  <c r="Q5011" i="28"/>
  <c r="Q5012" i="28"/>
  <c r="Q5074" i="28"/>
  <c r="Q5075" i="28"/>
  <c r="Q5855" i="28"/>
  <c r="Q5875" i="28"/>
  <c r="Q5085" i="28"/>
  <c r="Q5086" i="28"/>
  <c r="Q5088" i="28"/>
  <c r="Q5089" i="28"/>
  <c r="Q6024" i="28"/>
  <c r="Q6028" i="28"/>
  <c r="Q6071" i="28"/>
  <c r="Q6110" i="28"/>
  <c r="Q6112" i="28"/>
  <c r="Q6122" i="28"/>
  <c r="Q6146" i="28"/>
  <c r="Q6160" i="28"/>
  <c r="Q6181" i="28"/>
  <c r="Q4543" i="28"/>
  <c r="Q4545" i="28"/>
  <c r="Q4547" i="28"/>
  <c r="Q4549" i="28"/>
  <c r="Q4558" i="28"/>
  <c r="Q4568" i="28"/>
  <c r="Q4584" i="28"/>
  <c r="Q4588" i="28"/>
  <c r="Q4590" i="28"/>
  <c r="Q4592" i="28"/>
  <c r="Q4598" i="28"/>
  <c r="Q4625" i="28"/>
  <c r="Q4627" i="28"/>
  <c r="Q4653" i="28"/>
  <c r="Q4654" i="28"/>
  <c r="Q4659" i="28"/>
  <c r="Q4675" i="28"/>
  <c r="Q4681" i="28"/>
  <c r="Q4718" i="28"/>
  <c r="Q4763" i="28"/>
  <c r="Q4826" i="28"/>
  <c r="Q4832" i="28"/>
  <c r="Q4842" i="28"/>
  <c r="Q4844" i="28"/>
  <c r="Q4854" i="28"/>
  <c r="Q4860" i="28"/>
  <c r="Q4873" i="28"/>
  <c r="Q4879" i="28"/>
  <c r="Q4885" i="28"/>
  <c r="Q4895" i="28"/>
  <c r="Q4899" i="28"/>
  <c r="Q4911" i="28"/>
  <c r="Q4915" i="28"/>
  <c r="Q4917" i="28"/>
  <c r="Q4998" i="28"/>
  <c r="Q4999" i="28"/>
  <c r="Q5028" i="28"/>
  <c r="Q5031" i="28"/>
  <c r="Q5032" i="28"/>
  <c r="Q5033" i="28"/>
  <c r="Q5034" i="28"/>
  <c r="Q5043" i="28"/>
  <c r="Q5044" i="28"/>
  <c r="Q5050" i="28"/>
  <c r="Q5321" i="28"/>
  <c r="Q5329" i="28"/>
  <c r="Q5341" i="28"/>
  <c r="Q5345" i="28"/>
  <c r="Q5385" i="28"/>
  <c r="Q5395" i="28"/>
  <c r="Q5435" i="28"/>
  <c r="Q5437" i="28"/>
  <c r="Q5443" i="28"/>
  <c r="Q5454" i="28"/>
  <c r="Q5480" i="28"/>
  <c r="Q5484" i="28"/>
  <c r="Q5486" i="28"/>
  <c r="Q5501" i="28"/>
  <c r="Q5502" i="28"/>
  <c r="Q5507" i="28"/>
  <c r="Q5508" i="28"/>
  <c r="Q5522" i="28"/>
  <c r="Q5524" i="28"/>
  <c r="Q5550" i="28"/>
  <c r="Q5562" i="28"/>
  <c r="Q5570" i="28"/>
  <c r="Q5590" i="28"/>
  <c r="Q5616" i="28"/>
  <c r="Q5917" i="28"/>
  <c r="Q5947" i="28"/>
  <c r="Q5956" i="28"/>
  <c r="Q5975" i="28"/>
  <c r="Q5984" i="28"/>
  <c r="Q6009" i="28"/>
  <c r="Q6010" i="28"/>
  <c r="Q6011" i="28"/>
  <c r="Q6023" i="28"/>
  <c r="Q6025" i="28"/>
  <c r="Q6035" i="28"/>
  <c r="Q6078" i="28"/>
  <c r="Q6101" i="28"/>
  <c r="Q6107" i="28"/>
  <c r="Q6109" i="28"/>
  <c r="Q6145" i="28"/>
  <c r="Q6163" i="28"/>
  <c r="Q6176" i="28"/>
  <c r="Q6182" i="28"/>
  <c r="Q4522" i="28"/>
  <c r="Q4546" i="28"/>
  <c r="Q4548" i="28"/>
  <c r="Q4550" i="28"/>
  <c r="Q4566" i="28"/>
  <c r="Q4581" i="28"/>
  <c r="Q4589" i="28"/>
  <c r="Q4599" i="28"/>
  <c r="Q4601" i="28"/>
  <c r="Q4626" i="28"/>
  <c r="Q4652" i="28"/>
  <c r="Q4711" i="28"/>
  <c r="Q4717" i="28"/>
  <c r="Q4719" i="28"/>
  <c r="Q4762" i="28"/>
  <c r="Q4764" i="28"/>
  <c r="Q4831" i="28"/>
  <c r="Q4843" i="28"/>
  <c r="Q4853" i="28"/>
  <c r="Q4855" i="28"/>
  <c r="Q4861" i="28"/>
  <c r="Q4872" i="28"/>
  <c r="Q4912" i="28"/>
  <c r="Q4916" i="28"/>
  <c r="Q4918" i="28"/>
  <c r="Q4920" i="28"/>
  <c r="Q5080" i="28"/>
  <c r="Q5081" i="28"/>
  <c r="Q5092" i="28"/>
  <c r="Q5098" i="28"/>
  <c r="Q5100" i="28"/>
  <c r="Q5103" i="28"/>
  <c r="Q5115" i="28"/>
  <c r="Q5116" i="28"/>
  <c r="Q5117" i="28"/>
  <c r="Q5141" i="28"/>
  <c r="Q5142" i="28"/>
  <c r="Q5143" i="28"/>
  <c r="Q5164" i="28"/>
  <c r="Q5165" i="28"/>
  <c r="Q5168" i="28"/>
  <c r="Q5169" i="28"/>
  <c r="Q5170" i="28"/>
  <c r="Q5174" i="28"/>
  <c r="Q5175" i="28"/>
  <c r="Q5190" i="28"/>
  <c r="Q5196" i="28"/>
  <c r="Q5205" i="28"/>
  <c r="Q5207" i="28"/>
  <c r="Q5208" i="28"/>
  <c r="Q5210" i="28"/>
  <c r="Q5218" i="28"/>
  <c r="Q5220" i="28"/>
  <c r="Q5226" i="28"/>
  <c r="Q5242" i="28"/>
  <c r="Q5249" i="28"/>
  <c r="Q5250" i="28"/>
  <c r="Q5270" i="28"/>
  <c r="Q5884" i="28"/>
  <c r="Q5964" i="28"/>
  <c r="Q5878" i="28"/>
  <c r="Q5935" i="28"/>
  <c r="Q5946" i="28"/>
  <c r="Q5877" i="28"/>
  <c r="Q5934" i="28"/>
  <c r="Q5906" i="28"/>
  <c r="Q5955" i="28"/>
  <c r="Q5902" i="28"/>
  <c r="Q5976" i="28"/>
  <c r="Q5901" i="28"/>
  <c r="Q5873" i="28"/>
  <c r="Q5872" i="28"/>
  <c r="Q5871" i="28"/>
  <c r="Q5982" i="28"/>
  <c r="Q5897" i="28"/>
  <c r="Q5821" i="28"/>
  <c r="Q5788" i="28"/>
  <c r="Q5896" i="28"/>
  <c r="Q5895" i="28"/>
  <c r="Q5778" i="28"/>
  <c r="Q5777" i="28"/>
  <c r="Q5774" i="28"/>
  <c r="Q5764" i="28"/>
  <c r="Q5763" i="28"/>
  <c r="Q5761" i="28"/>
  <c r="Q5748" i="28"/>
  <c r="Q5747" i="28"/>
  <c r="Q5729" i="28"/>
  <c r="Q5726" i="28"/>
  <c r="Q5725" i="28"/>
  <c r="Q5724" i="28"/>
  <c r="Q5722" i="28"/>
  <c r="Q5675" i="28"/>
  <c r="Q5665" i="28"/>
  <c r="Q5664" i="28"/>
  <c r="Q5663" i="28"/>
  <c r="Q5640" i="28"/>
  <c r="Q5639" i="28"/>
  <c r="Q5638" i="28"/>
  <c r="Q5618" i="28"/>
  <c r="Q5617" i="28"/>
  <c r="Q5605" i="28"/>
  <c r="Q5523" i="28"/>
  <c r="Q5521" i="28"/>
  <c r="Q5511" i="28"/>
  <c r="Q5485" i="28"/>
  <c r="Q5475" i="28"/>
  <c r="Q5455" i="28"/>
  <c r="Q5453" i="28"/>
  <c r="Q5450" i="28"/>
  <c r="Q5444" i="28"/>
  <c r="Q5442" i="28"/>
  <c r="Q5436" i="28"/>
  <c r="Q5434" i="28"/>
  <c r="Q5412" i="28"/>
  <c r="Q5396" i="28"/>
  <c r="Q5394" i="28"/>
  <c r="Q5384" i="28"/>
  <c r="Q5374" i="28"/>
  <c r="Q5342" i="28"/>
  <c r="Q5340" i="28"/>
  <c r="Q5317" i="28"/>
  <c r="Q5315" i="28"/>
  <c r="Q5314" i="28"/>
  <c r="Q5309" i="28"/>
  <c r="Q5306" i="28"/>
  <c r="Q5305" i="28"/>
  <c r="Q5304" i="28"/>
  <c r="Q5303" i="28"/>
  <c r="Q5288" i="28"/>
  <c r="Q5271" i="28"/>
  <c r="Q5527" i="28"/>
  <c r="Q5539" i="28"/>
  <c r="Q5549" i="28"/>
  <c r="Q5561" i="28"/>
  <c r="Q5563" i="28"/>
  <c r="Q5571" i="28"/>
  <c r="Q5572" i="28"/>
  <c r="G983" i="28"/>
  <c r="G1161" i="28"/>
  <c r="G1046" i="28"/>
  <c r="G714" i="28"/>
  <c r="G986" i="28"/>
  <c r="G970" i="28"/>
  <c r="G690" i="28"/>
  <c r="G718" i="28"/>
  <c r="G971" i="28"/>
  <c r="G1054" i="28"/>
  <c r="G721" i="28"/>
  <c r="G973" i="28"/>
  <c r="G1153" i="28"/>
  <c r="G1130" i="28"/>
  <c r="G1040" i="28"/>
  <c r="G697" i="28"/>
  <c r="G1175" i="28"/>
  <c r="G755" i="28"/>
  <c r="G1174" i="28"/>
  <c r="G995" i="28"/>
  <c r="G757" i="28"/>
  <c r="G741" i="28"/>
  <c r="G702" i="28"/>
  <c r="G703" i="28"/>
  <c r="G743" i="28"/>
  <c r="G1168" i="28"/>
  <c r="G707" i="28"/>
  <c r="G759" i="28"/>
  <c r="G765" i="28"/>
  <c r="G1162" i="28"/>
  <c r="G769" i="28"/>
  <c r="G1506" i="28"/>
  <c r="G1499" i="28"/>
  <c r="G1496" i="28"/>
  <c r="G1003" i="28"/>
  <c r="G777" i="28"/>
  <c r="G1485" i="28"/>
  <c r="G1479" i="28"/>
  <c r="G1478" i="28"/>
  <c r="G1477" i="28"/>
  <c r="G1473" i="28"/>
  <c r="G1469" i="28"/>
  <c r="G786" i="28"/>
  <c r="G1467" i="28"/>
  <c r="G788" i="28"/>
  <c r="G1464" i="28"/>
  <c r="G791" i="28"/>
  <c r="G1461" i="28"/>
  <c r="G793" i="28"/>
  <c r="G1460" i="28"/>
  <c r="G1036" i="28"/>
  <c r="G1452" i="28"/>
  <c r="G1006" i="28"/>
  <c r="G1446" i="28"/>
  <c r="G802" i="28"/>
  <c r="G1445" i="28"/>
  <c r="G1437" i="28"/>
  <c r="G807" i="28"/>
  <c r="G1431" i="28"/>
  <c r="G810" i="28"/>
  <c r="G1430" i="28"/>
  <c r="G1007" i="28"/>
  <c r="G814" i="28"/>
  <c r="G1420" i="28"/>
  <c r="G1417" i="28"/>
  <c r="G1416" i="28"/>
  <c r="G1413" i="28"/>
  <c r="G820" i="28"/>
  <c r="G821" i="28"/>
  <c r="G1402" i="28"/>
  <c r="G1394" i="28"/>
  <c r="G1389" i="28"/>
  <c r="G830" i="28"/>
  <c r="G836" i="28"/>
  <c r="G1385" i="28"/>
  <c r="G1010" i="28"/>
  <c r="G1384" i="28"/>
  <c r="G1380" i="28"/>
  <c r="G842" i="28"/>
  <c r="G1379" i="28"/>
  <c r="G1377" i="28"/>
  <c r="G1375" i="28"/>
  <c r="G1110" i="28"/>
  <c r="G1372" i="28"/>
  <c r="G1369" i="28"/>
  <c r="G1367" i="28"/>
  <c r="G1359" i="28"/>
  <c r="G855" i="28"/>
  <c r="G1353" i="28"/>
  <c r="G859" i="28"/>
  <c r="G1348" i="28"/>
  <c r="G863" i="28"/>
  <c r="G866" i="28"/>
  <c r="G1346" i="28"/>
  <c r="G1342" i="28"/>
  <c r="G1339" i="28"/>
  <c r="G1102" i="28"/>
  <c r="G876" i="28"/>
  <c r="G1322" i="28"/>
  <c r="G1315" i="28"/>
  <c r="G1313" i="28"/>
  <c r="G1018" i="28"/>
  <c r="G887" i="28"/>
  <c r="G1305" i="28"/>
  <c r="G890" i="28"/>
  <c r="G1301" i="28"/>
  <c r="G892" i="28"/>
  <c r="G1298" i="28"/>
  <c r="G897" i="28"/>
  <c r="G1293" i="28"/>
  <c r="G1086" i="28"/>
  <c r="G1285" i="28"/>
  <c r="G1278" i="28"/>
  <c r="G1271" i="28"/>
  <c r="G904" i="28"/>
  <c r="G1269" i="28"/>
  <c r="G1265" i="28"/>
  <c r="G1042" i="28"/>
  <c r="G911" i="28"/>
  <c r="G1085" i="28"/>
  <c r="G1261" i="28"/>
  <c r="G1073" i="28"/>
  <c r="G1072" i="28"/>
  <c r="G1257" i="28"/>
  <c r="G1066" i="28"/>
  <c r="G1043" i="28"/>
  <c r="G1256" i="28"/>
  <c r="G924" i="28"/>
  <c r="G1254" i="28"/>
  <c r="G1250" i="28"/>
  <c r="G929" i="28"/>
  <c r="G1248" i="28"/>
  <c r="G1243" i="28"/>
  <c r="G935" i="28"/>
  <c r="G1238" i="28"/>
  <c r="G1236" i="28"/>
  <c r="G938" i="28"/>
  <c r="G1234" i="28"/>
  <c r="G1225" i="28"/>
  <c r="G942" i="28"/>
  <c r="G1219" i="28"/>
  <c r="G945" i="28"/>
  <c r="G1029" i="28"/>
  <c r="G1060" i="28"/>
  <c r="G1212" i="28"/>
  <c r="G1208" i="28"/>
  <c r="G1201" i="28"/>
  <c r="G959" i="28"/>
  <c r="G1195" i="28"/>
  <c r="G962" i="28"/>
  <c r="G1192" i="28"/>
  <c r="G966" i="28"/>
  <c r="G1183" i="28"/>
  <c r="G1178" i="28"/>
  <c r="G1106" i="28"/>
  <c r="G766" i="28"/>
  <c r="G694" i="28"/>
  <c r="G1104" i="28"/>
  <c r="G869" i="28"/>
  <c r="G1434" i="28"/>
  <c r="G1432" i="28"/>
  <c r="G1336" i="28"/>
  <c r="G1330" i="28"/>
  <c r="G1327" i="28"/>
  <c r="G768" i="28"/>
  <c r="G700" i="28"/>
  <c r="G877" i="28"/>
  <c r="G1323" i="28"/>
  <c r="G809" i="28"/>
  <c r="G1319" i="28"/>
  <c r="G976" i="28"/>
  <c r="G1098" i="28"/>
  <c r="G1502" i="28"/>
  <c r="G884" i="28"/>
  <c r="G1429" i="28"/>
  <c r="G1311" i="28"/>
  <c r="G1172" i="28"/>
  <c r="G1307" i="28"/>
  <c r="G1171" i="28"/>
  <c r="G1425" i="28"/>
  <c r="G1053" i="28"/>
  <c r="G1488" i="28"/>
  <c r="G1094" i="28"/>
  <c r="G1300" i="28"/>
  <c r="G1486" i="28"/>
  <c r="G1295" i="28"/>
  <c r="G1167" i="28"/>
  <c r="G1039" i="28"/>
  <c r="G1483" i="28"/>
  <c r="G822" i="28"/>
  <c r="G1284" i="28"/>
  <c r="G1406" i="28"/>
  <c r="G1157" i="28"/>
  <c r="G825" i="28"/>
  <c r="G1270" i="28"/>
  <c r="G906" i="28"/>
  <c r="G1397" i="28"/>
  <c r="G1395" i="28"/>
  <c r="G989" i="28"/>
  <c r="G1262" i="28"/>
  <c r="G1155" i="28"/>
  <c r="G1475" i="28"/>
  <c r="G913" i="28"/>
  <c r="G831" i="28"/>
  <c r="G1117" i="28"/>
  <c r="G1260" i="28"/>
  <c r="G1388" i="28"/>
  <c r="G918" i="28"/>
  <c r="G1259" i="28"/>
  <c r="G1115" i="28"/>
  <c r="G835" i="28"/>
  <c r="G722" i="28"/>
  <c r="G1150" i="28"/>
  <c r="G726" i="28"/>
  <c r="G994" i="28"/>
  <c r="G728" i="28"/>
  <c r="G1249" i="28"/>
  <c r="G1062" i="28"/>
  <c r="G1011" i="28"/>
  <c r="G729" i="28"/>
  <c r="G696" i="28"/>
  <c r="G1241" i="28"/>
  <c r="G1051" i="28"/>
  <c r="G1061" i="28"/>
  <c r="G1125" i="28"/>
  <c r="G1378" i="28"/>
  <c r="G1149" i="28"/>
  <c r="G1148" i="28"/>
  <c r="G1142" i="28"/>
  <c r="G1231" i="28"/>
  <c r="G1374" i="28"/>
  <c r="G1139" i="28"/>
  <c r="G1223" i="28"/>
  <c r="G1370" i="28"/>
  <c r="G1138" i="28"/>
  <c r="G1215" i="28"/>
  <c r="G947" i="28"/>
  <c r="G1214" i="28"/>
  <c r="G1454" i="28"/>
  <c r="G797" i="28"/>
  <c r="G753" i="28"/>
  <c r="G952" i="28"/>
  <c r="G1355" i="28"/>
  <c r="G1206" i="28"/>
  <c r="G1205" i="28"/>
  <c r="G1202" i="28"/>
  <c r="G957" i="28"/>
  <c r="G763" i="28"/>
  <c r="G858" i="28"/>
  <c r="G1450" i="28"/>
  <c r="G961" i="28"/>
  <c r="G1349" i="28"/>
  <c r="G963" i="28"/>
  <c r="G1159" i="28"/>
  <c r="G1188" i="28"/>
  <c r="G862" i="28"/>
  <c r="G691" i="28"/>
  <c r="G1347" i="28"/>
  <c r="G1177" i="28"/>
  <c r="G1317" i="28"/>
  <c r="G692" i="28"/>
  <c r="G1328" i="28"/>
  <c r="G1331" i="28"/>
  <c r="G698" i="28"/>
  <c r="G1332" i="28"/>
  <c r="G1334" i="28"/>
  <c r="G1352" i="28"/>
  <c r="G1360" i="28"/>
  <c r="G1362" i="28"/>
  <c r="G1364" i="28"/>
  <c r="G1376" i="28"/>
  <c r="G710" i="28"/>
  <c r="G1391" i="28"/>
  <c r="G712" i="28"/>
  <c r="G1409" i="28"/>
  <c r="G1411" i="28"/>
  <c r="G1438" i="28"/>
  <c r="G1451" i="28"/>
  <c r="G1453" i="28"/>
  <c r="G1459" i="28"/>
  <c r="G1470" i="28"/>
  <c r="G1476" i="28"/>
  <c r="G1481" i="28"/>
  <c r="G1489" i="28"/>
  <c r="G1500" i="28"/>
  <c r="G731" i="28"/>
  <c r="G1503" i="28"/>
  <c r="G745" i="28"/>
  <c r="G746" i="28"/>
  <c r="G752" i="28"/>
  <c r="G761" i="28"/>
  <c r="G764" i="28"/>
  <c r="G774" i="28"/>
  <c r="G790" i="28"/>
  <c r="G795" i="28"/>
  <c r="G799" i="28"/>
  <c r="G813" i="28"/>
  <c r="G832" i="28"/>
  <c r="G834" i="28"/>
  <c r="G838" i="28"/>
  <c r="G841" i="28"/>
  <c r="G843" i="28"/>
  <c r="G848" i="28"/>
  <c r="G865" i="28"/>
  <c r="G868" i="28"/>
  <c r="G875" i="28"/>
  <c r="G882" i="28"/>
  <c r="G885" i="28"/>
  <c r="G893" i="28"/>
  <c r="G899" i="28"/>
  <c r="G909" i="28"/>
  <c r="G912" i="28"/>
  <c r="G915" i="28"/>
  <c r="G917" i="28"/>
  <c r="G921" i="28"/>
  <c r="G928" i="28"/>
  <c r="G933" i="28"/>
  <c r="G934" i="28"/>
  <c r="G949" i="28"/>
  <c r="G950" i="28"/>
  <c r="G972" i="28"/>
  <c r="G980" i="28"/>
  <c r="G987" i="28"/>
  <c r="G993" i="28"/>
  <c r="G1002" i="28"/>
  <c r="G1005" i="28"/>
  <c r="G1021" i="28"/>
  <c r="G1027" i="28"/>
  <c r="G1033" i="28"/>
  <c r="G1034" i="28"/>
  <c r="G1035" i="28"/>
  <c r="G1037" i="28"/>
  <c r="G922" i="28"/>
  <c r="G1064" i="28"/>
  <c r="G1069" i="28"/>
  <c r="G1074" i="28"/>
  <c r="G1076" i="28"/>
  <c r="G1112" i="28"/>
  <c r="G1079" i="28"/>
  <c r="G1088" i="28"/>
  <c r="G1100" i="28"/>
  <c r="G1114" i="28"/>
  <c r="G1116" i="28"/>
  <c r="G1123" i="28"/>
  <c r="G1133" i="28"/>
  <c r="G1134" i="28"/>
  <c r="G1146" i="28"/>
  <c r="G1147" i="28"/>
  <c r="G1154" i="28"/>
  <c r="G1158" i="28"/>
  <c r="G1160" i="28"/>
  <c r="G1165" i="28"/>
  <c r="G1181" i="28"/>
  <c r="G1182" i="28"/>
  <c r="G1189" i="28"/>
  <c r="G1191" i="28"/>
  <c r="G1194" i="28"/>
  <c r="G1199" i="28"/>
  <c r="G1203" i="28"/>
  <c r="G1207" i="28"/>
  <c r="G1209" i="28"/>
  <c r="G1218" i="28"/>
  <c r="G1220" i="28"/>
  <c r="G1240" i="28"/>
  <c r="G1252" i="28"/>
  <c r="G1264" i="28"/>
  <c r="G1268" i="28"/>
  <c r="G1279" i="28"/>
  <c r="G1296" i="28"/>
  <c r="G1302" i="28"/>
  <c r="G1308" i="28"/>
  <c r="G1309" i="28"/>
  <c r="G689" i="28"/>
  <c r="G1358" i="28"/>
  <c r="G854" i="28"/>
  <c r="G1365" i="28"/>
  <c r="G1366" i="28"/>
  <c r="G1185" i="28"/>
  <c r="G914" i="28"/>
  <c r="G910" i="28"/>
  <c r="G851" i="28"/>
  <c r="G847" i="28"/>
  <c r="G1190" i="28"/>
  <c r="G839" i="28"/>
  <c r="G833" i="28"/>
  <c r="G1093" i="28"/>
  <c r="G1077" i="28"/>
  <c r="G719" i="28"/>
  <c r="G907" i="28"/>
  <c r="G1393" i="28"/>
  <c r="G724" i="28"/>
  <c r="G725" i="28"/>
  <c r="G727" i="28"/>
  <c r="G1197" i="28"/>
  <c r="G827" i="28"/>
  <c r="G1068" i="28"/>
  <c r="G1272" i="28"/>
  <c r="G1273" i="28"/>
  <c r="G1109" i="28"/>
  <c r="G1013" i="28"/>
  <c r="G826" i="28"/>
  <c r="G1045" i="28"/>
  <c r="G1398" i="28"/>
  <c r="G823" i="28"/>
  <c r="G1019" i="28"/>
  <c r="G1032" i="28"/>
  <c r="G1418" i="28"/>
  <c r="G953" i="28"/>
  <c r="G1422" i="28"/>
  <c r="G1210" i="28"/>
  <c r="G1211" i="28"/>
  <c r="G1280" i="28"/>
  <c r="G1031" i="28"/>
  <c r="G1124" i="28"/>
  <c r="G1424" i="28"/>
  <c r="G1126" i="28"/>
  <c r="G1427" i="28"/>
  <c r="G1128" i="28"/>
  <c r="G1428" i="28"/>
  <c r="G808" i="28"/>
  <c r="G1441" i="28"/>
  <c r="G801" i="28"/>
  <c r="G944" i="28"/>
  <c r="G1449" i="28"/>
  <c r="G1456" i="28"/>
  <c r="G1136" i="28"/>
  <c r="G1457" i="28"/>
  <c r="G1193" i="28"/>
  <c r="G1099" i="28"/>
  <c r="G1291" i="28"/>
  <c r="G1462" i="28"/>
  <c r="G787" i="28"/>
  <c r="G1227" i="28"/>
  <c r="G1038" i="28"/>
  <c r="G1493" i="28"/>
  <c r="G1049" i="28"/>
  <c r="G1495" i="28"/>
  <c r="G773" i="28"/>
  <c r="G996" i="28"/>
  <c r="G1233" i="28"/>
  <c r="G771" i="28"/>
  <c r="G1235" i="28"/>
  <c r="G767" i="28"/>
  <c r="G1237" i="28"/>
  <c r="G990" i="28"/>
  <c r="G754" i="28"/>
  <c r="G1239" i="28"/>
  <c r="G748" i="28"/>
  <c r="G985" i="28"/>
  <c r="G747" i="28"/>
  <c r="G735" i="28"/>
  <c r="G734" i="28"/>
  <c r="G1244" i="28"/>
  <c r="G1245" i="28"/>
  <c r="G784" i="28"/>
  <c r="G1310" i="28"/>
  <c r="G1321" i="28"/>
  <c r="G1324" i="28"/>
  <c r="G1084" i="28"/>
  <c r="G1170" i="28"/>
  <c r="G978" i="28"/>
  <c r="G873" i="28"/>
  <c r="G1087" i="28"/>
  <c r="G975" i="28"/>
  <c r="G871" i="28"/>
  <c r="G1176" i="28"/>
  <c r="G1341" i="28"/>
  <c r="G1343" i="28"/>
  <c r="G1179" i="28"/>
  <c r="G867" i="28"/>
  <c r="G1140" i="28"/>
  <c r="G695" i="28"/>
  <c r="G699" i="28"/>
  <c r="G874" i="28"/>
  <c r="G964" i="28"/>
  <c r="G1281" i="28"/>
  <c r="G1282" i="28"/>
  <c r="G1283" i="28"/>
  <c r="G1392" i="28"/>
  <c r="G1198" i="28"/>
  <c r="G1325" i="28"/>
  <c r="G958" i="28"/>
  <c r="G1407" i="28"/>
  <c r="G856" i="28"/>
  <c r="G955" i="28"/>
  <c r="G737" i="28"/>
  <c r="G1351" i="28"/>
  <c r="G1505" i="28"/>
  <c r="G951" i="28"/>
  <c r="G1494" i="28"/>
  <c r="G829" i="28"/>
  <c r="G946" i="28"/>
  <c r="G1216" i="28"/>
  <c r="G1320" i="28"/>
  <c r="G1491" i="28"/>
  <c r="G1490" i="28"/>
  <c r="G1008" i="28"/>
  <c r="G1118" i="28"/>
  <c r="G1289" i="28"/>
  <c r="G1120" i="28"/>
  <c r="G1082" i="28"/>
  <c r="G1122" i="28"/>
  <c r="G1103" i="28"/>
  <c r="G775" i="28"/>
  <c r="G1487" i="28"/>
  <c r="G1016" i="28"/>
  <c r="G1101" i="28"/>
  <c r="G1472" i="28"/>
  <c r="G1316" i="28"/>
  <c r="G940" i="28"/>
  <c r="G1135" i="28"/>
  <c r="G1466" i="28"/>
  <c r="G999" i="28"/>
  <c r="G789" i="28"/>
  <c r="G937" i="28"/>
  <c r="G794" i="28"/>
  <c r="G1386" i="28"/>
  <c r="G1144" i="28"/>
  <c r="G881" i="28"/>
  <c r="G1090" i="28"/>
  <c r="G931" i="28"/>
  <c r="G1246" i="28"/>
  <c r="G870" i="28"/>
  <c r="G798" i="28"/>
  <c r="G1152" i="28"/>
  <c r="G927" i="28"/>
  <c r="G1448" i="28"/>
  <c r="G1361" i="28"/>
  <c r="G1304" i="28"/>
  <c r="G1081" i="28"/>
  <c r="G883" i="28"/>
  <c r="G1444" i="28"/>
  <c r="G1443" i="28"/>
  <c r="G778" i="28"/>
  <c r="G1435" i="28"/>
  <c r="G919" i="28"/>
  <c r="G1433" i="28"/>
  <c r="G981" i="28"/>
  <c r="G811" i="28"/>
  <c r="G1169" i="28"/>
  <c r="G896" i="28"/>
  <c r="G1022" i="28"/>
  <c r="G852" i="28"/>
  <c r="G969" i="28"/>
  <c r="G1405" i="28"/>
  <c r="G1368" i="28"/>
  <c r="G1299" i="28"/>
  <c r="G1044" i="28"/>
  <c r="G1399" i="28"/>
  <c r="G1396" i="28"/>
  <c r="G1276" i="28"/>
  <c r="G1187" i="28"/>
  <c r="G1277" i="28"/>
  <c r="G1089" i="28"/>
  <c r="G857" i="28"/>
  <c r="G960" i="28"/>
  <c r="G705" i="28"/>
  <c r="G1354" i="28"/>
  <c r="G1200" i="28"/>
  <c r="G733" i="28"/>
  <c r="G711" i="28"/>
  <c r="G948" i="28"/>
  <c r="G1217" i="28"/>
  <c r="G716" i="28"/>
  <c r="G717" i="28"/>
  <c r="G1221" i="28"/>
  <c r="G723" i="28"/>
  <c r="G730" i="28"/>
  <c r="G1222" i="28"/>
  <c r="G1041" i="28"/>
  <c r="G1242" i="28"/>
  <c r="G1108" i="28"/>
  <c r="G1253" i="28"/>
  <c r="G1047" i="28"/>
  <c r="G1266" i="28"/>
  <c r="G905" i="28"/>
  <c r="G903" i="28"/>
  <c r="G902" i="28"/>
  <c r="G1288" i="28"/>
  <c r="G898" i="28"/>
  <c r="G1127" i="28"/>
  <c r="G894" i="28"/>
  <c r="G1001" i="28"/>
  <c r="G1442" i="28"/>
  <c r="G1357" i="28"/>
  <c r="G1055" i="28"/>
  <c r="G1318" i="28"/>
  <c r="G1363" i="28"/>
  <c r="G693" i="28"/>
  <c r="G1141" i="28"/>
  <c r="G998" i="28"/>
  <c r="G1092" i="28"/>
  <c r="G1145" i="28"/>
  <c r="G845" i="28"/>
  <c r="G840" i="28"/>
  <c r="G997" i="28"/>
  <c r="G992" i="28"/>
  <c r="G1383" i="28"/>
  <c r="G837" i="28"/>
  <c r="G824" i="28"/>
  <c r="G1156" i="28"/>
  <c r="G1404" i="28"/>
  <c r="G1408" i="28"/>
  <c r="G1415" i="28"/>
  <c r="G1421" i="28"/>
  <c r="G1333" i="28"/>
  <c r="G1312" i="28"/>
  <c r="G815" i="28"/>
  <c r="G1335" i="28"/>
  <c r="G1096" i="28"/>
  <c r="G979" i="28"/>
  <c r="G1439" i="28"/>
  <c r="G1447" i="28"/>
  <c r="G974" i="28"/>
  <c r="G1097" i="28"/>
  <c r="G1180" i="28"/>
  <c r="G1314" i="28"/>
  <c r="G1463" i="28"/>
  <c r="G1471" i="28"/>
  <c r="G781" i="28"/>
  <c r="G1482" i="28"/>
  <c r="G1501" i="28"/>
  <c r="G1025" i="28"/>
  <c r="G756" i="28"/>
  <c r="G1143" i="28"/>
  <c r="G943" i="28"/>
  <c r="G706" i="28"/>
  <c r="G941" i="28"/>
  <c r="G709" i="28"/>
  <c r="G1329" i="28"/>
  <c r="G1048" i="28"/>
  <c r="G1381" i="28"/>
  <c r="G888" i="28"/>
  <c r="G1480" i="28"/>
  <c r="G1423" i="28"/>
  <c r="G1400" i="28"/>
  <c r="G782" i="28"/>
  <c r="G1113" i="28"/>
  <c r="G1091" i="28"/>
  <c r="G1263" i="28"/>
  <c r="G1228" i="28"/>
  <c r="G1371" i="28"/>
  <c r="G1230" i="28"/>
  <c r="G1465" i="28"/>
  <c r="G1131" i="28"/>
  <c r="G1132" i="28"/>
  <c r="G806" i="28"/>
  <c r="G908" i="28"/>
  <c r="G939" i="28"/>
  <c r="G1440" i="28"/>
  <c r="G1344" i="28"/>
  <c r="G932" i="28"/>
  <c r="G930" i="28"/>
  <c r="G1373" i="28"/>
  <c r="G1340" i="28"/>
  <c r="G739" i="28"/>
  <c r="G740" i="28"/>
  <c r="G984" i="28"/>
  <c r="G1083" i="28"/>
  <c r="G878" i="28"/>
  <c r="G1164" i="28"/>
  <c r="G750" i="28"/>
  <c r="G1166" i="28"/>
  <c r="G805" i="28"/>
  <c r="G1080" i="28"/>
  <c r="G758" i="28"/>
  <c r="G923" i="28"/>
  <c r="G1071" i="28"/>
  <c r="G1015" i="28"/>
  <c r="G1186" i="28"/>
  <c r="G920" i="28"/>
  <c r="G1337" i="28"/>
  <c r="G772" i="28"/>
  <c r="G1338" i="28"/>
  <c r="G1196" i="28"/>
  <c r="G1297" i="28"/>
  <c r="G1387" i="28"/>
  <c r="G860" i="28"/>
  <c r="G1287" i="28"/>
  <c r="G1213" i="28"/>
  <c r="G900" i="28"/>
  <c r="G704" i="28"/>
  <c r="G1492" i="28"/>
  <c r="G864" i="28"/>
  <c r="G715" i="28"/>
  <c r="G1498" i="28"/>
  <c r="G1105" i="28"/>
  <c r="G770" i="28"/>
  <c r="G1107" i="28"/>
  <c r="G1050" i="28"/>
  <c r="G1012" i="28"/>
  <c r="G1052" i="28"/>
  <c r="G738" i="28"/>
  <c r="G1119" i="28"/>
  <c r="G1121" i="28"/>
  <c r="G954" i="28"/>
  <c r="G1129" i="28"/>
  <c r="G1056" i="28"/>
  <c r="G1137" i="28"/>
  <c r="G1000" i="28"/>
  <c r="G1057" i="28"/>
  <c r="G736" i="28"/>
  <c r="G1151" i="28"/>
  <c r="G1204" i="28"/>
  <c r="G1059" i="28"/>
  <c r="G988" i="28"/>
  <c r="G977" i="28"/>
  <c r="G1063" i="28"/>
  <c r="G965" i="28"/>
  <c r="G1065" i="28"/>
  <c r="G1067" i="28"/>
  <c r="G956" i="28"/>
  <c r="G1274" i="28"/>
  <c r="G1403" i="28"/>
  <c r="G1267" i="28"/>
  <c r="G1095" i="28"/>
  <c r="G853" i="28"/>
  <c r="G817" i="28"/>
  <c r="G816" i="28"/>
  <c r="G1294" i="28"/>
  <c r="G812" i="28"/>
  <c r="G891" i="28"/>
  <c r="G916" i="28"/>
  <c r="G1258" i="28"/>
  <c r="G849" i="28"/>
  <c r="G1255" i="28"/>
  <c r="G925" i="28"/>
  <c r="G926" i="28"/>
  <c r="G800" i="28"/>
  <c r="G889" i="28"/>
  <c r="G1017" i="28"/>
  <c r="G846" i="28"/>
  <c r="G1247" i="28"/>
  <c r="G1458" i="28"/>
  <c r="G936" i="28"/>
  <c r="G1468" i="28"/>
  <c r="G1251" i="28"/>
  <c r="G1474" i="28"/>
  <c r="G780" i="28"/>
  <c r="G779" i="28"/>
  <c r="G776" i="28"/>
  <c r="G1224" i="28"/>
  <c r="G1023" i="28"/>
  <c r="G1024" i="28"/>
  <c r="G879" i="28"/>
  <c r="G895" i="28"/>
  <c r="G720" i="28"/>
  <c r="G796" i="28"/>
  <c r="G1014" i="28"/>
  <c r="G1111" i="28"/>
  <c r="G742" i="28"/>
  <c r="G1419" i="28"/>
  <c r="G861" i="28"/>
  <c r="G1455" i="28"/>
  <c r="G1290" i="28"/>
  <c r="G1070" i="28"/>
  <c r="G968" i="28"/>
  <c r="G804" i="28"/>
  <c r="G785" i="28"/>
  <c r="G1173" i="28"/>
  <c r="G844" i="28"/>
  <c r="G803" i="28"/>
  <c r="G1026" i="28"/>
  <c r="G850" i="28"/>
  <c r="G783" i="28"/>
  <c r="G1163" i="28"/>
  <c r="G982" i="28"/>
  <c r="G1306" i="28"/>
  <c r="G744" i="28"/>
  <c r="G1030" i="28"/>
  <c r="G1226" i="28"/>
  <c r="G1275" i="28"/>
  <c r="G872" i="28"/>
  <c r="G1484" i="28"/>
  <c r="G828" i="28"/>
  <c r="G1412" i="28"/>
  <c r="G1326" i="28"/>
  <c r="G1414" i="28"/>
  <c r="G1078" i="28"/>
  <c r="G713" i="28"/>
  <c r="G732" i="28"/>
  <c r="G1009" i="28"/>
  <c r="G1004" i="28"/>
  <c r="G1058" i="28"/>
  <c r="G1286" i="28"/>
  <c r="G1232" i="28"/>
  <c r="G1345" i="28"/>
  <c r="G886" i="28"/>
  <c r="G1229" i="28"/>
  <c r="G991" i="28"/>
  <c r="G880" i="28"/>
  <c r="G1401" i="28"/>
  <c r="G818" i="28"/>
  <c r="G1075" i="28"/>
  <c r="G1426" i="28"/>
  <c r="G901" i="28"/>
  <c r="G1390" i="28"/>
  <c r="G762" i="28"/>
  <c r="G760" i="28"/>
  <c r="G1497" i="28"/>
  <c r="G1020" i="28"/>
  <c r="G701" i="28"/>
  <c r="G751" i="28"/>
  <c r="G1184" i="28"/>
  <c r="G749" i="28"/>
  <c r="G1382" i="28"/>
  <c r="G1350" i="28"/>
  <c r="G1436" i="28"/>
  <c r="G708" i="28"/>
  <c r="G1028" i="28"/>
  <c r="G1504" i="28"/>
  <c r="G792" i="28"/>
  <c r="G967" i="28"/>
  <c r="G819" i="28"/>
  <c r="G1410" i="28"/>
  <c r="G1356" i="28"/>
  <c r="G1292" i="28"/>
  <c r="G1303" i="28"/>
  <c r="G8" i="30"/>
  <c r="G38" i="30"/>
  <c r="G9" i="30"/>
  <c r="G39" i="30"/>
  <c r="G10" i="30"/>
  <c r="G40" i="30"/>
  <c r="G26" i="30"/>
  <c r="G41" i="30"/>
  <c r="G27" i="30"/>
  <c r="G42" i="30"/>
  <c r="G13" i="30"/>
  <c r="G28" i="30"/>
  <c r="G43" i="30"/>
  <c r="G14" i="30"/>
  <c r="G29" i="30"/>
  <c r="G44" i="30"/>
  <c r="G15" i="30"/>
  <c r="G30" i="30"/>
  <c r="G45" i="30"/>
  <c r="G16" i="30"/>
  <c r="G31" i="30"/>
  <c r="G46" i="30"/>
  <c r="G17" i="30"/>
  <c r="G32" i="30"/>
  <c r="G47" i="30"/>
  <c r="G18" i="30"/>
  <c r="G33" i="30"/>
  <c r="G48" i="30"/>
  <c r="G19" i="30"/>
  <c r="G34" i="30"/>
  <c r="G49" i="30"/>
  <c r="G20" i="30"/>
  <c r="G35" i="30"/>
  <c r="G50" i="30"/>
  <c r="G21" i="30"/>
  <c r="G36" i="30"/>
  <c r="G51" i="30"/>
  <c r="N7" i="30"/>
  <c r="M7" i="30"/>
  <c r="V7" i="30"/>
  <c r="K7" i="30"/>
  <c r="L7" i="30"/>
  <c r="P7" i="30"/>
  <c r="O7" i="30"/>
  <c r="U7" i="30"/>
  <c r="X7" i="30" s="1"/>
  <c r="O8" i="30"/>
  <c r="M8" i="30"/>
  <c r="L8" i="30"/>
  <c r="K8" i="30"/>
  <c r="N8" i="30"/>
  <c r="P8" i="30"/>
  <c r="V8" i="30"/>
  <c r="U8" i="30"/>
  <c r="L9" i="30"/>
  <c r="N9" i="30"/>
  <c r="P9" i="30"/>
  <c r="O9" i="30"/>
  <c r="V9" i="30"/>
  <c r="K9" i="30"/>
  <c r="M9" i="30"/>
  <c r="U9" i="30"/>
  <c r="L10" i="30"/>
  <c r="P10" i="30"/>
  <c r="N10" i="30"/>
  <c r="V10" i="30"/>
  <c r="O10" i="30"/>
  <c r="M10" i="30"/>
  <c r="K10" i="30"/>
  <c r="U10" i="30"/>
  <c r="N11" i="30"/>
  <c r="K11" i="30"/>
  <c r="V11" i="30"/>
  <c r="O11" i="30"/>
  <c r="M11" i="30"/>
  <c r="L11" i="30"/>
  <c r="P11" i="30"/>
  <c r="U11" i="30"/>
  <c r="X11" i="30" s="1"/>
  <c r="O12" i="30"/>
  <c r="V12" i="30"/>
  <c r="P12" i="30"/>
  <c r="N12" i="30"/>
  <c r="L12" i="30"/>
  <c r="K12" i="30"/>
  <c r="M12" i="30"/>
  <c r="U12" i="30"/>
  <c r="X12" i="30" s="1"/>
  <c r="O13" i="30"/>
  <c r="P13" i="30"/>
  <c r="V13" i="30"/>
  <c r="M13" i="30"/>
  <c r="N13" i="30"/>
  <c r="L13" i="30"/>
  <c r="K13" i="30"/>
  <c r="U13" i="30"/>
  <c r="L14" i="30"/>
  <c r="P14" i="30"/>
  <c r="V14" i="30"/>
  <c r="M14" i="30"/>
  <c r="K14" i="30"/>
  <c r="O14" i="30"/>
  <c r="N14" i="30"/>
  <c r="U14" i="30"/>
  <c r="O15" i="30"/>
  <c r="V15" i="30"/>
  <c r="L15" i="30"/>
  <c r="K15" i="30"/>
  <c r="N15" i="30"/>
  <c r="M15" i="30"/>
  <c r="P15" i="30"/>
  <c r="U15" i="30"/>
  <c r="O16" i="30"/>
  <c r="M16" i="30"/>
  <c r="L16" i="30"/>
  <c r="K16" i="30"/>
  <c r="N16" i="30"/>
  <c r="P16" i="30"/>
  <c r="V16" i="30"/>
  <c r="U16" i="30"/>
  <c r="L17" i="30"/>
  <c r="O17" i="30"/>
  <c r="M17" i="30"/>
  <c r="K17" i="30"/>
  <c r="P17" i="30"/>
  <c r="V17" i="30"/>
  <c r="N17" i="30"/>
  <c r="U17" i="30"/>
  <c r="N18" i="30"/>
  <c r="V18" i="30"/>
  <c r="M18" i="30"/>
  <c r="P18" i="30"/>
  <c r="O18" i="30"/>
  <c r="K18" i="30"/>
  <c r="L18" i="30"/>
  <c r="U18" i="30"/>
  <c r="P19" i="30"/>
  <c r="N19" i="30"/>
  <c r="O19" i="30"/>
  <c r="M19" i="30"/>
  <c r="L19" i="30"/>
  <c r="K19" i="30"/>
  <c r="V19" i="30"/>
  <c r="U19" i="30"/>
  <c r="O20" i="30"/>
  <c r="L20" i="30"/>
  <c r="N20" i="30"/>
  <c r="K20" i="30"/>
  <c r="M20" i="30"/>
  <c r="P20" i="30"/>
  <c r="V20" i="30"/>
  <c r="U20" i="30"/>
  <c r="V21" i="30"/>
  <c r="N21" i="30"/>
  <c r="O21" i="30"/>
  <c r="M21" i="30"/>
  <c r="L21" i="30"/>
  <c r="P21" i="30"/>
  <c r="K21" i="30"/>
  <c r="U21" i="30"/>
  <c r="V22" i="30"/>
  <c r="N22" i="30"/>
  <c r="M22" i="30"/>
  <c r="L22" i="30"/>
  <c r="O22" i="30"/>
  <c r="P22" i="30"/>
  <c r="K22" i="30"/>
  <c r="U22" i="30"/>
  <c r="M23" i="30"/>
  <c r="N23" i="30"/>
  <c r="L23" i="30"/>
  <c r="K23" i="30"/>
  <c r="O23" i="30"/>
  <c r="V23" i="30"/>
  <c r="P23" i="30"/>
  <c r="U23" i="30"/>
  <c r="N24" i="30"/>
  <c r="U24" i="30"/>
  <c r="P24" i="30"/>
  <c r="V24" i="30"/>
  <c r="O24" i="30"/>
  <c r="M24" i="30"/>
  <c r="K24" i="30"/>
  <c r="L24" i="30"/>
  <c r="V25" i="30"/>
  <c r="L25" i="30"/>
  <c r="N25" i="30"/>
  <c r="U25" i="30"/>
  <c r="K25" i="30"/>
  <c r="O25" i="30"/>
  <c r="M25" i="30"/>
  <c r="P25" i="30"/>
  <c r="O26" i="30"/>
  <c r="N26" i="30"/>
  <c r="L26" i="30"/>
  <c r="U26" i="30"/>
  <c r="K26" i="30"/>
  <c r="V26" i="30"/>
  <c r="M26" i="30"/>
  <c r="P26" i="30"/>
  <c r="U27" i="30"/>
  <c r="N27" i="30"/>
  <c r="L27" i="30"/>
  <c r="K27" i="30"/>
  <c r="V27" i="30"/>
  <c r="O27" i="30"/>
  <c r="M27" i="30"/>
  <c r="P27" i="30"/>
  <c r="V28" i="30"/>
  <c r="U28" i="30"/>
  <c r="N28" i="30"/>
  <c r="M28" i="30"/>
  <c r="K28" i="30"/>
  <c r="L28" i="30"/>
  <c r="O28" i="30"/>
  <c r="P28" i="30"/>
  <c r="O29" i="30"/>
  <c r="L29" i="30"/>
  <c r="P29" i="30"/>
  <c r="M29" i="30"/>
  <c r="N29" i="30"/>
  <c r="K29" i="30"/>
  <c r="V29" i="30"/>
  <c r="U29" i="30"/>
  <c r="K30" i="30"/>
  <c r="L30" i="30"/>
  <c r="O30" i="30"/>
  <c r="P30" i="30"/>
  <c r="M30" i="30"/>
  <c r="V30" i="30"/>
  <c r="N30" i="30"/>
  <c r="U30" i="30"/>
  <c r="K31" i="30"/>
  <c r="O31" i="30"/>
  <c r="P31" i="30"/>
  <c r="L31" i="30"/>
  <c r="M31" i="30"/>
  <c r="V31" i="30"/>
  <c r="N31" i="30"/>
  <c r="U31" i="30"/>
  <c r="P32" i="30"/>
  <c r="L32" i="30"/>
  <c r="O32" i="30"/>
  <c r="N32" i="30"/>
  <c r="V32" i="30"/>
  <c r="K32" i="30"/>
  <c r="M32" i="30"/>
  <c r="U32" i="30"/>
  <c r="K33" i="30"/>
  <c r="O33" i="30"/>
  <c r="L33" i="30"/>
  <c r="V33" i="30"/>
  <c r="P33" i="30"/>
  <c r="M33" i="30"/>
  <c r="N33" i="30"/>
  <c r="U33" i="30"/>
  <c r="K34" i="30"/>
  <c r="M34" i="30"/>
  <c r="U34" i="30"/>
  <c r="O34" i="30"/>
  <c r="P34" i="30"/>
  <c r="V34" i="30"/>
  <c r="N34" i="30"/>
  <c r="L34" i="30"/>
  <c r="K35" i="30"/>
  <c r="M35" i="30"/>
  <c r="V35" i="30"/>
  <c r="U35" i="30"/>
  <c r="O35" i="30"/>
  <c r="N35" i="30"/>
  <c r="P35" i="30"/>
  <c r="L35" i="30"/>
  <c r="O36" i="30"/>
  <c r="K36" i="30"/>
  <c r="M36" i="30"/>
  <c r="N36" i="30"/>
  <c r="U36" i="30"/>
  <c r="P36" i="30"/>
  <c r="V36" i="30"/>
  <c r="L36" i="30"/>
  <c r="O37" i="30"/>
  <c r="N37" i="30"/>
  <c r="M37" i="30"/>
  <c r="K37" i="30"/>
  <c r="U37" i="30"/>
  <c r="P37" i="30"/>
  <c r="L37" i="30"/>
  <c r="V37" i="30"/>
  <c r="O38" i="30"/>
  <c r="M38" i="30"/>
  <c r="N38" i="30"/>
  <c r="V38" i="30"/>
  <c r="P38" i="30"/>
  <c r="U38" i="30"/>
  <c r="K38" i="30"/>
  <c r="L38" i="30"/>
  <c r="O39" i="30"/>
  <c r="M39" i="30"/>
  <c r="U39" i="30"/>
  <c r="K39" i="30"/>
  <c r="N39" i="30"/>
  <c r="P39" i="30"/>
  <c r="L39" i="30"/>
  <c r="V39" i="30"/>
  <c r="O40" i="30"/>
  <c r="V40" i="30"/>
  <c r="M40" i="30"/>
  <c r="K40" i="30"/>
  <c r="N40" i="30"/>
  <c r="U40" i="30"/>
  <c r="P40" i="30"/>
  <c r="L40" i="30"/>
  <c r="O41" i="30"/>
  <c r="N41" i="30"/>
  <c r="U41" i="30"/>
  <c r="V41" i="30"/>
  <c r="L41" i="30"/>
  <c r="P41" i="30"/>
  <c r="K41" i="30"/>
  <c r="M41" i="30"/>
  <c r="M42" i="30"/>
  <c r="U42" i="30"/>
  <c r="O42" i="30"/>
  <c r="V42" i="30"/>
  <c r="L42" i="30"/>
  <c r="K42" i="30"/>
  <c r="N42" i="30"/>
  <c r="P42" i="30"/>
  <c r="N43" i="30"/>
  <c r="P43" i="30"/>
  <c r="V43" i="30"/>
  <c r="O43" i="30"/>
  <c r="L43" i="30"/>
  <c r="K43" i="30"/>
  <c r="U43" i="30"/>
  <c r="M43" i="30"/>
  <c r="K44" i="30"/>
  <c r="L44" i="30"/>
  <c r="U44" i="30"/>
  <c r="V44" i="30"/>
  <c r="M44" i="30"/>
  <c r="N44" i="30"/>
  <c r="P44" i="30"/>
  <c r="O44" i="30"/>
  <c r="M45" i="30"/>
  <c r="O45" i="30"/>
  <c r="K45" i="30"/>
  <c r="N45" i="30"/>
  <c r="U45" i="30"/>
  <c r="V45" i="30"/>
  <c r="P45" i="30"/>
  <c r="L45" i="30"/>
  <c r="U46" i="30"/>
  <c r="K46" i="30"/>
  <c r="M46" i="30"/>
  <c r="L46" i="30"/>
  <c r="N46" i="30"/>
  <c r="O46" i="30"/>
  <c r="P46" i="30"/>
  <c r="V46" i="30"/>
  <c r="K47" i="30"/>
  <c r="P47" i="30"/>
  <c r="M47" i="30"/>
  <c r="V47" i="30"/>
  <c r="U47" i="30"/>
  <c r="O47" i="30"/>
  <c r="N47" i="30"/>
  <c r="L47" i="30"/>
  <c r="M48" i="30"/>
  <c r="K48" i="30"/>
  <c r="O48" i="30"/>
  <c r="P48" i="30"/>
  <c r="N48" i="30"/>
  <c r="L48" i="30"/>
  <c r="V48" i="30"/>
  <c r="U48" i="30"/>
  <c r="K49" i="30"/>
  <c r="V49" i="30"/>
  <c r="P49" i="30"/>
  <c r="N49" i="30"/>
  <c r="U49" i="30"/>
  <c r="O49" i="30"/>
  <c r="M49" i="30"/>
  <c r="L49" i="30"/>
  <c r="O50" i="30"/>
  <c r="N50" i="30"/>
  <c r="L50" i="30"/>
  <c r="K50" i="30"/>
  <c r="P50" i="30"/>
  <c r="U50" i="30"/>
  <c r="V50" i="30"/>
  <c r="M50" i="30"/>
  <c r="L51" i="30"/>
  <c r="N51" i="30"/>
  <c r="P51" i="30"/>
  <c r="U51" i="30"/>
  <c r="K51" i="30"/>
  <c r="O51" i="30"/>
  <c r="M51" i="30"/>
  <c r="V51" i="30"/>
  <c r="L52" i="30"/>
  <c r="N52" i="30"/>
  <c r="O52" i="30"/>
  <c r="P52" i="30"/>
  <c r="V52" i="30"/>
  <c r="U52" i="30"/>
  <c r="X52" i="30" s="1"/>
  <c r="K52" i="30"/>
  <c r="M52" i="30"/>
  <c r="L53" i="30"/>
  <c r="U53" i="30"/>
  <c r="N53" i="30"/>
  <c r="O53" i="30"/>
  <c r="P53" i="30"/>
  <c r="V53" i="30"/>
  <c r="K53" i="30"/>
  <c r="M53" i="30"/>
  <c r="V54" i="30"/>
  <c r="N54" i="30"/>
  <c r="O54" i="30"/>
  <c r="L54" i="30"/>
  <c r="U54" i="30"/>
  <c r="X54" i="30" s="1"/>
  <c r="P54" i="30"/>
  <c r="K54" i="30"/>
  <c r="M54" i="30"/>
  <c r="K55" i="30"/>
  <c r="M55" i="30"/>
  <c r="P55" i="30"/>
  <c r="N55" i="30"/>
  <c r="O55" i="30"/>
  <c r="U55" i="30"/>
  <c r="V55" i="30"/>
  <c r="L55" i="30"/>
  <c r="Q55" i="30" s="1"/>
  <c r="P56" i="30"/>
  <c r="N56" i="30"/>
  <c r="M56" i="30"/>
  <c r="K56" i="30"/>
  <c r="U56" i="30"/>
  <c r="L56" i="30"/>
  <c r="O56" i="30"/>
  <c r="V56" i="30"/>
  <c r="N57" i="30"/>
  <c r="V57" i="30"/>
  <c r="K57" i="30"/>
  <c r="M57" i="30"/>
  <c r="L57" i="30"/>
  <c r="O57" i="30"/>
  <c r="P57" i="30"/>
  <c r="U57" i="30"/>
  <c r="X57" i="30" s="1"/>
  <c r="V58" i="30"/>
  <c r="L58" i="30"/>
  <c r="M58" i="30"/>
  <c r="K58" i="30"/>
  <c r="N58" i="30"/>
  <c r="U58" i="30"/>
  <c r="X58" i="30" s="1"/>
  <c r="P58" i="30"/>
  <c r="O58" i="30"/>
  <c r="V59" i="30"/>
  <c r="U59" i="30"/>
  <c r="K59" i="30"/>
  <c r="P59" i="30"/>
  <c r="N59" i="30"/>
  <c r="O59" i="30"/>
  <c r="L59" i="30"/>
  <c r="M59" i="30"/>
  <c r="O60" i="30"/>
  <c r="U60" i="30"/>
  <c r="V60" i="30"/>
  <c r="L60" i="30"/>
  <c r="N60" i="30"/>
  <c r="P60" i="30"/>
  <c r="M60" i="30"/>
  <c r="K60" i="30"/>
  <c r="N61" i="30"/>
  <c r="P61" i="30"/>
  <c r="V61" i="30"/>
  <c r="K61" i="30"/>
  <c r="L61" i="30"/>
  <c r="M61" i="30"/>
  <c r="U61" i="30"/>
  <c r="X61" i="30" s="1"/>
  <c r="O61" i="30"/>
  <c r="U62" i="30"/>
  <c r="V62" i="30"/>
  <c r="K62" i="30"/>
  <c r="M62" i="30"/>
  <c r="L62" i="30"/>
  <c r="N62" i="30"/>
  <c r="P62" i="30"/>
  <c r="O62" i="30"/>
  <c r="L63" i="30"/>
  <c r="N63" i="30"/>
  <c r="V63" i="30"/>
  <c r="U63" i="30"/>
  <c r="X63" i="30" s="1"/>
  <c r="M63" i="30"/>
  <c r="P63" i="30"/>
  <c r="O63" i="30"/>
  <c r="K63" i="30"/>
  <c r="P64" i="30"/>
  <c r="O64" i="30"/>
  <c r="M64" i="30"/>
  <c r="L64" i="30"/>
  <c r="N64" i="30"/>
  <c r="U64" i="30"/>
  <c r="K64" i="30"/>
  <c r="V64" i="30"/>
  <c r="N65" i="30"/>
  <c r="P65" i="30"/>
  <c r="K65" i="30"/>
  <c r="M65" i="30"/>
  <c r="V65" i="30"/>
  <c r="U65" i="30"/>
  <c r="X65" i="30" s="1"/>
  <c r="O65" i="30"/>
  <c r="L65" i="30"/>
  <c r="L66" i="30"/>
  <c r="U66" i="30"/>
  <c r="P66" i="30"/>
  <c r="K66" i="30"/>
  <c r="M66" i="30"/>
  <c r="O66" i="30"/>
  <c r="N66" i="30"/>
  <c r="V66" i="30"/>
  <c r="K67" i="30"/>
  <c r="V67" i="30"/>
  <c r="M67" i="30"/>
  <c r="L67" i="30"/>
  <c r="P67" i="30"/>
  <c r="U67" i="30"/>
  <c r="X67" i="30" s="1"/>
  <c r="O67" i="30"/>
  <c r="N67" i="30"/>
  <c r="K68" i="30"/>
  <c r="N68" i="30"/>
  <c r="U68" i="30"/>
  <c r="P68" i="30"/>
  <c r="L68" i="30"/>
  <c r="O68" i="30"/>
  <c r="M68" i="30"/>
  <c r="V68" i="30"/>
  <c r="K69" i="30"/>
  <c r="P69" i="30"/>
  <c r="N69" i="30"/>
  <c r="M69" i="30"/>
  <c r="U69" i="30"/>
  <c r="V69" i="30"/>
  <c r="L69" i="30"/>
  <c r="O69" i="30"/>
  <c r="N70" i="30"/>
  <c r="U70" i="30"/>
  <c r="M70" i="30"/>
  <c r="O70" i="30"/>
  <c r="V70" i="30"/>
  <c r="L70" i="30"/>
  <c r="P70" i="30"/>
  <c r="K70" i="30"/>
  <c r="U71" i="30"/>
  <c r="P71" i="30"/>
  <c r="O71" i="30"/>
  <c r="N71" i="30"/>
  <c r="K71" i="30"/>
  <c r="V71" i="30"/>
  <c r="M71" i="30"/>
  <c r="L71" i="30"/>
  <c r="Q71" i="30" s="1"/>
  <c r="L72" i="30"/>
  <c r="U72" i="30"/>
  <c r="K72" i="30"/>
  <c r="M72" i="30"/>
  <c r="V72" i="30"/>
  <c r="P72" i="30"/>
  <c r="N72" i="30"/>
  <c r="O72" i="30"/>
  <c r="U73" i="30"/>
  <c r="V73" i="30"/>
  <c r="P73" i="30"/>
  <c r="K73" i="30"/>
  <c r="L73" i="30"/>
  <c r="O73" i="30"/>
  <c r="N73" i="30"/>
  <c r="M73" i="30"/>
  <c r="L74" i="30"/>
  <c r="V74" i="30"/>
  <c r="N74" i="30"/>
  <c r="O74" i="30"/>
  <c r="U74" i="30"/>
  <c r="P74" i="30"/>
  <c r="K74" i="30"/>
  <c r="M74" i="30"/>
  <c r="L75" i="30"/>
  <c r="V75" i="30"/>
  <c r="U75" i="30"/>
  <c r="N75" i="30"/>
  <c r="O75" i="30"/>
  <c r="K75" i="30"/>
  <c r="P75" i="30"/>
  <c r="M75" i="30"/>
  <c r="L76" i="30"/>
  <c r="V76" i="30"/>
  <c r="U76" i="30"/>
  <c r="X76" i="30" s="1"/>
  <c r="K76" i="30"/>
  <c r="P76" i="30"/>
  <c r="N76" i="30"/>
  <c r="O76" i="30"/>
  <c r="M76" i="30"/>
  <c r="L77" i="30"/>
  <c r="U77" i="30"/>
  <c r="K77" i="30"/>
  <c r="O77" i="30"/>
  <c r="N77" i="30"/>
  <c r="V77" i="30"/>
  <c r="P77" i="30"/>
  <c r="M77" i="30"/>
  <c r="K78" i="30"/>
  <c r="V78" i="30"/>
  <c r="L78" i="30"/>
  <c r="M78" i="30"/>
  <c r="N78" i="30"/>
  <c r="O78" i="30"/>
  <c r="P78" i="30"/>
  <c r="U78" i="30"/>
  <c r="X78" i="30" s="1"/>
  <c r="U79" i="30"/>
  <c r="O79" i="30"/>
  <c r="V79" i="30"/>
  <c r="P79" i="30"/>
  <c r="N79" i="30"/>
  <c r="M79" i="30"/>
  <c r="L79" i="30"/>
  <c r="K79" i="30"/>
  <c r="U80" i="30"/>
  <c r="O80" i="30"/>
  <c r="P80" i="30"/>
  <c r="N80" i="30"/>
  <c r="V80" i="30"/>
  <c r="M80" i="30"/>
  <c r="L80" i="30"/>
  <c r="K80" i="30"/>
  <c r="U81" i="30"/>
  <c r="K81" i="30"/>
  <c r="P81" i="30"/>
  <c r="O81" i="30"/>
  <c r="N81" i="30"/>
  <c r="M81" i="30"/>
  <c r="L81" i="30"/>
  <c r="Q81" i="30" s="1"/>
  <c r="V81" i="30"/>
  <c r="K82" i="30"/>
  <c r="U82" i="30"/>
  <c r="P82" i="30"/>
  <c r="N82" i="30"/>
  <c r="O82" i="30"/>
  <c r="M82" i="30"/>
  <c r="L82" i="30"/>
  <c r="Q82" i="30" s="1"/>
  <c r="V82" i="30"/>
  <c r="U83" i="30"/>
  <c r="P83" i="30"/>
  <c r="K83" i="30"/>
  <c r="O83" i="30"/>
  <c r="V83" i="30"/>
  <c r="N83" i="30"/>
  <c r="M83" i="30"/>
  <c r="L83" i="30"/>
  <c r="Q83" i="30" s="1"/>
  <c r="U84" i="30"/>
  <c r="K84" i="30"/>
  <c r="O84" i="30"/>
  <c r="M84" i="30"/>
  <c r="V84" i="30"/>
  <c r="P84" i="30"/>
  <c r="L84" i="30"/>
  <c r="N84" i="30"/>
  <c r="P85" i="30"/>
  <c r="N85" i="30"/>
  <c r="K85" i="30"/>
  <c r="V85" i="30"/>
  <c r="O85" i="30"/>
  <c r="L85" i="30"/>
  <c r="M85" i="30"/>
  <c r="U85" i="30"/>
  <c r="X85" i="30" s="1"/>
  <c r="U86" i="30"/>
  <c r="M86" i="30"/>
  <c r="L86" i="30"/>
  <c r="K86" i="30"/>
  <c r="N86" i="30"/>
  <c r="V86" i="30"/>
  <c r="O86" i="30"/>
  <c r="P86" i="30"/>
  <c r="L87" i="30"/>
  <c r="P87" i="30"/>
  <c r="U87" i="30"/>
  <c r="K87" i="30"/>
  <c r="N87" i="30"/>
  <c r="V87" i="30"/>
  <c r="M87" i="30"/>
  <c r="O87" i="30"/>
  <c r="M88" i="30"/>
  <c r="L88" i="30"/>
  <c r="N88" i="30"/>
  <c r="V88" i="30"/>
  <c r="O88" i="30"/>
  <c r="K88" i="30"/>
  <c r="P88" i="30"/>
  <c r="U88" i="30"/>
  <c r="U89" i="30"/>
  <c r="O89" i="30"/>
  <c r="L89" i="30"/>
  <c r="P89" i="30"/>
  <c r="V89" i="30"/>
  <c r="N89" i="30"/>
  <c r="K89" i="30"/>
  <c r="M89" i="30"/>
  <c r="U90" i="30"/>
  <c r="L90" i="30"/>
  <c r="M90" i="30"/>
  <c r="P90" i="30"/>
  <c r="N90" i="30"/>
  <c r="V90" i="30"/>
  <c r="O90" i="30"/>
  <c r="K90" i="30"/>
  <c r="K91" i="30"/>
  <c r="U91" i="30"/>
  <c r="L91" i="30"/>
  <c r="M91" i="30"/>
  <c r="P91" i="30"/>
  <c r="O91" i="30"/>
  <c r="N91" i="30"/>
  <c r="V91" i="30"/>
  <c r="P92" i="30"/>
  <c r="O92" i="30"/>
  <c r="K92" i="30"/>
  <c r="L92" i="30"/>
  <c r="M92" i="30"/>
  <c r="U92" i="30"/>
  <c r="V92" i="30"/>
  <c r="N92" i="30"/>
  <c r="O93" i="30"/>
  <c r="N93" i="30"/>
  <c r="V93" i="30"/>
  <c r="L93" i="30"/>
  <c r="U93" i="30"/>
  <c r="X93" i="30" s="1"/>
  <c r="P93" i="30"/>
  <c r="M93" i="30"/>
  <c r="K93" i="30"/>
  <c r="N94" i="30"/>
  <c r="V94" i="30"/>
  <c r="U94" i="30"/>
  <c r="X94" i="30" s="1"/>
  <c r="L94" i="30"/>
  <c r="P94" i="30"/>
  <c r="M94" i="30"/>
  <c r="O94" i="30"/>
  <c r="K94" i="30"/>
  <c r="L95" i="30"/>
  <c r="V95" i="30"/>
  <c r="N95" i="30"/>
  <c r="O95" i="30"/>
  <c r="U95" i="30"/>
  <c r="X95" i="30" s="1"/>
  <c r="K95" i="30"/>
  <c r="M95" i="30"/>
  <c r="P95" i="30"/>
  <c r="V96" i="30"/>
  <c r="L96" i="30"/>
  <c r="O96" i="30"/>
  <c r="M96" i="30"/>
  <c r="P96" i="30"/>
  <c r="U96" i="30"/>
  <c r="X96" i="30" s="1"/>
  <c r="K96" i="30"/>
  <c r="N96" i="30"/>
  <c r="V97" i="30"/>
  <c r="K97" i="30"/>
  <c r="L97" i="30"/>
  <c r="U97" i="30"/>
  <c r="M97" i="30"/>
  <c r="P97" i="30"/>
  <c r="O97" i="30"/>
  <c r="N97" i="30"/>
  <c r="N98" i="30"/>
  <c r="O98" i="30"/>
  <c r="L98" i="30"/>
  <c r="U98" i="30"/>
  <c r="P98" i="30"/>
  <c r="K98" i="30"/>
  <c r="M98" i="30"/>
  <c r="V98" i="30"/>
  <c r="L99" i="30"/>
  <c r="V99" i="30"/>
  <c r="K99" i="30"/>
  <c r="P99" i="30"/>
  <c r="U99" i="30"/>
  <c r="X99" i="30" s="1"/>
  <c r="M99" i="30"/>
  <c r="O99" i="30"/>
  <c r="N99" i="30"/>
  <c r="L100" i="30"/>
  <c r="N100" i="30"/>
  <c r="O100" i="30"/>
  <c r="U100" i="30"/>
  <c r="P100" i="30"/>
  <c r="V100" i="30"/>
  <c r="M100" i="30"/>
  <c r="K100" i="30"/>
  <c r="N101" i="30"/>
  <c r="P101" i="30"/>
  <c r="V101" i="30"/>
  <c r="M101" i="30"/>
  <c r="K101" i="30"/>
  <c r="U101" i="30"/>
  <c r="L101" i="30"/>
  <c r="O101" i="30"/>
  <c r="U102" i="30"/>
  <c r="O102" i="30"/>
  <c r="V102" i="30"/>
  <c r="L102" i="30"/>
  <c r="M102" i="30"/>
  <c r="P102" i="30"/>
  <c r="K102" i="30"/>
  <c r="N102" i="30"/>
  <c r="U103" i="30"/>
  <c r="P103" i="30"/>
  <c r="K103" i="30"/>
  <c r="N103" i="30"/>
  <c r="V103" i="30"/>
  <c r="W103" i="30"/>
  <c r="L103" i="30"/>
  <c r="M103" i="30"/>
  <c r="O103" i="30"/>
  <c r="K104" i="30"/>
  <c r="O104" i="30"/>
  <c r="U104" i="30"/>
  <c r="L104" i="30"/>
  <c r="N104" i="30"/>
  <c r="P104" i="30"/>
  <c r="W104" i="30"/>
  <c r="V104" i="30"/>
  <c r="M104" i="30"/>
  <c r="U105" i="30"/>
  <c r="V105" i="30"/>
  <c r="W105" i="30"/>
  <c r="K105" i="30"/>
  <c r="P105" i="30"/>
  <c r="L105" i="30"/>
  <c r="O105" i="30"/>
  <c r="N105" i="30"/>
  <c r="M105" i="30"/>
  <c r="W106" i="30"/>
  <c r="M106" i="30"/>
  <c r="K106" i="30"/>
  <c r="P106" i="30"/>
  <c r="N106" i="30"/>
  <c r="U106" i="30"/>
  <c r="O106" i="30"/>
  <c r="L106" i="30"/>
  <c r="V106" i="30"/>
  <c r="W107" i="30"/>
  <c r="K107" i="30"/>
  <c r="P107" i="30"/>
  <c r="M107" i="30"/>
  <c r="U107" i="30"/>
  <c r="N107" i="30"/>
  <c r="O107" i="30"/>
  <c r="V107" i="30"/>
  <c r="L107" i="30"/>
  <c r="Q107" i="30" s="1"/>
  <c r="W108" i="30"/>
  <c r="P108" i="30"/>
  <c r="V108" i="30"/>
  <c r="K108" i="30"/>
  <c r="L108" i="30"/>
  <c r="M108" i="30"/>
  <c r="O108" i="30"/>
  <c r="U108" i="30"/>
  <c r="X108" i="30" s="1"/>
  <c r="N108" i="30"/>
  <c r="W109" i="30"/>
  <c r="V109" i="30"/>
  <c r="K109" i="30"/>
  <c r="P109" i="30"/>
  <c r="U109" i="30"/>
  <c r="L109" i="30"/>
  <c r="N109" i="30"/>
  <c r="O109" i="30"/>
  <c r="M109" i="30"/>
  <c r="W110" i="30"/>
  <c r="N110" i="30"/>
  <c r="U110" i="30"/>
  <c r="L110" i="30"/>
  <c r="P110" i="30"/>
  <c r="M110" i="30"/>
  <c r="V110" i="30"/>
  <c r="O110" i="30"/>
  <c r="K110" i="30"/>
  <c r="W111" i="30"/>
  <c r="N111" i="30"/>
  <c r="K111" i="30"/>
  <c r="U111" i="30"/>
  <c r="M111" i="30"/>
  <c r="O111" i="30"/>
  <c r="P111" i="30"/>
  <c r="V111" i="30"/>
  <c r="L111" i="30"/>
  <c r="Q111" i="30" s="1"/>
  <c r="W112" i="30"/>
  <c r="K112" i="30"/>
  <c r="O112" i="30"/>
  <c r="L112" i="30"/>
  <c r="P112" i="30"/>
  <c r="U112" i="30"/>
  <c r="V112" i="30"/>
  <c r="M112" i="30"/>
  <c r="N112" i="30"/>
  <c r="W113" i="30"/>
  <c r="V113" i="30"/>
  <c r="M113" i="30"/>
  <c r="U113" i="30"/>
  <c r="X113" i="30" s="1"/>
  <c r="P113" i="30"/>
  <c r="K113" i="30"/>
  <c r="L113" i="30"/>
  <c r="O113" i="30"/>
  <c r="N113" i="30"/>
  <c r="W114" i="30"/>
  <c r="U114" i="30"/>
  <c r="M114" i="30"/>
  <c r="V114" i="30"/>
  <c r="N114" i="30"/>
  <c r="K114" i="30"/>
  <c r="P114" i="30"/>
  <c r="O114" i="30"/>
  <c r="L114" i="30"/>
  <c r="Q114" i="30" s="1"/>
  <c r="W115" i="30"/>
  <c r="L115" i="30"/>
  <c r="P115" i="30"/>
  <c r="U115" i="30"/>
  <c r="M115" i="30"/>
  <c r="K115" i="30"/>
  <c r="N115" i="30"/>
  <c r="O115" i="30"/>
  <c r="V115" i="30"/>
  <c r="W116" i="30"/>
  <c r="L116" i="30"/>
  <c r="V116" i="30"/>
  <c r="M116" i="30"/>
  <c r="U116" i="30"/>
  <c r="X116" i="30" s="1"/>
  <c r="K116" i="30"/>
  <c r="N116" i="30"/>
  <c r="O116" i="30"/>
  <c r="P116" i="30"/>
  <c r="W117" i="30"/>
  <c r="O117" i="30"/>
  <c r="V117" i="30"/>
  <c r="M117" i="30"/>
  <c r="P117" i="30"/>
  <c r="L117" i="30"/>
  <c r="K117" i="30"/>
  <c r="N117" i="30"/>
  <c r="U117" i="30"/>
  <c r="X117" i="30" s="1"/>
  <c r="W118" i="30"/>
  <c r="V118" i="30"/>
  <c r="M118" i="30"/>
  <c r="P118" i="30"/>
  <c r="O118" i="30"/>
  <c r="U118" i="30"/>
  <c r="K118" i="30"/>
  <c r="N118" i="30"/>
  <c r="L118" i="30"/>
  <c r="Q118" i="30" s="1"/>
  <c r="M119" i="30"/>
  <c r="V119" i="30"/>
  <c r="N119" i="30"/>
  <c r="P119" i="30"/>
  <c r="O119" i="30"/>
  <c r="L119" i="30"/>
  <c r="W119" i="30"/>
  <c r="K119" i="30"/>
  <c r="U119" i="30"/>
  <c r="X119" i="30" s="1"/>
  <c r="U120" i="30"/>
  <c r="P120" i="30"/>
  <c r="O120" i="30"/>
  <c r="W120" i="30"/>
  <c r="M120" i="30"/>
  <c r="V120" i="30"/>
  <c r="N120" i="30"/>
  <c r="L120" i="30"/>
  <c r="Q120" i="30" s="1"/>
  <c r="K120" i="30"/>
  <c r="O121" i="30"/>
  <c r="N121" i="30"/>
  <c r="U121" i="30"/>
  <c r="P121" i="30"/>
  <c r="L121" i="30"/>
  <c r="W121" i="30"/>
  <c r="M121" i="30"/>
  <c r="V121" i="30"/>
  <c r="K121" i="30"/>
  <c r="M122" i="30"/>
  <c r="O122" i="30"/>
  <c r="N122" i="30"/>
  <c r="L122" i="30"/>
  <c r="W122" i="30"/>
  <c r="V122" i="30"/>
  <c r="U122" i="30"/>
  <c r="X122" i="30" s="1"/>
  <c r="K122" i="30"/>
  <c r="P122" i="30"/>
  <c r="P123" i="30"/>
  <c r="N123" i="30"/>
  <c r="O123" i="30"/>
  <c r="M123" i="30"/>
  <c r="U123" i="30"/>
  <c r="W123" i="30"/>
  <c r="V123" i="30"/>
  <c r="L123" i="30"/>
  <c r="Q123" i="30" s="1"/>
  <c r="K123" i="30"/>
  <c r="M124" i="30"/>
  <c r="U124" i="30"/>
  <c r="N124" i="30"/>
  <c r="O124" i="30"/>
  <c r="V124" i="30"/>
  <c r="L124" i="30"/>
  <c r="W124" i="30"/>
  <c r="P124" i="30"/>
  <c r="K124" i="30"/>
  <c r="M125" i="30"/>
  <c r="U125" i="30"/>
  <c r="N125" i="30"/>
  <c r="W125" i="30"/>
  <c r="O125" i="30"/>
  <c r="V125" i="30"/>
  <c r="P125" i="30"/>
  <c r="L125" i="30"/>
  <c r="K125" i="30"/>
  <c r="O126" i="30"/>
  <c r="L126" i="30"/>
  <c r="U126" i="30"/>
  <c r="N126" i="30"/>
  <c r="P126" i="30"/>
  <c r="W126" i="30"/>
  <c r="V126" i="30"/>
  <c r="M126" i="30"/>
  <c r="K126" i="30"/>
  <c r="U127" i="30"/>
  <c r="O127" i="30"/>
  <c r="N127" i="30"/>
  <c r="W127" i="30"/>
  <c r="V127" i="30"/>
  <c r="P127" i="30"/>
  <c r="K127" i="30"/>
  <c r="L127" i="30"/>
  <c r="M127" i="30"/>
  <c r="W128" i="30"/>
  <c r="V128" i="30"/>
  <c r="P128" i="30"/>
  <c r="N128" i="30"/>
  <c r="K128" i="30"/>
  <c r="U128" i="30"/>
  <c r="X128" i="30" s="1"/>
  <c r="L128" i="30"/>
  <c r="O128" i="30"/>
  <c r="M128" i="30"/>
  <c r="K129" i="30"/>
  <c r="W129" i="30"/>
  <c r="L129" i="30"/>
  <c r="V129" i="30"/>
  <c r="P129" i="30"/>
  <c r="U129" i="30"/>
  <c r="N129" i="30"/>
  <c r="O129" i="30"/>
  <c r="M129" i="30"/>
  <c r="O130" i="30"/>
  <c r="P130" i="30"/>
  <c r="W130" i="30"/>
  <c r="L130" i="30"/>
  <c r="K130" i="30"/>
  <c r="V130" i="30"/>
  <c r="N130" i="30"/>
  <c r="U130" i="30"/>
  <c r="X130" i="30" s="1"/>
  <c r="M130" i="30"/>
  <c r="K131" i="30"/>
  <c r="N131" i="30"/>
  <c r="O131" i="30"/>
  <c r="P131" i="30"/>
  <c r="V131" i="30"/>
  <c r="U131" i="30"/>
  <c r="W131" i="30"/>
  <c r="L131" i="30"/>
  <c r="M131" i="30"/>
  <c r="N132" i="30"/>
  <c r="K132" i="30"/>
  <c r="M132" i="30"/>
  <c r="L132" i="30"/>
  <c r="O132" i="30"/>
  <c r="W132" i="30"/>
  <c r="V132" i="30"/>
  <c r="U132" i="30"/>
  <c r="P132" i="30"/>
  <c r="N133" i="30"/>
  <c r="K133" i="30"/>
  <c r="U133" i="30"/>
  <c r="O133" i="30"/>
  <c r="V133" i="30"/>
  <c r="M133" i="30"/>
  <c r="P133" i="30"/>
  <c r="L133" i="30"/>
  <c r="W133" i="30"/>
  <c r="V134" i="30"/>
  <c r="K134" i="30"/>
  <c r="L134" i="30"/>
  <c r="O134" i="30"/>
  <c r="U134" i="30"/>
  <c r="W134" i="30"/>
  <c r="M134" i="30"/>
  <c r="P134" i="30"/>
  <c r="N134" i="30"/>
  <c r="W135" i="30"/>
  <c r="L135" i="30"/>
  <c r="N135" i="30"/>
  <c r="P135" i="30"/>
  <c r="O135" i="30"/>
  <c r="M135" i="30"/>
  <c r="V135" i="30"/>
  <c r="K135" i="30"/>
  <c r="U135" i="30"/>
  <c r="N136" i="30"/>
  <c r="P136" i="30"/>
  <c r="L136" i="30"/>
  <c r="O136" i="30"/>
  <c r="M136" i="30"/>
  <c r="W136" i="30"/>
  <c r="U136" i="30"/>
  <c r="V136" i="30"/>
  <c r="K136" i="30"/>
  <c r="P137" i="30"/>
  <c r="N137" i="30"/>
  <c r="O137" i="30"/>
  <c r="W137" i="30"/>
  <c r="V137" i="30"/>
  <c r="L137" i="30"/>
  <c r="M137" i="30"/>
  <c r="K137" i="30"/>
  <c r="U137" i="30"/>
  <c r="X137" i="30" s="1"/>
  <c r="O138" i="30"/>
  <c r="U138" i="30"/>
  <c r="V138" i="30"/>
  <c r="M138" i="30"/>
  <c r="W138" i="30"/>
  <c r="L138" i="30"/>
  <c r="K138" i="30"/>
  <c r="N138" i="30"/>
  <c r="P138" i="30"/>
  <c r="W139" i="30"/>
  <c r="O139" i="30"/>
  <c r="P139" i="30"/>
  <c r="U139" i="30"/>
  <c r="K139" i="30"/>
  <c r="N139" i="30"/>
  <c r="L139" i="30"/>
  <c r="V139" i="30"/>
  <c r="M139" i="30"/>
  <c r="V140" i="30"/>
  <c r="M140" i="30"/>
  <c r="O140" i="30"/>
  <c r="K140" i="30"/>
  <c r="W140" i="30"/>
  <c r="N140" i="30"/>
  <c r="P140" i="30"/>
  <c r="U140" i="30"/>
  <c r="X140" i="30" s="1"/>
  <c r="L140" i="30"/>
  <c r="V141" i="30"/>
  <c r="M141" i="30"/>
  <c r="O141" i="30"/>
  <c r="K141" i="30"/>
  <c r="W141" i="30"/>
  <c r="N141" i="30"/>
  <c r="P141" i="30"/>
  <c r="L141" i="30"/>
  <c r="U141" i="30"/>
  <c r="P142" i="30"/>
  <c r="V142" i="30"/>
  <c r="O142" i="30"/>
  <c r="N142" i="30"/>
  <c r="K142" i="30"/>
  <c r="W142" i="30"/>
  <c r="M142" i="30"/>
  <c r="L142" i="30"/>
  <c r="U142" i="30"/>
  <c r="X142" i="30" s="1"/>
  <c r="O143" i="30"/>
  <c r="P143" i="30"/>
  <c r="K143" i="30"/>
  <c r="L143" i="30"/>
  <c r="V143" i="30"/>
  <c r="U143" i="30"/>
  <c r="N143" i="30"/>
  <c r="W143" i="30"/>
  <c r="M143" i="30"/>
  <c r="O144" i="30"/>
  <c r="P144" i="30"/>
  <c r="K144" i="30"/>
  <c r="M144" i="30"/>
  <c r="N144" i="30"/>
  <c r="L144" i="30"/>
  <c r="W144" i="30"/>
  <c r="V144" i="30"/>
  <c r="U144" i="30"/>
  <c r="X144" i="30" s="1"/>
  <c r="O145" i="30"/>
  <c r="M145" i="30"/>
  <c r="L145" i="30"/>
  <c r="P145" i="30"/>
  <c r="K145" i="30"/>
  <c r="U145" i="30"/>
  <c r="W145" i="30"/>
  <c r="N145" i="30"/>
  <c r="V145" i="30"/>
  <c r="O146" i="30"/>
  <c r="M146" i="30"/>
  <c r="K146" i="30"/>
  <c r="L146" i="30"/>
  <c r="W146" i="30"/>
  <c r="U146" i="30"/>
  <c r="P146" i="30"/>
  <c r="V146" i="30"/>
  <c r="N146" i="30"/>
  <c r="O147" i="30"/>
  <c r="N147" i="30"/>
  <c r="L147" i="30"/>
  <c r="K147" i="30"/>
  <c r="U147" i="30"/>
  <c r="M147" i="30"/>
  <c r="V147" i="30"/>
  <c r="P147" i="30"/>
  <c r="W147" i="30"/>
  <c r="V148" i="30"/>
  <c r="W148" i="30"/>
  <c r="P148" i="30"/>
  <c r="U148" i="30"/>
  <c r="N148" i="30"/>
  <c r="O148" i="30"/>
  <c r="L148" i="30"/>
  <c r="K148" i="30"/>
  <c r="M148" i="30"/>
  <c r="U149" i="30"/>
  <c r="V149" i="30"/>
  <c r="K149" i="30"/>
  <c r="L149" i="30"/>
  <c r="M149" i="30"/>
  <c r="W149" i="30"/>
  <c r="N149" i="30"/>
  <c r="O149" i="30"/>
  <c r="P149" i="30"/>
  <c r="M150" i="30"/>
  <c r="L150" i="30"/>
  <c r="W150" i="30"/>
  <c r="O150" i="30"/>
  <c r="U150" i="30"/>
  <c r="N150" i="30"/>
  <c r="V150" i="30"/>
  <c r="P150" i="30"/>
  <c r="K150" i="30"/>
  <c r="L151" i="30"/>
  <c r="O151" i="30"/>
  <c r="P151" i="30"/>
  <c r="N151" i="30"/>
  <c r="W151" i="30"/>
  <c r="M151" i="30"/>
  <c r="U151" i="30"/>
  <c r="K151" i="30"/>
  <c r="V151" i="30"/>
  <c r="W152" i="30"/>
  <c r="P152" i="30"/>
  <c r="V152" i="30"/>
  <c r="O152" i="30"/>
  <c r="N152" i="30"/>
  <c r="L152" i="30"/>
  <c r="M152" i="30"/>
  <c r="U152" i="30"/>
  <c r="X152" i="30" s="1"/>
  <c r="K152" i="30"/>
  <c r="N153" i="30"/>
  <c r="L153" i="30"/>
  <c r="P153" i="30"/>
  <c r="V153" i="30"/>
  <c r="U153" i="30"/>
  <c r="O153" i="30"/>
  <c r="K153" i="30"/>
  <c r="W153" i="30"/>
  <c r="M153" i="30"/>
  <c r="L154" i="30"/>
  <c r="N154" i="30"/>
  <c r="O154" i="30"/>
  <c r="K154" i="30"/>
  <c r="P154" i="30"/>
  <c r="U154" i="30"/>
  <c r="V154" i="30"/>
  <c r="M154" i="30"/>
  <c r="W154" i="30"/>
  <c r="O155" i="30"/>
  <c r="P155" i="30"/>
  <c r="N155" i="30"/>
  <c r="K155" i="30"/>
  <c r="V155" i="30"/>
  <c r="U155" i="30"/>
  <c r="W155" i="30"/>
  <c r="L155" i="30"/>
  <c r="M155" i="30"/>
  <c r="K156" i="30"/>
  <c r="P156" i="30"/>
  <c r="L156" i="30"/>
  <c r="M156" i="30"/>
  <c r="V156" i="30"/>
  <c r="N156" i="30"/>
  <c r="U156" i="30"/>
  <c r="O156" i="30"/>
  <c r="W156" i="30"/>
  <c r="U157" i="30"/>
  <c r="N157" i="30"/>
  <c r="K157" i="30"/>
  <c r="M157" i="30"/>
  <c r="P157" i="30"/>
  <c r="V157" i="30"/>
  <c r="W157" i="30"/>
  <c r="O157" i="30"/>
  <c r="L157" i="30"/>
  <c r="Q157" i="30" s="1"/>
  <c r="M158" i="30"/>
  <c r="N158" i="30"/>
  <c r="V158" i="30"/>
  <c r="U158" i="30"/>
  <c r="W158" i="30"/>
  <c r="O158" i="30"/>
  <c r="P158" i="30"/>
  <c r="L158" i="30"/>
  <c r="K158" i="30"/>
  <c r="P159" i="30"/>
  <c r="U159" i="30"/>
  <c r="K159" i="30"/>
  <c r="M159" i="30"/>
  <c r="W159" i="30"/>
  <c r="O159" i="30"/>
  <c r="V159" i="30"/>
  <c r="L159" i="30"/>
  <c r="N159" i="30"/>
  <c r="U160" i="30"/>
  <c r="O160" i="30"/>
  <c r="K160" i="30"/>
  <c r="M160" i="30"/>
  <c r="W160" i="30"/>
  <c r="N160" i="30"/>
  <c r="L160" i="30"/>
  <c r="P160" i="30"/>
  <c r="V160" i="30"/>
  <c r="O161" i="30"/>
  <c r="K161" i="30"/>
  <c r="U161" i="30"/>
  <c r="M161" i="30"/>
  <c r="N161" i="30"/>
  <c r="V161" i="30"/>
  <c r="W161" i="30"/>
  <c r="L161" i="30"/>
  <c r="P161" i="30"/>
  <c r="O162" i="30"/>
  <c r="L162" i="30"/>
  <c r="U162" i="30"/>
  <c r="P162" i="30"/>
  <c r="V162" i="30"/>
  <c r="W162" i="30"/>
  <c r="M162" i="30"/>
  <c r="N162" i="30"/>
  <c r="K162" i="30"/>
  <c r="O163" i="30"/>
  <c r="U163" i="30"/>
  <c r="W163" i="30"/>
  <c r="V163" i="30"/>
  <c r="P163" i="30"/>
  <c r="M163" i="30"/>
  <c r="K163" i="30"/>
  <c r="L163" i="30"/>
  <c r="N163" i="30"/>
  <c r="O164" i="30"/>
  <c r="U164" i="30"/>
  <c r="V164" i="30"/>
  <c r="W164" i="30"/>
  <c r="M164" i="30"/>
  <c r="P164" i="30"/>
  <c r="K164" i="30"/>
  <c r="L164" i="30"/>
  <c r="N164" i="30"/>
  <c r="V165" i="30"/>
  <c r="K165" i="30"/>
  <c r="W165" i="30"/>
  <c r="P165" i="30"/>
  <c r="M165" i="30"/>
  <c r="L165" i="30"/>
  <c r="O165" i="30"/>
  <c r="U165" i="30"/>
  <c r="X165" i="30" s="1"/>
  <c r="N165" i="30"/>
  <c r="P166" i="30"/>
  <c r="W166" i="30"/>
  <c r="M166" i="30"/>
  <c r="K166" i="30"/>
  <c r="U166" i="30"/>
  <c r="O166" i="30"/>
  <c r="L166" i="30"/>
  <c r="V166" i="30"/>
  <c r="N166" i="30"/>
  <c r="P167" i="30"/>
  <c r="L167" i="30"/>
  <c r="U167" i="30"/>
  <c r="V167" i="30"/>
  <c r="M167" i="30"/>
  <c r="K167" i="30"/>
  <c r="O167" i="30"/>
  <c r="W167" i="30"/>
  <c r="N167" i="30"/>
  <c r="P168" i="30"/>
  <c r="L168" i="30"/>
  <c r="U168" i="30"/>
  <c r="M168" i="30"/>
  <c r="K168" i="30"/>
  <c r="O168" i="30"/>
  <c r="W168" i="30"/>
  <c r="N168" i="30"/>
  <c r="V168" i="30"/>
  <c r="O169" i="30"/>
  <c r="V169" i="30"/>
  <c r="U169" i="30"/>
  <c r="K169" i="30"/>
  <c r="L169" i="30"/>
  <c r="W169" i="30"/>
  <c r="P169" i="30"/>
  <c r="M169" i="30"/>
  <c r="N169" i="30"/>
  <c r="O170" i="30"/>
  <c r="K170" i="30"/>
  <c r="N170" i="30"/>
  <c r="M170" i="30"/>
  <c r="L170" i="30"/>
  <c r="P170" i="30"/>
  <c r="V170" i="30"/>
  <c r="U170" i="30"/>
  <c r="W170" i="30"/>
  <c r="O171" i="30"/>
  <c r="V171" i="30"/>
  <c r="P171" i="30"/>
  <c r="U171" i="30"/>
  <c r="N171" i="30"/>
  <c r="M171" i="30"/>
  <c r="L171" i="30"/>
  <c r="W171" i="30"/>
  <c r="K171" i="30"/>
  <c r="O172" i="30"/>
  <c r="W172" i="30"/>
  <c r="M172" i="30"/>
  <c r="L172" i="30"/>
  <c r="U172" i="30"/>
  <c r="K172" i="30"/>
  <c r="N172" i="30"/>
  <c r="P172" i="30"/>
  <c r="V172" i="30"/>
  <c r="O173" i="30"/>
  <c r="W173" i="30"/>
  <c r="U173" i="30"/>
  <c r="N173" i="30"/>
  <c r="L173" i="30"/>
  <c r="K173" i="30"/>
  <c r="P173" i="30"/>
  <c r="V173" i="30"/>
  <c r="M173" i="30"/>
  <c r="U174" i="30"/>
  <c r="M174" i="30"/>
  <c r="P174" i="30"/>
  <c r="K174" i="30"/>
  <c r="W174" i="30"/>
  <c r="O174" i="30"/>
  <c r="V174" i="30"/>
  <c r="N174" i="30"/>
  <c r="L174" i="30"/>
  <c r="K175" i="30"/>
  <c r="U175" i="30"/>
  <c r="W175" i="30"/>
  <c r="P175" i="30"/>
  <c r="V175" i="30"/>
  <c r="L175" i="30"/>
  <c r="N175" i="30"/>
  <c r="M175" i="30"/>
  <c r="O175" i="30"/>
  <c r="K176" i="30"/>
  <c r="P176" i="30"/>
  <c r="N176" i="30"/>
  <c r="U176" i="30"/>
  <c r="W176" i="30"/>
  <c r="V176" i="30"/>
  <c r="L176" i="30"/>
  <c r="M176" i="30"/>
  <c r="O176" i="30"/>
  <c r="K177" i="30"/>
  <c r="U177" i="30"/>
  <c r="V177" i="30"/>
  <c r="P177" i="30"/>
  <c r="W177" i="30"/>
  <c r="L177" i="30"/>
  <c r="M177" i="30"/>
  <c r="O177" i="30"/>
  <c r="N177" i="30"/>
  <c r="O178" i="30"/>
  <c r="M178" i="30"/>
  <c r="L178" i="30"/>
  <c r="N178" i="30"/>
  <c r="V178" i="30"/>
  <c r="U178" i="30"/>
  <c r="K178" i="30"/>
  <c r="W178" i="30"/>
  <c r="P178" i="30"/>
  <c r="O179" i="30"/>
  <c r="V179" i="30"/>
  <c r="U179" i="30"/>
  <c r="W179" i="30"/>
  <c r="M179" i="30"/>
  <c r="N179" i="30"/>
  <c r="P179" i="30"/>
  <c r="L179" i="30"/>
  <c r="K179" i="30"/>
  <c r="O180" i="30"/>
  <c r="V180" i="30"/>
  <c r="W180" i="30"/>
  <c r="L180" i="30"/>
  <c r="U180" i="30"/>
  <c r="X180" i="30" s="1"/>
  <c r="M180" i="30"/>
  <c r="N180" i="30"/>
  <c r="P180" i="30"/>
  <c r="K180" i="30"/>
  <c r="O181" i="30"/>
  <c r="L181" i="30"/>
  <c r="W181" i="30"/>
  <c r="V181" i="30"/>
  <c r="U181" i="30"/>
  <c r="X181" i="30" s="1"/>
  <c r="K181" i="30"/>
  <c r="N181" i="30"/>
  <c r="M181" i="30"/>
  <c r="P181" i="30"/>
  <c r="O182" i="30"/>
  <c r="W182" i="30"/>
  <c r="K182" i="30"/>
  <c r="P182" i="30"/>
  <c r="L182" i="30"/>
  <c r="M182" i="30"/>
  <c r="N182" i="30"/>
  <c r="V182" i="30"/>
  <c r="U182" i="30"/>
  <c r="O183" i="30"/>
  <c r="L183" i="30"/>
  <c r="N183" i="30"/>
  <c r="K183" i="30"/>
  <c r="W183" i="30"/>
  <c r="M183" i="30"/>
  <c r="P183" i="30"/>
  <c r="V183" i="30"/>
  <c r="U183" i="30"/>
  <c r="O184" i="30"/>
  <c r="L184" i="30"/>
  <c r="K184" i="30"/>
  <c r="N184" i="30"/>
  <c r="M184" i="30"/>
  <c r="W184" i="30"/>
  <c r="V184" i="30"/>
  <c r="U184" i="30"/>
  <c r="P184" i="30"/>
  <c r="O185" i="30"/>
  <c r="K185" i="30"/>
  <c r="P185" i="30"/>
  <c r="M185" i="30"/>
  <c r="V185" i="30"/>
  <c r="U185" i="30"/>
  <c r="W185" i="30"/>
  <c r="N185" i="30"/>
  <c r="L185" i="30"/>
  <c r="Q185" i="30" s="1"/>
  <c r="O186" i="30"/>
  <c r="L186" i="30"/>
  <c r="N186" i="30"/>
  <c r="W186" i="30"/>
  <c r="P186" i="30"/>
  <c r="M186" i="30"/>
  <c r="U186" i="30"/>
  <c r="V186" i="30"/>
  <c r="K186" i="30"/>
  <c r="L15" i="42"/>
  <c r="M15" i="42" s="1"/>
  <c r="E34" i="41"/>
  <c r="E37" i="41"/>
  <c r="L7" i="29"/>
  <c r="M7" i="29" s="1"/>
  <c r="E35" i="41"/>
  <c r="E36" i="41"/>
  <c r="F36" i="41"/>
  <c r="F37" i="41"/>
  <c r="F35" i="41"/>
  <c r="F34" i="41"/>
  <c r="L18" i="29"/>
  <c r="M18" i="29" s="1"/>
  <c r="G37" i="41"/>
  <c r="L29" i="29"/>
  <c r="M29" i="29" s="1"/>
  <c r="G35" i="41"/>
  <c r="G36" i="41"/>
  <c r="G34" i="41"/>
  <c r="G42" i="41" s="1"/>
  <c r="H37" i="41"/>
  <c r="H35" i="41"/>
  <c r="L41" i="29"/>
  <c r="M41" i="29" s="1"/>
  <c r="H36" i="41"/>
  <c r="H34" i="41"/>
  <c r="I36" i="41"/>
  <c r="L52" i="29"/>
  <c r="M52" i="29" s="1"/>
  <c r="I34" i="41"/>
  <c r="I37" i="41"/>
  <c r="I35" i="41"/>
  <c r="J34" i="41"/>
  <c r="J35" i="41"/>
  <c r="J37" i="41"/>
  <c r="L62" i="29"/>
  <c r="M62" i="29" s="1"/>
  <c r="J36" i="41"/>
  <c r="K35" i="41"/>
  <c r="K34" i="41"/>
  <c r="L75" i="29"/>
  <c r="M75" i="29" s="1"/>
  <c r="K37" i="41"/>
  <c r="K36" i="41"/>
  <c r="L85" i="29"/>
  <c r="M85" i="29" s="1"/>
  <c r="L37" i="41"/>
  <c r="L35" i="41"/>
  <c r="L34" i="41"/>
  <c r="L36" i="41"/>
  <c r="M35" i="41"/>
  <c r="M36" i="41"/>
  <c r="M37" i="41"/>
  <c r="M34" i="41"/>
  <c r="M42" i="41" s="1"/>
  <c r="L96" i="29"/>
  <c r="M96" i="29" s="1"/>
  <c r="N35" i="41"/>
  <c r="N37" i="41"/>
  <c r="N36" i="41"/>
  <c r="N34" i="41"/>
  <c r="L107" i="29"/>
  <c r="M107" i="29" s="1"/>
  <c r="O36" i="41"/>
  <c r="L118" i="29"/>
  <c r="M118" i="29" s="1"/>
  <c r="O37" i="41"/>
  <c r="O34" i="41"/>
  <c r="O42" i="41" s="1"/>
  <c r="O35" i="41"/>
  <c r="P37" i="41"/>
  <c r="P35" i="41"/>
  <c r="P34" i="41"/>
  <c r="Q34" i="41" s="1" a="1"/>
  <c r="L128" i="29"/>
  <c r="M128" i="29" s="1"/>
  <c r="P36" i="41"/>
  <c r="Q46" i="41" a="1"/>
  <c r="E42" i="41"/>
  <c r="AA55" i="30"/>
  <c r="AA71" i="30"/>
  <c r="AA81" i="30"/>
  <c r="AA82" i="30"/>
  <c r="AA83" i="30"/>
  <c r="AA107" i="30"/>
  <c r="AA111" i="30"/>
  <c r="AA114" i="30"/>
  <c r="AA118" i="30"/>
  <c r="AA120" i="30"/>
  <c r="AA123" i="30"/>
  <c r="AA157" i="30"/>
  <c r="AA185" i="30"/>
  <c r="L6007" i="28"/>
  <c r="M6007" i="28" s="1"/>
  <c r="L6008" i="28"/>
  <c r="M6008" i="28" s="1"/>
  <c r="L6009" i="28"/>
  <c r="M6009" i="28" s="1"/>
  <c r="L6010" i="28"/>
  <c r="M6010" i="28" s="1"/>
  <c r="L6011" i="28"/>
  <c r="M6011" i="28" s="1"/>
  <c r="L6012" i="28"/>
  <c r="M6012" i="28" s="1"/>
  <c r="L6013" i="28"/>
  <c r="M6013" i="28" s="1"/>
  <c r="L6014" i="28"/>
  <c r="M6014" i="28" s="1"/>
  <c r="L6015" i="28"/>
  <c r="M6015" i="28" s="1"/>
  <c r="L6016" i="28"/>
  <c r="M6016" i="28" s="1"/>
  <c r="L6017" i="28"/>
  <c r="M6017" i="28" s="1"/>
  <c r="L6018" i="28"/>
  <c r="M6018" i="28" s="1"/>
  <c r="L6019" i="28"/>
  <c r="M6019" i="28" s="1"/>
  <c r="L6020" i="28"/>
  <c r="M6020" i="28" s="1"/>
  <c r="L6021" i="28"/>
  <c r="M6021" i="28" s="1"/>
  <c r="L6022" i="28"/>
  <c r="M6022" i="28" s="1"/>
  <c r="L6023" i="28"/>
  <c r="M6023" i="28" s="1"/>
  <c r="L6024" i="28"/>
  <c r="M6024" i="28" s="1"/>
  <c r="L6025" i="28"/>
  <c r="M6025" i="28" s="1"/>
  <c r="L6026" i="28"/>
  <c r="M6026" i="28" s="1"/>
  <c r="L6027" i="28"/>
  <c r="M6027" i="28" s="1"/>
  <c r="L6028" i="28"/>
  <c r="M6028" i="28" s="1"/>
  <c r="L6029" i="28"/>
  <c r="M6029" i="28" s="1"/>
  <c r="L6030" i="28"/>
  <c r="M6030" i="28" s="1"/>
  <c r="L6031" i="28"/>
  <c r="M6031" i="28" s="1"/>
  <c r="L6032" i="28"/>
  <c r="M6032" i="28" s="1"/>
  <c r="L6033" i="28"/>
  <c r="M6033" i="28" s="1"/>
  <c r="L6034" i="28"/>
  <c r="M6034" i="28" s="1"/>
  <c r="L6035" i="28"/>
  <c r="M6035" i="28" s="1"/>
  <c r="L6036" i="28"/>
  <c r="M6036" i="28" s="1"/>
  <c r="L6037" i="28"/>
  <c r="M6037" i="28" s="1"/>
  <c r="L6038" i="28"/>
  <c r="M6038" i="28" s="1"/>
  <c r="L6039" i="28"/>
  <c r="M6039" i="28" s="1"/>
  <c r="L6040" i="28"/>
  <c r="M6040" i="28" s="1"/>
  <c r="L6041" i="28"/>
  <c r="M6041" i="28" s="1"/>
  <c r="L6042" i="28"/>
  <c r="M6042" i="28" s="1"/>
  <c r="L6043" i="28"/>
  <c r="M6043" i="28" s="1"/>
  <c r="L6044" i="28"/>
  <c r="M6044" i="28" s="1"/>
  <c r="L6045" i="28"/>
  <c r="M6045" i="28" s="1"/>
  <c r="L6046" i="28"/>
  <c r="M6046" i="28" s="1"/>
  <c r="L6047" i="28"/>
  <c r="M6047" i="28" s="1"/>
  <c r="L6048" i="28"/>
  <c r="M6048" i="28" s="1"/>
  <c r="L6049" i="28"/>
  <c r="M6049" i="28" s="1"/>
  <c r="L6050" i="28"/>
  <c r="M6050" i="28" s="1"/>
  <c r="L6051" i="28"/>
  <c r="M6051" i="28" s="1"/>
  <c r="L6052" i="28"/>
  <c r="M6052" i="28" s="1"/>
  <c r="L6053" i="28"/>
  <c r="M6053" i="28" s="1"/>
  <c r="L6054" i="28"/>
  <c r="M6054" i="28" s="1"/>
  <c r="L6055" i="28"/>
  <c r="M6055" i="28" s="1"/>
  <c r="L6056" i="28"/>
  <c r="M6056" i="28" s="1"/>
  <c r="L6057" i="28"/>
  <c r="M6057" i="28" s="1"/>
  <c r="L6058" i="28"/>
  <c r="M6058" i="28" s="1"/>
  <c r="L6059" i="28"/>
  <c r="M6059" i="28" s="1"/>
  <c r="L6060" i="28"/>
  <c r="M6060" i="28" s="1"/>
  <c r="L6061" i="28"/>
  <c r="M6061" i="28" s="1"/>
  <c r="L6062" i="28"/>
  <c r="M6062" i="28" s="1"/>
  <c r="L6063" i="28"/>
  <c r="M6063" i="28" s="1"/>
  <c r="L6064" i="28"/>
  <c r="M6064" i="28" s="1"/>
  <c r="L6065" i="28"/>
  <c r="M6065" i="28" s="1"/>
  <c r="L6066" i="28"/>
  <c r="M6066" i="28" s="1"/>
  <c r="L6067" i="28"/>
  <c r="M6067" i="28" s="1"/>
  <c r="L6068" i="28"/>
  <c r="M6068" i="28" s="1"/>
  <c r="L6069" i="28"/>
  <c r="M6069" i="28" s="1"/>
  <c r="L6070" i="28"/>
  <c r="M6070" i="28" s="1"/>
  <c r="L6071" i="28"/>
  <c r="M6071" i="28" s="1"/>
  <c r="L6072" i="28"/>
  <c r="M6072" i="28" s="1"/>
  <c r="L6073" i="28"/>
  <c r="M6073" i="28" s="1"/>
  <c r="L6074" i="28"/>
  <c r="M6074" i="28" s="1"/>
  <c r="L6075" i="28"/>
  <c r="M6075" i="28" s="1"/>
  <c r="L6076" i="28"/>
  <c r="M6076" i="28" s="1"/>
  <c r="L6077" i="28"/>
  <c r="M6077" i="28" s="1"/>
  <c r="L6078" i="28"/>
  <c r="M6078" i="28" s="1"/>
  <c r="L6079" i="28"/>
  <c r="M6079" i="28" s="1"/>
  <c r="L6080" i="28"/>
  <c r="M6080" i="28" s="1"/>
  <c r="L6081" i="28"/>
  <c r="M6081" i="28" s="1"/>
  <c r="L6082" i="28"/>
  <c r="M6082" i="28" s="1"/>
  <c r="L6083" i="28"/>
  <c r="M6083" i="28" s="1"/>
  <c r="L6084" i="28"/>
  <c r="M6084" i="28" s="1"/>
  <c r="L6085" i="28"/>
  <c r="M6085" i="28" s="1"/>
  <c r="L6086" i="28"/>
  <c r="M6086" i="28" s="1"/>
  <c r="L6087" i="28"/>
  <c r="M6087" i="28" s="1"/>
  <c r="L6088" i="28"/>
  <c r="M6088" i="28" s="1"/>
  <c r="L6089" i="28"/>
  <c r="M6089" i="28" s="1"/>
  <c r="L6090" i="28"/>
  <c r="M6090" i="28" s="1"/>
  <c r="L6091" i="28"/>
  <c r="M6091" i="28" s="1"/>
  <c r="L6092" i="28"/>
  <c r="M6092" i="28" s="1"/>
  <c r="L6093" i="28"/>
  <c r="M6093" i="28" s="1"/>
  <c r="L6094" i="28"/>
  <c r="M6094" i="28" s="1"/>
  <c r="L6095" i="28"/>
  <c r="M6095" i="28" s="1"/>
  <c r="L6096" i="28"/>
  <c r="M6096" i="28" s="1"/>
  <c r="L6097" i="28"/>
  <c r="M6097" i="28" s="1"/>
  <c r="L6098" i="28"/>
  <c r="M6098" i="28" s="1"/>
  <c r="L6099" i="28"/>
  <c r="M6099" i="28" s="1"/>
  <c r="L6100" i="28"/>
  <c r="M6100" i="28" s="1"/>
  <c r="L6101" i="28"/>
  <c r="M6101" i="28" s="1"/>
  <c r="L6102" i="28"/>
  <c r="M6102" i="28" s="1"/>
  <c r="L6103" i="28"/>
  <c r="M6103" i="28" s="1"/>
  <c r="L6104" i="28"/>
  <c r="M6104" i="28" s="1"/>
  <c r="L6105" i="28"/>
  <c r="M6105" i="28" s="1"/>
  <c r="L6106" i="28"/>
  <c r="M6106" i="28" s="1"/>
  <c r="L6107" i="28"/>
  <c r="M6107" i="28" s="1"/>
  <c r="L6108" i="28"/>
  <c r="M6108" i="28" s="1"/>
  <c r="L6109" i="28"/>
  <c r="M6109" i="28" s="1"/>
  <c r="L6110" i="28"/>
  <c r="M6110" i="28" s="1"/>
  <c r="L6111" i="28"/>
  <c r="M6111" i="28" s="1"/>
  <c r="L6112" i="28"/>
  <c r="M6112" i="28" s="1"/>
  <c r="L6113" i="28"/>
  <c r="M6113" i="28" s="1"/>
  <c r="L6114" i="28"/>
  <c r="M6114" i="28" s="1"/>
  <c r="L6115" i="28"/>
  <c r="M6115" i="28" s="1"/>
  <c r="L6116" i="28"/>
  <c r="M6116" i="28" s="1"/>
  <c r="L6117" i="28"/>
  <c r="M6117" i="28" s="1"/>
  <c r="L6118" i="28"/>
  <c r="M6118" i="28" s="1"/>
  <c r="L6119" i="28"/>
  <c r="M6119" i="28" s="1"/>
  <c r="L6120" i="28"/>
  <c r="M6120" i="28" s="1"/>
  <c r="L6121" i="28"/>
  <c r="M6121" i="28" s="1"/>
  <c r="L6122" i="28"/>
  <c r="M6122" i="28" s="1"/>
  <c r="L6123" i="28"/>
  <c r="M6123" i="28" s="1"/>
  <c r="L6124" i="28"/>
  <c r="M6124" i="28" s="1"/>
  <c r="L6125" i="28"/>
  <c r="M6125" i="28" s="1"/>
  <c r="L6126" i="28"/>
  <c r="M6126" i="28" s="1"/>
  <c r="L6127" i="28"/>
  <c r="M6127" i="28" s="1"/>
  <c r="L6128" i="28"/>
  <c r="M6128" i="28" s="1"/>
  <c r="L6129" i="28"/>
  <c r="M6129" i="28" s="1"/>
  <c r="L6130" i="28"/>
  <c r="M6130" i="28" s="1"/>
  <c r="L6131" i="28"/>
  <c r="M6131" i="28" s="1"/>
  <c r="L6132" i="28"/>
  <c r="M6132" i="28" s="1"/>
  <c r="L6133" i="28"/>
  <c r="M6133" i="28" s="1"/>
  <c r="L6134" i="28"/>
  <c r="M6134" i="28" s="1"/>
  <c r="L6135" i="28"/>
  <c r="M6135" i="28" s="1"/>
  <c r="L6136" i="28"/>
  <c r="M6136" i="28" s="1"/>
  <c r="L6137" i="28"/>
  <c r="M6137" i="28" s="1"/>
  <c r="L6138" i="28"/>
  <c r="M6138" i="28" s="1"/>
  <c r="L6139" i="28"/>
  <c r="M6139" i="28" s="1"/>
  <c r="L6140" i="28"/>
  <c r="M6140" i="28" s="1"/>
  <c r="L6141" i="28"/>
  <c r="M6141" i="28" s="1"/>
  <c r="L6142" i="28"/>
  <c r="M6142" i="28" s="1"/>
  <c r="L6143" i="28"/>
  <c r="M6143" i="28" s="1"/>
  <c r="L6144" i="28"/>
  <c r="M6144" i="28" s="1"/>
  <c r="L6145" i="28"/>
  <c r="M6145" i="28" s="1"/>
  <c r="L6146" i="28"/>
  <c r="M6146" i="28" s="1"/>
  <c r="L6147" i="28"/>
  <c r="M6147" i="28" s="1"/>
  <c r="L6148" i="28"/>
  <c r="M6148" i="28" s="1"/>
  <c r="L6149" i="28"/>
  <c r="M6149" i="28" s="1"/>
  <c r="L6150" i="28"/>
  <c r="M6150" i="28" s="1"/>
  <c r="L6151" i="28"/>
  <c r="M6151" i="28" s="1"/>
  <c r="L6152" i="28"/>
  <c r="M6152" i="28" s="1"/>
  <c r="L6153" i="28"/>
  <c r="M6153" i="28" s="1"/>
  <c r="L6154" i="28"/>
  <c r="M6154" i="28" s="1"/>
  <c r="L6155" i="28"/>
  <c r="M6155" i="28" s="1"/>
  <c r="L6156" i="28"/>
  <c r="M6156" i="28" s="1"/>
  <c r="L6157" i="28"/>
  <c r="M6157" i="28" s="1"/>
  <c r="L6158" i="28"/>
  <c r="M6158" i="28" s="1"/>
  <c r="L6159" i="28"/>
  <c r="M6159" i="28" s="1"/>
  <c r="L6160" i="28"/>
  <c r="M6160" i="28" s="1"/>
  <c r="L6161" i="28"/>
  <c r="M6161" i="28" s="1"/>
  <c r="L6162" i="28"/>
  <c r="M6162" i="28" s="1"/>
  <c r="L6163" i="28"/>
  <c r="M6163" i="28" s="1"/>
  <c r="L6164" i="28"/>
  <c r="M6164" i="28" s="1"/>
  <c r="L6165" i="28"/>
  <c r="M6165" i="28" s="1"/>
  <c r="L6166" i="28"/>
  <c r="M6166" i="28" s="1"/>
  <c r="L6167" i="28"/>
  <c r="M6167" i="28" s="1"/>
  <c r="L6168" i="28"/>
  <c r="M6168" i="28" s="1"/>
  <c r="L6169" i="28"/>
  <c r="M6169" i="28" s="1"/>
  <c r="L6170" i="28"/>
  <c r="M6170" i="28" s="1"/>
  <c r="L6171" i="28"/>
  <c r="M6171" i="28" s="1"/>
  <c r="L6172" i="28"/>
  <c r="M6172" i="28" s="1"/>
  <c r="L6173" i="28"/>
  <c r="M6173" i="28" s="1"/>
  <c r="L6174" i="28"/>
  <c r="M6174" i="28" s="1"/>
  <c r="L6175" i="28"/>
  <c r="M6175" i="28" s="1"/>
  <c r="L6176" i="28"/>
  <c r="M6176" i="28" s="1"/>
  <c r="L6177" i="28"/>
  <c r="M6177" i="28" s="1"/>
  <c r="L6178" i="28"/>
  <c r="M6178" i="28" s="1"/>
  <c r="L6179" i="28"/>
  <c r="M6179" i="28" s="1"/>
  <c r="L6180" i="28"/>
  <c r="M6180" i="28" s="1"/>
  <c r="L6181" i="28"/>
  <c r="M6181" i="28" s="1"/>
  <c r="L6182" i="28"/>
  <c r="M6182" i="28" s="1"/>
  <c r="L6183" i="28"/>
  <c r="M6183" i="28" s="1"/>
  <c r="L6184" i="28"/>
  <c r="M6184" i="28" s="1"/>
  <c r="L6185" i="28"/>
  <c r="M6185" i="28" s="1"/>
  <c r="L6186" i="28"/>
  <c r="M6186" i="28" s="1"/>
  <c r="L6187" i="28"/>
  <c r="M6187" i="28" s="1"/>
  <c r="L6188" i="28"/>
  <c r="M6188" i="28" s="1"/>
  <c r="L6189" i="28"/>
  <c r="M6189" i="28" s="1"/>
  <c r="L6190" i="28"/>
  <c r="M6190" i="28" s="1"/>
  <c r="L6191" i="28"/>
  <c r="M6191" i="28" s="1"/>
  <c r="L6192" i="28"/>
  <c r="M6192" i="28" s="1"/>
  <c r="L6193" i="28"/>
  <c r="M6193" i="28" s="1"/>
  <c r="L6194" i="28"/>
  <c r="M6194" i="28" s="1"/>
  <c r="L6195" i="28"/>
  <c r="M6195" i="28" s="1"/>
  <c r="L6196" i="28"/>
  <c r="M6196" i="28" s="1"/>
  <c r="L4507" i="28"/>
  <c r="M4507" i="28" s="1"/>
  <c r="L4508" i="28"/>
  <c r="M4508" i="28" s="1"/>
  <c r="L4509" i="28"/>
  <c r="M4509" i="28"/>
  <c r="L4510" i="28"/>
  <c r="M4510" i="28" s="1"/>
  <c r="L4511" i="28"/>
  <c r="M4511" i="28" s="1"/>
  <c r="L4512" i="28"/>
  <c r="M4512" i="28" s="1"/>
  <c r="L4513" i="28"/>
  <c r="M4513" i="28" s="1"/>
  <c r="L4514" i="28"/>
  <c r="L4515" i="28"/>
  <c r="M4515" i="28" s="1"/>
  <c r="L4516" i="28"/>
  <c r="M4516" i="28" s="1"/>
  <c r="L4517" i="28"/>
  <c r="M4517" i="28" s="1"/>
  <c r="L4518" i="28"/>
  <c r="M4518" i="28" s="1"/>
  <c r="L4519" i="28"/>
  <c r="M4519" i="28" s="1"/>
  <c r="L4520" i="28"/>
  <c r="M4520" i="28" s="1"/>
  <c r="L4521" i="28"/>
  <c r="M4521" i="28" s="1"/>
  <c r="L4522" i="28"/>
  <c r="M4522" i="28" s="1"/>
  <c r="L4523" i="28"/>
  <c r="M4523" i="28" s="1"/>
  <c r="L4524" i="28"/>
  <c r="M4524" i="28" s="1"/>
  <c r="L4525" i="28"/>
  <c r="M4525" i="28" s="1"/>
  <c r="L4526" i="28"/>
  <c r="M4526" i="28" s="1"/>
  <c r="L4527" i="28"/>
  <c r="M4527" i="28" s="1"/>
  <c r="L4528" i="28"/>
  <c r="M4528" i="28" s="1"/>
  <c r="L4529" i="28"/>
  <c r="M4529" i="28" s="1"/>
  <c r="L4530" i="28"/>
  <c r="M4530" i="28" s="1"/>
  <c r="L4531" i="28"/>
  <c r="M4531" i="28" s="1"/>
  <c r="L4532" i="28"/>
  <c r="M4532" i="28" s="1"/>
  <c r="L4533" i="28"/>
  <c r="M4533" i="28" s="1"/>
  <c r="L4534" i="28"/>
  <c r="M4534" i="28" s="1"/>
  <c r="L4535" i="28"/>
  <c r="M4535" i="28" s="1"/>
  <c r="L4536" i="28"/>
  <c r="M4536" i="28" s="1"/>
  <c r="L4537" i="28"/>
  <c r="M4537" i="28" s="1"/>
  <c r="L4538" i="28"/>
  <c r="M4538" i="28" s="1"/>
  <c r="L4539" i="28"/>
  <c r="M4539" i="28" s="1"/>
  <c r="L4540" i="28"/>
  <c r="M4540" i="28" s="1"/>
  <c r="L4541" i="28"/>
  <c r="M4541" i="28" s="1"/>
  <c r="L4542" i="28"/>
  <c r="M4542" i="28" s="1"/>
  <c r="L4543" i="28"/>
  <c r="M4543" i="28" s="1"/>
  <c r="L4544" i="28"/>
  <c r="M4544" i="28" s="1"/>
  <c r="L4545" i="28"/>
  <c r="M4545" i="28" s="1"/>
  <c r="L4546" i="28"/>
  <c r="M4546" i="28" s="1"/>
  <c r="L4547" i="28"/>
  <c r="M4547" i="28" s="1"/>
  <c r="L4548" i="28"/>
  <c r="M4548" i="28" s="1"/>
  <c r="L4549" i="28"/>
  <c r="M4549" i="28" s="1"/>
  <c r="L4550" i="28"/>
  <c r="M4550" i="28" s="1"/>
  <c r="L4551" i="28"/>
  <c r="M4551" i="28" s="1"/>
  <c r="L4552" i="28"/>
  <c r="M4552" i="28" s="1"/>
  <c r="L4553" i="28"/>
  <c r="M4553" i="28" s="1"/>
  <c r="L4554" i="28"/>
  <c r="M4554" i="28" s="1"/>
  <c r="L4555" i="28"/>
  <c r="M4555" i="28" s="1"/>
  <c r="L4556" i="28"/>
  <c r="M4556" i="28" s="1"/>
  <c r="L4557" i="28"/>
  <c r="M4557" i="28" s="1"/>
  <c r="L4558" i="28"/>
  <c r="M4558" i="28" s="1"/>
  <c r="L4559" i="28"/>
  <c r="M4559" i="28" s="1"/>
  <c r="L4560" i="28"/>
  <c r="M4560" i="28" s="1"/>
  <c r="L4561" i="28"/>
  <c r="M4561" i="28" s="1"/>
  <c r="L4562" i="28"/>
  <c r="M4562" i="28" s="1"/>
  <c r="L4563" i="28"/>
  <c r="M4563" i="28" s="1"/>
  <c r="L4564" i="28"/>
  <c r="M4564" i="28" s="1"/>
  <c r="L4565" i="28"/>
  <c r="M4565" i="28" s="1"/>
  <c r="L4566" i="28"/>
  <c r="M4566" i="28" s="1"/>
  <c r="L4567" i="28"/>
  <c r="M4567" i="28" s="1"/>
  <c r="L4568" i="28"/>
  <c r="M4568" i="28" s="1"/>
  <c r="L4569" i="28"/>
  <c r="M4569" i="28" s="1"/>
  <c r="L4570" i="28"/>
  <c r="M4570" i="28" s="1"/>
  <c r="L4571" i="28"/>
  <c r="M4571" i="28" s="1"/>
  <c r="L4572" i="28"/>
  <c r="M4572" i="28" s="1"/>
  <c r="L4573" i="28"/>
  <c r="M4573" i="28" s="1"/>
  <c r="L4574" i="28"/>
  <c r="M4574" i="28" s="1"/>
  <c r="L4575" i="28"/>
  <c r="M4575" i="28" s="1"/>
  <c r="L4576" i="28"/>
  <c r="M4576" i="28" s="1"/>
  <c r="L4577" i="28"/>
  <c r="M4577" i="28" s="1"/>
  <c r="L4578" i="28"/>
  <c r="M4578" i="28" s="1"/>
  <c r="L4579" i="28"/>
  <c r="M4579" i="28" s="1"/>
  <c r="L4580" i="28"/>
  <c r="M4580" i="28" s="1"/>
  <c r="L4581" i="28"/>
  <c r="M4581" i="28" s="1"/>
  <c r="L4582" i="28"/>
  <c r="M4582" i="28" s="1"/>
  <c r="L4583" i="28"/>
  <c r="M4583" i="28" s="1"/>
  <c r="L4584" i="28"/>
  <c r="M4584" i="28" s="1"/>
  <c r="L4585" i="28"/>
  <c r="M4585" i="28" s="1"/>
  <c r="L4586" i="28"/>
  <c r="M4586" i="28" s="1"/>
  <c r="L4587" i="28"/>
  <c r="M4587" i="28" s="1"/>
  <c r="L4588" i="28"/>
  <c r="M4588" i="28" s="1"/>
  <c r="L4589" i="28"/>
  <c r="M4589" i="28" s="1"/>
  <c r="L4590" i="28"/>
  <c r="M4590" i="28" s="1"/>
  <c r="L4591" i="28"/>
  <c r="M4591" i="28" s="1"/>
  <c r="L4592" i="28"/>
  <c r="M4592" i="28" s="1"/>
  <c r="L4593" i="28"/>
  <c r="M4593" i="28" s="1"/>
  <c r="L4594" i="28"/>
  <c r="M4594" i="28" s="1"/>
  <c r="L4595" i="28"/>
  <c r="M4595" i="28" s="1"/>
  <c r="L4596" i="28"/>
  <c r="M4596" i="28" s="1"/>
  <c r="L4597" i="28"/>
  <c r="M4597" i="28" s="1"/>
  <c r="L4598" i="28"/>
  <c r="M4598" i="28" s="1"/>
  <c r="L4599" i="28"/>
  <c r="M4599" i="28" s="1"/>
  <c r="L4600" i="28"/>
  <c r="M4600" i="28" s="1"/>
  <c r="L4601" i="28"/>
  <c r="M4601" i="28" s="1"/>
  <c r="L4602" i="28"/>
  <c r="M4602" i="28" s="1"/>
  <c r="L4603" i="28"/>
  <c r="M4603" i="28" s="1"/>
  <c r="L4604" i="28"/>
  <c r="M4604" i="28" s="1"/>
  <c r="L4605" i="28"/>
  <c r="M4605" i="28" s="1"/>
  <c r="L4606" i="28"/>
  <c r="M4606" i="28" s="1"/>
  <c r="L4607" i="28"/>
  <c r="M4607" i="28" s="1"/>
  <c r="L4608" i="28"/>
  <c r="M4608" i="28" s="1"/>
  <c r="L4609" i="28"/>
  <c r="M4609" i="28" s="1"/>
  <c r="L4610" i="28"/>
  <c r="M4610" i="28" s="1"/>
  <c r="L4611" i="28"/>
  <c r="M4611" i="28" s="1"/>
  <c r="L4612" i="28"/>
  <c r="M4612" i="28" s="1"/>
  <c r="L4613" i="28"/>
  <c r="M4613" i="28" s="1"/>
  <c r="L4614" i="28"/>
  <c r="M4614" i="28" s="1"/>
  <c r="L4615" i="28"/>
  <c r="M4615" i="28" s="1"/>
  <c r="L4616" i="28"/>
  <c r="M4616" i="28" s="1"/>
  <c r="L4617" i="28"/>
  <c r="M4617" i="28" s="1"/>
  <c r="L4618" i="28"/>
  <c r="M4618" i="28" s="1"/>
  <c r="L4619" i="28"/>
  <c r="M4619" i="28" s="1"/>
  <c r="L4620" i="28"/>
  <c r="M4620" i="28" s="1"/>
  <c r="L4621" i="28"/>
  <c r="M4621" i="28" s="1"/>
  <c r="L4622" i="28"/>
  <c r="M4622" i="28" s="1"/>
  <c r="L4623" i="28"/>
  <c r="M4623" i="28" s="1"/>
  <c r="L4624" i="28"/>
  <c r="M4624" i="28" s="1"/>
  <c r="L4625" i="28"/>
  <c r="M4625" i="28" s="1"/>
  <c r="L4626" i="28"/>
  <c r="M4626" i="28" s="1"/>
  <c r="L4627" i="28"/>
  <c r="M4627" i="28" s="1"/>
  <c r="L4628" i="28"/>
  <c r="M4628" i="28" s="1"/>
  <c r="L4629" i="28"/>
  <c r="M4629" i="28" s="1"/>
  <c r="L4630" i="28"/>
  <c r="M4630" i="28" s="1"/>
  <c r="L4631" i="28"/>
  <c r="M4631" i="28" s="1"/>
  <c r="L4632" i="28"/>
  <c r="M4632" i="28" s="1"/>
  <c r="L4633" i="28"/>
  <c r="M4633" i="28" s="1"/>
  <c r="L4634" i="28"/>
  <c r="M4634" i="28" s="1"/>
  <c r="L4635" i="28"/>
  <c r="M4635" i="28" s="1"/>
  <c r="L4636" i="28"/>
  <c r="M4636" i="28" s="1"/>
  <c r="L4637" i="28"/>
  <c r="M4637" i="28" s="1"/>
  <c r="L4638" i="28"/>
  <c r="M4638" i="28" s="1"/>
  <c r="L4639" i="28"/>
  <c r="M4639" i="28" s="1"/>
  <c r="L4640" i="28"/>
  <c r="M4640" i="28" s="1"/>
  <c r="L4641" i="28"/>
  <c r="M4641" i="28" s="1"/>
  <c r="L4642" i="28"/>
  <c r="M4642" i="28" s="1"/>
  <c r="L4643" i="28"/>
  <c r="M4643" i="28" s="1"/>
  <c r="L4644" i="28"/>
  <c r="M4644" i="28" s="1"/>
  <c r="L4645" i="28"/>
  <c r="M4645" i="28" s="1"/>
  <c r="L4646" i="28"/>
  <c r="M4646" i="28" s="1"/>
  <c r="L4647" i="28"/>
  <c r="M4647" i="28" s="1"/>
  <c r="L4648" i="28"/>
  <c r="M4648" i="28" s="1"/>
  <c r="L4649" i="28"/>
  <c r="M4649" i="28" s="1"/>
  <c r="L4650" i="28"/>
  <c r="M4650" i="28" s="1"/>
  <c r="L4651" i="28"/>
  <c r="M4651" i="28" s="1"/>
  <c r="L4652" i="28"/>
  <c r="M4652" i="28" s="1"/>
  <c r="L4653" i="28"/>
  <c r="M4653" i="28" s="1"/>
  <c r="L4654" i="28"/>
  <c r="M4654" i="28" s="1"/>
  <c r="L4655" i="28"/>
  <c r="M4655" i="28" s="1"/>
  <c r="L4656" i="28"/>
  <c r="M4656" i="28" s="1"/>
  <c r="L4657" i="28"/>
  <c r="M4657" i="28" s="1"/>
  <c r="L4658" i="28"/>
  <c r="M4658" i="28" s="1"/>
  <c r="L4659" i="28"/>
  <c r="M4659" i="28" s="1"/>
  <c r="L4660" i="28"/>
  <c r="M4660" i="28" s="1"/>
  <c r="L4661" i="28"/>
  <c r="M4661" i="28" s="1"/>
  <c r="L4662" i="28"/>
  <c r="M4662" i="28" s="1"/>
  <c r="L4663" i="28"/>
  <c r="M4663" i="28" s="1"/>
  <c r="L4664" i="28"/>
  <c r="M4664" i="28" s="1"/>
  <c r="L4665" i="28"/>
  <c r="M4665" i="28" s="1"/>
  <c r="L4666" i="28"/>
  <c r="M4666" i="28" s="1"/>
  <c r="L4667" i="28"/>
  <c r="M4667" i="28" s="1"/>
  <c r="L4668" i="28"/>
  <c r="M4668" i="28" s="1"/>
  <c r="L4669" i="28"/>
  <c r="M4669" i="28" s="1"/>
  <c r="L4670" i="28"/>
  <c r="M4670" i="28" s="1"/>
  <c r="L4671" i="28"/>
  <c r="M4671" i="28" s="1"/>
  <c r="L4672" i="28"/>
  <c r="M4672" i="28" s="1"/>
  <c r="L4673" i="28"/>
  <c r="M4673" i="28" s="1"/>
  <c r="L4674" i="28"/>
  <c r="M4674" i="28" s="1"/>
  <c r="L4675" i="28"/>
  <c r="M4675" i="28" s="1"/>
  <c r="L4676" i="28"/>
  <c r="M4676" i="28" s="1"/>
  <c r="L4677" i="28"/>
  <c r="M4677" i="28" s="1"/>
  <c r="L4678" i="28"/>
  <c r="M4678" i="28" s="1"/>
  <c r="L4679" i="28"/>
  <c r="M4679" i="28" s="1"/>
  <c r="L4680" i="28"/>
  <c r="M4680" i="28" s="1"/>
  <c r="L4681" i="28"/>
  <c r="M4681" i="28" s="1"/>
  <c r="L4682" i="28"/>
  <c r="M4682" i="28" s="1"/>
  <c r="L4683" i="28"/>
  <c r="M4683" i="28" s="1"/>
  <c r="L4684" i="28"/>
  <c r="M4684" i="28" s="1"/>
  <c r="L4685" i="28"/>
  <c r="M4685" i="28" s="1"/>
  <c r="L4686" i="28"/>
  <c r="M4686" i="28" s="1"/>
  <c r="L4687" i="28"/>
  <c r="M4687" i="28" s="1"/>
  <c r="L4688" i="28"/>
  <c r="M4688" i="28" s="1"/>
  <c r="L4689" i="28"/>
  <c r="M4689" i="28" s="1"/>
  <c r="L4690" i="28"/>
  <c r="M4690" i="28" s="1"/>
  <c r="L4691" i="28"/>
  <c r="M4691" i="28" s="1"/>
  <c r="L4692" i="28"/>
  <c r="M4692" i="28" s="1"/>
  <c r="L4693" i="28"/>
  <c r="M4693" i="28" s="1"/>
  <c r="L4694" i="28"/>
  <c r="M4694" i="28" s="1"/>
  <c r="L4695" i="28"/>
  <c r="M4695" i="28" s="1"/>
  <c r="L4696" i="28"/>
  <c r="M4696" i="28" s="1"/>
  <c r="L4697" i="28"/>
  <c r="M4697" i="28" s="1"/>
  <c r="L4698" i="28"/>
  <c r="M4698" i="28" s="1"/>
  <c r="L4699" i="28"/>
  <c r="M4699" i="28" s="1"/>
  <c r="L4700" i="28"/>
  <c r="M4700" i="28" s="1"/>
  <c r="L4701" i="28"/>
  <c r="M4701" i="28" s="1"/>
  <c r="L4702" i="28"/>
  <c r="M4702" i="28" s="1"/>
  <c r="L4703" i="28"/>
  <c r="M4703" i="28" s="1"/>
  <c r="L4704" i="28"/>
  <c r="M4704" i="28" s="1"/>
  <c r="L4705" i="28"/>
  <c r="M4705" i="28" s="1"/>
  <c r="L4706" i="28"/>
  <c r="M4706" i="28" s="1"/>
  <c r="L4707" i="28"/>
  <c r="M4707" i="28" s="1"/>
  <c r="L4708" i="28"/>
  <c r="M4708" i="28" s="1"/>
  <c r="L4709" i="28"/>
  <c r="M4709" i="28" s="1"/>
  <c r="L4710" i="28"/>
  <c r="M4710" i="28" s="1"/>
  <c r="L4711" i="28"/>
  <c r="M4711" i="28" s="1"/>
  <c r="L4712" i="28"/>
  <c r="M4712" i="28" s="1"/>
  <c r="L4713" i="28"/>
  <c r="M4713" i="28" s="1"/>
  <c r="L4714" i="28"/>
  <c r="M4714" i="28" s="1"/>
  <c r="L4715" i="28"/>
  <c r="M4715" i="28" s="1"/>
  <c r="L4716" i="28"/>
  <c r="M4716" i="28" s="1"/>
  <c r="L4717" i="28"/>
  <c r="M4717" i="28" s="1"/>
  <c r="L4718" i="28"/>
  <c r="M4718" i="28" s="1"/>
  <c r="L4719" i="28"/>
  <c r="M4719" i="28" s="1"/>
  <c r="L4720" i="28"/>
  <c r="M4720" i="28" s="1"/>
  <c r="L4721" i="28"/>
  <c r="M4721" i="28" s="1"/>
  <c r="L4722" i="28"/>
  <c r="M4722" i="28" s="1"/>
  <c r="L4723" i="28"/>
  <c r="M4723" i="28" s="1"/>
  <c r="L4724" i="28"/>
  <c r="M4724" i="28" s="1"/>
  <c r="L4725" i="28"/>
  <c r="M4725" i="28" s="1"/>
  <c r="L4726" i="28"/>
  <c r="M4726" i="28" s="1"/>
  <c r="L4727" i="28"/>
  <c r="M4727" i="28" s="1"/>
  <c r="L4728" i="28"/>
  <c r="M4728" i="28"/>
  <c r="L4729" i="28"/>
  <c r="M4729" i="28" s="1"/>
  <c r="L4730" i="28"/>
  <c r="M4730" i="28" s="1"/>
  <c r="L4731" i="28"/>
  <c r="M4731" i="28" s="1"/>
  <c r="L4732" i="28"/>
  <c r="M4732" i="28" s="1"/>
  <c r="L4733" i="28"/>
  <c r="M4733" i="28" s="1"/>
  <c r="L4734" i="28"/>
  <c r="M4734" i="28" s="1"/>
  <c r="L4735" i="28"/>
  <c r="M4735" i="28" s="1"/>
  <c r="L4736" i="28"/>
  <c r="M4736" i="28" s="1"/>
  <c r="L4737" i="28"/>
  <c r="M4737" i="28" s="1"/>
  <c r="L4738" i="28"/>
  <c r="M4738" i="28" s="1"/>
  <c r="L4739" i="28"/>
  <c r="M4739" i="28" s="1"/>
  <c r="L4740" i="28"/>
  <c r="M4740" i="28" s="1"/>
  <c r="L4741" i="28"/>
  <c r="M4741" i="28" s="1"/>
  <c r="L4742" i="28"/>
  <c r="M4742" i="28" s="1"/>
  <c r="L4743" i="28"/>
  <c r="M4743" i="28" s="1"/>
  <c r="L4744" i="28"/>
  <c r="M4744" i="28" s="1"/>
  <c r="L4745" i="28"/>
  <c r="M4745" i="28" s="1"/>
  <c r="L4746" i="28"/>
  <c r="M4746" i="28" s="1"/>
  <c r="L4747" i="28"/>
  <c r="M4747" i="28" s="1"/>
  <c r="L4748" i="28"/>
  <c r="M4748" i="28" s="1"/>
  <c r="L4749" i="28"/>
  <c r="M4749" i="28" s="1"/>
  <c r="L4750" i="28"/>
  <c r="M4750" i="28" s="1"/>
  <c r="L4751" i="28"/>
  <c r="M4751" i="28" s="1"/>
  <c r="L4752" i="28"/>
  <c r="M4752" i="28" s="1"/>
  <c r="L4753" i="28"/>
  <c r="M4753" i="28" s="1"/>
  <c r="L4754" i="28"/>
  <c r="M4754" i="28" s="1"/>
  <c r="L4755" i="28"/>
  <c r="M4755" i="28" s="1"/>
  <c r="L4756" i="28"/>
  <c r="M4756" i="28" s="1"/>
  <c r="L4757" i="28"/>
  <c r="M4757" i="28" s="1"/>
  <c r="L4758" i="28"/>
  <c r="M4758" i="28" s="1"/>
  <c r="L4759" i="28"/>
  <c r="M4759" i="28" s="1"/>
  <c r="L4760" i="28"/>
  <c r="M4760" i="28" s="1"/>
  <c r="L4761" i="28"/>
  <c r="M4761" i="28" s="1"/>
  <c r="L4762" i="28"/>
  <c r="M4762" i="28" s="1"/>
  <c r="L4763" i="28"/>
  <c r="M4763" i="28" s="1"/>
  <c r="L4764" i="28"/>
  <c r="M4764" i="28" s="1"/>
  <c r="L4765" i="28"/>
  <c r="M4765" i="28" s="1"/>
  <c r="L4766" i="28"/>
  <c r="M4766" i="28" s="1"/>
  <c r="L4767" i="28"/>
  <c r="M4767" i="28" s="1"/>
  <c r="L4768" i="28"/>
  <c r="M4768" i="28" s="1"/>
  <c r="L4769" i="28"/>
  <c r="M4769" i="28" s="1"/>
  <c r="L4770" i="28"/>
  <c r="M4770" i="28" s="1"/>
  <c r="L4771" i="28"/>
  <c r="M4771" i="28" s="1"/>
  <c r="L4772" i="28"/>
  <c r="M4772" i="28" s="1"/>
  <c r="L4773" i="28"/>
  <c r="M4773" i="28" s="1"/>
  <c r="L4774" i="28"/>
  <c r="M4774" i="28" s="1"/>
  <c r="L4775" i="28"/>
  <c r="M4775" i="28" s="1"/>
  <c r="L4776" i="28"/>
  <c r="M4776" i="28" s="1"/>
  <c r="L4777" i="28"/>
  <c r="M4777" i="28" s="1"/>
  <c r="L4778" i="28"/>
  <c r="M4778" i="28" s="1"/>
  <c r="L4779" i="28"/>
  <c r="M4779" i="28" s="1"/>
  <c r="L4780" i="28"/>
  <c r="M4780" i="28" s="1"/>
  <c r="L4781" i="28"/>
  <c r="M4781" i="28" s="1"/>
  <c r="L4782" i="28"/>
  <c r="M4782" i="28" s="1"/>
  <c r="L4783" i="28"/>
  <c r="M4783" i="28" s="1"/>
  <c r="L4784" i="28"/>
  <c r="M4784" i="28" s="1"/>
  <c r="L4785" i="28"/>
  <c r="M4785" i="28" s="1"/>
  <c r="L4786" i="28"/>
  <c r="M4786" i="28" s="1"/>
  <c r="L4787" i="28"/>
  <c r="M4787" i="28" s="1"/>
  <c r="L4788" i="28"/>
  <c r="M4788" i="28" s="1"/>
  <c r="L4789" i="28"/>
  <c r="M4789" i="28" s="1"/>
  <c r="L4790" i="28"/>
  <c r="M4790" i="28" s="1"/>
  <c r="L4791" i="28"/>
  <c r="M4791" i="28" s="1"/>
  <c r="L4792" i="28"/>
  <c r="M4792" i="28" s="1"/>
  <c r="L4793" i="28"/>
  <c r="M4793" i="28" s="1"/>
  <c r="L4794" i="28"/>
  <c r="M4794" i="28" s="1"/>
  <c r="L4795" i="28"/>
  <c r="M4795" i="28" s="1"/>
  <c r="L4796" i="28"/>
  <c r="M4796" i="28" s="1"/>
  <c r="L4797" i="28"/>
  <c r="M4797" i="28" s="1"/>
  <c r="L4798" i="28"/>
  <c r="M4798" i="28" s="1"/>
  <c r="L4799" i="28"/>
  <c r="M4799" i="28" s="1"/>
  <c r="L4800" i="28"/>
  <c r="M4800" i="28" s="1"/>
  <c r="L4801" i="28"/>
  <c r="M4801" i="28" s="1"/>
  <c r="L4802" i="28"/>
  <c r="M4802" i="28" s="1"/>
  <c r="L4803" i="28"/>
  <c r="M4803" i="28" s="1"/>
  <c r="L4804" i="28"/>
  <c r="M4804" i="28" s="1"/>
  <c r="L4805" i="28"/>
  <c r="M4805" i="28" s="1"/>
  <c r="L4806" i="28"/>
  <c r="M4806" i="28" s="1"/>
  <c r="L4807" i="28"/>
  <c r="M4807" i="28" s="1"/>
  <c r="L4808" i="28"/>
  <c r="M4808" i="28" s="1"/>
  <c r="L4809" i="28"/>
  <c r="M4809" i="28" s="1"/>
  <c r="L4810" i="28"/>
  <c r="M4810" i="28" s="1"/>
  <c r="L4811" i="28"/>
  <c r="M4811" i="28" s="1"/>
  <c r="L4812" i="28"/>
  <c r="M4812" i="28" s="1"/>
  <c r="L4813" i="28"/>
  <c r="M4813" i="28" s="1"/>
  <c r="L4814" i="28"/>
  <c r="M4814" i="28" s="1"/>
  <c r="L4815" i="28"/>
  <c r="M4815" i="28" s="1"/>
  <c r="L4816" i="28"/>
  <c r="M4816" i="28" s="1"/>
  <c r="L4817" i="28"/>
  <c r="M4817" i="28" s="1"/>
  <c r="L4818" i="28"/>
  <c r="M4818" i="28" s="1"/>
  <c r="L4819" i="28"/>
  <c r="M4819" i="28" s="1"/>
  <c r="L4820" i="28"/>
  <c r="M4820" i="28" s="1"/>
  <c r="L4821" i="28"/>
  <c r="M4821" i="28" s="1"/>
  <c r="L4822" i="28"/>
  <c r="M4822" i="28" s="1"/>
  <c r="L4823" i="28"/>
  <c r="M4823" i="28" s="1"/>
  <c r="L4824" i="28"/>
  <c r="M4824" i="28" s="1"/>
  <c r="L4825" i="28"/>
  <c r="M4825" i="28" s="1"/>
  <c r="L4826" i="28"/>
  <c r="M4826" i="28" s="1"/>
  <c r="L4827" i="28"/>
  <c r="M4827" i="28" s="1"/>
  <c r="L4828" i="28"/>
  <c r="M4828" i="28" s="1"/>
  <c r="L4829" i="28"/>
  <c r="M4829" i="28" s="1"/>
  <c r="L4830" i="28"/>
  <c r="M4830" i="28" s="1"/>
  <c r="L4831" i="28"/>
  <c r="M4831" i="28" s="1"/>
  <c r="L4832" i="28"/>
  <c r="M4832" i="28" s="1"/>
  <c r="L4833" i="28"/>
  <c r="M4833" i="28" s="1"/>
  <c r="L4834" i="28"/>
  <c r="M4834" i="28" s="1"/>
  <c r="L4835" i="28"/>
  <c r="M4835" i="28" s="1"/>
  <c r="L4836" i="28"/>
  <c r="M4836" i="28" s="1"/>
  <c r="L4837" i="28"/>
  <c r="M4837" i="28" s="1"/>
  <c r="L4838" i="28"/>
  <c r="M4838" i="28" s="1"/>
  <c r="L4839" i="28"/>
  <c r="M4839" i="28" s="1"/>
  <c r="L4840" i="28"/>
  <c r="M4840" i="28" s="1"/>
  <c r="L4841" i="28"/>
  <c r="M4841" i="28" s="1"/>
  <c r="L4842" i="28"/>
  <c r="M4842" i="28" s="1"/>
  <c r="L4843" i="28"/>
  <c r="M4843" i="28" s="1"/>
  <c r="L4844" i="28"/>
  <c r="M4844" i="28" s="1"/>
  <c r="L4845" i="28"/>
  <c r="M4845" i="28" s="1"/>
  <c r="L4846" i="28"/>
  <c r="M4846" i="28" s="1"/>
  <c r="L4847" i="28"/>
  <c r="M4847" i="28" s="1"/>
  <c r="L4848" i="28"/>
  <c r="M4848" i="28" s="1"/>
  <c r="L4849" i="28"/>
  <c r="M4849" i="28" s="1"/>
  <c r="L4850" i="28"/>
  <c r="M4850" i="28" s="1"/>
  <c r="L4851" i="28"/>
  <c r="M4851" i="28" s="1"/>
  <c r="L4852" i="28"/>
  <c r="M4852" i="28" s="1"/>
  <c r="L4853" i="28"/>
  <c r="M4853" i="28" s="1"/>
  <c r="L4854" i="28"/>
  <c r="M4854" i="28" s="1"/>
  <c r="L4855" i="28"/>
  <c r="M4855" i="28" s="1"/>
  <c r="L4856" i="28"/>
  <c r="M4856" i="28" s="1"/>
  <c r="L4857" i="28"/>
  <c r="M4857" i="28" s="1"/>
  <c r="L4858" i="28"/>
  <c r="M4858" i="28" s="1"/>
  <c r="L4859" i="28"/>
  <c r="M4859" i="28" s="1"/>
  <c r="L4860" i="28"/>
  <c r="M4860" i="28" s="1"/>
  <c r="L4861" i="28"/>
  <c r="M4861" i="28" s="1"/>
  <c r="L4862" i="28"/>
  <c r="M4862" i="28" s="1"/>
  <c r="L4863" i="28"/>
  <c r="M4863" i="28" s="1"/>
  <c r="L4864" i="28"/>
  <c r="M4864" i="28" s="1"/>
  <c r="L4865" i="28"/>
  <c r="M4865" i="28" s="1"/>
  <c r="L4866" i="28"/>
  <c r="M4866" i="28" s="1"/>
  <c r="L4867" i="28"/>
  <c r="M4867" i="28" s="1"/>
  <c r="L4868" i="28"/>
  <c r="M4868" i="28" s="1"/>
  <c r="L4869" i="28"/>
  <c r="M4869" i="28" s="1"/>
  <c r="L4870" i="28"/>
  <c r="M4870" i="28" s="1"/>
  <c r="L4871" i="28"/>
  <c r="M4871" i="28" s="1"/>
  <c r="L4872" i="28"/>
  <c r="M4872" i="28" s="1"/>
  <c r="L4873" i="28"/>
  <c r="M4873" i="28" s="1"/>
  <c r="L4874" i="28"/>
  <c r="M4874" i="28" s="1"/>
  <c r="L4875" i="28"/>
  <c r="M4875" i="28" s="1"/>
  <c r="L4876" i="28"/>
  <c r="M4876" i="28" s="1"/>
  <c r="L4877" i="28"/>
  <c r="M4877" i="28" s="1"/>
  <c r="L4878" i="28"/>
  <c r="M4878" i="28" s="1"/>
  <c r="L4879" i="28"/>
  <c r="M4879" i="28" s="1"/>
  <c r="L4880" i="28"/>
  <c r="M4880" i="28" s="1"/>
  <c r="L4881" i="28"/>
  <c r="M4881" i="28" s="1"/>
  <c r="L4882" i="28"/>
  <c r="M4882" i="28" s="1"/>
  <c r="L4883" i="28"/>
  <c r="M4883" i="28" s="1"/>
  <c r="L4884" i="28"/>
  <c r="M4884" i="28" s="1"/>
  <c r="L4885" i="28"/>
  <c r="M4885" i="28" s="1"/>
  <c r="L4886" i="28"/>
  <c r="M4886" i="28" s="1"/>
  <c r="L4887" i="28"/>
  <c r="M4887" i="28" s="1"/>
  <c r="L4888" i="28"/>
  <c r="M4888" i="28" s="1"/>
  <c r="L4889" i="28"/>
  <c r="M4889" i="28" s="1"/>
  <c r="L4890" i="28"/>
  <c r="M4890" i="28" s="1"/>
  <c r="L4891" i="28"/>
  <c r="M4891" i="28" s="1"/>
  <c r="L4892" i="28"/>
  <c r="M4892" i="28" s="1"/>
  <c r="L4893" i="28"/>
  <c r="M4893" i="28" s="1"/>
  <c r="L4894" i="28"/>
  <c r="M4894" i="28" s="1"/>
  <c r="L4895" i="28"/>
  <c r="M4895" i="28" s="1"/>
  <c r="L4896" i="28"/>
  <c r="M4896" i="28" s="1"/>
  <c r="L4897" i="28"/>
  <c r="M4897" i="28" s="1"/>
  <c r="L4898" i="28"/>
  <c r="M4898" i="28" s="1"/>
  <c r="L4899" i="28"/>
  <c r="M4899" i="28" s="1"/>
  <c r="L4900" i="28"/>
  <c r="M4900" i="28" s="1"/>
  <c r="L4901" i="28"/>
  <c r="M4901" i="28" s="1"/>
  <c r="L4902" i="28"/>
  <c r="M4902" i="28" s="1"/>
  <c r="L4903" i="28"/>
  <c r="M4903" i="28" s="1"/>
  <c r="L4904" i="28"/>
  <c r="M4904" i="28" s="1"/>
  <c r="L4905" i="28"/>
  <c r="M4905" i="28" s="1"/>
  <c r="L4906" i="28"/>
  <c r="M4906" i="28" s="1"/>
  <c r="L4907" i="28"/>
  <c r="M4907" i="28" s="1"/>
  <c r="L4908" i="28"/>
  <c r="M4908" i="28" s="1"/>
  <c r="L4909" i="28"/>
  <c r="M4909" i="28" s="1"/>
  <c r="L4910" i="28"/>
  <c r="M4910" i="28" s="1"/>
  <c r="L4911" i="28"/>
  <c r="M4911" i="28" s="1"/>
  <c r="L4912" i="28"/>
  <c r="M4912" i="28" s="1"/>
  <c r="L4913" i="28"/>
  <c r="M4913" i="28" s="1"/>
  <c r="L4914" i="28"/>
  <c r="M4914" i="28" s="1"/>
  <c r="L4915" i="28"/>
  <c r="M4915" i="28" s="1"/>
  <c r="L4916" i="28"/>
  <c r="M4916" i="28" s="1"/>
  <c r="L4917" i="28"/>
  <c r="M4917" i="28" s="1"/>
  <c r="L4918" i="28"/>
  <c r="M4918" i="28" s="1"/>
  <c r="L4919" i="28"/>
  <c r="M4919" i="28" s="1"/>
  <c r="L4920" i="28"/>
  <c r="M4920" i="28" s="1"/>
  <c r="L4921" i="28"/>
  <c r="M4921" i="28" s="1"/>
  <c r="L4922" i="28"/>
  <c r="M4922" i="28" s="1"/>
  <c r="L4923" i="28"/>
  <c r="M4923" i="28" s="1"/>
  <c r="L4924" i="28"/>
  <c r="M4924" i="28" s="1"/>
  <c r="L4925" i="28"/>
  <c r="M4925" i="28" s="1"/>
  <c r="L4926" i="28"/>
  <c r="M4926" i="28" s="1"/>
  <c r="L4927" i="28"/>
  <c r="M4927" i="28" s="1"/>
  <c r="L4928" i="28"/>
  <c r="M4928" i="28" s="1"/>
  <c r="L4929" i="28"/>
  <c r="M4929" i="28" s="1"/>
  <c r="L4930" i="28"/>
  <c r="M4930" i="28" s="1"/>
  <c r="L4931" i="28"/>
  <c r="M4931" i="28" s="1"/>
  <c r="L4932" i="28"/>
  <c r="M4932" i="28" s="1"/>
  <c r="L4933" i="28"/>
  <c r="M4933" i="28" s="1"/>
  <c r="L4934" i="28"/>
  <c r="M4934" i="28" s="1"/>
  <c r="L4935" i="28"/>
  <c r="M4935" i="28" s="1"/>
  <c r="L4936" i="28"/>
  <c r="M4936" i="28" s="1"/>
  <c r="L4937" i="28"/>
  <c r="M4937" i="28" s="1"/>
  <c r="L4938" i="28"/>
  <c r="M4938" i="28" s="1"/>
  <c r="L4939" i="28"/>
  <c r="M4939" i="28" s="1"/>
  <c r="L4940" i="28"/>
  <c r="M4940" i="28" s="1"/>
  <c r="L4941" i="28"/>
  <c r="M4941" i="28" s="1"/>
  <c r="L4942" i="28"/>
  <c r="M4942" i="28" s="1"/>
  <c r="L4943" i="28"/>
  <c r="M4943" i="28" s="1"/>
  <c r="L4944" i="28"/>
  <c r="M4944" i="28" s="1"/>
  <c r="L4945" i="28"/>
  <c r="M4945" i="28" s="1"/>
  <c r="L4946" i="28"/>
  <c r="M4946" i="28" s="1"/>
  <c r="L4947" i="28"/>
  <c r="M4947" i="28" s="1"/>
  <c r="L4948" i="28"/>
  <c r="M4948" i="28" s="1"/>
  <c r="L4949" i="28"/>
  <c r="M4949" i="28" s="1"/>
  <c r="L4950" i="28"/>
  <c r="M4950" i="28" s="1"/>
  <c r="L4951" i="28"/>
  <c r="M4951" i="28" s="1"/>
  <c r="L4952" i="28"/>
  <c r="M4952" i="28" s="1"/>
  <c r="L4953" i="28"/>
  <c r="M4953" i="28" s="1"/>
  <c r="L4954" i="28"/>
  <c r="M4954" i="28" s="1"/>
  <c r="L4955" i="28"/>
  <c r="M4955" i="28" s="1"/>
  <c r="L4956" i="28"/>
  <c r="M4956" i="28" s="1"/>
  <c r="L4957" i="28"/>
  <c r="M4957" i="28" s="1"/>
  <c r="L4958" i="28"/>
  <c r="M4958" i="28" s="1"/>
  <c r="L4959" i="28"/>
  <c r="M4959" i="28" s="1"/>
  <c r="L4960" i="28"/>
  <c r="M4960" i="28" s="1"/>
  <c r="L4961" i="28"/>
  <c r="M4961" i="28" s="1"/>
  <c r="L4962" i="28"/>
  <c r="M4962" i="28" s="1"/>
  <c r="L4963" i="28"/>
  <c r="M4963" i="28" s="1"/>
  <c r="L4964" i="28"/>
  <c r="M4964" i="28" s="1"/>
  <c r="L4965" i="28"/>
  <c r="M4965" i="28" s="1"/>
  <c r="L4966" i="28"/>
  <c r="M4966" i="28" s="1"/>
  <c r="L4967" i="28"/>
  <c r="M4967" i="28" s="1"/>
  <c r="L4968" i="28"/>
  <c r="M4968" i="28" s="1"/>
  <c r="L4969" i="28"/>
  <c r="M4969" i="28" s="1"/>
  <c r="L4970" i="28"/>
  <c r="M4970" i="28" s="1"/>
  <c r="L4971" i="28"/>
  <c r="M4971" i="28" s="1"/>
  <c r="L4972" i="28"/>
  <c r="M4972" i="28" s="1"/>
  <c r="L4973" i="28"/>
  <c r="M4973" i="28" s="1"/>
  <c r="L4974" i="28"/>
  <c r="M4974" i="28" s="1"/>
  <c r="L4975" i="28"/>
  <c r="M4975" i="28" s="1"/>
  <c r="L4976" i="28"/>
  <c r="M4976" i="28" s="1"/>
  <c r="L4977" i="28"/>
  <c r="M4977" i="28" s="1"/>
  <c r="L4978" i="28"/>
  <c r="M4978" i="28" s="1"/>
  <c r="L4979" i="28"/>
  <c r="M4979" i="28" s="1"/>
  <c r="L4980" i="28"/>
  <c r="M4980" i="28" s="1"/>
  <c r="L4981" i="28"/>
  <c r="M4981" i="28" s="1"/>
  <c r="L4982" i="28"/>
  <c r="M4982" i="28" s="1"/>
  <c r="L4983" i="28"/>
  <c r="M4983" i="28" s="1"/>
  <c r="L4984" i="28"/>
  <c r="M4984" i="28" s="1"/>
  <c r="L4985" i="28"/>
  <c r="M4985" i="28" s="1"/>
  <c r="L4986" i="28"/>
  <c r="M4986" i="28" s="1"/>
  <c r="L4987" i="28"/>
  <c r="M4987" i="28" s="1"/>
  <c r="L4988" i="28"/>
  <c r="M4988" i="28" s="1"/>
  <c r="L4989" i="28"/>
  <c r="M4989" i="28" s="1"/>
  <c r="L4990" i="28"/>
  <c r="M4990" i="28" s="1"/>
  <c r="L4991" i="28"/>
  <c r="M4991" i="28" s="1"/>
  <c r="L4992" i="28"/>
  <c r="M4992" i="28" s="1"/>
  <c r="L4993" i="28"/>
  <c r="M4993" i="28" s="1"/>
  <c r="L4994" i="28"/>
  <c r="M4994" i="28" s="1"/>
  <c r="L4995" i="28"/>
  <c r="M4995" i="28" s="1"/>
  <c r="L4996" i="28"/>
  <c r="M4996" i="28" s="1"/>
  <c r="L4997" i="28"/>
  <c r="M4997" i="28" s="1"/>
  <c r="L4998" i="28"/>
  <c r="M4998" i="28" s="1"/>
  <c r="L4999" i="28"/>
  <c r="M4999" i="28" s="1"/>
  <c r="L5000" i="28"/>
  <c r="M5000" i="28" s="1"/>
  <c r="L5001" i="28"/>
  <c r="M5001" i="28" s="1"/>
  <c r="L5002" i="28"/>
  <c r="M5002" i="28" s="1"/>
  <c r="L5003" i="28"/>
  <c r="L5004" i="28"/>
  <c r="M5004" i="28" s="1"/>
  <c r="L5005" i="28"/>
  <c r="M5005" i="28" s="1"/>
  <c r="L5006" i="28"/>
  <c r="M5006" i="28" s="1"/>
  <c r="L5007" i="28"/>
  <c r="M5007" i="28" s="1"/>
  <c r="L5008" i="28"/>
  <c r="M5008" i="28" s="1"/>
  <c r="L5009" i="28"/>
  <c r="M5009" i="28" s="1"/>
  <c r="L5010" i="28"/>
  <c r="M5010" i="28" s="1"/>
  <c r="L5011" i="28"/>
  <c r="M5011" i="28" s="1"/>
  <c r="L5012" i="28"/>
  <c r="M5012" i="28" s="1"/>
  <c r="L5013" i="28"/>
  <c r="M5013" i="28" s="1"/>
  <c r="L5014" i="28"/>
  <c r="M5014" i="28" s="1"/>
  <c r="L5015" i="28"/>
  <c r="M5015" i="28" s="1"/>
  <c r="L5016" i="28"/>
  <c r="M5016" i="28" s="1"/>
  <c r="L5017" i="28"/>
  <c r="M5017" i="28" s="1"/>
  <c r="L5018" i="28"/>
  <c r="M5018" i="28" s="1"/>
  <c r="L5019" i="28"/>
  <c r="M5019" i="28" s="1"/>
  <c r="L5020" i="28"/>
  <c r="M5020" i="28" s="1"/>
  <c r="L5021" i="28"/>
  <c r="M5021" i="28" s="1"/>
  <c r="L5022" i="28"/>
  <c r="M5022" i="28" s="1"/>
  <c r="L5023" i="28"/>
  <c r="M5023" i="28" s="1"/>
  <c r="L5024" i="28"/>
  <c r="M5024" i="28" s="1"/>
  <c r="L5025" i="28"/>
  <c r="M5025" i="28" s="1"/>
  <c r="L5026" i="28"/>
  <c r="M5026" i="28" s="1"/>
  <c r="L5027" i="28"/>
  <c r="M5027" i="28" s="1"/>
  <c r="L5028" i="28"/>
  <c r="M5028" i="28" s="1"/>
  <c r="L5029" i="28"/>
  <c r="M5029" i="28" s="1"/>
  <c r="L5030" i="28"/>
  <c r="M5030" i="28" s="1"/>
  <c r="L5031" i="28"/>
  <c r="M5031" i="28" s="1"/>
  <c r="L5032" i="28"/>
  <c r="M5032" i="28" s="1"/>
  <c r="L5033" i="28"/>
  <c r="M5033" i="28" s="1"/>
  <c r="L5034" i="28"/>
  <c r="M5034" i="28" s="1"/>
  <c r="L5035" i="28"/>
  <c r="M5035" i="28" s="1"/>
  <c r="L5036" i="28"/>
  <c r="M5036" i="28" s="1"/>
  <c r="L5037" i="28"/>
  <c r="M5037" i="28" s="1"/>
  <c r="L5038" i="28"/>
  <c r="M5038" i="28" s="1"/>
  <c r="L5039" i="28"/>
  <c r="M5039" i="28" s="1"/>
  <c r="L5040" i="28"/>
  <c r="M5040" i="28" s="1"/>
  <c r="L5041" i="28"/>
  <c r="M5041" i="28" s="1"/>
  <c r="L5042" i="28"/>
  <c r="M5042" i="28" s="1"/>
  <c r="L5043" i="28"/>
  <c r="M5043" i="28" s="1"/>
  <c r="L5044" i="28"/>
  <c r="M5044" i="28" s="1"/>
  <c r="L5045" i="28"/>
  <c r="M5045" i="28" s="1"/>
  <c r="L5046" i="28"/>
  <c r="M5046" i="28" s="1"/>
  <c r="L5047" i="28"/>
  <c r="M5047" i="28" s="1"/>
  <c r="L5048" i="28"/>
  <c r="M5048" i="28" s="1"/>
  <c r="L5049" i="28"/>
  <c r="M5049" i="28" s="1"/>
  <c r="L5050" i="28"/>
  <c r="M5050" i="28" s="1"/>
  <c r="L5051" i="28"/>
  <c r="M5051" i="28" s="1"/>
  <c r="L5052" i="28"/>
  <c r="M5052" i="28" s="1"/>
  <c r="L5053" i="28"/>
  <c r="M5053" i="28" s="1"/>
  <c r="L5054" i="28"/>
  <c r="M5054" i="28" s="1"/>
  <c r="L5055" i="28"/>
  <c r="M5055" i="28" s="1"/>
  <c r="L5056" i="28"/>
  <c r="M5056" i="28" s="1"/>
  <c r="L5057" i="28"/>
  <c r="M5057" i="28" s="1"/>
  <c r="L5058" i="28"/>
  <c r="M5058" i="28" s="1"/>
  <c r="L5059" i="28"/>
  <c r="M5059" i="28" s="1"/>
  <c r="L5060" i="28"/>
  <c r="M5060" i="28" s="1"/>
  <c r="L5061" i="28"/>
  <c r="M5061" i="28" s="1"/>
  <c r="L5062" i="28"/>
  <c r="M5062" i="28" s="1"/>
  <c r="L5063" i="28"/>
  <c r="M5063" i="28" s="1"/>
  <c r="L5064" i="28"/>
  <c r="M5064" i="28" s="1"/>
  <c r="L5065" i="28"/>
  <c r="M5065" i="28" s="1"/>
  <c r="L5066" i="28"/>
  <c r="M5066" i="28" s="1"/>
  <c r="L5067" i="28"/>
  <c r="M5067" i="28" s="1"/>
  <c r="L5068" i="28"/>
  <c r="M5068" i="28" s="1"/>
  <c r="L5069" i="28"/>
  <c r="M5069" i="28" s="1"/>
  <c r="L5070" i="28"/>
  <c r="M5070" i="28" s="1"/>
  <c r="L5071" i="28"/>
  <c r="M5071" i="28" s="1"/>
  <c r="L5072" i="28"/>
  <c r="M5072" i="28" s="1"/>
  <c r="L5073" i="28"/>
  <c r="M5073" i="28" s="1"/>
  <c r="L5074" i="28"/>
  <c r="M5074" i="28" s="1"/>
  <c r="L5075" i="28"/>
  <c r="M5075" i="28" s="1"/>
  <c r="L5076" i="28"/>
  <c r="M5076" i="28" s="1"/>
  <c r="L5077" i="28"/>
  <c r="M5077" i="28" s="1"/>
  <c r="L5078" i="28"/>
  <c r="M5078" i="28" s="1"/>
  <c r="L5079" i="28"/>
  <c r="M5079" i="28" s="1"/>
  <c r="L5080" i="28"/>
  <c r="M5080" i="28" s="1"/>
  <c r="L5081" i="28"/>
  <c r="M5081" i="28" s="1"/>
  <c r="L5082" i="28"/>
  <c r="M5082" i="28" s="1"/>
  <c r="L5083" i="28"/>
  <c r="M5083" i="28" s="1"/>
  <c r="L5084" i="28"/>
  <c r="M5084" i="28" s="1"/>
  <c r="L5085" i="28"/>
  <c r="M5085" i="28" s="1"/>
  <c r="L5086" i="28"/>
  <c r="M5086" i="28" s="1"/>
  <c r="L5087" i="28"/>
  <c r="M5087" i="28" s="1"/>
  <c r="L5088" i="28"/>
  <c r="M5088" i="28" s="1"/>
  <c r="L5089" i="28"/>
  <c r="M5089" i="28" s="1"/>
  <c r="L5090" i="28"/>
  <c r="M5090" i="28" s="1"/>
  <c r="L5091" i="28"/>
  <c r="M5091" i="28" s="1"/>
  <c r="L5092" i="28"/>
  <c r="M5092" i="28" s="1"/>
  <c r="L5093" i="28"/>
  <c r="M5093" i="28" s="1"/>
  <c r="L5094" i="28"/>
  <c r="M5094" i="28" s="1"/>
  <c r="L5095" i="28"/>
  <c r="M5095" i="28" s="1"/>
  <c r="L5096" i="28"/>
  <c r="M5096" i="28" s="1"/>
  <c r="L5097" i="28"/>
  <c r="M5097" i="28" s="1"/>
  <c r="L5098" i="28"/>
  <c r="M5098" i="28" s="1"/>
  <c r="L5099" i="28"/>
  <c r="M5099" i="28" s="1"/>
  <c r="L5100" i="28"/>
  <c r="M5100" i="28" s="1"/>
  <c r="L5101" i="28"/>
  <c r="M5101" i="28" s="1"/>
  <c r="L5102" i="28"/>
  <c r="M5102" i="28" s="1"/>
  <c r="L5103" i="28"/>
  <c r="M5103" i="28" s="1"/>
  <c r="L5104" i="28"/>
  <c r="M5104" i="28" s="1"/>
  <c r="L5105" i="28"/>
  <c r="M5105" i="28" s="1"/>
  <c r="L5106" i="28"/>
  <c r="M5106" i="28" s="1"/>
  <c r="L5107" i="28"/>
  <c r="M5107" i="28" s="1"/>
  <c r="L5108" i="28"/>
  <c r="M5108" i="28" s="1"/>
  <c r="L5109" i="28"/>
  <c r="M5109" i="28" s="1"/>
  <c r="L5110" i="28"/>
  <c r="M5110" i="28" s="1"/>
  <c r="L5111" i="28"/>
  <c r="M5111" i="28" s="1"/>
  <c r="L5112" i="28"/>
  <c r="M5112" i="28" s="1"/>
  <c r="L5113" i="28"/>
  <c r="M5113" i="28" s="1"/>
  <c r="L5114" i="28"/>
  <c r="M5114" i="28" s="1"/>
  <c r="L5115" i="28"/>
  <c r="M5115" i="28" s="1"/>
  <c r="L5116" i="28"/>
  <c r="M5116" i="28" s="1"/>
  <c r="L5117" i="28"/>
  <c r="M5117" i="28" s="1"/>
  <c r="L5118" i="28"/>
  <c r="M5118" i="28" s="1"/>
  <c r="L5119" i="28"/>
  <c r="M5119" i="28" s="1"/>
  <c r="L5120" i="28"/>
  <c r="M5120" i="28" s="1"/>
  <c r="L5121" i="28"/>
  <c r="M5121" i="28" s="1"/>
  <c r="L5122" i="28"/>
  <c r="M5122" i="28" s="1"/>
  <c r="L5123" i="28"/>
  <c r="M5123" i="28" s="1"/>
  <c r="L5124" i="28"/>
  <c r="M5124" i="28" s="1"/>
  <c r="L5125" i="28"/>
  <c r="M5125" i="28" s="1"/>
  <c r="L5126" i="28"/>
  <c r="M5126" i="28" s="1"/>
  <c r="L5127" i="28"/>
  <c r="M5127" i="28" s="1"/>
  <c r="L5128" i="28"/>
  <c r="M5128" i="28" s="1"/>
  <c r="L5129" i="28"/>
  <c r="M5129" i="28" s="1"/>
  <c r="L5130" i="28"/>
  <c r="M5130" i="28" s="1"/>
  <c r="L5131" i="28"/>
  <c r="M5131" i="28" s="1"/>
  <c r="L5132" i="28"/>
  <c r="M5132" i="28" s="1"/>
  <c r="L5133" i="28"/>
  <c r="M5133" i="28" s="1"/>
  <c r="L5134" i="28"/>
  <c r="M5134" i="28" s="1"/>
  <c r="L5135" i="28"/>
  <c r="M5135" i="28" s="1"/>
  <c r="L5136" i="28"/>
  <c r="M5136" i="28" s="1"/>
  <c r="L5137" i="28"/>
  <c r="M5137" i="28" s="1"/>
  <c r="L5138" i="28"/>
  <c r="M5138" i="28" s="1"/>
  <c r="L5139" i="28"/>
  <c r="M5139" i="28" s="1"/>
  <c r="L5140" i="28"/>
  <c r="M5140" i="28" s="1"/>
  <c r="L5141" i="28"/>
  <c r="M5141" i="28" s="1"/>
  <c r="L5142" i="28"/>
  <c r="M5142" i="28" s="1"/>
  <c r="L5143" i="28"/>
  <c r="M5143" i="28" s="1"/>
  <c r="L5144" i="28"/>
  <c r="M5144" i="28" s="1"/>
  <c r="L5145" i="28"/>
  <c r="M5145" i="28" s="1"/>
  <c r="L5146" i="28"/>
  <c r="M5146" i="28" s="1"/>
  <c r="L5147" i="28"/>
  <c r="M5147" i="28" s="1"/>
  <c r="L5148" i="28"/>
  <c r="M5148" i="28" s="1"/>
  <c r="L5149" i="28"/>
  <c r="M5149" i="28" s="1"/>
  <c r="L5150" i="28"/>
  <c r="M5150" i="28" s="1"/>
  <c r="L5151" i="28"/>
  <c r="M5151" i="28" s="1"/>
  <c r="L5152" i="28"/>
  <c r="M5152" i="28" s="1"/>
  <c r="L5153" i="28"/>
  <c r="M5153" i="28" s="1"/>
  <c r="L5154" i="28"/>
  <c r="M5154" i="28" s="1"/>
  <c r="L5155" i="28"/>
  <c r="M5155" i="28" s="1"/>
  <c r="L5156" i="28"/>
  <c r="M5156" i="28" s="1"/>
  <c r="L5157" i="28"/>
  <c r="M5157" i="28" s="1"/>
  <c r="L5158" i="28"/>
  <c r="M5158" i="28" s="1"/>
  <c r="L5159" i="28"/>
  <c r="M5159" i="28" s="1"/>
  <c r="L5160" i="28"/>
  <c r="M5160" i="28" s="1"/>
  <c r="L5161" i="28"/>
  <c r="M5161" i="28" s="1"/>
  <c r="L5162" i="28"/>
  <c r="M5162" i="28" s="1"/>
  <c r="L5163" i="28"/>
  <c r="M5163" i="28" s="1"/>
  <c r="L5164" i="28"/>
  <c r="M5164" i="28" s="1"/>
  <c r="L5165" i="28"/>
  <c r="M5165" i="28" s="1"/>
  <c r="L5166" i="28"/>
  <c r="M5166" i="28" s="1"/>
  <c r="L5167" i="28"/>
  <c r="M5167" i="28" s="1"/>
  <c r="L5168" i="28"/>
  <c r="M5168" i="28" s="1"/>
  <c r="L5169" i="28"/>
  <c r="M5169" i="28" s="1"/>
  <c r="L5170" i="28"/>
  <c r="M5170" i="28" s="1"/>
  <c r="L5171" i="28"/>
  <c r="M5171" i="28" s="1"/>
  <c r="L5172" i="28"/>
  <c r="M5172" i="28" s="1"/>
  <c r="L5173" i="28"/>
  <c r="M5173" i="28" s="1"/>
  <c r="L5174" i="28"/>
  <c r="M5174" i="28" s="1"/>
  <c r="L5175" i="28"/>
  <c r="M5175" i="28" s="1"/>
  <c r="L5176" i="28"/>
  <c r="M5176" i="28" s="1"/>
  <c r="L5177" i="28"/>
  <c r="M5177" i="28" s="1"/>
  <c r="L5178" i="28"/>
  <c r="M5178" i="28" s="1"/>
  <c r="L5179" i="28"/>
  <c r="M5179" i="28" s="1"/>
  <c r="L5180" i="28"/>
  <c r="M5180" i="28" s="1"/>
  <c r="L5181" i="28"/>
  <c r="M5181" i="28" s="1"/>
  <c r="L5182" i="28"/>
  <c r="M5182" i="28" s="1"/>
  <c r="L5183" i="28"/>
  <c r="M5183" i="28" s="1"/>
  <c r="L5184" i="28"/>
  <c r="M5184" i="28" s="1"/>
  <c r="L5185" i="28"/>
  <c r="M5185" i="28" s="1"/>
  <c r="L5186" i="28"/>
  <c r="M5186" i="28" s="1"/>
  <c r="L5187" i="28"/>
  <c r="M5187" i="28" s="1"/>
  <c r="L5188" i="28"/>
  <c r="M5188" i="28" s="1"/>
  <c r="L5189" i="28"/>
  <c r="M5189" i="28" s="1"/>
  <c r="L5190" i="28"/>
  <c r="M5190" i="28" s="1"/>
  <c r="L5191" i="28"/>
  <c r="M5191" i="28" s="1"/>
  <c r="L5192" i="28"/>
  <c r="M5192" i="28" s="1"/>
  <c r="L5193" i="28"/>
  <c r="M5193" i="28" s="1"/>
  <c r="L5194" i="28"/>
  <c r="M5194" i="28" s="1"/>
  <c r="L5195" i="28"/>
  <c r="M5195" i="28" s="1"/>
  <c r="L5196" i="28"/>
  <c r="M5196" i="28" s="1"/>
  <c r="L5197" i="28"/>
  <c r="M5197" i="28" s="1"/>
  <c r="L5198" i="28"/>
  <c r="M5198" i="28" s="1"/>
  <c r="L5199" i="28"/>
  <c r="M5199" i="28" s="1"/>
  <c r="L5200" i="28"/>
  <c r="M5200" i="28" s="1"/>
  <c r="L5201" i="28"/>
  <c r="M5201" i="28" s="1"/>
  <c r="L5202" i="28"/>
  <c r="M5202" i="28" s="1"/>
  <c r="L5203" i="28"/>
  <c r="M5203" i="28" s="1"/>
  <c r="L5204" i="28"/>
  <c r="M5204" i="28" s="1"/>
  <c r="L5205" i="28"/>
  <c r="M5205" i="28" s="1"/>
  <c r="L5206" i="28"/>
  <c r="M5206" i="28" s="1"/>
  <c r="L5207" i="28"/>
  <c r="M5207" i="28" s="1"/>
  <c r="L5208" i="28"/>
  <c r="M5208" i="28" s="1"/>
  <c r="L5209" i="28"/>
  <c r="M5209" i="28" s="1"/>
  <c r="L5210" i="28"/>
  <c r="M5210" i="28" s="1"/>
  <c r="L5211" i="28"/>
  <c r="M5211" i="28" s="1"/>
  <c r="L5212" i="28"/>
  <c r="M5212" i="28" s="1"/>
  <c r="L5213" i="28"/>
  <c r="M5213" i="28" s="1"/>
  <c r="L5214" i="28"/>
  <c r="M5214" i="28" s="1"/>
  <c r="L5215" i="28"/>
  <c r="M5215" i="28" s="1"/>
  <c r="L5216" i="28"/>
  <c r="M5216" i="28" s="1"/>
  <c r="L5217" i="28"/>
  <c r="M5217" i="28" s="1"/>
  <c r="L5218" i="28"/>
  <c r="M5218" i="28" s="1"/>
  <c r="L5219" i="28"/>
  <c r="M5219" i="28" s="1"/>
  <c r="L5220" i="28"/>
  <c r="M5220" i="28" s="1"/>
  <c r="L5221" i="28"/>
  <c r="M5221" i="28" s="1"/>
  <c r="L5222" i="28"/>
  <c r="M5222" i="28" s="1"/>
  <c r="L5223" i="28"/>
  <c r="M5223" i="28" s="1"/>
  <c r="L5224" i="28"/>
  <c r="M5224" i="28" s="1"/>
  <c r="L5225" i="28"/>
  <c r="M5225" i="28" s="1"/>
  <c r="L5226" i="28"/>
  <c r="M5226" i="28" s="1"/>
  <c r="L5227" i="28"/>
  <c r="M5227" i="28" s="1"/>
  <c r="L5228" i="28"/>
  <c r="M5228" i="28" s="1"/>
  <c r="L5229" i="28"/>
  <c r="M5229" i="28" s="1"/>
  <c r="L5230" i="28"/>
  <c r="M5230" i="28" s="1"/>
  <c r="L5231" i="28"/>
  <c r="M5231" i="28" s="1"/>
  <c r="L5232" i="28"/>
  <c r="M5232" i="28" s="1"/>
  <c r="L5233" i="28"/>
  <c r="M5233" i="28" s="1"/>
  <c r="L5234" i="28"/>
  <c r="M5234" i="28" s="1"/>
  <c r="L5235" i="28"/>
  <c r="M5235" i="28" s="1"/>
  <c r="L5236" i="28"/>
  <c r="M5236" i="28" s="1"/>
  <c r="L5237" i="28"/>
  <c r="M5237" i="28" s="1"/>
  <c r="L5238" i="28"/>
  <c r="M5238" i="28" s="1"/>
  <c r="L5239" i="28"/>
  <c r="M5239" i="28" s="1"/>
  <c r="L5240" i="28"/>
  <c r="M5240" i="28" s="1"/>
  <c r="L5241" i="28"/>
  <c r="M5241" i="28" s="1"/>
  <c r="L5242" i="28"/>
  <c r="M5242" i="28" s="1"/>
  <c r="L5243" i="28"/>
  <c r="M5243" i="28" s="1"/>
  <c r="L5244" i="28"/>
  <c r="M5244" i="28" s="1"/>
  <c r="L5245" i="28"/>
  <c r="M5245" i="28" s="1"/>
  <c r="L5246" i="28"/>
  <c r="M5246" i="28" s="1"/>
  <c r="L5247" i="28"/>
  <c r="M5247" i="28" s="1"/>
  <c r="L5248" i="28"/>
  <c r="M5248" i="28" s="1"/>
  <c r="L5249" i="28"/>
  <c r="M5249" i="28" s="1"/>
  <c r="L5250" i="28"/>
  <c r="M5250" i="28" s="1"/>
  <c r="L5251" i="28"/>
  <c r="M5251" i="28" s="1"/>
  <c r="L5252" i="28"/>
  <c r="M5252" i="28" s="1"/>
  <c r="L5253" i="28"/>
  <c r="M5253" i="28" s="1"/>
  <c r="L5254" i="28"/>
  <c r="M5254" i="28" s="1"/>
  <c r="L5255" i="28"/>
  <c r="M5255" i="28" s="1"/>
  <c r="L5256" i="28"/>
  <c r="M5256" i="28" s="1"/>
  <c r="L5257" i="28"/>
  <c r="M5257" i="28" s="1"/>
  <c r="L5258" i="28"/>
  <c r="M5258" i="28" s="1"/>
  <c r="L5259" i="28"/>
  <c r="M5259" i="28" s="1"/>
  <c r="L5260" i="28"/>
  <c r="M5260" i="28" s="1"/>
  <c r="L5261" i="28"/>
  <c r="M5261" i="28" s="1"/>
  <c r="L5262" i="28"/>
  <c r="M5262" i="28" s="1"/>
  <c r="L5263" i="28"/>
  <c r="M5263" i="28" s="1"/>
  <c r="L5264" i="28"/>
  <c r="M5264" i="28" s="1"/>
  <c r="L5265" i="28"/>
  <c r="M5265" i="28" s="1"/>
  <c r="L5266" i="28"/>
  <c r="M5266" i="28" s="1"/>
  <c r="L5267" i="28"/>
  <c r="M5267" i="28" s="1"/>
  <c r="L5268" i="28"/>
  <c r="M5268" i="28" s="1"/>
  <c r="L5269" i="28"/>
  <c r="M5269" i="28" s="1"/>
  <c r="L5270" i="28"/>
  <c r="M5270" i="28" s="1"/>
  <c r="L5271" i="28"/>
  <c r="M5271" i="28" s="1"/>
  <c r="L5272" i="28"/>
  <c r="M5272" i="28" s="1"/>
  <c r="L5273" i="28"/>
  <c r="M5273" i="28" s="1"/>
  <c r="L5274" i="28"/>
  <c r="M5274" i="28" s="1"/>
  <c r="L5275" i="28"/>
  <c r="M5275" i="28" s="1"/>
  <c r="L5276" i="28"/>
  <c r="M5276" i="28" s="1"/>
  <c r="L5277" i="28"/>
  <c r="M5277" i="28" s="1"/>
  <c r="L5278" i="28"/>
  <c r="M5278" i="28" s="1"/>
  <c r="L5279" i="28"/>
  <c r="M5279" i="28" s="1"/>
  <c r="L5280" i="28"/>
  <c r="M5280" i="28" s="1"/>
  <c r="L5281" i="28"/>
  <c r="M5281" i="28" s="1"/>
  <c r="L5282" i="28"/>
  <c r="M5282" i="28" s="1"/>
  <c r="L5283" i="28"/>
  <c r="M5283" i="28" s="1"/>
  <c r="L5284" i="28"/>
  <c r="M5284" i="28" s="1"/>
  <c r="L5285" i="28"/>
  <c r="M5285" i="28" s="1"/>
  <c r="L5286" i="28"/>
  <c r="M5286" i="28" s="1"/>
  <c r="L5287" i="28"/>
  <c r="M5287" i="28" s="1"/>
  <c r="L5288" i="28"/>
  <c r="M5288" i="28" s="1"/>
  <c r="L5289" i="28"/>
  <c r="M5289" i="28" s="1"/>
  <c r="L5290" i="28"/>
  <c r="M5290" i="28" s="1"/>
  <c r="L5291" i="28"/>
  <c r="M5291" i="28" s="1"/>
  <c r="L5292" i="28"/>
  <c r="M5292" i="28" s="1"/>
  <c r="L5293" i="28"/>
  <c r="M5293" i="28" s="1"/>
  <c r="L5294" i="28"/>
  <c r="M5294" i="28" s="1"/>
  <c r="L5295" i="28"/>
  <c r="M5295" i="28" s="1"/>
  <c r="L5296" i="28"/>
  <c r="M5296" i="28" s="1"/>
  <c r="L5297" i="28"/>
  <c r="M5297" i="28" s="1"/>
  <c r="L5298" i="28"/>
  <c r="M5298" i="28" s="1"/>
  <c r="L5299" i="28"/>
  <c r="M5299" i="28" s="1"/>
  <c r="L5300" i="28"/>
  <c r="M5300" i="28" s="1"/>
  <c r="L5301" i="28"/>
  <c r="M5301" i="28" s="1"/>
  <c r="L5302" i="28"/>
  <c r="M5302" i="28" s="1"/>
  <c r="L5303" i="28"/>
  <c r="M5303" i="28" s="1"/>
  <c r="L5304" i="28"/>
  <c r="M5304" i="28" s="1"/>
  <c r="L5305" i="28"/>
  <c r="M5305" i="28" s="1"/>
  <c r="L5306" i="28"/>
  <c r="M5306" i="28" s="1"/>
  <c r="L5307" i="28"/>
  <c r="M5307" i="28" s="1"/>
  <c r="L5308" i="28"/>
  <c r="M5308" i="28" s="1"/>
  <c r="L5309" i="28"/>
  <c r="M5309" i="28" s="1"/>
  <c r="L5310" i="28"/>
  <c r="M5310" i="28" s="1"/>
  <c r="L5311" i="28"/>
  <c r="M5311" i="28" s="1"/>
  <c r="L5312" i="28"/>
  <c r="M5312" i="28" s="1"/>
  <c r="L5313" i="28"/>
  <c r="M5313" i="28" s="1"/>
  <c r="L5314" i="28"/>
  <c r="M5314" i="28" s="1"/>
  <c r="L5315" i="28"/>
  <c r="M5315" i="28" s="1"/>
  <c r="L5316" i="28"/>
  <c r="M5316" i="28" s="1"/>
  <c r="L5317" i="28"/>
  <c r="M5317" i="28" s="1"/>
  <c r="L5318" i="28"/>
  <c r="M5318" i="28" s="1"/>
  <c r="L5319" i="28"/>
  <c r="M5319" i="28" s="1"/>
  <c r="L5320" i="28"/>
  <c r="M5320" i="28" s="1"/>
  <c r="L5321" i="28"/>
  <c r="M5321" i="28" s="1"/>
  <c r="L5322" i="28"/>
  <c r="M5322" i="28" s="1"/>
  <c r="L5323" i="28"/>
  <c r="M5323" i="28" s="1"/>
  <c r="L5324" i="28"/>
  <c r="M5324" i="28" s="1"/>
  <c r="L5325" i="28"/>
  <c r="M5325" i="28" s="1"/>
  <c r="L5326" i="28"/>
  <c r="M5326" i="28" s="1"/>
  <c r="L5327" i="28"/>
  <c r="M5327" i="28" s="1"/>
  <c r="L5328" i="28"/>
  <c r="M5328" i="28" s="1"/>
  <c r="L5329" i="28"/>
  <c r="M5329" i="28" s="1"/>
  <c r="L5330" i="28"/>
  <c r="M5330" i="28" s="1"/>
  <c r="L5331" i="28"/>
  <c r="M5331" i="28" s="1"/>
  <c r="L5332" i="28"/>
  <c r="M5332" i="28" s="1"/>
  <c r="L5333" i="28"/>
  <c r="M5333" i="28" s="1"/>
  <c r="L5334" i="28"/>
  <c r="M5334" i="28" s="1"/>
  <c r="L5335" i="28"/>
  <c r="M5335" i="28" s="1"/>
  <c r="L5336" i="28"/>
  <c r="M5336" i="28" s="1"/>
  <c r="L5337" i="28"/>
  <c r="M5337" i="28" s="1"/>
  <c r="L5338" i="28"/>
  <c r="M5338" i="28" s="1"/>
  <c r="L5339" i="28"/>
  <c r="M5339" i="28" s="1"/>
  <c r="L5340" i="28"/>
  <c r="M5340" i="28" s="1"/>
  <c r="L5341" i="28"/>
  <c r="M5341" i="28" s="1"/>
  <c r="L5342" i="28"/>
  <c r="M5342" i="28" s="1"/>
  <c r="L5343" i="28"/>
  <c r="M5343" i="28" s="1"/>
  <c r="L5344" i="28"/>
  <c r="M5344" i="28" s="1"/>
  <c r="L5345" i="28"/>
  <c r="M5345" i="28" s="1"/>
  <c r="L5346" i="28"/>
  <c r="M5346" i="28" s="1"/>
  <c r="L5347" i="28"/>
  <c r="M5347" i="28" s="1"/>
  <c r="L5348" i="28"/>
  <c r="M5348" i="28" s="1"/>
  <c r="L5349" i="28"/>
  <c r="M5349" i="28" s="1"/>
  <c r="L5350" i="28"/>
  <c r="M5350" i="28" s="1"/>
  <c r="L5351" i="28"/>
  <c r="M5351" i="28" s="1"/>
  <c r="L5352" i="28"/>
  <c r="M5352" i="28" s="1"/>
  <c r="L5353" i="28"/>
  <c r="M5353" i="28" s="1"/>
  <c r="L5354" i="28"/>
  <c r="M5354" i="28" s="1"/>
  <c r="L5355" i="28"/>
  <c r="M5355" i="28" s="1"/>
  <c r="L5356" i="28"/>
  <c r="M5356" i="28" s="1"/>
  <c r="L5357" i="28"/>
  <c r="M5357" i="28" s="1"/>
  <c r="L5358" i="28"/>
  <c r="M5358" i="28" s="1"/>
  <c r="L5359" i="28"/>
  <c r="M5359" i="28" s="1"/>
  <c r="L5360" i="28"/>
  <c r="M5360" i="28" s="1"/>
  <c r="L5361" i="28"/>
  <c r="M5361" i="28" s="1"/>
  <c r="L5362" i="28"/>
  <c r="M5362" i="28" s="1"/>
  <c r="L5363" i="28"/>
  <c r="M5363" i="28" s="1"/>
  <c r="L5364" i="28"/>
  <c r="M5364" i="28" s="1"/>
  <c r="L5365" i="28"/>
  <c r="M5365" i="28" s="1"/>
  <c r="L5366" i="28"/>
  <c r="M5366" i="28" s="1"/>
  <c r="L5367" i="28"/>
  <c r="M5367" i="28" s="1"/>
  <c r="L5368" i="28"/>
  <c r="M5368" i="28" s="1"/>
  <c r="L5369" i="28"/>
  <c r="M5369" i="28" s="1"/>
  <c r="L5370" i="28"/>
  <c r="M5370" i="28" s="1"/>
  <c r="L5371" i="28"/>
  <c r="M5371" i="28" s="1"/>
  <c r="L5372" i="28"/>
  <c r="M5372" i="28" s="1"/>
  <c r="L5373" i="28"/>
  <c r="M5373" i="28" s="1"/>
  <c r="L5374" i="28"/>
  <c r="M5374" i="28" s="1"/>
  <c r="L5375" i="28"/>
  <c r="M5375" i="28" s="1"/>
  <c r="L5376" i="28"/>
  <c r="M5376" i="28" s="1"/>
  <c r="L5377" i="28"/>
  <c r="M5377" i="28" s="1"/>
  <c r="L5378" i="28"/>
  <c r="M5378" i="28" s="1"/>
  <c r="L5379" i="28"/>
  <c r="M5379" i="28" s="1"/>
  <c r="L5380" i="28"/>
  <c r="M5380" i="28" s="1"/>
  <c r="L5381" i="28"/>
  <c r="M5381" i="28" s="1"/>
  <c r="L5382" i="28"/>
  <c r="M5382" i="28" s="1"/>
  <c r="L5383" i="28"/>
  <c r="M5383" i="28" s="1"/>
  <c r="L5384" i="28"/>
  <c r="M5384" i="28" s="1"/>
  <c r="L5385" i="28"/>
  <c r="M5385" i="28" s="1"/>
  <c r="L5386" i="28"/>
  <c r="M5386" i="28" s="1"/>
  <c r="L5387" i="28"/>
  <c r="M5387" i="28" s="1"/>
  <c r="L5388" i="28"/>
  <c r="M5388" i="28" s="1"/>
  <c r="L5389" i="28"/>
  <c r="M5389" i="28"/>
  <c r="L5390" i="28"/>
  <c r="M5390" i="28"/>
  <c r="L5391" i="28"/>
  <c r="M5391" i="28"/>
  <c r="L5392" i="28"/>
  <c r="M5392" i="28"/>
  <c r="L5393" i="28"/>
  <c r="M5393" i="28"/>
  <c r="L5394" i="28"/>
  <c r="M5394" i="28"/>
  <c r="L5395" i="28"/>
  <c r="M5395" i="28"/>
  <c r="L5396" i="28"/>
  <c r="M5396" i="28"/>
  <c r="L5397" i="28"/>
  <c r="M5397" i="28"/>
  <c r="L5398" i="28"/>
  <c r="M5398" i="28"/>
  <c r="L5399" i="28"/>
  <c r="M5399" i="28"/>
  <c r="L5400" i="28"/>
  <c r="M5400" i="28"/>
  <c r="L5401" i="28"/>
  <c r="M5401" i="28"/>
  <c r="L5402" i="28"/>
  <c r="M5402" i="28"/>
  <c r="L5403" i="28"/>
  <c r="M5403" i="28"/>
  <c r="L5404" i="28"/>
  <c r="M5404" i="28"/>
  <c r="L5405" i="28"/>
  <c r="M5405" i="28"/>
  <c r="L5406" i="28"/>
  <c r="M5406" i="28"/>
  <c r="L5407" i="28"/>
  <c r="M5407" i="28"/>
  <c r="L5408" i="28"/>
  <c r="M5408" i="28"/>
  <c r="L5409" i="28"/>
  <c r="M5409" i="28"/>
  <c r="L5410" i="28"/>
  <c r="M5410" i="28"/>
  <c r="L5411" i="28"/>
  <c r="M5411" i="28"/>
  <c r="L5412" i="28"/>
  <c r="M5412" i="28"/>
  <c r="L5413" i="28"/>
  <c r="M5413" i="28"/>
  <c r="L5414" i="28"/>
  <c r="M5414" i="28"/>
  <c r="L5415" i="28"/>
  <c r="M5415" i="28"/>
  <c r="L5416" i="28"/>
  <c r="M5416" i="28"/>
  <c r="L5417" i="28"/>
  <c r="M5417" i="28"/>
  <c r="L5418" i="28"/>
  <c r="M5418" i="28"/>
  <c r="L5419" i="28"/>
  <c r="M5419" i="28"/>
  <c r="L5420" i="28"/>
  <c r="M5420" i="28"/>
  <c r="L5421" i="28"/>
  <c r="M5421" i="28"/>
  <c r="L5422" i="28"/>
  <c r="M5422" i="28"/>
  <c r="L5423" i="28"/>
  <c r="M5423" i="28"/>
  <c r="L5424" i="28"/>
  <c r="M5424" i="28"/>
  <c r="L5425" i="28"/>
  <c r="M5425" i="28"/>
  <c r="L5426" i="28"/>
  <c r="M5426" i="28"/>
  <c r="L5427" i="28"/>
  <c r="M5427" i="28"/>
  <c r="L5428" i="28"/>
  <c r="M5428" i="28"/>
  <c r="L5429" i="28"/>
  <c r="M5429" i="28"/>
  <c r="L5430" i="28"/>
  <c r="M5430" i="28"/>
  <c r="L5431" i="28"/>
  <c r="M5431" i="28"/>
  <c r="L5432" i="28"/>
  <c r="M5432" i="28"/>
  <c r="L5433" i="28"/>
  <c r="M5433" i="28"/>
  <c r="L5434" i="28"/>
  <c r="M5434" i="28"/>
  <c r="L5435" i="28"/>
  <c r="M5435" i="28"/>
  <c r="L5436" i="28"/>
  <c r="M5436" i="28"/>
  <c r="L5437" i="28"/>
  <c r="M5437" i="28"/>
  <c r="L5438" i="28"/>
  <c r="M5438" i="28"/>
  <c r="L5439" i="28"/>
  <c r="M5439" i="28"/>
  <c r="L5440" i="28"/>
  <c r="M5440" i="28"/>
  <c r="L5441" i="28"/>
  <c r="M5441" i="28"/>
  <c r="L5442" i="28"/>
  <c r="M5442" i="28"/>
  <c r="L5443" i="28"/>
  <c r="M5443" i="28"/>
  <c r="L5444" i="28"/>
  <c r="M5444" i="28"/>
  <c r="L5445" i="28"/>
  <c r="M5445" i="28"/>
  <c r="L5446" i="28"/>
  <c r="M5446" i="28"/>
  <c r="L5447" i="28"/>
  <c r="M5447" i="28"/>
  <c r="L5448" i="28"/>
  <c r="M5448" i="28"/>
  <c r="L5449" i="28"/>
  <c r="M5449" i="28"/>
  <c r="L5450" i="28"/>
  <c r="M5450" i="28"/>
  <c r="L5451" i="28"/>
  <c r="M5451" i="28"/>
  <c r="L5452" i="28"/>
  <c r="M5452" i="28"/>
  <c r="L5453" i="28"/>
  <c r="M5453" i="28"/>
  <c r="L5454" i="28"/>
  <c r="M5454" i="28"/>
  <c r="L5455" i="28"/>
  <c r="M5455" i="28"/>
  <c r="L5456" i="28"/>
  <c r="M5456" i="28"/>
  <c r="L5457" i="28"/>
  <c r="M5457" i="28"/>
  <c r="L5458" i="28"/>
  <c r="M5458" i="28"/>
  <c r="L5459" i="28"/>
  <c r="M5459" i="28"/>
  <c r="L5460" i="28"/>
  <c r="M5460" i="28"/>
  <c r="L5461" i="28"/>
  <c r="M5461" i="28"/>
  <c r="L5462" i="28"/>
  <c r="M5462" i="28"/>
  <c r="L5463" i="28"/>
  <c r="M5463" i="28"/>
  <c r="L5464" i="28"/>
  <c r="M5464" i="28"/>
  <c r="L5465" i="28"/>
  <c r="M5465" i="28"/>
  <c r="L5466" i="28"/>
  <c r="M5466" i="28"/>
  <c r="L5467" i="28"/>
  <c r="M5467" i="28"/>
  <c r="L5468" i="28"/>
  <c r="M5468" i="28"/>
  <c r="L5469" i="28"/>
  <c r="M5469" i="28"/>
  <c r="L5470" i="28"/>
  <c r="M5470" i="28"/>
  <c r="L5471" i="28"/>
  <c r="M5471" i="28"/>
  <c r="L5472" i="28"/>
  <c r="M5472" i="28"/>
  <c r="L5473" i="28"/>
  <c r="M5473" i="28"/>
  <c r="L5474" i="28"/>
  <c r="M5474" i="28"/>
  <c r="L5475" i="28"/>
  <c r="M5475" i="28"/>
  <c r="L5476" i="28"/>
  <c r="M5476" i="28"/>
  <c r="L5477" i="28"/>
  <c r="M5477" i="28"/>
  <c r="L5478" i="28"/>
  <c r="M5478" i="28"/>
  <c r="L5479" i="28"/>
  <c r="M5479" i="28"/>
  <c r="L5480" i="28"/>
  <c r="M5480" i="28"/>
  <c r="L5481" i="28"/>
  <c r="M5481" i="28"/>
  <c r="L5482" i="28"/>
  <c r="M5482" i="28"/>
  <c r="L5483" i="28"/>
  <c r="M5483" i="28"/>
  <c r="L5484" i="28"/>
  <c r="M5484" i="28"/>
  <c r="L5485" i="28"/>
  <c r="M5485" i="28"/>
  <c r="L5486" i="28"/>
  <c r="M5486" i="28"/>
  <c r="L5487" i="28"/>
  <c r="M5487" i="28"/>
  <c r="L5488" i="28"/>
  <c r="M5488" i="28"/>
  <c r="L5489" i="28"/>
  <c r="M5489" i="28"/>
  <c r="L5490" i="28"/>
  <c r="M5490" i="28"/>
  <c r="L5491" i="28"/>
  <c r="M5491" i="28"/>
  <c r="L5492" i="28"/>
  <c r="M5492" i="28"/>
  <c r="L5493" i="28"/>
  <c r="M5493" i="28"/>
  <c r="L5494" i="28"/>
  <c r="M5494" i="28"/>
  <c r="L5495" i="28"/>
  <c r="M5495" i="28"/>
  <c r="L5496" i="28"/>
  <c r="M5496" i="28" s="1"/>
  <c r="L5497" i="28"/>
  <c r="M5497" i="28"/>
  <c r="L5498" i="28"/>
  <c r="M5498" i="28" s="1"/>
  <c r="L5499" i="28"/>
  <c r="M5499" i="28" s="1"/>
  <c r="L5500" i="28"/>
  <c r="M5500" i="28" s="1"/>
  <c r="L5501" i="28"/>
  <c r="M5501" i="28"/>
  <c r="L5502" i="28"/>
  <c r="M5502" i="28" s="1"/>
  <c r="L5503" i="28"/>
  <c r="M5503" i="28" s="1"/>
  <c r="L5504" i="28"/>
  <c r="M5504" i="28" s="1"/>
  <c r="L5505" i="28"/>
  <c r="M5505" i="28" s="1"/>
  <c r="L5506" i="28"/>
  <c r="M5506" i="28" s="1"/>
  <c r="L5507" i="28"/>
  <c r="M5507" i="28" s="1"/>
  <c r="L5508" i="28"/>
  <c r="M5508" i="28" s="1"/>
  <c r="L5509" i="28"/>
  <c r="M5509" i="28" s="1"/>
  <c r="L5510" i="28"/>
  <c r="M5510" i="28" s="1"/>
  <c r="L5511" i="28"/>
  <c r="M5511" i="28" s="1"/>
  <c r="L5512" i="28"/>
  <c r="M5512" i="28" s="1"/>
  <c r="L5513" i="28"/>
  <c r="M5513" i="28" s="1"/>
  <c r="L5514" i="28"/>
  <c r="M5514" i="28" s="1"/>
  <c r="L5515" i="28"/>
  <c r="M5515" i="28" s="1"/>
  <c r="L5516" i="28"/>
  <c r="M5516" i="28"/>
  <c r="L5517" i="28"/>
  <c r="M5517" i="28" s="1"/>
  <c r="L5518" i="28"/>
  <c r="M5518" i="28" s="1"/>
  <c r="L5519" i="28"/>
  <c r="M5519" i="28" s="1"/>
  <c r="L5520" i="28"/>
  <c r="M5520" i="28" s="1"/>
  <c r="L5521" i="28"/>
  <c r="M5521" i="28" s="1"/>
  <c r="L5522" i="28"/>
  <c r="M5522" i="28" s="1"/>
  <c r="L5523" i="28"/>
  <c r="M5523" i="28" s="1"/>
  <c r="L5524" i="28"/>
  <c r="M5524" i="28" s="1"/>
  <c r="L5525" i="28"/>
  <c r="M5525" i="28" s="1"/>
  <c r="L5526" i="28"/>
  <c r="M5526" i="28" s="1"/>
  <c r="L5527" i="28"/>
  <c r="L5528" i="28"/>
  <c r="M5528" i="28" s="1"/>
  <c r="L5529" i="28"/>
  <c r="M5529" i="28" s="1"/>
  <c r="L5530" i="28"/>
  <c r="M5530" i="28" s="1"/>
  <c r="L5531" i="28"/>
  <c r="M5531" i="28" s="1"/>
  <c r="L5532" i="28"/>
  <c r="M5532" i="28"/>
  <c r="L5533" i="28"/>
  <c r="M5533" i="28" s="1"/>
  <c r="L5534" i="28"/>
  <c r="M5534" i="28" s="1"/>
  <c r="L5535" i="28"/>
  <c r="M5535" i="28" s="1"/>
  <c r="L5536" i="28"/>
  <c r="M5536" i="28"/>
  <c r="L5537" i="28"/>
  <c r="M5537" i="28" s="1"/>
  <c r="L5538" i="28"/>
  <c r="M5538" i="28" s="1"/>
  <c r="L5539" i="28"/>
  <c r="M5539" i="28" s="1"/>
  <c r="L5540" i="28"/>
  <c r="M5540" i="28"/>
  <c r="L5541" i="28"/>
  <c r="M5541" i="28" s="1"/>
  <c r="L5542" i="28"/>
  <c r="M5542" i="28" s="1"/>
  <c r="L5543" i="28"/>
  <c r="M5543" i="28" s="1"/>
  <c r="L5544" i="28"/>
  <c r="M5544" i="28" s="1"/>
  <c r="L5545" i="28"/>
  <c r="M5545" i="28"/>
  <c r="L5546" i="28"/>
  <c r="M5546" i="28" s="1"/>
  <c r="L5547" i="28"/>
  <c r="M5547" i="28" s="1"/>
  <c r="L5548" i="28"/>
  <c r="M5548" i="28" s="1"/>
  <c r="L5549" i="28"/>
  <c r="M5549" i="28" s="1"/>
  <c r="L5550" i="28"/>
  <c r="M5550" i="28" s="1"/>
  <c r="L5551" i="28"/>
  <c r="M5551" i="28"/>
  <c r="L5552" i="28"/>
  <c r="M5552" i="28"/>
  <c r="L5553" i="28"/>
  <c r="M5553" i="28" s="1"/>
  <c r="L5554" i="28"/>
  <c r="M5554" i="28" s="1"/>
  <c r="L5555" i="28"/>
  <c r="M5555" i="28" s="1"/>
  <c r="L5556" i="28"/>
  <c r="M5556" i="28" s="1"/>
  <c r="L5557" i="28"/>
  <c r="M5557" i="28" s="1"/>
  <c r="L5558" i="28"/>
  <c r="M5558" i="28" s="1"/>
  <c r="L5559" i="28"/>
  <c r="M5559" i="28" s="1"/>
  <c r="L5560" i="28"/>
  <c r="M5560" i="28"/>
  <c r="L5561" i="28"/>
  <c r="M5561" i="28" s="1"/>
  <c r="L5562" i="28"/>
  <c r="M5562" i="28" s="1"/>
  <c r="L5563" i="28"/>
  <c r="M5563" i="28" s="1"/>
  <c r="L5564" i="28"/>
  <c r="M5564" i="28"/>
  <c r="L5565" i="28"/>
  <c r="M5565" i="28" s="1"/>
  <c r="L5566" i="28"/>
  <c r="M5566" i="28" s="1"/>
  <c r="L5567" i="28"/>
  <c r="M5567" i="28" s="1"/>
  <c r="L5568" i="28"/>
  <c r="M5568" i="28" s="1"/>
  <c r="L5569" i="28"/>
  <c r="M5569" i="28" s="1"/>
  <c r="L5570" i="28"/>
  <c r="M5570" i="28" s="1"/>
  <c r="L5571" i="28"/>
  <c r="M5571" i="28" s="1"/>
  <c r="L5572" i="28"/>
  <c r="M5572" i="28" s="1"/>
  <c r="L5573" i="28"/>
  <c r="M5573" i="28" s="1"/>
  <c r="L5574" i="28"/>
  <c r="M5574" i="28" s="1"/>
  <c r="L5575" i="28"/>
  <c r="M5575" i="28" s="1"/>
  <c r="L5576" i="28"/>
  <c r="M5576" i="28" s="1"/>
  <c r="L5577" i="28"/>
  <c r="M5577" i="28" s="1"/>
  <c r="L5578" i="28"/>
  <c r="M5578" i="28" s="1"/>
  <c r="L5579" i="28"/>
  <c r="M5579" i="28" s="1"/>
  <c r="L5580" i="28"/>
  <c r="M5580" i="28" s="1"/>
  <c r="L5581" i="28"/>
  <c r="M5581" i="28" s="1"/>
  <c r="L5582" i="28"/>
  <c r="M5582" i="28" s="1"/>
  <c r="L5583" i="28"/>
  <c r="M5583" i="28" s="1"/>
  <c r="L5584" i="28"/>
  <c r="M5584" i="28" s="1"/>
  <c r="L5585" i="28"/>
  <c r="M5585" i="28" s="1"/>
  <c r="L5586" i="28"/>
  <c r="M5586" i="28" s="1"/>
  <c r="L5587" i="28"/>
  <c r="M5587" i="28" s="1"/>
  <c r="L5588" i="28"/>
  <c r="M5588" i="28" s="1"/>
  <c r="L5589" i="28"/>
  <c r="M5589" i="28" s="1"/>
  <c r="L5590" i="28"/>
  <c r="M5590" i="28" s="1"/>
  <c r="L5591" i="28"/>
  <c r="M5591" i="28" s="1"/>
  <c r="L5592" i="28"/>
  <c r="M5592" i="28" s="1"/>
  <c r="L5593" i="28"/>
  <c r="M5593" i="28" s="1"/>
  <c r="L5594" i="28"/>
  <c r="M5594" i="28" s="1"/>
  <c r="L5595" i="28"/>
  <c r="M5595" i="28" s="1"/>
  <c r="L5596" i="28"/>
  <c r="M5596" i="28" s="1"/>
  <c r="L5597" i="28"/>
  <c r="M5597" i="28" s="1"/>
  <c r="L5598" i="28"/>
  <c r="M5598" i="28" s="1"/>
  <c r="L5599" i="28"/>
  <c r="M5599" i="28" s="1"/>
  <c r="L5600" i="28"/>
  <c r="M5600" i="28" s="1"/>
  <c r="L5601" i="28"/>
  <c r="M5601" i="28" s="1"/>
  <c r="L5602" i="28"/>
  <c r="M5602" i="28" s="1"/>
  <c r="L5603" i="28"/>
  <c r="M5603" i="28" s="1"/>
  <c r="L5604" i="28"/>
  <c r="M5604" i="28"/>
  <c r="L5605" i="28"/>
  <c r="M5605" i="28" s="1"/>
  <c r="L5606" i="28"/>
  <c r="M5606" i="28" s="1"/>
  <c r="L5607" i="28"/>
  <c r="M5607" i="28" s="1"/>
  <c r="L5608" i="28"/>
  <c r="M5608" i="28" s="1"/>
  <c r="L5609" i="28"/>
  <c r="M5609" i="28" s="1"/>
  <c r="L5610" i="28"/>
  <c r="M5610" i="28" s="1"/>
  <c r="L5611" i="28"/>
  <c r="M5611" i="28" s="1"/>
  <c r="L5612" i="28"/>
  <c r="M5612" i="28" s="1"/>
  <c r="L5613" i="28"/>
  <c r="M5613" i="28" s="1"/>
  <c r="L5614" i="28"/>
  <c r="M5614" i="28" s="1"/>
  <c r="L5615" i="28"/>
  <c r="M5615" i="28"/>
  <c r="L5616" i="28"/>
  <c r="M5616" i="28" s="1"/>
  <c r="L5617" i="28"/>
  <c r="M5617" i="28" s="1"/>
  <c r="L5618" i="28"/>
  <c r="M5618" i="28" s="1"/>
  <c r="L5619" i="28"/>
  <c r="M5619" i="28"/>
  <c r="L5620" i="28"/>
  <c r="M5620" i="28" s="1"/>
  <c r="L5621" i="28"/>
  <c r="M5621" i="28" s="1"/>
  <c r="L5622" i="28"/>
  <c r="M5622" i="28" s="1"/>
  <c r="L5623" i="28"/>
  <c r="M5623" i="28" s="1"/>
  <c r="L5624" i="28"/>
  <c r="M5624" i="28" s="1"/>
  <c r="L5625" i="28"/>
  <c r="M5625" i="28" s="1"/>
  <c r="L5626" i="28"/>
  <c r="M5626" i="28" s="1"/>
  <c r="L5627" i="28"/>
  <c r="M5627" i="28" s="1"/>
  <c r="L5628" i="28"/>
  <c r="M5628" i="28" s="1"/>
  <c r="L5629" i="28"/>
  <c r="M5629" i="28" s="1"/>
  <c r="L5630" i="28"/>
  <c r="M5630" i="28" s="1"/>
  <c r="L5631" i="28"/>
  <c r="M5631" i="28" s="1"/>
  <c r="L5632" i="28"/>
  <c r="M5632" i="28" s="1"/>
  <c r="L5633" i="28"/>
  <c r="M5633" i="28" s="1"/>
  <c r="L5634" i="28"/>
  <c r="M5634" i="28" s="1"/>
  <c r="L5635" i="28"/>
  <c r="M5635" i="28"/>
  <c r="L5636" i="28"/>
  <c r="M5636" i="28" s="1"/>
  <c r="L5637" i="28"/>
  <c r="M5637" i="28" s="1"/>
  <c r="L5638" i="28"/>
  <c r="M5638" i="28" s="1"/>
  <c r="L5639" i="28"/>
  <c r="M5639" i="28" s="1"/>
  <c r="L5640" i="28"/>
  <c r="M5640" i="28" s="1"/>
  <c r="L5641" i="28"/>
  <c r="M5641" i="28" s="1"/>
  <c r="L5642" i="28"/>
  <c r="M5642" i="28" s="1"/>
  <c r="L5643" i="28"/>
  <c r="M5643" i="28" s="1"/>
  <c r="L5644" i="28"/>
  <c r="M5644" i="28" s="1"/>
  <c r="L5645" i="28"/>
  <c r="M5645" i="28"/>
  <c r="L5646" i="28"/>
  <c r="M5646" i="28" s="1"/>
  <c r="L5647" i="28"/>
  <c r="M5647" i="28" s="1"/>
  <c r="L5648" i="28"/>
  <c r="M5648" i="28" s="1"/>
  <c r="L5649" i="28"/>
  <c r="M5649" i="28"/>
  <c r="L5650" i="28"/>
  <c r="M5650" i="28" s="1"/>
  <c r="L5651" i="28"/>
  <c r="M5651" i="28" s="1"/>
  <c r="L5652" i="28"/>
  <c r="M5652" i="28" s="1"/>
  <c r="L5653" i="28"/>
  <c r="M5653" i="28" s="1"/>
  <c r="L5654" i="28"/>
  <c r="M5654" i="28" s="1"/>
  <c r="L5655" i="28"/>
  <c r="M5655" i="28" s="1"/>
  <c r="L5656" i="28"/>
  <c r="M5656" i="28" s="1"/>
  <c r="L5657" i="28"/>
  <c r="M5657" i="28" s="1"/>
  <c r="L5658" i="28"/>
  <c r="M5658" i="28" s="1"/>
  <c r="L5659" i="28"/>
  <c r="M5659" i="28" s="1"/>
  <c r="L5660" i="28"/>
  <c r="M5660" i="28" s="1"/>
  <c r="L5661" i="28"/>
  <c r="M5661" i="28"/>
  <c r="L5662" i="28"/>
  <c r="M5662" i="28" s="1"/>
  <c r="L5663" i="28"/>
  <c r="M5663" i="28" s="1"/>
  <c r="L5664" i="28"/>
  <c r="M5664" i="28" s="1"/>
  <c r="L5665" i="28"/>
  <c r="M5665" i="28" s="1"/>
  <c r="L5666" i="28"/>
  <c r="M5666" i="28"/>
  <c r="L5667" i="28"/>
  <c r="M5667" i="28" s="1"/>
  <c r="L5668" i="28"/>
  <c r="M5668" i="28" s="1"/>
  <c r="L5669" i="28"/>
  <c r="M5669" i="28" s="1"/>
  <c r="L5670" i="28"/>
  <c r="M5670" i="28" s="1"/>
  <c r="L5671" i="28"/>
  <c r="M5671" i="28" s="1"/>
  <c r="L5672" i="28"/>
  <c r="M5672" i="28" s="1"/>
  <c r="L5673" i="28"/>
  <c r="M5673" i="28" s="1"/>
  <c r="L5674" i="28"/>
  <c r="M5674" i="28" s="1"/>
  <c r="L5675" i="28"/>
  <c r="M5675" i="28"/>
  <c r="L5676" i="28"/>
  <c r="M5676" i="28" s="1"/>
  <c r="L5677" i="28"/>
  <c r="M5677" i="28" s="1"/>
  <c r="L5678" i="28"/>
  <c r="M5678" i="28" s="1"/>
  <c r="L5679" i="28"/>
  <c r="M5679" i="28" s="1"/>
  <c r="L5680" i="28"/>
  <c r="M5680" i="28" s="1"/>
  <c r="L5681" i="28"/>
  <c r="M5681" i="28" s="1"/>
  <c r="L5682" i="28"/>
  <c r="M5682" i="28" s="1"/>
  <c r="L5683" i="28"/>
  <c r="M5683" i="28"/>
  <c r="L5684" i="28"/>
  <c r="M5684" i="28" s="1"/>
  <c r="L5685" i="28"/>
  <c r="M5685" i="28"/>
  <c r="L5686" i="28"/>
  <c r="M5686" i="28" s="1"/>
  <c r="L5687" i="28"/>
  <c r="M5687" i="28" s="1"/>
  <c r="L5688" i="28"/>
  <c r="M5688" i="28" s="1"/>
  <c r="L5689" i="28"/>
  <c r="M5689" i="28" s="1"/>
  <c r="L5690" i="28"/>
  <c r="M5690" i="28" s="1"/>
  <c r="L5691" i="28"/>
  <c r="M5691" i="28" s="1"/>
  <c r="L5692" i="28"/>
  <c r="M5692" i="28" s="1"/>
  <c r="L5693" i="28"/>
  <c r="M5693" i="28" s="1"/>
  <c r="L5694" i="28"/>
  <c r="M5694" i="28" s="1"/>
  <c r="L5695" i="28"/>
  <c r="M5695" i="28" s="1"/>
  <c r="L5696" i="28"/>
  <c r="M5696" i="28" s="1"/>
  <c r="L5697" i="28"/>
  <c r="M5697" i="28" s="1"/>
  <c r="L5698" i="28"/>
  <c r="M5698" i="28" s="1"/>
  <c r="L5699" i="28"/>
  <c r="M5699" i="28" s="1"/>
  <c r="L5700" i="28"/>
  <c r="M5700" i="28" s="1"/>
  <c r="L5701" i="28"/>
  <c r="M5701" i="28" s="1"/>
  <c r="L5702" i="28"/>
  <c r="M5702" i="28" s="1"/>
  <c r="L5703" i="28"/>
  <c r="M5703" i="28"/>
  <c r="L5704" i="28"/>
  <c r="M5704" i="28" s="1"/>
  <c r="L5705" i="28"/>
  <c r="M5705" i="28" s="1"/>
  <c r="L5706" i="28"/>
  <c r="M5706" i="28" s="1"/>
  <c r="L5707" i="28"/>
  <c r="M5707" i="28" s="1"/>
  <c r="L5708" i="28"/>
  <c r="M5708" i="28" s="1"/>
  <c r="L5709" i="28"/>
  <c r="M5709" i="28" s="1"/>
  <c r="L5710" i="28"/>
  <c r="M5710" i="28" s="1"/>
  <c r="L5711" i="28"/>
  <c r="M5711" i="28" s="1"/>
  <c r="L5712" i="28"/>
  <c r="M5712" i="28" s="1"/>
  <c r="L5713" i="28"/>
  <c r="M5713" i="28" s="1"/>
  <c r="L5714" i="28"/>
  <c r="M5714" i="28" s="1"/>
  <c r="L5715" i="28"/>
  <c r="M5715" i="28" s="1"/>
  <c r="L5716" i="28"/>
  <c r="M5716" i="28" s="1"/>
  <c r="L5717" i="28"/>
  <c r="M5717" i="28" s="1"/>
  <c r="L5718" i="28"/>
  <c r="M5718" i="28" s="1"/>
  <c r="L5719" i="28"/>
  <c r="M5719" i="28" s="1"/>
  <c r="L5720" i="28"/>
  <c r="M5720" i="28" s="1"/>
  <c r="L5721" i="28"/>
  <c r="M5721" i="28" s="1"/>
  <c r="L5722" i="28"/>
  <c r="M5722" i="28" s="1"/>
  <c r="L5723" i="28"/>
  <c r="M5723" i="28" s="1"/>
  <c r="L5724" i="28"/>
  <c r="M5724" i="28" s="1"/>
  <c r="L5725" i="28"/>
  <c r="M5725" i="28" s="1"/>
  <c r="L5726" i="28"/>
  <c r="M5726" i="28" s="1"/>
  <c r="L5727" i="28"/>
  <c r="M5727" i="28" s="1"/>
  <c r="L5728" i="28"/>
  <c r="M5728" i="28" s="1"/>
  <c r="L5729" i="28"/>
  <c r="M5729" i="28" s="1"/>
  <c r="L5730" i="28"/>
  <c r="M5730" i="28" s="1"/>
  <c r="L5731" i="28"/>
  <c r="M5731" i="28" s="1"/>
  <c r="L5732" i="28"/>
  <c r="M5732" i="28" s="1"/>
  <c r="L5733" i="28"/>
  <c r="M5733" i="28" s="1"/>
  <c r="L5734" i="28"/>
  <c r="M5734" i="28" s="1"/>
  <c r="L5735" i="28"/>
  <c r="M5735" i="28" s="1"/>
  <c r="L5736" i="28"/>
  <c r="M5736" i="28" s="1"/>
  <c r="L5737" i="28"/>
  <c r="M5737" i="28" s="1"/>
  <c r="L5738" i="28"/>
  <c r="M5738" i="28" s="1"/>
  <c r="L5739" i="28"/>
  <c r="M5739" i="28" s="1"/>
  <c r="L5740" i="28"/>
  <c r="M5740" i="28" s="1"/>
  <c r="L5741" i="28"/>
  <c r="M5741" i="28" s="1"/>
  <c r="L5742" i="28"/>
  <c r="M5742" i="28" s="1"/>
  <c r="L5743" i="28"/>
  <c r="M5743" i="28" s="1"/>
  <c r="L5744" i="28"/>
  <c r="M5744" i="28" s="1"/>
  <c r="L5745" i="28"/>
  <c r="M5745" i="28" s="1"/>
  <c r="L5746" i="28"/>
  <c r="M5746" i="28" s="1"/>
  <c r="L5747" i="28"/>
  <c r="M5747" i="28" s="1"/>
  <c r="L5748" i="28"/>
  <c r="M5748" i="28" s="1"/>
  <c r="L5749" i="28"/>
  <c r="M5749" i="28" s="1"/>
  <c r="L5750" i="28"/>
  <c r="M5750" i="28" s="1"/>
  <c r="L5751" i="28"/>
  <c r="M5751" i="28" s="1"/>
  <c r="L5752" i="28"/>
  <c r="M5752" i="28" s="1"/>
  <c r="L5753" i="28"/>
  <c r="M5753" i="28" s="1"/>
  <c r="L5754" i="28"/>
  <c r="M5754" i="28" s="1"/>
  <c r="L5755" i="28"/>
  <c r="M5755" i="28" s="1"/>
  <c r="L5756" i="28"/>
  <c r="M5756" i="28" s="1"/>
  <c r="L5757" i="28"/>
  <c r="M5757" i="28" s="1"/>
  <c r="L5758" i="28"/>
  <c r="M5758" i="28" s="1"/>
  <c r="L5759" i="28"/>
  <c r="M5759" i="28" s="1"/>
  <c r="L5760" i="28"/>
  <c r="M5760" i="28" s="1"/>
  <c r="L5761" i="28"/>
  <c r="M5761" i="28" s="1"/>
  <c r="L5762" i="28"/>
  <c r="M5762" i="28" s="1"/>
  <c r="L5763" i="28"/>
  <c r="M5763" i="28" s="1"/>
  <c r="L5764" i="28"/>
  <c r="M5764" i="28" s="1"/>
  <c r="L5765" i="28"/>
  <c r="M5765" i="28" s="1"/>
  <c r="L5766" i="28"/>
  <c r="M5766" i="28" s="1"/>
  <c r="L5767" i="28"/>
  <c r="M5767" i="28" s="1"/>
  <c r="L5768" i="28"/>
  <c r="M5768" i="28" s="1"/>
  <c r="L5769" i="28"/>
  <c r="M5769" i="28" s="1"/>
  <c r="L5770" i="28"/>
  <c r="M5770" i="28" s="1"/>
  <c r="L5771" i="28"/>
  <c r="M5771" i="28" s="1"/>
  <c r="L5772" i="28"/>
  <c r="M5772" i="28" s="1"/>
  <c r="L5773" i="28"/>
  <c r="M5773" i="28" s="1"/>
  <c r="L5774" i="28"/>
  <c r="M5774" i="28" s="1"/>
  <c r="L5775" i="28"/>
  <c r="M5775" i="28" s="1"/>
  <c r="L5776" i="28"/>
  <c r="M5776" i="28" s="1"/>
  <c r="L5777" i="28"/>
  <c r="M5777" i="28" s="1"/>
  <c r="L5778" i="28"/>
  <c r="M5778" i="28" s="1"/>
  <c r="L5779" i="28"/>
  <c r="M5779" i="28" s="1"/>
  <c r="L5780" i="28"/>
  <c r="M5780" i="28" s="1"/>
  <c r="L5781" i="28"/>
  <c r="M5781" i="28" s="1"/>
  <c r="L5782" i="28"/>
  <c r="M5782" i="28" s="1"/>
  <c r="L5783" i="28"/>
  <c r="M5783" i="28" s="1"/>
  <c r="L5784" i="28"/>
  <c r="M5784" i="28" s="1"/>
  <c r="L5785" i="28"/>
  <c r="M5785" i="28" s="1"/>
  <c r="L5786" i="28"/>
  <c r="M5786" i="28" s="1"/>
  <c r="L5787" i="28"/>
  <c r="M5787" i="28" s="1"/>
  <c r="L5788" i="28"/>
  <c r="M5788" i="28" s="1"/>
  <c r="L5789" i="28"/>
  <c r="M5789" i="28" s="1"/>
  <c r="L5790" i="28"/>
  <c r="M5790" i="28" s="1"/>
  <c r="L5791" i="28"/>
  <c r="M5791" i="28" s="1"/>
  <c r="L5792" i="28"/>
  <c r="M5792" i="28" s="1"/>
  <c r="L5793" i="28"/>
  <c r="M5793" i="28" s="1"/>
  <c r="L5794" i="28"/>
  <c r="M5794" i="28" s="1"/>
  <c r="L5795" i="28"/>
  <c r="M5795" i="28" s="1"/>
  <c r="L5796" i="28"/>
  <c r="M5796" i="28" s="1"/>
  <c r="L5797" i="28"/>
  <c r="M5797" i="28" s="1"/>
  <c r="L5798" i="28"/>
  <c r="M5798" i="28" s="1"/>
  <c r="L5799" i="28"/>
  <c r="M5799" i="28" s="1"/>
  <c r="L5800" i="28"/>
  <c r="M5800" i="28" s="1"/>
  <c r="L5801" i="28"/>
  <c r="M5801" i="28" s="1"/>
  <c r="L5802" i="28"/>
  <c r="M5802" i="28" s="1"/>
  <c r="L5803" i="28"/>
  <c r="M5803" i="28" s="1"/>
  <c r="L5804" i="28"/>
  <c r="M5804" i="28" s="1"/>
  <c r="L5805" i="28"/>
  <c r="M5805" i="28" s="1"/>
  <c r="L5806" i="28"/>
  <c r="M5806" i="28" s="1"/>
  <c r="L5807" i="28"/>
  <c r="M5807" i="28" s="1"/>
  <c r="L5808" i="28"/>
  <c r="M5808" i="28" s="1"/>
  <c r="L5809" i="28"/>
  <c r="M5809" i="28" s="1"/>
  <c r="L5810" i="28"/>
  <c r="M5810" i="28" s="1"/>
  <c r="L5811" i="28"/>
  <c r="M5811" i="28" s="1"/>
  <c r="L5812" i="28"/>
  <c r="M5812" i="28" s="1"/>
  <c r="L5813" i="28"/>
  <c r="M5813" i="28" s="1"/>
  <c r="L5814" i="28"/>
  <c r="M5814" i="28" s="1"/>
  <c r="L5815" i="28"/>
  <c r="M5815" i="28" s="1"/>
  <c r="L5816" i="28"/>
  <c r="M5816" i="28" s="1"/>
  <c r="L5817" i="28"/>
  <c r="M5817" i="28" s="1"/>
  <c r="L5818" i="28"/>
  <c r="M5818" i="28" s="1"/>
  <c r="L5819" i="28"/>
  <c r="M5819" i="28" s="1"/>
  <c r="L5820" i="28"/>
  <c r="M5820" i="28" s="1"/>
  <c r="L5821" i="28"/>
  <c r="M5821" i="28" s="1"/>
  <c r="L5822" i="28"/>
  <c r="M5822" i="28" s="1"/>
  <c r="L5823" i="28"/>
  <c r="M5823" i="28" s="1"/>
  <c r="L5824" i="28"/>
  <c r="M5824" i="28" s="1"/>
  <c r="L5825" i="28"/>
  <c r="M5825" i="28" s="1"/>
  <c r="L5826" i="28"/>
  <c r="M5826" i="28" s="1"/>
  <c r="L5827" i="28"/>
  <c r="M5827" i="28" s="1"/>
  <c r="L5828" i="28"/>
  <c r="M5828" i="28" s="1"/>
  <c r="L5829" i="28"/>
  <c r="M5829" i="28" s="1"/>
  <c r="L5830" i="28"/>
  <c r="M5830" i="28" s="1"/>
  <c r="L5831" i="28"/>
  <c r="M5831" i="28" s="1"/>
  <c r="L5832" i="28"/>
  <c r="M5832" i="28" s="1"/>
  <c r="L5833" i="28"/>
  <c r="M5833" i="28" s="1"/>
  <c r="L5834" i="28"/>
  <c r="M5834" i="28" s="1"/>
  <c r="L5835" i="28"/>
  <c r="M5835" i="28" s="1"/>
  <c r="L5836" i="28"/>
  <c r="M5836" i="28" s="1"/>
  <c r="L5837" i="28"/>
  <c r="M5837" i="28" s="1"/>
  <c r="L5838" i="28"/>
  <c r="M5838" i="28" s="1"/>
  <c r="L5839" i="28"/>
  <c r="M5839" i="28" s="1"/>
  <c r="L5840" i="28"/>
  <c r="M5840" i="28" s="1"/>
  <c r="L5841" i="28"/>
  <c r="M5841" i="28" s="1"/>
  <c r="L5842" i="28"/>
  <c r="M5842" i="28"/>
  <c r="L5843" i="28"/>
  <c r="M5843" i="28" s="1"/>
  <c r="L5844" i="28"/>
  <c r="M5844" i="28" s="1"/>
  <c r="L5845" i="28"/>
  <c r="M5845" i="28" s="1"/>
  <c r="L5846" i="28"/>
  <c r="M5846" i="28" s="1"/>
  <c r="L5847" i="28"/>
  <c r="M5847" i="28" s="1"/>
  <c r="L5848" i="28"/>
  <c r="M5848" i="28" s="1"/>
  <c r="L5849" i="28"/>
  <c r="M5849" i="28" s="1"/>
  <c r="L5850" i="28"/>
  <c r="M5850" i="28" s="1"/>
  <c r="L5851" i="28"/>
  <c r="M5851" i="28" s="1"/>
  <c r="L5852" i="28"/>
  <c r="M5852" i="28" s="1"/>
  <c r="L5853" i="28"/>
  <c r="M5853" i="28" s="1"/>
  <c r="L5854" i="28"/>
  <c r="M5854" i="28" s="1"/>
  <c r="L5855" i="28"/>
  <c r="M5855" i="28" s="1"/>
  <c r="L5856" i="28"/>
  <c r="M5856" i="28" s="1"/>
  <c r="L5857" i="28"/>
  <c r="M5857" i="28" s="1"/>
  <c r="L5858" i="28"/>
  <c r="M5858" i="28" s="1"/>
  <c r="L5859" i="28"/>
  <c r="M5859" i="28" s="1"/>
  <c r="L5860" i="28"/>
  <c r="M5860" i="28" s="1"/>
  <c r="L5861" i="28"/>
  <c r="M5861" i="28" s="1"/>
  <c r="L5862" i="28"/>
  <c r="M5862" i="28" s="1"/>
  <c r="L5863" i="28"/>
  <c r="M5863" i="28" s="1"/>
  <c r="L5864" i="28"/>
  <c r="M5864" i="28" s="1"/>
  <c r="L5865" i="28"/>
  <c r="M5865" i="28" s="1"/>
  <c r="L5866" i="28"/>
  <c r="M5866" i="28" s="1"/>
  <c r="L5867" i="28"/>
  <c r="M5867" i="28" s="1"/>
  <c r="L5868" i="28"/>
  <c r="M5868" i="28" s="1"/>
  <c r="L5869" i="28"/>
  <c r="M5869" i="28"/>
  <c r="L5870" i="28"/>
  <c r="M5870" i="28" s="1"/>
  <c r="L5871" i="28"/>
  <c r="M5871" i="28"/>
  <c r="L5872" i="28"/>
  <c r="M5872" i="28" s="1"/>
  <c r="L5873" i="28"/>
  <c r="M5873" i="28" s="1"/>
  <c r="L5874" i="28"/>
  <c r="M5874" i="28" s="1"/>
  <c r="L5875" i="28"/>
  <c r="M5875" i="28" s="1"/>
  <c r="L5876" i="28"/>
  <c r="M5876" i="28" s="1"/>
  <c r="L5877" i="28"/>
  <c r="M5877" i="28" s="1"/>
  <c r="L5878" i="28"/>
  <c r="M5878" i="28" s="1"/>
  <c r="L5879" i="28"/>
  <c r="M5879" i="28" s="1"/>
  <c r="L5880" i="28"/>
  <c r="M5880" i="28" s="1"/>
  <c r="L5881" i="28"/>
  <c r="M5881" i="28" s="1"/>
  <c r="L5882" i="28"/>
  <c r="M5882" i="28" s="1"/>
  <c r="L5883" i="28"/>
  <c r="M5883" i="28" s="1"/>
  <c r="L5884" i="28"/>
  <c r="M5884" i="28"/>
  <c r="L5885" i="28"/>
  <c r="M5885" i="28" s="1"/>
  <c r="L5886" i="28"/>
  <c r="M5886" i="28"/>
  <c r="L5887" i="28"/>
  <c r="M5887" i="28" s="1"/>
  <c r="L5888" i="28"/>
  <c r="M5888" i="28" s="1"/>
  <c r="L5889" i="28"/>
  <c r="M5889" i="28" s="1"/>
  <c r="L5890" i="28"/>
  <c r="M5890" i="28"/>
  <c r="L5891" i="28"/>
  <c r="M5891" i="28" s="1"/>
  <c r="L5892" i="28"/>
  <c r="M5892" i="28"/>
  <c r="L5893" i="28"/>
  <c r="M5893" i="28" s="1"/>
  <c r="L5894" i="28"/>
  <c r="M5894" i="28" s="1"/>
  <c r="L5895" i="28"/>
  <c r="M5895" i="28" s="1"/>
  <c r="L5896" i="28"/>
  <c r="M5896" i="28" s="1"/>
  <c r="L5897" i="28"/>
  <c r="M5897" i="28" s="1"/>
  <c r="L5898" i="28"/>
  <c r="M5898" i="28" s="1"/>
  <c r="L5899" i="28"/>
  <c r="M5899" i="28" s="1"/>
  <c r="L5900" i="28"/>
  <c r="M5900" i="28" s="1"/>
  <c r="L5901" i="28"/>
  <c r="M5901" i="28" s="1"/>
  <c r="L5902" i="28"/>
  <c r="M5902" i="28" s="1"/>
  <c r="L5903" i="28"/>
  <c r="M5903" i="28" s="1"/>
  <c r="L5904" i="28"/>
  <c r="M5904" i="28" s="1"/>
  <c r="L5905" i="28"/>
  <c r="M5905" i="28" s="1"/>
  <c r="L5906" i="28"/>
  <c r="M5906" i="28" s="1"/>
  <c r="L5907" i="28"/>
  <c r="M5907" i="28" s="1"/>
  <c r="L5908" i="28"/>
  <c r="M5908" i="28" s="1"/>
  <c r="L5909" i="28"/>
  <c r="M5909" i="28" s="1"/>
  <c r="L5910" i="28"/>
  <c r="M5910" i="28" s="1"/>
  <c r="L5911" i="28"/>
  <c r="M5911" i="28"/>
  <c r="L5912" i="28"/>
  <c r="M5912" i="28" s="1"/>
  <c r="L5913" i="28"/>
  <c r="M5913" i="28" s="1"/>
  <c r="L5914" i="28"/>
  <c r="M5914" i="28" s="1"/>
  <c r="L5915" i="28"/>
  <c r="M5915" i="28" s="1"/>
  <c r="L5916" i="28"/>
  <c r="M5916" i="28" s="1"/>
  <c r="L5917" i="28"/>
  <c r="M5917" i="28" s="1"/>
  <c r="L5918" i="28"/>
  <c r="M5918" i="28" s="1"/>
  <c r="L5919" i="28"/>
  <c r="M5919" i="28" s="1"/>
  <c r="L5920" i="28"/>
  <c r="M5920" i="28" s="1"/>
  <c r="L5921" i="28"/>
  <c r="M5921" i="28" s="1"/>
  <c r="L5922" i="28"/>
  <c r="M5922" i="28" s="1"/>
  <c r="L5923" i="28"/>
  <c r="M5923" i="28"/>
  <c r="L5924" i="28"/>
  <c r="M5924" i="28" s="1"/>
  <c r="L5925" i="28"/>
  <c r="M5925" i="28"/>
  <c r="L5926" i="28"/>
  <c r="M5926" i="28" s="1"/>
  <c r="L5927" i="28"/>
  <c r="M5927" i="28" s="1"/>
  <c r="L5928" i="28"/>
  <c r="M5928" i="28" s="1"/>
  <c r="L5929" i="28"/>
  <c r="M5929" i="28" s="1"/>
  <c r="L5930" i="28"/>
  <c r="M5930" i="28"/>
  <c r="L5931" i="28"/>
  <c r="M5931" i="28" s="1"/>
  <c r="L5932" i="28"/>
  <c r="M5932" i="28" s="1"/>
  <c r="L5933" i="28"/>
  <c r="M5933" i="28" s="1"/>
  <c r="L5934" i="28"/>
  <c r="M5934" i="28" s="1"/>
  <c r="L5935" i="28"/>
  <c r="M5935" i="28"/>
  <c r="L5936" i="28"/>
  <c r="M5936" i="28" s="1"/>
  <c r="L5937" i="28"/>
  <c r="M5937" i="28"/>
  <c r="L5938" i="28"/>
  <c r="M5938" i="28" s="1"/>
  <c r="L5939" i="28"/>
  <c r="M5939" i="28"/>
  <c r="L5940" i="28"/>
  <c r="M5940" i="28" s="1"/>
  <c r="L5941" i="28"/>
  <c r="M5941" i="28" s="1"/>
  <c r="L5942" i="28"/>
  <c r="M5942" i="28" s="1"/>
  <c r="L5943" i="28"/>
  <c r="M5943" i="28" s="1"/>
  <c r="L5944" i="28"/>
  <c r="M5944" i="28" s="1"/>
  <c r="L5945" i="28"/>
  <c r="M5945" i="28" s="1"/>
  <c r="L5946" i="28"/>
  <c r="M5946" i="28" s="1"/>
  <c r="L5947" i="28"/>
  <c r="M5947" i="28" s="1"/>
  <c r="L5948" i="28"/>
  <c r="M5948" i="28" s="1"/>
  <c r="L5949" i="28"/>
  <c r="M5949" i="28" s="1"/>
  <c r="L5950" i="28"/>
  <c r="M5950" i="28" s="1"/>
  <c r="L5951" i="28"/>
  <c r="M5951" i="28" s="1"/>
  <c r="L5952" i="28"/>
  <c r="M5952" i="28" s="1"/>
  <c r="L5953" i="28"/>
  <c r="M5953" i="28" s="1"/>
  <c r="L5954" i="28"/>
  <c r="M5954" i="28" s="1"/>
  <c r="L5955" i="28"/>
  <c r="M5955" i="28" s="1"/>
  <c r="L5956" i="28"/>
  <c r="M5956" i="28" s="1"/>
  <c r="L5957" i="28"/>
  <c r="M5957" i="28" s="1"/>
  <c r="L5958" i="28"/>
  <c r="M5958" i="28" s="1"/>
  <c r="L5959" i="28"/>
  <c r="M5959" i="28" s="1"/>
  <c r="L5960" i="28"/>
  <c r="M5960" i="28" s="1"/>
  <c r="L5961" i="28"/>
  <c r="M5961" i="28" s="1"/>
  <c r="L5962" i="28"/>
  <c r="M5962" i="28" s="1"/>
  <c r="L5963" i="28"/>
  <c r="M5963" i="28" s="1"/>
  <c r="L5964" i="28"/>
  <c r="M5964" i="28" s="1"/>
  <c r="L5965" i="28"/>
  <c r="M5965" i="28"/>
  <c r="L5966" i="28"/>
  <c r="M5966" i="28" s="1"/>
  <c r="L5967" i="28"/>
  <c r="M5967" i="28" s="1"/>
  <c r="L5968" i="28"/>
  <c r="M5968" i="28" s="1"/>
  <c r="L5969" i="28"/>
  <c r="M5969" i="28" s="1"/>
  <c r="L5970" i="28"/>
  <c r="M5970" i="28" s="1"/>
  <c r="L5971" i="28"/>
  <c r="M5971" i="28" s="1"/>
  <c r="L5972" i="28"/>
  <c r="M5972" i="28" s="1"/>
  <c r="L5973" i="28"/>
  <c r="M5973" i="28" s="1"/>
  <c r="L5974" i="28"/>
  <c r="M5974" i="28" s="1"/>
  <c r="L5975" i="28"/>
  <c r="M5975" i="28" s="1"/>
  <c r="L5976" i="28"/>
  <c r="M5976" i="28" s="1"/>
  <c r="L5977" i="28"/>
  <c r="M5977" i="28" s="1"/>
  <c r="L5978" i="28"/>
  <c r="M5978" i="28" s="1"/>
  <c r="L5979" i="28"/>
  <c r="M5979" i="28" s="1"/>
  <c r="L5980" i="28"/>
  <c r="M5980" i="28" s="1"/>
  <c r="L5981" i="28"/>
  <c r="M5981" i="28" s="1"/>
  <c r="L5982" i="28"/>
  <c r="M5982" i="28" s="1"/>
  <c r="L5983" i="28"/>
  <c r="M5983" i="28" s="1"/>
  <c r="L5984" i="28"/>
  <c r="M5984" i="28" s="1"/>
  <c r="L5985" i="28"/>
  <c r="M5985" i="28"/>
  <c r="L5986" i="28"/>
  <c r="M5986" i="28" s="1"/>
  <c r="L5987" i="28"/>
  <c r="M5987" i="28" s="1"/>
  <c r="L5988" i="28"/>
  <c r="M5988" i="28" s="1"/>
  <c r="L5989" i="28"/>
  <c r="M5989" i="28" s="1"/>
  <c r="L5990" i="28"/>
  <c r="M5990" i="28" s="1"/>
  <c r="L5991" i="28"/>
  <c r="M5991" i="28"/>
  <c r="L5992" i="28"/>
  <c r="M5992" i="28" s="1"/>
  <c r="L5993" i="28"/>
  <c r="M5993" i="28"/>
  <c r="L5994" i="28"/>
  <c r="M5994" i="28" s="1"/>
  <c r="L5995" i="28"/>
  <c r="M5995" i="28" s="1"/>
  <c r="L5996" i="28"/>
  <c r="M5996" i="28" s="1"/>
  <c r="L5997" i="28"/>
  <c r="M5997" i="28" s="1"/>
  <c r="L5998" i="28"/>
  <c r="M5998" i="28" s="1"/>
  <c r="L5999" i="28"/>
  <c r="M5999" i="28" s="1"/>
  <c r="L6000" i="28"/>
  <c r="M6000" i="28" s="1"/>
  <c r="L6001" i="28"/>
  <c r="M6001" i="28" s="1"/>
  <c r="L6002" i="28"/>
  <c r="M6002" i="28" s="1"/>
  <c r="L6003" i="28"/>
  <c r="M6003" i="28" s="1"/>
  <c r="L6004" i="28"/>
  <c r="M6004" i="28" s="1"/>
  <c r="L6005" i="28"/>
  <c r="M6005" i="28" s="1"/>
  <c r="L6006" i="28"/>
  <c r="M6006" i="28" s="1"/>
  <c r="L3007" i="28"/>
  <c r="M3007" i="28" s="1"/>
  <c r="L3008" i="28"/>
  <c r="M3008" i="28" s="1"/>
  <c r="L3009" i="28"/>
  <c r="M3009" i="28" s="1"/>
  <c r="L3010" i="28"/>
  <c r="M3010" i="28" s="1"/>
  <c r="L3011" i="28"/>
  <c r="M3011" i="28" s="1"/>
  <c r="L3012" i="28"/>
  <c r="M3012" i="28" s="1"/>
  <c r="L3013" i="28"/>
  <c r="M3013" i="28" s="1"/>
  <c r="L3014" i="28"/>
  <c r="M3014" i="28" s="1"/>
  <c r="L3015" i="28"/>
  <c r="M3015" i="28" s="1"/>
  <c r="L3016" i="28"/>
  <c r="M3016" i="28"/>
  <c r="L3017" i="28"/>
  <c r="M3017" i="28" s="1"/>
  <c r="L3018" i="28"/>
  <c r="M3018" i="28" s="1"/>
  <c r="L3019" i="28"/>
  <c r="M3019" i="28" s="1"/>
  <c r="L3020" i="28"/>
  <c r="M3020" i="28" s="1"/>
  <c r="L3021" i="28"/>
  <c r="M3021" i="28" s="1"/>
  <c r="L3022" i="28"/>
  <c r="M3022" i="28" s="1"/>
  <c r="L3023" i="28"/>
  <c r="M3023" i="28" s="1"/>
  <c r="L3024" i="28"/>
  <c r="M3024" i="28" s="1"/>
  <c r="L3025" i="28"/>
  <c r="M3025" i="28" s="1"/>
  <c r="L3026" i="28"/>
  <c r="M3026" i="28" s="1"/>
  <c r="L3027" i="28"/>
  <c r="M3027" i="28" s="1"/>
  <c r="L3028" i="28"/>
  <c r="M3028" i="28" s="1"/>
  <c r="L3029" i="28"/>
  <c r="M3029" i="28" s="1"/>
  <c r="L3030" i="28"/>
  <c r="M3030" i="28" s="1"/>
  <c r="L3031" i="28"/>
  <c r="M3031" i="28" s="1"/>
  <c r="L3032" i="28"/>
  <c r="M3032" i="28" s="1"/>
  <c r="L3033" i="28"/>
  <c r="M3033" i="28" s="1"/>
  <c r="L3034" i="28"/>
  <c r="M3034" i="28"/>
  <c r="L3035" i="28"/>
  <c r="M3035" i="28" s="1"/>
  <c r="L3036" i="28"/>
  <c r="M3036" i="28" s="1"/>
  <c r="L3037" i="28"/>
  <c r="M3037" i="28" s="1"/>
  <c r="L3038" i="28"/>
  <c r="M3038" i="28" s="1"/>
  <c r="L3039" i="28"/>
  <c r="M3039" i="28" s="1"/>
  <c r="L3040" i="28"/>
  <c r="M3040" i="28" s="1"/>
  <c r="L3041" i="28"/>
  <c r="M3041" i="28" s="1"/>
  <c r="L3042" i="28"/>
  <c r="M3042" i="28" s="1"/>
  <c r="L3043" i="28"/>
  <c r="M3043" i="28"/>
  <c r="L3044" i="28"/>
  <c r="M3044" i="28" s="1"/>
  <c r="L3045" i="28"/>
  <c r="M3045" i="28" s="1"/>
  <c r="L3046" i="28"/>
  <c r="M3046" i="28" s="1"/>
  <c r="L3047" i="28"/>
  <c r="M3047" i="28" s="1"/>
  <c r="L3048" i="28"/>
  <c r="M3048" i="28"/>
  <c r="L3049" i="28"/>
  <c r="M3049" i="28" s="1"/>
  <c r="L3050" i="28"/>
  <c r="M3050" i="28" s="1"/>
  <c r="L3051" i="28"/>
  <c r="M3051" i="28" s="1"/>
  <c r="L3052" i="28"/>
  <c r="M3052" i="28" s="1"/>
  <c r="L3053" i="28"/>
  <c r="M3053" i="28" s="1"/>
  <c r="L3054" i="28"/>
  <c r="M3054" i="28" s="1"/>
  <c r="L3055" i="28"/>
  <c r="M3055" i="28" s="1"/>
  <c r="L3056" i="28"/>
  <c r="M3056" i="28" s="1"/>
  <c r="L3057" i="28"/>
  <c r="M3057" i="28" s="1"/>
  <c r="L3058" i="28"/>
  <c r="M3058" i="28" s="1"/>
  <c r="L3059" i="28"/>
  <c r="M3059" i="28" s="1"/>
  <c r="L3060" i="28"/>
  <c r="M3060" i="28"/>
  <c r="L3061" i="28"/>
  <c r="M3061" i="28" s="1"/>
  <c r="L3062" i="28"/>
  <c r="M3062" i="28" s="1"/>
  <c r="L3063" i="28"/>
  <c r="M3063" i="28" s="1"/>
  <c r="L3064" i="28"/>
  <c r="M3064" i="28" s="1"/>
  <c r="L3065" i="28"/>
  <c r="M3065" i="28" s="1"/>
  <c r="L3066" i="28"/>
  <c r="M3066" i="28" s="1"/>
  <c r="L3067" i="28"/>
  <c r="M3067" i="28" s="1"/>
  <c r="L3068" i="28"/>
  <c r="M3068" i="28" s="1"/>
  <c r="L3069" i="28"/>
  <c r="M3069" i="28" s="1"/>
  <c r="L3070" i="28"/>
  <c r="M3070" i="28" s="1"/>
  <c r="L3071" i="28"/>
  <c r="M3071" i="28" s="1"/>
  <c r="L3072" i="28"/>
  <c r="M3072" i="28" s="1"/>
  <c r="L3073" i="28"/>
  <c r="M3073" i="28" s="1"/>
  <c r="L3074" i="28"/>
  <c r="M3074" i="28" s="1"/>
  <c r="L3075" i="28"/>
  <c r="M3075" i="28" s="1"/>
  <c r="L3076" i="28"/>
  <c r="M3076" i="28" s="1"/>
  <c r="L3077" i="28"/>
  <c r="M3077" i="28" s="1"/>
  <c r="L3078" i="28"/>
  <c r="M3078" i="28"/>
  <c r="L3079" i="28"/>
  <c r="M3079" i="28" s="1"/>
  <c r="L3080" i="28"/>
  <c r="M3080" i="28" s="1"/>
  <c r="L3081" i="28"/>
  <c r="M3081" i="28" s="1"/>
  <c r="L3082" i="28"/>
  <c r="M3082" i="28" s="1"/>
  <c r="L3083" i="28"/>
  <c r="M3083" i="28" s="1"/>
  <c r="L3084" i="28"/>
  <c r="M3084" i="28" s="1"/>
  <c r="L3085" i="28"/>
  <c r="M3085" i="28" s="1"/>
  <c r="L3086" i="28"/>
  <c r="M3086" i="28" s="1"/>
  <c r="L3087" i="28"/>
  <c r="M3087" i="28" s="1"/>
  <c r="L3088" i="28"/>
  <c r="M3088" i="28" s="1"/>
  <c r="L3089" i="28"/>
  <c r="M3089" i="28" s="1"/>
  <c r="L3090" i="28"/>
  <c r="M3090" i="28" s="1"/>
  <c r="L3091" i="28"/>
  <c r="M3091" i="28" s="1"/>
  <c r="L3092" i="28"/>
  <c r="M3092" i="28" s="1"/>
  <c r="L3093" i="28"/>
  <c r="M3093" i="28" s="1"/>
  <c r="L3094" i="28"/>
  <c r="M3094" i="28" s="1"/>
  <c r="L3095" i="28"/>
  <c r="M3095" i="28" s="1"/>
  <c r="L3096" i="28"/>
  <c r="M3096" i="28" s="1"/>
  <c r="L3097" i="28"/>
  <c r="M3097" i="28"/>
  <c r="L3098" i="28"/>
  <c r="M3098" i="28" s="1"/>
  <c r="L3099" i="28"/>
  <c r="M3099" i="28"/>
  <c r="L3100" i="28"/>
  <c r="M3100" i="28" s="1"/>
  <c r="L3101" i="28"/>
  <c r="M3101" i="28"/>
  <c r="L3102" i="28"/>
  <c r="M3102" i="28" s="1"/>
  <c r="L3103" i="28"/>
  <c r="M3103" i="28" s="1"/>
  <c r="L3104" i="28"/>
  <c r="M3104" i="28" s="1"/>
  <c r="L3105" i="28"/>
  <c r="M3105" i="28" s="1"/>
  <c r="L3106" i="28"/>
  <c r="M3106" i="28" s="1"/>
  <c r="L3107" i="28"/>
  <c r="M3107" i="28" s="1"/>
  <c r="L3108" i="28"/>
  <c r="M3108" i="28" s="1"/>
  <c r="L3109" i="28"/>
  <c r="M3109" i="28" s="1"/>
  <c r="L3110" i="28"/>
  <c r="M3110" i="28" s="1"/>
  <c r="L3111" i="28"/>
  <c r="M3111" i="28" s="1"/>
  <c r="L3112" i="28"/>
  <c r="M3112" i="28" s="1"/>
  <c r="L3113" i="28"/>
  <c r="M3113" i="28" s="1"/>
  <c r="L3114" i="28"/>
  <c r="M3114" i="28" s="1"/>
  <c r="L3115" i="28"/>
  <c r="M3115" i="28" s="1"/>
  <c r="L3116" i="28"/>
  <c r="M3116" i="28" s="1"/>
  <c r="L3117" i="28"/>
  <c r="M3117" i="28" s="1"/>
  <c r="L3118" i="28"/>
  <c r="M3118" i="28" s="1"/>
  <c r="L3119" i="28"/>
  <c r="M3119" i="28" s="1"/>
  <c r="L3120" i="28"/>
  <c r="M3120" i="28"/>
  <c r="L3121" i="28"/>
  <c r="M3121" i="28" s="1"/>
  <c r="L3122" i="28"/>
  <c r="M3122" i="28" s="1"/>
  <c r="L3123" i="28"/>
  <c r="M3123" i="28" s="1"/>
  <c r="L3124" i="28"/>
  <c r="M3124" i="28" s="1"/>
  <c r="L3125" i="28"/>
  <c r="M3125" i="28" s="1"/>
  <c r="L3126" i="28"/>
  <c r="M3126" i="28" s="1"/>
  <c r="L3127" i="28"/>
  <c r="M3127" i="28" s="1"/>
  <c r="L3128" i="28"/>
  <c r="M3128" i="28" s="1"/>
  <c r="L3129" i="28"/>
  <c r="M3129" i="28" s="1"/>
  <c r="L3130" i="28"/>
  <c r="M3130" i="28" s="1"/>
  <c r="L3131" i="28"/>
  <c r="M3131" i="28"/>
  <c r="L3132" i="28"/>
  <c r="M3132" i="28" s="1"/>
  <c r="L3133" i="28"/>
  <c r="M3133" i="28"/>
  <c r="L3134" i="28"/>
  <c r="M3134" i="28" s="1"/>
  <c r="L3135" i="28"/>
  <c r="M3135" i="28" s="1"/>
  <c r="L3136" i="28"/>
  <c r="M3136" i="28" s="1"/>
  <c r="L3137" i="28"/>
  <c r="M3137" i="28" s="1"/>
  <c r="L3138" i="28"/>
  <c r="M3138" i="28" s="1"/>
  <c r="L3139" i="28"/>
  <c r="M3139" i="28" s="1"/>
  <c r="L3140" i="28"/>
  <c r="M3140" i="28" s="1"/>
  <c r="L3141" i="28"/>
  <c r="M3141" i="28" s="1"/>
  <c r="L3142" i="28"/>
  <c r="M3142" i="28" s="1"/>
  <c r="L3143" i="28"/>
  <c r="M3143" i="28" s="1"/>
  <c r="L3144" i="28"/>
  <c r="M3144" i="28" s="1"/>
  <c r="L3145" i="28"/>
  <c r="M3145" i="28" s="1"/>
  <c r="L3146" i="28"/>
  <c r="M3146" i="28" s="1"/>
  <c r="L3147" i="28"/>
  <c r="M3147" i="28" s="1"/>
  <c r="L3148" i="28"/>
  <c r="M3148" i="28" s="1"/>
  <c r="L3149" i="28"/>
  <c r="M3149" i="28" s="1"/>
  <c r="L3150" i="28"/>
  <c r="M3150" i="28" s="1"/>
  <c r="L3151" i="28"/>
  <c r="M3151" i="28" s="1"/>
  <c r="L3152" i="28"/>
  <c r="M3152" i="28" s="1"/>
  <c r="L3153" i="28"/>
  <c r="M3153" i="28" s="1"/>
  <c r="L3154" i="28"/>
  <c r="M3154" i="28" s="1"/>
  <c r="L3155" i="28"/>
  <c r="M3155" i="28" s="1"/>
  <c r="L3156" i="28"/>
  <c r="M3156" i="28" s="1"/>
  <c r="L3157" i="28"/>
  <c r="M3157" i="28" s="1"/>
  <c r="L3158" i="28"/>
  <c r="M3158" i="28" s="1"/>
  <c r="L3159" i="28"/>
  <c r="M3159" i="28" s="1"/>
  <c r="L3160" i="28"/>
  <c r="M3160" i="28" s="1"/>
  <c r="L3161" i="28"/>
  <c r="M3161" i="28" s="1"/>
  <c r="L3162" i="28"/>
  <c r="M3162" i="28" s="1"/>
  <c r="L3163" i="28"/>
  <c r="M3163" i="28" s="1"/>
  <c r="L3164" i="28"/>
  <c r="M3164" i="28" s="1"/>
  <c r="L3165" i="28"/>
  <c r="M3165" i="28" s="1"/>
  <c r="L3166" i="28"/>
  <c r="M3166" i="28"/>
  <c r="L3167" i="28"/>
  <c r="M3167" i="28" s="1"/>
  <c r="L3168" i="28"/>
  <c r="M3168" i="28" s="1"/>
  <c r="L3169" i="28"/>
  <c r="M3169" i="28"/>
  <c r="L3170" i="28"/>
  <c r="M3170" i="28" s="1"/>
  <c r="L3171" i="28"/>
  <c r="M3171" i="28" s="1"/>
  <c r="L3172" i="28"/>
  <c r="M3172" i="28" s="1"/>
  <c r="L3173" i="28"/>
  <c r="M3173" i="28" s="1"/>
  <c r="L3174" i="28"/>
  <c r="M3174" i="28" s="1"/>
  <c r="L3175" i="28"/>
  <c r="M3175" i="28" s="1"/>
  <c r="L3176" i="28"/>
  <c r="M3176" i="28" s="1"/>
  <c r="L3177" i="28"/>
  <c r="M3177" i="28" s="1"/>
  <c r="L3178" i="28"/>
  <c r="M3178" i="28" s="1"/>
  <c r="L3179" i="28"/>
  <c r="M3179" i="28" s="1"/>
  <c r="L3180" i="28"/>
  <c r="M3180" i="28" s="1"/>
  <c r="L3181" i="28"/>
  <c r="M3181" i="28" s="1"/>
  <c r="L3182" i="28"/>
  <c r="M3182" i="28" s="1"/>
  <c r="L3183" i="28"/>
  <c r="M3183" i="28" s="1"/>
  <c r="L3184" i="28"/>
  <c r="M3184" i="28" s="1"/>
  <c r="L3185" i="28"/>
  <c r="M3185" i="28" s="1"/>
  <c r="L3186" i="28"/>
  <c r="M3186" i="28" s="1"/>
  <c r="L3187" i="28"/>
  <c r="M3187" i="28" s="1"/>
  <c r="L3188" i="28"/>
  <c r="M3188" i="28" s="1"/>
  <c r="L3189" i="28"/>
  <c r="M3189" i="28" s="1"/>
  <c r="L3190" i="28"/>
  <c r="M3190" i="28" s="1"/>
  <c r="L3191" i="28"/>
  <c r="M3191" i="28" s="1"/>
  <c r="L3192" i="28"/>
  <c r="M3192" i="28" s="1"/>
  <c r="L3193" i="28"/>
  <c r="M3193" i="28" s="1"/>
  <c r="L3194" i="28"/>
  <c r="M3194" i="28" s="1"/>
  <c r="L3195" i="28"/>
  <c r="M3195" i="28" s="1"/>
  <c r="L3196" i="28"/>
  <c r="M3196" i="28" s="1"/>
  <c r="L3197" i="28"/>
  <c r="M3197" i="28" s="1"/>
  <c r="L3198" i="28"/>
  <c r="M3198" i="28" s="1"/>
  <c r="L3199" i="28"/>
  <c r="M3199" i="28" s="1"/>
  <c r="L3200" i="28"/>
  <c r="M3200" i="28" s="1"/>
  <c r="L3201" i="28"/>
  <c r="M3201" i="28" s="1"/>
  <c r="L3202" i="28"/>
  <c r="M3202" i="28" s="1"/>
  <c r="L3203" i="28"/>
  <c r="M3203" i="28" s="1"/>
  <c r="L3204" i="28"/>
  <c r="M3204" i="28" s="1"/>
  <c r="L3205" i="28"/>
  <c r="M3205" i="28" s="1"/>
  <c r="L3206" i="28"/>
  <c r="M3206" i="28" s="1"/>
  <c r="L3207" i="28"/>
  <c r="M3207" i="28" s="1"/>
  <c r="L3208" i="28"/>
  <c r="M3208" i="28" s="1"/>
  <c r="L3209" i="28"/>
  <c r="M3209" i="28" s="1"/>
  <c r="L3210" i="28"/>
  <c r="M3210" i="28" s="1"/>
  <c r="L3211" i="28"/>
  <c r="M3211" i="28" s="1"/>
  <c r="L3212" i="28"/>
  <c r="M3212" i="28" s="1"/>
  <c r="L3213" i="28"/>
  <c r="M3213" i="28" s="1"/>
  <c r="L3214" i="28"/>
  <c r="M3214" i="28" s="1"/>
  <c r="L3215" i="28"/>
  <c r="M3215" i="28" s="1"/>
  <c r="L3216" i="28"/>
  <c r="M3216" i="28"/>
  <c r="L3217" i="28"/>
  <c r="M3217" i="28" s="1"/>
  <c r="L3218" i="28"/>
  <c r="M3218" i="28"/>
  <c r="L3219" i="28"/>
  <c r="M3219" i="28" s="1"/>
  <c r="L3220" i="28"/>
  <c r="M3220" i="28" s="1"/>
  <c r="L3221" i="28"/>
  <c r="M3221" i="28" s="1"/>
  <c r="L3222" i="28"/>
  <c r="M3222" i="28" s="1"/>
  <c r="L3223" i="28"/>
  <c r="M3223" i="28" s="1"/>
  <c r="L3224" i="28"/>
  <c r="M3224" i="28" s="1"/>
  <c r="L3225" i="28"/>
  <c r="M3225" i="28" s="1"/>
  <c r="L3226" i="28"/>
  <c r="M3226" i="28" s="1"/>
  <c r="L3227" i="28"/>
  <c r="M3227" i="28" s="1"/>
  <c r="L3228" i="28"/>
  <c r="M3228" i="28" s="1"/>
  <c r="L3229" i="28"/>
  <c r="M3229" i="28"/>
  <c r="L3230" i="28"/>
  <c r="M3230" i="28" s="1"/>
  <c r="L3231" i="28"/>
  <c r="M3231" i="28" s="1"/>
  <c r="L3232" i="28"/>
  <c r="M3232" i="28" s="1"/>
  <c r="L3233" i="28"/>
  <c r="M3233" i="28" s="1"/>
  <c r="L3234" i="28"/>
  <c r="M3234" i="28" s="1"/>
  <c r="L3235" i="28"/>
  <c r="M3235" i="28" s="1"/>
  <c r="L3236" i="28"/>
  <c r="M3236" i="28" s="1"/>
  <c r="L3237" i="28"/>
  <c r="M3237" i="28" s="1"/>
  <c r="L3238" i="28"/>
  <c r="M3238" i="28" s="1"/>
  <c r="L3239" i="28"/>
  <c r="M3239" i="28" s="1"/>
  <c r="L3240" i="28"/>
  <c r="M3240" i="28" s="1"/>
  <c r="L3241" i="28"/>
  <c r="M3241" i="28" s="1"/>
  <c r="L3242" i="28"/>
  <c r="M3242" i="28" s="1"/>
  <c r="L3243" i="28"/>
  <c r="M3243" i="28" s="1"/>
  <c r="L3244" i="28"/>
  <c r="M3244" i="28" s="1"/>
  <c r="L3245" i="28"/>
  <c r="M3245" i="28"/>
  <c r="L3246" i="28"/>
  <c r="M3246" i="28" s="1"/>
  <c r="L3247" i="28"/>
  <c r="M3247" i="28" s="1"/>
  <c r="L3248" i="28"/>
  <c r="M3248" i="28" s="1"/>
  <c r="L3249" i="28"/>
  <c r="M3249" i="28" s="1"/>
  <c r="L3250" i="28"/>
  <c r="M3250" i="28" s="1"/>
  <c r="L3251" i="28"/>
  <c r="M3251" i="28" s="1"/>
  <c r="L3252" i="28"/>
  <c r="M3252" i="28" s="1"/>
  <c r="L3253" i="28"/>
  <c r="M3253" i="28" s="1"/>
  <c r="L3254" i="28"/>
  <c r="M3254" i="28" s="1"/>
  <c r="L3255" i="28"/>
  <c r="M3255" i="28" s="1"/>
  <c r="L3256" i="28"/>
  <c r="M3256" i="28" s="1"/>
  <c r="L3257" i="28"/>
  <c r="M3257" i="28" s="1"/>
  <c r="L3258" i="28"/>
  <c r="M3258" i="28" s="1"/>
  <c r="L3259" i="28"/>
  <c r="M3259" i="28" s="1"/>
  <c r="L3260" i="28"/>
  <c r="M3260" i="28" s="1"/>
  <c r="L3261" i="28"/>
  <c r="M3261" i="28" s="1"/>
  <c r="L3262" i="28"/>
  <c r="M3262" i="28" s="1"/>
  <c r="L3263" i="28"/>
  <c r="M3263" i="28" s="1"/>
  <c r="L3264" i="28"/>
  <c r="M3264" i="28" s="1"/>
  <c r="L3265" i="28"/>
  <c r="M3265" i="28"/>
  <c r="L3266" i="28"/>
  <c r="M3266" i="28" s="1"/>
  <c r="L3267" i="28"/>
  <c r="M3267" i="28" s="1"/>
  <c r="L3268" i="28"/>
  <c r="M3268" i="28" s="1"/>
  <c r="L3269" i="28"/>
  <c r="M3269" i="28" s="1"/>
  <c r="L3270" i="28"/>
  <c r="M3270" i="28" s="1"/>
  <c r="L3271" i="28"/>
  <c r="M3271" i="28" s="1"/>
  <c r="L3272" i="28"/>
  <c r="M3272" i="28" s="1"/>
  <c r="L3273" i="28"/>
  <c r="M3273" i="28" s="1"/>
  <c r="L3274" i="28"/>
  <c r="M3274" i="28" s="1"/>
  <c r="L3275" i="28"/>
  <c r="M3275" i="28" s="1"/>
  <c r="L3276" i="28"/>
  <c r="M3276" i="28" s="1"/>
  <c r="L3277" i="28"/>
  <c r="M3277" i="28" s="1"/>
  <c r="L3278" i="28"/>
  <c r="M3278" i="28" s="1"/>
  <c r="L3279" i="28"/>
  <c r="M3279" i="28" s="1"/>
  <c r="L3280" i="28"/>
  <c r="M3280" i="28" s="1"/>
  <c r="L3281" i="28"/>
  <c r="M3281" i="28" s="1"/>
  <c r="L3282" i="28"/>
  <c r="M3282" i="28" s="1"/>
  <c r="L3283" i="28"/>
  <c r="M3283" i="28" s="1"/>
  <c r="L3284" i="28"/>
  <c r="M3284" i="28" s="1"/>
  <c r="L3285" i="28"/>
  <c r="M3285" i="28" s="1"/>
  <c r="L3286" i="28"/>
  <c r="M3286" i="28" s="1"/>
  <c r="L3287" i="28"/>
  <c r="M3287" i="28" s="1"/>
  <c r="L3288" i="28"/>
  <c r="M3288" i="28" s="1"/>
  <c r="L3289" i="28"/>
  <c r="M3289" i="28" s="1"/>
  <c r="L3290" i="28"/>
  <c r="M3290" i="28" s="1"/>
  <c r="L3291" i="28"/>
  <c r="M3291" i="28" s="1"/>
  <c r="L3292" i="28"/>
  <c r="M3292" i="28" s="1"/>
  <c r="L3293" i="28"/>
  <c r="M3293" i="28" s="1"/>
  <c r="L3294" i="28"/>
  <c r="M3294" i="28" s="1"/>
  <c r="L3295" i="28"/>
  <c r="M3295" i="28" s="1"/>
  <c r="L3296" i="28"/>
  <c r="M3296" i="28" s="1"/>
  <c r="L3297" i="28"/>
  <c r="M3297" i="28" s="1"/>
  <c r="L3298" i="28"/>
  <c r="M3298" i="28" s="1"/>
  <c r="L3299" i="28"/>
  <c r="M3299" i="28" s="1"/>
  <c r="L3300" i="28"/>
  <c r="M3300" i="28" s="1"/>
  <c r="L3301" i="28"/>
  <c r="M3301" i="28" s="1"/>
  <c r="L3302" i="28"/>
  <c r="M3302" i="28" s="1"/>
  <c r="L3303" i="28"/>
  <c r="M3303" i="28" s="1"/>
  <c r="L3304" i="28"/>
  <c r="M3304" i="28" s="1"/>
  <c r="L3305" i="28"/>
  <c r="M3305" i="28" s="1"/>
  <c r="L3306" i="28"/>
  <c r="M3306" i="28" s="1"/>
  <c r="L3307" i="28"/>
  <c r="M3307" i="28" s="1"/>
  <c r="L3308" i="28"/>
  <c r="M3308" i="28" s="1"/>
  <c r="L3309" i="28"/>
  <c r="M3309" i="28" s="1"/>
  <c r="L3310" i="28"/>
  <c r="M3310" i="28" s="1"/>
  <c r="L3311" i="28"/>
  <c r="M3311" i="28" s="1"/>
  <c r="L3312" i="28"/>
  <c r="M3312" i="28" s="1"/>
  <c r="L3313" i="28"/>
  <c r="M3313" i="28" s="1"/>
  <c r="L3314" i="28"/>
  <c r="M3314" i="28"/>
  <c r="L3315" i="28"/>
  <c r="M3315" i="28" s="1"/>
  <c r="L3316" i="28"/>
  <c r="M3316" i="28"/>
  <c r="L3317" i="28"/>
  <c r="M3317" i="28" s="1"/>
  <c r="L3318" i="28"/>
  <c r="M3318" i="28"/>
  <c r="L3319" i="28"/>
  <c r="M3319" i="28" s="1"/>
  <c r="L3320" i="28"/>
  <c r="M3320" i="28" s="1"/>
  <c r="L3321" i="28"/>
  <c r="M3321" i="28" s="1"/>
  <c r="L3322" i="28"/>
  <c r="M3322" i="28"/>
  <c r="L3323" i="28"/>
  <c r="M3323" i="28" s="1"/>
  <c r="L3324" i="28"/>
  <c r="M3324" i="28"/>
  <c r="L3325" i="28"/>
  <c r="M3325" i="28" s="1"/>
  <c r="L3326" i="28"/>
  <c r="M3326" i="28"/>
  <c r="L3327" i="28"/>
  <c r="M3327" i="28" s="1"/>
  <c r="L3328" i="28"/>
  <c r="M3328" i="28" s="1"/>
  <c r="L3329" i="28"/>
  <c r="M3329" i="28" s="1"/>
  <c r="L3330" i="28"/>
  <c r="M3330" i="28" s="1"/>
  <c r="L3331" i="28"/>
  <c r="M3331" i="28" s="1"/>
  <c r="L3332" i="28"/>
  <c r="M3332" i="28" s="1"/>
  <c r="L3333" i="28"/>
  <c r="M3333" i="28"/>
  <c r="L3334" i="28"/>
  <c r="M3334" i="28" s="1"/>
  <c r="L3335" i="28"/>
  <c r="M3335" i="28"/>
  <c r="L3336" i="28"/>
  <c r="M3336" i="28" s="1"/>
  <c r="L3337" i="28"/>
  <c r="M3337" i="28" s="1"/>
  <c r="L3338" i="28"/>
  <c r="M3338" i="28"/>
  <c r="L3339" i="28"/>
  <c r="M3339" i="28" s="1"/>
  <c r="L3340" i="28"/>
  <c r="M3340" i="28" s="1"/>
  <c r="L3341" i="28"/>
  <c r="M3341" i="28" s="1"/>
  <c r="L3342" i="28"/>
  <c r="M3342" i="28" s="1"/>
  <c r="L3343" i="28"/>
  <c r="M3343" i="28" s="1"/>
  <c r="L3344" i="28"/>
  <c r="M3344" i="28" s="1"/>
  <c r="L3345" i="28"/>
  <c r="M3345" i="28" s="1"/>
  <c r="L3346" i="28"/>
  <c r="M3346" i="28" s="1"/>
  <c r="L3347" i="28"/>
  <c r="M3347" i="28" s="1"/>
  <c r="L3348" i="28"/>
  <c r="M3348" i="28" s="1"/>
  <c r="L3349" i="28"/>
  <c r="M3349" i="28" s="1"/>
  <c r="L3350" i="28"/>
  <c r="M3350" i="28" s="1"/>
  <c r="L3351" i="28"/>
  <c r="M3351" i="28" s="1"/>
  <c r="L3352" i="28"/>
  <c r="M3352" i="28" s="1"/>
  <c r="L3353" i="28"/>
  <c r="M3353" i="28" s="1"/>
  <c r="L3354" i="28"/>
  <c r="M3354" i="28" s="1"/>
  <c r="L3355" i="28"/>
  <c r="M3355" i="28" s="1"/>
  <c r="L3356" i="28"/>
  <c r="M3356" i="28"/>
  <c r="L3357" i="28"/>
  <c r="M3357" i="28" s="1"/>
  <c r="L3358" i="28"/>
  <c r="M3358" i="28"/>
  <c r="L3359" i="28"/>
  <c r="M3359" i="28" s="1"/>
  <c r="L3360" i="28"/>
  <c r="M3360" i="28" s="1"/>
  <c r="L3361" i="28"/>
  <c r="M3361" i="28" s="1"/>
  <c r="L3362" i="28"/>
  <c r="M3362" i="28"/>
  <c r="L3363" i="28"/>
  <c r="M3363" i="28" s="1"/>
  <c r="L3364" i="28"/>
  <c r="M3364" i="28" s="1"/>
  <c r="L3365" i="28"/>
  <c r="M3365" i="28" s="1"/>
  <c r="L3366" i="28"/>
  <c r="M3366" i="28" s="1"/>
  <c r="L3367" i="28"/>
  <c r="M3367" i="28" s="1"/>
  <c r="L3368" i="28"/>
  <c r="M3368" i="28" s="1"/>
  <c r="L3369" i="28"/>
  <c r="M3369" i="28" s="1"/>
  <c r="L3370" i="28"/>
  <c r="M3370" i="28" s="1"/>
  <c r="L3371" i="28"/>
  <c r="M3371" i="28" s="1"/>
  <c r="L3372" i="28"/>
  <c r="M3372" i="28" s="1"/>
  <c r="L3373" i="28"/>
  <c r="M3373" i="28" s="1"/>
  <c r="L3374" i="28"/>
  <c r="M3374" i="28" s="1"/>
  <c r="L3375" i="28"/>
  <c r="M3375" i="28" s="1"/>
  <c r="L3376" i="28"/>
  <c r="M3376" i="28" s="1"/>
  <c r="L3377" i="28"/>
  <c r="M3377" i="28" s="1"/>
  <c r="L3378" i="28"/>
  <c r="M3378" i="28" s="1"/>
  <c r="L3379" i="28"/>
  <c r="M3379" i="28" s="1"/>
  <c r="L3380" i="28"/>
  <c r="M3380" i="28" s="1"/>
  <c r="L3381" i="28"/>
  <c r="M3381" i="28"/>
  <c r="L3382" i="28"/>
  <c r="M3382" i="28" s="1"/>
  <c r="L3383" i="28"/>
  <c r="M3383" i="28"/>
  <c r="L3384" i="28"/>
  <c r="M3384" i="28" s="1"/>
  <c r="L3385" i="28"/>
  <c r="M3385" i="28"/>
  <c r="L3386" i="28"/>
  <c r="M3386" i="28" s="1"/>
  <c r="L3387" i="28"/>
  <c r="M3387" i="28" s="1"/>
  <c r="L3388" i="28"/>
  <c r="M3388" i="28" s="1"/>
  <c r="L3389" i="28"/>
  <c r="M3389" i="28"/>
  <c r="L3390" i="28"/>
  <c r="M3390" i="28" s="1"/>
  <c r="L3391" i="28"/>
  <c r="M3391" i="28" s="1"/>
  <c r="L3392" i="28"/>
  <c r="M3392" i="28" s="1"/>
  <c r="L3393" i="28"/>
  <c r="M3393" i="28" s="1"/>
  <c r="L3394" i="28"/>
  <c r="M3394" i="28" s="1"/>
  <c r="L3395" i="28"/>
  <c r="M3395" i="28" s="1"/>
  <c r="L3396" i="28"/>
  <c r="M3396" i="28" s="1"/>
  <c r="L3397" i="28"/>
  <c r="M3397" i="28" s="1"/>
  <c r="L3398" i="28"/>
  <c r="M3398" i="28" s="1"/>
  <c r="L3399" i="28"/>
  <c r="M3399" i="28" s="1"/>
  <c r="L3400" i="28"/>
  <c r="M3400" i="28" s="1"/>
  <c r="L3401" i="28"/>
  <c r="M3401" i="28" s="1"/>
  <c r="L3402" i="28"/>
  <c r="M3402" i="28" s="1"/>
  <c r="L3403" i="28"/>
  <c r="M3403" i="28" s="1"/>
  <c r="L3404" i="28"/>
  <c r="M3404" i="28" s="1"/>
  <c r="L3405" i="28"/>
  <c r="M3405" i="28" s="1"/>
  <c r="L3406" i="28"/>
  <c r="M3406" i="28" s="1"/>
  <c r="L3407" i="28"/>
  <c r="M3407" i="28" s="1"/>
  <c r="L3408" i="28"/>
  <c r="M3408" i="28" s="1"/>
  <c r="L3409" i="28"/>
  <c r="M3409" i="28" s="1"/>
  <c r="L3410" i="28"/>
  <c r="M3410" i="28" s="1"/>
  <c r="L3411" i="28"/>
  <c r="M3411" i="28" s="1"/>
  <c r="L3412" i="28"/>
  <c r="M3412" i="28" s="1"/>
  <c r="L3413" i="28"/>
  <c r="M3413" i="28" s="1"/>
  <c r="L3414" i="28"/>
  <c r="M3414" i="28"/>
  <c r="L3415" i="28"/>
  <c r="M3415" i="28" s="1"/>
  <c r="L3416" i="28"/>
  <c r="M3416" i="28"/>
  <c r="L3417" i="28"/>
  <c r="M3417" i="28" s="1"/>
  <c r="L3418" i="28"/>
  <c r="M3418" i="28" s="1"/>
  <c r="L3419" i="28"/>
  <c r="M3419" i="28" s="1"/>
  <c r="L3420" i="28"/>
  <c r="M3420" i="28" s="1"/>
  <c r="L3421" i="28"/>
  <c r="M3421" i="28" s="1"/>
  <c r="L3422" i="28"/>
  <c r="M3422" i="28" s="1"/>
  <c r="L3423" i="28"/>
  <c r="M3423" i="28" s="1"/>
  <c r="L3424" i="28"/>
  <c r="M3424" i="28" s="1"/>
  <c r="L3425" i="28"/>
  <c r="M3425" i="28" s="1"/>
  <c r="L3426" i="28"/>
  <c r="M3426" i="28"/>
  <c r="L3427" i="28"/>
  <c r="M3427" i="28" s="1"/>
  <c r="L3428" i="28"/>
  <c r="M3428" i="28"/>
  <c r="L3429" i="28"/>
  <c r="M3429" i="28" s="1"/>
  <c r="L3430" i="28"/>
  <c r="M3430" i="28" s="1"/>
  <c r="L3431" i="28"/>
  <c r="M3431" i="28" s="1"/>
  <c r="L3432" i="28"/>
  <c r="M3432" i="28" s="1"/>
  <c r="L3433" i="28"/>
  <c r="M3433" i="28" s="1"/>
  <c r="L3434" i="28"/>
  <c r="M3434" i="28" s="1"/>
  <c r="L3435" i="28"/>
  <c r="M3435" i="28" s="1"/>
  <c r="L3436" i="28"/>
  <c r="M3436" i="28" s="1"/>
  <c r="L3437" i="28"/>
  <c r="M3437" i="28" s="1"/>
  <c r="L3438" i="28"/>
  <c r="M3438" i="28" s="1"/>
  <c r="L3439" i="28"/>
  <c r="M3439" i="28" s="1"/>
  <c r="L3440" i="28"/>
  <c r="M3440" i="28" s="1"/>
  <c r="L3441" i="28"/>
  <c r="M3441" i="28" s="1"/>
  <c r="L3442" i="28"/>
  <c r="M3442" i="28" s="1"/>
  <c r="L3443" i="28"/>
  <c r="M3443" i="28" s="1"/>
  <c r="L3444" i="28"/>
  <c r="M3444" i="28" s="1"/>
  <c r="L3445" i="28"/>
  <c r="M3445" i="28" s="1"/>
  <c r="L3446" i="28"/>
  <c r="M3446" i="28" s="1"/>
  <c r="L3447" i="28"/>
  <c r="M3447" i="28" s="1"/>
  <c r="L3448" i="28"/>
  <c r="M3448" i="28" s="1"/>
  <c r="L3449" i="28"/>
  <c r="M3449" i="28" s="1"/>
  <c r="L3450" i="28"/>
  <c r="M3450" i="28" s="1"/>
  <c r="L3451" i="28"/>
  <c r="M3451" i="28" s="1"/>
  <c r="L3452" i="28"/>
  <c r="M3452" i="28" s="1"/>
  <c r="L3453" i="28"/>
  <c r="M3453" i="28" s="1"/>
  <c r="L3454" i="28"/>
  <c r="M3454" i="28" s="1"/>
  <c r="L3455" i="28"/>
  <c r="M3455" i="28" s="1"/>
  <c r="L3456" i="28"/>
  <c r="M3456" i="28" s="1"/>
  <c r="L3457" i="28"/>
  <c r="M3457" i="28" s="1"/>
  <c r="L3458" i="28"/>
  <c r="M3458" i="28" s="1"/>
  <c r="L3459" i="28"/>
  <c r="M3459" i="28" s="1"/>
  <c r="L3460" i="28"/>
  <c r="M3460" i="28" s="1"/>
  <c r="L3461" i="28"/>
  <c r="M3461" i="28" s="1"/>
  <c r="L3462" i="28"/>
  <c r="M3462" i="28" s="1"/>
  <c r="L3463" i="28"/>
  <c r="M3463" i="28" s="1"/>
  <c r="L3464" i="28"/>
  <c r="M3464" i="28"/>
  <c r="L3465" i="28"/>
  <c r="M3465" i="28" s="1"/>
  <c r="L3466" i="28"/>
  <c r="M3466" i="28"/>
  <c r="L3467" i="28"/>
  <c r="M3467" i="28" s="1"/>
  <c r="L3468" i="28"/>
  <c r="M3468" i="28"/>
  <c r="L3469" i="28"/>
  <c r="M3469" i="28" s="1"/>
  <c r="L3470" i="28"/>
  <c r="M3470" i="28"/>
  <c r="L3471" i="28"/>
  <c r="M3471" i="28" s="1"/>
  <c r="L3472" i="28"/>
  <c r="M3472" i="28"/>
  <c r="L3473" i="28"/>
  <c r="M3473" i="28" s="1"/>
  <c r="L3474" i="28"/>
  <c r="M3474" i="28"/>
  <c r="L3475" i="28"/>
  <c r="M3475" i="28" s="1"/>
  <c r="L3476" i="28"/>
  <c r="M3476" i="28"/>
  <c r="L3477" i="28"/>
  <c r="M3477" i="28" s="1"/>
  <c r="L3478" i="28"/>
  <c r="M3478" i="28" s="1"/>
  <c r="L3479" i="28"/>
  <c r="M3479" i="28" s="1"/>
  <c r="L3480" i="28"/>
  <c r="M3480" i="28" s="1"/>
  <c r="L3481" i="28"/>
  <c r="M3481" i="28" s="1"/>
  <c r="L3482" i="28"/>
  <c r="M3482" i="28" s="1"/>
  <c r="L3483" i="28"/>
  <c r="M3483" i="28" s="1"/>
  <c r="L3484" i="28"/>
  <c r="M3484" i="28" s="1"/>
  <c r="L3485" i="28"/>
  <c r="M3485" i="28" s="1"/>
  <c r="L3486" i="28"/>
  <c r="M3486" i="28" s="1"/>
  <c r="L3487" i="28"/>
  <c r="M3487" i="28" s="1"/>
  <c r="L3488" i="28"/>
  <c r="M3488" i="28" s="1"/>
  <c r="L3489" i="28"/>
  <c r="M3489" i="28" s="1"/>
  <c r="L3490" i="28"/>
  <c r="M3490" i="28" s="1"/>
  <c r="L3491" i="28"/>
  <c r="M3491" i="28" s="1"/>
  <c r="L3492" i="28"/>
  <c r="M3492" i="28" s="1"/>
  <c r="L3493" i="28"/>
  <c r="M3493" i="28" s="1"/>
  <c r="L3494" i="28"/>
  <c r="M3494" i="28" s="1"/>
  <c r="L3495" i="28"/>
  <c r="M3495" i="28" s="1"/>
  <c r="L3496" i="28"/>
  <c r="M3496" i="28" s="1"/>
  <c r="L3497" i="28"/>
  <c r="M3497" i="28" s="1"/>
  <c r="L3498" i="28"/>
  <c r="M3498" i="28" s="1"/>
  <c r="L3499" i="28"/>
  <c r="M3499" i="28" s="1"/>
  <c r="L3500" i="28"/>
  <c r="M3500" i="28" s="1"/>
  <c r="L3501" i="28"/>
  <c r="M3501" i="28" s="1"/>
  <c r="L3502" i="28"/>
  <c r="M3502" i="28"/>
  <c r="L3503" i="28"/>
  <c r="M3503" i="28" s="1"/>
  <c r="L3504" i="28"/>
  <c r="M3504" i="28"/>
  <c r="L3505" i="28"/>
  <c r="M3505" i="28" s="1"/>
  <c r="L3506" i="28"/>
  <c r="M3506" i="28" s="1"/>
  <c r="L3507" i="28"/>
  <c r="M3507" i="28" s="1"/>
  <c r="L3508" i="28"/>
  <c r="M3508" i="28" s="1"/>
  <c r="L3509" i="28"/>
  <c r="M3509" i="28" s="1"/>
  <c r="L3510" i="28"/>
  <c r="M3510" i="28" s="1"/>
  <c r="L3511" i="28"/>
  <c r="M3511" i="28" s="1"/>
  <c r="L3512" i="28"/>
  <c r="M3512" i="28" s="1"/>
  <c r="L3513" i="28"/>
  <c r="M3513" i="28"/>
  <c r="L3514" i="28"/>
  <c r="M3514" i="28" s="1"/>
  <c r="L3515" i="28"/>
  <c r="M3515" i="28"/>
  <c r="L3516" i="28"/>
  <c r="M3516" i="28" s="1"/>
  <c r="L3517" i="28"/>
  <c r="M3517" i="28" s="1"/>
  <c r="L3518" i="28"/>
  <c r="M3518" i="28" s="1"/>
  <c r="L3519" i="28"/>
  <c r="M3519" i="28" s="1"/>
  <c r="L3520" i="28"/>
  <c r="M3520" i="28" s="1"/>
  <c r="L3521" i="28"/>
  <c r="M3521" i="28"/>
  <c r="L3522" i="28"/>
  <c r="M3522" i="28" s="1"/>
  <c r="L3523" i="28"/>
  <c r="M3523" i="28" s="1"/>
  <c r="L3524" i="28"/>
  <c r="M3524" i="28" s="1"/>
  <c r="L3525" i="28"/>
  <c r="M3525" i="28" s="1"/>
  <c r="L3526" i="28"/>
  <c r="M3526" i="28" s="1"/>
  <c r="L3527" i="28"/>
  <c r="M3527" i="28" s="1"/>
  <c r="L3528" i="28"/>
  <c r="M3528" i="28" s="1"/>
  <c r="L3529" i="28"/>
  <c r="M3529" i="28" s="1"/>
  <c r="L3530" i="28"/>
  <c r="M3530" i="28" s="1"/>
  <c r="L3531" i="28"/>
  <c r="M3531" i="28" s="1"/>
  <c r="L3532" i="28"/>
  <c r="M3532" i="28" s="1"/>
  <c r="L3533" i="28"/>
  <c r="M3533" i="28" s="1"/>
  <c r="L3534" i="28"/>
  <c r="M3534" i="28" s="1"/>
  <c r="L3535" i="28"/>
  <c r="M3535" i="28" s="1"/>
  <c r="L3536" i="28"/>
  <c r="M3536" i="28" s="1"/>
  <c r="L3537" i="28"/>
  <c r="M3537" i="28" s="1"/>
  <c r="L3538" i="28"/>
  <c r="M3538" i="28" s="1"/>
  <c r="L3539" i="28"/>
  <c r="M3539" i="28" s="1"/>
  <c r="L3540" i="28"/>
  <c r="M3540" i="28" s="1"/>
  <c r="L3541" i="28"/>
  <c r="M3541" i="28" s="1"/>
  <c r="L3542" i="28"/>
  <c r="M3542" i="28" s="1"/>
  <c r="L3543" i="28"/>
  <c r="M3543" i="28" s="1"/>
  <c r="L3544" i="28"/>
  <c r="M3544" i="28" s="1"/>
  <c r="L3545" i="28"/>
  <c r="M3545" i="28" s="1"/>
  <c r="L3546" i="28"/>
  <c r="M3546" i="28" s="1"/>
  <c r="L3547" i="28"/>
  <c r="M3547" i="28" s="1"/>
  <c r="L3548" i="28"/>
  <c r="M3548" i="28" s="1"/>
  <c r="L3549" i="28"/>
  <c r="M3549" i="28" s="1"/>
  <c r="L3550" i="28"/>
  <c r="M3550" i="28" s="1"/>
  <c r="L3551" i="28"/>
  <c r="M3551" i="28" s="1"/>
  <c r="L3552" i="28"/>
  <c r="M3552" i="28" s="1"/>
  <c r="L3553" i="28"/>
  <c r="M3553" i="28" s="1"/>
  <c r="L3554" i="28"/>
  <c r="M3554" i="28" s="1"/>
  <c r="L3555" i="28"/>
  <c r="M3555" i="28" s="1"/>
  <c r="L3556" i="28"/>
  <c r="M3556" i="28" s="1"/>
  <c r="L3557" i="28"/>
  <c r="M3557" i="28" s="1"/>
  <c r="L3558" i="28"/>
  <c r="M3558" i="28" s="1"/>
  <c r="L3559" i="28"/>
  <c r="M3559" i="28" s="1"/>
  <c r="L3560" i="28"/>
  <c r="M3560" i="28" s="1"/>
  <c r="L3561" i="28"/>
  <c r="M3561" i="28" s="1"/>
  <c r="L3562" i="28"/>
  <c r="M3562" i="28" s="1"/>
  <c r="L3563" i="28"/>
  <c r="M3563" i="28" s="1"/>
  <c r="L3564" i="28"/>
  <c r="M3564" i="28" s="1"/>
  <c r="L3565" i="28"/>
  <c r="M3565" i="28" s="1"/>
  <c r="L3566" i="28"/>
  <c r="M3566" i="28" s="1"/>
  <c r="L3567" i="28"/>
  <c r="M3567" i="28" s="1"/>
  <c r="L3568" i="28"/>
  <c r="M3568" i="28" s="1"/>
  <c r="L3569" i="28"/>
  <c r="L3570" i="28"/>
  <c r="M3570" i="28" s="1"/>
  <c r="L3571" i="28"/>
  <c r="M3571" i="28" s="1"/>
  <c r="L3572" i="28"/>
  <c r="M3572" i="28" s="1"/>
  <c r="L3573" i="28"/>
  <c r="M3573" i="28" s="1"/>
  <c r="L3574" i="28"/>
  <c r="M3574" i="28" s="1"/>
  <c r="L3575" i="28"/>
  <c r="M3575" i="28" s="1"/>
  <c r="L3576" i="28"/>
  <c r="M3576" i="28" s="1"/>
  <c r="L3577" i="28"/>
  <c r="M3577" i="28" s="1"/>
  <c r="L3578" i="28"/>
  <c r="M3578" i="28" s="1"/>
  <c r="L3579" i="28"/>
  <c r="M3579" i="28" s="1"/>
  <c r="L3580" i="28"/>
  <c r="M3580" i="28" s="1"/>
  <c r="L3581" i="28"/>
  <c r="M3581" i="28" s="1"/>
  <c r="L3582" i="28"/>
  <c r="M3582" i="28" s="1"/>
  <c r="L3583" i="28"/>
  <c r="M3583" i="28" s="1"/>
  <c r="L3584" i="28"/>
  <c r="M3584" i="28" s="1"/>
  <c r="L3585" i="28"/>
  <c r="M3585" i="28" s="1"/>
  <c r="L3586" i="28"/>
  <c r="M3586" i="28" s="1"/>
  <c r="L3587" i="28"/>
  <c r="M3587" i="28" s="1"/>
  <c r="L3588" i="28"/>
  <c r="M3588" i="28" s="1"/>
  <c r="L3589" i="28"/>
  <c r="M3589" i="28" s="1"/>
  <c r="L3590" i="28"/>
  <c r="M3590" i="28" s="1"/>
  <c r="L3591" i="28"/>
  <c r="M3591" i="28" s="1"/>
  <c r="L3592" i="28"/>
  <c r="M3592" i="28" s="1"/>
  <c r="L3593" i="28"/>
  <c r="M3593" i="28" s="1"/>
  <c r="L3594" i="28"/>
  <c r="M3594" i="28" s="1"/>
  <c r="L3595" i="28"/>
  <c r="M3595" i="28" s="1"/>
  <c r="L3596" i="28"/>
  <c r="M3596" i="28" s="1"/>
  <c r="L3597" i="28"/>
  <c r="M3597" i="28" s="1"/>
  <c r="L3598" i="28"/>
  <c r="M3598" i="28" s="1"/>
  <c r="L3599" i="28"/>
  <c r="M3599" i="28" s="1"/>
  <c r="L3600" i="28"/>
  <c r="M3600" i="28" s="1"/>
  <c r="L3601" i="28"/>
  <c r="M3601" i="28" s="1"/>
  <c r="L3602" i="28"/>
  <c r="M3602" i="28" s="1"/>
  <c r="L3603" i="28"/>
  <c r="M3603" i="28" s="1"/>
  <c r="L3604" i="28"/>
  <c r="M3604" i="28" s="1"/>
  <c r="L3605" i="28"/>
  <c r="M3605" i="28" s="1"/>
  <c r="L3606" i="28"/>
  <c r="M3606" i="28" s="1"/>
  <c r="L3607" i="28"/>
  <c r="M3607" i="28" s="1"/>
  <c r="L3608" i="28"/>
  <c r="M3608" i="28" s="1"/>
  <c r="L3609" i="28"/>
  <c r="M3609" i="28" s="1"/>
  <c r="L3610" i="28"/>
  <c r="M3610" i="28" s="1"/>
  <c r="L3611" i="28"/>
  <c r="M3611" i="28" s="1"/>
  <c r="L3612" i="28"/>
  <c r="M3612" i="28" s="1"/>
  <c r="L3613" i="28"/>
  <c r="M3613" i="28" s="1"/>
  <c r="L3614" i="28"/>
  <c r="M3614" i="28" s="1"/>
  <c r="L3615" i="28"/>
  <c r="M3615" i="28" s="1"/>
  <c r="L3616" i="28"/>
  <c r="M3616" i="28" s="1"/>
  <c r="L3617" i="28"/>
  <c r="M3617" i="28" s="1"/>
  <c r="L3618" i="28"/>
  <c r="M3618" i="28" s="1"/>
  <c r="L3619" i="28"/>
  <c r="M3619" i="28" s="1"/>
  <c r="L3620" i="28"/>
  <c r="M3620" i="28" s="1"/>
  <c r="L3621" i="28"/>
  <c r="M3621" i="28" s="1"/>
  <c r="L3622" i="28"/>
  <c r="M3622" i="28" s="1"/>
  <c r="L3623" i="28"/>
  <c r="M3623" i="28" s="1"/>
  <c r="L3624" i="28"/>
  <c r="M3624" i="28" s="1"/>
  <c r="L3625" i="28"/>
  <c r="M3625" i="28" s="1"/>
  <c r="L3626" i="28"/>
  <c r="M3626" i="28" s="1"/>
  <c r="L3627" i="28"/>
  <c r="M3627" i="28" s="1"/>
  <c r="L3628" i="28"/>
  <c r="M3628" i="28" s="1"/>
  <c r="L3629" i="28"/>
  <c r="M3629" i="28" s="1"/>
  <c r="L3630" i="28"/>
  <c r="M3630" i="28" s="1"/>
  <c r="L3631" i="28"/>
  <c r="M3631" i="28" s="1"/>
  <c r="L3632" i="28"/>
  <c r="M3632" i="28" s="1"/>
  <c r="L3633" i="28"/>
  <c r="M3633" i="28" s="1"/>
  <c r="L3634" i="28"/>
  <c r="M3634" i="28" s="1"/>
  <c r="L3635" i="28"/>
  <c r="M3635" i="28" s="1"/>
  <c r="L3636" i="28"/>
  <c r="M3636" i="28" s="1"/>
  <c r="L3637" i="28"/>
  <c r="M3637" i="28" s="1"/>
  <c r="L3638" i="28"/>
  <c r="M3638" i="28" s="1"/>
  <c r="L3639" i="28"/>
  <c r="M3639" i="28" s="1"/>
  <c r="L3640" i="28"/>
  <c r="M3640" i="28" s="1"/>
  <c r="L3641" i="28"/>
  <c r="M3641" i="28" s="1"/>
  <c r="L3642" i="28"/>
  <c r="M3642" i="28" s="1"/>
  <c r="L3643" i="28"/>
  <c r="M3643" i="28" s="1"/>
  <c r="L3644" i="28"/>
  <c r="M3644" i="28" s="1"/>
  <c r="L3645" i="28"/>
  <c r="M3645" i="28" s="1"/>
  <c r="L3646" i="28"/>
  <c r="M3646" i="28" s="1"/>
  <c r="L3647" i="28"/>
  <c r="M3647" i="28" s="1"/>
  <c r="L3648" i="28"/>
  <c r="M3648" i="28" s="1"/>
  <c r="L3649" i="28"/>
  <c r="M3649" i="28" s="1"/>
  <c r="L3650" i="28"/>
  <c r="M3650" i="28" s="1"/>
  <c r="L3651" i="28"/>
  <c r="M3651" i="28" s="1"/>
  <c r="L3652" i="28"/>
  <c r="M3652" i="28" s="1"/>
  <c r="L3653" i="28"/>
  <c r="M3653" i="28" s="1"/>
  <c r="L3654" i="28"/>
  <c r="M3654" i="28" s="1"/>
  <c r="L3655" i="28"/>
  <c r="M3655" i="28" s="1"/>
  <c r="L3656" i="28"/>
  <c r="M3656" i="28" s="1"/>
  <c r="L3657" i="28"/>
  <c r="M3657" i="28" s="1"/>
  <c r="L3658" i="28"/>
  <c r="M3658" i="28" s="1"/>
  <c r="L3659" i="28"/>
  <c r="M3659" i="28" s="1"/>
  <c r="L3660" i="28"/>
  <c r="M3660" i="28" s="1"/>
  <c r="L3661" i="28"/>
  <c r="M3661" i="28" s="1"/>
  <c r="L3662" i="28"/>
  <c r="M3662" i="28" s="1"/>
  <c r="L3663" i="28"/>
  <c r="M3663" i="28" s="1"/>
  <c r="L3664" i="28"/>
  <c r="M3664" i="28" s="1"/>
  <c r="L3665" i="28"/>
  <c r="M3665" i="28" s="1"/>
  <c r="L3666" i="28"/>
  <c r="M3666" i="28" s="1"/>
  <c r="L3667" i="28"/>
  <c r="M3667" i="28"/>
  <c r="L3668" i="28"/>
  <c r="M3668" i="28" s="1"/>
  <c r="L3669" i="28"/>
  <c r="M3669" i="28" s="1"/>
  <c r="L3670" i="28"/>
  <c r="M3670" i="28" s="1"/>
  <c r="L3671" i="28"/>
  <c r="M3671" i="28"/>
  <c r="L3672" i="28"/>
  <c r="M3672" i="28" s="1"/>
  <c r="L3673" i="28"/>
  <c r="M3673" i="28" s="1"/>
  <c r="L3674" i="28"/>
  <c r="M3674" i="28" s="1"/>
  <c r="L3675" i="28"/>
  <c r="M3675" i="28" s="1"/>
  <c r="L3676" i="28"/>
  <c r="M3676" i="28" s="1"/>
  <c r="L3677" i="28"/>
  <c r="M3677" i="28" s="1"/>
  <c r="L3678" i="28"/>
  <c r="M3678" i="28" s="1"/>
  <c r="L3679" i="28"/>
  <c r="M3679" i="28" s="1"/>
  <c r="L3680" i="28"/>
  <c r="M3680" i="28" s="1"/>
  <c r="L3681" i="28"/>
  <c r="M3681" i="28" s="1"/>
  <c r="L3682" i="28"/>
  <c r="M3682" i="28" s="1"/>
  <c r="L3683" i="28"/>
  <c r="M3683" i="28" s="1"/>
  <c r="L3684" i="28"/>
  <c r="M3684" i="28" s="1"/>
  <c r="L3685" i="28"/>
  <c r="M3685" i="28" s="1"/>
  <c r="L3686" i="28"/>
  <c r="M3686" i="28" s="1"/>
  <c r="L3687" i="28"/>
  <c r="M3687" i="28" s="1"/>
  <c r="L3688" i="28"/>
  <c r="M3688" i="28" s="1"/>
  <c r="L3689" i="28"/>
  <c r="M3689" i="28" s="1"/>
  <c r="L3690" i="28"/>
  <c r="M3690" i="28" s="1"/>
  <c r="L3691" i="28"/>
  <c r="M3691" i="28" s="1"/>
  <c r="L3692" i="28"/>
  <c r="M3692" i="28" s="1"/>
  <c r="L3693" i="28"/>
  <c r="M3693" i="28" s="1"/>
  <c r="L3694" i="28"/>
  <c r="M3694" i="28" s="1"/>
  <c r="L3695" i="28"/>
  <c r="M3695" i="28" s="1"/>
  <c r="L3696" i="28"/>
  <c r="M3696" i="28" s="1"/>
  <c r="L3697" i="28"/>
  <c r="M3697" i="28" s="1"/>
  <c r="L3698" i="28"/>
  <c r="M3698" i="28" s="1"/>
  <c r="L3699" i="28"/>
  <c r="M3699" i="28" s="1"/>
  <c r="L3700" i="28"/>
  <c r="M3700" i="28" s="1"/>
  <c r="L3701" i="28"/>
  <c r="M3701" i="28" s="1"/>
  <c r="L3702" i="28"/>
  <c r="M3702" i="28" s="1"/>
  <c r="L3703" i="28"/>
  <c r="M3703" i="28" s="1"/>
  <c r="L3704" i="28"/>
  <c r="M3704" i="28" s="1"/>
  <c r="L3705" i="28"/>
  <c r="M3705" i="28" s="1"/>
  <c r="L3706" i="28"/>
  <c r="M3706" i="28" s="1"/>
  <c r="L3707" i="28"/>
  <c r="M3707" i="28" s="1"/>
  <c r="L3708" i="28"/>
  <c r="M3708" i="28" s="1"/>
  <c r="L3709" i="28"/>
  <c r="M3709" i="28" s="1"/>
  <c r="L3710" i="28"/>
  <c r="M3710" i="28" s="1"/>
  <c r="L3711" i="28"/>
  <c r="M3711" i="28" s="1"/>
  <c r="L3712" i="28"/>
  <c r="M3712" i="28" s="1"/>
  <c r="L3713" i="28"/>
  <c r="M3713" i="28" s="1"/>
  <c r="L3714" i="28"/>
  <c r="M3714" i="28" s="1"/>
  <c r="L3715" i="28"/>
  <c r="M3715" i="28" s="1"/>
  <c r="L3716" i="28"/>
  <c r="M3716" i="28" s="1"/>
  <c r="L3717" i="28"/>
  <c r="M3717" i="28" s="1"/>
  <c r="L3718" i="28"/>
  <c r="M3718" i="28" s="1"/>
  <c r="L3719" i="28"/>
  <c r="M3719" i="28" s="1"/>
  <c r="L3720" i="28"/>
  <c r="M3720" i="28" s="1"/>
  <c r="L3721" i="28"/>
  <c r="M3721" i="28" s="1"/>
  <c r="L3722" i="28"/>
  <c r="M3722" i="28" s="1"/>
  <c r="L3723" i="28"/>
  <c r="M3723" i="28" s="1"/>
  <c r="L3724" i="28"/>
  <c r="M3724" i="28" s="1"/>
  <c r="L3725" i="28"/>
  <c r="M3725" i="28" s="1"/>
  <c r="L3726" i="28"/>
  <c r="M3726" i="28" s="1"/>
  <c r="L3727" i="28"/>
  <c r="M3727" i="28" s="1"/>
  <c r="L3728" i="28"/>
  <c r="M3728" i="28" s="1"/>
  <c r="L3729" i="28"/>
  <c r="M3729" i="28" s="1"/>
  <c r="L3730" i="28"/>
  <c r="M3730" i="28" s="1"/>
  <c r="L3731" i="28"/>
  <c r="M3731" i="28"/>
  <c r="L3732" i="28"/>
  <c r="M3732" i="28" s="1"/>
  <c r="L3733" i="28"/>
  <c r="M3733" i="28" s="1"/>
  <c r="L3734" i="28"/>
  <c r="M3734" i="28" s="1"/>
  <c r="L3735" i="28"/>
  <c r="M3735" i="28" s="1"/>
  <c r="L3736" i="28"/>
  <c r="M3736" i="28" s="1"/>
  <c r="L3737" i="28"/>
  <c r="M3737" i="28" s="1"/>
  <c r="L3738" i="28"/>
  <c r="M3738" i="28" s="1"/>
  <c r="L3739" i="28"/>
  <c r="M3739" i="28" s="1"/>
  <c r="L3740" i="28"/>
  <c r="M3740" i="28" s="1"/>
  <c r="L3741" i="28"/>
  <c r="M3741" i="28" s="1"/>
  <c r="L3742" i="28"/>
  <c r="M3742" i="28" s="1"/>
  <c r="L3743" i="28"/>
  <c r="M3743" i="28" s="1"/>
  <c r="L3744" i="28"/>
  <c r="M3744" i="28" s="1"/>
  <c r="L3745" i="28"/>
  <c r="M3745" i="28" s="1"/>
  <c r="L3746" i="28"/>
  <c r="M3746" i="28" s="1"/>
  <c r="L3747" i="28"/>
  <c r="M3747" i="28" s="1"/>
  <c r="L3748" i="28"/>
  <c r="M3748" i="28" s="1"/>
  <c r="L3749" i="28"/>
  <c r="M3749" i="28" s="1"/>
  <c r="L3750" i="28"/>
  <c r="M3750" i="28" s="1"/>
  <c r="L3751" i="28"/>
  <c r="M3751" i="28" s="1"/>
  <c r="L3752" i="28"/>
  <c r="M3752" i="28" s="1"/>
  <c r="L3753" i="28"/>
  <c r="M3753" i="28" s="1"/>
  <c r="L3754" i="28"/>
  <c r="M3754" i="28" s="1"/>
  <c r="L3755" i="28"/>
  <c r="M3755" i="28" s="1"/>
  <c r="L3756" i="28"/>
  <c r="M3756" i="28" s="1"/>
  <c r="L3757" i="28"/>
  <c r="M3757" i="28" s="1"/>
  <c r="L3758" i="28"/>
  <c r="M3758" i="28" s="1"/>
  <c r="L3759" i="28"/>
  <c r="M3759" i="28" s="1"/>
  <c r="L3760" i="28"/>
  <c r="M3760" i="28" s="1"/>
  <c r="L3761" i="28"/>
  <c r="M3761" i="28" s="1"/>
  <c r="L3762" i="28"/>
  <c r="M3762" i="28" s="1"/>
  <c r="L3763" i="28"/>
  <c r="M3763" i="28" s="1"/>
  <c r="L3764" i="28"/>
  <c r="M3764" i="28" s="1"/>
  <c r="L3765" i="28"/>
  <c r="M3765" i="28" s="1"/>
  <c r="L3766" i="28"/>
  <c r="M3766" i="28" s="1"/>
  <c r="L3767" i="28"/>
  <c r="M3767" i="28" s="1"/>
  <c r="L3768" i="28"/>
  <c r="M3768" i="28" s="1"/>
  <c r="L3769" i="28"/>
  <c r="M3769" i="28" s="1"/>
  <c r="L3770" i="28"/>
  <c r="M3770" i="28" s="1"/>
  <c r="L3771" i="28"/>
  <c r="M3771" i="28" s="1"/>
  <c r="L3772" i="28"/>
  <c r="M3772" i="28" s="1"/>
  <c r="L3773" i="28"/>
  <c r="M3773" i="28" s="1"/>
  <c r="L3774" i="28"/>
  <c r="M3774" i="28" s="1"/>
  <c r="L3775" i="28"/>
  <c r="M3775" i="28" s="1"/>
  <c r="L3776" i="28"/>
  <c r="M3776" i="28" s="1"/>
  <c r="L3777" i="28"/>
  <c r="M3777" i="28" s="1"/>
  <c r="L3778" i="28"/>
  <c r="M3778" i="28" s="1"/>
  <c r="L3779" i="28"/>
  <c r="M3779" i="28" s="1"/>
  <c r="L3780" i="28"/>
  <c r="M3780" i="28" s="1"/>
  <c r="L3781" i="28"/>
  <c r="M3781" i="28" s="1"/>
  <c r="L3782" i="28"/>
  <c r="M3782" i="28" s="1"/>
  <c r="L3783" i="28"/>
  <c r="M3783" i="28" s="1"/>
  <c r="L3784" i="28"/>
  <c r="M3784" i="28" s="1"/>
  <c r="L3785" i="28"/>
  <c r="M3785" i="28" s="1"/>
  <c r="L3786" i="28"/>
  <c r="M3786" i="28" s="1"/>
  <c r="L3787" i="28"/>
  <c r="M3787" i="28" s="1"/>
  <c r="L3788" i="28"/>
  <c r="M3788" i="28" s="1"/>
  <c r="L3789" i="28"/>
  <c r="M3789" i="28" s="1"/>
  <c r="L3790" i="28"/>
  <c r="M3790" i="28" s="1"/>
  <c r="L3791" i="28"/>
  <c r="M3791" i="28" s="1"/>
  <c r="L3792" i="28"/>
  <c r="M3792" i="28" s="1"/>
  <c r="L3793" i="28"/>
  <c r="M3793" i="28" s="1"/>
  <c r="L3794" i="28"/>
  <c r="M3794" i="28" s="1"/>
  <c r="L3795" i="28"/>
  <c r="M3795" i="28" s="1"/>
  <c r="L3796" i="28"/>
  <c r="M3796" i="28" s="1"/>
  <c r="L3797" i="28"/>
  <c r="M3797" i="28" s="1"/>
  <c r="L3798" i="28"/>
  <c r="M3798" i="28" s="1"/>
  <c r="L3799" i="28"/>
  <c r="M3799" i="28" s="1"/>
  <c r="L3800" i="28"/>
  <c r="M3800" i="28" s="1"/>
  <c r="L3801" i="28"/>
  <c r="M3801" i="28"/>
  <c r="L3802" i="28"/>
  <c r="M3802" i="28" s="1"/>
  <c r="L3803" i="28"/>
  <c r="M3803" i="28" s="1"/>
  <c r="L3804" i="28"/>
  <c r="M3804" i="28" s="1"/>
  <c r="L3805" i="28"/>
  <c r="M3805" i="28" s="1"/>
  <c r="L3806" i="28"/>
  <c r="M3806" i="28" s="1"/>
  <c r="L3807" i="28"/>
  <c r="M3807" i="28" s="1"/>
  <c r="L3808" i="28"/>
  <c r="M3808" i="28" s="1"/>
  <c r="L3809" i="28"/>
  <c r="M3809" i="28" s="1"/>
  <c r="L3810" i="28"/>
  <c r="M3810" i="28" s="1"/>
  <c r="L3811" i="28"/>
  <c r="M3811" i="28" s="1"/>
  <c r="L3812" i="28"/>
  <c r="M3812" i="28" s="1"/>
  <c r="L3813" i="28"/>
  <c r="M3813" i="28" s="1"/>
  <c r="L3814" i="28"/>
  <c r="M3814" i="28" s="1"/>
  <c r="L3815" i="28"/>
  <c r="M3815" i="28" s="1"/>
  <c r="L3816" i="28"/>
  <c r="M3816" i="28" s="1"/>
  <c r="L3817" i="28"/>
  <c r="M3817" i="28" s="1"/>
  <c r="L3818" i="28"/>
  <c r="M3818" i="28" s="1"/>
  <c r="L3819" i="28"/>
  <c r="M3819" i="28" s="1"/>
  <c r="L3820" i="28"/>
  <c r="M3820" i="28" s="1"/>
  <c r="L3821" i="28"/>
  <c r="M3821" i="28" s="1"/>
  <c r="L3822" i="28"/>
  <c r="M3822" i="28" s="1"/>
  <c r="L3823" i="28"/>
  <c r="M3823" i="28" s="1"/>
  <c r="L3824" i="28"/>
  <c r="M3824" i="28" s="1"/>
  <c r="L3825" i="28"/>
  <c r="M3825" i="28" s="1"/>
  <c r="L3826" i="28"/>
  <c r="M3826" i="28" s="1"/>
  <c r="L3827" i="28"/>
  <c r="M3827" i="28" s="1"/>
  <c r="L3828" i="28"/>
  <c r="M3828" i="28" s="1"/>
  <c r="L3829" i="28"/>
  <c r="M3829" i="28" s="1"/>
  <c r="L3830" i="28"/>
  <c r="M3830" i="28" s="1"/>
  <c r="L3831" i="28"/>
  <c r="M3831" i="28" s="1"/>
  <c r="L3832" i="28"/>
  <c r="M3832" i="28" s="1"/>
  <c r="L3833" i="28"/>
  <c r="M3833" i="28" s="1"/>
  <c r="L3834" i="28"/>
  <c r="M3834" i="28" s="1"/>
  <c r="L3835" i="28"/>
  <c r="M3835" i="28" s="1"/>
  <c r="L3836" i="28"/>
  <c r="M3836" i="28" s="1"/>
  <c r="L3837" i="28"/>
  <c r="M3837" i="28" s="1"/>
  <c r="L3838" i="28"/>
  <c r="M3838" i="28" s="1"/>
  <c r="L3839" i="28"/>
  <c r="M3839" i="28" s="1"/>
  <c r="L3840" i="28"/>
  <c r="M3840" i="28" s="1"/>
  <c r="L3841" i="28"/>
  <c r="M3841" i="28" s="1"/>
  <c r="L3842" i="28"/>
  <c r="M3842" i="28" s="1"/>
  <c r="L3843" i="28"/>
  <c r="M3843" i="28" s="1"/>
  <c r="L3844" i="28"/>
  <c r="M3844" i="28" s="1"/>
  <c r="L3845" i="28"/>
  <c r="M3845" i="28" s="1"/>
  <c r="L3846" i="28"/>
  <c r="M3846" i="28" s="1"/>
  <c r="L3847" i="28"/>
  <c r="M3847" i="28" s="1"/>
  <c r="L3848" i="28"/>
  <c r="M3848" i="28" s="1"/>
  <c r="L3849" i="28"/>
  <c r="M3849" i="28" s="1"/>
  <c r="L3850" i="28"/>
  <c r="M3850" i="28" s="1"/>
  <c r="L3851" i="28"/>
  <c r="M3851" i="28" s="1"/>
  <c r="L3852" i="28"/>
  <c r="M3852" i="28" s="1"/>
  <c r="L3853" i="28"/>
  <c r="M3853" i="28" s="1"/>
  <c r="L3854" i="28"/>
  <c r="M3854" i="28" s="1"/>
  <c r="L3855" i="28"/>
  <c r="M3855" i="28" s="1"/>
  <c r="L3856" i="28"/>
  <c r="M3856" i="28" s="1"/>
  <c r="L3857" i="28"/>
  <c r="M3857" i="28" s="1"/>
  <c r="L3858" i="28"/>
  <c r="M3858" i="28" s="1"/>
  <c r="L3859" i="28"/>
  <c r="M3859" i="28" s="1"/>
  <c r="L3860" i="28"/>
  <c r="M3860" i="28" s="1"/>
  <c r="L3861" i="28"/>
  <c r="M3861" i="28" s="1"/>
  <c r="L3862" i="28"/>
  <c r="M3862" i="28" s="1"/>
  <c r="L3863" i="28"/>
  <c r="M3863" i="28" s="1"/>
  <c r="L3864" i="28"/>
  <c r="M3864" i="28" s="1"/>
  <c r="L3865" i="28"/>
  <c r="M3865" i="28" s="1"/>
  <c r="L3866" i="28"/>
  <c r="M3866" i="28" s="1"/>
  <c r="L3867" i="28"/>
  <c r="M3867" i="28" s="1"/>
  <c r="L3868" i="28"/>
  <c r="M3868" i="28" s="1"/>
  <c r="L3869" i="28"/>
  <c r="M3869" i="28" s="1"/>
  <c r="L3870" i="28"/>
  <c r="M3870" i="28" s="1"/>
  <c r="L3871" i="28"/>
  <c r="M3871" i="28" s="1"/>
  <c r="L3872" i="28"/>
  <c r="M3872" i="28" s="1"/>
  <c r="L3873" i="28"/>
  <c r="M3873" i="28" s="1"/>
  <c r="L3874" i="28"/>
  <c r="M3874" i="28" s="1"/>
  <c r="L3875" i="28"/>
  <c r="M3875" i="28" s="1"/>
  <c r="L3876" i="28"/>
  <c r="M3876" i="28" s="1"/>
  <c r="L3877" i="28"/>
  <c r="M3877" i="28" s="1"/>
  <c r="L3878" i="28"/>
  <c r="M3878" i="28" s="1"/>
  <c r="L3879" i="28"/>
  <c r="M3879" i="28" s="1"/>
  <c r="L3880" i="28"/>
  <c r="M3880" i="28" s="1"/>
  <c r="L3881" i="28"/>
  <c r="M3881" i="28" s="1"/>
  <c r="L3882" i="28"/>
  <c r="M3882" i="28" s="1"/>
  <c r="L3883" i="28"/>
  <c r="M3883" i="28" s="1"/>
  <c r="L3884" i="28"/>
  <c r="M3884" i="28" s="1"/>
  <c r="L3885" i="28"/>
  <c r="M3885" i="28" s="1"/>
  <c r="L3886" i="28"/>
  <c r="M3886" i="28" s="1"/>
  <c r="L3887" i="28"/>
  <c r="M3887" i="28"/>
  <c r="L3888" i="28"/>
  <c r="M3888" i="28" s="1"/>
  <c r="L3889" i="28"/>
  <c r="M3889" i="28" s="1"/>
  <c r="L3890" i="28"/>
  <c r="M3890" i="28" s="1"/>
  <c r="L3891" i="28"/>
  <c r="M3891" i="28" s="1"/>
  <c r="L3892" i="28"/>
  <c r="M3892" i="28" s="1"/>
  <c r="L3893" i="28"/>
  <c r="M3893" i="28" s="1"/>
  <c r="L3894" i="28"/>
  <c r="M3894" i="28" s="1"/>
  <c r="L3895" i="28"/>
  <c r="M3895" i="28" s="1"/>
  <c r="L3896" i="28"/>
  <c r="M3896" i="28" s="1"/>
  <c r="L3897" i="28"/>
  <c r="M3897" i="28" s="1"/>
  <c r="L3898" i="28"/>
  <c r="M3898" i="28" s="1"/>
  <c r="L3899" i="28"/>
  <c r="M3899" i="28" s="1"/>
  <c r="L3900" i="28"/>
  <c r="M3900" i="28" s="1"/>
  <c r="L3901" i="28"/>
  <c r="M3901" i="28" s="1"/>
  <c r="L3902" i="28"/>
  <c r="M3902" i="28" s="1"/>
  <c r="L3903" i="28"/>
  <c r="M3903" i="28" s="1"/>
  <c r="L3904" i="28"/>
  <c r="M3904" i="28" s="1"/>
  <c r="L3905" i="28"/>
  <c r="M3905" i="28" s="1"/>
  <c r="L3906" i="28"/>
  <c r="M3906" i="28" s="1"/>
  <c r="L3907" i="28"/>
  <c r="M3907" i="28" s="1"/>
  <c r="L3908" i="28"/>
  <c r="M3908" i="28" s="1"/>
  <c r="L3909" i="28"/>
  <c r="M3909" i="28" s="1"/>
  <c r="L3910" i="28"/>
  <c r="M3910" i="28" s="1"/>
  <c r="L3911" i="28"/>
  <c r="M3911" i="28" s="1"/>
  <c r="L3912" i="28"/>
  <c r="M3912" i="28" s="1"/>
  <c r="L3913" i="28"/>
  <c r="M3913" i="28" s="1"/>
  <c r="L3914" i="28"/>
  <c r="M3914" i="28" s="1"/>
  <c r="L3915" i="28"/>
  <c r="M3915" i="28" s="1"/>
  <c r="L3916" i="28"/>
  <c r="M3916" i="28" s="1"/>
  <c r="L3917" i="28"/>
  <c r="M3917" i="28" s="1"/>
  <c r="L3918" i="28"/>
  <c r="M3918" i="28" s="1"/>
  <c r="L3919" i="28"/>
  <c r="M3919" i="28" s="1"/>
  <c r="L3920" i="28"/>
  <c r="M3920" i="28" s="1"/>
  <c r="L3921" i="28"/>
  <c r="M3921" i="28" s="1"/>
  <c r="L3922" i="28"/>
  <c r="M3922" i="28" s="1"/>
  <c r="L3923" i="28"/>
  <c r="M3923" i="28" s="1"/>
  <c r="L3924" i="28"/>
  <c r="M3924" i="28" s="1"/>
  <c r="L3925" i="28"/>
  <c r="M3925" i="28" s="1"/>
  <c r="L3926" i="28"/>
  <c r="M3926" i="28" s="1"/>
  <c r="L3927" i="28"/>
  <c r="M3927" i="28" s="1"/>
  <c r="L3928" i="28"/>
  <c r="M3928" i="28" s="1"/>
  <c r="L3929" i="28"/>
  <c r="M3929" i="28" s="1"/>
  <c r="L3930" i="28"/>
  <c r="M3930" i="28" s="1"/>
  <c r="L3931" i="28"/>
  <c r="M3931" i="28" s="1"/>
  <c r="L3932" i="28"/>
  <c r="M3932" i="28" s="1"/>
  <c r="L3933" i="28"/>
  <c r="M3933" i="28" s="1"/>
  <c r="L3934" i="28"/>
  <c r="M3934" i="28" s="1"/>
  <c r="L3935" i="28"/>
  <c r="M3935" i="28" s="1"/>
  <c r="L3936" i="28"/>
  <c r="M3936" i="28" s="1"/>
  <c r="L3937" i="28"/>
  <c r="M3937" i="28" s="1"/>
  <c r="L3938" i="28"/>
  <c r="M3938" i="28" s="1"/>
  <c r="L3939" i="28"/>
  <c r="M3939" i="28" s="1"/>
  <c r="L3940" i="28"/>
  <c r="M3940" i="28" s="1"/>
  <c r="L3941" i="28"/>
  <c r="M3941" i="28" s="1"/>
  <c r="L3942" i="28"/>
  <c r="M3942" i="28" s="1"/>
  <c r="L3943" i="28"/>
  <c r="M3943" i="28" s="1"/>
  <c r="L3944" i="28"/>
  <c r="M3944" i="28" s="1"/>
  <c r="L3945" i="28"/>
  <c r="M3945" i="28" s="1"/>
  <c r="L3946" i="28"/>
  <c r="M3946" i="28" s="1"/>
  <c r="L3947" i="28"/>
  <c r="M3947" i="28" s="1"/>
  <c r="L3948" i="28"/>
  <c r="M3948" i="28" s="1"/>
  <c r="L3949" i="28"/>
  <c r="M3949" i="28" s="1"/>
  <c r="L3950" i="28"/>
  <c r="M3950" i="28" s="1"/>
  <c r="L3951" i="28"/>
  <c r="M3951" i="28" s="1"/>
  <c r="L3952" i="28"/>
  <c r="M3952" i="28" s="1"/>
  <c r="L3953" i="28"/>
  <c r="M3953" i="28" s="1"/>
  <c r="L3954" i="28"/>
  <c r="M3954" i="28" s="1"/>
  <c r="L3955" i="28"/>
  <c r="M3955" i="28" s="1"/>
  <c r="L3956" i="28"/>
  <c r="M3956" i="28" s="1"/>
  <c r="L3957" i="28"/>
  <c r="M3957" i="28" s="1"/>
  <c r="L3958" i="28"/>
  <c r="M3958" i="28" s="1"/>
  <c r="L3959" i="28"/>
  <c r="M3959" i="28" s="1"/>
  <c r="L3960" i="28"/>
  <c r="M3960" i="28" s="1"/>
  <c r="L3961" i="28"/>
  <c r="M3961" i="28" s="1"/>
  <c r="L3962" i="28"/>
  <c r="M3962" i="28" s="1"/>
  <c r="L3963" i="28"/>
  <c r="M3963" i="28" s="1"/>
  <c r="L3964" i="28"/>
  <c r="M3964" i="28" s="1"/>
  <c r="L3965" i="28"/>
  <c r="M3965" i="28" s="1"/>
  <c r="L3966" i="28"/>
  <c r="M3966" i="28" s="1"/>
  <c r="L3967" i="28"/>
  <c r="M3967" i="28" s="1"/>
  <c r="L3968" i="28"/>
  <c r="M3968" i="28" s="1"/>
  <c r="L3969" i="28"/>
  <c r="M3969" i="28" s="1"/>
  <c r="L3970" i="28"/>
  <c r="M3970" i="28" s="1"/>
  <c r="L3971" i="28"/>
  <c r="M3971" i="28" s="1"/>
  <c r="L3972" i="28"/>
  <c r="M3972" i="28" s="1"/>
  <c r="L3973" i="28"/>
  <c r="M3973" i="28" s="1"/>
  <c r="L3974" i="28"/>
  <c r="M3974" i="28" s="1"/>
  <c r="L3975" i="28"/>
  <c r="M3975" i="28" s="1"/>
  <c r="L3976" i="28"/>
  <c r="M3976" i="28" s="1"/>
  <c r="L3977" i="28"/>
  <c r="M3977" i="28" s="1"/>
  <c r="L3978" i="28"/>
  <c r="M3978" i="28" s="1"/>
  <c r="L3979" i="28"/>
  <c r="M3979" i="28" s="1"/>
  <c r="L3980" i="28"/>
  <c r="M3980" i="28" s="1"/>
  <c r="L3981" i="28"/>
  <c r="M3981" i="28" s="1"/>
  <c r="L3982" i="28"/>
  <c r="M3982" i="28" s="1"/>
  <c r="L3983" i="28"/>
  <c r="M3983" i="28" s="1"/>
  <c r="L3984" i="28"/>
  <c r="M3984" i="28" s="1"/>
  <c r="L3985" i="28"/>
  <c r="M3985" i="28" s="1"/>
  <c r="L3986" i="28"/>
  <c r="M3986" i="28" s="1"/>
  <c r="L3987" i="28"/>
  <c r="M3987" i="28" s="1"/>
  <c r="L3988" i="28"/>
  <c r="M3988" i="28" s="1"/>
  <c r="L3989" i="28"/>
  <c r="M3989" i="28" s="1"/>
  <c r="L3990" i="28"/>
  <c r="M3990" i="28" s="1"/>
  <c r="L3991" i="28"/>
  <c r="M3991" i="28" s="1"/>
  <c r="L3992" i="28"/>
  <c r="M3992" i="28" s="1"/>
  <c r="L3993" i="28"/>
  <c r="M3993" i="28" s="1"/>
  <c r="L3994" i="28"/>
  <c r="M3994" i="28" s="1"/>
  <c r="L3995" i="28"/>
  <c r="M3995" i="28" s="1"/>
  <c r="L3996" i="28"/>
  <c r="M3996" i="28" s="1"/>
  <c r="L3997" i="28"/>
  <c r="M3997" i="28" s="1"/>
  <c r="L3998" i="28"/>
  <c r="M3998" i="28" s="1"/>
  <c r="L3999" i="28"/>
  <c r="M3999" i="28" s="1"/>
  <c r="L4000" i="28"/>
  <c r="M4000" i="28" s="1"/>
  <c r="L4001" i="28"/>
  <c r="M4001" i="28" s="1"/>
  <c r="L4002" i="28"/>
  <c r="M4002" i="28" s="1"/>
  <c r="L4003" i="28"/>
  <c r="M4003" i="28" s="1"/>
  <c r="L4004" i="28"/>
  <c r="M4004" i="28" s="1"/>
  <c r="L4005" i="28"/>
  <c r="M4005" i="28" s="1"/>
  <c r="L4006" i="28"/>
  <c r="M4006" i="28" s="1"/>
  <c r="L4007" i="28"/>
  <c r="M4007" i="28" s="1"/>
  <c r="L4008" i="28"/>
  <c r="M4008" i="28" s="1"/>
  <c r="L4009" i="28"/>
  <c r="M4009" i="28" s="1"/>
  <c r="L4010" i="28"/>
  <c r="M4010" i="28" s="1"/>
  <c r="L4011" i="28"/>
  <c r="M4011" i="28" s="1"/>
  <c r="L4012" i="28"/>
  <c r="M4012" i="28" s="1"/>
  <c r="L4013" i="28"/>
  <c r="M4013" i="28" s="1"/>
  <c r="L4014" i="28"/>
  <c r="M4014" i="28" s="1"/>
  <c r="L4015" i="28"/>
  <c r="M4015" i="28" s="1"/>
  <c r="L4016" i="28"/>
  <c r="M4016" i="28" s="1"/>
  <c r="L4017" i="28"/>
  <c r="M4017" i="28" s="1"/>
  <c r="L4018" i="28"/>
  <c r="M4018" i="28" s="1"/>
  <c r="L4019" i="28"/>
  <c r="M4019" i="28" s="1"/>
  <c r="L4020" i="28"/>
  <c r="M4020" i="28" s="1"/>
  <c r="L4021" i="28"/>
  <c r="M4021" i="28" s="1"/>
  <c r="L4022" i="28"/>
  <c r="M4022" i="28" s="1"/>
  <c r="L4023" i="28"/>
  <c r="M4023" i="28" s="1"/>
  <c r="L4024" i="28"/>
  <c r="M4024" i="28" s="1"/>
  <c r="L4025" i="28"/>
  <c r="M4025" i="28" s="1"/>
  <c r="L4026" i="28"/>
  <c r="M4026" i="28" s="1"/>
  <c r="L4027" i="28"/>
  <c r="M4027" i="28" s="1"/>
  <c r="L4028" i="28"/>
  <c r="M4028" i="28" s="1"/>
  <c r="L4029" i="28"/>
  <c r="M4029" i="28" s="1"/>
  <c r="L4030" i="28"/>
  <c r="M4030" i="28" s="1"/>
  <c r="L4031" i="28"/>
  <c r="M4031" i="28" s="1"/>
  <c r="L4032" i="28"/>
  <c r="M4032" i="28" s="1"/>
  <c r="L4033" i="28"/>
  <c r="M4033" i="28" s="1"/>
  <c r="L4034" i="28"/>
  <c r="M4034" i="28" s="1"/>
  <c r="L4035" i="28"/>
  <c r="M4035" i="28" s="1"/>
  <c r="L4036" i="28"/>
  <c r="M4036" i="28" s="1"/>
  <c r="L4037" i="28"/>
  <c r="M4037" i="28" s="1"/>
  <c r="L4038" i="28"/>
  <c r="M4038" i="28" s="1"/>
  <c r="L4039" i="28"/>
  <c r="M4039" i="28" s="1"/>
  <c r="L4040" i="28"/>
  <c r="M4040" i="28" s="1"/>
  <c r="L4041" i="28"/>
  <c r="M4041" i="28" s="1"/>
  <c r="L4042" i="28"/>
  <c r="M4042" i="28" s="1"/>
  <c r="L4043" i="28"/>
  <c r="M4043" i="28" s="1"/>
  <c r="L4044" i="28"/>
  <c r="M4044" i="28" s="1"/>
  <c r="L4045" i="28"/>
  <c r="M4045" i="28" s="1"/>
  <c r="L4046" i="28"/>
  <c r="M4046" i="28" s="1"/>
  <c r="L4047" i="28"/>
  <c r="M4047" i="28" s="1"/>
  <c r="L4048" i="28"/>
  <c r="M4048" i="28" s="1"/>
  <c r="L4049" i="28"/>
  <c r="M4049" i="28" s="1"/>
  <c r="L4050" i="28"/>
  <c r="M4050" i="28" s="1"/>
  <c r="L4051" i="28"/>
  <c r="M4051" i="28" s="1"/>
  <c r="L4052" i="28"/>
  <c r="M4052" i="28" s="1"/>
  <c r="L4053" i="28"/>
  <c r="M4053" i="28" s="1"/>
  <c r="L4054" i="28"/>
  <c r="M4054" i="28" s="1"/>
  <c r="L4055" i="28"/>
  <c r="M4055" i="28" s="1"/>
  <c r="L4056" i="28"/>
  <c r="M4056" i="28" s="1"/>
  <c r="L4057" i="28"/>
  <c r="M4057" i="28" s="1"/>
  <c r="L4058" i="28"/>
  <c r="M4058" i="28" s="1"/>
  <c r="L4059" i="28"/>
  <c r="M4059" i="28" s="1"/>
  <c r="L4060" i="28"/>
  <c r="M4060" i="28" s="1"/>
  <c r="L4061" i="28"/>
  <c r="M4061" i="28" s="1"/>
  <c r="L4062" i="28"/>
  <c r="M4062" i="28" s="1"/>
  <c r="L4063" i="28"/>
  <c r="M4063" i="28" s="1"/>
  <c r="L4064" i="28"/>
  <c r="M4064" i="28" s="1"/>
  <c r="L4065" i="28"/>
  <c r="M4065" i="28" s="1"/>
  <c r="L4066" i="28"/>
  <c r="M4066" i="28" s="1"/>
  <c r="L4067" i="28"/>
  <c r="M4067" i="28" s="1"/>
  <c r="L4068" i="28"/>
  <c r="M4068" i="28" s="1"/>
  <c r="L4069" i="28"/>
  <c r="M4069" i="28" s="1"/>
  <c r="L4070" i="28"/>
  <c r="M4070" i="28" s="1"/>
  <c r="L4071" i="28"/>
  <c r="M4071" i="28" s="1"/>
  <c r="L4072" i="28"/>
  <c r="M4072" i="28" s="1"/>
  <c r="L4073" i="28"/>
  <c r="M4073" i="28" s="1"/>
  <c r="L4074" i="28"/>
  <c r="M4074" i="28" s="1"/>
  <c r="L4075" i="28"/>
  <c r="M4075" i="28" s="1"/>
  <c r="L4076" i="28"/>
  <c r="M4076" i="28" s="1"/>
  <c r="L4077" i="28"/>
  <c r="M4077" i="28" s="1"/>
  <c r="L4078" i="28"/>
  <c r="M4078" i="28" s="1"/>
  <c r="L4079" i="28"/>
  <c r="M4079" i="28" s="1"/>
  <c r="L4080" i="28"/>
  <c r="M4080" i="28" s="1"/>
  <c r="L4081" i="28"/>
  <c r="M4081" i="28" s="1"/>
  <c r="L4082" i="28"/>
  <c r="M4082" i="28" s="1"/>
  <c r="L4083" i="28"/>
  <c r="M4083" i="28" s="1"/>
  <c r="L4084" i="28"/>
  <c r="M4084" i="28" s="1"/>
  <c r="L4085" i="28"/>
  <c r="M4085" i="28" s="1"/>
  <c r="L4086" i="28"/>
  <c r="M4086" i="28" s="1"/>
  <c r="L4087" i="28"/>
  <c r="M4087" i="28" s="1"/>
  <c r="L4088" i="28"/>
  <c r="M4088" i="28" s="1"/>
  <c r="L4089" i="28"/>
  <c r="M4089" i="28" s="1"/>
  <c r="L4090" i="28"/>
  <c r="M4090" i="28" s="1"/>
  <c r="L4091" i="28"/>
  <c r="M4091" i="28" s="1"/>
  <c r="L4092" i="28"/>
  <c r="M4092" i="28" s="1"/>
  <c r="L4093" i="28"/>
  <c r="M4093" i="28" s="1"/>
  <c r="L4094" i="28"/>
  <c r="M4094" i="28" s="1"/>
  <c r="L4095" i="28"/>
  <c r="M4095" i="28" s="1"/>
  <c r="L4096" i="28"/>
  <c r="M4096" i="28" s="1"/>
  <c r="L4097" i="28"/>
  <c r="M4097" i="28" s="1"/>
  <c r="L4098" i="28"/>
  <c r="M4098" i="28" s="1"/>
  <c r="L4099" i="28"/>
  <c r="M4099" i="28" s="1"/>
  <c r="L4100" i="28"/>
  <c r="M4100" i="28" s="1"/>
  <c r="L4101" i="28"/>
  <c r="M4101" i="28" s="1"/>
  <c r="L4102" i="28"/>
  <c r="M4102" i="28" s="1"/>
  <c r="L4103" i="28"/>
  <c r="M4103" i="28" s="1"/>
  <c r="L4104" i="28"/>
  <c r="M4104" i="28" s="1"/>
  <c r="L4105" i="28"/>
  <c r="M4105" i="28" s="1"/>
  <c r="L4106" i="28"/>
  <c r="M4106" i="28" s="1"/>
  <c r="L4107" i="28"/>
  <c r="M4107" i="28" s="1"/>
  <c r="L4108" i="28"/>
  <c r="M4108" i="28" s="1"/>
  <c r="L4109" i="28"/>
  <c r="M4109" i="28" s="1"/>
  <c r="L4110" i="28"/>
  <c r="M4110" i="28" s="1"/>
  <c r="L4111" i="28"/>
  <c r="M4111" i="28" s="1"/>
  <c r="L4112" i="28"/>
  <c r="M4112" i="28" s="1"/>
  <c r="L4113" i="28"/>
  <c r="M4113" i="28" s="1"/>
  <c r="L4114" i="28"/>
  <c r="M4114" i="28"/>
  <c r="L4115" i="28"/>
  <c r="M4115" i="28" s="1"/>
  <c r="L4116" i="28"/>
  <c r="M4116" i="28" s="1"/>
  <c r="L4117" i="28"/>
  <c r="M4117" i="28"/>
  <c r="L4118" i="28"/>
  <c r="M4118" i="28" s="1"/>
  <c r="L4119" i="28"/>
  <c r="M4119" i="28" s="1"/>
  <c r="L4120" i="28"/>
  <c r="M4120" i="28" s="1"/>
  <c r="L4121" i="28"/>
  <c r="M4121" i="28" s="1"/>
  <c r="L4122" i="28"/>
  <c r="M4122" i="28" s="1"/>
  <c r="L4123" i="28"/>
  <c r="M4123" i="28" s="1"/>
  <c r="L4124" i="28"/>
  <c r="M4124" i="28" s="1"/>
  <c r="L4125" i="28"/>
  <c r="M4125" i="28" s="1"/>
  <c r="L4126" i="28"/>
  <c r="M4126" i="28" s="1"/>
  <c r="L4127" i="28"/>
  <c r="M4127" i="28" s="1"/>
  <c r="L4128" i="28"/>
  <c r="M4128" i="28"/>
  <c r="L4129" i="28"/>
  <c r="M4129" i="28" s="1"/>
  <c r="L4130" i="28"/>
  <c r="M4130" i="28"/>
  <c r="L4131" i="28"/>
  <c r="M4131" i="28" s="1"/>
  <c r="L4132" i="28"/>
  <c r="M4132" i="28" s="1"/>
  <c r="L4133" i="28"/>
  <c r="M4133" i="28" s="1"/>
  <c r="L4134" i="28"/>
  <c r="M4134" i="28" s="1"/>
  <c r="L4135" i="28"/>
  <c r="M4135" i="28" s="1"/>
  <c r="L4136" i="28"/>
  <c r="M4136" i="28" s="1"/>
  <c r="L4137" i="28"/>
  <c r="M4137" i="28" s="1"/>
  <c r="L4138" i="28"/>
  <c r="M4138" i="28" s="1"/>
  <c r="L4139" i="28"/>
  <c r="M4139" i="28" s="1"/>
  <c r="L4140" i="28"/>
  <c r="M4140" i="28" s="1"/>
  <c r="L4141" i="28"/>
  <c r="M4141" i="28" s="1"/>
  <c r="L4142" i="28"/>
  <c r="M4142" i="28" s="1"/>
  <c r="L4143" i="28"/>
  <c r="M4143" i="28" s="1"/>
  <c r="L4144" i="28"/>
  <c r="M4144" i="28" s="1"/>
  <c r="L4145" i="28"/>
  <c r="M4145" i="28" s="1"/>
  <c r="L4146" i="28"/>
  <c r="M4146" i="28" s="1"/>
  <c r="L4147" i="28"/>
  <c r="M4147" i="28" s="1"/>
  <c r="L4148" i="28"/>
  <c r="M4148" i="28" s="1"/>
  <c r="L4149" i="28"/>
  <c r="M4149" i="28" s="1"/>
  <c r="L4150" i="28"/>
  <c r="M4150" i="28" s="1"/>
  <c r="L4151" i="28"/>
  <c r="M4151" i="28" s="1"/>
  <c r="L4152" i="28"/>
  <c r="M4152" i="28" s="1"/>
  <c r="L4153" i="28"/>
  <c r="M4153" i="28" s="1"/>
  <c r="L4154" i="28"/>
  <c r="M4154" i="28" s="1"/>
  <c r="L4155" i="28"/>
  <c r="M4155" i="28" s="1"/>
  <c r="L4156" i="28"/>
  <c r="M4156" i="28" s="1"/>
  <c r="L4157" i="28"/>
  <c r="M4157" i="28" s="1"/>
  <c r="L4158" i="28"/>
  <c r="M4158" i="28"/>
  <c r="L4159" i="28"/>
  <c r="M4159" i="28" s="1"/>
  <c r="L4160" i="28"/>
  <c r="M4160" i="28" s="1"/>
  <c r="L4161" i="28"/>
  <c r="M4161" i="28" s="1"/>
  <c r="L4162" i="28"/>
  <c r="M4162" i="28" s="1"/>
  <c r="L4163" i="28"/>
  <c r="M4163" i="28" s="1"/>
  <c r="L4164" i="28"/>
  <c r="M4164" i="28" s="1"/>
  <c r="L4165" i="28"/>
  <c r="M4165" i="28" s="1"/>
  <c r="L4166" i="28"/>
  <c r="M4166" i="28" s="1"/>
  <c r="L4167" i="28"/>
  <c r="M4167" i="28" s="1"/>
  <c r="L4168" i="28"/>
  <c r="M4168" i="28" s="1"/>
  <c r="L4169" i="28"/>
  <c r="M4169" i="28" s="1"/>
  <c r="L4170" i="28"/>
  <c r="M4170" i="28" s="1"/>
  <c r="L4171" i="28"/>
  <c r="M4171" i="28" s="1"/>
  <c r="L4172" i="28"/>
  <c r="M4172" i="28"/>
  <c r="L4173" i="28"/>
  <c r="M4173" i="28" s="1"/>
  <c r="L4174" i="28"/>
  <c r="M4174" i="28" s="1"/>
  <c r="L4175" i="28"/>
  <c r="M4175" i="28" s="1"/>
  <c r="L4176" i="28"/>
  <c r="M4176" i="28"/>
  <c r="L4177" i="28"/>
  <c r="M4177" i="28" s="1"/>
  <c r="L4178" i="28"/>
  <c r="M4178" i="28" s="1"/>
  <c r="L4179" i="28"/>
  <c r="M4179" i="28" s="1"/>
  <c r="L4180" i="28"/>
  <c r="M4180" i="28" s="1"/>
  <c r="L4181" i="28"/>
  <c r="M4181" i="28" s="1"/>
  <c r="L4182" i="28"/>
  <c r="M4182" i="28" s="1"/>
  <c r="L4183" i="28"/>
  <c r="M4183" i="28" s="1"/>
  <c r="L4184" i="28"/>
  <c r="M4184" i="28" s="1"/>
  <c r="L4185" i="28"/>
  <c r="M4185" i="28" s="1"/>
  <c r="L4186" i="28"/>
  <c r="M4186" i="28" s="1"/>
  <c r="L4187" i="28"/>
  <c r="M4187" i="28" s="1"/>
  <c r="L4188" i="28"/>
  <c r="M4188" i="28" s="1"/>
  <c r="L4189" i="28"/>
  <c r="M4189" i="28" s="1"/>
  <c r="L4190" i="28"/>
  <c r="M4190" i="28" s="1"/>
  <c r="L4191" i="28"/>
  <c r="M4191" i="28" s="1"/>
  <c r="L4192" i="28"/>
  <c r="M4192" i="28" s="1"/>
  <c r="L4193" i="28"/>
  <c r="M4193" i="28" s="1"/>
  <c r="L4194" i="28"/>
  <c r="M4194" i="28" s="1"/>
  <c r="L4195" i="28"/>
  <c r="M4195" i="28" s="1"/>
  <c r="L4196" i="28"/>
  <c r="M4196" i="28" s="1"/>
  <c r="L4197" i="28"/>
  <c r="M4197" i="28" s="1"/>
  <c r="L4198" i="28"/>
  <c r="M4198" i="28" s="1"/>
  <c r="L4199" i="28"/>
  <c r="M4199" i="28" s="1"/>
  <c r="L4200" i="28"/>
  <c r="M4200" i="28" s="1"/>
  <c r="L4201" i="28"/>
  <c r="M4201" i="28" s="1"/>
  <c r="L4202" i="28"/>
  <c r="M4202" i="28" s="1"/>
  <c r="L4203" i="28"/>
  <c r="M4203" i="28" s="1"/>
  <c r="L4204" i="28"/>
  <c r="M4204" i="28" s="1"/>
  <c r="L4205" i="28"/>
  <c r="M4205" i="28" s="1"/>
  <c r="L4206" i="28"/>
  <c r="M4206" i="28" s="1"/>
  <c r="L4207" i="28"/>
  <c r="M4207" i="28" s="1"/>
  <c r="L4208" i="28"/>
  <c r="M4208" i="28" s="1"/>
  <c r="L4209" i="28"/>
  <c r="M4209" i="28"/>
  <c r="L4210" i="28"/>
  <c r="M4210" i="28" s="1"/>
  <c r="L4211" i="28"/>
  <c r="M4211" i="28" s="1"/>
  <c r="L4212" i="28"/>
  <c r="M4212" i="28" s="1"/>
  <c r="L4213" i="28"/>
  <c r="M4213" i="28" s="1"/>
  <c r="L4214" i="28"/>
  <c r="M4214" i="28" s="1"/>
  <c r="L4215" i="28"/>
  <c r="M4215" i="28" s="1"/>
  <c r="L4216" i="28"/>
  <c r="M4216" i="28" s="1"/>
  <c r="L4217" i="28"/>
  <c r="M4217" i="28" s="1"/>
  <c r="L4218" i="28"/>
  <c r="M4218" i="28" s="1"/>
  <c r="L4219" i="28"/>
  <c r="M4219" i="28" s="1"/>
  <c r="L4220" i="28"/>
  <c r="M4220" i="28" s="1"/>
  <c r="L4221" i="28"/>
  <c r="M4221" i="28" s="1"/>
  <c r="L4222" i="28"/>
  <c r="M4222" i="28" s="1"/>
  <c r="L4223" i="28"/>
  <c r="M4223" i="28" s="1"/>
  <c r="L4224" i="28"/>
  <c r="M4224" i="28" s="1"/>
  <c r="L4225" i="28"/>
  <c r="M4225" i="28" s="1"/>
  <c r="L4226" i="28"/>
  <c r="M4226" i="28" s="1"/>
  <c r="L4227" i="28"/>
  <c r="M4227" i="28" s="1"/>
  <c r="L4228" i="28"/>
  <c r="M4228" i="28" s="1"/>
  <c r="L4229" i="28"/>
  <c r="M4229" i="28" s="1"/>
  <c r="L4230" i="28"/>
  <c r="M4230" i="28" s="1"/>
  <c r="L4231" i="28"/>
  <c r="M4231" i="28" s="1"/>
  <c r="L4232" i="28"/>
  <c r="M4232" i="28" s="1"/>
  <c r="L4233" i="28"/>
  <c r="M4233" i="28" s="1"/>
  <c r="L4234" i="28"/>
  <c r="M4234" i="28" s="1"/>
  <c r="L4235" i="28"/>
  <c r="M4235" i="28" s="1"/>
  <c r="L4236" i="28"/>
  <c r="M4236" i="28" s="1"/>
  <c r="L4237" i="28"/>
  <c r="M4237" i="28" s="1"/>
  <c r="L4238" i="28"/>
  <c r="M4238" i="28" s="1"/>
  <c r="L4239" i="28"/>
  <c r="M4239" i="28" s="1"/>
  <c r="L4240" i="28"/>
  <c r="M4240" i="28" s="1"/>
  <c r="L4241" i="28"/>
  <c r="M4241" i="28" s="1"/>
  <c r="L4242" i="28"/>
  <c r="M4242" i="28" s="1"/>
  <c r="L4243" i="28"/>
  <c r="M4243" i="28" s="1"/>
  <c r="L4244" i="28"/>
  <c r="M4244" i="28" s="1"/>
  <c r="L4245" i="28"/>
  <c r="M4245" i="28" s="1"/>
  <c r="L4246" i="28"/>
  <c r="M4246" i="28" s="1"/>
  <c r="L4247" i="28"/>
  <c r="M4247" i="28" s="1"/>
  <c r="L4248" i="28"/>
  <c r="M4248" i="28" s="1"/>
  <c r="L4249" i="28"/>
  <c r="M4249" i="28" s="1"/>
  <c r="L4250" i="28"/>
  <c r="M4250" i="28" s="1"/>
  <c r="L4251" i="28"/>
  <c r="M4251" i="28" s="1"/>
  <c r="L4252" i="28"/>
  <c r="M4252" i="28" s="1"/>
  <c r="L4253" i="28"/>
  <c r="M4253" i="28" s="1"/>
  <c r="L4254" i="28"/>
  <c r="M4254" i="28" s="1"/>
  <c r="L4255" i="28"/>
  <c r="M4255" i="28" s="1"/>
  <c r="L4256" i="28"/>
  <c r="M4256" i="28" s="1"/>
  <c r="L4257" i="28"/>
  <c r="M4257" i="28" s="1"/>
  <c r="L4258" i="28"/>
  <c r="M4258" i="28" s="1"/>
  <c r="L4259" i="28"/>
  <c r="M4259" i="28" s="1"/>
  <c r="L4260" i="28"/>
  <c r="M4260" i="28" s="1"/>
  <c r="L4261" i="28"/>
  <c r="M4261" i="28" s="1"/>
  <c r="L4262" i="28"/>
  <c r="M4262" i="28" s="1"/>
  <c r="L4263" i="28"/>
  <c r="M4263" i="28" s="1"/>
  <c r="L4264" i="28"/>
  <c r="M4264" i="28" s="1"/>
  <c r="L4265" i="28"/>
  <c r="M4265" i="28" s="1"/>
  <c r="L4266" i="28"/>
  <c r="M4266" i="28" s="1"/>
  <c r="L4267" i="28"/>
  <c r="M4267" i="28" s="1"/>
  <c r="L4268" i="28"/>
  <c r="M4268" i="28" s="1"/>
  <c r="L4269" i="28"/>
  <c r="M4269" i="28" s="1"/>
  <c r="L4270" i="28"/>
  <c r="M4270" i="28" s="1"/>
  <c r="L4271" i="28"/>
  <c r="M4271" i="28" s="1"/>
  <c r="L4272" i="28"/>
  <c r="M4272" i="28" s="1"/>
  <c r="L4273" i="28"/>
  <c r="M4273" i="28" s="1"/>
  <c r="L4274" i="28"/>
  <c r="M4274" i="28" s="1"/>
  <c r="L4275" i="28"/>
  <c r="M4275" i="28" s="1"/>
  <c r="L4276" i="28"/>
  <c r="M4276" i="28" s="1"/>
  <c r="L4277" i="28"/>
  <c r="M4277" i="28" s="1"/>
  <c r="L4278" i="28"/>
  <c r="M4278" i="28" s="1"/>
  <c r="L4279" i="28"/>
  <c r="M4279" i="28"/>
  <c r="L4280" i="28"/>
  <c r="M4280" i="28" s="1"/>
  <c r="L4281" i="28"/>
  <c r="M4281" i="28" s="1"/>
  <c r="L4282" i="28"/>
  <c r="M4282" i="28" s="1"/>
  <c r="L4283" i="28"/>
  <c r="M4283" i="28" s="1"/>
  <c r="L4284" i="28"/>
  <c r="M4284" i="28" s="1"/>
  <c r="L4285" i="28"/>
  <c r="M4285" i="28" s="1"/>
  <c r="L4286" i="28"/>
  <c r="M4286" i="28" s="1"/>
  <c r="L4287" i="28"/>
  <c r="M4287" i="28" s="1"/>
  <c r="L4288" i="28"/>
  <c r="M4288" i="28" s="1"/>
  <c r="L4289" i="28"/>
  <c r="M4289" i="28" s="1"/>
  <c r="L4290" i="28"/>
  <c r="M4290" i="28" s="1"/>
  <c r="L4291" i="28"/>
  <c r="M4291" i="28" s="1"/>
  <c r="L4292" i="28"/>
  <c r="M4292" i="28" s="1"/>
  <c r="L4293" i="28"/>
  <c r="M4293" i="28" s="1"/>
  <c r="L4294" i="28"/>
  <c r="M4294" i="28" s="1"/>
  <c r="L4295" i="28"/>
  <c r="M4295" i="28" s="1"/>
  <c r="L4296" i="28"/>
  <c r="M4296" i="28" s="1"/>
  <c r="L4297" i="28"/>
  <c r="M4297" i="28" s="1"/>
  <c r="L4298" i="28"/>
  <c r="M4298" i="28" s="1"/>
  <c r="L4299" i="28"/>
  <c r="M4299" i="28" s="1"/>
  <c r="L4300" i="28"/>
  <c r="M4300" i="28" s="1"/>
  <c r="L4301" i="28"/>
  <c r="M4301" i="28" s="1"/>
  <c r="L4302" i="28"/>
  <c r="M4302" i="28" s="1"/>
  <c r="L4303" i="28"/>
  <c r="M4303" i="28" s="1"/>
  <c r="L4304" i="28"/>
  <c r="M4304" i="28" s="1"/>
  <c r="L4305" i="28"/>
  <c r="M4305" i="28" s="1"/>
  <c r="L4306" i="28"/>
  <c r="M4306" i="28" s="1"/>
  <c r="L4307" i="28"/>
  <c r="M4307" i="28" s="1"/>
  <c r="L4308" i="28"/>
  <c r="M4308" i="28" s="1"/>
  <c r="L4309" i="28"/>
  <c r="M4309" i="28" s="1"/>
  <c r="L4310" i="28"/>
  <c r="M4310" i="28" s="1"/>
  <c r="L4311" i="28"/>
  <c r="M4311" i="28" s="1"/>
  <c r="L4312" i="28"/>
  <c r="M4312" i="28" s="1"/>
  <c r="L4313" i="28"/>
  <c r="M4313" i="28" s="1"/>
  <c r="L4314" i="28"/>
  <c r="M4314" i="28" s="1"/>
  <c r="L4315" i="28"/>
  <c r="M4315" i="28" s="1"/>
  <c r="L4316" i="28"/>
  <c r="M4316" i="28" s="1"/>
  <c r="L4317" i="28"/>
  <c r="M4317" i="28" s="1"/>
  <c r="L4318" i="28"/>
  <c r="M4318" i="28" s="1"/>
  <c r="L4319" i="28"/>
  <c r="M4319" i="28" s="1"/>
  <c r="L4320" i="28"/>
  <c r="M4320" i="28" s="1"/>
  <c r="L4321" i="28"/>
  <c r="M4321" i="28" s="1"/>
  <c r="L4322" i="28"/>
  <c r="M4322" i="28" s="1"/>
  <c r="L4323" i="28"/>
  <c r="M4323" i="28" s="1"/>
  <c r="L4324" i="28"/>
  <c r="M4324" i="28" s="1"/>
  <c r="L4325" i="28"/>
  <c r="M4325" i="28" s="1"/>
  <c r="L4326" i="28"/>
  <c r="M4326" i="28" s="1"/>
  <c r="L4327" i="28"/>
  <c r="M4327" i="28"/>
  <c r="L4328" i="28"/>
  <c r="M4328" i="28" s="1"/>
  <c r="L4329" i="28"/>
  <c r="M4329" i="28" s="1"/>
  <c r="L4330" i="28"/>
  <c r="M4330" i="28" s="1"/>
  <c r="L4331" i="28"/>
  <c r="M4331" i="28" s="1"/>
  <c r="L4332" i="28"/>
  <c r="M4332" i="28" s="1"/>
  <c r="L4333" i="28"/>
  <c r="M4333" i="28" s="1"/>
  <c r="L4334" i="28"/>
  <c r="M4334" i="28" s="1"/>
  <c r="L4335" i="28"/>
  <c r="M4335" i="28" s="1"/>
  <c r="L4336" i="28"/>
  <c r="M4336" i="28" s="1"/>
  <c r="L4337" i="28"/>
  <c r="M4337" i="28" s="1"/>
  <c r="L4338" i="28"/>
  <c r="M4338" i="28" s="1"/>
  <c r="L4339" i="28"/>
  <c r="M4339" i="28" s="1"/>
  <c r="L4340" i="28"/>
  <c r="M4340" i="28" s="1"/>
  <c r="L4341" i="28"/>
  <c r="M4341" i="28" s="1"/>
  <c r="L4342" i="28"/>
  <c r="M4342" i="28" s="1"/>
  <c r="L4343" i="28"/>
  <c r="M4343" i="28" s="1"/>
  <c r="L4344" i="28"/>
  <c r="M4344" i="28" s="1"/>
  <c r="L4345" i="28"/>
  <c r="M4345" i="28" s="1"/>
  <c r="L4346" i="28"/>
  <c r="M4346" i="28" s="1"/>
  <c r="L4347" i="28"/>
  <c r="M4347" i="28" s="1"/>
  <c r="L4348" i="28"/>
  <c r="M4348" i="28" s="1"/>
  <c r="L4349" i="28"/>
  <c r="M4349" i="28" s="1"/>
  <c r="L4350" i="28"/>
  <c r="M4350" i="28" s="1"/>
  <c r="L4351" i="28"/>
  <c r="M4351" i="28" s="1"/>
  <c r="L4352" i="28"/>
  <c r="M4352" i="28" s="1"/>
  <c r="L4353" i="28"/>
  <c r="M4353" i="28" s="1"/>
  <c r="L4354" i="28"/>
  <c r="M4354" i="28" s="1"/>
  <c r="L4355" i="28"/>
  <c r="M4355" i="28" s="1"/>
  <c r="L4356" i="28"/>
  <c r="M4356" i="28" s="1"/>
  <c r="L4357" i="28"/>
  <c r="M4357" i="28" s="1"/>
  <c r="L4358" i="28"/>
  <c r="M4358" i="28" s="1"/>
  <c r="L4359" i="28"/>
  <c r="M4359" i="28" s="1"/>
  <c r="L4360" i="28"/>
  <c r="M4360" i="28" s="1"/>
  <c r="L4361" i="28"/>
  <c r="M4361" i="28" s="1"/>
  <c r="L4362" i="28"/>
  <c r="M4362" i="28" s="1"/>
  <c r="L4363" i="28"/>
  <c r="M4363" i="28" s="1"/>
  <c r="L4364" i="28"/>
  <c r="M4364" i="28" s="1"/>
  <c r="L4365" i="28"/>
  <c r="M4365" i="28" s="1"/>
  <c r="L4366" i="28"/>
  <c r="M4366" i="28" s="1"/>
  <c r="L4367" i="28"/>
  <c r="M4367" i="28" s="1"/>
  <c r="L4368" i="28"/>
  <c r="M4368" i="28" s="1"/>
  <c r="L4369" i="28"/>
  <c r="M4369" i="28" s="1"/>
  <c r="L4370" i="28"/>
  <c r="M4370" i="28" s="1"/>
  <c r="L4371" i="28"/>
  <c r="M4371" i="28" s="1"/>
  <c r="L4372" i="28"/>
  <c r="M4372" i="28" s="1"/>
  <c r="L4373" i="28"/>
  <c r="M4373" i="28" s="1"/>
  <c r="L4374" i="28"/>
  <c r="M4374" i="28" s="1"/>
  <c r="L4375" i="28"/>
  <c r="M4375" i="28" s="1"/>
  <c r="L4376" i="28"/>
  <c r="M4376" i="28" s="1"/>
  <c r="L4377" i="28"/>
  <c r="M4377" i="28" s="1"/>
  <c r="L4378" i="28"/>
  <c r="M4378" i="28" s="1"/>
  <c r="L4379" i="28"/>
  <c r="M4379" i="28" s="1"/>
  <c r="L4380" i="28"/>
  <c r="M4380" i="28" s="1"/>
  <c r="L4381" i="28"/>
  <c r="M4381" i="28" s="1"/>
  <c r="L4382" i="28"/>
  <c r="M4382" i="28" s="1"/>
  <c r="L4383" i="28"/>
  <c r="M4383" i="28" s="1"/>
  <c r="L4384" i="28"/>
  <c r="M4384" i="28" s="1"/>
  <c r="L4385" i="28"/>
  <c r="M4385" i="28" s="1"/>
  <c r="L4386" i="28"/>
  <c r="M4386" i="28" s="1"/>
  <c r="L4387" i="28"/>
  <c r="M4387" i="28" s="1"/>
  <c r="L4388" i="28"/>
  <c r="M4388" i="28" s="1"/>
  <c r="L4389" i="28"/>
  <c r="M4389" i="28" s="1"/>
  <c r="L4390" i="28"/>
  <c r="M4390" i="28" s="1"/>
  <c r="L4391" i="28"/>
  <c r="M4391" i="28" s="1"/>
  <c r="L4392" i="28"/>
  <c r="M4392" i="28" s="1"/>
  <c r="L4393" i="28"/>
  <c r="M4393" i="28" s="1"/>
  <c r="L4394" i="28"/>
  <c r="M4394" i="28" s="1"/>
  <c r="L4395" i="28"/>
  <c r="M4395" i="28" s="1"/>
  <c r="L4396" i="28"/>
  <c r="M4396" i="28" s="1"/>
  <c r="L4397" i="28"/>
  <c r="M4397" i="28" s="1"/>
  <c r="L4398" i="28"/>
  <c r="M4398" i="28" s="1"/>
  <c r="L4399" i="28"/>
  <c r="M4399" i="28" s="1"/>
  <c r="L4400" i="28"/>
  <c r="M4400" i="28" s="1"/>
  <c r="L4401" i="28"/>
  <c r="M4401" i="28" s="1"/>
  <c r="L4402" i="28"/>
  <c r="M4402" i="28" s="1"/>
  <c r="L4403" i="28"/>
  <c r="M4403" i="28" s="1"/>
  <c r="L4404" i="28"/>
  <c r="M4404" i="28" s="1"/>
  <c r="L4405" i="28"/>
  <c r="M4405" i="28" s="1"/>
  <c r="L4406" i="28"/>
  <c r="M4406" i="28" s="1"/>
  <c r="L4407" i="28"/>
  <c r="M4407" i="28" s="1"/>
  <c r="L4408" i="28"/>
  <c r="M4408" i="28" s="1"/>
  <c r="L4409" i="28"/>
  <c r="M4409" i="28" s="1"/>
  <c r="L4410" i="28"/>
  <c r="M4410" i="28" s="1"/>
  <c r="L4411" i="28"/>
  <c r="M4411" i="28" s="1"/>
  <c r="L4412" i="28"/>
  <c r="M4412" i="28" s="1"/>
  <c r="L4413" i="28"/>
  <c r="M4413" i="28" s="1"/>
  <c r="L4414" i="28"/>
  <c r="M4414" i="28" s="1"/>
  <c r="L4415" i="28"/>
  <c r="M4415" i="28" s="1"/>
  <c r="L4416" i="28"/>
  <c r="M4416" i="28" s="1"/>
  <c r="L4417" i="28"/>
  <c r="M4417" i="28" s="1"/>
  <c r="L4418" i="28"/>
  <c r="M4418" i="28" s="1"/>
  <c r="L4419" i="28"/>
  <c r="M4419" i="28" s="1"/>
  <c r="L4420" i="28"/>
  <c r="M4420" i="28" s="1"/>
  <c r="L4421" i="28"/>
  <c r="M4421" i="28" s="1"/>
  <c r="L4422" i="28"/>
  <c r="M4422" i="28" s="1"/>
  <c r="L4423" i="28"/>
  <c r="M4423" i="28" s="1"/>
  <c r="L4424" i="28"/>
  <c r="M4424" i="28" s="1"/>
  <c r="L4425" i="28"/>
  <c r="M4425" i="28" s="1"/>
  <c r="L4426" i="28"/>
  <c r="M4426" i="28" s="1"/>
  <c r="L4427" i="28"/>
  <c r="M4427" i="28" s="1"/>
  <c r="L4428" i="28"/>
  <c r="M4428" i="28" s="1"/>
  <c r="L4429" i="28"/>
  <c r="M4429" i="28" s="1"/>
  <c r="L4430" i="28"/>
  <c r="M4430" i="28" s="1"/>
  <c r="L4431" i="28"/>
  <c r="M4431" i="28" s="1"/>
  <c r="L4432" i="28"/>
  <c r="M4432" i="28" s="1"/>
  <c r="L4433" i="28"/>
  <c r="M4433" i="28" s="1"/>
  <c r="L4434" i="28"/>
  <c r="M4434" i="28" s="1"/>
  <c r="L4435" i="28"/>
  <c r="M4435" i="28" s="1"/>
  <c r="L4436" i="28"/>
  <c r="M4436" i="28" s="1"/>
  <c r="L4437" i="28"/>
  <c r="M4437" i="28" s="1"/>
  <c r="L4438" i="28"/>
  <c r="M4438" i="28" s="1"/>
  <c r="L4439" i="28"/>
  <c r="M4439" i="28" s="1"/>
  <c r="L4440" i="28"/>
  <c r="M4440" i="28" s="1"/>
  <c r="L4441" i="28"/>
  <c r="M4441" i="28" s="1"/>
  <c r="L4442" i="28"/>
  <c r="M4442" i="28" s="1"/>
  <c r="L4443" i="28"/>
  <c r="M4443" i="28" s="1"/>
  <c r="L4444" i="28"/>
  <c r="M4444" i="28" s="1"/>
  <c r="L4445" i="28"/>
  <c r="M4445" i="28" s="1"/>
  <c r="L4446" i="28"/>
  <c r="M4446" i="28" s="1"/>
  <c r="L4447" i="28"/>
  <c r="M4447" i="28" s="1"/>
  <c r="L4448" i="28"/>
  <c r="M4448" i="28" s="1"/>
  <c r="L4449" i="28"/>
  <c r="M4449" i="28" s="1"/>
  <c r="L4450" i="28"/>
  <c r="M4450" i="28" s="1"/>
  <c r="L4451" i="28"/>
  <c r="M4451" i="28" s="1"/>
  <c r="L4452" i="28"/>
  <c r="M4452" i="28" s="1"/>
  <c r="L4453" i="28"/>
  <c r="M4453" i="28" s="1"/>
  <c r="L4454" i="28"/>
  <c r="M4454" i="28" s="1"/>
  <c r="L4455" i="28"/>
  <c r="M4455" i="28" s="1"/>
  <c r="L4456" i="28"/>
  <c r="M4456" i="28" s="1"/>
  <c r="L4457" i="28"/>
  <c r="M4457" i="28" s="1"/>
  <c r="L4458" i="28"/>
  <c r="M4458" i="28" s="1"/>
  <c r="L4459" i="28"/>
  <c r="M4459" i="28" s="1"/>
  <c r="L4460" i="28"/>
  <c r="M4460" i="28" s="1"/>
  <c r="L4461" i="28"/>
  <c r="M4461" i="28" s="1"/>
  <c r="L4462" i="28"/>
  <c r="M4462" i="28" s="1"/>
  <c r="L4463" i="28"/>
  <c r="M4463" i="28" s="1"/>
  <c r="L4464" i="28"/>
  <c r="M4464" i="28" s="1"/>
  <c r="L4465" i="28"/>
  <c r="M4465" i="28" s="1"/>
  <c r="L4466" i="28"/>
  <c r="M4466" i="28" s="1"/>
  <c r="L4467" i="28"/>
  <c r="M4467" i="28" s="1"/>
  <c r="L4468" i="28"/>
  <c r="M4468" i="28" s="1"/>
  <c r="L4469" i="28"/>
  <c r="M4469" i="28" s="1"/>
  <c r="L4470" i="28"/>
  <c r="M4470" i="28" s="1"/>
  <c r="L4471" i="28"/>
  <c r="M4471" i="28" s="1"/>
  <c r="L4472" i="28"/>
  <c r="M4472" i="28" s="1"/>
  <c r="L4473" i="28"/>
  <c r="M4473" i="28" s="1"/>
  <c r="L4474" i="28"/>
  <c r="M4474" i="28" s="1"/>
  <c r="L4475" i="28"/>
  <c r="M4475" i="28" s="1"/>
  <c r="L4476" i="28"/>
  <c r="M4476" i="28" s="1"/>
  <c r="L4477" i="28"/>
  <c r="M4477" i="28" s="1"/>
  <c r="L4478" i="28"/>
  <c r="M4478" i="28" s="1"/>
  <c r="L4479" i="28"/>
  <c r="M4479" i="28" s="1"/>
  <c r="L4480" i="28"/>
  <c r="M4480" i="28" s="1"/>
  <c r="L4481" i="28"/>
  <c r="M4481" i="28" s="1"/>
  <c r="L4482" i="28"/>
  <c r="M4482" i="28" s="1"/>
  <c r="L4483" i="28"/>
  <c r="M4483" i="28" s="1"/>
  <c r="L4484" i="28"/>
  <c r="M4484" i="28" s="1"/>
  <c r="L4485" i="28"/>
  <c r="M4485" i="28" s="1"/>
  <c r="L4486" i="28"/>
  <c r="M4486" i="28" s="1"/>
  <c r="L4487" i="28"/>
  <c r="M4487" i="28" s="1"/>
  <c r="L4488" i="28"/>
  <c r="M4488" i="28" s="1"/>
  <c r="L4489" i="28"/>
  <c r="M4489" i="28" s="1"/>
  <c r="L4490" i="28"/>
  <c r="M4490" i="28" s="1"/>
  <c r="L4491" i="28"/>
  <c r="M4491" i="28" s="1"/>
  <c r="L4492" i="28"/>
  <c r="M4492" i="28" s="1"/>
  <c r="L4493" i="28"/>
  <c r="M4493" i="28" s="1"/>
  <c r="L4494" i="28"/>
  <c r="M4494" i="28" s="1"/>
  <c r="L4495" i="28"/>
  <c r="M4495" i="28" s="1"/>
  <c r="L4496" i="28"/>
  <c r="M4496" i="28" s="1"/>
  <c r="L4497" i="28"/>
  <c r="M4497" i="28" s="1"/>
  <c r="L4498" i="28"/>
  <c r="M4498" i="28" s="1"/>
  <c r="L4499" i="28"/>
  <c r="M4499" i="28" s="1"/>
  <c r="L4500" i="28"/>
  <c r="M4500" i="28" s="1"/>
  <c r="L4501" i="28"/>
  <c r="M4501" i="28" s="1"/>
  <c r="L4502" i="28"/>
  <c r="M4502" i="28" s="1"/>
  <c r="L4503" i="28"/>
  <c r="M4503" i="28" s="1"/>
  <c r="L4504" i="28"/>
  <c r="M4504" i="28" s="1"/>
  <c r="L4505" i="28"/>
  <c r="M4505" i="28" s="1"/>
  <c r="L4506" i="28"/>
  <c r="M4506" i="28" s="1"/>
  <c r="L1507" i="28"/>
  <c r="M1507" i="28" s="1"/>
  <c r="L1508" i="28"/>
  <c r="M1508" i="28" s="1"/>
  <c r="L1509" i="28"/>
  <c r="M1509" i="28" s="1"/>
  <c r="L1510" i="28"/>
  <c r="M1510" i="28" s="1"/>
  <c r="L1511" i="28"/>
  <c r="M1511" i="28" s="1"/>
  <c r="L1512" i="28"/>
  <c r="M1512" i="28" s="1"/>
  <c r="L1513" i="28"/>
  <c r="M1513" i="28" s="1"/>
  <c r="L1514" i="28"/>
  <c r="M1514" i="28" s="1"/>
  <c r="L1515" i="28"/>
  <c r="M1515" i="28" s="1"/>
  <c r="L1516" i="28"/>
  <c r="M1516" i="28" s="1"/>
  <c r="L1517" i="28"/>
  <c r="M1517" i="28" s="1"/>
  <c r="L1518" i="28"/>
  <c r="M1518" i="28" s="1"/>
  <c r="L1519" i="28"/>
  <c r="M1519" i="28" s="1"/>
  <c r="L1520" i="28"/>
  <c r="M1520" i="28" s="1"/>
  <c r="L1521" i="28"/>
  <c r="M1521" i="28" s="1"/>
  <c r="L1522" i="28"/>
  <c r="M1522" i="28" s="1"/>
  <c r="L1523" i="28"/>
  <c r="M1523" i="28" s="1"/>
  <c r="L1524" i="28"/>
  <c r="M1524" i="28" s="1"/>
  <c r="L1525" i="28"/>
  <c r="M1525" i="28" s="1"/>
  <c r="L1526" i="28"/>
  <c r="M1526" i="28" s="1"/>
  <c r="L1527" i="28"/>
  <c r="M1527" i="28" s="1"/>
  <c r="L1528" i="28"/>
  <c r="M1528" i="28" s="1"/>
  <c r="L1529" i="28"/>
  <c r="M1529" i="28" s="1"/>
  <c r="L1530" i="28"/>
  <c r="M1530" i="28" s="1"/>
  <c r="L1531" i="28"/>
  <c r="M1531" i="28" s="1"/>
  <c r="L1532" i="28"/>
  <c r="M1532" i="28" s="1"/>
  <c r="L1533" i="28"/>
  <c r="M1533" i="28" s="1"/>
  <c r="L1534" i="28"/>
  <c r="M1534" i="28" s="1"/>
  <c r="L1535" i="28"/>
  <c r="M1535" i="28" s="1"/>
  <c r="L1536" i="28"/>
  <c r="M1536" i="28" s="1"/>
  <c r="L1537" i="28"/>
  <c r="M1537" i="28" s="1"/>
  <c r="L1538" i="28"/>
  <c r="M1538" i="28" s="1"/>
  <c r="L1539" i="28"/>
  <c r="M1539" i="28" s="1"/>
  <c r="L1540" i="28"/>
  <c r="M1540" i="28" s="1"/>
  <c r="L1541" i="28"/>
  <c r="M1541" i="28" s="1"/>
  <c r="L1542" i="28"/>
  <c r="M1542" i="28" s="1"/>
  <c r="L1543" i="28"/>
  <c r="M1543" i="28" s="1"/>
  <c r="L1544" i="28"/>
  <c r="M1544" i="28" s="1"/>
  <c r="L1545" i="28"/>
  <c r="M1545" i="28" s="1"/>
  <c r="L1546" i="28"/>
  <c r="M1546" i="28" s="1"/>
  <c r="L1547" i="28"/>
  <c r="M1547" i="28" s="1"/>
  <c r="L1548" i="28"/>
  <c r="M1548" i="28" s="1"/>
  <c r="L1549" i="28"/>
  <c r="M1549" i="28" s="1"/>
  <c r="L1550" i="28"/>
  <c r="M1550" i="28" s="1"/>
  <c r="L1551" i="28"/>
  <c r="M1551" i="28" s="1"/>
  <c r="L1552" i="28"/>
  <c r="M1552" i="28" s="1"/>
  <c r="L1553" i="28"/>
  <c r="M1553" i="28" s="1"/>
  <c r="L1554" i="28"/>
  <c r="M1554" i="28" s="1"/>
  <c r="L1555" i="28"/>
  <c r="M1555" i="28" s="1"/>
  <c r="L1556" i="28"/>
  <c r="M1556" i="28" s="1"/>
  <c r="L1557" i="28"/>
  <c r="M1557" i="28" s="1"/>
  <c r="L1558" i="28"/>
  <c r="M1558" i="28" s="1"/>
  <c r="L1559" i="28"/>
  <c r="M1559" i="28" s="1"/>
  <c r="L1560" i="28"/>
  <c r="M1560" i="28" s="1"/>
  <c r="L1561" i="28"/>
  <c r="M1561" i="28" s="1"/>
  <c r="L1562" i="28"/>
  <c r="M1562" i="28" s="1"/>
  <c r="L1563" i="28"/>
  <c r="M1563" i="28" s="1"/>
  <c r="L1564" i="28"/>
  <c r="M1564" i="28" s="1"/>
  <c r="L1565" i="28"/>
  <c r="M1565" i="28" s="1"/>
  <c r="L1566" i="28"/>
  <c r="M1566" i="28" s="1"/>
  <c r="L1567" i="28"/>
  <c r="M1567" i="28" s="1"/>
  <c r="L1568" i="28"/>
  <c r="M1568" i="28" s="1"/>
  <c r="L1569" i="28"/>
  <c r="M1569" i="28" s="1"/>
  <c r="L1570" i="28"/>
  <c r="M1570" i="28" s="1"/>
  <c r="L1571" i="28"/>
  <c r="M1571" i="28" s="1"/>
  <c r="L1572" i="28"/>
  <c r="M1572" i="28" s="1"/>
  <c r="L1573" i="28"/>
  <c r="M1573" i="28" s="1"/>
  <c r="L1574" i="28"/>
  <c r="M1574" i="28" s="1"/>
  <c r="L1575" i="28"/>
  <c r="M1575" i="28" s="1"/>
  <c r="L1576" i="28"/>
  <c r="M1576" i="28" s="1"/>
  <c r="L1577" i="28"/>
  <c r="M1577" i="28" s="1"/>
  <c r="L1578" i="28"/>
  <c r="M1578" i="28" s="1"/>
  <c r="L1579" i="28"/>
  <c r="M1579" i="28" s="1"/>
  <c r="L1580" i="28"/>
  <c r="M1580" i="28" s="1"/>
  <c r="L1581" i="28"/>
  <c r="M1581" i="28" s="1"/>
  <c r="L1582" i="28"/>
  <c r="M1582" i="28" s="1"/>
  <c r="L1583" i="28"/>
  <c r="M1583" i="28" s="1"/>
  <c r="L1584" i="28"/>
  <c r="M1584" i="28" s="1"/>
  <c r="L1585" i="28"/>
  <c r="M1585" i="28" s="1"/>
  <c r="L1586" i="28"/>
  <c r="M1586" i="28" s="1"/>
  <c r="L1587" i="28"/>
  <c r="M1587" i="28" s="1"/>
  <c r="L1588" i="28"/>
  <c r="M1588" i="28" s="1"/>
  <c r="L1589" i="28"/>
  <c r="M1589" i="28" s="1"/>
  <c r="L1590" i="28"/>
  <c r="M1590" i="28" s="1"/>
  <c r="L1591" i="28"/>
  <c r="M1591" i="28" s="1"/>
  <c r="L1592" i="28"/>
  <c r="M1592" i="28" s="1"/>
  <c r="L1593" i="28"/>
  <c r="M1593" i="28" s="1"/>
  <c r="L1594" i="28"/>
  <c r="M1594" i="28" s="1"/>
  <c r="L1595" i="28"/>
  <c r="M1595" i="28" s="1"/>
  <c r="L1596" i="28"/>
  <c r="M1596" i="28" s="1"/>
  <c r="L1597" i="28"/>
  <c r="M1597" i="28" s="1"/>
  <c r="L1598" i="28"/>
  <c r="M1598" i="28" s="1"/>
  <c r="L1599" i="28"/>
  <c r="M1599" i="28" s="1"/>
  <c r="L1600" i="28"/>
  <c r="M1600" i="28" s="1"/>
  <c r="L1601" i="28"/>
  <c r="M1601" i="28" s="1"/>
  <c r="L1602" i="28"/>
  <c r="M1602" i="28" s="1"/>
  <c r="L1603" i="28"/>
  <c r="M1603" i="28" s="1"/>
  <c r="L1604" i="28"/>
  <c r="M1604" i="28" s="1"/>
  <c r="L1605" i="28"/>
  <c r="M1605" i="28" s="1"/>
  <c r="L1606" i="28"/>
  <c r="M1606" i="28" s="1"/>
  <c r="L1607" i="28"/>
  <c r="M1607" i="28" s="1"/>
  <c r="L1608" i="28"/>
  <c r="M1608" i="28" s="1"/>
  <c r="L1609" i="28"/>
  <c r="M1609" i="28" s="1"/>
  <c r="L1610" i="28"/>
  <c r="M1610" i="28" s="1"/>
  <c r="L1611" i="28"/>
  <c r="M1611" i="28" s="1"/>
  <c r="L1612" i="28"/>
  <c r="M1612" i="28" s="1"/>
  <c r="L1613" i="28"/>
  <c r="M1613" i="28" s="1"/>
  <c r="L1614" i="28"/>
  <c r="M1614" i="28" s="1"/>
  <c r="L1615" i="28"/>
  <c r="M1615" i="28" s="1"/>
  <c r="L1616" i="28"/>
  <c r="M1616" i="28" s="1"/>
  <c r="L1617" i="28"/>
  <c r="M1617" i="28" s="1"/>
  <c r="L1618" i="28"/>
  <c r="M1618" i="28" s="1"/>
  <c r="L1619" i="28"/>
  <c r="M1619" i="28" s="1"/>
  <c r="L1620" i="28"/>
  <c r="M1620" i="28" s="1"/>
  <c r="L1621" i="28"/>
  <c r="M1621" i="28" s="1"/>
  <c r="L1622" i="28"/>
  <c r="M1622" i="28" s="1"/>
  <c r="L1623" i="28"/>
  <c r="M1623" i="28" s="1"/>
  <c r="L1624" i="28"/>
  <c r="M1624" i="28" s="1"/>
  <c r="L1625" i="28"/>
  <c r="M1625" i="28" s="1"/>
  <c r="L1626" i="28"/>
  <c r="M1626" i="28" s="1"/>
  <c r="L1627" i="28"/>
  <c r="M1627" i="28" s="1"/>
  <c r="L1628" i="28"/>
  <c r="M1628" i="28" s="1"/>
  <c r="L1629" i="28"/>
  <c r="M1629" i="28" s="1"/>
  <c r="L1630" i="28"/>
  <c r="M1630" i="28" s="1"/>
  <c r="L1631" i="28"/>
  <c r="M1631" i="28" s="1"/>
  <c r="L1632" i="28"/>
  <c r="M1632" i="28" s="1"/>
  <c r="L1633" i="28"/>
  <c r="M1633" i="28" s="1"/>
  <c r="L1634" i="28"/>
  <c r="M1634" i="28" s="1"/>
  <c r="L1635" i="28"/>
  <c r="M1635" i="28" s="1"/>
  <c r="L1636" i="28"/>
  <c r="M1636" i="28" s="1"/>
  <c r="L1637" i="28"/>
  <c r="M1637" i="28" s="1"/>
  <c r="L1638" i="28"/>
  <c r="M1638" i="28" s="1"/>
  <c r="L1639" i="28"/>
  <c r="M1639" i="28" s="1"/>
  <c r="L1640" i="28"/>
  <c r="M1640" i="28" s="1"/>
  <c r="L1641" i="28"/>
  <c r="M1641" i="28" s="1"/>
  <c r="L1642" i="28"/>
  <c r="M1642" i="28" s="1"/>
  <c r="L1643" i="28"/>
  <c r="M1643" i="28" s="1"/>
  <c r="L1644" i="28"/>
  <c r="M1644" i="28" s="1"/>
  <c r="L1645" i="28"/>
  <c r="M1645" i="28" s="1"/>
  <c r="L1646" i="28"/>
  <c r="M1646" i="28" s="1"/>
  <c r="L1647" i="28"/>
  <c r="M1647" i="28" s="1"/>
  <c r="L1648" i="28"/>
  <c r="M1648" i="28" s="1"/>
  <c r="L1649" i="28"/>
  <c r="M1649" i="28" s="1"/>
  <c r="L1650" i="28"/>
  <c r="M1650" i="28" s="1"/>
  <c r="L1651" i="28"/>
  <c r="M1651" i="28" s="1"/>
  <c r="L1652" i="28"/>
  <c r="M1652" i="28" s="1"/>
  <c r="L1653" i="28"/>
  <c r="M1653" i="28" s="1"/>
  <c r="L1654" i="28"/>
  <c r="M1654" i="28" s="1"/>
  <c r="L1655" i="28"/>
  <c r="M1655" i="28" s="1"/>
  <c r="L1656" i="28"/>
  <c r="M1656" i="28" s="1"/>
  <c r="L1657" i="28"/>
  <c r="M1657" i="28" s="1"/>
  <c r="L1658" i="28"/>
  <c r="M1658" i="28" s="1"/>
  <c r="L1659" i="28"/>
  <c r="M1659" i="28" s="1"/>
  <c r="L1660" i="28"/>
  <c r="M1660" i="28" s="1"/>
  <c r="L1661" i="28"/>
  <c r="M1661" i="28" s="1"/>
  <c r="L1662" i="28"/>
  <c r="M1662" i="28" s="1"/>
  <c r="L1663" i="28"/>
  <c r="M1663" i="28" s="1"/>
  <c r="L1664" i="28"/>
  <c r="M1664" i="28" s="1"/>
  <c r="L1665" i="28"/>
  <c r="M1665" i="28" s="1"/>
  <c r="L1666" i="28"/>
  <c r="M1666" i="28" s="1"/>
  <c r="L1667" i="28"/>
  <c r="M1667" i="28" s="1"/>
  <c r="L1668" i="28"/>
  <c r="M1668" i="28" s="1"/>
  <c r="L1669" i="28"/>
  <c r="M1669" i="28" s="1"/>
  <c r="L1670" i="28"/>
  <c r="M1670" i="28" s="1"/>
  <c r="L1671" i="28"/>
  <c r="M1671" i="28" s="1"/>
  <c r="L1672" i="28"/>
  <c r="M1672" i="28" s="1"/>
  <c r="L1673" i="28"/>
  <c r="M1673" i="28" s="1"/>
  <c r="L1674" i="28"/>
  <c r="M1674" i="28" s="1"/>
  <c r="L1675" i="28"/>
  <c r="M1675" i="28" s="1"/>
  <c r="L1676" i="28"/>
  <c r="M1676" i="28" s="1"/>
  <c r="L1677" i="28"/>
  <c r="M1677" i="28" s="1"/>
  <c r="L1678" i="28"/>
  <c r="M1678" i="28" s="1"/>
  <c r="L1679" i="28"/>
  <c r="M1679" i="28" s="1"/>
  <c r="L1680" i="28"/>
  <c r="M1680" i="28" s="1"/>
  <c r="L1681" i="28"/>
  <c r="M1681" i="28" s="1"/>
  <c r="L1682" i="28"/>
  <c r="M1682" i="28" s="1"/>
  <c r="L1683" i="28"/>
  <c r="M1683" i="28" s="1"/>
  <c r="L1684" i="28"/>
  <c r="M1684" i="28" s="1"/>
  <c r="L1685" i="28"/>
  <c r="M1685" i="28" s="1"/>
  <c r="L1686" i="28"/>
  <c r="M1686" i="28" s="1"/>
  <c r="L1687" i="28"/>
  <c r="M1687" i="28" s="1"/>
  <c r="L1688" i="28"/>
  <c r="M1688" i="28" s="1"/>
  <c r="L1689" i="28"/>
  <c r="M1689" i="28" s="1"/>
  <c r="L1690" i="28"/>
  <c r="M1690" i="28" s="1"/>
  <c r="L1691" i="28"/>
  <c r="M1691" i="28" s="1"/>
  <c r="L1692" i="28"/>
  <c r="M1692" i="28" s="1"/>
  <c r="L1693" i="28"/>
  <c r="M1693" i="28" s="1"/>
  <c r="L1694" i="28"/>
  <c r="M1694" i="28" s="1"/>
  <c r="L1695" i="28"/>
  <c r="M1695" i="28" s="1"/>
  <c r="L1696" i="28"/>
  <c r="M1696" i="28" s="1"/>
  <c r="L1697" i="28"/>
  <c r="M1697" i="28" s="1"/>
  <c r="L1698" i="28"/>
  <c r="M1698" i="28" s="1"/>
  <c r="L1699" i="28"/>
  <c r="M1699" i="28" s="1"/>
  <c r="L1700" i="28"/>
  <c r="M1700" i="28" s="1"/>
  <c r="L1701" i="28"/>
  <c r="M1701" i="28" s="1"/>
  <c r="L1702" i="28"/>
  <c r="M1702" i="28" s="1"/>
  <c r="L1703" i="28"/>
  <c r="M1703" i="28" s="1"/>
  <c r="L1704" i="28"/>
  <c r="M1704" i="28" s="1"/>
  <c r="L1705" i="28"/>
  <c r="M1705" i="28" s="1"/>
  <c r="L1706" i="28"/>
  <c r="M1706" i="28" s="1"/>
  <c r="L1707" i="28"/>
  <c r="M1707" i="28" s="1"/>
  <c r="L1708" i="28"/>
  <c r="M1708" i="28" s="1"/>
  <c r="L1709" i="28"/>
  <c r="M1709" i="28" s="1"/>
  <c r="L1710" i="28"/>
  <c r="M1710" i="28" s="1"/>
  <c r="L1711" i="28"/>
  <c r="M1711" i="28" s="1"/>
  <c r="L1712" i="28"/>
  <c r="M1712" i="28" s="1"/>
  <c r="L1713" i="28"/>
  <c r="M1713" i="28" s="1"/>
  <c r="L1714" i="28"/>
  <c r="M1714" i="28" s="1"/>
  <c r="L1715" i="28"/>
  <c r="M1715" i="28" s="1"/>
  <c r="L1716" i="28"/>
  <c r="M1716" i="28" s="1"/>
  <c r="L1717" i="28"/>
  <c r="M1717" i="28" s="1"/>
  <c r="L1718" i="28"/>
  <c r="M1718" i="28" s="1"/>
  <c r="L1719" i="28"/>
  <c r="M1719" i="28" s="1"/>
  <c r="L1720" i="28"/>
  <c r="M1720" i="28" s="1"/>
  <c r="L1721" i="28"/>
  <c r="M1721" i="28" s="1"/>
  <c r="L1722" i="28"/>
  <c r="M1722" i="28" s="1"/>
  <c r="L1723" i="28"/>
  <c r="M1723" i="28" s="1"/>
  <c r="L1724" i="28"/>
  <c r="M1724" i="28" s="1"/>
  <c r="L1725" i="28"/>
  <c r="M1725" i="28" s="1"/>
  <c r="L1726" i="28"/>
  <c r="M1726" i="28" s="1"/>
  <c r="L1727" i="28"/>
  <c r="M1727" i="28" s="1"/>
  <c r="L1728" i="28"/>
  <c r="M1728" i="28" s="1"/>
  <c r="L1729" i="28"/>
  <c r="M1729" i="28" s="1"/>
  <c r="L1730" i="28"/>
  <c r="M1730" i="28" s="1"/>
  <c r="L1731" i="28"/>
  <c r="M1731" i="28" s="1"/>
  <c r="L1732" i="28"/>
  <c r="M1732" i="28" s="1"/>
  <c r="L1733" i="28"/>
  <c r="M1733" i="28" s="1"/>
  <c r="L1734" i="28"/>
  <c r="M1734" i="28" s="1"/>
  <c r="L1735" i="28"/>
  <c r="M1735" i="28" s="1"/>
  <c r="L1736" i="28"/>
  <c r="M1736" i="28" s="1"/>
  <c r="L1737" i="28"/>
  <c r="M1737" i="28" s="1"/>
  <c r="L1738" i="28"/>
  <c r="M1738" i="28" s="1"/>
  <c r="L1739" i="28"/>
  <c r="M1739" i="28" s="1"/>
  <c r="L1740" i="28"/>
  <c r="M1740" i="28" s="1"/>
  <c r="L1741" i="28"/>
  <c r="M1741" i="28" s="1"/>
  <c r="L1742" i="28"/>
  <c r="M1742" i="28" s="1"/>
  <c r="L1743" i="28"/>
  <c r="M1743" i="28" s="1"/>
  <c r="L1744" i="28"/>
  <c r="M1744" i="28" s="1"/>
  <c r="L1745" i="28"/>
  <c r="M1745" i="28" s="1"/>
  <c r="L1746" i="28"/>
  <c r="M1746" i="28" s="1"/>
  <c r="L1747" i="28"/>
  <c r="M1747" i="28" s="1"/>
  <c r="L1748" i="28"/>
  <c r="M1748" i="28" s="1"/>
  <c r="L1749" i="28"/>
  <c r="M1749" i="28" s="1"/>
  <c r="L1750" i="28"/>
  <c r="M1750" i="28" s="1"/>
  <c r="L1751" i="28"/>
  <c r="M1751" i="28" s="1"/>
  <c r="L1752" i="28"/>
  <c r="M1752" i="28" s="1"/>
  <c r="L1753" i="28"/>
  <c r="M1753" i="28" s="1"/>
  <c r="L1754" i="28"/>
  <c r="M1754" i="28" s="1"/>
  <c r="L1755" i="28"/>
  <c r="M1755" i="28" s="1"/>
  <c r="L1756" i="28"/>
  <c r="M1756" i="28" s="1"/>
  <c r="L1757" i="28"/>
  <c r="M1757" i="28" s="1"/>
  <c r="L1758" i="28"/>
  <c r="M1758" i="28" s="1"/>
  <c r="L1759" i="28"/>
  <c r="M1759" i="28" s="1"/>
  <c r="L1760" i="28"/>
  <c r="M1760" i="28" s="1"/>
  <c r="L1761" i="28"/>
  <c r="M1761" i="28" s="1"/>
  <c r="L1762" i="28"/>
  <c r="M1762" i="28" s="1"/>
  <c r="L1763" i="28"/>
  <c r="M1763" i="28" s="1"/>
  <c r="L1764" i="28"/>
  <c r="M1764" i="28" s="1"/>
  <c r="L1765" i="28"/>
  <c r="M1765" i="28" s="1"/>
  <c r="L1766" i="28"/>
  <c r="M1766" i="28" s="1"/>
  <c r="L1767" i="28"/>
  <c r="M1767" i="28" s="1"/>
  <c r="L1768" i="28"/>
  <c r="M1768" i="28" s="1"/>
  <c r="L1769" i="28"/>
  <c r="M1769" i="28" s="1"/>
  <c r="L1770" i="28"/>
  <c r="M1770" i="28" s="1"/>
  <c r="L1771" i="28"/>
  <c r="M1771" i="28" s="1"/>
  <c r="L1772" i="28"/>
  <c r="M1772" i="28" s="1"/>
  <c r="L1773" i="28"/>
  <c r="M1773" i="28" s="1"/>
  <c r="L1774" i="28"/>
  <c r="M1774" i="28" s="1"/>
  <c r="L1775" i="28"/>
  <c r="M1775" i="28" s="1"/>
  <c r="L1776" i="28"/>
  <c r="M1776" i="28" s="1"/>
  <c r="L1777" i="28"/>
  <c r="M1777" i="28" s="1"/>
  <c r="L1778" i="28"/>
  <c r="M1778" i="28" s="1"/>
  <c r="L1779" i="28"/>
  <c r="M1779" i="28" s="1"/>
  <c r="L1780" i="28"/>
  <c r="M1780" i="28" s="1"/>
  <c r="L1781" i="28"/>
  <c r="M1781" i="28" s="1"/>
  <c r="L1782" i="28"/>
  <c r="M1782" i="28" s="1"/>
  <c r="L1783" i="28"/>
  <c r="M1783" i="28" s="1"/>
  <c r="L1784" i="28"/>
  <c r="M1784" i="28" s="1"/>
  <c r="L1785" i="28"/>
  <c r="M1785" i="28" s="1"/>
  <c r="L1786" i="28"/>
  <c r="M1786" i="28" s="1"/>
  <c r="L1787" i="28"/>
  <c r="M1787" i="28" s="1"/>
  <c r="L1788" i="28"/>
  <c r="M1788" i="28" s="1"/>
  <c r="L1789" i="28"/>
  <c r="M1789" i="28" s="1"/>
  <c r="L1790" i="28"/>
  <c r="M1790" i="28" s="1"/>
  <c r="L1791" i="28"/>
  <c r="M1791" i="28" s="1"/>
  <c r="L1792" i="28"/>
  <c r="M1792" i="28" s="1"/>
  <c r="L1793" i="28"/>
  <c r="M1793" i="28" s="1"/>
  <c r="L1794" i="28"/>
  <c r="M1794" i="28" s="1"/>
  <c r="L1795" i="28"/>
  <c r="M1795" i="28" s="1"/>
  <c r="L1796" i="28"/>
  <c r="M1796" i="28" s="1"/>
  <c r="L1797" i="28"/>
  <c r="M1797" i="28" s="1"/>
  <c r="L1798" i="28"/>
  <c r="M1798" i="28" s="1"/>
  <c r="L1799" i="28"/>
  <c r="M1799" i="28" s="1"/>
  <c r="L1800" i="28"/>
  <c r="M1800" i="28" s="1"/>
  <c r="L1801" i="28"/>
  <c r="M1801" i="28" s="1"/>
  <c r="L1802" i="28"/>
  <c r="M1802" i="28" s="1"/>
  <c r="L1803" i="28"/>
  <c r="M1803" i="28" s="1"/>
  <c r="L1804" i="28"/>
  <c r="M1804" i="28" s="1"/>
  <c r="L1805" i="28"/>
  <c r="M1805" i="28" s="1"/>
  <c r="L1806" i="28"/>
  <c r="M1806" i="28" s="1"/>
  <c r="L1807" i="28"/>
  <c r="M1807" i="28" s="1"/>
  <c r="L1808" i="28"/>
  <c r="M1808" i="28" s="1"/>
  <c r="L1809" i="28"/>
  <c r="M1809" i="28" s="1"/>
  <c r="L1810" i="28"/>
  <c r="M1810" i="28" s="1"/>
  <c r="L1811" i="28"/>
  <c r="M1811" i="28" s="1"/>
  <c r="L1812" i="28"/>
  <c r="M1812" i="28" s="1"/>
  <c r="L1813" i="28"/>
  <c r="M1813" i="28" s="1"/>
  <c r="L1814" i="28"/>
  <c r="M1814" i="28" s="1"/>
  <c r="L1815" i="28"/>
  <c r="M1815" i="28" s="1"/>
  <c r="L1816" i="28"/>
  <c r="M1816" i="28" s="1"/>
  <c r="L1817" i="28"/>
  <c r="M1817" i="28" s="1"/>
  <c r="L1818" i="28"/>
  <c r="M1818" i="28" s="1"/>
  <c r="L1819" i="28"/>
  <c r="M1819" i="28" s="1"/>
  <c r="L1820" i="28"/>
  <c r="M1820" i="28" s="1"/>
  <c r="L1821" i="28"/>
  <c r="M1821" i="28" s="1"/>
  <c r="L1822" i="28"/>
  <c r="M1822" i="28" s="1"/>
  <c r="L1823" i="28"/>
  <c r="M1823" i="28" s="1"/>
  <c r="L1824" i="28"/>
  <c r="M1824" i="28" s="1"/>
  <c r="L1825" i="28"/>
  <c r="M1825" i="28" s="1"/>
  <c r="L1826" i="28"/>
  <c r="M1826" i="28" s="1"/>
  <c r="L1827" i="28"/>
  <c r="M1827" i="28" s="1"/>
  <c r="L1828" i="28"/>
  <c r="M1828" i="28" s="1"/>
  <c r="L1829" i="28"/>
  <c r="M1829" i="28" s="1"/>
  <c r="L1830" i="28"/>
  <c r="M1830" i="28" s="1"/>
  <c r="L1831" i="28"/>
  <c r="M1831" i="28" s="1"/>
  <c r="L1832" i="28"/>
  <c r="M1832" i="28" s="1"/>
  <c r="L1833" i="28"/>
  <c r="M1833" i="28" s="1"/>
  <c r="L1834" i="28"/>
  <c r="M1834" i="28" s="1"/>
  <c r="L1835" i="28"/>
  <c r="M1835" i="28" s="1"/>
  <c r="L1836" i="28"/>
  <c r="M1836" i="28" s="1"/>
  <c r="L1837" i="28"/>
  <c r="M1837" i="28" s="1"/>
  <c r="L1838" i="28"/>
  <c r="M1838" i="28" s="1"/>
  <c r="L1839" i="28"/>
  <c r="M1839" i="28" s="1"/>
  <c r="L1840" i="28"/>
  <c r="M1840" i="28" s="1"/>
  <c r="L1841" i="28"/>
  <c r="M1841" i="28" s="1"/>
  <c r="L1842" i="28"/>
  <c r="M1842" i="28" s="1"/>
  <c r="L1843" i="28"/>
  <c r="M1843" i="28" s="1"/>
  <c r="L1844" i="28"/>
  <c r="M1844" i="28" s="1"/>
  <c r="L1845" i="28"/>
  <c r="M1845" i="28" s="1"/>
  <c r="L1846" i="28"/>
  <c r="M1846" i="28" s="1"/>
  <c r="L1847" i="28"/>
  <c r="M1847" i="28" s="1"/>
  <c r="L1848" i="28"/>
  <c r="M1848" i="28" s="1"/>
  <c r="L1849" i="28"/>
  <c r="M1849" i="28" s="1"/>
  <c r="L1850" i="28"/>
  <c r="M1850" i="28" s="1"/>
  <c r="L1851" i="28"/>
  <c r="M1851" i="28" s="1"/>
  <c r="L1852" i="28"/>
  <c r="M1852" i="28" s="1"/>
  <c r="L1853" i="28"/>
  <c r="M1853" i="28" s="1"/>
  <c r="L1854" i="28"/>
  <c r="M1854" i="28" s="1"/>
  <c r="L1855" i="28"/>
  <c r="M1855" i="28" s="1"/>
  <c r="L1856" i="28"/>
  <c r="M1856" i="28" s="1"/>
  <c r="L1857" i="28"/>
  <c r="M1857" i="28" s="1"/>
  <c r="L1858" i="28"/>
  <c r="M1858" i="28" s="1"/>
  <c r="L1859" i="28"/>
  <c r="M1859" i="28" s="1"/>
  <c r="L1860" i="28"/>
  <c r="M1860" i="28" s="1"/>
  <c r="L1861" i="28"/>
  <c r="M1861" i="28" s="1"/>
  <c r="L1862" i="28"/>
  <c r="M1862" i="28" s="1"/>
  <c r="L1863" i="28"/>
  <c r="M1863" i="28" s="1"/>
  <c r="L1864" i="28"/>
  <c r="M1864" i="28" s="1"/>
  <c r="L1865" i="28"/>
  <c r="M1865" i="28" s="1"/>
  <c r="L1866" i="28"/>
  <c r="M1866" i="28" s="1"/>
  <c r="L1867" i="28"/>
  <c r="M1867" i="28" s="1"/>
  <c r="L1868" i="28"/>
  <c r="M1868" i="28" s="1"/>
  <c r="L1869" i="28"/>
  <c r="M1869" i="28" s="1"/>
  <c r="L1870" i="28"/>
  <c r="M1870" i="28" s="1"/>
  <c r="L1871" i="28"/>
  <c r="M1871" i="28" s="1"/>
  <c r="L1872" i="28"/>
  <c r="M1872" i="28" s="1"/>
  <c r="L1873" i="28"/>
  <c r="M1873" i="28" s="1"/>
  <c r="L1874" i="28"/>
  <c r="M1874" i="28" s="1"/>
  <c r="L1875" i="28"/>
  <c r="M1875" i="28" s="1"/>
  <c r="L1876" i="28"/>
  <c r="M1876" i="28" s="1"/>
  <c r="L1877" i="28"/>
  <c r="M1877" i="28" s="1"/>
  <c r="L1878" i="28"/>
  <c r="M1878" i="28" s="1"/>
  <c r="L1879" i="28"/>
  <c r="M1879" i="28" s="1"/>
  <c r="L1880" i="28"/>
  <c r="M1880" i="28" s="1"/>
  <c r="L1881" i="28"/>
  <c r="M1881" i="28" s="1"/>
  <c r="L1882" i="28"/>
  <c r="M1882" i="28" s="1"/>
  <c r="L1883" i="28"/>
  <c r="M1883" i="28" s="1"/>
  <c r="L1884" i="28"/>
  <c r="M1884" i="28" s="1"/>
  <c r="L1885" i="28"/>
  <c r="M1885" i="28" s="1"/>
  <c r="L1886" i="28"/>
  <c r="M1886" i="28" s="1"/>
  <c r="L1887" i="28"/>
  <c r="M1887" i="28" s="1"/>
  <c r="L1888" i="28"/>
  <c r="M1888" i="28" s="1"/>
  <c r="L1889" i="28"/>
  <c r="M1889" i="28" s="1"/>
  <c r="L1890" i="28"/>
  <c r="M1890" i="28" s="1"/>
  <c r="L1891" i="28"/>
  <c r="M1891" i="28" s="1"/>
  <c r="L1892" i="28"/>
  <c r="M1892" i="28" s="1"/>
  <c r="L1893" i="28"/>
  <c r="M1893" i="28" s="1"/>
  <c r="L1894" i="28"/>
  <c r="M1894" i="28" s="1"/>
  <c r="L1895" i="28"/>
  <c r="M1895" i="28" s="1"/>
  <c r="L1896" i="28"/>
  <c r="M1896" i="28" s="1"/>
  <c r="L1897" i="28"/>
  <c r="M1897" i="28" s="1"/>
  <c r="L1898" i="28"/>
  <c r="M1898" i="28" s="1"/>
  <c r="L1899" i="28"/>
  <c r="M1899" i="28" s="1"/>
  <c r="L1900" i="28"/>
  <c r="M1900" i="28" s="1"/>
  <c r="L1901" i="28"/>
  <c r="M1901" i="28" s="1"/>
  <c r="L1902" i="28"/>
  <c r="M1902" i="28" s="1"/>
  <c r="L1903" i="28"/>
  <c r="M1903" i="28" s="1"/>
  <c r="L1904" i="28"/>
  <c r="M1904" i="28" s="1"/>
  <c r="L1905" i="28"/>
  <c r="M1905" i="28" s="1"/>
  <c r="L1906" i="28"/>
  <c r="M1906" i="28" s="1"/>
  <c r="L1907" i="28"/>
  <c r="M1907" i="28" s="1"/>
  <c r="L1908" i="28"/>
  <c r="M1908" i="28" s="1"/>
  <c r="L1909" i="28"/>
  <c r="M1909" i="28" s="1"/>
  <c r="L1910" i="28"/>
  <c r="M1910" i="28" s="1"/>
  <c r="L1911" i="28"/>
  <c r="M1911" i="28" s="1"/>
  <c r="L1912" i="28"/>
  <c r="M1912" i="28" s="1"/>
  <c r="L1913" i="28"/>
  <c r="M1913" i="28" s="1"/>
  <c r="L1914" i="28"/>
  <c r="M1914" i="28" s="1"/>
  <c r="L1915" i="28"/>
  <c r="M1915" i="28" s="1"/>
  <c r="L1916" i="28"/>
  <c r="M1916" i="28" s="1"/>
  <c r="L1917" i="28"/>
  <c r="M1917" i="28" s="1"/>
  <c r="L1918" i="28"/>
  <c r="M1918" i="28" s="1"/>
  <c r="L1919" i="28"/>
  <c r="M1919" i="28" s="1"/>
  <c r="L1920" i="28"/>
  <c r="M1920" i="28" s="1"/>
  <c r="L1921" i="28"/>
  <c r="M1921" i="28" s="1"/>
  <c r="L1922" i="28"/>
  <c r="M1922" i="28" s="1"/>
  <c r="L1923" i="28"/>
  <c r="M1923" i="28" s="1"/>
  <c r="L1924" i="28"/>
  <c r="M1924" i="28" s="1"/>
  <c r="L1925" i="28"/>
  <c r="M1925" i="28" s="1"/>
  <c r="L1926" i="28"/>
  <c r="M1926" i="28" s="1"/>
  <c r="L1927" i="28"/>
  <c r="M1927" i="28" s="1"/>
  <c r="L1928" i="28"/>
  <c r="M1928" i="28" s="1"/>
  <c r="L1929" i="28"/>
  <c r="M1929" i="28" s="1"/>
  <c r="L1930" i="28"/>
  <c r="M1930" i="28" s="1"/>
  <c r="L1931" i="28"/>
  <c r="M1931" i="28" s="1"/>
  <c r="L1932" i="28"/>
  <c r="M1932" i="28" s="1"/>
  <c r="L1933" i="28"/>
  <c r="M1933" i="28" s="1"/>
  <c r="L1934" i="28"/>
  <c r="M1934" i="28" s="1"/>
  <c r="L1935" i="28"/>
  <c r="M1935" i="28" s="1"/>
  <c r="L1936" i="28"/>
  <c r="M1936" i="28" s="1"/>
  <c r="L1937" i="28"/>
  <c r="M1937" i="28" s="1"/>
  <c r="L1938" i="28"/>
  <c r="M1938" i="28" s="1"/>
  <c r="L1939" i="28"/>
  <c r="M1939" i="28" s="1"/>
  <c r="L1940" i="28"/>
  <c r="M1940" i="28" s="1"/>
  <c r="L1941" i="28"/>
  <c r="M1941" i="28" s="1"/>
  <c r="L1942" i="28"/>
  <c r="M1942" i="28" s="1"/>
  <c r="L1943" i="28"/>
  <c r="M1943" i="28" s="1"/>
  <c r="L1944" i="28"/>
  <c r="M1944" i="28" s="1"/>
  <c r="L1945" i="28"/>
  <c r="M1945" i="28" s="1"/>
  <c r="L1946" i="28"/>
  <c r="M1946" i="28" s="1"/>
  <c r="L1947" i="28"/>
  <c r="M1947" i="28" s="1"/>
  <c r="L1948" i="28"/>
  <c r="M1948" i="28" s="1"/>
  <c r="L1949" i="28"/>
  <c r="M1949" i="28" s="1"/>
  <c r="L1950" i="28"/>
  <c r="M1950" i="28" s="1"/>
  <c r="L1951" i="28"/>
  <c r="M1951" i="28" s="1"/>
  <c r="L1952" i="28"/>
  <c r="M1952" i="28" s="1"/>
  <c r="L1953" i="28"/>
  <c r="M1953" i="28" s="1"/>
  <c r="L1954" i="28"/>
  <c r="M1954" i="28" s="1"/>
  <c r="L1955" i="28"/>
  <c r="M1955" i="28" s="1"/>
  <c r="L1956" i="28"/>
  <c r="M1956" i="28" s="1"/>
  <c r="L1957" i="28"/>
  <c r="M1957" i="28" s="1"/>
  <c r="L1958" i="28"/>
  <c r="M1958" i="28" s="1"/>
  <c r="L1959" i="28"/>
  <c r="M1959" i="28" s="1"/>
  <c r="L1960" i="28"/>
  <c r="M1960" i="28" s="1"/>
  <c r="L1961" i="28"/>
  <c r="M1961" i="28" s="1"/>
  <c r="L1962" i="28"/>
  <c r="M1962" i="28" s="1"/>
  <c r="L1963" i="28"/>
  <c r="M1963" i="28" s="1"/>
  <c r="L1964" i="28"/>
  <c r="M1964" i="28" s="1"/>
  <c r="L1965" i="28"/>
  <c r="M1965" i="28" s="1"/>
  <c r="L1966" i="28"/>
  <c r="M1966" i="28" s="1"/>
  <c r="L1967" i="28"/>
  <c r="M1967" i="28" s="1"/>
  <c r="L1968" i="28"/>
  <c r="M1968" i="28" s="1"/>
  <c r="L1969" i="28"/>
  <c r="M1969" i="28" s="1"/>
  <c r="L1970" i="28"/>
  <c r="M1970" i="28" s="1"/>
  <c r="L1971" i="28"/>
  <c r="M1971" i="28" s="1"/>
  <c r="L1972" i="28"/>
  <c r="M1972" i="28" s="1"/>
  <c r="L1973" i="28"/>
  <c r="M1973" i="28" s="1"/>
  <c r="L1974" i="28"/>
  <c r="M1974" i="28" s="1"/>
  <c r="L1975" i="28"/>
  <c r="M1975" i="28" s="1"/>
  <c r="L1976" i="28"/>
  <c r="M1976" i="28" s="1"/>
  <c r="L1977" i="28"/>
  <c r="M1977" i="28" s="1"/>
  <c r="L1978" i="28"/>
  <c r="M1978" i="28" s="1"/>
  <c r="L1979" i="28"/>
  <c r="M1979" i="28" s="1"/>
  <c r="L1980" i="28"/>
  <c r="M1980" i="28" s="1"/>
  <c r="L1981" i="28"/>
  <c r="M1981" i="28" s="1"/>
  <c r="L1982" i="28"/>
  <c r="M1982" i="28" s="1"/>
  <c r="L1983" i="28"/>
  <c r="M1983" i="28" s="1"/>
  <c r="L1984" i="28"/>
  <c r="M1984" i="28" s="1"/>
  <c r="L1985" i="28"/>
  <c r="M1985" i="28" s="1"/>
  <c r="L1986" i="28"/>
  <c r="M1986" i="28" s="1"/>
  <c r="L1987" i="28"/>
  <c r="M1987" i="28" s="1"/>
  <c r="L1988" i="28"/>
  <c r="M1988" i="28" s="1"/>
  <c r="L1989" i="28"/>
  <c r="M1989" i="28" s="1"/>
  <c r="L1990" i="28"/>
  <c r="M1990" i="28" s="1"/>
  <c r="L1991" i="28"/>
  <c r="M1991" i="28" s="1"/>
  <c r="L1992" i="28"/>
  <c r="M1992" i="28" s="1"/>
  <c r="L1993" i="28"/>
  <c r="M1993" i="28" s="1"/>
  <c r="L1994" i="28"/>
  <c r="M1994" i="28" s="1"/>
  <c r="L1995" i="28"/>
  <c r="M1995" i="28" s="1"/>
  <c r="L1996" i="28"/>
  <c r="M1996" i="28" s="1"/>
  <c r="L1997" i="28"/>
  <c r="M1997" i="28" s="1"/>
  <c r="L1998" i="28"/>
  <c r="M1998" i="28" s="1"/>
  <c r="L1999" i="28"/>
  <c r="M1999" i="28" s="1"/>
  <c r="L2000" i="28"/>
  <c r="M2000" i="28" s="1"/>
  <c r="L2001" i="28"/>
  <c r="M2001" i="28" s="1"/>
  <c r="L2002" i="28"/>
  <c r="M2002" i="28" s="1"/>
  <c r="L2003" i="28"/>
  <c r="M2003" i="28" s="1"/>
  <c r="L2004" i="28"/>
  <c r="M2004" i="28" s="1"/>
  <c r="L2005" i="28"/>
  <c r="M2005" i="28" s="1"/>
  <c r="L2006" i="28"/>
  <c r="M2006" i="28" s="1"/>
  <c r="L2007" i="28"/>
  <c r="M2007" i="28" s="1"/>
  <c r="L2008" i="28"/>
  <c r="M2008" i="28" s="1"/>
  <c r="L2009" i="28"/>
  <c r="M2009" i="28" s="1"/>
  <c r="L2010" i="28"/>
  <c r="M2010" i="28" s="1"/>
  <c r="L2011" i="28"/>
  <c r="M2011" i="28" s="1"/>
  <c r="L2012" i="28"/>
  <c r="M2012" i="28" s="1"/>
  <c r="L2013" i="28"/>
  <c r="M2013" i="28" s="1"/>
  <c r="L2014" i="28"/>
  <c r="M2014" i="28" s="1"/>
  <c r="L2015" i="28"/>
  <c r="M2015" i="28" s="1"/>
  <c r="L2016" i="28"/>
  <c r="M2016" i="28" s="1"/>
  <c r="L2017" i="28"/>
  <c r="M2017" i="28" s="1"/>
  <c r="L2018" i="28"/>
  <c r="M2018" i="28" s="1"/>
  <c r="L2019" i="28"/>
  <c r="M2019" i="28" s="1"/>
  <c r="L2020" i="28"/>
  <c r="M2020" i="28" s="1"/>
  <c r="L2021" i="28"/>
  <c r="M2021" i="28" s="1"/>
  <c r="L2022" i="28"/>
  <c r="M2022" i="28" s="1"/>
  <c r="L2023" i="28"/>
  <c r="M2023" i="28" s="1"/>
  <c r="L2024" i="28"/>
  <c r="M2024" i="28" s="1"/>
  <c r="L2025" i="28"/>
  <c r="M2025" i="28" s="1"/>
  <c r="L2026" i="28"/>
  <c r="M2026" i="28" s="1"/>
  <c r="L2027" i="28"/>
  <c r="M2027" i="28" s="1"/>
  <c r="L2028" i="28"/>
  <c r="M2028" i="28" s="1"/>
  <c r="L2029" i="28"/>
  <c r="M2029" i="28" s="1"/>
  <c r="L2030" i="28"/>
  <c r="M2030" i="28" s="1"/>
  <c r="L2031" i="28"/>
  <c r="M2031" i="28" s="1"/>
  <c r="L2032" i="28"/>
  <c r="M2032" i="28" s="1"/>
  <c r="L2033" i="28"/>
  <c r="M2033" i="28" s="1"/>
  <c r="L2034" i="28"/>
  <c r="M2034" i="28" s="1"/>
  <c r="L2035" i="28"/>
  <c r="M2035" i="28" s="1"/>
  <c r="L2036" i="28"/>
  <c r="M2036" i="28" s="1"/>
  <c r="L2037" i="28"/>
  <c r="M2037" i="28" s="1"/>
  <c r="L2038" i="28"/>
  <c r="M2038" i="28" s="1"/>
  <c r="L2039" i="28"/>
  <c r="M2039" i="28" s="1"/>
  <c r="L2040" i="28"/>
  <c r="M2040" i="28" s="1"/>
  <c r="L2041" i="28"/>
  <c r="M2041" i="28" s="1"/>
  <c r="L2042" i="28"/>
  <c r="M2042" i="28" s="1"/>
  <c r="L2043" i="28"/>
  <c r="M2043" i="28" s="1"/>
  <c r="L2044" i="28"/>
  <c r="M2044" i="28" s="1"/>
  <c r="L2045" i="28"/>
  <c r="M2045" i="28" s="1"/>
  <c r="L2046" i="28"/>
  <c r="M2046" i="28" s="1"/>
  <c r="L2047" i="28"/>
  <c r="M2047" i="28" s="1"/>
  <c r="L2048" i="28"/>
  <c r="M2048" i="28" s="1"/>
  <c r="L2049" i="28"/>
  <c r="M2049" i="28" s="1"/>
  <c r="L2050" i="28"/>
  <c r="M2050" i="28" s="1"/>
  <c r="L2051" i="28"/>
  <c r="M2051" i="28" s="1"/>
  <c r="L2052" i="28"/>
  <c r="M2052" i="28" s="1"/>
  <c r="L2053" i="28"/>
  <c r="M2053" i="28" s="1"/>
  <c r="L2054" i="28"/>
  <c r="M2054" i="28" s="1"/>
  <c r="L2055" i="28"/>
  <c r="M2055" i="28" s="1"/>
  <c r="L2056" i="28"/>
  <c r="M2056" i="28" s="1"/>
  <c r="L2057" i="28"/>
  <c r="M2057" i="28" s="1"/>
  <c r="L2058" i="28"/>
  <c r="M2058" i="28" s="1"/>
  <c r="L2059" i="28"/>
  <c r="M2059" i="28" s="1"/>
  <c r="L2060" i="28"/>
  <c r="M2060" i="28" s="1"/>
  <c r="L2061" i="28"/>
  <c r="M2061" i="28" s="1"/>
  <c r="L2062" i="28"/>
  <c r="M2062" i="28" s="1"/>
  <c r="L2063" i="28"/>
  <c r="M2063" i="28" s="1"/>
  <c r="L2064" i="28"/>
  <c r="M2064" i="28" s="1"/>
  <c r="L2065" i="28"/>
  <c r="M2065" i="28" s="1"/>
  <c r="L2066" i="28"/>
  <c r="M2066" i="28" s="1"/>
  <c r="L2067" i="28"/>
  <c r="M2067" i="28" s="1"/>
  <c r="L2068" i="28"/>
  <c r="M2068" i="28" s="1"/>
  <c r="L2069" i="28"/>
  <c r="M2069" i="28" s="1"/>
  <c r="L2070" i="28"/>
  <c r="M2070" i="28" s="1"/>
  <c r="L2071" i="28"/>
  <c r="M2071" i="28" s="1"/>
  <c r="L2072" i="28"/>
  <c r="M2072" i="28" s="1"/>
  <c r="L2073" i="28"/>
  <c r="M2073" i="28" s="1"/>
  <c r="L2074" i="28"/>
  <c r="M2074" i="28" s="1"/>
  <c r="L2075" i="28"/>
  <c r="M2075" i="28" s="1"/>
  <c r="L2076" i="28"/>
  <c r="M2076" i="28" s="1"/>
  <c r="L2077" i="28"/>
  <c r="M2077" i="28" s="1"/>
  <c r="L2078" i="28"/>
  <c r="M2078" i="28" s="1"/>
  <c r="L2079" i="28"/>
  <c r="M2079" i="28" s="1"/>
  <c r="L2080" i="28"/>
  <c r="M2080" i="28" s="1"/>
  <c r="L2081" i="28"/>
  <c r="M2081" i="28" s="1"/>
  <c r="L2082" i="28"/>
  <c r="M2082" i="28" s="1"/>
  <c r="L2083" i="28"/>
  <c r="M2083" i="28" s="1"/>
  <c r="L2084" i="28"/>
  <c r="M2084" i="28" s="1"/>
  <c r="L2085" i="28"/>
  <c r="M2085" i="28" s="1"/>
  <c r="L2086" i="28"/>
  <c r="M2086" i="28" s="1"/>
  <c r="L2087" i="28"/>
  <c r="M2087" i="28" s="1"/>
  <c r="L2088" i="28"/>
  <c r="M2088" i="28" s="1"/>
  <c r="L2089" i="28"/>
  <c r="M2089" i="28" s="1"/>
  <c r="L2090" i="28"/>
  <c r="M2090" i="28" s="1"/>
  <c r="L2091" i="28"/>
  <c r="M2091" i="28" s="1"/>
  <c r="L2092" i="28"/>
  <c r="M2092" i="28" s="1"/>
  <c r="L2093" i="28"/>
  <c r="M2093" i="28" s="1"/>
  <c r="L2094" i="28"/>
  <c r="M2094" i="28" s="1"/>
  <c r="L2095" i="28"/>
  <c r="M2095" i="28" s="1"/>
  <c r="L2096" i="28"/>
  <c r="M2096" i="28" s="1"/>
  <c r="L2097" i="28"/>
  <c r="M2097" i="28" s="1"/>
  <c r="L2098" i="28"/>
  <c r="M2098" i="28" s="1"/>
  <c r="L2099" i="28"/>
  <c r="M2099" i="28" s="1"/>
  <c r="L2100" i="28"/>
  <c r="M2100" i="28" s="1"/>
  <c r="L2101" i="28"/>
  <c r="M2101" i="28" s="1"/>
  <c r="L2102" i="28"/>
  <c r="M2102" i="28" s="1"/>
  <c r="L2103" i="28"/>
  <c r="M2103" i="28" s="1"/>
  <c r="L2104" i="28"/>
  <c r="M2104" i="28" s="1"/>
  <c r="L2105" i="28"/>
  <c r="M2105" i="28" s="1"/>
  <c r="L2106" i="28"/>
  <c r="M2106" i="28" s="1"/>
  <c r="L2107" i="28"/>
  <c r="M2107" i="28" s="1"/>
  <c r="L2108" i="28"/>
  <c r="M2108" i="28" s="1"/>
  <c r="L2109" i="28"/>
  <c r="M2109" i="28" s="1"/>
  <c r="L2110" i="28"/>
  <c r="M2110" i="28" s="1"/>
  <c r="L2111" i="28"/>
  <c r="M2111" i="28" s="1"/>
  <c r="L2112" i="28"/>
  <c r="M2112" i="28" s="1"/>
  <c r="L2113" i="28"/>
  <c r="M2113" i="28" s="1"/>
  <c r="L2114" i="28"/>
  <c r="M2114" i="28" s="1"/>
  <c r="L2115" i="28"/>
  <c r="M2115" i="28" s="1"/>
  <c r="L2116" i="28"/>
  <c r="M2116" i="28" s="1"/>
  <c r="L2117" i="28"/>
  <c r="M2117" i="28" s="1"/>
  <c r="L2118" i="28"/>
  <c r="M2118" i="28" s="1"/>
  <c r="L2119" i="28"/>
  <c r="M2119" i="28" s="1"/>
  <c r="L2120" i="28"/>
  <c r="M2120" i="28" s="1"/>
  <c r="L2121" i="28"/>
  <c r="M2121" i="28" s="1"/>
  <c r="L2122" i="28"/>
  <c r="M2122" i="28" s="1"/>
  <c r="L2123" i="28"/>
  <c r="M2123" i="28" s="1"/>
  <c r="L2124" i="28"/>
  <c r="M2124" i="28" s="1"/>
  <c r="L2125" i="28"/>
  <c r="M2125" i="28" s="1"/>
  <c r="L2126" i="28"/>
  <c r="M2126" i="28" s="1"/>
  <c r="L2127" i="28"/>
  <c r="M2127" i="28" s="1"/>
  <c r="L2128" i="28"/>
  <c r="M2128" i="28" s="1"/>
  <c r="L2129" i="28"/>
  <c r="M2129" i="28" s="1"/>
  <c r="L2130" i="28"/>
  <c r="M2130" i="28" s="1"/>
  <c r="L2131" i="28"/>
  <c r="M2131" i="28" s="1"/>
  <c r="L2132" i="28"/>
  <c r="M2132" i="28" s="1"/>
  <c r="L2133" i="28"/>
  <c r="M2133" i="28" s="1"/>
  <c r="L2134" i="28"/>
  <c r="M2134" i="28" s="1"/>
  <c r="L2135" i="28"/>
  <c r="M2135" i="28" s="1"/>
  <c r="L2136" i="28"/>
  <c r="M2136" i="28" s="1"/>
  <c r="L2137" i="28"/>
  <c r="M2137" i="28" s="1"/>
  <c r="L2138" i="28"/>
  <c r="M2138" i="28" s="1"/>
  <c r="L2139" i="28"/>
  <c r="M2139" i="28" s="1"/>
  <c r="L2140" i="28"/>
  <c r="M2140" i="28" s="1"/>
  <c r="L2141" i="28"/>
  <c r="M2141" i="28" s="1"/>
  <c r="L2142" i="28"/>
  <c r="M2142" i="28" s="1"/>
  <c r="L2143" i="28"/>
  <c r="M2143" i="28" s="1"/>
  <c r="L2144" i="28"/>
  <c r="M2144" i="28" s="1"/>
  <c r="L2145" i="28"/>
  <c r="M2145" i="28" s="1"/>
  <c r="L2146" i="28"/>
  <c r="M2146" i="28" s="1"/>
  <c r="L2147" i="28"/>
  <c r="M2147" i="28" s="1"/>
  <c r="L2148" i="28"/>
  <c r="M2148" i="28" s="1"/>
  <c r="L2149" i="28"/>
  <c r="M2149" i="28" s="1"/>
  <c r="L2150" i="28"/>
  <c r="M2150" i="28" s="1"/>
  <c r="L2151" i="28"/>
  <c r="M2151" i="28" s="1"/>
  <c r="L2152" i="28"/>
  <c r="M2152" i="28" s="1"/>
  <c r="L2153" i="28"/>
  <c r="M2153" i="28" s="1"/>
  <c r="L2154" i="28"/>
  <c r="M2154" i="28" s="1"/>
  <c r="L2155" i="28"/>
  <c r="M2155" i="28" s="1"/>
  <c r="L2156" i="28"/>
  <c r="M2156" i="28" s="1"/>
  <c r="L2157" i="28"/>
  <c r="M2157" i="28" s="1"/>
  <c r="L2158" i="28"/>
  <c r="M2158" i="28" s="1"/>
  <c r="L2159" i="28"/>
  <c r="M2159" i="28" s="1"/>
  <c r="L2160" i="28"/>
  <c r="M2160" i="28" s="1"/>
  <c r="L2161" i="28"/>
  <c r="M2161" i="28" s="1"/>
  <c r="L2162" i="28"/>
  <c r="M2162" i="28" s="1"/>
  <c r="L2163" i="28"/>
  <c r="M2163" i="28" s="1"/>
  <c r="L2164" i="28"/>
  <c r="M2164" i="28" s="1"/>
  <c r="L2165" i="28"/>
  <c r="M2165" i="28" s="1"/>
  <c r="L2166" i="28"/>
  <c r="M2166" i="28" s="1"/>
  <c r="L2167" i="28"/>
  <c r="M2167" i="28" s="1"/>
  <c r="L2168" i="28"/>
  <c r="M2168" i="28" s="1"/>
  <c r="L2169" i="28"/>
  <c r="M2169" i="28" s="1"/>
  <c r="L2170" i="28"/>
  <c r="M2170" i="28" s="1"/>
  <c r="L2171" i="28"/>
  <c r="M2171" i="28" s="1"/>
  <c r="L2172" i="28"/>
  <c r="M2172" i="28" s="1"/>
  <c r="L2173" i="28"/>
  <c r="M2173" i="28" s="1"/>
  <c r="L2174" i="28"/>
  <c r="M2174" i="28" s="1"/>
  <c r="L2175" i="28"/>
  <c r="M2175" i="28" s="1"/>
  <c r="L2176" i="28"/>
  <c r="M2176" i="28" s="1"/>
  <c r="L2177" i="28"/>
  <c r="M2177" i="28" s="1"/>
  <c r="L2178" i="28"/>
  <c r="M2178" i="28" s="1"/>
  <c r="L2179" i="28"/>
  <c r="M2179" i="28" s="1"/>
  <c r="L2180" i="28"/>
  <c r="M2180" i="28" s="1"/>
  <c r="L2181" i="28"/>
  <c r="M2181" i="28" s="1"/>
  <c r="L2182" i="28"/>
  <c r="M2182" i="28" s="1"/>
  <c r="L2183" i="28"/>
  <c r="M2183" i="28" s="1"/>
  <c r="L2184" i="28"/>
  <c r="M2184" i="28" s="1"/>
  <c r="L2185" i="28"/>
  <c r="M2185" i="28" s="1"/>
  <c r="L2186" i="28"/>
  <c r="M2186" i="28" s="1"/>
  <c r="L2187" i="28"/>
  <c r="M2187" i="28" s="1"/>
  <c r="L2188" i="28"/>
  <c r="M2188" i="28" s="1"/>
  <c r="L2189" i="28"/>
  <c r="M2189" i="28" s="1"/>
  <c r="L2190" i="28"/>
  <c r="M2190" i="28" s="1"/>
  <c r="L2191" i="28"/>
  <c r="M2191" i="28" s="1"/>
  <c r="L2192" i="28"/>
  <c r="M2192" i="28" s="1"/>
  <c r="L2193" i="28"/>
  <c r="M2193" i="28" s="1"/>
  <c r="L2194" i="28"/>
  <c r="M2194" i="28" s="1"/>
  <c r="L2195" i="28"/>
  <c r="M2195" i="28" s="1"/>
  <c r="L2196" i="28"/>
  <c r="M2196" i="28" s="1"/>
  <c r="L2197" i="28"/>
  <c r="M2197" i="28" s="1"/>
  <c r="L2198" i="28"/>
  <c r="M2198" i="28" s="1"/>
  <c r="L2199" i="28"/>
  <c r="M2199" i="28" s="1"/>
  <c r="L2200" i="28"/>
  <c r="M2200" i="28" s="1"/>
  <c r="L2201" i="28"/>
  <c r="M2201" i="28" s="1"/>
  <c r="L2202" i="28"/>
  <c r="M2202" i="28" s="1"/>
  <c r="L2203" i="28"/>
  <c r="M2203" i="28" s="1"/>
  <c r="L2204" i="28"/>
  <c r="M2204" i="28" s="1"/>
  <c r="L2205" i="28"/>
  <c r="M2205" i="28" s="1"/>
  <c r="L2206" i="28"/>
  <c r="M2206" i="28" s="1"/>
  <c r="L2207" i="28"/>
  <c r="M2207" i="28" s="1"/>
  <c r="L2208" i="28"/>
  <c r="M2208" i="28" s="1"/>
  <c r="L2209" i="28"/>
  <c r="M2209" i="28" s="1"/>
  <c r="L2210" i="28"/>
  <c r="M2210" i="28" s="1"/>
  <c r="L2211" i="28"/>
  <c r="M2211" i="28" s="1"/>
  <c r="L2212" i="28"/>
  <c r="M2212" i="28" s="1"/>
  <c r="L2213" i="28"/>
  <c r="M2213" i="28" s="1"/>
  <c r="L2214" i="28"/>
  <c r="M2214" i="28" s="1"/>
  <c r="L2215" i="28"/>
  <c r="M2215" i="28" s="1"/>
  <c r="L2216" i="28"/>
  <c r="M2216" i="28" s="1"/>
  <c r="L2217" i="28"/>
  <c r="M2217" i="28" s="1"/>
  <c r="L2218" i="28"/>
  <c r="M2218" i="28" s="1"/>
  <c r="L2219" i="28"/>
  <c r="M2219" i="28" s="1"/>
  <c r="L2220" i="28"/>
  <c r="M2220" i="28" s="1"/>
  <c r="L2221" i="28"/>
  <c r="M2221" i="28" s="1"/>
  <c r="L2222" i="28"/>
  <c r="M2222" i="28" s="1"/>
  <c r="L2223" i="28"/>
  <c r="M2223" i="28" s="1"/>
  <c r="L2224" i="28"/>
  <c r="M2224" i="28" s="1"/>
  <c r="L2225" i="28"/>
  <c r="M2225" i="28" s="1"/>
  <c r="L2226" i="28"/>
  <c r="M2226" i="28" s="1"/>
  <c r="L2227" i="28"/>
  <c r="M2227" i="28" s="1"/>
  <c r="L2228" i="28"/>
  <c r="M2228" i="28" s="1"/>
  <c r="L2229" i="28"/>
  <c r="M2229" i="28" s="1"/>
  <c r="L2230" i="28"/>
  <c r="M2230" i="28" s="1"/>
  <c r="L2231" i="28"/>
  <c r="M2231" i="28" s="1"/>
  <c r="L2232" i="28"/>
  <c r="M2232" i="28" s="1"/>
  <c r="L2233" i="28"/>
  <c r="M2233" i="28" s="1"/>
  <c r="L2234" i="28"/>
  <c r="M2234" i="28" s="1"/>
  <c r="L2235" i="28"/>
  <c r="M2235" i="28" s="1"/>
  <c r="L2236" i="28"/>
  <c r="M2236" i="28" s="1"/>
  <c r="L2237" i="28"/>
  <c r="M2237" i="28" s="1"/>
  <c r="L2238" i="28"/>
  <c r="M2238" i="28" s="1"/>
  <c r="L2239" i="28"/>
  <c r="M2239" i="28" s="1"/>
  <c r="L2240" i="28"/>
  <c r="M2240" i="28" s="1"/>
  <c r="L2241" i="28"/>
  <c r="M2241" i="28" s="1"/>
  <c r="L2242" i="28"/>
  <c r="M2242" i="28" s="1"/>
  <c r="L2243" i="28"/>
  <c r="M2243" i="28" s="1"/>
  <c r="L2244" i="28"/>
  <c r="M2244" i="28" s="1"/>
  <c r="L2245" i="28"/>
  <c r="M2245" i="28" s="1"/>
  <c r="L2246" i="28"/>
  <c r="M2246" i="28" s="1"/>
  <c r="L2247" i="28"/>
  <c r="M2247" i="28" s="1"/>
  <c r="L2248" i="28"/>
  <c r="M2248" i="28" s="1"/>
  <c r="L2249" i="28"/>
  <c r="M2249" i="28" s="1"/>
  <c r="L2250" i="28"/>
  <c r="M2250" i="28" s="1"/>
  <c r="L2251" i="28"/>
  <c r="M2251" i="28" s="1"/>
  <c r="L2252" i="28"/>
  <c r="M2252" i="28" s="1"/>
  <c r="L2253" i="28"/>
  <c r="M2253" i="28" s="1"/>
  <c r="L2254" i="28"/>
  <c r="M2254" i="28" s="1"/>
  <c r="L2255" i="28"/>
  <c r="M2255" i="28" s="1"/>
  <c r="L2256" i="28"/>
  <c r="M2256" i="28" s="1"/>
  <c r="L2257" i="28"/>
  <c r="M2257" i="28" s="1"/>
  <c r="L2258" i="28"/>
  <c r="M2258" i="28" s="1"/>
  <c r="L2259" i="28"/>
  <c r="M2259" i="28" s="1"/>
  <c r="L2260" i="28"/>
  <c r="M2260" i="28" s="1"/>
  <c r="L2261" i="28"/>
  <c r="M2261" i="28" s="1"/>
  <c r="L2262" i="28"/>
  <c r="M2262" i="28" s="1"/>
  <c r="L2263" i="28"/>
  <c r="M2263" i="28" s="1"/>
  <c r="L2264" i="28"/>
  <c r="M2264" i="28" s="1"/>
  <c r="L2265" i="28"/>
  <c r="M2265" i="28" s="1"/>
  <c r="L2266" i="28"/>
  <c r="M2266" i="28" s="1"/>
  <c r="L2267" i="28"/>
  <c r="M2267" i="28" s="1"/>
  <c r="L2268" i="28"/>
  <c r="M2268" i="28" s="1"/>
  <c r="L2269" i="28"/>
  <c r="M2269" i="28" s="1"/>
  <c r="L2270" i="28"/>
  <c r="M2270" i="28" s="1"/>
  <c r="L2271" i="28"/>
  <c r="M2271" i="28" s="1"/>
  <c r="L2272" i="28"/>
  <c r="M2272" i="28" s="1"/>
  <c r="L2273" i="28"/>
  <c r="M2273" i="28" s="1"/>
  <c r="L2274" i="28"/>
  <c r="M2274" i="28" s="1"/>
  <c r="L2275" i="28"/>
  <c r="M2275" i="28" s="1"/>
  <c r="L2276" i="28"/>
  <c r="M2276" i="28" s="1"/>
  <c r="L2277" i="28"/>
  <c r="M2277" i="28" s="1"/>
  <c r="L2278" i="28"/>
  <c r="M2278" i="28" s="1"/>
  <c r="L2279" i="28"/>
  <c r="M2279" i="28" s="1"/>
  <c r="L2280" i="28"/>
  <c r="M2280" i="28" s="1"/>
  <c r="L2281" i="28"/>
  <c r="M2281" i="28" s="1"/>
  <c r="L2282" i="28"/>
  <c r="M2282" i="28" s="1"/>
  <c r="L2283" i="28"/>
  <c r="M2283" i="28" s="1"/>
  <c r="L2284" i="28"/>
  <c r="M2284" i="28" s="1"/>
  <c r="L2285" i="28"/>
  <c r="M2285" i="28" s="1"/>
  <c r="L2286" i="28"/>
  <c r="M2286" i="28" s="1"/>
  <c r="L2287" i="28"/>
  <c r="M2287" i="28" s="1"/>
  <c r="L2288" i="28"/>
  <c r="M2288" i="28" s="1"/>
  <c r="L2289" i="28"/>
  <c r="M2289" i="28" s="1"/>
  <c r="L2290" i="28"/>
  <c r="M2290" i="28" s="1"/>
  <c r="L2291" i="28"/>
  <c r="M2291" i="28" s="1"/>
  <c r="L2292" i="28"/>
  <c r="M2292" i="28" s="1"/>
  <c r="L2293" i="28"/>
  <c r="M2293" i="28" s="1"/>
  <c r="L2294" i="28"/>
  <c r="M2294" i="28" s="1"/>
  <c r="L2295" i="28"/>
  <c r="M2295" i="28" s="1"/>
  <c r="L2296" i="28"/>
  <c r="M2296" i="28" s="1"/>
  <c r="L2297" i="28"/>
  <c r="M2297" i="28" s="1"/>
  <c r="L2298" i="28"/>
  <c r="M2298" i="28" s="1"/>
  <c r="L2299" i="28"/>
  <c r="M2299" i="28" s="1"/>
  <c r="L2300" i="28"/>
  <c r="M2300" i="28" s="1"/>
  <c r="L2301" i="28"/>
  <c r="M2301" i="28" s="1"/>
  <c r="L2302" i="28"/>
  <c r="M2302" i="28" s="1"/>
  <c r="L2303" i="28"/>
  <c r="M2303" i="28" s="1"/>
  <c r="L2304" i="28"/>
  <c r="M2304" i="28" s="1"/>
  <c r="L2305" i="28"/>
  <c r="M2305" i="28" s="1"/>
  <c r="L2306" i="28"/>
  <c r="M2306" i="28" s="1"/>
  <c r="L2307" i="28"/>
  <c r="M2307" i="28" s="1"/>
  <c r="L2308" i="28"/>
  <c r="M2308" i="28" s="1"/>
  <c r="L2309" i="28"/>
  <c r="M2309" i="28" s="1"/>
  <c r="L2310" i="28"/>
  <c r="M2310" i="28" s="1"/>
  <c r="L2311" i="28"/>
  <c r="M2311" i="28" s="1"/>
  <c r="L2312" i="28"/>
  <c r="M2312" i="28" s="1"/>
  <c r="L2313" i="28"/>
  <c r="M2313" i="28" s="1"/>
  <c r="L2314" i="28"/>
  <c r="M2314" i="28" s="1"/>
  <c r="L2315" i="28"/>
  <c r="M2315" i="28" s="1"/>
  <c r="L2316" i="28"/>
  <c r="M2316" i="28" s="1"/>
  <c r="L2317" i="28"/>
  <c r="M2317" i="28" s="1"/>
  <c r="L2318" i="28"/>
  <c r="M2318" i="28" s="1"/>
  <c r="L2319" i="28"/>
  <c r="M2319" i="28" s="1"/>
  <c r="L2320" i="28"/>
  <c r="M2320" i="28" s="1"/>
  <c r="L2321" i="28"/>
  <c r="M2321" i="28" s="1"/>
  <c r="L2322" i="28"/>
  <c r="M2322" i="28" s="1"/>
  <c r="L2323" i="28"/>
  <c r="M2323" i="28" s="1"/>
  <c r="L2324" i="28"/>
  <c r="M2324" i="28" s="1"/>
  <c r="L2325" i="28"/>
  <c r="M2325" i="28" s="1"/>
  <c r="L2326" i="28"/>
  <c r="M2326" i="28" s="1"/>
  <c r="L2327" i="28"/>
  <c r="M2327" i="28" s="1"/>
  <c r="L2328" i="28"/>
  <c r="M2328" i="28" s="1"/>
  <c r="L2329" i="28"/>
  <c r="M2329" i="28" s="1"/>
  <c r="L2330" i="28"/>
  <c r="M2330" i="28" s="1"/>
  <c r="L2331" i="28"/>
  <c r="M2331" i="28" s="1"/>
  <c r="L2332" i="28"/>
  <c r="M2332" i="28" s="1"/>
  <c r="L2333" i="28"/>
  <c r="M2333" i="28" s="1"/>
  <c r="L2334" i="28"/>
  <c r="M2334" i="28" s="1"/>
  <c r="L2335" i="28"/>
  <c r="M2335" i="28" s="1"/>
  <c r="L2336" i="28"/>
  <c r="M2336" i="28" s="1"/>
  <c r="L2337" i="28"/>
  <c r="M2337" i="28" s="1"/>
  <c r="L2338" i="28"/>
  <c r="M2338" i="28" s="1"/>
  <c r="L2339" i="28"/>
  <c r="M2339" i="28" s="1"/>
  <c r="L2340" i="28"/>
  <c r="M2340" i="28" s="1"/>
  <c r="L2341" i="28"/>
  <c r="M2341" i="28" s="1"/>
  <c r="L2342" i="28"/>
  <c r="M2342" i="28" s="1"/>
  <c r="L2343" i="28"/>
  <c r="M2343" i="28" s="1"/>
  <c r="L2344" i="28"/>
  <c r="M2344" i="28" s="1"/>
  <c r="L2345" i="28"/>
  <c r="M2345" i="28" s="1"/>
  <c r="L2346" i="28"/>
  <c r="M2346" i="28" s="1"/>
  <c r="L2347" i="28"/>
  <c r="M2347" i="28" s="1"/>
  <c r="L2348" i="28"/>
  <c r="M2348" i="28" s="1"/>
  <c r="L2349" i="28"/>
  <c r="M2349" i="28" s="1"/>
  <c r="L2350" i="28"/>
  <c r="M2350" i="28" s="1"/>
  <c r="L2351" i="28"/>
  <c r="M2351" i="28" s="1"/>
  <c r="L2352" i="28"/>
  <c r="M2352" i="28" s="1"/>
  <c r="L2353" i="28"/>
  <c r="M2353" i="28" s="1"/>
  <c r="L2354" i="28"/>
  <c r="M2354" i="28" s="1"/>
  <c r="L2355" i="28"/>
  <c r="M2355" i="28" s="1"/>
  <c r="L2356" i="28"/>
  <c r="M2356" i="28" s="1"/>
  <c r="L2357" i="28"/>
  <c r="M2357" i="28" s="1"/>
  <c r="L2358" i="28"/>
  <c r="M2358" i="28" s="1"/>
  <c r="L2359" i="28"/>
  <c r="M2359" i="28" s="1"/>
  <c r="L2360" i="28"/>
  <c r="M2360" i="28" s="1"/>
  <c r="L2361" i="28"/>
  <c r="M2361" i="28" s="1"/>
  <c r="L2362" i="28"/>
  <c r="M2362" i="28" s="1"/>
  <c r="L2363" i="28"/>
  <c r="M2363" i="28" s="1"/>
  <c r="L2364" i="28"/>
  <c r="M2364" i="28" s="1"/>
  <c r="L2365" i="28"/>
  <c r="M2365" i="28" s="1"/>
  <c r="L2366" i="28"/>
  <c r="M2366" i="28" s="1"/>
  <c r="L2367" i="28"/>
  <c r="M2367" i="28" s="1"/>
  <c r="L2368" i="28"/>
  <c r="M2368" i="28" s="1"/>
  <c r="L2369" i="28"/>
  <c r="M2369" i="28" s="1"/>
  <c r="L2370" i="28"/>
  <c r="M2370" i="28" s="1"/>
  <c r="L2371" i="28"/>
  <c r="M2371" i="28" s="1"/>
  <c r="L2372" i="28"/>
  <c r="M2372" i="28" s="1"/>
  <c r="L2373" i="28"/>
  <c r="M2373" i="28" s="1"/>
  <c r="L2374" i="28"/>
  <c r="M2374" i="28" s="1"/>
  <c r="L2375" i="28"/>
  <c r="M2375" i="28" s="1"/>
  <c r="L2376" i="28"/>
  <c r="M2376" i="28" s="1"/>
  <c r="L2377" i="28"/>
  <c r="M2377" i="28" s="1"/>
  <c r="L2378" i="28"/>
  <c r="M2378" i="28" s="1"/>
  <c r="L2379" i="28"/>
  <c r="M2379" i="28" s="1"/>
  <c r="L2380" i="28"/>
  <c r="M2380" i="28" s="1"/>
  <c r="L2381" i="28"/>
  <c r="M2381" i="28" s="1"/>
  <c r="L2382" i="28"/>
  <c r="M2382" i="28" s="1"/>
  <c r="L2383" i="28"/>
  <c r="M2383" i="28" s="1"/>
  <c r="L2384" i="28"/>
  <c r="M2384" i="28" s="1"/>
  <c r="L2385" i="28"/>
  <c r="M2385" i="28" s="1"/>
  <c r="L2386" i="28"/>
  <c r="M2386" i="28" s="1"/>
  <c r="L2387" i="28"/>
  <c r="M2387" i="28" s="1"/>
  <c r="L2388" i="28"/>
  <c r="M2388" i="28" s="1"/>
  <c r="L2389" i="28"/>
  <c r="M2389" i="28" s="1"/>
  <c r="L2390" i="28"/>
  <c r="M2390" i="28" s="1"/>
  <c r="L2391" i="28"/>
  <c r="M2391" i="28" s="1"/>
  <c r="L2392" i="28"/>
  <c r="M2392" i="28" s="1"/>
  <c r="L2393" i="28"/>
  <c r="M2393" i="28" s="1"/>
  <c r="L2394" i="28"/>
  <c r="M2394" i="28" s="1"/>
  <c r="L2395" i="28"/>
  <c r="M2395" i="28" s="1"/>
  <c r="L2396" i="28"/>
  <c r="M2396" i="28" s="1"/>
  <c r="L2397" i="28"/>
  <c r="M2397" i="28" s="1"/>
  <c r="L2398" i="28"/>
  <c r="M2398" i="28" s="1"/>
  <c r="L2399" i="28"/>
  <c r="M2399" i="28" s="1"/>
  <c r="L2400" i="28"/>
  <c r="M2400" i="28" s="1"/>
  <c r="L2401" i="28"/>
  <c r="M2401" i="28" s="1"/>
  <c r="L2402" i="28"/>
  <c r="M2402" i="28" s="1"/>
  <c r="L2403" i="28"/>
  <c r="M2403" i="28" s="1"/>
  <c r="L2404" i="28"/>
  <c r="M2404" i="28" s="1"/>
  <c r="L2405" i="28"/>
  <c r="M2405" i="28" s="1"/>
  <c r="L2406" i="28"/>
  <c r="M2406" i="28" s="1"/>
  <c r="L2407" i="28"/>
  <c r="M2407" i="28" s="1"/>
  <c r="L2408" i="28"/>
  <c r="M2408" i="28" s="1"/>
  <c r="L2409" i="28"/>
  <c r="M2409" i="28" s="1"/>
  <c r="L2410" i="28"/>
  <c r="M2410" i="28" s="1"/>
  <c r="L2411" i="28"/>
  <c r="M2411" i="28" s="1"/>
  <c r="L2412" i="28"/>
  <c r="M2412" i="28" s="1"/>
  <c r="L2413" i="28"/>
  <c r="M2413" i="28" s="1"/>
  <c r="L2414" i="28"/>
  <c r="M2414" i="28" s="1"/>
  <c r="L2415" i="28"/>
  <c r="M2415" i="28" s="1"/>
  <c r="L2416" i="28"/>
  <c r="M2416" i="28" s="1"/>
  <c r="L2417" i="28"/>
  <c r="M2417" i="28" s="1"/>
  <c r="L2418" i="28"/>
  <c r="M2418" i="28" s="1"/>
  <c r="L2419" i="28"/>
  <c r="M2419" i="28" s="1"/>
  <c r="L2420" i="28"/>
  <c r="M2420" i="28" s="1"/>
  <c r="L2421" i="28"/>
  <c r="M2421" i="28" s="1"/>
  <c r="L2422" i="28"/>
  <c r="M2422" i="28" s="1"/>
  <c r="L2423" i="28"/>
  <c r="M2423" i="28" s="1"/>
  <c r="L2424" i="28"/>
  <c r="M2424" i="28" s="1"/>
  <c r="L2425" i="28"/>
  <c r="M2425" i="28" s="1"/>
  <c r="L2426" i="28"/>
  <c r="M2426" i="28" s="1"/>
  <c r="L2427" i="28"/>
  <c r="M2427" i="28" s="1"/>
  <c r="L2428" i="28"/>
  <c r="M2428" i="28" s="1"/>
  <c r="L2429" i="28"/>
  <c r="M2429" i="28" s="1"/>
  <c r="L2430" i="28"/>
  <c r="M2430" i="28" s="1"/>
  <c r="L2431" i="28"/>
  <c r="M2431" i="28" s="1"/>
  <c r="L2432" i="28"/>
  <c r="M2432" i="28" s="1"/>
  <c r="L2433" i="28"/>
  <c r="M2433" i="28" s="1"/>
  <c r="L2434" i="28"/>
  <c r="M2434" i="28" s="1"/>
  <c r="L2435" i="28"/>
  <c r="M2435" i="28" s="1"/>
  <c r="L2436" i="28"/>
  <c r="M2436" i="28" s="1"/>
  <c r="L2437" i="28"/>
  <c r="M2437" i="28" s="1"/>
  <c r="L2438" i="28"/>
  <c r="M2438" i="28" s="1"/>
  <c r="L2439" i="28"/>
  <c r="M2439" i="28" s="1"/>
  <c r="L2440" i="28"/>
  <c r="M2440" i="28" s="1"/>
  <c r="L2441" i="28"/>
  <c r="M2441" i="28" s="1"/>
  <c r="L2442" i="28"/>
  <c r="M2442" i="28" s="1"/>
  <c r="L2443" i="28"/>
  <c r="M2443" i="28" s="1"/>
  <c r="L2444" i="28"/>
  <c r="M2444" i="28" s="1"/>
  <c r="L2445" i="28"/>
  <c r="M2445" i="28" s="1"/>
  <c r="L2446" i="28"/>
  <c r="M2446" i="28" s="1"/>
  <c r="L2447" i="28"/>
  <c r="M2447" i="28" s="1"/>
  <c r="L2448" i="28"/>
  <c r="M2448" i="28" s="1"/>
  <c r="L2449" i="28"/>
  <c r="M2449" i="28" s="1"/>
  <c r="L2450" i="28"/>
  <c r="M2450" i="28" s="1"/>
  <c r="L2451" i="28"/>
  <c r="M2451" i="28" s="1"/>
  <c r="L2452" i="28"/>
  <c r="M2452" i="28" s="1"/>
  <c r="L2453" i="28"/>
  <c r="M2453" i="28" s="1"/>
  <c r="L2454" i="28"/>
  <c r="M2454" i="28" s="1"/>
  <c r="L2455" i="28"/>
  <c r="M2455" i="28" s="1"/>
  <c r="L2456" i="28"/>
  <c r="M2456" i="28" s="1"/>
  <c r="L2457" i="28"/>
  <c r="M2457" i="28" s="1"/>
  <c r="L2458" i="28"/>
  <c r="M2458" i="28" s="1"/>
  <c r="L2459" i="28"/>
  <c r="M2459" i="28" s="1"/>
  <c r="L2460" i="28"/>
  <c r="M2460" i="28" s="1"/>
  <c r="L2461" i="28"/>
  <c r="M2461" i="28" s="1"/>
  <c r="L2462" i="28"/>
  <c r="M2462" i="28" s="1"/>
  <c r="L2463" i="28"/>
  <c r="M2463" i="28" s="1"/>
  <c r="L2464" i="28"/>
  <c r="M2464" i="28" s="1"/>
  <c r="L2465" i="28"/>
  <c r="M2465" i="28" s="1"/>
  <c r="L2466" i="28"/>
  <c r="M2466" i="28" s="1"/>
  <c r="L2467" i="28"/>
  <c r="M2467" i="28" s="1"/>
  <c r="L2468" i="28"/>
  <c r="M2468" i="28" s="1"/>
  <c r="L2469" i="28"/>
  <c r="M2469" i="28" s="1"/>
  <c r="L2470" i="28"/>
  <c r="M2470" i="28" s="1"/>
  <c r="L2471" i="28"/>
  <c r="M2471" i="28" s="1"/>
  <c r="L2472" i="28"/>
  <c r="M2472" i="28" s="1"/>
  <c r="L2473" i="28"/>
  <c r="M2473" i="28" s="1"/>
  <c r="L2474" i="28"/>
  <c r="M2474" i="28" s="1"/>
  <c r="L2475" i="28"/>
  <c r="M2475" i="28" s="1"/>
  <c r="L2476" i="28"/>
  <c r="M2476" i="28" s="1"/>
  <c r="L2477" i="28"/>
  <c r="M2477" i="28" s="1"/>
  <c r="L2478" i="28"/>
  <c r="M2478" i="28" s="1"/>
  <c r="L2479" i="28"/>
  <c r="M2479" i="28" s="1"/>
  <c r="L2480" i="28"/>
  <c r="M2480" i="28" s="1"/>
  <c r="L2481" i="28"/>
  <c r="M2481" i="28" s="1"/>
  <c r="L2482" i="28"/>
  <c r="M2482" i="28" s="1"/>
  <c r="L2483" i="28"/>
  <c r="M2483" i="28" s="1"/>
  <c r="L2484" i="28"/>
  <c r="M2484" i="28" s="1"/>
  <c r="L2485" i="28"/>
  <c r="M2485" i="28" s="1"/>
  <c r="L2486" i="28"/>
  <c r="M2486" i="28" s="1"/>
  <c r="L2487" i="28"/>
  <c r="M2487" i="28" s="1"/>
  <c r="L2488" i="28"/>
  <c r="M2488" i="28" s="1"/>
  <c r="L2489" i="28"/>
  <c r="M2489" i="28" s="1"/>
  <c r="L2490" i="28"/>
  <c r="M2490" i="28" s="1"/>
  <c r="L2491" i="28"/>
  <c r="M2491" i="28" s="1"/>
  <c r="L2492" i="28"/>
  <c r="M2492" i="28" s="1"/>
  <c r="L2493" i="28"/>
  <c r="M2493" i="28" s="1"/>
  <c r="L2494" i="28"/>
  <c r="M2494" i="28" s="1"/>
  <c r="L2495" i="28"/>
  <c r="M2495" i="28" s="1"/>
  <c r="L2496" i="28"/>
  <c r="M2496" i="28" s="1"/>
  <c r="L2497" i="28"/>
  <c r="M2497" i="28" s="1"/>
  <c r="L2498" i="28"/>
  <c r="M2498" i="28" s="1"/>
  <c r="L2499" i="28"/>
  <c r="M2499" i="28" s="1"/>
  <c r="L2500" i="28"/>
  <c r="M2500" i="28" s="1"/>
  <c r="L2501" i="28"/>
  <c r="M2501" i="28" s="1"/>
  <c r="L2502" i="28"/>
  <c r="M2502" i="28" s="1"/>
  <c r="L2503" i="28"/>
  <c r="M2503" i="28" s="1"/>
  <c r="L2504" i="28"/>
  <c r="M2504" i="28" s="1"/>
  <c r="L2505" i="28"/>
  <c r="M2505" i="28" s="1"/>
  <c r="L2506" i="28"/>
  <c r="M2506" i="28" s="1"/>
  <c r="L2507" i="28"/>
  <c r="M2507" i="28" s="1"/>
  <c r="L2508" i="28"/>
  <c r="M2508" i="28" s="1"/>
  <c r="L2509" i="28"/>
  <c r="M2509" i="28" s="1"/>
  <c r="L2510" i="28"/>
  <c r="M2510" i="28" s="1"/>
  <c r="L2511" i="28"/>
  <c r="M2511" i="28" s="1"/>
  <c r="L2512" i="28"/>
  <c r="M2512" i="28" s="1"/>
  <c r="L2513" i="28"/>
  <c r="M2513" i="28" s="1"/>
  <c r="L2514" i="28"/>
  <c r="M2514" i="28" s="1"/>
  <c r="L2515" i="28"/>
  <c r="M2515" i="28" s="1"/>
  <c r="L2516" i="28"/>
  <c r="M2516" i="28" s="1"/>
  <c r="L2517" i="28"/>
  <c r="M2517" i="28" s="1"/>
  <c r="L2518" i="28"/>
  <c r="M2518" i="28" s="1"/>
  <c r="L2519" i="28"/>
  <c r="M2519" i="28" s="1"/>
  <c r="L2520" i="28"/>
  <c r="M2520" i="28" s="1"/>
  <c r="L2521" i="28"/>
  <c r="M2521" i="28" s="1"/>
  <c r="L2522" i="28"/>
  <c r="M2522" i="28" s="1"/>
  <c r="L2523" i="28"/>
  <c r="M2523" i="28" s="1"/>
  <c r="L2524" i="28"/>
  <c r="M2524" i="28" s="1"/>
  <c r="L2525" i="28"/>
  <c r="M2525" i="28" s="1"/>
  <c r="L2526" i="28"/>
  <c r="M2526" i="28" s="1"/>
  <c r="L2527" i="28"/>
  <c r="M2527" i="28" s="1"/>
  <c r="L2528" i="28"/>
  <c r="M2528" i="28" s="1"/>
  <c r="L2529" i="28"/>
  <c r="M2529" i="28" s="1"/>
  <c r="L2530" i="28"/>
  <c r="M2530" i="28" s="1"/>
  <c r="L2531" i="28"/>
  <c r="M2531" i="28" s="1"/>
  <c r="L2532" i="28"/>
  <c r="M2532" i="28" s="1"/>
  <c r="L2533" i="28"/>
  <c r="M2533" i="28" s="1"/>
  <c r="L2534" i="28"/>
  <c r="M2534" i="28" s="1"/>
  <c r="L2535" i="28"/>
  <c r="M2535" i="28" s="1"/>
  <c r="L2536" i="28"/>
  <c r="M2536" i="28" s="1"/>
  <c r="L2537" i="28"/>
  <c r="M2537" i="28" s="1"/>
  <c r="L2538" i="28"/>
  <c r="M2538" i="28" s="1"/>
  <c r="L2539" i="28"/>
  <c r="M2539" i="28" s="1"/>
  <c r="L2540" i="28"/>
  <c r="M2540" i="28" s="1"/>
  <c r="L2541" i="28"/>
  <c r="M2541" i="28" s="1"/>
  <c r="L2542" i="28"/>
  <c r="M2542" i="28" s="1"/>
  <c r="L2543" i="28"/>
  <c r="M2543" i="28" s="1"/>
  <c r="L2544" i="28"/>
  <c r="M2544" i="28" s="1"/>
  <c r="L2545" i="28"/>
  <c r="M2545" i="28" s="1"/>
  <c r="L2546" i="28"/>
  <c r="M2546" i="28" s="1"/>
  <c r="L2547" i="28"/>
  <c r="M2547" i="28" s="1"/>
  <c r="L2548" i="28"/>
  <c r="M2548" i="28" s="1"/>
  <c r="L2549" i="28"/>
  <c r="M2549" i="28" s="1"/>
  <c r="L2550" i="28"/>
  <c r="M2550" i="28" s="1"/>
  <c r="L2551" i="28"/>
  <c r="M2551" i="28" s="1"/>
  <c r="L2552" i="28"/>
  <c r="M2552" i="28" s="1"/>
  <c r="L2553" i="28"/>
  <c r="M2553" i="28" s="1"/>
  <c r="L2554" i="28"/>
  <c r="M2554" i="28" s="1"/>
  <c r="L2555" i="28"/>
  <c r="M2555" i="28" s="1"/>
  <c r="L2556" i="28"/>
  <c r="M2556" i="28" s="1"/>
  <c r="L2557" i="28"/>
  <c r="M2557" i="28" s="1"/>
  <c r="L2558" i="28"/>
  <c r="M2558" i="28" s="1"/>
  <c r="L2559" i="28"/>
  <c r="M2559" i="28" s="1"/>
  <c r="L2560" i="28"/>
  <c r="M2560" i="28" s="1"/>
  <c r="L2561" i="28"/>
  <c r="M2561" i="28" s="1"/>
  <c r="L2562" i="28"/>
  <c r="M2562" i="28" s="1"/>
  <c r="L2563" i="28"/>
  <c r="M2563" i="28" s="1"/>
  <c r="L2564" i="28"/>
  <c r="M2564" i="28" s="1"/>
  <c r="L2565" i="28"/>
  <c r="M2565" i="28" s="1"/>
  <c r="L2566" i="28"/>
  <c r="M2566" i="28" s="1"/>
  <c r="L2567" i="28"/>
  <c r="M2567" i="28" s="1"/>
  <c r="L2568" i="28"/>
  <c r="M2568" i="28" s="1"/>
  <c r="L2569" i="28"/>
  <c r="M2569" i="28" s="1"/>
  <c r="L2570" i="28"/>
  <c r="M2570" i="28" s="1"/>
  <c r="L2571" i="28"/>
  <c r="M2571" i="28" s="1"/>
  <c r="L2572" i="28"/>
  <c r="M2572" i="28" s="1"/>
  <c r="L2573" i="28"/>
  <c r="M2573" i="28" s="1"/>
  <c r="L2574" i="28"/>
  <c r="M2574" i="28" s="1"/>
  <c r="L2575" i="28"/>
  <c r="M2575" i="28" s="1"/>
  <c r="L2576" i="28"/>
  <c r="M2576" i="28" s="1"/>
  <c r="L2577" i="28"/>
  <c r="M2577" i="28" s="1"/>
  <c r="L2578" i="28"/>
  <c r="M2578" i="28" s="1"/>
  <c r="L2579" i="28"/>
  <c r="M2579" i="28" s="1"/>
  <c r="L2580" i="28"/>
  <c r="M2580" i="28" s="1"/>
  <c r="L2581" i="28"/>
  <c r="M2581" i="28" s="1"/>
  <c r="L2582" i="28"/>
  <c r="M2582" i="28" s="1"/>
  <c r="L2583" i="28"/>
  <c r="M2583" i="28" s="1"/>
  <c r="L2584" i="28"/>
  <c r="M2584" i="28" s="1"/>
  <c r="L2585" i="28"/>
  <c r="M2585" i="28" s="1"/>
  <c r="L2586" i="28"/>
  <c r="M2586" i="28" s="1"/>
  <c r="L2587" i="28"/>
  <c r="M2587" i="28" s="1"/>
  <c r="L2588" i="28"/>
  <c r="M2588" i="28" s="1"/>
  <c r="L2589" i="28"/>
  <c r="M2589" i="28" s="1"/>
  <c r="L2590" i="28"/>
  <c r="M2590" i="28" s="1"/>
  <c r="L2591" i="28"/>
  <c r="M2591" i="28" s="1"/>
  <c r="L2592" i="28"/>
  <c r="M2592" i="28" s="1"/>
  <c r="L2593" i="28"/>
  <c r="M2593" i="28" s="1"/>
  <c r="L2594" i="28"/>
  <c r="M2594" i="28" s="1"/>
  <c r="L2595" i="28"/>
  <c r="M2595" i="28" s="1"/>
  <c r="L2596" i="28"/>
  <c r="M2596" i="28" s="1"/>
  <c r="L2597" i="28"/>
  <c r="M2597" i="28" s="1"/>
  <c r="L2598" i="28"/>
  <c r="M2598" i="28" s="1"/>
  <c r="L2599" i="28"/>
  <c r="M2599" i="28" s="1"/>
  <c r="L2600" i="28"/>
  <c r="M2600" i="28" s="1"/>
  <c r="L2601" i="28"/>
  <c r="M2601" i="28" s="1"/>
  <c r="L2602" i="28"/>
  <c r="M2602" i="28" s="1"/>
  <c r="L2603" i="28"/>
  <c r="M2603" i="28" s="1"/>
  <c r="L2604" i="28"/>
  <c r="M2604" i="28" s="1"/>
  <c r="L2605" i="28"/>
  <c r="M2605" i="28" s="1"/>
  <c r="L2606" i="28"/>
  <c r="M2606" i="28" s="1"/>
  <c r="L2607" i="28"/>
  <c r="M2607" i="28" s="1"/>
  <c r="L2608" i="28"/>
  <c r="M2608" i="28" s="1"/>
  <c r="L2609" i="28"/>
  <c r="M2609" i="28" s="1"/>
  <c r="L2610" i="28"/>
  <c r="M2610" i="28" s="1"/>
  <c r="L2611" i="28"/>
  <c r="M2611" i="28" s="1"/>
  <c r="L2612" i="28"/>
  <c r="M2612" i="28" s="1"/>
  <c r="L2613" i="28"/>
  <c r="M2613" i="28" s="1"/>
  <c r="L2614" i="28"/>
  <c r="M2614" i="28" s="1"/>
  <c r="L2615" i="28"/>
  <c r="M2615" i="28" s="1"/>
  <c r="L2616" i="28"/>
  <c r="M2616" i="28" s="1"/>
  <c r="L2617" i="28"/>
  <c r="M2617" i="28" s="1"/>
  <c r="L2618" i="28"/>
  <c r="M2618" i="28" s="1"/>
  <c r="L2619" i="28"/>
  <c r="M2619" i="28" s="1"/>
  <c r="L2620" i="28"/>
  <c r="M2620" i="28" s="1"/>
  <c r="L2621" i="28"/>
  <c r="M2621" i="28" s="1"/>
  <c r="L2622" i="28"/>
  <c r="M2622" i="28" s="1"/>
  <c r="L2623" i="28"/>
  <c r="M2623" i="28" s="1"/>
  <c r="L2624" i="28"/>
  <c r="M2624" i="28" s="1"/>
  <c r="L2625" i="28"/>
  <c r="M2625" i="28" s="1"/>
  <c r="L2626" i="28"/>
  <c r="M2626" i="28" s="1"/>
  <c r="L2627" i="28"/>
  <c r="M2627" i="28" s="1"/>
  <c r="L2628" i="28"/>
  <c r="M2628" i="28" s="1"/>
  <c r="L2629" i="28"/>
  <c r="M2629" i="28" s="1"/>
  <c r="L2630" i="28"/>
  <c r="M2630" i="28" s="1"/>
  <c r="L2631" i="28"/>
  <c r="M2631" i="28" s="1"/>
  <c r="L2632" i="28"/>
  <c r="M2632" i="28" s="1"/>
  <c r="L2633" i="28"/>
  <c r="M2633" i="28" s="1"/>
  <c r="L2634" i="28"/>
  <c r="M2634" i="28" s="1"/>
  <c r="L2635" i="28"/>
  <c r="M2635" i="28" s="1"/>
  <c r="L2636" i="28"/>
  <c r="M2636" i="28" s="1"/>
  <c r="L2637" i="28"/>
  <c r="M2637" i="28" s="1"/>
  <c r="L2638" i="28"/>
  <c r="M2638" i="28" s="1"/>
  <c r="L2639" i="28"/>
  <c r="M2639" i="28" s="1"/>
  <c r="L2640" i="28"/>
  <c r="M2640" i="28" s="1"/>
  <c r="L2641" i="28"/>
  <c r="M2641" i="28" s="1"/>
  <c r="L2642" i="28"/>
  <c r="M2642" i="28" s="1"/>
  <c r="L2643" i="28"/>
  <c r="M2643" i="28" s="1"/>
  <c r="L2644" i="28"/>
  <c r="M2644" i="28" s="1"/>
  <c r="L2645" i="28"/>
  <c r="M2645" i="28" s="1"/>
  <c r="L2646" i="28"/>
  <c r="M2646" i="28" s="1"/>
  <c r="L2647" i="28"/>
  <c r="M2647" i="28" s="1"/>
  <c r="L2648" i="28"/>
  <c r="M2648" i="28" s="1"/>
  <c r="L2649" i="28"/>
  <c r="M2649" i="28" s="1"/>
  <c r="L2650" i="28"/>
  <c r="M2650" i="28" s="1"/>
  <c r="L2651" i="28"/>
  <c r="M2651" i="28" s="1"/>
  <c r="L2652" i="28"/>
  <c r="M2652" i="28" s="1"/>
  <c r="L2653" i="28"/>
  <c r="M2653" i="28" s="1"/>
  <c r="L2654" i="28"/>
  <c r="M2654" i="28" s="1"/>
  <c r="L2655" i="28"/>
  <c r="M2655" i="28" s="1"/>
  <c r="L2656" i="28"/>
  <c r="M2656" i="28" s="1"/>
  <c r="L2657" i="28"/>
  <c r="M2657" i="28" s="1"/>
  <c r="L2658" i="28"/>
  <c r="M2658" i="28" s="1"/>
  <c r="L2659" i="28"/>
  <c r="M2659" i="28" s="1"/>
  <c r="L2660" i="28"/>
  <c r="M2660" i="28" s="1"/>
  <c r="L2661" i="28"/>
  <c r="M2661" i="28" s="1"/>
  <c r="L2662" i="28"/>
  <c r="M2662" i="28" s="1"/>
  <c r="L2663" i="28"/>
  <c r="M2663" i="28" s="1"/>
  <c r="L2664" i="28"/>
  <c r="M2664" i="28" s="1"/>
  <c r="L2665" i="28"/>
  <c r="M2665" i="28" s="1"/>
  <c r="L2666" i="28"/>
  <c r="M2666" i="28" s="1"/>
  <c r="L2667" i="28"/>
  <c r="M2667" i="28" s="1"/>
  <c r="L2668" i="28"/>
  <c r="M2668" i="28" s="1"/>
  <c r="L2669" i="28"/>
  <c r="M2669" i="28" s="1"/>
  <c r="L2670" i="28"/>
  <c r="M2670" i="28" s="1"/>
  <c r="L2671" i="28"/>
  <c r="M2671" i="28" s="1"/>
  <c r="L2672" i="28"/>
  <c r="M2672" i="28" s="1"/>
  <c r="L2673" i="28"/>
  <c r="M2673" i="28" s="1"/>
  <c r="L2674" i="28"/>
  <c r="M2674" i="28" s="1"/>
  <c r="L2675" i="28"/>
  <c r="M2675" i="28" s="1"/>
  <c r="L2676" i="28"/>
  <c r="M2676" i="28" s="1"/>
  <c r="L2677" i="28"/>
  <c r="M2677" i="28" s="1"/>
  <c r="L2678" i="28"/>
  <c r="M2678" i="28" s="1"/>
  <c r="L2679" i="28"/>
  <c r="M2679" i="28" s="1"/>
  <c r="L2680" i="28"/>
  <c r="M2680" i="28" s="1"/>
  <c r="L2681" i="28"/>
  <c r="M2681" i="28" s="1"/>
  <c r="L2682" i="28"/>
  <c r="M2682" i="28" s="1"/>
  <c r="L2683" i="28"/>
  <c r="M2683" i="28" s="1"/>
  <c r="L2684" i="28"/>
  <c r="M2684" i="28" s="1"/>
  <c r="L2685" i="28"/>
  <c r="M2685" i="28" s="1"/>
  <c r="L2686" i="28"/>
  <c r="M2686" i="28" s="1"/>
  <c r="L2687" i="28"/>
  <c r="M2687" i="28" s="1"/>
  <c r="L2688" i="28"/>
  <c r="M2688" i="28" s="1"/>
  <c r="L2689" i="28"/>
  <c r="M2689" i="28" s="1"/>
  <c r="L2690" i="28"/>
  <c r="M2690" i="28" s="1"/>
  <c r="L2691" i="28"/>
  <c r="M2691" i="28" s="1"/>
  <c r="L2692" i="28"/>
  <c r="M2692" i="28" s="1"/>
  <c r="L2693" i="28"/>
  <c r="M2693" i="28" s="1"/>
  <c r="L2694" i="28"/>
  <c r="M2694" i="28" s="1"/>
  <c r="L2695" i="28"/>
  <c r="M2695" i="28" s="1"/>
  <c r="L2696" i="28"/>
  <c r="M2696" i="28" s="1"/>
  <c r="L2697" i="28"/>
  <c r="M2697" i="28" s="1"/>
  <c r="L2698" i="28"/>
  <c r="M2698" i="28" s="1"/>
  <c r="L2699" i="28"/>
  <c r="M2699" i="28" s="1"/>
  <c r="L2700" i="28"/>
  <c r="M2700" i="28" s="1"/>
  <c r="L2701" i="28"/>
  <c r="M2701" i="28" s="1"/>
  <c r="L2702" i="28"/>
  <c r="M2702" i="28" s="1"/>
  <c r="L2703" i="28"/>
  <c r="M2703" i="28" s="1"/>
  <c r="L2704" i="28"/>
  <c r="M2704" i="28" s="1"/>
  <c r="L2705" i="28"/>
  <c r="M2705" i="28" s="1"/>
  <c r="L2706" i="28"/>
  <c r="M2706" i="28" s="1"/>
  <c r="L2707" i="28"/>
  <c r="M2707" i="28" s="1"/>
  <c r="L2708" i="28"/>
  <c r="M2708" i="28" s="1"/>
  <c r="L2709" i="28"/>
  <c r="M2709" i="28" s="1"/>
  <c r="L2710" i="28"/>
  <c r="M2710" i="28" s="1"/>
  <c r="L2711" i="28"/>
  <c r="M2711" i="28" s="1"/>
  <c r="L2712" i="28"/>
  <c r="M2712" i="28" s="1"/>
  <c r="L2713" i="28"/>
  <c r="M2713" i="28" s="1"/>
  <c r="L2714" i="28"/>
  <c r="M2714" i="28" s="1"/>
  <c r="L2715" i="28"/>
  <c r="M2715" i="28" s="1"/>
  <c r="L2716" i="28"/>
  <c r="M2716" i="28" s="1"/>
  <c r="L2717" i="28"/>
  <c r="M2717" i="28" s="1"/>
  <c r="L2718" i="28"/>
  <c r="M2718" i="28" s="1"/>
  <c r="L2719" i="28"/>
  <c r="M2719" i="28" s="1"/>
  <c r="L2720" i="28"/>
  <c r="M2720" i="28" s="1"/>
  <c r="L2721" i="28"/>
  <c r="M2721" i="28" s="1"/>
  <c r="L2722" i="28"/>
  <c r="M2722" i="28" s="1"/>
  <c r="L2723" i="28"/>
  <c r="M2723" i="28" s="1"/>
  <c r="L2724" i="28"/>
  <c r="M2724" i="28" s="1"/>
  <c r="L2725" i="28"/>
  <c r="M2725" i="28" s="1"/>
  <c r="L2726" i="28"/>
  <c r="M2726" i="28" s="1"/>
  <c r="L2727" i="28"/>
  <c r="M2727" i="28" s="1"/>
  <c r="L2728" i="28"/>
  <c r="M2728" i="28" s="1"/>
  <c r="L2729" i="28"/>
  <c r="M2729" i="28" s="1"/>
  <c r="L2730" i="28"/>
  <c r="M2730" i="28" s="1"/>
  <c r="L2731" i="28"/>
  <c r="M2731" i="28" s="1"/>
  <c r="L2732" i="28"/>
  <c r="M2732" i="28" s="1"/>
  <c r="L2733" i="28"/>
  <c r="M2733" i="28" s="1"/>
  <c r="L2734" i="28"/>
  <c r="M2734" i="28" s="1"/>
  <c r="L2735" i="28"/>
  <c r="M2735" i="28" s="1"/>
  <c r="L2736" i="28"/>
  <c r="M2736" i="28" s="1"/>
  <c r="L2737" i="28"/>
  <c r="M2737" i="28" s="1"/>
  <c r="L2738" i="28"/>
  <c r="M2738" i="28" s="1"/>
  <c r="L2739" i="28"/>
  <c r="M2739" i="28" s="1"/>
  <c r="L2740" i="28"/>
  <c r="M2740" i="28" s="1"/>
  <c r="L2741" i="28"/>
  <c r="M2741" i="28" s="1"/>
  <c r="L2742" i="28"/>
  <c r="M2742" i="28" s="1"/>
  <c r="L2743" i="28"/>
  <c r="M2743" i="28" s="1"/>
  <c r="L2744" i="28"/>
  <c r="M2744" i="28" s="1"/>
  <c r="L2745" i="28"/>
  <c r="M2745" i="28" s="1"/>
  <c r="L2746" i="28"/>
  <c r="M2746" i="28" s="1"/>
  <c r="L2747" i="28"/>
  <c r="M2747" i="28" s="1"/>
  <c r="L2748" i="28"/>
  <c r="M2748" i="28" s="1"/>
  <c r="L2749" i="28"/>
  <c r="M2749" i="28" s="1"/>
  <c r="L2750" i="28"/>
  <c r="M2750" i="28" s="1"/>
  <c r="L2751" i="28"/>
  <c r="M2751" i="28" s="1"/>
  <c r="L2752" i="28"/>
  <c r="M2752" i="28" s="1"/>
  <c r="L2753" i="28"/>
  <c r="M2753" i="28" s="1"/>
  <c r="L2754" i="28"/>
  <c r="M2754" i="28" s="1"/>
  <c r="L2755" i="28"/>
  <c r="M2755" i="28" s="1"/>
  <c r="L2756" i="28"/>
  <c r="M2756" i="28" s="1"/>
  <c r="L2757" i="28"/>
  <c r="M2757" i="28" s="1"/>
  <c r="L2758" i="28"/>
  <c r="M2758" i="28" s="1"/>
  <c r="L2759" i="28"/>
  <c r="M2759" i="28" s="1"/>
  <c r="L2760" i="28"/>
  <c r="M2760" i="28" s="1"/>
  <c r="L2761" i="28"/>
  <c r="M2761" i="28" s="1"/>
  <c r="L2762" i="28"/>
  <c r="M2762" i="28" s="1"/>
  <c r="L2763" i="28"/>
  <c r="M2763" i="28" s="1"/>
  <c r="L2764" i="28"/>
  <c r="M2764" i="28" s="1"/>
  <c r="L2765" i="28"/>
  <c r="M2765" i="28" s="1"/>
  <c r="L2766" i="28"/>
  <c r="M2766" i="28" s="1"/>
  <c r="L2767" i="28"/>
  <c r="M2767" i="28" s="1"/>
  <c r="L2768" i="28"/>
  <c r="M2768" i="28" s="1"/>
  <c r="L2769" i="28"/>
  <c r="M2769" i="28" s="1"/>
  <c r="L2770" i="28"/>
  <c r="M2770" i="28" s="1"/>
  <c r="L2771" i="28"/>
  <c r="M2771" i="28" s="1"/>
  <c r="L2772" i="28"/>
  <c r="M2772" i="28" s="1"/>
  <c r="L2773" i="28"/>
  <c r="M2773" i="28" s="1"/>
  <c r="L2774" i="28"/>
  <c r="M2774" i="28" s="1"/>
  <c r="L2775" i="28"/>
  <c r="M2775" i="28" s="1"/>
  <c r="L2776" i="28"/>
  <c r="M2776" i="28" s="1"/>
  <c r="L2777" i="28"/>
  <c r="M2777" i="28" s="1"/>
  <c r="L2778" i="28"/>
  <c r="M2778" i="28" s="1"/>
  <c r="L2779" i="28"/>
  <c r="M2779" i="28" s="1"/>
  <c r="L2780" i="28"/>
  <c r="M2780" i="28" s="1"/>
  <c r="L2781" i="28"/>
  <c r="M2781" i="28" s="1"/>
  <c r="L2782" i="28"/>
  <c r="M2782" i="28" s="1"/>
  <c r="L2783" i="28"/>
  <c r="M2783" i="28" s="1"/>
  <c r="L2784" i="28"/>
  <c r="M2784" i="28" s="1"/>
  <c r="L2785" i="28"/>
  <c r="M2785" i="28" s="1"/>
  <c r="L2786" i="28"/>
  <c r="M2786" i="28" s="1"/>
  <c r="L2787" i="28"/>
  <c r="M2787" i="28" s="1"/>
  <c r="L2788" i="28"/>
  <c r="M2788" i="28" s="1"/>
  <c r="L2789" i="28"/>
  <c r="M2789" i="28" s="1"/>
  <c r="L2790" i="28"/>
  <c r="M2790" i="28" s="1"/>
  <c r="L2791" i="28"/>
  <c r="M2791" i="28" s="1"/>
  <c r="L2792" i="28"/>
  <c r="M2792" i="28" s="1"/>
  <c r="L2793" i="28"/>
  <c r="M2793" i="28" s="1"/>
  <c r="L2794" i="28"/>
  <c r="M2794" i="28" s="1"/>
  <c r="L2795" i="28"/>
  <c r="M2795" i="28" s="1"/>
  <c r="L2796" i="28"/>
  <c r="M2796" i="28" s="1"/>
  <c r="L2797" i="28"/>
  <c r="M2797" i="28" s="1"/>
  <c r="L2798" i="28"/>
  <c r="M2798" i="28" s="1"/>
  <c r="L2799" i="28"/>
  <c r="M2799" i="28" s="1"/>
  <c r="L2800" i="28"/>
  <c r="M2800" i="28" s="1"/>
  <c r="L2801" i="28"/>
  <c r="M2801" i="28" s="1"/>
  <c r="L2802" i="28"/>
  <c r="M2802" i="28" s="1"/>
  <c r="L2803" i="28"/>
  <c r="M2803" i="28" s="1"/>
  <c r="L2804" i="28"/>
  <c r="M2804" i="28" s="1"/>
  <c r="L2805" i="28"/>
  <c r="M2805" i="28" s="1"/>
  <c r="L2806" i="28"/>
  <c r="M2806" i="28" s="1"/>
  <c r="L2807" i="28"/>
  <c r="M2807" i="28" s="1"/>
  <c r="L2808" i="28"/>
  <c r="M2808" i="28" s="1"/>
  <c r="L2809" i="28"/>
  <c r="M2809" i="28" s="1"/>
  <c r="L2810" i="28"/>
  <c r="M2810" i="28" s="1"/>
  <c r="L2811" i="28"/>
  <c r="M2811" i="28" s="1"/>
  <c r="L2812" i="28"/>
  <c r="M2812" i="28" s="1"/>
  <c r="L2813" i="28"/>
  <c r="M2813" i="28" s="1"/>
  <c r="L2814" i="28"/>
  <c r="M2814" i="28" s="1"/>
  <c r="L2815" i="28"/>
  <c r="M2815" i="28" s="1"/>
  <c r="L2816" i="28"/>
  <c r="M2816" i="28" s="1"/>
  <c r="L2817" i="28"/>
  <c r="M2817" i="28" s="1"/>
  <c r="L2818" i="28"/>
  <c r="M2818" i="28" s="1"/>
  <c r="L2819" i="28"/>
  <c r="M2819" i="28" s="1"/>
  <c r="L2820" i="28"/>
  <c r="M2820" i="28" s="1"/>
  <c r="L2821" i="28"/>
  <c r="M2821" i="28" s="1"/>
  <c r="L2822" i="28"/>
  <c r="M2822" i="28" s="1"/>
  <c r="L2823" i="28"/>
  <c r="M2823" i="28" s="1"/>
  <c r="L2824" i="28"/>
  <c r="M2824" i="28" s="1"/>
  <c r="L2825" i="28"/>
  <c r="M2825" i="28" s="1"/>
  <c r="L2826" i="28"/>
  <c r="M2826" i="28" s="1"/>
  <c r="L2827" i="28"/>
  <c r="M2827" i="28" s="1"/>
  <c r="L2828" i="28"/>
  <c r="M2828" i="28" s="1"/>
  <c r="L2829" i="28"/>
  <c r="M2829" i="28" s="1"/>
  <c r="L2830" i="28"/>
  <c r="M2830" i="28" s="1"/>
  <c r="L2831" i="28"/>
  <c r="M2831" i="28" s="1"/>
  <c r="L2832" i="28"/>
  <c r="M2832" i="28" s="1"/>
  <c r="L2833" i="28"/>
  <c r="M2833" i="28" s="1"/>
  <c r="L2834" i="28"/>
  <c r="M2834" i="28" s="1"/>
  <c r="L2835" i="28"/>
  <c r="M2835" i="28" s="1"/>
  <c r="L2836" i="28"/>
  <c r="M2836" i="28" s="1"/>
  <c r="L2837" i="28"/>
  <c r="M2837" i="28" s="1"/>
  <c r="L2838" i="28"/>
  <c r="M2838" i="28" s="1"/>
  <c r="L2839" i="28"/>
  <c r="M2839" i="28" s="1"/>
  <c r="L2840" i="28"/>
  <c r="M2840" i="28" s="1"/>
  <c r="L2841" i="28"/>
  <c r="M2841" i="28" s="1"/>
  <c r="L2842" i="28"/>
  <c r="M2842" i="28" s="1"/>
  <c r="L2843" i="28"/>
  <c r="M2843" i="28" s="1"/>
  <c r="L2844" i="28"/>
  <c r="M2844" i="28" s="1"/>
  <c r="L2845" i="28"/>
  <c r="M2845" i="28" s="1"/>
  <c r="L2846" i="28"/>
  <c r="M2846" i="28" s="1"/>
  <c r="L2847" i="28"/>
  <c r="M2847" i="28" s="1"/>
  <c r="L2848" i="28"/>
  <c r="M2848" i="28" s="1"/>
  <c r="L2849" i="28"/>
  <c r="M2849" i="28" s="1"/>
  <c r="L2850" i="28"/>
  <c r="M2850" i="28" s="1"/>
  <c r="L2851" i="28"/>
  <c r="M2851" i="28" s="1"/>
  <c r="L2852" i="28"/>
  <c r="M2852" i="28" s="1"/>
  <c r="L2853" i="28"/>
  <c r="M2853" i="28" s="1"/>
  <c r="L2854" i="28"/>
  <c r="M2854" i="28" s="1"/>
  <c r="L2855" i="28"/>
  <c r="M2855" i="28" s="1"/>
  <c r="L2856" i="28"/>
  <c r="M2856" i="28" s="1"/>
  <c r="L2857" i="28"/>
  <c r="M2857" i="28" s="1"/>
  <c r="L2858" i="28"/>
  <c r="M2858" i="28" s="1"/>
  <c r="L2859" i="28"/>
  <c r="M2859" i="28" s="1"/>
  <c r="L2860" i="28"/>
  <c r="M2860" i="28" s="1"/>
  <c r="L2861" i="28"/>
  <c r="M2861" i="28" s="1"/>
  <c r="L2862" i="28"/>
  <c r="M2862" i="28" s="1"/>
  <c r="L2863" i="28"/>
  <c r="M2863" i="28" s="1"/>
  <c r="L2864" i="28"/>
  <c r="M2864" i="28" s="1"/>
  <c r="L2865" i="28"/>
  <c r="M2865" i="28" s="1"/>
  <c r="L2866" i="28"/>
  <c r="M2866" i="28" s="1"/>
  <c r="L2867" i="28"/>
  <c r="M2867" i="28" s="1"/>
  <c r="L2868" i="28"/>
  <c r="M2868" i="28"/>
  <c r="L2869" i="28"/>
  <c r="M2869" i="28" s="1"/>
  <c r="L2870" i="28"/>
  <c r="M2870" i="28" s="1"/>
  <c r="L2871" i="28"/>
  <c r="M2871" i="28" s="1"/>
  <c r="L2872" i="28"/>
  <c r="M2872" i="28" s="1"/>
  <c r="L2873" i="28"/>
  <c r="M2873" i="28" s="1"/>
  <c r="L2874" i="28"/>
  <c r="M2874" i="28" s="1"/>
  <c r="L2875" i="28"/>
  <c r="M2875" i="28" s="1"/>
  <c r="L2876" i="28"/>
  <c r="M2876" i="28" s="1"/>
  <c r="L2877" i="28"/>
  <c r="M2877" i="28" s="1"/>
  <c r="L2878" i="28"/>
  <c r="M2878" i="28" s="1"/>
  <c r="L2879" i="28"/>
  <c r="M2879" i="28" s="1"/>
  <c r="L2880" i="28"/>
  <c r="M2880" i="28" s="1"/>
  <c r="L2881" i="28"/>
  <c r="M2881" i="28" s="1"/>
  <c r="L2882" i="28"/>
  <c r="M2882" i="28" s="1"/>
  <c r="L2883" i="28"/>
  <c r="M2883" i="28" s="1"/>
  <c r="L2884" i="28"/>
  <c r="M2884" i="28" s="1"/>
  <c r="L2885" i="28"/>
  <c r="M2885" i="28" s="1"/>
  <c r="L2886" i="28"/>
  <c r="M2886" i="28" s="1"/>
  <c r="L2887" i="28"/>
  <c r="M2887" i="28" s="1"/>
  <c r="L2888" i="28"/>
  <c r="M2888" i="28" s="1"/>
  <c r="L2889" i="28"/>
  <c r="M2889" i="28" s="1"/>
  <c r="L2890" i="28"/>
  <c r="M2890" i="28" s="1"/>
  <c r="L2891" i="28"/>
  <c r="M2891" i="28" s="1"/>
  <c r="L2892" i="28"/>
  <c r="M2892" i="28" s="1"/>
  <c r="L2893" i="28"/>
  <c r="M2893" i="28" s="1"/>
  <c r="L2894" i="28"/>
  <c r="M2894" i="28" s="1"/>
  <c r="L2895" i="28"/>
  <c r="M2895" i="28" s="1"/>
  <c r="L2896" i="28"/>
  <c r="M2896" i="28" s="1"/>
  <c r="L2897" i="28"/>
  <c r="M2897" i="28" s="1"/>
  <c r="L2898" i="28"/>
  <c r="M2898" i="28" s="1"/>
  <c r="L2899" i="28"/>
  <c r="M2899" i="28" s="1"/>
  <c r="L2900" i="28"/>
  <c r="M2900" i="28" s="1"/>
  <c r="L2901" i="28"/>
  <c r="M2901" i="28" s="1"/>
  <c r="L2902" i="28"/>
  <c r="M2902" i="28" s="1"/>
  <c r="L2903" i="28"/>
  <c r="M2903" i="28" s="1"/>
  <c r="L2904" i="28"/>
  <c r="M2904" i="28" s="1"/>
  <c r="L2905" i="28"/>
  <c r="M2905" i="28" s="1"/>
  <c r="L2906" i="28"/>
  <c r="M2906" i="28" s="1"/>
  <c r="L2907" i="28"/>
  <c r="M2907" i="28" s="1"/>
  <c r="L2908" i="28"/>
  <c r="M2908" i="28" s="1"/>
  <c r="L2909" i="28"/>
  <c r="M2909" i="28" s="1"/>
  <c r="L2910" i="28"/>
  <c r="M2910" i="28" s="1"/>
  <c r="L2911" i="28"/>
  <c r="M2911" i="28" s="1"/>
  <c r="L2912" i="28"/>
  <c r="M2912" i="28" s="1"/>
  <c r="L2913" i="28"/>
  <c r="M2913" i="28" s="1"/>
  <c r="L2914" i="28"/>
  <c r="M2914" i="28" s="1"/>
  <c r="L2915" i="28"/>
  <c r="M2915" i="28" s="1"/>
  <c r="L2916" i="28"/>
  <c r="M2916" i="28" s="1"/>
  <c r="L2917" i="28"/>
  <c r="M2917" i="28" s="1"/>
  <c r="L2918" i="28"/>
  <c r="M2918" i="28" s="1"/>
  <c r="L2919" i="28"/>
  <c r="M2919" i="28" s="1"/>
  <c r="L2920" i="28"/>
  <c r="M2920" i="28" s="1"/>
  <c r="L2921" i="28"/>
  <c r="M2921" i="28" s="1"/>
  <c r="L2922" i="28"/>
  <c r="M2922" i="28" s="1"/>
  <c r="L2923" i="28"/>
  <c r="M2923" i="28" s="1"/>
  <c r="L2924" i="28"/>
  <c r="M2924" i="28" s="1"/>
  <c r="L2925" i="28"/>
  <c r="M2925" i="28" s="1"/>
  <c r="L2926" i="28"/>
  <c r="M2926" i="28" s="1"/>
  <c r="L2927" i="28"/>
  <c r="M2927" i="28" s="1"/>
  <c r="L2928" i="28"/>
  <c r="M2928" i="28" s="1"/>
  <c r="L2929" i="28"/>
  <c r="M2929" i="28" s="1"/>
  <c r="L2930" i="28"/>
  <c r="M2930" i="28" s="1"/>
  <c r="L2931" i="28"/>
  <c r="M2931" i="28" s="1"/>
  <c r="L2932" i="28"/>
  <c r="M2932" i="28" s="1"/>
  <c r="L2933" i="28"/>
  <c r="M2933" i="28" s="1"/>
  <c r="L2934" i="28"/>
  <c r="M2934" i="28" s="1"/>
  <c r="L2935" i="28"/>
  <c r="M2935" i="28" s="1"/>
  <c r="L2936" i="28"/>
  <c r="M2936" i="28" s="1"/>
  <c r="L2937" i="28"/>
  <c r="M2937" i="28" s="1"/>
  <c r="L2938" i="28"/>
  <c r="M2938" i="28" s="1"/>
  <c r="L2939" i="28"/>
  <c r="M2939" i="28" s="1"/>
  <c r="L2940" i="28"/>
  <c r="M2940" i="28" s="1"/>
  <c r="L2941" i="28"/>
  <c r="M2941" i="28" s="1"/>
  <c r="L2942" i="28"/>
  <c r="M2942" i="28" s="1"/>
  <c r="L2943" i="28"/>
  <c r="M2943" i="28" s="1"/>
  <c r="L2944" i="28"/>
  <c r="M2944" i="28" s="1"/>
  <c r="L2945" i="28"/>
  <c r="M2945" i="28" s="1"/>
  <c r="L2946" i="28"/>
  <c r="M2946" i="28" s="1"/>
  <c r="L2947" i="28"/>
  <c r="M2947" i="28" s="1"/>
  <c r="L2948" i="28"/>
  <c r="M2948" i="28" s="1"/>
  <c r="L2949" i="28"/>
  <c r="M2949" i="28" s="1"/>
  <c r="L2950" i="28"/>
  <c r="M2950" i="28" s="1"/>
  <c r="L2951" i="28"/>
  <c r="M2951" i="28" s="1"/>
  <c r="L2952" i="28"/>
  <c r="M2952" i="28" s="1"/>
  <c r="L2953" i="28"/>
  <c r="M2953" i="28" s="1"/>
  <c r="L2954" i="28"/>
  <c r="M2954" i="28" s="1"/>
  <c r="L2955" i="28"/>
  <c r="M2955" i="28" s="1"/>
  <c r="L2956" i="28"/>
  <c r="M2956" i="28" s="1"/>
  <c r="L2957" i="28"/>
  <c r="M2957" i="28" s="1"/>
  <c r="L2958" i="28"/>
  <c r="M2958" i="28" s="1"/>
  <c r="L2959" i="28"/>
  <c r="M2959" i="28" s="1"/>
  <c r="L2960" i="28"/>
  <c r="M2960" i="28" s="1"/>
  <c r="L2961" i="28"/>
  <c r="M2961" i="28" s="1"/>
  <c r="L2962" i="28"/>
  <c r="M2962" i="28" s="1"/>
  <c r="L2963" i="28"/>
  <c r="M2963" i="28" s="1"/>
  <c r="L2964" i="28"/>
  <c r="M2964" i="28" s="1"/>
  <c r="L2965" i="28"/>
  <c r="M2965" i="28" s="1"/>
  <c r="L2966" i="28"/>
  <c r="M2966" i="28" s="1"/>
  <c r="L2967" i="28"/>
  <c r="M2967" i="28" s="1"/>
  <c r="L2968" i="28"/>
  <c r="M2968" i="28" s="1"/>
  <c r="L2969" i="28"/>
  <c r="M2969" i="28" s="1"/>
  <c r="L2970" i="28"/>
  <c r="M2970" i="28" s="1"/>
  <c r="L2971" i="28"/>
  <c r="M2971" i="28" s="1"/>
  <c r="L2972" i="28"/>
  <c r="M2972" i="28" s="1"/>
  <c r="L2973" i="28"/>
  <c r="M2973" i="28" s="1"/>
  <c r="L2974" i="28"/>
  <c r="M2974" i="28" s="1"/>
  <c r="L2975" i="28"/>
  <c r="M2975" i="28" s="1"/>
  <c r="L2976" i="28"/>
  <c r="M2976" i="28" s="1"/>
  <c r="L2977" i="28"/>
  <c r="M2977" i="28" s="1"/>
  <c r="L2978" i="28"/>
  <c r="M2978" i="28" s="1"/>
  <c r="L2979" i="28"/>
  <c r="M2979" i="28" s="1"/>
  <c r="L2980" i="28"/>
  <c r="M2980" i="28" s="1"/>
  <c r="L2981" i="28"/>
  <c r="M2981" i="28" s="1"/>
  <c r="L2982" i="28"/>
  <c r="M2982" i="28" s="1"/>
  <c r="L2983" i="28"/>
  <c r="M2983" i="28" s="1"/>
  <c r="L2984" i="28"/>
  <c r="M2984" i="28" s="1"/>
  <c r="L2985" i="28"/>
  <c r="M2985" i="28" s="1"/>
  <c r="L2986" i="28"/>
  <c r="M2986" i="28" s="1"/>
  <c r="L2987" i="28"/>
  <c r="M2987" i="28" s="1"/>
  <c r="L2988" i="28"/>
  <c r="M2988" i="28" s="1"/>
  <c r="L2989" i="28"/>
  <c r="M2989" i="28" s="1"/>
  <c r="L2990" i="28"/>
  <c r="M2990" i="28" s="1"/>
  <c r="L2991" i="28"/>
  <c r="M2991" i="28" s="1"/>
  <c r="L2992" i="28"/>
  <c r="M2992" i="28" s="1"/>
  <c r="L2993" i="28"/>
  <c r="M2993" i="28" s="1"/>
  <c r="L2994" i="28"/>
  <c r="M2994" i="28" s="1"/>
  <c r="L2995" i="28"/>
  <c r="M2995" i="28" s="1"/>
  <c r="L2996" i="28"/>
  <c r="M2996" i="28" s="1"/>
  <c r="L2997" i="28"/>
  <c r="M2997" i="28" s="1"/>
  <c r="L2998" i="28"/>
  <c r="M2998" i="28" s="1"/>
  <c r="L2999" i="28"/>
  <c r="M2999" i="28" s="1"/>
  <c r="L3000" i="28"/>
  <c r="M3000" i="28" s="1"/>
  <c r="L3001" i="28"/>
  <c r="M3001" i="28" s="1"/>
  <c r="L3002" i="28"/>
  <c r="M3002" i="28" s="1"/>
  <c r="L3003" i="28"/>
  <c r="M3003" i="28" s="1"/>
  <c r="L3004" i="28"/>
  <c r="M3004" i="28" s="1"/>
  <c r="L3005" i="28"/>
  <c r="M3005" i="28" s="1"/>
  <c r="L3006" i="28"/>
  <c r="M3006" i="28" s="1"/>
  <c r="L7" i="28"/>
  <c r="L8" i="28"/>
  <c r="M8" i="28" s="1"/>
  <c r="L9" i="28"/>
  <c r="M9" i="28" s="1"/>
  <c r="L10" i="28"/>
  <c r="M10" i="28" s="1"/>
  <c r="L11" i="28"/>
  <c r="M11" i="28" s="1"/>
  <c r="L12" i="28"/>
  <c r="M12" i="28" s="1"/>
  <c r="L13" i="28"/>
  <c r="M13" i="28" s="1"/>
  <c r="L14" i="28"/>
  <c r="M14" i="28" s="1"/>
  <c r="L15" i="28"/>
  <c r="M15" i="28" s="1"/>
  <c r="L16" i="28"/>
  <c r="M16" i="28" s="1"/>
  <c r="L17" i="28"/>
  <c r="M17" i="28" s="1"/>
  <c r="L18" i="28"/>
  <c r="M18" i="28" s="1"/>
  <c r="L19" i="28"/>
  <c r="M19" i="28" s="1"/>
  <c r="L20" i="28"/>
  <c r="M20" i="28" s="1"/>
  <c r="L21" i="28"/>
  <c r="M21" i="28" s="1"/>
  <c r="L22" i="28"/>
  <c r="M22" i="28" s="1"/>
  <c r="L23" i="28"/>
  <c r="M23" i="28" s="1"/>
  <c r="L24" i="28"/>
  <c r="M24" i="28" s="1"/>
  <c r="L25" i="28"/>
  <c r="M25" i="28" s="1"/>
  <c r="L26" i="28"/>
  <c r="M26" i="28" s="1"/>
  <c r="L27" i="28"/>
  <c r="M27" i="28" s="1"/>
  <c r="L28" i="28"/>
  <c r="M28" i="28" s="1"/>
  <c r="L29" i="28"/>
  <c r="M29" i="28" s="1"/>
  <c r="L30" i="28"/>
  <c r="M30" i="28" s="1"/>
  <c r="L31" i="28"/>
  <c r="M31" i="28" s="1"/>
  <c r="L32" i="28"/>
  <c r="M32" i="28" s="1"/>
  <c r="L33" i="28"/>
  <c r="M33" i="28" s="1"/>
  <c r="L34" i="28"/>
  <c r="M34" i="28" s="1"/>
  <c r="L35" i="28"/>
  <c r="M35" i="28" s="1"/>
  <c r="L36" i="28"/>
  <c r="M36" i="28" s="1"/>
  <c r="L37" i="28"/>
  <c r="M37" i="28" s="1"/>
  <c r="L38" i="28"/>
  <c r="M38" i="28" s="1"/>
  <c r="L39" i="28"/>
  <c r="M39" i="28" s="1"/>
  <c r="L40" i="28"/>
  <c r="M40" i="28" s="1"/>
  <c r="L41" i="28"/>
  <c r="M41" i="28" s="1"/>
  <c r="L42" i="28"/>
  <c r="M42" i="28" s="1"/>
  <c r="L43" i="28"/>
  <c r="M43" i="28" s="1"/>
  <c r="L44" i="28"/>
  <c r="M44" i="28" s="1"/>
  <c r="L45" i="28"/>
  <c r="M45" i="28" s="1"/>
  <c r="L46" i="28"/>
  <c r="M46" i="28" s="1"/>
  <c r="L47" i="28"/>
  <c r="M47" i="28" s="1"/>
  <c r="L48" i="28"/>
  <c r="M48" i="28" s="1"/>
  <c r="L49" i="28"/>
  <c r="M49" i="28" s="1"/>
  <c r="L50" i="28"/>
  <c r="M50" i="28" s="1"/>
  <c r="L51" i="28"/>
  <c r="M51" i="28" s="1"/>
  <c r="L52" i="28"/>
  <c r="M52" i="28" s="1"/>
  <c r="L53" i="28"/>
  <c r="M53" i="28" s="1"/>
  <c r="L54" i="28"/>
  <c r="M54" i="28" s="1"/>
  <c r="L55" i="28"/>
  <c r="M55" i="28" s="1"/>
  <c r="L56" i="28"/>
  <c r="M56" i="28" s="1"/>
  <c r="L57" i="28"/>
  <c r="M57" i="28" s="1"/>
  <c r="L58" i="28"/>
  <c r="M58" i="28" s="1"/>
  <c r="L59" i="28"/>
  <c r="M59" i="28" s="1"/>
  <c r="L60" i="28"/>
  <c r="M60" i="28" s="1"/>
  <c r="L61" i="28"/>
  <c r="M61" i="28" s="1"/>
  <c r="L62" i="28"/>
  <c r="M62" i="28" s="1"/>
  <c r="L63" i="28"/>
  <c r="M63" i="28" s="1"/>
  <c r="L64" i="28"/>
  <c r="M64" i="28" s="1"/>
  <c r="L65" i="28"/>
  <c r="M65" i="28" s="1"/>
  <c r="L66" i="28"/>
  <c r="M66" i="28" s="1"/>
  <c r="L67" i="28"/>
  <c r="M67" i="28" s="1"/>
  <c r="L68" i="28"/>
  <c r="M68" i="28" s="1"/>
  <c r="L69" i="28"/>
  <c r="M69" i="28" s="1"/>
  <c r="L70" i="28"/>
  <c r="M70" i="28" s="1"/>
  <c r="L71" i="28"/>
  <c r="M71" i="28" s="1"/>
  <c r="L72" i="28"/>
  <c r="M72" i="28" s="1"/>
  <c r="L73" i="28"/>
  <c r="M73" i="28" s="1"/>
  <c r="L74" i="28"/>
  <c r="M74" i="28" s="1"/>
  <c r="L75" i="28"/>
  <c r="M75" i="28" s="1"/>
  <c r="L76" i="28"/>
  <c r="M76" i="28" s="1"/>
  <c r="L77" i="28"/>
  <c r="M77" i="28" s="1"/>
  <c r="L78" i="28"/>
  <c r="M78" i="28" s="1"/>
  <c r="L79" i="28"/>
  <c r="M79" i="28" s="1"/>
  <c r="L80" i="28"/>
  <c r="M80" i="28" s="1"/>
  <c r="L81" i="28"/>
  <c r="M81" i="28" s="1"/>
  <c r="L82" i="28"/>
  <c r="M82" i="28" s="1"/>
  <c r="L83" i="28"/>
  <c r="M83" i="28" s="1"/>
  <c r="L84" i="28"/>
  <c r="M84" i="28" s="1"/>
  <c r="L85" i="28"/>
  <c r="M85" i="28" s="1"/>
  <c r="L86" i="28"/>
  <c r="M86" i="28" s="1"/>
  <c r="L87" i="28"/>
  <c r="M87" i="28" s="1"/>
  <c r="L88" i="28"/>
  <c r="M88" i="28" s="1"/>
  <c r="L89" i="28"/>
  <c r="M89" i="28" s="1"/>
  <c r="L90" i="28"/>
  <c r="M90" i="28" s="1"/>
  <c r="L91" i="28"/>
  <c r="M91" i="28" s="1"/>
  <c r="L92" i="28"/>
  <c r="M92" i="28" s="1"/>
  <c r="L93" i="28"/>
  <c r="M93" i="28" s="1"/>
  <c r="L94" i="28"/>
  <c r="M94" i="28" s="1"/>
  <c r="L95" i="28"/>
  <c r="M95" i="28" s="1"/>
  <c r="L96" i="28"/>
  <c r="M96" i="28" s="1"/>
  <c r="L97" i="28"/>
  <c r="M97" i="28" s="1"/>
  <c r="L98" i="28"/>
  <c r="M98" i="28" s="1"/>
  <c r="L99" i="28"/>
  <c r="M99" i="28" s="1"/>
  <c r="L100" i="28"/>
  <c r="M100" i="28" s="1"/>
  <c r="L101" i="28"/>
  <c r="M101" i="28" s="1"/>
  <c r="L102" i="28"/>
  <c r="M102" i="28" s="1"/>
  <c r="L103" i="28"/>
  <c r="M103" i="28" s="1"/>
  <c r="L104" i="28"/>
  <c r="M104" i="28" s="1"/>
  <c r="L105" i="28"/>
  <c r="M105" i="28" s="1"/>
  <c r="L106" i="28"/>
  <c r="M106" i="28" s="1"/>
  <c r="L107" i="28"/>
  <c r="M107" i="28" s="1"/>
  <c r="L108" i="28"/>
  <c r="M108" i="28" s="1"/>
  <c r="L109" i="28"/>
  <c r="M109" i="28" s="1"/>
  <c r="L110" i="28"/>
  <c r="M110" i="28" s="1"/>
  <c r="L111" i="28"/>
  <c r="M111" i="28" s="1"/>
  <c r="L112" i="28"/>
  <c r="M112" i="28" s="1"/>
  <c r="L113" i="28"/>
  <c r="M113" i="28" s="1"/>
  <c r="L114" i="28"/>
  <c r="M114" i="28" s="1"/>
  <c r="L115" i="28"/>
  <c r="M115" i="28" s="1"/>
  <c r="L116" i="28"/>
  <c r="M116" i="28" s="1"/>
  <c r="L117" i="28"/>
  <c r="M117" i="28" s="1"/>
  <c r="L118" i="28"/>
  <c r="M118" i="28" s="1"/>
  <c r="L119" i="28"/>
  <c r="M119" i="28" s="1"/>
  <c r="L120" i="28"/>
  <c r="M120" i="28" s="1"/>
  <c r="L121" i="28"/>
  <c r="M121" i="28" s="1"/>
  <c r="L122" i="28"/>
  <c r="M122" i="28" s="1"/>
  <c r="L123" i="28"/>
  <c r="M123" i="28" s="1"/>
  <c r="L124" i="28"/>
  <c r="M124" i="28" s="1"/>
  <c r="L125" i="28"/>
  <c r="M125" i="28" s="1"/>
  <c r="L126" i="28"/>
  <c r="M126" i="28" s="1"/>
  <c r="L127" i="28"/>
  <c r="M127" i="28" s="1"/>
  <c r="L128" i="28"/>
  <c r="M128" i="28" s="1"/>
  <c r="L129" i="28"/>
  <c r="M129" i="28" s="1"/>
  <c r="L130" i="28"/>
  <c r="M130" i="28" s="1"/>
  <c r="L131" i="28"/>
  <c r="M131" i="28" s="1"/>
  <c r="L132" i="28"/>
  <c r="M132" i="28" s="1"/>
  <c r="L133" i="28"/>
  <c r="M133" i="28" s="1"/>
  <c r="L134" i="28"/>
  <c r="M134" i="28" s="1"/>
  <c r="L135" i="28"/>
  <c r="M135" i="28" s="1"/>
  <c r="L136" i="28"/>
  <c r="M136" i="28" s="1"/>
  <c r="L137" i="28"/>
  <c r="M137" i="28" s="1"/>
  <c r="L138" i="28"/>
  <c r="M138" i="28" s="1"/>
  <c r="L139" i="28"/>
  <c r="M139" i="28" s="1"/>
  <c r="L140" i="28"/>
  <c r="M140" i="28" s="1"/>
  <c r="L141" i="28"/>
  <c r="M141" i="28" s="1"/>
  <c r="L142" i="28"/>
  <c r="M142" i="28" s="1"/>
  <c r="L143" i="28"/>
  <c r="M143" i="28" s="1"/>
  <c r="L144" i="28"/>
  <c r="M144" i="28" s="1"/>
  <c r="L145" i="28"/>
  <c r="M145" i="28" s="1"/>
  <c r="L146" i="28"/>
  <c r="M146" i="28" s="1"/>
  <c r="L147" i="28"/>
  <c r="M147" i="28" s="1"/>
  <c r="L148" i="28"/>
  <c r="M148" i="28" s="1"/>
  <c r="L149" i="28"/>
  <c r="M149" i="28" s="1"/>
  <c r="L150" i="28"/>
  <c r="M150" i="28" s="1"/>
  <c r="L151" i="28"/>
  <c r="M151" i="28" s="1"/>
  <c r="L152" i="28"/>
  <c r="M152" i="28" s="1"/>
  <c r="L153" i="28"/>
  <c r="M153" i="28" s="1"/>
  <c r="L154" i="28"/>
  <c r="M154" i="28" s="1"/>
  <c r="L155" i="28"/>
  <c r="M155" i="28" s="1"/>
  <c r="L156" i="28"/>
  <c r="M156" i="28" s="1"/>
  <c r="L157" i="28"/>
  <c r="M157" i="28" s="1"/>
  <c r="L158" i="28"/>
  <c r="M158" i="28" s="1"/>
  <c r="L159" i="28"/>
  <c r="M159" i="28" s="1"/>
  <c r="L160" i="28"/>
  <c r="M160" i="28" s="1"/>
  <c r="L161" i="28"/>
  <c r="M161" i="28" s="1"/>
  <c r="L162" i="28"/>
  <c r="M162" i="28" s="1"/>
  <c r="L163" i="28"/>
  <c r="M163" i="28" s="1"/>
  <c r="L164" i="28"/>
  <c r="M164" i="28" s="1"/>
  <c r="L165" i="28"/>
  <c r="M165" i="28" s="1"/>
  <c r="L166" i="28"/>
  <c r="M166" i="28" s="1"/>
  <c r="L167" i="28"/>
  <c r="M167" i="28" s="1"/>
  <c r="L168" i="28"/>
  <c r="M168" i="28" s="1"/>
  <c r="L169" i="28"/>
  <c r="M169" i="28" s="1"/>
  <c r="L170" i="28"/>
  <c r="M170" i="28" s="1"/>
  <c r="L171" i="28"/>
  <c r="M171" i="28" s="1"/>
  <c r="L172" i="28"/>
  <c r="M172" i="28" s="1"/>
  <c r="L173" i="28"/>
  <c r="M173" i="28" s="1"/>
  <c r="L174" i="28"/>
  <c r="M174" i="28" s="1"/>
  <c r="L175" i="28"/>
  <c r="M175" i="28" s="1"/>
  <c r="L176" i="28"/>
  <c r="M176" i="28" s="1"/>
  <c r="L177" i="28"/>
  <c r="M177" i="28" s="1"/>
  <c r="L178" i="28"/>
  <c r="M178" i="28" s="1"/>
  <c r="L179" i="28"/>
  <c r="M179" i="28" s="1"/>
  <c r="L180" i="28"/>
  <c r="M180" i="28" s="1"/>
  <c r="L181" i="28"/>
  <c r="M181" i="28" s="1"/>
  <c r="L182" i="28"/>
  <c r="M182" i="28" s="1"/>
  <c r="L183" i="28"/>
  <c r="M183" i="28" s="1"/>
  <c r="L184" i="28"/>
  <c r="M184" i="28" s="1"/>
  <c r="L185" i="28"/>
  <c r="M185" i="28" s="1"/>
  <c r="L186" i="28"/>
  <c r="M186" i="28" s="1"/>
  <c r="L187" i="28"/>
  <c r="M187" i="28" s="1"/>
  <c r="L188" i="28"/>
  <c r="M188" i="28" s="1"/>
  <c r="L189" i="28"/>
  <c r="M189" i="28" s="1"/>
  <c r="L190" i="28"/>
  <c r="M190" i="28" s="1"/>
  <c r="L191" i="28"/>
  <c r="M191" i="28" s="1"/>
  <c r="L192" i="28"/>
  <c r="M192" i="28" s="1"/>
  <c r="L193" i="28"/>
  <c r="M193" i="28" s="1"/>
  <c r="L194" i="28"/>
  <c r="M194" i="28" s="1"/>
  <c r="L195" i="28"/>
  <c r="M195" i="28" s="1"/>
  <c r="L196" i="28"/>
  <c r="M196" i="28" s="1"/>
  <c r="L197" i="28"/>
  <c r="M197" i="28" s="1"/>
  <c r="L198" i="28"/>
  <c r="M198" i="28" s="1"/>
  <c r="L199" i="28"/>
  <c r="M199" i="28" s="1"/>
  <c r="L200" i="28"/>
  <c r="M200" i="28" s="1"/>
  <c r="L201" i="28"/>
  <c r="M201" i="28" s="1"/>
  <c r="L202" i="28"/>
  <c r="M202" i="28" s="1"/>
  <c r="L203" i="28"/>
  <c r="M203" i="28" s="1"/>
  <c r="L204" i="28"/>
  <c r="M204" i="28" s="1"/>
  <c r="L205" i="28"/>
  <c r="M205" i="28" s="1"/>
  <c r="L206" i="28"/>
  <c r="M206" i="28" s="1"/>
  <c r="L207" i="28"/>
  <c r="M207" i="28" s="1"/>
  <c r="L208" i="28"/>
  <c r="M208" i="28" s="1"/>
  <c r="L209" i="28"/>
  <c r="M209" i="28" s="1"/>
  <c r="L210" i="28"/>
  <c r="M210" i="28" s="1"/>
  <c r="L211" i="28"/>
  <c r="M211" i="28" s="1"/>
  <c r="L212" i="28"/>
  <c r="M212" i="28" s="1"/>
  <c r="L213" i="28"/>
  <c r="M213" i="28" s="1"/>
  <c r="L214" i="28"/>
  <c r="M214" i="28" s="1"/>
  <c r="L215" i="28"/>
  <c r="M215" i="28" s="1"/>
  <c r="L216" i="28"/>
  <c r="M216" i="28" s="1"/>
  <c r="L217" i="28"/>
  <c r="M217" i="28" s="1"/>
  <c r="L218" i="28"/>
  <c r="M218" i="28" s="1"/>
  <c r="L219" i="28"/>
  <c r="M219" i="28" s="1"/>
  <c r="L220" i="28"/>
  <c r="M220" i="28" s="1"/>
  <c r="L221" i="28"/>
  <c r="M221" i="28" s="1"/>
  <c r="L222" i="28"/>
  <c r="M222" i="28" s="1"/>
  <c r="L223" i="28"/>
  <c r="M223" i="28" s="1"/>
  <c r="L224" i="28"/>
  <c r="M224" i="28" s="1"/>
  <c r="L225" i="28"/>
  <c r="M225" i="28" s="1"/>
  <c r="L226" i="28"/>
  <c r="M226" i="28" s="1"/>
  <c r="L227" i="28"/>
  <c r="M227" i="28" s="1"/>
  <c r="L228" i="28"/>
  <c r="M228" i="28" s="1"/>
  <c r="L229" i="28"/>
  <c r="M229" i="28" s="1"/>
  <c r="L230" i="28"/>
  <c r="M230" i="28" s="1"/>
  <c r="L231" i="28"/>
  <c r="M231" i="28" s="1"/>
  <c r="L232" i="28"/>
  <c r="M232" i="28" s="1"/>
  <c r="L233" i="28"/>
  <c r="M233" i="28" s="1"/>
  <c r="L234" i="28"/>
  <c r="M234" i="28" s="1"/>
  <c r="L235" i="28"/>
  <c r="M235" i="28" s="1"/>
  <c r="L236" i="28"/>
  <c r="M236" i="28" s="1"/>
  <c r="L237" i="28"/>
  <c r="M237" i="28" s="1"/>
  <c r="L238" i="28"/>
  <c r="M238" i="28" s="1"/>
  <c r="L239" i="28"/>
  <c r="M239" i="28" s="1"/>
  <c r="L240" i="28"/>
  <c r="M240" i="28" s="1"/>
  <c r="L241" i="28"/>
  <c r="M241" i="28" s="1"/>
  <c r="L242" i="28"/>
  <c r="M242" i="28" s="1"/>
  <c r="L243" i="28"/>
  <c r="M243" i="28" s="1"/>
  <c r="L244" i="28"/>
  <c r="M244" i="28" s="1"/>
  <c r="L245" i="28"/>
  <c r="M245" i="28" s="1"/>
  <c r="L246" i="28"/>
  <c r="M246" i="28" s="1"/>
  <c r="L247" i="28"/>
  <c r="M247" i="28" s="1"/>
  <c r="L248" i="28"/>
  <c r="M248" i="28" s="1"/>
  <c r="L249" i="28"/>
  <c r="M249" i="28" s="1"/>
  <c r="L250" i="28"/>
  <c r="M250" i="28" s="1"/>
  <c r="L251" i="28"/>
  <c r="M251" i="28" s="1"/>
  <c r="L252" i="28"/>
  <c r="M252" i="28" s="1"/>
  <c r="L253" i="28"/>
  <c r="M253" i="28" s="1"/>
  <c r="L254" i="28"/>
  <c r="M254" i="28" s="1"/>
  <c r="L255" i="28"/>
  <c r="M255" i="28" s="1"/>
  <c r="L256" i="28"/>
  <c r="M256" i="28" s="1"/>
  <c r="L257" i="28"/>
  <c r="M257" i="28" s="1"/>
  <c r="L258" i="28"/>
  <c r="M258" i="28" s="1"/>
  <c r="L259" i="28"/>
  <c r="M259" i="28" s="1"/>
  <c r="L260" i="28"/>
  <c r="M260" i="28" s="1"/>
  <c r="L261" i="28"/>
  <c r="M261" i="28" s="1"/>
  <c r="L262" i="28"/>
  <c r="M262" i="28" s="1"/>
  <c r="L263" i="28"/>
  <c r="M263" i="28" s="1"/>
  <c r="L264" i="28"/>
  <c r="M264" i="28" s="1"/>
  <c r="L265" i="28"/>
  <c r="M265" i="28" s="1"/>
  <c r="L266" i="28"/>
  <c r="M266" i="28" s="1"/>
  <c r="L267" i="28"/>
  <c r="M267" i="28" s="1"/>
  <c r="L268" i="28"/>
  <c r="M268" i="28" s="1"/>
  <c r="L269" i="28"/>
  <c r="M269" i="28" s="1"/>
  <c r="L270" i="28"/>
  <c r="M270" i="28" s="1"/>
  <c r="L271" i="28"/>
  <c r="M271" i="28" s="1"/>
  <c r="L272" i="28"/>
  <c r="M272" i="28" s="1"/>
  <c r="L273" i="28"/>
  <c r="M273" i="28" s="1"/>
  <c r="L274" i="28"/>
  <c r="M274" i="28" s="1"/>
  <c r="L275" i="28"/>
  <c r="M275" i="28" s="1"/>
  <c r="L276" i="28"/>
  <c r="M276" i="28" s="1"/>
  <c r="L277" i="28"/>
  <c r="M277" i="28" s="1"/>
  <c r="L278" i="28"/>
  <c r="M278" i="28" s="1"/>
  <c r="L279" i="28"/>
  <c r="M279" i="28" s="1"/>
  <c r="L280" i="28"/>
  <c r="M280" i="28" s="1"/>
  <c r="L281" i="28"/>
  <c r="M281" i="28" s="1"/>
  <c r="L282" i="28"/>
  <c r="M282" i="28" s="1"/>
  <c r="L283" i="28"/>
  <c r="M283" i="28" s="1"/>
  <c r="L284" i="28"/>
  <c r="M284" i="28" s="1"/>
  <c r="L285" i="28"/>
  <c r="M285" i="28" s="1"/>
  <c r="L286" i="28"/>
  <c r="M286" i="28" s="1"/>
  <c r="L287" i="28"/>
  <c r="M287" i="28" s="1"/>
  <c r="L288" i="28"/>
  <c r="M288" i="28" s="1"/>
  <c r="L289" i="28"/>
  <c r="M289" i="28" s="1"/>
  <c r="L290" i="28"/>
  <c r="M290" i="28" s="1"/>
  <c r="L291" i="28"/>
  <c r="M291" i="28" s="1"/>
  <c r="L292" i="28"/>
  <c r="M292" i="28" s="1"/>
  <c r="L293" i="28"/>
  <c r="M293" i="28" s="1"/>
  <c r="L294" i="28"/>
  <c r="M294" i="28" s="1"/>
  <c r="L295" i="28"/>
  <c r="M295" i="28" s="1"/>
  <c r="L296" i="28"/>
  <c r="M296" i="28" s="1"/>
  <c r="L297" i="28"/>
  <c r="M297" i="28" s="1"/>
  <c r="L298" i="28"/>
  <c r="M298" i="28" s="1"/>
  <c r="L299" i="28"/>
  <c r="M299" i="28" s="1"/>
  <c r="L300" i="28"/>
  <c r="M300" i="28" s="1"/>
  <c r="L301" i="28"/>
  <c r="M301" i="28" s="1"/>
  <c r="L302" i="28"/>
  <c r="M302" i="28" s="1"/>
  <c r="L303" i="28"/>
  <c r="M303" i="28" s="1"/>
  <c r="L304" i="28"/>
  <c r="M304" i="28" s="1"/>
  <c r="L305" i="28"/>
  <c r="M305" i="28" s="1"/>
  <c r="L306" i="28"/>
  <c r="M306" i="28" s="1"/>
  <c r="L307" i="28"/>
  <c r="M307" i="28" s="1"/>
  <c r="L308" i="28"/>
  <c r="M308" i="28" s="1"/>
  <c r="L309" i="28"/>
  <c r="M309" i="28" s="1"/>
  <c r="L310" i="28"/>
  <c r="M310" i="28" s="1"/>
  <c r="L311" i="28"/>
  <c r="M311" i="28" s="1"/>
  <c r="L312" i="28"/>
  <c r="M312" i="28" s="1"/>
  <c r="L313" i="28"/>
  <c r="M313" i="28" s="1"/>
  <c r="L314" i="28"/>
  <c r="M314" i="28" s="1"/>
  <c r="L315" i="28"/>
  <c r="M315" i="28" s="1"/>
  <c r="L316" i="28"/>
  <c r="M316" i="28" s="1"/>
  <c r="L317" i="28"/>
  <c r="M317" i="28" s="1"/>
  <c r="L318" i="28"/>
  <c r="M318" i="28" s="1"/>
  <c r="L319" i="28"/>
  <c r="M319" i="28" s="1"/>
  <c r="L320" i="28"/>
  <c r="M320" i="28" s="1"/>
  <c r="L321" i="28"/>
  <c r="M321" i="28" s="1"/>
  <c r="L322" i="28"/>
  <c r="M322" i="28" s="1"/>
  <c r="L323" i="28"/>
  <c r="M323" i="28" s="1"/>
  <c r="L324" i="28"/>
  <c r="M324" i="28" s="1"/>
  <c r="L325" i="28"/>
  <c r="M325" i="28" s="1"/>
  <c r="L326" i="28"/>
  <c r="M326" i="28" s="1"/>
  <c r="L327" i="28"/>
  <c r="M327" i="28" s="1"/>
  <c r="L328" i="28"/>
  <c r="M328" i="28" s="1"/>
  <c r="L329" i="28"/>
  <c r="M329" i="28" s="1"/>
  <c r="L330" i="28"/>
  <c r="M330" i="28" s="1"/>
  <c r="L331" i="28"/>
  <c r="M331" i="28" s="1"/>
  <c r="L332" i="28"/>
  <c r="M332" i="28" s="1"/>
  <c r="L333" i="28"/>
  <c r="M333" i="28" s="1"/>
  <c r="L334" i="28"/>
  <c r="M334" i="28" s="1"/>
  <c r="L335" i="28"/>
  <c r="M335" i="28" s="1"/>
  <c r="L336" i="28"/>
  <c r="M336" i="28" s="1"/>
  <c r="L337" i="28"/>
  <c r="M337" i="28" s="1"/>
  <c r="L338" i="28"/>
  <c r="M338" i="28" s="1"/>
  <c r="L339" i="28"/>
  <c r="M339" i="28" s="1"/>
  <c r="L340" i="28"/>
  <c r="M340" i="28" s="1"/>
  <c r="L341" i="28"/>
  <c r="M341" i="28" s="1"/>
  <c r="L342" i="28"/>
  <c r="M342" i="28" s="1"/>
  <c r="L343" i="28"/>
  <c r="M343" i="28" s="1"/>
  <c r="L344" i="28"/>
  <c r="M344" i="28" s="1"/>
  <c r="L345" i="28"/>
  <c r="M345" i="28" s="1"/>
  <c r="L346" i="28"/>
  <c r="M346" i="28" s="1"/>
  <c r="L347" i="28"/>
  <c r="M347" i="28" s="1"/>
  <c r="L348" i="28"/>
  <c r="M348" i="28" s="1"/>
  <c r="L349" i="28"/>
  <c r="M349" i="28" s="1"/>
  <c r="L350" i="28"/>
  <c r="M350" i="28" s="1"/>
  <c r="L351" i="28"/>
  <c r="M351" i="28" s="1"/>
  <c r="L352" i="28"/>
  <c r="M352" i="28" s="1"/>
  <c r="L353" i="28"/>
  <c r="M353" i="28" s="1"/>
  <c r="L354" i="28"/>
  <c r="M354" i="28" s="1"/>
  <c r="L355" i="28"/>
  <c r="M355" i="28" s="1"/>
  <c r="L356" i="28"/>
  <c r="M356" i="28" s="1"/>
  <c r="L357" i="28"/>
  <c r="M357" i="28" s="1"/>
  <c r="L358" i="28"/>
  <c r="M358" i="28" s="1"/>
  <c r="L359" i="28"/>
  <c r="L360" i="28"/>
  <c r="M360" i="28" s="1"/>
  <c r="L361" i="28"/>
  <c r="M361" i="28" s="1"/>
  <c r="L362" i="28"/>
  <c r="M362" i="28" s="1"/>
  <c r="L363" i="28"/>
  <c r="M363" i="28" s="1"/>
  <c r="L364" i="28"/>
  <c r="M364" i="28" s="1"/>
  <c r="L365" i="28"/>
  <c r="M365" i="28" s="1"/>
  <c r="L366" i="28"/>
  <c r="M366" i="28" s="1"/>
  <c r="L367" i="28"/>
  <c r="M367" i="28" s="1"/>
  <c r="L368" i="28"/>
  <c r="M368" i="28" s="1"/>
  <c r="L369" i="28"/>
  <c r="M369" i="28" s="1"/>
  <c r="L370" i="28"/>
  <c r="M370" i="28" s="1"/>
  <c r="L371" i="28"/>
  <c r="M371" i="28" s="1"/>
  <c r="L372" i="28"/>
  <c r="M372" i="28" s="1"/>
  <c r="L373" i="28"/>
  <c r="M373" i="28" s="1"/>
  <c r="L374" i="28"/>
  <c r="M374" i="28" s="1"/>
  <c r="L375" i="28"/>
  <c r="M375" i="28" s="1"/>
  <c r="L376" i="28"/>
  <c r="M376" i="28" s="1"/>
  <c r="L377" i="28"/>
  <c r="M377" i="28" s="1"/>
  <c r="L378" i="28"/>
  <c r="M378" i="28" s="1"/>
  <c r="L379" i="28"/>
  <c r="M379" i="28" s="1"/>
  <c r="L380" i="28"/>
  <c r="M380" i="28" s="1"/>
  <c r="L381" i="28"/>
  <c r="M381" i="28" s="1"/>
  <c r="L382" i="28"/>
  <c r="M382" i="28" s="1"/>
  <c r="L383" i="28"/>
  <c r="M383" i="28" s="1"/>
  <c r="L384" i="28"/>
  <c r="M384" i="28" s="1"/>
  <c r="L385" i="28"/>
  <c r="M385" i="28" s="1"/>
  <c r="L386" i="28"/>
  <c r="M386" i="28" s="1"/>
  <c r="L387" i="28"/>
  <c r="M387" i="28" s="1"/>
  <c r="L388" i="28"/>
  <c r="M388" i="28" s="1"/>
  <c r="L389" i="28"/>
  <c r="M389" i="28" s="1"/>
  <c r="L390" i="28"/>
  <c r="M390" i="28" s="1"/>
  <c r="L391" i="28"/>
  <c r="M391" i="28" s="1"/>
  <c r="L392" i="28"/>
  <c r="M392" i="28" s="1"/>
  <c r="L393" i="28"/>
  <c r="M393" i="28" s="1"/>
  <c r="L394" i="28"/>
  <c r="M394" i="28" s="1"/>
  <c r="L395" i="28"/>
  <c r="M395" i="28" s="1"/>
  <c r="L396" i="28"/>
  <c r="M396" i="28" s="1"/>
  <c r="L397" i="28"/>
  <c r="M397" i="28" s="1"/>
  <c r="L398" i="28"/>
  <c r="M398" i="28" s="1"/>
  <c r="L399" i="28"/>
  <c r="M399" i="28" s="1"/>
  <c r="L400" i="28"/>
  <c r="M400" i="28" s="1"/>
  <c r="L401" i="28"/>
  <c r="M401" i="28" s="1"/>
  <c r="L402" i="28"/>
  <c r="M402" i="28" s="1"/>
  <c r="L403" i="28"/>
  <c r="M403" i="28" s="1"/>
  <c r="L404" i="28"/>
  <c r="M404" i="28" s="1"/>
  <c r="L405" i="28"/>
  <c r="M405" i="28" s="1"/>
  <c r="L406" i="28"/>
  <c r="M406" i="28" s="1"/>
  <c r="L407" i="28"/>
  <c r="M407" i="28" s="1"/>
  <c r="L408" i="28"/>
  <c r="M408" i="28" s="1"/>
  <c r="L409" i="28"/>
  <c r="M409" i="28" s="1"/>
  <c r="L410" i="28"/>
  <c r="M410" i="28" s="1"/>
  <c r="L411" i="28"/>
  <c r="M411" i="28" s="1"/>
  <c r="L412" i="28"/>
  <c r="M412" i="28" s="1"/>
  <c r="L413" i="28"/>
  <c r="M413" i="28" s="1"/>
  <c r="L414" i="28"/>
  <c r="M414" i="28" s="1"/>
  <c r="L415" i="28"/>
  <c r="M415" i="28" s="1"/>
  <c r="L416" i="28"/>
  <c r="M416" i="28" s="1"/>
  <c r="L417" i="28"/>
  <c r="M417" i="28" s="1"/>
  <c r="L418" i="28"/>
  <c r="M418" i="28" s="1"/>
  <c r="L419" i="28"/>
  <c r="M419" i="28" s="1"/>
  <c r="L420" i="28"/>
  <c r="M420" i="28" s="1"/>
  <c r="L421" i="28"/>
  <c r="M421" i="28" s="1"/>
  <c r="L422" i="28"/>
  <c r="M422" i="28" s="1"/>
  <c r="L423" i="28"/>
  <c r="M423" i="28" s="1"/>
  <c r="L424" i="28"/>
  <c r="M424" i="28" s="1"/>
  <c r="L425" i="28"/>
  <c r="M425" i="28" s="1"/>
  <c r="L426" i="28"/>
  <c r="M426" i="28" s="1"/>
  <c r="L427" i="28"/>
  <c r="M427" i="28" s="1"/>
  <c r="L428" i="28"/>
  <c r="M428" i="28" s="1"/>
  <c r="L429" i="28"/>
  <c r="M429" i="28" s="1"/>
  <c r="L430" i="28"/>
  <c r="M430" i="28" s="1"/>
  <c r="L431" i="28"/>
  <c r="M431" i="28" s="1"/>
  <c r="L432" i="28"/>
  <c r="M432" i="28" s="1"/>
  <c r="L433" i="28"/>
  <c r="M433" i="28" s="1"/>
  <c r="L434" i="28"/>
  <c r="M434" i="28" s="1"/>
  <c r="L435" i="28"/>
  <c r="M435" i="28" s="1"/>
  <c r="L436" i="28"/>
  <c r="M436" i="28" s="1"/>
  <c r="L437" i="28"/>
  <c r="M437" i="28" s="1"/>
  <c r="L438" i="28"/>
  <c r="M438" i="28" s="1"/>
  <c r="L439" i="28"/>
  <c r="M439" i="28" s="1"/>
  <c r="L440" i="28"/>
  <c r="M440" i="28" s="1"/>
  <c r="L441" i="28"/>
  <c r="M441" i="28" s="1"/>
  <c r="L442" i="28"/>
  <c r="M442" i="28" s="1"/>
  <c r="L443" i="28"/>
  <c r="M443" i="28" s="1"/>
  <c r="L444" i="28"/>
  <c r="M444" i="28" s="1"/>
  <c r="L445" i="28"/>
  <c r="M445" i="28" s="1"/>
  <c r="L446" i="28"/>
  <c r="M446" i="28" s="1"/>
  <c r="L447" i="28"/>
  <c r="M447" i="28" s="1"/>
  <c r="L448" i="28"/>
  <c r="M448" i="28" s="1"/>
  <c r="L449" i="28"/>
  <c r="M449" i="28" s="1"/>
  <c r="L450" i="28"/>
  <c r="M450" i="28" s="1"/>
  <c r="L451" i="28"/>
  <c r="M451" i="28" s="1"/>
  <c r="L452" i="28"/>
  <c r="M452" i="28" s="1"/>
  <c r="L453" i="28"/>
  <c r="M453" i="28" s="1"/>
  <c r="L454" i="28"/>
  <c r="M454" i="28" s="1"/>
  <c r="L455" i="28"/>
  <c r="M455" i="28" s="1"/>
  <c r="L456" i="28"/>
  <c r="M456" i="28" s="1"/>
  <c r="L457" i="28"/>
  <c r="M457" i="28" s="1"/>
  <c r="L458" i="28"/>
  <c r="M458" i="28" s="1"/>
  <c r="L459" i="28"/>
  <c r="M459" i="28" s="1"/>
  <c r="L460" i="28"/>
  <c r="M460" i="28" s="1"/>
  <c r="L461" i="28"/>
  <c r="M461" i="28" s="1"/>
  <c r="L462" i="28"/>
  <c r="M462" i="28" s="1"/>
  <c r="L463" i="28"/>
  <c r="M463" i="28" s="1"/>
  <c r="L464" i="28"/>
  <c r="M464" i="28" s="1"/>
  <c r="L465" i="28"/>
  <c r="M465" i="28" s="1"/>
  <c r="L466" i="28"/>
  <c r="M466" i="28" s="1"/>
  <c r="L467" i="28"/>
  <c r="M467" i="28" s="1"/>
  <c r="L468" i="28"/>
  <c r="M468" i="28" s="1"/>
  <c r="L469" i="28"/>
  <c r="M469" i="28" s="1"/>
  <c r="L470" i="28"/>
  <c r="M470" i="28" s="1"/>
  <c r="L471" i="28"/>
  <c r="M471" i="28" s="1"/>
  <c r="L472" i="28"/>
  <c r="M472" i="28" s="1"/>
  <c r="L473" i="28"/>
  <c r="M473" i="28" s="1"/>
  <c r="L474" i="28"/>
  <c r="M474" i="28" s="1"/>
  <c r="L475" i="28"/>
  <c r="M475" i="28" s="1"/>
  <c r="L476" i="28"/>
  <c r="M476" i="28" s="1"/>
  <c r="L477" i="28"/>
  <c r="M477" i="28" s="1"/>
  <c r="L478" i="28"/>
  <c r="M478" i="28" s="1"/>
  <c r="L479" i="28"/>
  <c r="M479" i="28" s="1"/>
  <c r="L480" i="28"/>
  <c r="M480" i="28" s="1"/>
  <c r="L481" i="28"/>
  <c r="M481" i="28" s="1"/>
  <c r="L482" i="28"/>
  <c r="M482" i="28" s="1"/>
  <c r="L483" i="28"/>
  <c r="M483" i="28" s="1"/>
  <c r="L484" i="28"/>
  <c r="M484" i="28" s="1"/>
  <c r="L485" i="28"/>
  <c r="M485" i="28" s="1"/>
  <c r="L486" i="28"/>
  <c r="M486" i="28" s="1"/>
  <c r="L487" i="28"/>
  <c r="M487" i="28" s="1"/>
  <c r="L488" i="28"/>
  <c r="M488" i="28" s="1"/>
  <c r="L489" i="28"/>
  <c r="M489" i="28" s="1"/>
  <c r="L490" i="28"/>
  <c r="M490" i="28" s="1"/>
  <c r="L491" i="28"/>
  <c r="M491" i="28" s="1"/>
  <c r="L492" i="28"/>
  <c r="M492" i="28" s="1"/>
  <c r="L493" i="28"/>
  <c r="M493" i="28" s="1"/>
  <c r="L494" i="28"/>
  <c r="M494" i="28" s="1"/>
  <c r="L495" i="28"/>
  <c r="M495" i="28" s="1"/>
  <c r="L496" i="28"/>
  <c r="M496" i="28" s="1"/>
  <c r="L497" i="28"/>
  <c r="M497" i="28" s="1"/>
  <c r="L498" i="28"/>
  <c r="M498" i="28" s="1"/>
  <c r="L499" i="28"/>
  <c r="M499" i="28" s="1"/>
  <c r="L500" i="28"/>
  <c r="M500" i="28" s="1"/>
  <c r="L501" i="28"/>
  <c r="M501" i="28" s="1"/>
  <c r="L502" i="28"/>
  <c r="M502" i="28" s="1"/>
  <c r="L503" i="28"/>
  <c r="M503" i="28" s="1"/>
  <c r="L504" i="28"/>
  <c r="M504" i="28" s="1"/>
  <c r="L505" i="28"/>
  <c r="M505" i="28" s="1"/>
  <c r="L506" i="28"/>
  <c r="M506" i="28" s="1"/>
  <c r="L507" i="28"/>
  <c r="M507" i="28" s="1"/>
  <c r="L508" i="28"/>
  <c r="M508" i="28" s="1"/>
  <c r="L509" i="28"/>
  <c r="M509" i="28" s="1"/>
  <c r="L510" i="28"/>
  <c r="M510" i="28" s="1"/>
  <c r="L511" i="28"/>
  <c r="M511" i="28" s="1"/>
  <c r="L512" i="28"/>
  <c r="M512" i="28" s="1"/>
  <c r="L513" i="28"/>
  <c r="M513" i="28" s="1"/>
  <c r="L514" i="28"/>
  <c r="M514" i="28" s="1"/>
  <c r="L515" i="28"/>
  <c r="M515" i="28" s="1"/>
  <c r="L516" i="28"/>
  <c r="M516" i="28" s="1"/>
  <c r="L517" i="28"/>
  <c r="M517" i="28" s="1"/>
  <c r="L518" i="28"/>
  <c r="M518" i="28" s="1"/>
  <c r="L519" i="28"/>
  <c r="M519" i="28" s="1"/>
  <c r="L520" i="28"/>
  <c r="M520" i="28" s="1"/>
  <c r="L521" i="28"/>
  <c r="M521" i="28" s="1"/>
  <c r="L522" i="28"/>
  <c r="M522" i="28" s="1"/>
  <c r="L523" i="28"/>
  <c r="M523" i="28" s="1"/>
  <c r="L524" i="28"/>
  <c r="M524" i="28" s="1"/>
  <c r="L525" i="28"/>
  <c r="M525" i="28" s="1"/>
  <c r="L526" i="28"/>
  <c r="M526" i="28" s="1"/>
  <c r="L527" i="28"/>
  <c r="M527" i="28" s="1"/>
  <c r="L528" i="28"/>
  <c r="M528" i="28" s="1"/>
  <c r="L529" i="28"/>
  <c r="M529" i="28" s="1"/>
  <c r="L530" i="28"/>
  <c r="M530" i="28" s="1"/>
  <c r="L531" i="28"/>
  <c r="M531" i="28" s="1"/>
  <c r="L532" i="28"/>
  <c r="M532" i="28" s="1"/>
  <c r="L533" i="28"/>
  <c r="M533" i="28" s="1"/>
  <c r="L534" i="28"/>
  <c r="M534" i="28" s="1"/>
  <c r="L535" i="28"/>
  <c r="M535" i="28" s="1"/>
  <c r="L536" i="28"/>
  <c r="M536" i="28" s="1"/>
  <c r="L537" i="28"/>
  <c r="M537" i="28" s="1"/>
  <c r="L538" i="28"/>
  <c r="M538" i="28" s="1"/>
  <c r="L539" i="28"/>
  <c r="M539" i="28" s="1"/>
  <c r="L540" i="28"/>
  <c r="M540" i="28" s="1"/>
  <c r="L541" i="28"/>
  <c r="M541" i="28" s="1"/>
  <c r="L542" i="28"/>
  <c r="M542" i="28" s="1"/>
  <c r="L543" i="28"/>
  <c r="M543" i="28" s="1"/>
  <c r="L544" i="28"/>
  <c r="M544" i="28" s="1"/>
  <c r="L545" i="28"/>
  <c r="M545" i="28" s="1"/>
  <c r="L546" i="28"/>
  <c r="M546" i="28" s="1"/>
  <c r="L547" i="28"/>
  <c r="M547" i="28" s="1"/>
  <c r="L548" i="28"/>
  <c r="M548" i="28" s="1"/>
  <c r="L549" i="28"/>
  <c r="M549" i="28" s="1"/>
  <c r="L550" i="28"/>
  <c r="M550" i="28" s="1"/>
  <c r="L551" i="28"/>
  <c r="M551" i="28" s="1"/>
  <c r="L552" i="28"/>
  <c r="M552" i="28" s="1"/>
  <c r="L553" i="28"/>
  <c r="M553" i="28" s="1"/>
  <c r="L554" i="28"/>
  <c r="M554" i="28" s="1"/>
  <c r="L555" i="28"/>
  <c r="M555" i="28" s="1"/>
  <c r="L556" i="28"/>
  <c r="M556" i="28" s="1"/>
  <c r="L557" i="28"/>
  <c r="M557" i="28" s="1"/>
  <c r="L558" i="28"/>
  <c r="M558" i="28" s="1"/>
  <c r="L559" i="28"/>
  <c r="M559" i="28" s="1"/>
  <c r="L560" i="28"/>
  <c r="M560" i="28" s="1"/>
  <c r="L561" i="28"/>
  <c r="M561" i="28" s="1"/>
  <c r="L562" i="28"/>
  <c r="M562" i="28" s="1"/>
  <c r="L563" i="28"/>
  <c r="M563" i="28" s="1"/>
  <c r="L564" i="28"/>
  <c r="M564" i="28" s="1"/>
  <c r="L565" i="28"/>
  <c r="M565" i="28" s="1"/>
  <c r="L566" i="28"/>
  <c r="M566" i="28" s="1"/>
  <c r="L567" i="28"/>
  <c r="M567" i="28" s="1"/>
  <c r="L568" i="28"/>
  <c r="M568" i="28" s="1"/>
  <c r="L569" i="28"/>
  <c r="M569" i="28" s="1"/>
  <c r="L570" i="28"/>
  <c r="M570" i="28" s="1"/>
  <c r="L571" i="28"/>
  <c r="M571" i="28" s="1"/>
  <c r="L572" i="28"/>
  <c r="M572" i="28" s="1"/>
  <c r="L573" i="28"/>
  <c r="M573" i="28" s="1"/>
  <c r="L574" i="28"/>
  <c r="M574" i="28" s="1"/>
  <c r="L575" i="28"/>
  <c r="M575" i="28" s="1"/>
  <c r="L576" i="28"/>
  <c r="M576" i="28" s="1"/>
  <c r="L577" i="28"/>
  <c r="M577" i="28" s="1"/>
  <c r="L578" i="28"/>
  <c r="M578" i="28" s="1"/>
  <c r="L579" i="28"/>
  <c r="M579" i="28" s="1"/>
  <c r="L580" i="28"/>
  <c r="M580" i="28" s="1"/>
  <c r="L581" i="28"/>
  <c r="M581" i="28" s="1"/>
  <c r="L582" i="28"/>
  <c r="M582" i="28" s="1"/>
  <c r="L583" i="28"/>
  <c r="M583" i="28" s="1"/>
  <c r="L584" i="28"/>
  <c r="M584" i="28" s="1"/>
  <c r="L585" i="28"/>
  <c r="M585" i="28" s="1"/>
  <c r="L586" i="28"/>
  <c r="M586" i="28" s="1"/>
  <c r="L587" i="28"/>
  <c r="M587" i="28" s="1"/>
  <c r="L588" i="28"/>
  <c r="M588" i="28" s="1"/>
  <c r="L589" i="28"/>
  <c r="M589" i="28" s="1"/>
  <c r="L590" i="28"/>
  <c r="M590" i="28" s="1"/>
  <c r="L591" i="28"/>
  <c r="M591" i="28" s="1"/>
  <c r="L592" i="28"/>
  <c r="M592" i="28" s="1"/>
  <c r="L593" i="28"/>
  <c r="M593" i="28" s="1"/>
  <c r="L594" i="28"/>
  <c r="M594" i="28" s="1"/>
  <c r="L595" i="28"/>
  <c r="M595" i="28" s="1"/>
  <c r="L596" i="28"/>
  <c r="M596" i="28" s="1"/>
  <c r="L597" i="28"/>
  <c r="M597" i="28" s="1"/>
  <c r="L598" i="28"/>
  <c r="M598" i="28" s="1"/>
  <c r="L599" i="28"/>
  <c r="M599" i="28" s="1"/>
  <c r="L600" i="28"/>
  <c r="M600" i="28" s="1"/>
  <c r="L601" i="28"/>
  <c r="M601" i="28" s="1"/>
  <c r="L602" i="28"/>
  <c r="M602" i="28" s="1"/>
  <c r="L603" i="28"/>
  <c r="M603" i="28" s="1"/>
  <c r="L604" i="28"/>
  <c r="M604" i="28" s="1"/>
  <c r="L605" i="28"/>
  <c r="M605" i="28" s="1"/>
  <c r="L606" i="28"/>
  <c r="M606" i="28" s="1"/>
  <c r="L607" i="28"/>
  <c r="M607" i="28" s="1"/>
  <c r="L608" i="28"/>
  <c r="M608" i="28" s="1"/>
  <c r="L609" i="28"/>
  <c r="M609" i="28" s="1"/>
  <c r="L610" i="28"/>
  <c r="M610" i="28" s="1"/>
  <c r="L611" i="28"/>
  <c r="M611" i="28" s="1"/>
  <c r="L612" i="28"/>
  <c r="M612" i="28" s="1"/>
  <c r="L613" i="28"/>
  <c r="M613" i="28" s="1"/>
  <c r="L614" i="28"/>
  <c r="M614" i="28" s="1"/>
  <c r="L615" i="28"/>
  <c r="M615" i="28" s="1"/>
  <c r="L616" i="28"/>
  <c r="M616" i="28" s="1"/>
  <c r="L617" i="28"/>
  <c r="M617" i="28" s="1"/>
  <c r="L618" i="28"/>
  <c r="M618" i="28" s="1"/>
  <c r="L619" i="28"/>
  <c r="M619" i="28" s="1"/>
  <c r="L620" i="28"/>
  <c r="M620" i="28" s="1"/>
  <c r="L621" i="28"/>
  <c r="M621" i="28" s="1"/>
  <c r="L622" i="28"/>
  <c r="M622" i="28" s="1"/>
  <c r="L623" i="28"/>
  <c r="M623" i="28" s="1"/>
  <c r="L624" i="28"/>
  <c r="M624" i="28" s="1"/>
  <c r="L625" i="28"/>
  <c r="M625" i="28" s="1"/>
  <c r="L626" i="28"/>
  <c r="M626" i="28" s="1"/>
  <c r="L627" i="28"/>
  <c r="M627" i="28" s="1"/>
  <c r="L628" i="28"/>
  <c r="M628" i="28" s="1"/>
  <c r="L629" i="28"/>
  <c r="M629" i="28" s="1"/>
  <c r="L630" i="28"/>
  <c r="M630" i="28" s="1"/>
  <c r="L631" i="28"/>
  <c r="M631" i="28" s="1"/>
  <c r="L632" i="28"/>
  <c r="M632" i="28" s="1"/>
  <c r="L633" i="28"/>
  <c r="M633" i="28" s="1"/>
  <c r="L634" i="28"/>
  <c r="M634" i="28" s="1"/>
  <c r="L635" i="28"/>
  <c r="M635" i="28" s="1"/>
  <c r="L636" i="28"/>
  <c r="M636" i="28" s="1"/>
  <c r="L637" i="28"/>
  <c r="M637" i="28" s="1"/>
  <c r="L638" i="28"/>
  <c r="M638" i="28" s="1"/>
  <c r="L639" i="28"/>
  <c r="M639" i="28" s="1"/>
  <c r="L640" i="28"/>
  <c r="M640" i="28" s="1"/>
  <c r="L641" i="28"/>
  <c r="M641" i="28" s="1"/>
  <c r="L642" i="28"/>
  <c r="M642" i="28" s="1"/>
  <c r="L643" i="28"/>
  <c r="M643" i="28" s="1"/>
  <c r="L644" i="28"/>
  <c r="M644" i="28" s="1"/>
  <c r="L645" i="28"/>
  <c r="M645" i="28" s="1"/>
  <c r="L646" i="28"/>
  <c r="M646" i="28" s="1"/>
  <c r="L647" i="28"/>
  <c r="M647" i="28" s="1"/>
  <c r="L648" i="28"/>
  <c r="M648" i="28" s="1"/>
  <c r="L649" i="28"/>
  <c r="M649" i="28" s="1"/>
  <c r="L650" i="28"/>
  <c r="L651" i="28"/>
  <c r="M651" i="28" s="1"/>
  <c r="L652" i="28"/>
  <c r="M652" i="28" s="1"/>
  <c r="L653" i="28"/>
  <c r="M653" i="28" s="1"/>
  <c r="L654" i="28"/>
  <c r="M654" i="28" s="1"/>
  <c r="L655" i="28"/>
  <c r="M655" i="28" s="1"/>
  <c r="L656" i="28"/>
  <c r="M656" i="28" s="1"/>
  <c r="L657" i="28"/>
  <c r="M657" i="28" s="1"/>
  <c r="L658" i="28"/>
  <c r="M658" i="28" s="1"/>
  <c r="L659" i="28"/>
  <c r="M659" i="28" s="1"/>
  <c r="L660" i="28"/>
  <c r="M660" i="28" s="1"/>
  <c r="L661" i="28"/>
  <c r="M661" i="28" s="1"/>
  <c r="L662" i="28"/>
  <c r="M662" i="28" s="1"/>
  <c r="L663" i="28"/>
  <c r="M663" i="28" s="1"/>
  <c r="L664" i="28"/>
  <c r="M664" i="28" s="1"/>
  <c r="L665" i="28"/>
  <c r="M665" i="28" s="1"/>
  <c r="L666" i="28"/>
  <c r="M666" i="28" s="1"/>
  <c r="L667" i="28"/>
  <c r="M667" i="28" s="1"/>
  <c r="L668" i="28"/>
  <c r="M668" i="28" s="1"/>
  <c r="L669" i="28"/>
  <c r="M669" i="28" s="1"/>
  <c r="L670" i="28"/>
  <c r="M670" i="28" s="1"/>
  <c r="L671" i="28"/>
  <c r="M671" i="28" s="1"/>
  <c r="L672" i="28"/>
  <c r="M672" i="28" s="1"/>
  <c r="L673" i="28"/>
  <c r="M673" i="28" s="1"/>
  <c r="L674" i="28"/>
  <c r="M674" i="28" s="1"/>
  <c r="L675" i="28"/>
  <c r="M675" i="28" s="1"/>
  <c r="L676" i="28"/>
  <c r="M676" i="28" s="1"/>
  <c r="L677" i="28"/>
  <c r="M677" i="28" s="1"/>
  <c r="L678" i="28"/>
  <c r="M678" i="28" s="1"/>
  <c r="L679" i="28"/>
  <c r="M679" i="28" s="1"/>
  <c r="L680" i="28"/>
  <c r="M680" i="28" s="1"/>
  <c r="L681" i="28"/>
  <c r="M681" i="28" s="1"/>
  <c r="L682" i="28"/>
  <c r="M682" i="28" s="1"/>
  <c r="L683" i="28"/>
  <c r="M683" i="28" s="1"/>
  <c r="L684" i="28"/>
  <c r="M684" i="28" s="1"/>
  <c r="L685" i="28"/>
  <c r="M685" i="28" s="1"/>
  <c r="L686" i="28"/>
  <c r="M686" i="28" s="1"/>
  <c r="L687" i="28"/>
  <c r="M687" i="28" s="1"/>
  <c r="L688" i="28"/>
  <c r="M688" i="28" s="1"/>
  <c r="L689" i="28"/>
  <c r="M689" i="28" s="1"/>
  <c r="L690" i="28"/>
  <c r="M690" i="28" s="1"/>
  <c r="L691" i="28"/>
  <c r="M691" i="28" s="1"/>
  <c r="L692" i="28"/>
  <c r="M692" i="28" s="1"/>
  <c r="L693" i="28"/>
  <c r="M693" i="28" s="1"/>
  <c r="L694" i="28"/>
  <c r="M694" i="28" s="1"/>
  <c r="L695" i="28"/>
  <c r="M695" i="28" s="1"/>
  <c r="L696" i="28"/>
  <c r="M696" i="28" s="1"/>
  <c r="L697" i="28"/>
  <c r="M697" i="28" s="1"/>
  <c r="L698" i="28"/>
  <c r="M698" i="28" s="1"/>
  <c r="L699" i="28"/>
  <c r="M699" i="28" s="1"/>
  <c r="L700" i="28"/>
  <c r="M700" i="28" s="1"/>
  <c r="L701" i="28"/>
  <c r="M701" i="28" s="1"/>
  <c r="L702" i="28"/>
  <c r="M702" i="28" s="1"/>
  <c r="L703" i="28"/>
  <c r="M703" i="28" s="1"/>
  <c r="L704" i="28"/>
  <c r="M704" i="28" s="1"/>
  <c r="L705" i="28"/>
  <c r="M705" i="28" s="1"/>
  <c r="L706" i="28"/>
  <c r="M706" i="28" s="1"/>
  <c r="L707" i="28"/>
  <c r="M707" i="28" s="1"/>
  <c r="L708" i="28"/>
  <c r="M708" i="28" s="1"/>
  <c r="L709" i="28"/>
  <c r="M709" i="28" s="1"/>
  <c r="L710" i="28"/>
  <c r="M710" i="28" s="1"/>
  <c r="L711" i="28"/>
  <c r="M711" i="28" s="1"/>
  <c r="L712" i="28"/>
  <c r="M712" i="28" s="1"/>
  <c r="L713" i="28"/>
  <c r="M713" i="28" s="1"/>
  <c r="L714" i="28"/>
  <c r="M714" i="28" s="1"/>
  <c r="L715" i="28"/>
  <c r="M715" i="28" s="1"/>
  <c r="L716" i="28"/>
  <c r="M716" i="28" s="1"/>
  <c r="L717" i="28"/>
  <c r="M717" i="28" s="1"/>
  <c r="L718" i="28"/>
  <c r="M718" i="28" s="1"/>
  <c r="L719" i="28"/>
  <c r="M719" i="28" s="1"/>
  <c r="L720" i="28"/>
  <c r="M720" i="28" s="1"/>
  <c r="L721" i="28"/>
  <c r="M721" i="28" s="1"/>
  <c r="L722" i="28"/>
  <c r="M722" i="28" s="1"/>
  <c r="L723" i="28"/>
  <c r="M723" i="28" s="1"/>
  <c r="L724" i="28"/>
  <c r="M724" i="28" s="1"/>
  <c r="L725" i="28"/>
  <c r="M725" i="28" s="1"/>
  <c r="L726" i="28"/>
  <c r="M726" i="28" s="1"/>
  <c r="L727" i="28"/>
  <c r="M727" i="28" s="1"/>
  <c r="L728" i="28"/>
  <c r="M728" i="28" s="1"/>
  <c r="L729" i="28"/>
  <c r="M729" i="28" s="1"/>
  <c r="L730" i="28"/>
  <c r="M730" i="28" s="1"/>
  <c r="L731" i="28"/>
  <c r="M731" i="28" s="1"/>
  <c r="L732" i="28"/>
  <c r="M732" i="28" s="1"/>
  <c r="L733" i="28"/>
  <c r="M733" i="28" s="1"/>
  <c r="L734" i="28"/>
  <c r="M734" i="28" s="1"/>
  <c r="L735" i="28"/>
  <c r="M735" i="28" s="1"/>
  <c r="L736" i="28"/>
  <c r="M736" i="28" s="1"/>
  <c r="L737" i="28"/>
  <c r="M737" i="28" s="1"/>
  <c r="L738" i="28"/>
  <c r="M738" i="28" s="1"/>
  <c r="L739" i="28"/>
  <c r="M739" i="28" s="1"/>
  <c r="L740" i="28"/>
  <c r="M740" i="28" s="1"/>
  <c r="L741" i="28"/>
  <c r="M741" i="28" s="1"/>
  <c r="L742" i="28"/>
  <c r="M742" i="28" s="1"/>
  <c r="L743" i="28"/>
  <c r="M743" i="28" s="1"/>
  <c r="L744" i="28"/>
  <c r="M744" i="28" s="1"/>
  <c r="L745" i="28"/>
  <c r="M745" i="28" s="1"/>
  <c r="L746" i="28"/>
  <c r="M746" i="28" s="1"/>
  <c r="L747" i="28"/>
  <c r="M747" i="28" s="1"/>
  <c r="L748" i="28"/>
  <c r="M748" i="28" s="1"/>
  <c r="L749" i="28"/>
  <c r="M749" i="28" s="1"/>
  <c r="L750" i="28"/>
  <c r="M750" i="28" s="1"/>
  <c r="L751" i="28"/>
  <c r="M751" i="28" s="1"/>
  <c r="L752" i="28"/>
  <c r="M752" i="28" s="1"/>
  <c r="L753" i="28"/>
  <c r="M753" i="28" s="1"/>
  <c r="L754" i="28"/>
  <c r="M754" i="28" s="1"/>
  <c r="L755" i="28"/>
  <c r="M755" i="28" s="1"/>
  <c r="L756" i="28"/>
  <c r="M756" i="28" s="1"/>
  <c r="L757" i="28"/>
  <c r="M757" i="28" s="1"/>
  <c r="L758" i="28"/>
  <c r="M758" i="28" s="1"/>
  <c r="L759" i="28"/>
  <c r="M759" i="28" s="1"/>
  <c r="L760" i="28"/>
  <c r="M760" i="28" s="1"/>
  <c r="L761" i="28"/>
  <c r="M761" i="28" s="1"/>
  <c r="L762" i="28"/>
  <c r="M762" i="28" s="1"/>
  <c r="L763" i="28"/>
  <c r="M763" i="28" s="1"/>
  <c r="L764" i="28"/>
  <c r="M764" i="28" s="1"/>
  <c r="L765" i="28"/>
  <c r="M765" i="28" s="1"/>
  <c r="L766" i="28"/>
  <c r="M766" i="28" s="1"/>
  <c r="L767" i="28"/>
  <c r="M767" i="28" s="1"/>
  <c r="L768" i="28"/>
  <c r="M768" i="28" s="1"/>
  <c r="L769" i="28"/>
  <c r="M769" i="28" s="1"/>
  <c r="L770" i="28"/>
  <c r="M770" i="28" s="1"/>
  <c r="L771" i="28"/>
  <c r="M771" i="28" s="1"/>
  <c r="L772" i="28"/>
  <c r="M772" i="28" s="1"/>
  <c r="L773" i="28"/>
  <c r="M773" i="28" s="1"/>
  <c r="L774" i="28"/>
  <c r="M774" i="28" s="1"/>
  <c r="L775" i="28"/>
  <c r="M775" i="28" s="1"/>
  <c r="L776" i="28"/>
  <c r="M776" i="28" s="1"/>
  <c r="L777" i="28"/>
  <c r="M777" i="28" s="1"/>
  <c r="L778" i="28"/>
  <c r="M778" i="28" s="1"/>
  <c r="L779" i="28"/>
  <c r="M779" i="28" s="1"/>
  <c r="L780" i="28"/>
  <c r="M780" i="28" s="1"/>
  <c r="L781" i="28"/>
  <c r="M781" i="28" s="1"/>
  <c r="L782" i="28"/>
  <c r="M782" i="28" s="1"/>
  <c r="L783" i="28"/>
  <c r="M783" i="28" s="1"/>
  <c r="L784" i="28"/>
  <c r="M784" i="28" s="1"/>
  <c r="L785" i="28"/>
  <c r="M785" i="28" s="1"/>
  <c r="L786" i="28"/>
  <c r="M786" i="28" s="1"/>
  <c r="L787" i="28"/>
  <c r="M787" i="28" s="1"/>
  <c r="L788" i="28"/>
  <c r="M788" i="28" s="1"/>
  <c r="L789" i="28"/>
  <c r="M789" i="28" s="1"/>
  <c r="L790" i="28"/>
  <c r="M790" i="28" s="1"/>
  <c r="L791" i="28"/>
  <c r="M791" i="28" s="1"/>
  <c r="L792" i="28"/>
  <c r="M792" i="28" s="1"/>
  <c r="L793" i="28"/>
  <c r="M793" i="28" s="1"/>
  <c r="L794" i="28"/>
  <c r="M794" i="28" s="1"/>
  <c r="L795" i="28"/>
  <c r="M795" i="28" s="1"/>
  <c r="L796" i="28"/>
  <c r="M796" i="28" s="1"/>
  <c r="L797" i="28"/>
  <c r="M797" i="28" s="1"/>
  <c r="L798" i="28"/>
  <c r="M798" i="28" s="1"/>
  <c r="L799" i="28"/>
  <c r="M799" i="28" s="1"/>
  <c r="L800" i="28"/>
  <c r="M800" i="28" s="1"/>
  <c r="L801" i="28"/>
  <c r="M801" i="28" s="1"/>
  <c r="L802" i="28"/>
  <c r="M802" i="28" s="1"/>
  <c r="L803" i="28"/>
  <c r="M803" i="28" s="1"/>
  <c r="L804" i="28"/>
  <c r="M804" i="28" s="1"/>
  <c r="L805" i="28"/>
  <c r="M805" i="28" s="1"/>
  <c r="L806" i="28"/>
  <c r="M806" i="28" s="1"/>
  <c r="L807" i="28"/>
  <c r="M807" i="28" s="1"/>
  <c r="L808" i="28"/>
  <c r="M808" i="28" s="1"/>
  <c r="L809" i="28"/>
  <c r="M809" i="28" s="1"/>
  <c r="L810" i="28"/>
  <c r="M810" i="28" s="1"/>
  <c r="L811" i="28"/>
  <c r="M811" i="28" s="1"/>
  <c r="L812" i="28"/>
  <c r="M812" i="28" s="1"/>
  <c r="L813" i="28"/>
  <c r="M813" i="28" s="1"/>
  <c r="L814" i="28"/>
  <c r="M814" i="28" s="1"/>
  <c r="L815" i="28"/>
  <c r="M815" i="28" s="1"/>
  <c r="L816" i="28"/>
  <c r="M816" i="28" s="1"/>
  <c r="L817" i="28"/>
  <c r="M817" i="28" s="1"/>
  <c r="L818" i="28"/>
  <c r="M818" i="28" s="1"/>
  <c r="L819" i="28"/>
  <c r="M819" i="28" s="1"/>
  <c r="L820" i="28"/>
  <c r="M820" i="28" s="1"/>
  <c r="L821" i="28"/>
  <c r="M821" i="28" s="1"/>
  <c r="L822" i="28"/>
  <c r="M822" i="28" s="1"/>
  <c r="L823" i="28"/>
  <c r="M823" i="28" s="1"/>
  <c r="L824" i="28"/>
  <c r="M824" i="28" s="1"/>
  <c r="L825" i="28"/>
  <c r="M825" i="28" s="1"/>
  <c r="L826" i="28"/>
  <c r="M826" i="28" s="1"/>
  <c r="L827" i="28"/>
  <c r="M827" i="28" s="1"/>
  <c r="L828" i="28"/>
  <c r="M828" i="28" s="1"/>
  <c r="L829" i="28"/>
  <c r="M829" i="28" s="1"/>
  <c r="L830" i="28"/>
  <c r="M830" i="28" s="1"/>
  <c r="L831" i="28"/>
  <c r="M831" i="28" s="1"/>
  <c r="L832" i="28"/>
  <c r="M832" i="28" s="1"/>
  <c r="L833" i="28"/>
  <c r="M833" i="28" s="1"/>
  <c r="L834" i="28"/>
  <c r="M834" i="28" s="1"/>
  <c r="L835" i="28"/>
  <c r="M835" i="28" s="1"/>
  <c r="L836" i="28"/>
  <c r="M836" i="28" s="1"/>
  <c r="L837" i="28"/>
  <c r="M837" i="28" s="1"/>
  <c r="L838" i="28"/>
  <c r="M838" i="28" s="1"/>
  <c r="L839" i="28"/>
  <c r="M839" i="28" s="1"/>
  <c r="L840" i="28"/>
  <c r="M840" i="28" s="1"/>
  <c r="L841" i="28"/>
  <c r="M841" i="28" s="1"/>
  <c r="L842" i="28"/>
  <c r="M842" i="28" s="1"/>
  <c r="L843" i="28"/>
  <c r="M843" i="28" s="1"/>
  <c r="L844" i="28"/>
  <c r="M844" i="28" s="1"/>
  <c r="L845" i="28"/>
  <c r="M845" i="28" s="1"/>
  <c r="L846" i="28"/>
  <c r="M846" i="28" s="1"/>
  <c r="L847" i="28"/>
  <c r="M847" i="28" s="1"/>
  <c r="L848" i="28"/>
  <c r="M848" i="28" s="1"/>
  <c r="L849" i="28"/>
  <c r="M849" i="28" s="1"/>
  <c r="L850" i="28"/>
  <c r="M850" i="28" s="1"/>
  <c r="L851" i="28"/>
  <c r="M851" i="28" s="1"/>
  <c r="L852" i="28"/>
  <c r="M852" i="28" s="1"/>
  <c r="L853" i="28"/>
  <c r="M853" i="28" s="1"/>
  <c r="L854" i="28"/>
  <c r="M854" i="28" s="1"/>
  <c r="L855" i="28"/>
  <c r="M855" i="28" s="1"/>
  <c r="L856" i="28"/>
  <c r="M856" i="28" s="1"/>
  <c r="L857" i="28"/>
  <c r="M857" i="28" s="1"/>
  <c r="L858" i="28"/>
  <c r="M858" i="28" s="1"/>
  <c r="L859" i="28"/>
  <c r="M859" i="28" s="1"/>
  <c r="L860" i="28"/>
  <c r="M860" i="28" s="1"/>
  <c r="L861" i="28"/>
  <c r="M861" i="28" s="1"/>
  <c r="L862" i="28"/>
  <c r="M862" i="28" s="1"/>
  <c r="L863" i="28"/>
  <c r="M863" i="28" s="1"/>
  <c r="L864" i="28"/>
  <c r="M864" i="28" s="1"/>
  <c r="L865" i="28"/>
  <c r="M865" i="28" s="1"/>
  <c r="L866" i="28"/>
  <c r="M866" i="28" s="1"/>
  <c r="L867" i="28"/>
  <c r="M867" i="28" s="1"/>
  <c r="L868" i="28"/>
  <c r="M868" i="28" s="1"/>
  <c r="L869" i="28"/>
  <c r="M869" i="28" s="1"/>
  <c r="L870" i="28"/>
  <c r="M870" i="28" s="1"/>
  <c r="L871" i="28"/>
  <c r="M871" i="28" s="1"/>
  <c r="L872" i="28"/>
  <c r="M872" i="28" s="1"/>
  <c r="L873" i="28"/>
  <c r="M873" i="28" s="1"/>
  <c r="L874" i="28"/>
  <c r="M874" i="28" s="1"/>
  <c r="L875" i="28"/>
  <c r="M875" i="28" s="1"/>
  <c r="L876" i="28"/>
  <c r="M876" i="28" s="1"/>
  <c r="L877" i="28"/>
  <c r="M877" i="28" s="1"/>
  <c r="L878" i="28"/>
  <c r="M878" i="28" s="1"/>
  <c r="L879" i="28"/>
  <c r="M879" i="28" s="1"/>
  <c r="L880" i="28"/>
  <c r="M880" i="28" s="1"/>
  <c r="L881" i="28"/>
  <c r="M881" i="28" s="1"/>
  <c r="L882" i="28"/>
  <c r="M882" i="28" s="1"/>
  <c r="L883" i="28"/>
  <c r="M883" i="28" s="1"/>
  <c r="L884" i="28"/>
  <c r="M884" i="28" s="1"/>
  <c r="L885" i="28"/>
  <c r="M885" i="28" s="1"/>
  <c r="L886" i="28"/>
  <c r="M886" i="28" s="1"/>
  <c r="L887" i="28"/>
  <c r="M887" i="28" s="1"/>
  <c r="L888" i="28"/>
  <c r="M888" i="28" s="1"/>
  <c r="L889" i="28"/>
  <c r="M889" i="28" s="1"/>
  <c r="L890" i="28"/>
  <c r="M890" i="28" s="1"/>
  <c r="L891" i="28"/>
  <c r="M891" i="28" s="1"/>
  <c r="L892" i="28"/>
  <c r="M892" i="28" s="1"/>
  <c r="L893" i="28"/>
  <c r="M893" i="28" s="1"/>
  <c r="L894" i="28"/>
  <c r="M894" i="28" s="1"/>
  <c r="L895" i="28"/>
  <c r="M895" i="28" s="1"/>
  <c r="L896" i="28"/>
  <c r="M896" i="28" s="1"/>
  <c r="L897" i="28"/>
  <c r="M897" i="28" s="1"/>
  <c r="L898" i="28"/>
  <c r="M898" i="28" s="1"/>
  <c r="L899" i="28"/>
  <c r="M899" i="28" s="1"/>
  <c r="L900" i="28"/>
  <c r="M900" i="28" s="1"/>
  <c r="L901" i="28"/>
  <c r="M901" i="28" s="1"/>
  <c r="L902" i="28"/>
  <c r="M902" i="28" s="1"/>
  <c r="L903" i="28"/>
  <c r="M903" i="28" s="1"/>
  <c r="L904" i="28"/>
  <c r="M904" i="28" s="1"/>
  <c r="L905" i="28"/>
  <c r="M905" i="28" s="1"/>
  <c r="L906" i="28"/>
  <c r="M906" i="28" s="1"/>
  <c r="L907" i="28"/>
  <c r="M907" i="28" s="1"/>
  <c r="L908" i="28"/>
  <c r="M908" i="28" s="1"/>
  <c r="L909" i="28"/>
  <c r="M909" i="28" s="1"/>
  <c r="L910" i="28"/>
  <c r="M910" i="28" s="1"/>
  <c r="L911" i="28"/>
  <c r="M911" i="28" s="1"/>
  <c r="L912" i="28"/>
  <c r="M912" i="28" s="1"/>
  <c r="L913" i="28"/>
  <c r="M913" i="28" s="1"/>
  <c r="L914" i="28"/>
  <c r="M914" i="28" s="1"/>
  <c r="L915" i="28"/>
  <c r="M915" i="28" s="1"/>
  <c r="L916" i="28"/>
  <c r="M916" i="28" s="1"/>
  <c r="L917" i="28"/>
  <c r="M917" i="28" s="1"/>
  <c r="L918" i="28"/>
  <c r="M918" i="28" s="1"/>
  <c r="L919" i="28"/>
  <c r="M919" i="28" s="1"/>
  <c r="L920" i="28"/>
  <c r="M920" i="28" s="1"/>
  <c r="L921" i="28"/>
  <c r="M921" i="28" s="1"/>
  <c r="L922" i="28"/>
  <c r="M922" i="28" s="1"/>
  <c r="L923" i="28"/>
  <c r="M923" i="28" s="1"/>
  <c r="L924" i="28"/>
  <c r="M924" i="28" s="1"/>
  <c r="L925" i="28"/>
  <c r="M925" i="28" s="1"/>
  <c r="L926" i="28"/>
  <c r="M926" i="28" s="1"/>
  <c r="L927" i="28"/>
  <c r="M927" i="28" s="1"/>
  <c r="L928" i="28"/>
  <c r="M928" i="28" s="1"/>
  <c r="L929" i="28"/>
  <c r="M929" i="28" s="1"/>
  <c r="L930" i="28"/>
  <c r="M930" i="28" s="1"/>
  <c r="L931" i="28"/>
  <c r="M931" i="28" s="1"/>
  <c r="L932" i="28"/>
  <c r="M932" i="28" s="1"/>
  <c r="L933" i="28"/>
  <c r="M933" i="28" s="1"/>
  <c r="L934" i="28"/>
  <c r="M934" i="28" s="1"/>
  <c r="L935" i="28"/>
  <c r="M935" i="28" s="1"/>
  <c r="L936" i="28"/>
  <c r="M936" i="28" s="1"/>
  <c r="L937" i="28"/>
  <c r="M937" i="28" s="1"/>
  <c r="L938" i="28"/>
  <c r="M938" i="28" s="1"/>
  <c r="L939" i="28"/>
  <c r="M939" i="28" s="1"/>
  <c r="L940" i="28"/>
  <c r="M940" i="28" s="1"/>
  <c r="L941" i="28"/>
  <c r="M941" i="28" s="1"/>
  <c r="L942" i="28"/>
  <c r="M942" i="28" s="1"/>
  <c r="L943" i="28"/>
  <c r="M943" i="28" s="1"/>
  <c r="L944" i="28"/>
  <c r="M944" i="28" s="1"/>
  <c r="L945" i="28"/>
  <c r="M945" i="28" s="1"/>
  <c r="L946" i="28"/>
  <c r="M946" i="28" s="1"/>
  <c r="L947" i="28"/>
  <c r="M947" i="28" s="1"/>
  <c r="L948" i="28"/>
  <c r="M948" i="28" s="1"/>
  <c r="L949" i="28"/>
  <c r="M949" i="28" s="1"/>
  <c r="L950" i="28"/>
  <c r="M950" i="28" s="1"/>
  <c r="L951" i="28"/>
  <c r="M951" i="28" s="1"/>
  <c r="L952" i="28"/>
  <c r="M952" i="28" s="1"/>
  <c r="L953" i="28"/>
  <c r="M953" i="28" s="1"/>
  <c r="L954" i="28"/>
  <c r="M954" i="28" s="1"/>
  <c r="L955" i="28"/>
  <c r="M955" i="28" s="1"/>
  <c r="L956" i="28"/>
  <c r="M956" i="28" s="1"/>
  <c r="L957" i="28"/>
  <c r="M957" i="28" s="1"/>
  <c r="L958" i="28"/>
  <c r="M958" i="28" s="1"/>
  <c r="L959" i="28"/>
  <c r="M959" i="28" s="1"/>
  <c r="L960" i="28"/>
  <c r="M960" i="28" s="1"/>
  <c r="L961" i="28"/>
  <c r="M961" i="28" s="1"/>
  <c r="L962" i="28"/>
  <c r="M962" i="28" s="1"/>
  <c r="L963" i="28"/>
  <c r="M963" i="28" s="1"/>
  <c r="L964" i="28"/>
  <c r="M964" i="28" s="1"/>
  <c r="L965" i="28"/>
  <c r="M965" i="28" s="1"/>
  <c r="L966" i="28"/>
  <c r="M966" i="28" s="1"/>
  <c r="L967" i="28"/>
  <c r="M967" i="28" s="1"/>
  <c r="L968" i="28"/>
  <c r="M968" i="28" s="1"/>
  <c r="L969" i="28"/>
  <c r="M969" i="28" s="1"/>
  <c r="L970" i="28"/>
  <c r="M970" i="28" s="1"/>
  <c r="L971" i="28"/>
  <c r="M971" i="28" s="1"/>
  <c r="L972" i="28"/>
  <c r="M972" i="28" s="1"/>
  <c r="L973" i="28"/>
  <c r="M973" i="28" s="1"/>
  <c r="L974" i="28"/>
  <c r="M974" i="28" s="1"/>
  <c r="L975" i="28"/>
  <c r="M975" i="28" s="1"/>
  <c r="L976" i="28"/>
  <c r="M976" i="28" s="1"/>
  <c r="L977" i="28"/>
  <c r="M977" i="28" s="1"/>
  <c r="L978" i="28"/>
  <c r="M978" i="28" s="1"/>
  <c r="L979" i="28"/>
  <c r="M979" i="28" s="1"/>
  <c r="L980" i="28"/>
  <c r="M980" i="28" s="1"/>
  <c r="L981" i="28"/>
  <c r="M981" i="28" s="1"/>
  <c r="L982" i="28"/>
  <c r="M982" i="28" s="1"/>
  <c r="L983" i="28"/>
  <c r="M983" i="28" s="1"/>
  <c r="L984" i="28"/>
  <c r="M984" i="28" s="1"/>
  <c r="L985" i="28"/>
  <c r="M985" i="28" s="1"/>
  <c r="L986" i="28"/>
  <c r="M986" i="28" s="1"/>
  <c r="L987" i="28"/>
  <c r="M987" i="28" s="1"/>
  <c r="L988" i="28"/>
  <c r="M988" i="28" s="1"/>
  <c r="L989" i="28"/>
  <c r="M989" i="28" s="1"/>
  <c r="L990" i="28"/>
  <c r="M990" i="28" s="1"/>
  <c r="L991" i="28"/>
  <c r="M991" i="28" s="1"/>
  <c r="L992" i="28"/>
  <c r="M992" i="28" s="1"/>
  <c r="L993" i="28"/>
  <c r="M993" i="28" s="1"/>
  <c r="L994" i="28"/>
  <c r="M994" i="28" s="1"/>
  <c r="L995" i="28"/>
  <c r="M995" i="28" s="1"/>
  <c r="L996" i="28"/>
  <c r="M996" i="28" s="1"/>
  <c r="L997" i="28"/>
  <c r="M997" i="28" s="1"/>
  <c r="L998" i="28"/>
  <c r="M998" i="28" s="1"/>
  <c r="L999" i="28"/>
  <c r="M999" i="28" s="1"/>
  <c r="L1000" i="28"/>
  <c r="M1000" i="28" s="1"/>
  <c r="L1001" i="28"/>
  <c r="M1001" i="28" s="1"/>
  <c r="L1002" i="28"/>
  <c r="M1002" i="28" s="1"/>
  <c r="L1003" i="28"/>
  <c r="M1003" i="28" s="1"/>
  <c r="L1004" i="28"/>
  <c r="M1004" i="28" s="1"/>
  <c r="L1005" i="28"/>
  <c r="M1005" i="28" s="1"/>
  <c r="L1006" i="28"/>
  <c r="M1006" i="28" s="1"/>
  <c r="L1007" i="28"/>
  <c r="M1007" i="28" s="1"/>
  <c r="L1008" i="28"/>
  <c r="M1008" i="28" s="1"/>
  <c r="L1009" i="28"/>
  <c r="M1009" i="28" s="1"/>
  <c r="L1010" i="28"/>
  <c r="M1010" i="28" s="1"/>
  <c r="L1011" i="28"/>
  <c r="M1011" i="28" s="1"/>
  <c r="L1012" i="28"/>
  <c r="M1012" i="28" s="1"/>
  <c r="L1013" i="28"/>
  <c r="M1013" i="28" s="1"/>
  <c r="L1014" i="28"/>
  <c r="M1014" i="28" s="1"/>
  <c r="L1015" i="28"/>
  <c r="M1015" i="28" s="1"/>
  <c r="L1016" i="28"/>
  <c r="M1016" i="28" s="1"/>
  <c r="L1017" i="28"/>
  <c r="M1017" i="28" s="1"/>
  <c r="L1018" i="28"/>
  <c r="M1018" i="28" s="1"/>
  <c r="L1019" i="28"/>
  <c r="M1019" i="28" s="1"/>
  <c r="L1020" i="28"/>
  <c r="M1020" i="28" s="1"/>
  <c r="L1021" i="28"/>
  <c r="M1021" i="28" s="1"/>
  <c r="L1022" i="28"/>
  <c r="M1022" i="28" s="1"/>
  <c r="L1023" i="28"/>
  <c r="M1023" i="28" s="1"/>
  <c r="L1024" i="28"/>
  <c r="M1024" i="28" s="1"/>
  <c r="L1025" i="28"/>
  <c r="M1025" i="28" s="1"/>
  <c r="L1026" i="28"/>
  <c r="M1026" i="28" s="1"/>
  <c r="L1027" i="28"/>
  <c r="M1027" i="28" s="1"/>
  <c r="L1028" i="28"/>
  <c r="M1028" i="28" s="1"/>
  <c r="L1029" i="28"/>
  <c r="M1029" i="28" s="1"/>
  <c r="L1030" i="28"/>
  <c r="M1030" i="28" s="1"/>
  <c r="L1031" i="28"/>
  <c r="M1031" i="28" s="1"/>
  <c r="L1032" i="28"/>
  <c r="M1032" i="28" s="1"/>
  <c r="L1033" i="28"/>
  <c r="M1033" i="28" s="1"/>
  <c r="L1034" i="28"/>
  <c r="M1034" i="28" s="1"/>
  <c r="L1035" i="28"/>
  <c r="M1035" i="28" s="1"/>
  <c r="L1036" i="28"/>
  <c r="M1036" i="28" s="1"/>
  <c r="L1037" i="28"/>
  <c r="M1037" i="28" s="1"/>
  <c r="L1038" i="28"/>
  <c r="M1038" i="28" s="1"/>
  <c r="L1039" i="28"/>
  <c r="M1039" i="28" s="1"/>
  <c r="L1040" i="28"/>
  <c r="M1040" i="28" s="1"/>
  <c r="L1041" i="28"/>
  <c r="M1041" i="28" s="1"/>
  <c r="L1042" i="28"/>
  <c r="M1042" i="28" s="1"/>
  <c r="L1043" i="28"/>
  <c r="M1043" i="28" s="1"/>
  <c r="L1044" i="28"/>
  <c r="M1044" i="28" s="1"/>
  <c r="L1045" i="28"/>
  <c r="M1045" i="28" s="1"/>
  <c r="L1046" i="28"/>
  <c r="M1046" i="28" s="1"/>
  <c r="L1047" i="28"/>
  <c r="M1047" i="28" s="1"/>
  <c r="L1048" i="28"/>
  <c r="M1048" i="28" s="1"/>
  <c r="L1049" i="28"/>
  <c r="M1049" i="28" s="1"/>
  <c r="L1050" i="28"/>
  <c r="M1050" i="28" s="1"/>
  <c r="L1051" i="28"/>
  <c r="M1051" i="28" s="1"/>
  <c r="L1052" i="28"/>
  <c r="M1052" i="28" s="1"/>
  <c r="L1053" i="28"/>
  <c r="M1053" i="28" s="1"/>
  <c r="L1054" i="28"/>
  <c r="M1054" i="28" s="1"/>
  <c r="L1055" i="28"/>
  <c r="M1055" i="28" s="1"/>
  <c r="L1056" i="28"/>
  <c r="M1056" i="28" s="1"/>
  <c r="L1057" i="28"/>
  <c r="M1057" i="28" s="1"/>
  <c r="L1058" i="28"/>
  <c r="M1058" i="28" s="1"/>
  <c r="L1059" i="28"/>
  <c r="M1059" i="28" s="1"/>
  <c r="L1060" i="28"/>
  <c r="M1060" i="28" s="1"/>
  <c r="L1061" i="28"/>
  <c r="M1061" i="28" s="1"/>
  <c r="L1062" i="28"/>
  <c r="M1062" i="28" s="1"/>
  <c r="L1063" i="28"/>
  <c r="M1063" i="28" s="1"/>
  <c r="L1064" i="28"/>
  <c r="M1064" i="28" s="1"/>
  <c r="L1065" i="28"/>
  <c r="M1065" i="28" s="1"/>
  <c r="L1066" i="28"/>
  <c r="M1066" i="28" s="1"/>
  <c r="L1067" i="28"/>
  <c r="M1067" i="28" s="1"/>
  <c r="L1068" i="28"/>
  <c r="M1068" i="28" s="1"/>
  <c r="L1069" i="28"/>
  <c r="M1069" i="28" s="1"/>
  <c r="L1070" i="28"/>
  <c r="M1070" i="28" s="1"/>
  <c r="L1071" i="28"/>
  <c r="M1071" i="28" s="1"/>
  <c r="L1072" i="28"/>
  <c r="M1072" i="28" s="1"/>
  <c r="L1073" i="28"/>
  <c r="M1073" i="28" s="1"/>
  <c r="L1074" i="28"/>
  <c r="M1074" i="28" s="1"/>
  <c r="L1075" i="28"/>
  <c r="M1075" i="28" s="1"/>
  <c r="L1076" i="28"/>
  <c r="M1076" i="28" s="1"/>
  <c r="L1077" i="28"/>
  <c r="M1077" i="28" s="1"/>
  <c r="L1078" i="28"/>
  <c r="M1078" i="28" s="1"/>
  <c r="L1079" i="28"/>
  <c r="M1079" i="28" s="1"/>
  <c r="L1080" i="28"/>
  <c r="M1080" i="28" s="1"/>
  <c r="L1081" i="28"/>
  <c r="M1081" i="28" s="1"/>
  <c r="L1082" i="28"/>
  <c r="M1082" i="28" s="1"/>
  <c r="L1083" i="28"/>
  <c r="M1083" i="28" s="1"/>
  <c r="L1084" i="28"/>
  <c r="M1084" i="28" s="1"/>
  <c r="L1085" i="28"/>
  <c r="M1085" i="28" s="1"/>
  <c r="L1086" i="28"/>
  <c r="M1086" i="28" s="1"/>
  <c r="L1087" i="28"/>
  <c r="M1087" i="28" s="1"/>
  <c r="L1088" i="28"/>
  <c r="M1088" i="28" s="1"/>
  <c r="L1089" i="28"/>
  <c r="M1089" i="28" s="1"/>
  <c r="L1090" i="28"/>
  <c r="M1090" i="28" s="1"/>
  <c r="L1091" i="28"/>
  <c r="M1091" i="28" s="1"/>
  <c r="L1092" i="28"/>
  <c r="M1092" i="28" s="1"/>
  <c r="L1093" i="28"/>
  <c r="M1093" i="28" s="1"/>
  <c r="L1094" i="28"/>
  <c r="M1094" i="28" s="1"/>
  <c r="L1095" i="28"/>
  <c r="M1095" i="28" s="1"/>
  <c r="L1096" i="28"/>
  <c r="M1096" i="28" s="1"/>
  <c r="L1097" i="28"/>
  <c r="M1097" i="28" s="1"/>
  <c r="L1098" i="28"/>
  <c r="M1098" i="28" s="1"/>
  <c r="L1099" i="28"/>
  <c r="M1099" i="28" s="1"/>
  <c r="L1100" i="28"/>
  <c r="M1100" i="28" s="1"/>
  <c r="L1101" i="28"/>
  <c r="M1101" i="28" s="1"/>
  <c r="L1102" i="28"/>
  <c r="M1102" i="28" s="1"/>
  <c r="L1103" i="28"/>
  <c r="M1103" i="28" s="1"/>
  <c r="L1104" i="28"/>
  <c r="M1104" i="28" s="1"/>
  <c r="L1105" i="28"/>
  <c r="M1105" i="28" s="1"/>
  <c r="L1106" i="28"/>
  <c r="M1106" i="28" s="1"/>
  <c r="L1107" i="28"/>
  <c r="M1107" i="28" s="1"/>
  <c r="L1108" i="28"/>
  <c r="M1108" i="28" s="1"/>
  <c r="L1109" i="28"/>
  <c r="M1109" i="28" s="1"/>
  <c r="L1110" i="28"/>
  <c r="M1110" i="28" s="1"/>
  <c r="L1111" i="28"/>
  <c r="M1111" i="28" s="1"/>
  <c r="L1112" i="28"/>
  <c r="M1112" i="28" s="1"/>
  <c r="L1113" i="28"/>
  <c r="M1113" i="28" s="1"/>
  <c r="L1114" i="28"/>
  <c r="M1114" i="28" s="1"/>
  <c r="L1115" i="28"/>
  <c r="M1115" i="28" s="1"/>
  <c r="L1116" i="28"/>
  <c r="M1116" i="28" s="1"/>
  <c r="L1117" i="28"/>
  <c r="M1117" i="28" s="1"/>
  <c r="L1118" i="28"/>
  <c r="M1118" i="28" s="1"/>
  <c r="L1119" i="28"/>
  <c r="M1119" i="28" s="1"/>
  <c r="L1120" i="28"/>
  <c r="M1120" i="28" s="1"/>
  <c r="L1121" i="28"/>
  <c r="M1121" i="28" s="1"/>
  <c r="L1122" i="28"/>
  <c r="M1122" i="28" s="1"/>
  <c r="L1123" i="28"/>
  <c r="M1123" i="28" s="1"/>
  <c r="L1124" i="28"/>
  <c r="M1124" i="28" s="1"/>
  <c r="L1125" i="28"/>
  <c r="M1125" i="28" s="1"/>
  <c r="L1126" i="28"/>
  <c r="M1126" i="28" s="1"/>
  <c r="L1127" i="28"/>
  <c r="M1127" i="28" s="1"/>
  <c r="L1128" i="28"/>
  <c r="M1128" i="28" s="1"/>
  <c r="L1129" i="28"/>
  <c r="M1129" i="28" s="1"/>
  <c r="L1130" i="28"/>
  <c r="M1130" i="28" s="1"/>
  <c r="L1131" i="28"/>
  <c r="M1131" i="28" s="1"/>
  <c r="L1132" i="28"/>
  <c r="M1132" i="28" s="1"/>
  <c r="L1133" i="28"/>
  <c r="M1133" i="28" s="1"/>
  <c r="L1134" i="28"/>
  <c r="M1134" i="28" s="1"/>
  <c r="L1135" i="28"/>
  <c r="M1135" i="28" s="1"/>
  <c r="L1136" i="28"/>
  <c r="M1136" i="28" s="1"/>
  <c r="L1137" i="28"/>
  <c r="M1137" i="28" s="1"/>
  <c r="L1138" i="28"/>
  <c r="M1138" i="28" s="1"/>
  <c r="L1139" i="28"/>
  <c r="M1139" i="28" s="1"/>
  <c r="L1140" i="28"/>
  <c r="M1140" i="28" s="1"/>
  <c r="L1141" i="28"/>
  <c r="M1141" i="28" s="1"/>
  <c r="L1142" i="28"/>
  <c r="M1142" i="28" s="1"/>
  <c r="L1143" i="28"/>
  <c r="M1143" i="28" s="1"/>
  <c r="L1144" i="28"/>
  <c r="M1144" i="28" s="1"/>
  <c r="L1145" i="28"/>
  <c r="M1145" i="28" s="1"/>
  <c r="L1146" i="28"/>
  <c r="M1146" i="28" s="1"/>
  <c r="L1147" i="28"/>
  <c r="M1147" i="28" s="1"/>
  <c r="L1148" i="28"/>
  <c r="M1148" i="28" s="1"/>
  <c r="L1149" i="28"/>
  <c r="M1149" i="28" s="1"/>
  <c r="L1150" i="28"/>
  <c r="M1150" i="28" s="1"/>
  <c r="L1151" i="28"/>
  <c r="M1151" i="28" s="1"/>
  <c r="L1152" i="28"/>
  <c r="M1152" i="28" s="1"/>
  <c r="L1153" i="28"/>
  <c r="M1153" i="28" s="1"/>
  <c r="L1154" i="28"/>
  <c r="M1154" i="28" s="1"/>
  <c r="L1155" i="28"/>
  <c r="M1155" i="28" s="1"/>
  <c r="L1156" i="28"/>
  <c r="M1156" i="28" s="1"/>
  <c r="L1157" i="28"/>
  <c r="M1157" i="28" s="1"/>
  <c r="L1158" i="28"/>
  <c r="M1158" i="28" s="1"/>
  <c r="L1159" i="28"/>
  <c r="M1159" i="28" s="1"/>
  <c r="L1160" i="28"/>
  <c r="M1160" i="28" s="1"/>
  <c r="L1161" i="28"/>
  <c r="M1161" i="28" s="1"/>
  <c r="L1162" i="28"/>
  <c r="M1162" i="28" s="1"/>
  <c r="L1163" i="28"/>
  <c r="M1163" i="28" s="1"/>
  <c r="L1164" i="28"/>
  <c r="M1164" i="28" s="1"/>
  <c r="L1165" i="28"/>
  <c r="M1165" i="28" s="1"/>
  <c r="L1166" i="28"/>
  <c r="M1166" i="28" s="1"/>
  <c r="L1167" i="28"/>
  <c r="M1167" i="28" s="1"/>
  <c r="L1168" i="28"/>
  <c r="M1168" i="28" s="1"/>
  <c r="L1169" i="28"/>
  <c r="M1169" i="28" s="1"/>
  <c r="L1170" i="28"/>
  <c r="M1170" i="28" s="1"/>
  <c r="L1171" i="28"/>
  <c r="M1171" i="28" s="1"/>
  <c r="L1172" i="28"/>
  <c r="M1172" i="28" s="1"/>
  <c r="L1173" i="28"/>
  <c r="M1173" i="28" s="1"/>
  <c r="L1174" i="28"/>
  <c r="M1174" i="28" s="1"/>
  <c r="L1175" i="28"/>
  <c r="M1175" i="28" s="1"/>
  <c r="L1176" i="28"/>
  <c r="M1176" i="28" s="1"/>
  <c r="L1177" i="28"/>
  <c r="M1177" i="28" s="1"/>
  <c r="L1178" i="28"/>
  <c r="M1178" i="28" s="1"/>
  <c r="L1179" i="28"/>
  <c r="M1179" i="28" s="1"/>
  <c r="L1180" i="28"/>
  <c r="M1180" i="28" s="1"/>
  <c r="L1181" i="28"/>
  <c r="M1181" i="28" s="1"/>
  <c r="L1182" i="28"/>
  <c r="M1182" i="28" s="1"/>
  <c r="L1183" i="28"/>
  <c r="M1183" i="28" s="1"/>
  <c r="L1184" i="28"/>
  <c r="M1184" i="28" s="1"/>
  <c r="L1185" i="28"/>
  <c r="M1185" i="28" s="1"/>
  <c r="L1186" i="28"/>
  <c r="M1186" i="28" s="1"/>
  <c r="L1187" i="28"/>
  <c r="M1187" i="28" s="1"/>
  <c r="L1188" i="28"/>
  <c r="M1188" i="28" s="1"/>
  <c r="L1189" i="28"/>
  <c r="M1189" i="28" s="1"/>
  <c r="L1190" i="28"/>
  <c r="M1190" i="28" s="1"/>
  <c r="L1191" i="28"/>
  <c r="M1191" i="28" s="1"/>
  <c r="L1192" i="28"/>
  <c r="M1192" i="28" s="1"/>
  <c r="L1193" i="28"/>
  <c r="M1193" i="28" s="1"/>
  <c r="L1194" i="28"/>
  <c r="M1194" i="28" s="1"/>
  <c r="L1195" i="28"/>
  <c r="M1195" i="28" s="1"/>
  <c r="L1196" i="28"/>
  <c r="M1196" i="28" s="1"/>
  <c r="L1197" i="28"/>
  <c r="M1197" i="28" s="1"/>
  <c r="L1198" i="28"/>
  <c r="M1198" i="28" s="1"/>
  <c r="L1199" i="28"/>
  <c r="M1199" i="28" s="1"/>
  <c r="L1200" i="28"/>
  <c r="M1200" i="28" s="1"/>
  <c r="L1201" i="28"/>
  <c r="M1201" i="28" s="1"/>
  <c r="L1202" i="28"/>
  <c r="M1202" i="28" s="1"/>
  <c r="L1203" i="28"/>
  <c r="M1203" i="28" s="1"/>
  <c r="L1204" i="28"/>
  <c r="M1204" i="28" s="1"/>
  <c r="L1205" i="28"/>
  <c r="M1205" i="28" s="1"/>
  <c r="L1206" i="28"/>
  <c r="M1206" i="28" s="1"/>
  <c r="L1207" i="28"/>
  <c r="M1207" i="28" s="1"/>
  <c r="L1208" i="28"/>
  <c r="M1208" i="28" s="1"/>
  <c r="L1209" i="28"/>
  <c r="M1209" i="28" s="1"/>
  <c r="L1210" i="28"/>
  <c r="M1210" i="28" s="1"/>
  <c r="L1211" i="28"/>
  <c r="M1211" i="28" s="1"/>
  <c r="L1212" i="28"/>
  <c r="M1212" i="28" s="1"/>
  <c r="L1213" i="28"/>
  <c r="M1213" i="28" s="1"/>
  <c r="L1214" i="28"/>
  <c r="M1214" i="28" s="1"/>
  <c r="L1215" i="28"/>
  <c r="M1215" i="28" s="1"/>
  <c r="L1216" i="28"/>
  <c r="M1216" i="28" s="1"/>
  <c r="L1217" i="28"/>
  <c r="M1217" i="28" s="1"/>
  <c r="L1218" i="28"/>
  <c r="M1218" i="28" s="1"/>
  <c r="L1219" i="28"/>
  <c r="M1219" i="28" s="1"/>
  <c r="L1220" i="28"/>
  <c r="M1220" i="28" s="1"/>
  <c r="L1221" i="28"/>
  <c r="M1221" i="28" s="1"/>
  <c r="L1222" i="28"/>
  <c r="M1222" i="28" s="1"/>
  <c r="L1223" i="28"/>
  <c r="M1223" i="28" s="1"/>
  <c r="L1224" i="28"/>
  <c r="M1224" i="28" s="1"/>
  <c r="L1225" i="28"/>
  <c r="M1225" i="28" s="1"/>
  <c r="L1226" i="28"/>
  <c r="M1226" i="28" s="1"/>
  <c r="L1227" i="28"/>
  <c r="M1227" i="28" s="1"/>
  <c r="L1228" i="28"/>
  <c r="M1228" i="28" s="1"/>
  <c r="L1229" i="28"/>
  <c r="M1229" i="28" s="1"/>
  <c r="L1230" i="28"/>
  <c r="M1230" i="28" s="1"/>
  <c r="L1231" i="28"/>
  <c r="M1231" i="28" s="1"/>
  <c r="L1232" i="28"/>
  <c r="M1232" i="28" s="1"/>
  <c r="L1233" i="28"/>
  <c r="M1233" i="28" s="1"/>
  <c r="L1234" i="28"/>
  <c r="M1234" i="28" s="1"/>
  <c r="L1235" i="28"/>
  <c r="M1235" i="28" s="1"/>
  <c r="L1236" i="28"/>
  <c r="M1236" i="28" s="1"/>
  <c r="L1237" i="28"/>
  <c r="M1237" i="28" s="1"/>
  <c r="L1238" i="28"/>
  <c r="M1238" i="28" s="1"/>
  <c r="L1239" i="28"/>
  <c r="M1239" i="28" s="1"/>
  <c r="L1240" i="28"/>
  <c r="M1240" i="28" s="1"/>
  <c r="L1241" i="28"/>
  <c r="M1241" i="28" s="1"/>
  <c r="L1242" i="28"/>
  <c r="M1242" i="28" s="1"/>
  <c r="L1243" i="28"/>
  <c r="M1243" i="28" s="1"/>
  <c r="L1244" i="28"/>
  <c r="M1244" i="28" s="1"/>
  <c r="L1245" i="28"/>
  <c r="M1245" i="28" s="1"/>
  <c r="L1246" i="28"/>
  <c r="M1246" i="28" s="1"/>
  <c r="L1247" i="28"/>
  <c r="M1247" i="28" s="1"/>
  <c r="L1248" i="28"/>
  <c r="M1248" i="28" s="1"/>
  <c r="L1249" i="28"/>
  <c r="M1249" i="28" s="1"/>
  <c r="L1250" i="28"/>
  <c r="M1250" i="28" s="1"/>
  <c r="L1251" i="28"/>
  <c r="M1251" i="28" s="1"/>
  <c r="L1252" i="28"/>
  <c r="M1252" i="28" s="1"/>
  <c r="L1253" i="28"/>
  <c r="M1253" i="28" s="1"/>
  <c r="L1254" i="28"/>
  <c r="M1254" i="28" s="1"/>
  <c r="L1255" i="28"/>
  <c r="M1255" i="28" s="1"/>
  <c r="L1256" i="28"/>
  <c r="M1256" i="28" s="1"/>
  <c r="L1257" i="28"/>
  <c r="M1257" i="28" s="1"/>
  <c r="L1258" i="28"/>
  <c r="M1258" i="28" s="1"/>
  <c r="L1259" i="28"/>
  <c r="M1259" i="28" s="1"/>
  <c r="L1260" i="28"/>
  <c r="M1260" i="28" s="1"/>
  <c r="L1261" i="28"/>
  <c r="M1261" i="28" s="1"/>
  <c r="L1262" i="28"/>
  <c r="M1262" i="28" s="1"/>
  <c r="L1263" i="28"/>
  <c r="M1263" i="28" s="1"/>
  <c r="L1264" i="28"/>
  <c r="M1264" i="28" s="1"/>
  <c r="L1265" i="28"/>
  <c r="M1265" i="28" s="1"/>
  <c r="L1266" i="28"/>
  <c r="M1266" i="28" s="1"/>
  <c r="L1267" i="28"/>
  <c r="M1267" i="28" s="1"/>
  <c r="L1268" i="28"/>
  <c r="M1268" i="28" s="1"/>
  <c r="L1269" i="28"/>
  <c r="M1269" i="28" s="1"/>
  <c r="L1270" i="28"/>
  <c r="M1270" i="28" s="1"/>
  <c r="L1271" i="28"/>
  <c r="M1271" i="28" s="1"/>
  <c r="L1272" i="28"/>
  <c r="M1272" i="28" s="1"/>
  <c r="L1273" i="28"/>
  <c r="M1273" i="28" s="1"/>
  <c r="L1274" i="28"/>
  <c r="M1274" i="28" s="1"/>
  <c r="L1275" i="28"/>
  <c r="M1275" i="28" s="1"/>
  <c r="L1276" i="28"/>
  <c r="M1276" i="28" s="1"/>
  <c r="L1277" i="28"/>
  <c r="M1277" i="28" s="1"/>
  <c r="L1278" i="28"/>
  <c r="M1278" i="28" s="1"/>
  <c r="L1279" i="28"/>
  <c r="M1279" i="28" s="1"/>
  <c r="L1280" i="28"/>
  <c r="M1280" i="28" s="1"/>
  <c r="L1281" i="28"/>
  <c r="M1281" i="28" s="1"/>
  <c r="L1282" i="28"/>
  <c r="M1282" i="28" s="1"/>
  <c r="L1283" i="28"/>
  <c r="M1283" i="28" s="1"/>
  <c r="L1284" i="28"/>
  <c r="M1284" i="28" s="1"/>
  <c r="L1285" i="28"/>
  <c r="M1285" i="28" s="1"/>
  <c r="L1286" i="28"/>
  <c r="M1286" i="28" s="1"/>
  <c r="L1287" i="28"/>
  <c r="M1287" i="28" s="1"/>
  <c r="L1288" i="28"/>
  <c r="M1288" i="28" s="1"/>
  <c r="L1289" i="28"/>
  <c r="M1289" i="28" s="1"/>
  <c r="L1290" i="28"/>
  <c r="M1290" i="28" s="1"/>
  <c r="L1291" i="28"/>
  <c r="M1291" i="28" s="1"/>
  <c r="L1292" i="28"/>
  <c r="M1292" i="28" s="1"/>
  <c r="L1293" i="28"/>
  <c r="M1293" i="28" s="1"/>
  <c r="L1294" i="28"/>
  <c r="M1294" i="28" s="1"/>
  <c r="L1295" i="28"/>
  <c r="M1295" i="28" s="1"/>
  <c r="L1296" i="28"/>
  <c r="M1296" i="28" s="1"/>
  <c r="L1297" i="28"/>
  <c r="M1297" i="28" s="1"/>
  <c r="L1298" i="28"/>
  <c r="M1298" i="28" s="1"/>
  <c r="L1299" i="28"/>
  <c r="M1299" i="28" s="1"/>
  <c r="L1300" i="28"/>
  <c r="M1300" i="28" s="1"/>
  <c r="L1301" i="28"/>
  <c r="M1301" i="28" s="1"/>
  <c r="L1302" i="28"/>
  <c r="M1302" i="28" s="1"/>
  <c r="L1303" i="28"/>
  <c r="M1303" i="28" s="1"/>
  <c r="L1304" i="28"/>
  <c r="M1304" i="28" s="1"/>
  <c r="L1305" i="28"/>
  <c r="M1305" i="28" s="1"/>
  <c r="L1306" i="28"/>
  <c r="M1306" i="28" s="1"/>
  <c r="L1307" i="28"/>
  <c r="M1307" i="28" s="1"/>
  <c r="L1308" i="28"/>
  <c r="M1308" i="28" s="1"/>
  <c r="L1309" i="28"/>
  <c r="M1309" i="28" s="1"/>
  <c r="L1310" i="28"/>
  <c r="M1310" i="28" s="1"/>
  <c r="L1311" i="28"/>
  <c r="M1311" i="28" s="1"/>
  <c r="L1312" i="28"/>
  <c r="M1312" i="28" s="1"/>
  <c r="L1313" i="28"/>
  <c r="M1313" i="28" s="1"/>
  <c r="L1314" i="28"/>
  <c r="M1314" i="28" s="1"/>
  <c r="L1315" i="28"/>
  <c r="M1315" i="28" s="1"/>
  <c r="L1316" i="28"/>
  <c r="M1316" i="28" s="1"/>
  <c r="L1317" i="28"/>
  <c r="M1317" i="28" s="1"/>
  <c r="L1318" i="28"/>
  <c r="M1318" i="28" s="1"/>
  <c r="L1319" i="28"/>
  <c r="M1319" i="28" s="1"/>
  <c r="L1320" i="28"/>
  <c r="M1320" i="28" s="1"/>
  <c r="L1321" i="28"/>
  <c r="M1321" i="28" s="1"/>
  <c r="L1322" i="28"/>
  <c r="M1322" i="28" s="1"/>
  <c r="L1323" i="28"/>
  <c r="M1323" i="28" s="1"/>
  <c r="L1324" i="28"/>
  <c r="M1324" i="28" s="1"/>
  <c r="L1325" i="28"/>
  <c r="M1325" i="28" s="1"/>
  <c r="L1326" i="28"/>
  <c r="M1326" i="28" s="1"/>
  <c r="L1327" i="28"/>
  <c r="M1327" i="28" s="1"/>
  <c r="L1328" i="28"/>
  <c r="M1328" i="28" s="1"/>
  <c r="L1329" i="28"/>
  <c r="M1329" i="28" s="1"/>
  <c r="L1330" i="28"/>
  <c r="M1330" i="28" s="1"/>
  <c r="L1331" i="28"/>
  <c r="M1331" i="28" s="1"/>
  <c r="L1332" i="28"/>
  <c r="M1332" i="28" s="1"/>
  <c r="L1333" i="28"/>
  <c r="M1333" i="28" s="1"/>
  <c r="L1334" i="28"/>
  <c r="M1334" i="28" s="1"/>
  <c r="L1335" i="28"/>
  <c r="M1335" i="28" s="1"/>
  <c r="L1336" i="28"/>
  <c r="M1336" i="28" s="1"/>
  <c r="L1337" i="28"/>
  <c r="M1337" i="28" s="1"/>
  <c r="L1338" i="28"/>
  <c r="M1338" i="28" s="1"/>
  <c r="L1339" i="28"/>
  <c r="M1339" i="28" s="1"/>
  <c r="L1340" i="28"/>
  <c r="M1340" i="28" s="1"/>
  <c r="L1341" i="28"/>
  <c r="M1341" i="28" s="1"/>
  <c r="L1342" i="28"/>
  <c r="M1342" i="28" s="1"/>
  <c r="L1343" i="28"/>
  <c r="M1343" i="28" s="1"/>
  <c r="L1344" i="28"/>
  <c r="M1344" i="28" s="1"/>
  <c r="L1345" i="28"/>
  <c r="M1345" i="28" s="1"/>
  <c r="L1346" i="28"/>
  <c r="M1346" i="28" s="1"/>
  <c r="L1347" i="28"/>
  <c r="M1347" i="28" s="1"/>
  <c r="L1348" i="28"/>
  <c r="M1348" i="28" s="1"/>
  <c r="L1349" i="28"/>
  <c r="M1349" i="28" s="1"/>
  <c r="L1350" i="28"/>
  <c r="M1350" i="28" s="1"/>
  <c r="L1351" i="28"/>
  <c r="M1351" i="28" s="1"/>
  <c r="L1352" i="28"/>
  <c r="M1352" i="28" s="1"/>
  <c r="L1353" i="28"/>
  <c r="M1353" i="28" s="1"/>
  <c r="L1354" i="28"/>
  <c r="M1354" i="28" s="1"/>
  <c r="L1355" i="28"/>
  <c r="M1355" i="28" s="1"/>
  <c r="L1356" i="28"/>
  <c r="M1356" i="28" s="1"/>
  <c r="L1357" i="28"/>
  <c r="M1357" i="28" s="1"/>
  <c r="L1358" i="28"/>
  <c r="M1358" i="28" s="1"/>
  <c r="L1359" i="28"/>
  <c r="M1359" i="28" s="1"/>
  <c r="L1360" i="28"/>
  <c r="M1360" i="28" s="1"/>
  <c r="L1361" i="28"/>
  <c r="M1361" i="28" s="1"/>
  <c r="L1362" i="28"/>
  <c r="M1362" i="28" s="1"/>
  <c r="L1363" i="28"/>
  <c r="M1363" i="28" s="1"/>
  <c r="L1364" i="28"/>
  <c r="M1364" i="28" s="1"/>
  <c r="L1365" i="28"/>
  <c r="M1365" i="28" s="1"/>
  <c r="L1366" i="28"/>
  <c r="M1366" i="28" s="1"/>
  <c r="L1367" i="28"/>
  <c r="M1367" i="28" s="1"/>
  <c r="L1368" i="28"/>
  <c r="M1368" i="28" s="1"/>
  <c r="L1369" i="28"/>
  <c r="M1369" i="28" s="1"/>
  <c r="L1370" i="28"/>
  <c r="M1370" i="28" s="1"/>
  <c r="L1371" i="28"/>
  <c r="M1371" i="28" s="1"/>
  <c r="L1372" i="28"/>
  <c r="M1372" i="28" s="1"/>
  <c r="L1373" i="28"/>
  <c r="M1373" i="28" s="1"/>
  <c r="L1374" i="28"/>
  <c r="M1374" i="28" s="1"/>
  <c r="L1375" i="28"/>
  <c r="M1375" i="28" s="1"/>
  <c r="L1376" i="28"/>
  <c r="M1376" i="28" s="1"/>
  <c r="L1377" i="28"/>
  <c r="M1377" i="28" s="1"/>
  <c r="L1378" i="28"/>
  <c r="M1378" i="28" s="1"/>
  <c r="L1379" i="28"/>
  <c r="M1379" i="28" s="1"/>
  <c r="L1380" i="28"/>
  <c r="M1380" i="28" s="1"/>
  <c r="L1381" i="28"/>
  <c r="M1381" i="28" s="1"/>
  <c r="L1382" i="28"/>
  <c r="M1382" i="28" s="1"/>
  <c r="L1383" i="28"/>
  <c r="M1383" i="28" s="1"/>
  <c r="L1384" i="28"/>
  <c r="M1384" i="28" s="1"/>
  <c r="L1385" i="28"/>
  <c r="M1385" i="28" s="1"/>
  <c r="L1386" i="28"/>
  <c r="M1386" i="28" s="1"/>
  <c r="L1387" i="28"/>
  <c r="M1387" i="28" s="1"/>
  <c r="L1388" i="28"/>
  <c r="M1388" i="28" s="1"/>
  <c r="L1389" i="28"/>
  <c r="M1389" i="28" s="1"/>
  <c r="L1390" i="28"/>
  <c r="M1390" i="28" s="1"/>
  <c r="L1391" i="28"/>
  <c r="M1391" i="28" s="1"/>
  <c r="L1392" i="28"/>
  <c r="M1392" i="28" s="1"/>
  <c r="L1393" i="28"/>
  <c r="M1393" i="28" s="1"/>
  <c r="L1394" i="28"/>
  <c r="M1394" i="28" s="1"/>
  <c r="L1395" i="28"/>
  <c r="M1395" i="28" s="1"/>
  <c r="L1396" i="28"/>
  <c r="M1396" i="28" s="1"/>
  <c r="L1397" i="28"/>
  <c r="M1397" i="28" s="1"/>
  <c r="L1398" i="28"/>
  <c r="M1398" i="28" s="1"/>
  <c r="L1399" i="28"/>
  <c r="M1399" i="28" s="1"/>
  <c r="L1400" i="28"/>
  <c r="M1400" i="28" s="1"/>
  <c r="L1401" i="28"/>
  <c r="M1401" i="28" s="1"/>
  <c r="L1402" i="28"/>
  <c r="M1402" i="28" s="1"/>
  <c r="L1403" i="28"/>
  <c r="M1403" i="28" s="1"/>
  <c r="L1404" i="28"/>
  <c r="M1404" i="28" s="1"/>
  <c r="L1405" i="28"/>
  <c r="M1405" i="28" s="1"/>
  <c r="L1406" i="28"/>
  <c r="M1406" i="28" s="1"/>
  <c r="L1407" i="28"/>
  <c r="M1407" i="28" s="1"/>
  <c r="L1408" i="28"/>
  <c r="M1408" i="28" s="1"/>
  <c r="L1409" i="28"/>
  <c r="M1409" i="28" s="1"/>
  <c r="L1410" i="28"/>
  <c r="M1410" i="28" s="1"/>
  <c r="L1411" i="28"/>
  <c r="M1411" i="28" s="1"/>
  <c r="L1412" i="28"/>
  <c r="M1412" i="28" s="1"/>
  <c r="L1413" i="28"/>
  <c r="M1413" i="28" s="1"/>
  <c r="L1414" i="28"/>
  <c r="M1414" i="28" s="1"/>
  <c r="L1415" i="28"/>
  <c r="M1415" i="28" s="1"/>
  <c r="L1416" i="28"/>
  <c r="M1416" i="28" s="1"/>
  <c r="L1417" i="28"/>
  <c r="M1417" i="28" s="1"/>
  <c r="L1418" i="28"/>
  <c r="M1418" i="28" s="1"/>
  <c r="L1419" i="28"/>
  <c r="M1419" i="28" s="1"/>
  <c r="L1420" i="28"/>
  <c r="M1420" i="28" s="1"/>
  <c r="L1421" i="28"/>
  <c r="M1421" i="28" s="1"/>
  <c r="L1422" i="28"/>
  <c r="M1422" i="28" s="1"/>
  <c r="L1423" i="28"/>
  <c r="M1423" i="28" s="1"/>
  <c r="L1424" i="28"/>
  <c r="M1424" i="28" s="1"/>
  <c r="L1425" i="28"/>
  <c r="M1425" i="28" s="1"/>
  <c r="L1426" i="28"/>
  <c r="M1426" i="28" s="1"/>
  <c r="L1427" i="28"/>
  <c r="M1427" i="28" s="1"/>
  <c r="L1428" i="28"/>
  <c r="M1428" i="28" s="1"/>
  <c r="L1429" i="28"/>
  <c r="M1429" i="28" s="1"/>
  <c r="L1430" i="28"/>
  <c r="M1430" i="28" s="1"/>
  <c r="L1431" i="28"/>
  <c r="M1431" i="28" s="1"/>
  <c r="L1432" i="28"/>
  <c r="M1432" i="28" s="1"/>
  <c r="L1433" i="28"/>
  <c r="M1433" i="28" s="1"/>
  <c r="L1434" i="28"/>
  <c r="M1434" i="28" s="1"/>
  <c r="L1435" i="28"/>
  <c r="M1435" i="28" s="1"/>
  <c r="L1436" i="28"/>
  <c r="M1436" i="28" s="1"/>
  <c r="L1437" i="28"/>
  <c r="M1437" i="28" s="1"/>
  <c r="L1438" i="28"/>
  <c r="M1438" i="28" s="1"/>
  <c r="L1439" i="28"/>
  <c r="M1439" i="28" s="1"/>
  <c r="L1440" i="28"/>
  <c r="M1440" i="28" s="1"/>
  <c r="L1441" i="28"/>
  <c r="M1441" i="28" s="1"/>
  <c r="L1442" i="28"/>
  <c r="M1442" i="28" s="1"/>
  <c r="L1443" i="28"/>
  <c r="M1443" i="28" s="1"/>
  <c r="L1444" i="28"/>
  <c r="M1444" i="28" s="1"/>
  <c r="L1445" i="28"/>
  <c r="M1445" i="28" s="1"/>
  <c r="L1446" i="28"/>
  <c r="M1446" i="28" s="1"/>
  <c r="L1447" i="28"/>
  <c r="M1447" i="28" s="1"/>
  <c r="L1448" i="28"/>
  <c r="M1448" i="28" s="1"/>
  <c r="L1449" i="28"/>
  <c r="M1449" i="28" s="1"/>
  <c r="L1450" i="28"/>
  <c r="M1450" i="28" s="1"/>
  <c r="L1451" i="28"/>
  <c r="M1451" i="28" s="1"/>
  <c r="L1452" i="28"/>
  <c r="M1452" i="28" s="1"/>
  <c r="L1453" i="28"/>
  <c r="M1453" i="28" s="1"/>
  <c r="L1454" i="28"/>
  <c r="M1454" i="28" s="1"/>
  <c r="L1455" i="28"/>
  <c r="M1455" i="28" s="1"/>
  <c r="L1456" i="28"/>
  <c r="M1456" i="28" s="1"/>
  <c r="L1457" i="28"/>
  <c r="M1457" i="28" s="1"/>
  <c r="L1458" i="28"/>
  <c r="M1458" i="28" s="1"/>
  <c r="L1459" i="28"/>
  <c r="M1459" i="28" s="1"/>
  <c r="L1460" i="28"/>
  <c r="M1460" i="28" s="1"/>
  <c r="L1461" i="28"/>
  <c r="M1461" i="28" s="1"/>
  <c r="L1462" i="28"/>
  <c r="M1462" i="28" s="1"/>
  <c r="L1463" i="28"/>
  <c r="M1463" i="28" s="1"/>
  <c r="L1464" i="28"/>
  <c r="M1464" i="28" s="1"/>
  <c r="L1465" i="28"/>
  <c r="M1465" i="28" s="1"/>
  <c r="L1466" i="28"/>
  <c r="M1466" i="28" s="1"/>
  <c r="L1467" i="28"/>
  <c r="M1467" i="28" s="1"/>
  <c r="L1468" i="28"/>
  <c r="M1468" i="28" s="1"/>
  <c r="L1469" i="28"/>
  <c r="M1469" i="28" s="1"/>
  <c r="L1470" i="28"/>
  <c r="M1470" i="28" s="1"/>
  <c r="L1471" i="28"/>
  <c r="M1471" i="28" s="1"/>
  <c r="L1472" i="28"/>
  <c r="M1472" i="28" s="1"/>
  <c r="L1473" i="28"/>
  <c r="M1473" i="28" s="1"/>
  <c r="L1474" i="28"/>
  <c r="M1474" i="28" s="1"/>
  <c r="L1475" i="28"/>
  <c r="M1475" i="28" s="1"/>
  <c r="L1476" i="28"/>
  <c r="M1476" i="28" s="1"/>
  <c r="L1477" i="28"/>
  <c r="M1477" i="28" s="1"/>
  <c r="L1478" i="28"/>
  <c r="M1478" i="28" s="1"/>
  <c r="L1479" i="28"/>
  <c r="M1479" i="28" s="1"/>
  <c r="L1480" i="28"/>
  <c r="M1480" i="28" s="1"/>
  <c r="L1481" i="28"/>
  <c r="M1481" i="28" s="1"/>
  <c r="L1482" i="28"/>
  <c r="M1482" i="28" s="1"/>
  <c r="L1483" i="28"/>
  <c r="M1483" i="28" s="1"/>
  <c r="L1484" i="28"/>
  <c r="M1484" i="28" s="1"/>
  <c r="L1485" i="28"/>
  <c r="M1485" i="28" s="1"/>
  <c r="L1486" i="28"/>
  <c r="M1486" i="28" s="1"/>
  <c r="L1487" i="28"/>
  <c r="M1487" i="28" s="1"/>
  <c r="L1488" i="28"/>
  <c r="M1488" i="28" s="1"/>
  <c r="L1489" i="28"/>
  <c r="M1489" i="28" s="1"/>
  <c r="L1490" i="28"/>
  <c r="M1490" i="28" s="1"/>
  <c r="L1491" i="28"/>
  <c r="M1491" i="28" s="1"/>
  <c r="L1492" i="28"/>
  <c r="M1492" i="28" s="1"/>
  <c r="L1493" i="28"/>
  <c r="M1493" i="28" s="1"/>
  <c r="L1494" i="28"/>
  <c r="M1494" i="28" s="1"/>
  <c r="L1495" i="28"/>
  <c r="M1495" i="28" s="1"/>
  <c r="L1496" i="28"/>
  <c r="M1496" i="28" s="1"/>
  <c r="L1497" i="28"/>
  <c r="M1497" i="28" s="1"/>
  <c r="L1498" i="28"/>
  <c r="M1498" i="28" s="1"/>
  <c r="L1499" i="28"/>
  <c r="M1499" i="28" s="1"/>
  <c r="L1500" i="28"/>
  <c r="M1500" i="28" s="1"/>
  <c r="L1501" i="28"/>
  <c r="M1501" i="28" s="1"/>
  <c r="L1502" i="28"/>
  <c r="M1502" i="28" s="1"/>
  <c r="L1503" i="28"/>
  <c r="M1503" i="28" s="1"/>
  <c r="L1504" i="28"/>
  <c r="M1504" i="28" s="1"/>
  <c r="L1505" i="28"/>
  <c r="M1505" i="28" s="1"/>
  <c r="L1506" i="28"/>
  <c r="M1506" i="28" s="1"/>
  <c r="Z16" i="32"/>
  <c r="Y16" i="32"/>
  <c r="X16" i="32"/>
  <c r="Z19" i="32"/>
  <c r="Y19" i="32"/>
  <c r="Z21" i="32"/>
  <c r="X21" i="32"/>
  <c r="W21" i="32"/>
  <c r="Y21" i="32"/>
  <c r="Y22" i="32"/>
  <c r="X22" i="32"/>
  <c r="S22" i="32"/>
  <c r="Z22" i="32"/>
  <c r="S23" i="32"/>
  <c r="Z23" i="32"/>
  <c r="X23" i="32"/>
  <c r="W23" i="32"/>
  <c r="Y23" i="32"/>
  <c r="AE16" i="31"/>
  <c r="Z16" i="31"/>
  <c r="M16" i="31"/>
  <c r="O16" i="31"/>
  <c r="U16" i="31"/>
  <c r="Y16" i="31"/>
  <c r="K16" i="31"/>
  <c r="X16" i="31"/>
  <c r="T16" i="31"/>
  <c r="R16" i="31"/>
  <c r="W16" i="31"/>
  <c r="Q16" i="31"/>
  <c r="S16" i="31"/>
  <c r="V16" i="31"/>
  <c r="P16" i="31"/>
  <c r="K17" i="31"/>
  <c r="S17" i="31" s="1"/>
  <c r="H397" i="33" s="1"/>
  <c r="T17" i="31"/>
  <c r="W17" i="31"/>
  <c r="U17" i="31"/>
  <c r="O17" i="31"/>
  <c r="K18" i="31"/>
  <c r="K19" i="31"/>
  <c r="K20" i="31"/>
  <c r="K21" i="31"/>
  <c r="K22" i="31"/>
  <c r="S23" i="31"/>
  <c r="R23" i="31"/>
  <c r="Q23" i="31"/>
  <c r="O23" i="31"/>
  <c r="Z23" i="31"/>
  <c r="M23" i="31"/>
  <c r="Y23" i="31"/>
  <c r="X23" i="31"/>
  <c r="W23" i="31"/>
  <c r="V23" i="31"/>
  <c r="U23" i="31"/>
  <c r="T23" i="31"/>
  <c r="P23" i="31"/>
  <c r="K23" i="31"/>
  <c r="K24" i="31"/>
  <c r="S24" i="31" s="1"/>
  <c r="V24" i="31"/>
  <c r="M24" i="31"/>
  <c r="N24" i="31" s="1"/>
  <c r="Y24" i="31"/>
  <c r="Q24" i="31"/>
  <c r="O24" i="31"/>
  <c r="T24" i="31"/>
  <c r="Z24" i="31"/>
  <c r="K25" i="31"/>
  <c r="M25" i="31"/>
  <c r="N25" i="31" s="1"/>
  <c r="S25" i="31"/>
  <c r="Q25" i="31"/>
  <c r="Z25" i="31"/>
  <c r="K26" i="31"/>
  <c r="P26" i="31" s="1"/>
  <c r="K27" i="31"/>
  <c r="Y27" i="31" s="1"/>
  <c r="P27" i="31"/>
  <c r="X27" i="31"/>
  <c r="S27" i="31"/>
  <c r="O27" i="31"/>
  <c r="W27" i="31"/>
  <c r="M27" i="31"/>
  <c r="K28" i="31"/>
  <c r="X28" i="31" s="1"/>
  <c r="P28" i="31"/>
  <c r="O28" i="31"/>
  <c r="Q28" i="31"/>
  <c r="M28" i="31"/>
  <c r="U28" i="31"/>
  <c r="T28" i="31"/>
  <c r="S28" i="31"/>
  <c r="R28" i="31"/>
  <c r="O29" i="31"/>
  <c r="Q29" i="31"/>
  <c r="S29" i="31"/>
  <c r="R29" i="31"/>
  <c r="M29" i="31"/>
  <c r="P29" i="31"/>
  <c r="K29" i="31"/>
  <c r="X13" i="30" l="1"/>
  <c r="G72" i="33"/>
  <c r="H75" i="33"/>
  <c r="G568" i="33"/>
  <c r="H571" i="33"/>
  <c r="X20" i="30"/>
  <c r="X8" i="30"/>
  <c r="X43" i="30"/>
  <c r="V25" i="31"/>
  <c r="H645" i="33" s="1"/>
  <c r="P25" i="31"/>
  <c r="X18" i="30"/>
  <c r="X38" i="30"/>
  <c r="H146" i="33"/>
  <c r="G141" i="33"/>
  <c r="X17" i="30"/>
  <c r="X16" i="30"/>
  <c r="X40" i="30"/>
  <c r="Q18" i="30"/>
  <c r="X32" i="30"/>
  <c r="R17" i="31"/>
  <c r="H314" i="33" s="1"/>
  <c r="M17" i="31"/>
  <c r="Y17" i="31"/>
  <c r="H869" i="33" s="1"/>
  <c r="G488" i="33"/>
  <c r="G569" i="33"/>
  <c r="V26" i="31"/>
  <c r="Q26" i="31"/>
  <c r="X26" i="31"/>
  <c r="T26" i="31"/>
  <c r="Q133" i="30"/>
  <c r="AA133" i="30" s="1"/>
  <c r="H652" i="33"/>
  <c r="Q24" i="30"/>
  <c r="AA24" i="30" s="1"/>
  <c r="X23" i="30"/>
  <c r="X25" i="30"/>
  <c r="X47" i="30"/>
  <c r="G321" i="33"/>
  <c r="H324" i="33"/>
  <c r="Q40" i="30"/>
  <c r="X35" i="30"/>
  <c r="Q19" i="30"/>
  <c r="X31" i="30"/>
  <c r="D25" i="48"/>
  <c r="E25" i="48" s="1"/>
  <c r="B17" i="44" a="1"/>
  <c r="H28" i="44" s="1"/>
  <c r="H29" i="44" s="1"/>
  <c r="H400" i="33"/>
  <c r="Q47" i="30"/>
  <c r="Z18" i="30"/>
  <c r="G237" i="33"/>
  <c r="H322" i="33"/>
  <c r="G319" i="33"/>
  <c r="X10" i="30"/>
  <c r="E117" i="40"/>
  <c r="Z47" i="30"/>
  <c r="X14" i="30"/>
  <c r="X21" i="30"/>
  <c r="X9" i="30"/>
  <c r="Z40" i="30"/>
  <c r="X22" i="30"/>
  <c r="G649" i="33"/>
  <c r="Q158" i="30"/>
  <c r="AA158" i="30" s="1"/>
  <c r="X15" i="30"/>
  <c r="F87" i="41"/>
  <c r="E106" i="40"/>
  <c r="H11" i="47"/>
  <c r="Q24" i="46" a="1"/>
  <c r="Q36" i="30"/>
  <c r="X30" i="30"/>
  <c r="Q56" i="41"/>
  <c r="Q59" i="41" s="1"/>
  <c r="E100" i="40" s="1"/>
  <c r="Q45" i="30"/>
  <c r="Q26" i="46" a="1"/>
  <c r="X49" i="30"/>
  <c r="H1962" i="28"/>
  <c r="H1979" i="28"/>
  <c r="H1992" i="28"/>
  <c r="H1997" i="28"/>
  <c r="H2011" i="28"/>
  <c r="H2009" i="28"/>
  <c r="H2041" i="28"/>
  <c r="H2043" i="28"/>
  <c r="H2045" i="28"/>
  <c r="H1982" i="28"/>
  <c r="H2040" i="28"/>
  <c r="H1984" i="28"/>
  <c r="H2031" i="28"/>
  <c r="H2073" i="28"/>
  <c r="H1853" i="28"/>
  <c r="H2063" i="28"/>
  <c r="H1996" i="28"/>
  <c r="H1995" i="28"/>
  <c r="H2112" i="28"/>
  <c r="H2080" i="28"/>
  <c r="H1858" i="28"/>
  <c r="H1893" i="28"/>
  <c r="H2004" i="28"/>
  <c r="H1959" i="28"/>
  <c r="H2013" i="28"/>
  <c r="H2114" i="28"/>
  <c r="H2000" i="28"/>
  <c r="H2118" i="28"/>
  <c r="H1949" i="28"/>
  <c r="H1921" i="28"/>
  <c r="H2102" i="28"/>
  <c r="H2124" i="28"/>
  <c r="H1889" i="28"/>
  <c r="H2107" i="28"/>
  <c r="H1988" i="28"/>
  <c r="H1835" i="28"/>
  <c r="H1875" i="28"/>
  <c r="H2010" i="28"/>
  <c r="H2085" i="28"/>
  <c r="H1998" i="28"/>
  <c r="H2001" i="28"/>
  <c r="H1857" i="28"/>
  <c r="H2091" i="28"/>
  <c r="H1964" i="28"/>
  <c r="H2090" i="28"/>
  <c r="H2015" i="28"/>
  <c r="H1848" i="28"/>
  <c r="H2027" i="28"/>
  <c r="H1987" i="28"/>
  <c r="H2019" i="28"/>
  <c r="H2052" i="28"/>
  <c r="H1948" i="28"/>
  <c r="H1897" i="28"/>
  <c r="H2006" i="28"/>
  <c r="H1922" i="28"/>
  <c r="H1907" i="28"/>
  <c r="H2047" i="28"/>
  <c r="H2077" i="28"/>
  <c r="H1852" i="28"/>
  <c r="H2051" i="28"/>
  <c r="H1898" i="28"/>
  <c r="H2084" i="28"/>
  <c r="H2100" i="28"/>
  <c r="H2069" i="28"/>
  <c r="H1966" i="28"/>
  <c r="AA18" i="30"/>
  <c r="AA40" i="30"/>
  <c r="AA47" i="30"/>
  <c r="AA36" i="30"/>
  <c r="AA19" i="30"/>
  <c r="AA45" i="30"/>
  <c r="H2549" i="28"/>
  <c r="H2973" i="28"/>
  <c r="H2547" i="28"/>
  <c r="H2537" i="28"/>
  <c r="H225" i="28"/>
  <c r="H2527" i="28"/>
  <c r="H2988" i="28"/>
  <c r="H100" i="28"/>
  <c r="H2991" i="28"/>
  <c r="H2521" i="28"/>
  <c r="H2997" i="28"/>
  <c r="H2684" i="28"/>
  <c r="H255" i="28"/>
  <c r="H98" i="28"/>
  <c r="H239" i="28"/>
  <c r="H2698" i="28"/>
  <c r="H8" i="28"/>
  <c r="H11" i="28"/>
  <c r="H14" i="28"/>
  <c r="H15" i="28"/>
  <c r="H2711" i="28"/>
  <c r="H2675" i="28"/>
  <c r="H19" i="28"/>
  <c r="H2674" i="28"/>
  <c r="H2705" i="28"/>
  <c r="H26" i="28"/>
  <c r="H63" i="28"/>
  <c r="H2785" i="28"/>
  <c r="H32" i="28"/>
  <c r="H2786" i="28"/>
  <c r="H205" i="28"/>
  <c r="H2792" i="28"/>
  <c r="H248" i="28"/>
  <c r="H51" i="28"/>
  <c r="H2667" i="28"/>
  <c r="H2799" i="28"/>
  <c r="H2666" i="28"/>
  <c r="H2803" i="28"/>
  <c r="H209" i="28"/>
  <c r="H210" i="28"/>
  <c r="H265" i="28"/>
  <c r="H2806" i="28"/>
  <c r="H2808" i="28"/>
  <c r="H72" i="28"/>
  <c r="H2734" i="28"/>
  <c r="H75" i="28"/>
  <c r="H2810" i="28"/>
  <c r="H77" i="28"/>
  <c r="H80" i="28"/>
  <c r="H251" i="28"/>
  <c r="H2664" i="28"/>
  <c r="H2821" i="28"/>
  <c r="H137" i="28"/>
  <c r="H110" i="28"/>
  <c r="H2716" i="28"/>
  <c r="H2552" i="28"/>
  <c r="H218" i="28"/>
  <c r="H257" i="28"/>
  <c r="H2629" i="28"/>
  <c r="H2829" i="28"/>
  <c r="H2628" i="28"/>
  <c r="H2831" i="28"/>
  <c r="H2626" i="28"/>
  <c r="H162" i="28"/>
  <c r="H2882" i="28"/>
  <c r="H2694" i="28"/>
  <c r="H2836" i="28"/>
  <c r="H2837" i="28"/>
  <c r="H2657" i="28"/>
  <c r="H2883" i="28"/>
  <c r="H2936" i="28"/>
  <c r="H2841" i="28"/>
  <c r="H219" i="28"/>
  <c r="H2843" i="28"/>
  <c r="H188" i="28"/>
  <c r="H2901" i="28"/>
  <c r="H2961" i="28"/>
  <c r="H198" i="28"/>
  <c r="H2701" i="28"/>
  <c r="H2605" i="28"/>
  <c r="H133" i="28"/>
  <c r="H2756" i="28"/>
  <c r="H2746" i="28"/>
  <c r="H2765" i="28"/>
  <c r="H2932" i="28"/>
  <c r="H2903" i="28"/>
  <c r="H201" i="28"/>
  <c r="H2691" i="28"/>
  <c r="H2944" i="28"/>
  <c r="H2859" i="28"/>
  <c r="H112" i="28"/>
  <c r="H2614" i="28"/>
  <c r="H2907" i="28"/>
  <c r="H2863" i="28"/>
  <c r="H2736" i="28"/>
  <c r="H2644" i="28"/>
  <c r="H2865" i="28"/>
  <c r="H163" i="28"/>
  <c r="H2939" i="28"/>
  <c r="H2710" i="28"/>
  <c r="H2922" i="28"/>
  <c r="H2949" i="28"/>
  <c r="H2638" i="28"/>
  <c r="H2692" i="28"/>
  <c r="H2579" i="28"/>
  <c r="H2993" i="28"/>
  <c r="H2875" i="28"/>
  <c r="H2926" i="28"/>
  <c r="H2966" i="28"/>
  <c r="H2723" i="28"/>
  <c r="H2797" i="28"/>
  <c r="H2963" i="28"/>
  <c r="H220" i="28"/>
  <c r="H2522" i="28"/>
  <c r="H2555" i="28"/>
  <c r="H2990" i="28"/>
  <c r="H2742" i="28"/>
  <c r="H2830" i="28"/>
  <c r="H2668" i="28"/>
  <c r="H2946" i="28"/>
  <c r="H2943" i="28"/>
  <c r="H140" i="28"/>
  <c r="H109" i="28"/>
  <c r="H2564" i="28"/>
  <c r="H2941" i="28"/>
  <c r="H2566" i="28"/>
  <c r="H2526" i="28"/>
  <c r="H2986" i="28"/>
  <c r="H2931" i="28"/>
  <c r="H2570" i="28"/>
  <c r="H2528" i="28"/>
  <c r="H141" i="28"/>
  <c r="H2789" i="28"/>
  <c r="H246" i="28"/>
  <c r="H2575" i="28"/>
  <c r="H2787" i="28"/>
  <c r="H224" i="28"/>
  <c r="H2578" i="28"/>
  <c r="H2924" i="28"/>
  <c r="H2783" i="28"/>
  <c r="H2923" i="28"/>
  <c r="H114" i="28"/>
  <c r="H2983" i="28"/>
  <c r="H2920" i="28"/>
  <c r="H2585" i="28"/>
  <c r="H2919" i="28"/>
  <c r="H2780" i="28"/>
  <c r="H2588" i="28"/>
  <c r="H212" i="28"/>
  <c r="H2590" i="28"/>
  <c r="H2591" i="28"/>
  <c r="H195" i="28"/>
  <c r="H2532" i="28"/>
  <c r="H2676" i="28"/>
  <c r="H2725" i="28"/>
  <c r="H2596" i="28"/>
  <c r="H168" i="28"/>
  <c r="H2912" i="28"/>
  <c r="H2911" i="28"/>
  <c r="H249" i="28"/>
  <c r="H2910" i="28"/>
  <c r="H2706" i="28"/>
  <c r="H185" i="28"/>
  <c r="H120" i="28"/>
  <c r="H2904" i="28"/>
  <c r="H121" i="28"/>
  <c r="H3000" i="28"/>
  <c r="H2775" i="28"/>
  <c r="H181" i="28"/>
  <c r="H232" i="28"/>
  <c r="H2899" i="28"/>
  <c r="H2897" i="28"/>
  <c r="H2773" i="28"/>
  <c r="H2729" i="28"/>
  <c r="H2894" i="28"/>
  <c r="H2892" i="28"/>
  <c r="H2712" i="28"/>
  <c r="H2700" i="28"/>
  <c r="H2886" i="28"/>
  <c r="H2620" i="28"/>
  <c r="H2621" i="28"/>
  <c r="H2770" i="28"/>
  <c r="H2768" i="28"/>
  <c r="H2977" i="28"/>
  <c r="H2718" i="28"/>
  <c r="H194" i="28"/>
  <c r="H2627" i="28"/>
  <c r="H2517" i="28"/>
  <c r="H2539" i="28"/>
  <c r="H2766" i="28"/>
  <c r="H2874" i="28"/>
  <c r="H253" i="28"/>
  <c r="H2715" i="28"/>
  <c r="H2763" i="28"/>
  <c r="H2813" i="28"/>
  <c r="H2714" i="28"/>
  <c r="H130" i="28"/>
  <c r="H2541" i="28"/>
  <c r="H2639" i="28"/>
  <c r="H2812" i="28"/>
  <c r="H105" i="28"/>
  <c r="H2758" i="28"/>
  <c r="H158" i="28"/>
  <c r="H2864" i="28"/>
  <c r="H2646" i="28"/>
  <c r="H2855" i="28"/>
  <c r="H2648" i="28"/>
  <c r="H2649" i="28"/>
  <c r="H2850" i="28"/>
  <c r="H228" i="28"/>
  <c r="H134" i="28"/>
  <c r="H2653" i="28"/>
  <c r="H2846" i="28"/>
  <c r="H150" i="28"/>
  <c r="H2839" i="28"/>
  <c r="H2975" i="28"/>
  <c r="H3006" i="28"/>
  <c r="H7" i="28"/>
  <c r="H204" i="28"/>
  <c r="H16" i="28"/>
  <c r="H2545" i="28"/>
  <c r="H18" i="28"/>
  <c r="H20" i="28"/>
  <c r="H258" i="28"/>
  <c r="H252" i="28"/>
  <c r="H25" i="28"/>
  <c r="H37" i="28"/>
  <c r="H38" i="28"/>
  <c r="H40" i="28"/>
  <c r="H206" i="28"/>
  <c r="H43" i="28"/>
  <c r="H3004" i="28"/>
  <c r="H3002" i="28"/>
  <c r="H233" i="28"/>
  <c r="H53" i="28"/>
  <c r="H267" i="28"/>
  <c r="H57" i="28"/>
  <c r="H58" i="28"/>
  <c r="H208" i="28"/>
  <c r="H66" i="28"/>
  <c r="H71" i="28"/>
  <c r="H263" i="28"/>
  <c r="H81" i="28"/>
  <c r="H83" i="28"/>
  <c r="H261" i="28"/>
  <c r="H88" i="28"/>
  <c r="H96" i="28"/>
  <c r="H2856" i="28"/>
  <c r="H2634" i="28"/>
  <c r="H2636" i="28"/>
  <c r="H2642" i="28"/>
  <c r="H217" i="28"/>
  <c r="H2655" i="28"/>
  <c r="H2659" i="28"/>
  <c r="H2662" i="28"/>
  <c r="H138" i="28"/>
  <c r="H2672" i="28"/>
  <c r="H2677" i="28"/>
  <c r="H2680" i="28"/>
  <c r="H144" i="28"/>
  <c r="H2686" i="28"/>
  <c r="H2688" i="28"/>
  <c r="H146" i="28"/>
  <c r="H2693" i="28"/>
  <c r="H2696" i="28"/>
  <c r="H2699" i="28"/>
  <c r="H97" i="28"/>
  <c r="H2709" i="28"/>
  <c r="H2720" i="28"/>
  <c r="H2722" i="28"/>
  <c r="H2726" i="28"/>
  <c r="H2727" i="28"/>
  <c r="H2728" i="28"/>
  <c r="H2731" i="28"/>
  <c r="H2733" i="28"/>
  <c r="H2737" i="28"/>
  <c r="H155" i="28"/>
  <c r="H2744" i="28"/>
  <c r="H2745" i="28"/>
  <c r="H241" i="28"/>
  <c r="H2759" i="28"/>
  <c r="H2760" i="28"/>
  <c r="H2767" i="28"/>
  <c r="H165" i="28"/>
  <c r="H2772" i="28"/>
  <c r="H2778" i="28"/>
  <c r="H2784" i="28"/>
  <c r="H173" i="28"/>
  <c r="H2793" i="28"/>
  <c r="H2794" i="28"/>
  <c r="H176" i="28"/>
  <c r="H2796" i="28"/>
  <c r="H2807" i="28"/>
  <c r="H2809" i="28"/>
  <c r="H2815" i="28"/>
  <c r="H2818" i="28"/>
  <c r="H229" i="28"/>
  <c r="H2825" i="28"/>
  <c r="H184" i="28"/>
  <c r="H2833" i="28"/>
  <c r="H2834" i="28"/>
  <c r="H2835" i="28"/>
  <c r="H187" i="28"/>
  <c r="H2848" i="28"/>
  <c r="H227" i="28"/>
  <c r="H2852" i="28"/>
  <c r="H2854" i="28"/>
  <c r="H2868" i="28"/>
  <c r="H2872" i="28"/>
  <c r="H2885" i="28"/>
  <c r="H2888" i="28"/>
  <c r="H2889" i="28"/>
  <c r="H2896" i="28"/>
  <c r="H2905" i="28"/>
  <c r="H2908" i="28"/>
  <c r="H2914" i="28"/>
  <c r="H2927" i="28"/>
  <c r="H2933" i="28"/>
  <c r="H2942" i="28"/>
  <c r="H2948" i="28"/>
  <c r="H2954" i="28"/>
  <c r="H200" i="28"/>
  <c r="H2956" i="28"/>
  <c r="H2960" i="28"/>
  <c r="H2964" i="28"/>
  <c r="H2969" i="28"/>
  <c r="H2970" i="28"/>
  <c r="H2979" i="28"/>
  <c r="H2984" i="28"/>
  <c r="H2998" i="28"/>
  <c r="H2516" i="28"/>
  <c r="H2518" i="28"/>
  <c r="H2524" i="28"/>
  <c r="H9" i="28"/>
  <c r="H10" i="28"/>
  <c r="H101" i="28"/>
  <c r="H13" i="28"/>
  <c r="H103" i="28"/>
  <c r="H2535" i="28"/>
  <c r="H104" i="28"/>
  <c r="H2540" i="28"/>
  <c r="H2542" i="28"/>
  <c r="H2550" i="28"/>
  <c r="H2551" i="28"/>
  <c r="H30" i="28"/>
  <c r="H36" i="28"/>
  <c r="H222" i="28"/>
  <c r="H2562" i="28"/>
  <c r="H2572" i="28"/>
  <c r="H113" i="28"/>
  <c r="H2574" i="28"/>
  <c r="H44" i="28"/>
  <c r="H2576" i="28"/>
  <c r="H2580" i="28"/>
  <c r="H2587" i="28"/>
  <c r="H118" i="28"/>
  <c r="H2595" i="28"/>
  <c r="H56" i="28"/>
  <c r="H2597" i="28"/>
  <c r="H2600" i="28"/>
  <c r="H59" i="28"/>
  <c r="H2602" i="28"/>
  <c r="H61" i="28"/>
  <c r="H65" i="28"/>
  <c r="H123" i="28"/>
  <c r="H264" i="28"/>
  <c r="H69" i="28"/>
  <c r="H2613" i="28"/>
  <c r="H74" i="28"/>
  <c r="H2618" i="28"/>
  <c r="H221" i="28"/>
  <c r="H262" i="28"/>
  <c r="H2623" i="28"/>
  <c r="H84" i="28"/>
  <c r="H85" i="28"/>
  <c r="H2625" i="28"/>
  <c r="H127" i="28"/>
  <c r="H260" i="28"/>
  <c r="H90" i="28"/>
  <c r="H129" i="28"/>
  <c r="H2992" i="28"/>
  <c r="H2994" i="28"/>
  <c r="H2651" i="28"/>
  <c r="H244" i="28"/>
  <c r="H191" i="28"/>
  <c r="H2999" i="28"/>
  <c r="H2747" i="28"/>
  <c r="H99" i="28"/>
  <c r="H2645" i="28"/>
  <c r="H2857" i="28"/>
  <c r="H2945" i="28"/>
  <c r="H143" i="28"/>
  <c r="H2917" i="28"/>
  <c r="H167" i="28"/>
  <c r="H2681" i="28"/>
  <c r="H2761" i="28"/>
  <c r="H169" i="28"/>
  <c r="H115" i="28"/>
  <c r="H2558" i="28"/>
  <c r="H2877" i="28"/>
  <c r="H238" i="28"/>
  <c r="H2928" i="28"/>
  <c r="H2619" i="28"/>
  <c r="H2887" i="28"/>
  <c r="H24" i="28"/>
  <c r="H243" i="28"/>
  <c r="H2571" i="28"/>
  <c r="H2616" i="28"/>
  <c r="H2615" i="28"/>
  <c r="H31" i="28"/>
  <c r="H199" i="28"/>
  <c r="H33" i="28"/>
  <c r="H35" i="28"/>
  <c r="H2898" i="28"/>
  <c r="H2673" i="28"/>
  <c r="H215" i="28"/>
  <c r="H2609" i="28"/>
  <c r="H2754" i="28"/>
  <c r="H46" i="28"/>
  <c r="H49" i="28"/>
  <c r="H153" i="28"/>
  <c r="H256" i="28"/>
  <c r="H2732" i="28"/>
  <c r="H2557" i="28"/>
  <c r="H2553" i="28"/>
  <c r="H2800" i="28"/>
  <c r="H2967" i="28"/>
  <c r="H2802" i="28"/>
  <c r="H2687" i="28"/>
  <c r="H2739" i="28"/>
  <c r="H2660" i="28"/>
  <c r="H2805" i="28"/>
  <c r="H2548" i="28"/>
  <c r="H2832" i="28"/>
  <c r="H154" i="28"/>
  <c r="H2538" i="28"/>
  <c r="H2717" i="28"/>
  <c r="H2685" i="28"/>
  <c r="H135" i="28"/>
  <c r="H2533" i="28"/>
  <c r="H78" i="28"/>
  <c r="H79" i="28"/>
  <c r="H186" i="28"/>
  <c r="H156" i="28"/>
  <c r="H2845" i="28"/>
  <c r="H2735" i="28"/>
  <c r="H2816" i="28"/>
  <c r="H2593" i="28"/>
  <c r="H2819" i="28"/>
  <c r="H259" i="28"/>
  <c r="H92" i="28"/>
  <c r="H94" i="28"/>
  <c r="H95" i="28"/>
  <c r="H231" i="28"/>
  <c r="H29" i="28"/>
  <c r="H214" i="28"/>
  <c r="H2599" i="28"/>
  <c r="H2598" i="28"/>
  <c r="H2915" i="28"/>
  <c r="H117" i="28"/>
  <c r="H116" i="28"/>
  <c r="H2678" i="28"/>
  <c r="H2584" i="28"/>
  <c r="H2583" i="28"/>
  <c r="H2581" i="28"/>
  <c r="H2569" i="28"/>
  <c r="H197" i="28"/>
  <c r="H2935" i="28"/>
  <c r="H2721" i="28"/>
  <c r="H171" i="28"/>
  <c r="H235" i="28"/>
  <c r="H22" i="28"/>
  <c r="H2560" i="28"/>
  <c r="H2556" i="28"/>
  <c r="H2953" i="28"/>
  <c r="H145" i="28"/>
  <c r="H27" i="28"/>
  <c r="H28" i="28"/>
  <c r="H2554" i="28"/>
  <c r="H2647" i="28"/>
  <c r="H164" i="28"/>
  <c r="H2823" i="28"/>
  <c r="H2738" i="28"/>
  <c r="H34" i="28"/>
  <c r="H2827" i="28"/>
  <c r="H2654" i="28"/>
  <c r="H2965" i="28"/>
  <c r="H2713" i="28"/>
  <c r="H2851" i="28"/>
  <c r="H2671" i="28"/>
  <c r="H41" i="28"/>
  <c r="H174" i="28"/>
  <c r="H175" i="28"/>
  <c r="H192" i="28"/>
  <c r="H2968" i="28"/>
  <c r="H2860" i="28"/>
  <c r="H207" i="28"/>
  <c r="H48" i="28"/>
  <c r="H2861" i="28"/>
  <c r="H226" i="28"/>
  <c r="H2866" i="28"/>
  <c r="H2703" i="28"/>
  <c r="H2867" i="28"/>
  <c r="H54" i="28"/>
  <c r="H157" i="28"/>
  <c r="H2798" i="28"/>
  <c r="H2544" i="28"/>
  <c r="H131" i="28"/>
  <c r="H2640" i="28"/>
  <c r="H2978" i="28"/>
  <c r="H2635" i="28"/>
  <c r="H2631" i="28"/>
  <c r="H2577" i="28"/>
  <c r="H2981" i="28"/>
  <c r="H151" i="28"/>
  <c r="H2876" i="28"/>
  <c r="H2530" i="28"/>
  <c r="H2724" i="28"/>
  <c r="H245" i="28"/>
  <c r="H223" i="28"/>
  <c r="H2529" i="28"/>
  <c r="H2624" i="28"/>
  <c r="H73" i="28"/>
  <c r="H2987" i="28"/>
  <c r="H2884" i="28"/>
  <c r="H2989" i="28"/>
  <c r="H2750" i="28"/>
  <c r="H242" i="28"/>
  <c r="H2890" i="28"/>
  <c r="H2959" i="28"/>
  <c r="H179" i="28"/>
  <c r="H2617" i="28"/>
  <c r="H2893" i="28"/>
  <c r="H2814" i="28"/>
  <c r="H2996" i="28"/>
  <c r="H2708" i="28"/>
  <c r="H87" i="28"/>
  <c r="H2817" i="28"/>
  <c r="H2612" i="28"/>
  <c r="H2900" i="28"/>
  <c r="H122" i="28"/>
  <c r="H3001" i="28"/>
  <c r="H93" i="28"/>
  <c r="H2906" i="28"/>
  <c r="H2755" i="28"/>
  <c r="H2515" i="28"/>
  <c r="H2603" i="28"/>
  <c r="H240" i="28"/>
  <c r="H266" i="28"/>
  <c r="H268" i="28"/>
  <c r="H2525" i="28"/>
  <c r="H2858" i="28"/>
  <c r="H2862" i="28"/>
  <c r="H2536" i="28"/>
  <c r="H2880" i="28"/>
  <c r="H2546" i="28"/>
  <c r="H2916" i="28"/>
  <c r="H2751" i="28"/>
  <c r="H2929" i="28"/>
  <c r="H2565" i="28"/>
  <c r="H2934" i="28"/>
  <c r="H2757" i="28"/>
  <c r="H2573" i="28"/>
  <c r="H2582" i="28"/>
  <c r="H2937" i="28"/>
  <c r="H2764" i="28"/>
  <c r="H2951" i="28"/>
  <c r="H2955" i="28"/>
  <c r="H2962" i="28"/>
  <c r="H2604" i="28"/>
  <c r="H2980" i="28"/>
  <c r="H2607" i="28"/>
  <c r="H2985" i="28"/>
  <c r="H12" i="28"/>
  <c r="H39" i="28"/>
  <c r="H2622" i="28"/>
  <c r="H2630" i="28"/>
  <c r="H42" i="28"/>
  <c r="H2633" i="28"/>
  <c r="H47" i="28"/>
  <c r="H60" i="28"/>
  <c r="H62" i="28"/>
  <c r="H2650" i="28"/>
  <c r="H64" i="28"/>
  <c r="H70" i="28"/>
  <c r="H2658" i="28"/>
  <c r="H102" i="28"/>
  <c r="H2663" i="28"/>
  <c r="H2665" i="28"/>
  <c r="H2669" i="28"/>
  <c r="H2811" i="28"/>
  <c r="H107" i="28"/>
  <c r="H119" i="28"/>
  <c r="H125" i="28"/>
  <c r="H126" i="28"/>
  <c r="H132" i="28"/>
  <c r="H183" i="28"/>
  <c r="H2697" i="28"/>
  <c r="H196" i="28"/>
  <c r="H2995" i="28"/>
  <c r="H234" i="28"/>
  <c r="H189" i="28"/>
  <c r="H2776" i="28"/>
  <c r="H2523" i="28"/>
  <c r="H2531" i="28"/>
  <c r="H2847" i="28"/>
  <c r="H2779" i="28"/>
  <c r="H139" i="28"/>
  <c r="H2561" i="28"/>
  <c r="H2782" i="28"/>
  <c r="H2567" i="28"/>
  <c r="H2879" i="28"/>
  <c r="H178" i="28"/>
  <c r="H2589" i="28"/>
  <c r="H2592" i="28"/>
  <c r="H250" i="28"/>
  <c r="H2950" i="28"/>
  <c r="H2606" i="28"/>
  <c r="H2925" i="28"/>
  <c r="H2918" i="28"/>
  <c r="H2611" i="28"/>
  <c r="H2913" i="28"/>
  <c r="H247" i="28"/>
  <c r="H2957" i="28"/>
  <c r="H2947" i="28"/>
  <c r="H149" i="28"/>
  <c r="H2656" i="28"/>
  <c r="H161" i="28"/>
  <c r="H2976" i="28"/>
  <c r="H2804" i="28"/>
  <c r="H3005" i="28"/>
  <c r="H45" i="28"/>
  <c r="H2820" i="28"/>
  <c r="H2822" i="28"/>
  <c r="H55" i="28"/>
  <c r="H182" i="28"/>
  <c r="H213" i="28"/>
  <c r="H86" i="28"/>
  <c r="H2719" i="28"/>
  <c r="H170" i="28"/>
  <c r="H89" i="28"/>
  <c r="H237" i="28"/>
  <c r="H2743" i="28"/>
  <c r="H2748" i="28"/>
  <c r="H2840" i="28"/>
  <c r="H106" i="28"/>
  <c r="H177" i="28"/>
  <c r="H2762" i="28"/>
  <c r="H128" i="28"/>
  <c r="H2771" i="28"/>
  <c r="H2844" i="28"/>
  <c r="H68" i="28"/>
  <c r="H202" i="28"/>
  <c r="H2769" i="28"/>
  <c r="H67" i="28"/>
  <c r="H180" i="28"/>
  <c r="H2801" i="28"/>
  <c r="H2670" i="28"/>
  <c r="H2826" i="28"/>
  <c r="H52" i="28"/>
  <c r="H2740" i="28"/>
  <c r="H50" i="28"/>
  <c r="H82" i="28"/>
  <c r="H2795" i="28"/>
  <c r="H216" i="28"/>
  <c r="H2643" i="28"/>
  <c r="H2641" i="28"/>
  <c r="H2791" i="28"/>
  <c r="H2902" i="28"/>
  <c r="H190" i="28"/>
  <c r="H2952" i="28"/>
  <c r="H2608" i="28"/>
  <c r="H2930" i="28"/>
  <c r="H2938" i="28"/>
  <c r="H2940" i="28"/>
  <c r="H2781" i="28"/>
  <c r="H2568" i="28"/>
  <c r="H2519" i="28"/>
  <c r="H3003" i="28"/>
  <c r="H2838" i="28"/>
  <c r="H2842" i="28"/>
  <c r="H2520" i="28"/>
  <c r="H2971" i="28"/>
  <c r="H2543" i="28"/>
  <c r="H124" i="28"/>
  <c r="H111" i="28"/>
  <c r="H2752" i="28"/>
  <c r="H147" i="28"/>
  <c r="H2891" i="28"/>
  <c r="H2828" i="28"/>
  <c r="H2632" i="28"/>
  <c r="H2610" i="28"/>
  <c r="H2707" i="28"/>
  <c r="H76" i="28"/>
  <c r="H2601" i="28"/>
  <c r="H2695" i="28"/>
  <c r="H2683" i="28"/>
  <c r="H21" i="28"/>
  <c r="H2790" i="28"/>
  <c r="H160" i="28"/>
  <c r="H2871" i="28"/>
  <c r="H230" i="28"/>
  <c r="H2878" i="28"/>
  <c r="H2682" i="28"/>
  <c r="H2869" i="28"/>
  <c r="H2594" i="28"/>
  <c r="H2637" i="28"/>
  <c r="H2652" i="28"/>
  <c r="H2661" i="28"/>
  <c r="H2679" i="28"/>
  <c r="H2689" i="28"/>
  <c r="H2690" i="28"/>
  <c r="H2702" i="28"/>
  <c r="H2704" i="28"/>
  <c r="H2777" i="28"/>
  <c r="H2741" i="28"/>
  <c r="H2749" i="28"/>
  <c r="H2753" i="28"/>
  <c r="H2774" i="28"/>
  <c r="H254" i="28"/>
  <c r="H2788" i="28"/>
  <c r="H2824" i="28"/>
  <c r="H2849" i="28"/>
  <c r="H2853" i="28"/>
  <c r="H193" i="28"/>
  <c r="H2730" i="28"/>
  <c r="H172" i="28"/>
  <c r="H236" i="28"/>
  <c r="H166" i="28"/>
  <c r="H159" i="28"/>
  <c r="H152" i="28"/>
  <c r="H148" i="28"/>
  <c r="H2873" i="28"/>
  <c r="H142" i="28"/>
  <c r="H136" i="28"/>
  <c r="H108" i="28"/>
  <c r="H91" i="28"/>
  <c r="H211" i="28"/>
  <c r="H203" i="28"/>
  <c r="H23" i="28"/>
  <c r="H17" i="28"/>
  <c r="H2982" i="28"/>
  <c r="H2974" i="28"/>
  <c r="H2972" i="28"/>
  <c r="H2958" i="28"/>
  <c r="H2881" i="28"/>
  <c r="H2895" i="28"/>
  <c r="H2909" i="28"/>
  <c r="H2921" i="28"/>
  <c r="H2534" i="28"/>
  <c r="H2870" i="28"/>
  <c r="H2559" i="28"/>
  <c r="H2563" i="28"/>
  <c r="H2586" i="28"/>
  <c r="P19" i="41"/>
  <c r="P20" i="41" s="1"/>
  <c r="P9" i="46"/>
  <c r="D18" i="47" s="1"/>
  <c r="G19" i="41"/>
  <c r="G20" i="41" s="1"/>
  <c r="G9" i="46"/>
  <c r="E9" i="46"/>
  <c r="Q51" i="41"/>
  <c r="E19" i="41"/>
  <c r="E20" i="41" s="1"/>
  <c r="F9" i="46"/>
  <c r="F19" i="41"/>
  <c r="F20" i="41" s="1"/>
  <c r="N9" i="46"/>
  <c r="N19" i="41"/>
  <c r="N20" i="41" s="1"/>
  <c r="O9" i="46"/>
  <c r="D17" i="47" s="1"/>
  <c r="O19" i="41"/>
  <c r="O20" i="41" s="1"/>
  <c r="H19" i="41"/>
  <c r="H9" i="46"/>
  <c r="L19" i="41"/>
  <c r="L20" i="41" s="1"/>
  <c r="L9" i="46"/>
  <c r="I19" i="41"/>
  <c r="I20" i="41" s="1"/>
  <c r="I9" i="46"/>
  <c r="M9" i="46"/>
  <c r="M19" i="41"/>
  <c r="M20" i="41" s="1"/>
  <c r="K19" i="41"/>
  <c r="K20" i="41" s="1"/>
  <c r="K9" i="46"/>
  <c r="J9" i="46"/>
  <c r="J19" i="41"/>
  <c r="J20" i="41" s="1"/>
  <c r="B31" i="20"/>
  <c r="C25" i="47"/>
  <c r="B32" i="20" s="1"/>
  <c r="C27" i="47"/>
  <c r="F32" i="20" s="1"/>
  <c r="H1814" i="28"/>
  <c r="H1534" i="28"/>
  <c r="H1509" i="28"/>
  <c r="H1660" i="28"/>
  <c r="H1662" i="28"/>
  <c r="H1664" i="28"/>
  <c r="H4379" i="28"/>
  <c r="H2143" i="28"/>
  <c r="H4388" i="28"/>
  <c r="H1802" i="28"/>
  <c r="H1541" i="28"/>
  <c r="H2163" i="28"/>
  <c r="H1679" i="28"/>
  <c r="H2171" i="28"/>
  <c r="H1652" i="28"/>
  <c r="H1597" i="28"/>
  <c r="H2182" i="28"/>
  <c r="H1685" i="28"/>
  <c r="H1790" i="28"/>
  <c r="H1601" i="28"/>
  <c r="H2217" i="28"/>
  <c r="H1604" i="28"/>
  <c r="H1985" i="28"/>
  <c r="H1882" i="28"/>
  <c r="H1876" i="28"/>
  <c r="H1868" i="28"/>
  <c r="H1977" i="28"/>
  <c r="H1859" i="28"/>
  <c r="H1855" i="28"/>
  <c r="H2070" i="28"/>
  <c r="H1957" i="28"/>
  <c r="H2005" i="28"/>
  <c r="H1951" i="28"/>
  <c r="H1689" i="28"/>
  <c r="H4436" i="28"/>
  <c r="H2229" i="28"/>
  <c r="H2230" i="28"/>
  <c r="H4443" i="28"/>
  <c r="H4449" i="28"/>
  <c r="H4450" i="28"/>
  <c r="H4453" i="28"/>
  <c r="H4456" i="28"/>
  <c r="H2259" i="28"/>
  <c r="H1550" i="28"/>
  <c r="H2266" i="28"/>
  <c r="H2032" i="28"/>
  <c r="H2061" i="28"/>
  <c r="H2098" i="28"/>
  <c r="H2017" i="28"/>
  <c r="H2120" i="28"/>
  <c r="H1925" i="28"/>
  <c r="H2078" i="28"/>
  <c r="H2271" i="28"/>
  <c r="H2028" i="28"/>
  <c r="H2119" i="28"/>
  <c r="H1971" i="28"/>
  <c r="H2111" i="28"/>
  <c r="H1535" i="28"/>
  <c r="H2108" i="28"/>
  <c r="H2064" i="28"/>
  <c r="H2065" i="28"/>
  <c r="H2092" i="28"/>
  <c r="H2094" i="28"/>
  <c r="H1980" i="28"/>
  <c r="H2022" i="28"/>
  <c r="H1916" i="28"/>
  <c r="H1877" i="28"/>
  <c r="H2110" i="28"/>
  <c r="H1990" i="28"/>
  <c r="H4461" i="28"/>
  <c r="H1718" i="28"/>
  <c r="H1781" i="28"/>
  <c r="H4468" i="28"/>
  <c r="H1769" i="28"/>
  <c r="H1531" i="28"/>
  <c r="H1615" i="28"/>
  <c r="H1617" i="28"/>
  <c r="H1619" i="28"/>
  <c r="H1833" i="28"/>
  <c r="H4488" i="28"/>
  <c r="H1571" i="28"/>
  <c r="H1628" i="28"/>
  <c r="H4351" i="28"/>
  <c r="H2054" i="28"/>
  <c r="H2123" i="28"/>
  <c r="H2116" i="28"/>
  <c r="H1902" i="28"/>
  <c r="H2106" i="28"/>
  <c r="H2093" i="28"/>
  <c r="H2057" i="28"/>
  <c r="H2066" i="28"/>
  <c r="H1873" i="28"/>
  <c r="H1945" i="28"/>
  <c r="H1975" i="28"/>
  <c r="H1932" i="28"/>
  <c r="H4460" i="28"/>
  <c r="H4463" i="28"/>
  <c r="H4474" i="28"/>
  <c r="H1771" i="28"/>
  <c r="H4479" i="28"/>
  <c r="H1767" i="28"/>
  <c r="H1765" i="28"/>
  <c r="H1618" i="28"/>
  <c r="H1714" i="28"/>
  <c r="H4343" i="28"/>
  <c r="H1820" i="28"/>
  <c r="H1818" i="28"/>
  <c r="H1703" i="28"/>
  <c r="H1669" i="28"/>
  <c r="H1763" i="28"/>
  <c r="H4353" i="28"/>
  <c r="H1568" i="28"/>
  <c r="H1643" i="28"/>
  <c r="H4363" i="28"/>
  <c r="H1507" i="28"/>
  <c r="H1939" i="28"/>
  <c r="H1815" i="28"/>
  <c r="H1731" i="28"/>
  <c r="H1575" i="28"/>
  <c r="H4492" i="28"/>
  <c r="H1712" i="28"/>
  <c r="H4486" i="28"/>
  <c r="H1653" i="28"/>
  <c r="H4387" i="28"/>
  <c r="H1944" i="28"/>
  <c r="H2157" i="28"/>
  <c r="H2165" i="28"/>
  <c r="H4400" i="28"/>
  <c r="H1799" i="28"/>
  <c r="H1795" i="28"/>
  <c r="H1527" i="28"/>
  <c r="H2207" i="28"/>
  <c r="H4422" i="28"/>
  <c r="H1591" i="28"/>
  <c r="H4425" i="28"/>
  <c r="H4428" i="28"/>
  <c r="H1692" i="28"/>
  <c r="H4440" i="28"/>
  <c r="H1784" i="28"/>
  <c r="H2244" i="28"/>
  <c r="H2252" i="28"/>
  <c r="H2258" i="28"/>
  <c r="H4458" i="28"/>
  <c r="H2264" i="28"/>
  <c r="H2270" i="28"/>
  <c r="H1938" i="28"/>
  <c r="H2002" i="28"/>
  <c r="H1836" i="28"/>
  <c r="H1929" i="28"/>
  <c r="H4390" i="28"/>
  <c r="H1632" i="28"/>
  <c r="H4482" i="28"/>
  <c r="H1636" i="28"/>
  <c r="H1759" i="28"/>
  <c r="H1569" i="28"/>
  <c r="H1816" i="28"/>
  <c r="H1644" i="28"/>
  <c r="H1755" i="28"/>
  <c r="H1548" i="28"/>
  <c r="H4340" i="28"/>
  <c r="H1808" i="28"/>
  <c r="H4452" i="28"/>
  <c r="H1817" i="28"/>
  <c r="H2141" i="28"/>
  <c r="H2148" i="28"/>
  <c r="H2158" i="28"/>
  <c r="H2168" i="28"/>
  <c r="H2191" i="28"/>
  <c r="H1563" i="28"/>
  <c r="H4361" i="28"/>
  <c r="H4469" i="28"/>
  <c r="H2220" i="28"/>
  <c r="H2221" i="28"/>
  <c r="H1562" i="28"/>
  <c r="H4372" i="28"/>
  <c r="H2262" i="28"/>
  <c r="H2267" i="28"/>
  <c r="H2268" i="28"/>
  <c r="H1634" i="28"/>
  <c r="H4490" i="28"/>
  <c r="H4491" i="28"/>
  <c r="H1539" i="28"/>
  <c r="H4505" i="28"/>
  <c r="H4391" i="28"/>
  <c r="H1517" i="28"/>
  <c r="H4396" i="28"/>
  <c r="H1588" i="28"/>
  <c r="H1593" i="28"/>
  <c r="H4402" i="28"/>
  <c r="H1603" i="28"/>
  <c r="H1612" i="28"/>
  <c r="H1623" i="28"/>
  <c r="H1635" i="28"/>
  <c r="H1645" i="28"/>
  <c r="H1647" i="28"/>
  <c r="H1553" i="28"/>
  <c r="H1665" i="28"/>
  <c r="H1672" i="28"/>
  <c r="H1681" i="28"/>
  <c r="H4426" i="28"/>
  <c r="H1727" i="28"/>
  <c r="H4430" i="28"/>
  <c r="H1729" i="28"/>
  <c r="H1733" i="28"/>
  <c r="H1744" i="28"/>
  <c r="H1748" i="28"/>
  <c r="H1758" i="28"/>
  <c r="H1775" i="28"/>
  <c r="H4421" i="28"/>
  <c r="H1680" i="28"/>
  <c r="H1682" i="28"/>
  <c r="H1725" i="28"/>
  <c r="H4429" i="28"/>
  <c r="H4431" i="28"/>
  <c r="H4432" i="28"/>
  <c r="H1732" i="28"/>
  <c r="H1742" i="28"/>
  <c r="H1746" i="28"/>
  <c r="H1753" i="28"/>
  <c r="H1773" i="28"/>
  <c r="H4444" i="28"/>
  <c r="H1778" i="28"/>
  <c r="H4447" i="28"/>
  <c r="H2025" i="28"/>
  <c r="H2021" i="28"/>
  <c r="H2020" i="28"/>
  <c r="H2012" i="28"/>
  <c r="H1933" i="28"/>
  <c r="H2008" i="28"/>
  <c r="H1881" i="28"/>
  <c r="H1880" i="28"/>
  <c r="H2176" i="28"/>
  <c r="H2024" i="28"/>
  <c r="H1937" i="28"/>
  <c r="H1887" i="28"/>
  <c r="H2014" i="28"/>
  <c r="H1884" i="28"/>
  <c r="H1967" i="28"/>
  <c r="H1927" i="28"/>
  <c r="H1871" i="28"/>
  <c r="H1999" i="28"/>
  <c r="H2132" i="28"/>
  <c r="H1923" i="28"/>
  <c r="H1894" i="28"/>
  <c r="H1941" i="28"/>
  <c r="H2029" i="28"/>
  <c r="H2034" i="28"/>
  <c r="H2039" i="28"/>
  <c r="H2042" i="28"/>
  <c r="H2053" i="28"/>
  <c r="H2058" i="28"/>
  <c r="H2062" i="28"/>
  <c r="H1841" i="28"/>
  <c r="H2067" i="28"/>
  <c r="H1904" i="28"/>
  <c r="H2072" i="28"/>
  <c r="H1906" i="28"/>
  <c r="H1846" i="28"/>
  <c r="H2074" i="28"/>
  <c r="H2086" i="28"/>
  <c r="H2088" i="28"/>
  <c r="H1910" i="28"/>
  <c r="H1989" i="28"/>
  <c r="H2095" i="28"/>
  <c r="H1913" i="28"/>
  <c r="H2096" i="28"/>
  <c r="H2099" i="28"/>
  <c r="H1993" i="28"/>
  <c r="H2104" i="28"/>
  <c r="H1918" i="28"/>
  <c r="H2115" i="28"/>
  <c r="H1961" i="28"/>
  <c r="H1861" i="28"/>
  <c r="H2127" i="28"/>
  <c r="H1963" i="28"/>
  <c r="H1864" i="28"/>
  <c r="H1866" i="28"/>
  <c r="H1965" i="28"/>
  <c r="H1870" i="28"/>
  <c r="H1919" i="28"/>
  <c r="H1874" i="28"/>
  <c r="H2003" i="28"/>
  <c r="H1930" i="28"/>
  <c r="H1878" i="28"/>
  <c r="H1969" i="28"/>
  <c r="H1892" i="28"/>
  <c r="H4446" i="28"/>
  <c r="H4448" i="28"/>
  <c r="H1793" i="28"/>
  <c r="H4451" i="28"/>
  <c r="H1811" i="28"/>
  <c r="H2134" i="28"/>
  <c r="H4457" i="28"/>
  <c r="H4459" i="28"/>
  <c r="H2162" i="28"/>
  <c r="H2179" i="28"/>
  <c r="H2206" i="28"/>
  <c r="H2209" i="28"/>
  <c r="H2211" i="28"/>
  <c r="H2214" i="28"/>
  <c r="H4366" i="28"/>
  <c r="H4473" i="28"/>
  <c r="H2224" i="28"/>
  <c r="H2231" i="28"/>
  <c r="H2257" i="28"/>
  <c r="H4478" i="28"/>
  <c r="H4377" i="28"/>
  <c r="H1532" i="28"/>
  <c r="H4381" i="28"/>
  <c r="H4487" i="28"/>
  <c r="H4384" i="28"/>
  <c r="H4495" i="28"/>
  <c r="H4503" i="28"/>
  <c r="H1545" i="28"/>
  <c r="H1558" i="28"/>
  <c r="H1573" i="28"/>
  <c r="H1587" i="28"/>
  <c r="H1557" i="28"/>
  <c r="H1590" i="28"/>
  <c r="H1525" i="28"/>
  <c r="H1596" i="28"/>
  <c r="H1611" i="28"/>
  <c r="H1613" i="28"/>
  <c r="H1616" i="28"/>
  <c r="H1625" i="28"/>
  <c r="H4412" i="28"/>
  <c r="H4414" i="28"/>
  <c r="H1656" i="28"/>
  <c r="H4418" i="28"/>
  <c r="H1658" i="28"/>
  <c r="H1780" i="28"/>
  <c r="H1512" i="28"/>
  <c r="H1830" i="28"/>
  <c r="H4344" i="28"/>
  <c r="H1752" i="28"/>
  <c r="H1667" i="28"/>
  <c r="H1697" i="28"/>
  <c r="H4442" i="28"/>
  <c r="H1671" i="28"/>
  <c r="H4360" i="28"/>
  <c r="H1779" i="28"/>
  <c r="H1774" i="28"/>
  <c r="H1699" i="28"/>
  <c r="H4373" i="28"/>
  <c r="H2036" i="28"/>
  <c r="H1845" i="28"/>
  <c r="H2101" i="28"/>
  <c r="H4441" i="28"/>
  <c r="H2044" i="28"/>
  <c r="H1960" i="28"/>
  <c r="H1908" i="28"/>
  <c r="H1912" i="28"/>
  <c r="H1915" i="28"/>
  <c r="H1668" i="28"/>
  <c r="H1683" i="28"/>
  <c r="H4484" i="28"/>
  <c r="H4406" i="28"/>
  <c r="H1792" i="28"/>
  <c r="H2255" i="28"/>
  <c r="H2247" i="28"/>
  <c r="H2242" i="28"/>
  <c r="H1608" i="28"/>
  <c r="H2227" i="28"/>
  <c r="H1606" i="28"/>
  <c r="H2210" i="28"/>
  <c r="H2183" i="28"/>
  <c r="H2173" i="28"/>
  <c r="H2166" i="28"/>
  <c r="H2153" i="28"/>
  <c r="H2142" i="28"/>
  <c r="H2159" i="28"/>
  <c r="H4497" i="28"/>
  <c r="H2177" i="28"/>
  <c r="H1599" i="28"/>
  <c r="H2194" i="28"/>
  <c r="H2223" i="28"/>
  <c r="H2225" i="28"/>
  <c r="H2233" i="28"/>
  <c r="H2228" i="28"/>
  <c r="H1723" i="28"/>
  <c r="H2272" i="28"/>
  <c r="H1754" i="28"/>
  <c r="H1642" i="28"/>
  <c r="H1760" i="28"/>
  <c r="H1630" i="28"/>
  <c r="H4485" i="28"/>
  <c r="H1624" i="28"/>
  <c r="H1621" i="28"/>
  <c r="H1620" i="28"/>
  <c r="H1602" i="28"/>
  <c r="H1786" i="28"/>
  <c r="H4435" i="28"/>
  <c r="H1516" i="28"/>
  <c r="H2260" i="28"/>
  <c r="H2253" i="28"/>
  <c r="H2243" i="28"/>
  <c r="H1583" i="28"/>
  <c r="H1577" i="28"/>
  <c r="H4376" i="28"/>
  <c r="H1869" i="28"/>
  <c r="H1675" i="28"/>
  <c r="H4371" i="28"/>
  <c r="H4424" i="28"/>
  <c r="H1737" i="28"/>
  <c r="H4420" i="28"/>
  <c r="H1576" i="28"/>
  <c r="H4362" i="28"/>
  <c r="H1687" i="28"/>
  <c r="H4356" i="28"/>
  <c r="H1551" i="28"/>
  <c r="H1976" i="28"/>
  <c r="H1911" i="28"/>
  <c r="H2048" i="28"/>
  <c r="H1954" i="28"/>
  <c r="H2059" i="28"/>
  <c r="H1934" i="28"/>
  <c r="H1850" i="28"/>
  <c r="H2133" i="28"/>
  <c r="H1844" i="28"/>
  <c r="H2037" i="28"/>
  <c r="H1986" i="28"/>
  <c r="H1983" i="28"/>
  <c r="H1972" i="28"/>
  <c r="H1978" i="28"/>
  <c r="H1885" i="28"/>
  <c r="H2035" i="28"/>
  <c r="H1891" i="28"/>
  <c r="H2113" i="28"/>
  <c r="H1896" i="28"/>
  <c r="H2023" i="28"/>
  <c r="H1901" i="28"/>
  <c r="H1905" i="28"/>
  <c r="H1968" i="28"/>
  <c r="H1970" i="28"/>
  <c r="H1973" i="28"/>
  <c r="H2156" i="28"/>
  <c r="H2150" i="28"/>
  <c r="H1592" i="28"/>
  <c r="H2219" i="28"/>
  <c r="H1707" i="28"/>
  <c r="H1734" i="28"/>
  <c r="H1757" i="28"/>
  <c r="H1705" i="28"/>
  <c r="H1704" i="28"/>
  <c r="H1764" i="28"/>
  <c r="H4504" i="28"/>
  <c r="H1736" i="28"/>
  <c r="H4438" i="28"/>
  <c r="H1801" i="28"/>
  <c r="H1730" i="28"/>
  <c r="H1803" i="28"/>
  <c r="H1789" i="28"/>
  <c r="H1520" i="28"/>
  <c r="H1834" i="28"/>
  <c r="H1837" i="28"/>
  <c r="H1800" i="28"/>
  <c r="H4341" i="28"/>
  <c r="H1741" i="28"/>
  <c r="H1693" i="28"/>
  <c r="H1542" i="28"/>
  <c r="H4380" i="28"/>
  <c r="H1676" i="28"/>
  <c r="H1812" i="28"/>
  <c r="H2076" i="28"/>
  <c r="H2146" i="28"/>
  <c r="H1717" i="28"/>
  <c r="H2155" i="28"/>
  <c r="H4374" i="28"/>
  <c r="H1595" i="28"/>
  <c r="H2164" i="28"/>
  <c r="H4405" i="28"/>
  <c r="H2172" i="28"/>
  <c r="H4413" i="28"/>
  <c r="H2181" i="28"/>
  <c r="H4427" i="28"/>
  <c r="H4439" i="28"/>
  <c r="H2198" i="28"/>
  <c r="H1600" i="28"/>
  <c r="H4455" i="28"/>
  <c r="H1552" i="28"/>
  <c r="H4475" i="28"/>
  <c r="H1626" i="28"/>
  <c r="H1639" i="28"/>
  <c r="H1657" i="28"/>
  <c r="H1663" i="28"/>
  <c r="H1691" i="28"/>
  <c r="H2246" i="28"/>
  <c r="H1709" i="28"/>
  <c r="H2256" i="28"/>
  <c r="H1720" i="28"/>
  <c r="H4337" i="28"/>
  <c r="H1574" i="28"/>
  <c r="H4500" i="28"/>
  <c r="H1581" i="28"/>
  <c r="H1991" i="28"/>
  <c r="H2018" i="28"/>
  <c r="H1851" i="28"/>
  <c r="H1860" i="28"/>
  <c r="H1981" i="28"/>
  <c r="H2126" i="28"/>
  <c r="H2016" i="28"/>
  <c r="H1947" i="28"/>
  <c r="H1899" i="28"/>
  <c r="H1797" i="28"/>
  <c r="H4494" i="28"/>
  <c r="H1828" i="28"/>
  <c r="H4339" i="28"/>
  <c r="H1570" i="28"/>
  <c r="H4350" i="28"/>
  <c r="H4352" i="28"/>
  <c r="H2152" i="28"/>
  <c r="H4364" i="28"/>
  <c r="H4369" i="28"/>
  <c r="H4378" i="28"/>
  <c r="H4385" i="28"/>
  <c r="H4398" i="28"/>
  <c r="H4404" i="28"/>
  <c r="H4407" i="28"/>
  <c r="H1556" i="28"/>
  <c r="H4416" i="28"/>
  <c r="H4423" i="28"/>
  <c r="H4434" i="28"/>
  <c r="H2195" i="28"/>
  <c r="H2197" i="28"/>
  <c r="H2204" i="28"/>
  <c r="H1528" i="28"/>
  <c r="H4462" i="28"/>
  <c r="H4471" i="28"/>
  <c r="H1605" i="28"/>
  <c r="H1631" i="28"/>
  <c r="H1633" i="28"/>
  <c r="H1650" i="28"/>
  <c r="H1654" i="28"/>
  <c r="H1661" i="28"/>
  <c r="H1510" i="28"/>
  <c r="H1694" i="28"/>
  <c r="H1696" i="28"/>
  <c r="H1702" i="28"/>
  <c r="H1715" i="28"/>
  <c r="H1610" i="28"/>
  <c r="H1724" i="28"/>
  <c r="H1747" i="28"/>
  <c r="H1749" i="28"/>
  <c r="H1762" i="28"/>
  <c r="H2105" i="28"/>
  <c r="H1926" i="28"/>
  <c r="H2050" i="28"/>
  <c r="H1936" i="28"/>
  <c r="H1952" i="28"/>
  <c r="H1862" i="28"/>
  <c r="H1867" i="28"/>
  <c r="H1888" i="28"/>
  <c r="H2046" i="28"/>
  <c r="H2131" i="28"/>
  <c r="H2081" i="28"/>
  <c r="H2109" i="28"/>
  <c r="H2079" i="28"/>
  <c r="H1804" i="28"/>
  <c r="H1825" i="28"/>
  <c r="H1829" i="28"/>
  <c r="H1832" i="28"/>
  <c r="H2139" i="28"/>
  <c r="H2103" i="28"/>
  <c r="H1840" i="28"/>
  <c r="H1847" i="28"/>
  <c r="H1956" i="28"/>
  <c r="H2122" i="28"/>
  <c r="H2033" i="28"/>
  <c r="H2038" i="28"/>
  <c r="H2083" i="28"/>
  <c r="H1909" i="28"/>
  <c r="H2007" i="28"/>
  <c r="H4348" i="28"/>
  <c r="H1940" i="28"/>
  <c r="H1928" i="28"/>
  <c r="H1974" i="28"/>
  <c r="H1924" i="28"/>
  <c r="H1917" i="28"/>
  <c r="H2087" i="28"/>
  <c r="H2097" i="28"/>
  <c r="H1842" i="28"/>
  <c r="H2056" i="28"/>
  <c r="H2125" i="28"/>
  <c r="H2121" i="28"/>
  <c r="H2049" i="28"/>
  <c r="H1914" i="28"/>
  <c r="H1886" i="28"/>
  <c r="H1903" i="28"/>
  <c r="H2196" i="28"/>
  <c r="H1751" i="28"/>
  <c r="H2193" i="28"/>
  <c r="H1648" i="28"/>
  <c r="H1646" i="28"/>
  <c r="H1770" i="28"/>
  <c r="H1719" i="28"/>
  <c r="H4472" i="28"/>
  <c r="H1942" i="28"/>
  <c r="H1955" i="28"/>
  <c r="H2071" i="28"/>
  <c r="H1935" i="28"/>
  <c r="H2026" i="28"/>
  <c r="H2082" i="28"/>
  <c r="H2060" i="28"/>
  <c r="H1854" i="28"/>
  <c r="H1839" i="28"/>
  <c r="H2145" i="28"/>
  <c r="H1716" i="28"/>
  <c r="H1831" i="28"/>
  <c r="H4338" i="28"/>
  <c r="H2135" i="28"/>
  <c r="H1743" i="28"/>
  <c r="H1777" i="28"/>
  <c r="H1776" i="28"/>
  <c r="H1536" i="28"/>
  <c r="H2149" i="28"/>
  <c r="H2167" i="28"/>
  <c r="H1750" i="28"/>
  <c r="H1530" i="28"/>
  <c r="H1659" i="28"/>
  <c r="H4483" i="28"/>
  <c r="H2180" i="28"/>
  <c r="H4476" i="28"/>
  <c r="H1761" i="28"/>
  <c r="H2203" i="28"/>
  <c r="H4464" i="28"/>
  <c r="H1515" i="28"/>
  <c r="H4498" i="28"/>
  <c r="H4445" i="28"/>
  <c r="H1785" i="28"/>
  <c r="H1582" i="28"/>
  <c r="H1526" i="28"/>
  <c r="H1561" i="28"/>
  <c r="H4389" i="28"/>
  <c r="H1806" i="28"/>
  <c r="H1809" i="28"/>
  <c r="H2261" i="28"/>
  <c r="H4367" i="28"/>
  <c r="H2265" i="28"/>
  <c r="H1544" i="28"/>
  <c r="H1701" i="28"/>
  <c r="H4465" i="28"/>
  <c r="H1782" i="28"/>
  <c r="H2213" i="28"/>
  <c r="H2215" i="28"/>
  <c r="H2218" i="28"/>
  <c r="H4415" i="28"/>
  <c r="H1794" i="28"/>
  <c r="H2232" i="28"/>
  <c r="H1805" i="28"/>
  <c r="H1559" i="28"/>
  <c r="H4368" i="28"/>
  <c r="H1565" i="28"/>
  <c r="H1706" i="28"/>
  <c r="H4501" i="28"/>
  <c r="H1863" i="28"/>
  <c r="H2130" i="28"/>
  <c r="H2075" i="28"/>
  <c r="H1931" i="28"/>
  <c r="H2240" i="28"/>
  <c r="H1994" i="28"/>
  <c r="H2170" i="28"/>
  <c r="H1546" i="28"/>
  <c r="H1677" i="28"/>
  <c r="H2186" i="28"/>
  <c r="H1572" i="28"/>
  <c r="H1673" i="28"/>
  <c r="H2201" i="28"/>
  <c r="H1728" i="28"/>
  <c r="H2129" i="28"/>
  <c r="H1946" i="28"/>
  <c r="H1872" i="28"/>
  <c r="H2117" i="28"/>
  <c r="H1865" i="28"/>
  <c r="H1843" i="28"/>
  <c r="H1879" i="28"/>
  <c r="H2089" i="28"/>
  <c r="H2144" i="28"/>
  <c r="H1722" i="28"/>
  <c r="H2154" i="28"/>
  <c r="H4506" i="28"/>
  <c r="H4437" i="28"/>
  <c r="H2222" i="28"/>
  <c r="H1638" i="28"/>
  <c r="H4489" i="28"/>
  <c r="H1796" i="28"/>
  <c r="H1798" i="28"/>
  <c r="H1555" i="28"/>
  <c r="H1614" i="28"/>
  <c r="H4403" i="28"/>
  <c r="H4393" i="28"/>
  <c r="H1519" i="28"/>
  <c r="H2251" i="28"/>
  <c r="H2190" i="28"/>
  <c r="H2192" i="28"/>
  <c r="H1943" i="28"/>
  <c r="H1953" i="28"/>
  <c r="H1958" i="28"/>
  <c r="H1688" i="28"/>
  <c r="H1740" i="28"/>
  <c r="H2205" i="28"/>
  <c r="H2136" i="28"/>
  <c r="H1745" i="28"/>
  <c r="H1807" i="28"/>
  <c r="H4375" i="28"/>
  <c r="H4347" i="28"/>
  <c r="H4342" i="28"/>
  <c r="H4399" i="28"/>
  <c r="H2202" i="28"/>
  <c r="H1708" i="28"/>
  <c r="H4493" i="28"/>
  <c r="H2238" i="28"/>
  <c r="H2254" i="28"/>
  <c r="H2188" i="28"/>
  <c r="H2248" i="28"/>
  <c r="H1598" i="28"/>
  <c r="H4395" i="28"/>
  <c r="H2241" i="28"/>
  <c r="H2175" i="28"/>
  <c r="H4502" i="28"/>
  <c r="H1518" i="28"/>
  <c r="H1629" i="28"/>
  <c r="H1578" i="28"/>
  <c r="H1637" i="28"/>
  <c r="H4419" i="28"/>
  <c r="H4433" i="28"/>
  <c r="H1640" i="28"/>
  <c r="H1666" i="28"/>
  <c r="H2068" i="28"/>
  <c r="H2128" i="28"/>
  <c r="H1950" i="28"/>
  <c r="H1920" i="28"/>
  <c r="H1895" i="28"/>
  <c r="H2151" i="28"/>
  <c r="H2212" i="28"/>
  <c r="H1783" i="28"/>
  <c r="H2055" i="28"/>
  <c r="H1883" i="28"/>
  <c r="H1856" i="28"/>
  <c r="H1838" i="28"/>
  <c r="H2030" i="28"/>
  <c r="H1849" i="28"/>
  <c r="H1890" i="28"/>
  <c r="H1900" i="28"/>
  <c r="H2138" i="28"/>
  <c r="H4394" i="28"/>
  <c r="H1584" i="28"/>
  <c r="H4470" i="28"/>
  <c r="H2216" i="28"/>
  <c r="H1579" i="28"/>
  <c r="H1698" i="28"/>
  <c r="H1700" i="28"/>
  <c r="H2184" i="28"/>
  <c r="H2187" i="28"/>
  <c r="H2189" i="28"/>
  <c r="H2236" i="28"/>
  <c r="H2147" i="28"/>
  <c r="H1529" i="28"/>
  <c r="H4357" i="28"/>
  <c r="H1547" i="28"/>
  <c r="H1566" i="28"/>
  <c r="H2199" i="28"/>
  <c r="H4349" i="28"/>
  <c r="H4365" i="28"/>
  <c r="H1627" i="28"/>
  <c r="H1684" i="28"/>
  <c r="H1821" i="28"/>
  <c r="H4411" i="28"/>
  <c r="H2263" i="28"/>
  <c r="H1607" i="28"/>
  <c r="H4454" i="28"/>
  <c r="H4477" i="28"/>
  <c r="H4480" i="28"/>
  <c r="H1787" i="28"/>
  <c r="H4410" i="28"/>
  <c r="H4401" i="28"/>
  <c r="H4383" i="28"/>
  <c r="H1710" i="28"/>
  <c r="H2250" i="28"/>
  <c r="H1810" i="28"/>
  <c r="H2245" i="28"/>
  <c r="H1540" i="28"/>
  <c r="H1772" i="28"/>
  <c r="H2239" i="28"/>
  <c r="H1522" i="28"/>
  <c r="H1508" i="28"/>
  <c r="H4496" i="28"/>
  <c r="H1766" i="28"/>
  <c r="H4481" i="28"/>
  <c r="H1827" i="28"/>
  <c r="H4408" i="28"/>
  <c r="H4392" i="28"/>
  <c r="H1523" i="28"/>
  <c r="H4386" i="28"/>
  <c r="H1788" i="28"/>
  <c r="H1739" i="28"/>
  <c r="H1735" i="28"/>
  <c r="H4370" i="28"/>
  <c r="H1678" i="28"/>
  <c r="H2161" i="28"/>
  <c r="H2234" i="28"/>
  <c r="H1813" i="28"/>
  <c r="H4499" i="28"/>
  <c r="H2226" i="28"/>
  <c r="H1564" i="28"/>
  <c r="H1514" i="28"/>
  <c r="H1655" i="28"/>
  <c r="H2160" i="28"/>
  <c r="H4354" i="28"/>
  <c r="H1695" i="28"/>
  <c r="H1609" i="28"/>
  <c r="H1586" i="28"/>
  <c r="H4467" i="28"/>
  <c r="H4417" i="28"/>
  <c r="H1585" i="28"/>
  <c r="H1622" i="28"/>
  <c r="H1823" i="28"/>
  <c r="H1726" i="28"/>
  <c r="H1589" i="28"/>
  <c r="H1822" i="28"/>
  <c r="H1537" i="28"/>
  <c r="H4345" i="28"/>
  <c r="H4466" i="28"/>
  <c r="H2200" i="28"/>
  <c r="H1651" i="28"/>
  <c r="H4397" i="28"/>
  <c r="H2169" i="28"/>
  <c r="H1549" i="28"/>
  <c r="H1674" i="28"/>
  <c r="H1768" i="28"/>
  <c r="H1641" i="28"/>
  <c r="H1521" i="28"/>
  <c r="H2174" i="28"/>
  <c r="H2208" i="28"/>
  <c r="H1711" i="28"/>
  <c r="H1567" i="28"/>
  <c r="H4382" i="28"/>
  <c r="H2249" i="28"/>
  <c r="H1511" i="28"/>
  <c r="H4358" i="28"/>
  <c r="H1756" i="28"/>
  <c r="H1594" i="28"/>
  <c r="H1554" i="28"/>
  <c r="H4409" i="28"/>
  <c r="H1721" i="28"/>
  <c r="H2235" i="28"/>
  <c r="H1513" i="28"/>
  <c r="H1826" i="28"/>
  <c r="H1690" i="28"/>
  <c r="H1824" i="28"/>
  <c r="H1738" i="28"/>
  <c r="H1819" i="28"/>
  <c r="H1543" i="28"/>
  <c r="H1538" i="28"/>
  <c r="H2269" i="28"/>
  <c r="H1533" i="28"/>
  <c r="H1580" i="28"/>
  <c r="H4359" i="28"/>
  <c r="H1670" i="28"/>
  <c r="H1791" i="28"/>
  <c r="H2237" i="28"/>
  <c r="H2178" i="28"/>
  <c r="H1524" i="28"/>
  <c r="H2140" i="28"/>
  <c r="H1649" i="28"/>
  <c r="H2185" i="28"/>
  <c r="H4346" i="28"/>
  <c r="H4355" i="28"/>
  <c r="H1686" i="28"/>
  <c r="H1713" i="28"/>
  <c r="H2137" i="28"/>
  <c r="H1560" i="28"/>
  <c r="F117" i="40"/>
  <c r="Q18" i="46" a="1"/>
  <c r="C177" i="40" a="1"/>
  <c r="AA20" i="32" a="1"/>
  <c r="AB20" i="32" s="1"/>
  <c r="AC20" i="32" s="1"/>
  <c r="I15" i="23"/>
  <c r="I16" i="23"/>
  <c r="I17" i="23"/>
  <c r="P13" i="41"/>
  <c r="G940" i="33"/>
  <c r="P14" i="41" s="1"/>
  <c r="N128" i="29"/>
  <c r="H942" i="33" s="1"/>
  <c r="H946" i="33"/>
  <c r="O13" i="41"/>
  <c r="N118" i="29"/>
  <c r="G859" i="33"/>
  <c r="O14" i="41" s="1"/>
  <c r="H865" i="33"/>
  <c r="G794" i="33"/>
  <c r="N14" i="41" s="1"/>
  <c r="H798" i="33"/>
  <c r="N13" i="41"/>
  <c r="N107" i="29"/>
  <c r="N96" i="29"/>
  <c r="M13" i="41"/>
  <c r="G712" i="33"/>
  <c r="M14" i="41" s="1"/>
  <c r="H718" i="33"/>
  <c r="G632" i="33"/>
  <c r="L14" i="41" s="1"/>
  <c r="L13" i="41"/>
  <c r="N85" i="29"/>
  <c r="H638" i="33"/>
  <c r="G552" i="33"/>
  <c r="K14" i="41" s="1"/>
  <c r="N75" i="29"/>
  <c r="K13" i="41"/>
  <c r="H558" i="33"/>
  <c r="H477" i="33"/>
  <c r="J13" i="41"/>
  <c r="N62" i="29"/>
  <c r="H473" i="33" s="1"/>
  <c r="G471" i="33"/>
  <c r="J14" i="41" s="1"/>
  <c r="N52" i="29"/>
  <c r="G387" i="33"/>
  <c r="I14" i="41" s="1"/>
  <c r="H393" i="33"/>
  <c r="H394" i="33"/>
  <c r="I13" i="41"/>
  <c r="G444" i="33"/>
  <c r="I17" i="41" s="1"/>
  <c r="H13" i="41"/>
  <c r="G304" i="33"/>
  <c r="H14" i="41" s="1"/>
  <c r="H310" i="33"/>
  <c r="N41" i="29"/>
  <c r="G13" i="41"/>
  <c r="G220" i="33"/>
  <c r="G14" i="41" s="1"/>
  <c r="H226" i="33"/>
  <c r="N29" i="29"/>
  <c r="G130" i="33"/>
  <c r="F14" i="41" s="1"/>
  <c r="F13" i="41"/>
  <c r="N18" i="29"/>
  <c r="H136" i="33"/>
  <c r="G58" i="33"/>
  <c r="H59" i="33"/>
  <c r="L27" i="42" s="1"/>
  <c r="M27" i="42" s="1"/>
  <c r="H61" i="33"/>
  <c r="G55" i="33"/>
  <c r="E13" i="41"/>
  <c r="N7" i="29"/>
  <c r="Q16" i="46" a="1"/>
  <c r="Q17" i="46" a="1"/>
  <c r="Q47" i="41" a="1"/>
  <c r="Q10" i="46" a="1"/>
  <c r="AA18" i="32" a="1"/>
  <c r="AB18" i="32" s="1"/>
  <c r="AC18" i="32" s="1"/>
  <c r="G114" i="40"/>
  <c r="G116" i="40"/>
  <c r="C34" i="47"/>
  <c r="Z24" i="32"/>
  <c r="Y24" i="32"/>
  <c r="H811" i="33"/>
  <c r="G808" i="33"/>
  <c r="H3948" i="28"/>
  <c r="H3926" i="28"/>
  <c r="H3896" i="28"/>
  <c r="H3875" i="28"/>
  <c r="H3870" i="28"/>
  <c r="H3867" i="28"/>
  <c r="H3861" i="28"/>
  <c r="H3859" i="28"/>
  <c r="H3857" i="28"/>
  <c r="H3851" i="28"/>
  <c r="H3847" i="28"/>
  <c r="H3838" i="28"/>
  <c r="H3826" i="28"/>
  <c r="H3824" i="28"/>
  <c r="H3741" i="28"/>
  <c r="H3732" i="28"/>
  <c r="H3730" i="28"/>
  <c r="H3728" i="28"/>
  <c r="H3724" i="28"/>
  <c r="H3722" i="28"/>
  <c r="H3694" i="28"/>
  <c r="H3673" i="28"/>
  <c r="H3671" i="28"/>
  <c r="H3656" i="28"/>
  <c r="H3642" i="28"/>
  <c r="H3627" i="28"/>
  <c r="H3602" i="28"/>
  <c r="H3554" i="28"/>
  <c r="H3524" i="28"/>
  <c r="H3522" i="28"/>
  <c r="H3509" i="28"/>
  <c r="H3494" i="28"/>
  <c r="H3479" i="28"/>
  <c r="H3461" i="28"/>
  <c r="H3459" i="28"/>
  <c r="H3428" i="28"/>
  <c r="H3422" i="28"/>
  <c r="H3412" i="28"/>
  <c r="H3397" i="28"/>
  <c r="H3389" i="28"/>
  <c r="H3382" i="28"/>
  <c r="H3380" i="28"/>
  <c r="H3354" i="28"/>
  <c r="H3324" i="28"/>
  <c r="H3313" i="28"/>
  <c r="H3307" i="28"/>
  <c r="H3294" i="28"/>
  <c r="H3274" i="28"/>
  <c r="H3242" i="28"/>
  <c r="H3222" i="28"/>
  <c r="H3167" i="28"/>
  <c r="H3160" i="28"/>
  <c r="H3154" i="28"/>
  <c r="H3152" i="28"/>
  <c r="H3131" i="28"/>
  <c r="H3111" i="28"/>
  <c r="H3103" i="28"/>
  <c r="H3092" i="28"/>
  <c r="H3078" i="28"/>
  <c r="H3072" i="28"/>
  <c r="H3052" i="28"/>
  <c r="H3042" i="28"/>
  <c r="H5985" i="28"/>
  <c r="H5926" i="28"/>
  <c r="H5877" i="28"/>
  <c r="H5869" i="28"/>
  <c r="H5860" i="28"/>
  <c r="H5842" i="28"/>
  <c r="H5837" i="28"/>
  <c r="H5832" i="28"/>
  <c r="H5826" i="28"/>
  <c r="H5805" i="28"/>
  <c r="H5790" i="28"/>
  <c r="H5775" i="28"/>
  <c r="H5752" i="28"/>
  <c r="H5748" i="28"/>
  <c r="H5728" i="28"/>
  <c r="H5702" i="28"/>
  <c r="H5690" i="28"/>
  <c r="H5685" i="28"/>
  <c r="H5681" i="28"/>
  <c r="H5678" i="28"/>
  <c r="H5640" i="28"/>
  <c r="H5636" i="28"/>
  <c r="H5627" i="28"/>
  <c r="H5621" i="28"/>
  <c r="H5619" i="28"/>
  <c r="H5609" i="28"/>
  <c r="H5607" i="28"/>
  <c r="H5598" i="28"/>
  <c r="H5597" i="28"/>
  <c r="H5593" i="28"/>
  <c r="H5585" i="28"/>
  <c r="H5581" i="28"/>
  <c r="H5564" i="28"/>
  <c r="H5561" i="28"/>
  <c r="H5553" i="28"/>
  <c r="H5542" i="28"/>
  <c r="H5531" i="28"/>
  <c r="H5518" i="28"/>
  <c r="H5509" i="28"/>
  <c r="H5506" i="28"/>
  <c r="H5504" i="28"/>
  <c r="H5500" i="28"/>
  <c r="H5495" i="28"/>
  <c r="H5489" i="28"/>
  <c r="H5478" i="28"/>
  <c r="H5469" i="28"/>
  <c r="H5467" i="28"/>
  <c r="H5465" i="28"/>
  <c r="H5464" i="28"/>
  <c r="H5459" i="28"/>
  <c r="H5440" i="28"/>
  <c r="H5438" i="28"/>
  <c r="H5421" i="28"/>
  <c r="H5416" i="28"/>
  <c r="H5413" i="28"/>
  <c r="H5407" i="28"/>
  <c r="H5372" i="28"/>
  <c r="H5359" i="28"/>
  <c r="H5355" i="28"/>
  <c r="H5348" i="28"/>
  <c r="H5346" i="28"/>
  <c r="H5341" i="28"/>
  <c r="H5336" i="28"/>
  <c r="H5328" i="28"/>
  <c r="H5325" i="28"/>
  <c r="H5313" i="28"/>
  <c r="H5311" i="28"/>
  <c r="H5301" i="28"/>
  <c r="H5294" i="28"/>
  <c r="H5292" i="28"/>
  <c r="H5290" i="28"/>
  <c r="H5285" i="28"/>
  <c r="H5283" i="28"/>
  <c r="H5274" i="28"/>
  <c r="H5261" i="28"/>
  <c r="H5250" i="28"/>
  <c r="H5244" i="28"/>
  <c r="H5235" i="28"/>
  <c r="H5229" i="28"/>
  <c r="H5210" i="28"/>
  <c r="H5209" i="28"/>
  <c r="H5201" i="28"/>
  <c r="H5197" i="28"/>
  <c r="H5163" i="28"/>
  <c r="H5159" i="28"/>
  <c r="H5149" i="28"/>
  <c r="H5147" i="28"/>
  <c r="H5138" i="28"/>
  <c r="H5129" i="28"/>
  <c r="H5124" i="28"/>
  <c r="H5112" i="28"/>
  <c r="H5105" i="28"/>
  <c r="H5090" i="28"/>
  <c r="H5088" i="28"/>
  <c r="H5087" i="28"/>
  <c r="H5071" i="28"/>
  <c r="H5066" i="28"/>
  <c r="H5063" i="28"/>
  <c r="H5061" i="28"/>
  <c r="H5060" i="28"/>
  <c r="H5057" i="28"/>
  <c r="H5045" i="28"/>
  <c r="H5043" i="28"/>
  <c r="H5024" i="28"/>
  <c r="H5020" i="28"/>
  <c r="H5019" i="28"/>
  <c r="H5006" i="28"/>
  <c r="H5005" i="28"/>
  <c r="H5003" i="28"/>
  <c r="H5001" i="28"/>
  <c r="H4999" i="28"/>
  <c r="H4996" i="28"/>
  <c r="H4982" i="28"/>
  <c r="H4979" i="28"/>
  <c r="H4972" i="28"/>
  <c r="H4963" i="28"/>
  <c r="H4954" i="28"/>
  <c r="H4944" i="28"/>
  <c r="H4941" i="28"/>
  <c r="H4940" i="28"/>
  <c r="H4935" i="28"/>
  <c r="H4925" i="28"/>
  <c r="H4909" i="28"/>
  <c r="H4898" i="28"/>
  <c r="H4897" i="28"/>
  <c r="H4896" i="28"/>
  <c r="H4887" i="28"/>
  <c r="H4883" i="28"/>
  <c r="H4882" i="28"/>
  <c r="H4878" i="28"/>
  <c r="H4867" i="28"/>
  <c r="H4864" i="28"/>
  <c r="H4862" i="28"/>
  <c r="H4852" i="28"/>
  <c r="H4847" i="28"/>
  <c r="H4846" i="28"/>
  <c r="H4828" i="28"/>
  <c r="H4817" i="28"/>
  <c r="H4809" i="28"/>
  <c r="H4799" i="28"/>
  <c r="H4772" i="28"/>
  <c r="H4765" i="28"/>
  <c r="H4756" i="28"/>
  <c r="H4751" i="28"/>
  <c r="H4745" i="28"/>
  <c r="H4742" i="28"/>
  <c r="H4740" i="28"/>
  <c r="H4736" i="28"/>
  <c r="H4729" i="28"/>
  <c r="H4720" i="28"/>
  <c r="H4717" i="28"/>
  <c r="H4697" i="28"/>
  <c r="H4688" i="28"/>
  <c r="H4672" i="28"/>
  <c r="H4666" i="28"/>
  <c r="H4665" i="28"/>
  <c r="H4652" i="28"/>
  <c r="H4633" i="28"/>
  <c r="H4631" i="28"/>
  <c r="H4628" i="28"/>
  <c r="H4623" i="28"/>
  <c r="H4615" i="28"/>
  <c r="H4608" i="28"/>
  <c r="H4604" i="28"/>
  <c r="H4602" i="28"/>
  <c r="H4601" i="28"/>
  <c r="H4587" i="28"/>
  <c r="H4567" i="28"/>
  <c r="H4562" i="28"/>
  <c r="H4561" i="28"/>
  <c r="H4556" i="28"/>
  <c r="H4548" i="28"/>
  <c r="H4524" i="28"/>
  <c r="H4519" i="28"/>
  <c r="H4507" i="28"/>
  <c r="H6196" i="28"/>
  <c r="H6194" i="28"/>
  <c r="H6189" i="28"/>
  <c r="H6178" i="28"/>
  <c r="H6176" i="28"/>
  <c r="H6175" i="28"/>
  <c r="H6172" i="28"/>
  <c r="H6169" i="28"/>
  <c r="H6165" i="28"/>
  <c r="H6162" i="28"/>
  <c r="H6158" i="28"/>
  <c r="H6155" i="28"/>
  <c r="H6151" i="28"/>
  <c r="H6135" i="28"/>
  <c r="H6129" i="28"/>
  <c r="H6123" i="28"/>
  <c r="H6119" i="28"/>
  <c r="H6094" i="28"/>
  <c r="H6089" i="28"/>
  <c r="H6086" i="28"/>
  <c r="H6077" i="28"/>
  <c r="H6067" i="28"/>
  <c r="H6063" i="28"/>
  <c r="H6055" i="28"/>
  <c r="H6049" i="28"/>
  <c r="H6039" i="28"/>
  <c r="H6033" i="28"/>
  <c r="H6027" i="28"/>
  <c r="H6012" i="28"/>
  <c r="H3927" i="28"/>
  <c r="H3897" i="28"/>
  <c r="H3895" i="28"/>
  <c r="H3889" i="28"/>
  <c r="H3882" i="28"/>
  <c r="H3880" i="28"/>
  <c r="H3850" i="28"/>
  <c r="H3844" i="28"/>
  <c r="H3823" i="28"/>
  <c r="H3799" i="28"/>
  <c r="H3795" i="28"/>
  <c r="H3789" i="28"/>
  <c r="H3775" i="28"/>
  <c r="H3762" i="28"/>
  <c r="H3758" i="28"/>
  <c r="H3723" i="28"/>
  <c r="H3688" i="28"/>
  <c r="H3686" i="28"/>
  <c r="H3672" i="28"/>
  <c r="H3665" i="28"/>
  <c r="H3657" i="28"/>
  <c r="H3645" i="28"/>
  <c r="H3630" i="28"/>
  <c r="H3624" i="28"/>
  <c r="H3609" i="28"/>
  <c r="H3605" i="28"/>
  <c r="H3590" i="28"/>
  <c r="H3586" i="28"/>
  <c r="H3576" i="28"/>
  <c r="H3573" i="28"/>
  <c r="H3571" i="28"/>
  <c r="H3567" i="28"/>
  <c r="H3564" i="28"/>
  <c r="H3544" i="28"/>
  <c r="H3542" i="28"/>
  <c r="H3536" i="28"/>
  <c r="H3531" i="28"/>
  <c r="H3515" i="28"/>
  <c r="H3508" i="28"/>
  <c r="H3504" i="28"/>
  <c r="H3485" i="28"/>
  <c r="H3483" i="28"/>
  <c r="H3472" i="28"/>
  <c r="H3450" i="28"/>
  <c r="H3409" i="28"/>
  <c r="H3405" i="28"/>
  <c r="H3385" i="28"/>
  <c r="H3370" i="28"/>
  <c r="H3363" i="28"/>
  <c r="H3345" i="28"/>
  <c r="H3341" i="28"/>
  <c r="H3339" i="28"/>
  <c r="H3329" i="28"/>
  <c r="H3327" i="28"/>
  <c r="H3282" i="28"/>
  <c r="H3262" i="28"/>
  <c r="H3260" i="28"/>
  <c r="H3251" i="28"/>
  <c r="H3239" i="28"/>
  <c r="H3231" i="28"/>
  <c r="H3219" i="28"/>
  <c r="H3217" i="28"/>
  <c r="H3201" i="28"/>
  <c r="H3196" i="28"/>
  <c r="H3188" i="28"/>
  <c r="H3149" i="28"/>
  <c r="H3135" i="28"/>
  <c r="H3120" i="28"/>
  <c r="H3107" i="28"/>
  <c r="H3098" i="28"/>
  <c r="H3087" i="28"/>
  <c r="H3081" i="28"/>
  <c r="H3058" i="28"/>
  <c r="H3035" i="28"/>
  <c r="H3009" i="28"/>
  <c r="H3008" i="28"/>
  <c r="H6006" i="28"/>
  <c r="H5995" i="28"/>
  <c r="H5984" i="28"/>
  <c r="H5980" i="28"/>
  <c r="H5976" i="28"/>
  <c r="H5970" i="28"/>
  <c r="H5958" i="28"/>
  <c r="H5957" i="28"/>
  <c r="H5946" i="28"/>
  <c r="H5924" i="28"/>
  <c r="H5922" i="28"/>
  <c r="H5918" i="28"/>
  <c r="H5888" i="28"/>
  <c r="H5886" i="28"/>
  <c r="H5882" i="28"/>
  <c r="H5880" i="28"/>
  <c r="H5872" i="28"/>
  <c r="H5859" i="28"/>
  <c r="H5852" i="28"/>
  <c r="H5825" i="28"/>
  <c r="H5783" i="28"/>
  <c r="H5772" i="28"/>
  <c r="H5743" i="28"/>
  <c r="H5710" i="28"/>
  <c r="H5701" i="28"/>
  <c r="H1503" i="28"/>
  <c r="H1500" i="28"/>
  <c r="H1489" i="28"/>
  <c r="H1481" i="28"/>
  <c r="H1476" i="28"/>
  <c r="H1470" i="28"/>
  <c r="H1459" i="28"/>
  <c r="H1453" i="28"/>
  <c r="H1451" i="28"/>
  <c r="H1438" i="28"/>
  <c r="H1411" i="28"/>
  <c r="H1409" i="28"/>
  <c r="H1391" i="28"/>
  <c r="H1376" i="28"/>
  <c r="H1364" i="28"/>
  <c r="H1362" i="28"/>
  <c r="H1360" i="28"/>
  <c r="H1352" i="28"/>
  <c r="H1334" i="28"/>
  <c r="H1332" i="28"/>
  <c r="H1331" i="28"/>
  <c r="H1328" i="28"/>
  <c r="H1317" i="28"/>
  <c r="H1309" i="28"/>
  <c r="H1308" i="28"/>
  <c r="H1302" i="28"/>
  <c r="H1296" i="28"/>
  <c r="H1279" i="28"/>
  <c r="H1268" i="28"/>
  <c r="H1264" i="28"/>
  <c r="H1252" i="28"/>
  <c r="H1240" i="28"/>
  <c r="H1220" i="28"/>
  <c r="H1218" i="28"/>
  <c r="H1209" i="28"/>
  <c r="H1207" i="28"/>
  <c r="H1203" i="28"/>
  <c r="H1199" i="28"/>
  <c r="H1194" i="28"/>
  <c r="H1191" i="28"/>
  <c r="H1189" i="28"/>
  <c r="H1182" i="28"/>
  <c r="H1181" i="28"/>
  <c r="H1165" i="28"/>
  <c r="H1160" i="28"/>
  <c r="H1158" i="28"/>
  <c r="H1154" i="28"/>
  <c r="H1147" i="28"/>
  <c r="H1146" i="28"/>
  <c r="H1134" i="28"/>
  <c r="H1133" i="28"/>
  <c r="H1123" i="28"/>
  <c r="H1116" i="28"/>
  <c r="H1114" i="28"/>
  <c r="H1112" i="28"/>
  <c r="H1100" i="28"/>
  <c r="H1088" i="28"/>
  <c r="H1079" i="28"/>
  <c r="H1076" i="28"/>
  <c r="H1074" i="28"/>
  <c r="H1069" i="28"/>
  <c r="H1064" i="28"/>
  <c r="H1037" i="28"/>
  <c r="H1035" i="28"/>
  <c r="H1034" i="28"/>
  <c r="H1033" i="28"/>
  <c r="H1027" i="28"/>
  <c r="H1021" i="28"/>
  <c r="H1005" i="28"/>
  <c r="H1002" i="28"/>
  <c r="H993" i="28"/>
  <c r="H987" i="28"/>
  <c r="H980" i="28"/>
  <c r="H972" i="28"/>
  <c r="H950" i="28"/>
  <c r="H949" i="28"/>
  <c r="H934" i="28"/>
  <c r="H933" i="28"/>
  <c r="H928" i="28"/>
  <c r="H922" i="28"/>
  <c r="H921" i="28"/>
  <c r="H917" i="28"/>
  <c r="H915" i="28"/>
  <c r="H912" i="28"/>
  <c r="H909" i="28"/>
  <c r="H899" i="28"/>
  <c r="H893" i="28"/>
  <c r="H885" i="28"/>
  <c r="H882" i="28"/>
  <c r="H875" i="28"/>
  <c r="H868" i="28"/>
  <c r="H865" i="28"/>
  <c r="H848" i="28"/>
  <c r="H843" i="28"/>
  <c r="H841" i="28"/>
  <c r="H838" i="28"/>
  <c r="H834" i="28"/>
  <c r="H832" i="28"/>
  <c r="H813" i="28"/>
  <c r="H799" i="28"/>
  <c r="H795" i="28"/>
  <c r="H790" i="28"/>
  <c r="H774" i="28"/>
  <c r="H764" i="28"/>
  <c r="H761" i="28"/>
  <c r="H752" i="28"/>
  <c r="H746" i="28"/>
  <c r="H745" i="28"/>
  <c r="H731" i="28"/>
  <c r="H712" i="28"/>
  <c r="H710" i="28"/>
  <c r="H698" i="28"/>
  <c r="H692" i="28"/>
  <c r="H686" i="28"/>
  <c r="H678" i="28"/>
  <c r="H668" i="28"/>
  <c r="H657" i="28"/>
  <c r="H642" i="28"/>
  <c r="H641" i="28"/>
  <c r="H640" i="28"/>
  <c r="H625" i="28"/>
  <c r="H622" i="28"/>
  <c r="H616" i="28"/>
  <c r="H606" i="28"/>
  <c r="H600" i="28"/>
  <c r="H599" i="28"/>
  <c r="H595" i="28"/>
  <c r="H589" i="28"/>
  <c r="H577" i="28"/>
  <c r="H570" i="28"/>
  <c r="H565" i="28"/>
  <c r="H528" i="28"/>
  <c r="H526" i="28"/>
  <c r="H518" i="28"/>
  <c r="H514" i="28"/>
  <c r="H487" i="28"/>
  <c r="H483" i="28"/>
  <c r="H475" i="28"/>
  <c r="H472" i="28"/>
  <c r="H465" i="28"/>
  <c r="H446" i="28"/>
  <c r="H439" i="28"/>
  <c r="H429" i="28"/>
  <c r="H407" i="28"/>
  <c r="H404" i="28"/>
  <c r="H400" i="28"/>
  <c r="H384" i="28"/>
  <c r="H376" i="28"/>
  <c r="H370" i="28"/>
  <c r="H367" i="28"/>
  <c r="H366" i="28"/>
  <c r="H351" i="28"/>
  <c r="H347" i="28"/>
  <c r="H338" i="28"/>
  <c r="H336" i="28"/>
  <c r="H332" i="28"/>
  <c r="H327" i="28"/>
  <c r="H315" i="28"/>
  <c r="H306" i="28"/>
  <c r="H302" i="28"/>
  <c r="H300" i="28"/>
  <c r="H291" i="28"/>
  <c r="H282" i="28"/>
  <c r="H279" i="28"/>
  <c r="H278" i="28"/>
  <c r="H272" i="28"/>
  <c r="H2509" i="28"/>
  <c r="H2500" i="28"/>
  <c r="H2490" i="28"/>
  <c r="H2468" i="28"/>
  <c r="H2465" i="28"/>
  <c r="H2456" i="28"/>
  <c r="H2447" i="28"/>
  <c r="H2438" i="28"/>
  <c r="H2412" i="28"/>
  <c r="H2402" i="28"/>
  <c r="H2396" i="28"/>
  <c r="H2394" i="28"/>
  <c r="H2393" i="28"/>
  <c r="H2390" i="28"/>
  <c r="H2376" i="28"/>
  <c r="H2372" i="28"/>
  <c r="H2368" i="28"/>
  <c r="H2354" i="28"/>
  <c r="H2351" i="28"/>
  <c r="H2346" i="28"/>
  <c r="H2344" i="28"/>
  <c r="H2342" i="28"/>
  <c r="H2334" i="28"/>
  <c r="H2331" i="28"/>
  <c r="H2323" i="28"/>
  <c r="H2321" i="28"/>
  <c r="H2320" i="28"/>
  <c r="H2311" i="28"/>
  <c r="H2307" i="28"/>
  <c r="H2285" i="28"/>
  <c r="H2282" i="28"/>
  <c r="H2279" i="28"/>
  <c r="H2275" i="28"/>
  <c r="H4330" i="28"/>
  <c r="H4327" i="28"/>
  <c r="H4326" i="28"/>
  <c r="H4317" i="28"/>
  <c r="H4295" i="28"/>
  <c r="H4288" i="28"/>
  <c r="H4274" i="28"/>
  <c r="H4271" i="28"/>
  <c r="H4265" i="28"/>
  <c r="H4257" i="28"/>
  <c r="H4226" i="28"/>
  <c r="H4211" i="28"/>
  <c r="H4206" i="28"/>
  <c r="H4188" i="28"/>
  <c r="H4182" i="28"/>
  <c r="H4174" i="28"/>
  <c r="H4171" i="28"/>
  <c r="H4160" i="28"/>
  <c r="H4157" i="28"/>
  <c r="H4155" i="28"/>
  <c r="H4153" i="28"/>
  <c r="H4149" i="28"/>
  <c r="H4142" i="28"/>
  <c r="H4141" i="28"/>
  <c r="H4131" i="28"/>
  <c r="H4129" i="28"/>
  <c r="H4127" i="28"/>
  <c r="H4126" i="28"/>
  <c r="H4122" i="28"/>
  <c r="H4113" i="28"/>
  <c r="H4108" i="28"/>
  <c r="H4104" i="28"/>
  <c r="H4102" i="28"/>
  <c r="H4100" i="28"/>
  <c r="H4077" i="28"/>
  <c r="H4074" i="28"/>
  <c r="H4070" i="28"/>
  <c r="H4063" i="28"/>
  <c r="H4060" i="28"/>
  <c r="H4057" i="28"/>
  <c r="H4042" i="28"/>
  <c r="H4040" i="28"/>
  <c r="H4037" i="28"/>
  <c r="H4035" i="28"/>
  <c r="H4026" i="28"/>
  <c r="H4008" i="28"/>
  <c r="H3984" i="28"/>
  <c r="H3982" i="28"/>
  <c r="H3979" i="28"/>
  <c r="H3973" i="28"/>
  <c r="H3967" i="28"/>
  <c r="H3943" i="28"/>
  <c r="H3934" i="28"/>
  <c r="H3911" i="28"/>
  <c r="H3887" i="28"/>
  <c r="H3856" i="28"/>
  <c r="H3840" i="28"/>
  <c r="H3839" i="28"/>
  <c r="H3833" i="28"/>
  <c r="H3827" i="28"/>
  <c r="H3821" i="28"/>
  <c r="H3808" i="28"/>
  <c r="H3802" i="28"/>
  <c r="H3779" i="28"/>
  <c r="H3760" i="28"/>
  <c r="H3735" i="28"/>
  <c r="H3719" i="28"/>
  <c r="H3713" i="28"/>
  <c r="H3706" i="28"/>
  <c r="H3697" i="28"/>
  <c r="H3695" i="28"/>
  <c r="H3692" i="28"/>
  <c r="H3690" i="28"/>
  <c r="H3680" i="28"/>
  <c r="H3678" i="28"/>
  <c r="H3666" i="28"/>
  <c r="H3663" i="28"/>
  <c r="H3641" i="28"/>
  <c r="H3626" i="28"/>
  <c r="H3622" i="28"/>
  <c r="H3620" i="28"/>
  <c r="H3603" i="28"/>
  <c r="H3601" i="28"/>
  <c r="H3597" i="28"/>
  <c r="H3594" i="28"/>
  <c r="H3584" i="28"/>
  <c r="H3580" i="28"/>
  <c r="H3578" i="28"/>
  <c r="H3566" i="28"/>
  <c r="H3559" i="28"/>
  <c r="H3534" i="28"/>
  <c r="H3527" i="28"/>
  <c r="H3521" i="28"/>
  <c r="H3517" i="28"/>
  <c r="H3497" i="28"/>
  <c r="H3482" i="28"/>
  <c r="H3478" i="28"/>
  <c r="H3456" i="28"/>
  <c r="H3437" i="28"/>
  <c r="H3435" i="28"/>
  <c r="H3427" i="28"/>
  <c r="H3411" i="28"/>
  <c r="H3403" i="28"/>
  <c r="H3390" i="28"/>
  <c r="H3387" i="28"/>
  <c r="H3378" i="28"/>
  <c r="H3365" i="28"/>
  <c r="H3321" i="28"/>
  <c r="H3318" i="28"/>
  <c r="H3314" i="28"/>
  <c r="H3308" i="28"/>
  <c r="H3301" i="28"/>
  <c r="H3293" i="28"/>
  <c r="H3288" i="28"/>
  <c r="H3277" i="28"/>
  <c r="H3270" i="28"/>
  <c r="H3266" i="28"/>
  <c r="H3258" i="28"/>
  <c r="H3249" i="28"/>
  <c r="H3241" i="28"/>
  <c r="H3229" i="28"/>
  <c r="H3215" i="28"/>
  <c r="H3214" i="28"/>
  <c r="H3203" i="28"/>
  <c r="H3198" i="28"/>
  <c r="H3184" i="28"/>
  <c r="H3161" i="28"/>
  <c r="H3133" i="28"/>
  <c r="H3102" i="28"/>
  <c r="H3097" i="28"/>
  <c r="H3083" i="28"/>
  <c r="H3075" i="28"/>
  <c r="H3053" i="28"/>
  <c r="H3051" i="28"/>
  <c r="H3033" i="28"/>
  <c r="H5997" i="28"/>
  <c r="H5969" i="28"/>
  <c r="H5937" i="28"/>
  <c r="H5935" i="28"/>
  <c r="H5929" i="28"/>
  <c r="H5916" i="28"/>
  <c r="H5909" i="28"/>
  <c r="H5901" i="28"/>
  <c r="H5876" i="28"/>
  <c r="H5870" i="28"/>
  <c r="H5865" i="28"/>
  <c r="H5849" i="28"/>
  <c r="H5831" i="28"/>
  <c r="H5829" i="28"/>
  <c r="H5827" i="28"/>
  <c r="H5821" i="28"/>
  <c r="H5819" i="28"/>
  <c r="H5816" i="28"/>
  <c r="H5808" i="28"/>
  <c r="H5791" i="28"/>
  <c r="H5779" i="28"/>
  <c r="H5778" i="28"/>
  <c r="H5770" i="28"/>
  <c r="H5763" i="28"/>
  <c r="H5761" i="28"/>
  <c r="H5757" i="28"/>
  <c r="H5731" i="28"/>
  <c r="H5727" i="28"/>
  <c r="H5725" i="28"/>
  <c r="H5718" i="28"/>
  <c r="H5708" i="28"/>
  <c r="H5706" i="28"/>
  <c r="H1506" i="28"/>
  <c r="H1499" i="28"/>
  <c r="H1496" i="28"/>
  <c r="H1485" i="28"/>
  <c r="H1479" i="28"/>
  <c r="H1478" i="28"/>
  <c r="H1477" i="28"/>
  <c r="H1473" i="28"/>
  <c r="H1469" i="28"/>
  <c r="H1467" i="28"/>
  <c r="H1464" i="28"/>
  <c r="H1461" i="28"/>
  <c r="H1460" i="28"/>
  <c r="H1452" i="28"/>
  <c r="H1446" i="28"/>
  <c r="H1445" i="28"/>
  <c r="H1437" i="28"/>
  <c r="H1431" i="28"/>
  <c r="H1430" i="28"/>
  <c r="H1420" i="28"/>
  <c r="H1417" i="28"/>
  <c r="H1416" i="28"/>
  <c r="H1413" i="28"/>
  <c r="H1402" i="28"/>
  <c r="H1394" i="28"/>
  <c r="H1389" i="28"/>
  <c r="H1385" i="28"/>
  <c r="H1384" i="28"/>
  <c r="H1380" i="28"/>
  <c r="H1379" i="28"/>
  <c r="H1377" i="28"/>
  <c r="H1375" i="28"/>
  <c r="H1372" i="28"/>
  <c r="H1369" i="28"/>
  <c r="H1367" i="28"/>
  <c r="H1359" i="28"/>
  <c r="H1353" i="28"/>
  <c r="H1348" i="28"/>
  <c r="H1346" i="28"/>
  <c r="H1342" i="28"/>
  <c r="H1339" i="28"/>
  <c r="H1322" i="28"/>
  <c r="H1315" i="28"/>
  <c r="H1313" i="28"/>
  <c r="H1305" i="28"/>
  <c r="H1301" i="28"/>
  <c r="H1298" i="28"/>
  <c r="H1293" i="28"/>
  <c r="H1285" i="28"/>
  <c r="H1278" i="28"/>
  <c r="H1271" i="28"/>
  <c r="H1269" i="28"/>
  <c r="H1265" i="28"/>
  <c r="H1261" i="28"/>
  <c r="H1257" i="28"/>
  <c r="H1256" i="28"/>
  <c r="H1254" i="28"/>
  <c r="H1250" i="28"/>
  <c r="H1248" i="28"/>
  <c r="H1243" i="28"/>
  <c r="H1238" i="28"/>
  <c r="H1236" i="28"/>
  <c r="H1234" i="28"/>
  <c r="H1225" i="28"/>
  <c r="H1219" i="28"/>
  <c r="H1212" i="28"/>
  <c r="H1208" i="28"/>
  <c r="H1201" i="28"/>
  <c r="H1195" i="28"/>
  <c r="H1192" i="28"/>
  <c r="H1183" i="28"/>
  <c r="H1178" i="28"/>
  <c r="H1175" i="28"/>
  <c r="H1174" i="28"/>
  <c r="H1168" i="28"/>
  <c r="H1162" i="28"/>
  <c r="H1161" i="28"/>
  <c r="H1153" i="28"/>
  <c r="H1130" i="28"/>
  <c r="H1110" i="28"/>
  <c r="H1102" i="28"/>
  <c r="H1086" i="28"/>
  <c r="H1085" i="28"/>
  <c r="H1073" i="28"/>
  <c r="H1072" i="28"/>
  <c r="H1066" i="28"/>
  <c r="H1060" i="28"/>
  <c r="H1054" i="28"/>
  <c r="H1046" i="28"/>
  <c r="H1043" i="28"/>
  <c r="H1042" i="28"/>
  <c r="H1040" i="28"/>
  <c r="H1036" i="28"/>
  <c r="H1029" i="28"/>
  <c r="H1018" i="28"/>
  <c r="H1010" i="28"/>
  <c r="H1007" i="28"/>
  <c r="H1006" i="28"/>
  <c r="H1003" i="28"/>
  <c r="H995" i="28"/>
  <c r="H986" i="28"/>
  <c r="H983" i="28"/>
  <c r="H973" i="28"/>
  <c r="H971" i="28"/>
  <c r="H970" i="28"/>
  <c r="H966" i="28"/>
  <c r="H962" i="28"/>
  <c r="H959" i="28"/>
  <c r="H945" i="28"/>
  <c r="H942" i="28"/>
  <c r="H938" i="28"/>
  <c r="H935" i="28"/>
  <c r="H929" i="28"/>
  <c r="H924" i="28"/>
  <c r="H911" i="28"/>
  <c r="H904" i="28"/>
  <c r="H897" i="28"/>
  <c r="H892" i="28"/>
  <c r="H890" i="28"/>
  <c r="H887" i="28"/>
  <c r="H876" i="28"/>
  <c r="H866" i="28"/>
  <c r="H863" i="28"/>
  <c r="H859" i="28"/>
  <c r="H855" i="28"/>
  <c r="H842" i="28"/>
  <c r="H836" i="28"/>
  <c r="H830" i="28"/>
  <c r="H821" i="28"/>
  <c r="H820" i="28"/>
  <c r="H814" i="28"/>
  <c r="H810" i="28"/>
  <c r="H807" i="28"/>
  <c r="H802" i="28"/>
  <c r="H793" i="28"/>
  <c r="H791" i="28"/>
  <c r="H788" i="28"/>
  <c r="H786" i="28"/>
  <c r="H777" i="28"/>
  <c r="H769" i="28"/>
  <c r="H765" i="28"/>
  <c r="H759" i="28"/>
  <c r="H757" i="28"/>
  <c r="H755" i="28"/>
  <c r="H743" i="28"/>
  <c r="H741" i="28"/>
  <c r="H721" i="28"/>
  <c r="H718" i="28"/>
  <c r="H714" i="28"/>
  <c r="H707" i="28"/>
  <c r="H703" i="28"/>
  <c r="H702" i="28"/>
  <c r="H697" i="28"/>
  <c r="H690" i="28"/>
  <c r="H688" i="28"/>
  <c r="H677" i="28"/>
  <c r="H661" i="28"/>
  <c r="H658" i="28"/>
  <c r="H656" i="28"/>
  <c r="H650" i="28"/>
  <c r="H645" i="28"/>
  <c r="H635" i="28"/>
  <c r="H634" i="28"/>
  <c r="H629" i="28"/>
  <c r="H628" i="28"/>
  <c r="H578" i="28"/>
  <c r="H574" i="28"/>
  <c r="H572" i="28"/>
  <c r="H571" i="28"/>
  <c r="H568" i="28"/>
  <c r="H566" i="28"/>
  <c r="H560" i="28"/>
  <c r="H557" i="28"/>
  <c r="H554" i="28"/>
  <c r="H553" i="28"/>
  <c r="H548" i="28"/>
  <c r="H547" i="28"/>
  <c r="H542" i="28"/>
  <c r="H539" i="28"/>
  <c r="H538" i="28"/>
  <c r="H536" i="28"/>
  <c r="H523" i="28"/>
  <c r="H517" i="28"/>
  <c r="H516" i="28"/>
  <c r="H515" i="28"/>
  <c r="H509" i="28"/>
  <c r="H507" i="28"/>
  <c r="H497" i="28"/>
  <c r="H485" i="28"/>
  <c r="H469" i="28"/>
  <c r="H468" i="28"/>
  <c r="H464" i="28"/>
  <c r="H454" i="28"/>
  <c r="H445" i="28"/>
  <c r="H442" i="28"/>
  <c r="H441" i="28"/>
  <c r="H435" i="28"/>
  <c r="H434" i="28"/>
  <c r="H432" i="28"/>
  <c r="H428" i="28"/>
  <c r="H412" i="28"/>
  <c r="H408" i="28"/>
  <c r="H406" i="28"/>
  <c r="H398" i="28"/>
  <c r="H397" i="28"/>
  <c r="H393" i="28"/>
  <c r="H385" i="28"/>
  <c r="H382" i="28"/>
  <c r="H380" i="28"/>
  <c r="H358" i="28"/>
  <c r="H340" i="28"/>
  <c r="H337" i="28"/>
  <c r="H334" i="28"/>
  <c r="H328" i="28"/>
  <c r="H309" i="28"/>
  <c r="H301" i="28"/>
  <c r="H297" i="28"/>
  <c r="H292" i="28"/>
  <c r="H287" i="28"/>
  <c r="H281" i="28"/>
  <c r="H2510" i="28"/>
  <c r="H2508" i="28"/>
  <c r="H2502" i="28"/>
  <c r="H2484" i="28"/>
  <c r="H2475" i="28"/>
  <c r="H2474" i="28"/>
  <c r="H2469" i="28"/>
  <c r="H2467" i="28"/>
  <c r="H2458" i="28"/>
  <c r="H2457" i="28"/>
  <c r="H2454" i="28"/>
  <c r="H2453" i="28"/>
  <c r="H2450" i="28"/>
  <c r="H2444" i="28"/>
  <c r="H2427" i="28"/>
  <c r="H2417" i="28"/>
  <c r="H2416" i="28"/>
  <c r="H2414" i="28"/>
  <c r="H2411" i="28"/>
  <c r="H2405" i="28"/>
  <c r="H2404" i="28"/>
  <c r="H2395" i="28"/>
  <c r="H2380" i="28"/>
  <c r="H2378" i="28"/>
  <c r="H2377" i="28"/>
  <c r="H2374" i="28"/>
  <c r="H2365" i="28"/>
  <c r="H2356" i="28"/>
  <c r="H2355" i="28"/>
  <c r="H2350" i="28"/>
  <c r="H2347" i="28"/>
  <c r="H2343" i="28"/>
  <c r="H2338" i="28"/>
  <c r="H2336" i="28"/>
  <c r="H2333" i="28"/>
  <c r="H2328" i="28"/>
  <c r="H2326" i="28"/>
  <c r="H2317" i="28"/>
  <c r="H2314" i="28"/>
  <c r="H2306" i="28"/>
  <c r="H2300" i="28"/>
  <c r="H2296" i="28"/>
  <c r="H2292" i="28"/>
  <c r="H2291" i="28"/>
  <c r="H2288" i="28"/>
  <c r="H2274" i="28"/>
  <c r="H2273" i="28"/>
  <c r="H4332" i="28"/>
  <c r="H4331" i="28"/>
  <c r="H4321" i="28"/>
  <c r="H4318" i="28"/>
  <c r="H4314" i="28"/>
  <c r="H4309" i="28"/>
  <c r="H4296" i="28"/>
  <c r="H4294" i="28"/>
  <c r="H4289" i="28"/>
  <c r="H4282" i="28"/>
  <c r="H4275" i="28"/>
  <c r="H4268" i="28"/>
  <c r="H4266" i="28"/>
  <c r="H4262" i="28"/>
  <c r="H4261" i="28"/>
  <c r="H4259" i="28"/>
  <c r="H4249" i="28"/>
  <c r="H4248" i="28"/>
  <c r="H4247" i="28"/>
  <c r="H4242" i="28"/>
  <c r="H4236" i="28"/>
  <c r="H4233" i="28"/>
  <c r="H4230" i="28"/>
  <c r="H4223" i="28"/>
  <c r="H4219" i="28"/>
  <c r="H4218" i="28"/>
  <c r="H4216" i="28"/>
  <c r="H4196" i="28"/>
  <c r="H4178" i="28"/>
  <c r="H4173" i="28"/>
  <c r="H4168" i="28"/>
  <c r="H4158" i="28"/>
  <c r="H4143" i="28"/>
  <c r="H4140" i="28"/>
  <c r="H4133" i="28"/>
  <c r="H4123" i="28"/>
  <c r="H4116" i="28"/>
  <c r="H4111" i="28"/>
  <c r="H4107" i="28"/>
  <c r="H4105" i="28"/>
  <c r="H4093" i="28"/>
  <c r="H4091" i="28"/>
  <c r="H4085" i="28"/>
  <c r="H4072" i="28"/>
  <c r="H4068" i="28"/>
  <c r="H4055" i="28"/>
  <c r="H4051" i="28"/>
  <c r="H4049" i="28"/>
  <c r="H4039" i="28"/>
  <c r="H4028" i="28"/>
  <c r="H4022" i="28"/>
  <c r="H4020" i="28"/>
  <c r="H4015" i="28"/>
  <c r="H4011" i="28"/>
  <c r="H3993" i="28"/>
  <c r="H3985" i="28"/>
  <c r="H3980" i="28"/>
  <c r="H3974" i="28"/>
  <c r="H3971" i="28"/>
  <c r="H3969" i="28"/>
  <c r="H3959" i="28"/>
  <c r="H3954" i="28"/>
  <c r="H3951" i="28"/>
  <c r="H3914" i="28"/>
  <c r="H3910" i="28"/>
  <c r="H3906" i="28"/>
  <c r="H3904" i="28"/>
  <c r="H3903" i="28"/>
  <c r="H3863" i="28"/>
  <c r="H3855" i="28"/>
  <c r="H3853" i="28"/>
  <c r="H3832" i="28"/>
  <c r="H3828" i="28"/>
  <c r="H3813" i="28"/>
  <c r="H3811" i="28"/>
  <c r="H3805" i="28"/>
  <c r="H3800" i="28"/>
  <c r="H3780" i="28"/>
  <c r="H3767" i="28"/>
  <c r="H3743" i="28"/>
  <c r="H3683" i="28"/>
  <c r="H3677" i="28"/>
  <c r="H3675" i="28"/>
  <c r="H3667" i="28"/>
  <c r="H3662" i="28"/>
  <c r="H3658" i="28"/>
  <c r="H3650" i="28"/>
  <c r="H3644" i="28"/>
  <c r="H3640" i="28"/>
  <c r="H3638" i="28"/>
  <c r="H3608" i="28"/>
  <c r="H3556" i="28"/>
  <c r="H3550" i="28"/>
  <c r="H3549" i="28"/>
  <c r="H3547" i="28"/>
  <c r="H3541" i="28"/>
  <c r="H3533" i="28"/>
  <c r="H3518" i="28"/>
  <c r="H3496" i="28"/>
  <c r="H3488" i="28"/>
  <c r="H3467" i="28"/>
  <c r="H3453" i="28"/>
  <c r="H3451" i="28"/>
  <c r="H3445" i="28"/>
  <c r="H3434" i="28"/>
  <c r="H3420" i="28"/>
  <c r="H3410" i="28"/>
  <c r="H3400" i="28"/>
  <c r="H3315" i="28"/>
  <c r="H3280" i="28"/>
  <c r="H3265" i="28"/>
  <c r="H3255" i="28"/>
  <c r="H3252" i="28"/>
  <c r="H3250" i="28"/>
  <c r="H3236" i="28"/>
  <c r="H3234" i="28"/>
  <c r="H3232" i="28"/>
  <c r="H3226" i="28"/>
  <c r="H3211" i="28"/>
  <c r="H3187" i="28"/>
  <c r="H3179" i="28"/>
  <c r="H3173" i="28"/>
  <c r="H3169" i="28"/>
  <c r="H3166" i="28"/>
  <c r="H3164" i="28"/>
  <c r="H3150" i="28"/>
  <c r="H3146" i="28"/>
  <c r="H3142" i="28"/>
  <c r="H3119" i="28"/>
  <c r="H3099" i="28"/>
  <c r="H3086" i="28"/>
  <c r="H3074" i="28"/>
  <c r="H3068" i="28"/>
  <c r="H3066" i="28"/>
  <c r="H3061" i="28"/>
  <c r="H3044" i="28"/>
  <c r="H3026" i="28"/>
  <c r="H3020" i="28"/>
  <c r="H3014" i="28"/>
  <c r="H6005" i="28"/>
  <c r="H6000" i="28"/>
  <c r="H5964" i="28"/>
  <c r="H5962" i="28"/>
  <c r="H5947" i="28"/>
  <c r="H5932" i="28"/>
  <c r="H5919" i="28"/>
  <c r="H5906" i="28"/>
  <c r="H5891" i="28"/>
  <c r="H5885" i="28"/>
  <c r="H5822" i="28"/>
  <c r="H5803" i="28"/>
  <c r="H5795" i="28"/>
  <c r="H5786" i="28"/>
  <c r="H5784" i="28"/>
  <c r="H5762" i="28"/>
  <c r="H5754" i="28"/>
  <c r="H5746" i="28"/>
  <c r="H5744" i="28"/>
  <c r="H5742" i="28"/>
  <c r="H5722" i="28"/>
  <c r="H5709" i="28"/>
  <c r="H5703" i="28"/>
  <c r="H5699" i="28"/>
  <c r="H5692" i="28"/>
  <c r="H5679" i="28"/>
  <c r="H5666" i="28"/>
  <c r="H5665" i="28"/>
  <c r="H5662" i="28"/>
  <c r="H5654" i="28"/>
  <c r="H5648" i="28"/>
  <c r="H5639" i="28"/>
  <c r="H5630" i="28"/>
  <c r="H5624" i="28"/>
  <c r="H5623" i="28"/>
  <c r="H5618" i="28"/>
  <c r="H5615" i="28"/>
  <c r="H5605" i="28"/>
  <c r="H5600" i="28"/>
  <c r="H5592" i="28"/>
  <c r="H5582" i="28"/>
  <c r="H5576" i="28"/>
  <c r="H5571" i="28"/>
  <c r="H5568" i="28"/>
  <c r="H5563" i="28"/>
  <c r="H5560" i="28"/>
  <c r="H5554" i="28"/>
  <c r="H5550" i="28"/>
  <c r="H5544" i="28"/>
  <c r="H5541" i="28"/>
  <c r="H5536" i="28"/>
  <c r="H5534" i="28"/>
  <c r="H5530" i="28"/>
  <c r="H5515" i="28"/>
  <c r="H5510" i="28"/>
  <c r="H5503" i="28"/>
  <c r="H5501" i="28"/>
  <c r="H5494" i="28"/>
  <c r="H5493" i="28"/>
  <c r="H5487" i="28"/>
  <c r="H5485" i="28"/>
  <c r="H5482" i="28"/>
  <c r="H5479" i="28"/>
  <c r="H5473" i="28"/>
  <c r="H5470" i="28"/>
  <c r="H5462" i="28"/>
  <c r="H5451" i="28"/>
  <c r="H5445" i="28"/>
  <c r="H5442" i="28"/>
  <c r="H5439" i="28"/>
  <c r="H5437" i="28"/>
  <c r="H5434" i="28"/>
  <c r="H5430" i="28"/>
  <c r="H5425" i="28"/>
  <c r="H5417" i="28"/>
  <c r="H5414" i="28"/>
  <c r="H5411" i="28"/>
  <c r="H5409" i="28"/>
  <c r="H5399" i="28"/>
  <c r="H5386" i="28"/>
  <c r="H5384" i="28"/>
  <c r="H5382" i="28"/>
  <c r="H5377" i="28"/>
  <c r="H5368" i="28"/>
  <c r="H5352" i="28"/>
  <c r="H5350" i="28"/>
  <c r="H5345" i="28"/>
  <c r="H5326" i="28"/>
  <c r="H5317" i="28"/>
  <c r="H5310" i="28"/>
  <c r="H5309" i="28"/>
  <c r="H5305" i="28"/>
  <c r="H5299" i="28"/>
  <c r="H5297" i="28"/>
  <c r="H5279" i="28"/>
  <c r="H5272" i="28"/>
  <c r="H5271" i="28"/>
  <c r="H5266" i="28"/>
  <c r="H5262" i="28"/>
  <c r="H5259" i="28"/>
  <c r="H5256" i="28"/>
  <c r="H5254" i="28"/>
  <c r="H5245" i="28"/>
  <c r="H5243" i="28"/>
  <c r="H5240" i="28"/>
  <c r="H5239" i="28"/>
  <c r="H5238" i="28"/>
  <c r="H5228" i="28"/>
  <c r="H5220" i="28"/>
  <c r="H5216" i="28"/>
  <c r="H5212" i="28"/>
  <c r="H5205" i="28"/>
  <c r="H5198" i="28"/>
  <c r="H5184" i="28"/>
  <c r="H5178" i="28"/>
  <c r="H5172" i="28"/>
  <c r="H5169" i="28"/>
  <c r="H5146" i="28"/>
  <c r="H5144" i="28"/>
  <c r="H5139" i="28"/>
  <c r="H5134" i="28"/>
  <c r="H5125" i="28"/>
  <c r="H5121" i="28"/>
  <c r="H5118" i="28"/>
  <c r="H5116" i="28"/>
  <c r="H5114" i="28"/>
  <c r="H5095" i="28"/>
  <c r="H5093" i="28"/>
  <c r="H5086" i="28"/>
  <c r="H5085" i="28"/>
  <c r="H5078" i="28"/>
  <c r="H5070" i="28"/>
  <c r="H5064" i="28"/>
  <c r="H5054" i="28"/>
  <c r="H5042" i="28"/>
  <c r="H5039" i="28"/>
  <c r="H5029" i="28"/>
  <c r="H5025" i="28"/>
  <c r="H5011" i="28"/>
  <c r="H5002" i="28"/>
  <c r="H4992" i="28"/>
  <c r="H4990" i="28"/>
  <c r="H4980" i="28"/>
  <c r="H4978" i="28"/>
  <c r="H4968" i="28"/>
  <c r="H4966" i="28"/>
  <c r="H4964" i="28"/>
  <c r="H4959" i="28"/>
  <c r="H4956" i="28"/>
  <c r="H4946" i="28"/>
  <c r="H4942" i="28"/>
  <c r="H4938" i="28"/>
  <c r="H4927" i="28"/>
  <c r="H4924" i="28"/>
  <c r="H4920" i="28"/>
  <c r="H4916" i="28"/>
  <c r="H4905" i="28"/>
  <c r="H4899" i="28"/>
  <c r="H4895" i="28"/>
  <c r="H4890" i="28"/>
  <c r="H4884" i="28"/>
  <c r="H4880" i="28"/>
  <c r="H4873" i="28"/>
  <c r="H4872" i="28"/>
  <c r="H4860" i="28"/>
  <c r="H4850" i="28"/>
  <c r="H4839" i="28"/>
  <c r="H4832" i="28"/>
  <c r="H4830" i="28"/>
  <c r="H4821" i="28"/>
  <c r="H4814" i="28"/>
  <c r="H4812" i="28"/>
  <c r="H4796" i="28"/>
  <c r="H4793" i="28"/>
  <c r="H4781" i="28"/>
  <c r="H4780" i="28"/>
  <c r="H4775" i="28"/>
  <c r="H4770" i="28"/>
  <c r="H4766" i="28"/>
  <c r="H4761" i="28"/>
  <c r="H4760" i="28"/>
  <c r="H4759" i="28"/>
  <c r="H4754" i="28"/>
  <c r="H4749" i="28"/>
  <c r="H4743" i="28"/>
  <c r="H4738" i="28"/>
  <c r="H4735" i="28"/>
  <c r="H4732" i="28"/>
  <c r="H4728" i="28"/>
  <c r="H4722" i="28"/>
  <c r="H4719" i="28"/>
  <c r="H4710" i="28"/>
  <c r="H4709" i="28"/>
  <c r="H4708" i="28"/>
  <c r="H4703" i="28"/>
  <c r="H4699" i="28"/>
  <c r="H4689" i="28"/>
  <c r="H4681" i="28"/>
  <c r="H4673" i="28"/>
  <c r="H4664" i="28"/>
  <c r="H4662" i="28"/>
  <c r="H4653" i="28"/>
  <c r="H4649" i="28"/>
  <c r="H4648" i="28"/>
  <c r="H4640" i="28"/>
  <c r="H4637" i="28"/>
  <c r="H4629" i="28"/>
  <c r="H4599" i="28"/>
  <c r="H4582" i="28"/>
  <c r="H4576" i="28"/>
  <c r="H4575" i="28"/>
  <c r="H4557" i="28"/>
  <c r="H4549" i="28"/>
  <c r="H4546" i="28"/>
  <c r="H4543" i="28"/>
  <c r="H4542" i="28"/>
  <c r="H4539" i="28"/>
  <c r="H4534" i="28"/>
  <c r="H4532" i="28"/>
  <c r="H4512" i="28"/>
  <c r="H4511" i="28"/>
  <c r="H4508" i="28"/>
  <c r="H6193" i="28"/>
  <c r="H6192" i="28"/>
  <c r="H6190" i="28"/>
  <c r="H6183" i="28"/>
  <c r="H6180" i="28"/>
  <c r="H6168" i="28"/>
  <c r="H6160" i="28"/>
  <c r="H6144" i="28"/>
  <c r="H6127" i="28"/>
  <c r="H6125" i="28"/>
  <c r="H6109" i="28"/>
  <c r="H6104" i="28"/>
  <c r="H6103" i="28"/>
  <c r="H6102" i="28"/>
  <c r="H6101" i="28"/>
  <c r="H6100" i="28"/>
  <c r="H6093" i="28"/>
  <c r="H6076" i="28"/>
  <c r="H6071" i="28"/>
  <c r="H6070" i="28"/>
  <c r="H6061" i="28"/>
  <c r="H6058" i="28"/>
  <c r="H6056" i="28"/>
  <c r="H6045" i="28"/>
  <c r="H6037" i="28"/>
  <c r="H6022" i="28"/>
  <c r="H6019" i="28"/>
  <c r="H6016" i="28"/>
  <c r="H1502" i="28"/>
  <c r="H1488" i="28"/>
  <c r="H1486" i="28"/>
  <c r="H1483" i="28"/>
  <c r="H1475" i="28"/>
  <c r="H1454" i="28"/>
  <c r="H1450" i="28"/>
  <c r="H1434" i="28"/>
  <c r="H1432" i="28"/>
  <c r="H1429" i="28"/>
  <c r="H1425" i="28"/>
  <c r="H1406" i="28"/>
  <c r="H1397" i="28"/>
  <c r="H1395" i="28"/>
  <c r="H1388" i="28"/>
  <c r="H1378" i="28"/>
  <c r="H1374" i="28"/>
  <c r="H1370" i="28"/>
  <c r="H1355" i="28"/>
  <c r="H1349" i="28"/>
  <c r="H1347" i="28"/>
  <c r="H1336" i="28"/>
  <c r="H1330" i="28"/>
  <c r="H1327" i="28"/>
  <c r="H1323" i="28"/>
  <c r="H1319" i="28"/>
  <c r="H1311" i="28"/>
  <c r="H1307" i="28"/>
  <c r="H1300" i="28"/>
  <c r="H1295" i="28"/>
  <c r="H1284" i="28"/>
  <c r="H1270" i="28"/>
  <c r="H1262" i="28"/>
  <c r="H1260" i="28"/>
  <c r="H1259" i="28"/>
  <c r="H1249" i="28"/>
  <c r="H1241" i="28"/>
  <c r="H1231" i="28"/>
  <c r="H1223" i="28"/>
  <c r="H1215" i="28"/>
  <c r="H1214" i="28"/>
  <c r="H1206" i="28"/>
  <c r="H1205" i="28"/>
  <c r="H1202" i="28"/>
  <c r="H1188" i="28"/>
  <c r="H1177" i="28"/>
  <c r="H1172" i="28"/>
  <c r="H1171" i="28"/>
  <c r="H1167" i="28"/>
  <c r="H1159" i="28"/>
  <c r="H1157" i="28"/>
  <c r="H1155" i="28"/>
  <c r="H1150" i="28"/>
  <c r="H1149" i="28"/>
  <c r="H1148" i="28"/>
  <c r="H1142" i="28"/>
  <c r="H1139" i="28"/>
  <c r="H1138" i="28"/>
  <c r="H1125" i="28"/>
  <c r="H1117" i="28"/>
  <c r="H1115" i="28"/>
  <c r="H1106" i="28"/>
  <c r="H1104" i="28"/>
  <c r="H1098" i="28"/>
  <c r="H1094" i="28"/>
  <c r="H1062" i="28"/>
  <c r="H1061" i="28"/>
  <c r="H1053" i="28"/>
  <c r="H1051" i="28"/>
  <c r="H1039" i="28"/>
  <c r="H1011" i="28"/>
  <c r="H994" i="28"/>
  <c r="H989" i="28"/>
  <c r="H976" i="28"/>
  <c r="H963" i="28"/>
  <c r="H961" i="28"/>
  <c r="H957" i="28"/>
  <c r="H952" i="28"/>
  <c r="H947" i="28"/>
  <c r="H918" i="28"/>
  <c r="H913" i="28"/>
  <c r="H906" i="28"/>
  <c r="H884" i="28"/>
  <c r="H877" i="28"/>
  <c r="H869" i="28"/>
  <c r="H862" i="28"/>
  <c r="H858" i="28"/>
  <c r="H835" i="28"/>
  <c r="H831" i="28"/>
  <c r="H825" i="28"/>
  <c r="H822" i="28"/>
  <c r="H809" i="28"/>
  <c r="H797" i="28"/>
  <c r="H768" i="28"/>
  <c r="H766" i="28"/>
  <c r="H763" i="28"/>
  <c r="H753" i="28"/>
  <c r="H729" i="28"/>
  <c r="H728" i="28"/>
  <c r="H726" i="28"/>
  <c r="H722" i="28"/>
  <c r="H700" i="28"/>
  <c r="H696" i="28"/>
  <c r="H694" i="28"/>
  <c r="H691" i="28"/>
  <c r="H682" i="28"/>
  <c r="H680" i="28"/>
  <c r="H675" i="28"/>
  <c r="H670" i="28"/>
  <c r="H664" i="28"/>
  <c r="H655" i="28"/>
  <c r="H653" i="28"/>
  <c r="H648" i="28"/>
  <c r="H647" i="28"/>
  <c r="H637" i="28"/>
  <c r="H633" i="28"/>
  <c r="H620" i="28"/>
  <c r="H618" i="28"/>
  <c r="H612" i="28"/>
  <c r="H609" i="28"/>
  <c r="H604" i="28"/>
  <c r="H596" i="28"/>
  <c r="H593" i="28"/>
  <c r="H586" i="28"/>
  <c r="H583" i="28"/>
  <c r="H579" i="28"/>
  <c r="H569" i="28"/>
  <c r="H563" i="28"/>
  <c r="H559" i="28"/>
  <c r="H558" i="28"/>
  <c r="H551" i="28"/>
  <c r="H550" i="28"/>
  <c r="H549" i="28"/>
  <c r="H524" i="28"/>
  <c r="H512" i="28"/>
  <c r="H510" i="28"/>
  <c r="H505" i="28"/>
  <c r="H490" i="28"/>
  <c r="H488" i="28"/>
  <c r="H486" i="28"/>
  <c r="H482" i="28"/>
  <c r="H473" i="28"/>
  <c r="H462" i="28"/>
  <c r="H460" i="28"/>
  <c r="H456" i="28"/>
  <c r="H452" i="28"/>
  <c r="H449" i="28"/>
  <c r="H430" i="28"/>
  <c r="H427" i="28"/>
  <c r="H426" i="28"/>
  <c r="H424" i="28"/>
  <c r="H423" i="28"/>
  <c r="H419" i="28"/>
  <c r="H413" i="28"/>
  <c r="H405" i="28"/>
  <c r="H401" i="28"/>
  <c r="H395" i="28"/>
  <c r="H391" i="28"/>
  <c r="H390" i="28"/>
  <c r="H368" i="28"/>
  <c r="H362" i="28"/>
  <c r="H360" i="28"/>
  <c r="H354" i="28"/>
  <c r="H353" i="28"/>
  <c r="H348" i="28"/>
  <c r="H345" i="28"/>
  <c r="H341" i="28"/>
  <c r="H331" i="28"/>
  <c r="H325" i="28"/>
  <c r="H323" i="28"/>
  <c r="H322" i="28"/>
  <c r="H321" i="28"/>
  <c r="H311" i="28"/>
  <c r="H303" i="28"/>
  <c r="H299" i="28"/>
  <c r="H296" i="28"/>
  <c r="H286" i="28"/>
  <c r="H276" i="28"/>
  <c r="H274" i="28"/>
  <c r="H2514" i="28"/>
  <c r="H2511" i="28"/>
  <c r="H2499" i="28"/>
  <c r="H2496" i="28"/>
  <c r="H2489" i="28"/>
  <c r="H2486" i="28"/>
  <c r="H2485" i="28"/>
  <c r="H2481" i="28"/>
  <c r="H2479" i="28"/>
  <c r="H2473" i="28"/>
  <c r="H2470" i="28"/>
  <c r="H2462" i="28"/>
  <c r="H2445" i="28"/>
  <c r="H2440" i="28"/>
  <c r="H2433" i="28"/>
  <c r="H2431" i="28"/>
  <c r="H2430" i="28"/>
  <c r="H2425" i="28"/>
  <c r="H2424" i="28"/>
  <c r="H2408" i="28"/>
  <c r="H2407" i="28"/>
  <c r="H2401" i="28"/>
  <c r="H2381" i="28"/>
  <c r="H2364" i="28"/>
  <c r="H2357" i="28"/>
  <c r="H2332" i="28"/>
  <c r="H2327" i="28"/>
  <c r="H2304" i="28"/>
  <c r="H2302" i="28"/>
  <c r="H2294" i="28"/>
  <c r="H2283" i="28"/>
  <c r="H4334" i="28"/>
  <c r="H4333" i="28"/>
  <c r="H4323" i="28"/>
  <c r="H4315" i="28"/>
  <c r="H4307" i="28"/>
  <c r="H4304" i="28"/>
  <c r="H4302" i="28"/>
  <c r="H4297" i="28"/>
  <c r="H4281" i="28"/>
  <c r="H4277" i="28"/>
  <c r="H4263" i="28"/>
  <c r="H4260" i="28"/>
  <c r="H4246" i="28"/>
  <c r="H4245" i="28"/>
  <c r="H4239" i="28"/>
  <c r="H4237" i="28"/>
  <c r="H4234" i="28"/>
  <c r="H4229" i="28"/>
  <c r="H4228" i="28"/>
  <c r="H4224" i="28"/>
  <c r="H4215" i="28"/>
  <c r="H4209" i="28"/>
  <c r="H4207" i="28"/>
  <c r="H4203" i="28"/>
  <c r="H4201" i="28"/>
  <c r="H4197" i="28"/>
  <c r="H4190" i="28"/>
  <c r="H4184" i="28"/>
  <c r="H4180" i="28"/>
  <c r="H4176" i="28"/>
  <c r="H4166" i="28"/>
  <c r="H4156" i="28"/>
  <c r="H4152" i="28"/>
  <c r="H4146" i="28"/>
  <c r="H4132" i="28"/>
  <c r="H4128" i="28"/>
  <c r="H4120" i="28"/>
  <c r="H4119" i="28"/>
  <c r="H4115" i="28"/>
  <c r="H4112" i="28"/>
  <c r="H4103" i="28"/>
  <c r="H4099" i="28"/>
  <c r="H4095" i="28"/>
  <c r="H4088" i="28"/>
  <c r="H4087" i="28"/>
  <c r="H4084" i="28"/>
  <c r="H4075" i="28"/>
  <c r="H4071" i="28"/>
  <c r="H4062" i="28"/>
  <c r="H4061" i="28"/>
  <c r="H4054" i="28"/>
  <c r="H4052" i="28"/>
  <c r="H4048" i="28"/>
  <c r="H4036" i="28"/>
  <c r="H4013" i="28"/>
  <c r="H4007" i="28"/>
  <c r="H3998" i="28"/>
  <c r="H3996" i="28"/>
  <c r="H3987" i="28"/>
  <c r="H3983" i="28"/>
  <c r="H3978" i="28"/>
  <c r="H3968" i="28"/>
  <c r="H3963" i="28"/>
  <c r="H3960" i="28"/>
  <c r="H3958" i="28"/>
  <c r="H3952" i="28"/>
  <c r="H3944" i="28"/>
  <c r="H3932" i="28"/>
  <c r="H3930" i="28"/>
  <c r="H3924" i="28"/>
  <c r="H3920" i="28"/>
  <c r="H3918" i="28"/>
  <c r="H3908" i="28"/>
  <c r="H3898" i="28"/>
  <c r="H3890" i="28"/>
  <c r="H3879" i="28"/>
  <c r="H3869" i="28"/>
  <c r="H3845" i="28"/>
  <c r="H3830" i="28"/>
  <c r="H3798" i="28"/>
  <c r="H3786" i="28"/>
  <c r="H3778" i="28"/>
  <c r="H3764" i="28"/>
  <c r="H3751" i="28"/>
  <c r="H3749" i="28"/>
  <c r="H3747" i="28"/>
  <c r="H3745" i="28"/>
  <c r="H3739" i="28"/>
  <c r="H3718" i="28"/>
  <c r="H3712" i="28"/>
  <c r="H3679" i="28"/>
  <c r="H3625" i="28"/>
  <c r="H3623" i="28"/>
  <c r="H3617" i="28"/>
  <c r="H3604" i="28"/>
  <c r="H3600" i="28"/>
  <c r="H3598" i="28"/>
  <c r="H3583" i="28"/>
  <c r="H3581" i="28"/>
  <c r="H3579" i="28"/>
  <c r="H3565" i="28"/>
  <c r="H3563" i="28"/>
  <c r="H3562" i="28"/>
  <c r="H3560" i="28"/>
  <c r="H3558" i="28"/>
  <c r="H3552" i="28"/>
  <c r="H3545" i="28"/>
  <c r="H3526" i="28"/>
  <c r="H3501" i="28"/>
  <c r="H3490" i="28"/>
  <c r="H3486" i="28"/>
  <c r="H3475" i="28"/>
  <c r="H3473" i="28"/>
  <c r="H3469" i="28"/>
  <c r="H3441" i="28"/>
  <c r="H3426" i="28"/>
  <c r="H3424" i="28"/>
  <c r="H3418" i="28"/>
  <c r="H3406" i="28"/>
  <c r="H3404" i="28"/>
  <c r="H3391" i="28"/>
  <c r="H3375" i="28"/>
  <c r="H3362" i="28"/>
  <c r="H3351" i="28"/>
  <c r="H3336" i="28"/>
  <c r="H3334" i="28"/>
  <c r="H3330" i="28"/>
  <c r="H3322" i="28"/>
  <c r="H3309" i="28"/>
  <c r="H3269" i="28"/>
  <c r="H3259" i="28"/>
  <c r="H3257" i="28"/>
  <c r="H3230" i="28"/>
  <c r="H3220" i="28"/>
  <c r="H3218" i="28"/>
  <c r="H3208" i="28"/>
  <c r="H3202" i="28"/>
  <c r="H3177" i="28"/>
  <c r="H3158" i="28"/>
  <c r="H3136" i="28"/>
  <c r="H3127" i="28"/>
  <c r="H3121" i="28"/>
  <c r="H3113" i="28"/>
  <c r="H3090" i="28"/>
  <c r="H3080" i="28"/>
  <c r="H3064" i="28"/>
  <c r="H3062" i="28"/>
  <c r="H3050" i="28"/>
  <c r="H3040" i="28"/>
  <c r="H3037" i="28"/>
  <c r="H3016" i="28"/>
  <c r="H3012" i="28"/>
  <c r="H3010" i="28"/>
  <c r="H5989" i="28"/>
  <c r="H5983" i="28"/>
  <c r="H5981" i="28"/>
  <c r="H5977" i="28"/>
  <c r="H5961" i="28"/>
  <c r="H5959" i="28"/>
  <c r="H5955" i="28"/>
  <c r="H5953" i="28"/>
  <c r="H5940" i="28"/>
  <c r="H5930" i="28"/>
  <c r="H5923" i="28"/>
  <c r="H5915" i="28"/>
  <c r="H5913" i="28"/>
  <c r="H5893" i="28"/>
  <c r="H5881" i="28"/>
  <c r="H5875" i="28"/>
  <c r="H5858" i="28"/>
  <c r="H5851" i="28"/>
  <c r="H5838" i="28"/>
  <c r="H5828" i="28"/>
  <c r="H5818" i="28"/>
  <c r="H5807" i="28"/>
  <c r="H5788" i="28"/>
  <c r="H5756" i="28"/>
  <c r="H5734" i="28"/>
  <c r="H5730" i="28"/>
  <c r="H5724" i="28"/>
  <c r="H5713" i="28"/>
  <c r="H5674" i="28"/>
  <c r="H5673" i="28"/>
  <c r="H5671" i="28"/>
  <c r="H5668" i="28"/>
  <c r="H5661" i="28"/>
  <c r="H5655" i="28"/>
  <c r="H5651" i="28"/>
  <c r="H5638" i="28"/>
  <c r="H5631" i="28"/>
  <c r="H5629" i="28"/>
  <c r="H5610" i="28"/>
  <c r="H5601" i="28"/>
  <c r="H5599" i="28"/>
  <c r="H5596" i="28"/>
  <c r="H5589" i="28"/>
  <c r="H5584" i="28"/>
  <c r="H5575" i="28"/>
  <c r="H5572" i="28"/>
  <c r="H5570" i="28"/>
  <c r="H5552" i="28"/>
  <c r="H5551" i="28"/>
  <c r="H5549" i="28"/>
  <c r="H5548" i="28"/>
  <c r="H5547" i="28"/>
  <c r="H5540" i="28"/>
  <c r="H5539" i="28"/>
  <c r="H5533" i="28"/>
  <c r="H5532" i="28"/>
  <c r="H5514" i="28"/>
  <c r="H5513" i="28"/>
  <c r="H5505" i="28"/>
  <c r="H5499" i="28"/>
  <c r="H5491" i="28"/>
  <c r="H5476" i="28"/>
  <c r="H5461" i="28"/>
  <c r="H5457" i="28"/>
  <c r="H5456" i="28"/>
  <c r="H5454" i="28"/>
  <c r="H5449" i="28"/>
  <c r="H5444" i="28"/>
  <c r="H5433" i="28"/>
  <c r="H5431" i="28"/>
  <c r="H5422" i="28"/>
  <c r="H5419" i="28"/>
  <c r="H5418" i="28"/>
  <c r="H5402" i="28"/>
  <c r="H5398" i="28"/>
  <c r="H5397" i="28"/>
  <c r="H5393" i="28"/>
  <c r="H5391" i="28"/>
  <c r="H5387" i="28"/>
  <c r="H5385" i="28"/>
  <c r="H5379" i="28"/>
  <c r="H5376" i="28"/>
  <c r="H5370" i="28"/>
  <c r="H5367" i="28"/>
  <c r="H5365" i="28"/>
  <c r="H5361" i="28"/>
  <c r="H5358" i="28"/>
  <c r="H5354" i="28"/>
  <c r="H5335" i="28"/>
  <c r="H5332" i="28"/>
  <c r="H5322" i="28"/>
  <c r="H5321" i="28"/>
  <c r="H5308" i="28"/>
  <c r="H5303" i="28"/>
  <c r="H5300" i="28"/>
  <c r="H5293" i="28"/>
  <c r="H5291" i="28"/>
  <c r="H5288" i="28"/>
  <c r="H5286" i="28"/>
  <c r="H5284" i="28"/>
  <c r="H5275" i="28"/>
  <c r="H5264" i="28"/>
  <c r="H5263" i="28"/>
  <c r="H5252" i="28"/>
  <c r="H5234" i="28"/>
  <c r="H5232" i="28"/>
  <c r="H5226" i="28"/>
  <c r="H5225" i="28"/>
  <c r="H5222" i="28"/>
  <c r="H5206" i="28"/>
  <c r="H5203" i="28"/>
  <c r="H5191" i="28"/>
  <c r="H5189" i="28"/>
  <c r="H5186" i="28"/>
  <c r="H5185" i="28"/>
  <c r="H5181" i="28"/>
  <c r="H5171" i="28"/>
  <c r="H5162" i="28"/>
  <c r="H5157" i="28"/>
  <c r="H5150" i="28"/>
  <c r="H5142" i="28"/>
  <c r="H5128" i="28"/>
  <c r="H5115" i="28"/>
  <c r="H5104" i="28"/>
  <c r="H5102" i="28"/>
  <c r="H5097" i="28"/>
  <c r="H5092" i="28"/>
  <c r="H5091" i="28"/>
  <c r="H5084" i="28"/>
  <c r="H5050" i="28"/>
  <c r="H5049" i="28"/>
  <c r="H5041" i="28"/>
  <c r="H5035" i="28"/>
  <c r="H5027" i="28"/>
  <c r="H5023" i="28"/>
  <c r="H5017" i="28"/>
  <c r="H5000" i="28"/>
  <c r="H4985" i="28"/>
  <c r="H4976" i="28"/>
  <c r="H4965" i="28"/>
  <c r="H4961" i="28"/>
  <c r="H4960" i="28"/>
  <c r="H4957" i="28"/>
  <c r="H4950" i="28"/>
  <c r="H4947" i="28"/>
  <c r="H4943" i="28"/>
  <c r="H4926" i="28"/>
  <c r="H4923" i="28"/>
  <c r="H4915" i="28"/>
  <c r="H4911" i="28"/>
  <c r="H4908" i="28"/>
  <c r="H4904" i="28"/>
  <c r="H4901" i="28"/>
  <c r="H4892" i="28"/>
  <c r="H4875" i="28"/>
  <c r="H4857" i="28"/>
  <c r="H4851" i="28"/>
  <c r="H4848" i="28"/>
  <c r="H4845" i="28"/>
  <c r="H4844" i="28"/>
  <c r="H4833" i="28"/>
  <c r="H4831" i="28"/>
  <c r="H4823" i="28"/>
  <c r="H4810" i="28"/>
  <c r="H4806" i="28"/>
  <c r="H4800" i="28"/>
  <c r="H4794" i="28"/>
  <c r="H4792" i="28"/>
  <c r="H4789" i="28"/>
  <c r="H4787" i="28"/>
  <c r="H4784" i="28"/>
  <c r="H4767" i="28"/>
  <c r="H4762" i="28"/>
  <c r="H4748" i="28"/>
  <c r="H4746" i="28"/>
  <c r="H4737" i="28"/>
  <c r="H4734" i="28"/>
  <c r="H4721" i="28"/>
  <c r="H4715" i="28"/>
  <c r="H4705" i="28"/>
  <c r="H4698" i="28"/>
  <c r="H4695" i="28"/>
  <c r="H4694" i="28"/>
  <c r="H4693" i="28"/>
  <c r="H4685" i="28"/>
  <c r="H4674" i="28"/>
  <c r="H4661" i="28"/>
  <c r="H4658" i="28"/>
  <c r="H4656" i="28"/>
  <c r="H4650" i="28"/>
  <c r="H4646" i="28"/>
  <c r="H4639" i="28"/>
  <c r="H4625" i="28"/>
  <c r="H4622" i="28"/>
  <c r="H4621" i="28"/>
  <c r="H4612" i="28"/>
  <c r="H4607" i="28"/>
  <c r="H4606" i="28"/>
  <c r="H4592" i="28"/>
  <c r="H4590" i="28"/>
  <c r="H4571" i="28"/>
  <c r="H4563" i="28"/>
  <c r="H4558" i="28"/>
  <c r="H4550" i="28"/>
  <c r="H4536" i="28"/>
  <c r="H4530" i="28"/>
  <c r="H4529" i="28"/>
  <c r="H4527" i="28"/>
  <c r="H4523" i="28"/>
  <c r="H4517" i="28"/>
  <c r="H4514" i="28"/>
  <c r="H6188" i="28"/>
  <c r="H6186" i="28"/>
  <c r="H6185" i="28"/>
  <c r="H6184" i="28"/>
  <c r="H6177" i="28"/>
  <c r="H6173" i="28"/>
  <c r="H6167" i="28"/>
  <c r="H6163" i="28"/>
  <c r="H6161" i="28"/>
  <c r="H6157" i="28"/>
  <c r="H6153" i="28"/>
  <c r="H6152" i="28"/>
  <c r="H6147" i="28"/>
  <c r="H6146" i="28"/>
  <c r="H6141" i="28"/>
  <c r="H6140" i="28"/>
  <c r="H6139" i="28"/>
  <c r="H6136" i="28"/>
  <c r="H6131" i="28"/>
  <c r="H6124" i="28"/>
  <c r="H6106" i="28"/>
  <c r="H6092" i="28"/>
  <c r="H6091" i="28"/>
  <c r="H6088" i="28"/>
  <c r="H6084" i="28"/>
  <c r="H6079" i="28"/>
  <c r="H6073" i="28"/>
  <c r="H6072" i="28"/>
  <c r="H6059" i="28"/>
  <c r="H6052" i="28"/>
  <c r="H6050" i="28"/>
  <c r="H6048" i="28"/>
  <c r="H6047" i="28"/>
  <c r="H6046" i="28"/>
  <c r="H6040" i="28"/>
  <c r="H6036" i="28"/>
  <c r="H6020" i="28"/>
  <c r="H6014" i="28"/>
  <c r="H6009" i="28"/>
  <c r="H3949" i="28"/>
  <c r="H3937" i="28"/>
  <c r="H3899" i="28"/>
  <c r="H3876" i="28"/>
  <c r="H3873" i="28"/>
  <c r="H3842" i="28"/>
  <c r="H3816" i="28"/>
  <c r="H3814" i="28"/>
  <c r="H3812" i="28"/>
  <c r="H3810" i="28"/>
  <c r="H3801" i="28"/>
  <c r="H3772" i="28"/>
  <c r="H3768" i="28"/>
  <c r="H3755" i="28"/>
  <c r="H3742" i="28"/>
  <c r="H3737" i="28"/>
  <c r="H3705" i="28"/>
  <c r="H3699" i="28"/>
  <c r="H3670" i="28"/>
  <c r="H3661" i="28"/>
  <c r="H3653" i="28"/>
  <c r="H3649" i="28"/>
  <c r="H3643" i="28"/>
  <c r="H3575" i="28"/>
  <c r="H3532" i="28"/>
  <c r="H3523" i="28"/>
  <c r="H3502" i="28"/>
  <c r="H3500" i="28"/>
  <c r="H3499" i="28"/>
  <c r="H3495" i="28"/>
  <c r="H3462" i="28"/>
  <c r="H3460" i="28"/>
  <c r="H3454" i="28"/>
  <c r="H3438" i="28"/>
  <c r="H3431" i="28"/>
  <c r="H3398" i="28"/>
  <c r="H3383" i="28"/>
  <c r="H3381" i="28"/>
  <c r="H3379" i="28"/>
  <c r="H3366" i="28"/>
  <c r="H3355" i="28"/>
  <c r="H3350" i="28"/>
  <c r="H3325" i="28"/>
  <c r="H3320" i="28"/>
  <c r="H3303" i="28"/>
  <c r="H3295" i="28"/>
  <c r="H3291" i="28"/>
  <c r="H3284" i="28"/>
  <c r="H3281" i="28"/>
  <c r="H3279" i="28"/>
  <c r="H3271" i="28"/>
  <c r="H3253" i="28"/>
  <c r="H3245" i="28"/>
  <c r="H3212" i="28"/>
  <c r="H3190" i="28"/>
  <c r="H3178" i="28"/>
  <c r="H3172" i="28"/>
  <c r="H3155" i="28"/>
  <c r="H3147" i="28"/>
  <c r="H3145" i="28"/>
  <c r="H3132" i="28"/>
  <c r="H3128" i="28"/>
  <c r="H3108" i="28"/>
  <c r="H3089" i="28"/>
  <c r="H3043" i="28"/>
  <c r="H3031" i="28"/>
  <c r="H3011" i="28"/>
  <c r="H5990" i="28"/>
  <c r="H5982" i="28"/>
  <c r="H5978" i="28"/>
  <c r="H5950" i="28"/>
  <c r="H5939" i="28"/>
  <c r="H5914" i="28"/>
  <c r="H5910" i="28"/>
  <c r="H5907" i="28"/>
  <c r="H5896" i="28"/>
  <c r="H5843" i="28"/>
  <c r="H5835" i="28"/>
  <c r="H5814" i="28"/>
  <c r="H5798" i="28"/>
  <c r="H5796" i="28"/>
  <c r="H5793" i="28"/>
  <c r="H5785" i="28"/>
  <c r="H5768" i="28"/>
  <c r="H5759" i="28"/>
  <c r="H5749" i="28"/>
  <c r="H5729" i="28"/>
  <c r="H5719" i="28"/>
  <c r="H5704" i="28"/>
  <c r="H1495" i="28"/>
  <c r="H1493" i="28"/>
  <c r="H1462" i="28"/>
  <c r="H1457" i="28"/>
  <c r="H1456" i="28"/>
  <c r="H1449" i="28"/>
  <c r="H1441" i="28"/>
  <c r="H1428" i="28"/>
  <c r="H1427" i="28"/>
  <c r="H1424" i="28"/>
  <c r="H1422" i="28"/>
  <c r="H1418" i="28"/>
  <c r="H1398" i="28"/>
  <c r="H1393" i="28"/>
  <c r="H1366" i="28"/>
  <c r="H1365" i="28"/>
  <c r="H1358" i="28"/>
  <c r="H1343" i="28"/>
  <c r="H1341" i="28"/>
  <c r="H1324" i="28"/>
  <c r="H1321" i="28"/>
  <c r="H1310" i="28"/>
  <c r="H1291" i="28"/>
  <c r="H1280" i="28"/>
  <c r="H1273" i="28"/>
  <c r="H1272" i="28"/>
  <c r="H1245" i="28"/>
  <c r="H1244" i="28"/>
  <c r="H1239" i="28"/>
  <c r="H1237" i="28"/>
  <c r="H1235" i="28"/>
  <c r="H1233" i="28"/>
  <c r="H1227" i="28"/>
  <c r="H1211" i="28"/>
  <c r="H1210" i="28"/>
  <c r="H1197" i="28"/>
  <c r="H1193" i="28"/>
  <c r="H1190" i="28"/>
  <c r="H1185" i="28"/>
  <c r="H1179" i="28"/>
  <c r="H1176" i="28"/>
  <c r="H1170" i="28"/>
  <c r="H1136" i="28"/>
  <c r="H1128" i="28"/>
  <c r="H1126" i="28"/>
  <c r="H1124" i="28"/>
  <c r="H1109" i="28"/>
  <c r="H1099" i="28"/>
  <c r="H1093" i="28"/>
  <c r="H1087" i="28"/>
  <c r="H1084" i="28"/>
  <c r="H1077" i="28"/>
  <c r="H1068" i="28"/>
  <c r="H1049" i="28"/>
  <c r="H1045" i="28"/>
  <c r="H1038" i="28"/>
  <c r="H1032" i="28"/>
  <c r="H1031" i="28"/>
  <c r="H1019" i="28"/>
  <c r="H1013" i="28"/>
  <c r="H996" i="28"/>
  <c r="H990" i="28"/>
  <c r="H985" i="28"/>
  <c r="H978" i="28"/>
  <c r="H975" i="28"/>
  <c r="H953" i="28"/>
  <c r="H944" i="28"/>
  <c r="H914" i="28"/>
  <c r="H910" i="28"/>
  <c r="H907" i="28"/>
  <c r="H873" i="28"/>
  <c r="H871" i="28"/>
  <c r="H867" i="28"/>
  <c r="H854" i="28"/>
  <c r="H851" i="28"/>
  <c r="H847" i="28"/>
  <c r="H839" i="28"/>
  <c r="H833" i="28"/>
  <c r="H827" i="28"/>
  <c r="H826" i="28"/>
  <c r="H823" i="28"/>
  <c r="H808" i="28"/>
  <c r="H801" i="28"/>
  <c r="H787" i="28"/>
  <c r="H784" i="28"/>
  <c r="H773" i="28"/>
  <c r="H771" i="28"/>
  <c r="H767" i="28"/>
  <c r="H754" i="28"/>
  <c r="H748" i="28"/>
  <c r="H747" i="28"/>
  <c r="H735" i="28"/>
  <c r="H734" i="28"/>
  <c r="H727" i="28"/>
  <c r="H725" i="28"/>
  <c r="H724" i="28"/>
  <c r="H719" i="28"/>
  <c r="H689" i="28"/>
  <c r="H672" i="28"/>
  <c r="H669" i="28"/>
  <c r="H660" i="28"/>
  <c r="H646" i="28"/>
  <c r="H643" i="28"/>
  <c r="H624" i="28"/>
  <c r="H621" i="28"/>
  <c r="H614" i="28"/>
  <c r="H613" i="28"/>
  <c r="H602" i="28"/>
  <c r="H597" i="28"/>
  <c r="H591" i="28"/>
  <c r="H584" i="28"/>
  <c r="H581" i="28"/>
  <c r="H575" i="28"/>
  <c r="H573" i="28"/>
  <c r="H556" i="28"/>
  <c r="H552" i="28"/>
  <c r="H545" i="28"/>
  <c r="H541" i="28"/>
  <c r="H535" i="28"/>
  <c r="H534" i="28"/>
  <c r="H531" i="28"/>
  <c r="H525" i="28"/>
  <c r="H521" i="28"/>
  <c r="H519" i="28"/>
  <c r="H513" i="28"/>
  <c r="H503" i="28"/>
  <c r="H500" i="28"/>
  <c r="H499" i="28"/>
  <c r="H489" i="28"/>
  <c r="H474" i="28"/>
  <c r="H463" i="28"/>
  <c r="H461" i="28"/>
  <c r="H453" i="28"/>
  <c r="H436" i="28"/>
  <c r="H425" i="28"/>
  <c r="H392" i="28"/>
  <c r="H389" i="28"/>
  <c r="H364" i="28"/>
  <c r="H357" i="28"/>
  <c r="H356" i="28"/>
  <c r="H350" i="28"/>
  <c r="H324" i="28"/>
  <c r="H320" i="28"/>
  <c r="H317" i="28"/>
  <c r="H313" i="28"/>
  <c r="H280" i="28"/>
  <c r="H271" i="28"/>
  <c r="H270" i="28"/>
  <c r="H2501" i="28"/>
  <c r="H2495" i="28"/>
  <c r="H2494" i="28"/>
  <c r="H2492" i="28"/>
  <c r="H2491" i="28"/>
  <c r="H2487" i="28"/>
  <c r="H2472" i="28"/>
  <c r="H2455" i="28"/>
  <c r="H2451" i="28"/>
  <c r="H2446" i="28"/>
  <c r="H2441" i="28"/>
  <c r="H2436" i="28"/>
  <c r="H2434" i="28"/>
  <c r="H2422" i="28"/>
  <c r="H2419" i="28"/>
  <c r="H2415" i="28"/>
  <c r="H2406" i="28"/>
  <c r="H2397" i="28"/>
  <c r="H2387" i="28"/>
  <c r="H2383" i="28"/>
  <c r="H2373" i="28"/>
  <c r="H2362" i="28"/>
  <c r="H2360" i="28"/>
  <c r="H2349" i="28"/>
  <c r="H2335" i="28"/>
  <c r="H2325" i="28"/>
  <c r="H2324" i="28"/>
  <c r="H2316" i="28"/>
  <c r="H2310" i="28"/>
  <c r="H2305" i="28"/>
  <c r="H4316" i="28"/>
  <c r="H4311" i="28"/>
  <c r="H4308" i="28"/>
  <c r="H4291" i="28"/>
  <c r="H4285" i="28"/>
  <c r="H4272" i="28"/>
  <c r="H4254" i="28"/>
  <c r="H4244" i="28"/>
  <c r="H4227" i="28"/>
  <c r="H4220" i="28"/>
  <c r="H4217" i="28"/>
  <c r="H4200" i="28"/>
  <c r="H4199" i="28"/>
  <c r="H4194" i="28"/>
  <c r="H4189" i="28"/>
  <c r="H4175" i="28"/>
  <c r="H4170" i="28"/>
  <c r="H4162" i="28"/>
  <c r="H4148" i="28"/>
  <c r="H4134" i="28"/>
  <c r="H4130" i="28"/>
  <c r="H4106" i="28"/>
  <c r="H4098" i="28"/>
  <c r="H4092" i="28"/>
  <c r="H4067" i="28"/>
  <c r="H4065" i="28"/>
  <c r="H4059" i="28"/>
  <c r="H4053" i="28"/>
  <c r="H4046" i="28"/>
  <c r="H4043" i="28"/>
  <c r="H4033" i="28"/>
  <c r="H4021" i="28"/>
  <c r="H4019" i="28"/>
  <c r="H4017" i="28"/>
  <c r="H4016" i="28"/>
  <c r="H4014" i="28"/>
  <c r="H4001" i="28"/>
  <c r="H4000" i="28"/>
  <c r="H3997" i="28"/>
  <c r="H3990" i="28"/>
  <c r="H3988" i="28"/>
  <c r="H3976" i="28"/>
  <c r="H3966" i="28"/>
  <c r="H3965" i="28"/>
  <c r="H3961" i="28"/>
  <c r="H3928" i="28"/>
  <c r="H3884" i="28"/>
  <c r="H3877" i="28"/>
  <c r="H3849" i="28"/>
  <c r="H3820" i="28"/>
  <c r="H3788" i="28"/>
  <c r="H3776" i="28"/>
  <c r="H3774" i="28"/>
  <c r="H3766" i="28"/>
  <c r="H3734" i="28"/>
  <c r="H3726" i="28"/>
  <c r="H3720" i="28"/>
  <c r="H3707" i="28"/>
  <c r="H3702" i="28"/>
  <c r="H3698" i="28"/>
  <c r="H3687" i="28"/>
  <c r="H3648" i="28"/>
  <c r="H3636" i="28"/>
  <c r="H3621" i="28"/>
  <c r="H3589" i="28"/>
  <c r="H3572" i="28"/>
  <c r="H3568" i="28"/>
  <c r="H3539" i="28"/>
  <c r="H3535" i="28"/>
  <c r="H3520" i="28"/>
  <c r="H3516" i="28"/>
  <c r="H3511" i="28"/>
  <c r="H3503" i="28"/>
  <c r="H3457" i="28"/>
  <c r="H3439" i="28"/>
  <c r="H3432" i="28"/>
  <c r="H3416" i="28"/>
  <c r="H3377" i="28"/>
  <c r="H3358" i="28"/>
  <c r="H3347" i="28"/>
  <c r="H3340" i="28"/>
  <c r="H3328" i="28"/>
  <c r="H3305" i="28"/>
  <c r="H3300" i="28"/>
  <c r="H3292" i="28"/>
  <c r="H3263" i="28"/>
  <c r="H3246" i="28"/>
  <c r="H3244" i="28"/>
  <c r="H3216" i="28"/>
  <c r="H3210" i="28"/>
  <c r="H3206" i="28"/>
  <c r="H3200" i="28"/>
  <c r="H3197" i="28"/>
  <c r="H3189" i="28"/>
  <c r="H3185" i="28"/>
  <c r="H3162" i="28"/>
  <c r="H3156" i="28"/>
  <c r="H3129" i="28"/>
  <c r="H3123" i="28"/>
  <c r="H3115" i="28"/>
  <c r="H3096" i="28"/>
  <c r="H3094" i="28"/>
  <c r="H3082" i="28"/>
  <c r="H3059" i="28"/>
  <c r="H3055" i="28"/>
  <c r="H3032" i="28"/>
  <c r="H3023" i="28"/>
  <c r="H3021" i="28"/>
  <c r="H5994" i="28"/>
  <c r="H5971" i="28"/>
  <c r="H5956" i="28"/>
  <c r="H5949" i="28"/>
  <c r="H5945" i="28"/>
  <c r="H5938" i="28"/>
  <c r="H5928" i="28"/>
  <c r="H5889" i="28"/>
  <c r="H5867" i="28"/>
  <c r="H5862" i="28"/>
  <c r="H5840" i="28"/>
  <c r="H5820" i="28"/>
  <c r="H5809" i="28"/>
  <c r="H5801" i="28"/>
  <c r="H5771" i="28"/>
  <c r="H5750" i="28"/>
  <c r="H5740" i="28"/>
  <c r="H5738" i="28"/>
  <c r="H5733" i="28"/>
  <c r="H5695" i="28"/>
  <c r="H5693" i="28"/>
  <c r="H5689" i="28"/>
  <c r="H5684" i="28"/>
  <c r="H5682" i="28"/>
  <c r="H5680" i="28"/>
  <c r="H5672" i="28"/>
  <c r="H5669" i="28"/>
  <c r="H5663" i="28"/>
  <c r="H5660" i="28"/>
  <c r="H5641" i="28"/>
  <c r="H5637" i="28"/>
  <c r="H5633" i="28"/>
  <c r="H5626" i="28"/>
  <c r="H5622" i="28"/>
  <c r="H5613" i="28"/>
  <c r="H5606" i="28"/>
  <c r="H5595" i="28"/>
  <c r="H5594" i="28"/>
  <c r="H5580" i="28"/>
  <c r="H5579" i="28"/>
  <c r="H5565" i="28"/>
  <c r="H5546" i="28"/>
  <c r="H5545" i="28"/>
  <c r="H5538" i="28"/>
  <c r="H5529" i="28"/>
  <c r="H5524" i="28"/>
  <c r="H5521" i="28"/>
  <c r="H5516" i="28"/>
  <c r="H5502" i="28"/>
  <c r="H5496" i="28"/>
  <c r="H5488" i="28"/>
  <c r="H5486" i="28"/>
  <c r="H5484" i="28"/>
  <c r="H5481" i="28"/>
  <c r="H5468" i="28"/>
  <c r="H5447" i="28"/>
  <c r="H5446" i="28"/>
  <c r="H5441" i="28"/>
  <c r="H5428" i="28"/>
  <c r="H5426" i="28"/>
  <c r="H5408" i="28"/>
  <c r="H5394" i="28"/>
  <c r="H5390" i="28"/>
  <c r="H5378" i="28"/>
  <c r="H5373" i="28"/>
  <c r="H5366" i="28"/>
  <c r="H5363" i="28"/>
  <c r="H5357" i="28"/>
  <c r="H5343" i="28"/>
  <c r="H5342" i="28"/>
  <c r="H5334" i="28"/>
  <c r="H5319" i="28"/>
  <c r="H5314" i="28"/>
  <c r="H5312" i="28"/>
  <c r="H5298" i="28"/>
  <c r="H5281" i="28"/>
  <c r="H5280" i="28"/>
  <c r="H5278" i="28"/>
  <c r="H5273" i="28"/>
  <c r="H5253" i="28"/>
  <c r="H5241" i="28"/>
  <c r="H5204" i="28"/>
  <c r="H5200" i="28"/>
  <c r="H5199" i="28"/>
  <c r="H5192" i="28"/>
  <c r="H5180" i="28"/>
  <c r="H5179" i="28"/>
  <c r="H5177" i="28"/>
  <c r="H5174" i="28"/>
  <c r="H5170" i="28"/>
  <c r="H5167" i="28"/>
  <c r="H5164" i="28"/>
  <c r="H5161" i="28"/>
  <c r="H5160" i="28"/>
  <c r="H5154" i="28"/>
  <c r="H5152" i="28"/>
  <c r="H5143" i="28"/>
  <c r="H5140" i="28"/>
  <c r="H5136" i="28"/>
  <c r="H5130" i="28"/>
  <c r="H5119" i="28"/>
  <c r="H5113" i="28"/>
  <c r="H5100" i="28"/>
  <c r="H5096" i="28"/>
  <c r="H5089" i="28"/>
  <c r="H5079" i="28"/>
  <c r="H5076" i="28"/>
  <c r="H5075" i="28"/>
  <c r="H5073" i="28"/>
  <c r="H5068" i="28"/>
  <c r="H5059" i="28"/>
  <c r="H5055" i="28"/>
  <c r="H5046" i="28"/>
  <c r="H5037" i="28"/>
  <c r="H5032" i="28"/>
  <c r="H5031" i="28"/>
  <c r="H5028" i="28"/>
  <c r="H5018" i="28"/>
  <c r="H5010" i="28"/>
  <c r="H5009" i="28"/>
  <c r="H4997" i="28"/>
  <c r="H4994" i="28"/>
  <c r="H4993" i="28"/>
  <c r="H4987" i="28"/>
  <c r="H4981" i="28"/>
  <c r="H4971" i="28"/>
  <c r="H4969" i="28"/>
  <c r="H4958" i="28"/>
  <c r="H4936" i="28"/>
  <c r="H4931" i="28"/>
  <c r="H4928" i="28"/>
  <c r="H4910" i="28"/>
  <c r="H4893" i="28"/>
  <c r="H4891" i="28"/>
  <c r="H4889" i="28"/>
  <c r="H4888" i="28"/>
  <c r="H4876" i="28"/>
  <c r="H4874" i="28"/>
  <c r="H4870" i="28"/>
  <c r="H4868" i="28"/>
  <c r="H4865" i="28"/>
  <c r="H4853" i="28"/>
  <c r="H4819" i="28"/>
  <c r="H4803" i="28"/>
  <c r="H4788" i="28"/>
  <c r="H4769" i="28"/>
  <c r="H4768" i="28"/>
  <c r="H4744" i="28"/>
  <c r="H4730" i="28"/>
  <c r="H4726" i="28"/>
  <c r="H4701" i="28"/>
  <c r="H4687" i="28"/>
  <c r="H4683" i="28"/>
  <c r="H4679" i="28"/>
  <c r="H4677" i="28"/>
  <c r="H4668" i="28"/>
  <c r="H4660" i="28"/>
  <c r="H4651" i="28"/>
  <c r="H4647" i="28"/>
  <c r="H4632" i="28"/>
  <c r="H4624" i="28"/>
  <c r="H4620" i="28"/>
  <c r="H4617" i="28"/>
  <c r="H4614" i="28"/>
  <c r="H4603" i="28"/>
  <c r="H4600" i="28"/>
  <c r="H4595" i="28"/>
  <c r="H4589" i="28"/>
  <c r="H4584" i="28"/>
  <c r="H4581" i="28"/>
  <c r="H4578" i="28"/>
  <c r="H4569" i="28"/>
  <c r="H4566" i="28"/>
  <c r="H4540" i="28"/>
  <c r="H4538" i="28"/>
  <c r="H4537" i="28"/>
  <c r="H4535" i="28"/>
  <c r="H4531" i="28"/>
  <c r="H4521" i="28"/>
  <c r="H4510" i="28"/>
  <c r="H6171" i="28"/>
  <c r="H6170" i="28"/>
  <c r="H6166" i="28"/>
  <c r="H6156" i="28"/>
  <c r="H6148" i="28"/>
  <c r="H6128" i="28"/>
  <c r="H6122" i="28"/>
  <c r="H6117" i="28"/>
  <c r="H6114" i="28"/>
  <c r="H6113" i="28"/>
  <c r="H6112" i="28"/>
  <c r="H6108" i="28"/>
  <c r="H6107" i="28"/>
  <c r="H6095" i="28"/>
  <c r="H6087" i="28"/>
  <c r="H6085" i="28"/>
  <c r="H6078" i="28"/>
  <c r="H6075" i="28"/>
  <c r="H6065" i="28"/>
  <c r="H6064" i="28"/>
  <c r="H6062" i="28"/>
  <c r="H6060" i="28"/>
  <c r="H6041" i="28"/>
  <c r="H6034" i="28"/>
  <c r="H6030" i="28"/>
  <c r="H6025" i="28"/>
  <c r="H6018" i="28"/>
  <c r="H6015" i="28"/>
  <c r="H3921" i="28"/>
  <c r="H3919" i="28"/>
  <c r="H3909" i="28"/>
  <c r="H3883" i="28"/>
  <c r="H3852" i="28"/>
  <c r="H3846" i="28"/>
  <c r="H3817" i="28"/>
  <c r="H3806" i="28"/>
  <c r="H3783" i="28"/>
  <c r="H3733" i="28"/>
  <c r="H3717" i="28"/>
  <c r="H3711" i="28"/>
  <c r="H3693" i="28"/>
  <c r="H3647" i="28"/>
  <c r="H3611" i="28"/>
  <c r="H3569" i="28"/>
  <c r="H3557" i="28"/>
  <c r="H3529" i="28"/>
  <c r="H3513" i="28"/>
  <c r="H3510" i="28"/>
  <c r="H3506" i="28"/>
  <c r="H3487" i="28"/>
  <c r="H3470" i="28"/>
  <c r="H3444" i="28"/>
  <c r="H3425" i="28"/>
  <c r="H3399" i="28"/>
  <c r="H3396" i="28"/>
  <c r="H3392" i="28"/>
  <c r="H3323" i="28"/>
  <c r="H3275" i="28"/>
  <c r="H3221" i="28"/>
  <c r="H3194" i="28"/>
  <c r="H3168" i="28"/>
  <c r="H3151" i="28"/>
  <c r="H3143" i="28"/>
  <c r="H3130" i="28"/>
  <c r="H3118" i="28"/>
  <c r="H3114" i="28"/>
  <c r="H3095" i="28"/>
  <c r="H3067" i="28"/>
  <c r="H6001" i="28"/>
  <c r="H5986" i="28"/>
  <c r="H5960" i="28"/>
  <c r="H5948" i="28"/>
  <c r="H5944" i="28"/>
  <c r="H5943" i="28"/>
  <c r="H5899" i="28"/>
  <c r="H5897" i="28"/>
  <c r="H5892" i="28"/>
  <c r="H5854" i="28"/>
  <c r="H5850" i="28"/>
  <c r="H5845" i="28"/>
  <c r="H5774" i="28"/>
  <c r="H5753" i="28"/>
  <c r="H5747" i="28"/>
  <c r="H1505" i="28"/>
  <c r="H1494" i="28"/>
  <c r="H1491" i="28"/>
  <c r="H1490" i="28"/>
  <c r="H1487" i="28"/>
  <c r="H1472" i="28"/>
  <c r="H1466" i="28"/>
  <c r="H1448" i="28"/>
  <c r="H1444" i="28"/>
  <c r="H1443" i="28"/>
  <c r="H1435" i="28"/>
  <c r="H1433" i="28"/>
  <c r="H1407" i="28"/>
  <c r="H1405" i="28"/>
  <c r="H1399" i="28"/>
  <c r="H1396" i="28"/>
  <c r="H1392" i="28"/>
  <c r="H1386" i="28"/>
  <c r="H1368" i="28"/>
  <c r="H1361" i="28"/>
  <c r="H1351" i="28"/>
  <c r="H1325" i="28"/>
  <c r="H1320" i="28"/>
  <c r="H1316" i="28"/>
  <c r="H1304" i="28"/>
  <c r="H1299" i="28"/>
  <c r="H1289" i="28"/>
  <c r="H1283" i="28"/>
  <c r="H1282" i="28"/>
  <c r="H1281" i="28"/>
  <c r="H1277" i="28"/>
  <c r="H1276" i="28"/>
  <c r="H1246" i="28"/>
  <c r="H1216" i="28"/>
  <c r="H1198" i="28"/>
  <c r="H1187" i="28"/>
  <c r="H1169" i="28"/>
  <c r="H1152" i="28"/>
  <c r="H1144" i="28"/>
  <c r="H1140" i="28"/>
  <c r="H1135" i="28"/>
  <c r="H1122" i="28"/>
  <c r="H1120" i="28"/>
  <c r="H1118" i="28"/>
  <c r="H1103" i="28"/>
  <c r="H1101" i="28"/>
  <c r="H1090" i="28"/>
  <c r="H1089" i="28"/>
  <c r="H1082" i="28"/>
  <c r="H1081" i="28"/>
  <c r="H1044" i="28"/>
  <c r="H1022" i="28"/>
  <c r="H1016" i="28"/>
  <c r="H1008" i="28"/>
  <c r="H999" i="28"/>
  <c r="H981" i="28"/>
  <c r="H969" i="28"/>
  <c r="H964" i="28"/>
  <c r="H958" i="28"/>
  <c r="H955" i="28"/>
  <c r="H951" i="28"/>
  <c r="H946" i="28"/>
  <c r="H940" i="28"/>
  <c r="H937" i="28"/>
  <c r="H931" i="28"/>
  <c r="H927" i="28"/>
  <c r="H919" i="28"/>
  <c r="H896" i="28"/>
  <c r="H883" i="28"/>
  <c r="H881" i="28"/>
  <c r="H874" i="28"/>
  <c r="H870" i="28"/>
  <c r="H856" i="28"/>
  <c r="H852" i="28"/>
  <c r="H829" i="28"/>
  <c r="H811" i="28"/>
  <c r="H798" i="28"/>
  <c r="H794" i="28"/>
  <c r="H789" i="28"/>
  <c r="H778" i="28"/>
  <c r="H775" i="28"/>
  <c r="H737" i="28"/>
  <c r="H699" i="28"/>
  <c r="H695" i="28"/>
  <c r="H687" i="28"/>
  <c r="H679" i="28"/>
  <c r="H662" i="28"/>
  <c r="H644" i="28"/>
  <c r="H639" i="28"/>
  <c r="H631" i="28"/>
  <c r="H627" i="28"/>
  <c r="H623" i="28"/>
  <c r="H619" i="28"/>
  <c r="H610" i="28"/>
  <c r="H603" i="28"/>
  <c r="H590" i="28"/>
  <c r="H576" i="28"/>
  <c r="H567" i="28"/>
  <c r="H527" i="28"/>
  <c r="H520" i="28"/>
  <c r="H511" i="28"/>
  <c r="H506" i="28"/>
  <c r="H491" i="28"/>
  <c r="H480" i="28"/>
  <c r="H477" i="28"/>
  <c r="H459" i="28"/>
  <c r="H455" i="28"/>
  <c r="H450" i="28"/>
  <c r="H447" i="28"/>
  <c r="H420" i="28"/>
  <c r="H417" i="28"/>
  <c r="H416" i="28"/>
  <c r="H414" i="28"/>
  <c r="H403" i="28"/>
  <c r="H396" i="28"/>
  <c r="H387" i="28"/>
  <c r="H379" i="28"/>
  <c r="H377" i="28"/>
  <c r="H371" i="28"/>
  <c r="H361" i="28"/>
  <c r="H349" i="28"/>
  <c r="H335" i="28"/>
  <c r="H330" i="28"/>
  <c r="H314" i="28"/>
  <c r="H308" i="28"/>
  <c r="H295" i="28"/>
  <c r="H289" i="28"/>
  <c r="H284" i="28"/>
  <c r="H2507" i="28"/>
  <c r="H2504" i="28"/>
  <c r="H2497" i="28"/>
  <c r="H2493" i="28"/>
  <c r="H2488" i="28"/>
  <c r="H2482" i="28"/>
  <c r="H2478" i="28"/>
  <c r="H2477" i="28"/>
  <c r="H2460" i="28"/>
  <c r="H2435" i="28"/>
  <c r="H2429" i="28"/>
  <c r="H2426" i="28"/>
  <c r="H2418" i="28"/>
  <c r="H2413" i="28"/>
  <c r="H2398" i="28"/>
  <c r="H2385" i="28"/>
  <c r="H2384" i="28"/>
  <c r="H2375" i="28"/>
  <c r="H2371" i="28"/>
  <c r="H2322" i="28"/>
  <c r="H2309" i="28"/>
  <c r="H2308" i="28"/>
  <c r="H2293" i="28"/>
  <c r="H2280" i="28"/>
  <c r="H2276" i="28"/>
  <c r="H4335" i="28"/>
  <c r="H4328" i="28"/>
  <c r="H4325" i="28"/>
  <c r="H4324" i="28"/>
  <c r="H4303" i="28"/>
  <c r="H4301" i="28"/>
  <c r="H4286" i="28"/>
  <c r="H4284" i="28"/>
  <c r="H4280" i="28"/>
  <c r="H4273" i="28"/>
  <c r="H4264" i="28"/>
  <c r="H4253" i="28"/>
  <c r="H4251" i="28"/>
  <c r="H4235" i="28"/>
  <c r="H4232" i="28"/>
  <c r="H4213" i="28"/>
  <c r="H4204" i="28"/>
  <c r="H4195" i="28"/>
  <c r="H4193" i="28"/>
  <c r="H4183" i="28"/>
  <c r="H4179" i="28"/>
  <c r="H4172" i="28"/>
  <c r="H4167" i="28"/>
  <c r="H4161" i="28"/>
  <c r="H4144" i="28"/>
  <c r="H4137" i="28"/>
  <c r="H4135" i="28"/>
  <c r="H4110" i="28"/>
  <c r="H4096" i="28"/>
  <c r="H4076" i="28"/>
  <c r="H4069" i="28"/>
  <c r="H4066" i="28"/>
  <c r="H4056" i="28"/>
  <c r="H4050" i="28"/>
  <c r="H4047" i="28"/>
  <c r="H4034" i="28"/>
  <c r="H4012" i="28"/>
  <c r="H4009" i="28"/>
  <c r="H4003" i="28"/>
  <c r="H4002" i="28"/>
  <c r="H3991" i="28"/>
  <c r="H3986" i="28"/>
  <c r="H3977" i="28"/>
  <c r="H3975" i="28"/>
  <c r="H3972" i="28"/>
  <c r="H3940" i="28"/>
  <c r="H3936" i="28"/>
  <c r="H3912" i="28"/>
  <c r="H3841" i="28"/>
  <c r="H3815" i="28"/>
  <c r="H3794" i="28"/>
  <c r="H3792" i="28"/>
  <c r="H3782" i="28"/>
  <c r="H3696" i="28"/>
  <c r="H3691" i="28"/>
  <c r="H3664" i="28"/>
  <c r="H3654" i="28"/>
  <c r="H3646" i="28"/>
  <c r="H3615" i="28"/>
  <c r="H3596" i="28"/>
  <c r="H3570" i="28"/>
  <c r="H3543" i="28"/>
  <c r="H3507" i="28"/>
  <c r="H3498" i="28"/>
  <c r="H3414" i="28"/>
  <c r="H3373" i="28"/>
  <c r="H3359" i="28"/>
  <c r="H3342" i="28"/>
  <c r="H3193" i="28"/>
  <c r="H3175" i="28"/>
  <c r="H3088" i="28"/>
  <c r="H3084" i="28"/>
  <c r="H3057" i="28"/>
  <c r="H3030" i="28"/>
  <c r="H3028" i="28"/>
  <c r="H3007" i="28"/>
  <c r="H6003" i="28"/>
  <c r="H5975" i="28"/>
  <c r="H5936" i="28"/>
  <c r="H5925" i="28"/>
  <c r="H5887" i="28"/>
  <c r="H5883" i="28"/>
  <c r="H5857" i="28"/>
  <c r="H5856" i="28"/>
  <c r="H5853" i="28"/>
  <c r="H5846" i="28"/>
  <c r="H5844" i="28"/>
  <c r="H5715" i="28"/>
  <c r="H5711" i="28"/>
  <c r="H5707" i="28"/>
  <c r="H5700" i="28"/>
  <c r="H5694" i="28"/>
  <c r="H5683" i="28"/>
  <c r="H5676" i="28"/>
  <c r="H5675" i="28"/>
  <c r="H5658" i="28"/>
  <c r="H5656" i="28"/>
  <c r="H5646" i="28"/>
  <c r="H5635" i="28"/>
  <c r="H5620" i="28"/>
  <c r="H5614" i="28"/>
  <c r="H5603" i="28"/>
  <c r="H5591" i="28"/>
  <c r="H5586" i="28"/>
  <c r="H5569" i="28"/>
  <c r="H5555" i="28"/>
  <c r="H5527" i="28"/>
  <c r="H5525" i="28"/>
  <c r="H5522" i="28"/>
  <c r="H5519" i="28"/>
  <c r="H5490" i="28"/>
  <c r="H5483" i="28"/>
  <c r="H5477" i="28"/>
  <c r="H5466" i="28"/>
  <c r="H5460" i="28"/>
  <c r="H5458" i="28"/>
  <c r="H5453" i="28"/>
  <c r="H5443" i="28"/>
  <c r="H5427" i="28"/>
  <c r="H5424" i="28"/>
  <c r="H5415" i="28"/>
  <c r="H5406" i="28"/>
  <c r="H5405" i="28"/>
  <c r="H5395" i="28"/>
  <c r="H5389" i="28"/>
  <c r="H5381" i="28"/>
  <c r="H5374" i="28"/>
  <c r="H5369" i="28"/>
  <c r="H5362" i="28"/>
  <c r="H5356" i="28"/>
  <c r="H5351" i="28"/>
  <c r="H5347" i="28"/>
  <c r="H5344" i="28"/>
  <c r="H5318" i="28"/>
  <c r="H5316" i="28"/>
  <c r="H5315" i="28"/>
  <c r="H5287" i="28"/>
  <c r="H5277" i="28"/>
  <c r="H5276" i="28"/>
  <c r="H5269" i="28"/>
  <c r="H5260" i="28"/>
  <c r="H5255" i="28"/>
  <c r="H5242" i="28"/>
  <c r="H5237" i="28"/>
  <c r="H5223" i="28"/>
  <c r="H5218" i="28"/>
  <c r="H5217" i="28"/>
  <c r="H5214" i="28"/>
  <c r="H5211" i="28"/>
  <c r="H5196" i="28"/>
  <c r="H5194" i="28"/>
  <c r="H5193" i="28"/>
  <c r="H5168" i="28"/>
  <c r="H5166" i="28"/>
  <c r="H5135" i="28"/>
  <c r="H5133" i="28"/>
  <c r="H5132" i="28"/>
  <c r="H5120" i="28"/>
  <c r="H5117" i="28"/>
  <c r="H5111" i="28"/>
  <c r="H5108" i="28"/>
  <c r="H5103" i="28"/>
  <c r="H5077" i="28"/>
  <c r="H5067" i="28"/>
  <c r="H5056" i="28"/>
  <c r="H5048" i="28"/>
  <c r="H5038" i="28"/>
  <c r="H5026" i="28"/>
  <c r="H5022" i="28"/>
  <c r="H5014" i="28"/>
  <c r="H5004" i="28"/>
  <c r="H4973" i="28"/>
  <c r="H4967" i="28"/>
  <c r="H4955" i="28"/>
  <c r="H4949" i="28"/>
  <c r="H4945" i="28"/>
  <c r="H4939" i="28"/>
  <c r="H4934" i="28"/>
  <c r="H4921" i="28"/>
  <c r="H4913" i="28"/>
  <c r="H4906" i="28"/>
  <c r="H4903" i="28"/>
  <c r="H4871" i="28"/>
  <c r="H4863" i="28"/>
  <c r="H4859" i="28"/>
  <c r="H4855" i="28"/>
  <c r="H4841" i="28"/>
  <c r="H4835" i="28"/>
  <c r="H4834" i="28"/>
  <c r="H4827" i="28"/>
  <c r="H4826" i="28"/>
  <c r="H4818" i="28"/>
  <c r="H4811" i="28"/>
  <c r="H4791" i="28"/>
  <c r="H4785" i="28"/>
  <c r="H4776" i="28"/>
  <c r="H4774" i="28"/>
  <c r="H4763" i="28"/>
  <c r="H4758" i="28"/>
  <c r="H4757" i="28"/>
  <c r="H4741" i="28"/>
  <c r="H4739" i="28"/>
  <c r="H4733" i="28"/>
  <c r="H4724" i="28"/>
  <c r="H4718" i="28"/>
  <c r="H4714" i="28"/>
  <c r="H4712" i="28"/>
  <c r="H4707" i="28"/>
  <c r="H4700" i="28"/>
  <c r="H4690" i="28"/>
  <c r="H4682" i="28"/>
  <c r="H4678" i="28"/>
  <c r="H4675" i="28"/>
  <c r="H4669" i="28"/>
  <c r="H4655" i="28"/>
  <c r="H4645" i="28"/>
  <c r="H4638" i="28"/>
  <c r="H4635" i="28"/>
  <c r="H4618" i="28"/>
  <c r="H4611" i="28"/>
  <c r="H4609" i="28"/>
  <c r="H4593" i="28"/>
  <c r="H4583" i="28"/>
  <c r="H4580" i="28"/>
  <c r="H4572" i="28"/>
  <c r="H4564" i="28"/>
  <c r="H4554" i="28"/>
  <c r="H4522" i="28"/>
  <c r="H4518" i="28"/>
  <c r="H4516" i="28"/>
  <c r="H4509" i="28"/>
  <c r="H6182" i="28"/>
  <c r="H6174" i="28"/>
  <c r="H6159" i="28"/>
  <c r="H6154" i="28"/>
  <c r="H6150" i="28"/>
  <c r="H6142" i="28"/>
  <c r="H6130" i="28"/>
  <c r="H6126" i="28"/>
  <c r="H6121" i="28"/>
  <c r="H6118" i="28"/>
  <c r="H6115" i="28"/>
  <c r="H6110" i="28"/>
  <c r="H6096" i="28"/>
  <c r="H6083" i="28"/>
  <c r="H6069" i="28"/>
  <c r="H6057" i="28"/>
  <c r="H6053" i="28"/>
  <c r="H6051" i="28"/>
  <c r="H6038" i="28"/>
  <c r="H6032" i="28"/>
  <c r="H6028" i="28"/>
  <c r="H6007" i="28"/>
  <c r="H3945" i="28"/>
  <c r="H3939" i="28"/>
  <c r="H3907" i="28"/>
  <c r="H3874" i="28"/>
  <c r="H3871" i="28"/>
  <c r="H3835" i="28"/>
  <c r="H3819" i="28"/>
  <c r="H3804" i="28"/>
  <c r="H3797" i="28"/>
  <c r="H3791" i="28"/>
  <c r="H3777" i="28"/>
  <c r="H3770" i="28"/>
  <c r="H3748" i="28"/>
  <c r="H3731" i="28"/>
  <c r="H3729" i="28"/>
  <c r="H3727" i="28"/>
  <c r="H3721" i="28"/>
  <c r="H3710" i="28"/>
  <c r="H3668" i="28"/>
  <c r="H3651" i="28"/>
  <c r="H3637" i="28"/>
  <c r="H3635" i="28"/>
  <c r="H3633" i="28"/>
  <c r="H3632" i="28"/>
  <c r="H3628" i="28"/>
  <c r="H3607" i="28"/>
  <c r="H3599" i="28"/>
  <c r="H3595" i="28"/>
  <c r="H3540" i="28"/>
  <c r="H3525" i="28"/>
  <c r="H3512" i="28"/>
  <c r="H3480" i="28"/>
  <c r="H3476" i="28"/>
  <c r="H3468" i="28"/>
  <c r="H3440" i="28"/>
  <c r="H3429" i="28"/>
  <c r="H3423" i="28"/>
  <c r="H3368" i="28"/>
  <c r="H3346" i="28"/>
  <c r="H3299" i="28"/>
  <c r="H3290" i="28"/>
  <c r="H3273" i="28"/>
  <c r="H3268" i="28"/>
  <c r="H3254" i="28"/>
  <c r="H3238" i="28"/>
  <c r="H3225" i="28"/>
  <c r="H3223" i="28"/>
  <c r="H3159" i="28"/>
  <c r="H3124" i="28"/>
  <c r="H3116" i="28"/>
  <c r="H3112" i="28"/>
  <c r="H3093" i="28"/>
  <c r="H3077" i="28"/>
  <c r="H3069" i="28"/>
  <c r="H3065" i="28"/>
  <c r="H3063" i="28"/>
  <c r="H3047" i="28"/>
  <c r="H3025" i="28"/>
  <c r="H3019" i="28"/>
  <c r="H3015" i="28"/>
  <c r="H5999" i="28"/>
  <c r="H5992" i="28"/>
  <c r="H5972" i="28"/>
  <c r="H5963" i="28"/>
  <c r="H5954" i="28"/>
  <c r="H5920" i="28"/>
  <c r="H5912" i="28"/>
  <c r="H5903" i="28"/>
  <c r="H5894" i="28"/>
  <c r="H5884" i="28"/>
  <c r="H5866" i="28"/>
  <c r="H5836" i="28"/>
  <c r="H5833" i="28"/>
  <c r="H5812" i="28"/>
  <c r="H5789" i="28"/>
  <c r="H5781" i="28"/>
  <c r="H5755" i="28"/>
  <c r="H5751" i="28"/>
  <c r="H5716" i="28"/>
  <c r="H5712" i="28"/>
  <c r="H1501" i="28"/>
  <c r="H1482" i="28"/>
  <c r="H1471" i="28"/>
  <c r="H1463" i="28"/>
  <c r="H1447" i="28"/>
  <c r="H1442" i="28"/>
  <c r="H1439" i="28"/>
  <c r="H1421" i="28"/>
  <c r="H1415" i="28"/>
  <c r="H1408" i="28"/>
  <c r="H1404" i="28"/>
  <c r="H1383" i="28"/>
  <c r="H1363" i="28"/>
  <c r="H1357" i="28"/>
  <c r="H1354" i="28"/>
  <c r="H1335" i="28"/>
  <c r="H1333" i="28"/>
  <c r="H1318" i="28"/>
  <c r="H1314" i="28"/>
  <c r="H1312" i="28"/>
  <c r="H1288" i="28"/>
  <c r="H1266" i="28"/>
  <c r="H1253" i="28"/>
  <c r="H1242" i="28"/>
  <c r="H1222" i="28"/>
  <c r="H1221" i="28"/>
  <c r="H1217" i="28"/>
  <c r="H1200" i="28"/>
  <c r="H1180" i="28"/>
  <c r="H1156" i="28"/>
  <c r="H1145" i="28"/>
  <c r="H1141" i="28"/>
  <c r="H1127" i="28"/>
  <c r="H1108" i="28"/>
  <c r="H1097" i="28"/>
  <c r="H1096" i="28"/>
  <c r="H1092" i="28"/>
  <c r="H1055" i="28"/>
  <c r="H1047" i="28"/>
  <c r="H1041" i="28"/>
  <c r="H1025" i="28"/>
  <c r="H1001" i="28"/>
  <c r="H998" i="28"/>
  <c r="H997" i="28"/>
  <c r="H992" i="28"/>
  <c r="H979" i="28"/>
  <c r="H974" i="28"/>
  <c r="H960" i="28"/>
  <c r="H948" i="28"/>
  <c r="H905" i="28"/>
  <c r="H903" i="28"/>
  <c r="H902" i="28"/>
  <c r="H898" i="28"/>
  <c r="H894" i="28"/>
  <c r="H857" i="28"/>
  <c r="H845" i="28"/>
  <c r="H840" i="28"/>
  <c r="H837" i="28"/>
  <c r="H824" i="28"/>
  <c r="H815" i="28"/>
  <c r="H781" i="28"/>
  <c r="H756" i="28"/>
  <c r="H733" i="28"/>
  <c r="H730" i="28"/>
  <c r="H723" i="28"/>
  <c r="H717" i="28"/>
  <c r="H716" i="28"/>
  <c r="H711" i="28"/>
  <c r="H705" i="28"/>
  <c r="H693" i="28"/>
  <c r="H683" i="28"/>
  <c r="H681" i="28"/>
  <c r="H676" i="28"/>
  <c r="H665" i="28"/>
  <c r="H649" i="28"/>
  <c r="H638" i="28"/>
  <c r="H636" i="28"/>
  <c r="H617" i="28"/>
  <c r="H615" i="28"/>
  <c r="H611" i="28"/>
  <c r="H608" i="28"/>
  <c r="H607" i="28"/>
  <c r="H598" i="28"/>
  <c r="H594" i="28"/>
  <c r="H592" i="28"/>
  <c r="H587" i="28"/>
  <c r="H582" i="28"/>
  <c r="H580" i="28"/>
  <c r="H544" i="28"/>
  <c r="H533" i="28"/>
  <c r="H532" i="28"/>
  <c r="H530" i="28"/>
  <c r="H501" i="28"/>
  <c r="H498" i="28"/>
  <c r="H496" i="28"/>
  <c r="H466" i="28"/>
  <c r="H458" i="28"/>
  <c r="H451" i="28"/>
  <c r="H448" i="28"/>
  <c r="H444" i="28"/>
  <c r="H440" i="28"/>
  <c r="H438" i="28"/>
  <c r="H433" i="28"/>
  <c r="H422" i="28"/>
  <c r="H421" i="28"/>
  <c r="H411" i="28"/>
  <c r="H402" i="28"/>
  <c r="H388" i="28"/>
  <c r="H386" i="28"/>
  <c r="H383" i="28"/>
  <c r="H381" i="28"/>
  <c r="H378" i="28"/>
  <c r="H363" i="28"/>
  <c r="H355" i="28"/>
  <c r="H344" i="28"/>
  <c r="H329" i="28"/>
  <c r="H326" i="28"/>
  <c r="H312" i="28"/>
  <c r="H298" i="28"/>
  <c r="H294" i="28"/>
  <c r="H290" i="28"/>
  <c r="H277" i="28"/>
  <c r="H273" i="28"/>
  <c r="H269" i="28"/>
  <c r="H2512" i="28"/>
  <c r="H2506" i="28"/>
  <c r="H2483" i="28"/>
  <c r="H2461" i="28"/>
  <c r="H2459" i="28"/>
  <c r="H2449" i="28"/>
  <c r="H2423" i="28"/>
  <c r="H2420" i="28"/>
  <c r="H2403" i="28"/>
  <c r="H2400" i="28"/>
  <c r="H2388" i="28"/>
  <c r="H2382" i="28"/>
  <c r="H2369" i="28"/>
  <c r="H2363" i="28"/>
  <c r="H2339" i="28"/>
  <c r="H2319" i="28"/>
  <c r="H2303" i="28"/>
  <c r="H2295" i="28"/>
  <c r="H2281" i="28"/>
  <c r="H2277" i="28"/>
  <c r="H4313" i="28"/>
  <c r="H4305" i="28"/>
  <c r="H4298" i="28"/>
  <c r="H4287" i="28"/>
  <c r="H4279" i="28"/>
  <c r="H4267" i="28"/>
  <c r="H4256" i="28"/>
  <c r="H4241" i="28"/>
  <c r="H4238" i="28"/>
  <c r="H4221" i="28"/>
  <c r="H4205" i="28"/>
  <c r="H4202" i="28"/>
  <c r="H4187" i="28"/>
  <c r="H4138" i="28"/>
  <c r="H4136" i="28"/>
  <c r="H4124" i="28"/>
  <c r="H4117" i="28"/>
  <c r="H4114" i="28"/>
  <c r="H4109" i="28"/>
  <c r="H4089" i="28"/>
  <c r="H4083" i="28"/>
  <c r="H4031" i="28"/>
  <c r="H4023" i="28"/>
  <c r="H4005" i="28"/>
  <c r="H3994" i="28"/>
  <c r="H3992" i="28"/>
  <c r="H3962" i="28"/>
  <c r="H3942" i="28"/>
  <c r="H3938" i="28"/>
  <c r="H3892" i="28"/>
  <c r="H3886" i="28"/>
  <c r="H3864" i="28"/>
  <c r="H3807" i="28"/>
  <c r="H3803" i="28"/>
  <c r="H3754" i="28"/>
  <c r="H3700" i="28"/>
  <c r="H3689" i="28"/>
  <c r="H3669" i="28"/>
  <c r="H3634" i="28"/>
  <c r="H3629" i="28"/>
  <c r="H3619" i="28"/>
  <c r="H3610" i="28"/>
  <c r="H3606" i="28"/>
  <c r="H3591" i="28"/>
  <c r="H3577" i="28"/>
  <c r="H3484" i="28"/>
  <c r="H3455" i="28"/>
  <c r="H3430" i="28"/>
  <c r="H3369" i="28"/>
  <c r="H3367" i="28"/>
  <c r="H3356" i="28"/>
  <c r="H3344" i="28"/>
  <c r="H3338" i="28"/>
  <c r="H3332" i="28"/>
  <c r="H3311" i="28"/>
  <c r="H3298" i="28"/>
  <c r="H3296" i="28"/>
  <c r="H3261" i="28"/>
  <c r="H3248" i="28"/>
  <c r="H3228" i="28"/>
  <c r="H3204" i="28"/>
  <c r="H3134" i="28"/>
  <c r="H3106" i="28"/>
  <c r="H3048" i="28"/>
  <c r="H3034" i="28"/>
  <c r="H3018" i="28"/>
  <c r="H5996" i="28"/>
  <c r="H5991" i="28"/>
  <c r="H5968" i="28"/>
  <c r="H5942" i="28"/>
  <c r="H5921" i="28"/>
  <c r="H5900" i="28"/>
  <c r="H5830" i="28"/>
  <c r="H5824" i="28"/>
  <c r="H5811" i="28"/>
  <c r="H5773" i="28"/>
  <c r="H5767" i="28"/>
  <c r="H5758" i="28"/>
  <c r="H5736" i="28"/>
  <c r="H5698" i="28"/>
  <c r="H5691" i="28"/>
  <c r="H5657" i="28"/>
  <c r="H5647" i="28"/>
  <c r="H5645" i="28"/>
  <c r="H5642" i="28"/>
  <c r="H5634" i="28"/>
  <c r="H5617" i="28"/>
  <c r="H5608" i="28"/>
  <c r="H5602" i="28"/>
  <c r="H5588" i="28"/>
  <c r="H5578" i="28"/>
  <c r="H5574" i="28"/>
  <c r="H5557" i="28"/>
  <c r="H5535" i="28"/>
  <c r="H5528" i="28"/>
  <c r="H5523" i="28"/>
  <c r="H5507" i="28"/>
  <c r="H5492" i="28"/>
  <c r="H5463" i="28"/>
  <c r="H5455" i="28"/>
  <c r="H5448" i="28"/>
  <c r="H5423" i="28"/>
  <c r="H5404" i="28"/>
  <c r="H5401" i="28"/>
  <c r="H5396" i="28"/>
  <c r="H5383" i="28"/>
  <c r="H5371" i="28"/>
  <c r="H5353" i="28"/>
  <c r="H5349" i="28"/>
  <c r="H5323" i="28"/>
  <c r="H5307" i="28"/>
  <c r="H5306" i="28"/>
  <c r="H5267" i="28"/>
  <c r="H5265" i="28"/>
  <c r="H5251" i="28"/>
  <c r="H5236" i="28"/>
  <c r="H5208" i="28"/>
  <c r="H5188" i="28"/>
  <c r="H5137" i="28"/>
  <c r="H5110" i="28"/>
  <c r="H5101" i="28"/>
  <c r="H5099" i="28"/>
  <c r="H5083" i="28"/>
  <c r="H5065" i="28"/>
  <c r="H5052" i="28"/>
  <c r="H5047" i="28"/>
  <c r="H5036" i="28"/>
  <c r="H5030" i="28"/>
  <c r="H5007" i="28"/>
  <c r="H4995" i="28"/>
  <c r="H4988" i="28"/>
  <c r="H4983" i="28"/>
  <c r="H4952" i="28"/>
  <c r="H4937" i="28"/>
  <c r="H4932" i="28"/>
  <c r="H4912" i="28"/>
  <c r="H4894" i="28"/>
  <c r="H4885" i="28"/>
  <c r="H4881" i="28"/>
  <c r="H4877" i="28"/>
  <c r="H4866" i="28"/>
  <c r="H4843" i="28"/>
  <c r="H4825" i="28"/>
  <c r="H4822" i="28"/>
  <c r="H4813" i="28"/>
  <c r="H4808" i="28"/>
  <c r="H4805" i="28"/>
  <c r="H4802" i="28"/>
  <c r="H4798" i="28"/>
  <c r="H4790" i="28"/>
  <c r="H4747" i="28"/>
  <c r="H4723" i="28"/>
  <c r="H4713" i="28"/>
  <c r="H4711" i="28"/>
  <c r="H4704" i="28"/>
  <c r="H4702" i="28"/>
  <c r="H4644" i="28"/>
  <c r="H4636" i="28"/>
  <c r="H4626" i="28"/>
  <c r="H4605" i="28"/>
  <c r="H4597" i="28"/>
  <c r="H4594" i="28"/>
  <c r="H4579" i="28"/>
  <c r="H4573" i="28"/>
  <c r="H4565" i="28"/>
  <c r="H4553" i="28"/>
  <c r="H4552" i="28"/>
  <c r="H4544" i="28"/>
  <c r="H4541" i="28"/>
  <c r="H4525" i="28"/>
  <c r="H6195" i="28"/>
  <c r="H6191" i="28"/>
  <c r="H6149" i="28"/>
  <c r="H6145" i="28"/>
  <c r="H6138" i="28"/>
  <c r="H6120" i="28"/>
  <c r="H6098" i="28"/>
  <c r="H6082" i="28"/>
  <c r="H6054" i="28"/>
  <c r="H6035" i="28"/>
  <c r="H6029" i="28"/>
  <c r="H6021" i="28"/>
  <c r="H6013" i="28"/>
  <c r="H3947" i="28"/>
  <c r="H3913" i="28"/>
  <c r="H3901" i="28"/>
  <c r="H3885" i="28"/>
  <c r="H3878" i="28"/>
  <c r="H3868" i="28"/>
  <c r="H3866" i="28"/>
  <c r="H3860" i="28"/>
  <c r="H3854" i="28"/>
  <c r="H3837" i="28"/>
  <c r="H3831" i="28"/>
  <c r="H3829" i="28"/>
  <c r="H3773" i="28"/>
  <c r="H3703" i="28"/>
  <c r="H3639" i="28"/>
  <c r="H3613" i="28"/>
  <c r="H3588" i="28"/>
  <c r="H3582" i="28"/>
  <c r="H3561" i="28"/>
  <c r="H3555" i="28"/>
  <c r="H3553" i="28"/>
  <c r="H3546" i="28"/>
  <c r="H3491" i="28"/>
  <c r="H3474" i="28"/>
  <c r="H3466" i="28"/>
  <c r="H3446" i="28"/>
  <c r="H3415" i="28"/>
  <c r="H3407" i="28"/>
  <c r="H3352" i="28"/>
  <c r="H3335" i="28"/>
  <c r="H3316" i="28"/>
  <c r="H3310" i="28"/>
  <c r="H3304" i="28"/>
  <c r="H3233" i="28"/>
  <c r="H3174" i="28"/>
  <c r="H3141" i="28"/>
  <c r="H3110" i="28"/>
  <c r="H3091" i="28"/>
  <c r="H3079" i="28"/>
  <c r="H3071" i="28"/>
  <c r="H3041" i="28"/>
  <c r="H6002" i="28"/>
  <c r="H5974" i="28"/>
  <c r="H5967" i="28"/>
  <c r="H5861" i="28"/>
  <c r="H5847" i="28"/>
  <c r="H5839" i="28"/>
  <c r="H5823" i="28"/>
  <c r="H5817" i="28"/>
  <c r="H5800" i="28"/>
  <c r="H5737" i="28"/>
  <c r="H5714" i="28"/>
  <c r="H3925" i="28"/>
  <c r="H3902" i="28"/>
  <c r="H3893" i="28"/>
  <c r="H3891" i="28"/>
  <c r="H3865" i="28"/>
  <c r="H3848" i="28"/>
  <c r="H3781" i="28"/>
  <c r="H3750" i="28"/>
  <c r="H3746" i="28"/>
  <c r="H3738" i="28"/>
  <c r="H3708" i="28"/>
  <c r="H3701" i="28"/>
  <c r="H3682" i="28"/>
  <c r="H3676" i="28"/>
  <c r="H3674" i="28"/>
  <c r="H3614" i="28"/>
  <c r="H3551" i="28"/>
  <c r="H3548" i="28"/>
  <c r="H3493" i="28"/>
  <c r="H3489" i="28"/>
  <c r="H3448" i="28"/>
  <c r="H3433" i="28"/>
  <c r="H3421" i="28"/>
  <c r="H3419" i="28"/>
  <c r="H3401" i="28"/>
  <c r="H3343" i="28"/>
  <c r="H3331" i="28"/>
  <c r="H3312" i="28"/>
  <c r="H3306" i="28"/>
  <c r="H3264" i="28"/>
  <c r="H3247" i="28"/>
  <c r="H3227" i="28"/>
  <c r="H3205" i="28"/>
  <c r="H3199" i="28"/>
  <c r="H3182" i="28"/>
  <c r="H3163" i="28"/>
  <c r="H3157" i="28"/>
  <c r="H3137" i="28"/>
  <c r="H3122" i="28"/>
  <c r="H3105" i="28"/>
  <c r="H3054" i="28"/>
  <c r="H3049" i="28"/>
  <c r="H3029" i="28"/>
  <c r="H3022" i="28"/>
  <c r="H6004" i="28"/>
  <c r="H5965" i="28"/>
  <c r="H5952" i="28"/>
  <c r="H5941" i="28"/>
  <c r="H5927" i="28"/>
  <c r="H5890" i="28"/>
  <c r="H5868" i="28"/>
  <c r="H5794" i="28"/>
  <c r="H5741" i="28"/>
  <c r="H5732" i="28"/>
  <c r="H1480" i="28"/>
  <c r="H1465" i="28"/>
  <c r="H1440" i="28"/>
  <c r="H1423" i="28"/>
  <c r="H1400" i="28"/>
  <c r="H1387" i="28"/>
  <c r="H1381" i="28"/>
  <c r="H1373" i="28"/>
  <c r="H1371" i="28"/>
  <c r="H1344" i="28"/>
  <c r="H1340" i="28"/>
  <c r="H1338" i="28"/>
  <c r="H1337" i="28"/>
  <c r="H1329" i="28"/>
  <c r="H1297" i="28"/>
  <c r="H1287" i="28"/>
  <c r="H1263" i="28"/>
  <c r="H1230" i="28"/>
  <c r="H1228" i="28"/>
  <c r="H1213" i="28"/>
  <c r="H1196" i="28"/>
  <c r="H1186" i="28"/>
  <c r="H1166" i="28"/>
  <c r="H1164" i="28"/>
  <c r="H1143" i="28"/>
  <c r="H1132" i="28"/>
  <c r="H1131" i="28"/>
  <c r="H1113" i="28"/>
  <c r="H1091" i="28"/>
  <c r="H1083" i="28"/>
  <c r="H1080" i="28"/>
  <c r="H1071" i="28"/>
  <c r="H1048" i="28"/>
  <c r="H1015" i="28"/>
  <c r="H984" i="28"/>
  <c r="H943" i="28"/>
  <c r="H941" i="28"/>
  <c r="H939" i="28"/>
  <c r="H932" i="28"/>
  <c r="H930" i="28"/>
  <c r="H923" i="28"/>
  <c r="H920" i="28"/>
  <c r="H908" i="28"/>
  <c r="H900" i="28"/>
  <c r="H888" i="28"/>
  <c r="H878" i="28"/>
  <c r="H860" i="28"/>
  <c r="H806" i="28"/>
  <c r="H805" i="28"/>
  <c r="H782" i="28"/>
  <c r="H772" i="28"/>
  <c r="H758" i="28"/>
  <c r="H750" i="28"/>
  <c r="H740" i="28"/>
  <c r="H739" i="28"/>
  <c r="H709" i="28"/>
  <c r="H706" i="28"/>
  <c r="H685" i="28"/>
  <c r="H684" i="28"/>
  <c r="H674" i="28"/>
  <c r="H671" i="28"/>
  <c r="H667" i="28"/>
  <c r="H654" i="28"/>
  <c r="H651" i="28"/>
  <c r="H630" i="28"/>
  <c r="H626" i="28"/>
  <c r="H543" i="28"/>
  <c r="H540" i="28"/>
  <c r="H522" i="28"/>
  <c r="H504" i="28"/>
  <c r="H495" i="28"/>
  <c r="H494" i="28"/>
  <c r="H493" i="28"/>
  <c r="H484" i="28"/>
  <c r="H479" i="28"/>
  <c r="H471" i="28"/>
  <c r="H457" i="28"/>
  <c r="H437" i="28"/>
  <c r="H431" i="28"/>
  <c r="H418" i="28"/>
  <c r="H369" i="28"/>
  <c r="H339" i="28"/>
  <c r="H318" i="28"/>
  <c r="H310" i="28"/>
  <c r="H307" i="28"/>
  <c r="H288" i="28"/>
  <c r="H283" i="28"/>
  <c r="H2505" i="28"/>
  <c r="H2480" i="28"/>
  <c r="H2471" i="28"/>
  <c r="H2463" i="28"/>
  <c r="H2452" i="28"/>
  <c r="H2443" i="28"/>
  <c r="H2439" i="28"/>
  <c r="H2437" i="28"/>
  <c r="H2428" i="28"/>
  <c r="H2409" i="28"/>
  <c r="H2391" i="28"/>
  <c r="H2370" i="28"/>
  <c r="H2367" i="28"/>
  <c r="H2366" i="28"/>
  <c r="H2359" i="28"/>
  <c r="H2352" i="28"/>
  <c r="H2341" i="28"/>
  <c r="H2337" i="28"/>
  <c r="H2330" i="28"/>
  <c r="H2313" i="28"/>
  <c r="H2298" i="28"/>
  <c r="H2287" i="28"/>
  <c r="H2284" i="28"/>
  <c r="H4336" i="28"/>
  <c r="H4322" i="28"/>
  <c r="H4292" i="28"/>
  <c r="H4250" i="28"/>
  <c r="H4231" i="28"/>
  <c r="H4225" i="28"/>
  <c r="H4214" i="28"/>
  <c r="H4212" i="28"/>
  <c r="H4210" i="28"/>
  <c r="H4192" i="28"/>
  <c r="H4181" i="28"/>
  <c r="H4150" i="28"/>
  <c r="H4147" i="28"/>
  <c r="H4094" i="28"/>
  <c r="H4081" i="28"/>
  <c r="H4080" i="28"/>
  <c r="H4073" i="28"/>
  <c r="H4045" i="28"/>
  <c r="H4041" i="28"/>
  <c r="H4018" i="28"/>
  <c r="H4004" i="28"/>
  <c r="H3995" i="28"/>
  <c r="H3955" i="28"/>
  <c r="H3950" i="28"/>
  <c r="H3922" i="28"/>
  <c r="H3888" i="28"/>
  <c r="H3836" i="28"/>
  <c r="H3809" i="28"/>
  <c r="H3790" i="28"/>
  <c r="H3709" i="28"/>
  <c r="H3704" i="28"/>
  <c r="H3681" i="28"/>
  <c r="H3587" i="28"/>
  <c r="H3585" i="28"/>
  <c r="H3537" i="28"/>
  <c r="H3528" i="28"/>
  <c r="H3471" i="28"/>
  <c r="H3465" i="28"/>
  <c r="H3463" i="28"/>
  <c r="H3449" i="28"/>
  <c r="H3443" i="28"/>
  <c r="H3436" i="28"/>
  <c r="H3386" i="28"/>
  <c r="H3364" i="28"/>
  <c r="H3276" i="28"/>
  <c r="H3272" i="28"/>
  <c r="H3237" i="28"/>
  <c r="H3213" i="28"/>
  <c r="H3191" i="28"/>
  <c r="H3140" i="28"/>
  <c r="H3125" i="28"/>
  <c r="H3104" i="28"/>
  <c r="H3046" i="28"/>
  <c r="H5973" i="28"/>
  <c r="H5917" i="28"/>
  <c r="H5904" i="28"/>
  <c r="H5879" i="28"/>
  <c r="H5864" i="28"/>
  <c r="H5855" i="28"/>
  <c r="H5799" i="28"/>
  <c r="H5782" i="28"/>
  <c r="H5760" i="28"/>
  <c r="H5717" i="28"/>
  <c r="H5697" i="28"/>
  <c r="H5687" i="28"/>
  <c r="H5664" i="28"/>
  <c r="H5652" i="28"/>
  <c r="H5649" i="28"/>
  <c r="H5612" i="28"/>
  <c r="H5577" i="28"/>
  <c r="H5556" i="28"/>
  <c r="H5543" i="28"/>
  <c r="H5517" i="28"/>
  <c r="H5511" i="28"/>
  <c r="H5498" i="28"/>
  <c r="H5475" i="28"/>
  <c r="H5429" i="28"/>
  <c r="H5420" i="28"/>
  <c r="H5403" i="28"/>
  <c r="H5400" i="28"/>
  <c r="H5380" i="28"/>
  <c r="H5339" i="28"/>
  <c r="H5331" i="28"/>
  <c r="H5330" i="28"/>
  <c r="H5324" i="28"/>
  <c r="H5320" i="28"/>
  <c r="H5302" i="28"/>
  <c r="H5295" i="28"/>
  <c r="H5289" i="28"/>
  <c r="H5248" i="28"/>
  <c r="H5246" i="28"/>
  <c r="H5233" i="28"/>
  <c r="H5213" i="28"/>
  <c r="H5202" i="28"/>
  <c r="H5195" i="28"/>
  <c r="H5187" i="28"/>
  <c r="H5165" i="28"/>
  <c r="H5151" i="28"/>
  <c r="H5098" i="28"/>
  <c r="H5080" i="28"/>
  <c r="H5053" i="28"/>
  <c r="H5034" i="28"/>
  <c r="H5021" i="28"/>
  <c r="H5013" i="28"/>
  <c r="H4977" i="28"/>
  <c r="H4970" i="28"/>
  <c r="H4953" i="28"/>
  <c r="H4951" i="28"/>
  <c r="H4930" i="28"/>
  <c r="H4917" i="28"/>
  <c r="H4879" i="28"/>
  <c r="H4858" i="28"/>
  <c r="H4854" i="28"/>
  <c r="H4840" i="28"/>
  <c r="H4829" i="28"/>
  <c r="H4820" i="28"/>
  <c r="H4815" i="28"/>
  <c r="H4804" i="28"/>
  <c r="H4795" i="28"/>
  <c r="H4786" i="28"/>
  <c r="H4783" i="28"/>
  <c r="H4778" i="28"/>
  <c r="H4764" i="28"/>
  <c r="H4753" i="28"/>
  <c r="H4731" i="28"/>
  <c r="H4725" i="28"/>
  <c r="H4696" i="28"/>
  <c r="H4692" i="28"/>
  <c r="H4691" i="28"/>
  <c r="H4667" i="28"/>
  <c r="H4663" i="28"/>
  <c r="H4657" i="28"/>
  <c r="H4643" i="28"/>
  <c r="H4641" i="28"/>
  <c r="H4634" i="28"/>
  <c r="H4627" i="28"/>
  <c r="H4616" i="28"/>
  <c r="H4610" i="28"/>
  <c r="H4596" i="28"/>
  <c r="H4591" i="28"/>
  <c r="H4577" i="28"/>
  <c r="H4568" i="28"/>
  <c r="H4555" i="28"/>
  <c r="H4513" i="28"/>
  <c r="H6181" i="28"/>
  <c r="H6164" i="28"/>
  <c r="H6133" i="28"/>
  <c r="H6097" i="28"/>
  <c r="H6081" i="28"/>
  <c r="H6044" i="28"/>
  <c r="H6008" i="28"/>
  <c r="H1484" i="28"/>
  <c r="H1455" i="28"/>
  <c r="H1419" i="28"/>
  <c r="H1414" i="28"/>
  <c r="H1412" i="28"/>
  <c r="H1326" i="28"/>
  <c r="H1306" i="28"/>
  <c r="H1290" i="28"/>
  <c r="H1275" i="28"/>
  <c r="H1226" i="28"/>
  <c r="H1173" i="28"/>
  <c r="H1163" i="28"/>
  <c r="H1111" i="28"/>
  <c r="H1078" i="28"/>
  <c r="H1070" i="28"/>
  <c r="H1030" i="28"/>
  <c r="H1026" i="28"/>
  <c r="H1014" i="28"/>
  <c r="H982" i="28"/>
  <c r="H968" i="28"/>
  <c r="H895" i="28"/>
  <c r="H879" i="28"/>
  <c r="H872" i="28"/>
  <c r="H861" i="28"/>
  <c r="H850" i="28"/>
  <c r="H844" i="28"/>
  <c r="H828" i="28"/>
  <c r="H804" i="28"/>
  <c r="H803" i="28"/>
  <c r="H796" i="28"/>
  <c r="H785" i="28"/>
  <c r="H783" i="28"/>
  <c r="H744" i="28"/>
  <c r="H742" i="28"/>
  <c r="H720" i="28"/>
  <c r="H666" i="28"/>
  <c r="H605" i="28"/>
  <c r="H537" i="28"/>
  <c r="H374" i="28"/>
  <c r="H346" i="28"/>
  <c r="H342" i="28"/>
  <c r="H285" i="28"/>
  <c r="H2513" i="28"/>
  <c r="H2442" i="28"/>
  <c r="H2432" i="28"/>
  <c r="H2421" i="28"/>
  <c r="H2410" i="28"/>
  <c r="H2389" i="28"/>
  <c r="H2299" i="28"/>
  <c r="H2289" i="28"/>
  <c r="H4299" i="28"/>
  <c r="H4276" i="28"/>
  <c r="H4270" i="28"/>
  <c r="H4258" i="28"/>
  <c r="H4198" i="28"/>
  <c r="H4191" i="28"/>
  <c r="H4185" i="28"/>
  <c r="H4169" i="28"/>
  <c r="H4163" i="28"/>
  <c r="H4139" i="28"/>
  <c r="H4118" i="28"/>
  <c r="H4101" i="28"/>
  <c r="H4082" i="28"/>
  <c r="H4064" i="28"/>
  <c r="H4058" i="28"/>
  <c r="H4032" i="28"/>
  <c r="H4025" i="28"/>
  <c r="H3872" i="28"/>
  <c r="H3796" i="28"/>
  <c r="H3784" i="28"/>
  <c r="H3771" i="28"/>
  <c r="H3761" i="28"/>
  <c r="H3716" i="28"/>
  <c r="H3714" i="28"/>
  <c r="H3631" i="28"/>
  <c r="H3530" i="28"/>
  <c r="H3481" i="28"/>
  <c r="H3477" i="28"/>
  <c r="H3447" i="28"/>
  <c r="H3319" i="28"/>
  <c r="H3287" i="28"/>
  <c r="H3285" i="28"/>
  <c r="H3267" i="28"/>
  <c r="H3240" i="28"/>
  <c r="H3109" i="28"/>
  <c r="H5998" i="28"/>
  <c r="H5902" i="28"/>
  <c r="H5834" i="28"/>
  <c r="H5792" i="28"/>
  <c r="H5780" i="28"/>
  <c r="H5777" i="28"/>
  <c r="H5696" i="28"/>
  <c r="H5677" i="28"/>
  <c r="H5670" i="28"/>
  <c r="H5643" i="28"/>
  <c r="H5632" i="28"/>
  <c r="H5628" i="28"/>
  <c r="H5616" i="28"/>
  <c r="H5611" i="28"/>
  <c r="H5590" i="28"/>
  <c r="H5573" i="28"/>
  <c r="H5526" i="28"/>
  <c r="H5497" i="28"/>
  <c r="H5480" i="28"/>
  <c r="H5472" i="28"/>
  <c r="H5432" i="28"/>
  <c r="H5392" i="28"/>
  <c r="H5375" i="28"/>
  <c r="H5340" i="28"/>
  <c r="H5333" i="28"/>
  <c r="H5304" i="28"/>
  <c r="H5296" i="28"/>
  <c r="H5268" i="28"/>
  <c r="H5215" i="28"/>
  <c r="H5207" i="28"/>
  <c r="H5175" i="28"/>
  <c r="H5173" i="28"/>
  <c r="H5153" i="28"/>
  <c r="H5106" i="28"/>
  <c r="H5082" i="28"/>
  <c r="H5072" i="28"/>
  <c r="H5069" i="28"/>
  <c r="H5033" i="28"/>
  <c r="H5012" i="28"/>
  <c r="H4998" i="28"/>
  <c r="H4989" i="28"/>
  <c r="H4948" i="28"/>
  <c r="H4929" i="28"/>
  <c r="H4914" i="28"/>
  <c r="H4902" i="28"/>
  <c r="H4869" i="28"/>
  <c r="H4861" i="28"/>
  <c r="H4856" i="28"/>
  <c r="H4849" i="28"/>
  <c r="H4837" i="28"/>
  <c r="H4824" i="28"/>
  <c r="H4807" i="28"/>
  <c r="H4797" i="28"/>
  <c r="H4779" i="28"/>
  <c r="H4777" i="28"/>
  <c r="H4755" i="28"/>
  <c r="H4750" i="28"/>
  <c r="H4727" i="28"/>
  <c r="H4706" i="28"/>
  <c r="H4686" i="28"/>
  <c r="H4671" i="28"/>
  <c r="H4670" i="28"/>
  <c r="H4586" i="28"/>
  <c r="H4560" i="28"/>
  <c r="H4559" i="28"/>
  <c r="H4551" i="28"/>
  <c r="H4547" i="28"/>
  <c r="H4526" i="28"/>
  <c r="H4520" i="28"/>
  <c r="H6187" i="28"/>
  <c r="H6105" i="28"/>
  <c r="H6099" i="28"/>
  <c r="H6066" i="28"/>
  <c r="H6043" i="28"/>
  <c r="H6042" i="28"/>
  <c r="H6023" i="28"/>
  <c r="H6017" i="28"/>
  <c r="H3931" i="28"/>
  <c r="H3917" i="28"/>
  <c r="H3915" i="28"/>
  <c r="H3825" i="28"/>
  <c r="H3787" i="28"/>
  <c r="H3756" i="28"/>
  <c r="H3753" i="28"/>
  <c r="H3659" i="28"/>
  <c r="H3616" i="28"/>
  <c r="H3452" i="28"/>
  <c r="H3374" i="28"/>
  <c r="H3348" i="28"/>
  <c r="H3333" i="28"/>
  <c r="H3209" i="28"/>
  <c r="H3180" i="28"/>
  <c r="H3153" i="28"/>
  <c r="H3100" i="28"/>
  <c r="H3085" i="28"/>
  <c r="H3060" i="28"/>
  <c r="H3039" i="28"/>
  <c r="H3027" i="28"/>
  <c r="H5988" i="28"/>
  <c r="H5905" i="28"/>
  <c r="H5874" i="28"/>
  <c r="H5810" i="28"/>
  <c r="H5806" i="28"/>
  <c r="H5766" i="28"/>
  <c r="H5735" i="28"/>
  <c r="H1504" i="28"/>
  <c r="H1497" i="28"/>
  <c r="H1436" i="28"/>
  <c r="H1426" i="28"/>
  <c r="H1410" i="28"/>
  <c r="H1401" i="28"/>
  <c r="H1390" i="28"/>
  <c r="H1382" i="28"/>
  <c r="H1356" i="28"/>
  <c r="H1350" i="28"/>
  <c r="H1345" i="28"/>
  <c r="H1303" i="28"/>
  <c r="H1292" i="28"/>
  <c r="H1286" i="28"/>
  <c r="H1232" i="28"/>
  <c r="H1229" i="28"/>
  <c r="H1184" i="28"/>
  <c r="H1075" i="28"/>
  <c r="H1058" i="28"/>
  <c r="H1028" i="28"/>
  <c r="H1020" i="28"/>
  <c r="H1009" i="28"/>
  <c r="H1004" i="28"/>
  <c r="H991" i="28"/>
  <c r="H967" i="28"/>
  <c r="H901" i="28"/>
  <c r="H886" i="28"/>
  <c r="H880" i="28"/>
  <c r="H819" i="28"/>
  <c r="H818" i="28"/>
  <c r="H792" i="28"/>
  <c r="H762" i="28"/>
  <c r="H760" i="28"/>
  <c r="H751" i="28"/>
  <c r="H749" i="28"/>
  <c r="H732" i="28"/>
  <c r="H713" i="28"/>
  <c r="H708" i="28"/>
  <c r="H701" i="28"/>
  <c r="H652" i="28"/>
  <c r="H601" i="28"/>
  <c r="H564" i="28"/>
  <c r="H561" i="28"/>
  <c r="H555" i="28"/>
  <c r="H546" i="28"/>
  <c r="H502" i="28"/>
  <c r="H492" i="28"/>
  <c r="H478" i="28"/>
  <c r="H476" i="28"/>
  <c r="H443" i="28"/>
  <c r="H415" i="28"/>
  <c r="H410" i="28"/>
  <c r="H375" i="28"/>
  <c r="H373" i="28"/>
  <c r="H343" i="28"/>
  <c r="H2503" i="28"/>
  <c r="H2476" i="28"/>
  <c r="H2466" i="28"/>
  <c r="H2464" i="28"/>
  <c r="H2448" i="28"/>
  <c r="H2345" i="28"/>
  <c r="H2340" i="28"/>
  <c r="H2318" i="28"/>
  <c r="H2278" i="28"/>
  <c r="H4329" i="28"/>
  <c r="H4312" i="28"/>
  <c r="H4300" i="28"/>
  <c r="H4293" i="28"/>
  <c r="H4290" i="28"/>
  <c r="H4278" i="28"/>
  <c r="H4255" i="28"/>
  <c r="H4252" i="28"/>
  <c r="H4186" i="28"/>
  <c r="H4164" i="28"/>
  <c r="H4159" i="28"/>
  <c r="H4154" i="28"/>
  <c r="H4151" i="28"/>
  <c r="H4097" i="28"/>
  <c r="H4079" i="28"/>
  <c r="H4044" i="28"/>
  <c r="H4030" i="28"/>
  <c r="H4006" i="28"/>
  <c r="H3970" i="28"/>
  <c r="H3957" i="28"/>
  <c r="H3953" i="28"/>
  <c r="H3933" i="28"/>
  <c r="H3900" i="28"/>
  <c r="H3894" i="28"/>
  <c r="H3881" i="28"/>
  <c r="H3822" i="28"/>
  <c r="H3818" i="28"/>
  <c r="H3685" i="28"/>
  <c r="H3574" i="28"/>
  <c r="H3408" i="28"/>
  <c r="H3393" i="28"/>
  <c r="H3384" i="28"/>
  <c r="H3371" i="28"/>
  <c r="H3349" i="28"/>
  <c r="H3317" i="28"/>
  <c r="H3283" i="28"/>
  <c r="H3195" i="28"/>
  <c r="H3183" i="28"/>
  <c r="H3181" i="28"/>
  <c r="H3148" i="28"/>
  <c r="H3144" i="28"/>
  <c r="H3117" i="28"/>
  <c r="H3101" i="28"/>
  <c r="H3076" i="28"/>
  <c r="H3038" i="28"/>
  <c r="H3024" i="28"/>
  <c r="H5987" i="28"/>
  <c r="H5966" i="28"/>
  <c r="H5911" i="28"/>
  <c r="H5908" i="28"/>
  <c r="H5895" i="28"/>
  <c r="H5871" i="28"/>
  <c r="H5848" i="28"/>
  <c r="H5797" i="28"/>
  <c r="H5769" i="28"/>
  <c r="H5726" i="28"/>
  <c r="H5720" i="28"/>
  <c r="H5686" i="28"/>
  <c r="H5667" i="28"/>
  <c r="H5659" i="28"/>
  <c r="H5559" i="28"/>
  <c r="H5558" i="28"/>
  <c r="H5537" i="28"/>
  <c r="H5520" i="28"/>
  <c r="H5508" i="28"/>
  <c r="H5474" i="28"/>
  <c r="H5436" i="28"/>
  <c r="H5410" i="28"/>
  <c r="H5337" i="28"/>
  <c r="H5329" i="28"/>
  <c r="H5231" i="28"/>
  <c r="H5224" i="28"/>
  <c r="H5221" i="28"/>
  <c r="H5190" i="28"/>
  <c r="H5156" i="28"/>
  <c r="H5148" i="28"/>
  <c r="H5141" i="28"/>
  <c r="H5131" i="28"/>
  <c r="H5127" i="28"/>
  <c r="H5122" i="28"/>
  <c r="H5074" i="28"/>
  <c r="H5008" i="28"/>
  <c r="H4986" i="28"/>
  <c r="H4975" i="28"/>
  <c r="H4933" i="28"/>
  <c r="H4918" i="28"/>
  <c r="H4907" i="28"/>
  <c r="H4900" i="28"/>
  <c r="H4816" i="28"/>
  <c r="H4782" i="28"/>
  <c r="H4684" i="28"/>
  <c r="H4654" i="28"/>
  <c r="H4642" i="28"/>
  <c r="H4613" i="28"/>
  <c r="H4598" i="28"/>
  <c r="H4588" i="28"/>
  <c r="H4570" i="28"/>
  <c r="H4545" i="28"/>
  <c r="H6143" i="28"/>
  <c r="H6134" i="28"/>
  <c r="H6132" i="28"/>
  <c r="H6116" i="28"/>
  <c r="H6111" i="28"/>
  <c r="H6090" i="28"/>
  <c r="H6080" i="28"/>
  <c r="H3941" i="28"/>
  <c r="H3929" i="28"/>
  <c r="H3862" i="28"/>
  <c r="H3793" i="28"/>
  <c r="H3785" i="28"/>
  <c r="H3744" i="28"/>
  <c r="H3740" i="28"/>
  <c r="H3684" i="28"/>
  <c r="H3592" i="28"/>
  <c r="H3538" i="28"/>
  <c r="H3413" i="28"/>
  <c r="H3388" i="28"/>
  <c r="H3372" i="28"/>
  <c r="H3361" i="28"/>
  <c r="H3353" i="28"/>
  <c r="H3297" i="28"/>
  <c r="H3286" i="28"/>
  <c r="H3192" i="28"/>
  <c r="H3170" i="28"/>
  <c r="H3165" i="28"/>
  <c r="H3139" i="28"/>
  <c r="H3056" i="28"/>
  <c r="H3036" i="28"/>
  <c r="H5931" i="28"/>
  <c r="H5841" i="28"/>
  <c r="H5764" i="28"/>
  <c r="H5739" i="28"/>
  <c r="H3946" i="28"/>
  <c r="H3916" i="28"/>
  <c r="H3843" i="28"/>
  <c r="H3834" i="28"/>
  <c r="H3769" i="28"/>
  <c r="H3765" i="28"/>
  <c r="H3763" i="28"/>
  <c r="H3759" i="28"/>
  <c r="H3757" i="28"/>
  <c r="H3752" i="28"/>
  <c r="H3736" i="28"/>
  <c r="H3660" i="28"/>
  <c r="H3652" i="28"/>
  <c r="H3612" i="28"/>
  <c r="H3593" i="28"/>
  <c r="H3514" i="28"/>
  <c r="H3505" i="28"/>
  <c r="H3492" i="28"/>
  <c r="H3402" i="28"/>
  <c r="H3395" i="28"/>
  <c r="H3360" i="28"/>
  <c r="H3357" i="28"/>
  <c r="H3326" i="28"/>
  <c r="H3302" i="28"/>
  <c r="H3289" i="28"/>
  <c r="H3278" i="28"/>
  <c r="H3224" i="28"/>
  <c r="H3171" i="28"/>
  <c r="H3138" i="28"/>
  <c r="H3070" i="28"/>
  <c r="H5979" i="28"/>
  <c r="H5951" i="28"/>
  <c r="H5934" i="28"/>
  <c r="H5898" i="28"/>
  <c r="H5873" i="28"/>
  <c r="H5815" i="28"/>
  <c r="H5813" i="28"/>
  <c r="H5765" i="28"/>
  <c r="H5705" i="28"/>
  <c r="H5688" i="28"/>
  <c r="H5653" i="28"/>
  <c r="H5650" i="28"/>
  <c r="H5644" i="28"/>
  <c r="H5625" i="28"/>
  <c r="H5604" i="28"/>
  <c r="H5587" i="28"/>
  <c r="H5583" i="28"/>
  <c r="H5567" i="28"/>
  <c r="H5566" i="28"/>
  <c r="H5562" i="28"/>
  <c r="H5512" i="28"/>
  <c r="H5471" i="28"/>
  <c r="H5452" i="28"/>
  <c r="H5450" i="28"/>
  <c r="H5435" i="28"/>
  <c r="H5412" i="28"/>
  <c r="H5388" i="28"/>
  <c r="H5364" i="28"/>
  <c r="H5360" i="28"/>
  <c r="H5338" i="28"/>
  <c r="H5327" i="28"/>
  <c r="H5282" i="28"/>
  <c r="H5270" i="28"/>
  <c r="H5258" i="28"/>
  <c r="H5257" i="28"/>
  <c r="H5249" i="28"/>
  <c r="H5247" i="28"/>
  <c r="H5230" i="28"/>
  <c r="H5227" i="28"/>
  <c r="H5219" i="28"/>
  <c r="H5183" i="28"/>
  <c r="H5182" i="28"/>
  <c r="H5176" i="28"/>
  <c r="H5158" i="28"/>
  <c r="H5155" i="28"/>
  <c r="H5145" i="28"/>
  <c r="H5126" i="28"/>
  <c r="H5123" i="28"/>
  <c r="H5109" i="28"/>
  <c r="H5107" i="28"/>
  <c r="H5094" i="28"/>
  <c r="H5081" i="28"/>
  <c r="H5062" i="28"/>
  <c r="H5058" i="28"/>
  <c r="H5051" i="28"/>
  <c r="H5044" i="28"/>
  <c r="H5040" i="28"/>
  <c r="H5016" i="28"/>
  <c r="H5015" i="28"/>
  <c r="H4991" i="28"/>
  <c r="H4984" i="28"/>
  <c r="H4974" i="28"/>
  <c r="H4962" i="28"/>
  <c r="H4922" i="28"/>
  <c r="H4919" i="28"/>
  <c r="H4886" i="28"/>
  <c r="H4842" i="28"/>
  <c r="H4838" i="28"/>
  <c r="H4836" i="28"/>
  <c r="H4801" i="28"/>
  <c r="H4773" i="28"/>
  <c r="H4771" i="28"/>
  <c r="H4752" i="28"/>
  <c r="H4716" i="28"/>
  <c r="H4680" i="28"/>
  <c r="H4676" i="28"/>
  <c r="H4659" i="28"/>
  <c r="H4630" i="28"/>
  <c r="H4619" i="28"/>
  <c r="H4585" i="28"/>
  <c r="H4574" i="28"/>
  <c r="H4533" i="28"/>
  <c r="H4528" i="28"/>
  <c r="H4515" i="28"/>
  <c r="H6179" i="28"/>
  <c r="H6137" i="28"/>
  <c r="H6074" i="28"/>
  <c r="H6068" i="28"/>
  <c r="H6031" i="28"/>
  <c r="H6026" i="28"/>
  <c r="H6024" i="28"/>
  <c r="H6011" i="28"/>
  <c r="H6010" i="28"/>
  <c r="H3935" i="28"/>
  <c r="H3923" i="28"/>
  <c r="H3905" i="28"/>
  <c r="H3858" i="28"/>
  <c r="H3725" i="28"/>
  <c r="H3715" i="28"/>
  <c r="H3655" i="28"/>
  <c r="H3618" i="28"/>
  <c r="H3519" i="28"/>
  <c r="H3464" i="28"/>
  <c r="H3458" i="28"/>
  <c r="H3442" i="28"/>
  <c r="H3417" i="28"/>
  <c r="H3394" i="28"/>
  <c r="H3376" i="28"/>
  <c r="H3337" i="28"/>
  <c r="H3256" i="28"/>
  <c r="H3243" i="28"/>
  <c r="H3235" i="28"/>
  <c r="H3207" i="28"/>
  <c r="H3186" i="28"/>
  <c r="H3176" i="28"/>
  <c r="H3126" i="28"/>
  <c r="H3073" i="28"/>
  <c r="H3045" i="28"/>
  <c r="H3017" i="28"/>
  <c r="H3013" i="28"/>
  <c r="H5993" i="28"/>
  <c r="H5933" i="28"/>
  <c r="H5878" i="28"/>
  <c r="H5863" i="28"/>
  <c r="H5804" i="28"/>
  <c r="H5802" i="28"/>
  <c r="H5787" i="28"/>
  <c r="H5776" i="28"/>
  <c r="H5745" i="28"/>
  <c r="H5723" i="28"/>
  <c r="H5721" i="28"/>
  <c r="H1498" i="28"/>
  <c r="H1492" i="28"/>
  <c r="H1474" i="28"/>
  <c r="H1468" i="28"/>
  <c r="H1458" i="28"/>
  <c r="H1403" i="28"/>
  <c r="H1294" i="28"/>
  <c r="H1274" i="28"/>
  <c r="H1267" i="28"/>
  <c r="H1258" i="28"/>
  <c r="H1255" i="28"/>
  <c r="H1251" i="28"/>
  <c r="H1247" i="28"/>
  <c r="H1224" i="28"/>
  <c r="H1204" i="28"/>
  <c r="H1151" i="28"/>
  <c r="H1137" i="28"/>
  <c r="H1129" i="28"/>
  <c r="H1121" i="28"/>
  <c r="H1119" i="28"/>
  <c r="H1107" i="28"/>
  <c r="H1105" i="28"/>
  <c r="H1095" i="28"/>
  <c r="H1067" i="28"/>
  <c r="H1065" i="28"/>
  <c r="H1063" i="28"/>
  <c r="H1059" i="28"/>
  <c r="H1057" i="28"/>
  <c r="H1056" i="28"/>
  <c r="H1052" i="28"/>
  <c r="H1050" i="28"/>
  <c r="H1024" i="28"/>
  <c r="H1023" i="28"/>
  <c r="H1017" i="28"/>
  <c r="H1012" i="28"/>
  <c r="H1000" i="28"/>
  <c r="H988" i="28"/>
  <c r="H977" i="28"/>
  <c r="H965" i="28"/>
  <c r="H956" i="28"/>
  <c r="H954" i="28"/>
  <c r="H936" i="28"/>
  <c r="H926" i="28"/>
  <c r="H925" i="28"/>
  <c r="H916" i="28"/>
  <c r="H891" i="28"/>
  <c r="H889" i="28"/>
  <c r="H864" i="28"/>
  <c r="H853" i="28"/>
  <c r="H849" i="28"/>
  <c r="H846" i="28"/>
  <c r="H817" i="28"/>
  <c r="H816" i="28"/>
  <c r="H812" i="28"/>
  <c r="H800" i="28"/>
  <c r="H780" i="28"/>
  <c r="H779" i="28"/>
  <c r="H776" i="28"/>
  <c r="H770" i="28"/>
  <c r="H738" i="28"/>
  <c r="H736" i="28"/>
  <c r="H715" i="28"/>
  <c r="H704" i="28"/>
  <c r="H673" i="28"/>
  <c r="H663" i="28"/>
  <c r="H659" i="28"/>
  <c r="H632" i="28"/>
  <c r="H588" i="28"/>
  <c r="H585" i="28"/>
  <c r="H562" i="28"/>
  <c r="H529" i="28"/>
  <c r="H508" i="28"/>
  <c r="H481" i="28"/>
  <c r="H470" i="28"/>
  <c r="H467" i="28"/>
  <c r="H409" i="28"/>
  <c r="H399" i="28"/>
  <c r="H394" i="28"/>
  <c r="H372" i="28"/>
  <c r="H365" i="28"/>
  <c r="H359" i="28"/>
  <c r="H352" i="28"/>
  <c r="H333" i="28"/>
  <c r="H319" i="28"/>
  <c r="H316" i="28"/>
  <c r="H305" i="28"/>
  <c r="H304" i="28"/>
  <c r="H293" i="28"/>
  <c r="H275" i="28"/>
  <c r="H2498" i="28"/>
  <c r="H2399" i="28"/>
  <c r="H2392" i="28"/>
  <c r="H2386" i="28"/>
  <c r="H2379" i="28"/>
  <c r="H2361" i="28"/>
  <c r="H2358" i="28"/>
  <c r="H2353" i="28"/>
  <c r="H2348" i="28"/>
  <c r="H2329" i="28"/>
  <c r="H2315" i="28"/>
  <c r="H2312" i="28"/>
  <c r="H2301" i="28"/>
  <c r="H2297" i="28"/>
  <c r="H2290" i="28"/>
  <c r="H2286" i="28"/>
  <c r="H4320" i="28"/>
  <c r="H4319" i="28"/>
  <c r="H4310" i="28"/>
  <c r="H4306" i="28"/>
  <c r="H4283" i="28"/>
  <c r="H4269" i="28"/>
  <c r="H4243" i="28"/>
  <c r="H4240" i="28"/>
  <c r="H4222" i="28"/>
  <c r="H4208" i="28"/>
  <c r="H4177" i="28"/>
  <c r="H4165" i="28"/>
  <c r="H4145" i="28"/>
  <c r="H4125" i="28"/>
  <c r="H4121" i="28"/>
  <c r="H4090" i="28"/>
  <c r="H4086" i="28"/>
  <c r="H4078" i="28"/>
  <c r="H4038" i="28"/>
  <c r="H4029" i="28"/>
  <c r="H4027" i="28"/>
  <c r="H4024" i="28"/>
  <c r="H4010" i="28"/>
  <c r="H3999" i="28"/>
  <c r="H3989" i="28"/>
  <c r="H3981" i="28"/>
  <c r="H3964" i="28"/>
  <c r="H3956" i="28"/>
  <c r="J71" i="20" a="1"/>
  <c r="J72" i="20" a="1"/>
  <c r="J73" i="20" a="1"/>
  <c r="J74" i="20" a="1"/>
  <c r="J75" i="20" a="1"/>
  <c r="J76" i="20" a="1"/>
  <c r="J77" i="20" a="1"/>
  <c r="J78" i="20" a="1"/>
  <c r="J79" i="20" a="1"/>
  <c r="J80" i="20" a="1"/>
  <c r="F11" i="37"/>
  <c r="F48" i="40"/>
  <c r="F59" i="40"/>
  <c r="F66" i="40"/>
  <c r="F85" i="40"/>
  <c r="F128" i="40"/>
  <c r="F145" i="40"/>
  <c r="F154" i="40"/>
  <c r="F37" i="40"/>
  <c r="B12" i="38"/>
  <c r="B8" i="37"/>
  <c r="E11" i="37"/>
  <c r="B16" i="38"/>
  <c r="E85" i="40"/>
  <c r="C12" i="40"/>
  <c r="E37" i="40"/>
  <c r="E59" i="40"/>
  <c r="E66" i="40"/>
  <c r="E128" i="40"/>
  <c r="E145" i="40"/>
  <c r="E154" i="40"/>
  <c r="E48" i="40"/>
  <c r="J18" i="20"/>
  <c r="B5" i="35"/>
  <c r="B8" i="39"/>
  <c r="B8" i="36"/>
  <c r="B5" i="45"/>
  <c r="B8" i="38"/>
  <c r="B7" i="40"/>
  <c r="R24" i="32"/>
  <c r="O24" i="32"/>
  <c r="T24" i="32"/>
  <c r="V24" i="32"/>
  <c r="Q24" i="32"/>
  <c r="P24" i="32"/>
  <c r="U24" i="32"/>
  <c r="N24" i="32"/>
  <c r="R17" i="47"/>
  <c r="AC30" i="31"/>
  <c r="D24" i="48"/>
  <c r="E24" i="48" s="1"/>
  <c r="Q84" i="30"/>
  <c r="AA84" i="30" s="1"/>
  <c r="Q128" i="30"/>
  <c r="Q148" i="30"/>
  <c r="AA148" i="30" s="1"/>
  <c r="X155" i="30"/>
  <c r="Q155" i="30"/>
  <c r="Q159" i="30"/>
  <c r="AA159" i="30" s="1"/>
  <c r="Q161" i="30"/>
  <c r="AA161" i="30" s="1"/>
  <c r="Q177" i="30"/>
  <c r="AA177" i="30" s="1"/>
  <c r="H445" i="33"/>
  <c r="L102" i="42" s="1"/>
  <c r="M102" i="42" s="1"/>
  <c r="H478" i="33"/>
  <c r="H531" i="33"/>
  <c r="L119" i="42" s="1"/>
  <c r="M119" i="42" s="1"/>
  <c r="G530" i="33"/>
  <c r="J17" i="41" s="1"/>
  <c r="H278" i="33"/>
  <c r="L68" i="42" s="1"/>
  <c r="M68" i="42" s="1"/>
  <c r="AA16" i="32" a="1"/>
  <c r="AA21" i="32" a="1"/>
  <c r="AB21" i="32" s="1"/>
  <c r="AC21" i="32" s="1"/>
  <c r="W24" i="32"/>
  <c r="S24" i="32"/>
  <c r="D9" i="48"/>
  <c r="E9" i="48" s="1"/>
  <c r="O89" i="20"/>
  <c r="K85" i="20"/>
  <c r="K89" i="20"/>
  <c r="O85" i="20"/>
  <c r="K86" i="20"/>
  <c r="O86" i="20"/>
  <c r="K87" i="20"/>
  <c r="O87" i="20"/>
  <c r="K88" i="20"/>
  <c r="O88" i="20"/>
  <c r="C32" i="47"/>
  <c r="N32" i="20" s="1"/>
  <c r="N31" i="20"/>
  <c r="H810" i="33"/>
  <c r="G807" i="33"/>
  <c r="X24" i="32"/>
  <c r="G809" i="33"/>
  <c r="H812" i="33"/>
  <c r="N16" i="31"/>
  <c r="H112" i="40"/>
  <c r="M19" i="31"/>
  <c r="N19" i="31" s="1"/>
  <c r="X19" i="31"/>
  <c r="O19" i="31"/>
  <c r="Y19" i="31"/>
  <c r="R21" i="31"/>
  <c r="X21" i="31"/>
  <c r="V21" i="31"/>
  <c r="S22" i="31"/>
  <c r="O22" i="31"/>
  <c r="N23" i="31"/>
  <c r="H116" i="40"/>
  <c r="X24" i="31"/>
  <c r="P24" i="31"/>
  <c r="O25" i="31"/>
  <c r="H68" i="33" s="1"/>
  <c r="T25" i="31"/>
  <c r="H484" i="33" s="1"/>
  <c r="X25" i="31"/>
  <c r="U26" i="31"/>
  <c r="O26" i="31"/>
  <c r="R26" i="31"/>
  <c r="G138" i="33"/>
  <c r="E17" i="41" s="1"/>
  <c r="H195" i="33"/>
  <c r="L52" i="42" s="1"/>
  <c r="M52" i="42" s="1"/>
  <c r="H137" i="33"/>
  <c r="C29" i="47"/>
  <c r="J32" i="20" s="1"/>
  <c r="C28" i="47"/>
  <c r="J31" i="20" s="1"/>
  <c r="U17" i="47"/>
  <c r="O81" i="20" s="1"/>
  <c r="H559" i="33"/>
  <c r="G609" i="33"/>
  <c r="K17" i="41" s="1"/>
  <c r="H639" i="33"/>
  <c r="G689" i="33"/>
  <c r="L17" i="41" s="1"/>
  <c r="H690" i="33"/>
  <c r="L149" i="42" s="1"/>
  <c r="M149" i="42" s="1"/>
  <c r="M3569" i="28"/>
  <c r="G361" i="33"/>
  <c r="H17" i="41" s="1"/>
  <c r="H311" i="33"/>
  <c r="H362" i="33"/>
  <c r="L85" i="42" s="1"/>
  <c r="M85" i="42" s="1"/>
  <c r="Q48" i="41" a="1"/>
  <c r="R48" i="41" s="1"/>
  <c r="M18" i="24"/>
  <c r="H917" i="33"/>
  <c r="L194" i="42" s="1"/>
  <c r="M194" i="42" s="1"/>
  <c r="H866" i="33"/>
  <c r="M5003" i="28"/>
  <c r="G916" i="33"/>
  <c r="O17" i="41" s="1"/>
  <c r="M650" i="28"/>
  <c r="G194" i="33"/>
  <c r="F17" i="41" s="1"/>
  <c r="H227" i="33"/>
  <c r="G277" i="33"/>
  <c r="G17" i="41" s="1"/>
  <c r="M11" i="24"/>
  <c r="G843" i="33"/>
  <c r="L181" i="42" s="1"/>
  <c r="M181" i="42" s="1"/>
  <c r="G922" i="33"/>
  <c r="L196" i="42" s="1"/>
  <c r="M196" i="42" s="1"/>
  <c r="G536" i="33"/>
  <c r="L121" i="42" s="1"/>
  <c r="M121" i="42" s="1"/>
  <c r="G615" i="33"/>
  <c r="L136" i="42" s="1"/>
  <c r="M136" i="42" s="1"/>
  <c r="G695" i="33"/>
  <c r="L151" i="42" s="1"/>
  <c r="M151" i="42" s="1"/>
  <c r="G287" i="33"/>
  <c r="L72" i="42" s="1"/>
  <c r="M72" i="42" s="1"/>
  <c r="G452" i="33"/>
  <c r="L105" i="42" s="1"/>
  <c r="M105" i="42" s="1"/>
  <c r="G113" i="33"/>
  <c r="L36" i="42" s="1"/>
  <c r="M36" i="42" s="1"/>
  <c r="G202" i="33"/>
  <c r="L55" i="42" s="1"/>
  <c r="M55" i="42" s="1"/>
  <c r="T21" i="47" a="1"/>
  <c r="I71" i="20" s="1"/>
  <c r="T22" i="47" a="1"/>
  <c r="I72" i="20" s="1"/>
  <c r="T23" i="47" a="1"/>
  <c r="I73" i="20" s="1"/>
  <c r="T24" i="47" a="1"/>
  <c r="I74" i="20" s="1"/>
  <c r="T25" i="47" a="1"/>
  <c r="I75" i="20" s="1"/>
  <c r="T26" i="47" a="1"/>
  <c r="T27" i="47" a="1"/>
  <c r="T28" i="47" a="1"/>
  <c r="T30" i="47" a="1"/>
  <c r="T8" i="47"/>
  <c r="T17" i="47" s="1"/>
  <c r="Q27" i="47" a="1"/>
  <c r="Q30" i="47" a="1"/>
  <c r="Q29" i="47" a="1"/>
  <c r="Q28" i="47" a="1"/>
  <c r="Q25" i="47" a="1"/>
  <c r="C75" i="20" s="1"/>
  <c r="Q24" i="47" a="1"/>
  <c r="C74" i="20" s="1"/>
  <c r="Q23" i="47" a="1"/>
  <c r="C73" i="20" s="1"/>
  <c r="Q22" i="47" a="1"/>
  <c r="C72" i="20" s="1"/>
  <c r="Q21" i="47" a="1"/>
  <c r="C71" i="20" s="1"/>
  <c r="Q26" i="47" a="1"/>
  <c r="R28" i="47" a="1"/>
  <c r="R27" i="47" a="1"/>
  <c r="R26" i="47" a="1"/>
  <c r="R29" i="47" a="1"/>
  <c r="R30" i="47" a="1"/>
  <c r="S17" i="47"/>
  <c r="R21" i="47" a="1"/>
  <c r="R22" i="47" a="1"/>
  <c r="R23" i="47" a="1"/>
  <c r="R24" i="47" a="1"/>
  <c r="R25" i="47" a="1"/>
  <c r="H770" i="33"/>
  <c r="L164" i="42" s="1"/>
  <c r="M164" i="42" s="1"/>
  <c r="G769" i="33"/>
  <c r="M17" i="41" s="1"/>
  <c r="G837" i="33"/>
  <c r="N17" i="41" s="1"/>
  <c r="M4514" i="28"/>
  <c r="G797" i="33"/>
  <c r="H799" i="33"/>
  <c r="H838" i="33"/>
  <c r="L179" i="42" s="1"/>
  <c r="M179" i="42" s="1"/>
  <c r="H30" i="44"/>
  <c r="H780" i="33"/>
  <c r="N11" i="41" s="1"/>
  <c r="N10" i="41"/>
  <c r="H784" i="33"/>
  <c r="G776" i="33"/>
  <c r="G783" i="33"/>
  <c r="L166" i="42" s="1"/>
  <c r="M166" i="42" s="1"/>
  <c r="H846" i="33"/>
  <c r="O11" i="41" s="1"/>
  <c r="O10" i="41"/>
  <c r="G864" i="33"/>
  <c r="G842" i="33"/>
  <c r="H850" i="33"/>
  <c r="G849" i="33"/>
  <c r="L182" i="42" s="1"/>
  <c r="M182" i="42" s="1"/>
  <c r="H906" i="33"/>
  <c r="G844" i="33"/>
  <c r="G905" i="33"/>
  <c r="L192" i="42" s="1"/>
  <c r="M192" i="42" s="1"/>
  <c r="M5527" i="28"/>
  <c r="G923" i="33" s="1"/>
  <c r="G945" i="33"/>
  <c r="H947" i="33"/>
  <c r="P10" i="41"/>
  <c r="H925" i="33"/>
  <c r="P11" i="41" s="1"/>
  <c r="G928" i="33"/>
  <c r="L197" i="42" s="1"/>
  <c r="M197" i="42" s="1"/>
  <c r="H929" i="33"/>
  <c r="G921" i="33"/>
  <c r="H610" i="33"/>
  <c r="L134" i="42" s="1"/>
  <c r="M134" i="42" s="1"/>
  <c r="K10" i="41"/>
  <c r="G557" i="33"/>
  <c r="H539" i="33"/>
  <c r="K11" i="41" s="1"/>
  <c r="G598" i="33"/>
  <c r="L132" i="42" s="1"/>
  <c r="M132" i="42" s="1"/>
  <c r="G537" i="33"/>
  <c r="H599" i="33"/>
  <c r="G535" i="33"/>
  <c r="H543" i="33"/>
  <c r="G542" i="33"/>
  <c r="L122" i="42" s="1"/>
  <c r="M122" i="42" s="1"/>
  <c r="L10" i="41"/>
  <c r="H618" i="33"/>
  <c r="L11" i="41" s="1"/>
  <c r="G637" i="33"/>
  <c r="G621" i="33"/>
  <c r="L137" i="42" s="1"/>
  <c r="M137" i="42" s="1"/>
  <c r="G614" i="33"/>
  <c r="H622" i="33"/>
  <c r="G616" i="33"/>
  <c r="G678" i="33"/>
  <c r="L147" i="42" s="1"/>
  <c r="M147" i="42" s="1"/>
  <c r="H679" i="33"/>
  <c r="G717" i="33"/>
  <c r="H719" i="33"/>
  <c r="H698" i="33"/>
  <c r="M11" i="41" s="1"/>
  <c r="M10" i="41"/>
  <c r="H702" i="33"/>
  <c r="G694" i="33"/>
  <c r="G701" i="33"/>
  <c r="L152" i="42" s="1"/>
  <c r="M152" i="42" s="1"/>
  <c r="H759" i="33"/>
  <c r="G696" i="33"/>
  <c r="G758" i="33"/>
  <c r="L162" i="42" s="1"/>
  <c r="M162" i="42" s="1"/>
  <c r="H290" i="33"/>
  <c r="H11" i="41" s="1"/>
  <c r="G309" i="33"/>
  <c r="H10" i="41"/>
  <c r="H351" i="33"/>
  <c r="G350" i="33"/>
  <c r="L83" i="42" s="1"/>
  <c r="M83" i="42" s="1"/>
  <c r="G288" i="33"/>
  <c r="G286" i="33"/>
  <c r="H294" i="33"/>
  <c r="G293" i="33"/>
  <c r="L73" i="42" s="1"/>
  <c r="M73" i="42" s="1"/>
  <c r="H374" i="33"/>
  <c r="I11" i="41" s="1"/>
  <c r="I10" i="41"/>
  <c r="G392" i="33"/>
  <c r="G433" i="33"/>
  <c r="L100" i="42" s="1"/>
  <c r="M100" i="42" s="1"/>
  <c r="H434" i="33"/>
  <c r="G372" i="33"/>
  <c r="G370" i="33"/>
  <c r="G377" i="33"/>
  <c r="L90" i="42" s="1"/>
  <c r="M90" i="42" s="1"/>
  <c r="H378" i="33"/>
  <c r="G476" i="33"/>
  <c r="H455" i="33"/>
  <c r="J11" i="41" s="1"/>
  <c r="J10" i="41"/>
  <c r="H459" i="33"/>
  <c r="G458" i="33"/>
  <c r="L106" i="42" s="1"/>
  <c r="M106" i="42" s="1"/>
  <c r="G451" i="33"/>
  <c r="H520" i="33"/>
  <c r="G519" i="33"/>
  <c r="L117" i="42" s="1"/>
  <c r="M117" i="42" s="1"/>
  <c r="G453" i="33"/>
  <c r="M7" i="28"/>
  <c r="G60" i="33"/>
  <c r="H41" i="33"/>
  <c r="E11" i="41" s="1"/>
  <c r="E10" i="41"/>
  <c r="Y22" i="47"/>
  <c r="G37" i="33"/>
  <c r="G44" i="33"/>
  <c r="L24" i="42" s="1"/>
  <c r="M24" i="42" s="1"/>
  <c r="H45" i="33"/>
  <c r="M359" i="28"/>
  <c r="H62" i="33"/>
  <c r="H139" i="33"/>
  <c r="L41" i="42" s="1"/>
  <c r="M41" i="42" s="1"/>
  <c r="G135" i="33"/>
  <c r="F10" i="41"/>
  <c r="H116" i="33"/>
  <c r="F11" i="41" s="1"/>
  <c r="G119" i="33"/>
  <c r="L37" i="42" s="1"/>
  <c r="M37" i="42" s="1"/>
  <c r="G112" i="33"/>
  <c r="H120" i="33"/>
  <c r="G114" i="33"/>
  <c r="G183" i="33"/>
  <c r="L50" i="42" s="1"/>
  <c r="M50" i="42" s="1"/>
  <c r="H184" i="33"/>
  <c r="H205" i="33"/>
  <c r="G11" i="41" s="1"/>
  <c r="G10" i="41"/>
  <c r="G225" i="33"/>
  <c r="H209" i="33"/>
  <c r="G208" i="33"/>
  <c r="L56" i="42" s="1"/>
  <c r="M56" i="42" s="1"/>
  <c r="G201" i="33"/>
  <c r="G203" i="33"/>
  <c r="G266" i="33"/>
  <c r="L66" i="42" s="1"/>
  <c r="M66" i="42" s="1"/>
  <c r="H267" i="33"/>
  <c r="G777" i="33"/>
  <c r="L171" i="42" s="1"/>
  <c r="M171" i="42" s="1"/>
  <c r="M17" i="24"/>
  <c r="M10" i="24"/>
  <c r="M13" i="24"/>
  <c r="M8" i="24"/>
  <c r="M16" i="24"/>
  <c r="M15" i="24"/>
  <c r="M12" i="24"/>
  <c r="M19" i="24"/>
  <c r="G371" i="33"/>
  <c r="L89" i="42" s="1"/>
  <c r="M89" i="42" s="1"/>
  <c r="M9" i="24"/>
  <c r="M10" i="26"/>
  <c r="M13" i="26"/>
  <c r="M20" i="26"/>
  <c r="M7" i="26"/>
  <c r="M12" i="26"/>
  <c r="M9" i="26"/>
  <c r="M15" i="26"/>
  <c r="M16" i="26"/>
  <c r="M17" i="26"/>
  <c r="M18" i="26"/>
  <c r="M19" i="26"/>
  <c r="Q38" i="30"/>
  <c r="Q56" i="30"/>
  <c r="AA56" i="30" s="1"/>
  <c r="X69" i="30"/>
  <c r="X97" i="30"/>
  <c r="X101" i="30"/>
  <c r="X102" i="30"/>
  <c r="X118" i="30"/>
  <c r="Z118" i="30" s="1"/>
  <c r="X129" i="30"/>
  <c r="M8" i="26"/>
  <c r="X135" i="30"/>
  <c r="M11" i="26"/>
  <c r="M14" i="26"/>
  <c r="M21" i="26"/>
  <c r="Q8" i="30"/>
  <c r="Q10" i="30"/>
  <c r="Q13" i="30"/>
  <c r="X28" i="30"/>
  <c r="Q34" i="30"/>
  <c r="AA34" i="30" s="1"/>
  <c r="X36" i="30"/>
  <c r="X48" i="30"/>
  <c r="X59" i="30"/>
  <c r="X60" i="30"/>
  <c r="Q65" i="30"/>
  <c r="X75" i="30"/>
  <c r="X88" i="30"/>
  <c r="X92" i="30"/>
  <c r="Q106" i="30"/>
  <c r="AA106" i="30" s="1"/>
  <c r="X109" i="30"/>
  <c r="Q113" i="30"/>
  <c r="Q141" i="30"/>
  <c r="Q144" i="30"/>
  <c r="X146" i="30"/>
  <c r="X153" i="30"/>
  <c r="X163" i="30"/>
  <c r="Q163" i="30"/>
  <c r="X176" i="30"/>
  <c r="X183" i="30"/>
  <c r="Q49" i="30"/>
  <c r="Q7" i="30"/>
  <c r="X19" i="30"/>
  <c r="Q29" i="30"/>
  <c r="AA29" i="30" s="1"/>
  <c r="Q31" i="30"/>
  <c r="X33" i="30"/>
  <c r="Q43" i="30"/>
  <c r="Q59" i="30"/>
  <c r="X74" i="30"/>
  <c r="Q79" i="30"/>
  <c r="AA79" i="30" s="1"/>
  <c r="Q80" i="30"/>
  <c r="AA80" i="30" s="1"/>
  <c r="Q85" i="30"/>
  <c r="X131" i="30"/>
  <c r="Q137" i="30"/>
  <c r="Q139" i="30"/>
  <c r="AA139" i="30" s="1"/>
  <c r="X141" i="30"/>
  <c r="Q142" i="30"/>
  <c r="Q160" i="30"/>
  <c r="AA160" i="30" s="1"/>
  <c r="X164" i="30"/>
  <c r="X172" i="30"/>
  <c r="Q174" i="30"/>
  <c r="AA174" i="30" s="1"/>
  <c r="X177" i="30"/>
  <c r="Q182" i="30"/>
  <c r="X182" i="30"/>
  <c r="X184" i="30"/>
  <c r="Q21" i="30"/>
  <c r="Q35" i="30"/>
  <c r="Q37" i="30"/>
  <c r="AA37" i="30" s="1"/>
  <c r="Q39" i="30"/>
  <c r="AA39" i="30" s="1"/>
  <c r="X41" i="30"/>
  <c r="X42" i="30"/>
  <c r="X44" i="30"/>
  <c r="X45" i="30"/>
  <c r="Q48" i="30"/>
  <c r="X50" i="30"/>
  <c r="X55" i="30"/>
  <c r="Z55" i="30" s="1"/>
  <c r="Q64" i="30"/>
  <c r="AA64" i="30" s="1"/>
  <c r="Q69" i="30"/>
  <c r="Q70" i="30"/>
  <c r="AA70" i="30" s="1"/>
  <c r="X73" i="30"/>
  <c r="X100" i="30"/>
  <c r="Q101" i="30"/>
  <c r="Q103" i="30"/>
  <c r="AA103" i="30" s="1"/>
  <c r="X105" i="30"/>
  <c r="X106" i="30"/>
  <c r="X112" i="30"/>
  <c r="Q127" i="30"/>
  <c r="AA127" i="30" s="1"/>
  <c r="X132" i="30"/>
  <c r="X138" i="30"/>
  <c r="Q152" i="30"/>
  <c r="X161" i="30"/>
  <c r="Q164" i="30"/>
  <c r="X166" i="30"/>
  <c r="Q170" i="30"/>
  <c r="AA170" i="30" s="1"/>
  <c r="Q171" i="30"/>
  <c r="Q173" i="30"/>
  <c r="X175" i="30"/>
  <c r="Q176" i="30"/>
  <c r="X178" i="30"/>
  <c r="X179" i="30"/>
  <c r="Q179" i="30"/>
  <c r="Q180" i="30"/>
  <c r="Q183" i="30"/>
  <c r="X171" i="30"/>
  <c r="Q98" i="30"/>
  <c r="AA98" i="30" s="1"/>
  <c r="X173" i="30"/>
  <c r="R7" i="30"/>
  <c r="G25" i="33"/>
  <c r="E24" i="41"/>
  <c r="R8" i="30"/>
  <c r="R9" i="30"/>
  <c r="R10" i="30"/>
  <c r="G23" i="33"/>
  <c r="R11" i="30"/>
  <c r="R12" i="30"/>
  <c r="R13" i="30"/>
  <c r="R14" i="30"/>
  <c r="R15" i="30"/>
  <c r="R16" i="30"/>
  <c r="R17" i="30"/>
  <c r="R18" i="30"/>
  <c r="R19" i="30"/>
  <c r="R20" i="30"/>
  <c r="R21" i="30"/>
  <c r="R22" i="30"/>
  <c r="G107" i="33"/>
  <c r="F24" i="41"/>
  <c r="R23" i="30"/>
  <c r="R24" i="30"/>
  <c r="R25" i="30"/>
  <c r="G105" i="33"/>
  <c r="R26" i="30"/>
  <c r="R27" i="30"/>
  <c r="R28" i="30"/>
  <c r="R29" i="30"/>
  <c r="R30" i="30"/>
  <c r="R31" i="30"/>
  <c r="R32" i="30"/>
  <c r="R33" i="30"/>
  <c r="R34" i="30"/>
  <c r="R35" i="30"/>
  <c r="R36" i="30"/>
  <c r="R37" i="30"/>
  <c r="G189" i="33"/>
  <c r="G24" i="41"/>
  <c r="R38" i="30"/>
  <c r="R39" i="30"/>
  <c r="R40" i="30"/>
  <c r="G187" i="33"/>
  <c r="R41" i="30"/>
  <c r="R42" i="30"/>
  <c r="R43" i="30"/>
  <c r="R44" i="30"/>
  <c r="R45" i="30"/>
  <c r="R46" i="30"/>
  <c r="R47" i="30"/>
  <c r="R48" i="30"/>
  <c r="R49" i="30"/>
  <c r="R50" i="30"/>
  <c r="R51" i="30"/>
  <c r="R52" i="30"/>
  <c r="G272" i="33"/>
  <c r="H24" i="41"/>
  <c r="R53" i="30"/>
  <c r="R54" i="30"/>
  <c r="R55" i="30"/>
  <c r="G270" i="33"/>
  <c r="R56" i="30"/>
  <c r="R57" i="30"/>
  <c r="R58" i="30"/>
  <c r="R59" i="30"/>
  <c r="R60" i="30"/>
  <c r="R61" i="30"/>
  <c r="R62" i="30"/>
  <c r="R63" i="30"/>
  <c r="R64" i="30"/>
  <c r="R65" i="30"/>
  <c r="R66" i="30"/>
  <c r="R67" i="30"/>
  <c r="I24" i="41"/>
  <c r="G356" i="33"/>
  <c r="R68" i="30"/>
  <c r="R69" i="30"/>
  <c r="R70" i="30"/>
  <c r="G354" i="33"/>
  <c r="R71" i="30"/>
  <c r="R72" i="30"/>
  <c r="R73" i="30"/>
  <c r="R74" i="30"/>
  <c r="R75" i="30"/>
  <c r="R76" i="30"/>
  <c r="R77" i="30"/>
  <c r="R78" i="30"/>
  <c r="R79" i="30"/>
  <c r="R80" i="30"/>
  <c r="R81" i="30"/>
  <c r="R82" i="30"/>
  <c r="J24" i="41"/>
  <c r="G439" i="33"/>
  <c r="R83" i="30"/>
  <c r="R84" i="30"/>
  <c r="R85" i="30"/>
  <c r="G437" i="33"/>
  <c r="R86" i="30"/>
  <c r="R87" i="30"/>
  <c r="R88" i="30"/>
  <c r="R89" i="30"/>
  <c r="R90" i="30"/>
  <c r="R91" i="30"/>
  <c r="R92" i="30"/>
  <c r="R93" i="30"/>
  <c r="R94" i="30"/>
  <c r="R95" i="30"/>
  <c r="R96" i="30"/>
  <c r="R97" i="30"/>
  <c r="K24" i="41"/>
  <c r="G525" i="33"/>
  <c r="R98" i="30"/>
  <c r="R99" i="30"/>
  <c r="R100" i="30"/>
  <c r="G523" i="33"/>
  <c r="R101" i="30"/>
  <c r="R102" i="30"/>
  <c r="R103" i="30"/>
  <c r="R104" i="30"/>
  <c r="R105" i="30"/>
  <c r="R106" i="30"/>
  <c r="R107" i="30"/>
  <c r="R108" i="30"/>
  <c r="R109" i="30"/>
  <c r="R110" i="30"/>
  <c r="R111" i="30"/>
  <c r="R112" i="30"/>
  <c r="L24" i="41"/>
  <c r="G604" i="33"/>
  <c r="R113" i="30"/>
  <c r="R114" i="30"/>
  <c r="R115" i="30"/>
  <c r="G602" i="33"/>
  <c r="R116" i="30"/>
  <c r="R117" i="30"/>
  <c r="R118" i="30"/>
  <c r="R119" i="30"/>
  <c r="R120" i="30"/>
  <c r="R121" i="30"/>
  <c r="R122" i="30"/>
  <c r="R123" i="30"/>
  <c r="R124" i="30"/>
  <c r="R125" i="30"/>
  <c r="R126" i="30"/>
  <c r="R127" i="30"/>
  <c r="M24" i="41"/>
  <c r="G684" i="33"/>
  <c r="R128" i="30"/>
  <c r="R129" i="30"/>
  <c r="R130" i="30"/>
  <c r="G682" i="33"/>
  <c r="R131" i="30"/>
  <c r="R132" i="30"/>
  <c r="R133" i="30"/>
  <c r="R134" i="30"/>
  <c r="R135" i="30"/>
  <c r="R136" i="30"/>
  <c r="R137" i="30"/>
  <c r="R138" i="30"/>
  <c r="R139" i="30"/>
  <c r="R140" i="30"/>
  <c r="R141" i="30"/>
  <c r="R142" i="30"/>
  <c r="G764" i="33"/>
  <c r="N24" i="41"/>
  <c r="R143" i="30"/>
  <c r="R144" i="30"/>
  <c r="R145" i="30"/>
  <c r="G762" i="33"/>
  <c r="R146" i="30"/>
  <c r="R147" i="30"/>
  <c r="R148" i="30"/>
  <c r="R149" i="30"/>
  <c r="R150" i="30"/>
  <c r="R151" i="30"/>
  <c r="R152" i="30"/>
  <c r="R153" i="30"/>
  <c r="R154" i="30"/>
  <c r="R155" i="30"/>
  <c r="R156" i="30"/>
  <c r="R157" i="30"/>
  <c r="G832" i="33"/>
  <c r="O24" i="41"/>
  <c r="R158" i="30"/>
  <c r="R159" i="30"/>
  <c r="R160" i="30"/>
  <c r="G830" i="33"/>
  <c r="R161" i="30"/>
  <c r="R162" i="30"/>
  <c r="R163" i="30"/>
  <c r="R164" i="30"/>
  <c r="R165" i="30"/>
  <c r="R166" i="30"/>
  <c r="R167" i="30"/>
  <c r="R168" i="30"/>
  <c r="R169" i="30"/>
  <c r="R170" i="30"/>
  <c r="R171" i="30"/>
  <c r="R172" i="30"/>
  <c r="G911" i="33"/>
  <c r="P24" i="41"/>
  <c r="R173" i="30"/>
  <c r="R174" i="30"/>
  <c r="R175" i="30"/>
  <c r="G909" i="33"/>
  <c r="R176" i="30"/>
  <c r="R177" i="30"/>
  <c r="R178" i="30"/>
  <c r="R179" i="30"/>
  <c r="R180" i="30"/>
  <c r="R181" i="30"/>
  <c r="R182" i="30"/>
  <c r="R183" i="30"/>
  <c r="R184" i="30"/>
  <c r="R185" i="30"/>
  <c r="R186" i="30"/>
  <c r="Q9" i="30"/>
  <c r="Q23" i="30"/>
  <c r="Q33" i="30"/>
  <c r="Q41" i="30"/>
  <c r="Q44" i="30"/>
  <c r="Q46" i="30"/>
  <c r="Q53" i="30"/>
  <c r="Q58" i="30"/>
  <c r="X147" i="30"/>
  <c r="Q154" i="30"/>
  <c r="X159" i="30"/>
  <c r="Q169" i="30"/>
  <c r="Q186" i="30"/>
  <c r="Q11" i="30"/>
  <c r="Q12" i="30"/>
  <c r="Q14" i="30"/>
  <c r="Q15" i="30"/>
  <c r="Q16" i="30"/>
  <c r="Q17" i="30"/>
  <c r="Q20" i="30"/>
  <c r="Q22" i="30"/>
  <c r="X24" i="30"/>
  <c r="Q30" i="30"/>
  <c r="Q32" i="30"/>
  <c r="Q51" i="30"/>
  <c r="Q54" i="30"/>
  <c r="X56" i="30"/>
  <c r="Q60" i="30"/>
  <c r="Q67" i="30"/>
  <c r="Q68" i="30"/>
  <c r="X71" i="30"/>
  <c r="Z71" i="30" s="1"/>
  <c r="X72" i="30"/>
  <c r="Q74" i="30"/>
  <c r="Q75" i="30"/>
  <c r="Q76" i="30"/>
  <c r="Q77" i="30"/>
  <c r="Q78" i="30"/>
  <c r="X81" i="30"/>
  <c r="Z81" i="30" s="1"/>
  <c r="X90" i="30"/>
  <c r="Q100" i="30"/>
  <c r="Q104" i="30"/>
  <c r="X110" i="30"/>
  <c r="X120" i="30"/>
  <c r="Z120" i="30" s="1"/>
  <c r="X126" i="30"/>
  <c r="Q130" i="30"/>
  <c r="Q132" i="30"/>
  <c r="Q140" i="30"/>
  <c r="X149" i="30"/>
  <c r="Q151" i="30"/>
  <c r="X154" i="30"/>
  <c r="X156" i="30"/>
  <c r="Q167" i="30"/>
  <c r="X168" i="30"/>
  <c r="Q178" i="30"/>
  <c r="Q26" i="30"/>
  <c r="X37" i="30"/>
  <c r="X39" i="30"/>
  <c r="Q42" i="30"/>
  <c r="Q50" i="30"/>
  <c r="Q61" i="30"/>
  <c r="Q62" i="30"/>
  <c r="X66" i="30"/>
  <c r="X68" i="30"/>
  <c r="X70" i="30"/>
  <c r="Q72" i="30"/>
  <c r="X83" i="30"/>
  <c r="Z83" i="30" s="1"/>
  <c r="X87" i="30"/>
  <c r="Q90" i="30"/>
  <c r="Q91" i="30"/>
  <c r="Q92" i="30"/>
  <c r="Q97" i="30"/>
  <c r="X98" i="30"/>
  <c r="Z98" i="30" s="1"/>
  <c r="X103" i="30"/>
  <c r="Q105" i="30"/>
  <c r="Q112" i="30"/>
  <c r="Q115" i="30"/>
  <c r="Q116" i="30"/>
  <c r="Q119" i="30"/>
  <c r="Q121" i="30"/>
  <c r="X123" i="30"/>
  <c r="Z123" i="30" s="1"/>
  <c r="Q124" i="30"/>
  <c r="X127" i="30"/>
  <c r="X133" i="30"/>
  <c r="Q134" i="30"/>
  <c r="X139" i="30"/>
  <c r="Q143" i="30"/>
  <c r="Q145" i="30"/>
  <c r="Q147" i="30"/>
  <c r="X148" i="30"/>
  <c r="Q149" i="30"/>
  <c r="Q150" i="30"/>
  <c r="X150" i="30"/>
  <c r="X151" i="30"/>
  <c r="Q153" i="30"/>
  <c r="X157" i="30"/>
  <c r="Z157" i="30" s="1"/>
  <c r="X158" i="30"/>
  <c r="X162" i="30"/>
  <c r="Q165" i="30"/>
  <c r="Q166" i="30"/>
  <c r="Q168" i="30"/>
  <c r="X170" i="30"/>
  <c r="Q184" i="30"/>
  <c r="X34" i="30"/>
  <c r="X46" i="30"/>
  <c r="X51" i="30"/>
  <c r="Q52" i="30"/>
  <c r="X53" i="30"/>
  <c r="Q57" i="30"/>
  <c r="X62" i="30"/>
  <c r="Q63" i="30"/>
  <c r="X64" i="30"/>
  <c r="Q66" i="30"/>
  <c r="Q73" i="30"/>
  <c r="X77" i="30"/>
  <c r="X79" i="30"/>
  <c r="X80" i="30"/>
  <c r="X82" i="30"/>
  <c r="Z82" i="30" s="1"/>
  <c r="Q88" i="30"/>
  <c r="X89" i="30"/>
  <c r="Q99" i="30"/>
  <c r="Q102" i="30"/>
  <c r="X104" i="30"/>
  <c r="X107" i="30"/>
  <c r="Z107" i="30" s="1"/>
  <c r="Q108" i="30"/>
  <c r="Q109" i="30"/>
  <c r="Q110" i="30"/>
  <c r="X111" i="30"/>
  <c r="Z111" i="30" s="1"/>
  <c r="X115" i="30"/>
  <c r="Q117" i="30"/>
  <c r="X121" i="30"/>
  <c r="Q122" i="30"/>
  <c r="X124" i="30"/>
  <c r="X125" i="30"/>
  <c r="Q125" i="30"/>
  <c r="Q126" i="30"/>
  <c r="Q131" i="30"/>
  <c r="X143" i="30"/>
  <c r="X145" i="30"/>
  <c r="Q146" i="30"/>
  <c r="Q156" i="30"/>
  <c r="X167" i="30"/>
  <c r="X169" i="30"/>
  <c r="X174" i="30"/>
  <c r="X134" i="30"/>
  <c r="Q135" i="30"/>
  <c r="Q136" i="30"/>
  <c r="X136" i="30"/>
  <c r="Q138" i="30"/>
  <c r="Q25" i="30"/>
  <c r="X26" i="30"/>
  <c r="X27" i="30"/>
  <c r="Q27" i="30"/>
  <c r="Q28" i="30"/>
  <c r="X29" i="30"/>
  <c r="X84" i="30"/>
  <c r="X86" i="30"/>
  <c r="Q86" i="30"/>
  <c r="Q87" i="30"/>
  <c r="Q89" i="30"/>
  <c r="X91" i="30"/>
  <c r="Q93" i="30"/>
  <c r="Q94" i="30"/>
  <c r="Q95" i="30"/>
  <c r="Q96" i="30"/>
  <c r="X114" i="30"/>
  <c r="Z114" i="30" s="1"/>
  <c r="Q129" i="30"/>
  <c r="X160" i="30"/>
  <c r="Q162" i="30"/>
  <c r="Q172" i="30"/>
  <c r="Q175" i="30"/>
  <c r="Q181" i="30"/>
  <c r="X185" i="30"/>
  <c r="Z185" i="30" s="1"/>
  <c r="X186" i="30"/>
  <c r="L42" i="41"/>
  <c r="N42" i="41"/>
  <c r="H42" i="41"/>
  <c r="E38" i="41"/>
  <c r="E43" i="41" s="1"/>
  <c r="H56" i="33"/>
  <c r="E39" i="41" s="1"/>
  <c r="H98" i="33"/>
  <c r="G97" i="33"/>
  <c r="E41" i="41" s="1"/>
  <c r="F38" i="41"/>
  <c r="H180" i="33"/>
  <c r="L48" i="42" s="1"/>
  <c r="M48" i="42" s="1"/>
  <c r="G179" i="33"/>
  <c r="F41" i="41" s="1"/>
  <c r="H131" i="33"/>
  <c r="F39" i="41" s="1"/>
  <c r="G38" i="41"/>
  <c r="H263" i="33"/>
  <c r="L64" i="42" s="1"/>
  <c r="M64" i="42" s="1"/>
  <c r="G262" i="33"/>
  <c r="G41" i="41" s="1"/>
  <c r="H221" i="33"/>
  <c r="G39" i="41" s="1"/>
  <c r="H38" i="41"/>
  <c r="H305" i="33"/>
  <c r="H39" i="41" s="1"/>
  <c r="H347" i="33"/>
  <c r="L81" i="42" s="1"/>
  <c r="M81" i="42" s="1"/>
  <c r="G346" i="33"/>
  <c r="H41" i="41" s="1"/>
  <c r="H388" i="33"/>
  <c r="I39" i="41" s="1"/>
  <c r="I38" i="41"/>
  <c r="H430" i="33"/>
  <c r="L98" i="42" s="1"/>
  <c r="M98" i="42" s="1"/>
  <c r="G429" i="33"/>
  <c r="I41" i="41" s="1"/>
  <c r="J38" i="41"/>
  <c r="H516" i="33"/>
  <c r="L115" i="42" s="1"/>
  <c r="M115" i="42" s="1"/>
  <c r="G515" i="33"/>
  <c r="J41" i="41" s="1"/>
  <c r="H472" i="33"/>
  <c r="J39" i="41" s="1"/>
  <c r="K38" i="41"/>
  <c r="H595" i="33"/>
  <c r="G594" i="33"/>
  <c r="K41" i="41" s="1"/>
  <c r="H553" i="33"/>
  <c r="K39" i="41" s="1"/>
  <c r="H633" i="33"/>
  <c r="L39" i="41" s="1"/>
  <c r="L38" i="41"/>
  <c r="H675" i="33"/>
  <c r="L145" i="42" s="1"/>
  <c r="M145" i="42" s="1"/>
  <c r="G674" i="33"/>
  <c r="L41" i="41" s="1"/>
  <c r="H755" i="33"/>
  <c r="L160" i="42" s="1"/>
  <c r="M160" i="42" s="1"/>
  <c r="G754" i="33"/>
  <c r="M41" i="41" s="1"/>
  <c r="H713" i="33"/>
  <c r="M39" i="41" s="1"/>
  <c r="M38" i="41"/>
  <c r="G822" i="33"/>
  <c r="N41" i="41" s="1"/>
  <c r="H823" i="33"/>
  <c r="L175" i="42" s="1"/>
  <c r="M175" i="42" s="1"/>
  <c r="H795" i="33"/>
  <c r="N39" i="41" s="1"/>
  <c r="N38" i="41"/>
  <c r="O38" i="41"/>
  <c r="H902" i="33"/>
  <c r="L190" i="42" s="1"/>
  <c r="M190" i="42" s="1"/>
  <c r="G901" i="33"/>
  <c r="O41" i="41" s="1"/>
  <c r="H860" i="33"/>
  <c r="O39" i="41" s="1"/>
  <c r="P38" i="41"/>
  <c r="H941" i="33"/>
  <c r="P39" i="41" s="1"/>
  <c r="Q36" i="41" a="1"/>
  <c r="F42" i="41"/>
  <c r="I42" i="41"/>
  <c r="J42" i="41"/>
  <c r="Q37" i="41" a="1"/>
  <c r="K42" i="41"/>
  <c r="Q35" i="41" a="1"/>
  <c r="P42" i="41"/>
  <c r="AA19" i="32" a="1"/>
  <c r="AB19" i="32" s="1"/>
  <c r="AC19" i="32" s="1"/>
  <c r="AA23" i="32" a="1"/>
  <c r="AB23" i="32" s="1"/>
  <c r="AC23" i="32" s="1"/>
  <c r="AA22" i="32" a="1"/>
  <c r="AB22" i="32" s="1"/>
  <c r="AC22" i="32" s="1"/>
  <c r="AA16" i="31" a="1"/>
  <c r="AA23" i="31" a="1"/>
  <c r="X17" i="31"/>
  <c r="Q17" i="31"/>
  <c r="V17" i="31"/>
  <c r="Z17" i="31"/>
  <c r="P17" i="31"/>
  <c r="T18" i="31"/>
  <c r="R18" i="31"/>
  <c r="X18" i="31"/>
  <c r="H803" i="33" s="1"/>
  <c r="Z18" i="31"/>
  <c r="M18" i="31"/>
  <c r="Q18" i="31"/>
  <c r="S18" i="31"/>
  <c r="V18" i="31"/>
  <c r="W18" i="31"/>
  <c r="P18" i="31"/>
  <c r="U18" i="31"/>
  <c r="O18" i="31"/>
  <c r="Y18" i="31"/>
  <c r="T19" i="31"/>
  <c r="Z19" i="31"/>
  <c r="P19" i="31"/>
  <c r="W19" i="31"/>
  <c r="U19" i="31"/>
  <c r="S19" i="31"/>
  <c r="Q19" i="31"/>
  <c r="V19" i="31"/>
  <c r="R19" i="31"/>
  <c r="V20" i="31"/>
  <c r="Y20" i="31"/>
  <c r="O20" i="31"/>
  <c r="W20" i="31"/>
  <c r="S20" i="31"/>
  <c r="P20" i="31"/>
  <c r="Q20" i="31"/>
  <c r="R20" i="31"/>
  <c r="T20" i="31"/>
  <c r="Z20" i="31"/>
  <c r="M20" i="31"/>
  <c r="X20" i="31"/>
  <c r="U20" i="31"/>
  <c r="S21" i="31"/>
  <c r="T21" i="31"/>
  <c r="Z21" i="31"/>
  <c r="P21" i="31"/>
  <c r="W21" i="31"/>
  <c r="O21" i="31"/>
  <c r="Y21" i="31"/>
  <c r="U21" i="31"/>
  <c r="Q21" i="31"/>
  <c r="M21" i="31"/>
  <c r="N21" i="31" s="1"/>
  <c r="T22" i="31"/>
  <c r="R22" i="31"/>
  <c r="Z22" i="31"/>
  <c r="X22" i="31"/>
  <c r="V22" i="31"/>
  <c r="U22" i="31"/>
  <c r="M22" i="31"/>
  <c r="N22" i="31" s="1"/>
  <c r="Q22" i="31"/>
  <c r="Y22" i="31"/>
  <c r="W22" i="31"/>
  <c r="P22" i="31"/>
  <c r="U24" i="31"/>
  <c r="W24" i="31"/>
  <c r="R24" i="31"/>
  <c r="R25" i="31"/>
  <c r="W25" i="31"/>
  <c r="U25" i="31"/>
  <c r="Y25" i="31"/>
  <c r="H872" i="33" s="1"/>
  <c r="M26" i="31"/>
  <c r="S26" i="31"/>
  <c r="W26" i="31"/>
  <c r="Y26" i="31"/>
  <c r="Z26" i="31"/>
  <c r="V27" i="31"/>
  <c r="T27" i="31"/>
  <c r="Z27" i="31"/>
  <c r="U27" i="31"/>
  <c r="R27" i="31"/>
  <c r="Q27" i="31"/>
  <c r="V28" i="31"/>
  <c r="Z28" i="31"/>
  <c r="Y28" i="31"/>
  <c r="W28" i="31"/>
  <c r="T29" i="31"/>
  <c r="W29" i="31"/>
  <c r="U29" i="31"/>
  <c r="Y29" i="31"/>
  <c r="V29" i="31"/>
  <c r="Z29" i="31"/>
  <c r="X29" i="31"/>
  <c r="H145" i="33" l="1"/>
  <c r="L7" i="23"/>
  <c r="Z133" i="30"/>
  <c r="I25" i="23"/>
  <c r="N17" i="31"/>
  <c r="H113" i="40"/>
  <c r="G229" i="33"/>
  <c r="H234" i="33"/>
  <c r="Z24" i="30"/>
  <c r="Z19" i="30"/>
  <c r="H31" i="44"/>
  <c r="Z158" i="30"/>
  <c r="I15" i="41"/>
  <c r="Z36" i="30"/>
  <c r="Q13" i="41" a="1"/>
  <c r="Z45" i="30"/>
  <c r="N15" i="41"/>
  <c r="P11" i="46"/>
  <c r="P25" i="46"/>
  <c r="D9" i="47"/>
  <c r="G25" i="46"/>
  <c r="G11" i="46"/>
  <c r="E25" i="46"/>
  <c r="D7" i="47"/>
  <c r="Q9" i="46" a="1"/>
  <c r="Q25" i="46" s="1"/>
  <c r="E11" i="46"/>
  <c r="F11" i="46"/>
  <c r="D8" i="47"/>
  <c r="F25" i="46"/>
  <c r="D16" i="47"/>
  <c r="N25" i="46"/>
  <c r="N11" i="46"/>
  <c r="O25" i="46"/>
  <c r="O11" i="46"/>
  <c r="H25" i="46"/>
  <c r="H11" i="46"/>
  <c r="D10" i="47"/>
  <c r="L11" i="46"/>
  <c r="L25" i="46"/>
  <c r="D14" i="47"/>
  <c r="I11" i="46"/>
  <c r="I25" i="46"/>
  <c r="D11" i="47"/>
  <c r="M25" i="46"/>
  <c r="D15" i="47"/>
  <c r="M11" i="46"/>
  <c r="K11" i="46"/>
  <c r="D13" i="47"/>
  <c r="K25" i="46"/>
  <c r="D12" i="47"/>
  <c r="J25" i="46"/>
  <c r="J11" i="46"/>
  <c r="L15" i="41"/>
  <c r="K15" i="41"/>
  <c r="H20" i="41"/>
  <c r="Q19" i="41" a="1"/>
  <c r="P15" i="41"/>
  <c r="O15" i="41"/>
  <c r="M15" i="41"/>
  <c r="J15" i="41"/>
  <c r="H15" i="41"/>
  <c r="H861" i="33"/>
  <c r="H944" i="33"/>
  <c r="L200" i="42" s="1"/>
  <c r="M200" i="42" s="1"/>
  <c r="G943" i="33"/>
  <c r="M7" i="25"/>
  <c r="C133" i="40" a="1"/>
  <c r="H863" i="33"/>
  <c r="L185" i="42" s="1"/>
  <c r="M185" i="42" s="1"/>
  <c r="G862" i="33"/>
  <c r="H796" i="33"/>
  <c r="H714" i="33"/>
  <c r="G774" i="33"/>
  <c r="H775" i="33"/>
  <c r="E14" i="41"/>
  <c r="D16" i="48"/>
  <c r="E16" i="48" s="1"/>
  <c r="G15" i="41"/>
  <c r="F15" i="41"/>
  <c r="G715" i="33"/>
  <c r="H634" i="33"/>
  <c r="H716" i="33"/>
  <c r="L155" i="42" s="1"/>
  <c r="M155" i="42" s="1"/>
  <c r="H636" i="33"/>
  <c r="L140" i="42" s="1"/>
  <c r="M140" i="42" s="1"/>
  <c r="G635" i="33"/>
  <c r="H554" i="33"/>
  <c r="G117" i="40"/>
  <c r="H556" i="33"/>
  <c r="L125" i="42" s="1"/>
  <c r="M125" i="42" s="1"/>
  <c r="G555" i="33"/>
  <c r="H389" i="33"/>
  <c r="H475" i="33"/>
  <c r="L109" i="42" s="1"/>
  <c r="M109" i="42" s="1"/>
  <c r="G474" i="33"/>
  <c r="H391" i="33"/>
  <c r="L93" i="42" s="1"/>
  <c r="M93" i="42" s="1"/>
  <c r="G390" i="33"/>
  <c r="H306" i="33"/>
  <c r="H308" i="33"/>
  <c r="L76" i="42" s="1"/>
  <c r="M76" i="42" s="1"/>
  <c r="G307" i="33"/>
  <c r="H222" i="33"/>
  <c r="H132" i="33"/>
  <c r="H224" i="33"/>
  <c r="L59" i="42" s="1"/>
  <c r="M59" i="42" s="1"/>
  <c r="G223" i="33"/>
  <c r="H57" i="33"/>
  <c r="H134" i="33"/>
  <c r="L40" i="42" s="1"/>
  <c r="M40" i="42" s="1"/>
  <c r="G133" i="33"/>
  <c r="C172" i="40" a="1"/>
  <c r="Z177" i="30"/>
  <c r="H951" i="33"/>
  <c r="H231" i="33"/>
  <c r="H643" i="33"/>
  <c r="H143" i="33"/>
  <c r="H644" i="33"/>
  <c r="H871" i="33"/>
  <c r="H67" i="33"/>
  <c r="H724" i="33"/>
  <c r="H399" i="33"/>
  <c r="H144" i="33"/>
  <c r="H232" i="33"/>
  <c r="H316" i="33"/>
  <c r="H483" i="33"/>
  <c r="H952" i="33"/>
  <c r="H804" i="33"/>
  <c r="H564" i="33"/>
  <c r="H565" i="33"/>
  <c r="H725" i="33"/>
  <c r="AA25" i="31" a="1"/>
  <c r="AB25" i="31" s="1"/>
  <c r="AD25" i="31" s="1"/>
  <c r="AE25" i="31" s="1"/>
  <c r="AA28" i="31" a="1"/>
  <c r="AB28" i="31" s="1"/>
  <c r="AD28" i="31" s="1"/>
  <c r="AE28" i="31" s="1"/>
  <c r="N71" i="20"/>
  <c r="O71" i="20"/>
  <c r="Q71" i="20" s="1"/>
  <c r="N72" i="20"/>
  <c r="O72" i="20"/>
  <c r="Q72" i="20" s="1"/>
  <c r="N73" i="20"/>
  <c r="O73" i="20"/>
  <c r="Q73" i="20" s="1"/>
  <c r="N74" i="20"/>
  <c r="O74" i="20"/>
  <c r="Q74" i="20" s="1"/>
  <c r="N75" i="20"/>
  <c r="O75" i="20"/>
  <c r="Q75" i="20" s="1"/>
  <c r="N76" i="20"/>
  <c r="O76" i="20"/>
  <c r="Q76" i="20" s="1"/>
  <c r="N77" i="20"/>
  <c r="O77" i="20"/>
  <c r="Q77" i="20" s="1"/>
  <c r="N78" i="20"/>
  <c r="O78" i="20"/>
  <c r="Q78" i="20" s="1"/>
  <c r="N79" i="20"/>
  <c r="O79" i="20"/>
  <c r="Q79" i="20" s="1"/>
  <c r="N80" i="20"/>
  <c r="O80" i="20"/>
  <c r="Q80" i="20" s="1"/>
  <c r="AA128" i="30"/>
  <c r="Z128" i="30"/>
  <c r="AA155" i="30"/>
  <c r="Z155" i="30"/>
  <c r="AA24" i="32"/>
  <c r="AB16" i="32"/>
  <c r="H566" i="33"/>
  <c r="G561" i="33"/>
  <c r="H69" i="33"/>
  <c r="G64" i="33"/>
  <c r="H318" i="33"/>
  <c r="G313" i="33"/>
  <c r="H805" i="33"/>
  <c r="Z161" i="30"/>
  <c r="Z159" i="30"/>
  <c r="Z70" i="30"/>
  <c r="Z103" i="30"/>
  <c r="Z148" i="30"/>
  <c r="Z84" i="30"/>
  <c r="AA18" i="31" a="1"/>
  <c r="AA19" i="31" a="1"/>
  <c r="AB19" i="31" s="1"/>
  <c r="AD19" i="31" s="1"/>
  <c r="AE19" i="31" s="1"/>
  <c r="S21" i="47"/>
  <c r="H71" i="20" s="1"/>
  <c r="F71" i="20"/>
  <c r="S22" i="47"/>
  <c r="H72" i="20" s="1"/>
  <c r="F72" i="20"/>
  <c r="S23" i="47"/>
  <c r="H73" i="20" s="1"/>
  <c r="F73" i="20"/>
  <c r="S24" i="47"/>
  <c r="H74" i="20" s="1"/>
  <c r="F74" i="20"/>
  <c r="S25" i="47"/>
  <c r="H75" i="20" s="1"/>
  <c r="F75" i="20"/>
  <c r="AB16" i="31"/>
  <c r="I112" i="40"/>
  <c r="AB23" i="31"/>
  <c r="H802" i="33"/>
  <c r="G800" i="33"/>
  <c r="X30" i="31"/>
  <c r="Q30" i="31"/>
  <c r="G228" i="33"/>
  <c r="H230" i="33"/>
  <c r="V30" i="31"/>
  <c r="H642" i="33"/>
  <c r="G640" i="33"/>
  <c r="Z30" i="31"/>
  <c r="H950" i="33"/>
  <c r="G948" i="33"/>
  <c r="AA17" i="31" a="1"/>
  <c r="P30" i="31"/>
  <c r="H142" i="33"/>
  <c r="G140" i="33"/>
  <c r="H482" i="33"/>
  <c r="G479" i="33"/>
  <c r="T30" i="31"/>
  <c r="G312" i="33"/>
  <c r="R30" i="31"/>
  <c r="H315" i="33"/>
  <c r="N18" i="31"/>
  <c r="M30" i="31"/>
  <c r="H114" i="40"/>
  <c r="I26" i="23"/>
  <c r="H398" i="33"/>
  <c r="G395" i="33"/>
  <c r="S30" i="31"/>
  <c r="W30" i="31"/>
  <c r="G720" i="33"/>
  <c r="H723" i="33"/>
  <c r="G560" i="33"/>
  <c r="H563" i="33"/>
  <c r="U30" i="31"/>
  <c r="O30" i="31"/>
  <c r="H66" i="33"/>
  <c r="G63" i="33"/>
  <c r="G867" i="33"/>
  <c r="H870" i="33"/>
  <c r="Y30" i="31"/>
  <c r="N20" i="31"/>
  <c r="I27" i="23"/>
  <c r="H115" i="40"/>
  <c r="AA24" i="31" a="1"/>
  <c r="H317" i="33"/>
  <c r="N26" i="31"/>
  <c r="I30" i="23"/>
  <c r="H123" i="40"/>
  <c r="H124" i="40" s="1"/>
  <c r="H401" i="33"/>
  <c r="G396" i="33"/>
  <c r="G721" i="33"/>
  <c r="H726" i="33"/>
  <c r="H873" i="33"/>
  <c r="G868" i="33"/>
  <c r="G949" i="33"/>
  <c r="H954" i="33"/>
  <c r="AA29" i="31" a="1"/>
  <c r="AB29" i="31" s="1"/>
  <c r="AD29" i="31" s="1"/>
  <c r="AE29" i="31" s="1"/>
  <c r="H485" i="33"/>
  <c r="G480" i="33"/>
  <c r="G641" i="33"/>
  <c r="H646" i="33"/>
  <c r="H806" i="33"/>
  <c r="G801" i="33"/>
  <c r="Q17" i="41" a="1"/>
  <c r="H827" i="33"/>
  <c r="G778" i="33"/>
  <c r="G826" i="33"/>
  <c r="L177" i="42" s="1"/>
  <c r="M177" i="42" s="1"/>
  <c r="M14" i="24"/>
  <c r="N12" i="41"/>
  <c r="N21" i="41"/>
  <c r="N16" i="41"/>
  <c r="O16" i="41"/>
  <c r="O18" i="41" s="1"/>
  <c r="O12" i="41"/>
  <c r="O21" i="41"/>
  <c r="P21" i="41"/>
  <c r="P16" i="41"/>
  <c r="P18" i="41" s="1"/>
  <c r="P12" i="41"/>
  <c r="K12" i="41"/>
  <c r="K16" i="41"/>
  <c r="K18" i="41" s="1"/>
  <c r="K21" i="41"/>
  <c r="L12" i="41"/>
  <c r="L16" i="41"/>
  <c r="L18" i="41" s="1"/>
  <c r="L21" i="41"/>
  <c r="M12" i="41"/>
  <c r="M16" i="41"/>
  <c r="M18" i="41" s="1"/>
  <c r="M21" i="41"/>
  <c r="H16" i="41"/>
  <c r="H18" i="41" s="1"/>
  <c r="H12" i="41"/>
  <c r="I21" i="41"/>
  <c r="I12" i="41"/>
  <c r="I16" i="41"/>
  <c r="I18" i="41" s="1"/>
  <c r="J21" i="41"/>
  <c r="J12" i="41"/>
  <c r="J16" i="41"/>
  <c r="J18" i="41" s="1"/>
  <c r="Y23" i="47"/>
  <c r="G38" i="33"/>
  <c r="Q10" i="41" a="1"/>
  <c r="E21" i="41"/>
  <c r="E12" i="41"/>
  <c r="E16" i="41"/>
  <c r="F12" i="41"/>
  <c r="F16" i="41"/>
  <c r="F18" i="41" s="1"/>
  <c r="F21" i="41"/>
  <c r="G12" i="41"/>
  <c r="G16" i="41"/>
  <c r="G18" i="41" s="1"/>
  <c r="G21" i="41"/>
  <c r="S28" i="47"/>
  <c r="S27" i="47"/>
  <c r="S26" i="47"/>
  <c r="S29" i="47"/>
  <c r="S30" i="47"/>
  <c r="Q11" i="41" a="1"/>
  <c r="G101" i="33"/>
  <c r="L34" i="42" s="1"/>
  <c r="M34" i="42" s="1"/>
  <c r="H102" i="33"/>
  <c r="Y24" i="47"/>
  <c r="G39" i="33"/>
  <c r="Z38" i="30"/>
  <c r="AA38" i="30"/>
  <c r="Z106" i="30"/>
  <c r="Z56" i="30"/>
  <c r="Z37" i="30"/>
  <c r="Z39" i="30"/>
  <c r="Z127" i="30"/>
  <c r="Z139" i="30"/>
  <c r="Z34" i="30"/>
  <c r="Z79" i="30"/>
  <c r="Z80" i="30"/>
  <c r="Z174" i="30"/>
  <c r="Z29" i="30"/>
  <c r="Z160" i="30"/>
  <c r="AA8" i="30"/>
  <c r="Z8" i="30"/>
  <c r="Z10" i="30"/>
  <c r="AA10" i="30"/>
  <c r="AA13" i="30"/>
  <c r="Z13" i="30"/>
  <c r="AA65" i="30"/>
  <c r="Z65" i="30"/>
  <c r="AA113" i="30"/>
  <c r="Z113" i="30"/>
  <c r="Z141" i="30"/>
  <c r="AA141" i="30"/>
  <c r="AA144" i="30"/>
  <c r="Z144" i="30"/>
  <c r="AA163" i="30"/>
  <c r="Z163" i="30"/>
  <c r="AA49" i="30"/>
  <c r="Z49" i="30"/>
  <c r="Z7" i="30"/>
  <c r="AA7" i="30"/>
  <c r="Z31" i="30"/>
  <c r="AA31" i="30"/>
  <c r="Z43" i="30"/>
  <c r="AA43" i="30"/>
  <c r="AA59" i="30"/>
  <c r="Z59" i="30"/>
  <c r="Z85" i="30"/>
  <c r="AA85" i="30"/>
  <c r="Z137" i="30"/>
  <c r="AA137" i="30"/>
  <c r="AA142" i="30"/>
  <c r="Z142" i="30"/>
  <c r="Z182" i="30"/>
  <c r="AA182" i="30"/>
  <c r="Z170" i="30"/>
  <c r="Z64" i="30"/>
  <c r="Z21" i="30"/>
  <c r="AA21" i="30"/>
  <c r="Z35" i="30"/>
  <c r="AA35" i="30"/>
  <c r="AA48" i="30"/>
  <c r="Z48" i="30"/>
  <c r="AA69" i="30"/>
  <c r="Z69" i="30"/>
  <c r="AA101" i="30"/>
  <c r="Z101" i="30"/>
  <c r="Z152" i="30"/>
  <c r="AA152" i="30"/>
  <c r="AA164" i="30"/>
  <c r="Z164" i="30"/>
  <c r="Z171" i="30"/>
  <c r="AA171" i="30"/>
  <c r="Z173" i="30"/>
  <c r="AA173" i="30"/>
  <c r="Z176" i="30"/>
  <c r="AA176" i="30"/>
  <c r="AA179" i="30"/>
  <c r="Z179" i="30"/>
  <c r="AA180" i="30"/>
  <c r="Z180" i="30"/>
  <c r="Z183" i="30"/>
  <c r="AA183" i="30"/>
  <c r="G26" i="33"/>
  <c r="G190" i="33"/>
  <c r="G271" i="33"/>
  <c r="H13" i="46" s="1"/>
  <c r="S7" i="30"/>
  <c r="T7" i="30" s="1"/>
  <c r="Q24" i="41" a="1"/>
  <c r="S8" i="30"/>
  <c r="T8" i="30" s="1"/>
  <c r="S9" i="30"/>
  <c r="T9" i="30" s="1"/>
  <c r="S10" i="30"/>
  <c r="T10" i="30" s="1"/>
  <c r="E25" i="41"/>
  <c r="E26" i="41" s="1"/>
  <c r="S11" i="30"/>
  <c r="T11" i="30" s="1"/>
  <c r="S12" i="30"/>
  <c r="T12" i="30" s="1"/>
  <c r="S13" i="30"/>
  <c r="T13" i="30" s="1"/>
  <c r="S14" i="30"/>
  <c r="T14" i="30" s="1"/>
  <c r="S15" i="30"/>
  <c r="T15" i="30" s="1"/>
  <c r="S16" i="30"/>
  <c r="T16" i="30" s="1"/>
  <c r="S17" i="30"/>
  <c r="T17" i="30" s="1"/>
  <c r="S18" i="30"/>
  <c r="T18" i="30" s="1"/>
  <c r="S19" i="30"/>
  <c r="T19" i="30" s="1"/>
  <c r="S20" i="30"/>
  <c r="T20" i="30" s="1"/>
  <c r="S21" i="30"/>
  <c r="T21" i="30" s="1"/>
  <c r="S22" i="30"/>
  <c r="T22" i="30" s="1"/>
  <c r="S23" i="30"/>
  <c r="T23" i="30" s="1"/>
  <c r="Y23" i="30" s="1"/>
  <c r="S24" i="30"/>
  <c r="T24" i="30" s="1"/>
  <c r="Y24" i="30" s="1"/>
  <c r="S25" i="30"/>
  <c r="T25" i="30" s="1"/>
  <c r="Y25" i="30" s="1"/>
  <c r="F25" i="41"/>
  <c r="F26" i="41" s="1"/>
  <c r="S26" i="30"/>
  <c r="T26" i="30" s="1"/>
  <c r="Y26" i="30" s="1"/>
  <c r="S27" i="30"/>
  <c r="T27" i="30" s="1"/>
  <c r="Y27" i="30" s="1"/>
  <c r="S28" i="30"/>
  <c r="T28" i="30" s="1"/>
  <c r="Y28" i="30" s="1"/>
  <c r="S29" i="30"/>
  <c r="T29" i="30" s="1"/>
  <c r="Y29" i="30" s="1"/>
  <c r="S30" i="30"/>
  <c r="T30" i="30" s="1"/>
  <c r="Y30" i="30" s="1"/>
  <c r="S31" i="30"/>
  <c r="T31" i="30" s="1"/>
  <c r="Y31" i="30" s="1"/>
  <c r="S32" i="30"/>
  <c r="T32" i="30" s="1"/>
  <c r="Y32" i="30" s="1"/>
  <c r="S33" i="30"/>
  <c r="T33" i="30" s="1"/>
  <c r="Y33" i="30" s="1"/>
  <c r="S34" i="30"/>
  <c r="T34" i="30" s="1"/>
  <c r="Y34" i="30" s="1"/>
  <c r="S35" i="30"/>
  <c r="T35" i="30" s="1"/>
  <c r="Y35" i="30" s="1"/>
  <c r="S36" i="30"/>
  <c r="T36" i="30" s="1"/>
  <c r="Y36" i="30" s="1"/>
  <c r="S37" i="30"/>
  <c r="T37" i="30" s="1"/>
  <c r="S38" i="30"/>
  <c r="T38" i="30" s="1"/>
  <c r="Y38" i="30" s="1"/>
  <c r="S39" i="30"/>
  <c r="T39" i="30" s="1"/>
  <c r="Y39" i="30" s="1"/>
  <c r="S40" i="30"/>
  <c r="T40" i="30" s="1"/>
  <c r="Y40" i="30" s="1"/>
  <c r="G25" i="41"/>
  <c r="G26" i="41" s="1"/>
  <c r="S41" i="30"/>
  <c r="T41" i="30" s="1"/>
  <c r="Y41" i="30" s="1"/>
  <c r="S42" i="30"/>
  <c r="T42" i="30" s="1"/>
  <c r="Y42" i="30" s="1"/>
  <c r="S43" i="30"/>
  <c r="T43" i="30" s="1"/>
  <c r="Y43" i="30" s="1"/>
  <c r="S44" i="30"/>
  <c r="T44" i="30" s="1"/>
  <c r="Y44" i="30" s="1"/>
  <c r="S45" i="30"/>
  <c r="T45" i="30" s="1"/>
  <c r="Y45" i="30" s="1"/>
  <c r="S46" i="30"/>
  <c r="T46" i="30" s="1"/>
  <c r="Y46" i="30" s="1"/>
  <c r="S47" i="30"/>
  <c r="T47" i="30" s="1"/>
  <c r="Y47" i="30" s="1"/>
  <c r="S48" i="30"/>
  <c r="T48" i="30" s="1"/>
  <c r="Y48" i="30" s="1"/>
  <c r="S49" i="30"/>
  <c r="T49" i="30" s="1"/>
  <c r="Y49" i="30" s="1"/>
  <c r="S50" i="30"/>
  <c r="T50" i="30" s="1"/>
  <c r="Y50" i="30" s="1"/>
  <c r="S51" i="30"/>
  <c r="T51" i="30" s="1"/>
  <c r="Y51" i="30" s="1"/>
  <c r="S52" i="30"/>
  <c r="T52" i="30" s="1"/>
  <c r="S53" i="30"/>
  <c r="T53" i="30" s="1"/>
  <c r="Y53" i="30" s="1"/>
  <c r="S54" i="30"/>
  <c r="T54" i="30" s="1"/>
  <c r="Y54" i="30" s="1"/>
  <c r="S55" i="30"/>
  <c r="T55" i="30" s="1"/>
  <c r="Y55" i="30" s="1"/>
  <c r="H25" i="41"/>
  <c r="H26" i="41" s="1"/>
  <c r="S56" i="30"/>
  <c r="T56" i="30" s="1"/>
  <c r="Y56" i="30" s="1"/>
  <c r="S57" i="30"/>
  <c r="T57" i="30" s="1"/>
  <c r="Y57" i="30" s="1"/>
  <c r="S58" i="30"/>
  <c r="T58" i="30" s="1"/>
  <c r="Y58" i="30" s="1"/>
  <c r="S59" i="30"/>
  <c r="T59" i="30" s="1"/>
  <c r="Y59" i="30" s="1"/>
  <c r="S60" i="30"/>
  <c r="T60" i="30" s="1"/>
  <c r="Y60" i="30" s="1"/>
  <c r="S61" i="30"/>
  <c r="T61" i="30" s="1"/>
  <c r="Y61" i="30" s="1"/>
  <c r="S62" i="30"/>
  <c r="T62" i="30" s="1"/>
  <c r="Y62" i="30" s="1"/>
  <c r="S63" i="30"/>
  <c r="T63" i="30" s="1"/>
  <c r="Y63" i="30" s="1"/>
  <c r="S64" i="30"/>
  <c r="T64" i="30" s="1"/>
  <c r="Y64" i="30" s="1"/>
  <c r="S65" i="30"/>
  <c r="T65" i="30" s="1"/>
  <c r="Y65" i="30" s="1"/>
  <c r="S66" i="30"/>
  <c r="T66" i="30" s="1"/>
  <c r="Y66" i="30" s="1"/>
  <c r="S67" i="30"/>
  <c r="T67" i="30" s="1"/>
  <c r="S68" i="30"/>
  <c r="T68" i="30" s="1"/>
  <c r="Y68" i="30" s="1"/>
  <c r="S69" i="30"/>
  <c r="T69" i="30" s="1"/>
  <c r="Y69" i="30" s="1"/>
  <c r="S70" i="30"/>
  <c r="T70" i="30" s="1"/>
  <c r="Y70" i="30" s="1"/>
  <c r="I25" i="41"/>
  <c r="I26" i="41" s="1"/>
  <c r="S71" i="30"/>
  <c r="T71" i="30" s="1"/>
  <c r="Y71" i="30" s="1"/>
  <c r="S72" i="30"/>
  <c r="T72" i="30" s="1"/>
  <c r="Y72" i="30" s="1"/>
  <c r="S73" i="30"/>
  <c r="T73" i="30" s="1"/>
  <c r="Y73" i="30" s="1"/>
  <c r="S74" i="30"/>
  <c r="T74" i="30" s="1"/>
  <c r="Y74" i="30" s="1"/>
  <c r="S75" i="30"/>
  <c r="T75" i="30" s="1"/>
  <c r="Y75" i="30" s="1"/>
  <c r="S76" i="30"/>
  <c r="T76" i="30" s="1"/>
  <c r="Y76" i="30" s="1"/>
  <c r="S77" i="30"/>
  <c r="T77" i="30" s="1"/>
  <c r="Y77" i="30" s="1"/>
  <c r="S78" i="30"/>
  <c r="T78" i="30" s="1"/>
  <c r="Y78" i="30" s="1"/>
  <c r="S79" i="30"/>
  <c r="T79" i="30" s="1"/>
  <c r="Y79" i="30" s="1"/>
  <c r="S80" i="30"/>
  <c r="T80" i="30" s="1"/>
  <c r="Y80" i="30" s="1"/>
  <c r="S81" i="30"/>
  <c r="T81" i="30" s="1"/>
  <c r="Y81" i="30" s="1"/>
  <c r="S82" i="30"/>
  <c r="T82" i="30" s="1"/>
  <c r="S83" i="30"/>
  <c r="T83" i="30" s="1"/>
  <c r="Y83" i="30" s="1"/>
  <c r="S84" i="30"/>
  <c r="T84" i="30" s="1"/>
  <c r="Y84" i="30" s="1"/>
  <c r="S85" i="30"/>
  <c r="T85" i="30" s="1"/>
  <c r="Y85" i="30" s="1"/>
  <c r="J25" i="41"/>
  <c r="J26" i="41" s="1"/>
  <c r="S86" i="30"/>
  <c r="T86" i="30" s="1"/>
  <c r="Y86" i="30" s="1"/>
  <c r="S87" i="30"/>
  <c r="T87" i="30" s="1"/>
  <c r="Y87" i="30" s="1"/>
  <c r="S88" i="30"/>
  <c r="T88" i="30" s="1"/>
  <c r="Y88" i="30" s="1"/>
  <c r="S89" i="30"/>
  <c r="T89" i="30" s="1"/>
  <c r="Y89" i="30" s="1"/>
  <c r="S90" i="30"/>
  <c r="T90" i="30" s="1"/>
  <c r="Y90" i="30" s="1"/>
  <c r="S91" i="30"/>
  <c r="T91" i="30" s="1"/>
  <c r="Y91" i="30" s="1"/>
  <c r="S92" i="30"/>
  <c r="T92" i="30" s="1"/>
  <c r="Y92" i="30" s="1"/>
  <c r="S93" i="30"/>
  <c r="T93" i="30" s="1"/>
  <c r="Y93" i="30" s="1"/>
  <c r="S94" i="30"/>
  <c r="T94" i="30" s="1"/>
  <c r="Y94" i="30" s="1"/>
  <c r="S95" i="30"/>
  <c r="T95" i="30" s="1"/>
  <c r="Y95" i="30" s="1"/>
  <c r="S96" i="30"/>
  <c r="T96" i="30" s="1"/>
  <c r="Y96" i="30" s="1"/>
  <c r="S97" i="30"/>
  <c r="T97" i="30" s="1"/>
  <c r="S98" i="30"/>
  <c r="T98" i="30" s="1"/>
  <c r="Y98" i="30" s="1"/>
  <c r="S99" i="30"/>
  <c r="T99" i="30" s="1"/>
  <c r="Y99" i="30" s="1"/>
  <c r="S100" i="30"/>
  <c r="T100" i="30" s="1"/>
  <c r="Y100" i="30" s="1"/>
  <c r="K25" i="41"/>
  <c r="K26" i="41" s="1"/>
  <c r="S101" i="30"/>
  <c r="T101" i="30" s="1"/>
  <c r="Y101" i="30" s="1"/>
  <c r="S102" i="30"/>
  <c r="T102" i="30" s="1"/>
  <c r="Y102" i="30" s="1"/>
  <c r="S103" i="30"/>
  <c r="T103" i="30" s="1"/>
  <c r="Y103" i="30" s="1"/>
  <c r="S104" i="30"/>
  <c r="T104" i="30" s="1"/>
  <c r="Y104" i="30" s="1"/>
  <c r="S105" i="30"/>
  <c r="T105" i="30" s="1"/>
  <c r="Y105" i="30" s="1"/>
  <c r="S106" i="30"/>
  <c r="T106" i="30" s="1"/>
  <c r="Y106" i="30" s="1"/>
  <c r="S107" i="30"/>
  <c r="T107" i="30" s="1"/>
  <c r="Y107" i="30" s="1"/>
  <c r="S108" i="30"/>
  <c r="T108" i="30" s="1"/>
  <c r="Y108" i="30" s="1"/>
  <c r="S109" i="30"/>
  <c r="T109" i="30" s="1"/>
  <c r="Y109" i="30" s="1"/>
  <c r="S110" i="30"/>
  <c r="T110" i="30" s="1"/>
  <c r="Y110" i="30" s="1"/>
  <c r="S111" i="30"/>
  <c r="T111" i="30" s="1"/>
  <c r="Y111" i="30" s="1"/>
  <c r="S112" i="30"/>
  <c r="T112" i="30" s="1"/>
  <c r="S113" i="30"/>
  <c r="T113" i="30" s="1"/>
  <c r="Y113" i="30" s="1"/>
  <c r="S114" i="30"/>
  <c r="T114" i="30" s="1"/>
  <c r="Y114" i="30" s="1"/>
  <c r="S115" i="30"/>
  <c r="T115" i="30" s="1"/>
  <c r="Y115" i="30" s="1"/>
  <c r="L25" i="41"/>
  <c r="L26" i="41" s="1"/>
  <c r="S116" i="30"/>
  <c r="T116" i="30" s="1"/>
  <c r="Y116" i="30" s="1"/>
  <c r="S117" i="30"/>
  <c r="T117" i="30" s="1"/>
  <c r="Y117" i="30" s="1"/>
  <c r="S118" i="30"/>
  <c r="T118" i="30" s="1"/>
  <c r="Y118" i="30" s="1"/>
  <c r="S119" i="30"/>
  <c r="T119" i="30" s="1"/>
  <c r="Y119" i="30" s="1"/>
  <c r="S120" i="30"/>
  <c r="T120" i="30" s="1"/>
  <c r="Y120" i="30" s="1"/>
  <c r="S121" i="30"/>
  <c r="T121" i="30" s="1"/>
  <c r="Y121" i="30" s="1"/>
  <c r="S122" i="30"/>
  <c r="T122" i="30" s="1"/>
  <c r="Y122" i="30" s="1"/>
  <c r="S123" i="30"/>
  <c r="T123" i="30" s="1"/>
  <c r="Y123" i="30" s="1"/>
  <c r="S124" i="30"/>
  <c r="T124" i="30" s="1"/>
  <c r="Y124" i="30" s="1"/>
  <c r="S125" i="30"/>
  <c r="T125" i="30" s="1"/>
  <c r="Y125" i="30" s="1"/>
  <c r="S126" i="30"/>
  <c r="T126" i="30" s="1"/>
  <c r="Y126" i="30" s="1"/>
  <c r="S127" i="30"/>
  <c r="T127" i="30" s="1"/>
  <c r="S128" i="30"/>
  <c r="T128" i="30" s="1"/>
  <c r="Y128" i="30" s="1"/>
  <c r="S129" i="30"/>
  <c r="T129" i="30" s="1"/>
  <c r="Y129" i="30" s="1"/>
  <c r="S130" i="30"/>
  <c r="T130" i="30" s="1"/>
  <c r="Y130" i="30" s="1"/>
  <c r="M25" i="41"/>
  <c r="M26" i="41" s="1"/>
  <c r="S131" i="30"/>
  <c r="T131" i="30" s="1"/>
  <c r="Y131" i="30" s="1"/>
  <c r="S132" i="30"/>
  <c r="T132" i="30" s="1"/>
  <c r="Y132" i="30" s="1"/>
  <c r="S133" i="30"/>
  <c r="T133" i="30" s="1"/>
  <c r="Y133" i="30" s="1"/>
  <c r="S134" i="30"/>
  <c r="T134" i="30" s="1"/>
  <c r="Y134" i="30" s="1"/>
  <c r="S135" i="30"/>
  <c r="T135" i="30" s="1"/>
  <c r="Y135" i="30" s="1"/>
  <c r="S136" i="30"/>
  <c r="T136" i="30" s="1"/>
  <c r="Y136" i="30" s="1"/>
  <c r="S137" i="30"/>
  <c r="T137" i="30" s="1"/>
  <c r="Y137" i="30" s="1"/>
  <c r="S138" i="30"/>
  <c r="T138" i="30" s="1"/>
  <c r="Y138" i="30" s="1"/>
  <c r="S139" i="30"/>
  <c r="T139" i="30" s="1"/>
  <c r="Y139" i="30" s="1"/>
  <c r="S140" i="30"/>
  <c r="T140" i="30" s="1"/>
  <c r="Y140" i="30" s="1"/>
  <c r="S141" i="30"/>
  <c r="T141" i="30" s="1"/>
  <c r="Y141" i="30" s="1"/>
  <c r="S142" i="30"/>
  <c r="T142" i="30" s="1"/>
  <c r="S143" i="30"/>
  <c r="T143" i="30" s="1"/>
  <c r="Y143" i="30" s="1"/>
  <c r="S144" i="30"/>
  <c r="T144" i="30" s="1"/>
  <c r="Y144" i="30" s="1"/>
  <c r="S145" i="30"/>
  <c r="T145" i="30" s="1"/>
  <c r="Y145" i="30" s="1"/>
  <c r="N25" i="41"/>
  <c r="N26" i="41" s="1"/>
  <c r="S146" i="30"/>
  <c r="T146" i="30" s="1"/>
  <c r="Y146" i="30" s="1"/>
  <c r="S147" i="30"/>
  <c r="T147" i="30" s="1"/>
  <c r="Y147" i="30" s="1"/>
  <c r="S148" i="30"/>
  <c r="T148" i="30" s="1"/>
  <c r="Y148" i="30" s="1"/>
  <c r="S149" i="30"/>
  <c r="T149" i="30" s="1"/>
  <c r="Y149" i="30" s="1"/>
  <c r="S150" i="30"/>
  <c r="T150" i="30" s="1"/>
  <c r="Y150" i="30" s="1"/>
  <c r="S151" i="30"/>
  <c r="T151" i="30" s="1"/>
  <c r="Y151" i="30" s="1"/>
  <c r="S152" i="30"/>
  <c r="T152" i="30" s="1"/>
  <c r="Y152" i="30" s="1"/>
  <c r="S153" i="30"/>
  <c r="T153" i="30" s="1"/>
  <c r="Y153" i="30" s="1"/>
  <c r="S154" i="30"/>
  <c r="T154" i="30" s="1"/>
  <c r="Y154" i="30" s="1"/>
  <c r="S155" i="30"/>
  <c r="T155" i="30" s="1"/>
  <c r="Y155" i="30" s="1"/>
  <c r="S156" i="30"/>
  <c r="T156" i="30" s="1"/>
  <c r="Y156" i="30" s="1"/>
  <c r="S157" i="30"/>
  <c r="T157" i="30" s="1"/>
  <c r="S158" i="30"/>
  <c r="T158" i="30" s="1"/>
  <c r="Y158" i="30" s="1"/>
  <c r="S159" i="30"/>
  <c r="T159" i="30" s="1"/>
  <c r="Y159" i="30" s="1"/>
  <c r="S160" i="30"/>
  <c r="T160" i="30" s="1"/>
  <c r="Y160" i="30" s="1"/>
  <c r="O25" i="41"/>
  <c r="O26" i="41" s="1"/>
  <c r="S161" i="30"/>
  <c r="T161" i="30" s="1"/>
  <c r="Y161" i="30" s="1"/>
  <c r="S162" i="30"/>
  <c r="T162" i="30" s="1"/>
  <c r="Y162" i="30" s="1"/>
  <c r="S163" i="30"/>
  <c r="T163" i="30" s="1"/>
  <c r="Y163" i="30" s="1"/>
  <c r="S164" i="30"/>
  <c r="T164" i="30" s="1"/>
  <c r="Y164" i="30" s="1"/>
  <c r="S165" i="30"/>
  <c r="T165" i="30" s="1"/>
  <c r="Y165" i="30" s="1"/>
  <c r="S166" i="30"/>
  <c r="T166" i="30" s="1"/>
  <c r="Y166" i="30" s="1"/>
  <c r="S167" i="30"/>
  <c r="T167" i="30" s="1"/>
  <c r="Y167" i="30" s="1"/>
  <c r="S168" i="30"/>
  <c r="T168" i="30" s="1"/>
  <c r="Y168" i="30" s="1"/>
  <c r="S169" i="30"/>
  <c r="T169" i="30" s="1"/>
  <c r="Y169" i="30" s="1"/>
  <c r="S170" i="30"/>
  <c r="T170" i="30" s="1"/>
  <c r="Y170" i="30" s="1"/>
  <c r="S171" i="30"/>
  <c r="T171" i="30" s="1"/>
  <c r="Y171" i="30" s="1"/>
  <c r="S172" i="30"/>
  <c r="T172" i="30" s="1"/>
  <c r="S173" i="30"/>
  <c r="T173" i="30" s="1"/>
  <c r="Y173" i="30" s="1"/>
  <c r="S174" i="30"/>
  <c r="T174" i="30" s="1"/>
  <c r="Y174" i="30" s="1"/>
  <c r="S175" i="30"/>
  <c r="T175" i="30" s="1"/>
  <c r="Y175" i="30" s="1"/>
  <c r="P25" i="41"/>
  <c r="P26" i="41" s="1"/>
  <c r="S176" i="30"/>
  <c r="T176" i="30" s="1"/>
  <c r="Y176" i="30" s="1"/>
  <c r="S177" i="30"/>
  <c r="T177" i="30" s="1"/>
  <c r="Y177" i="30" s="1"/>
  <c r="S178" i="30"/>
  <c r="T178" i="30" s="1"/>
  <c r="Y178" i="30" s="1"/>
  <c r="S179" i="30"/>
  <c r="T179" i="30" s="1"/>
  <c r="Y179" i="30" s="1"/>
  <c r="S180" i="30"/>
  <c r="T180" i="30" s="1"/>
  <c r="Y180" i="30" s="1"/>
  <c r="S181" i="30"/>
  <c r="T181" i="30" s="1"/>
  <c r="Y181" i="30" s="1"/>
  <c r="S182" i="30"/>
  <c r="T182" i="30" s="1"/>
  <c r="Y182" i="30" s="1"/>
  <c r="S183" i="30"/>
  <c r="T183" i="30" s="1"/>
  <c r="Y183" i="30" s="1"/>
  <c r="S184" i="30"/>
  <c r="T184" i="30" s="1"/>
  <c r="Y184" i="30" s="1"/>
  <c r="S185" i="30"/>
  <c r="T185" i="30" s="1"/>
  <c r="Y185" i="30" s="1"/>
  <c r="S186" i="30"/>
  <c r="T186" i="30" s="1"/>
  <c r="Y186" i="30" s="1"/>
  <c r="AA9" i="30"/>
  <c r="Z9" i="30"/>
  <c r="Z23" i="30"/>
  <c r="AA23" i="30"/>
  <c r="AA33" i="30"/>
  <c r="Z33" i="30"/>
  <c r="AA41" i="30"/>
  <c r="Z41" i="30"/>
  <c r="G188" i="33"/>
  <c r="G13" i="46" s="1"/>
  <c r="Z44" i="30"/>
  <c r="AA44" i="30"/>
  <c r="AA46" i="30"/>
  <c r="Z46" i="30"/>
  <c r="Z53" i="30"/>
  <c r="AA53" i="30"/>
  <c r="Z58" i="30"/>
  <c r="AA58" i="30"/>
  <c r="Z154" i="30"/>
  <c r="AA154" i="30"/>
  <c r="AA169" i="30"/>
  <c r="Z169" i="30"/>
  <c r="AA186" i="30"/>
  <c r="Z186" i="30"/>
  <c r="G24" i="33"/>
  <c r="E13" i="46" s="1"/>
  <c r="Z11" i="30"/>
  <c r="AA11" i="30"/>
  <c r="AA12" i="30"/>
  <c r="Z12" i="30"/>
  <c r="AA14" i="30"/>
  <c r="Z14" i="30"/>
  <c r="AA15" i="30"/>
  <c r="Z15" i="30"/>
  <c r="AA16" i="30"/>
  <c r="Z16" i="30"/>
  <c r="AA17" i="30"/>
  <c r="Z17" i="30"/>
  <c r="AA20" i="30"/>
  <c r="Z20" i="30"/>
  <c r="Z22" i="30"/>
  <c r="AA22" i="30"/>
  <c r="G108" i="33"/>
  <c r="Z30" i="30"/>
  <c r="AA30" i="30"/>
  <c r="AA32" i="30"/>
  <c r="Z32" i="30"/>
  <c r="AA51" i="30"/>
  <c r="Z51" i="30"/>
  <c r="AA54" i="30"/>
  <c r="Z54" i="30"/>
  <c r="Z60" i="30"/>
  <c r="AA60" i="30"/>
  <c r="AA67" i="30"/>
  <c r="Z67" i="30"/>
  <c r="G357" i="33"/>
  <c r="Z68" i="30"/>
  <c r="AA68" i="30"/>
  <c r="Z74" i="30"/>
  <c r="G355" i="33"/>
  <c r="I13" i="46" s="1"/>
  <c r="AA74" i="30"/>
  <c r="AA75" i="30"/>
  <c r="Z75" i="30"/>
  <c r="Z76" i="30"/>
  <c r="AA76" i="30"/>
  <c r="AA77" i="30"/>
  <c r="Z77" i="30"/>
  <c r="AA78" i="30"/>
  <c r="Z78" i="30"/>
  <c r="AA100" i="30"/>
  <c r="Z100" i="30"/>
  <c r="G524" i="33"/>
  <c r="K13" i="46" s="1"/>
  <c r="Z104" i="30"/>
  <c r="AA104" i="30"/>
  <c r="Z130" i="30"/>
  <c r="AA130" i="30"/>
  <c r="G683" i="33"/>
  <c r="M13" i="46" s="1"/>
  <c r="AA132" i="30"/>
  <c r="Z132" i="30"/>
  <c r="Z140" i="30"/>
  <c r="AA140" i="30"/>
  <c r="AA151" i="30"/>
  <c r="Z151" i="30"/>
  <c r="AA167" i="30"/>
  <c r="Z167" i="30"/>
  <c r="Z178" i="30"/>
  <c r="AA178" i="30"/>
  <c r="Z26" i="30"/>
  <c r="AA26" i="30"/>
  <c r="AA42" i="30"/>
  <c r="Z42" i="30"/>
  <c r="Z50" i="30"/>
  <c r="AA50" i="30"/>
  <c r="Z61" i="30"/>
  <c r="AA61" i="30"/>
  <c r="Z62" i="30"/>
  <c r="AA62" i="30"/>
  <c r="Z72" i="30"/>
  <c r="AA72" i="30"/>
  <c r="AA90" i="30"/>
  <c r="Z90" i="30"/>
  <c r="Z91" i="30"/>
  <c r="AA91" i="30"/>
  <c r="AA92" i="30"/>
  <c r="Z92" i="30"/>
  <c r="Z97" i="30"/>
  <c r="AA97" i="30"/>
  <c r="G526" i="33"/>
  <c r="AA105" i="30"/>
  <c r="Z105" i="30"/>
  <c r="Z112" i="30"/>
  <c r="AA112" i="30"/>
  <c r="G605" i="33"/>
  <c r="AA115" i="30"/>
  <c r="Z115" i="30"/>
  <c r="G603" i="33"/>
  <c r="L13" i="46" s="1"/>
  <c r="AA116" i="30"/>
  <c r="Z116" i="30"/>
  <c r="AA119" i="30"/>
  <c r="Z119" i="30"/>
  <c r="AA121" i="30"/>
  <c r="Z121" i="30"/>
  <c r="AA124" i="30"/>
  <c r="Z124" i="30"/>
  <c r="Z134" i="30"/>
  <c r="AA134" i="30"/>
  <c r="G765" i="33"/>
  <c r="Z143" i="30"/>
  <c r="AA143" i="30"/>
  <c r="AA145" i="30"/>
  <c r="Z145" i="30"/>
  <c r="G763" i="33"/>
  <c r="N13" i="46" s="1"/>
  <c r="Z147" i="30"/>
  <c r="AA147" i="30"/>
  <c r="Z149" i="30"/>
  <c r="AA149" i="30"/>
  <c r="AA150" i="30"/>
  <c r="Z150" i="30"/>
  <c r="Z153" i="30"/>
  <c r="AA153" i="30"/>
  <c r="G831" i="33"/>
  <c r="O13" i="46" s="1"/>
  <c r="Z165" i="30"/>
  <c r="AA165" i="30"/>
  <c r="AA166" i="30"/>
  <c r="Z166" i="30"/>
  <c r="Z168" i="30"/>
  <c r="AA168" i="30"/>
  <c r="Z184" i="30"/>
  <c r="AA184" i="30"/>
  <c r="AA52" i="30"/>
  <c r="Z52" i="30"/>
  <c r="G273" i="33"/>
  <c r="Z57" i="30"/>
  <c r="AA57" i="30"/>
  <c r="AA63" i="30"/>
  <c r="Z63" i="30"/>
  <c r="AA66" i="30"/>
  <c r="Z66" i="30"/>
  <c r="AA73" i="30"/>
  <c r="Z73" i="30"/>
  <c r="AA88" i="30"/>
  <c r="Z88" i="30"/>
  <c r="Z99" i="30"/>
  <c r="AA99" i="30"/>
  <c r="Z102" i="30"/>
  <c r="AA102" i="30"/>
  <c r="Z108" i="30"/>
  <c r="AA108" i="30"/>
  <c r="Z109" i="30"/>
  <c r="AA109" i="30"/>
  <c r="Z110" i="30"/>
  <c r="AA110" i="30"/>
  <c r="Z117" i="30"/>
  <c r="AA117" i="30"/>
  <c r="Z122" i="30"/>
  <c r="AA122" i="30"/>
  <c r="Z125" i="30"/>
  <c r="AA125" i="30"/>
  <c r="AA126" i="30"/>
  <c r="Z126" i="30"/>
  <c r="Z131" i="30"/>
  <c r="AA131" i="30"/>
  <c r="Z146" i="30"/>
  <c r="AA146" i="30"/>
  <c r="Z156" i="30"/>
  <c r="AA156" i="30"/>
  <c r="AA135" i="30"/>
  <c r="Z135" i="30"/>
  <c r="AA136" i="30"/>
  <c r="Z136" i="30"/>
  <c r="Z138" i="30"/>
  <c r="AA138" i="30"/>
  <c r="Z25" i="30"/>
  <c r="AA25" i="30"/>
  <c r="G106" i="33"/>
  <c r="F13" i="46" s="1"/>
  <c r="Z27" i="30"/>
  <c r="AA27" i="30"/>
  <c r="Z28" i="30"/>
  <c r="AA28" i="30"/>
  <c r="G438" i="33"/>
  <c r="J13" i="46" s="1"/>
  <c r="AA86" i="30"/>
  <c r="Z86" i="30"/>
  <c r="G440" i="33"/>
  <c r="AA87" i="30"/>
  <c r="Z87" i="30"/>
  <c r="Z89" i="30"/>
  <c r="AA89" i="30"/>
  <c r="Z93" i="30"/>
  <c r="AA93" i="30"/>
  <c r="Z94" i="30"/>
  <c r="AA94" i="30"/>
  <c r="Z95" i="30"/>
  <c r="AA95" i="30"/>
  <c r="AA96" i="30"/>
  <c r="Z96" i="30"/>
  <c r="G685" i="33"/>
  <c r="Z129" i="30"/>
  <c r="AA129" i="30"/>
  <c r="G833" i="33"/>
  <c r="AA162" i="30"/>
  <c r="Z162" i="30"/>
  <c r="Z172" i="30"/>
  <c r="AA172" i="30"/>
  <c r="G912" i="33"/>
  <c r="AA175" i="30"/>
  <c r="Z175" i="30"/>
  <c r="G910" i="33"/>
  <c r="P13" i="46" s="1"/>
  <c r="AA181" i="30"/>
  <c r="Z181" i="30"/>
  <c r="L130" i="42"/>
  <c r="M130" i="42" s="1"/>
  <c r="Q42" i="41" a="1"/>
  <c r="Q38" i="41" a="1"/>
  <c r="E40" i="41"/>
  <c r="L32" i="42"/>
  <c r="M32" i="42" s="1"/>
  <c r="F43" i="41"/>
  <c r="F40" i="41"/>
  <c r="G40" i="41"/>
  <c r="G43" i="41"/>
  <c r="H40" i="41"/>
  <c r="H43" i="41"/>
  <c r="I40" i="41"/>
  <c r="I43" i="41"/>
  <c r="J40" i="41"/>
  <c r="J43" i="41"/>
  <c r="K40" i="41"/>
  <c r="K43" i="41"/>
  <c r="L40" i="41"/>
  <c r="L43" i="41"/>
  <c r="M40" i="41"/>
  <c r="M43" i="41"/>
  <c r="N40" i="41"/>
  <c r="N43" i="41"/>
  <c r="F86" i="41" a="1"/>
  <c r="O43" i="41"/>
  <c r="O40" i="41"/>
  <c r="P43" i="41"/>
  <c r="P40" i="41"/>
  <c r="Q41" i="41" a="1"/>
  <c r="Q39" i="41" a="1"/>
  <c r="AA20" i="31" a="1"/>
  <c r="AA21" i="31" a="1"/>
  <c r="AB21" i="31" s="1"/>
  <c r="AD21" i="31" s="1"/>
  <c r="AE21" i="31" s="1"/>
  <c r="AA22" i="31" a="1"/>
  <c r="AB22" i="31" s="1"/>
  <c r="AD22" i="31" s="1"/>
  <c r="AE22" i="31" s="1"/>
  <c r="AA26" i="31" a="1"/>
  <c r="AA27" i="31" a="1"/>
  <c r="AB27" i="31" s="1"/>
  <c r="AD27" i="31" s="1"/>
  <c r="AE27" i="31" s="1"/>
  <c r="P12" i="46" l="1"/>
  <c r="E18" i="47"/>
  <c r="O12" i="46"/>
  <c r="E17" i="47"/>
  <c r="L172" i="42"/>
  <c r="M172" i="42" s="1"/>
  <c r="B38" i="43" a="1"/>
  <c r="Q20" i="41" a="1"/>
  <c r="H21" i="41"/>
  <c r="Q21" i="41" s="1" a="1"/>
  <c r="R21" i="41" s="1"/>
  <c r="G12" i="46"/>
  <c r="E9" i="47"/>
  <c r="Q11" i="46" a="1"/>
  <c r="Q12" i="46" s="1"/>
  <c r="E7" i="47"/>
  <c r="E12" i="46"/>
  <c r="F12" i="46"/>
  <c r="E8" i="47"/>
  <c r="N12" i="46"/>
  <c r="E16" i="47"/>
  <c r="H12" i="46"/>
  <c r="E10" i="47"/>
  <c r="E14" i="47"/>
  <c r="L12" i="46"/>
  <c r="E11" i="47"/>
  <c r="I12" i="46"/>
  <c r="M12" i="46"/>
  <c r="E15" i="47"/>
  <c r="K12" i="46"/>
  <c r="E13" i="47"/>
  <c r="J12" i="46"/>
  <c r="E12" i="47"/>
  <c r="E15" i="41"/>
  <c r="Q15" i="41" s="1" a="1"/>
  <c r="R15" i="41" s="1"/>
  <c r="Q14" i="41" a="1"/>
  <c r="N30" i="31"/>
  <c r="H117" i="40"/>
  <c r="N7" i="26"/>
  <c r="H14" i="46"/>
  <c r="AB24" i="31"/>
  <c r="I116" i="40"/>
  <c r="AB24" i="32"/>
  <c r="C74" i="40" a="1"/>
  <c r="AC16" i="32"/>
  <c r="AC24" i="32" s="1"/>
  <c r="I114" i="40"/>
  <c r="AB18" i="31"/>
  <c r="J112" i="40"/>
  <c r="AD16" i="31"/>
  <c r="AD23" i="31"/>
  <c r="I113" i="40"/>
  <c r="AB17" i="31"/>
  <c r="I8" i="35" a="1"/>
  <c r="M8" i="35" s="1" a="1"/>
  <c r="L8" i="23"/>
  <c r="L9" i="23" s="1"/>
  <c r="E14" i="46"/>
  <c r="G14" i="46"/>
  <c r="K14" i="46"/>
  <c r="N14" i="46"/>
  <c r="F14" i="46"/>
  <c r="I14" i="46"/>
  <c r="L14" i="46"/>
  <c r="J14" i="46"/>
  <c r="M14" i="46"/>
  <c r="O14" i="46"/>
  <c r="P14" i="46"/>
  <c r="Y8" i="30"/>
  <c r="N8" i="26"/>
  <c r="Y9" i="30"/>
  <c r="N9" i="26"/>
  <c r="Y10" i="30"/>
  <c r="N10" i="26"/>
  <c r="Y11" i="30"/>
  <c r="N11" i="26"/>
  <c r="Y12" i="30"/>
  <c r="N12" i="26"/>
  <c r="Y13" i="30"/>
  <c r="N13" i="26"/>
  <c r="Y14" i="30"/>
  <c r="N14" i="26"/>
  <c r="Y15" i="30"/>
  <c r="N15" i="26"/>
  <c r="Y16" i="30"/>
  <c r="N16" i="26"/>
  <c r="Y17" i="30"/>
  <c r="N17" i="26"/>
  <c r="Y18" i="30"/>
  <c r="N18" i="26"/>
  <c r="Y19" i="30"/>
  <c r="N19" i="26"/>
  <c r="Y20" i="30"/>
  <c r="N20" i="26"/>
  <c r="Y21" i="30"/>
  <c r="N21" i="26"/>
  <c r="AB20" i="31"/>
  <c r="AA30" i="31"/>
  <c r="I115" i="40"/>
  <c r="AB26" i="31"/>
  <c r="I123" i="40"/>
  <c r="I124" i="40" s="1"/>
  <c r="F84" i="41" a="1"/>
  <c r="N18" i="41"/>
  <c r="C11" i="43"/>
  <c r="F7" i="34"/>
  <c r="L23" i="42"/>
  <c r="M23" i="42" s="1"/>
  <c r="E18" i="41"/>
  <c r="Q16" i="41" a="1"/>
  <c r="Q12" i="41" a="1"/>
  <c r="R12" i="41" s="1"/>
  <c r="Q26" i="41" a="1"/>
  <c r="Q52" i="41" a="1"/>
  <c r="Y7" i="30"/>
  <c r="H94" i="33"/>
  <c r="L30" i="42" s="1"/>
  <c r="M30" i="42" s="1"/>
  <c r="G93" i="33"/>
  <c r="E30" i="41" s="1"/>
  <c r="H27" i="33"/>
  <c r="E28" i="41" s="1"/>
  <c r="E27" i="41"/>
  <c r="Q13" i="46" a="1"/>
  <c r="Y22" i="30"/>
  <c r="H176" i="33"/>
  <c r="L46" i="42" s="1"/>
  <c r="M46" i="42" s="1"/>
  <c r="G175" i="33"/>
  <c r="F30" i="41" s="1"/>
  <c r="F27" i="41"/>
  <c r="H109" i="33"/>
  <c r="F28" i="41" s="1"/>
  <c r="Y37" i="30"/>
  <c r="H259" i="33"/>
  <c r="L62" i="42" s="1"/>
  <c r="M62" i="42" s="1"/>
  <c r="G258" i="33"/>
  <c r="G30" i="41" s="1"/>
  <c r="H191" i="33"/>
  <c r="G28" i="41" s="1"/>
  <c r="G27" i="41"/>
  <c r="Y52" i="30"/>
  <c r="H343" i="33"/>
  <c r="L79" i="42" s="1"/>
  <c r="M79" i="42" s="1"/>
  <c r="H274" i="33"/>
  <c r="H28" i="41" s="1"/>
  <c r="H27" i="41"/>
  <c r="G342" i="33"/>
  <c r="H30" i="41" s="1"/>
  <c r="Y67" i="30"/>
  <c r="H426" i="33"/>
  <c r="L96" i="42" s="1"/>
  <c r="M96" i="42" s="1"/>
  <c r="I27" i="41"/>
  <c r="H358" i="33"/>
  <c r="I28" i="41" s="1"/>
  <c r="G425" i="33"/>
  <c r="I30" i="41" s="1"/>
  <c r="Y82" i="30"/>
  <c r="H512" i="33"/>
  <c r="L113" i="42" s="1"/>
  <c r="M113" i="42" s="1"/>
  <c r="H441" i="33"/>
  <c r="J28" i="41" s="1"/>
  <c r="J27" i="41"/>
  <c r="G511" i="33"/>
  <c r="J30" i="41" s="1"/>
  <c r="Y97" i="30"/>
  <c r="H527" i="33"/>
  <c r="K28" i="41" s="1"/>
  <c r="K27" i="41"/>
  <c r="H591" i="33"/>
  <c r="L128" i="42" s="1"/>
  <c r="M128" i="42" s="1"/>
  <c r="G590" i="33"/>
  <c r="K30" i="41" s="1"/>
  <c r="Y112" i="30"/>
  <c r="H606" i="33"/>
  <c r="L28" i="41" s="1"/>
  <c r="L27" i="41"/>
  <c r="H671" i="33"/>
  <c r="L143" i="42" s="1"/>
  <c r="M143" i="42" s="1"/>
  <c r="G670" i="33"/>
  <c r="L30" i="41" s="1"/>
  <c r="Y127" i="30"/>
  <c r="H686" i="33"/>
  <c r="M28" i="41" s="1"/>
  <c r="G750" i="33"/>
  <c r="M30" i="41" s="1"/>
  <c r="M27" i="41"/>
  <c r="H751" i="33"/>
  <c r="L158" i="42" s="1"/>
  <c r="M158" i="42" s="1"/>
  <c r="Y142" i="30"/>
  <c r="G818" i="33"/>
  <c r="N30" i="41" s="1"/>
  <c r="H819" i="33"/>
  <c r="L173" i="42" s="1"/>
  <c r="M173" i="42" s="1"/>
  <c r="N27" i="41"/>
  <c r="H766" i="33"/>
  <c r="N28" i="41" s="1"/>
  <c r="Y157" i="30"/>
  <c r="G897" i="33"/>
  <c r="O30" i="41" s="1"/>
  <c r="O27" i="41"/>
  <c r="H898" i="33"/>
  <c r="L188" i="42" s="1"/>
  <c r="M188" i="42" s="1"/>
  <c r="H834" i="33"/>
  <c r="O28" i="41" s="1"/>
  <c r="Y172" i="30"/>
  <c r="P27" i="41"/>
  <c r="H913" i="33"/>
  <c r="P28" i="41" s="1"/>
  <c r="H96" i="33"/>
  <c r="L31" i="42" s="1"/>
  <c r="M31" i="42" s="1"/>
  <c r="H28" i="33"/>
  <c r="G95" i="33"/>
  <c r="H110" i="33"/>
  <c r="H178" i="33"/>
  <c r="L47" i="42" s="1"/>
  <c r="M47" i="42" s="1"/>
  <c r="G177" i="33"/>
  <c r="H359" i="33"/>
  <c r="G427" i="33"/>
  <c r="H428" i="33"/>
  <c r="L97" i="42" s="1"/>
  <c r="M97" i="42" s="1"/>
  <c r="H528" i="33"/>
  <c r="H593" i="33"/>
  <c r="L129" i="42" s="1"/>
  <c r="M129" i="42" s="1"/>
  <c r="G592" i="33"/>
  <c r="G672" i="33"/>
  <c r="H607" i="33"/>
  <c r="H673" i="33"/>
  <c r="L144" i="42" s="1"/>
  <c r="M144" i="42" s="1"/>
  <c r="H767" i="33"/>
  <c r="F89" i="41"/>
  <c r="H821" i="33"/>
  <c r="L174" i="42" s="1"/>
  <c r="M174" i="42" s="1"/>
  <c r="G820" i="33"/>
  <c r="G344" i="33"/>
  <c r="H345" i="33"/>
  <c r="L80" i="42" s="1"/>
  <c r="M80" i="42" s="1"/>
  <c r="H275" i="33"/>
  <c r="Q25" i="41" a="1"/>
  <c r="H914" i="33"/>
  <c r="G260" i="33"/>
  <c r="H261" i="33"/>
  <c r="L63" i="42" s="1"/>
  <c r="M63" i="42" s="1"/>
  <c r="H192" i="33"/>
  <c r="H900" i="33"/>
  <c r="L189" i="42" s="1"/>
  <c r="M189" i="42" s="1"/>
  <c r="G899" i="33"/>
  <c r="H835" i="33"/>
  <c r="G513" i="33"/>
  <c r="H514" i="33"/>
  <c r="L114" i="42" s="1"/>
  <c r="M114" i="42" s="1"/>
  <c r="H442" i="33"/>
  <c r="H687" i="33"/>
  <c r="G752" i="33"/>
  <c r="H753" i="33"/>
  <c r="L159" i="42" s="1"/>
  <c r="M159" i="42" s="1"/>
  <c r="Q43" i="41" a="1"/>
  <c r="R43" i="41" s="1"/>
  <c r="Q40" i="41" a="1"/>
  <c r="R40" i="41" s="1"/>
  <c r="O15" i="46" l="1"/>
  <c r="O19" i="46" s="1"/>
  <c r="I17" i="47"/>
  <c r="P15" i="46"/>
  <c r="P19" i="46" s="1"/>
  <c r="I18" i="47"/>
  <c r="AD24" i="31"/>
  <c r="J116" i="40"/>
  <c r="AB30" i="31"/>
  <c r="I10" i="47"/>
  <c r="H15" i="46"/>
  <c r="H19" i="46" s="1"/>
  <c r="E15" i="46"/>
  <c r="E19" i="46" s="1"/>
  <c r="I7" i="47"/>
  <c r="K15" i="46"/>
  <c r="K19" i="46" s="1"/>
  <c r="I13" i="47"/>
  <c r="N15" i="46"/>
  <c r="N19" i="46" s="1"/>
  <c r="I16" i="47"/>
  <c r="I15" i="46"/>
  <c r="I19" i="46" s="1"/>
  <c r="I11" i="47"/>
  <c r="J15" i="46"/>
  <c r="J19" i="46" s="1"/>
  <c r="I12" i="47"/>
  <c r="J114" i="40"/>
  <c r="AD18" i="31"/>
  <c r="K112" i="40"/>
  <c r="AE23" i="31"/>
  <c r="J113" i="40"/>
  <c r="AD17" i="31"/>
  <c r="E12" i="38"/>
  <c r="E16" i="38" s="1"/>
  <c r="F15" i="37"/>
  <c r="E162" i="40"/>
  <c r="E39" i="39"/>
  <c r="F12" i="38"/>
  <c r="F17" i="37"/>
  <c r="M6" i="35"/>
  <c r="F16" i="37"/>
  <c r="D12" i="38"/>
  <c r="F31" i="37"/>
  <c r="F24" i="37"/>
  <c r="F19" i="37"/>
  <c r="F47" i="37"/>
  <c r="F46" i="37"/>
  <c r="F45" i="37"/>
  <c r="F40" i="37"/>
  <c r="F39" i="37"/>
  <c r="F35" i="37"/>
  <c r="F34" i="37"/>
  <c r="F33" i="37"/>
  <c r="F32" i="37"/>
  <c r="F30" i="37"/>
  <c r="F23" i="37"/>
  <c r="F18" i="37"/>
  <c r="F14" i="37"/>
  <c r="L10" i="23"/>
  <c r="D7" i="48"/>
  <c r="E7" i="48" s="1"/>
  <c r="J115" i="40"/>
  <c r="AD20" i="31"/>
  <c r="J123" i="40"/>
  <c r="J124" i="40" s="1"/>
  <c r="AD26" i="31"/>
  <c r="I117" i="40"/>
  <c r="C119" i="40" s="1"/>
  <c r="Q18" i="41" a="1"/>
  <c r="G15" i="46"/>
  <c r="G19" i="46" s="1"/>
  <c r="I9" i="47"/>
  <c r="F15" i="46"/>
  <c r="F19" i="46" s="1"/>
  <c r="I8" i="47"/>
  <c r="Q14" i="46" a="1"/>
  <c r="L15" i="46"/>
  <c r="I14" i="47"/>
  <c r="M15" i="46"/>
  <c r="M19" i="46" s="1"/>
  <c r="I15" i="47"/>
  <c r="D17" i="48"/>
  <c r="E17" i="48" s="1"/>
  <c r="R26" i="41"/>
  <c r="E99" i="40"/>
  <c r="Q63" i="41"/>
  <c r="H29" i="33"/>
  <c r="L204" i="42" s="1"/>
  <c r="M204" i="42" s="1"/>
  <c r="H22" i="33"/>
  <c r="G21" i="33"/>
  <c r="E29" i="41"/>
  <c r="Q27" i="41" a="1"/>
  <c r="Q31" i="41" s="1"/>
  <c r="E31" i="41"/>
  <c r="G103" i="33"/>
  <c r="L208" i="42" s="1"/>
  <c r="M208" i="42" s="1"/>
  <c r="H104" i="33"/>
  <c r="L35" i="42" s="1"/>
  <c r="M35" i="42" s="1"/>
  <c r="H111" i="33"/>
  <c r="L209" i="42" s="1"/>
  <c r="M209" i="42" s="1"/>
  <c r="F29" i="41"/>
  <c r="F31" i="41"/>
  <c r="H186" i="33"/>
  <c r="L51" i="42" s="1"/>
  <c r="M51" i="42" s="1"/>
  <c r="G185" i="33"/>
  <c r="L213" i="42" s="1"/>
  <c r="M213" i="42" s="1"/>
  <c r="H193" i="33"/>
  <c r="L214" i="42" s="1"/>
  <c r="M214" i="42" s="1"/>
  <c r="G29" i="41"/>
  <c r="G31" i="41"/>
  <c r="G268" i="33"/>
  <c r="L218" i="42" s="1"/>
  <c r="M218" i="42" s="1"/>
  <c r="H269" i="33"/>
  <c r="L67" i="42" s="1"/>
  <c r="M67" i="42" s="1"/>
  <c r="H276" i="33"/>
  <c r="L219" i="42" s="1"/>
  <c r="M219" i="42" s="1"/>
  <c r="H29" i="41"/>
  <c r="H31" i="41"/>
  <c r="H353" i="33"/>
  <c r="L84" i="42" s="1"/>
  <c r="M84" i="42" s="1"/>
  <c r="G352" i="33"/>
  <c r="L223" i="42" s="1"/>
  <c r="M223" i="42" s="1"/>
  <c r="H360" i="33"/>
  <c r="L224" i="42" s="1"/>
  <c r="M224" i="42" s="1"/>
  <c r="I29" i="41"/>
  <c r="I31" i="41"/>
  <c r="H436" i="33"/>
  <c r="L101" i="42" s="1"/>
  <c r="M101" i="42" s="1"/>
  <c r="H443" i="33"/>
  <c r="L229" i="42" s="1"/>
  <c r="M229" i="42" s="1"/>
  <c r="G435" i="33"/>
  <c r="L228" i="42" s="1"/>
  <c r="M228" i="42" s="1"/>
  <c r="J29" i="41"/>
  <c r="J31" i="41"/>
  <c r="H522" i="33"/>
  <c r="L118" i="42" s="1"/>
  <c r="M118" i="42" s="1"/>
  <c r="H529" i="33"/>
  <c r="L234" i="42" s="1"/>
  <c r="M234" i="42" s="1"/>
  <c r="G521" i="33"/>
  <c r="L233" i="42" s="1"/>
  <c r="M233" i="42" s="1"/>
  <c r="K29" i="41"/>
  <c r="K31" i="41"/>
  <c r="G600" i="33"/>
  <c r="L238" i="42" s="1"/>
  <c r="M238" i="42" s="1"/>
  <c r="H601" i="33"/>
  <c r="L133" i="42" s="1"/>
  <c r="M133" i="42" s="1"/>
  <c r="H608" i="33"/>
  <c r="L239" i="42" s="1"/>
  <c r="M239" i="42" s="1"/>
  <c r="L29" i="41"/>
  <c r="L31" i="41"/>
  <c r="G680" i="33"/>
  <c r="L243" i="42" s="1"/>
  <c r="M243" i="42" s="1"/>
  <c r="H681" i="33"/>
  <c r="L148" i="42" s="1"/>
  <c r="M148" i="42" s="1"/>
  <c r="H688" i="33"/>
  <c r="L244" i="42" s="1"/>
  <c r="M244" i="42" s="1"/>
  <c r="M29" i="41"/>
  <c r="M31" i="41"/>
  <c r="G760" i="33"/>
  <c r="L248" i="42" s="1"/>
  <c r="M248" i="42" s="1"/>
  <c r="H761" i="33"/>
  <c r="L163" i="42" s="1"/>
  <c r="M163" i="42" s="1"/>
  <c r="H768" i="33"/>
  <c r="L249" i="42" s="1"/>
  <c r="M249" i="42" s="1"/>
  <c r="N31" i="41"/>
  <c r="N29" i="41"/>
  <c r="F85" i="41" a="1"/>
  <c r="H829" i="33"/>
  <c r="L178" i="42" s="1"/>
  <c r="M178" i="42" s="1"/>
  <c r="G828" i="33"/>
  <c r="L253" i="42" s="1"/>
  <c r="M253" i="42" s="1"/>
  <c r="H836" i="33"/>
  <c r="L254" i="42" s="1"/>
  <c r="M254" i="42" s="1"/>
  <c r="O29" i="41"/>
  <c r="O31" i="41"/>
  <c r="G907" i="33"/>
  <c r="L258" i="42" s="1"/>
  <c r="M258" i="42" s="1"/>
  <c r="H915" i="33"/>
  <c r="L259" i="42" s="1"/>
  <c r="M259" i="42" s="1"/>
  <c r="H908" i="33"/>
  <c r="L193" i="42" s="1"/>
  <c r="M193" i="42" s="1"/>
  <c r="P31" i="41"/>
  <c r="P29" i="41"/>
  <c r="Q30" i="41" a="1"/>
  <c r="Q28" i="41" a="1"/>
  <c r="AE24" i="31" l="1"/>
  <c r="K116" i="40"/>
  <c r="F48" i="37"/>
  <c r="F41" i="37"/>
  <c r="AD30" i="31"/>
  <c r="K114" i="40"/>
  <c r="AE18" i="31"/>
  <c r="K113" i="40"/>
  <c r="AE17" i="31"/>
  <c r="D16" i="38"/>
  <c r="G12" i="38"/>
  <c r="K115" i="40"/>
  <c r="AE20" i="31"/>
  <c r="K123" i="40"/>
  <c r="K124" i="40" s="1"/>
  <c r="AE26" i="31"/>
  <c r="J117" i="40"/>
  <c r="F36" i="37"/>
  <c r="F25" i="37"/>
  <c r="F20" i="37"/>
  <c r="L19" i="46"/>
  <c r="Q19" i="46" s="1" a="1"/>
  <c r="Q15" i="46" a="1"/>
  <c r="Q64" i="41"/>
  <c r="E102" i="40"/>
  <c r="B14" i="34" a="1"/>
  <c r="N12" i="43"/>
  <c r="N9" i="43"/>
  <c r="C16" i="43"/>
  <c r="F8" i="34"/>
  <c r="F10" i="34" s="1"/>
  <c r="N17" i="43"/>
  <c r="N16" i="43"/>
  <c r="N15" i="43"/>
  <c r="N18" i="43"/>
  <c r="N19" i="43"/>
  <c r="N11" i="43"/>
  <c r="N8" i="43"/>
  <c r="N10" i="43"/>
  <c r="N14" i="43"/>
  <c r="N13" i="43"/>
  <c r="C12" i="43"/>
  <c r="C13" i="43" s="1"/>
  <c r="L19" i="42"/>
  <c r="M19" i="42" s="1"/>
  <c r="J27" i="46"/>
  <c r="G12" i="47" s="1"/>
  <c r="G27" i="46"/>
  <c r="G9" i="47" s="1"/>
  <c r="M27" i="46"/>
  <c r="G15" i="47" s="1"/>
  <c r="F27" i="46"/>
  <c r="G8" i="47" s="1"/>
  <c r="D8" i="48"/>
  <c r="E8" i="48" s="1"/>
  <c r="P27" i="46"/>
  <c r="G18" i="47" s="1"/>
  <c r="N27" i="46"/>
  <c r="I27" i="46"/>
  <c r="G11" i="47" s="1"/>
  <c r="O27" i="46"/>
  <c r="G17" i="47" s="1"/>
  <c r="H27" i="46"/>
  <c r="G10" i="47" s="1"/>
  <c r="K27" i="46"/>
  <c r="G13" i="47" s="1"/>
  <c r="L27" i="46"/>
  <c r="G14" i="47" s="1"/>
  <c r="E27" i="46"/>
  <c r="G7" i="47" s="1"/>
  <c r="Q10" i="43"/>
  <c r="Q11" i="43"/>
  <c r="Q12" i="43"/>
  <c r="Q13" i="43"/>
  <c r="Q14" i="43"/>
  <c r="Q15" i="43"/>
  <c r="Q16" i="43"/>
  <c r="Q17" i="43"/>
  <c r="Q19" i="43"/>
  <c r="Q9" i="43"/>
  <c r="Q18" i="43"/>
  <c r="L203" i="42"/>
  <c r="M203" i="42" s="1"/>
  <c r="Q8" i="43"/>
  <c r="Q29" i="41" a="1"/>
  <c r="R29" i="41" s="1"/>
  <c r="O9" i="43" l="1"/>
  <c r="E103" i="40"/>
  <c r="Q65" i="41"/>
  <c r="F26" i="37"/>
  <c r="F42" i="37"/>
  <c r="F49" i="37" s="1"/>
  <c r="F51" i="37" s="1"/>
  <c r="D12" i="48" s="1"/>
  <c r="E12" i="48" s="1"/>
  <c r="R11" i="43"/>
  <c r="AE30" i="31"/>
  <c r="K117" i="40"/>
  <c r="O16" i="43"/>
  <c r="O8" i="43"/>
  <c r="O14" i="43"/>
  <c r="O12" i="43"/>
  <c r="H14" i="34" a="1"/>
  <c r="G14" i="34" a="1"/>
  <c r="I9" i="42"/>
  <c r="C18" i="43"/>
  <c r="D26" i="48"/>
  <c r="E26" i="48" s="1"/>
  <c r="N17" i="20" s="1"/>
  <c r="C17" i="43"/>
  <c r="B27" i="43" a="1"/>
  <c r="G16" i="47"/>
  <c r="Q27" i="46" a="1"/>
  <c r="O10" i="43"/>
  <c r="O15" i="43"/>
  <c r="O11" i="43"/>
  <c r="O17" i="43"/>
  <c r="O13" i="43"/>
  <c r="O18" i="43"/>
  <c r="O19" i="43"/>
  <c r="R16" i="43"/>
  <c r="R19" i="43"/>
  <c r="R14" i="43"/>
  <c r="R8" i="43"/>
  <c r="R12" i="43"/>
  <c r="R15" i="43"/>
  <c r="R17" i="43"/>
  <c r="D22" i="48" s="1" a="1"/>
  <c r="E22" i="48" s="1"/>
  <c r="R10" i="43"/>
  <c r="R13" i="43"/>
  <c r="R9" i="43"/>
  <c r="R18" i="43"/>
  <c r="S9" i="43" l="1"/>
  <c r="Q66" i="41"/>
  <c r="Q68" i="41" s="1"/>
  <c r="Q67" i="41"/>
  <c r="E104" i="40"/>
  <c r="S11" i="43"/>
  <c r="C19" i="43"/>
  <c r="C21" i="43" s="1"/>
  <c r="C22" i="43" s="1"/>
  <c r="S14" i="43"/>
  <c r="S13" i="43"/>
  <c r="S16" i="43"/>
  <c r="S8" i="43"/>
  <c r="S12" i="43"/>
  <c r="S17" i="43"/>
  <c r="D21" i="48" a="1"/>
  <c r="E21" i="48" s="1"/>
  <c r="J17" i="20" s="1"/>
  <c r="S10" i="43"/>
  <c r="S15" i="43"/>
  <c r="S18" i="43"/>
  <c r="S19" i="43"/>
  <c r="Q69" i="41" l="1"/>
  <c r="F77" i="41" s="1"/>
  <c r="K8" i="35" s="1" a="1"/>
  <c r="E105" i="40" l="1"/>
  <c r="E76" i="41"/>
  <c r="J8" i="35" s="1" a="1"/>
  <c r="F88" i="41"/>
  <c r="Q72" i="41"/>
  <c r="Q71" i="41"/>
  <c r="E107" i="40" s="1"/>
  <c r="K6" i="35"/>
  <c r="E21" i="39" l="1"/>
  <c r="E22" i="39"/>
  <c r="E34" i="39"/>
  <c r="E16" i="39"/>
  <c r="E19" i="39"/>
  <c r="E23" i="39"/>
  <c r="E15" i="39"/>
  <c r="E29" i="39"/>
  <c r="E28" i="39"/>
  <c r="E33" i="39"/>
  <c r="E18" i="39"/>
  <c r="E24" i="39"/>
  <c r="E20" i="39"/>
  <c r="J6" i="35"/>
  <c r="L8" i="35" a="1"/>
  <c r="E35" i="39"/>
  <c r="E30" i="39" l="1"/>
  <c r="E36" i="39"/>
  <c r="F11" i="34" a="1"/>
  <c r="E86" i="41" a="1"/>
  <c r="G86" i="41" s="1"/>
  <c r="H86" i="41" s="1"/>
  <c r="E85" i="41" a="1"/>
  <c r="G85" i="41" s="1"/>
  <c r="H85" i="41" s="1"/>
  <c r="E89" i="41" a="1"/>
  <c r="G89" i="41" s="1"/>
  <c r="H89" i="41" s="1"/>
  <c r="N8" i="35" a="1"/>
  <c r="E88" i="41" a="1"/>
  <c r="G88" i="41" s="1"/>
  <c r="H88" i="41" s="1"/>
  <c r="E84" i="41" a="1"/>
  <c r="G84" i="41" s="1"/>
  <c r="H84" i="41" s="1"/>
  <c r="E82" i="41" a="1"/>
  <c r="G82" i="41" s="1"/>
  <c r="H82" i="41" s="1"/>
  <c r="E83" i="41" a="1"/>
  <c r="G83" i="41" s="1"/>
  <c r="H83" i="41" s="1"/>
  <c r="E87" i="41" a="1"/>
  <c r="G87" i="41" s="1"/>
  <c r="H87" i="41" s="1"/>
  <c r="D23" i="48" l="1"/>
  <c r="E23" i="48" s="1"/>
  <c r="E91" i="41"/>
  <c r="Y11" i="47" a="1"/>
  <c r="C155" i="40" a="1"/>
  <c r="C146" i="40" a="1"/>
  <c r="E17" i="37"/>
  <c r="E45" i="37"/>
  <c r="E167" i="40" s="1"/>
  <c r="C191" i="40" a="1"/>
  <c r="E197" i="40" s="1"/>
  <c r="E16" i="37"/>
  <c r="C38" i="40" a="1"/>
  <c r="E35" i="37"/>
  <c r="E46" i="37"/>
  <c r="E31" i="37"/>
  <c r="E24" i="37"/>
  <c r="C129" i="40" a="1"/>
  <c r="E12" i="36"/>
  <c r="Y8" i="47" a="1"/>
  <c r="C186" i="40" a="1"/>
  <c r="E187" i="40" s="1"/>
  <c r="C49" i="40" a="1"/>
  <c r="E32" i="37"/>
  <c r="C202" i="40" a="1"/>
  <c r="E217" i="40" s="1"/>
  <c r="E33" i="37"/>
  <c r="C86" i="40" a="1"/>
  <c r="E30" i="37"/>
  <c r="E21" i="36"/>
  <c r="E17" i="36"/>
  <c r="E40" i="37"/>
  <c r="C67" i="40" a="1"/>
  <c r="E34" i="37"/>
  <c r="E19" i="37"/>
  <c r="E18" i="37"/>
  <c r="D20" i="48" s="1"/>
  <c r="E20" i="48" s="1"/>
  <c r="E15" i="37"/>
  <c r="E14" i="37"/>
  <c r="E24" i="36"/>
  <c r="E22" i="36"/>
  <c r="E20" i="36"/>
  <c r="Y10" i="47" a="1"/>
  <c r="Y7" i="47" a="1"/>
  <c r="E16" i="36"/>
  <c r="C90" i="40" a="1"/>
  <c r="E39" i="37"/>
  <c r="E23" i="37"/>
  <c r="N6" i="35"/>
  <c r="F15" i="38"/>
  <c r="E13" i="36"/>
  <c r="Y9" i="47" a="1"/>
  <c r="C222" i="40" a="1"/>
  <c r="E228" i="40" s="1"/>
  <c r="E163" i="40"/>
  <c r="E164" i="40" s="1"/>
  <c r="P8" i="35" a="1"/>
  <c r="P6" i="35" s="1"/>
  <c r="O8" i="35" a="1"/>
  <c r="O6" i="35" s="1"/>
  <c r="C60" i="40" a="1"/>
  <c r="F17" i="20" l="1"/>
  <c r="C108" i="40"/>
  <c r="E198" i="40"/>
  <c r="Y12" i="47"/>
  <c r="E41" i="37"/>
  <c r="F16" i="36"/>
  <c r="E218" i="40"/>
  <c r="D25" i="45"/>
  <c r="G25" i="45" s="1"/>
  <c r="E20" i="37"/>
  <c r="F24" i="36"/>
  <c r="F22" i="36"/>
  <c r="F20" i="36"/>
  <c r="F13" i="36"/>
  <c r="F158" i="40"/>
  <c r="E158" i="40"/>
  <c r="E125" i="40"/>
  <c r="D19" i="48"/>
  <c r="E19" i="48" s="1"/>
  <c r="N22" i="20"/>
  <c r="N23" i="20"/>
  <c r="F21" i="36"/>
  <c r="F17" i="36"/>
  <c r="D26" i="45"/>
  <c r="E151" i="40"/>
  <c r="F151" i="40"/>
  <c r="E44" i="40"/>
  <c r="E45" i="40" s="1"/>
  <c r="F44" i="40"/>
  <c r="E131" i="40"/>
  <c r="F131" i="40"/>
  <c r="D15" i="48"/>
  <c r="E15" i="48" s="1"/>
  <c r="F12" i="36"/>
  <c r="E14" i="36"/>
  <c r="E181" i="40"/>
  <c r="B23" i="20"/>
  <c r="B22" i="20"/>
  <c r="Q85" i="20"/>
  <c r="Q86" i="20"/>
  <c r="Q89" i="20"/>
  <c r="Q87" i="20"/>
  <c r="Q88" i="20"/>
  <c r="E54" i="40"/>
  <c r="E55" i="40" s="1"/>
  <c r="F54" i="40"/>
  <c r="E89" i="40"/>
  <c r="F89" i="40"/>
  <c r="E36" i="37"/>
  <c r="D11" i="45" s="1"/>
  <c r="G11" i="45" s="1"/>
  <c r="D27" i="45"/>
  <c r="G27" i="45" s="1"/>
  <c r="E71" i="40"/>
  <c r="E72" i="40" s="1"/>
  <c r="F71" i="40"/>
  <c r="F96" i="40"/>
  <c r="E96" i="40"/>
  <c r="E97" i="40" s="1"/>
  <c r="D18" i="48"/>
  <c r="E18" i="48" s="1"/>
  <c r="E25" i="37"/>
  <c r="E118" i="40"/>
  <c r="G15" i="38"/>
  <c r="E168" i="40"/>
  <c r="D10" i="48"/>
  <c r="E10" i="48" s="1"/>
  <c r="C6" i="35"/>
  <c r="E62" i="40"/>
  <c r="C63" i="40" s="1"/>
  <c r="F62" i="40"/>
  <c r="E26" i="37" l="1"/>
  <c r="F22" i="20"/>
  <c r="D13" i="45"/>
  <c r="E18" i="36"/>
  <c r="F14" i="36"/>
  <c r="G26" i="45"/>
  <c r="D28" i="45"/>
  <c r="N27" i="20"/>
  <c r="E42" i="37"/>
  <c r="D9" i="45"/>
  <c r="F79" i="20" s="1"/>
  <c r="D10" i="45"/>
  <c r="D21" i="45" l="1"/>
  <c r="G21" i="45" s="1"/>
  <c r="D24" i="45"/>
  <c r="G24" i="45" s="1"/>
  <c r="B26" i="20"/>
  <c r="G9" i="45"/>
  <c r="F26" i="20"/>
  <c r="F80" i="20"/>
  <c r="G10" i="45"/>
  <c r="H80" i="20" s="1"/>
  <c r="G13" i="45"/>
  <c r="F23" i="20"/>
  <c r="D15" i="45"/>
  <c r="G15" i="45" s="1"/>
  <c r="D22" i="45"/>
  <c r="F18" i="36"/>
  <c r="D14" i="45"/>
  <c r="G14" i="45" s="1"/>
  <c r="E23" i="36"/>
  <c r="N26" i="20"/>
  <c r="G28" i="45"/>
  <c r="O20" i="46" l="1"/>
  <c r="O21" i="46" s="1"/>
  <c r="P20" i="46"/>
  <c r="P21" i="46" s="1"/>
  <c r="H79" i="20"/>
  <c r="F27" i="20"/>
  <c r="F85" i="20"/>
  <c r="G22" i="45"/>
  <c r="H85" i="20" s="1"/>
  <c r="F20" i="46"/>
  <c r="F21" i="46" s="1"/>
  <c r="G20" i="46"/>
  <c r="G21" i="46" s="1"/>
  <c r="H20" i="46"/>
  <c r="H21" i="46" s="1"/>
  <c r="I20" i="46"/>
  <c r="I21" i="46" s="1"/>
  <c r="J20" i="46"/>
  <c r="J21" i="46" s="1"/>
  <c r="L20" i="46"/>
  <c r="L21" i="46" s="1"/>
  <c r="E25" i="36"/>
  <c r="F23" i="36"/>
  <c r="E20" i="46"/>
  <c r="K20" i="46"/>
  <c r="K21" i="46" s="1"/>
  <c r="M20" i="46"/>
  <c r="M21" i="46" s="1"/>
  <c r="N20" i="46"/>
  <c r="N21" i="46" s="1"/>
  <c r="O22" i="46" l="1"/>
  <c r="F17" i="47"/>
  <c r="P22" i="46"/>
  <c r="F18" i="47"/>
  <c r="F22" i="46"/>
  <c r="F8" i="47"/>
  <c r="G22" i="46"/>
  <c r="F9" i="47"/>
  <c r="I22" i="46"/>
  <c r="F11" i="47"/>
  <c r="J22" i="46"/>
  <c r="F12" i="47"/>
  <c r="F14" i="47"/>
  <c r="L22" i="46"/>
  <c r="E29" i="36"/>
  <c r="F29" i="36" s="1"/>
  <c r="F25" i="36"/>
  <c r="D16" i="45"/>
  <c r="E21" i="46"/>
  <c r="O28" i="46" s="1" a="1"/>
  <c r="Q20" i="46" a="1"/>
  <c r="K22" i="46"/>
  <c r="F13" i="47"/>
  <c r="M22" i="46"/>
  <c r="F15" i="47"/>
  <c r="F16" i="47"/>
  <c r="N22" i="46"/>
  <c r="J22" i="20"/>
  <c r="D17" i="45"/>
  <c r="E13" i="39"/>
  <c r="E25" i="39" s="1"/>
  <c r="E38" i="39" s="1"/>
  <c r="E40" i="39" s="1"/>
  <c r="E42" i="39" s="1"/>
  <c r="D13" i="48" s="1"/>
  <c r="E13" i="48" s="1"/>
  <c r="E47" i="37"/>
  <c r="E48" i="37" s="1"/>
  <c r="D18" i="45" s="1"/>
  <c r="F13" i="38"/>
  <c r="E31" i="36"/>
  <c r="F10" i="47"/>
  <c r="H22" i="46"/>
  <c r="T29" i="47" a="1"/>
  <c r="F81" i="20" l="1"/>
  <c r="G16" i="45"/>
  <c r="H81" i="20" s="1"/>
  <c r="F28" i="46" a="1"/>
  <c r="L28" i="46" a="1"/>
  <c r="M28" i="46" a="1"/>
  <c r="N28" i="46" a="1"/>
  <c r="P28" i="46" a="1"/>
  <c r="J28" i="46" a="1"/>
  <c r="E28" i="46" a="1"/>
  <c r="G28" i="46" a="1"/>
  <c r="E22" i="46"/>
  <c r="I28" i="46" a="1"/>
  <c r="H28" i="46" a="1"/>
  <c r="K28" i="46" a="1"/>
  <c r="Q21" i="46" a="1"/>
  <c r="Q22" i="46" s="1"/>
  <c r="F7" i="47"/>
  <c r="F82" i="20"/>
  <c r="G17" i="45"/>
  <c r="H82" i="20" s="1"/>
  <c r="D20" i="45"/>
  <c r="E49" i="37"/>
  <c r="E51" i="37" s="1"/>
  <c r="D11" i="48" s="1"/>
  <c r="E11" i="48" s="1"/>
  <c r="B27" i="20"/>
  <c r="G13" i="38"/>
  <c r="G16" i="38" s="1"/>
  <c r="G18" i="38" s="1"/>
  <c r="D14" i="48" s="1"/>
  <c r="E14" i="48" s="1"/>
  <c r="F16" i="38"/>
  <c r="F83" i="20"/>
  <c r="G18" i="45"/>
  <c r="H83" i="20" s="1"/>
  <c r="J23" i="20"/>
  <c r="Q28" i="46" l="1" a="1"/>
  <c r="J26" i="20"/>
  <c r="F84" i="20"/>
  <c r="G20" i="45"/>
  <c r="E28" i="48"/>
  <c r="H84" i="20" l="1"/>
  <c r="J27" i="20"/>
  <c r="B17" i="20"/>
  <c r="N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ThinkPad</author>
  </authors>
  <commentList>
    <comment ref="B4" authorId="0" shapeId="0" xr:uid="{F8E0517E-BEF5-42B2-9017-511D6C6A7995}">
      <text>
        <r>
          <rPr>
            <b/>
            <sz val="9"/>
            <color indexed="81"/>
            <rFont val="Tahoma"/>
            <charset val="1"/>
          </rPr>
          <t>ThinkPad:</t>
        </r>
        <r>
          <rPr>
            <sz val="9"/>
            <color indexed="81"/>
            <rFont val="Tahoma"/>
            <charset val="1"/>
          </rPr>
          <t xml:space="preserve">
HOW IT WORKS
• Add an asset row (blue inputs: ID, name, class, acquisition date, cost).
• Useful life &amp; GL accounts come from the class table above.
• Depreciation = straight-line, full month from the acquisition month; the last month absorbs rounding.
• Jan–Dec columns feed the General Journal rows with Source = 'Auto-Depreciation' (SUMIFS by account &amp; month).
• YTD / NBV columns stop at the Cut-off Month on Company Info.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ThinkPad</author>
  </authors>
  <commentList>
    <comment ref="B4" authorId="0" shapeId="0" xr:uid="{F85F9531-66AE-4BD0-A5AD-890B32BCC893}">
      <text>
        <r>
          <rPr>
            <b/>
            <sz val="9"/>
            <color indexed="81"/>
            <rFont val="Tahoma"/>
            <charset val="1"/>
          </rPr>
          <t>ThinkPad:</t>
        </r>
        <r>
          <rPr>
            <sz val="9"/>
            <color indexed="81"/>
            <rFont val="Tahoma"/>
            <charset val="1"/>
          </rPr>
          <t xml:space="preserve">
HOW IT WORKS
• Each prepaid item (rent, insurance, software subscription) is amortised straight-line across its coverage months.
• Jan–Dec columns feed General Journal rows with Source = 'Auto-Prepaid' (Dr expense / Cr prepaid).
• Opening Balance (31 Dec prior year) feeds the COA opening balances for accounts 1410/1420/1430.
• Record the cash payment in Purchases using the prepaid account as the Account Code.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ThinkPad</author>
  </authors>
  <commentList>
    <comment ref="B4" authorId="0" shapeId="0" xr:uid="{7C0438D4-C183-41A1-B3F8-6092167337E3}">
      <text>
        <r>
          <rPr>
            <b/>
            <sz val="9"/>
            <color indexed="81"/>
            <rFont val="Tahoma"/>
            <charset val="1"/>
          </rPr>
          <t>ThinkPad:</t>
        </r>
        <r>
          <rPr>
            <sz val="9"/>
            <color indexed="81"/>
            <rFont val="Tahoma"/>
            <charset val="1"/>
          </rPr>
          <t xml:space="preserve">
AUTOMATIC POSTINGS
• Auto-Sales / Auto-Collections ← Sales sheet (monthly SUMIFS by payment method)
• Auto-Purchases / Auto-Payments ← Purchases (bill month / pay month)
• Auto-Payroll / Auto-Tax ← Payroll &amp; tax schedules (paid following month)
• Auto-Depreciation ← Fixed Assets Jan–Dec columns (SUMIFS by account &amp; month)
• Auto-Prepaid ← Prepaid Schedule
Trial Balance only picks up rows dated ≤ Period End (Cut-off Month).</t>
        </r>
      </text>
    </comment>
    <comment ref="G6" authorId="0" shapeId="0" xr:uid="{018A7415-EC55-4762-896A-EAAC35C758C5}">
      <text>
        <r>
          <rPr>
            <b/>
            <sz val="9"/>
            <color indexed="81"/>
            <rFont val="Tahoma"/>
            <charset val="1"/>
          </rPr>
          <t>ThinkPad:</t>
        </r>
        <r>
          <rPr>
            <sz val="9"/>
            <color indexed="81"/>
            <rFont val="Tahoma"/>
            <charset val="1"/>
          </rPr>
          <t xml:space="preserve">
Debit/Credit for Auto rows are formulas. Example depreciation row: =SUMIFS(INDEX(tblFA[[Jan]:[Dec]],0,MONTH([@Date])),tblFA[Acc. Dep. Account],[@[Account Code]]) — add an asset in Fixed Assets and the journal updates itself.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ThinkPad</author>
  </authors>
  <commentList>
    <comment ref="B4" authorId="0" shapeId="0" xr:uid="{90FA3C59-F980-4BE0-9AC9-34F1AC2D1FFA}">
      <text>
        <r>
          <rPr>
            <b/>
            <sz val="9"/>
            <color indexed="81"/>
            <rFont val="Tahoma"/>
            <charset val="1"/>
          </rPr>
          <t>ThinkPad:</t>
        </r>
        <r>
          <rPr>
            <sz val="9"/>
            <color indexed="81"/>
            <rFont val="Tahoma"/>
            <charset val="1"/>
          </rPr>
          <t xml:space="preserve">
HOW TO USE
1. Import the bank mutation into 'Bank Statement' (Reference = GJ voucher where known).
2. Pick the bank account in C6. Date = Period End.
3. Section A lists bank lines with no matching GJ voucher → book them in GJ (e.g., interest, tax on interest, admin fee).
4. Section B lists timing differences.
5. Unreconciled difference must be 0. Monthly summary on the right checks both banks for every month.</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<sst xmlns="http://schemas.openxmlformats.org/spreadsheetml/2006/main" count="37658" uniqueCount="7086">
  <si>
    <t>Retail</t>
  </si>
  <si>
    <t>Trading Company</t>
  </si>
  <si>
    <t>Fulfillment</t>
  </si>
  <si>
    <t>Channel 1</t>
  </si>
  <si>
    <t>Channel 2</t>
  </si>
  <si>
    <t>Channel 3</t>
  </si>
  <si>
    <t>P01</t>
  </si>
  <si>
    <t>P02</t>
  </si>
  <si>
    <t>P03</t>
  </si>
  <si>
    <t>P04</t>
  </si>
  <si>
    <t>P05</t>
  </si>
  <si>
    <t>P06</t>
  </si>
  <si>
    <t>P07</t>
  </si>
  <si>
    <t>P08</t>
  </si>
  <si>
    <t>P09</t>
  </si>
  <si>
    <t>P10</t>
  </si>
  <si>
    <t>pcs</t>
  </si>
  <si>
    <t>unit</t>
  </si>
  <si>
    <t>m² / m³</t>
  </si>
  <si>
    <t>Apparel &amp; Footwear</t>
  </si>
  <si>
    <t>Distributor</t>
  </si>
  <si>
    <t>Dine-in</t>
  </si>
  <si>
    <t>Marketplace</t>
  </si>
  <si>
    <t>Referral</t>
  </si>
  <si>
    <t>Online Platform</t>
  </si>
  <si>
    <t>Waterproofing (m²)</t>
  </si>
  <si>
    <t>Last-mile Delivery (batch)</t>
  </si>
  <si>
    <t>Return Handling (batch)</t>
  </si>
  <si>
    <t>Smartwatch</t>
  </si>
  <si>
    <t>Landing Page Development</t>
  </si>
  <si>
    <t>Kitting &amp; Bundling Project</t>
  </si>
  <si>
    <t>PT Nusantara Sejahtera Abadi</t>
  </si>
  <si>
    <t>NPWP</t>
  </si>
  <si>
    <t>Email</t>
  </si>
  <si>
    <t>finance@nusantarasejahtera.co.id</t>
  </si>
  <si>
    <t>AHU-0012345.AH.01.01.Tahun 2018</t>
  </si>
  <si>
    <t>D</t>
  </si>
  <si>
    <t>Qty</t>
  </si>
  <si>
    <t>Channel</t>
  </si>
  <si>
    <t>INV-2601-0001</t>
  </si>
  <si>
    <t>INV-2601-0002</t>
  </si>
  <si>
    <t>INV-2601-0003</t>
  </si>
  <si>
    <t>INV-2601-0004</t>
  </si>
  <si>
    <t>INV-2601-0005</t>
  </si>
  <si>
    <t>INV-2601-0006</t>
  </si>
  <si>
    <t>INV-2601-0007</t>
  </si>
  <si>
    <t>INV-2601-0008</t>
  </si>
  <si>
    <t>INV-2601-0009</t>
  </si>
  <si>
    <t>INV-2601-0010</t>
  </si>
  <si>
    <t>INV-2601-0011</t>
  </si>
  <si>
    <t>INV-2601-0012</t>
  </si>
  <si>
    <t>INV-2601-0013</t>
  </si>
  <si>
    <t>INV-2601-0014</t>
  </si>
  <si>
    <t>INV-2601-0015</t>
  </si>
  <si>
    <t>INV-2601-0016</t>
  </si>
  <si>
    <t>INV-2601-0017</t>
  </si>
  <si>
    <t>INV-2601-0018</t>
  </si>
  <si>
    <t>INV-2601-0019</t>
  </si>
  <si>
    <t>INV-2601-0020</t>
  </si>
  <si>
    <t>INV-2601-0021</t>
  </si>
  <si>
    <t>INV-2601-0022</t>
  </si>
  <si>
    <t>INV-2601-0023</t>
  </si>
  <si>
    <t>INV-2601-0024</t>
  </si>
  <si>
    <t>INV-2601-0025</t>
  </si>
  <si>
    <t>INV-2601-0026</t>
  </si>
  <si>
    <t>INV-2601-0027</t>
  </si>
  <si>
    <t>INV-2601-0028</t>
  </si>
  <si>
    <t>INV-2601-0029</t>
  </si>
  <si>
    <t>INV-2601-0030</t>
  </si>
  <si>
    <t>INV-2601-0031</t>
  </si>
  <si>
    <t>INV-2601-0032</t>
  </si>
  <si>
    <t>INV-2601-0033</t>
  </si>
  <si>
    <t>INV-2601-0034</t>
  </si>
  <si>
    <t>INV-2601-0035</t>
  </si>
  <si>
    <t>INV-2601-0036</t>
  </si>
  <si>
    <t>INV-2601-0037</t>
  </si>
  <si>
    <t>INV-2601-0038</t>
  </si>
  <si>
    <t>INV-2601-0039</t>
  </si>
  <si>
    <t>INV-2601-0040</t>
  </si>
  <si>
    <t>INV-2601-0041</t>
  </si>
  <si>
    <t>INV-2601-0042</t>
  </si>
  <si>
    <t>INV-2601-0043</t>
  </si>
  <si>
    <t>INV-2601-0044</t>
  </si>
  <si>
    <t>INV-2601-0045</t>
  </si>
  <si>
    <t>INV-2601-0046</t>
  </si>
  <si>
    <t>INV-2601-0047</t>
  </si>
  <si>
    <t>INV-2601-0048</t>
  </si>
  <si>
    <t>INV-2601-0049</t>
  </si>
  <si>
    <t>INV-2601-0050</t>
  </si>
  <si>
    <t>INV-2601-0051</t>
  </si>
  <si>
    <t>INV-2601-0052</t>
  </si>
  <si>
    <t>INV-2601-0053</t>
  </si>
  <si>
    <t>INV-2601-0054</t>
  </si>
  <si>
    <t>INV-2601-0055</t>
  </si>
  <si>
    <t>INV-2601-0056</t>
  </si>
  <si>
    <t>INV-2601-0057</t>
  </si>
  <si>
    <t>INV-2601-0058</t>
  </si>
  <si>
    <t>INV-2601-0059</t>
  </si>
  <si>
    <t>INV-2601-0060</t>
  </si>
  <si>
    <t>INV-2601-0061</t>
  </si>
  <si>
    <t>INV-2601-0062</t>
  </si>
  <si>
    <t>INV-2601-0063</t>
  </si>
  <si>
    <t>INV-2601-0064</t>
  </si>
  <si>
    <t>INV-2601-0065</t>
  </si>
  <si>
    <t>INV-2601-0066</t>
  </si>
  <si>
    <t>INV-2601-0067</t>
  </si>
  <si>
    <t>INV-2601-0068</t>
  </si>
  <si>
    <t>INV-2601-0069</t>
  </si>
  <si>
    <t>INV-2601-0070</t>
  </si>
  <si>
    <t>INV-2601-0071</t>
  </si>
  <si>
    <t>INV-2601-0072</t>
  </si>
  <si>
    <t>INV-2601-0073</t>
  </si>
  <si>
    <t>INV-2601-0074</t>
  </si>
  <si>
    <t>INV-2601-0075</t>
  </si>
  <si>
    <t>INV-2601-0076</t>
  </si>
  <si>
    <t>INV-2601-0077</t>
  </si>
  <si>
    <t>INV-2601-0078</t>
  </si>
  <si>
    <t>INV-2601-0079</t>
  </si>
  <si>
    <t>INV-2601-0080</t>
  </si>
  <si>
    <t>INV-2601-0081</t>
  </si>
  <si>
    <t>INV-2601-0082</t>
  </si>
  <si>
    <t>INV-2601-0083</t>
  </si>
  <si>
    <t>INV-2601-0084</t>
  </si>
  <si>
    <t>INV-2601-0085</t>
  </si>
  <si>
    <t>INV-2601-0086</t>
  </si>
  <si>
    <t>INV-2601-0087</t>
  </si>
  <si>
    <t>INV-2601-0088</t>
  </si>
  <si>
    <t>INV-2601-0089</t>
  </si>
  <si>
    <t>INV-2601-0090</t>
  </si>
  <si>
    <t>INV-2601-0091</t>
  </si>
  <si>
    <t>INV-2601-0092</t>
  </si>
  <si>
    <t>INV-2601-0093</t>
  </si>
  <si>
    <t>INV-2601-0094</t>
  </si>
  <si>
    <t>INV-2601-0095</t>
  </si>
  <si>
    <t>INV-2601-0096</t>
  </si>
  <si>
    <t>INV-2601-0097</t>
  </si>
  <si>
    <t>INV-2601-0098</t>
  </si>
  <si>
    <t>INV-2601-0099</t>
  </si>
  <si>
    <t>INV-2601-0100</t>
  </si>
  <si>
    <t>INV-2601-0101</t>
  </si>
  <si>
    <t>INV-2601-0102</t>
  </si>
  <si>
    <t>INV-2601-0103</t>
  </si>
  <si>
    <t>INV-2601-0104</t>
  </si>
  <si>
    <t>INV-2601-0105</t>
  </si>
  <si>
    <t>INV-2601-0106</t>
  </si>
  <si>
    <t>INV-2601-0107</t>
  </si>
  <si>
    <t>INV-2601-0108</t>
  </si>
  <si>
    <t>INV-2601-0109</t>
  </si>
  <si>
    <t>INV-2601-0110</t>
  </si>
  <si>
    <t>INV-2601-0111</t>
  </si>
  <si>
    <t>INV-2601-0112</t>
  </si>
  <si>
    <t>INV-2601-0113</t>
  </si>
  <si>
    <t>INV-2601-0114</t>
  </si>
  <si>
    <t>INV-2601-0115</t>
  </si>
  <si>
    <t>INV-2601-0116</t>
  </si>
  <si>
    <t>INV-2601-0117</t>
  </si>
  <si>
    <t>INV-2601-0118</t>
  </si>
  <si>
    <t>INV-2601-0119</t>
  </si>
  <si>
    <t>INV-2601-0120</t>
  </si>
  <si>
    <t>INV-2601-0121</t>
  </si>
  <si>
    <t>INV-2601-0122</t>
  </si>
  <si>
    <t>INV-2601-0123</t>
  </si>
  <si>
    <t>INV-2601-0124</t>
  </si>
  <si>
    <t>INV-2601-0125</t>
  </si>
  <si>
    <t>INV-2601-0126</t>
  </si>
  <si>
    <t>INV-2601-0127</t>
  </si>
  <si>
    <t>INV-2601-0128</t>
  </si>
  <si>
    <t>INV-2601-0129</t>
  </si>
  <si>
    <t>INV-2601-0130</t>
  </si>
  <si>
    <t>INV-2601-0131</t>
  </si>
  <si>
    <t>INV-2601-0132</t>
  </si>
  <si>
    <t>INV-2601-0133</t>
  </si>
  <si>
    <t>INV-2601-0134</t>
  </si>
  <si>
    <t>INV-2601-0135</t>
  </si>
  <si>
    <t>INV-2601-0136</t>
  </si>
  <si>
    <t>INV-2601-0137</t>
  </si>
  <si>
    <t>INV-2601-0138</t>
  </si>
  <si>
    <t>INV-2601-0139</t>
  </si>
  <si>
    <t>INV-2601-0140</t>
  </si>
  <si>
    <t>INV-2601-0141</t>
  </si>
  <si>
    <t>INV-2601-0142</t>
  </si>
  <si>
    <t>INV-2601-0143</t>
  </si>
  <si>
    <t>INV-2601-0144</t>
  </si>
  <si>
    <t>INV-2601-0145</t>
  </si>
  <si>
    <t>INV-2601-0146</t>
  </si>
  <si>
    <t>INV-2601-0147</t>
  </si>
  <si>
    <t>INV-2601-0148</t>
  </si>
  <si>
    <t>INV-2601-0149</t>
  </si>
  <si>
    <t>INV-2601-0150</t>
  </si>
  <si>
    <t>INV-2601-0151</t>
  </si>
  <si>
    <t>INV-2601-0152</t>
  </si>
  <si>
    <t>INV-2601-0153</t>
  </si>
  <si>
    <t>INV-2601-0154</t>
  </si>
  <si>
    <t>INV-2601-0155</t>
  </si>
  <si>
    <t>INV-2601-0156</t>
  </si>
  <si>
    <t>INV-2601-0157</t>
  </si>
  <si>
    <t>INV-2601-0158</t>
  </si>
  <si>
    <t>INV-2601-0159</t>
  </si>
  <si>
    <t>INV-2601-0160</t>
  </si>
  <si>
    <t>INV-2601-0161</t>
  </si>
  <si>
    <t>INV-2601-0162</t>
  </si>
  <si>
    <t>INV-2601-0163</t>
  </si>
  <si>
    <t>INV-2601-0164</t>
  </si>
  <si>
    <t>INV-2601-0165</t>
  </si>
  <si>
    <t>INV-2601-0166</t>
  </si>
  <si>
    <t>INV-2601-0167</t>
  </si>
  <si>
    <t>INV-2601-0168</t>
  </si>
  <si>
    <t>INV-2601-0169</t>
  </si>
  <si>
    <t>INV-2601-0170</t>
  </si>
  <si>
    <t>INV-2601-0171</t>
  </si>
  <si>
    <t>INV-2601-0172</t>
  </si>
  <si>
    <t>INV-2601-0173</t>
  </si>
  <si>
    <t>INV-2601-0174</t>
  </si>
  <si>
    <t>INV-2601-0175</t>
  </si>
  <si>
    <t>INV-2601-0176</t>
  </si>
  <si>
    <t>INV-2601-0177</t>
  </si>
  <si>
    <t>INV-2601-0178</t>
  </si>
  <si>
    <t>INV-2601-0179</t>
  </si>
  <si>
    <t>INV-2601-0180</t>
  </si>
  <si>
    <t>INV-2601-0181</t>
  </si>
  <si>
    <t>INV-2601-0182</t>
  </si>
  <si>
    <t>INV-2601-0183</t>
  </si>
  <si>
    <t>INV-2601-0184</t>
  </si>
  <si>
    <t>INV-2601-0185</t>
  </si>
  <si>
    <t>INV-2601-0186</t>
  </si>
  <si>
    <t>INV-2601-0187</t>
  </si>
  <si>
    <t>INV-2601-0188</t>
  </si>
  <si>
    <t>INV-2601-0189</t>
  </si>
  <si>
    <t>INV-2601-0190</t>
  </si>
  <si>
    <t>INV-2601-0191</t>
  </si>
  <si>
    <t>INV-2601-0192</t>
  </si>
  <si>
    <t>INV-2601-0193</t>
  </si>
  <si>
    <t>INV-2601-0194</t>
  </si>
  <si>
    <t>INV-2601-0195</t>
  </si>
  <si>
    <t>INV-2601-0196</t>
  </si>
  <si>
    <t>INV-2601-0197</t>
  </si>
  <si>
    <t>INV-2601-0198</t>
  </si>
  <si>
    <t>INV-2601-0199</t>
  </si>
  <si>
    <t>INV-2601-0200</t>
  </si>
  <si>
    <t>INV-2601-0201</t>
  </si>
  <si>
    <t>INV-2601-0202</t>
  </si>
  <si>
    <t>INV-2601-0203</t>
  </si>
  <si>
    <t>INV-2601-0204</t>
  </si>
  <si>
    <t>INV-2601-0205</t>
  </si>
  <si>
    <t>INV-2601-0206</t>
  </si>
  <si>
    <t>INV-2601-0207</t>
  </si>
  <si>
    <t>INV-2601-0208</t>
  </si>
  <si>
    <t>INV-2601-0209</t>
  </si>
  <si>
    <t>INV-2601-0210</t>
  </si>
  <si>
    <t>INV-2601-0211</t>
  </si>
  <si>
    <t>INV-2601-0212</t>
  </si>
  <si>
    <t>INV-2601-0213</t>
  </si>
  <si>
    <t>INV-2601-0214</t>
  </si>
  <si>
    <t>INV-2601-0215</t>
  </si>
  <si>
    <t>INV-2601-0216</t>
  </si>
  <si>
    <t>INV-2601-0217</t>
  </si>
  <si>
    <t>INV-2601-0218</t>
  </si>
  <si>
    <t>INV-2601-0219</t>
  </si>
  <si>
    <t>INV-2601-0220</t>
  </si>
  <si>
    <t>INV-2601-0221</t>
  </si>
  <si>
    <t>INV-2601-0222</t>
  </si>
  <si>
    <t>INV-2601-0223</t>
  </si>
  <si>
    <t>INV-2601-0224</t>
  </si>
  <si>
    <t>INV-2601-0225</t>
  </si>
  <si>
    <t>INV-2601-0226</t>
  </si>
  <si>
    <t>INV-2601-0227</t>
  </si>
  <si>
    <t>INV-2601-0228</t>
  </si>
  <si>
    <t>INV-2601-0229</t>
  </si>
  <si>
    <t>INV-2601-0230</t>
  </si>
  <si>
    <t>INV-2601-0231</t>
  </si>
  <si>
    <t>INV-2601-0232</t>
  </si>
  <si>
    <t>INV-2601-0233</t>
  </si>
  <si>
    <t>INV-2601-0234</t>
  </si>
  <si>
    <t>INV-2601-0235</t>
  </si>
  <si>
    <t>INV-2601-0236</t>
  </si>
  <si>
    <t>INV-2601-0237</t>
  </si>
  <si>
    <t>INV-2601-0238</t>
  </si>
  <si>
    <t>INV-2601-0239</t>
  </si>
  <si>
    <t>INV-2601-0240</t>
  </si>
  <si>
    <t>INV-2601-0241</t>
  </si>
  <si>
    <t>INV-2601-0242</t>
  </si>
  <si>
    <t>INV-2601-0243</t>
  </si>
  <si>
    <t>INV-2601-0244</t>
  </si>
  <si>
    <t>INV-2601-0245</t>
  </si>
  <si>
    <t>INV-2601-0246</t>
  </si>
  <si>
    <t>INV-2601-0247</t>
  </si>
  <si>
    <t>INV-2601-0248</t>
  </si>
  <si>
    <t>INV-2601-0249</t>
  </si>
  <si>
    <t>INV-2601-0250</t>
  </si>
  <si>
    <t>INV-2601-0251</t>
  </si>
  <si>
    <t>INV-2601-0252</t>
  </si>
  <si>
    <t>INV-2601-0253</t>
  </si>
  <si>
    <t>INV-2601-0254</t>
  </si>
  <si>
    <t>INV-2601-0255</t>
  </si>
  <si>
    <t>INV-2601-0256</t>
  </si>
  <si>
    <t>INV-2601-0257</t>
  </si>
  <si>
    <t>INV-2601-0258</t>
  </si>
  <si>
    <t>INV-2601-0259</t>
  </si>
  <si>
    <t>INV-2601-0260</t>
  </si>
  <si>
    <t>INV-2601-0261</t>
  </si>
  <si>
    <t>INV-2601-0262</t>
  </si>
  <si>
    <t>INV-2601-0263</t>
  </si>
  <si>
    <t>INV-2601-0264</t>
  </si>
  <si>
    <t>INV-2601-0265</t>
  </si>
  <si>
    <t>INV-2601-0266</t>
  </si>
  <si>
    <t>INV-2601-0267</t>
  </si>
  <si>
    <t>INV-2601-0268</t>
  </si>
  <si>
    <t>INV-2601-0269</t>
  </si>
  <si>
    <t>INV-2601-0270</t>
  </si>
  <si>
    <t>INV-2601-0271</t>
  </si>
  <si>
    <t>INV-2601-0272</t>
  </si>
  <si>
    <t>INV-2601-0273</t>
  </si>
  <si>
    <t>INV-2601-0274</t>
  </si>
  <si>
    <t>INV-2601-0275</t>
  </si>
  <si>
    <t>INV-2601-0276</t>
  </si>
  <si>
    <t>INV-2601-0277</t>
  </si>
  <si>
    <t>INV-2601-0278</t>
  </si>
  <si>
    <t>INV-2601-0279</t>
  </si>
  <si>
    <t>INV-2602-0001</t>
  </si>
  <si>
    <t>INV-2602-0002</t>
  </si>
  <si>
    <t>INV-2602-0003</t>
  </si>
  <si>
    <t>INV-2602-0004</t>
  </si>
  <si>
    <t>INV-2602-0005</t>
  </si>
  <si>
    <t>INV-2602-0006</t>
  </si>
  <si>
    <t>INV-2602-0007</t>
  </si>
  <si>
    <t>INV-2602-0008</t>
  </si>
  <si>
    <t>INV-2602-0009</t>
  </si>
  <si>
    <t>INV-2602-0010</t>
  </si>
  <si>
    <t>INV-2602-0011</t>
  </si>
  <si>
    <t>INV-2602-0012</t>
  </si>
  <si>
    <t>INV-2602-0013</t>
  </si>
  <si>
    <t>INV-2602-0014</t>
  </si>
  <si>
    <t>INV-2602-0015</t>
  </si>
  <si>
    <t>INV-2602-0016</t>
  </si>
  <si>
    <t>INV-2602-0017</t>
  </si>
  <si>
    <t>INV-2602-0018</t>
  </si>
  <si>
    <t>INV-2602-0019</t>
  </si>
  <si>
    <t>INV-2602-0020</t>
  </si>
  <si>
    <t>INV-2602-0021</t>
  </si>
  <si>
    <t>INV-2602-0022</t>
  </si>
  <si>
    <t>INV-2602-0023</t>
  </si>
  <si>
    <t>INV-2602-0024</t>
  </si>
  <si>
    <t>INV-2602-0025</t>
  </si>
  <si>
    <t>INV-2602-0026</t>
  </si>
  <si>
    <t>INV-2602-0027</t>
  </si>
  <si>
    <t>INV-2602-0028</t>
  </si>
  <si>
    <t>INV-2602-0029</t>
  </si>
  <si>
    <t>INV-2602-0030</t>
  </si>
  <si>
    <t>INV-2602-0031</t>
  </si>
  <si>
    <t>INV-2602-0032</t>
  </si>
  <si>
    <t>INV-2602-0033</t>
  </si>
  <si>
    <t>INV-2602-0034</t>
  </si>
  <si>
    <t>INV-2602-0035</t>
  </si>
  <si>
    <t>INV-2602-0036</t>
  </si>
  <si>
    <t>INV-2602-0037</t>
  </si>
  <si>
    <t>INV-2602-0038</t>
  </si>
  <si>
    <t>INV-2602-0039</t>
  </si>
  <si>
    <t>INV-2602-0040</t>
  </si>
  <si>
    <t>INV-2602-0041</t>
  </si>
  <si>
    <t>INV-2602-0042</t>
  </si>
  <si>
    <t>INV-2602-0043</t>
  </si>
  <si>
    <t>INV-2602-0044</t>
  </si>
  <si>
    <t>INV-2602-0045</t>
  </si>
  <si>
    <t>INV-2602-0046</t>
  </si>
  <si>
    <t>INV-2602-0047</t>
  </si>
  <si>
    <t>INV-2602-0048</t>
  </si>
  <si>
    <t>INV-2602-0049</t>
  </si>
  <si>
    <t>INV-2602-0050</t>
  </si>
  <si>
    <t>INV-2602-0051</t>
  </si>
  <si>
    <t>INV-2602-0052</t>
  </si>
  <si>
    <t>INV-2602-0053</t>
  </si>
  <si>
    <t>INV-2602-0054</t>
  </si>
  <si>
    <t>INV-2602-0055</t>
  </si>
  <si>
    <t>INV-2602-0056</t>
  </si>
  <si>
    <t>INV-2602-0057</t>
  </si>
  <si>
    <t>INV-2602-0058</t>
  </si>
  <si>
    <t>INV-2602-0059</t>
  </si>
  <si>
    <t>INV-2602-0060</t>
  </si>
  <si>
    <t>INV-2602-0061</t>
  </si>
  <si>
    <t>INV-2602-0062</t>
  </si>
  <si>
    <t>INV-2602-0063</t>
  </si>
  <si>
    <t>INV-2602-0064</t>
  </si>
  <si>
    <t>INV-2602-0065</t>
  </si>
  <si>
    <t>INV-2602-0066</t>
  </si>
  <si>
    <t>INV-2602-0067</t>
  </si>
  <si>
    <t>INV-2602-0068</t>
  </si>
  <si>
    <t>INV-2602-0069</t>
  </si>
  <si>
    <t>INV-2602-0070</t>
  </si>
  <si>
    <t>INV-2602-0071</t>
  </si>
  <si>
    <t>INV-2602-0072</t>
  </si>
  <si>
    <t>INV-2602-0073</t>
  </si>
  <si>
    <t>INV-2602-0074</t>
  </si>
  <si>
    <t>INV-2602-0075</t>
  </si>
  <si>
    <t>INV-2602-0076</t>
  </si>
  <si>
    <t>INV-2602-0077</t>
  </si>
  <si>
    <t>INV-2602-0078</t>
  </si>
  <si>
    <t>INV-2602-0079</t>
  </si>
  <si>
    <t>INV-2602-0080</t>
  </si>
  <si>
    <t>INV-2602-0081</t>
  </si>
  <si>
    <t>INV-2602-0082</t>
  </si>
  <si>
    <t>INV-2602-0083</t>
  </si>
  <si>
    <t>INV-2602-0084</t>
  </si>
  <si>
    <t>INV-2602-0085</t>
  </si>
  <si>
    <t>INV-2602-0086</t>
  </si>
  <si>
    <t>INV-2602-0087</t>
  </si>
  <si>
    <t>INV-2602-0088</t>
  </si>
  <si>
    <t>INV-2602-0089</t>
  </si>
  <si>
    <t>INV-2602-0090</t>
  </si>
  <si>
    <t>INV-2602-0091</t>
  </si>
  <si>
    <t>INV-2602-0092</t>
  </si>
  <si>
    <t>INV-2602-0093</t>
  </si>
  <si>
    <t>INV-2602-0094</t>
  </si>
  <si>
    <t>INV-2602-0095</t>
  </si>
  <si>
    <t>INV-2602-0096</t>
  </si>
  <si>
    <t>INV-2602-0097</t>
  </si>
  <si>
    <t>INV-2602-0098</t>
  </si>
  <si>
    <t>INV-2602-0099</t>
  </si>
  <si>
    <t>INV-2602-0100</t>
  </si>
  <si>
    <t>INV-2602-0101</t>
  </si>
  <si>
    <t>INV-2602-0102</t>
  </si>
  <si>
    <t>INV-2602-0103</t>
  </si>
  <si>
    <t>INV-2602-0104</t>
  </si>
  <si>
    <t>INV-2602-0105</t>
  </si>
  <si>
    <t>INV-2602-0106</t>
  </si>
  <si>
    <t>INV-2602-0107</t>
  </si>
  <si>
    <t>INV-2602-0108</t>
  </si>
  <si>
    <t>INV-2602-0109</t>
  </si>
  <si>
    <t>INV-2602-0110</t>
  </si>
  <si>
    <t>INV-2602-0111</t>
  </si>
  <si>
    <t>INV-2602-0112</t>
  </si>
  <si>
    <t>INV-2602-0113</t>
  </si>
  <si>
    <t>INV-2602-0114</t>
  </si>
  <si>
    <t>INV-2602-0115</t>
  </si>
  <si>
    <t>INV-2602-0116</t>
  </si>
  <si>
    <t>INV-2602-0117</t>
  </si>
  <si>
    <t>INV-2602-0118</t>
  </si>
  <si>
    <t>INV-2602-0119</t>
  </si>
  <si>
    <t>INV-2602-0120</t>
  </si>
  <si>
    <t>INV-2602-0121</t>
  </si>
  <si>
    <t>INV-2602-0122</t>
  </si>
  <si>
    <t>INV-2602-0123</t>
  </si>
  <si>
    <t>INV-2602-0124</t>
  </si>
  <si>
    <t>INV-2602-0125</t>
  </si>
  <si>
    <t>INV-2602-0126</t>
  </si>
  <si>
    <t>INV-2602-0127</t>
  </si>
  <si>
    <t>INV-2602-0128</t>
  </si>
  <si>
    <t>INV-2602-0129</t>
  </si>
  <si>
    <t>INV-2602-0130</t>
  </si>
  <si>
    <t>INV-2602-0131</t>
  </si>
  <si>
    <t>INV-2602-0132</t>
  </si>
  <si>
    <t>INV-2602-0133</t>
  </si>
  <si>
    <t>INV-2602-0134</t>
  </si>
  <si>
    <t>INV-2602-0135</t>
  </si>
  <si>
    <t>INV-2602-0136</t>
  </si>
  <si>
    <t>INV-2602-0137</t>
  </si>
  <si>
    <t>INV-2602-0138</t>
  </si>
  <si>
    <t>INV-2602-0139</t>
  </si>
  <si>
    <t>INV-2602-0140</t>
  </si>
  <si>
    <t>INV-2602-0141</t>
  </si>
  <si>
    <t>INV-2602-0142</t>
  </si>
  <si>
    <t>INV-2602-0143</t>
  </si>
  <si>
    <t>INV-2602-0144</t>
  </si>
  <si>
    <t>INV-2602-0145</t>
  </si>
  <si>
    <t>INV-2602-0146</t>
  </si>
  <si>
    <t>INV-2602-0147</t>
  </si>
  <si>
    <t>INV-2602-0148</t>
  </si>
  <si>
    <t>INV-2602-0149</t>
  </si>
  <si>
    <t>INV-2602-0150</t>
  </si>
  <si>
    <t>INV-2602-0151</t>
  </si>
  <si>
    <t>INV-2602-0152</t>
  </si>
  <si>
    <t>INV-2602-0153</t>
  </si>
  <si>
    <t>INV-2602-0154</t>
  </si>
  <si>
    <t>INV-2602-0155</t>
  </si>
  <si>
    <t>INV-2602-0156</t>
  </si>
  <si>
    <t>INV-2602-0157</t>
  </si>
  <si>
    <t>INV-2602-0158</t>
  </si>
  <si>
    <t>INV-2602-0159</t>
  </si>
  <si>
    <t>INV-2602-0160</t>
  </si>
  <si>
    <t>INV-2602-0161</t>
  </si>
  <si>
    <t>INV-2602-0162</t>
  </si>
  <si>
    <t>INV-2602-0163</t>
  </si>
  <si>
    <t>INV-2602-0164</t>
  </si>
  <si>
    <t>INV-2602-0165</t>
  </si>
  <si>
    <t>INV-2602-0166</t>
  </si>
  <si>
    <t>INV-2602-0167</t>
  </si>
  <si>
    <t>INV-2602-0168</t>
  </si>
  <si>
    <t>INV-2602-0169</t>
  </si>
  <si>
    <t>INV-2602-0170</t>
  </si>
  <si>
    <t>INV-2602-0171</t>
  </si>
  <si>
    <t>INV-2602-0172</t>
  </si>
  <si>
    <t>INV-2602-0173</t>
  </si>
  <si>
    <t>INV-2602-0174</t>
  </si>
  <si>
    <t>INV-2602-0175</t>
  </si>
  <si>
    <t>INV-2602-0176</t>
  </si>
  <si>
    <t>INV-2602-0177</t>
  </si>
  <si>
    <t>INV-2602-0178</t>
  </si>
  <si>
    <t>INV-2602-0179</t>
  </si>
  <si>
    <t>INV-2602-0180</t>
  </si>
  <si>
    <t>INV-2602-0181</t>
  </si>
  <si>
    <t>INV-2602-0182</t>
  </si>
  <si>
    <t>INV-2602-0183</t>
  </si>
  <si>
    <t>INV-2602-0184</t>
  </si>
  <si>
    <t>INV-2602-0185</t>
  </si>
  <si>
    <t>INV-2602-0186</t>
  </si>
  <si>
    <t>INV-2602-0187</t>
  </si>
  <si>
    <t>INV-2602-0188</t>
  </si>
  <si>
    <t>INV-2602-0189</t>
  </si>
  <si>
    <t>INV-2602-0190</t>
  </si>
  <si>
    <t>INV-2602-0191</t>
  </si>
  <si>
    <t>INV-2602-0192</t>
  </si>
  <si>
    <t>INV-2602-0193</t>
  </si>
  <si>
    <t>INV-2602-0194</t>
  </si>
  <si>
    <t>INV-2602-0195</t>
  </si>
  <si>
    <t>INV-2602-0196</t>
  </si>
  <si>
    <t>INV-2602-0197</t>
  </si>
  <si>
    <t>INV-2602-0198</t>
  </si>
  <si>
    <t>INV-2602-0199</t>
  </si>
  <si>
    <t>INV-2602-0200</t>
  </si>
  <si>
    <t>INV-2602-0201</t>
  </si>
  <si>
    <t>INV-2602-0202</t>
  </si>
  <si>
    <t>INV-2602-0203</t>
  </si>
  <si>
    <t>INV-2602-0204</t>
  </si>
  <si>
    <t>INV-2602-0205</t>
  </si>
  <si>
    <t>INV-2602-0206</t>
  </si>
  <si>
    <t>INV-2602-0207</t>
  </si>
  <si>
    <t>INV-2602-0208</t>
  </si>
  <si>
    <t>INV-2602-0209</t>
  </si>
  <si>
    <t>INV-2602-0210</t>
  </si>
  <si>
    <t>INV-2602-0211</t>
  </si>
  <si>
    <t>INV-2602-0212</t>
  </si>
  <si>
    <t>INV-2602-0213</t>
  </si>
  <si>
    <t>INV-2602-0214</t>
  </si>
  <si>
    <t>INV-2602-0215</t>
  </si>
  <si>
    <t>INV-2602-0216</t>
  </si>
  <si>
    <t>INV-2602-0217</t>
  </si>
  <si>
    <t>INV-2602-0218</t>
  </si>
  <si>
    <t>INV-2602-0219</t>
  </si>
  <si>
    <t>INV-2602-0220</t>
  </si>
  <si>
    <t>INV-2602-0221</t>
  </si>
  <si>
    <t>INV-2602-0222</t>
  </si>
  <si>
    <t>INV-2602-0223</t>
  </si>
  <si>
    <t>INV-2602-0224</t>
  </si>
  <si>
    <t>INV-2602-0225</t>
  </si>
  <si>
    <t>INV-2602-0226</t>
  </si>
  <si>
    <t>INV-2602-0227</t>
  </si>
  <si>
    <t>INV-2602-0228</t>
  </si>
  <si>
    <t>INV-2602-0229</t>
  </si>
  <si>
    <t>INV-2602-0230</t>
  </si>
  <si>
    <t>INV-2602-0231</t>
  </si>
  <si>
    <t>INV-2602-0232</t>
  </si>
  <si>
    <t>INV-2602-0233</t>
  </si>
  <si>
    <t>INV-2602-0234</t>
  </si>
  <si>
    <t>INV-2602-0235</t>
  </si>
  <si>
    <t>INV-2602-0236</t>
  </si>
  <si>
    <t>INV-2602-0237</t>
  </si>
  <si>
    <t>INV-2602-0238</t>
  </si>
  <si>
    <t>INV-2602-0239</t>
  </si>
  <si>
    <t>INV-2602-0240</t>
  </si>
  <si>
    <t>INV-2602-0241</t>
  </si>
  <si>
    <t>INV-2602-0242</t>
  </si>
  <si>
    <t>INV-2602-0243</t>
  </si>
  <si>
    <t>INV-2602-0244</t>
  </si>
  <si>
    <t>INV-2602-0245</t>
  </si>
  <si>
    <t>INV-2602-0246</t>
  </si>
  <si>
    <t>INV-2602-0247</t>
  </si>
  <si>
    <t>INV-2602-0248</t>
  </si>
  <si>
    <t>INV-2602-0249</t>
  </si>
  <si>
    <t>INV-2602-0250</t>
  </si>
  <si>
    <t>INV-2602-0251</t>
  </si>
  <si>
    <t>INV-2602-0252</t>
  </si>
  <si>
    <t>INV-2602-0253</t>
  </si>
  <si>
    <t>INV-2602-0254</t>
  </si>
  <si>
    <t>INV-2602-0255</t>
  </si>
  <si>
    <t>INV-2602-0256</t>
  </si>
  <si>
    <t>INV-2602-0257</t>
  </si>
  <si>
    <t>INV-2602-0258</t>
  </si>
  <si>
    <t>INV-2602-0259</t>
  </si>
  <si>
    <t>INV-2602-0260</t>
  </si>
  <si>
    <t>INV-2602-0261</t>
  </si>
  <si>
    <t>INV-2602-0262</t>
  </si>
  <si>
    <t>INV-2602-0263</t>
  </si>
  <si>
    <t>INV-2602-0264</t>
  </si>
  <si>
    <t>INV-2602-0265</t>
  </si>
  <si>
    <t>INV-2602-0266</t>
  </si>
  <si>
    <t>INV-2602-0267</t>
  </si>
  <si>
    <t>INV-2602-0268</t>
  </si>
  <si>
    <t>INV-2602-0269</t>
  </si>
  <si>
    <t>INV-2602-0270</t>
  </si>
  <si>
    <t>INV-2602-0271</t>
  </si>
  <si>
    <t>INV-2602-0272</t>
  </si>
  <si>
    <t>INV-2602-0273</t>
  </si>
  <si>
    <t>INV-2602-0274</t>
  </si>
  <si>
    <t>INV-2602-0275</t>
  </si>
  <si>
    <t>INV-2602-0276</t>
  </si>
  <si>
    <t>INV-2602-0277</t>
  </si>
  <si>
    <t>INV-2602-0278</t>
  </si>
  <si>
    <t>INV-2602-0279</t>
  </si>
  <si>
    <t>INV-2602-0280</t>
  </si>
  <si>
    <t>INV-2602-0281</t>
  </si>
  <si>
    <t>INV-2602-0282</t>
  </si>
  <si>
    <t>INV-2602-0283</t>
  </si>
  <si>
    <t>INV-2602-0284</t>
  </si>
  <si>
    <t>INV-2602-0285</t>
  </si>
  <si>
    <t>INV-2602-0286</t>
  </si>
  <si>
    <t>INV-2602-0287</t>
  </si>
  <si>
    <t>INV-2602-0288</t>
  </si>
  <si>
    <t>INV-2602-0289</t>
  </si>
  <si>
    <t>INV-2602-0290</t>
  </si>
  <si>
    <t>INV-2602-0291</t>
  </si>
  <si>
    <t>INV-2602-0292</t>
  </si>
  <si>
    <t>INV-2602-0293</t>
  </si>
  <si>
    <t>INV-2602-0294</t>
  </si>
  <si>
    <t>INV-2602-0295</t>
  </si>
  <si>
    <t>INV-2602-0296</t>
  </si>
  <si>
    <t>INV-2602-0297</t>
  </si>
  <si>
    <t>INV-2602-0298</t>
  </si>
  <si>
    <t>INV-2602-0299</t>
  </si>
  <si>
    <t>INV-2602-0300</t>
  </si>
  <si>
    <t>INV-2602-0301</t>
  </si>
  <si>
    <t>INV-2602-0302</t>
  </si>
  <si>
    <t>INV-2602-0303</t>
  </si>
  <si>
    <t>INV-2602-0304</t>
  </si>
  <si>
    <t>INV-2602-0305</t>
  </si>
  <si>
    <t>INV-2602-0306</t>
  </si>
  <si>
    <t>INV-2602-0307</t>
  </si>
  <si>
    <t>INV-2602-0308</t>
  </si>
  <si>
    <t>INV-2603-0001</t>
  </si>
  <si>
    <t>INV-2603-0002</t>
  </si>
  <si>
    <t>INV-2603-0003</t>
  </si>
  <si>
    <t>INV-2603-0004</t>
  </si>
  <si>
    <t>INV-2603-0005</t>
  </si>
  <si>
    <t>INV-2603-0006</t>
  </si>
  <si>
    <t>INV-2603-0007</t>
  </si>
  <si>
    <t>INV-2603-0008</t>
  </si>
  <si>
    <t>INV-2603-0009</t>
  </si>
  <si>
    <t>INV-2603-0010</t>
  </si>
  <si>
    <t>INV-2603-0011</t>
  </si>
  <si>
    <t>INV-2603-0012</t>
  </si>
  <si>
    <t>INV-2603-0013</t>
  </si>
  <si>
    <t>INV-2603-0014</t>
  </si>
  <si>
    <t>INV-2603-0015</t>
  </si>
  <si>
    <t>INV-2603-0016</t>
  </si>
  <si>
    <t>INV-2603-0017</t>
  </si>
  <si>
    <t>INV-2603-0018</t>
  </si>
  <si>
    <t>INV-2603-0019</t>
  </si>
  <si>
    <t>INV-2603-0020</t>
  </si>
  <si>
    <t>INV-2603-0021</t>
  </si>
  <si>
    <t>INV-2603-0022</t>
  </si>
  <si>
    <t>INV-2603-0023</t>
  </si>
  <si>
    <t>INV-2603-0024</t>
  </si>
  <si>
    <t>INV-2603-0025</t>
  </si>
  <si>
    <t>INV-2603-0026</t>
  </si>
  <si>
    <t>INV-2603-0027</t>
  </si>
  <si>
    <t>INV-2603-0028</t>
  </si>
  <si>
    <t>INV-2603-0029</t>
  </si>
  <si>
    <t>INV-2603-0030</t>
  </si>
  <si>
    <t>INV-2603-0031</t>
  </si>
  <si>
    <t>INV-2603-0032</t>
  </si>
  <si>
    <t>INV-2603-0033</t>
  </si>
  <si>
    <t>INV-2603-0034</t>
  </si>
  <si>
    <t>INV-2603-0035</t>
  </si>
  <si>
    <t>INV-2603-0036</t>
  </si>
  <si>
    <t>INV-2603-0037</t>
  </si>
  <si>
    <t>INV-2603-0038</t>
  </si>
  <si>
    <t>INV-2603-0039</t>
  </si>
  <si>
    <t>INV-2603-0040</t>
  </si>
  <si>
    <t>INV-2603-0041</t>
  </si>
  <si>
    <t>INV-2603-0042</t>
  </si>
  <si>
    <t>INV-2603-0043</t>
  </si>
  <si>
    <t>INV-2603-0044</t>
  </si>
  <si>
    <t>INV-2603-0045</t>
  </si>
  <si>
    <t>INV-2603-0046</t>
  </si>
  <si>
    <t>INV-2603-0047</t>
  </si>
  <si>
    <t>INV-2603-0048</t>
  </si>
  <si>
    <t>INV-2603-0049</t>
  </si>
  <si>
    <t>INV-2603-0050</t>
  </si>
  <si>
    <t>INV-2603-0051</t>
  </si>
  <si>
    <t>INV-2603-0052</t>
  </si>
  <si>
    <t>INV-2603-0053</t>
  </si>
  <si>
    <t>INV-2603-0054</t>
  </si>
  <si>
    <t>INV-2603-0055</t>
  </si>
  <si>
    <t>INV-2603-0056</t>
  </si>
  <si>
    <t>INV-2603-0057</t>
  </si>
  <si>
    <t>INV-2603-0058</t>
  </si>
  <si>
    <t>INV-2603-0059</t>
  </si>
  <si>
    <t>INV-2603-0060</t>
  </si>
  <si>
    <t>INV-2603-0061</t>
  </si>
  <si>
    <t>INV-2603-0062</t>
  </si>
  <si>
    <t>INV-2603-0063</t>
  </si>
  <si>
    <t>INV-2603-0064</t>
  </si>
  <si>
    <t>INV-2603-0065</t>
  </si>
  <si>
    <t>INV-2603-0066</t>
  </si>
  <si>
    <t>INV-2603-0067</t>
  </si>
  <si>
    <t>INV-2603-0068</t>
  </si>
  <si>
    <t>INV-2603-0069</t>
  </si>
  <si>
    <t>INV-2603-0070</t>
  </si>
  <si>
    <t>INV-2603-0071</t>
  </si>
  <si>
    <t>INV-2603-0072</t>
  </si>
  <si>
    <t>INV-2603-0073</t>
  </si>
  <si>
    <t>INV-2603-0074</t>
  </si>
  <si>
    <t>INV-2603-0075</t>
  </si>
  <si>
    <t>INV-2603-0076</t>
  </si>
  <si>
    <t>INV-2603-0077</t>
  </si>
  <si>
    <t>INV-2603-0078</t>
  </si>
  <si>
    <t>INV-2603-0079</t>
  </si>
  <si>
    <t>INV-2603-0080</t>
  </si>
  <si>
    <t>INV-2603-0081</t>
  </si>
  <si>
    <t>INV-2603-0082</t>
  </si>
  <si>
    <t>INV-2603-0083</t>
  </si>
  <si>
    <t>INV-2603-0084</t>
  </si>
  <si>
    <t>INV-2603-0085</t>
  </si>
  <si>
    <t>INV-2603-0086</t>
  </si>
  <si>
    <t>INV-2603-0087</t>
  </si>
  <si>
    <t>INV-2603-0088</t>
  </si>
  <si>
    <t>INV-2603-0089</t>
  </si>
  <si>
    <t>INV-2603-0090</t>
  </si>
  <si>
    <t>INV-2603-0091</t>
  </si>
  <si>
    <t>INV-2603-0092</t>
  </si>
  <si>
    <t>INV-2603-0093</t>
  </si>
  <si>
    <t>INV-2603-0094</t>
  </si>
  <si>
    <t>INV-2603-0095</t>
  </si>
  <si>
    <t>INV-2603-0096</t>
  </si>
  <si>
    <t>INV-2603-0097</t>
  </si>
  <si>
    <t>INV-2603-0098</t>
  </si>
  <si>
    <t>INV-2603-0099</t>
  </si>
  <si>
    <t>INV-2603-0100</t>
  </si>
  <si>
    <t>INV-2603-0101</t>
  </si>
  <si>
    <t>INV-2603-0102</t>
  </si>
  <si>
    <t>INV-2603-0103</t>
  </si>
  <si>
    <t>INV-2603-0104</t>
  </si>
  <si>
    <t>INV-2603-0105</t>
  </si>
  <si>
    <t>INV-2603-0106</t>
  </si>
  <si>
    <t>INV-2603-0107</t>
  </si>
  <si>
    <t>INV-2603-0108</t>
  </si>
  <si>
    <t>INV-2603-0109</t>
  </si>
  <si>
    <t>INV-2603-0110</t>
  </si>
  <si>
    <t>INV-2603-0111</t>
  </si>
  <si>
    <t>INV-2603-0112</t>
  </si>
  <si>
    <t>INV-2603-0113</t>
  </si>
  <si>
    <t>INV-2603-0114</t>
  </si>
  <si>
    <t>INV-2603-0115</t>
  </si>
  <si>
    <t>INV-2603-0116</t>
  </si>
  <si>
    <t>INV-2603-0117</t>
  </si>
  <si>
    <t>INV-2603-0118</t>
  </si>
  <si>
    <t>INV-2603-0119</t>
  </si>
  <si>
    <t>INV-2603-0120</t>
  </si>
  <si>
    <t>INV-2603-0121</t>
  </si>
  <si>
    <t>INV-2603-0122</t>
  </si>
  <si>
    <t>INV-2603-0123</t>
  </si>
  <si>
    <t>INV-2603-0124</t>
  </si>
  <si>
    <t>INV-2603-0125</t>
  </si>
  <si>
    <t>INV-2603-0126</t>
  </si>
  <si>
    <t>INV-2603-0127</t>
  </si>
  <si>
    <t>INV-2603-0128</t>
  </si>
  <si>
    <t>INV-2603-0129</t>
  </si>
  <si>
    <t>INV-2603-0130</t>
  </si>
  <si>
    <t>INV-2603-0131</t>
  </si>
  <si>
    <t>INV-2603-0132</t>
  </si>
  <si>
    <t>INV-2603-0133</t>
  </si>
  <si>
    <t>INV-2603-0134</t>
  </si>
  <si>
    <t>INV-2603-0135</t>
  </si>
  <si>
    <t>INV-2603-0136</t>
  </si>
  <si>
    <t>INV-2603-0137</t>
  </si>
  <si>
    <t>INV-2603-0138</t>
  </si>
  <si>
    <t>INV-2603-0139</t>
  </si>
  <si>
    <t>INV-2603-0140</t>
  </si>
  <si>
    <t>INV-2603-0141</t>
  </si>
  <si>
    <t>INV-2603-0142</t>
  </si>
  <si>
    <t>INV-2603-0143</t>
  </si>
  <si>
    <t>INV-2603-0144</t>
  </si>
  <si>
    <t>INV-2603-0145</t>
  </si>
  <si>
    <t>INV-2603-0146</t>
  </si>
  <si>
    <t>INV-2603-0147</t>
  </si>
  <si>
    <t>INV-2603-0148</t>
  </si>
  <si>
    <t>INV-2603-0149</t>
  </si>
  <si>
    <t>INV-2603-0150</t>
  </si>
  <si>
    <t>INV-2603-0151</t>
  </si>
  <si>
    <t>INV-2603-0152</t>
  </si>
  <si>
    <t>INV-2603-0153</t>
  </si>
  <si>
    <t>INV-2603-0154</t>
  </si>
  <si>
    <t>INV-2603-0155</t>
  </si>
  <si>
    <t>INV-2603-0156</t>
  </si>
  <si>
    <t>INV-2603-0157</t>
  </si>
  <si>
    <t>INV-2603-0158</t>
  </si>
  <si>
    <t>INV-2603-0159</t>
  </si>
  <si>
    <t>INV-2603-0160</t>
  </si>
  <si>
    <t>INV-2603-0161</t>
  </si>
  <si>
    <t>INV-2603-0162</t>
  </si>
  <si>
    <t>INV-2603-0163</t>
  </si>
  <si>
    <t>INV-2603-0164</t>
  </si>
  <si>
    <t>INV-2603-0165</t>
  </si>
  <si>
    <t>INV-2603-0166</t>
  </si>
  <si>
    <t>INV-2603-0167</t>
  </si>
  <si>
    <t>INV-2603-0168</t>
  </si>
  <si>
    <t>INV-2603-0169</t>
  </si>
  <si>
    <t>INV-2603-0170</t>
  </si>
  <si>
    <t>INV-2603-0171</t>
  </si>
  <si>
    <t>INV-2603-0172</t>
  </si>
  <si>
    <t>INV-2603-0173</t>
  </si>
  <si>
    <t>INV-2603-0174</t>
  </si>
  <si>
    <t>INV-2603-0175</t>
  </si>
  <si>
    <t>INV-2603-0176</t>
  </si>
  <si>
    <t>INV-2603-0177</t>
  </si>
  <si>
    <t>INV-2603-0178</t>
  </si>
  <si>
    <t>INV-2603-0179</t>
  </si>
  <si>
    <t>INV-2603-0180</t>
  </si>
  <si>
    <t>INV-2603-0181</t>
  </si>
  <si>
    <t>INV-2603-0182</t>
  </si>
  <si>
    <t>INV-2603-0183</t>
  </si>
  <si>
    <t>INV-2603-0184</t>
  </si>
  <si>
    <t>INV-2603-0185</t>
  </si>
  <si>
    <t>INV-2603-0186</t>
  </si>
  <si>
    <t>INV-2603-0187</t>
  </si>
  <si>
    <t>INV-2603-0188</t>
  </si>
  <si>
    <t>INV-2603-0189</t>
  </si>
  <si>
    <t>INV-2603-0190</t>
  </si>
  <si>
    <t>INV-2603-0191</t>
  </si>
  <si>
    <t>INV-2603-0192</t>
  </si>
  <si>
    <t>INV-2603-0193</t>
  </si>
  <si>
    <t>INV-2603-0194</t>
  </si>
  <si>
    <t>INV-2603-0195</t>
  </si>
  <si>
    <t>INV-2603-0196</t>
  </si>
  <si>
    <t>INV-2603-0197</t>
  </si>
  <si>
    <t>INV-2603-0198</t>
  </si>
  <si>
    <t>INV-2603-0199</t>
  </si>
  <si>
    <t>INV-2603-0200</t>
  </si>
  <si>
    <t>INV-2603-0201</t>
  </si>
  <si>
    <t>INV-2603-0202</t>
  </si>
  <si>
    <t>INV-2603-0203</t>
  </si>
  <si>
    <t>INV-2603-0204</t>
  </si>
  <si>
    <t>INV-2603-0205</t>
  </si>
  <si>
    <t>INV-2603-0206</t>
  </si>
  <si>
    <t>INV-2603-0207</t>
  </si>
  <si>
    <t>INV-2603-0208</t>
  </si>
  <si>
    <t>INV-2603-0209</t>
  </si>
  <si>
    <t>INV-2603-0210</t>
  </si>
  <si>
    <t>INV-2603-0211</t>
  </si>
  <si>
    <t>INV-2603-0212</t>
  </si>
  <si>
    <t>INV-2603-0213</t>
  </si>
  <si>
    <t>INV-2603-0214</t>
  </si>
  <si>
    <t>INV-2603-0215</t>
  </si>
  <si>
    <t>INV-2603-0216</t>
  </si>
  <si>
    <t>INV-2603-0217</t>
  </si>
  <si>
    <t>INV-2603-0218</t>
  </si>
  <si>
    <t>INV-2603-0219</t>
  </si>
  <si>
    <t>INV-2603-0220</t>
  </si>
  <si>
    <t>INV-2603-0221</t>
  </si>
  <si>
    <t>INV-2603-0222</t>
  </si>
  <si>
    <t>INV-2603-0223</t>
  </si>
  <si>
    <t>INV-2603-0224</t>
  </si>
  <si>
    <t>INV-2603-0225</t>
  </si>
  <si>
    <t>INV-2603-0226</t>
  </si>
  <si>
    <t>INV-2603-0227</t>
  </si>
  <si>
    <t>INV-2603-0228</t>
  </si>
  <si>
    <t>INV-2603-0229</t>
  </si>
  <si>
    <t>INV-2603-0230</t>
  </si>
  <si>
    <t>INV-2603-0231</t>
  </si>
  <si>
    <t>INV-2603-0232</t>
  </si>
  <si>
    <t>INV-2603-0233</t>
  </si>
  <si>
    <t>INV-2603-0234</t>
  </si>
  <si>
    <t>INV-2603-0235</t>
  </si>
  <si>
    <t>INV-2603-0236</t>
  </si>
  <si>
    <t>INV-2603-0237</t>
  </si>
  <si>
    <t>INV-2603-0238</t>
  </si>
  <si>
    <t>INV-2603-0239</t>
  </si>
  <si>
    <t>INV-2603-0240</t>
  </si>
  <si>
    <t>INV-2603-0241</t>
  </si>
  <si>
    <t>INV-2603-0242</t>
  </si>
  <si>
    <t>INV-2603-0243</t>
  </si>
  <si>
    <t>INV-2603-0244</t>
  </si>
  <si>
    <t>INV-2603-0245</t>
  </si>
  <si>
    <t>INV-2603-0246</t>
  </si>
  <si>
    <t>INV-2603-0247</t>
  </si>
  <si>
    <t>INV-2603-0248</t>
  </si>
  <si>
    <t>INV-2603-0249</t>
  </si>
  <si>
    <t>INV-2603-0250</t>
  </si>
  <si>
    <t>INV-2603-0251</t>
  </si>
  <si>
    <t>INV-2603-0252</t>
  </si>
  <si>
    <t>INV-2603-0253</t>
  </si>
  <si>
    <t>INV-2603-0254</t>
  </si>
  <si>
    <t>INV-2603-0255</t>
  </si>
  <si>
    <t>INV-2603-0256</t>
  </si>
  <si>
    <t>INV-2603-0257</t>
  </si>
  <si>
    <t>INV-2603-0258</t>
  </si>
  <si>
    <t>INV-2603-0259</t>
  </si>
  <si>
    <t>INV-2603-0260</t>
  </si>
  <si>
    <t>INV-2603-0261</t>
  </si>
  <si>
    <t>INV-2603-0262</t>
  </si>
  <si>
    <t>INV-2603-0263</t>
  </si>
  <si>
    <t>INV-2603-0264</t>
  </si>
  <si>
    <t>INV-2603-0265</t>
  </si>
  <si>
    <t>INV-2603-0266</t>
  </si>
  <si>
    <t>INV-2603-0267</t>
  </si>
  <si>
    <t>INV-2603-0268</t>
  </si>
  <si>
    <t>INV-2603-0269</t>
  </si>
  <si>
    <t>INV-2603-0270</t>
  </si>
  <si>
    <t>INV-2603-0271</t>
  </si>
  <si>
    <t>INV-2603-0272</t>
  </si>
  <si>
    <t>INV-2603-0273</t>
  </si>
  <si>
    <t>INV-2603-0274</t>
  </si>
  <si>
    <t>INV-2603-0275</t>
  </si>
  <si>
    <t>INV-2603-0276</t>
  </si>
  <si>
    <t>INV-2603-0277</t>
  </si>
  <si>
    <t>INV-2603-0278</t>
  </si>
  <si>
    <t>INV-2603-0279</t>
  </si>
  <si>
    <t>INV-2603-0280</t>
  </si>
  <si>
    <t>INV-2603-0281</t>
  </si>
  <si>
    <t>INV-2603-0282</t>
  </si>
  <si>
    <t>INV-2603-0283</t>
  </si>
  <si>
    <t>INV-2603-0284</t>
  </si>
  <si>
    <t>INV-2603-0285</t>
  </si>
  <si>
    <t>INV-2603-0286</t>
  </si>
  <si>
    <t>INV-2603-0287</t>
  </si>
  <si>
    <t>INV-2603-0288</t>
  </si>
  <si>
    <t>INV-2603-0289</t>
  </si>
  <si>
    <t>INV-2603-0290</t>
  </si>
  <si>
    <t>INV-2603-0291</t>
  </si>
  <si>
    <t>INV-2603-0292</t>
  </si>
  <si>
    <t>INV-2603-0293</t>
  </si>
  <si>
    <t>INV-2603-0294</t>
  </si>
  <si>
    <t>INV-2603-0295</t>
  </si>
  <si>
    <t>INV-2603-0296</t>
  </si>
  <si>
    <t>INV-2603-0297</t>
  </si>
  <si>
    <t>INV-2603-0298</t>
  </si>
  <si>
    <t>INV-2603-0299</t>
  </si>
  <si>
    <t>INV-2603-0300</t>
  </si>
  <si>
    <t>INV-2603-0301</t>
  </si>
  <si>
    <t>INV-2603-0302</t>
  </si>
  <si>
    <t>INV-2603-0303</t>
  </si>
  <si>
    <t>INV-2603-0304</t>
  </si>
  <si>
    <t>INV-2603-0305</t>
  </si>
  <si>
    <t>INV-2603-0306</t>
  </si>
  <si>
    <t>INV-2603-0307</t>
  </si>
  <si>
    <t>INV-2603-0308</t>
  </si>
  <si>
    <t>INV-2603-0309</t>
  </si>
  <si>
    <t>INV-2603-0310</t>
  </si>
  <si>
    <t>INV-2603-0311</t>
  </si>
  <si>
    <t>INV-2603-0312</t>
  </si>
  <si>
    <t>INV-2603-0313</t>
  </si>
  <si>
    <t>INV-2603-0314</t>
  </si>
  <si>
    <t>INV-2603-0315</t>
  </si>
  <si>
    <t>INV-2603-0316</t>
  </si>
  <si>
    <t>INV-2603-0317</t>
  </si>
  <si>
    <t>INV-2603-0318</t>
  </si>
  <si>
    <t>INV-2603-0319</t>
  </si>
  <si>
    <t>INV-2603-0320</t>
  </si>
  <si>
    <t>INV-2603-0321</t>
  </si>
  <si>
    <t>INV-2603-0322</t>
  </si>
  <si>
    <t>INV-2603-0323</t>
  </si>
  <si>
    <t>INV-2603-0324</t>
  </si>
  <si>
    <t>INV-2603-0325</t>
  </si>
  <si>
    <t>INV-2603-0326</t>
  </si>
  <si>
    <t>INV-2603-0327</t>
  </si>
  <si>
    <t>INV-2603-0328</t>
  </si>
  <si>
    <t>INV-2603-0329</t>
  </si>
  <si>
    <t>INV-2603-0330</t>
  </si>
  <si>
    <t>INV-2603-0331</t>
  </si>
  <si>
    <t>INV-2603-0332</t>
  </si>
  <si>
    <t>INV-2603-0333</t>
  </si>
  <si>
    <t>INV-2603-0334</t>
  </si>
  <si>
    <t>INV-2603-0335</t>
  </si>
  <si>
    <t>INV-2603-0336</t>
  </si>
  <si>
    <t>INV-2603-0337</t>
  </si>
  <si>
    <t>INV-2603-0338</t>
  </si>
  <si>
    <t>INV-2603-0339</t>
  </si>
  <si>
    <t>INV-2603-0340</t>
  </si>
  <si>
    <t>INV-2603-0341</t>
  </si>
  <si>
    <t>INV-2603-0342</t>
  </si>
  <si>
    <t>INV-2603-0343</t>
  </si>
  <si>
    <t>INV-2603-0344</t>
  </si>
  <si>
    <t>INV-2603-0345</t>
  </si>
  <si>
    <t>INV-2603-0346</t>
  </si>
  <si>
    <t>INV-2603-0347</t>
  </si>
  <si>
    <t>INV-2603-0348</t>
  </si>
  <si>
    <t>INV-2603-0349</t>
  </si>
  <si>
    <t>INV-2603-0350</t>
  </si>
  <si>
    <t>INV-2603-0351</t>
  </si>
  <si>
    <t>INV-2603-0352</t>
  </si>
  <si>
    <t>INV-2603-0353</t>
  </si>
  <si>
    <t>INV-2603-0354</t>
  </si>
  <si>
    <t>INV-2603-0355</t>
  </si>
  <si>
    <t>INV-2603-0356</t>
  </si>
  <si>
    <t>INV-2603-0357</t>
  </si>
  <si>
    <t>INV-2603-0358</t>
  </si>
  <si>
    <t>INV-2603-0359</t>
  </si>
  <si>
    <t>INV-2603-0360</t>
  </si>
  <si>
    <t>INV-2603-0361</t>
  </si>
  <si>
    <t>INV-2603-0362</t>
  </si>
  <si>
    <t>INV-2603-0363</t>
  </si>
  <si>
    <t>INV-2603-0364</t>
  </si>
  <si>
    <t>INV-2603-0365</t>
  </si>
  <si>
    <t>INV-2603-0366</t>
  </si>
  <si>
    <t>INV-2603-0367</t>
  </si>
  <si>
    <t>INV-2603-0368</t>
  </si>
  <si>
    <t>INV-2603-0369</t>
  </si>
  <si>
    <t>INV-2603-0370</t>
  </si>
  <si>
    <t>INV-2603-0371</t>
  </si>
  <si>
    <t>INV-2603-0372</t>
  </si>
  <si>
    <t>INV-2603-0373</t>
  </si>
  <si>
    <t>INV-2603-0374</t>
  </si>
  <si>
    <t>INV-2603-0375</t>
  </si>
  <si>
    <t>INV-2603-0376</t>
  </si>
  <si>
    <t>INV-2603-0377</t>
  </si>
  <si>
    <t>INV-2603-0378</t>
  </si>
  <si>
    <t>INV-2603-0379</t>
  </si>
  <si>
    <t>INV-2603-0380</t>
  </si>
  <si>
    <t>INV-2603-0381</t>
  </si>
  <si>
    <t>INV-2603-0382</t>
  </si>
  <si>
    <t>INV-2603-0383</t>
  </si>
  <si>
    <t>INV-2603-0384</t>
  </si>
  <si>
    <t>INV-2603-0385</t>
  </si>
  <si>
    <t>INV-2603-0386</t>
  </si>
  <si>
    <t>INV-2603-0387</t>
  </si>
  <si>
    <t>INV-2603-0388</t>
  </si>
  <si>
    <t>INV-2603-0389</t>
  </si>
  <si>
    <t>INV-2603-0390</t>
  </si>
  <si>
    <t>INV-2603-0391</t>
  </si>
  <si>
    <t>INV-2603-0392</t>
  </si>
  <si>
    <t>INV-2603-0393</t>
  </si>
  <si>
    <t>INV-2603-0394</t>
  </si>
  <si>
    <t>INV-2603-0395</t>
  </si>
  <si>
    <t>INV-2603-0396</t>
  </si>
  <si>
    <t>INV-2603-0397</t>
  </si>
  <si>
    <t>INV-2604-0001</t>
  </si>
  <si>
    <t>INV-2604-0002</t>
  </si>
  <si>
    <t>INV-2604-0003</t>
  </si>
  <si>
    <t>INV-2604-0004</t>
  </si>
  <si>
    <t>INV-2604-0005</t>
  </si>
  <si>
    <t>INV-2604-0006</t>
  </si>
  <si>
    <t>INV-2604-0007</t>
  </si>
  <si>
    <t>INV-2604-0008</t>
  </si>
  <si>
    <t>INV-2604-0009</t>
  </si>
  <si>
    <t>INV-2604-0010</t>
  </si>
  <si>
    <t>INV-2604-0011</t>
  </si>
  <si>
    <t>INV-2604-0012</t>
  </si>
  <si>
    <t>INV-2604-0013</t>
  </si>
  <si>
    <t>INV-2604-0014</t>
  </si>
  <si>
    <t>INV-2604-0015</t>
  </si>
  <si>
    <t>INV-2604-0016</t>
  </si>
  <si>
    <t>INV-2604-0017</t>
  </si>
  <si>
    <t>INV-2604-0018</t>
  </si>
  <si>
    <t>INV-2604-0019</t>
  </si>
  <si>
    <t>INV-2604-0020</t>
  </si>
  <si>
    <t>INV-2604-0021</t>
  </si>
  <si>
    <t>INV-2604-0022</t>
  </si>
  <si>
    <t>INV-2604-0023</t>
  </si>
  <si>
    <t>INV-2604-0024</t>
  </si>
  <si>
    <t>INV-2604-0025</t>
  </si>
  <si>
    <t>INV-2604-0026</t>
  </si>
  <si>
    <t>INV-2604-0027</t>
  </si>
  <si>
    <t>INV-2604-0028</t>
  </si>
  <si>
    <t>INV-2604-0029</t>
  </si>
  <si>
    <t>INV-2604-0030</t>
  </si>
  <si>
    <t>INV-2604-0031</t>
  </si>
  <si>
    <t>INV-2604-0032</t>
  </si>
  <si>
    <t>INV-2604-0033</t>
  </si>
  <si>
    <t>INV-2604-0034</t>
  </si>
  <si>
    <t>INV-2604-0035</t>
  </si>
  <si>
    <t>INV-2604-0036</t>
  </si>
  <si>
    <t>INV-2604-0037</t>
  </si>
  <si>
    <t>INV-2604-0038</t>
  </si>
  <si>
    <t>INV-2604-0039</t>
  </si>
  <si>
    <t>INV-2604-0040</t>
  </si>
  <si>
    <t>INV-2604-0041</t>
  </si>
  <si>
    <t>INV-2604-0042</t>
  </si>
  <si>
    <t>INV-2604-0043</t>
  </si>
  <si>
    <t>INV-2604-0044</t>
  </si>
  <si>
    <t>INV-2604-0045</t>
  </si>
  <si>
    <t>INV-2604-0046</t>
  </si>
  <si>
    <t>INV-2604-0047</t>
  </si>
  <si>
    <t>INV-2604-0048</t>
  </si>
  <si>
    <t>INV-2604-0049</t>
  </si>
  <si>
    <t>INV-2604-0050</t>
  </si>
  <si>
    <t>INV-2604-0051</t>
  </si>
  <si>
    <t>INV-2604-0052</t>
  </si>
  <si>
    <t>INV-2604-0053</t>
  </si>
  <si>
    <t>INV-2604-0054</t>
  </si>
  <si>
    <t>INV-2604-0055</t>
  </si>
  <si>
    <t>INV-2604-0056</t>
  </si>
  <si>
    <t>INV-2604-0057</t>
  </si>
  <si>
    <t>INV-2604-0058</t>
  </si>
  <si>
    <t>INV-2604-0059</t>
  </si>
  <si>
    <t>INV-2604-0060</t>
  </si>
  <si>
    <t>INV-2604-0061</t>
  </si>
  <si>
    <t>INV-2604-0062</t>
  </si>
  <si>
    <t>INV-2604-0063</t>
  </si>
  <si>
    <t>INV-2604-0064</t>
  </si>
  <si>
    <t>INV-2604-0065</t>
  </si>
  <si>
    <t>INV-2604-0066</t>
  </si>
  <si>
    <t>INV-2604-0067</t>
  </si>
  <si>
    <t>INV-2604-0068</t>
  </si>
  <si>
    <t>INV-2604-0069</t>
  </si>
  <si>
    <t>INV-2604-0070</t>
  </si>
  <si>
    <t>INV-2604-0071</t>
  </si>
  <si>
    <t>INV-2604-0072</t>
  </si>
  <si>
    <t>INV-2604-0073</t>
  </si>
  <si>
    <t>INV-2604-0074</t>
  </si>
  <si>
    <t>INV-2604-0075</t>
  </si>
  <si>
    <t>INV-2604-0076</t>
  </si>
  <si>
    <t>INV-2604-0077</t>
  </si>
  <si>
    <t>INV-2604-0078</t>
  </si>
  <si>
    <t>INV-2604-0079</t>
  </si>
  <si>
    <t>INV-2604-0080</t>
  </si>
  <si>
    <t>INV-2604-0081</t>
  </si>
  <si>
    <t>INV-2604-0082</t>
  </si>
  <si>
    <t>INV-2604-0083</t>
  </si>
  <si>
    <t>INV-2604-0084</t>
  </si>
  <si>
    <t>INV-2604-0085</t>
  </si>
  <si>
    <t>INV-2604-0086</t>
  </si>
  <si>
    <t>INV-2604-0087</t>
  </si>
  <si>
    <t>INV-2604-0088</t>
  </si>
  <si>
    <t>INV-2604-0089</t>
  </si>
  <si>
    <t>INV-2604-0090</t>
  </si>
  <si>
    <t>INV-2604-0091</t>
  </si>
  <si>
    <t>INV-2604-0092</t>
  </si>
  <si>
    <t>INV-2604-0093</t>
  </si>
  <si>
    <t>INV-2604-0094</t>
  </si>
  <si>
    <t>INV-2604-0095</t>
  </si>
  <si>
    <t>INV-2604-0096</t>
  </si>
  <si>
    <t>INV-2604-0097</t>
  </si>
  <si>
    <t>INV-2604-0098</t>
  </si>
  <si>
    <t>INV-2604-0099</t>
  </si>
  <si>
    <t>INV-2604-0100</t>
  </si>
  <si>
    <t>INV-2604-0101</t>
  </si>
  <si>
    <t>INV-2604-0102</t>
  </si>
  <si>
    <t>INV-2604-0103</t>
  </si>
  <si>
    <t>INV-2604-0104</t>
  </si>
  <si>
    <t>INV-2604-0105</t>
  </si>
  <si>
    <t>INV-2604-0106</t>
  </si>
  <si>
    <t>INV-2604-0107</t>
  </si>
  <si>
    <t>INV-2604-0108</t>
  </si>
  <si>
    <t>INV-2604-0109</t>
  </si>
  <si>
    <t>INV-2604-0110</t>
  </si>
  <si>
    <t>INV-2604-0111</t>
  </si>
  <si>
    <t>INV-2604-0112</t>
  </si>
  <si>
    <t>INV-2604-0113</t>
  </si>
  <si>
    <t>INV-2604-0114</t>
  </si>
  <si>
    <t>INV-2604-0115</t>
  </si>
  <si>
    <t>INV-2604-0116</t>
  </si>
  <si>
    <t>INV-2604-0117</t>
  </si>
  <si>
    <t>INV-2604-0118</t>
  </si>
  <si>
    <t>INV-2604-0119</t>
  </si>
  <si>
    <t>INV-2604-0120</t>
  </si>
  <si>
    <t>INV-2604-0121</t>
  </si>
  <si>
    <t>INV-2604-0122</t>
  </si>
  <si>
    <t>INV-2604-0123</t>
  </si>
  <si>
    <t>INV-2604-0124</t>
  </si>
  <si>
    <t>INV-2604-0125</t>
  </si>
  <si>
    <t>INV-2604-0126</t>
  </si>
  <si>
    <t>INV-2604-0127</t>
  </si>
  <si>
    <t>INV-2604-0128</t>
  </si>
  <si>
    <t>INV-2604-0129</t>
  </si>
  <si>
    <t>INV-2604-0130</t>
  </si>
  <si>
    <t>INV-2604-0131</t>
  </si>
  <si>
    <t>INV-2604-0132</t>
  </si>
  <si>
    <t>INV-2604-0133</t>
  </si>
  <si>
    <t>INV-2604-0134</t>
  </si>
  <si>
    <t>INV-2604-0135</t>
  </si>
  <si>
    <t>INV-2604-0136</t>
  </si>
  <si>
    <t>INV-2604-0137</t>
  </si>
  <si>
    <t>INV-2604-0138</t>
  </si>
  <si>
    <t>INV-2604-0139</t>
  </si>
  <si>
    <t>INV-2604-0140</t>
  </si>
  <si>
    <t>INV-2604-0141</t>
  </si>
  <si>
    <t>INV-2604-0142</t>
  </si>
  <si>
    <t>INV-2604-0143</t>
  </si>
  <si>
    <t>INV-2604-0144</t>
  </si>
  <si>
    <t>INV-2604-0145</t>
  </si>
  <si>
    <t>INV-2604-0146</t>
  </si>
  <si>
    <t>INV-2604-0147</t>
  </si>
  <si>
    <t>INV-2604-0148</t>
  </si>
  <si>
    <t>INV-2604-0149</t>
  </si>
  <si>
    <t>INV-2604-0150</t>
  </si>
  <si>
    <t>INV-2604-0151</t>
  </si>
  <si>
    <t>INV-2604-0152</t>
  </si>
  <si>
    <t>INV-2604-0153</t>
  </si>
  <si>
    <t>INV-2604-0154</t>
  </si>
  <si>
    <t>INV-2604-0155</t>
  </si>
  <si>
    <t>INV-2604-0156</t>
  </si>
  <si>
    <t>INV-2604-0157</t>
  </si>
  <si>
    <t>INV-2604-0158</t>
  </si>
  <si>
    <t>INV-2604-0159</t>
  </si>
  <si>
    <t>INV-2604-0160</t>
  </si>
  <si>
    <t>INV-2604-0161</t>
  </si>
  <si>
    <t>INV-2604-0162</t>
  </si>
  <si>
    <t>INV-2604-0163</t>
  </si>
  <si>
    <t>INV-2604-0164</t>
  </si>
  <si>
    <t>INV-2604-0165</t>
  </si>
  <si>
    <t>INV-2604-0166</t>
  </si>
  <si>
    <t>INV-2604-0167</t>
  </si>
  <si>
    <t>INV-2604-0168</t>
  </si>
  <si>
    <t>INV-2604-0169</t>
  </si>
  <si>
    <t>INV-2604-0170</t>
  </si>
  <si>
    <t>INV-2604-0171</t>
  </si>
  <si>
    <t>INV-2604-0172</t>
  </si>
  <si>
    <t>INV-2604-0173</t>
  </si>
  <si>
    <t>INV-2604-0174</t>
  </si>
  <si>
    <t>INV-2604-0175</t>
  </si>
  <si>
    <t>INV-2604-0176</t>
  </si>
  <si>
    <t>INV-2604-0177</t>
  </si>
  <si>
    <t>INV-2604-0178</t>
  </si>
  <si>
    <t>INV-2604-0179</t>
  </si>
  <si>
    <t>INV-2604-0180</t>
  </si>
  <si>
    <t>INV-2604-0181</t>
  </si>
  <si>
    <t>INV-2604-0182</t>
  </si>
  <si>
    <t>INV-2604-0183</t>
  </si>
  <si>
    <t>INV-2604-0184</t>
  </si>
  <si>
    <t>INV-2604-0185</t>
  </si>
  <si>
    <t>INV-2604-0186</t>
  </si>
  <si>
    <t>INV-2604-0187</t>
  </si>
  <si>
    <t>INV-2604-0188</t>
  </si>
  <si>
    <t>INV-2604-0189</t>
  </si>
  <si>
    <t>INV-2604-0190</t>
  </si>
  <si>
    <t>INV-2604-0191</t>
  </si>
  <si>
    <t>INV-2604-0192</t>
  </si>
  <si>
    <t>INV-2604-0193</t>
  </si>
  <si>
    <t>INV-2604-0194</t>
  </si>
  <si>
    <t>INV-2604-0195</t>
  </si>
  <si>
    <t>INV-2604-0196</t>
  </si>
  <si>
    <t>INV-2604-0197</t>
  </si>
  <si>
    <t>INV-2604-0198</t>
  </si>
  <si>
    <t>INV-2604-0199</t>
  </si>
  <si>
    <t>INV-2604-0200</t>
  </si>
  <si>
    <t>INV-2604-0201</t>
  </si>
  <si>
    <t>INV-2604-0202</t>
  </si>
  <si>
    <t>INV-2604-0203</t>
  </si>
  <si>
    <t>INV-2604-0204</t>
  </si>
  <si>
    <t>INV-2604-0205</t>
  </si>
  <si>
    <t>INV-2604-0206</t>
  </si>
  <si>
    <t>INV-2604-0207</t>
  </si>
  <si>
    <t>INV-2604-0208</t>
  </si>
  <si>
    <t>INV-2604-0209</t>
  </si>
  <si>
    <t>INV-2604-0210</t>
  </si>
  <si>
    <t>INV-2604-0211</t>
  </si>
  <si>
    <t>INV-2604-0212</t>
  </si>
  <si>
    <t>INV-2604-0213</t>
  </si>
  <si>
    <t>INV-2604-0214</t>
  </si>
  <si>
    <t>INV-2604-0215</t>
  </si>
  <si>
    <t>INV-2604-0216</t>
  </si>
  <si>
    <t>INV-2604-0217</t>
  </si>
  <si>
    <t>INV-2604-0218</t>
  </si>
  <si>
    <t>INV-2604-0219</t>
  </si>
  <si>
    <t>INV-2604-0220</t>
  </si>
  <si>
    <t>INV-2604-0221</t>
  </si>
  <si>
    <t>INV-2604-0222</t>
  </si>
  <si>
    <t>INV-2604-0223</t>
  </si>
  <si>
    <t>INV-2604-0224</t>
  </si>
  <si>
    <t>INV-2604-0225</t>
  </si>
  <si>
    <t>INV-2604-0226</t>
  </si>
  <si>
    <t>INV-2604-0227</t>
  </si>
  <si>
    <t>INV-2604-0228</t>
  </si>
  <si>
    <t>INV-2604-0229</t>
  </si>
  <si>
    <t>INV-2604-0230</t>
  </si>
  <si>
    <t>INV-2604-0231</t>
  </si>
  <si>
    <t>INV-2604-0232</t>
  </si>
  <si>
    <t>INV-2604-0233</t>
  </si>
  <si>
    <t>INV-2604-0234</t>
  </si>
  <si>
    <t>INV-2604-0235</t>
  </si>
  <si>
    <t>INV-2604-0236</t>
  </si>
  <si>
    <t>INV-2604-0237</t>
  </si>
  <si>
    <t>INV-2604-0238</t>
  </si>
  <si>
    <t>INV-2604-0239</t>
  </si>
  <si>
    <t>INV-2604-0240</t>
  </si>
  <si>
    <t>INV-2604-0241</t>
  </si>
  <si>
    <t>INV-2604-0242</t>
  </si>
  <si>
    <t>INV-2604-0243</t>
  </si>
  <si>
    <t>INV-2604-0244</t>
  </si>
  <si>
    <t>INV-2604-0245</t>
  </si>
  <si>
    <t>INV-2604-0246</t>
  </si>
  <si>
    <t>INV-2604-0247</t>
  </si>
  <si>
    <t>INV-2604-0248</t>
  </si>
  <si>
    <t>INV-2604-0249</t>
  </si>
  <si>
    <t>INV-2604-0250</t>
  </si>
  <si>
    <t>INV-2604-0251</t>
  </si>
  <si>
    <t>INV-2604-0252</t>
  </si>
  <si>
    <t>INV-2604-0253</t>
  </si>
  <si>
    <t>INV-2604-0254</t>
  </si>
  <si>
    <t>INV-2604-0255</t>
  </si>
  <si>
    <t>INV-2604-0256</t>
  </si>
  <si>
    <t>INV-2604-0257</t>
  </si>
  <si>
    <t>INV-2604-0258</t>
  </si>
  <si>
    <t>INV-2604-0259</t>
  </si>
  <si>
    <t>INV-2604-0260</t>
  </si>
  <si>
    <t>INV-2604-0261</t>
  </si>
  <si>
    <t>INV-2604-0262</t>
  </si>
  <si>
    <t>INV-2604-0263</t>
  </si>
  <si>
    <t>INV-2604-0264</t>
  </si>
  <si>
    <t>INV-2604-0265</t>
  </si>
  <si>
    <t>INV-2604-0266</t>
  </si>
  <si>
    <t>INV-2604-0267</t>
  </si>
  <si>
    <t>INV-2604-0268</t>
  </si>
  <si>
    <t>INV-2604-0269</t>
  </si>
  <si>
    <t>INV-2604-0270</t>
  </si>
  <si>
    <t>INV-2604-0271</t>
  </si>
  <si>
    <t>INV-2604-0272</t>
  </si>
  <si>
    <t>INV-2604-0273</t>
  </si>
  <si>
    <t>INV-2604-0274</t>
  </si>
  <si>
    <t>INV-2604-0275</t>
  </si>
  <si>
    <t>INV-2604-0276</t>
  </si>
  <si>
    <t>INV-2604-0277</t>
  </si>
  <si>
    <t>INV-2604-0278</t>
  </si>
  <si>
    <t>INV-2604-0279</t>
  </si>
  <si>
    <t>INV-2604-0280</t>
  </si>
  <si>
    <t>INV-2604-0281</t>
  </si>
  <si>
    <t>INV-2604-0282</t>
  </si>
  <si>
    <t>INV-2604-0283</t>
  </si>
  <si>
    <t>INV-2604-0284</t>
  </si>
  <si>
    <t>INV-2604-0285</t>
  </si>
  <si>
    <t>INV-2604-0286</t>
  </si>
  <si>
    <t>INV-2604-0287</t>
  </si>
  <si>
    <t>INV-2604-0288</t>
  </si>
  <si>
    <t>INV-2604-0289</t>
  </si>
  <si>
    <t>INV-2604-0290</t>
  </si>
  <si>
    <t>INV-2604-0291</t>
  </si>
  <si>
    <t>INV-2604-0292</t>
  </si>
  <si>
    <t>INV-2604-0293</t>
  </si>
  <si>
    <t>INV-2604-0294</t>
  </si>
  <si>
    <t>INV-2604-0295</t>
  </si>
  <si>
    <t>INV-2604-0296</t>
  </si>
  <si>
    <t>INV-2604-0297</t>
  </si>
  <si>
    <t>INV-2604-0298</t>
  </si>
  <si>
    <t>INV-2604-0299</t>
  </si>
  <si>
    <t>INV-2604-0300</t>
  </si>
  <si>
    <t>INV-2604-0301</t>
  </si>
  <si>
    <t>INV-2604-0302</t>
  </si>
  <si>
    <t>INV-2604-0303</t>
  </si>
  <si>
    <t>INV-2604-0304</t>
  </si>
  <si>
    <t>INV-2605-0001</t>
  </si>
  <si>
    <t>INV-2605-0002</t>
  </si>
  <si>
    <t>INV-2605-0003</t>
  </si>
  <si>
    <t>INV-2605-0004</t>
  </si>
  <si>
    <t>INV-2605-0005</t>
  </si>
  <si>
    <t>INV-2605-0006</t>
  </si>
  <si>
    <t>INV-2605-0007</t>
  </si>
  <si>
    <t>INV-2605-0008</t>
  </si>
  <si>
    <t>INV-2605-0009</t>
  </si>
  <si>
    <t>INV-2605-0010</t>
  </si>
  <si>
    <t>INV-2605-0011</t>
  </si>
  <si>
    <t>INV-2605-0012</t>
  </si>
  <si>
    <t>INV-2605-0013</t>
  </si>
  <si>
    <t>INV-2605-0014</t>
  </si>
  <si>
    <t>INV-2605-0015</t>
  </si>
  <si>
    <t>INV-2605-0016</t>
  </si>
  <si>
    <t>INV-2605-0017</t>
  </si>
  <si>
    <t>INV-2605-0018</t>
  </si>
  <si>
    <t>INV-2605-0019</t>
  </si>
  <si>
    <t>INV-2605-0020</t>
  </si>
  <si>
    <t>INV-2605-0021</t>
  </si>
  <si>
    <t>INV-2605-0022</t>
  </si>
  <si>
    <t>INV-2605-0023</t>
  </si>
  <si>
    <t>INV-2605-0024</t>
  </si>
  <si>
    <t>INV-2605-0025</t>
  </si>
  <si>
    <t>INV-2605-0026</t>
  </si>
  <si>
    <t>INV-2605-0027</t>
  </si>
  <si>
    <t>INV-2605-0028</t>
  </si>
  <si>
    <t>INV-2605-0029</t>
  </si>
  <si>
    <t>INV-2605-0030</t>
  </si>
  <si>
    <t>INV-2605-0031</t>
  </si>
  <si>
    <t>INV-2605-0032</t>
  </si>
  <si>
    <t>INV-2605-0033</t>
  </si>
  <si>
    <t>INV-2605-0034</t>
  </si>
  <si>
    <t>INV-2605-0035</t>
  </si>
  <si>
    <t>INV-2605-0036</t>
  </si>
  <si>
    <t>INV-2605-0037</t>
  </si>
  <si>
    <t>INV-2605-0038</t>
  </si>
  <si>
    <t>INV-2605-0039</t>
  </si>
  <si>
    <t>INV-2605-0040</t>
  </si>
  <si>
    <t>INV-2605-0041</t>
  </si>
  <si>
    <t>INV-2605-0042</t>
  </si>
  <si>
    <t>INV-2605-0043</t>
  </si>
  <si>
    <t>INV-2605-0044</t>
  </si>
  <si>
    <t>INV-2605-0045</t>
  </si>
  <si>
    <t>INV-2605-0046</t>
  </si>
  <si>
    <t>INV-2605-0047</t>
  </si>
  <si>
    <t>INV-2605-0048</t>
  </si>
  <si>
    <t>INV-2605-0049</t>
  </si>
  <si>
    <t>INV-2605-0050</t>
  </si>
  <si>
    <t>INV-2605-0051</t>
  </si>
  <si>
    <t>INV-2605-0052</t>
  </si>
  <si>
    <t>INV-2605-0053</t>
  </si>
  <si>
    <t>INV-2605-0054</t>
  </si>
  <si>
    <t>INV-2605-0055</t>
  </si>
  <si>
    <t>INV-2605-0056</t>
  </si>
  <si>
    <t>INV-2605-0057</t>
  </si>
  <si>
    <t>INV-2605-0058</t>
  </si>
  <si>
    <t>INV-2605-0059</t>
  </si>
  <si>
    <t>INV-2605-0060</t>
  </si>
  <si>
    <t>INV-2605-0061</t>
  </si>
  <si>
    <t>INV-2605-0062</t>
  </si>
  <si>
    <t>INV-2605-0063</t>
  </si>
  <si>
    <t>INV-2605-0064</t>
  </si>
  <si>
    <t>INV-2605-0065</t>
  </si>
  <si>
    <t>INV-2605-0066</t>
  </si>
  <si>
    <t>INV-2605-0067</t>
  </si>
  <si>
    <t>INV-2605-0068</t>
  </si>
  <si>
    <t>INV-2605-0069</t>
  </si>
  <si>
    <t>INV-2605-0070</t>
  </si>
  <si>
    <t>INV-2605-0071</t>
  </si>
  <si>
    <t>INV-2605-0072</t>
  </si>
  <si>
    <t>INV-2605-0073</t>
  </si>
  <si>
    <t>INV-2605-0074</t>
  </si>
  <si>
    <t>INV-2605-0075</t>
  </si>
  <si>
    <t>INV-2605-0076</t>
  </si>
  <si>
    <t>INV-2605-0077</t>
  </si>
  <si>
    <t>INV-2605-0078</t>
  </si>
  <si>
    <t>INV-2605-0079</t>
  </si>
  <si>
    <t>INV-2605-0080</t>
  </si>
  <si>
    <t>INV-2605-0081</t>
  </si>
  <si>
    <t>INV-2605-0082</t>
  </si>
  <si>
    <t>INV-2605-0083</t>
  </si>
  <si>
    <t>INV-2605-0084</t>
  </si>
  <si>
    <t>INV-2605-0085</t>
  </si>
  <si>
    <t>INV-2605-0086</t>
  </si>
  <si>
    <t>INV-2605-0087</t>
  </si>
  <si>
    <t>INV-2605-0088</t>
  </si>
  <si>
    <t>INV-2605-0089</t>
  </si>
  <si>
    <t>INV-2605-0090</t>
  </si>
  <si>
    <t>INV-2605-0091</t>
  </si>
  <si>
    <t>INV-2605-0092</t>
  </si>
  <si>
    <t>INV-2605-0093</t>
  </si>
  <si>
    <t>INV-2605-0094</t>
  </si>
  <si>
    <t>INV-2605-0095</t>
  </si>
  <si>
    <t>INV-2605-0096</t>
  </si>
  <si>
    <t>INV-2605-0097</t>
  </si>
  <si>
    <t>INV-2605-0098</t>
  </si>
  <si>
    <t>INV-2605-0099</t>
  </si>
  <si>
    <t>INV-2605-0100</t>
  </si>
  <si>
    <t>INV-2605-0101</t>
  </si>
  <si>
    <t>INV-2605-0102</t>
  </si>
  <si>
    <t>INV-2605-0103</t>
  </si>
  <si>
    <t>INV-2605-0104</t>
  </si>
  <si>
    <t>INV-2605-0105</t>
  </si>
  <si>
    <t>INV-2605-0106</t>
  </si>
  <si>
    <t>INV-2605-0107</t>
  </si>
  <si>
    <t>INV-2605-0108</t>
  </si>
  <si>
    <t>INV-2605-0109</t>
  </si>
  <si>
    <t>INV-2605-0110</t>
  </si>
  <si>
    <t>INV-2605-0111</t>
  </si>
  <si>
    <t>INV-2605-0112</t>
  </si>
  <si>
    <t>INV-2605-0113</t>
  </si>
  <si>
    <t>INV-2605-0114</t>
  </si>
  <si>
    <t>INV-2605-0115</t>
  </si>
  <si>
    <t>INV-2605-0116</t>
  </si>
  <si>
    <t>INV-2605-0117</t>
  </si>
  <si>
    <t>INV-2605-0118</t>
  </si>
  <si>
    <t>INV-2605-0119</t>
  </si>
  <si>
    <t>INV-2605-0120</t>
  </si>
  <si>
    <t>INV-2605-0121</t>
  </si>
  <si>
    <t>INV-2605-0122</t>
  </si>
  <si>
    <t>INV-2605-0123</t>
  </si>
  <si>
    <t>INV-2605-0124</t>
  </si>
  <si>
    <t>INV-2605-0125</t>
  </si>
  <si>
    <t>INV-2605-0126</t>
  </si>
  <si>
    <t>INV-2605-0127</t>
  </si>
  <si>
    <t>INV-2605-0128</t>
  </si>
  <si>
    <t>INV-2605-0129</t>
  </si>
  <si>
    <t>INV-2605-0130</t>
  </si>
  <si>
    <t>INV-2605-0131</t>
  </si>
  <si>
    <t>INV-2605-0132</t>
  </si>
  <si>
    <t>INV-2605-0133</t>
  </si>
  <si>
    <t>INV-2605-0134</t>
  </si>
  <si>
    <t>INV-2605-0135</t>
  </si>
  <si>
    <t>INV-2605-0136</t>
  </si>
  <si>
    <t>INV-2605-0137</t>
  </si>
  <si>
    <t>INV-2605-0138</t>
  </si>
  <si>
    <t>INV-2605-0139</t>
  </si>
  <si>
    <t>INV-2605-0140</t>
  </si>
  <si>
    <t>INV-2605-0141</t>
  </si>
  <si>
    <t>INV-2605-0142</t>
  </si>
  <si>
    <t>INV-2605-0143</t>
  </si>
  <si>
    <t>INV-2605-0144</t>
  </si>
  <si>
    <t>INV-2605-0145</t>
  </si>
  <si>
    <t>INV-2605-0146</t>
  </si>
  <si>
    <t>INV-2605-0147</t>
  </si>
  <si>
    <t>INV-2605-0148</t>
  </si>
  <si>
    <t>INV-2605-0149</t>
  </si>
  <si>
    <t>INV-2605-0150</t>
  </si>
  <si>
    <t>INV-2605-0151</t>
  </si>
  <si>
    <t>INV-2605-0152</t>
  </si>
  <si>
    <t>INV-2605-0153</t>
  </si>
  <si>
    <t>INV-2605-0154</t>
  </si>
  <si>
    <t>INV-2605-0155</t>
  </si>
  <si>
    <t>INV-2605-0156</t>
  </si>
  <si>
    <t>INV-2605-0157</t>
  </si>
  <si>
    <t>INV-2605-0158</t>
  </si>
  <si>
    <t>INV-2605-0159</t>
  </si>
  <si>
    <t>INV-2605-0160</t>
  </si>
  <si>
    <t>INV-2605-0161</t>
  </si>
  <si>
    <t>INV-2605-0162</t>
  </si>
  <si>
    <t>INV-2605-0163</t>
  </si>
  <si>
    <t>INV-2605-0164</t>
  </si>
  <si>
    <t>INV-2605-0165</t>
  </si>
  <si>
    <t>INV-2605-0166</t>
  </si>
  <si>
    <t>INV-2605-0167</t>
  </si>
  <si>
    <t>INV-2605-0168</t>
  </si>
  <si>
    <t>INV-2605-0169</t>
  </si>
  <si>
    <t>INV-2605-0170</t>
  </si>
  <si>
    <t>INV-2605-0171</t>
  </si>
  <si>
    <t>INV-2605-0172</t>
  </si>
  <si>
    <t>INV-2605-0173</t>
  </si>
  <si>
    <t>INV-2605-0174</t>
  </si>
  <si>
    <t>INV-2605-0175</t>
  </si>
  <si>
    <t>INV-2605-0176</t>
  </si>
  <si>
    <t>INV-2605-0177</t>
  </si>
  <si>
    <t>INV-2605-0178</t>
  </si>
  <si>
    <t>INV-2605-0179</t>
  </si>
  <si>
    <t>INV-2605-0180</t>
  </si>
  <si>
    <t>INV-2605-0181</t>
  </si>
  <si>
    <t>INV-2605-0182</t>
  </si>
  <si>
    <t>INV-2605-0183</t>
  </si>
  <si>
    <t>INV-2605-0184</t>
  </si>
  <si>
    <t>INV-2605-0185</t>
  </si>
  <si>
    <t>INV-2605-0186</t>
  </si>
  <si>
    <t>INV-2605-0187</t>
  </si>
  <si>
    <t>INV-2605-0188</t>
  </si>
  <si>
    <t>INV-2605-0189</t>
  </si>
  <si>
    <t>INV-2605-0190</t>
  </si>
  <si>
    <t>INV-2605-0191</t>
  </si>
  <si>
    <t>INV-2605-0192</t>
  </si>
  <si>
    <t>INV-2605-0193</t>
  </si>
  <si>
    <t>INV-2605-0194</t>
  </si>
  <si>
    <t>INV-2605-0195</t>
  </si>
  <si>
    <t>INV-2605-0196</t>
  </si>
  <si>
    <t>INV-2605-0197</t>
  </si>
  <si>
    <t>INV-2605-0198</t>
  </si>
  <si>
    <t>INV-2605-0199</t>
  </si>
  <si>
    <t>INV-2605-0200</t>
  </si>
  <si>
    <t>INV-2605-0201</t>
  </si>
  <si>
    <t>INV-2605-0202</t>
  </si>
  <si>
    <t>INV-2605-0203</t>
  </si>
  <si>
    <t>INV-2605-0204</t>
  </si>
  <si>
    <t>INV-2605-0205</t>
  </si>
  <si>
    <t>INV-2605-0206</t>
  </si>
  <si>
    <t>INV-2605-0207</t>
  </si>
  <si>
    <t>INV-2605-0208</t>
  </si>
  <si>
    <t>INV-2605-0209</t>
  </si>
  <si>
    <t>INV-2605-0210</t>
  </si>
  <si>
    <t>INV-2605-0211</t>
  </si>
  <si>
    <t>INV-2605-0212</t>
  </si>
  <si>
    <t>INV-2605-0213</t>
  </si>
  <si>
    <t>INV-2605-0214</t>
  </si>
  <si>
    <t>INV-2605-0215</t>
  </si>
  <si>
    <t>INV-2605-0216</t>
  </si>
  <si>
    <t>INV-2605-0217</t>
  </si>
  <si>
    <t>INV-2605-0218</t>
  </si>
  <si>
    <t>INV-2605-0219</t>
  </si>
  <si>
    <t>INV-2605-0220</t>
  </si>
  <si>
    <t>INV-2605-0221</t>
  </si>
  <si>
    <t>INV-2605-0222</t>
  </si>
  <si>
    <t>INV-2605-0223</t>
  </si>
  <si>
    <t>INV-2605-0224</t>
  </si>
  <si>
    <t>INV-2605-0225</t>
  </si>
  <si>
    <t>INV-2605-0226</t>
  </si>
  <si>
    <t>INV-2605-0227</t>
  </si>
  <si>
    <t>INV-2605-0228</t>
  </si>
  <si>
    <t>INV-2605-0229</t>
  </si>
  <si>
    <t>INV-2605-0230</t>
  </si>
  <si>
    <t>INV-2605-0231</t>
  </si>
  <si>
    <t>INV-2605-0232</t>
  </si>
  <si>
    <t>INV-2605-0233</t>
  </si>
  <si>
    <t>INV-2605-0234</t>
  </si>
  <si>
    <t>INV-2605-0235</t>
  </si>
  <si>
    <t>INV-2605-0236</t>
  </si>
  <si>
    <t>INV-2605-0237</t>
  </si>
  <si>
    <t>INV-2605-0238</t>
  </si>
  <si>
    <t>INV-2605-0239</t>
  </si>
  <si>
    <t>INV-2605-0240</t>
  </si>
  <si>
    <t>INV-2605-0241</t>
  </si>
  <si>
    <t>INV-2605-0242</t>
  </si>
  <si>
    <t>INV-2605-0243</t>
  </si>
  <si>
    <t>INV-2605-0244</t>
  </si>
  <si>
    <t>INV-2605-0245</t>
  </si>
  <si>
    <t>INV-2605-0246</t>
  </si>
  <si>
    <t>INV-2605-0247</t>
  </si>
  <si>
    <t>INV-2605-0248</t>
  </si>
  <si>
    <t>INV-2605-0249</t>
  </si>
  <si>
    <t>INV-2605-0250</t>
  </si>
  <si>
    <t>INV-2605-0251</t>
  </si>
  <si>
    <t>INV-2605-0252</t>
  </si>
  <si>
    <t>INV-2605-0253</t>
  </si>
  <si>
    <t>INV-2605-0254</t>
  </si>
  <si>
    <t>INV-2605-0255</t>
  </si>
  <si>
    <t>INV-2605-0256</t>
  </si>
  <si>
    <t>INV-2605-0257</t>
  </si>
  <si>
    <t>INV-2605-0258</t>
  </si>
  <si>
    <t>INV-2605-0259</t>
  </si>
  <si>
    <t>INV-2605-0260</t>
  </si>
  <si>
    <t>INV-2605-0261</t>
  </si>
  <si>
    <t>INV-2605-0262</t>
  </si>
  <si>
    <t>INV-2605-0263</t>
  </si>
  <si>
    <t>INV-2605-0264</t>
  </si>
  <si>
    <t>INV-2605-0265</t>
  </si>
  <si>
    <t>INV-2605-0266</t>
  </si>
  <si>
    <t>INV-2605-0267</t>
  </si>
  <si>
    <t>INV-2605-0268</t>
  </si>
  <si>
    <t>INV-2605-0269</t>
  </si>
  <si>
    <t>INV-2605-0270</t>
  </si>
  <si>
    <t>INV-2605-0271</t>
  </si>
  <si>
    <t>INV-2605-0272</t>
  </si>
  <si>
    <t>INV-2605-0273</t>
  </si>
  <si>
    <t>INV-2605-0274</t>
  </si>
  <si>
    <t>INV-2605-0275</t>
  </si>
  <si>
    <t>INV-2605-0276</t>
  </si>
  <si>
    <t>INV-2605-0277</t>
  </si>
  <si>
    <t>INV-2605-0278</t>
  </si>
  <si>
    <t>INV-2605-0279</t>
  </si>
  <si>
    <t>INV-2605-0280</t>
  </si>
  <si>
    <t>INV-2605-0281</t>
  </si>
  <si>
    <t>INV-2605-0282</t>
  </si>
  <si>
    <t>INV-2605-0283</t>
  </si>
  <si>
    <t>INV-2605-0284</t>
  </si>
  <si>
    <t>INV-2605-0285</t>
  </si>
  <si>
    <t>INV-2605-0286</t>
  </si>
  <si>
    <t>INV-2605-0287</t>
  </si>
  <si>
    <t>INV-2605-0288</t>
  </si>
  <si>
    <t>INV-2605-0289</t>
  </si>
  <si>
    <t>INV-2605-0290</t>
  </si>
  <si>
    <t>INV-2605-0291</t>
  </si>
  <si>
    <t>INV-2605-0292</t>
  </si>
  <si>
    <t>INV-2605-0293</t>
  </si>
  <si>
    <t>INV-2605-0294</t>
  </si>
  <si>
    <t>INV-2605-0295</t>
  </si>
  <si>
    <t>INV-2605-0296</t>
  </si>
  <si>
    <t>INV-2605-0297</t>
  </si>
  <si>
    <t>INV-2605-0298</t>
  </si>
  <si>
    <t>INV-2605-0299</t>
  </si>
  <si>
    <t>INV-2605-0300</t>
  </si>
  <si>
    <t>INV-2605-0301</t>
  </si>
  <si>
    <t>INV-2605-0302</t>
  </si>
  <si>
    <t>INV-2605-0303</t>
  </si>
  <si>
    <t>INV-2605-0304</t>
  </si>
  <si>
    <t>INV-2605-0305</t>
  </si>
  <si>
    <t>INV-2605-0306</t>
  </si>
  <si>
    <t>INV-2605-0307</t>
  </si>
  <si>
    <t>INV-2605-0308</t>
  </si>
  <si>
    <t>INV-2605-0309</t>
  </si>
  <si>
    <t>INV-2605-0310</t>
  </si>
  <si>
    <t>INV-2605-0311</t>
  </si>
  <si>
    <t>INV-2605-0312</t>
  </si>
  <si>
    <t>INV-2605-0313</t>
  </si>
  <si>
    <t>INV-2605-0314</t>
  </si>
  <si>
    <t>INV-2605-0315</t>
  </si>
  <si>
    <t>INV-2605-0316</t>
  </si>
  <si>
    <t>INV-2605-0317</t>
  </si>
  <si>
    <t>INV-2605-0318</t>
  </si>
  <si>
    <t>INV-2605-0319</t>
  </si>
  <si>
    <t>INV-2605-0320</t>
  </si>
  <si>
    <t>INV-2605-0321</t>
  </si>
  <si>
    <t>INV-2605-0322</t>
  </si>
  <si>
    <t>INV-2605-0323</t>
  </si>
  <si>
    <t>INV-2605-0324</t>
  </si>
  <si>
    <t>INV-2605-0325</t>
  </si>
  <si>
    <t>INV-2605-0326</t>
  </si>
  <si>
    <t>INV-2605-0327</t>
  </si>
  <si>
    <t>INV-2605-0328</t>
  </si>
  <si>
    <t>INV-2605-0329</t>
  </si>
  <si>
    <t>INV-2605-0330</t>
  </si>
  <si>
    <t>INV-2605-0331</t>
  </si>
  <si>
    <t>INV-2605-0332</t>
  </si>
  <si>
    <t>INV-2605-0333</t>
  </si>
  <si>
    <t>INV-2605-0334</t>
  </si>
  <si>
    <t>INV-2605-0335</t>
  </si>
  <si>
    <t>INV-2605-0336</t>
  </si>
  <si>
    <t>INV-2605-0337</t>
  </si>
  <si>
    <t>INV-2605-0338</t>
  </si>
  <si>
    <t>INV-2605-0339</t>
  </si>
  <si>
    <t>INV-2605-0340</t>
  </si>
  <si>
    <t>INV-2606-0001</t>
  </si>
  <si>
    <t>INV-2606-0002</t>
  </si>
  <si>
    <t>INV-2606-0003</t>
  </si>
  <si>
    <t>INV-2606-0004</t>
  </si>
  <si>
    <t>INV-2606-0005</t>
  </si>
  <si>
    <t>INV-2606-0006</t>
  </si>
  <si>
    <t>INV-2606-0007</t>
  </si>
  <si>
    <t>INV-2606-0008</t>
  </si>
  <si>
    <t>INV-2606-0009</t>
  </si>
  <si>
    <t>INV-2606-0010</t>
  </si>
  <si>
    <t>INV-2606-0011</t>
  </si>
  <si>
    <t>INV-2606-0012</t>
  </si>
  <si>
    <t>INV-2606-0013</t>
  </si>
  <si>
    <t>INV-2606-0014</t>
  </si>
  <si>
    <t>INV-2606-0015</t>
  </si>
  <si>
    <t>INV-2606-0016</t>
  </si>
  <si>
    <t>INV-2606-0017</t>
  </si>
  <si>
    <t>INV-2606-0018</t>
  </si>
  <si>
    <t>INV-2606-0019</t>
  </si>
  <si>
    <t>INV-2606-0020</t>
  </si>
  <si>
    <t>INV-2606-0021</t>
  </si>
  <si>
    <t>INV-2606-0022</t>
  </si>
  <si>
    <t>INV-2606-0023</t>
  </si>
  <si>
    <t>INV-2606-0024</t>
  </si>
  <si>
    <t>INV-2606-0025</t>
  </si>
  <si>
    <t>INV-2606-0026</t>
  </si>
  <si>
    <t>INV-2606-0027</t>
  </si>
  <si>
    <t>INV-2606-0028</t>
  </si>
  <si>
    <t>INV-2606-0029</t>
  </si>
  <si>
    <t>INV-2606-0030</t>
  </si>
  <si>
    <t>INV-2606-0031</t>
  </si>
  <si>
    <t>INV-2606-0032</t>
  </si>
  <si>
    <t>INV-2606-0033</t>
  </si>
  <si>
    <t>INV-2606-0034</t>
  </si>
  <si>
    <t>INV-2606-0035</t>
  </si>
  <si>
    <t>INV-2606-0036</t>
  </si>
  <si>
    <t>INV-2606-0037</t>
  </si>
  <si>
    <t>INV-2606-0038</t>
  </si>
  <si>
    <t>INV-2606-0039</t>
  </si>
  <si>
    <t>INV-2606-0040</t>
  </si>
  <si>
    <t>INV-2606-0041</t>
  </si>
  <si>
    <t>INV-2606-0042</t>
  </si>
  <si>
    <t>INV-2606-0043</t>
  </si>
  <si>
    <t>INV-2606-0044</t>
  </si>
  <si>
    <t>INV-2606-0045</t>
  </si>
  <si>
    <t>INV-2606-0046</t>
  </si>
  <si>
    <t>INV-2606-0047</t>
  </si>
  <si>
    <t>INV-2606-0048</t>
  </si>
  <si>
    <t>INV-2606-0049</t>
  </si>
  <si>
    <t>INV-2606-0050</t>
  </si>
  <si>
    <t>INV-2606-0051</t>
  </si>
  <si>
    <t>INV-2606-0052</t>
  </si>
  <si>
    <t>INV-2606-0053</t>
  </si>
  <si>
    <t>INV-2606-0054</t>
  </si>
  <si>
    <t>INV-2606-0055</t>
  </si>
  <si>
    <t>INV-2606-0056</t>
  </si>
  <si>
    <t>INV-2606-0057</t>
  </si>
  <si>
    <t>INV-2606-0058</t>
  </si>
  <si>
    <t>INV-2606-0059</t>
  </si>
  <si>
    <t>INV-2606-0060</t>
  </si>
  <si>
    <t>INV-2606-0061</t>
  </si>
  <si>
    <t>INV-2606-0062</t>
  </si>
  <si>
    <t>INV-2606-0063</t>
  </si>
  <si>
    <t>INV-2606-0064</t>
  </si>
  <si>
    <t>INV-2606-0065</t>
  </si>
  <si>
    <t>INV-2606-0066</t>
  </si>
  <si>
    <t>INV-2606-0067</t>
  </si>
  <si>
    <t>INV-2606-0068</t>
  </si>
  <si>
    <t>INV-2606-0069</t>
  </si>
  <si>
    <t>INV-2606-0070</t>
  </si>
  <si>
    <t>INV-2606-0071</t>
  </si>
  <si>
    <t>INV-2606-0072</t>
  </si>
  <si>
    <t>INV-2606-0073</t>
  </si>
  <si>
    <t>INV-2606-0074</t>
  </si>
  <si>
    <t>INV-2606-0075</t>
  </si>
  <si>
    <t>INV-2606-0076</t>
  </si>
  <si>
    <t>INV-2606-0077</t>
  </si>
  <si>
    <t>INV-2606-0078</t>
  </si>
  <si>
    <t>INV-2606-0079</t>
  </si>
  <si>
    <t>INV-2606-0080</t>
  </si>
  <si>
    <t>INV-2606-0081</t>
  </si>
  <si>
    <t>INV-2606-0082</t>
  </si>
  <si>
    <t>INV-2606-0083</t>
  </si>
  <si>
    <t>INV-2606-0084</t>
  </si>
  <si>
    <t>INV-2606-0085</t>
  </si>
  <si>
    <t>INV-2606-0086</t>
  </si>
  <si>
    <t>INV-2606-0087</t>
  </si>
  <si>
    <t>INV-2606-0088</t>
  </si>
  <si>
    <t>INV-2606-0089</t>
  </si>
  <si>
    <t>INV-2606-0090</t>
  </si>
  <si>
    <t>INV-2606-0091</t>
  </si>
  <si>
    <t>INV-2606-0092</t>
  </si>
  <si>
    <t>INV-2606-0093</t>
  </si>
  <si>
    <t>INV-2606-0094</t>
  </si>
  <si>
    <t>INV-2606-0095</t>
  </si>
  <si>
    <t>INV-2606-0096</t>
  </si>
  <si>
    <t>INV-2606-0097</t>
  </si>
  <si>
    <t>INV-2606-0098</t>
  </si>
  <si>
    <t>INV-2606-0099</t>
  </si>
  <si>
    <t>INV-2606-0100</t>
  </si>
  <si>
    <t>INV-2606-0101</t>
  </si>
  <si>
    <t>INV-2606-0102</t>
  </si>
  <si>
    <t>INV-2606-0103</t>
  </si>
  <si>
    <t>INV-2606-0104</t>
  </si>
  <si>
    <t>INV-2606-0105</t>
  </si>
  <si>
    <t>INV-2606-0106</t>
  </si>
  <si>
    <t>INV-2606-0107</t>
  </si>
  <si>
    <t>INV-2606-0108</t>
  </si>
  <si>
    <t>INV-2606-0109</t>
  </si>
  <si>
    <t>INV-2606-0110</t>
  </si>
  <si>
    <t>INV-2606-0111</t>
  </si>
  <si>
    <t>INV-2606-0112</t>
  </si>
  <si>
    <t>INV-2606-0113</t>
  </si>
  <si>
    <t>INV-2606-0114</t>
  </si>
  <si>
    <t>INV-2606-0115</t>
  </si>
  <si>
    <t>INV-2606-0116</t>
  </si>
  <si>
    <t>INV-2606-0117</t>
  </si>
  <si>
    <t>INV-2606-0118</t>
  </si>
  <si>
    <t>INV-2606-0119</t>
  </si>
  <si>
    <t>INV-2606-0120</t>
  </si>
  <si>
    <t>INV-2606-0121</t>
  </si>
  <si>
    <t>INV-2606-0122</t>
  </si>
  <si>
    <t>INV-2606-0123</t>
  </si>
  <si>
    <t>INV-2606-0124</t>
  </si>
  <si>
    <t>INV-2606-0125</t>
  </si>
  <si>
    <t>INV-2606-0126</t>
  </si>
  <si>
    <t>INV-2606-0127</t>
  </si>
  <si>
    <t>INV-2606-0128</t>
  </si>
  <si>
    <t>INV-2606-0129</t>
  </si>
  <si>
    <t>INV-2606-0130</t>
  </si>
  <si>
    <t>INV-2606-0131</t>
  </si>
  <si>
    <t>INV-2606-0132</t>
  </si>
  <si>
    <t>INV-2606-0133</t>
  </si>
  <si>
    <t>INV-2606-0134</t>
  </si>
  <si>
    <t>INV-2606-0135</t>
  </si>
  <si>
    <t>INV-2606-0136</t>
  </si>
  <si>
    <t>INV-2606-0137</t>
  </si>
  <si>
    <t>INV-2606-0138</t>
  </si>
  <si>
    <t>INV-2606-0139</t>
  </si>
  <si>
    <t>INV-2606-0140</t>
  </si>
  <si>
    <t>INV-2606-0141</t>
  </si>
  <si>
    <t>INV-2606-0142</t>
  </si>
  <si>
    <t>INV-2606-0143</t>
  </si>
  <si>
    <t>INV-2606-0144</t>
  </si>
  <si>
    <t>INV-2606-0145</t>
  </si>
  <si>
    <t>INV-2606-0146</t>
  </si>
  <si>
    <t>INV-2606-0147</t>
  </si>
  <si>
    <t>INV-2606-0148</t>
  </si>
  <si>
    <t>INV-2606-0149</t>
  </si>
  <si>
    <t>INV-2606-0150</t>
  </si>
  <si>
    <t>INV-2606-0151</t>
  </si>
  <si>
    <t>INV-2606-0152</t>
  </si>
  <si>
    <t>INV-2606-0153</t>
  </si>
  <si>
    <t>INV-2606-0154</t>
  </si>
  <si>
    <t>INV-2606-0155</t>
  </si>
  <si>
    <t>INV-2606-0156</t>
  </si>
  <si>
    <t>INV-2606-0157</t>
  </si>
  <si>
    <t>INV-2606-0158</t>
  </si>
  <si>
    <t>INV-2606-0159</t>
  </si>
  <si>
    <t>INV-2606-0160</t>
  </si>
  <si>
    <t>INV-2606-0161</t>
  </si>
  <si>
    <t>INV-2606-0162</t>
  </si>
  <si>
    <t>INV-2606-0163</t>
  </si>
  <si>
    <t>INV-2606-0164</t>
  </si>
  <si>
    <t>INV-2606-0165</t>
  </si>
  <si>
    <t>INV-2606-0166</t>
  </si>
  <si>
    <t>INV-2606-0167</t>
  </si>
  <si>
    <t>INV-2606-0168</t>
  </si>
  <si>
    <t>INV-2606-0169</t>
  </si>
  <si>
    <t>INV-2606-0170</t>
  </si>
  <si>
    <t>INV-2606-0171</t>
  </si>
  <si>
    <t>INV-2606-0172</t>
  </si>
  <si>
    <t>INV-2606-0173</t>
  </si>
  <si>
    <t>INV-2606-0174</t>
  </si>
  <si>
    <t>INV-2606-0175</t>
  </si>
  <si>
    <t>INV-2606-0176</t>
  </si>
  <si>
    <t>INV-2606-0177</t>
  </si>
  <si>
    <t>INV-2606-0178</t>
  </si>
  <si>
    <t>INV-2606-0179</t>
  </si>
  <si>
    <t>INV-2606-0180</t>
  </si>
  <si>
    <t>INV-2606-0181</t>
  </si>
  <si>
    <t>INV-2606-0182</t>
  </si>
  <si>
    <t>INV-2606-0183</t>
  </si>
  <si>
    <t>INV-2606-0184</t>
  </si>
  <si>
    <t>INV-2606-0185</t>
  </si>
  <si>
    <t>INV-2606-0186</t>
  </si>
  <si>
    <t>INV-2606-0187</t>
  </si>
  <si>
    <t>INV-2606-0188</t>
  </si>
  <si>
    <t>INV-2606-0189</t>
  </si>
  <si>
    <t>INV-2606-0190</t>
  </si>
  <si>
    <t>INV-2606-0191</t>
  </si>
  <si>
    <t>INV-2606-0192</t>
  </si>
  <si>
    <t>INV-2606-0193</t>
  </si>
  <si>
    <t>INV-2606-0194</t>
  </si>
  <si>
    <t>INV-2606-0195</t>
  </si>
  <si>
    <t>INV-2606-0196</t>
  </si>
  <si>
    <t>INV-2606-0197</t>
  </si>
  <si>
    <t>INV-2606-0198</t>
  </si>
  <si>
    <t>INV-2606-0199</t>
  </si>
  <si>
    <t>INV-2606-0200</t>
  </si>
  <si>
    <t>INV-2606-0201</t>
  </si>
  <si>
    <t>INV-2606-0202</t>
  </si>
  <si>
    <t>INV-2606-0203</t>
  </si>
  <si>
    <t>INV-2606-0204</t>
  </si>
  <si>
    <t>INV-2606-0205</t>
  </si>
  <si>
    <t>INV-2606-0206</t>
  </si>
  <si>
    <t>INV-2606-0207</t>
  </si>
  <si>
    <t>INV-2606-0208</t>
  </si>
  <si>
    <t>INV-2606-0209</t>
  </si>
  <si>
    <t>INV-2606-0210</t>
  </si>
  <si>
    <t>INV-2606-0211</t>
  </si>
  <si>
    <t>INV-2606-0212</t>
  </si>
  <si>
    <t>INV-2606-0213</t>
  </si>
  <si>
    <t>INV-2606-0214</t>
  </si>
  <si>
    <t>INV-2606-0215</t>
  </si>
  <si>
    <t>INV-2606-0216</t>
  </si>
  <si>
    <t>INV-2606-0217</t>
  </si>
  <si>
    <t>INV-2606-0218</t>
  </si>
  <si>
    <t>INV-2606-0219</t>
  </si>
  <si>
    <t>INV-2606-0220</t>
  </si>
  <si>
    <t>INV-2606-0221</t>
  </si>
  <si>
    <t>INV-2606-0222</t>
  </si>
  <si>
    <t>INV-2606-0223</t>
  </si>
  <si>
    <t>INV-2606-0224</t>
  </si>
  <si>
    <t>INV-2606-0225</t>
  </si>
  <si>
    <t>INV-2606-0226</t>
  </si>
  <si>
    <t>INV-2606-0227</t>
  </si>
  <si>
    <t>INV-2606-0228</t>
  </si>
  <si>
    <t>INV-2606-0229</t>
  </si>
  <si>
    <t>INV-2606-0230</t>
  </si>
  <si>
    <t>INV-2606-0231</t>
  </si>
  <si>
    <t>INV-2606-0232</t>
  </si>
  <si>
    <t>INV-2606-0233</t>
  </si>
  <si>
    <t>INV-2606-0234</t>
  </si>
  <si>
    <t>INV-2606-0235</t>
  </si>
  <si>
    <t>INV-2606-0236</t>
  </si>
  <si>
    <t>INV-2606-0237</t>
  </si>
  <si>
    <t>INV-2606-0238</t>
  </si>
  <si>
    <t>INV-2606-0239</t>
  </si>
  <si>
    <t>INV-2606-0240</t>
  </si>
  <si>
    <t>INV-2606-0241</t>
  </si>
  <si>
    <t>INV-2606-0242</t>
  </si>
  <si>
    <t>INV-2606-0243</t>
  </si>
  <si>
    <t>INV-2606-0244</t>
  </si>
  <si>
    <t>INV-2606-0245</t>
  </si>
  <si>
    <t>INV-2606-0246</t>
  </si>
  <si>
    <t>INV-2606-0247</t>
  </si>
  <si>
    <t>INV-2606-0248</t>
  </si>
  <si>
    <t>INV-2606-0249</t>
  </si>
  <si>
    <t>INV-2606-0250</t>
  </si>
  <si>
    <t>INV-2606-0251</t>
  </si>
  <si>
    <t>INV-2606-0252</t>
  </si>
  <si>
    <t>INV-2606-0253</t>
  </si>
  <si>
    <t>INV-2606-0254</t>
  </si>
  <si>
    <t>INV-2606-0255</t>
  </si>
  <si>
    <t>INV-2606-0256</t>
  </si>
  <si>
    <t>INV-2606-0257</t>
  </si>
  <si>
    <t>INV-2606-0258</t>
  </si>
  <si>
    <t>INV-2606-0259</t>
  </si>
  <si>
    <t>INV-2606-0260</t>
  </si>
  <si>
    <t>INV-2606-0261</t>
  </si>
  <si>
    <t>INV-2606-0262</t>
  </si>
  <si>
    <t>INV-2606-0263</t>
  </si>
  <si>
    <t>INV-2606-0264</t>
  </si>
  <si>
    <t>INV-2606-0265</t>
  </si>
  <si>
    <t>INV-2606-0266</t>
  </si>
  <si>
    <t>INV-2606-0267</t>
  </si>
  <si>
    <t>INV-2606-0268</t>
  </si>
  <si>
    <t>INV-2606-0269</t>
  </si>
  <si>
    <t>INV-2606-0270</t>
  </si>
  <si>
    <t>INV-2606-0271</t>
  </si>
  <si>
    <t>INV-2606-0272</t>
  </si>
  <si>
    <t>INV-2606-0273</t>
  </si>
  <si>
    <t>INV-2606-0274</t>
  </si>
  <si>
    <t>INV-2606-0275</t>
  </si>
  <si>
    <t>INV-2606-0276</t>
  </si>
  <si>
    <t>INV-2606-0277</t>
  </si>
  <si>
    <t>INV-2606-0278</t>
  </si>
  <si>
    <t>INV-2606-0279</t>
  </si>
  <si>
    <t>INV-2606-0280</t>
  </si>
  <si>
    <t>INV-2606-0281</t>
  </si>
  <si>
    <t>INV-2606-0282</t>
  </si>
  <si>
    <t>INV-2606-0283</t>
  </si>
  <si>
    <t>INV-2606-0284</t>
  </si>
  <si>
    <t>INV-2606-0285</t>
  </si>
  <si>
    <t>INV-2606-0286</t>
  </si>
  <si>
    <t>INV-2606-0287</t>
  </si>
  <si>
    <t>INV-2606-0288</t>
  </si>
  <si>
    <t>INV-2606-0289</t>
  </si>
  <si>
    <t>INV-2606-0290</t>
  </si>
  <si>
    <t>INV-2606-0291</t>
  </si>
  <si>
    <t>INV-2606-0292</t>
  </si>
  <si>
    <t>INV-2606-0293</t>
  </si>
  <si>
    <t>INV-2606-0294</t>
  </si>
  <si>
    <t>INV-2606-0295</t>
  </si>
  <si>
    <t>INV-2606-0296</t>
  </si>
  <si>
    <t>INV-2606-0297</t>
  </si>
  <si>
    <t>INV-2606-0298</t>
  </si>
  <si>
    <t>INV-2606-0299</t>
  </si>
  <si>
    <t>INV-2606-0300</t>
  </si>
  <si>
    <t>INV-2606-0301</t>
  </si>
  <si>
    <t>INV-2606-0302</t>
  </si>
  <si>
    <t>INV-2606-0303</t>
  </si>
  <si>
    <t>INV-2606-0304</t>
  </si>
  <si>
    <t>INV-2606-0305</t>
  </si>
  <si>
    <t>INV-2606-0306</t>
  </si>
  <si>
    <t>INV-2606-0307</t>
  </si>
  <si>
    <t>INV-2606-0308</t>
  </si>
  <si>
    <t>INV-2606-0309</t>
  </si>
  <si>
    <t>INV-2606-0310</t>
  </si>
  <si>
    <t>INV-2606-0311</t>
  </si>
  <si>
    <t>INV-2606-0312</t>
  </si>
  <si>
    <t>INV-2606-0313</t>
  </si>
  <si>
    <t>INV-2606-0314</t>
  </si>
  <si>
    <t>INV-2606-0315</t>
  </si>
  <si>
    <t>INV-2606-0316</t>
  </si>
  <si>
    <t>INV-2606-0317</t>
  </si>
  <si>
    <t>INV-2606-0318</t>
  </si>
  <si>
    <t>INV-2606-0319</t>
  </si>
  <si>
    <t>INV-2606-0320</t>
  </si>
  <si>
    <t>INV-2606-0321</t>
  </si>
  <si>
    <t>INV-2606-0322</t>
  </si>
  <si>
    <t>INV-2606-0323</t>
  </si>
  <si>
    <t>INV-2606-0324</t>
  </si>
  <si>
    <t>INV-2606-0325</t>
  </si>
  <si>
    <t>INV-2606-0326</t>
  </si>
  <si>
    <t>INV-2606-0327</t>
  </si>
  <si>
    <t>INV-2606-0328</t>
  </si>
  <si>
    <t>INV-2606-0329</t>
  </si>
  <si>
    <t>INV-2606-0330</t>
  </si>
  <si>
    <t>INV-2606-0331</t>
  </si>
  <si>
    <t>INV-2606-0332</t>
  </si>
  <si>
    <t>INV-2606-0333</t>
  </si>
  <si>
    <t>INV-2606-0334</t>
  </si>
  <si>
    <t>INV-2606-0335</t>
  </si>
  <si>
    <t>INV-2606-0336</t>
  </si>
  <si>
    <t>INV-2606-0337</t>
  </si>
  <si>
    <t>INV-2606-0338</t>
  </si>
  <si>
    <t>INV-2606-0339</t>
  </si>
  <si>
    <t>INV-2606-0340</t>
  </si>
  <si>
    <t>INV-2606-0341</t>
  </si>
  <si>
    <t>INV-2606-0342</t>
  </si>
  <si>
    <t>INV-2606-0343</t>
  </si>
  <si>
    <t>INV-2606-0344</t>
  </si>
  <si>
    <t>INV-2606-0345</t>
  </si>
  <si>
    <t>INV-2606-0346</t>
  </si>
  <si>
    <t>INV-2606-0347</t>
  </si>
  <si>
    <t>INV-2606-0348</t>
  </si>
  <si>
    <t>INV-2606-0349</t>
  </si>
  <si>
    <t>INV-2606-0350</t>
  </si>
  <si>
    <t>INV-2606-0351</t>
  </si>
  <si>
    <t>INV-2607-0001</t>
  </si>
  <si>
    <t>INV-2607-0002</t>
  </si>
  <si>
    <t>INV-2607-0003</t>
  </si>
  <si>
    <t>INV-2607-0004</t>
  </si>
  <si>
    <t>INV-2607-0005</t>
  </si>
  <si>
    <t>INV-2607-0006</t>
  </si>
  <si>
    <t>INV-2607-0007</t>
  </si>
  <si>
    <t>INV-2607-0008</t>
  </si>
  <si>
    <t>INV-2607-0009</t>
  </si>
  <si>
    <t>INV-2607-0010</t>
  </si>
  <si>
    <t>INV-2607-0011</t>
  </si>
  <si>
    <t>INV-2607-0012</t>
  </si>
  <si>
    <t>INV-2607-0013</t>
  </si>
  <si>
    <t>INV-2607-0014</t>
  </si>
  <si>
    <t>INV-2607-0015</t>
  </si>
  <si>
    <t>INV-2607-0016</t>
  </si>
  <si>
    <t>INV-2607-0017</t>
  </si>
  <si>
    <t>INV-2607-0018</t>
  </si>
  <si>
    <t>INV-2607-0019</t>
  </si>
  <si>
    <t>INV-2607-0020</t>
  </si>
  <si>
    <t>INV-2607-0021</t>
  </si>
  <si>
    <t>INV-2607-0022</t>
  </si>
  <si>
    <t>INV-2607-0023</t>
  </si>
  <si>
    <t>INV-2607-0024</t>
  </si>
  <si>
    <t>INV-2607-0025</t>
  </si>
  <si>
    <t>INV-2607-0026</t>
  </si>
  <si>
    <t>INV-2607-0027</t>
  </si>
  <si>
    <t>INV-2607-0028</t>
  </si>
  <si>
    <t>INV-2607-0029</t>
  </si>
  <si>
    <t>INV-2607-0030</t>
  </si>
  <si>
    <t>INV-2607-0031</t>
  </si>
  <si>
    <t>INV-2607-0032</t>
  </si>
  <si>
    <t>INV-2607-0033</t>
  </si>
  <si>
    <t>INV-2607-0034</t>
  </si>
  <si>
    <t>INV-2607-0035</t>
  </si>
  <si>
    <t>INV-2607-0036</t>
  </si>
  <si>
    <t>INV-2607-0037</t>
  </si>
  <si>
    <t>INV-2607-0038</t>
  </si>
  <si>
    <t>INV-2607-0039</t>
  </si>
  <si>
    <t>INV-2607-0040</t>
  </si>
  <si>
    <t>INV-2607-0041</t>
  </si>
  <si>
    <t>INV-2607-0042</t>
  </si>
  <si>
    <t>INV-2607-0043</t>
  </si>
  <si>
    <t>INV-2607-0044</t>
  </si>
  <si>
    <t>INV-2607-0045</t>
  </si>
  <si>
    <t>INV-2607-0046</t>
  </si>
  <si>
    <t>INV-2607-0047</t>
  </si>
  <si>
    <t>INV-2607-0048</t>
  </si>
  <si>
    <t>INV-2607-0049</t>
  </si>
  <si>
    <t>INV-2607-0050</t>
  </si>
  <si>
    <t>INV-2607-0051</t>
  </si>
  <si>
    <t>INV-2607-0052</t>
  </si>
  <si>
    <t>INV-2607-0053</t>
  </si>
  <si>
    <t>INV-2607-0054</t>
  </si>
  <si>
    <t>INV-2607-0055</t>
  </si>
  <si>
    <t>INV-2607-0056</t>
  </si>
  <si>
    <t>INV-2607-0057</t>
  </si>
  <si>
    <t>INV-2607-0058</t>
  </si>
  <si>
    <t>INV-2607-0059</t>
  </si>
  <si>
    <t>INV-2607-0060</t>
  </si>
  <si>
    <t>INV-2607-0061</t>
  </si>
  <si>
    <t>INV-2607-0062</t>
  </si>
  <si>
    <t>INV-2607-0063</t>
  </si>
  <si>
    <t>INV-2607-0064</t>
  </si>
  <si>
    <t>INV-2607-0065</t>
  </si>
  <si>
    <t>INV-2607-0066</t>
  </si>
  <si>
    <t>INV-2607-0067</t>
  </si>
  <si>
    <t>INV-2607-0068</t>
  </si>
  <si>
    <t>INV-2607-0069</t>
  </si>
  <si>
    <t>INV-2607-0070</t>
  </si>
  <si>
    <t>INV-2607-0071</t>
  </si>
  <si>
    <t>INV-2607-0072</t>
  </si>
  <si>
    <t>INV-2607-0073</t>
  </si>
  <si>
    <t>INV-2607-0074</t>
  </si>
  <si>
    <t>INV-2607-0075</t>
  </si>
  <si>
    <t>INV-2607-0076</t>
  </si>
  <si>
    <t>INV-2607-0077</t>
  </si>
  <si>
    <t>INV-2607-0078</t>
  </si>
  <si>
    <t>INV-2607-0079</t>
  </si>
  <si>
    <t>INV-2607-0080</t>
  </si>
  <si>
    <t>INV-2607-0081</t>
  </si>
  <si>
    <t>INV-2607-0082</t>
  </si>
  <si>
    <t>INV-2607-0083</t>
  </si>
  <si>
    <t>INV-2607-0084</t>
  </si>
  <si>
    <t>INV-2607-0085</t>
  </si>
  <si>
    <t>INV-2607-0086</t>
  </si>
  <si>
    <t>INV-2607-0087</t>
  </si>
  <si>
    <t>INV-2607-0088</t>
  </si>
  <si>
    <t>INV-2607-0089</t>
  </si>
  <si>
    <t>INV-2607-0090</t>
  </si>
  <si>
    <t>INV-2607-0091</t>
  </si>
  <si>
    <t>INV-2607-0092</t>
  </si>
  <si>
    <t>INV-2607-0093</t>
  </si>
  <si>
    <t>INV-2607-0094</t>
  </si>
  <si>
    <t>INV-2607-0095</t>
  </si>
  <si>
    <t>INV-2607-0096</t>
  </si>
  <si>
    <t>INV-2607-0097</t>
  </si>
  <si>
    <t>INV-2607-0098</t>
  </si>
  <si>
    <t>INV-2607-0099</t>
  </si>
  <si>
    <t>INV-2607-0100</t>
  </si>
  <si>
    <t>INV-2607-0101</t>
  </si>
  <si>
    <t>INV-2607-0102</t>
  </si>
  <si>
    <t>INV-2607-0103</t>
  </si>
  <si>
    <t>INV-2607-0104</t>
  </si>
  <si>
    <t>INV-2607-0105</t>
  </si>
  <si>
    <t>INV-2607-0106</t>
  </si>
  <si>
    <t>INV-2607-0107</t>
  </si>
  <si>
    <t>INV-2607-0108</t>
  </si>
  <si>
    <t>INV-2607-0109</t>
  </si>
  <si>
    <t>INV-2607-0110</t>
  </si>
  <si>
    <t>INV-2607-0111</t>
  </si>
  <si>
    <t>INV-2607-0112</t>
  </si>
  <si>
    <t>INV-2607-0113</t>
  </si>
  <si>
    <t>INV-2607-0114</t>
  </si>
  <si>
    <t>INV-2607-0115</t>
  </si>
  <si>
    <t>INV-2607-0116</t>
  </si>
  <si>
    <t>INV-2607-0117</t>
  </si>
  <si>
    <t>INV-2607-0118</t>
  </si>
  <si>
    <t>INV-2607-0119</t>
  </si>
  <si>
    <t>INV-2607-0120</t>
  </si>
  <si>
    <t>INV-2607-0121</t>
  </si>
  <si>
    <t>INV-2607-0122</t>
  </si>
  <si>
    <t>INV-2607-0123</t>
  </si>
  <si>
    <t>INV-2607-0124</t>
  </si>
  <si>
    <t>INV-2607-0125</t>
  </si>
  <si>
    <t>INV-2607-0126</t>
  </si>
  <si>
    <t>INV-2607-0127</t>
  </si>
  <si>
    <t>INV-2607-0128</t>
  </si>
  <si>
    <t>INV-2607-0129</t>
  </si>
  <si>
    <t>INV-2607-0130</t>
  </si>
  <si>
    <t>INV-2607-0131</t>
  </si>
  <si>
    <t>INV-2607-0132</t>
  </si>
  <si>
    <t>INV-2607-0133</t>
  </si>
  <si>
    <t>INV-2607-0134</t>
  </si>
  <si>
    <t>INV-2607-0135</t>
  </si>
  <si>
    <t>INV-2607-0136</t>
  </si>
  <si>
    <t>INV-2607-0137</t>
  </si>
  <si>
    <t>INV-2607-0138</t>
  </si>
  <si>
    <t>INV-2607-0139</t>
  </si>
  <si>
    <t>INV-2607-0140</t>
  </si>
  <si>
    <t>INV-2607-0141</t>
  </si>
  <si>
    <t>INV-2607-0142</t>
  </si>
  <si>
    <t>INV-2607-0143</t>
  </si>
  <si>
    <t>INV-2607-0144</t>
  </si>
  <si>
    <t>INV-2607-0145</t>
  </si>
  <si>
    <t>INV-2607-0146</t>
  </si>
  <si>
    <t>INV-2607-0147</t>
  </si>
  <si>
    <t>INV-2607-0148</t>
  </si>
  <si>
    <t>INV-2607-0149</t>
  </si>
  <si>
    <t>INV-2607-0150</t>
  </si>
  <si>
    <t>INV-2607-0151</t>
  </si>
  <si>
    <t>INV-2607-0152</t>
  </si>
  <si>
    <t>INV-2607-0153</t>
  </si>
  <si>
    <t>INV-2607-0154</t>
  </si>
  <si>
    <t>INV-2607-0155</t>
  </si>
  <si>
    <t>INV-2607-0156</t>
  </si>
  <si>
    <t>INV-2607-0157</t>
  </si>
  <si>
    <t>INV-2607-0158</t>
  </si>
  <si>
    <t>INV-2607-0159</t>
  </si>
  <si>
    <t>INV-2607-0160</t>
  </si>
  <si>
    <t>INV-2607-0161</t>
  </si>
  <si>
    <t>INV-2607-0162</t>
  </si>
  <si>
    <t>INV-2607-0163</t>
  </si>
  <si>
    <t>INV-2607-0164</t>
  </si>
  <si>
    <t>INV-2607-0165</t>
  </si>
  <si>
    <t>INV-2607-0166</t>
  </si>
  <si>
    <t>INV-2607-0167</t>
  </si>
  <si>
    <t>INV-2607-0168</t>
  </si>
  <si>
    <t>INV-2607-0169</t>
  </si>
  <si>
    <t>INV-2607-0170</t>
  </si>
  <si>
    <t>INV-2607-0171</t>
  </si>
  <si>
    <t>INV-2607-0172</t>
  </si>
  <si>
    <t>INV-2607-0173</t>
  </si>
  <si>
    <t>INV-2607-0174</t>
  </si>
  <si>
    <t>INV-2607-0175</t>
  </si>
  <si>
    <t>INV-2607-0176</t>
  </si>
  <si>
    <t>INV-2607-0177</t>
  </si>
  <si>
    <t>INV-2607-0178</t>
  </si>
  <si>
    <t>INV-2607-0179</t>
  </si>
  <si>
    <t>INV-2607-0180</t>
  </si>
  <si>
    <t>INV-2607-0181</t>
  </si>
  <si>
    <t>INV-2607-0182</t>
  </si>
  <si>
    <t>INV-2607-0183</t>
  </si>
  <si>
    <t>INV-2607-0184</t>
  </si>
  <si>
    <t>INV-2607-0185</t>
  </si>
  <si>
    <t>INV-2607-0186</t>
  </si>
  <si>
    <t>INV-2607-0187</t>
  </si>
  <si>
    <t>INV-2607-0188</t>
  </si>
  <si>
    <t>INV-2607-0189</t>
  </si>
  <si>
    <t>INV-2607-0190</t>
  </si>
  <si>
    <t>INV-2607-0191</t>
  </si>
  <si>
    <t>INV-2607-0192</t>
  </si>
  <si>
    <t>INV-2607-0193</t>
  </si>
  <si>
    <t>INV-2607-0194</t>
  </si>
  <si>
    <t>INV-2607-0195</t>
  </si>
  <si>
    <t>INV-2607-0196</t>
  </si>
  <si>
    <t>INV-2607-0197</t>
  </si>
  <si>
    <t>INV-2607-0198</t>
  </si>
  <si>
    <t>INV-2607-0199</t>
  </si>
  <si>
    <t>INV-2607-0200</t>
  </si>
  <si>
    <t>INV-2607-0201</t>
  </si>
  <si>
    <t>INV-2607-0202</t>
  </si>
  <si>
    <t>INV-2607-0203</t>
  </si>
  <si>
    <t>INV-2607-0204</t>
  </si>
  <si>
    <t>INV-2607-0205</t>
  </si>
  <si>
    <t>INV-2607-0206</t>
  </si>
  <si>
    <t>INV-2607-0207</t>
  </si>
  <si>
    <t>INV-2607-0208</t>
  </si>
  <si>
    <t>INV-2607-0209</t>
  </si>
  <si>
    <t>INV-2607-0210</t>
  </si>
  <si>
    <t>INV-2607-0211</t>
  </si>
  <si>
    <t>INV-2607-0212</t>
  </si>
  <si>
    <t>INV-2607-0213</t>
  </si>
  <si>
    <t>INV-2607-0214</t>
  </si>
  <si>
    <t>INV-2607-0215</t>
  </si>
  <si>
    <t>INV-2607-0216</t>
  </si>
  <si>
    <t>INV-2607-0217</t>
  </si>
  <si>
    <t>INV-2607-0218</t>
  </si>
  <si>
    <t>INV-2607-0219</t>
  </si>
  <si>
    <t>INV-2607-0220</t>
  </si>
  <si>
    <t>INV-2607-0221</t>
  </si>
  <si>
    <t>INV-2607-0222</t>
  </si>
  <si>
    <t>INV-2607-0223</t>
  </si>
  <si>
    <t>INV-2607-0224</t>
  </si>
  <si>
    <t>INV-2607-0225</t>
  </si>
  <si>
    <t>INV-2607-0226</t>
  </si>
  <si>
    <t>INV-2607-0227</t>
  </si>
  <si>
    <t>INV-2607-0228</t>
  </si>
  <si>
    <t>INV-2607-0229</t>
  </si>
  <si>
    <t>INV-2607-0230</t>
  </si>
  <si>
    <t>INV-2607-0231</t>
  </si>
  <si>
    <t>INV-2607-0232</t>
  </si>
  <si>
    <t>INV-2607-0233</t>
  </si>
  <si>
    <t>INV-2607-0234</t>
  </si>
  <si>
    <t>INV-2607-0235</t>
  </si>
  <si>
    <t>INV-2607-0236</t>
  </si>
  <si>
    <t>INV-2607-0237</t>
  </si>
  <si>
    <t>INV-2607-0238</t>
  </si>
  <si>
    <t>INV-2607-0239</t>
  </si>
  <si>
    <t>INV-2607-0240</t>
  </si>
  <si>
    <t>INV-2607-0241</t>
  </si>
  <si>
    <t>INV-2607-0242</t>
  </si>
  <si>
    <t>INV-2607-0243</t>
  </si>
  <si>
    <t>INV-2607-0244</t>
  </si>
  <si>
    <t>INV-2607-0245</t>
  </si>
  <si>
    <t>INV-2607-0246</t>
  </si>
  <si>
    <t>INV-2607-0247</t>
  </si>
  <si>
    <t>INV-2607-0248</t>
  </si>
  <si>
    <t>INV-2607-0249</t>
  </si>
  <si>
    <t>INV-2607-0250</t>
  </si>
  <si>
    <t>INV-2607-0251</t>
  </si>
  <si>
    <t>INV-2607-0252</t>
  </si>
  <si>
    <t>INV-2607-0253</t>
  </si>
  <si>
    <t>INV-2607-0254</t>
  </si>
  <si>
    <t>INV-2607-0255</t>
  </si>
  <si>
    <t>INV-2607-0256</t>
  </si>
  <si>
    <t>INV-2607-0257</t>
  </si>
  <si>
    <t>INV-2607-0258</t>
  </si>
  <si>
    <t>INV-2607-0259</t>
  </si>
  <si>
    <t>INV-2607-0260</t>
  </si>
  <si>
    <t>INV-2607-0261</t>
  </si>
  <si>
    <t>INV-2607-0262</t>
  </si>
  <si>
    <t>INV-2607-0263</t>
  </si>
  <si>
    <t>INV-2607-0264</t>
  </si>
  <si>
    <t>INV-2607-0265</t>
  </si>
  <si>
    <t>INV-2607-0266</t>
  </si>
  <si>
    <t>INV-2607-0267</t>
  </si>
  <si>
    <t>INV-2607-0268</t>
  </si>
  <si>
    <t>INV-2607-0269</t>
  </si>
  <si>
    <t>INV-2607-0270</t>
  </si>
  <si>
    <t>INV-2607-0271</t>
  </si>
  <si>
    <t>INV-2607-0272</t>
  </si>
  <si>
    <t>INV-2607-0273</t>
  </si>
  <si>
    <t>INV-2607-0274</t>
  </si>
  <si>
    <t>INV-2607-0275</t>
  </si>
  <si>
    <t>INV-2607-0276</t>
  </si>
  <si>
    <t>INV-2607-0277</t>
  </si>
  <si>
    <t>INV-2607-0278</t>
  </si>
  <si>
    <t>INV-2607-0279</t>
  </si>
  <si>
    <t>INV-2607-0280</t>
  </si>
  <si>
    <t>INV-2607-0281</t>
  </si>
  <si>
    <t>INV-2607-0282</t>
  </si>
  <si>
    <t>INV-2607-0283</t>
  </si>
  <si>
    <t>INV-2607-0284</t>
  </si>
  <si>
    <t>INV-2607-0285</t>
  </si>
  <si>
    <t>INV-2607-0286</t>
  </si>
  <si>
    <t>INV-2607-0287</t>
  </si>
  <si>
    <t>INV-2607-0288</t>
  </si>
  <si>
    <t>INV-2607-0289</t>
  </si>
  <si>
    <t>INV-2607-0290</t>
  </si>
  <si>
    <t>INV-2607-0291</t>
  </si>
  <si>
    <t>INV-2607-0292</t>
  </si>
  <si>
    <t>INV-2607-0293</t>
  </si>
  <si>
    <t>INV-2607-0294</t>
  </si>
  <si>
    <t>INV-2607-0295</t>
  </si>
  <si>
    <t>INV-2607-0296</t>
  </si>
  <si>
    <t>INV-2607-0297</t>
  </si>
  <si>
    <t>INV-2607-0298</t>
  </si>
  <si>
    <t>INV-2607-0299</t>
  </si>
  <si>
    <t>INV-2607-0300</t>
  </si>
  <si>
    <t>INV-2607-0301</t>
  </si>
  <si>
    <t>INV-2607-0302</t>
  </si>
  <si>
    <t>INV-2607-0303</t>
  </si>
  <si>
    <t>INV-2607-0304</t>
  </si>
  <si>
    <t>INV-2607-0305</t>
  </si>
  <si>
    <t>INV-2607-0306</t>
  </si>
  <si>
    <t>INV-2607-0307</t>
  </si>
  <si>
    <t>INV-2607-0308</t>
  </si>
  <si>
    <t>INV-2607-0309</t>
  </si>
  <si>
    <t>INV-2607-0310</t>
  </si>
  <si>
    <t>INV-2607-0311</t>
  </si>
  <si>
    <t>INV-2607-0312</t>
  </si>
  <si>
    <t>INV-2607-0313</t>
  </si>
  <si>
    <t>INV-2607-0314</t>
  </si>
  <si>
    <t>INV-2607-0315</t>
  </si>
  <si>
    <t>INV-2607-0316</t>
  </si>
  <si>
    <t>INV-2607-0317</t>
  </si>
  <si>
    <t>INV-2607-0318</t>
  </si>
  <si>
    <t>INV-2607-0319</t>
  </si>
  <si>
    <t>INV-2607-0320</t>
  </si>
  <si>
    <t>INV-2607-0321</t>
  </si>
  <si>
    <t>INV-2607-0322</t>
  </si>
  <si>
    <t>INV-2607-0323</t>
  </si>
  <si>
    <t>INV-2607-0324</t>
  </si>
  <si>
    <t>INV-2607-0325</t>
  </si>
  <si>
    <t>INV-2607-0326</t>
  </si>
  <si>
    <t>INV-2607-0327</t>
  </si>
  <si>
    <t>INV-2607-0328</t>
  </si>
  <si>
    <t>INV-2607-0329</t>
  </si>
  <si>
    <t>INV-2607-0330</t>
  </si>
  <si>
    <t>INV-2607-0331</t>
  </si>
  <si>
    <t>INV-2607-0332</t>
  </si>
  <si>
    <t>INV-2607-0333</t>
  </si>
  <si>
    <t>INV-2607-0334</t>
  </si>
  <si>
    <t>INV-2607-0335</t>
  </si>
  <si>
    <t>INV-2607-0336</t>
  </si>
  <si>
    <t>INV-2607-0337</t>
  </si>
  <si>
    <t>INV-2607-0338</t>
  </si>
  <si>
    <t>INV-2607-0339</t>
  </si>
  <si>
    <t>INV-2607-0340</t>
  </si>
  <si>
    <t>INV-2607-0341</t>
  </si>
  <si>
    <t>INV-2607-0342</t>
  </si>
  <si>
    <t>INV-2607-0343</t>
  </si>
  <si>
    <t>INV-2607-0344</t>
  </si>
  <si>
    <t>INV-2607-0345</t>
  </si>
  <si>
    <t>INV-2607-0346</t>
  </si>
  <si>
    <t>INV-2607-0347</t>
  </si>
  <si>
    <t>INV-2607-0348</t>
  </si>
  <si>
    <t>INV-2607-0349</t>
  </si>
  <si>
    <t>INV-2607-0350</t>
  </si>
  <si>
    <t>INV-2607-0351</t>
  </si>
  <si>
    <t>INV-2607-0352</t>
  </si>
  <si>
    <t>INV-2607-0353</t>
  </si>
  <si>
    <t>INV-2607-0354</t>
  </si>
  <si>
    <t>INV-2607-0355</t>
  </si>
  <si>
    <t>INV-2607-0356</t>
  </si>
  <si>
    <t>INV-2607-0357</t>
  </si>
  <si>
    <t>INV-2607-0358</t>
  </si>
  <si>
    <t>INV-2607-0359</t>
  </si>
  <si>
    <t>INV-2607-0360</t>
  </si>
  <si>
    <t>INV-2607-0361</t>
  </si>
  <si>
    <t>INV-2607-0362</t>
  </si>
  <si>
    <t>INV-2607-0363</t>
  </si>
  <si>
    <t>INV-2607-0364</t>
  </si>
  <si>
    <t>INV-2607-0365</t>
  </si>
  <si>
    <t>INV-2607-0366</t>
  </si>
  <si>
    <t>INV-2607-0367</t>
  </si>
  <si>
    <t>INV-2607-0368</t>
  </si>
  <si>
    <t>INV-2607-0369</t>
  </si>
  <si>
    <t>INV-2607-0370</t>
  </si>
  <si>
    <t>INV-2608-0001</t>
  </si>
  <si>
    <t>INV-2608-0002</t>
  </si>
  <si>
    <t>INV-2608-0003</t>
  </si>
  <si>
    <t>INV-2608-0004</t>
  </si>
  <si>
    <t>INV-2608-0005</t>
  </si>
  <si>
    <t>INV-2608-0006</t>
  </si>
  <si>
    <t>INV-2608-0007</t>
  </si>
  <si>
    <t>INV-2608-0008</t>
  </si>
  <si>
    <t>INV-2608-0009</t>
  </si>
  <si>
    <t>INV-2608-0010</t>
  </si>
  <si>
    <t>INV-2608-0011</t>
  </si>
  <si>
    <t>INV-2608-0012</t>
  </si>
  <si>
    <t>INV-2608-0013</t>
  </si>
  <si>
    <t>INV-2608-0014</t>
  </si>
  <si>
    <t>INV-2608-0015</t>
  </si>
  <si>
    <t>INV-2608-0016</t>
  </si>
  <si>
    <t>INV-2608-0017</t>
  </si>
  <si>
    <t>INV-2608-0018</t>
  </si>
  <si>
    <t>INV-2608-0019</t>
  </si>
  <si>
    <t>INV-2608-0020</t>
  </si>
  <si>
    <t>INV-2608-0021</t>
  </si>
  <si>
    <t>INV-2608-0022</t>
  </si>
  <si>
    <t>INV-2608-0023</t>
  </si>
  <si>
    <t>INV-2608-0024</t>
  </si>
  <si>
    <t>INV-2608-0025</t>
  </si>
  <si>
    <t>INV-2608-0026</t>
  </si>
  <si>
    <t>INV-2608-0027</t>
  </si>
  <si>
    <t>INV-2608-0028</t>
  </si>
  <si>
    <t>INV-2608-0029</t>
  </si>
  <si>
    <t>INV-2608-0030</t>
  </si>
  <si>
    <t>INV-2608-0031</t>
  </si>
  <si>
    <t>INV-2608-0032</t>
  </si>
  <si>
    <t>INV-2608-0033</t>
  </si>
  <si>
    <t>INV-2608-0034</t>
  </si>
  <si>
    <t>INV-2608-0035</t>
  </si>
  <si>
    <t>INV-2608-0036</t>
  </si>
  <si>
    <t>INV-2608-0037</t>
  </si>
  <si>
    <t>INV-2608-0038</t>
  </si>
  <si>
    <t>INV-2608-0039</t>
  </si>
  <si>
    <t>INV-2608-0040</t>
  </si>
  <si>
    <t>INV-2608-0041</t>
  </si>
  <si>
    <t>INV-2608-0042</t>
  </si>
  <si>
    <t>INV-2608-0043</t>
  </si>
  <si>
    <t>INV-2608-0044</t>
  </si>
  <si>
    <t>INV-2608-0045</t>
  </si>
  <si>
    <t>INV-2608-0046</t>
  </si>
  <si>
    <t>INV-2608-0047</t>
  </si>
  <si>
    <t>INV-2608-0048</t>
  </si>
  <si>
    <t>INV-2608-0049</t>
  </si>
  <si>
    <t>INV-2608-0050</t>
  </si>
  <si>
    <t>INV-2608-0051</t>
  </si>
  <si>
    <t>INV-2608-0052</t>
  </si>
  <si>
    <t>INV-2608-0053</t>
  </si>
  <si>
    <t>INV-2608-0054</t>
  </si>
  <si>
    <t>INV-2608-0055</t>
  </si>
  <si>
    <t>INV-2608-0056</t>
  </si>
  <si>
    <t>INV-2608-0057</t>
  </si>
  <si>
    <t>INV-2608-0058</t>
  </si>
  <si>
    <t>INV-2608-0059</t>
  </si>
  <si>
    <t>INV-2608-0060</t>
  </si>
  <si>
    <t>INV-2608-0061</t>
  </si>
  <si>
    <t>INV-2608-0062</t>
  </si>
  <si>
    <t>INV-2608-0063</t>
  </si>
  <si>
    <t>INV-2608-0064</t>
  </si>
  <si>
    <t>INV-2608-0065</t>
  </si>
  <si>
    <t>INV-2608-0066</t>
  </si>
  <si>
    <t>INV-2608-0067</t>
  </si>
  <si>
    <t>INV-2608-0068</t>
  </si>
  <si>
    <t>INV-2608-0069</t>
  </si>
  <si>
    <t>INV-2608-0070</t>
  </si>
  <si>
    <t>INV-2608-0071</t>
  </si>
  <si>
    <t>INV-2608-0072</t>
  </si>
  <si>
    <t>INV-2608-0073</t>
  </si>
  <si>
    <t>INV-2608-0074</t>
  </si>
  <si>
    <t>INV-2608-0075</t>
  </si>
  <si>
    <t>INV-2608-0076</t>
  </si>
  <si>
    <t>INV-2608-0077</t>
  </si>
  <si>
    <t>INV-2608-0078</t>
  </si>
  <si>
    <t>INV-2608-0079</t>
  </si>
  <si>
    <t>INV-2608-0080</t>
  </si>
  <si>
    <t>INV-2608-0081</t>
  </si>
  <si>
    <t>INV-2608-0082</t>
  </si>
  <si>
    <t>INV-2608-0083</t>
  </si>
  <si>
    <t>INV-2608-0084</t>
  </si>
  <si>
    <t>INV-2608-0085</t>
  </si>
  <si>
    <t>INV-2608-0086</t>
  </si>
  <si>
    <t>INV-2608-0087</t>
  </si>
  <si>
    <t>INV-2608-0088</t>
  </si>
  <si>
    <t>INV-2608-0089</t>
  </si>
  <si>
    <t>INV-2608-0090</t>
  </si>
  <si>
    <t>INV-2608-0091</t>
  </si>
  <si>
    <t>INV-2608-0092</t>
  </si>
  <si>
    <t>INV-2608-0093</t>
  </si>
  <si>
    <t>INV-2608-0094</t>
  </si>
  <si>
    <t>INV-2608-0095</t>
  </si>
  <si>
    <t>INV-2608-0096</t>
  </si>
  <si>
    <t>INV-2608-0097</t>
  </si>
  <si>
    <t>INV-2608-0098</t>
  </si>
  <si>
    <t>INV-2608-0099</t>
  </si>
  <si>
    <t>INV-2608-0100</t>
  </si>
  <si>
    <t>INV-2608-0101</t>
  </si>
  <si>
    <t>INV-2608-0102</t>
  </si>
  <si>
    <t>INV-2608-0103</t>
  </si>
  <si>
    <t>INV-2608-0104</t>
  </si>
  <si>
    <t>INV-2608-0105</t>
  </si>
  <si>
    <t>INV-2608-0106</t>
  </si>
  <si>
    <t>INV-2608-0107</t>
  </si>
  <si>
    <t>INV-2608-0108</t>
  </si>
  <si>
    <t>INV-2608-0109</t>
  </si>
  <si>
    <t>INV-2608-0110</t>
  </si>
  <si>
    <t>INV-2608-0111</t>
  </si>
  <si>
    <t>INV-2608-0112</t>
  </si>
  <si>
    <t>INV-2608-0113</t>
  </si>
  <si>
    <t>INV-2608-0114</t>
  </si>
  <si>
    <t>INV-2608-0115</t>
  </si>
  <si>
    <t>INV-2608-0116</t>
  </si>
  <si>
    <t>INV-2608-0117</t>
  </si>
  <si>
    <t>INV-2608-0118</t>
  </si>
  <si>
    <t>INV-2608-0119</t>
  </si>
  <si>
    <t>INV-2608-0120</t>
  </si>
  <si>
    <t>INV-2608-0121</t>
  </si>
  <si>
    <t>INV-2608-0122</t>
  </si>
  <si>
    <t>INV-2608-0123</t>
  </si>
  <si>
    <t>INV-2608-0124</t>
  </si>
  <si>
    <t>INV-2608-0125</t>
  </si>
  <si>
    <t>INV-2608-0126</t>
  </si>
  <si>
    <t>INV-2608-0127</t>
  </si>
  <si>
    <t>INV-2608-0128</t>
  </si>
  <si>
    <t>INV-2608-0129</t>
  </si>
  <si>
    <t>INV-2608-0130</t>
  </si>
  <si>
    <t>INV-2608-0131</t>
  </si>
  <si>
    <t>INV-2608-0132</t>
  </si>
  <si>
    <t>INV-2608-0133</t>
  </si>
  <si>
    <t>INV-2608-0134</t>
  </si>
  <si>
    <t>INV-2608-0135</t>
  </si>
  <si>
    <t>INV-2608-0136</t>
  </si>
  <si>
    <t>INV-2608-0137</t>
  </si>
  <si>
    <t>INV-2608-0138</t>
  </si>
  <si>
    <t>INV-2608-0139</t>
  </si>
  <si>
    <t>INV-2608-0140</t>
  </si>
  <si>
    <t>INV-2608-0141</t>
  </si>
  <si>
    <t>INV-2608-0142</t>
  </si>
  <si>
    <t>INV-2608-0143</t>
  </si>
  <si>
    <t>INV-2608-0144</t>
  </si>
  <si>
    <t>INV-2608-0145</t>
  </si>
  <si>
    <t>INV-2608-0146</t>
  </si>
  <si>
    <t>INV-2608-0147</t>
  </si>
  <si>
    <t>INV-2608-0148</t>
  </si>
  <si>
    <t>INV-2608-0149</t>
  </si>
  <si>
    <t>INV-2608-0150</t>
  </si>
  <si>
    <t>INV-2608-0151</t>
  </si>
  <si>
    <t>INV-2608-0152</t>
  </si>
  <si>
    <t>INV-2608-0153</t>
  </si>
  <si>
    <t>INV-2608-0154</t>
  </si>
  <si>
    <t>INV-2608-0155</t>
  </si>
  <si>
    <t>INV-2608-0156</t>
  </si>
  <si>
    <t>INV-2608-0157</t>
  </si>
  <si>
    <t>INV-2608-0158</t>
  </si>
  <si>
    <t>INV-2608-0159</t>
  </si>
  <si>
    <t>INV-2608-0160</t>
  </si>
  <si>
    <t>INV-2608-0161</t>
  </si>
  <si>
    <t>INV-2608-0162</t>
  </si>
  <si>
    <t>INV-2608-0163</t>
  </si>
  <si>
    <t>INV-2608-0164</t>
  </si>
  <si>
    <t>INV-2608-0165</t>
  </si>
  <si>
    <t>INV-2608-0166</t>
  </si>
  <si>
    <t>INV-2608-0167</t>
  </si>
  <si>
    <t>INV-2608-0168</t>
  </si>
  <si>
    <t>INV-2608-0169</t>
  </si>
  <si>
    <t>INV-2608-0170</t>
  </si>
  <si>
    <t>INV-2608-0171</t>
  </si>
  <si>
    <t>INV-2608-0172</t>
  </si>
  <si>
    <t>INV-2608-0173</t>
  </si>
  <si>
    <t>INV-2608-0174</t>
  </si>
  <si>
    <t>INV-2608-0175</t>
  </si>
  <si>
    <t>INV-2608-0176</t>
  </si>
  <si>
    <t>INV-2608-0177</t>
  </si>
  <si>
    <t>INV-2608-0178</t>
  </si>
  <si>
    <t>INV-2608-0179</t>
  </si>
  <si>
    <t>INV-2608-0180</t>
  </si>
  <si>
    <t>INV-2608-0181</t>
  </si>
  <si>
    <t>INV-2608-0182</t>
  </si>
  <si>
    <t>INV-2608-0183</t>
  </si>
  <si>
    <t>INV-2608-0184</t>
  </si>
  <si>
    <t>INV-2608-0185</t>
  </si>
  <si>
    <t>INV-2608-0186</t>
  </si>
  <si>
    <t>INV-2608-0187</t>
  </si>
  <si>
    <t>INV-2608-0188</t>
  </si>
  <si>
    <t>INV-2608-0189</t>
  </si>
  <si>
    <t>INV-2608-0190</t>
  </si>
  <si>
    <t>INV-2608-0191</t>
  </si>
  <si>
    <t>INV-2608-0192</t>
  </si>
  <si>
    <t>INV-2608-0193</t>
  </si>
  <si>
    <t>INV-2608-0194</t>
  </si>
  <si>
    <t>INV-2608-0195</t>
  </si>
  <si>
    <t>INV-2608-0196</t>
  </si>
  <si>
    <t>INV-2608-0197</t>
  </si>
  <si>
    <t>INV-2608-0198</t>
  </si>
  <si>
    <t>INV-2608-0199</t>
  </si>
  <si>
    <t>INV-2608-0200</t>
  </si>
  <si>
    <t>INV-2608-0201</t>
  </si>
  <si>
    <t>INV-2608-0202</t>
  </si>
  <si>
    <t>INV-2608-0203</t>
  </si>
  <si>
    <t>INV-2608-0204</t>
  </si>
  <si>
    <t>INV-2608-0205</t>
  </si>
  <si>
    <t>INV-2608-0206</t>
  </si>
  <si>
    <t>INV-2608-0207</t>
  </si>
  <si>
    <t>INV-2608-0208</t>
  </si>
  <si>
    <t>INV-2608-0209</t>
  </si>
  <si>
    <t>INV-2608-0210</t>
  </si>
  <si>
    <t>INV-2608-0211</t>
  </si>
  <si>
    <t>INV-2608-0212</t>
  </si>
  <si>
    <t>INV-2608-0213</t>
  </si>
  <si>
    <t>INV-2608-0214</t>
  </si>
  <si>
    <t>INV-2608-0215</t>
  </si>
  <si>
    <t>INV-2608-0216</t>
  </si>
  <si>
    <t>INV-2608-0217</t>
  </si>
  <si>
    <t>INV-2608-0218</t>
  </si>
  <si>
    <t>INV-2608-0219</t>
  </si>
  <si>
    <t>INV-2608-0220</t>
  </si>
  <si>
    <t>INV-2608-0221</t>
  </si>
  <si>
    <t>INV-2608-0222</t>
  </si>
  <si>
    <t>INV-2608-0223</t>
  </si>
  <si>
    <t>INV-2608-0224</t>
  </si>
  <si>
    <t>INV-2608-0225</t>
  </si>
  <si>
    <t>INV-2608-0226</t>
  </si>
  <si>
    <t>INV-2608-0227</t>
  </si>
  <si>
    <t>INV-2608-0228</t>
  </si>
  <si>
    <t>INV-2608-0229</t>
  </si>
  <si>
    <t>INV-2608-0230</t>
  </si>
  <si>
    <t>INV-2608-0231</t>
  </si>
  <si>
    <t>INV-2608-0232</t>
  </si>
  <si>
    <t>INV-2608-0233</t>
  </si>
  <si>
    <t>INV-2608-0234</t>
  </si>
  <si>
    <t>INV-2608-0235</t>
  </si>
  <si>
    <t>INV-2608-0236</t>
  </si>
  <si>
    <t>INV-2608-0237</t>
  </si>
  <si>
    <t>INV-2608-0238</t>
  </si>
  <si>
    <t>INV-2608-0239</t>
  </si>
  <si>
    <t>INV-2608-0240</t>
  </si>
  <si>
    <t>INV-2608-0241</t>
  </si>
  <si>
    <t>INV-2608-0242</t>
  </si>
  <si>
    <t>INV-2608-0243</t>
  </si>
  <si>
    <t>INV-2608-0244</t>
  </si>
  <si>
    <t>INV-2608-0245</t>
  </si>
  <si>
    <t>INV-2608-0246</t>
  </si>
  <si>
    <t>INV-2608-0247</t>
  </si>
  <si>
    <t>INV-2608-0248</t>
  </si>
  <si>
    <t>INV-2608-0249</t>
  </si>
  <si>
    <t>INV-2608-0250</t>
  </si>
  <si>
    <t>INV-2608-0251</t>
  </si>
  <si>
    <t>INV-2608-0252</t>
  </si>
  <si>
    <t>INV-2608-0253</t>
  </si>
  <si>
    <t>INV-2608-0254</t>
  </si>
  <si>
    <t>INV-2608-0255</t>
  </si>
  <si>
    <t>INV-2608-0256</t>
  </si>
  <si>
    <t>INV-2608-0257</t>
  </si>
  <si>
    <t>INV-2608-0258</t>
  </si>
  <si>
    <t>INV-2608-0259</t>
  </si>
  <si>
    <t>INV-2608-0260</t>
  </si>
  <si>
    <t>INV-2608-0261</t>
  </si>
  <si>
    <t>INV-2608-0262</t>
  </si>
  <si>
    <t>INV-2608-0263</t>
  </si>
  <si>
    <t>INV-2608-0264</t>
  </si>
  <si>
    <t>INV-2608-0265</t>
  </si>
  <si>
    <t>INV-2608-0266</t>
  </si>
  <si>
    <t>INV-2608-0267</t>
  </si>
  <si>
    <t>INV-2608-0268</t>
  </si>
  <si>
    <t>INV-2608-0269</t>
  </si>
  <si>
    <t>INV-2608-0270</t>
  </si>
  <si>
    <t>INV-2608-0271</t>
  </si>
  <si>
    <t>INV-2608-0272</t>
  </si>
  <si>
    <t>INV-2608-0273</t>
  </si>
  <si>
    <t>INV-2608-0274</t>
  </si>
  <si>
    <t>INV-2608-0275</t>
  </si>
  <si>
    <t>INV-2608-0276</t>
  </si>
  <si>
    <t>INV-2608-0277</t>
  </si>
  <si>
    <t>INV-2608-0278</t>
  </si>
  <si>
    <t>INV-2608-0279</t>
  </si>
  <si>
    <t>INV-2608-0280</t>
  </si>
  <si>
    <t>INV-2608-0281</t>
  </si>
  <si>
    <t>INV-2608-0282</t>
  </si>
  <si>
    <t>INV-2608-0283</t>
  </si>
  <si>
    <t>INV-2608-0284</t>
  </si>
  <si>
    <t>INV-2608-0285</t>
  </si>
  <si>
    <t>INV-2608-0286</t>
  </si>
  <si>
    <t>INV-2608-0287</t>
  </si>
  <si>
    <t>INV-2608-0288</t>
  </si>
  <si>
    <t>INV-2608-0289</t>
  </si>
  <si>
    <t>INV-2608-0290</t>
  </si>
  <si>
    <t>INV-2608-0291</t>
  </si>
  <si>
    <t>INV-2608-0292</t>
  </si>
  <si>
    <t>INV-2608-0293</t>
  </si>
  <si>
    <t>INV-2608-0294</t>
  </si>
  <si>
    <t>INV-2608-0295</t>
  </si>
  <si>
    <t>INV-2608-0296</t>
  </si>
  <si>
    <t>INV-2608-0297</t>
  </si>
  <si>
    <t>INV-2608-0298</t>
  </si>
  <si>
    <t>INV-2608-0299</t>
  </si>
  <si>
    <t>INV-2608-0300</t>
  </si>
  <si>
    <t>INV-2608-0301</t>
  </si>
  <si>
    <t>INV-2608-0302</t>
  </si>
  <si>
    <t>INV-2608-0303</t>
  </si>
  <si>
    <t>INV-2608-0304</t>
  </si>
  <si>
    <t>INV-2608-0305</t>
  </si>
  <si>
    <t>INV-2608-0306</t>
  </si>
  <si>
    <t>INV-2608-0307</t>
  </si>
  <si>
    <t>INV-2608-0308</t>
  </si>
  <si>
    <t>INV-2608-0309</t>
  </si>
  <si>
    <t>INV-2608-0310</t>
  </si>
  <si>
    <t>INV-2608-0311</t>
  </si>
  <si>
    <t>INV-2608-0312</t>
  </si>
  <si>
    <t>INV-2608-0313</t>
  </si>
  <si>
    <t>INV-2608-0314</t>
  </si>
  <si>
    <t>INV-2608-0315</t>
  </si>
  <si>
    <t>INV-2608-0316</t>
  </si>
  <si>
    <t>INV-2608-0317</t>
  </si>
  <si>
    <t>INV-2608-0318</t>
  </si>
  <si>
    <t>INV-2608-0319</t>
  </si>
  <si>
    <t>INV-2608-0320</t>
  </si>
  <si>
    <t>INV-2608-0321</t>
  </si>
  <si>
    <t>INV-2608-0322</t>
  </si>
  <si>
    <t>INV-2608-0323</t>
  </si>
  <si>
    <t>INV-2608-0324</t>
  </si>
  <si>
    <t>INV-2608-0325</t>
  </si>
  <si>
    <t>INV-2608-0326</t>
  </si>
  <si>
    <t>INV-2608-0327</t>
  </si>
  <si>
    <t>INV-2608-0328</t>
  </si>
  <si>
    <t>INV-2608-0329</t>
  </si>
  <si>
    <t>INV-2608-0330</t>
  </si>
  <si>
    <t>INV-2608-0331</t>
  </si>
  <si>
    <t>INV-2608-0332</t>
  </si>
  <si>
    <t>INV-2608-0333</t>
  </si>
  <si>
    <t>INV-2608-0334</t>
  </si>
  <si>
    <t>INV-2608-0335</t>
  </si>
  <si>
    <t>INV-2608-0336</t>
  </si>
  <si>
    <t>INV-2608-0337</t>
  </si>
  <si>
    <t>INV-2608-0338</t>
  </si>
  <si>
    <t>INV-2608-0339</t>
  </si>
  <si>
    <t>INV-2608-0340</t>
  </si>
  <si>
    <t>INV-2608-0341</t>
  </si>
  <si>
    <t>INV-2608-0342</t>
  </si>
  <si>
    <t>INV-2608-0343</t>
  </si>
  <si>
    <t>INV-2608-0344</t>
  </si>
  <si>
    <t>INV-2608-0345</t>
  </si>
  <si>
    <t>INV-2608-0346</t>
  </si>
  <si>
    <t>INV-2608-0347</t>
  </si>
  <si>
    <t>INV-2608-0348</t>
  </si>
  <si>
    <t>INV-2608-0349</t>
  </si>
  <si>
    <t>INV-2608-0350</t>
  </si>
  <si>
    <t>INV-2608-0351</t>
  </si>
  <si>
    <t>INV-2608-0352</t>
  </si>
  <si>
    <t>INV-2608-0353</t>
  </si>
  <si>
    <t>INV-2608-0354</t>
  </si>
  <si>
    <t>INV-2608-0355</t>
  </si>
  <si>
    <t>INV-2608-0356</t>
  </si>
  <si>
    <t>INV-2608-0357</t>
  </si>
  <si>
    <t>INV-2608-0358</t>
  </si>
  <si>
    <t>INV-2609-0001</t>
  </si>
  <si>
    <t>INV-2609-0002</t>
  </si>
  <si>
    <t>INV-2609-0003</t>
  </si>
  <si>
    <t>INV-2609-0004</t>
  </si>
  <si>
    <t>INV-2609-0005</t>
  </si>
  <si>
    <t>INV-2609-0006</t>
  </si>
  <si>
    <t>INV-2609-0007</t>
  </si>
  <si>
    <t>INV-2609-0008</t>
  </si>
  <si>
    <t>INV-2609-0009</t>
  </si>
  <si>
    <t>INV-2609-0010</t>
  </si>
  <si>
    <t>INV-2609-0011</t>
  </si>
  <si>
    <t>INV-2609-0012</t>
  </si>
  <si>
    <t>INV-2609-0013</t>
  </si>
  <si>
    <t>INV-2609-0014</t>
  </si>
  <si>
    <t>INV-2609-0015</t>
  </si>
  <si>
    <t>INV-2609-0016</t>
  </si>
  <si>
    <t>INV-2609-0017</t>
  </si>
  <si>
    <t>INV-2609-0018</t>
  </si>
  <si>
    <t>INV-2609-0019</t>
  </si>
  <si>
    <t>INV-2609-0020</t>
  </si>
  <si>
    <t>INV-2609-0021</t>
  </si>
  <si>
    <t>INV-2609-0022</t>
  </si>
  <si>
    <t>INV-2609-0023</t>
  </si>
  <si>
    <t>INV-2609-0024</t>
  </si>
  <si>
    <t>INV-2609-0025</t>
  </si>
  <si>
    <t>INV-2609-0026</t>
  </si>
  <si>
    <t>INV-2609-0027</t>
  </si>
  <si>
    <t>INV-2609-0028</t>
  </si>
  <si>
    <t>INV-2609-0029</t>
  </si>
  <si>
    <t>INV-2609-0030</t>
  </si>
  <si>
    <t>INV-2609-0031</t>
  </si>
  <si>
    <t>INV-2609-0032</t>
  </si>
  <si>
    <t>INV-2609-0033</t>
  </si>
  <si>
    <t>INV-2609-0034</t>
  </si>
  <si>
    <t>INV-2609-0035</t>
  </si>
  <si>
    <t>INV-2609-0036</t>
  </si>
  <si>
    <t>INV-2609-0037</t>
  </si>
  <si>
    <t>INV-2609-0038</t>
  </si>
  <si>
    <t>INV-2609-0039</t>
  </si>
  <si>
    <t>INV-2609-0040</t>
  </si>
  <si>
    <t>INV-2609-0041</t>
  </si>
  <si>
    <t>INV-2609-0042</t>
  </si>
  <si>
    <t>INV-2609-0043</t>
  </si>
  <si>
    <t>INV-2609-0044</t>
  </si>
  <si>
    <t>INV-2609-0045</t>
  </si>
  <si>
    <t>INV-2609-0046</t>
  </si>
  <si>
    <t>INV-2609-0047</t>
  </si>
  <si>
    <t>INV-2609-0048</t>
  </si>
  <si>
    <t>INV-2609-0049</t>
  </si>
  <si>
    <t>INV-2609-0050</t>
  </si>
  <si>
    <t>INV-2609-0051</t>
  </si>
  <si>
    <t>INV-2609-0052</t>
  </si>
  <si>
    <t>INV-2609-0053</t>
  </si>
  <si>
    <t>INV-2609-0054</t>
  </si>
  <si>
    <t>INV-2609-0055</t>
  </si>
  <si>
    <t>INV-2609-0056</t>
  </si>
  <si>
    <t>INV-2609-0057</t>
  </si>
  <si>
    <t>INV-2609-0058</t>
  </si>
  <si>
    <t>INV-2609-0059</t>
  </si>
  <si>
    <t>INV-2609-0060</t>
  </si>
  <si>
    <t>INV-2609-0061</t>
  </si>
  <si>
    <t>INV-2609-0062</t>
  </si>
  <si>
    <t>INV-2609-0063</t>
  </si>
  <si>
    <t>INV-2609-0064</t>
  </si>
  <si>
    <t>INV-2609-0065</t>
  </si>
  <si>
    <t>INV-2609-0066</t>
  </si>
  <si>
    <t>INV-2609-0067</t>
  </si>
  <si>
    <t>INV-2609-0068</t>
  </si>
  <si>
    <t>INV-2609-0069</t>
  </si>
  <si>
    <t>INV-2609-0070</t>
  </si>
  <si>
    <t>INV-2609-0071</t>
  </si>
  <si>
    <t>INV-2609-0072</t>
  </si>
  <si>
    <t>INV-2609-0073</t>
  </si>
  <si>
    <t>INV-2609-0074</t>
  </si>
  <si>
    <t>INV-2609-0075</t>
  </si>
  <si>
    <t>INV-2609-0076</t>
  </si>
  <si>
    <t>INV-2609-0077</t>
  </si>
  <si>
    <t>INV-2609-0078</t>
  </si>
  <si>
    <t>INV-2609-0079</t>
  </si>
  <si>
    <t>INV-2609-0080</t>
  </si>
  <si>
    <t>INV-2609-0081</t>
  </si>
  <si>
    <t>INV-2609-0082</t>
  </si>
  <si>
    <t>INV-2609-0083</t>
  </si>
  <si>
    <t>INV-2609-0084</t>
  </si>
  <si>
    <t>INV-2609-0085</t>
  </si>
  <si>
    <t>INV-2609-0086</t>
  </si>
  <si>
    <t>INV-2609-0087</t>
  </si>
  <si>
    <t>INV-2609-0088</t>
  </si>
  <si>
    <t>INV-2609-0089</t>
  </si>
  <si>
    <t>INV-2609-0090</t>
  </si>
  <si>
    <t>INV-2609-0091</t>
  </si>
  <si>
    <t>INV-2609-0092</t>
  </si>
  <si>
    <t>INV-2609-0093</t>
  </si>
  <si>
    <t>INV-2609-0094</t>
  </si>
  <si>
    <t>INV-2609-0095</t>
  </si>
  <si>
    <t>INV-2609-0096</t>
  </si>
  <si>
    <t>INV-2609-0097</t>
  </si>
  <si>
    <t>INV-2609-0098</t>
  </si>
  <si>
    <t>INV-2609-0099</t>
  </si>
  <si>
    <t>INV-2609-0100</t>
  </si>
  <si>
    <t>INV-2609-0101</t>
  </si>
  <si>
    <t>INV-2609-0102</t>
  </si>
  <si>
    <t>INV-2609-0103</t>
  </si>
  <si>
    <t>INV-2609-0104</t>
  </si>
  <si>
    <t>INV-2609-0105</t>
  </si>
  <si>
    <t>INV-2609-0106</t>
  </si>
  <si>
    <t>INV-2609-0107</t>
  </si>
  <si>
    <t>INV-2609-0108</t>
  </si>
  <si>
    <t>INV-2609-0109</t>
  </si>
  <si>
    <t>INV-2609-0110</t>
  </si>
  <si>
    <t>INV-2609-0111</t>
  </si>
  <si>
    <t>INV-2609-0112</t>
  </si>
  <si>
    <t>INV-2609-0113</t>
  </si>
  <si>
    <t>INV-2609-0114</t>
  </si>
  <si>
    <t>INV-2609-0115</t>
  </si>
  <si>
    <t>INV-2609-0116</t>
  </si>
  <si>
    <t>INV-2609-0117</t>
  </si>
  <si>
    <t>INV-2609-0118</t>
  </si>
  <si>
    <t>INV-2609-0119</t>
  </si>
  <si>
    <t>INV-2609-0120</t>
  </si>
  <si>
    <t>INV-2609-0121</t>
  </si>
  <si>
    <t>INV-2609-0122</t>
  </si>
  <si>
    <t>INV-2609-0123</t>
  </si>
  <si>
    <t>INV-2609-0124</t>
  </si>
  <si>
    <t>INV-2609-0125</t>
  </si>
  <si>
    <t>INV-2609-0126</t>
  </si>
  <si>
    <t>INV-2609-0127</t>
  </si>
  <si>
    <t>INV-2609-0128</t>
  </si>
  <si>
    <t>INV-2609-0129</t>
  </si>
  <si>
    <t>INV-2609-0130</t>
  </si>
  <si>
    <t>INV-2609-0131</t>
  </si>
  <si>
    <t>INV-2609-0132</t>
  </si>
  <si>
    <t>INV-2609-0133</t>
  </si>
  <si>
    <t>INV-2609-0134</t>
  </si>
  <si>
    <t>INV-2609-0135</t>
  </si>
  <si>
    <t>INV-2609-0136</t>
  </si>
  <si>
    <t>INV-2609-0137</t>
  </si>
  <si>
    <t>INV-2609-0138</t>
  </si>
  <si>
    <t>INV-2609-0139</t>
  </si>
  <si>
    <t>INV-2609-0140</t>
  </si>
  <si>
    <t>INV-2609-0141</t>
  </si>
  <si>
    <t>INV-2609-0142</t>
  </si>
  <si>
    <t>INV-2609-0143</t>
  </si>
  <si>
    <t>INV-2609-0144</t>
  </si>
  <si>
    <t>INV-2609-0145</t>
  </si>
  <si>
    <t>INV-2609-0146</t>
  </si>
  <si>
    <t>INV-2609-0147</t>
  </si>
  <si>
    <t>INV-2609-0148</t>
  </si>
  <si>
    <t>INV-2609-0149</t>
  </si>
  <si>
    <t>INV-2609-0150</t>
  </si>
  <si>
    <t>INV-2609-0151</t>
  </si>
  <si>
    <t>INV-2609-0152</t>
  </si>
  <si>
    <t>INV-2609-0153</t>
  </si>
  <si>
    <t>INV-2609-0154</t>
  </si>
  <si>
    <t>INV-2609-0155</t>
  </si>
  <si>
    <t>INV-2609-0156</t>
  </si>
  <si>
    <t>INV-2609-0157</t>
  </si>
  <si>
    <t>INV-2609-0158</t>
  </si>
  <si>
    <t>INV-2609-0159</t>
  </si>
  <si>
    <t>INV-2609-0160</t>
  </si>
  <si>
    <t>INV-2609-0161</t>
  </si>
  <si>
    <t>INV-2609-0162</t>
  </si>
  <si>
    <t>INV-2609-0163</t>
  </si>
  <si>
    <t>INV-2609-0164</t>
  </si>
  <si>
    <t>INV-2609-0165</t>
  </si>
  <si>
    <t>INV-2609-0166</t>
  </si>
  <si>
    <t>INV-2609-0167</t>
  </si>
  <si>
    <t>INV-2609-0168</t>
  </si>
  <si>
    <t>INV-2609-0169</t>
  </si>
  <si>
    <t>INV-2609-0170</t>
  </si>
  <si>
    <t>INV-2609-0171</t>
  </si>
  <si>
    <t>INV-2609-0172</t>
  </si>
  <si>
    <t>INV-2609-0173</t>
  </si>
  <si>
    <t>INV-2609-0174</t>
  </si>
  <si>
    <t>INV-2609-0175</t>
  </si>
  <si>
    <t>INV-2609-0176</t>
  </si>
  <si>
    <t>INV-2609-0177</t>
  </si>
  <si>
    <t>INV-2609-0178</t>
  </si>
  <si>
    <t>INV-2609-0179</t>
  </si>
  <si>
    <t>INV-2609-0180</t>
  </si>
  <si>
    <t>INV-2609-0181</t>
  </si>
  <si>
    <t>INV-2609-0182</t>
  </si>
  <si>
    <t>INV-2609-0183</t>
  </si>
  <si>
    <t>INV-2609-0184</t>
  </si>
  <si>
    <t>INV-2609-0185</t>
  </si>
  <si>
    <t>INV-2609-0186</t>
  </si>
  <si>
    <t>INV-2609-0187</t>
  </si>
  <si>
    <t>INV-2609-0188</t>
  </si>
  <si>
    <t>INV-2609-0189</t>
  </si>
  <si>
    <t>INV-2609-0190</t>
  </si>
  <si>
    <t>INV-2609-0191</t>
  </si>
  <si>
    <t>INV-2609-0192</t>
  </si>
  <si>
    <t>INV-2609-0193</t>
  </si>
  <si>
    <t>INV-2609-0194</t>
  </si>
  <si>
    <t>INV-2609-0195</t>
  </si>
  <si>
    <t>INV-2609-0196</t>
  </si>
  <si>
    <t>INV-2609-0197</t>
  </si>
  <si>
    <t>INV-2609-0198</t>
  </si>
  <si>
    <t>INV-2609-0199</t>
  </si>
  <si>
    <t>INV-2609-0200</t>
  </si>
  <si>
    <t>INV-2609-0201</t>
  </si>
  <si>
    <t>INV-2609-0202</t>
  </si>
  <si>
    <t>INV-2609-0203</t>
  </si>
  <si>
    <t>INV-2609-0204</t>
  </si>
  <si>
    <t>INV-2609-0205</t>
  </si>
  <si>
    <t>INV-2609-0206</t>
  </si>
  <si>
    <t>INV-2609-0207</t>
  </si>
  <si>
    <t>INV-2609-0208</t>
  </si>
  <si>
    <t>INV-2609-0209</t>
  </si>
  <si>
    <t>INV-2609-0210</t>
  </si>
  <si>
    <t>INV-2609-0211</t>
  </si>
  <si>
    <t>INV-2609-0212</t>
  </si>
  <si>
    <t>INV-2609-0213</t>
  </si>
  <si>
    <t>INV-2609-0214</t>
  </si>
  <si>
    <t>INV-2609-0215</t>
  </si>
  <si>
    <t>INV-2609-0216</t>
  </si>
  <si>
    <t>INV-2609-0217</t>
  </si>
  <si>
    <t>INV-2609-0218</t>
  </si>
  <si>
    <t>INV-2609-0219</t>
  </si>
  <si>
    <t>INV-2609-0220</t>
  </si>
  <si>
    <t>INV-2609-0221</t>
  </si>
  <si>
    <t>INV-2609-0222</t>
  </si>
  <si>
    <t>INV-2609-0223</t>
  </si>
  <si>
    <t>INV-2609-0224</t>
  </si>
  <si>
    <t>INV-2609-0225</t>
  </si>
  <si>
    <t>INV-2609-0226</t>
  </si>
  <si>
    <t>INV-2609-0227</t>
  </si>
  <si>
    <t>INV-2609-0228</t>
  </si>
  <si>
    <t>INV-2609-0229</t>
  </si>
  <si>
    <t>INV-2609-0230</t>
  </si>
  <si>
    <t>INV-2609-0231</t>
  </si>
  <si>
    <t>INV-2609-0232</t>
  </si>
  <si>
    <t>INV-2609-0233</t>
  </si>
  <si>
    <t>INV-2609-0234</t>
  </si>
  <si>
    <t>INV-2609-0235</t>
  </si>
  <si>
    <t>INV-2609-0236</t>
  </si>
  <si>
    <t>INV-2609-0237</t>
  </si>
  <si>
    <t>INV-2609-0238</t>
  </si>
  <si>
    <t>INV-2609-0239</t>
  </si>
  <si>
    <t>INV-2609-0240</t>
  </si>
  <si>
    <t>INV-2609-0241</t>
  </si>
  <si>
    <t>INV-2609-0242</t>
  </si>
  <si>
    <t>INV-2609-0243</t>
  </si>
  <si>
    <t>INV-2609-0244</t>
  </si>
  <si>
    <t>INV-2609-0245</t>
  </si>
  <si>
    <t>INV-2609-0246</t>
  </si>
  <si>
    <t>INV-2609-0247</t>
  </si>
  <si>
    <t>INV-2609-0248</t>
  </si>
  <si>
    <t>INV-2609-0249</t>
  </si>
  <si>
    <t>INV-2609-0250</t>
  </si>
  <si>
    <t>INV-2609-0251</t>
  </si>
  <si>
    <t>INV-2609-0252</t>
  </si>
  <si>
    <t>INV-2609-0253</t>
  </si>
  <si>
    <t>INV-2609-0254</t>
  </si>
  <si>
    <t>INV-2609-0255</t>
  </si>
  <si>
    <t>INV-2609-0256</t>
  </si>
  <si>
    <t>INV-2609-0257</t>
  </si>
  <si>
    <t>INV-2609-0258</t>
  </si>
  <si>
    <t>INV-2609-0259</t>
  </si>
  <si>
    <t>INV-2609-0260</t>
  </si>
  <si>
    <t>INV-2609-0261</t>
  </si>
  <si>
    <t>INV-2609-0262</t>
  </si>
  <si>
    <t>INV-2609-0263</t>
  </si>
  <si>
    <t>INV-2609-0264</t>
  </si>
  <si>
    <t>INV-2609-0265</t>
  </si>
  <si>
    <t>INV-2609-0266</t>
  </si>
  <si>
    <t>INV-2609-0267</t>
  </si>
  <si>
    <t>INV-2609-0268</t>
  </si>
  <si>
    <t>INV-2609-0269</t>
  </si>
  <si>
    <t>INV-2609-0270</t>
  </si>
  <si>
    <t>INV-2609-0271</t>
  </si>
  <si>
    <t>INV-2609-0272</t>
  </si>
  <si>
    <t>INV-2609-0273</t>
  </si>
  <si>
    <t>INV-2609-0274</t>
  </si>
  <si>
    <t>INV-2609-0275</t>
  </si>
  <si>
    <t>INV-2609-0276</t>
  </si>
  <si>
    <t>INV-2609-0277</t>
  </si>
  <si>
    <t>INV-2609-0278</t>
  </si>
  <si>
    <t>INV-2609-0279</t>
  </si>
  <si>
    <t>INV-2609-0280</t>
  </si>
  <si>
    <t>INV-2609-0281</t>
  </si>
  <si>
    <t>INV-2609-0282</t>
  </si>
  <si>
    <t>INV-2609-0283</t>
  </si>
  <si>
    <t>INV-2609-0284</t>
  </si>
  <si>
    <t>INV-2609-0285</t>
  </si>
  <si>
    <t>INV-2609-0286</t>
  </si>
  <si>
    <t>INV-2609-0287</t>
  </si>
  <si>
    <t>INV-2609-0288</t>
  </si>
  <si>
    <t>INV-2609-0289</t>
  </si>
  <si>
    <t>INV-2609-0290</t>
  </si>
  <si>
    <t>INV-2609-0291</t>
  </si>
  <si>
    <t>INV-2609-0292</t>
  </si>
  <si>
    <t>INV-2609-0293</t>
  </si>
  <si>
    <t>INV-2609-0294</t>
  </si>
  <si>
    <t>INV-2609-0295</t>
  </si>
  <si>
    <t>INV-2609-0296</t>
  </si>
  <si>
    <t>INV-2609-0297</t>
  </si>
  <si>
    <t>INV-2609-0298</t>
  </si>
  <si>
    <t>INV-2609-0299</t>
  </si>
  <si>
    <t>INV-2609-0300</t>
  </si>
  <si>
    <t>INV-2609-0301</t>
  </si>
  <si>
    <t>INV-2609-0302</t>
  </si>
  <si>
    <t>INV-2609-0303</t>
  </si>
  <si>
    <t>INV-2609-0304</t>
  </si>
  <si>
    <t>INV-2609-0305</t>
  </si>
  <si>
    <t>INV-2609-0306</t>
  </si>
  <si>
    <t>INV-2609-0307</t>
  </si>
  <si>
    <t>INV-2609-0308</t>
  </si>
  <si>
    <t>INV-2609-0309</t>
  </si>
  <si>
    <t>INV-2609-0310</t>
  </si>
  <si>
    <t>INV-2609-0311</t>
  </si>
  <si>
    <t>INV-2609-0312</t>
  </si>
  <si>
    <t>INV-2609-0313</t>
  </si>
  <si>
    <t>INV-2609-0314</t>
  </si>
  <si>
    <t>INV-2609-0315</t>
  </si>
  <si>
    <t>INV-2609-0316</t>
  </si>
  <si>
    <t>INV-2609-0317</t>
  </si>
  <si>
    <t>INV-2609-0318</t>
  </si>
  <si>
    <t>INV-2609-0319</t>
  </si>
  <si>
    <t>INV-2609-0320</t>
  </si>
  <si>
    <t>INV-2610-0001</t>
  </si>
  <si>
    <t>INV-2610-0002</t>
  </si>
  <si>
    <t>INV-2610-0003</t>
  </si>
  <si>
    <t>INV-2610-0004</t>
  </si>
  <si>
    <t>INV-2610-0005</t>
  </si>
  <si>
    <t>INV-2610-0006</t>
  </si>
  <si>
    <t>INV-2610-0007</t>
  </si>
  <si>
    <t>INV-2610-0008</t>
  </si>
  <si>
    <t>INV-2610-0009</t>
  </si>
  <si>
    <t>INV-2610-0010</t>
  </si>
  <si>
    <t>INV-2610-0011</t>
  </si>
  <si>
    <t>INV-2610-0012</t>
  </si>
  <si>
    <t>INV-2610-0013</t>
  </si>
  <si>
    <t>INV-2610-0014</t>
  </si>
  <si>
    <t>INV-2610-0015</t>
  </si>
  <si>
    <t>INV-2610-0016</t>
  </si>
  <si>
    <t>INV-2610-0017</t>
  </si>
  <si>
    <t>INV-2610-0018</t>
  </si>
  <si>
    <t>INV-2610-0019</t>
  </si>
  <si>
    <t>INV-2610-0020</t>
  </si>
  <si>
    <t>INV-2610-0021</t>
  </si>
  <si>
    <t>INV-2610-0022</t>
  </si>
  <si>
    <t>INV-2610-0023</t>
  </si>
  <si>
    <t>INV-2610-0024</t>
  </si>
  <si>
    <t>INV-2610-0025</t>
  </si>
  <si>
    <t>INV-2610-0026</t>
  </si>
  <si>
    <t>INV-2610-0027</t>
  </si>
  <si>
    <t>INV-2610-0028</t>
  </si>
  <si>
    <t>INV-2610-0029</t>
  </si>
  <si>
    <t>INV-2610-0030</t>
  </si>
  <si>
    <t>INV-2610-0031</t>
  </si>
  <si>
    <t>INV-2610-0032</t>
  </si>
  <si>
    <t>INV-2610-0033</t>
  </si>
  <si>
    <t>INV-2610-0034</t>
  </si>
  <si>
    <t>INV-2610-0035</t>
  </si>
  <si>
    <t>INV-2610-0036</t>
  </si>
  <si>
    <t>INV-2610-0037</t>
  </si>
  <si>
    <t>INV-2610-0038</t>
  </si>
  <si>
    <t>INV-2610-0039</t>
  </si>
  <si>
    <t>INV-2610-0040</t>
  </si>
  <si>
    <t>INV-2610-0041</t>
  </si>
  <si>
    <t>INV-2610-0042</t>
  </si>
  <si>
    <t>INV-2610-0043</t>
  </si>
  <si>
    <t>INV-2610-0044</t>
  </si>
  <si>
    <t>INV-2610-0045</t>
  </si>
  <si>
    <t>INV-2610-0046</t>
  </si>
  <si>
    <t>INV-2610-0047</t>
  </si>
  <si>
    <t>INV-2610-0048</t>
  </si>
  <si>
    <t>INV-2610-0049</t>
  </si>
  <si>
    <t>INV-2610-0050</t>
  </si>
  <si>
    <t>INV-2610-0051</t>
  </si>
  <si>
    <t>INV-2610-0052</t>
  </si>
  <si>
    <t>INV-2610-0053</t>
  </si>
  <si>
    <t>INV-2610-0054</t>
  </si>
  <si>
    <t>INV-2610-0055</t>
  </si>
  <si>
    <t>INV-2610-0056</t>
  </si>
  <si>
    <t>INV-2610-0057</t>
  </si>
  <si>
    <t>INV-2610-0058</t>
  </si>
  <si>
    <t>INV-2610-0059</t>
  </si>
  <si>
    <t>INV-2610-0060</t>
  </si>
  <si>
    <t>INV-2610-0061</t>
  </si>
  <si>
    <t>INV-2610-0062</t>
  </si>
  <si>
    <t>INV-2610-0063</t>
  </si>
  <si>
    <t>INV-2610-0064</t>
  </si>
  <si>
    <t>INV-2610-0065</t>
  </si>
  <si>
    <t>INV-2610-0066</t>
  </si>
  <si>
    <t>INV-2610-0067</t>
  </si>
  <si>
    <t>INV-2610-0068</t>
  </si>
  <si>
    <t>INV-2610-0069</t>
  </si>
  <si>
    <t>INV-2610-0070</t>
  </si>
  <si>
    <t>INV-2610-0071</t>
  </si>
  <si>
    <t>INV-2610-0072</t>
  </si>
  <si>
    <t>INV-2610-0073</t>
  </si>
  <si>
    <t>INV-2610-0074</t>
  </si>
  <si>
    <t>INV-2610-0075</t>
  </si>
  <si>
    <t>INV-2610-0076</t>
  </si>
  <si>
    <t>INV-2610-0077</t>
  </si>
  <si>
    <t>INV-2610-0078</t>
  </si>
  <si>
    <t>INV-2610-0079</t>
  </si>
  <si>
    <t>INV-2610-0080</t>
  </si>
  <si>
    <t>INV-2610-0081</t>
  </si>
  <si>
    <t>INV-2610-0082</t>
  </si>
  <si>
    <t>INV-2610-0083</t>
  </si>
  <si>
    <t>INV-2610-0084</t>
  </si>
  <si>
    <t>INV-2610-0085</t>
  </si>
  <si>
    <t>INV-2610-0086</t>
  </si>
  <si>
    <t>INV-2610-0087</t>
  </si>
  <si>
    <t>INV-2610-0088</t>
  </si>
  <si>
    <t>INV-2610-0089</t>
  </si>
  <si>
    <t>INV-2610-0090</t>
  </si>
  <si>
    <t>INV-2610-0091</t>
  </si>
  <si>
    <t>INV-2610-0092</t>
  </si>
  <si>
    <t>INV-2610-0093</t>
  </si>
  <si>
    <t>INV-2610-0094</t>
  </si>
  <si>
    <t>INV-2610-0095</t>
  </si>
  <si>
    <t>INV-2610-0096</t>
  </si>
  <si>
    <t>INV-2610-0097</t>
  </si>
  <si>
    <t>INV-2610-0098</t>
  </si>
  <si>
    <t>INV-2610-0099</t>
  </si>
  <si>
    <t>INV-2610-0100</t>
  </si>
  <si>
    <t>INV-2610-0101</t>
  </si>
  <si>
    <t>INV-2610-0102</t>
  </si>
  <si>
    <t>INV-2610-0103</t>
  </si>
  <si>
    <t>INV-2610-0104</t>
  </si>
  <si>
    <t>INV-2610-0105</t>
  </si>
  <si>
    <t>INV-2610-0106</t>
  </si>
  <si>
    <t>INV-2610-0107</t>
  </si>
  <si>
    <t>INV-2610-0108</t>
  </si>
  <si>
    <t>INV-2610-0109</t>
  </si>
  <si>
    <t>INV-2610-0110</t>
  </si>
  <si>
    <t>INV-2610-0111</t>
  </si>
  <si>
    <t>INV-2610-0112</t>
  </si>
  <si>
    <t>INV-2610-0113</t>
  </si>
  <si>
    <t>INV-2610-0114</t>
  </si>
  <si>
    <t>INV-2610-0115</t>
  </si>
  <si>
    <t>INV-2610-0116</t>
  </si>
  <si>
    <t>INV-2610-0117</t>
  </si>
  <si>
    <t>INV-2610-0118</t>
  </si>
  <si>
    <t>INV-2610-0119</t>
  </si>
  <si>
    <t>INV-2610-0120</t>
  </si>
  <si>
    <t>INV-2610-0121</t>
  </si>
  <si>
    <t>INV-2610-0122</t>
  </si>
  <si>
    <t>INV-2610-0123</t>
  </si>
  <si>
    <t>INV-2610-0124</t>
  </si>
  <si>
    <t>INV-2610-0125</t>
  </si>
  <si>
    <t>INV-2610-0126</t>
  </si>
  <si>
    <t>INV-2610-0127</t>
  </si>
  <si>
    <t>INV-2610-0128</t>
  </si>
  <si>
    <t>INV-2610-0129</t>
  </si>
  <si>
    <t>INV-2610-0130</t>
  </si>
  <si>
    <t>INV-2610-0131</t>
  </si>
  <si>
    <t>INV-2610-0132</t>
  </si>
  <si>
    <t>INV-2610-0133</t>
  </si>
  <si>
    <t>INV-2610-0134</t>
  </si>
  <si>
    <t>INV-2610-0135</t>
  </si>
  <si>
    <t>INV-2610-0136</t>
  </si>
  <si>
    <t>INV-2610-0137</t>
  </si>
  <si>
    <t>INV-2610-0138</t>
  </si>
  <si>
    <t>INV-2610-0139</t>
  </si>
  <si>
    <t>INV-2610-0140</t>
  </si>
  <si>
    <t>INV-2610-0141</t>
  </si>
  <si>
    <t>INV-2610-0142</t>
  </si>
  <si>
    <t>INV-2610-0143</t>
  </si>
  <si>
    <t>INV-2610-0144</t>
  </si>
  <si>
    <t>INV-2610-0145</t>
  </si>
  <si>
    <t>INV-2610-0146</t>
  </si>
  <si>
    <t>INV-2610-0147</t>
  </si>
  <si>
    <t>INV-2610-0148</t>
  </si>
  <si>
    <t>INV-2610-0149</t>
  </si>
  <si>
    <t>INV-2610-0150</t>
  </si>
  <si>
    <t>INV-2610-0151</t>
  </si>
  <si>
    <t>INV-2610-0152</t>
  </si>
  <si>
    <t>INV-2610-0153</t>
  </si>
  <si>
    <t>INV-2610-0154</t>
  </si>
  <si>
    <t>INV-2610-0155</t>
  </si>
  <si>
    <t>INV-2610-0156</t>
  </si>
  <si>
    <t>INV-2610-0157</t>
  </si>
  <si>
    <t>INV-2610-0158</t>
  </si>
  <si>
    <t>INV-2610-0159</t>
  </si>
  <si>
    <t>INV-2610-0160</t>
  </si>
  <si>
    <t>INV-2610-0161</t>
  </si>
  <si>
    <t>INV-2610-0162</t>
  </si>
  <si>
    <t>INV-2610-0163</t>
  </si>
  <si>
    <t>INV-2610-0164</t>
  </si>
  <si>
    <t>INV-2610-0165</t>
  </si>
  <si>
    <t>INV-2610-0166</t>
  </si>
  <si>
    <t>INV-2610-0167</t>
  </si>
  <si>
    <t>INV-2610-0168</t>
  </si>
  <si>
    <t>INV-2610-0169</t>
  </si>
  <si>
    <t>INV-2610-0170</t>
  </si>
  <si>
    <t>INV-2610-0171</t>
  </si>
  <si>
    <t>INV-2610-0172</t>
  </si>
  <si>
    <t>INV-2610-0173</t>
  </si>
  <si>
    <t>INV-2610-0174</t>
  </si>
  <si>
    <t>INV-2610-0175</t>
  </si>
  <si>
    <t>INV-2610-0176</t>
  </si>
  <si>
    <t>INV-2610-0177</t>
  </si>
  <si>
    <t>INV-2610-0178</t>
  </si>
  <si>
    <t>INV-2610-0179</t>
  </si>
  <si>
    <t>INV-2610-0180</t>
  </si>
  <si>
    <t>INV-2610-0181</t>
  </si>
  <si>
    <t>INV-2610-0182</t>
  </si>
  <si>
    <t>INV-2610-0183</t>
  </si>
  <si>
    <t>INV-2610-0184</t>
  </si>
  <si>
    <t>INV-2610-0185</t>
  </si>
  <si>
    <t>INV-2610-0186</t>
  </si>
  <si>
    <t>INV-2610-0187</t>
  </si>
  <si>
    <t>INV-2610-0188</t>
  </si>
  <si>
    <t>INV-2610-0189</t>
  </si>
  <si>
    <t>INV-2610-0190</t>
  </si>
  <si>
    <t>INV-2610-0191</t>
  </si>
  <si>
    <t>INV-2610-0192</t>
  </si>
  <si>
    <t>INV-2610-0193</t>
  </si>
  <si>
    <t>INV-2610-0194</t>
  </si>
  <si>
    <t>INV-2610-0195</t>
  </si>
  <si>
    <t>INV-2610-0196</t>
  </si>
  <si>
    <t>INV-2610-0197</t>
  </si>
  <si>
    <t>INV-2610-0198</t>
  </si>
  <si>
    <t>INV-2610-0199</t>
  </si>
  <si>
    <t>INV-2610-0200</t>
  </si>
  <si>
    <t>INV-2610-0201</t>
  </si>
  <si>
    <t>INV-2610-0202</t>
  </si>
  <si>
    <t>INV-2610-0203</t>
  </si>
  <si>
    <t>INV-2610-0204</t>
  </si>
  <si>
    <t>INV-2610-0205</t>
  </si>
  <si>
    <t>INV-2610-0206</t>
  </si>
  <si>
    <t>INV-2610-0207</t>
  </si>
  <si>
    <t>INV-2610-0208</t>
  </si>
  <si>
    <t>INV-2610-0209</t>
  </si>
  <si>
    <t>INV-2610-0210</t>
  </si>
  <si>
    <t>INV-2610-0211</t>
  </si>
  <si>
    <t>INV-2610-0212</t>
  </si>
  <si>
    <t>INV-2610-0213</t>
  </si>
  <si>
    <t>INV-2610-0214</t>
  </si>
  <si>
    <t>INV-2610-0215</t>
  </si>
  <si>
    <t>INV-2610-0216</t>
  </si>
  <si>
    <t>INV-2610-0217</t>
  </si>
  <si>
    <t>INV-2610-0218</t>
  </si>
  <si>
    <t>INV-2610-0219</t>
  </si>
  <si>
    <t>INV-2610-0220</t>
  </si>
  <si>
    <t>INV-2610-0221</t>
  </si>
  <si>
    <t>INV-2610-0222</t>
  </si>
  <si>
    <t>INV-2610-0223</t>
  </si>
  <si>
    <t>INV-2610-0224</t>
  </si>
  <si>
    <t>INV-2610-0225</t>
  </si>
  <si>
    <t>INV-2610-0226</t>
  </si>
  <si>
    <t>INV-2610-0227</t>
  </si>
  <si>
    <t>INV-2610-0228</t>
  </si>
  <si>
    <t>INV-2610-0229</t>
  </si>
  <si>
    <t>INV-2610-0230</t>
  </si>
  <si>
    <t>INV-2610-0231</t>
  </si>
  <si>
    <t>INV-2610-0232</t>
  </si>
  <si>
    <t>INV-2610-0233</t>
  </si>
  <si>
    <t>INV-2610-0234</t>
  </si>
  <si>
    <t>INV-2610-0235</t>
  </si>
  <si>
    <t>INV-2610-0236</t>
  </si>
  <si>
    <t>INV-2610-0237</t>
  </si>
  <si>
    <t>INV-2610-0238</t>
  </si>
  <si>
    <t>INV-2610-0239</t>
  </si>
  <si>
    <t>INV-2610-0240</t>
  </si>
  <si>
    <t>INV-2610-0241</t>
  </si>
  <si>
    <t>INV-2610-0242</t>
  </si>
  <si>
    <t>INV-2610-0243</t>
  </si>
  <si>
    <t>INV-2610-0244</t>
  </si>
  <si>
    <t>INV-2610-0245</t>
  </si>
  <si>
    <t>INV-2610-0246</t>
  </si>
  <si>
    <t>INV-2610-0247</t>
  </si>
  <si>
    <t>INV-2610-0248</t>
  </si>
  <si>
    <t>INV-2610-0249</t>
  </si>
  <si>
    <t>INV-2610-0250</t>
  </si>
  <si>
    <t>INV-2610-0251</t>
  </si>
  <si>
    <t>INV-2610-0252</t>
  </si>
  <si>
    <t>INV-2610-0253</t>
  </si>
  <si>
    <t>INV-2610-0254</t>
  </si>
  <si>
    <t>INV-2610-0255</t>
  </si>
  <si>
    <t>INV-2610-0256</t>
  </si>
  <si>
    <t>INV-2610-0257</t>
  </si>
  <si>
    <t>INV-2610-0258</t>
  </si>
  <si>
    <t>INV-2610-0259</t>
  </si>
  <si>
    <t>INV-2610-0260</t>
  </si>
  <si>
    <t>INV-2610-0261</t>
  </si>
  <si>
    <t>INV-2610-0262</t>
  </si>
  <si>
    <t>INV-2610-0263</t>
  </si>
  <si>
    <t>INV-2610-0264</t>
  </si>
  <si>
    <t>INV-2610-0265</t>
  </si>
  <si>
    <t>INV-2610-0266</t>
  </si>
  <si>
    <t>INV-2610-0267</t>
  </si>
  <si>
    <t>INV-2610-0268</t>
  </si>
  <si>
    <t>INV-2610-0269</t>
  </si>
  <si>
    <t>INV-2610-0270</t>
  </si>
  <si>
    <t>INV-2610-0271</t>
  </si>
  <si>
    <t>INV-2610-0272</t>
  </si>
  <si>
    <t>INV-2610-0273</t>
  </si>
  <si>
    <t>INV-2610-0274</t>
  </si>
  <si>
    <t>INV-2610-0275</t>
  </si>
  <si>
    <t>INV-2610-0276</t>
  </si>
  <si>
    <t>INV-2610-0277</t>
  </si>
  <si>
    <t>INV-2610-0278</t>
  </si>
  <si>
    <t>INV-2610-0279</t>
  </si>
  <si>
    <t>INV-2610-0280</t>
  </si>
  <si>
    <t>INV-2610-0281</t>
  </si>
  <si>
    <t>INV-2610-0282</t>
  </si>
  <si>
    <t>INV-2610-0283</t>
  </si>
  <si>
    <t>INV-2610-0284</t>
  </si>
  <si>
    <t>INV-2610-0285</t>
  </si>
  <si>
    <t>INV-2610-0286</t>
  </si>
  <si>
    <t>INV-2610-0287</t>
  </si>
  <si>
    <t>INV-2610-0288</t>
  </si>
  <si>
    <t>INV-2610-0289</t>
  </si>
  <si>
    <t>INV-2610-0290</t>
  </si>
  <si>
    <t>INV-2610-0291</t>
  </si>
  <si>
    <t>INV-2610-0292</t>
  </si>
  <si>
    <t>INV-2610-0293</t>
  </si>
  <si>
    <t>INV-2610-0294</t>
  </si>
  <si>
    <t>INV-2610-0295</t>
  </si>
  <si>
    <t>INV-2610-0296</t>
  </si>
  <si>
    <t>INV-2610-0297</t>
  </si>
  <si>
    <t>INV-2610-0298</t>
  </si>
  <si>
    <t>INV-2610-0299</t>
  </si>
  <si>
    <t>INV-2610-0300</t>
  </si>
  <si>
    <t>INV-2610-0301</t>
  </si>
  <si>
    <t>INV-2610-0302</t>
  </si>
  <si>
    <t>INV-2610-0303</t>
  </si>
  <si>
    <t>INV-2610-0304</t>
  </si>
  <si>
    <t>INV-2610-0305</t>
  </si>
  <si>
    <t>INV-2610-0306</t>
  </si>
  <si>
    <t>INV-2610-0307</t>
  </si>
  <si>
    <t>INV-2610-0308</t>
  </si>
  <si>
    <t>INV-2610-0309</t>
  </si>
  <si>
    <t>INV-2610-0310</t>
  </si>
  <si>
    <t>INV-2610-0311</t>
  </si>
  <si>
    <t>INV-2610-0312</t>
  </si>
  <si>
    <t>INV-2610-0313</t>
  </si>
  <si>
    <t>INV-2610-0314</t>
  </si>
  <si>
    <t>INV-2610-0315</t>
  </si>
  <si>
    <t>INV-2610-0316</t>
  </si>
  <si>
    <t>INV-2610-0317</t>
  </si>
  <si>
    <t>INV-2610-0318</t>
  </si>
  <si>
    <t>INV-2610-0319</t>
  </si>
  <si>
    <t>INV-2610-0320</t>
  </si>
  <si>
    <t>INV-2610-0321</t>
  </si>
  <si>
    <t>INV-2610-0322</t>
  </si>
  <si>
    <t>INV-2610-0323</t>
  </si>
  <si>
    <t>INV-2610-0324</t>
  </si>
  <si>
    <t>INV-2610-0325</t>
  </si>
  <si>
    <t>INV-2610-0326</t>
  </si>
  <si>
    <t>INV-2610-0327</t>
  </si>
  <si>
    <t>INV-2610-0328</t>
  </si>
  <si>
    <t>INV-2610-0329</t>
  </si>
  <si>
    <t>INV-2610-0330</t>
  </si>
  <si>
    <t>INV-2610-0331</t>
  </si>
  <si>
    <t>INV-2610-0332</t>
  </si>
  <si>
    <t>INV-2610-0333</t>
  </si>
  <si>
    <t>INV-2610-0334</t>
  </si>
  <si>
    <t>INV-2610-0335</t>
  </si>
  <si>
    <t>INV-2610-0336</t>
  </si>
  <si>
    <t>INV-2610-0337</t>
  </si>
  <si>
    <t>INV-2610-0338</t>
  </si>
  <si>
    <t>INV-2610-0339</t>
  </si>
  <si>
    <t>INV-2610-0340</t>
  </si>
  <si>
    <t>INV-2610-0341</t>
  </si>
  <si>
    <t>INV-2610-0342</t>
  </si>
  <si>
    <t>INV-2610-0343</t>
  </si>
  <si>
    <t>INV-2610-0344</t>
  </si>
  <si>
    <t>INV-2610-0345</t>
  </si>
  <si>
    <t>INV-2610-0346</t>
  </si>
  <si>
    <t>INV-2610-0347</t>
  </si>
  <si>
    <t>INV-2610-0348</t>
  </si>
  <si>
    <t>INV-2610-0349</t>
  </si>
  <si>
    <t>INV-2611-0001</t>
  </si>
  <si>
    <t>INV-2611-0002</t>
  </si>
  <si>
    <t>INV-2611-0003</t>
  </si>
  <si>
    <t>INV-2611-0004</t>
  </si>
  <si>
    <t>INV-2611-0005</t>
  </si>
  <si>
    <t>INV-2611-0006</t>
  </si>
  <si>
    <t>INV-2611-0007</t>
  </si>
  <si>
    <t>INV-2611-0008</t>
  </si>
  <si>
    <t>INV-2611-0009</t>
  </si>
  <si>
    <t>INV-2611-0010</t>
  </si>
  <si>
    <t>INV-2611-0011</t>
  </si>
  <si>
    <t>INV-2611-0012</t>
  </si>
  <si>
    <t>INV-2611-0013</t>
  </si>
  <si>
    <t>INV-2611-0014</t>
  </si>
  <si>
    <t>INV-2611-0015</t>
  </si>
  <si>
    <t>INV-2611-0016</t>
  </si>
  <si>
    <t>INV-2611-0017</t>
  </si>
  <si>
    <t>INV-2611-0018</t>
  </si>
  <si>
    <t>INV-2611-0019</t>
  </si>
  <si>
    <t>INV-2611-0020</t>
  </si>
  <si>
    <t>INV-2611-0021</t>
  </si>
  <si>
    <t>INV-2611-0022</t>
  </si>
  <si>
    <t>INV-2611-0023</t>
  </si>
  <si>
    <t>INV-2611-0024</t>
  </si>
  <si>
    <t>INV-2611-0025</t>
  </si>
  <si>
    <t>INV-2611-0026</t>
  </si>
  <si>
    <t>INV-2611-0027</t>
  </si>
  <si>
    <t>INV-2611-0028</t>
  </si>
  <si>
    <t>INV-2611-0029</t>
  </si>
  <si>
    <t>INV-2611-0030</t>
  </si>
  <si>
    <t>INV-2611-0031</t>
  </si>
  <si>
    <t>INV-2611-0032</t>
  </si>
  <si>
    <t>INV-2611-0033</t>
  </si>
  <si>
    <t>INV-2611-0034</t>
  </si>
  <si>
    <t>INV-2611-0035</t>
  </si>
  <si>
    <t>INV-2611-0036</t>
  </si>
  <si>
    <t>INV-2611-0037</t>
  </si>
  <si>
    <t>INV-2611-0038</t>
  </si>
  <si>
    <t>INV-2611-0039</t>
  </si>
  <si>
    <t>INV-2611-0040</t>
  </si>
  <si>
    <t>INV-2611-0041</t>
  </si>
  <si>
    <t>INV-2611-0042</t>
  </si>
  <si>
    <t>INV-2611-0043</t>
  </si>
  <si>
    <t>INV-2611-0044</t>
  </si>
  <si>
    <t>INV-2611-0045</t>
  </si>
  <si>
    <t>INV-2611-0046</t>
  </si>
  <si>
    <t>INV-2611-0047</t>
  </si>
  <si>
    <t>INV-2611-0048</t>
  </si>
  <si>
    <t>INV-2611-0049</t>
  </si>
  <si>
    <t>INV-2611-0050</t>
  </si>
  <si>
    <t>INV-2611-0051</t>
  </si>
  <si>
    <t>INV-2611-0052</t>
  </si>
  <si>
    <t>INV-2611-0053</t>
  </si>
  <si>
    <t>INV-2611-0054</t>
  </si>
  <si>
    <t>INV-2611-0055</t>
  </si>
  <si>
    <t>INV-2611-0056</t>
  </si>
  <si>
    <t>INV-2611-0057</t>
  </si>
  <si>
    <t>INV-2611-0058</t>
  </si>
  <si>
    <t>INV-2611-0059</t>
  </si>
  <si>
    <t>INV-2611-0060</t>
  </si>
  <si>
    <t>INV-2611-0061</t>
  </si>
  <si>
    <t>INV-2611-0062</t>
  </si>
  <si>
    <t>INV-2611-0063</t>
  </si>
  <si>
    <t>INV-2611-0064</t>
  </si>
  <si>
    <t>INV-2611-0065</t>
  </si>
  <si>
    <t>INV-2611-0066</t>
  </si>
  <si>
    <t>INV-2611-0067</t>
  </si>
  <si>
    <t>INV-2611-0068</t>
  </si>
  <si>
    <t>INV-2611-0069</t>
  </si>
  <si>
    <t>INV-2611-0070</t>
  </si>
  <si>
    <t>INV-2611-0071</t>
  </si>
  <si>
    <t>INV-2611-0072</t>
  </si>
  <si>
    <t>INV-2611-0073</t>
  </si>
  <si>
    <t>INV-2611-0074</t>
  </si>
  <si>
    <t>INV-2611-0075</t>
  </si>
  <si>
    <t>INV-2611-0076</t>
  </si>
  <si>
    <t>INV-2611-0077</t>
  </si>
  <si>
    <t>INV-2611-0078</t>
  </si>
  <si>
    <t>INV-2611-0079</t>
  </si>
  <si>
    <t>INV-2611-0080</t>
  </si>
  <si>
    <t>INV-2611-0081</t>
  </si>
  <si>
    <t>INV-2611-0082</t>
  </si>
  <si>
    <t>INV-2611-0083</t>
  </si>
  <si>
    <t>INV-2611-0084</t>
  </si>
  <si>
    <t>INV-2611-0085</t>
  </si>
  <si>
    <t>INV-2611-0086</t>
  </si>
  <si>
    <t>INV-2611-0087</t>
  </si>
  <si>
    <t>INV-2611-0088</t>
  </si>
  <si>
    <t>INV-2611-0089</t>
  </si>
  <si>
    <t>INV-2611-0090</t>
  </si>
  <si>
    <t>INV-2611-0091</t>
  </si>
  <si>
    <t>INV-2611-0092</t>
  </si>
  <si>
    <t>INV-2611-0093</t>
  </si>
  <si>
    <t>INV-2611-0094</t>
  </si>
  <si>
    <t>INV-2611-0095</t>
  </si>
  <si>
    <t>INV-2611-0096</t>
  </si>
  <si>
    <t>INV-2611-0097</t>
  </si>
  <si>
    <t>INV-2611-0098</t>
  </si>
  <si>
    <t>INV-2611-0099</t>
  </si>
  <si>
    <t>INV-2611-0100</t>
  </si>
  <si>
    <t>INV-2611-0101</t>
  </si>
  <si>
    <t>INV-2611-0102</t>
  </si>
  <si>
    <t>INV-2611-0103</t>
  </si>
  <si>
    <t>INV-2611-0104</t>
  </si>
  <si>
    <t>INV-2611-0105</t>
  </si>
  <si>
    <t>INV-2611-0106</t>
  </si>
  <si>
    <t>INV-2611-0107</t>
  </si>
  <si>
    <t>INV-2611-0108</t>
  </si>
  <si>
    <t>INV-2611-0109</t>
  </si>
  <si>
    <t>INV-2611-0110</t>
  </si>
  <si>
    <t>INV-2611-0111</t>
  </si>
  <si>
    <t>INV-2611-0112</t>
  </si>
  <si>
    <t>INV-2611-0113</t>
  </si>
  <si>
    <t>INV-2611-0114</t>
  </si>
  <si>
    <t>INV-2611-0115</t>
  </si>
  <si>
    <t>INV-2611-0116</t>
  </si>
  <si>
    <t>INV-2611-0117</t>
  </si>
  <si>
    <t>INV-2611-0118</t>
  </si>
  <si>
    <t>INV-2611-0119</t>
  </si>
  <si>
    <t>INV-2611-0120</t>
  </si>
  <si>
    <t>INV-2611-0121</t>
  </si>
  <si>
    <t>INV-2611-0122</t>
  </si>
  <si>
    <t>INV-2611-0123</t>
  </si>
  <si>
    <t>INV-2611-0124</t>
  </si>
  <si>
    <t>INV-2611-0125</t>
  </si>
  <si>
    <t>INV-2611-0126</t>
  </si>
  <si>
    <t>INV-2611-0127</t>
  </si>
  <si>
    <t>INV-2611-0128</t>
  </si>
  <si>
    <t>INV-2611-0129</t>
  </si>
  <si>
    <t>INV-2611-0130</t>
  </si>
  <si>
    <t>INV-2611-0131</t>
  </si>
  <si>
    <t>INV-2611-0132</t>
  </si>
  <si>
    <t>INV-2611-0133</t>
  </si>
  <si>
    <t>INV-2611-0134</t>
  </si>
  <si>
    <t>INV-2611-0135</t>
  </si>
  <si>
    <t>INV-2611-0136</t>
  </si>
  <si>
    <t>INV-2611-0137</t>
  </si>
  <si>
    <t>INV-2611-0138</t>
  </si>
  <si>
    <t>INV-2611-0139</t>
  </si>
  <si>
    <t>INV-2611-0140</t>
  </si>
  <si>
    <t>INV-2611-0141</t>
  </si>
  <si>
    <t>INV-2611-0142</t>
  </si>
  <si>
    <t>INV-2611-0143</t>
  </si>
  <si>
    <t>INV-2611-0144</t>
  </si>
  <si>
    <t>INV-2611-0145</t>
  </si>
  <si>
    <t>INV-2611-0146</t>
  </si>
  <si>
    <t>INV-2611-0147</t>
  </si>
  <si>
    <t>INV-2611-0148</t>
  </si>
  <si>
    <t>INV-2611-0149</t>
  </si>
  <si>
    <t>INV-2611-0150</t>
  </si>
  <si>
    <t>INV-2611-0151</t>
  </si>
  <si>
    <t>INV-2611-0152</t>
  </si>
  <si>
    <t>INV-2611-0153</t>
  </si>
  <si>
    <t>INV-2611-0154</t>
  </si>
  <si>
    <t>INV-2611-0155</t>
  </si>
  <si>
    <t>INV-2611-0156</t>
  </si>
  <si>
    <t>INV-2611-0157</t>
  </si>
  <si>
    <t>INV-2611-0158</t>
  </si>
  <si>
    <t>INV-2611-0159</t>
  </si>
  <si>
    <t>INV-2611-0160</t>
  </si>
  <si>
    <t>INV-2611-0161</t>
  </si>
  <si>
    <t>INV-2611-0162</t>
  </si>
  <si>
    <t>INV-2611-0163</t>
  </si>
  <si>
    <t>INV-2611-0164</t>
  </si>
  <si>
    <t>INV-2611-0165</t>
  </si>
  <si>
    <t>INV-2611-0166</t>
  </si>
  <si>
    <t>INV-2611-0167</t>
  </si>
  <si>
    <t>INV-2611-0168</t>
  </si>
  <si>
    <t>INV-2611-0169</t>
  </si>
  <si>
    <t>INV-2611-0170</t>
  </si>
  <si>
    <t>INV-2611-0171</t>
  </si>
  <si>
    <t>INV-2611-0172</t>
  </si>
  <si>
    <t>INV-2611-0173</t>
  </si>
  <si>
    <t>INV-2611-0174</t>
  </si>
  <si>
    <t>INV-2611-0175</t>
  </si>
  <si>
    <t>INV-2611-0176</t>
  </si>
  <si>
    <t>INV-2611-0177</t>
  </si>
  <si>
    <t>INV-2611-0178</t>
  </si>
  <si>
    <t>INV-2611-0179</t>
  </si>
  <si>
    <t>INV-2611-0180</t>
  </si>
  <si>
    <t>INV-2611-0181</t>
  </si>
  <si>
    <t>INV-2611-0182</t>
  </si>
  <si>
    <t>INV-2611-0183</t>
  </si>
  <si>
    <t>INV-2611-0184</t>
  </si>
  <si>
    <t>INV-2611-0185</t>
  </si>
  <si>
    <t>INV-2611-0186</t>
  </si>
  <si>
    <t>INV-2611-0187</t>
  </si>
  <si>
    <t>INV-2611-0188</t>
  </si>
  <si>
    <t>INV-2611-0189</t>
  </si>
  <si>
    <t>INV-2611-0190</t>
  </si>
  <si>
    <t>INV-2611-0191</t>
  </si>
  <si>
    <t>INV-2611-0192</t>
  </si>
  <si>
    <t>INV-2611-0193</t>
  </si>
  <si>
    <t>INV-2611-0194</t>
  </si>
  <si>
    <t>INV-2611-0195</t>
  </si>
  <si>
    <t>INV-2611-0196</t>
  </si>
  <si>
    <t>INV-2611-0197</t>
  </si>
  <si>
    <t>INV-2611-0198</t>
  </si>
  <si>
    <t>INV-2611-0199</t>
  </si>
  <si>
    <t>INV-2611-0200</t>
  </si>
  <si>
    <t>INV-2611-0201</t>
  </si>
  <si>
    <t>INV-2611-0202</t>
  </si>
  <si>
    <t>INV-2611-0203</t>
  </si>
  <si>
    <t>INV-2611-0204</t>
  </si>
  <si>
    <t>INV-2611-0205</t>
  </si>
  <si>
    <t>INV-2611-0206</t>
  </si>
  <si>
    <t>INV-2611-0207</t>
  </si>
  <si>
    <t>INV-2611-0208</t>
  </si>
  <si>
    <t>INV-2611-0209</t>
  </si>
  <si>
    <t>INV-2611-0210</t>
  </si>
  <si>
    <t>INV-2611-0211</t>
  </si>
  <si>
    <t>INV-2611-0212</t>
  </si>
  <si>
    <t>INV-2611-0213</t>
  </si>
  <si>
    <t>INV-2611-0214</t>
  </si>
  <si>
    <t>INV-2611-0215</t>
  </si>
  <si>
    <t>INV-2611-0216</t>
  </si>
  <si>
    <t>INV-2611-0217</t>
  </si>
  <si>
    <t>INV-2611-0218</t>
  </si>
  <si>
    <t>INV-2611-0219</t>
  </si>
  <si>
    <t>INV-2611-0220</t>
  </si>
  <si>
    <t>INV-2611-0221</t>
  </si>
  <si>
    <t>INV-2611-0222</t>
  </si>
  <si>
    <t>INV-2611-0223</t>
  </si>
  <si>
    <t>INV-2611-0224</t>
  </si>
  <si>
    <t>INV-2611-0225</t>
  </si>
  <si>
    <t>INV-2611-0226</t>
  </si>
  <si>
    <t>INV-2611-0227</t>
  </si>
  <si>
    <t>INV-2611-0228</t>
  </si>
  <si>
    <t>INV-2611-0229</t>
  </si>
  <si>
    <t>INV-2611-0230</t>
  </si>
  <si>
    <t>INV-2611-0231</t>
  </si>
  <si>
    <t>INV-2611-0232</t>
  </si>
  <si>
    <t>INV-2611-0233</t>
  </si>
  <si>
    <t>INV-2611-0234</t>
  </si>
  <si>
    <t>INV-2611-0235</t>
  </si>
  <si>
    <t>INV-2611-0236</t>
  </si>
  <si>
    <t>INV-2611-0237</t>
  </si>
  <si>
    <t>INV-2611-0238</t>
  </si>
  <si>
    <t>INV-2611-0239</t>
  </si>
  <si>
    <t>INV-2611-0240</t>
  </si>
  <si>
    <t>INV-2611-0241</t>
  </si>
  <si>
    <t>INV-2611-0242</t>
  </si>
  <si>
    <t>INV-2611-0243</t>
  </si>
  <si>
    <t>INV-2611-0244</t>
  </si>
  <si>
    <t>INV-2611-0245</t>
  </si>
  <si>
    <t>INV-2611-0246</t>
  </si>
  <si>
    <t>INV-2611-0247</t>
  </si>
  <si>
    <t>INV-2611-0248</t>
  </si>
  <si>
    <t>INV-2611-0249</t>
  </si>
  <si>
    <t>INV-2611-0250</t>
  </si>
  <si>
    <t>INV-2611-0251</t>
  </si>
  <si>
    <t>INV-2611-0252</t>
  </si>
  <si>
    <t>INV-2611-0253</t>
  </si>
  <si>
    <t>INV-2611-0254</t>
  </si>
  <si>
    <t>INV-2611-0255</t>
  </si>
  <si>
    <t>INV-2611-0256</t>
  </si>
  <si>
    <t>INV-2611-0257</t>
  </si>
  <si>
    <t>INV-2611-0258</t>
  </si>
  <si>
    <t>INV-2611-0259</t>
  </si>
  <si>
    <t>INV-2611-0260</t>
  </si>
  <si>
    <t>INV-2611-0261</t>
  </si>
  <si>
    <t>INV-2611-0262</t>
  </si>
  <si>
    <t>INV-2611-0263</t>
  </si>
  <si>
    <t>INV-2611-0264</t>
  </si>
  <si>
    <t>INV-2611-0265</t>
  </si>
  <si>
    <t>INV-2611-0266</t>
  </si>
  <si>
    <t>INV-2611-0267</t>
  </si>
  <si>
    <t>INV-2611-0268</t>
  </si>
  <si>
    <t>INV-2611-0269</t>
  </si>
  <si>
    <t>INV-2611-0270</t>
  </si>
  <si>
    <t>INV-2611-0271</t>
  </si>
  <si>
    <t>INV-2611-0272</t>
  </si>
  <si>
    <t>INV-2611-0273</t>
  </si>
  <si>
    <t>INV-2611-0274</t>
  </si>
  <si>
    <t>INV-2611-0275</t>
  </si>
  <si>
    <t>INV-2611-0276</t>
  </si>
  <si>
    <t>INV-2611-0277</t>
  </si>
  <si>
    <t>INV-2611-0278</t>
  </si>
  <si>
    <t>INV-2611-0279</t>
  </si>
  <si>
    <t>INV-2611-0280</t>
  </si>
  <si>
    <t>INV-2611-0281</t>
  </si>
  <si>
    <t>INV-2611-0282</t>
  </si>
  <si>
    <t>INV-2611-0283</t>
  </si>
  <si>
    <t>INV-2611-0284</t>
  </si>
  <si>
    <t>INV-2611-0285</t>
  </si>
  <si>
    <t>INV-2611-0286</t>
  </si>
  <si>
    <t>INV-2611-0287</t>
  </si>
  <si>
    <t>INV-2611-0288</t>
  </si>
  <si>
    <t>INV-2611-0289</t>
  </si>
  <si>
    <t>INV-2611-0290</t>
  </si>
  <si>
    <t>INV-2611-0291</t>
  </si>
  <si>
    <t>INV-2611-0292</t>
  </si>
  <si>
    <t>INV-2611-0293</t>
  </si>
  <si>
    <t>INV-2611-0294</t>
  </si>
  <si>
    <t>INV-2611-0295</t>
  </si>
  <si>
    <t>INV-2611-0296</t>
  </si>
  <si>
    <t>INV-2611-0297</t>
  </si>
  <si>
    <t>INV-2611-0298</t>
  </si>
  <si>
    <t>INV-2611-0299</t>
  </si>
  <si>
    <t>INV-2611-0300</t>
  </si>
  <si>
    <t>INV-2611-0301</t>
  </si>
  <si>
    <t>INV-2611-0302</t>
  </si>
  <si>
    <t>INV-2611-0303</t>
  </si>
  <si>
    <t>INV-2611-0304</t>
  </si>
  <si>
    <t>INV-2611-0305</t>
  </si>
  <si>
    <t>INV-2611-0306</t>
  </si>
  <si>
    <t>INV-2611-0307</t>
  </si>
  <si>
    <t>INV-2611-0308</t>
  </si>
  <si>
    <t>INV-2611-0309</t>
  </si>
  <si>
    <t>INV-2611-0310</t>
  </si>
  <si>
    <t>INV-2611-0311</t>
  </si>
  <si>
    <t>INV-2611-0312</t>
  </si>
  <si>
    <t>INV-2611-0313</t>
  </si>
  <si>
    <t>INV-2611-0314</t>
  </si>
  <si>
    <t>INV-2611-0315</t>
  </si>
  <si>
    <t>INV-2611-0316</t>
  </si>
  <si>
    <t>INV-2611-0317</t>
  </si>
  <si>
    <t>INV-2611-0318</t>
  </si>
  <si>
    <t>INV-2611-0319</t>
  </si>
  <si>
    <t>INV-2611-0320</t>
  </si>
  <si>
    <t>INV-2611-0321</t>
  </si>
  <si>
    <t>INV-2611-0322</t>
  </si>
  <si>
    <t>INV-2611-0323</t>
  </si>
  <si>
    <t>INV-2611-0324</t>
  </si>
  <si>
    <t>INV-2611-0325</t>
  </si>
  <si>
    <t>INV-2611-0326</t>
  </si>
  <si>
    <t>INV-2611-0327</t>
  </si>
  <si>
    <t>INV-2611-0328</t>
  </si>
  <si>
    <t>INV-2611-0329</t>
  </si>
  <si>
    <t>INV-2611-0330</t>
  </si>
  <si>
    <t>INV-2611-0331</t>
  </si>
  <si>
    <t>INV-2611-0332</t>
  </si>
  <si>
    <t>INV-2611-0333</t>
  </si>
  <si>
    <t>INV-2611-0334</t>
  </si>
  <si>
    <t>INV-2611-0335</t>
  </si>
  <si>
    <t>INV-2611-0336</t>
  </si>
  <si>
    <t>INV-2611-0337</t>
  </si>
  <si>
    <t>INV-2611-0338</t>
  </si>
  <si>
    <t>INV-2611-0339</t>
  </si>
  <si>
    <t>INV-2611-0340</t>
  </si>
  <si>
    <t>INV-2611-0341</t>
  </si>
  <si>
    <t>INV-2611-0342</t>
  </si>
  <si>
    <t>INV-2611-0343</t>
  </si>
  <si>
    <t>INV-2611-0344</t>
  </si>
  <si>
    <t>INV-2611-0345</t>
  </si>
  <si>
    <t>INV-2611-0346</t>
  </si>
  <si>
    <t>INV-2611-0347</t>
  </si>
  <si>
    <t>INV-2611-0348</t>
  </si>
  <si>
    <t>INV-2611-0349</t>
  </si>
  <si>
    <t>INV-2611-0350</t>
  </si>
  <si>
    <t>INV-2611-0351</t>
  </si>
  <si>
    <t>INV-2611-0352</t>
  </si>
  <si>
    <t>INV-2611-0353</t>
  </si>
  <si>
    <t>INV-2611-0354</t>
  </si>
  <si>
    <t>INV-2611-0355</t>
  </si>
  <si>
    <t>INV-2611-0356</t>
  </si>
  <si>
    <t>INV-2611-0357</t>
  </si>
  <si>
    <t>INV-2611-0358</t>
  </si>
  <si>
    <t>INV-2611-0359</t>
  </si>
  <si>
    <t>INV-2611-0360</t>
  </si>
  <si>
    <t>INV-2611-0361</t>
  </si>
  <si>
    <t>INV-2611-0362</t>
  </si>
  <si>
    <t>INV-2611-0363</t>
  </si>
  <si>
    <t>INV-2611-0364</t>
  </si>
  <si>
    <t>INV-2611-0365</t>
  </si>
  <si>
    <t>INV-2611-0366</t>
  </si>
  <si>
    <t>INV-2611-0367</t>
  </si>
  <si>
    <t>INV-2611-0368</t>
  </si>
  <si>
    <t>INV-2611-0369</t>
  </si>
  <si>
    <t>INV-2611-0370</t>
  </si>
  <si>
    <t>INV-2611-0371</t>
  </si>
  <si>
    <t>INV-2612-0001</t>
  </si>
  <si>
    <t>INV-2612-0002</t>
  </si>
  <si>
    <t>INV-2612-0003</t>
  </si>
  <si>
    <t>INV-2612-0004</t>
  </si>
  <si>
    <t>INV-2612-0005</t>
  </si>
  <si>
    <t>INV-2612-0006</t>
  </si>
  <si>
    <t>INV-2612-0007</t>
  </si>
  <si>
    <t>INV-2612-0008</t>
  </si>
  <si>
    <t>INV-2612-0009</t>
  </si>
  <si>
    <t>INV-2612-0010</t>
  </si>
  <si>
    <t>INV-2612-0011</t>
  </si>
  <si>
    <t>INV-2612-0012</t>
  </si>
  <si>
    <t>INV-2612-0013</t>
  </si>
  <si>
    <t>INV-2612-0014</t>
  </si>
  <si>
    <t>INV-2612-0015</t>
  </si>
  <si>
    <t>INV-2612-0016</t>
  </si>
  <si>
    <t>INV-2612-0017</t>
  </si>
  <si>
    <t>INV-2612-0018</t>
  </si>
  <si>
    <t>INV-2612-0019</t>
  </si>
  <si>
    <t>INV-2612-0020</t>
  </si>
  <si>
    <t>INV-2612-0021</t>
  </si>
  <si>
    <t>INV-2612-0022</t>
  </si>
  <si>
    <t>INV-2612-0023</t>
  </si>
  <si>
    <t>INV-2612-0024</t>
  </si>
  <si>
    <t>INV-2612-0025</t>
  </si>
  <si>
    <t>INV-2612-0026</t>
  </si>
  <si>
    <t>INV-2612-0027</t>
  </si>
  <si>
    <t>INV-2612-0028</t>
  </si>
  <si>
    <t>INV-2612-0029</t>
  </si>
  <si>
    <t>INV-2612-0030</t>
  </si>
  <si>
    <t>INV-2612-0031</t>
  </si>
  <si>
    <t>INV-2612-0032</t>
  </si>
  <si>
    <t>INV-2612-0033</t>
  </si>
  <si>
    <t>INV-2612-0034</t>
  </si>
  <si>
    <t>INV-2612-0035</t>
  </si>
  <si>
    <t>INV-2612-0036</t>
  </si>
  <si>
    <t>INV-2612-0037</t>
  </si>
  <si>
    <t>INV-2612-0038</t>
  </si>
  <si>
    <t>INV-2612-0039</t>
  </si>
  <si>
    <t>INV-2612-0040</t>
  </si>
  <si>
    <t>INV-2612-0041</t>
  </si>
  <si>
    <t>INV-2612-0042</t>
  </si>
  <si>
    <t>INV-2612-0043</t>
  </si>
  <si>
    <t>INV-2612-0044</t>
  </si>
  <si>
    <t>INV-2612-0045</t>
  </si>
  <si>
    <t>INV-2612-0046</t>
  </si>
  <si>
    <t>INV-2612-0047</t>
  </si>
  <si>
    <t>INV-2612-0048</t>
  </si>
  <si>
    <t>INV-2612-0049</t>
  </si>
  <si>
    <t>INV-2612-0050</t>
  </si>
  <si>
    <t>INV-2612-0051</t>
  </si>
  <si>
    <t>INV-2612-0052</t>
  </si>
  <si>
    <t>INV-2612-0053</t>
  </si>
  <si>
    <t>INV-2612-0054</t>
  </si>
  <si>
    <t>INV-2612-0055</t>
  </si>
  <si>
    <t>INV-2612-0056</t>
  </si>
  <si>
    <t>INV-2612-0057</t>
  </si>
  <si>
    <t>INV-2612-0058</t>
  </si>
  <si>
    <t>INV-2612-0059</t>
  </si>
  <si>
    <t>INV-2612-0060</t>
  </si>
  <si>
    <t>INV-2612-0061</t>
  </si>
  <si>
    <t>INV-2612-0062</t>
  </si>
  <si>
    <t>INV-2612-0063</t>
  </si>
  <si>
    <t>INV-2612-0064</t>
  </si>
  <si>
    <t>INV-2612-0065</t>
  </si>
  <si>
    <t>INV-2612-0066</t>
  </si>
  <si>
    <t>INV-2612-0067</t>
  </si>
  <si>
    <t>INV-2612-0068</t>
  </si>
  <si>
    <t>INV-2612-0069</t>
  </si>
  <si>
    <t>INV-2612-0070</t>
  </si>
  <si>
    <t>INV-2612-0071</t>
  </si>
  <si>
    <t>INV-2612-0072</t>
  </si>
  <si>
    <t>INV-2612-0073</t>
  </si>
  <si>
    <t>INV-2612-0074</t>
  </si>
  <si>
    <t>INV-2612-0075</t>
  </si>
  <si>
    <t>INV-2612-0076</t>
  </si>
  <si>
    <t>INV-2612-0077</t>
  </si>
  <si>
    <t>INV-2612-0078</t>
  </si>
  <si>
    <t>INV-2612-0079</t>
  </si>
  <si>
    <t>INV-2612-0080</t>
  </si>
  <si>
    <t>INV-2612-0081</t>
  </si>
  <si>
    <t>INV-2612-0082</t>
  </si>
  <si>
    <t>INV-2612-0083</t>
  </si>
  <si>
    <t>INV-2612-0084</t>
  </si>
  <si>
    <t>INV-2612-0085</t>
  </si>
  <si>
    <t>INV-2612-0086</t>
  </si>
  <si>
    <t>INV-2612-0087</t>
  </si>
  <si>
    <t>INV-2612-0088</t>
  </si>
  <si>
    <t>INV-2612-0089</t>
  </si>
  <si>
    <t>INV-2612-0090</t>
  </si>
  <si>
    <t>INV-2612-0091</t>
  </si>
  <si>
    <t>INV-2612-0092</t>
  </si>
  <si>
    <t>INV-2612-0093</t>
  </si>
  <si>
    <t>INV-2612-0094</t>
  </si>
  <si>
    <t>INV-2612-0095</t>
  </si>
  <si>
    <t>INV-2612-0096</t>
  </si>
  <si>
    <t>INV-2612-0097</t>
  </si>
  <si>
    <t>INV-2612-0098</t>
  </si>
  <si>
    <t>INV-2612-0099</t>
  </si>
  <si>
    <t>INV-2612-0100</t>
  </si>
  <si>
    <t>INV-2612-0101</t>
  </si>
  <si>
    <t>INV-2612-0102</t>
  </si>
  <si>
    <t>INV-2612-0103</t>
  </si>
  <si>
    <t>INV-2612-0104</t>
  </si>
  <si>
    <t>INV-2612-0105</t>
  </si>
  <si>
    <t>INV-2612-0106</t>
  </si>
  <si>
    <t>INV-2612-0107</t>
  </si>
  <si>
    <t>INV-2612-0108</t>
  </si>
  <si>
    <t>INV-2612-0109</t>
  </si>
  <si>
    <t>INV-2612-0110</t>
  </si>
  <si>
    <t>INV-2612-0111</t>
  </si>
  <si>
    <t>INV-2612-0112</t>
  </si>
  <si>
    <t>INV-2612-0113</t>
  </si>
  <si>
    <t>INV-2612-0114</t>
  </si>
  <si>
    <t>INV-2612-0115</t>
  </si>
  <si>
    <t>INV-2612-0116</t>
  </si>
  <si>
    <t>INV-2612-0117</t>
  </si>
  <si>
    <t>INV-2612-0118</t>
  </si>
  <si>
    <t>INV-2612-0119</t>
  </si>
  <si>
    <t>INV-2612-0120</t>
  </si>
  <si>
    <t>INV-2612-0121</t>
  </si>
  <si>
    <t>INV-2612-0122</t>
  </si>
  <si>
    <t>INV-2612-0123</t>
  </si>
  <si>
    <t>INV-2612-0124</t>
  </si>
  <si>
    <t>INV-2612-0125</t>
  </si>
  <si>
    <t>INV-2612-0126</t>
  </si>
  <si>
    <t>INV-2612-0127</t>
  </si>
  <si>
    <t>INV-2612-0128</t>
  </si>
  <si>
    <t>INV-2612-0129</t>
  </si>
  <si>
    <t>INV-2612-0130</t>
  </si>
  <si>
    <t>INV-2612-0131</t>
  </si>
  <si>
    <t>INV-2612-0132</t>
  </si>
  <si>
    <t>INV-2612-0133</t>
  </si>
  <si>
    <t>INV-2612-0134</t>
  </si>
  <si>
    <t>INV-2612-0135</t>
  </si>
  <si>
    <t>INV-2612-0136</t>
  </si>
  <si>
    <t>INV-2612-0137</t>
  </si>
  <si>
    <t>INV-2612-0138</t>
  </si>
  <si>
    <t>INV-2612-0139</t>
  </si>
  <si>
    <t>INV-2612-0140</t>
  </si>
  <si>
    <t>INV-2612-0141</t>
  </si>
  <si>
    <t>INV-2612-0142</t>
  </si>
  <si>
    <t>INV-2612-0143</t>
  </si>
  <si>
    <t>INV-2612-0144</t>
  </si>
  <si>
    <t>INV-2612-0145</t>
  </si>
  <si>
    <t>INV-2612-0146</t>
  </si>
  <si>
    <t>INV-2612-0147</t>
  </si>
  <si>
    <t>INV-2612-0148</t>
  </si>
  <si>
    <t>INV-2612-0149</t>
  </si>
  <si>
    <t>INV-2612-0150</t>
  </si>
  <si>
    <t>INV-2612-0151</t>
  </si>
  <si>
    <t>INV-2612-0152</t>
  </si>
  <si>
    <t>INV-2612-0153</t>
  </si>
  <si>
    <t>INV-2612-0154</t>
  </si>
  <si>
    <t>INV-2612-0155</t>
  </si>
  <si>
    <t>INV-2612-0156</t>
  </si>
  <si>
    <t>INV-2612-0157</t>
  </si>
  <si>
    <t>INV-2612-0158</t>
  </si>
  <si>
    <t>INV-2612-0159</t>
  </si>
  <si>
    <t>INV-2612-0160</t>
  </si>
  <si>
    <t>INV-2612-0161</t>
  </si>
  <si>
    <t>INV-2612-0162</t>
  </si>
  <si>
    <t>INV-2612-0163</t>
  </si>
  <si>
    <t>INV-2612-0164</t>
  </si>
  <si>
    <t>INV-2612-0165</t>
  </si>
  <si>
    <t>INV-2612-0166</t>
  </si>
  <si>
    <t>INV-2612-0167</t>
  </si>
  <si>
    <t>INV-2612-0168</t>
  </si>
  <si>
    <t>INV-2612-0169</t>
  </si>
  <si>
    <t>INV-2612-0170</t>
  </si>
  <si>
    <t>INV-2612-0171</t>
  </si>
  <si>
    <t>INV-2612-0172</t>
  </si>
  <si>
    <t>INV-2612-0173</t>
  </si>
  <si>
    <t>INV-2612-0174</t>
  </si>
  <si>
    <t>INV-2612-0175</t>
  </si>
  <si>
    <t>INV-2612-0176</t>
  </si>
  <si>
    <t>INV-2612-0177</t>
  </si>
  <si>
    <t>INV-2612-0178</t>
  </si>
  <si>
    <t>INV-2612-0179</t>
  </si>
  <si>
    <t>INV-2612-0180</t>
  </si>
  <si>
    <t>INV-2612-0181</t>
  </si>
  <si>
    <t>INV-2612-0182</t>
  </si>
  <si>
    <t>INV-2612-0183</t>
  </si>
  <si>
    <t>INV-2612-0184</t>
  </si>
  <si>
    <t>INV-2612-0185</t>
  </si>
  <si>
    <t>INV-2612-0186</t>
  </si>
  <si>
    <t>INV-2612-0187</t>
  </si>
  <si>
    <t>INV-2612-0188</t>
  </si>
  <si>
    <t>INV-2612-0189</t>
  </si>
  <si>
    <t>INV-2612-0190</t>
  </si>
  <si>
    <t>INV-2612-0191</t>
  </si>
  <si>
    <t>INV-2612-0192</t>
  </si>
  <si>
    <t>INV-2612-0193</t>
  </si>
  <si>
    <t>INV-2612-0194</t>
  </si>
  <si>
    <t>INV-2612-0195</t>
  </si>
  <si>
    <t>INV-2612-0196</t>
  </si>
  <si>
    <t>INV-2612-0197</t>
  </si>
  <si>
    <t>INV-2612-0198</t>
  </si>
  <si>
    <t>INV-2612-0199</t>
  </si>
  <si>
    <t>INV-2612-0200</t>
  </si>
  <si>
    <t>INV-2612-0201</t>
  </si>
  <si>
    <t>INV-2612-0202</t>
  </si>
  <si>
    <t>INV-2612-0203</t>
  </si>
  <si>
    <t>INV-2612-0204</t>
  </si>
  <si>
    <t>INV-2612-0205</t>
  </si>
  <si>
    <t>INV-2612-0206</t>
  </si>
  <si>
    <t>INV-2612-0207</t>
  </si>
  <si>
    <t>INV-2612-0208</t>
  </si>
  <si>
    <t>INV-2612-0209</t>
  </si>
  <si>
    <t>INV-2612-0210</t>
  </si>
  <si>
    <t>INV-2612-0211</t>
  </si>
  <si>
    <t>INV-2612-0212</t>
  </si>
  <si>
    <t>INV-2612-0213</t>
  </si>
  <si>
    <t>INV-2612-0214</t>
  </si>
  <si>
    <t>INV-2612-0215</t>
  </si>
  <si>
    <t>INV-2612-0216</t>
  </si>
  <si>
    <t>INV-2612-0217</t>
  </si>
  <si>
    <t>INV-2612-0218</t>
  </si>
  <si>
    <t>INV-2612-0219</t>
  </si>
  <si>
    <t>INV-2612-0220</t>
  </si>
  <si>
    <t>INV-2612-0221</t>
  </si>
  <si>
    <t>INV-2612-0222</t>
  </si>
  <si>
    <t>INV-2612-0223</t>
  </si>
  <si>
    <t>INV-2612-0224</t>
  </si>
  <si>
    <t>INV-2612-0225</t>
  </si>
  <si>
    <t>INV-2612-0226</t>
  </si>
  <si>
    <t>INV-2612-0227</t>
  </si>
  <si>
    <t>INV-2612-0228</t>
  </si>
  <si>
    <t>INV-2612-0229</t>
  </si>
  <si>
    <t>INV-2612-0230</t>
  </si>
  <si>
    <t>INV-2612-0231</t>
  </si>
  <si>
    <t>INV-2612-0232</t>
  </si>
  <si>
    <t>INV-2612-0233</t>
  </si>
  <si>
    <t>INV-2612-0234</t>
  </si>
  <si>
    <t>INV-2612-0235</t>
  </si>
  <si>
    <t>INV-2612-0236</t>
  </si>
  <si>
    <t>INV-2612-0237</t>
  </si>
  <si>
    <t>INV-2612-0238</t>
  </si>
  <si>
    <t>INV-2612-0239</t>
  </si>
  <si>
    <t>INV-2612-0240</t>
  </si>
  <si>
    <t>INV-2612-0241</t>
  </si>
  <si>
    <t>INV-2612-0242</t>
  </si>
  <si>
    <t>INV-2612-0243</t>
  </si>
  <si>
    <t>INV-2612-0244</t>
  </si>
  <si>
    <t>INV-2612-0245</t>
  </si>
  <si>
    <t>INV-2612-0246</t>
  </si>
  <si>
    <t>INV-2612-0247</t>
  </si>
  <si>
    <t>INV-2612-0248</t>
  </si>
  <si>
    <t>INV-2612-0249</t>
  </si>
  <si>
    <t>INV-2612-0250</t>
  </si>
  <si>
    <t>INV-2612-0251</t>
  </si>
  <si>
    <t>INV-2612-0252</t>
  </si>
  <si>
    <t>INV-2612-0253</t>
  </si>
  <si>
    <t>INV-2612-0254</t>
  </si>
  <si>
    <t>INV-2612-0255</t>
  </si>
  <si>
    <t>INV-2612-0256</t>
  </si>
  <si>
    <t>INV-2612-0257</t>
  </si>
  <si>
    <t>INV-2612-0258</t>
  </si>
  <si>
    <t>INV-2612-0259</t>
  </si>
  <si>
    <t>INV-2612-0260</t>
  </si>
  <si>
    <t>INV-2612-0261</t>
  </si>
  <si>
    <t>INV-2612-0262</t>
  </si>
  <si>
    <t>INV-2612-0263</t>
  </si>
  <si>
    <t>INV-2612-0264</t>
  </si>
  <si>
    <t>INV-2612-0265</t>
  </si>
  <si>
    <t>INV-2612-0266</t>
  </si>
  <si>
    <t>INV-2612-0267</t>
  </si>
  <si>
    <t>INV-2612-0268</t>
  </si>
  <si>
    <t>INV-2612-0269</t>
  </si>
  <si>
    <t>INV-2612-0270</t>
  </si>
  <si>
    <t>INV-2612-0271</t>
  </si>
  <si>
    <t>INV-2612-0272</t>
  </si>
  <si>
    <t>INV-2612-0273</t>
  </si>
  <si>
    <t>INV-2612-0274</t>
  </si>
  <si>
    <t>INV-2612-0275</t>
  </si>
  <si>
    <t>INV-2612-0276</t>
  </si>
  <si>
    <t>INV-2612-0277</t>
  </si>
  <si>
    <t>INV-2612-0278</t>
  </si>
  <si>
    <t>INV-2612-0279</t>
  </si>
  <si>
    <t>INV-2612-0280</t>
  </si>
  <si>
    <t>INV-2612-0281</t>
  </si>
  <si>
    <t>INV-2612-0282</t>
  </si>
  <si>
    <t>INV-2612-0283</t>
  </si>
  <si>
    <t>INV-2612-0284</t>
  </si>
  <si>
    <t>INV-2612-0285</t>
  </si>
  <si>
    <t>INV-2612-0286</t>
  </si>
  <si>
    <t>INV-2612-0287</t>
  </si>
  <si>
    <t>INV-2612-0288</t>
  </si>
  <si>
    <t>INV-2612-0289</t>
  </si>
  <si>
    <t>INV-2612-0290</t>
  </si>
  <si>
    <t>INV-2612-0291</t>
  </si>
  <si>
    <t>INV-2612-0292</t>
  </si>
  <si>
    <t>INV-2612-0293</t>
  </si>
  <si>
    <t>INV-2612-0294</t>
  </si>
  <si>
    <t>INV-2612-0295</t>
  </si>
  <si>
    <t>INV-2612-0296</t>
  </si>
  <si>
    <t>INV-2612-0297</t>
  </si>
  <si>
    <t>INV-2612-0298</t>
  </si>
  <si>
    <t>INV-2612-0299</t>
  </si>
  <si>
    <t>INV-2612-0300</t>
  </si>
  <si>
    <t>INV-2612-0301</t>
  </si>
  <si>
    <t>INV-2612-0302</t>
  </si>
  <si>
    <t>INV-2612-0303</t>
  </si>
  <si>
    <t>INV-2612-0304</t>
  </si>
  <si>
    <t>INV-2612-0305</t>
  </si>
  <si>
    <t>INV-2612-0306</t>
  </si>
  <si>
    <t>INV-2612-0307</t>
  </si>
  <si>
    <t>INV-2612-0308</t>
  </si>
  <si>
    <t>INV-2612-0309</t>
  </si>
  <si>
    <t>INV-2612-0310</t>
  </si>
  <si>
    <t>INV-2612-0311</t>
  </si>
  <si>
    <t>INV-2612-0312</t>
  </si>
  <si>
    <t>INV-2612-0313</t>
  </si>
  <si>
    <t>INV-2612-0314</t>
  </si>
  <si>
    <t>INV-2612-0315</t>
  </si>
  <si>
    <t>INV-2612-0316</t>
  </si>
  <si>
    <t>INV-2612-0317</t>
  </si>
  <si>
    <t>INV-2612-0318</t>
  </si>
  <si>
    <t>INV-2612-0319</t>
  </si>
  <si>
    <t>INV-2612-0320</t>
  </si>
  <si>
    <t>INV-2612-0321</t>
  </si>
  <si>
    <t>INV-2612-0322</t>
  </si>
  <si>
    <t>INV-2612-0323</t>
  </si>
  <si>
    <t>INV-2612-0324</t>
  </si>
  <si>
    <t>INV-2612-0325</t>
  </si>
  <si>
    <t>INV-2612-0326</t>
  </si>
  <si>
    <t>INV-2612-0327</t>
  </si>
  <si>
    <t>INV-2612-0328</t>
  </si>
  <si>
    <t>INV-2612-0329</t>
  </si>
  <si>
    <t>INV-2612-0330</t>
  </si>
  <si>
    <t>INV-2612-0331</t>
  </si>
  <si>
    <t>INV-2612-0332</t>
  </si>
  <si>
    <t>INV-2612-0333</t>
  </si>
  <si>
    <t>INV-2612-0334</t>
  </si>
  <si>
    <t>INV-2612-0335</t>
  </si>
  <si>
    <t>INV-2612-0336</t>
  </si>
  <si>
    <t>INV-2612-0337</t>
  </si>
  <si>
    <t>INV-2612-0338</t>
  </si>
  <si>
    <t>INV-2612-0339</t>
  </si>
  <si>
    <t>INV-2612-0340</t>
  </si>
  <si>
    <t>INV-2612-0341</t>
  </si>
  <si>
    <t>INV-2612-0342</t>
  </si>
  <si>
    <t>INV-2612-0343</t>
  </si>
  <si>
    <t>INV-2612-0344</t>
  </si>
  <si>
    <t>INV-2612-0345</t>
  </si>
  <si>
    <t>INV-2612-0346</t>
  </si>
  <si>
    <t>INV-2612-0347</t>
  </si>
  <si>
    <t>INV-2612-0348</t>
  </si>
  <si>
    <t>INV-2612-0349</t>
  </si>
  <si>
    <t>INV-2612-0350</t>
  </si>
  <si>
    <t>INV-2612-0351</t>
  </si>
  <si>
    <t>INV-2612-0352</t>
  </si>
  <si>
    <t>INV-2612-0353</t>
  </si>
  <si>
    <t>INV-2612-0354</t>
  </si>
  <si>
    <t>INV-2612-0355</t>
  </si>
  <si>
    <t>INV-2612-0356</t>
  </si>
  <si>
    <t>INV-2612-0357</t>
  </si>
  <si>
    <t>INV-2612-0358</t>
  </si>
  <si>
    <t>INV-2612-0359</t>
  </si>
  <si>
    <t>INV-2612-0360</t>
  </si>
  <si>
    <t>INV-2612-0361</t>
  </si>
  <si>
    <t>INV-2612-0362</t>
  </si>
  <si>
    <t>INV-2612-0363</t>
  </si>
  <si>
    <t>INV-2612-0364</t>
  </si>
  <si>
    <t>INV-2612-0365</t>
  </si>
  <si>
    <t>INV-2612-0366</t>
  </si>
  <si>
    <t>INV-2612-0367</t>
  </si>
  <si>
    <t>INV-2612-0368</t>
  </si>
  <si>
    <t>INV-2612-0369</t>
  </si>
  <si>
    <t>INV-2612-0370</t>
  </si>
  <si>
    <t>INV-2612-0371</t>
  </si>
  <si>
    <t>INV-2612-0372</t>
  </si>
  <si>
    <t>INV-2612-0373</t>
  </si>
  <si>
    <t>INV-2612-0374</t>
  </si>
  <si>
    <t>INV-2612-0375</t>
  </si>
  <si>
    <t>INV-2612-0376</t>
  </si>
  <si>
    <t>INV-2612-0377</t>
  </si>
  <si>
    <t>INV-2612-0378</t>
  </si>
  <si>
    <t>INV-2612-0379</t>
  </si>
  <si>
    <t>INV-2612-0380</t>
  </si>
  <si>
    <t>INV-2612-0381</t>
  </si>
  <si>
    <t>INV-2612-0382</t>
  </si>
  <si>
    <t>INV-2612-0383</t>
  </si>
  <si>
    <t>INV-2612-0384</t>
  </si>
  <si>
    <t>INV-2612-0385</t>
  </si>
  <si>
    <t>INV-2612-0386</t>
  </si>
  <si>
    <t>INV-2612-0387</t>
  </si>
  <si>
    <t>INV-2612-0388</t>
  </si>
  <si>
    <t>INV-2612-0389</t>
  </si>
  <si>
    <t>INV-2612-0390</t>
  </si>
  <si>
    <t>INV-2612-0391</t>
  </si>
  <si>
    <t>INV-2612-0392</t>
  </si>
  <si>
    <t>INV-2612-0393</t>
  </si>
  <si>
    <t>INV-2612-0394</t>
  </si>
  <si>
    <t>INV-2612-0395</t>
  </si>
  <si>
    <t>INV-2612-0396</t>
  </si>
  <si>
    <t>INV-2612-0397</t>
  </si>
  <si>
    <t>INV-2612-0398</t>
  </si>
  <si>
    <t>INV-2612-0399</t>
  </si>
  <si>
    <t>INV-2612-0400</t>
  </si>
  <si>
    <t>INV-2612-0401</t>
  </si>
  <si>
    <t>INV-2612-0402</t>
  </si>
  <si>
    <t>INV-2612-0403</t>
  </si>
  <si>
    <t>INV-2612-0404</t>
  </si>
  <si>
    <t>INV-2612-0405</t>
  </si>
  <si>
    <t>INV-2612-0406</t>
  </si>
  <si>
    <t>INV-2612-0407</t>
  </si>
  <si>
    <t>INV-2612-0408</t>
  </si>
  <si>
    <t>INV-2612-0409</t>
  </si>
  <si>
    <t>INV-2612-0410</t>
  </si>
  <si>
    <t>INV-2612-0411</t>
  </si>
  <si>
    <t>INV-2612-0412</t>
  </si>
  <si>
    <t>INV-2612-0413</t>
  </si>
  <si>
    <t>INV-2612-0414</t>
  </si>
  <si>
    <t>INV-2612-0415</t>
  </si>
  <si>
    <t>INV-2612-0416</t>
  </si>
  <si>
    <t>INV-2612-0417</t>
  </si>
  <si>
    <t>INV-2612-0418</t>
  </si>
  <si>
    <t>INV-2612-0419</t>
  </si>
  <si>
    <t>INV-2612-0420</t>
  </si>
  <si>
    <t>INV-2612-0421</t>
  </si>
  <si>
    <t>INV-2612-0422</t>
  </si>
  <si>
    <t>INV-2612-0423</t>
  </si>
  <si>
    <t>INV-2612-0424</t>
  </si>
  <si>
    <t>INV-2612-0425</t>
  </si>
  <si>
    <t>INV-2612-0426</t>
  </si>
  <si>
    <t>INV-2612-0427</t>
  </si>
  <si>
    <t>INV-2612-0428</t>
  </si>
  <si>
    <t>INV-2612-0429</t>
  </si>
  <si>
    <t>INV-2612-0430</t>
  </si>
  <si>
    <t>INV-2612-0431</t>
  </si>
  <si>
    <t>INV-2612-0432</t>
  </si>
  <si>
    <t>INV-2612-0433</t>
  </si>
  <si>
    <t>INV-2612-0434</t>
  </si>
  <si>
    <t>INV-2612-0435</t>
  </si>
  <si>
    <t>INV-2612-0436</t>
  </si>
  <si>
    <t>INV-2612-0437</t>
  </si>
  <si>
    <t>INV-2612-0438</t>
  </si>
  <si>
    <t>INV-2612-0439</t>
  </si>
  <si>
    <t>INV-2612-0440</t>
  </si>
  <si>
    <t>INV-2612-0441</t>
  </si>
  <si>
    <t>INV-2612-0442</t>
  </si>
  <si>
    <t>INV-2612-0443</t>
  </si>
  <si>
    <t>INV-2612-0444</t>
  </si>
  <si>
    <t>INV-2612-0445</t>
  </si>
  <si>
    <t>INV-2612-0446</t>
  </si>
  <si>
    <t>INV-2612-0447</t>
  </si>
  <si>
    <t>INV-2612-0448</t>
  </si>
  <si>
    <t>INV-2612-0449</t>
  </si>
  <si>
    <t>INV-2612-0450</t>
  </si>
  <si>
    <t>INV-2612-0451</t>
  </si>
  <si>
    <t>INV-2612-0452</t>
  </si>
  <si>
    <t>INV-2612-0453</t>
  </si>
  <si>
    <t>INV-2612-0454</t>
  </si>
  <si>
    <t>INV-2612-0455</t>
  </si>
  <si>
    <t>INV-2612-0456</t>
  </si>
  <si>
    <t>INV-2612-0457</t>
  </si>
  <si>
    <t>INV-2612-0458</t>
  </si>
  <si>
    <t>INV-2612-0459</t>
  </si>
  <si>
    <t>INV-2612-0460</t>
  </si>
  <si>
    <t>INV-2612-0461</t>
  </si>
  <si>
    <t>INV-2612-0462</t>
  </si>
  <si>
    <t>INV-2612-0463</t>
  </si>
  <si>
    <t>INV-2612-0464</t>
  </si>
  <si>
    <t>INV-2612-0465</t>
  </si>
  <si>
    <t>INV-2612-0466</t>
  </si>
  <si>
    <t>INV-2612-0467</t>
  </si>
  <si>
    <t>INV-2612-0468</t>
  </si>
  <si>
    <t>INV-2612-0469</t>
  </si>
  <si>
    <t>INV-2612-0470</t>
  </si>
  <si>
    <t>INV-2612-0471</t>
  </si>
  <si>
    <t>INV-2612-0472</t>
  </si>
  <si>
    <t>INV-2612-0473</t>
  </si>
  <si>
    <t>INV-2612-0474</t>
  </si>
  <si>
    <t>INV-2612-0475</t>
  </si>
  <si>
    <t>INV-2612-0476</t>
  </si>
  <si>
    <t>Debit</t>
  </si>
  <si>
    <t>Manual</t>
  </si>
  <si>
    <t>Normal</t>
  </si>
  <si>
    <t>TOTAL</t>
  </si>
  <si>
    <t>Jan</t>
  </si>
  <si>
    <t>Feb</t>
  </si>
  <si>
    <t>Mar</t>
  </si>
  <si>
    <t>Apr</t>
  </si>
  <si>
    <t>Jun</t>
  </si>
  <si>
    <t>Jul</t>
  </si>
  <si>
    <t>Sep</t>
  </si>
  <si>
    <t>Nov</t>
  </si>
  <si>
    <t>Total</t>
  </si>
  <si>
    <t>Benchmark</t>
  </si>
  <si>
    <t>Status</t>
  </si>
  <si>
    <t>≥</t>
  </si>
  <si>
    <t>≤</t>
  </si>
  <si>
    <t>DSO + DIO − DPO</t>
  </si>
  <si>
    <t>No</t>
  </si>
  <si>
    <t>Label</t>
  </si>
  <si>
    <t>Qty YTD</t>
  </si>
  <si>
    <t>Rank</t>
  </si>
  <si>
    <t>CURRENT RATIO</t>
  </si>
  <si>
    <t>DEBT TO EQUITY</t>
  </si>
  <si>
    <t>CASH CONVERSION CYCLE</t>
  </si>
  <si>
    <t>#</t>
  </si>
  <si>
    <t>COMPANY INFORMATION &amp; SETTINGS</t>
  </si>
  <si>
    <t>IDENTITY</t>
  </si>
  <si>
    <t>Company Name</t>
  </si>
  <si>
    <t>Appears on all reports</t>
  </si>
  <si>
    <t>Business Type</t>
  </si>
  <si>
    <t>▼ Select industry</t>
  </si>
  <si>
    <t>Business Description</t>
  </si>
  <si>
    <t>Auto from Industry Profile</t>
  </si>
  <si>
    <t>Tax ID (NPWP)</t>
  </si>
  <si>
    <t>0123456789012000</t>
  </si>
  <si>
    <t>16-digit NPWP</t>
  </si>
  <si>
    <t>Business ID (NIB)</t>
  </si>
  <si>
    <t>9120001234567</t>
  </si>
  <si>
    <t>VAT Status</t>
  </si>
  <si>
    <t>PKP (VAT-registered)</t>
  </si>
  <si>
    <t>Address</t>
  </si>
  <si>
    <t>Jl. Jend. Sudirman Kav. 52-53, Jakarta Selatan 12190</t>
  </si>
  <si>
    <t>City</t>
  </si>
  <si>
    <t>Jakarta</t>
  </si>
  <si>
    <t>Phone</t>
  </si>
  <si>
    <t>+62 21 5150 8888</t>
  </si>
  <si>
    <t>Date of Establishment</t>
  </si>
  <si>
    <t>Deed of Establishment</t>
  </si>
  <si>
    <t>Deed No. 12 dated 15 March 2018, Notary Andi Wijaya, S.H., M.Kn.</t>
  </si>
  <si>
    <t>Ministry Approval</t>
  </si>
  <si>
    <t>Number of Employees</t>
  </si>
  <si>
    <t>Auto from Employees</t>
  </si>
  <si>
    <t>Shares Outstanding</t>
  </si>
  <si>
    <t>shares</t>
  </si>
  <si>
    <t>Par Value per Share (IDR)</t>
  </si>
  <si>
    <t>MANAGEMENT</t>
  </si>
  <si>
    <t>President Commissioner</t>
  </si>
  <si>
    <t>Hendra Gunawan</t>
  </si>
  <si>
    <t>President Director</t>
  </si>
  <si>
    <t>Budi Santoso</t>
  </si>
  <si>
    <t>Finance Director</t>
  </si>
  <si>
    <t>Siti Rahmawati</t>
  </si>
  <si>
    <t>Accounting Manager</t>
  </si>
  <si>
    <t>Dewi Lestari</t>
  </si>
  <si>
    <t>REPORTING PERIOD</t>
  </si>
  <si>
    <t>Fiscal Year</t>
  </si>
  <si>
    <t>Cut-off Month (1-12)</t>
  </si>
  <si>
    <t>▼ All reports run YTD to this month</t>
  </si>
  <si>
    <t>Period Start</t>
  </si>
  <si>
    <t>Period End</t>
  </si>
  <si>
    <t>Auto</t>
  </si>
  <si>
    <t>Comparative Date</t>
  </si>
  <si>
    <t>Opening balances date</t>
  </si>
  <si>
    <t>Reporting Currency</t>
  </si>
  <si>
    <t>Indonesian Rupiah (IDR)</t>
  </si>
  <si>
    <t>Presentation Unit</t>
  </si>
  <si>
    <t>Full Rupiah</t>
  </si>
  <si>
    <t>TAX SETTINGS</t>
  </si>
  <si>
    <t>VAT Rate (PPN)</t>
  </si>
  <si>
    <t>UU HPP; from 1 Jan 2025</t>
  </si>
  <si>
    <t>VAT Base Factor (DPP Nilai Lain)</t>
  </si>
  <si>
    <t>PMK 131/2024 – non-luxury goods</t>
  </si>
  <si>
    <t>Effective VAT Rate</t>
  </si>
  <si>
    <t>Corporate Income Tax Rate</t>
  </si>
  <si>
    <t>Art. 17 UU PPh</t>
  </si>
  <si>
    <t>Apply Art. 31E Facility (Yes/No)</t>
  </si>
  <si>
    <t>Yes</t>
  </si>
  <si>
    <t>▼ 50% rate cut on revenue ≤ IDR 4.8bn portion</t>
  </si>
  <si>
    <t>Art. 31E Revenue Threshold</t>
  </si>
  <si>
    <t>Monthly PPh 25 Installment</t>
  </si>
  <si>
    <t>Per prior-year SPT</t>
  </si>
  <si>
    <t>BPJS Health Wage Cap</t>
  </si>
  <si>
    <t>Monthly</t>
  </si>
  <si>
    <t>BPJS Pension (JP) Wage Cap</t>
  </si>
  <si>
    <t>Update per BPJS circular</t>
  </si>
  <si>
    <t>REPORT LABELS (auto)</t>
  </si>
  <si>
    <t>Period Title</t>
  </si>
  <si>
    <t>Current Date Label</t>
  </si>
  <si>
    <t>Comparative Date Label</t>
  </si>
  <si>
    <t>Cut-off Month Name</t>
  </si>
  <si>
    <t>Independent Auditor</t>
  </si>
  <si>
    <t>KAP Wijaya &amp; Partners</t>
  </si>
  <si>
    <t>FS Authorisation Date</t>
  </si>
  <si>
    <t>WHT Type</t>
  </si>
  <si>
    <t>Rate</t>
  </si>
  <si>
    <t>Description</t>
  </si>
  <si>
    <t>None</t>
  </si>
  <si>
    <t>Not subject to withholding</t>
  </si>
  <si>
    <t>Art. 23 - Services</t>
  </si>
  <si>
    <t>PPh 23 on services (2%)</t>
  </si>
  <si>
    <t>Art. 4(2) - Building Rent</t>
  </si>
  <si>
    <t>Final PPh 4(2) on land/building rent (10%)</t>
  </si>
  <si>
    <t>Art. 23 - Rent (non-building)</t>
  </si>
  <si>
    <t>PPh 23 on asset rental (2%)</t>
  </si>
  <si>
    <t>WITHHOLDING TAX (PPh UNIFIKASI) RATES</t>
  </si>
  <si>
    <t>INDUSTRY PROFILE LIBRARY</t>
  </si>
  <si>
    <t>Attribute</t>
  </si>
  <si>
    <t>▶ Selected</t>
  </si>
  <si>
    <t>Services</t>
  </si>
  <si>
    <t>Manufacturing</t>
  </si>
  <si>
    <t>Distribution</t>
  </si>
  <si>
    <t>Construction</t>
  </si>
  <si>
    <t>F&amp;B</t>
  </si>
  <si>
    <t>Revenue Label</t>
  </si>
  <si>
    <t>Cost of Revenue Label</t>
  </si>
  <si>
    <t>Inventory Label</t>
  </si>
  <si>
    <t>Unit</t>
  </si>
  <si>
    <t>Category 1</t>
  </si>
  <si>
    <t>Category 2</t>
  </si>
  <si>
    <t>Category 3</t>
  </si>
  <si>
    <t>Product P01</t>
  </si>
  <si>
    <t>Product P02</t>
  </si>
  <si>
    <t>Product P03</t>
  </si>
  <si>
    <t>Product P04</t>
  </si>
  <si>
    <t>Product P05</t>
  </si>
  <si>
    <t>Product P06</t>
  </si>
  <si>
    <t>Product P07</t>
  </si>
  <si>
    <t>Product P08</t>
  </si>
  <si>
    <t>Product P09</t>
  </si>
  <si>
    <t>Product P10</t>
  </si>
  <si>
    <t>Revenue Recognition Policy</t>
  </si>
  <si>
    <t>Retail of fashion, lifestyle &amp; consumer electronics</t>
  </si>
  <si>
    <t>Business consulting, creative &amp; digital services</t>
  </si>
  <si>
    <t>Manufacturing of furniture &amp; home products</t>
  </si>
  <si>
    <t>Wholesale distribution of fast-moving consumer goods</t>
  </si>
  <si>
    <t>Building construction &amp; finishing contractor</t>
  </si>
  <si>
    <t>B2B trading of industrial supplies &amp; equipment</t>
  </si>
  <si>
    <t>E-commerce fulfillment &amp; warehousing services</t>
  </si>
  <si>
    <t>Restaurant, café &amp; catering services</t>
  </si>
  <si>
    <t>Sales of goods</t>
  </si>
  <si>
    <t>Service revenue</t>
  </si>
  <si>
    <t>Sales of manufactured goods</t>
  </si>
  <si>
    <t>Sales of goods - distribution</t>
  </si>
  <si>
    <t>Contract revenue</t>
  </si>
  <si>
    <t>Trading revenue</t>
  </si>
  <si>
    <t>Fulfillment service revenue</t>
  </si>
  <si>
    <t>Food &amp; beverage sales</t>
  </si>
  <si>
    <t>Cost of goods sold</t>
  </si>
  <si>
    <t>Cost of services</t>
  </si>
  <si>
    <t>Cost of goods manufactured &amp; sold</t>
  </si>
  <si>
    <t>Contract costs</t>
  </si>
  <si>
    <t>Cost of food &amp; beverage</t>
  </si>
  <si>
    <t>Merchandise inventory</t>
  </si>
  <si>
    <t>Service supplies</t>
  </si>
  <si>
    <t>Finished goods &amp; raw materials</t>
  </si>
  <si>
    <t>Construction materials</t>
  </si>
  <si>
    <t>Trading inventory</t>
  </si>
  <si>
    <t>Packaging &amp; supplies</t>
  </si>
  <si>
    <t>Food &amp; beverage inventory</t>
  </si>
  <si>
    <t>session</t>
  </si>
  <si>
    <t>carton</t>
  </si>
  <si>
    <t>order batch</t>
  </si>
  <si>
    <t>portion</t>
  </si>
  <si>
    <t>Accessories &amp; Basics</t>
  </si>
  <si>
    <t>Digital Content</t>
  </si>
  <si>
    <t>Small Furniture</t>
  </si>
  <si>
    <t>Beverages</t>
  </si>
  <si>
    <t>Finishing Works</t>
  </si>
  <si>
    <t>Packaging Supplies</t>
  </si>
  <si>
    <t>Handling Services</t>
  </si>
  <si>
    <t>Beverages &amp; Snacks</t>
  </si>
  <si>
    <t>Consulting</t>
  </si>
  <si>
    <t>Chairs &amp; Tables</t>
  </si>
  <si>
    <t>Food Staples</t>
  </si>
  <si>
    <t>Structural Works</t>
  </si>
  <si>
    <t>Industrial Parts</t>
  </si>
  <si>
    <t>Storage Services</t>
  </si>
  <si>
    <t>Main Courses</t>
  </si>
  <si>
    <t>Bags &amp; Gadgets</t>
  </si>
  <si>
    <t>Projects &amp; Retainers</t>
  </si>
  <si>
    <t>Large Furniture</t>
  </si>
  <si>
    <t>Household Goods</t>
  </si>
  <si>
    <t>Concrete &amp; Heavy Works</t>
  </si>
  <si>
    <t>Machinery &amp; Tools</t>
  </si>
  <si>
    <t>Value-added Services</t>
  </si>
  <si>
    <t>Packages &amp; Catering</t>
  </si>
  <si>
    <t>In-store</t>
  </si>
  <si>
    <t>Direct Client</t>
  </si>
  <si>
    <t>Modern Trade</t>
  </si>
  <si>
    <t>Private Projects</t>
  </si>
  <si>
    <t>Direct Sales</t>
  </si>
  <si>
    <t>Marketplace Sellers</t>
  </si>
  <si>
    <t>Direct B2B</t>
  </si>
  <si>
    <t>General Trade</t>
  </si>
  <si>
    <t>Government Projects</t>
  </si>
  <si>
    <t>Tender</t>
  </si>
  <si>
    <t>D2C Brands</t>
  </si>
  <si>
    <t>Delivery App</t>
  </si>
  <si>
    <t>Website &amp; Social Media</t>
  </si>
  <si>
    <t>E-commerce</t>
  </si>
  <si>
    <t>B2B Online</t>
  </si>
  <si>
    <t>Subcontract</t>
  </si>
  <si>
    <t>E-procurement</t>
  </si>
  <si>
    <t>Corporate</t>
  </si>
  <si>
    <t>Catering Order</t>
  </si>
  <si>
    <t>Socks &amp; Accessories</t>
  </si>
  <si>
    <t>Online Consultation (30 min)</t>
  </si>
  <si>
    <t>Plastic Stool</t>
  </si>
  <si>
    <t>Mineral Water 600ml (carton)</t>
  </si>
  <si>
    <t>Painting Works (m²)</t>
  </si>
  <si>
    <t>Packing Tape (pack)</t>
  </si>
  <si>
    <t>Pick &amp; Pack (10 orders)</t>
  </si>
  <si>
    <t>Iced Palm Sugar Coffee</t>
  </si>
  <si>
    <t>Premium Basic T-shirt</t>
  </si>
  <si>
    <t>Social Media Content Design</t>
  </si>
  <si>
    <t>Mini Shelf</t>
  </si>
  <si>
    <t>Bottled Tea (carton)</t>
  </si>
  <si>
    <t>Ceramic Tiling (m²)</t>
  </si>
  <si>
    <t>Stretch Film (roll)</t>
  </si>
  <si>
    <t>Bin Storage (month)</t>
  </si>
  <si>
    <t>Special Fried Rice</t>
  </si>
  <si>
    <t>Casual Shorts</t>
  </si>
  <si>
    <t>Article Copywriting</t>
  </si>
  <si>
    <t>Small Folding Table</t>
  </si>
  <si>
    <t>Instant Noodles (carton)</t>
  </si>
  <si>
    <t>Plastering (m²)</t>
  </si>
  <si>
    <t>Carton Boxes (bundle)</t>
  </si>
  <si>
    <t>Premium Packaging (10 pcs)</t>
  </si>
  <si>
    <t>Honey Grilled Chicken</t>
  </si>
  <si>
    <t>Casual Shirt</t>
  </si>
  <si>
    <t>Product Photography (session)</t>
  </si>
  <si>
    <t>Steel Folding Chair</t>
  </si>
  <si>
    <t>Coffee Sachets (bale)</t>
  </si>
  <si>
    <t>Gypsum Ceiling (m²)</t>
  </si>
  <si>
    <t>Safety Gloves (dozen)</t>
  </si>
  <si>
    <t>Labeling &amp; Barcoding (100 pcs)</t>
  </si>
  <si>
    <t>Grilled Ribs</t>
  </si>
  <si>
    <t>Chino Pants</t>
  </si>
  <si>
    <t>Short Video Editing</t>
  </si>
  <si>
    <t>3-Tier Bookshelf</t>
  </si>
  <si>
    <t>Sugar 10kg (sack)</t>
  </si>
  <si>
    <t>Light Steel Roof Frame (m²)</t>
  </si>
  <si>
    <t>Industrial Bearing</t>
  </si>
  <si>
    <t>Pallet Storage (month)</t>
  </si>
  <si>
    <t>Sirloin Steak</t>
  </si>
  <si>
    <t>Sneakers</t>
  </si>
  <si>
    <t>Tax Consultation</t>
  </si>
  <si>
    <t>Study Desk</t>
  </si>
  <si>
    <t>UHT Milk (carton)</t>
  </si>
  <si>
    <t>NYM Cable 50m</t>
  </si>
  <si>
    <t>Inbound Receiving (pallet)</t>
  </si>
  <si>
    <t>Family Package (4 pax)</t>
  </si>
  <si>
    <t>Bomber Jacket</t>
  </si>
  <si>
    <t>Corporate Training (participant)</t>
  </si>
  <si>
    <t>Office Chair</t>
  </si>
  <si>
    <t>Premium Rice 25kg</t>
  </si>
  <si>
    <t>Lightweight Brick Wall (m²)</t>
  </si>
  <si>
    <t>Industrial Lubricant 20L</t>
  </si>
  <si>
    <t>Mini Tumpeng</t>
  </si>
  <si>
    <t>Backpack</t>
  </si>
  <si>
    <t>Business Process Review</t>
  </si>
  <si>
    <t>2-Door Wardrobe</t>
  </si>
  <si>
    <t>Cooking Oil 12L (carton)</t>
  </si>
  <si>
    <t>Floor Casting (m²)</t>
  </si>
  <si>
    <t>Mini Water Pump</t>
  </si>
  <si>
    <t>Lunch Box Catering (10 pax)</t>
  </si>
  <si>
    <t>Executive Desk</t>
  </si>
  <si>
    <t>Detergent (bulk pack)</t>
  </si>
  <si>
    <t>Ready-mix Concrete (m³)</t>
  </si>
  <si>
    <t>1HP Electric Motor</t>
  </si>
  <si>
    <t>Office Catering (20 pax)</t>
  </si>
  <si>
    <t>Wireless Earbuds Pro</t>
  </si>
  <si>
    <t>Digital Marketing Retainer</t>
  </si>
  <si>
    <t>2-Seater Minimalist Sofa</t>
  </si>
  <si>
    <t>Mixed FMCG Bundle (lot)</t>
  </si>
  <si>
    <t>Structural Works (m³)</t>
  </si>
  <si>
    <t>Portable Air Compressor</t>
  </si>
  <si>
    <t>Dedicated Space (m²/month)</t>
  </si>
  <si>
    <t>Buffet Package (30 pax)</t>
  </si>
  <si>
    <t>Revenue from the sale of goods is recognised at a point in time when control transfers to the customer, generally upon handover at the store or delivery to the courier (PSAK 115).</t>
  </si>
  <si>
    <t>Service revenue is recognised over time as the services are rendered, or at a point in time when a discrete session/deliverable is completed (PSAK 115).</t>
  </si>
  <si>
    <t>Revenue is recognised at a point in time when manufactured goods are delivered and accepted by the customer (PSAK 115).</t>
  </si>
  <si>
    <t>Revenue is recognised when goods are delivered to the customer's warehouse and control has transferred (PSAK 115).</t>
  </si>
  <si>
    <t>Contract revenue is recognised over time using the input method, based on costs incurred relative to total estimated contract costs (PSAK 115).</t>
  </si>
  <si>
    <t>Revenue is recognised at a point in time when control passes to the buyer in accordance with the agreed delivery terms (PSAK 115).</t>
  </si>
  <si>
    <t>Fulfillment and storage revenue is recognised over time as the services are performed (PSAK 115).</t>
  </si>
  <si>
    <t>Revenue is recognised at a point in time when food and beverages are served or delivered to the customer (PSAK 115).</t>
  </si>
  <si>
    <t>Edit any industry column (blue) to customise labels/products. Column C is driven by Company Info › Business Type.</t>
  </si>
  <si>
    <t>CUSTOMER MASTER</t>
  </si>
  <si>
    <t>Add new customers at the bottom of the table. Customer ID is used in Sales &amp; Sales Invoice.</t>
  </si>
  <si>
    <t>Customer ID</t>
  </si>
  <si>
    <t>Customer Name</t>
  </si>
  <si>
    <t>Type</t>
  </si>
  <si>
    <t>Payment Terms (days)</t>
  </si>
  <si>
    <t>Credit Limit</t>
  </si>
  <si>
    <t>C000</t>
  </si>
  <si>
    <t>Walk-in Customer</t>
  </si>
  <si>
    <t>0000000000000000</t>
  </si>
  <si>
    <t>-</t>
  </si>
  <si>
    <t>C001</t>
  </si>
  <si>
    <t>PT Cahaya Abadi Makmur</t>
  </si>
  <si>
    <t>0213456789012000</t>
  </si>
  <si>
    <t>Jl. Gatot Subroto No. 21</t>
  </si>
  <si>
    <t>ap@cahayaabadi.co.id</t>
  </si>
  <si>
    <t>021-5201188</t>
  </si>
  <si>
    <t>C002</t>
  </si>
  <si>
    <t>PT Bintang Timur Sejahtera</t>
  </si>
  <si>
    <t>0314567890123000</t>
  </si>
  <si>
    <t>Jl. Ahmad Yani No. 88</t>
  </si>
  <si>
    <t>Surabaya</t>
  </si>
  <si>
    <t>finance@bintangtimur.co.id</t>
  </si>
  <si>
    <t>031-5678120</t>
  </si>
  <si>
    <t>C003</t>
  </si>
  <si>
    <t>CV Mitra Karya Mandiri</t>
  </si>
  <si>
    <t>SME</t>
  </si>
  <si>
    <t>0415678901234000</t>
  </si>
  <si>
    <t>Jl. Asia Afrika No. 102</t>
  </si>
  <si>
    <t>Bandung</t>
  </si>
  <si>
    <t>mitrakarya@gmail.com</t>
  </si>
  <si>
    <t>022-4231987</t>
  </si>
  <si>
    <t>C004</t>
  </si>
  <si>
    <t>PT Graha Nusa Persada</t>
  </si>
  <si>
    <t>0516789012345000</t>
  </si>
  <si>
    <t>Jl. HR Rasuna Said Kav. 5</t>
  </si>
  <si>
    <t>ap@grahanusa.co.id</t>
  </si>
  <si>
    <t>021-5290044</t>
  </si>
  <si>
    <t>C005</t>
  </si>
  <si>
    <t>PT Samudra Jaya Logistik</t>
  </si>
  <si>
    <t>0617890123456000</t>
  </si>
  <si>
    <t>Jl. Yos Sudarso No. 17</t>
  </si>
  <si>
    <t>Jakarta Utara</t>
  </si>
  <si>
    <t>finance@samudrajaya.co.id</t>
  </si>
  <si>
    <t>021-4301255</t>
  </si>
  <si>
    <t>C006</t>
  </si>
  <si>
    <t>PT Arunika Digital Kreatif</t>
  </si>
  <si>
    <t>0718901234567000</t>
  </si>
  <si>
    <t>Jl. Kemang Raya No. 9</t>
  </si>
  <si>
    <t>Jakarta Selatan</t>
  </si>
  <si>
    <t>billing@arunika.id</t>
  </si>
  <si>
    <t>021-7190033</t>
  </si>
  <si>
    <t>C007</t>
  </si>
  <si>
    <t>PT Mega Prima Distribusi</t>
  </si>
  <si>
    <t>0819012345678000</t>
  </si>
  <si>
    <t>Jl. Raya Bekasi Km 22</t>
  </si>
  <si>
    <t>Bekasi</t>
  </si>
  <si>
    <t>ap@megaprima.co.id</t>
  </si>
  <si>
    <t>021-8834567</t>
  </si>
  <si>
    <t>C008</t>
  </si>
  <si>
    <t>CV Sumber Rejeki Utama</t>
  </si>
  <si>
    <t>0910123456789000</t>
  </si>
  <si>
    <t>Jl. Pemuda No. 45</t>
  </si>
  <si>
    <t>Semarang</t>
  </si>
  <si>
    <t>sumberrejeki@yahoo.com</t>
  </si>
  <si>
    <t>024-3567812</t>
  </si>
  <si>
    <t>C009</t>
  </si>
  <si>
    <t>PT Kencana Wira Usaha</t>
  </si>
  <si>
    <t>1011234567890000</t>
  </si>
  <si>
    <t>Jl. Diponegoro No. 61</t>
  </si>
  <si>
    <t>Medan</t>
  </si>
  <si>
    <t>finance@kencanawira.co.id</t>
  </si>
  <si>
    <t>061-4155223</t>
  </si>
  <si>
    <t>C010</t>
  </si>
  <si>
    <t>PT Delta Inti Selaras</t>
  </si>
  <si>
    <t>1112345678901000</t>
  </si>
  <si>
    <t>Jl. Sudirman No. 120</t>
  </si>
  <si>
    <t>Pekanbaru</t>
  </si>
  <si>
    <t>ap@deltainti.co.id</t>
  </si>
  <si>
    <t>0761-855421</t>
  </si>
  <si>
    <t>C011</t>
  </si>
  <si>
    <t>PT Harmoni Pangan Lestari</t>
  </si>
  <si>
    <t>1213456789012000</t>
  </si>
  <si>
    <t>Jl. Raya Kuta No. 77</t>
  </si>
  <si>
    <t>Badung, Bali</t>
  </si>
  <si>
    <t>finance@harmonipangan.co.id</t>
  </si>
  <si>
    <t>0361-756210</t>
  </si>
  <si>
    <t>C012</t>
  </si>
  <si>
    <t>PT Lintas Benua Niaga</t>
  </si>
  <si>
    <t>1314567890123000</t>
  </si>
  <si>
    <t>Jl. MH Thamrin No. 3</t>
  </si>
  <si>
    <t>Jakarta Pusat</t>
  </si>
  <si>
    <t>ap@lintasbenua.co.id</t>
  </si>
  <si>
    <t>021-3900812</t>
  </si>
  <si>
    <t>VENDOR MASTER</t>
  </si>
  <si>
    <t>VAT Status drives Input VAT; WHT Type drives PPh Unifikasi withholding on Purchases.</t>
  </si>
  <si>
    <t>Vendor ID</t>
  </si>
  <si>
    <t>Vendor Name</t>
  </si>
  <si>
    <t>Category</t>
  </si>
  <si>
    <t>Default Account</t>
  </si>
  <si>
    <t>Bank Account</t>
  </si>
  <si>
    <t>V001</t>
  </si>
  <si>
    <t>PT Sumber Barang Utama</t>
  </si>
  <si>
    <t>Inventory Supplier</t>
  </si>
  <si>
    <t>0123987654321000</t>
  </si>
  <si>
    <t>PKP</t>
  </si>
  <si>
    <t>Jl. Industri Raya No. 8, Tangerang</t>
  </si>
  <si>
    <t>BCA 5270011122</t>
  </si>
  <si>
    <t>V002</t>
  </si>
  <si>
    <t>PT Prima Supply Nusantara</t>
  </si>
  <si>
    <t>0234987654321000</t>
  </si>
  <si>
    <t>Kawasan Pulogadung Blok C2, Jakarta</t>
  </si>
  <si>
    <t>Mandiri 1230004455</t>
  </si>
  <si>
    <t>V003</t>
  </si>
  <si>
    <t>CV Aneka Grosir Jaya</t>
  </si>
  <si>
    <t>0345987654321000</t>
  </si>
  <si>
    <t>Non-PKP</t>
  </si>
  <si>
    <t>Pasar Tanah Abang Blok A, Jakarta</t>
  </si>
  <si>
    <t>BRI 0342010099</t>
  </si>
  <si>
    <t>V004</t>
  </si>
  <si>
    <t>PT Graha Properti Sudirman</t>
  </si>
  <si>
    <t>Building Rent</t>
  </si>
  <si>
    <t>0456987654321000</t>
  </si>
  <si>
    <t>Jl. Jend. Sudirman Kav. 52, Jakarta</t>
  </si>
  <si>
    <t>BNI 0098812233</t>
  </si>
  <si>
    <t>V005</t>
  </si>
  <si>
    <t>PT Asuransi Proteksi Indonesia</t>
  </si>
  <si>
    <t>Insurance</t>
  </si>
  <si>
    <t>0567987654321000</t>
  </si>
  <si>
    <t>VAT-exempt</t>
  </si>
  <si>
    <t>Jl. Thamrin No. 15, Jakarta</t>
  </si>
  <si>
    <t>BCA 6040987654</t>
  </si>
  <si>
    <t>V006</t>
  </si>
  <si>
    <t>PT Cloud Software Indonesia</t>
  </si>
  <si>
    <t>Software Subscription</t>
  </si>
  <si>
    <t>0678987654321000</t>
  </si>
  <si>
    <t>Jl. TB Simatupang No. 18, Jakarta</t>
  </si>
  <si>
    <t>BCA 8830556677</t>
  </si>
  <si>
    <t>V007</t>
  </si>
  <si>
    <t>PT Kreasi Iklan Digital</t>
  </si>
  <si>
    <t>Advertising Agency</t>
  </si>
  <si>
    <t>0789987654321000</t>
  </si>
  <si>
    <t>Jl. Senopati No. 40, Jakarta</t>
  </si>
  <si>
    <t>Mandiri 1650098877</t>
  </si>
  <si>
    <t>V008</t>
  </si>
  <si>
    <t>PT Ekspedisi Cepat Nusantara</t>
  </si>
  <si>
    <t>Shipping &amp; Courier</t>
  </si>
  <si>
    <t>0890987654321000</t>
  </si>
  <si>
    <t>Jl. Daan Mogot Km 13, Jakarta</t>
  </si>
  <si>
    <t>BCA 2210334455</t>
  </si>
  <si>
    <t>V009</t>
  </si>
  <si>
    <t>PT Utilitas Listrik &amp; Telekom</t>
  </si>
  <si>
    <t>Utilities</t>
  </si>
  <si>
    <t>0901987654321000</t>
  </si>
  <si>
    <t>Jl. Gatot Subroto Kav. 18, Jakarta</t>
  </si>
  <si>
    <t>BNI 0123456789</t>
  </si>
  <si>
    <t>V010</t>
  </si>
  <si>
    <t>KKP Mitra Pajak &amp; Konsultan</t>
  </si>
  <si>
    <t>Professional Services</t>
  </si>
  <si>
    <t>1012987654321000</t>
  </si>
  <si>
    <t>Jl. Kuningan Barat No. 26, Jakarta</t>
  </si>
  <si>
    <t>BCA 3450778899</t>
  </si>
  <si>
    <t>V011</t>
  </si>
  <si>
    <t>CV Teknik Servis Mandiri</t>
  </si>
  <si>
    <t>Repair &amp; Maintenance</t>
  </si>
  <si>
    <t>1123987654321000</t>
  </si>
  <si>
    <t>Jl. Fatmawati No. 66, Jakarta</t>
  </si>
  <si>
    <t>BRI 0567002233</t>
  </si>
  <si>
    <t>V012</t>
  </si>
  <si>
    <t>Toko ATK Sentosa</t>
  </si>
  <si>
    <t>Office Supplies</t>
  </si>
  <si>
    <t>1234987654321000</t>
  </si>
  <si>
    <t>Jl. Mangga Dua Raya No. 5, Jakarta</t>
  </si>
  <si>
    <t>BCA 4410223344</t>
  </si>
  <si>
    <t>V013</t>
  </si>
  <si>
    <t>PT Marketplace Niaga Online</t>
  </si>
  <si>
    <t>Marketplace Fees</t>
  </si>
  <si>
    <t>1345987654321000</t>
  </si>
  <si>
    <t>Jl. Prof. Dr. Satrio, Jakarta</t>
  </si>
  <si>
    <t>Auto-deduct</t>
  </si>
  <si>
    <t>V014</t>
  </si>
  <si>
    <t>PT Mesin Teknik Indonesia</t>
  </si>
  <si>
    <t>Equipment Supplier</t>
  </si>
  <si>
    <t>1456987654321000</t>
  </si>
  <si>
    <t>Jl. Raya Cikarang Km 3, Bekasi</t>
  </si>
  <si>
    <t>Mandiri 1560044332</t>
  </si>
  <si>
    <t>V015</t>
  </si>
  <si>
    <t>PT Otomotif Sejahtera</t>
  </si>
  <si>
    <t>Vehicle Dealer</t>
  </si>
  <si>
    <t>1567987654321000</t>
  </si>
  <si>
    <t>Jl. Daan Mogot No. 120, Jakarta</t>
  </si>
  <si>
    <t>BCA 7720119988</t>
  </si>
  <si>
    <t>V016</t>
  </si>
  <si>
    <t>PT Solusi ERP Nusantara</t>
  </si>
  <si>
    <t>Software License</t>
  </si>
  <si>
    <t>1678987654321000</t>
  </si>
  <si>
    <t>Jl. Casablanca No. 88, Jakarta</t>
  </si>
  <si>
    <t>BCA 0911223344</t>
  </si>
  <si>
    <t>V017</t>
  </si>
  <si>
    <t>Various Restaurants &amp; Donations</t>
  </si>
  <si>
    <t>Entertainment &amp; Donations</t>
  </si>
  <si>
    <t>Various</t>
  </si>
  <si>
    <t>EMPLOYEE MASTER</t>
  </si>
  <si>
    <t>Salary, PTKP and department feed the Payroll sheet automatically. TER category is derived from PTKP status (PP 58/2023).</t>
  </si>
  <si>
    <t>Employee ID</t>
  </si>
  <si>
    <t>Full Name</t>
  </si>
  <si>
    <t>Position</t>
  </si>
  <si>
    <t>Department</t>
  </si>
  <si>
    <t>Join Date</t>
  </si>
  <si>
    <t>NIK / NPWP</t>
  </si>
  <si>
    <t>PTKP Status</t>
  </si>
  <si>
    <t>Basic Salary</t>
  </si>
  <si>
    <t>Fixed Allowance</t>
  </si>
  <si>
    <t>E001</t>
  </si>
  <si>
    <t>G&amp;A</t>
  </si>
  <si>
    <t>3171010101800001</t>
  </si>
  <si>
    <t>K/2</t>
  </si>
  <si>
    <t>Mandiri 1230000001</t>
  </si>
  <si>
    <t>E002</t>
  </si>
  <si>
    <t>3171010202820002</t>
  </si>
  <si>
    <t>K/1</t>
  </si>
  <si>
    <t>Mandiri 1230000002</t>
  </si>
  <si>
    <t>E003</t>
  </si>
  <si>
    <t>3171010303880003</t>
  </si>
  <si>
    <t>TK/0</t>
  </si>
  <si>
    <t>Mandiri 1230000003</t>
  </si>
  <si>
    <t>E004</t>
  </si>
  <si>
    <t>Agus Prasetyo</t>
  </si>
  <si>
    <t>Store Manager</t>
  </si>
  <si>
    <t>Selling</t>
  </si>
  <si>
    <t>3171010404850004</t>
  </si>
  <si>
    <t>Mandiri 1230000004</t>
  </si>
  <si>
    <t>E005</t>
  </si>
  <si>
    <t>Rina Kartika</t>
  </si>
  <si>
    <t>Marketing Lead</t>
  </si>
  <si>
    <t>3171010505900005</t>
  </si>
  <si>
    <t>Mandiri 1230000005</t>
  </si>
  <si>
    <t>E006</t>
  </si>
  <si>
    <t>Andi Saputra</t>
  </si>
  <si>
    <t>Tax &amp; Finance Staff</t>
  </si>
  <si>
    <t>3171010606950006</t>
  </si>
  <si>
    <t>Mandiri 1230000006</t>
  </si>
  <si>
    <t>E007</t>
  </si>
  <si>
    <t>Fitri Handayani</t>
  </si>
  <si>
    <t>HR &amp; GA Officer</t>
  </si>
  <si>
    <t>3171010707930007</t>
  </si>
  <si>
    <t>K/0</t>
  </si>
  <si>
    <t>Mandiri 1230000007</t>
  </si>
  <si>
    <t>E008</t>
  </si>
  <si>
    <t>Rizky Ramadhan</t>
  </si>
  <si>
    <t>Sales Supervisor</t>
  </si>
  <si>
    <t>3171010808910008</t>
  </si>
  <si>
    <t>Mandiri 1230000008</t>
  </si>
  <si>
    <t>E009</t>
  </si>
  <si>
    <t>Nadia Putri</t>
  </si>
  <si>
    <t>Sales Associate</t>
  </si>
  <si>
    <t>3171010909990009</t>
  </si>
  <si>
    <t>Mandiri 1230000009</t>
  </si>
  <si>
    <t>E010</t>
  </si>
  <si>
    <t>Dimas Pratama</t>
  </si>
  <si>
    <t>3171011010000010</t>
  </si>
  <si>
    <t>Mandiri 1230000010</t>
  </si>
  <si>
    <t>E011</t>
  </si>
  <si>
    <t>Yusuf Hidayat</t>
  </si>
  <si>
    <t>Warehouse Supervisor</t>
  </si>
  <si>
    <t>3171011111870011</t>
  </si>
  <si>
    <t>Mandiri 1230000011</t>
  </si>
  <si>
    <t>E012</t>
  </si>
  <si>
    <t>Lestari Wulandari</t>
  </si>
  <si>
    <t>Cashier</t>
  </si>
  <si>
    <t>3171011212970012</t>
  </si>
  <si>
    <t>TK/1</t>
  </si>
  <si>
    <t>Mandiri 1230000012</t>
  </si>
  <si>
    <t>E013</t>
  </si>
  <si>
    <t>Bayu Nugroho</t>
  </si>
  <si>
    <t>Warehouse Staff</t>
  </si>
  <si>
    <t>3171011301960013</t>
  </si>
  <si>
    <t>Mandiri 1230000013</t>
  </si>
  <si>
    <t>E014</t>
  </si>
  <si>
    <t>Maya Sari</t>
  </si>
  <si>
    <t>Customer Service</t>
  </si>
  <si>
    <t>3171011402010014</t>
  </si>
  <si>
    <t>Mandiri 1230000014</t>
  </si>
  <si>
    <t>E015</t>
  </si>
  <si>
    <t>Hendra Wijaya</t>
  </si>
  <si>
    <t>IT Support</t>
  </si>
  <si>
    <t>3171011503940015</t>
  </si>
  <si>
    <t>Mandiri 1230000015</t>
  </si>
  <si>
    <t>TER Category</t>
  </si>
  <si>
    <t>PRODUCT / SERVICE MASTER</t>
  </si>
  <si>
    <t>Names, categories &amp; units follow the selected industry. Prices &amp; unit costs (blue) are editable.</t>
  </si>
  <si>
    <t>Code</t>
  </si>
  <si>
    <t>Category Group</t>
  </si>
  <si>
    <t>Selling Price (excl. VAT)</t>
  </si>
  <si>
    <t>Unit Cost</t>
  </si>
  <si>
    <t>Product / Service Name</t>
  </si>
  <si>
    <t>Gross Margin %</t>
  </si>
  <si>
    <t>Channel Code</t>
  </si>
  <si>
    <t>Channel Name</t>
  </si>
  <si>
    <t>CH1</t>
  </si>
  <si>
    <t>CH2</t>
  </si>
  <si>
    <t>CH3</t>
  </si>
  <si>
    <t>Payment Method</t>
  </si>
  <si>
    <t>Account Code</t>
  </si>
  <si>
    <t>Cash</t>
  </si>
  <si>
    <t>QRIS / Transfer</t>
  </si>
  <si>
    <t>Credit (Term)</t>
  </si>
  <si>
    <t>FIXED ASSET REGISTER &amp; DEPRECIATION SCHEDULE</t>
  </si>
  <si>
    <t>Straight-line, full month in month of acquisition. Monthly depreciation posts automatically to the General Journal (Source = Auto-Depreciation).</t>
  </si>
  <si>
    <t>Asset Class</t>
  </si>
  <si>
    <t>Useful Life (years)</t>
  </si>
  <si>
    <t>Cost Account</t>
  </si>
  <si>
    <t>Acc. Dep. Account</t>
  </si>
  <si>
    <t>Expense Account</t>
  </si>
  <si>
    <t>Tax Group</t>
  </si>
  <si>
    <t>Land</t>
  </si>
  <si>
    <t>Non-depreciable</t>
  </si>
  <si>
    <t>Buildings</t>
  </si>
  <si>
    <t>Permanent building (20 yrs)</t>
  </si>
  <si>
    <t>Vehicles</t>
  </si>
  <si>
    <t>Group 2 (8 yrs)</t>
  </si>
  <si>
    <t>Machinery &amp; Equipment</t>
  </si>
  <si>
    <t>Office Furniture &amp; Equipment</t>
  </si>
  <si>
    <t>Group 1 (4 yrs)</t>
  </si>
  <si>
    <t>Software</t>
  </si>
  <si>
    <t>Group 1 intangible (4 yrs)</t>
  </si>
  <si>
    <t>Month #</t>
  </si>
  <si>
    <t>Asset ID</t>
  </si>
  <si>
    <t>Asset Name</t>
  </si>
  <si>
    <t>Acquisition Date</t>
  </si>
  <si>
    <t>Cost</t>
  </si>
  <si>
    <t>Useful Life (yrs)</t>
  </si>
  <si>
    <t>Monthly Depreciation</t>
  </si>
  <si>
    <t>Dep. Start</t>
  </si>
  <si>
    <t>Opening Acc. Dep.</t>
  </si>
  <si>
    <t>Opening NBV</t>
  </si>
  <si>
    <t>May</t>
  </si>
  <si>
    <t>Aug</t>
  </si>
  <si>
    <t>Oct</t>
  </si>
  <si>
    <t>Dec</t>
  </si>
  <si>
    <t>YTD Depreciation</t>
  </si>
  <si>
    <t>Acc. Dep. at Period End</t>
  </si>
  <si>
    <t>Cost at Period End</t>
  </si>
  <si>
    <t>NBV at Period End</t>
  </si>
  <si>
    <t>FA-001</t>
  </si>
  <si>
    <t>Land - Head Office &amp; Store</t>
  </si>
  <si>
    <t>FA-002</t>
  </si>
  <si>
    <t>Office &amp; Store Building</t>
  </si>
  <si>
    <t>FA-003</t>
  </si>
  <si>
    <t>Delivery Van #1</t>
  </si>
  <si>
    <t>FA-004</t>
  </si>
  <si>
    <t>Operational Car</t>
  </si>
  <si>
    <t>FA-005</t>
  </si>
  <si>
    <t>Warehouse Racking System</t>
  </si>
  <si>
    <t>FA-006</t>
  </si>
  <si>
    <t>Electric Forklift</t>
  </si>
  <si>
    <t>FA-007</t>
  </si>
  <si>
    <t>Generator Set 100 kVA</t>
  </si>
  <si>
    <t>FA-008</t>
  </si>
  <si>
    <t>Office Furniture Set</t>
  </si>
  <si>
    <t>FA-009</t>
  </si>
  <si>
    <t>Laptops &amp; Computers (2023 batch)</t>
  </si>
  <si>
    <t>FA-010</t>
  </si>
  <si>
    <t>CCTV &amp; Security System</t>
  </si>
  <si>
    <t>FA-011</t>
  </si>
  <si>
    <t>ERP Software License</t>
  </si>
  <si>
    <t>FA-012</t>
  </si>
  <si>
    <t>POS Terminals &amp; Equipment</t>
  </si>
  <si>
    <t>FA-013</t>
  </si>
  <si>
    <t>Delivery Van #2</t>
  </si>
  <si>
    <t>FA-014</t>
  </si>
  <si>
    <t>Inventory Management Module</t>
  </si>
  <si>
    <t>PREPAID EXPENSES SCHEDULE (RENT, INSURANCE &amp; SOFTWARE SUBSCRIPTIONS)</t>
  </si>
  <si>
    <t>Straight-line over coverage months. Amortisation posts automatically to the General Journal (Source = Auto-Prepaid). Payments are recorded via Purchases.</t>
  </si>
  <si>
    <t>Prepaid Account</t>
  </si>
  <si>
    <t>Rent</t>
  </si>
  <si>
    <t>Prepaid ID</t>
  </si>
  <si>
    <t>Payment Date</t>
  </si>
  <si>
    <t>Amount</t>
  </si>
  <si>
    <t>Coverage Start</t>
  </si>
  <si>
    <t>Months</t>
  </si>
  <si>
    <t>Coverage End</t>
  </si>
  <si>
    <t>Monthly Amortization</t>
  </si>
  <si>
    <t>Opening Balance</t>
  </si>
  <si>
    <t>YTD Amortization</t>
  </si>
  <si>
    <t>Balance at Period End</t>
  </si>
  <si>
    <t>PP-001</t>
  </si>
  <si>
    <t>Store &amp; Office Rent 2026</t>
  </si>
  <si>
    <t>PP-002</t>
  </si>
  <si>
    <t>Store &amp; Office Rent 2027</t>
  </si>
  <si>
    <t>PP-003</t>
  </si>
  <si>
    <t>Property All-Risk Insurance 2025/26</t>
  </si>
  <si>
    <t>PP-004</t>
  </si>
  <si>
    <t>Property All-Risk Insurance 2026/27</t>
  </si>
  <si>
    <t>PP-005</t>
  </si>
  <si>
    <t>POS Cloud Subscription 2025/26</t>
  </si>
  <si>
    <t>PP-006</t>
  </si>
  <si>
    <t>POS Cloud Subscription 2026/27</t>
  </si>
  <si>
    <t>PP-007</t>
  </si>
  <si>
    <t>Microsoft 365 Business (annual)</t>
  </si>
  <si>
    <t>PP-008</t>
  </si>
  <si>
    <t>Accounting Software (annual)</t>
  </si>
  <si>
    <t>CHART OF ACCOUNTS &amp; OPENING BALANCES</t>
  </si>
  <si>
    <t>Opening balances as at Comparative Date. Black = linked to schedules (FA / Prepaid). Add new accounts at the bottom; FS Line &amp; CF Line control where they appear.</t>
  </si>
  <si>
    <t>Account Name</t>
  </si>
  <si>
    <t>Class</t>
  </si>
  <si>
    <t>FS Line</t>
  </si>
  <si>
    <t>Note</t>
  </si>
  <si>
    <t>CF Line</t>
  </si>
  <si>
    <t>Cash on Hand</t>
  </si>
  <si>
    <t>Asset</t>
  </si>
  <si>
    <t>Cash and cash equivalents</t>
  </si>
  <si>
    <t>Bank BCA - Current Account</t>
  </si>
  <si>
    <t>Bank Mandiri - Current Account</t>
  </si>
  <si>
    <t>Time Deposit (≤ 3 months)</t>
  </si>
  <si>
    <t>Trade Receivables</t>
  </si>
  <si>
    <t>Trade receivables - net</t>
  </si>
  <si>
    <t>Receivables</t>
  </si>
  <si>
    <t>Allowance for Expected Credit Losses</t>
  </si>
  <si>
    <t>C</t>
  </si>
  <si>
    <t>Other Receivables</t>
  </si>
  <si>
    <t>Other receivables</t>
  </si>
  <si>
    <t>Inventories</t>
  </si>
  <si>
    <t>Prepaid Rent</t>
  </si>
  <si>
    <t>Prepaid expenses</t>
  </si>
  <si>
    <t>Prepaid Insurance</t>
  </si>
  <si>
    <t>Prepaid Software Subscriptions</t>
  </si>
  <si>
    <t>Input VAT (PPN Masukan)</t>
  </si>
  <si>
    <t>Prepaid taxes</t>
  </si>
  <si>
    <t>Prepaid Income Tax - Art. 25</t>
  </si>
  <si>
    <t>Fixed assets - net</t>
  </si>
  <si>
    <t>Fixed assets</t>
  </si>
  <si>
    <t>Acc. Depreciation - Buildings</t>
  </si>
  <si>
    <t>Depreciation &amp; amortization</t>
  </si>
  <si>
    <t>Acc. Depreciation - Vehicles</t>
  </si>
  <si>
    <t>Acc. Depreciation - Machinery &amp; Equipment</t>
  </si>
  <si>
    <t>Acc. Depreciation - Office Furniture &amp; Equipment</t>
  </si>
  <si>
    <t>Software &amp; Licenses</t>
  </si>
  <si>
    <t>Intangible assets - net</t>
  </si>
  <si>
    <t>Intangible assets</t>
  </si>
  <si>
    <t>Acc. Amortization - Software</t>
  </si>
  <si>
    <t>Trade Payables</t>
  </si>
  <si>
    <t>Liability</t>
  </si>
  <si>
    <t>Trade payables</t>
  </si>
  <si>
    <t>Other Payables</t>
  </si>
  <si>
    <t>Other payables</t>
  </si>
  <si>
    <t>Other liabilities</t>
  </si>
  <si>
    <t>Accrued Expenses</t>
  </si>
  <si>
    <t>Accrued expenses</t>
  </si>
  <si>
    <t>Contract Liabilities</t>
  </si>
  <si>
    <t>Contract liabilities</t>
  </si>
  <si>
    <t>BPJS Payable</t>
  </si>
  <si>
    <t>Output VAT (PPN Keluaran)</t>
  </si>
  <si>
    <t>Taxes payable</t>
  </si>
  <si>
    <t>VAT Payable - Net</t>
  </si>
  <si>
    <t>WHT Payable - Art. 21</t>
  </si>
  <si>
    <t>WHT Payable - Unifikasi (Art. 23/4(2))</t>
  </si>
  <si>
    <t>Corporate Income Tax Payable (Art. 29)</t>
  </si>
  <si>
    <t>Short-term Bank Loan</t>
  </si>
  <si>
    <t>Short-term bank loans</t>
  </si>
  <si>
    <t>Bank loans</t>
  </si>
  <si>
    <t>Long-term Bank Loan</t>
  </si>
  <si>
    <t>Long-term bank loans</t>
  </si>
  <si>
    <t>Employee Benefits Liability</t>
  </si>
  <si>
    <t>Employee benefits liability</t>
  </si>
  <si>
    <t>Employee benefits provision</t>
  </si>
  <si>
    <t>Share Capital</t>
  </si>
  <si>
    <t>Equity</t>
  </si>
  <si>
    <t>Share capital</t>
  </si>
  <si>
    <t>Additional Paid-in Capital</t>
  </si>
  <si>
    <t>Additional paid-in capital</t>
  </si>
  <si>
    <t>Retained Earnings</t>
  </si>
  <si>
    <t>Retained earnings</t>
  </si>
  <si>
    <t>Dividends</t>
  </si>
  <si>
    <t>Revenue</t>
  </si>
  <si>
    <t>Expense</t>
  </si>
  <si>
    <t>Cost of revenue</t>
  </si>
  <si>
    <t>Salaries &amp; Allowances - Selling</t>
  </si>
  <si>
    <t>Selling expenses</t>
  </si>
  <si>
    <t>BPJS Employer Contributions - Selling</t>
  </si>
  <si>
    <t>Advertising &amp; Promotion</t>
  </si>
  <si>
    <t>Marketplace &amp; Sales Commissions</t>
  </si>
  <si>
    <t>Shipping &amp; Delivery</t>
  </si>
  <si>
    <t>Salaries &amp; Allowances - G&amp;A</t>
  </si>
  <si>
    <t>General &amp; administrative expenses</t>
  </si>
  <si>
    <t>BPJS Employer Contributions - G&amp;A</t>
  </si>
  <si>
    <t>Rent Expense</t>
  </si>
  <si>
    <t>Utilities &amp; Telecommunication</t>
  </si>
  <si>
    <t>Depreciation Expense</t>
  </si>
  <si>
    <t>Amortization Expense - Software</t>
  </si>
  <si>
    <t>Insurance Expense</t>
  </si>
  <si>
    <t>Software Subscription Expense</t>
  </si>
  <si>
    <t>Professional Fees</t>
  </si>
  <si>
    <t>Expected Credit Loss Expense</t>
  </si>
  <si>
    <t>Employee Benefits Expense</t>
  </si>
  <si>
    <t>Repairs &amp; Maintenance</t>
  </si>
  <si>
    <t>Interest Income - Time Deposit</t>
  </si>
  <si>
    <t>Other income</t>
  </si>
  <si>
    <t>Interest Income - Current Account</t>
  </si>
  <si>
    <t>Interest Expense - Bank Loans</t>
  </si>
  <si>
    <t>Finance costs</t>
  </si>
  <si>
    <t>Bank Charges</t>
  </si>
  <si>
    <t>Other expenses</t>
  </si>
  <si>
    <t>Corporate Income Tax Expense - Current</t>
  </si>
  <si>
    <t>Income tax expense</t>
  </si>
  <si>
    <t>Final Income Tax Expense</t>
  </si>
  <si>
    <t>OPENING BALANCE CHECK</t>
  </si>
  <si>
    <t>Total debit-normal balances</t>
  </si>
  <si>
    <t>Total credit-normal balances</t>
  </si>
  <si>
    <t>Difference (must be 0)</t>
  </si>
  <si>
    <t>Accounts in COA</t>
  </si>
  <si>
    <t>Date</t>
  </si>
  <si>
    <t>Invoice No</t>
  </si>
  <si>
    <t>Product Code</t>
  </si>
  <si>
    <t>Product / Service</t>
  </si>
  <si>
    <t>Unit Price</t>
  </si>
  <si>
    <t>DPP (excl. VAT)</t>
  </si>
  <si>
    <t>Output VAT</t>
  </si>
  <si>
    <t>Total incl. VAT</t>
  </si>
  <si>
    <t>COGS</t>
  </si>
  <si>
    <t>Month</t>
  </si>
  <si>
    <t>INV-2601-0280</t>
  </si>
  <si>
    <t>INV-2601-0281</t>
  </si>
  <si>
    <t>INV-2601-0282</t>
  </si>
  <si>
    <t>INV-2601-0283</t>
  </si>
  <si>
    <t>INV-2601-0284</t>
  </si>
  <si>
    <t>INV-2601-0285</t>
  </si>
  <si>
    <t>INV-2601-0286</t>
  </si>
  <si>
    <t>INV-2601-0287</t>
  </si>
  <si>
    <t>INV-2601-0288</t>
  </si>
  <si>
    <t>INV-2601-0289</t>
  </si>
  <si>
    <t>INV-2601-0290</t>
  </si>
  <si>
    <t>INV-2601-0291</t>
  </si>
  <si>
    <t>INV-2601-0292</t>
  </si>
  <si>
    <t>INV-2601-0293</t>
  </si>
  <si>
    <t>INV-2601-0294</t>
  </si>
  <si>
    <t>INV-2601-0295</t>
  </si>
  <si>
    <t>INV-2601-0296</t>
  </si>
  <si>
    <t>INV-2601-0297</t>
  </si>
  <si>
    <t>INV-2601-0298</t>
  </si>
  <si>
    <t>INV-2601-0299</t>
  </si>
  <si>
    <t>INV-2601-0300</t>
  </si>
  <si>
    <t>INV-2601-0301</t>
  </si>
  <si>
    <t>INV-2601-0302</t>
  </si>
  <si>
    <t>INV-2601-0303</t>
  </si>
  <si>
    <t>INV-2601-0304</t>
  </si>
  <si>
    <t>INV-2601-0305</t>
  </si>
  <si>
    <t>INV-2601-0306</t>
  </si>
  <si>
    <t>INV-2601-0307</t>
  </si>
  <si>
    <t>INV-2601-0308</t>
  </si>
  <si>
    <t>INV-2601-0309</t>
  </si>
  <si>
    <t>INV-2601-0310</t>
  </si>
  <si>
    <t>INV-2601-0311</t>
  </si>
  <si>
    <t>INV-2601-0312</t>
  </si>
  <si>
    <t>INV-2601-0313</t>
  </si>
  <si>
    <t>INV-2601-0314</t>
  </si>
  <si>
    <t>INV-2601-0315</t>
  </si>
  <si>
    <t>INV-2601-0316</t>
  </si>
  <si>
    <t>INV-2601-0317</t>
  </si>
  <si>
    <t>INV-2601-0318</t>
  </si>
  <si>
    <t>INV-2601-0319</t>
  </si>
  <si>
    <t>INV-2601-0320</t>
  </si>
  <si>
    <t>INV-2601-0321</t>
  </si>
  <si>
    <t>INV-2601-0322</t>
  </si>
  <si>
    <t>INV-2601-0323</t>
  </si>
  <si>
    <t>INV-2601-0324</t>
  </si>
  <si>
    <t>INV-2601-0325</t>
  </si>
  <si>
    <t>INV-2601-0326</t>
  </si>
  <si>
    <t>INV-2601-0327</t>
  </si>
  <si>
    <t>INV-2601-0328</t>
  </si>
  <si>
    <t>INV-2601-0329</t>
  </si>
  <si>
    <t>INV-2601-0330</t>
  </si>
  <si>
    <t>INV-2601-0331</t>
  </si>
  <si>
    <t>INV-2601-0332</t>
  </si>
  <si>
    <t>INV-2601-0333</t>
  </si>
  <si>
    <t>INV-2601-0334</t>
  </si>
  <si>
    <t>INV-2601-0335</t>
  </si>
  <si>
    <t>INV-2601-0336</t>
  </si>
  <si>
    <t>INV-2601-0337</t>
  </si>
  <si>
    <t>INV-2601-0338</t>
  </si>
  <si>
    <t>INV-2601-0339</t>
  </si>
  <si>
    <t>INV-2601-0340</t>
  </si>
  <si>
    <t>INV-2601-0341</t>
  </si>
  <si>
    <t>INV-2601-0342</t>
  </si>
  <si>
    <t>INV-2601-0343</t>
  </si>
  <si>
    <t>INV-2601-0344</t>
  </si>
  <si>
    <t>INV-2602-0309</t>
  </si>
  <si>
    <t>INV-2602-0310</t>
  </si>
  <si>
    <t>INV-2603-0398</t>
  </si>
  <si>
    <t>INV-2603-0399</t>
  </si>
  <si>
    <t>INV-2603-0400</t>
  </si>
  <si>
    <t>INV-2603-0401</t>
  </si>
  <si>
    <t>INV-2603-0402</t>
  </si>
  <si>
    <t>INV-2603-0403</t>
  </si>
  <si>
    <t>INV-2603-0404</t>
  </si>
  <si>
    <t>INV-2603-0405</t>
  </si>
  <si>
    <t>INV-2603-0406</t>
  </si>
  <si>
    <t>INV-2603-0407</t>
  </si>
  <si>
    <t>INV-2603-0408</t>
  </si>
  <si>
    <t>INV-2603-0409</t>
  </si>
  <si>
    <t>INV-2603-0410</t>
  </si>
  <si>
    <t>INV-2603-0411</t>
  </si>
  <si>
    <t>INV-2603-0412</t>
  </si>
  <si>
    <t>INV-2603-0413</t>
  </si>
  <si>
    <t>INV-2603-0414</t>
  </si>
  <si>
    <t>INV-2603-0415</t>
  </si>
  <si>
    <t>INV-2603-0416</t>
  </si>
  <si>
    <t>INV-2603-0417</t>
  </si>
  <si>
    <t>INV-2603-0418</t>
  </si>
  <si>
    <t>INV-2603-0419</t>
  </si>
  <si>
    <t>INV-2603-0420</t>
  </si>
  <si>
    <t>INV-2603-0421</t>
  </si>
  <si>
    <t>INV-2603-0422</t>
  </si>
  <si>
    <t>INV-2603-0423</t>
  </si>
  <si>
    <t>INV-2603-0424</t>
  </si>
  <si>
    <t>INV-2603-0425</t>
  </si>
  <si>
    <t>INV-2603-0426</t>
  </si>
  <si>
    <t>INV-2603-0427</t>
  </si>
  <si>
    <t>INV-2603-0428</t>
  </si>
  <si>
    <t>INV-2603-0429</t>
  </si>
  <si>
    <t>INV-2603-0430</t>
  </si>
  <si>
    <t>INV-2603-0431</t>
  </si>
  <si>
    <t>INV-2603-0432</t>
  </si>
  <si>
    <t>INV-2603-0433</t>
  </si>
  <si>
    <t>INV-2603-0434</t>
  </si>
  <si>
    <t>INV-2603-0435</t>
  </si>
  <si>
    <t>INV-2603-0436</t>
  </si>
  <si>
    <t>INV-2603-0437</t>
  </si>
  <si>
    <t>INV-2603-0438</t>
  </si>
  <si>
    <t>INV-2603-0439</t>
  </si>
  <si>
    <t>INV-2603-0440</t>
  </si>
  <si>
    <t>INV-2603-0441</t>
  </si>
  <si>
    <t>INV-2603-0442</t>
  </si>
  <si>
    <t>INV-2603-0443</t>
  </si>
  <si>
    <t>INV-2603-0444</t>
  </si>
  <si>
    <t>INV-2603-0445</t>
  </si>
  <si>
    <t>INV-2603-0446</t>
  </si>
  <si>
    <t>INV-2603-0447</t>
  </si>
  <si>
    <t>INV-2603-0448</t>
  </si>
  <si>
    <t>INV-2603-0449</t>
  </si>
  <si>
    <t>INV-2603-0450</t>
  </si>
  <si>
    <t>INV-2603-0451</t>
  </si>
  <si>
    <t>INV-2603-0452</t>
  </si>
  <si>
    <t>INV-2603-0453</t>
  </si>
  <si>
    <t>INV-2603-0454</t>
  </si>
  <si>
    <t>INV-2603-0455</t>
  </si>
  <si>
    <t>INV-2603-0456</t>
  </si>
  <si>
    <t>INV-2603-0457</t>
  </si>
  <si>
    <t>INV-2603-0458</t>
  </si>
  <si>
    <t>INV-2603-0459</t>
  </si>
  <si>
    <t>INV-2604-0305</t>
  </si>
  <si>
    <t>INV-2604-0306</t>
  </si>
  <si>
    <t>INV-2604-0307</t>
  </si>
  <si>
    <t>INV-2604-0308</t>
  </si>
  <si>
    <t>INV-2604-0309</t>
  </si>
  <si>
    <t>INV-2604-0310</t>
  </si>
  <si>
    <t>INV-2604-0311</t>
  </si>
  <si>
    <t>INV-2604-0312</t>
  </si>
  <si>
    <t>INV-2604-0313</t>
  </si>
  <si>
    <t>INV-2604-0314</t>
  </si>
  <si>
    <t>INV-2604-0315</t>
  </si>
  <si>
    <t>INV-2604-0316</t>
  </si>
  <si>
    <t>INV-2604-0317</t>
  </si>
  <si>
    <t>INV-2604-0318</t>
  </si>
  <si>
    <t>INV-2604-0319</t>
  </si>
  <si>
    <t>INV-2604-0320</t>
  </si>
  <si>
    <t>INV-2604-0321</t>
  </si>
  <si>
    <t>INV-2604-0322</t>
  </si>
  <si>
    <t>INV-2604-0323</t>
  </si>
  <si>
    <t>INV-2604-0324</t>
  </si>
  <si>
    <t>INV-2604-0325</t>
  </si>
  <si>
    <t>INV-2604-0326</t>
  </si>
  <si>
    <t>INV-2604-0327</t>
  </si>
  <si>
    <t>INV-2604-0328</t>
  </si>
  <si>
    <t>INV-2604-0329</t>
  </si>
  <si>
    <t>INV-2604-0330</t>
  </si>
  <si>
    <t>INV-2604-0331</t>
  </si>
  <si>
    <t>INV-2604-0332</t>
  </si>
  <si>
    <t>INV-2604-0333</t>
  </si>
  <si>
    <t>INV-2604-0334</t>
  </si>
  <si>
    <t>INV-2604-0335</t>
  </si>
  <si>
    <t>INV-2604-0336</t>
  </si>
  <si>
    <t>INV-2604-0337</t>
  </si>
  <si>
    <t>INV-2604-0338</t>
  </si>
  <si>
    <t>INV-2604-0339</t>
  </si>
  <si>
    <t>INV-2604-0340</t>
  </si>
  <si>
    <t>INV-2604-0341</t>
  </si>
  <si>
    <t>INV-2604-0342</t>
  </si>
  <si>
    <t>INV-2604-0343</t>
  </si>
  <si>
    <t>INV-2604-0344</t>
  </si>
  <si>
    <t>INV-2604-0345</t>
  </si>
  <si>
    <t>INV-2604-0346</t>
  </si>
  <si>
    <t>INV-2604-0347</t>
  </si>
  <si>
    <t>INV-2604-0348</t>
  </si>
  <si>
    <t>INV-2604-0349</t>
  </si>
  <si>
    <t>INV-2604-0350</t>
  </si>
  <si>
    <t>INV-2604-0351</t>
  </si>
  <si>
    <t>INV-2604-0352</t>
  </si>
  <si>
    <t>INV-2604-0353</t>
  </si>
  <si>
    <t>INV-2604-0354</t>
  </si>
  <si>
    <t>INV-2604-0355</t>
  </si>
  <si>
    <t>INV-2604-0356</t>
  </si>
  <si>
    <t>INV-2604-0357</t>
  </si>
  <si>
    <t>INV-2605-0341</t>
  </si>
  <si>
    <t>INV-2605-0342</t>
  </si>
  <si>
    <t>INV-2605-0343</t>
  </si>
  <si>
    <t>INV-2605-0344</t>
  </si>
  <si>
    <t>INV-2605-0345</t>
  </si>
  <si>
    <t>INV-2605-0346</t>
  </si>
  <si>
    <t>INV-2605-0347</t>
  </si>
  <si>
    <t>INV-2605-0348</t>
  </si>
  <si>
    <t>INV-2605-0349</t>
  </si>
  <si>
    <t>INV-2605-0350</t>
  </si>
  <si>
    <t>INV-2605-0351</t>
  </si>
  <si>
    <t>INV-2605-0352</t>
  </si>
  <si>
    <t>INV-2605-0353</t>
  </si>
  <si>
    <t>INV-2605-0354</t>
  </si>
  <si>
    <t>INV-2605-0355</t>
  </si>
  <si>
    <t>INV-2605-0356</t>
  </si>
  <si>
    <t>INV-2605-0357</t>
  </si>
  <si>
    <t>INV-2605-0358</t>
  </si>
  <si>
    <t>INV-2605-0359</t>
  </si>
  <si>
    <t>INV-2606-0352</t>
  </si>
  <si>
    <t>INV-2606-0353</t>
  </si>
  <si>
    <t>INV-2606-0354</t>
  </si>
  <si>
    <t>INV-2606-0355</t>
  </si>
  <si>
    <t>INV-2606-0356</t>
  </si>
  <si>
    <t>INV-2606-0357</t>
  </si>
  <si>
    <t>INV-2606-0358</t>
  </si>
  <si>
    <t>INV-2606-0359</t>
  </si>
  <si>
    <t>INV-2606-0360</t>
  </si>
  <si>
    <t>INV-2606-0361</t>
  </si>
  <si>
    <t>INV-2606-0362</t>
  </si>
  <si>
    <t>INV-2606-0363</t>
  </si>
  <si>
    <t>INV-2606-0364</t>
  </si>
  <si>
    <t>INV-2606-0365</t>
  </si>
  <si>
    <t>INV-2606-0366</t>
  </si>
  <si>
    <t>INV-2606-0367</t>
  </si>
  <si>
    <t>INV-2606-0368</t>
  </si>
  <si>
    <t>INV-2606-0369</t>
  </si>
  <si>
    <t>INV-2606-0370</t>
  </si>
  <si>
    <t>INV-2606-0371</t>
  </si>
  <si>
    <t>INV-2606-0372</t>
  </si>
  <si>
    <t>INV-2606-0373</t>
  </si>
  <si>
    <t>INV-2606-0374</t>
  </si>
  <si>
    <t>INV-2606-0375</t>
  </si>
  <si>
    <t>INV-2607-0371</t>
  </si>
  <si>
    <t>INV-2607-0372</t>
  </si>
  <si>
    <t>INV-2607-0373</t>
  </si>
  <si>
    <t>INV-2607-0374</t>
  </si>
  <si>
    <t>INV-2607-0375</t>
  </si>
  <si>
    <t>INV-2607-0376</t>
  </si>
  <si>
    <t>INV-2607-0377</t>
  </si>
  <si>
    <t>INV-2607-0378</t>
  </si>
  <si>
    <t>INV-2607-0379</t>
  </si>
  <si>
    <t>INV-2607-0380</t>
  </si>
  <si>
    <t>INV-2607-0381</t>
  </si>
  <si>
    <t>INV-2607-0382</t>
  </si>
  <si>
    <t>INV-2607-0383</t>
  </si>
  <si>
    <t>INV-2607-0384</t>
  </si>
  <si>
    <t>INV-2607-0385</t>
  </si>
  <si>
    <t>INV-2607-0386</t>
  </si>
  <si>
    <t>INV-2607-0387</t>
  </si>
  <si>
    <t>INV-2607-0388</t>
  </si>
  <si>
    <t>INV-2607-0389</t>
  </si>
  <si>
    <t>INV-2607-0390</t>
  </si>
  <si>
    <t>INV-2607-0391</t>
  </si>
  <si>
    <t>INV-2607-0392</t>
  </si>
  <si>
    <t>SALES SUB-LEDGER (DAILY INVOICE LINES)</t>
  </si>
  <si>
    <t>Blue = inputs. Prices, VAT (12% × DPP 11/12) and COGS calculate automatically. Monthly totals post to the General Journal (Source = Auto-Sales).</t>
  </si>
  <si>
    <t>Bill No</t>
  </si>
  <si>
    <t>Input VAT</t>
  </si>
  <si>
    <t>WHT Rate</t>
  </si>
  <si>
    <t>WHT Amount</t>
  </si>
  <si>
    <t>Total Payable</t>
  </si>
  <si>
    <t>Paid From</t>
  </si>
  <si>
    <t>Pay Month</t>
  </si>
  <si>
    <t>BILL-2601-001</t>
  </si>
  <si>
    <t>BILL-2601-002</t>
  </si>
  <si>
    <t>BILL-2601-003</t>
  </si>
  <si>
    <t>BILL-2601-004</t>
  </si>
  <si>
    <t>BILL-2601-005</t>
  </si>
  <si>
    <t>BILL-2601-006</t>
  </si>
  <si>
    <t>BILL-2601-007</t>
  </si>
  <si>
    <t>BILL-2601-008</t>
  </si>
  <si>
    <t>BILL-2601-009</t>
  </si>
  <si>
    <t>BILL-2601-010</t>
  </si>
  <si>
    <t>BILL-2601-011</t>
  </si>
  <si>
    <t>BILL-2602-001</t>
  </si>
  <si>
    <t>BILL-2602-002</t>
  </si>
  <si>
    <t>BILL-2602-003</t>
  </si>
  <si>
    <t>BILL-2602-004</t>
  </si>
  <si>
    <t>BILL-2602-005</t>
  </si>
  <si>
    <t>BILL-2602-006</t>
  </si>
  <si>
    <t>BILL-2602-007</t>
  </si>
  <si>
    <t>BILL-2602-008</t>
  </si>
  <si>
    <t>BILL-2602-009</t>
  </si>
  <si>
    <t>BILL-2602-010</t>
  </si>
  <si>
    <t>BILL-2602-011</t>
  </si>
  <si>
    <t>BILL-2603-001</t>
  </si>
  <si>
    <t>BILL-2603-002</t>
  </si>
  <si>
    <t>BILL-2603-003</t>
  </si>
  <si>
    <t>BILL-2603-004</t>
  </si>
  <si>
    <t>BILL-2603-005</t>
  </si>
  <si>
    <t>BILL-2603-006</t>
  </si>
  <si>
    <t>BILL-2603-007</t>
  </si>
  <si>
    <t>BILL-2603-008</t>
  </si>
  <si>
    <t>BILL-2603-009</t>
  </si>
  <si>
    <t>BILL-2603-010</t>
  </si>
  <si>
    <t>BILL-2603-011</t>
  </si>
  <si>
    <t>BILL-2603-012</t>
  </si>
  <si>
    <t>BILL-2604-001</t>
  </si>
  <si>
    <t>BILL-2604-002</t>
  </si>
  <si>
    <t>BILL-2604-003</t>
  </si>
  <si>
    <t>BILL-2604-004</t>
  </si>
  <si>
    <t>BILL-2604-005</t>
  </si>
  <si>
    <t>BILL-2604-006</t>
  </si>
  <si>
    <t>BILL-2604-007</t>
  </si>
  <si>
    <t>BILL-2604-008</t>
  </si>
  <si>
    <t>BILL-2604-009</t>
  </si>
  <si>
    <t>BILL-2604-010</t>
  </si>
  <si>
    <t>BILL-2604-011</t>
  </si>
  <si>
    <t>BILL-2605-001</t>
  </si>
  <si>
    <t>BILL-2605-002</t>
  </si>
  <si>
    <t>BILL-2605-003</t>
  </si>
  <si>
    <t>BILL-2605-004</t>
  </si>
  <si>
    <t>BILL-2605-005</t>
  </si>
  <si>
    <t>BILL-2605-006</t>
  </si>
  <si>
    <t>BILL-2605-007</t>
  </si>
  <si>
    <t>BILL-2605-008</t>
  </si>
  <si>
    <t>BILL-2605-009</t>
  </si>
  <si>
    <t>BILL-2605-010</t>
  </si>
  <si>
    <t>BILL-2606-001</t>
  </si>
  <si>
    <t>BILL-2606-002</t>
  </si>
  <si>
    <t>BILL-2606-003</t>
  </si>
  <si>
    <t>BILL-2606-004</t>
  </si>
  <si>
    <t>BILL-2606-005</t>
  </si>
  <si>
    <t>BILL-2606-006</t>
  </si>
  <si>
    <t>BILL-2606-007</t>
  </si>
  <si>
    <t>BILL-2606-008</t>
  </si>
  <si>
    <t>BILL-2606-009</t>
  </si>
  <si>
    <t>BILL-2606-010</t>
  </si>
  <si>
    <t>BILL-2606-011</t>
  </si>
  <si>
    <t>BILL-2606-012</t>
  </si>
  <si>
    <t>BILL-2606-013</t>
  </si>
  <si>
    <t>BILL-2607-001</t>
  </si>
  <si>
    <t>BILL-2607-002</t>
  </si>
  <si>
    <t>BILL-2607-003</t>
  </si>
  <si>
    <t>BILL-2607-004</t>
  </si>
  <si>
    <t>BILL-2607-005</t>
  </si>
  <si>
    <t>BILL-2607-006</t>
  </si>
  <si>
    <t>BILL-2607-007</t>
  </si>
  <si>
    <t>BILL-2607-008</t>
  </si>
  <si>
    <t>BILL-2607-009</t>
  </si>
  <si>
    <t>BILL-2607-010</t>
  </si>
  <si>
    <t>BILL-2608-001</t>
  </si>
  <si>
    <t>BILL-2608-002</t>
  </si>
  <si>
    <t>BILL-2608-003</t>
  </si>
  <si>
    <t>BILL-2608-004</t>
  </si>
  <si>
    <t>BILL-2608-005</t>
  </si>
  <si>
    <t>BILL-2608-006</t>
  </si>
  <si>
    <t>BILL-2608-007</t>
  </si>
  <si>
    <t>BILL-2608-008</t>
  </si>
  <si>
    <t>BILL-2608-009</t>
  </si>
  <si>
    <t>BILL-2608-010</t>
  </si>
  <si>
    <t>BILL-2608-011</t>
  </si>
  <si>
    <t>BILL-2609-001</t>
  </si>
  <si>
    <t>BILL-2609-002</t>
  </si>
  <si>
    <t>BILL-2609-003</t>
  </si>
  <si>
    <t>BILL-2609-004</t>
  </si>
  <si>
    <t>BILL-2609-005</t>
  </si>
  <si>
    <t>BILL-2609-006</t>
  </si>
  <si>
    <t>BILL-2609-007</t>
  </si>
  <si>
    <t>BILL-2609-008</t>
  </si>
  <si>
    <t>BILL-2609-009</t>
  </si>
  <si>
    <t>BILL-2609-010</t>
  </si>
  <si>
    <t>BILL-2609-011</t>
  </si>
  <si>
    <t>BILL-2610-001</t>
  </si>
  <si>
    <t>BILL-2610-002</t>
  </si>
  <si>
    <t>BILL-2610-003</t>
  </si>
  <si>
    <t>BILL-2610-004</t>
  </si>
  <si>
    <t>BILL-2610-005</t>
  </si>
  <si>
    <t>BILL-2610-006</t>
  </si>
  <si>
    <t>BILL-2610-007</t>
  </si>
  <si>
    <t>BILL-2610-008</t>
  </si>
  <si>
    <t>BILL-2610-009</t>
  </si>
  <si>
    <t>BILL-2610-010</t>
  </si>
  <si>
    <t>BILL-2610-011</t>
  </si>
  <si>
    <t>BILL-2611-001</t>
  </si>
  <si>
    <t>BILL-2611-002</t>
  </si>
  <si>
    <t>BILL-2611-003</t>
  </si>
  <si>
    <t>BILL-2611-004</t>
  </si>
  <si>
    <t>BILL-2611-005</t>
  </si>
  <si>
    <t>BILL-2611-006</t>
  </si>
  <si>
    <t>BILL-2611-007</t>
  </si>
  <si>
    <t>BILL-2611-008</t>
  </si>
  <si>
    <t>BILL-2611-009</t>
  </si>
  <si>
    <t>BILL-2611-010</t>
  </si>
  <si>
    <t>BILL-2612-001</t>
  </si>
  <si>
    <t>BILL-2612-002</t>
  </si>
  <si>
    <t>BILL-2612-003</t>
  </si>
  <si>
    <t>BILL-2612-004</t>
  </si>
  <si>
    <t>BILL-2612-005</t>
  </si>
  <si>
    <t>BILL-2612-006</t>
  </si>
  <si>
    <t>BILL-2612-007</t>
  </si>
  <si>
    <t>BILL-2612-008</t>
  </si>
  <si>
    <t>BILL-2612-009</t>
  </si>
  <si>
    <t>BILL-2612-010</t>
  </si>
  <si>
    <t>BILL-2612-011</t>
  </si>
  <si>
    <t>BILL-2612-012</t>
  </si>
  <si>
    <t>Merchandise purchase - Jan batch 1</t>
  </si>
  <si>
    <t>Electricity, water &amp; internet - Jan</t>
  </si>
  <si>
    <t>Microsoft 365 Business - annual subscription (PP-007)</t>
  </si>
  <si>
    <t>Office supplies - Jan</t>
  </si>
  <si>
    <t>Merchandise purchase - Jan batch 2</t>
  </si>
  <si>
    <t>AC &amp; equipment maintenance - Jan</t>
  </si>
  <si>
    <t>Client entertainment &amp; donations - Jan</t>
  </si>
  <si>
    <t>Merchandise purchase - Jan (local)</t>
  </si>
  <si>
    <t>Courier &amp; delivery services - Jan</t>
  </si>
  <si>
    <t>Digital advertising campaign - Jan</t>
  </si>
  <si>
    <t>Marketplace commission &amp; fees - Jan</t>
  </si>
  <si>
    <t>Merchandise purchase - Feb batch 1</t>
  </si>
  <si>
    <t>Electricity, water &amp; internet - Feb</t>
  </si>
  <si>
    <t>Accounting software - annual subscription (PP-008)</t>
  </si>
  <si>
    <t>Office supplies - Feb</t>
  </si>
  <si>
    <t>Merchandise purchase - Feb batch 2</t>
  </si>
  <si>
    <t>AC &amp; equipment maintenance - Feb</t>
  </si>
  <si>
    <t>Client entertainment &amp; donations - Feb</t>
  </si>
  <si>
    <t>Merchandise purchase - Feb (local)</t>
  </si>
  <si>
    <t>Courier &amp; delivery services - Feb</t>
  </si>
  <si>
    <t>Digital advertising campaign - Feb</t>
  </si>
  <si>
    <t>Marketplace commission &amp; fees - Feb</t>
  </si>
  <si>
    <t>Merchandise purchase - Mar batch 1</t>
  </si>
  <si>
    <t>Electricity, water &amp; internet - Mar</t>
  </si>
  <si>
    <t>Office supplies - Mar</t>
  </si>
  <si>
    <t>Merchandise purchase - Mar batch 2</t>
  </si>
  <si>
    <t>AC &amp; equipment maintenance - Mar</t>
  </si>
  <si>
    <t>POS terminals &amp; equipment (FA-012)</t>
  </si>
  <si>
    <t>Client entertainment &amp; donations - Mar</t>
  </si>
  <si>
    <t>Merchandise purchase - Mar (local)</t>
  </si>
  <si>
    <t>Tax compliance retainer - Q1</t>
  </si>
  <si>
    <t>Courier &amp; delivery services - Mar</t>
  </si>
  <si>
    <t>Digital advertising campaign - Mar</t>
  </si>
  <si>
    <t>Marketplace commission &amp; fees - Mar</t>
  </si>
  <si>
    <t>Merchandise purchase - Apr batch 1</t>
  </si>
  <si>
    <t>Electricity, water &amp; internet - Apr</t>
  </si>
  <si>
    <t>Office supplies - Apr</t>
  </si>
  <si>
    <t>Statutory audit fee FY2025</t>
  </si>
  <si>
    <t>Merchandise purchase - Apr batch 2</t>
  </si>
  <si>
    <t>AC &amp; equipment maintenance - Apr</t>
  </si>
  <si>
    <t>Client entertainment &amp; donations - Apr</t>
  </si>
  <si>
    <t>Merchandise purchase - Apr (local)</t>
  </si>
  <si>
    <t>Courier &amp; delivery services - Apr</t>
  </si>
  <si>
    <t>Digital advertising campaign - Apr</t>
  </si>
  <si>
    <t>Marketplace commission &amp; fees - Apr</t>
  </si>
  <si>
    <t>Merchandise purchase - May batch 1</t>
  </si>
  <si>
    <t>Electricity, water &amp; internet - May</t>
  </si>
  <si>
    <t>Office supplies - May</t>
  </si>
  <si>
    <t>Merchandise purchase - May batch 2</t>
  </si>
  <si>
    <t>AC &amp; equipment maintenance - May</t>
  </si>
  <si>
    <t>Client entertainment &amp; donations - May</t>
  </si>
  <si>
    <t>Merchandise purchase - May (local)</t>
  </si>
  <si>
    <t>Courier &amp; delivery services - May</t>
  </si>
  <si>
    <t>Digital advertising campaign - May</t>
  </si>
  <si>
    <t>Marketplace commission &amp; fees - May</t>
  </si>
  <si>
    <t>Merchandise purchase - Jun batch 1</t>
  </si>
  <si>
    <t>Electricity, water &amp; internet - Jun</t>
  </si>
  <si>
    <t>Office supplies - Jun</t>
  </si>
  <si>
    <t>Merchandise purchase - Jun batch 2</t>
  </si>
  <si>
    <t>Inventory management module (FA-014)</t>
  </si>
  <si>
    <t>AC &amp; equipment maintenance - Jun</t>
  </si>
  <si>
    <t>Client entertainment &amp; donations - Jun</t>
  </si>
  <si>
    <t>Merchandise purchase - Jun (local)</t>
  </si>
  <si>
    <t>Tax compliance retainer - Q2</t>
  </si>
  <si>
    <t>POS cloud subscription 2026/27 (PP-006)</t>
  </si>
  <si>
    <t>Courier &amp; delivery services - Jun</t>
  </si>
  <si>
    <t>Digital advertising campaign - Jun</t>
  </si>
  <si>
    <t>Marketplace commission &amp; fees - Jun</t>
  </si>
  <si>
    <t>Merchandise purchase - Jul batch 1</t>
  </si>
  <si>
    <t>Electricity, water &amp; internet - Jul</t>
  </si>
  <si>
    <t>Office supplies - Jul</t>
  </si>
  <si>
    <t>Merchandise purchase - Jul batch 2</t>
  </si>
  <si>
    <t>AC &amp; equipment maintenance - Jul</t>
  </si>
  <si>
    <t>Client entertainment &amp; donations - Jul</t>
  </si>
  <si>
    <t>Merchandise purchase - Jul (local)</t>
  </si>
  <si>
    <t>Courier &amp; delivery services - Jul</t>
  </si>
  <si>
    <t>Digital advertising campaign - Jul</t>
  </si>
  <si>
    <t>Marketplace commission &amp; fees - Jul</t>
  </si>
  <si>
    <t>Merchandise purchase - Aug batch 1</t>
  </si>
  <si>
    <t>Electricity, water &amp; internet - Aug</t>
  </si>
  <si>
    <t>Office supplies - Aug</t>
  </si>
  <si>
    <t>Delivery Van #2 (FA-013)</t>
  </si>
  <si>
    <t>Merchandise purchase - Aug batch 2</t>
  </si>
  <si>
    <t>AC &amp; equipment maintenance - Aug</t>
  </si>
  <si>
    <t>Client entertainment &amp; donations - Aug</t>
  </si>
  <si>
    <t>Merchandise purchase - Aug (local)</t>
  </si>
  <si>
    <t>Courier &amp; delivery services - Aug</t>
  </si>
  <si>
    <t>Digital advertising campaign - Aug</t>
  </si>
  <si>
    <t>Marketplace commission &amp; fees - Aug</t>
  </si>
  <si>
    <t>Merchandise purchase - Sep batch 1</t>
  </si>
  <si>
    <t>Electricity, water &amp; internet - Sep</t>
  </si>
  <si>
    <t>Office supplies - Sep</t>
  </si>
  <si>
    <t>Merchandise purchase - Sep batch 2</t>
  </si>
  <si>
    <t>AC &amp; equipment maintenance - Sep</t>
  </si>
  <si>
    <t>Client entertainment &amp; donations - Sep</t>
  </si>
  <si>
    <t>Merchandise purchase - Sep (local)</t>
  </si>
  <si>
    <t>Tax compliance retainer - Q3</t>
  </si>
  <si>
    <t>Courier &amp; delivery services - Sep</t>
  </si>
  <si>
    <t>Digital advertising campaign - Sep</t>
  </si>
  <si>
    <t>Marketplace commission &amp; fees - Sep</t>
  </si>
  <si>
    <t>Merchandise purchase - Oct batch 1</t>
  </si>
  <si>
    <t>Electricity, water &amp; internet - Oct</t>
  </si>
  <si>
    <t>Office supplies - Oct</t>
  </si>
  <si>
    <t>Merchandise purchase - Oct batch 2</t>
  </si>
  <si>
    <t>AC &amp; equipment maintenance - Oct</t>
  </si>
  <si>
    <t>Client entertainment &amp; donations - Oct</t>
  </si>
  <si>
    <t>Merchandise purchase - Oct (local)</t>
  </si>
  <si>
    <t>Property all-risk insurance 2026/27 (PP-004)</t>
  </si>
  <si>
    <t>Courier &amp; delivery services - Oct</t>
  </si>
  <si>
    <t>Digital advertising campaign - Oct</t>
  </si>
  <si>
    <t>Marketplace commission &amp; fees - Oct</t>
  </si>
  <si>
    <t>Merchandise purchase - Nov batch 1</t>
  </si>
  <si>
    <t>Electricity, water &amp; internet - Nov</t>
  </si>
  <si>
    <t>Office supplies - Nov</t>
  </si>
  <si>
    <t>Merchandise purchase - Nov batch 2</t>
  </si>
  <si>
    <t>AC &amp; equipment maintenance - Nov</t>
  </si>
  <si>
    <t>Client entertainment &amp; donations - Nov</t>
  </si>
  <si>
    <t>Merchandise purchase - Nov (local)</t>
  </si>
  <si>
    <t>Courier &amp; delivery services - Nov</t>
  </si>
  <si>
    <t>Digital advertising campaign - Nov</t>
  </si>
  <si>
    <t>Marketplace commission &amp; fees - Nov</t>
  </si>
  <si>
    <t>Merchandise purchase - Dec batch 1</t>
  </si>
  <si>
    <t>Electricity, water &amp; internet - Dec</t>
  </si>
  <si>
    <t>Office supplies - Dec</t>
  </si>
  <si>
    <t>Merchandise purchase - Dec batch 2</t>
  </si>
  <si>
    <t>AC &amp; equipment maintenance - Dec</t>
  </si>
  <si>
    <t>Client entertainment &amp; donations - Dec</t>
  </si>
  <si>
    <t>Store &amp; office rent 2027 (PP-002)</t>
  </si>
  <si>
    <t>Merchandise purchase - Dec (local)</t>
  </si>
  <si>
    <t>Tax compliance retainer - Q4</t>
  </si>
  <si>
    <t>Courier &amp; delivery services - Dec</t>
  </si>
  <si>
    <t>Digital advertising campaign - Dec</t>
  </si>
  <si>
    <t>Marketplace commission &amp; fees - Dec</t>
  </si>
  <si>
    <t>PURCHASES &amp; EXPENSES SUB-LEDGER (VENDOR BILLS)</t>
  </si>
  <si>
    <t>Input VAT follows vendor VAT status; PPh Unifikasi (Art. 23 / 4(2)) follows vendor WHT type. Bills post monthly (Auto-Purchases); payments post by Pay Month (Auto-Payments).</t>
  </si>
  <si>
    <t>BPJS Contribution</t>
  </si>
  <si>
    <t>BPJS Health - Employer</t>
  </si>
  <si>
    <t>BPJS Health - Employee</t>
  </si>
  <si>
    <t>JKK (work accident) - Employer</t>
  </si>
  <si>
    <t>JKM (death) - Employer</t>
  </si>
  <si>
    <t>JHT (old age) - Employer</t>
  </si>
  <si>
    <t>JHT (old age) - Employee</t>
  </si>
  <si>
    <t>JP (pension) - Employer</t>
  </si>
  <si>
    <t>JP (pension) - Employee</t>
  </si>
  <si>
    <t>TER A - Lower</t>
  </si>
  <si>
    <t>Rate A</t>
  </si>
  <si>
    <t>TER B - Lower</t>
  </si>
  <si>
    <t>Rate B</t>
  </si>
  <si>
    <t>TER C - Lower</t>
  </si>
  <si>
    <t>Rate C</t>
  </si>
  <si>
    <t>PPh 21 TER MONTHLY RATES (PP 58/2023) – verify against latest regulation</t>
  </si>
  <si>
    <t>Period</t>
  </si>
  <si>
    <t>Pay Date</t>
  </si>
  <si>
    <t>Employee Name</t>
  </si>
  <si>
    <t>TER Cat</t>
  </si>
  <si>
    <t>THR / Bonus</t>
  </si>
  <si>
    <t>Gross Salary</t>
  </si>
  <si>
    <t>BPJS Health (Er)</t>
  </si>
  <si>
    <t>JKK (Er)</t>
  </si>
  <si>
    <t>JKM (Er)</t>
  </si>
  <si>
    <t>JHT (Er)</t>
  </si>
  <si>
    <t>JP (Er)</t>
  </si>
  <si>
    <t>Employer BPJS Total</t>
  </si>
  <si>
    <t>PPh 21 Base</t>
  </si>
  <si>
    <t>TER Rate</t>
  </si>
  <si>
    <t>PPh 21</t>
  </si>
  <si>
    <t>BPJS Health (Ee)</t>
  </si>
  <si>
    <t>JHT (Ee)</t>
  </si>
  <si>
    <t>JP (Ee)</t>
  </si>
  <si>
    <t>Employee BPJS Total</t>
  </si>
  <si>
    <t>Net Pay</t>
  </si>
  <si>
    <t>Total Employer Cost</t>
  </si>
  <si>
    <t>PAYROLL REGISTER – PPh 21 (TER) &amp; BPJS</t>
  </si>
  <si>
    <t>Salary, PTKP &amp; department link from Employees. Monthly totals post to the General Journal (Auto-Payroll); PPh 21 &amp; BPJS are paid on the 10th of the following month. December annualisation (Art. 17) not modelled.</t>
  </si>
  <si>
    <t>Voucher No</t>
  </si>
  <si>
    <t>Credit</t>
  </si>
  <si>
    <t>Source</t>
  </si>
  <si>
    <t>Bank Cleared Date</t>
  </si>
  <si>
    <t>In Period</t>
  </si>
  <si>
    <t>P21-2601</t>
  </si>
  <si>
    <t>BPJ-2601</t>
  </si>
  <si>
    <t>ACR-2601</t>
  </si>
  <si>
    <t>WP-2601</t>
  </si>
  <si>
    <t>P25-2601</t>
  </si>
  <si>
    <t>PV-2601-OPN</t>
  </si>
  <si>
    <t>RC-2601</t>
  </si>
  <si>
    <t>TR-2601</t>
  </si>
  <si>
    <t>PR-2601</t>
  </si>
  <si>
    <t>VP-2601</t>
  </si>
  <si>
    <t>LN-2601</t>
  </si>
  <si>
    <t>STI-2601</t>
  </si>
  <si>
    <t>SJ-2601</t>
  </si>
  <si>
    <t>CJ-2601</t>
  </si>
  <si>
    <t>CD-2601</t>
  </si>
  <si>
    <t>PJ-2601</t>
  </si>
  <si>
    <t>PV-2601</t>
  </si>
  <si>
    <t>VAT-2601</t>
  </si>
  <si>
    <t>DEP-2601</t>
  </si>
  <si>
    <t>AMZ-2601</t>
  </si>
  <si>
    <t>EB-2601</t>
  </si>
  <si>
    <t>DI-2601</t>
  </si>
  <si>
    <t>CI-2601-BCA</t>
  </si>
  <si>
    <t>CT-2601-BCA</t>
  </si>
  <si>
    <t>BC-2601-BCA</t>
  </si>
  <si>
    <t>CI-2601-MDR</t>
  </si>
  <si>
    <t>CT-2601-MDR</t>
  </si>
  <si>
    <t>BC-2601-MDR</t>
  </si>
  <si>
    <t>P21-2602</t>
  </si>
  <si>
    <t>BPJ-2602</t>
  </si>
  <si>
    <t>WP-2602</t>
  </si>
  <si>
    <t>P25-2602</t>
  </si>
  <si>
    <t>RC-2602</t>
  </si>
  <si>
    <t>TR-2602</t>
  </si>
  <si>
    <t>PR-2602</t>
  </si>
  <si>
    <t>SJ-2602</t>
  </si>
  <si>
    <t>CJ-2602</t>
  </si>
  <si>
    <t>CD-2602</t>
  </si>
  <si>
    <t>PJ-2602</t>
  </si>
  <si>
    <t>PV-2602</t>
  </si>
  <si>
    <t>VAT-2602</t>
  </si>
  <si>
    <t>VP-2602</t>
  </si>
  <si>
    <t>DEP-2602</t>
  </si>
  <si>
    <t>AMZ-2602</t>
  </si>
  <si>
    <t>EB-2602</t>
  </si>
  <si>
    <t>DI-2602</t>
  </si>
  <si>
    <t>CI-2602-BCA</t>
  </si>
  <si>
    <t>CT-2602-BCA</t>
  </si>
  <si>
    <t>BC-2602-BCA</t>
  </si>
  <si>
    <t>CI-2602-MDR</t>
  </si>
  <si>
    <t>CT-2602-MDR</t>
  </si>
  <si>
    <t>BC-2602-MDR</t>
  </si>
  <si>
    <t>LN-2602</t>
  </si>
  <si>
    <t>STI-2602</t>
  </si>
  <si>
    <t>P21-2603</t>
  </si>
  <si>
    <t>BPJ-2603</t>
  </si>
  <si>
    <t>WP-2603</t>
  </si>
  <si>
    <t>P25-2603</t>
  </si>
  <si>
    <t>RC-2603</t>
  </si>
  <si>
    <t>TR-2603</t>
  </si>
  <si>
    <t>PR-2603</t>
  </si>
  <si>
    <t>VP-2603</t>
  </si>
  <si>
    <t>LN-2603</t>
  </si>
  <si>
    <t>STI-2603</t>
  </si>
  <si>
    <t>SJ-2603</t>
  </si>
  <si>
    <t>CJ-2603</t>
  </si>
  <si>
    <t>CD-2603</t>
  </si>
  <si>
    <t>PJ-2603</t>
  </si>
  <si>
    <t>PV-2603</t>
  </si>
  <si>
    <t>VAT-2603</t>
  </si>
  <si>
    <t>DEP-2603</t>
  </si>
  <si>
    <t>AMZ-2603</t>
  </si>
  <si>
    <t>EB-2603</t>
  </si>
  <si>
    <t>DI-2603</t>
  </si>
  <si>
    <t>CI-2603-BCA</t>
  </si>
  <si>
    <t>CT-2603-BCA</t>
  </si>
  <si>
    <t>BC-2603-BCA</t>
  </si>
  <si>
    <t>CI-2603-MDR</t>
  </si>
  <si>
    <t>CT-2603-MDR</t>
  </si>
  <si>
    <t>BC-2603-MDR</t>
  </si>
  <si>
    <t>P21-2604</t>
  </si>
  <si>
    <t>BPJ-2604</t>
  </si>
  <si>
    <t>WP-2604</t>
  </si>
  <si>
    <t>P25-2604</t>
  </si>
  <si>
    <t>RC-2604</t>
  </si>
  <si>
    <t>TR-2604</t>
  </si>
  <si>
    <t>PR-2604</t>
  </si>
  <si>
    <t>VP-2604</t>
  </si>
  <si>
    <t>LN-2604</t>
  </si>
  <si>
    <t>STI-2604</t>
  </si>
  <si>
    <t>P29-2604</t>
  </si>
  <si>
    <t>SJ-2604</t>
  </si>
  <si>
    <t>CJ-2604</t>
  </si>
  <si>
    <t>CD-2604</t>
  </si>
  <si>
    <t>PJ-2604</t>
  </si>
  <si>
    <t>PV-2604</t>
  </si>
  <si>
    <t>VAT-2604</t>
  </si>
  <si>
    <t>DEP-2604</t>
  </si>
  <si>
    <t>AMZ-2604</t>
  </si>
  <si>
    <t>EB-2604</t>
  </si>
  <si>
    <t>DI-2604</t>
  </si>
  <si>
    <t>CI-2604-BCA</t>
  </si>
  <si>
    <t>CT-2604-BCA</t>
  </si>
  <si>
    <t>BC-2604-BCA</t>
  </si>
  <si>
    <t>CI-2604-MDR</t>
  </si>
  <si>
    <t>CT-2604-MDR</t>
  </si>
  <si>
    <t>BC-2604-MDR</t>
  </si>
  <si>
    <t>P21-2605</t>
  </si>
  <si>
    <t>BPJ-2605</t>
  </si>
  <si>
    <t>WP-2605</t>
  </si>
  <si>
    <t>P25-2605</t>
  </si>
  <si>
    <t>RC-2605</t>
  </si>
  <si>
    <t>TR-2605</t>
  </si>
  <si>
    <t>PR-2605</t>
  </si>
  <si>
    <t>VP-2605</t>
  </si>
  <si>
    <t>LN-2605</t>
  </si>
  <si>
    <t>STI-2605</t>
  </si>
  <si>
    <t>DIV-2605</t>
  </si>
  <si>
    <t>SJ-2605</t>
  </si>
  <si>
    <t>CJ-2605</t>
  </si>
  <si>
    <t>CD-2605</t>
  </si>
  <si>
    <t>PJ-2605</t>
  </si>
  <si>
    <t>PV-2605</t>
  </si>
  <si>
    <t>VAT-2605</t>
  </si>
  <si>
    <t>DEP-2605</t>
  </si>
  <si>
    <t>AMZ-2605</t>
  </si>
  <si>
    <t>EB-2605</t>
  </si>
  <si>
    <t>DI-2605</t>
  </si>
  <si>
    <t>CI-2605-BCA</t>
  </si>
  <si>
    <t>CT-2605-BCA</t>
  </si>
  <si>
    <t>BC-2605-BCA</t>
  </si>
  <si>
    <t>CI-2605-MDR</t>
  </si>
  <si>
    <t>CT-2605-MDR</t>
  </si>
  <si>
    <t>BC-2605-MDR</t>
  </si>
  <si>
    <t>P21-2606</t>
  </si>
  <si>
    <t>BPJ-2606</t>
  </si>
  <si>
    <t>WP-2606</t>
  </si>
  <si>
    <t>P25-2606</t>
  </si>
  <si>
    <t>RC-2606</t>
  </si>
  <si>
    <t>TR-2606</t>
  </si>
  <si>
    <t>PR-2606</t>
  </si>
  <si>
    <t>VP-2606</t>
  </si>
  <si>
    <t>LN-2606</t>
  </si>
  <si>
    <t>STI-2606</t>
  </si>
  <si>
    <t>SJ-2606</t>
  </si>
  <si>
    <t>CJ-2606</t>
  </si>
  <si>
    <t>CD-2606</t>
  </si>
  <si>
    <t>PJ-2606</t>
  </si>
  <si>
    <t>PV-2606</t>
  </si>
  <si>
    <t>VAT-2606</t>
  </si>
  <si>
    <t>DEP-2606</t>
  </si>
  <si>
    <t>AMZ-2606</t>
  </si>
  <si>
    <t>EB-2606</t>
  </si>
  <si>
    <t>DI-2606</t>
  </si>
  <si>
    <t>CI-2606-BCA</t>
  </si>
  <si>
    <t>CT-2606-BCA</t>
  </si>
  <si>
    <t>BC-2606-BCA</t>
  </si>
  <si>
    <t>CI-2606-MDR</t>
  </si>
  <si>
    <t>CT-2606-MDR</t>
  </si>
  <si>
    <t>BC-2606-MDR</t>
  </si>
  <si>
    <t>STR-2606</t>
  </si>
  <si>
    <t>P21-2607</t>
  </si>
  <si>
    <t>BPJ-2607</t>
  </si>
  <si>
    <t>WP-2607</t>
  </si>
  <si>
    <t>P25-2607</t>
  </si>
  <si>
    <t>RC-2607</t>
  </si>
  <si>
    <t>TR-2607</t>
  </si>
  <si>
    <t>PR-2607</t>
  </si>
  <si>
    <t>VP-2607</t>
  </si>
  <si>
    <t>LN-2607</t>
  </si>
  <si>
    <t>SJ-2607</t>
  </si>
  <si>
    <t>CJ-2607</t>
  </si>
  <si>
    <t>CD-2607</t>
  </si>
  <si>
    <t>PJ-2607</t>
  </si>
  <si>
    <t>PV-2607</t>
  </si>
  <si>
    <t>VAT-2607</t>
  </si>
  <si>
    <t>DEP-2607</t>
  </si>
  <si>
    <t>AMZ-2607</t>
  </si>
  <si>
    <t>EB-2607</t>
  </si>
  <si>
    <t>DI-2607</t>
  </si>
  <si>
    <t>CI-2607-BCA</t>
  </si>
  <si>
    <t>CT-2607-BCA</t>
  </si>
  <si>
    <t>BC-2607-BCA</t>
  </si>
  <si>
    <t>CI-2607-MDR</t>
  </si>
  <si>
    <t>CT-2607-MDR</t>
  </si>
  <si>
    <t>BC-2607-MDR</t>
  </si>
  <si>
    <t>P21-2608</t>
  </si>
  <si>
    <t>BPJ-2608</t>
  </si>
  <si>
    <t>WP-2608</t>
  </si>
  <si>
    <t>P25-2608</t>
  </si>
  <si>
    <t>RC-2608</t>
  </si>
  <si>
    <t>TR-2608</t>
  </si>
  <si>
    <t>PR-2608</t>
  </si>
  <si>
    <t>VP-2608</t>
  </si>
  <si>
    <t>LN-2608</t>
  </si>
  <si>
    <t>SJ-2608</t>
  </si>
  <si>
    <t>CJ-2608</t>
  </si>
  <si>
    <t>CD-2608</t>
  </si>
  <si>
    <t>PJ-2608</t>
  </si>
  <si>
    <t>PV-2608</t>
  </si>
  <si>
    <t>VAT-2608</t>
  </si>
  <si>
    <t>DEP-2608</t>
  </si>
  <si>
    <t>AMZ-2608</t>
  </si>
  <si>
    <t>EB-2608</t>
  </si>
  <si>
    <t>DI-2608</t>
  </si>
  <si>
    <t>CI-2608-BCA</t>
  </si>
  <si>
    <t>CT-2608-BCA</t>
  </si>
  <si>
    <t>BC-2608-BCA</t>
  </si>
  <si>
    <t>CI-2608-MDR</t>
  </si>
  <si>
    <t>CT-2608-MDR</t>
  </si>
  <si>
    <t>BC-2608-MDR</t>
  </si>
  <si>
    <t>P21-2609</t>
  </si>
  <si>
    <t>BPJ-2609</t>
  </si>
  <si>
    <t>WP-2609</t>
  </si>
  <si>
    <t>P25-2609</t>
  </si>
  <si>
    <t>RC-2609</t>
  </si>
  <si>
    <t>TR-2609</t>
  </si>
  <si>
    <t>PR-2609</t>
  </si>
  <si>
    <t>VP-2609</t>
  </si>
  <si>
    <t>LN-2609</t>
  </si>
  <si>
    <t>SJ-2609</t>
  </si>
  <si>
    <t>CJ-2609</t>
  </si>
  <si>
    <t>CD-2609</t>
  </si>
  <si>
    <t>PJ-2609</t>
  </si>
  <si>
    <t>PV-2609</t>
  </si>
  <si>
    <t>VAT-2609</t>
  </si>
  <si>
    <t>DEP-2609</t>
  </si>
  <si>
    <t>AMZ-2609</t>
  </si>
  <si>
    <t>EB-2609</t>
  </si>
  <si>
    <t>DI-2609</t>
  </si>
  <si>
    <t>CI-2609-BCA</t>
  </si>
  <si>
    <t>CT-2609-BCA</t>
  </si>
  <si>
    <t>BC-2609-BCA</t>
  </si>
  <si>
    <t>CI-2609-MDR</t>
  </si>
  <si>
    <t>CT-2609-MDR</t>
  </si>
  <si>
    <t>BC-2609-MDR</t>
  </si>
  <si>
    <t>P21-2610</t>
  </si>
  <si>
    <t>BPJ-2610</t>
  </si>
  <si>
    <t>WP-2610</t>
  </si>
  <si>
    <t>P25-2610</t>
  </si>
  <si>
    <t>RC-2610</t>
  </si>
  <si>
    <t>TR-2610</t>
  </si>
  <si>
    <t>PR-2610</t>
  </si>
  <si>
    <t>VP-2610</t>
  </si>
  <si>
    <t>LN-2610</t>
  </si>
  <si>
    <t>PV-2610</t>
  </si>
  <si>
    <t>SJ-2610</t>
  </si>
  <si>
    <t>CJ-2610</t>
  </si>
  <si>
    <t>CD-2610</t>
  </si>
  <si>
    <t>PJ-2610</t>
  </si>
  <si>
    <t>VAT-2610</t>
  </si>
  <si>
    <t>DEP-2610</t>
  </si>
  <si>
    <t>AMZ-2610</t>
  </si>
  <si>
    <t>EB-2610</t>
  </si>
  <si>
    <t>DI-2610</t>
  </si>
  <si>
    <t>P21-2611</t>
  </si>
  <si>
    <t>BPJ-2611</t>
  </si>
  <si>
    <t>WP-2611</t>
  </si>
  <si>
    <t>P25-2611</t>
  </si>
  <si>
    <t>RC-2611</t>
  </si>
  <si>
    <t>TR-2611</t>
  </si>
  <si>
    <t>PR-2611</t>
  </si>
  <si>
    <t>VP-2611</t>
  </si>
  <si>
    <t>LN-2611</t>
  </si>
  <si>
    <t>SJ-2611</t>
  </si>
  <si>
    <t>CJ-2611</t>
  </si>
  <si>
    <t>CD-2611</t>
  </si>
  <si>
    <t>PJ-2611</t>
  </si>
  <si>
    <t>PV-2611</t>
  </si>
  <si>
    <t>VAT-2611</t>
  </si>
  <si>
    <t>DEP-2611</t>
  </si>
  <si>
    <t>AMZ-2611</t>
  </si>
  <si>
    <t>EB-2611</t>
  </si>
  <si>
    <t>DI-2611</t>
  </si>
  <si>
    <t>CI-2611-BCA</t>
  </si>
  <si>
    <t>CT-2611-BCA</t>
  </si>
  <si>
    <t>BC-2611-BCA</t>
  </si>
  <si>
    <t>CI-2611-MDR</t>
  </si>
  <si>
    <t>CT-2611-MDR</t>
  </si>
  <si>
    <t>BC-2611-MDR</t>
  </si>
  <si>
    <t>P21-2612</t>
  </si>
  <si>
    <t>BPJ-2612</t>
  </si>
  <si>
    <t>WP-2612</t>
  </si>
  <si>
    <t>P25-2612</t>
  </si>
  <si>
    <t>RC-2612</t>
  </si>
  <si>
    <t>TR-2612</t>
  </si>
  <si>
    <t>PR-2612</t>
  </si>
  <si>
    <t>VP-2612</t>
  </si>
  <si>
    <t>LN-2612</t>
  </si>
  <si>
    <t>SJ-2612</t>
  </si>
  <si>
    <t>CJ-2612</t>
  </si>
  <si>
    <t>CD-2612</t>
  </si>
  <si>
    <t>PJ-2612</t>
  </si>
  <si>
    <t>PV-2612</t>
  </si>
  <si>
    <t>VAT-2612</t>
  </si>
  <si>
    <t>DEP-2612</t>
  </si>
  <si>
    <t>AMZ-2612</t>
  </si>
  <si>
    <t>EB-2612</t>
  </si>
  <si>
    <t>DI-2612</t>
  </si>
  <si>
    <t>CI-2612-BCA</t>
  </si>
  <si>
    <t>CT-2612-BCA</t>
  </si>
  <si>
    <t>BC-2612-BCA</t>
  </si>
  <si>
    <t>CI-2612-MDR</t>
  </si>
  <si>
    <t>CT-2612-MDR</t>
  </si>
  <si>
    <t>BC-2612-MDR</t>
  </si>
  <si>
    <t>ACR-2612</t>
  </si>
  <si>
    <t>ECL-2612</t>
  </si>
  <si>
    <t>PPh 21 payment (prior month)</t>
  </si>
  <si>
    <t>BPJS contributions payment (prior month)</t>
  </si>
  <si>
    <t>Settlement of Dec 2025 accrued expenses</t>
  </si>
  <si>
    <t>PPh Unifikasi payment (prior month)</t>
  </si>
  <si>
    <t>PPh 25 installment - Jan</t>
  </si>
  <si>
    <t>Payment of opening trade payables (Dec 2025 bills)</t>
  </si>
  <si>
    <t>Customer collections (prior month credit sales) - Jan</t>
  </si>
  <si>
    <t>Customer collections - Jan</t>
  </si>
  <si>
    <t>Funding payroll account from BCA - Jan</t>
  </si>
  <si>
    <t>Funding payroll account to Mandiri - Jan</t>
  </si>
  <si>
    <t>Salaries - Selling - Jan</t>
  </si>
  <si>
    <t>BPJS employer - Selling - Jan</t>
  </si>
  <si>
    <t>Salaries - G&amp;A - Jan</t>
  </si>
  <si>
    <t>BPJS employer - G&amp;A - Jan</t>
  </si>
  <si>
    <t>PPh 21 withheld - Jan</t>
  </si>
  <si>
    <t>BPJS payable - Jan</t>
  </si>
  <si>
    <t>Net salary transfer - Jan</t>
  </si>
  <si>
    <t>VAT payment (prior month SPT Masa)</t>
  </si>
  <si>
    <t>Long-term loan principal installment - Jan</t>
  </si>
  <si>
    <t>Long-term loan interest 9% p.a. - Jan</t>
  </si>
  <si>
    <t>Long-term loan installment - Jan</t>
  </si>
  <si>
    <t>Short-term loan interest 10% p.a. - Jan</t>
  </si>
  <si>
    <t>Short-term loan interest - Jan</t>
  </si>
  <si>
    <t>Cash sales - Jan</t>
  </si>
  <si>
    <t>QRIS / transfer sales settlement - Jan</t>
  </si>
  <si>
    <t>Credit sales - Jan</t>
  </si>
  <si>
    <t>Revenue - Jan</t>
  </si>
  <si>
    <t>Output VAT - Jan</t>
  </si>
  <si>
    <t>Cost of revenue - Jan</t>
  </si>
  <si>
    <t>Inventory relief - Jan</t>
  </si>
  <si>
    <t>Cash deposit to BCA - Jan</t>
  </si>
  <si>
    <t>Vendor bills - Jan</t>
  </si>
  <si>
    <t>Input VAT - Jan</t>
  </si>
  <si>
    <t>PPh Unifikasi withheld - Jan</t>
  </si>
  <si>
    <t>Trade payables - Jan bills</t>
  </si>
  <si>
    <t>Vendor payments batch - Jan</t>
  </si>
  <si>
    <t>VAT offset - Output VAT Jan</t>
  </si>
  <si>
    <t>VAT offset - Input VAT Jan</t>
  </si>
  <si>
    <t>Net VAT payable - Jan</t>
  </si>
  <si>
    <t>Depreciation - Jan</t>
  </si>
  <si>
    <t>Amortization of software - Jan</t>
  </si>
  <si>
    <t>Accumulated depreciation - Jan</t>
  </si>
  <si>
    <t>Prepaid amortization - Jan</t>
  </si>
  <si>
    <t>Employee benefits provision (PSAK 219) - Jan</t>
  </si>
  <si>
    <t>Employee benefits provision - Jan</t>
  </si>
  <si>
    <t>Time deposit interest (net) - Jan</t>
  </si>
  <si>
    <t>Final tax on deposit interest 20% - Jan</t>
  </si>
  <si>
    <t>Time deposit interest (gross) - Jan</t>
  </si>
  <si>
    <t>Current account interest - BCA Jan</t>
  </si>
  <si>
    <t>Final tax on interest - BCA Jan</t>
  </si>
  <si>
    <t>Bank admin fee - BCA Jan</t>
  </si>
  <si>
    <t>Current account interest - Mandiri Jan</t>
  </si>
  <si>
    <t>Final tax on interest - Mandiri Jan</t>
  </si>
  <si>
    <t>Bank admin &amp; payroll transfer fees - Mandiri Jan</t>
  </si>
  <si>
    <t>PPh 25 installment - Feb</t>
  </si>
  <si>
    <t>Customer collections (prior month credit sales) - Feb</t>
  </si>
  <si>
    <t>Customer collections - Feb</t>
  </si>
  <si>
    <t>Funding payroll account from BCA - Feb</t>
  </si>
  <si>
    <t>Funding payroll account to Mandiri - Feb</t>
  </si>
  <si>
    <t>Salaries - Selling - Feb</t>
  </si>
  <si>
    <t>BPJS employer - Selling - Feb</t>
  </si>
  <si>
    <t>Salaries - G&amp;A - Feb</t>
  </si>
  <si>
    <t>BPJS employer - G&amp;A - Feb</t>
  </si>
  <si>
    <t>PPh 21 withheld - Feb</t>
  </si>
  <si>
    <t>BPJS payable - Feb</t>
  </si>
  <si>
    <t>Net salary transfer - Feb</t>
  </si>
  <si>
    <t>Cash sales - Feb</t>
  </si>
  <si>
    <t>QRIS / transfer sales settlement - Feb</t>
  </si>
  <si>
    <t>Credit sales - Feb</t>
  </si>
  <si>
    <t>Revenue - Feb</t>
  </si>
  <si>
    <t>Output VAT - Feb</t>
  </si>
  <si>
    <t>Cost of revenue - Feb</t>
  </si>
  <si>
    <t>Inventory relief - Feb</t>
  </si>
  <si>
    <t>Cash deposit to BCA - Feb</t>
  </si>
  <si>
    <t>Vendor bills - Feb</t>
  </si>
  <si>
    <t>Input VAT - Feb</t>
  </si>
  <si>
    <t>PPh Unifikasi withheld - Feb</t>
  </si>
  <si>
    <t>Trade payables - Feb bills</t>
  </si>
  <si>
    <t>Vendor payments batch - Feb</t>
  </si>
  <si>
    <t>VAT offset - Output VAT Feb</t>
  </si>
  <si>
    <t>VAT offset - Input VAT Feb</t>
  </si>
  <si>
    <t>Net VAT payable - Feb</t>
  </si>
  <si>
    <t>Depreciation - Feb</t>
  </si>
  <si>
    <t>Amortization of software - Feb</t>
  </si>
  <si>
    <t>Accumulated depreciation - Feb</t>
  </si>
  <si>
    <t>Prepaid amortization - Feb</t>
  </si>
  <si>
    <t>Employee benefits provision (PSAK 219) - Feb</t>
  </si>
  <si>
    <t>Employee benefits provision - Feb</t>
  </si>
  <si>
    <t>Time deposit interest (net) - Feb</t>
  </si>
  <si>
    <t>Final tax on deposit interest 20% - Feb</t>
  </si>
  <si>
    <t>Time deposit interest (gross) - Feb</t>
  </si>
  <si>
    <t>Current account interest - BCA Feb</t>
  </si>
  <si>
    <t>Final tax on interest - BCA Feb</t>
  </si>
  <si>
    <t>Bank admin fee - BCA Feb</t>
  </si>
  <si>
    <t>Current account interest - Mandiri Feb</t>
  </si>
  <si>
    <t>Final tax on interest - Mandiri Feb</t>
  </si>
  <si>
    <t>Bank admin &amp; payroll transfer fees - Mandiri Feb</t>
  </si>
  <si>
    <t>Long-term loan principal installment - Feb</t>
  </si>
  <si>
    <t>Long-term loan interest 9% p.a. - Feb</t>
  </si>
  <si>
    <t>Long-term loan installment - Feb</t>
  </si>
  <si>
    <t>Short-term loan interest 10% p.a. - Feb</t>
  </si>
  <si>
    <t>Short-term loan interest - Feb</t>
  </si>
  <si>
    <t>PPh 25 installment - Mar</t>
  </si>
  <si>
    <t>Customer collections (prior month credit sales) - Mar</t>
  </si>
  <si>
    <t>Customer collections - Mar</t>
  </si>
  <si>
    <t>Funding payroll account from BCA - Mar</t>
  </si>
  <si>
    <t>Funding payroll account to Mandiri - Mar</t>
  </si>
  <si>
    <t>Salaries - Selling - Mar</t>
  </si>
  <si>
    <t>BPJS employer - Selling - Mar</t>
  </si>
  <si>
    <t>Salaries - G&amp;A - Mar</t>
  </si>
  <si>
    <t>BPJS employer - G&amp;A - Mar</t>
  </si>
  <si>
    <t>PPh 21 withheld - Mar</t>
  </si>
  <si>
    <t>BPJS payable - Mar</t>
  </si>
  <si>
    <t>Net salary transfer - Mar</t>
  </si>
  <si>
    <t>Long-term loan principal installment - Mar</t>
  </si>
  <si>
    <t>Long-term loan interest 9% p.a. - Mar</t>
  </si>
  <si>
    <t>Long-term loan installment - Mar</t>
  </si>
  <si>
    <t>Short-term loan interest 10% p.a. - Mar</t>
  </si>
  <si>
    <t>Short-term loan interest - Mar</t>
  </si>
  <si>
    <t>Cash sales - Mar</t>
  </si>
  <si>
    <t>QRIS / transfer sales settlement - Mar</t>
  </si>
  <si>
    <t>Credit sales - Mar</t>
  </si>
  <si>
    <t>Revenue - Mar</t>
  </si>
  <si>
    <t>Output VAT - Mar</t>
  </si>
  <si>
    <t>Cost of revenue - Mar</t>
  </si>
  <si>
    <t>Inventory relief - Mar</t>
  </si>
  <si>
    <t>Cash deposit to BCA - Mar</t>
  </si>
  <si>
    <t>Vendor bills - Mar</t>
  </si>
  <si>
    <t>Input VAT - Mar</t>
  </si>
  <si>
    <t>PPh Unifikasi withheld - Mar</t>
  </si>
  <si>
    <t>Trade payables - Mar bills</t>
  </si>
  <si>
    <t>Vendor payments batch - Mar</t>
  </si>
  <si>
    <t>VAT offset - Output VAT Mar</t>
  </si>
  <si>
    <t>VAT offset - Input VAT Mar</t>
  </si>
  <si>
    <t>Net VAT payable - Mar</t>
  </si>
  <si>
    <t>Depreciation - Mar</t>
  </si>
  <si>
    <t>Amortization of software - Mar</t>
  </si>
  <si>
    <t>Accumulated depreciation - Mar</t>
  </si>
  <si>
    <t>Prepaid amortization - Mar</t>
  </si>
  <si>
    <t>Employee benefits provision (PSAK 219) - Mar</t>
  </si>
  <si>
    <t>Employee benefits provision - Mar</t>
  </si>
  <si>
    <t>Time deposit interest (net) - Mar</t>
  </si>
  <si>
    <t>Final tax on deposit interest 20% - Mar</t>
  </si>
  <si>
    <t>Time deposit interest (gross) - Mar</t>
  </si>
  <si>
    <t>Current account interest - BCA Mar</t>
  </si>
  <si>
    <t>Final tax on interest - BCA Mar</t>
  </si>
  <si>
    <t>Bank admin fee - BCA Mar</t>
  </si>
  <si>
    <t>Current account interest - Mandiri Mar</t>
  </si>
  <si>
    <t>Final tax on interest - Mandiri Mar</t>
  </si>
  <si>
    <t>Bank admin &amp; payroll transfer fees - Mandiri Mar</t>
  </si>
  <si>
    <t>PPh 25 installment - Apr</t>
  </si>
  <si>
    <t>Customer collections (prior month credit sales) - Apr</t>
  </si>
  <si>
    <t>Customer collections - Apr</t>
  </si>
  <si>
    <t>Funding payroll account from BCA - Apr</t>
  </si>
  <si>
    <t>Funding payroll account to Mandiri - Apr</t>
  </si>
  <si>
    <t>Salaries - Selling - Apr</t>
  </si>
  <si>
    <t>BPJS employer - Selling - Apr</t>
  </si>
  <si>
    <t>Salaries - G&amp;A - Apr</t>
  </si>
  <si>
    <t>BPJS employer - G&amp;A - Apr</t>
  </si>
  <si>
    <t>PPh 21 withheld - Apr</t>
  </si>
  <si>
    <t>BPJS payable - Apr</t>
  </si>
  <si>
    <t>Net salary transfer - Apr</t>
  </si>
  <si>
    <t>Long-term loan principal installment - Apr</t>
  </si>
  <si>
    <t>Long-term loan interest 9% p.a. - Apr</t>
  </si>
  <si>
    <t>Long-term loan installment - Apr</t>
  </si>
  <si>
    <t>Short-term loan interest 10% p.a. - Apr</t>
  </si>
  <si>
    <t>Short-term loan interest - Apr</t>
  </si>
  <si>
    <t>PPh 29 payment - FY2025 annual return</t>
  </si>
  <si>
    <t>Cash sales - Apr</t>
  </si>
  <si>
    <t>QRIS / transfer sales settlement - Apr</t>
  </si>
  <si>
    <t>Credit sales - Apr</t>
  </si>
  <si>
    <t>Revenue - Apr</t>
  </si>
  <si>
    <t>Output VAT - Apr</t>
  </si>
  <si>
    <t>Cost of revenue - Apr</t>
  </si>
  <si>
    <t>Inventory relief - Apr</t>
  </si>
  <si>
    <t>Cash deposit to BCA - Apr</t>
  </si>
  <si>
    <t>Vendor bills - Apr</t>
  </si>
  <si>
    <t>Input VAT - Apr</t>
  </si>
  <si>
    <t>PPh Unifikasi withheld - Apr</t>
  </si>
  <si>
    <t>Trade payables - Apr bills</t>
  </si>
  <si>
    <t>Vendor payments batch - Apr</t>
  </si>
  <si>
    <t>VAT offset - Output VAT Apr</t>
  </si>
  <si>
    <t>VAT offset - Input VAT Apr</t>
  </si>
  <si>
    <t>Net VAT payable - Apr</t>
  </si>
  <si>
    <t>Depreciation - Apr</t>
  </si>
  <si>
    <t>Amortization of software - Apr</t>
  </si>
  <si>
    <t>Accumulated depreciation - Apr</t>
  </si>
  <si>
    <t>Prepaid amortization - Apr</t>
  </si>
  <si>
    <t>Employee benefits provision (PSAK 219) - Apr</t>
  </si>
  <si>
    <t>Employee benefits provision - Apr</t>
  </si>
  <si>
    <t>Time deposit interest (net) - Apr</t>
  </si>
  <si>
    <t>Final tax on deposit interest 20% - Apr</t>
  </si>
  <si>
    <t>Time deposit interest (gross) - Apr</t>
  </si>
  <si>
    <t>Current account interest - BCA Apr</t>
  </si>
  <si>
    <t>Final tax on interest - BCA Apr</t>
  </si>
  <si>
    <t>Bank admin fee - BCA Apr</t>
  </si>
  <si>
    <t>Current account interest - Mandiri Apr</t>
  </si>
  <si>
    <t>Final tax on interest - Mandiri Apr</t>
  </si>
  <si>
    <t>Bank admin &amp; payroll transfer fees - Mandiri Apr</t>
  </si>
  <si>
    <t>PPh 25 installment - May</t>
  </si>
  <si>
    <t>Customer collections (prior month credit sales) - May</t>
  </si>
  <si>
    <t>Customer collections - May</t>
  </si>
  <si>
    <t>Funding payroll account from BCA - May</t>
  </si>
  <si>
    <t>Funding payroll account to Mandiri - May</t>
  </si>
  <si>
    <t>Salaries - Selling - May</t>
  </si>
  <si>
    <t>BPJS employer - Selling - May</t>
  </si>
  <si>
    <t>Salaries - G&amp;A - May</t>
  </si>
  <si>
    <t>BPJS employer - G&amp;A - May</t>
  </si>
  <si>
    <t>PPh 21 withheld - May</t>
  </si>
  <si>
    <t>BPJS payable - May</t>
  </si>
  <si>
    <t>Net salary transfer - May</t>
  </si>
  <si>
    <t>Long-term loan principal installment - May</t>
  </si>
  <si>
    <t>Long-term loan interest 9% p.a. - May</t>
  </si>
  <si>
    <t>Long-term loan installment - May</t>
  </si>
  <si>
    <t>Short-term loan interest 10% p.a. - May</t>
  </si>
  <si>
    <t>Short-term loan interest - May</t>
  </si>
  <si>
    <t>Cash dividend FY2025 (GMS resolution)</t>
  </si>
  <si>
    <t>Cash dividend FY2025</t>
  </si>
  <si>
    <t>Cash sales - May</t>
  </si>
  <si>
    <t>QRIS / transfer sales settlement - May</t>
  </si>
  <si>
    <t>Credit sales - May</t>
  </si>
  <si>
    <t>Revenue - May</t>
  </si>
  <si>
    <t>Output VAT - May</t>
  </si>
  <si>
    <t>Cost of revenue - May</t>
  </si>
  <si>
    <t>Inventory relief - May</t>
  </si>
  <si>
    <t>Cash deposit to BCA - May</t>
  </si>
  <si>
    <t>Vendor bills - May</t>
  </si>
  <si>
    <t>Input VAT - May</t>
  </si>
  <si>
    <t>PPh Unifikasi withheld - May</t>
  </si>
  <si>
    <t>Trade payables - May bills</t>
  </si>
  <si>
    <t>Vendor payments batch - May</t>
  </si>
  <si>
    <t>VAT offset - Output VAT May</t>
  </si>
  <si>
    <t>VAT offset - Input VAT May</t>
  </si>
  <si>
    <t>Net VAT payable - May</t>
  </si>
  <si>
    <t>Depreciation - May</t>
  </si>
  <si>
    <t>Amortization of software - May</t>
  </si>
  <si>
    <t>Accumulated depreciation - May</t>
  </si>
  <si>
    <t>Prepaid amortization - May</t>
  </si>
  <si>
    <t>Employee benefits provision (PSAK 219) - May</t>
  </si>
  <si>
    <t>Employee benefits provision - May</t>
  </si>
  <si>
    <t>Time deposit interest (net) - May</t>
  </si>
  <si>
    <t>Final tax on deposit interest 20% - May</t>
  </si>
  <si>
    <t>Time deposit interest (gross) - May</t>
  </si>
  <si>
    <t>Current account interest - BCA May</t>
  </si>
  <si>
    <t>Final tax on interest - BCA May</t>
  </si>
  <si>
    <t>Bank admin fee - BCA May</t>
  </si>
  <si>
    <t>Current account interest - Mandiri May</t>
  </si>
  <si>
    <t>Final tax on interest - Mandiri May</t>
  </si>
  <si>
    <t>Bank admin &amp; payroll transfer fees - Mandiri May</t>
  </si>
  <si>
    <t>PPh 25 installment - Jun</t>
  </si>
  <si>
    <t>Customer collections (prior month credit sales) - Jun</t>
  </si>
  <si>
    <t>Customer collections - Jun</t>
  </si>
  <si>
    <t>Funding payroll account from BCA - Jun</t>
  </si>
  <si>
    <t>Funding payroll account to Mandiri - Jun</t>
  </si>
  <si>
    <t>Salaries - Selling - Jun</t>
  </si>
  <si>
    <t>BPJS employer - Selling - Jun</t>
  </si>
  <si>
    <t>Salaries - G&amp;A - Jun</t>
  </si>
  <si>
    <t>BPJS employer - G&amp;A - Jun</t>
  </si>
  <si>
    <t>PPh 21 withheld - Jun</t>
  </si>
  <si>
    <t>BPJS payable - Jun</t>
  </si>
  <si>
    <t>Net salary transfer - Jun</t>
  </si>
  <si>
    <t>Long-term loan principal installment - Jun</t>
  </si>
  <si>
    <t>Long-term loan interest 9% p.a. - Jun</t>
  </si>
  <si>
    <t>Long-term loan installment - Jun</t>
  </si>
  <si>
    <t>Short-term loan interest 10% p.a. - Jun</t>
  </si>
  <si>
    <t>Short-term loan interest - Jun</t>
  </si>
  <si>
    <t>Cash sales - Jun</t>
  </si>
  <si>
    <t>QRIS / transfer sales settlement - Jun</t>
  </si>
  <si>
    <t>Credit sales - Jun</t>
  </si>
  <si>
    <t>Revenue - Jun</t>
  </si>
  <si>
    <t>Output VAT - Jun</t>
  </si>
  <si>
    <t>Cost of revenue - Jun</t>
  </si>
  <si>
    <t>Inventory relief - Jun</t>
  </si>
  <si>
    <t>Cash deposit to BCA - Jun</t>
  </si>
  <si>
    <t>Vendor bills - Jun</t>
  </si>
  <si>
    <t>Input VAT - Jun</t>
  </si>
  <si>
    <t>PPh Unifikasi withheld - Jun</t>
  </si>
  <si>
    <t>Trade payables - Jun bills</t>
  </si>
  <si>
    <t>Vendor payments batch - Jun</t>
  </si>
  <si>
    <t>VAT offset - Output VAT Jun</t>
  </si>
  <si>
    <t>VAT offset - Input VAT Jun</t>
  </si>
  <si>
    <t>Net VAT payable - Jun</t>
  </si>
  <si>
    <t>Depreciation - Jun</t>
  </si>
  <si>
    <t>Amortization of software - Jun</t>
  </si>
  <si>
    <t>Accumulated depreciation - Jun</t>
  </si>
  <si>
    <t>Prepaid amortization - Jun</t>
  </si>
  <si>
    <t>Employee benefits provision (PSAK 219) - Jun</t>
  </si>
  <si>
    <t>Employee benefits provision - Jun</t>
  </si>
  <si>
    <t>Time deposit interest (net) - Jun</t>
  </si>
  <si>
    <t>Final tax on deposit interest 20% - Jun</t>
  </si>
  <si>
    <t>Time deposit interest (gross) - Jun</t>
  </si>
  <si>
    <t>Current account interest - BCA Jun</t>
  </si>
  <si>
    <t>Final tax on interest - BCA Jun</t>
  </si>
  <si>
    <t>Bank admin fee - BCA Jun</t>
  </si>
  <si>
    <t>Current account interest - Mandiri Jun</t>
  </si>
  <si>
    <t>Final tax on interest - Mandiri Jun</t>
  </si>
  <si>
    <t>Bank admin &amp; payroll transfer fees - Mandiri Jun</t>
  </si>
  <si>
    <t>Repayment of short-term bank loan</t>
  </si>
  <si>
    <t>PPh 25 installment - Jul</t>
  </si>
  <si>
    <t>Customer collections (prior month credit sales) - Jul</t>
  </si>
  <si>
    <t>Customer collections - Jul</t>
  </si>
  <si>
    <t>Funding payroll account from BCA - Jul</t>
  </si>
  <si>
    <t>Funding payroll account to Mandiri - Jul</t>
  </si>
  <si>
    <t>Salaries - Selling - Jul</t>
  </si>
  <si>
    <t>BPJS employer - Selling - Jul</t>
  </si>
  <si>
    <t>Salaries - G&amp;A - Jul</t>
  </si>
  <si>
    <t>BPJS employer - G&amp;A - Jul</t>
  </si>
  <si>
    <t>PPh 21 withheld - Jul</t>
  </si>
  <si>
    <t>BPJS payable - Jul</t>
  </si>
  <si>
    <t>Net salary transfer - Jul</t>
  </si>
  <si>
    <t>Long-term loan principal installment - Jul</t>
  </si>
  <si>
    <t>Long-term loan interest 9% p.a. - Jul</t>
  </si>
  <si>
    <t>Long-term loan installment - Jul</t>
  </si>
  <si>
    <t>Cash sales - Jul</t>
  </si>
  <si>
    <t>QRIS / transfer sales settlement - Jul</t>
  </si>
  <si>
    <t>Credit sales - Jul</t>
  </si>
  <si>
    <t>Revenue - Jul</t>
  </si>
  <si>
    <t>Output VAT - Jul</t>
  </si>
  <si>
    <t>Cost of revenue - Jul</t>
  </si>
  <si>
    <t>Inventory relief - Jul</t>
  </si>
  <si>
    <t>Cash deposit to BCA - Jul</t>
  </si>
  <si>
    <t>Vendor bills - Jul</t>
  </si>
  <si>
    <t>Input VAT - Jul</t>
  </si>
  <si>
    <t>PPh Unifikasi withheld - Jul</t>
  </si>
  <si>
    <t>Trade payables - Jul bills</t>
  </si>
  <si>
    <t>Vendor payments batch - Jul</t>
  </si>
  <si>
    <t>VAT offset - Output VAT Jul</t>
  </si>
  <si>
    <t>VAT offset - Input VAT Jul</t>
  </si>
  <si>
    <t>Net VAT payable - Jul</t>
  </si>
  <si>
    <t>Depreciation - Jul</t>
  </si>
  <si>
    <t>Amortization of software - Jul</t>
  </si>
  <si>
    <t>Accumulated depreciation - Jul</t>
  </si>
  <si>
    <t>Prepaid amortization - Jul</t>
  </si>
  <si>
    <t>Employee benefits provision (PSAK 219) - Jul</t>
  </si>
  <si>
    <t>Employee benefits provision - Jul</t>
  </si>
  <si>
    <t>Time deposit interest (net) - Jul</t>
  </si>
  <si>
    <t>Final tax on deposit interest 20% - Jul</t>
  </si>
  <si>
    <t>Time deposit interest (gross) - Jul</t>
  </si>
  <si>
    <t>Current account interest - BCA Jul</t>
  </si>
  <si>
    <t>Final tax on interest - BCA Jul</t>
  </si>
  <si>
    <t>Bank admin fee - BCA Jul</t>
  </si>
  <si>
    <t>Current account interest - Mandiri Jul</t>
  </si>
  <si>
    <t>Final tax on interest - Mandiri Jul</t>
  </si>
  <si>
    <t>Bank admin &amp; payroll transfer fees - Mandiri Jul</t>
  </si>
  <si>
    <t>PPh 25 installment - Aug</t>
  </si>
  <si>
    <t>Customer collections (prior month credit sales) - Aug</t>
  </si>
  <si>
    <t>Customer collections - Aug</t>
  </si>
  <si>
    <t>Funding payroll account from BCA - Aug</t>
  </si>
  <si>
    <t>Funding payroll account to Mandiri - Aug</t>
  </si>
  <si>
    <t>Salaries - Selling - Aug</t>
  </si>
  <si>
    <t>BPJS employer - Selling - Aug</t>
  </si>
  <si>
    <t>Salaries - G&amp;A - Aug</t>
  </si>
  <si>
    <t>BPJS employer - G&amp;A - Aug</t>
  </si>
  <si>
    <t>PPh 21 withheld - Aug</t>
  </si>
  <si>
    <t>BPJS payable - Aug</t>
  </si>
  <si>
    <t>Net salary transfer - Aug</t>
  </si>
  <si>
    <t>Long-term loan principal installment - Aug</t>
  </si>
  <si>
    <t>Long-term loan interest 9% p.a. - Aug</t>
  </si>
  <si>
    <t>Long-term loan installment - Aug</t>
  </si>
  <si>
    <t>Cash sales - Aug</t>
  </si>
  <si>
    <t>QRIS / transfer sales settlement - Aug</t>
  </si>
  <si>
    <t>Credit sales - Aug</t>
  </si>
  <si>
    <t>Revenue - Aug</t>
  </si>
  <si>
    <t>Output VAT - Aug</t>
  </si>
  <si>
    <t>Cost of revenue - Aug</t>
  </si>
  <si>
    <t>Inventory relief - Aug</t>
  </si>
  <si>
    <t>Cash deposit to BCA - Aug</t>
  </si>
  <si>
    <t>Vendor bills - Aug</t>
  </si>
  <si>
    <t>Input VAT - Aug</t>
  </si>
  <si>
    <t>PPh Unifikasi withheld - Aug</t>
  </si>
  <si>
    <t>Trade payables - Aug bills</t>
  </si>
  <si>
    <t>Vendor payments batch - Aug</t>
  </si>
  <si>
    <t>VAT offset - Output VAT Aug</t>
  </si>
  <si>
    <t>VAT offset - Input VAT Aug</t>
  </si>
  <si>
    <t>Net VAT payable - Aug</t>
  </si>
  <si>
    <t>Depreciation - Aug</t>
  </si>
  <si>
    <t>Amortization of software - Aug</t>
  </si>
  <si>
    <t>Accumulated depreciation - Aug</t>
  </si>
  <si>
    <t>Prepaid amortization - Aug</t>
  </si>
  <si>
    <t>Employee benefits provision (PSAK 219) - Aug</t>
  </si>
  <si>
    <t>Employee benefits provision - Aug</t>
  </si>
  <si>
    <t>Time deposit interest (net) - Aug</t>
  </si>
  <si>
    <t>Final tax on deposit interest 20% - Aug</t>
  </si>
  <si>
    <t>Time deposit interest (gross) - Aug</t>
  </si>
  <si>
    <t>Current account interest - BCA Aug</t>
  </si>
  <si>
    <t>Final tax on interest - BCA Aug</t>
  </si>
  <si>
    <t>Bank admin fee - BCA Aug</t>
  </si>
  <si>
    <t>Current account interest - Mandiri Aug</t>
  </si>
  <si>
    <t>Final tax on interest - Mandiri Aug</t>
  </si>
  <si>
    <t>Bank admin &amp; payroll transfer fees - Mandiri Aug</t>
  </si>
  <si>
    <t>PPh 25 installment - Sep</t>
  </si>
  <si>
    <t>Customer collections (prior month credit sales) - Sep</t>
  </si>
  <si>
    <t>Customer collections - Sep</t>
  </si>
  <si>
    <t>Funding payroll account from BCA - Sep</t>
  </si>
  <si>
    <t>Funding payroll account to Mandiri - Sep</t>
  </si>
  <si>
    <t>Salaries - Selling - Sep</t>
  </si>
  <si>
    <t>BPJS employer - Selling - Sep</t>
  </si>
  <si>
    <t>Salaries - G&amp;A - Sep</t>
  </si>
  <si>
    <t>BPJS employer - G&amp;A - Sep</t>
  </si>
  <si>
    <t>PPh 21 withheld - Sep</t>
  </si>
  <si>
    <t>BPJS payable - Sep</t>
  </si>
  <si>
    <t>Net salary transfer - Sep</t>
  </si>
  <si>
    <t>Long-term loan principal installment - Sep</t>
  </si>
  <si>
    <t>Long-term loan interest 9% p.a. - Sep</t>
  </si>
  <si>
    <t>Long-term loan installment - Sep</t>
  </si>
  <si>
    <t>Cash sales - Sep</t>
  </si>
  <si>
    <t>QRIS / transfer sales settlement - Sep</t>
  </si>
  <si>
    <t>Credit sales - Sep</t>
  </si>
  <si>
    <t>Revenue - Sep</t>
  </si>
  <si>
    <t>Output VAT - Sep</t>
  </si>
  <si>
    <t>Cost of revenue - Sep</t>
  </si>
  <si>
    <t>Inventory relief - Sep</t>
  </si>
  <si>
    <t>Cash deposit to BCA - Sep</t>
  </si>
  <si>
    <t>Vendor bills - Sep</t>
  </si>
  <si>
    <t>Input VAT - Sep</t>
  </si>
  <si>
    <t>PPh Unifikasi withheld - Sep</t>
  </si>
  <si>
    <t>Trade payables - Sep bills</t>
  </si>
  <si>
    <t>Vendor payments batch - Sep</t>
  </si>
  <si>
    <t>VAT offset - Output VAT Sep</t>
  </si>
  <si>
    <t>VAT offset - Input VAT Sep</t>
  </si>
  <si>
    <t>Net VAT payable - Sep</t>
  </si>
  <si>
    <t>Depreciation - Sep</t>
  </si>
  <si>
    <t>Amortization of software - Sep</t>
  </si>
  <si>
    <t>Accumulated depreciation - Sep</t>
  </si>
  <si>
    <t>Prepaid amortization - Sep</t>
  </si>
  <si>
    <t>Employee benefits provision (PSAK 219) - Sep</t>
  </si>
  <si>
    <t>Employee benefits provision - Sep</t>
  </si>
  <si>
    <t>Time deposit interest (net) - Sep</t>
  </si>
  <si>
    <t>Final tax on deposit interest 20% - Sep</t>
  </si>
  <si>
    <t>Time deposit interest (gross) - Sep</t>
  </si>
  <si>
    <t>Current account interest - BCA Sep</t>
  </si>
  <si>
    <t>Final tax on interest - BCA Sep</t>
  </si>
  <si>
    <t>Bank admin fee - BCA Sep</t>
  </si>
  <si>
    <t>Current account interest - Mandiri Sep</t>
  </si>
  <si>
    <t>Final tax on interest - Mandiri Sep</t>
  </si>
  <si>
    <t>Bank admin &amp; payroll transfer fees - Mandiri Sep</t>
  </si>
  <si>
    <t>PPh 25 installment - Oct</t>
  </si>
  <si>
    <t>Customer collections (prior month credit sales) - Oct</t>
  </si>
  <si>
    <t>Customer collections - Oct</t>
  </si>
  <si>
    <t>Funding payroll account from BCA - Oct</t>
  </si>
  <si>
    <t>Funding payroll account to Mandiri - Oct</t>
  </si>
  <si>
    <t>Salaries - Selling - Oct</t>
  </si>
  <si>
    <t>BPJS employer - Selling - Oct</t>
  </si>
  <si>
    <t>Salaries - G&amp;A - Oct</t>
  </si>
  <si>
    <t>BPJS employer - G&amp;A - Oct</t>
  </si>
  <si>
    <t>PPh 21 withheld - Oct</t>
  </si>
  <si>
    <t>BPJS payable - Oct</t>
  </si>
  <si>
    <t>Net salary transfer - Oct</t>
  </si>
  <si>
    <t>Long-term loan principal installment - Oct</t>
  </si>
  <si>
    <t>Long-term loan interest 9% p.a. - Oct</t>
  </si>
  <si>
    <t>Long-term loan installment - Oct</t>
  </si>
  <si>
    <t>Vendor payments batch - Oct</t>
  </si>
  <si>
    <t>Cash sales - Oct</t>
  </si>
  <si>
    <t>QRIS / transfer sales settlement - Oct</t>
  </si>
  <si>
    <t>Credit sales - Oct</t>
  </si>
  <si>
    <t>Revenue - Oct</t>
  </si>
  <si>
    <t>Output VAT - Oct</t>
  </si>
  <si>
    <t>Cost of revenue - Oct</t>
  </si>
  <si>
    <t>Inventory relief - Oct</t>
  </si>
  <si>
    <t>Cash deposit to BCA - Oct</t>
  </si>
  <si>
    <t>Vendor bills - Oct</t>
  </si>
  <si>
    <t>Input VAT - Oct</t>
  </si>
  <si>
    <t>PPh Unifikasi withheld - Oct</t>
  </si>
  <si>
    <t>Trade payables - Oct bills</t>
  </si>
  <si>
    <t>VAT offset - Output VAT Oct</t>
  </si>
  <si>
    <t>VAT offset - Input VAT Oct</t>
  </si>
  <si>
    <t>Net VAT payable - Oct</t>
  </si>
  <si>
    <t>Depreciation - Oct</t>
  </si>
  <si>
    <t>Amortization of software - Oct</t>
  </si>
  <si>
    <t>Accumulated depreciation - Oct</t>
  </si>
  <si>
    <t>Prepaid amortization - Oct</t>
  </si>
  <si>
    <t>Employee benefits provision (PSAK 219) - Oct</t>
  </si>
  <si>
    <t>Employee benefits provision - Oct</t>
  </si>
  <si>
    <t>Time deposit interest (net) - Oct</t>
  </si>
  <si>
    <t>Final tax on deposit interest 20% - Oct</t>
  </si>
  <si>
    <t>Time deposit interest (gross) - Oct</t>
  </si>
  <si>
    <t>PPh 25 installment - Nov</t>
  </si>
  <si>
    <t>Customer collections (prior month credit sales) - Nov</t>
  </si>
  <si>
    <t>Customer collections - Nov</t>
  </si>
  <si>
    <t>Funding payroll account from BCA - Nov</t>
  </si>
  <si>
    <t>Funding payroll account to Mandiri - Nov</t>
  </si>
  <si>
    <t>Salaries - Selling - Nov</t>
  </si>
  <si>
    <t>BPJS employer - Selling - Nov</t>
  </si>
  <si>
    <t>Salaries - G&amp;A - Nov</t>
  </si>
  <si>
    <t>BPJS employer - G&amp;A - Nov</t>
  </si>
  <si>
    <t>PPh 21 withheld - Nov</t>
  </si>
  <si>
    <t>BPJS payable - Nov</t>
  </si>
  <si>
    <t>Net salary transfer - Nov</t>
  </si>
  <si>
    <t>Long-term loan principal installment - Nov</t>
  </si>
  <si>
    <t>Long-term loan interest 9% p.a. - Nov</t>
  </si>
  <si>
    <t>Long-term loan installment - Nov</t>
  </si>
  <si>
    <t>Cash sales - Nov</t>
  </si>
  <si>
    <t>QRIS / transfer sales settlement - Nov</t>
  </si>
  <si>
    <t>Credit sales - Nov</t>
  </si>
  <si>
    <t>Revenue - Nov</t>
  </si>
  <si>
    <t>Output VAT - Nov</t>
  </si>
  <si>
    <t>Cost of revenue - Nov</t>
  </si>
  <si>
    <t>Inventory relief - Nov</t>
  </si>
  <si>
    <t>Cash deposit to BCA - Nov</t>
  </si>
  <si>
    <t>Vendor bills - Nov</t>
  </si>
  <si>
    <t>Input VAT - Nov</t>
  </si>
  <si>
    <t>PPh Unifikasi withheld - Nov</t>
  </si>
  <si>
    <t>Trade payables - Nov bills</t>
  </si>
  <si>
    <t>Vendor payments batch - Nov</t>
  </si>
  <si>
    <t>VAT offset - Output VAT Nov</t>
  </si>
  <si>
    <t>VAT offset - Input VAT Nov</t>
  </si>
  <si>
    <t>Net VAT payable - Nov</t>
  </si>
  <si>
    <t>Depreciation - Nov</t>
  </si>
  <si>
    <t>Amortization of software - Nov</t>
  </si>
  <si>
    <t>Accumulated depreciation - Nov</t>
  </si>
  <si>
    <t>Prepaid amortization - Nov</t>
  </si>
  <si>
    <t>Employee benefits provision (PSAK 219) - Nov</t>
  </si>
  <si>
    <t>Employee benefits provision - Nov</t>
  </si>
  <si>
    <t>Time deposit interest (net) - Nov</t>
  </si>
  <si>
    <t>Final tax on deposit interest 20% - Nov</t>
  </si>
  <si>
    <t>Time deposit interest (gross) - Nov</t>
  </si>
  <si>
    <t>Current account interest - BCA Nov</t>
  </si>
  <si>
    <t>Final tax on interest - BCA Nov</t>
  </si>
  <si>
    <t>Bank admin fee - BCA Nov</t>
  </si>
  <si>
    <t>Current account interest - Mandiri Nov</t>
  </si>
  <si>
    <t>Final tax on interest - Mandiri Nov</t>
  </si>
  <si>
    <t>Bank admin &amp; payroll transfer fees - Mandiri Nov</t>
  </si>
  <si>
    <t>PPh 25 installment - Dec</t>
  </si>
  <si>
    <t>Customer collections (prior month credit sales) - Dec</t>
  </si>
  <si>
    <t>Customer collections - Dec</t>
  </si>
  <si>
    <t>Funding payroll account from BCA - Dec</t>
  </si>
  <si>
    <t>Funding payroll account to Mandiri - Dec</t>
  </si>
  <si>
    <t>Salaries - Selling - Dec</t>
  </si>
  <si>
    <t>BPJS employer - Selling - Dec</t>
  </si>
  <si>
    <t>Salaries - G&amp;A - Dec</t>
  </si>
  <si>
    <t>BPJS employer - G&amp;A - Dec</t>
  </si>
  <si>
    <t>PPh 21 withheld - Dec</t>
  </si>
  <si>
    <t>BPJS payable - Dec</t>
  </si>
  <si>
    <t>Net salary transfer - Dec</t>
  </si>
  <si>
    <t>Long-term loan principal installment - Dec</t>
  </si>
  <si>
    <t>Long-term loan interest 9% p.a. - Dec</t>
  </si>
  <si>
    <t>Long-term loan installment - Dec</t>
  </si>
  <si>
    <t>Cash sales - Dec</t>
  </si>
  <si>
    <t>QRIS / transfer sales settlement - Dec</t>
  </si>
  <si>
    <t>Credit sales - Dec</t>
  </si>
  <si>
    <t>Revenue - Dec</t>
  </si>
  <si>
    <t>Output VAT - Dec</t>
  </si>
  <si>
    <t>Cost of revenue - Dec</t>
  </si>
  <si>
    <t>Inventory relief - Dec</t>
  </si>
  <si>
    <t>Cash deposit to BCA - Dec</t>
  </si>
  <si>
    <t>Vendor bills - Dec</t>
  </si>
  <si>
    <t>Input VAT - Dec</t>
  </si>
  <si>
    <t>PPh Unifikasi withheld - Dec</t>
  </si>
  <si>
    <t>Trade payables - Dec bills</t>
  </si>
  <si>
    <t>Vendor payments batch - Dec</t>
  </si>
  <si>
    <t>VAT offset - Output VAT Dec</t>
  </si>
  <si>
    <t>VAT offset - Input VAT Dec</t>
  </si>
  <si>
    <t>Net VAT payable - Dec</t>
  </si>
  <si>
    <t>Depreciation - Dec</t>
  </si>
  <si>
    <t>Amortization of software - Dec</t>
  </si>
  <si>
    <t>Accumulated depreciation - Dec</t>
  </si>
  <si>
    <t>Prepaid amortization - Dec</t>
  </si>
  <si>
    <t>Employee benefits provision (PSAK 219) - Dec</t>
  </si>
  <si>
    <t>Employee benefits provision - Dec</t>
  </si>
  <si>
    <t>Time deposit interest (net) - Dec</t>
  </si>
  <si>
    <t>Final tax on deposit interest 20% - Dec</t>
  </si>
  <si>
    <t>Time deposit interest (gross) - Dec</t>
  </si>
  <si>
    <t>Current account interest - BCA Dec</t>
  </si>
  <si>
    <t>Final tax on interest - BCA Dec</t>
  </si>
  <si>
    <t>Bank admin fee - BCA Dec</t>
  </si>
  <si>
    <t>Current account interest - Mandiri Dec</t>
  </si>
  <si>
    <t>Final tax on interest - Mandiri Dec</t>
  </si>
  <si>
    <t>Bank admin &amp; payroll transfer fees - Mandiri Dec</t>
  </si>
  <si>
    <t>Accrued utilities - Dec 2026</t>
  </si>
  <si>
    <t>Expected credit loss provision (PSAK 109)</t>
  </si>
  <si>
    <t>Expected credit loss provision</t>
  </si>
  <si>
    <t>Auto-Tax</t>
  </si>
  <si>
    <t>Auto-Payments</t>
  </si>
  <si>
    <t>Auto-Collections</t>
  </si>
  <si>
    <t>Auto-Payroll</t>
  </si>
  <si>
    <t>Auto-Sales</t>
  </si>
  <si>
    <t>Auto-Purchases</t>
  </si>
  <si>
    <t>Auto-Depreciation</t>
  </si>
  <si>
    <t>Auto-Prepaid</t>
  </si>
  <si>
    <t>GENERAL JOURNAL</t>
  </si>
  <si>
    <t>Rows with Source = Auto-* are formula-driven from sub-ledgers &amp; schedules (do not overwrite). Add manual entries at the bottom with Source = Manual. Income tax provision posts from Tax Reconciliation.</t>
  </si>
  <si>
    <t>BANK STATEMENT (REKENING KORAN) – BCA &amp; MANDIRI</t>
  </si>
  <si>
    <t>Paste/import bank mutations here (blue). Status checks each line against the General Journal by Reference (voucher) + account + amount.</t>
  </si>
  <si>
    <t>Bank</t>
  </si>
  <si>
    <t>Account No</t>
  </si>
  <si>
    <t>Opening Balance per Statement</t>
  </si>
  <si>
    <t>Closing Balance per Statement</t>
  </si>
  <si>
    <t>Bank BCA</t>
  </si>
  <si>
    <t>527-001-8899</t>
  </si>
  <si>
    <t>Bank Mandiri</t>
  </si>
  <si>
    <t>123-00-0456789-0</t>
  </si>
  <si>
    <t>Seq</t>
  </si>
  <si>
    <t>Value Date</t>
  </si>
  <si>
    <t>Reference</t>
  </si>
  <si>
    <t>Money In</t>
  </si>
  <si>
    <t>Money Out</t>
  </si>
  <si>
    <t>Balance</t>
  </si>
  <si>
    <t>GJ Amount</t>
  </si>
  <si>
    <t>BCA</t>
  </si>
  <si>
    <t>MPN G3 TAX PAYMENT - PPh 21</t>
  </si>
  <si>
    <t>BPJS KES &amp; TK CONTRIBUTION</t>
  </si>
  <si>
    <t>TRSF DB ACCRUED EXPENSES</t>
  </si>
  <si>
    <t>MPN G3 TAX PAYMENT - PPh UNIFIKASI</t>
  </si>
  <si>
    <t>MPN G3 TAX PAYMENT - PPh 25</t>
  </si>
  <si>
    <t>TRSF DB VENDOR PAYMENT BATCH</t>
  </si>
  <si>
    <t>TRSF CR CUSTOMER PAYMENTS (VA)</t>
  </si>
  <si>
    <t>TRSF DB TO MANDIRI - PAYROLL FUNDING</t>
  </si>
  <si>
    <t>MPN G3 TAX PAYMENT - PPN</t>
  </si>
  <si>
    <t>LOAN INSTALLMENT - KI</t>
  </si>
  <si>
    <t>LOAN INTEREST - KMK</t>
  </si>
  <si>
    <t>TRSF CR QRIS/EDC MERCHANT SETTLEMENT</t>
  </si>
  <si>
    <t>SETORAN TUNAI - CASH DEPOSIT</t>
  </si>
  <si>
    <t>DEPOSITO INTEREST NET OF TAX</t>
  </si>
  <si>
    <t>BUNGA / INTEREST CREDIT</t>
  </si>
  <si>
    <t>PAJAK BUNGA / TAX ON INTEREST</t>
  </si>
  <si>
    <t>BIAYA ADM / ADMIN &amp; TRANSFER FEES</t>
  </si>
  <si>
    <t>MPN G3 TAX PAYMENT - PPh 29</t>
  </si>
  <si>
    <t>TRSF DB DIVIDEND PAYMENT</t>
  </si>
  <si>
    <t>KMK LOAN REPAYMENT</t>
  </si>
  <si>
    <t>BNK-INT-2610</t>
  </si>
  <si>
    <t>BNK-TAX-2610</t>
  </si>
  <si>
    <t>BIAYA ADM / ADMIN FEE</t>
  </si>
  <si>
    <t>BNK-ADM-2610</t>
  </si>
  <si>
    <t>Mandiri</t>
  </si>
  <si>
    <t>TRSF CR FROM BCA - PAYROLL FUNDING</t>
  </si>
  <si>
    <t>PAYROLL CREDIT - KOLEKTIF</t>
  </si>
  <si>
    <t>Lines not in GJ:</t>
  </si>
  <si>
    <t>TAX RECONCILIATION – PPN, PPh 21, PPh UNIFIKASI, PPh 25 &amp; PPh BADAN</t>
  </si>
  <si>
    <t>Item</t>
  </si>
  <si>
    <t>GL Code</t>
  </si>
  <si>
    <t>YTD (to cut-off)</t>
  </si>
  <si>
    <t>A. VALUE ADDED TAX (PPN)</t>
  </si>
  <si>
    <t>Output VAT per Sales sub-ledger</t>
  </si>
  <si>
    <t>Output VAT per General Ledger</t>
  </si>
  <si>
    <t>Difference</t>
  </si>
  <si>
    <t>Input VAT per Purchases sub-ledger</t>
  </si>
  <si>
    <t>Input VAT per General Ledger</t>
  </si>
  <si>
    <t>Net VAT payable / (overpaid) for the month</t>
  </si>
  <si>
    <t>VAT paid in the following month (per GL)</t>
  </si>
  <si>
    <t>Outstanding at month-end (due next month)</t>
  </si>
  <si>
    <t>Equalisation: Revenue per GL</t>
  </si>
  <si>
    <t>Expected Output VAT (Revenue × effective rate)</t>
  </si>
  <si>
    <t>Equalisation difference (line rounding)</t>
  </si>
  <si>
    <t>B. EMPLOYEE INCOME TAX (PPh 21 – TER)</t>
  </si>
  <si>
    <t>Gross salary per Payroll</t>
  </si>
  <si>
    <t>Salary expense per GL (6110 + 6210)</t>
  </si>
  <si>
    <t>PPh 21 per Payroll (TER)</t>
  </si>
  <si>
    <t>PPh 21 per General Ledger</t>
  </si>
  <si>
    <t>PPh 21 paid in the following month (per GL)</t>
  </si>
  <si>
    <t>Effective PPh 21 rate (% of gross)</t>
  </si>
  <si>
    <t>C. WITHHOLDING TAX – PPh UNIFIKASI (Art. 23 / Art. 4(2))</t>
  </si>
  <si>
    <t>Art. 23 base – services (DPP)</t>
  </si>
  <si>
    <t>Art. 23 withheld</t>
  </si>
  <si>
    <t>Art. 4(2) base – building rent (DPP)</t>
  </si>
  <si>
    <t>Art. 4(2) withheld (final)</t>
  </si>
  <si>
    <t>Total PPh Unifikasi per Purchases</t>
  </si>
  <si>
    <t>PPh Unifikasi per General Ledger</t>
  </si>
  <si>
    <t>Paid in the following month (per GL)</t>
  </si>
  <si>
    <t>Equalisation: expected Art. 23 (base × rate)</t>
  </si>
  <si>
    <t>Equalisation difference</t>
  </si>
  <si>
    <t>D. PPh 25 INSTALLMENTS</t>
  </si>
  <si>
    <t>Installment required</t>
  </si>
  <si>
    <t>Installment paid per General Ledger</t>
  </si>
  <si>
    <t>E. CORPORATE INCOME TAX (PPh BADAN) – FISCAL RECONCILIATION (YTD to cut-off)</t>
  </si>
  <si>
    <t>Revenue (YTD)</t>
  </si>
  <si>
    <t>Commercial profit before tax</t>
  </si>
  <si>
    <t>Positive fiscal corrections:</t>
  </si>
  <si>
    <t xml:space="preserve">  Final income tax expense (non-deductible)</t>
  </si>
  <si>
    <t xml:space="preserve">  Entertainment &amp; donations (no nominative list)</t>
  </si>
  <si>
    <t xml:space="preserve">  Employee benefits provision (not yet paid)</t>
  </si>
  <si>
    <t xml:space="preserve">  Expected credit loss provision</t>
  </si>
  <si>
    <t>Total positive corrections</t>
  </si>
  <si>
    <t>Negative fiscal corrections:</t>
  </si>
  <si>
    <t xml:space="preserve">  Interest income subject to final tax</t>
  </si>
  <si>
    <t>Total negative corrections</t>
  </si>
  <si>
    <t>Fiscal profit</t>
  </si>
  <si>
    <t>Taxable income (rounded down to thousand)</t>
  </si>
  <si>
    <t>Art. 31E facility portion of taxable income</t>
  </si>
  <si>
    <t>Non-facility portion</t>
  </si>
  <si>
    <t>CIT on facility portion (50% × rate)</t>
  </si>
  <si>
    <t>CIT on non-facility portion</t>
  </si>
  <si>
    <t>Corporate income tax expense – current</t>
  </si>
  <si>
    <t>Less: PPh 25 installments paid (YTD)</t>
  </si>
  <si>
    <t>PPh 29 payable / (overpaid) – indicative</t>
  </si>
  <si>
    <t>Effective tax rate (CIT ÷ profit before tax)</t>
  </si>
  <si>
    <t>F. AUTO-POSTING OF INCOME TAX PROVISION (feeds Trial Balance)</t>
  </si>
  <si>
    <t>Current income tax expense</t>
  </si>
  <si>
    <t>Corporate income tax payable</t>
  </si>
  <si>
    <t>TRIAL BALANCE</t>
  </si>
  <si>
    <t>Period Debit</t>
  </si>
  <si>
    <t>Period Credit</t>
  </si>
  <si>
    <t>Closing Balance</t>
  </si>
  <si>
    <t>Opening (Dr+/Cr−)</t>
  </si>
  <si>
    <t>Closing (Dr+/Cr−)</t>
  </si>
  <si>
    <t>TB Debit</t>
  </si>
  <si>
    <t>TB Credit</t>
  </si>
  <si>
    <t>G. TAX ACCOUNT BALANCES – GENERAL LEDGER vs EXPECTED (at Period End)</t>
  </si>
  <si>
    <t>Tax account</t>
  </si>
  <si>
    <t>Balance per GL</t>
  </si>
  <si>
    <t>Expected</t>
  </si>
  <si>
    <t>Basis of expectation</t>
  </si>
  <si>
    <t>Offset monthly against Output VAT</t>
  </si>
  <si>
    <t>Offset monthly against Input VAT</t>
  </si>
  <si>
    <t>VAT payable – net</t>
  </si>
  <si>
    <t>Net VAT of cut-off month (paid next month)</t>
  </si>
  <si>
    <t>WHT payable – PPh 21</t>
  </si>
  <si>
    <t>PPh 21 of cut-off month (paid by 10th)</t>
  </si>
  <si>
    <t>WHT payable – PPh Unifikasi</t>
  </si>
  <si>
    <t>Withholding of cut-off month (paid by 15th)</t>
  </si>
  <si>
    <t>Prepaid income tax – PPh 25</t>
  </si>
  <si>
    <t>Installments paid YTD</t>
  </si>
  <si>
    <t>Current tax provision YTD (prior year paid)</t>
  </si>
  <si>
    <t>BPJS payable (related)</t>
  </si>
  <si>
    <t>BPJS of cut-off month (paid by 10th)</t>
  </si>
  <si>
    <t>OVERALL TAX RECONCILIATION STATUS</t>
  </si>
  <si>
    <t>BANK RECONCILIATION – GENERAL LEDGER vs BANK STATEMENT</t>
  </si>
  <si>
    <t>Bank account ▼</t>
  </si>
  <si>
    <t>Reconciliation date</t>
  </si>
  <si>
    <t>PER BANK STATEMENT</t>
  </si>
  <si>
    <t>Balance per bank statement</t>
  </si>
  <si>
    <t>Add: Deposits in transit (in GJ, not yet credited by bank)</t>
  </si>
  <si>
    <t>Less: Outstanding payments (in GJ, not yet debited by bank)</t>
  </si>
  <si>
    <t>Adjusted bank balance</t>
  </si>
  <si>
    <t>PER GENERAL LEDGER (BOOKS)</t>
  </si>
  <si>
    <t>Balance per General Ledger</t>
  </si>
  <si>
    <t>Add: Bank credits not yet recorded in GJ (interest etc.)</t>
  </si>
  <si>
    <t>Less: Bank debits not yet recorded in GJ (fees, tax on interest)</t>
  </si>
  <si>
    <t>Adjusted book balance</t>
  </si>
  <si>
    <t>UNRECONCILED DIFFERENCE (must be zero)</t>
  </si>
  <si>
    <t>A. BANK ITEMS NOT YET RECORDED IN GENERAL JOURNAL → propose adjusting entries</t>
  </si>
  <si>
    <t>B. GJ ITEMS IN TRANSIT (recorded in books, not yet on bank statement at reconciliation date)</t>
  </si>
  <si>
    <t>MONTHLY RECONCILIATION SUMMARY (both banks)</t>
  </si>
  <si>
    <t>Month-end</t>
  </si>
  <si>
    <t>BCA – Statement</t>
  </si>
  <si>
    <t>BCA – Books</t>
  </si>
  <si>
    <t>BCA – Unexplained</t>
  </si>
  <si>
    <t>Mandiri – Statement</t>
  </si>
  <si>
    <t>Mandiri – Books</t>
  </si>
  <si>
    <t>Mandiri – Unexplained</t>
  </si>
  <si>
    <t>STATEMENT OF PROFIT OR LOSS AND OTHER COMPREHENSIVE INCOME</t>
  </si>
  <si>
    <t>(Expressed in Indonesian Rupiah, unless otherwise stated)</t>
  </si>
  <si>
    <t>GROSS PROFIT</t>
  </si>
  <si>
    <t>OPERATING PROFIT</t>
  </si>
  <si>
    <t>Other expenses (incl. final tax)</t>
  </si>
  <si>
    <t>PROFIT BEFORE INCOME TAX</t>
  </si>
  <si>
    <t>Income tax expense – current</t>
  </si>
  <si>
    <t>PROFIT FOR THE PERIOD</t>
  </si>
  <si>
    <t>OTHER COMPREHENSIVE INCOME</t>
  </si>
  <si>
    <t>Remeasurement of employee benefits (not reclassified)</t>
  </si>
  <si>
    <t>TOTAL COMPREHENSIVE INCOME FOR THE PERIOD</t>
  </si>
  <si>
    <t>Basic earnings per share (full Rupiah)</t>
  </si>
  <si>
    <t>STATEMENT OF FINANCIAL POSITION</t>
  </si>
  <si>
    <t>ASSETS</t>
  </si>
  <si>
    <t>Current assets</t>
  </si>
  <si>
    <t>Total current assets</t>
  </si>
  <si>
    <t>Non-current assets</t>
  </si>
  <si>
    <t>Total non-current assets</t>
  </si>
  <si>
    <t>TOTAL ASSETS</t>
  </si>
  <si>
    <t>LIABILITIES AND EQUITY</t>
  </si>
  <si>
    <t>Current liabilities</t>
  </si>
  <si>
    <t>Total current liabilities</t>
  </si>
  <si>
    <t>Non-current liabilities</t>
  </si>
  <si>
    <t>Total non-current liabilities</t>
  </si>
  <si>
    <t>TOTAL LIABILITIES</t>
  </si>
  <si>
    <t>TOTAL EQUITY</t>
  </si>
  <si>
    <t>TOTAL LIABILITIES AND EQUITY</t>
  </si>
  <si>
    <t>Balance check (Assets − Liabilities − Equity)</t>
  </si>
  <si>
    <t>STATEMENT OF CHANGES IN EQUITY</t>
  </si>
  <si>
    <t>Total equity</t>
  </si>
  <si>
    <t>Profit for the period</t>
  </si>
  <si>
    <t>Other comprehensive income</t>
  </si>
  <si>
    <t>Cash dividends declared</t>
  </si>
  <si>
    <t>Check vs Statement of Financial Position (must be 0)</t>
  </si>
  <si>
    <t>STATEMENT OF CASH FLOWS (INDIRECT METHOD)</t>
  </si>
  <si>
    <t>CASH FLOWS FROM OPERATING ACTIVITIES</t>
  </si>
  <si>
    <t>Adjustments for:</t>
  </si>
  <si>
    <t>Changes in working capital:</t>
  </si>
  <si>
    <t>Trade &amp; other receivables</t>
  </si>
  <si>
    <t>Accrued expenses &amp; other liabilities</t>
  </si>
  <si>
    <t>Net cash from operating activities</t>
  </si>
  <si>
    <t>CASH FLOWS FROM INVESTING ACTIVITIES</t>
  </si>
  <si>
    <t>Acquisition of fixed assets</t>
  </si>
  <si>
    <t>Acquisition of intangible assets</t>
  </si>
  <si>
    <t>Net cash used in investing activities</t>
  </si>
  <si>
    <t>CASH FLOWS FROM FINANCING ACTIVITIES</t>
  </si>
  <si>
    <t>Proceeds from / (repayment of) bank loans</t>
  </si>
  <si>
    <t>Dividends paid</t>
  </si>
  <si>
    <t>Share capital transactions</t>
  </si>
  <si>
    <t>Net cash from / (used in) financing activities</t>
  </si>
  <si>
    <t>NET INCREASE / (DECREASE) IN CASH AND CASH EQUIVALENTS</t>
  </si>
  <si>
    <t>Cash and cash equivalents at beginning of period</t>
  </si>
  <si>
    <t>CASH AND CASH EQUIVALENTS AT END OF PERIOD</t>
  </si>
  <si>
    <t>GENERAL LEDGER (BUKU BESAR)</t>
  </si>
  <si>
    <t>Account code ▼</t>
  </si>
  <si>
    <t>Account name</t>
  </si>
  <si>
    <t>Normal balance</t>
  </si>
  <si>
    <t>Opening balance</t>
  </si>
  <si>
    <t>Total debit</t>
  </si>
  <si>
    <t>Total credit</t>
  </si>
  <si>
    <t>Tax provision (auto)</t>
  </si>
  <si>
    <t>Closing balance</t>
  </si>
  <si>
    <t>Check vs Trial Balance</t>
  </si>
  <si>
    <t>Running Balance</t>
  </si>
  <si>
    <t>NOTES TO THE FINANCIAL STATEMENTS</t>
  </si>
  <si>
    <t>GENERAL</t>
  </si>
  <si>
    <t>MATERIAL ACCOUNTING POLICIES</t>
  </si>
  <si>
    <t>a. Basis of preparation</t>
  </si>
  <si>
    <t>The financial statements have been prepared in accordance with Indonesian Financial Accounting Standards (SAK Indonesia/PSAK) issued by DSAK-IAI, on the accrual basis and the historical cost convention, except as stated otherwise. The statement of cash flows uses the indirect method. The functional and presentation currency is Indonesian Rupiah.</t>
  </si>
  <si>
    <t>b. Cash and cash equivalents</t>
  </si>
  <si>
    <t>Cash and cash equivalents comprise cash on hand, cash in banks and time deposits with maturities of three months or less that are not pledged.</t>
  </si>
  <si>
    <t>c. Financial instruments (PSAK 109)</t>
  </si>
  <si>
    <t>Trade receivables are measured at amortised cost less an allowance for expected credit losses (ECL) using a simplified approach based on historical loss experience adjusted for forward-looking information.</t>
  </si>
  <si>
    <t>d. Inventories (PSAK 202)</t>
  </si>
  <si>
    <t>Inventories are stated at the lower of cost and net realisable value. Cost is determined using the weighted-average method.</t>
  </si>
  <si>
    <t>e. Prepaid expenses</t>
  </si>
  <si>
    <t>Prepaid rent, insurance and software subscriptions are amortised on a straight-line basis over the period of benefit (see Prepaid Schedule).</t>
  </si>
  <si>
    <t>f. Fixed assets &amp; intangibles (PSAK 216 / PSAK 238)</t>
  </si>
  <si>
    <t>Fixed assets are stated at cost less accumulated depreciation. Depreciation is calculated using the straight-line method from the month of acquisition: buildings 20 years; vehicles and machinery &amp; equipment 8 years; office furniture &amp; equipment and software 4 years. Land is not depreciated.</t>
  </si>
  <si>
    <t>g. Revenue (PSAK 115)</t>
  </si>
  <si>
    <t>h. Employee benefits (PSAK 219)</t>
  </si>
  <si>
    <t>Short-term employee benefits are recognised when services are rendered. Post-employment benefits under Law No. 6/2023 are provided for based on management's estimate (actuarial valuation to be obtained at year-end).</t>
  </si>
  <si>
    <t>i. Income tax (PSAK 212) &amp; VAT</t>
  </si>
  <si>
    <t>Current tax expense is determined based on taxable income for the period using the prevailing rate, including the Art. 31E facility where applicable. Interest income subject to final tax is excluded from taxable income. Revenue, expenses and assets are recognised net of VAT; Input and Output VAT are offset monthly. Deferred tax has not been recognised in these interim financial statements (simplification).</t>
  </si>
  <si>
    <t>CASH AND CASH EQUIVALENTS</t>
  </si>
  <si>
    <t>Total cash and cash equivalents</t>
  </si>
  <si>
    <t>Agrees to primary statement</t>
  </si>
  <si>
    <t>TRADE AND OTHER RECEIVABLES</t>
  </si>
  <si>
    <t>Total receivables – net</t>
  </si>
  <si>
    <t>Trade receivables are non-interest bearing with credit terms of 14–45 days. Movement in the allowance for ECL is presented in the General Ledger (account 1220).</t>
  </si>
  <si>
    <t>INVENTORIES</t>
  </si>
  <si>
    <t>Total inventories</t>
  </si>
  <si>
    <t>PREPAID EXPENSES</t>
  </si>
  <si>
    <t>Total prepaid expenses</t>
  </si>
  <si>
    <t>Details per Prepaid Schedule (items with balance at period end):</t>
  </si>
  <si>
    <t>TAXATION</t>
  </si>
  <si>
    <t>a. Prepaid taxes and taxes payable</t>
  </si>
  <si>
    <t>Total prepaid taxes</t>
  </si>
  <si>
    <t>Total taxes payable</t>
  </si>
  <si>
    <t>b. Reconciliation between profit before tax and taxable income</t>
  </si>
  <si>
    <t>Profit before income tax</t>
  </si>
  <si>
    <t>Positive fiscal corrections</t>
  </si>
  <si>
    <t>Negative fiscal corrections</t>
  </si>
  <si>
    <t>Taxable income (rounded)</t>
  </si>
  <si>
    <t xml:space="preserve">  of which eligible for Art. 31E facility</t>
  </si>
  <si>
    <t>Less: PPh 25 installments</t>
  </si>
  <si>
    <t>PPh 29 payable / (overpaid)</t>
  </si>
  <si>
    <t>FIXED ASSETS</t>
  </si>
  <si>
    <t>Asset class</t>
  </si>
  <si>
    <t>Cost – opening</t>
  </si>
  <si>
    <t>Additions</t>
  </si>
  <si>
    <t>Cost – closing</t>
  </si>
  <si>
    <t>Acc. dep. – opening</t>
  </si>
  <si>
    <t>Charge for period</t>
  </si>
  <si>
    <t>Acc. dep. – closing</t>
  </si>
  <si>
    <t>Net book value</t>
  </si>
  <si>
    <t>INTANGIBLE ASSETS</t>
  </si>
  <si>
    <t>TRADE PAYABLES</t>
  </si>
  <si>
    <t>Total trade payables</t>
  </si>
  <si>
    <t>Outstanding vendor bills at period end (per Purchases):</t>
  </si>
  <si>
    <t>ACCRUED EXPENSES AND OTHER LIABILITIES</t>
  </si>
  <si>
    <t>BANK LOANS</t>
  </si>
  <si>
    <t>Total bank loans</t>
  </si>
  <si>
    <t>Short-term working-capital loan (KMK) from PT Bank Central Asia Tbk bore interest at 10% p.a. and was fully repaid on 30 June. The long-term investment loan (KI) bears interest at 9% p.a., repayable in monthly principal installments of IDR 25,000,000, secured by land and buildings.</t>
  </si>
  <si>
    <t>EMPLOYEE BENEFITS LIABILITY</t>
  </si>
  <si>
    <t>Balance at beginning of period</t>
  </si>
  <si>
    <t>Provision charged to profit or loss</t>
  </si>
  <si>
    <t>Balance at end of period</t>
  </si>
  <si>
    <t>EQUITY</t>
  </si>
  <si>
    <t>Cash dividends declared and paid during the period</t>
  </si>
  <si>
    <t>REVENUE</t>
  </si>
  <si>
    <t>By product / service category</t>
  </si>
  <si>
    <t>By sales channel</t>
  </si>
  <si>
    <t>Total revenue</t>
  </si>
  <si>
    <t>All revenue is recognised at a point in time (or over time where applicable per Note 2g), net of VAT and from customers in Indonesia.</t>
  </si>
  <si>
    <t>COST OF REVENUE</t>
  </si>
  <si>
    <t>Total cost of revenue</t>
  </si>
  <si>
    <t>SELLING EXPENSES</t>
  </si>
  <si>
    <t>Total selling expenses</t>
  </si>
  <si>
    <t>GENERAL &amp; ADMINISTRATIVE EXPENSES</t>
  </si>
  <si>
    <t>Total general &amp; administrative expenses</t>
  </si>
  <si>
    <t>OTHER INCOME, OTHER EXPENSES AND FINANCE COSTS</t>
  </si>
  <si>
    <t>Net other income / (expenses)</t>
  </si>
  <si>
    <t>Positive = income; negative = expense. Interest income is subject to final tax of 20%.</t>
  </si>
  <si>
    <t>EVENTS AFTER THE REPORTING PERIOD</t>
  </si>
  <si>
    <t>SALES INVOICE GENERATOR</t>
  </si>
  <si>
    <t>Select an invoice number in H10 – the invoice is generated automatically from the Sales sub-ledger. Print area is set to B6:H40.</t>
  </si>
  <si>
    <t>INVOICE</t>
  </si>
  <si>
    <t>BILL TO</t>
  </si>
  <si>
    <t>Invoice No ▼</t>
  </si>
  <si>
    <t>Invoice Date</t>
  </si>
  <si>
    <t>Due Date</t>
  </si>
  <si>
    <t>Sales Channel</t>
  </si>
  <si>
    <t>Invoice list</t>
  </si>
  <si>
    <t>Amount (DPP)</t>
  </si>
  <si>
    <t>Subtotal (DPP)</t>
  </si>
  <si>
    <t>VAT base – DPP Nilai Lain (11/12)</t>
  </si>
  <si>
    <t>TOTAL AMOUNT DUE</t>
  </si>
  <si>
    <t>PAYMENT INSTRUCTIONS</t>
  </si>
  <si>
    <t>Notes: Goods/services remain the property of the seller until paid in full. This invoice is computer-generated.</t>
  </si>
  <si>
    <t>Authorised signature</t>
  </si>
  <si>
    <t>FINANCIAL RATIO ANALYSIS</t>
  </si>
  <si>
    <t>Ratio</t>
  </si>
  <si>
    <t>Formula</t>
  </si>
  <si>
    <t>Value</t>
  </si>
  <si>
    <t>Rule</t>
  </si>
  <si>
    <t>Interpretation</t>
  </si>
  <si>
    <t>LIQUIDITY</t>
  </si>
  <si>
    <t>Current ratio</t>
  </si>
  <si>
    <t>Current assets ÷ current liabilities</t>
  </si>
  <si>
    <t>Ability to meet short-term obligations</t>
  </si>
  <si>
    <t>Quick ratio</t>
  </si>
  <si>
    <t>(CA − inventories − prepaid) ÷ CL</t>
  </si>
  <si>
    <t>Liquidity excluding inventories</t>
  </si>
  <si>
    <t>Cash ratio</t>
  </si>
  <si>
    <t>Cash ÷ current liabilities</t>
  </si>
  <si>
    <t>Immediate liquidity</t>
  </si>
  <si>
    <t>PROFITABILITY</t>
  </si>
  <si>
    <t>Gross profit margin</t>
  </si>
  <si>
    <t>Gross profit ÷ revenue</t>
  </si>
  <si>
    <t>Pricing power &amp; cost of revenue control</t>
  </si>
  <si>
    <t>Operating profit margin</t>
  </si>
  <si>
    <t>Operating profit ÷ revenue</t>
  </si>
  <si>
    <t>Core operating efficiency</t>
  </si>
  <si>
    <t>EBITDA margin</t>
  </si>
  <si>
    <t>(Operating profit + D&amp;A) ÷ revenue</t>
  </si>
  <si>
    <t>Cash operating profitability</t>
  </si>
  <si>
    <t>Net profit margin</t>
  </si>
  <si>
    <t>Profit for the period ÷ revenue</t>
  </si>
  <si>
    <t>Bottom-line profitability</t>
  </si>
  <si>
    <t>Return on assets (annualised)</t>
  </si>
  <si>
    <t>Net profit × 12/m ÷ average total assets</t>
  </si>
  <si>
    <t>Asset productivity</t>
  </si>
  <si>
    <t>Return on equity (annualised)</t>
  </si>
  <si>
    <t>Net profit × 12/m ÷ average equity</t>
  </si>
  <si>
    <t>Return to shareholders</t>
  </si>
  <si>
    <t>LEVERAGE &amp; SOLVENCY</t>
  </si>
  <si>
    <t>Debt to equity</t>
  </si>
  <si>
    <t>Total liabilities ÷ total equity</t>
  </si>
  <si>
    <t>Financial leverage</t>
  </si>
  <si>
    <t>Debt to assets</t>
  </si>
  <si>
    <t>Total liabilities ÷ total assets</t>
  </si>
  <si>
    <t>Share of assets funded by debt</t>
  </si>
  <si>
    <t>Interest coverage</t>
  </si>
  <si>
    <t>Operating profit ÷ finance costs</t>
  </si>
  <si>
    <t>Ability to service interest</t>
  </si>
  <si>
    <t>ACTIVITY &amp; WORKING CAPITAL</t>
  </si>
  <si>
    <t>Asset turnover (annualised)</t>
  </si>
  <si>
    <t>Revenue × 12/m ÷ average total assets</t>
  </si>
  <si>
    <t>Revenue generated per Rupiah of assets</t>
  </si>
  <si>
    <t>Days sales outstanding (DSO)</t>
  </si>
  <si>
    <t>Trade receivables ÷ revenue × days</t>
  </si>
  <si>
    <t>Collection speed (gross of VAT)</t>
  </si>
  <si>
    <t>Days inventory outstanding (DIO)</t>
  </si>
  <si>
    <t>Inventories ÷ cost of revenue × days</t>
  </si>
  <si>
    <t>Inventory holding period</t>
  </si>
  <si>
    <t>Days payables outstanding (DPO)</t>
  </si>
  <si>
    <t>Trade payables ÷ cost of revenue × days</t>
  </si>
  <si>
    <t>Supplier credit used</t>
  </si>
  <si>
    <t>Cash conversion cycle</t>
  </si>
  <si>
    <t>Days cash is tied up in operations</t>
  </si>
  <si>
    <t>MONTHLY PROFIT &amp; LOSS AND KPIs</t>
  </si>
  <si>
    <t>Line item</t>
  </si>
  <si>
    <t>Key</t>
  </si>
  <si>
    <t>YTD</t>
  </si>
  <si>
    <t>Gross profit</t>
  </si>
  <si>
    <t>Gross margin %</t>
  </si>
  <si>
    <t>Operating profit</t>
  </si>
  <si>
    <t>Profit before tax</t>
  </si>
  <si>
    <t>Income tax (YTD provision allocated)</t>
  </si>
  <si>
    <t>Net profit</t>
  </si>
  <si>
    <t>Net margin %</t>
  </si>
  <si>
    <t>Invoices issued</t>
  </si>
  <si>
    <t>Average invoice value (DPP)</t>
  </si>
  <si>
    <t>Units sold</t>
  </si>
  <si>
    <t>Cash &amp; cash equivalents at month-end</t>
  </si>
  <si>
    <t>Cumulative net profit</t>
  </si>
  <si>
    <t>KEY PERFORMANCE INDICATORS</t>
  </si>
  <si>
    <t>DASHBOARD DATA (helper – feeds charts &amp; KPI cards)</t>
  </si>
  <si>
    <t>A. MONTHLY (Rp million; months after cut-off = #N/A so charts skip them)</t>
  </si>
  <si>
    <t>Gross Profit</t>
  </si>
  <si>
    <t>Net Profit</t>
  </si>
  <si>
    <t>Invoices</t>
  </si>
  <si>
    <t>Opex</t>
  </si>
  <si>
    <t>B. DAILY – 30 DAYS TO ANALYSIS DATE</t>
  </si>
  <si>
    <t>Sales (Rp m)</t>
  </si>
  <si>
    <t>C. PRODUCTS (YTD to cut-off &amp; analysis date)</t>
  </si>
  <si>
    <t>Sales YTD</t>
  </si>
  <si>
    <t>Gross Profit YTD</t>
  </si>
  <si>
    <t>Sales on Analysis Date</t>
  </si>
  <si>
    <t>Qty on Analysis Date</t>
  </si>
  <si>
    <t>C2. PRODUCT RANKING (YTD)</t>
  </si>
  <si>
    <t>Share</t>
  </si>
  <si>
    <t>D. OPERATING EXPENSE MIX (YTD)</t>
  </si>
  <si>
    <t>Group</t>
  </si>
  <si>
    <t>Payroll &amp; benefits</t>
  </si>
  <si>
    <t>Marketing &amp; selling</t>
  </si>
  <si>
    <t>Rent &amp; utilities</t>
  </si>
  <si>
    <t>Other G&amp;A</t>
  </si>
  <si>
    <t>E. CHANNEL MIX (YTD)</t>
  </si>
  <si>
    <t>Sales</t>
  </si>
  <si>
    <t>F. PAYMENT MIX (YTD)</t>
  </si>
  <si>
    <t>Method</t>
  </si>
  <si>
    <t>Sales incl. VAT</t>
  </si>
  <si>
    <t>G. TOP CUSTOMERS (YTD, excl. walk-in)</t>
  </si>
  <si>
    <t>Customer</t>
  </si>
  <si>
    <t>H. DAILY SNAPSHOT (Analysis Date)</t>
  </si>
  <si>
    <t>Analysis date</t>
  </si>
  <si>
    <t>Sales today (DPP)</t>
  </si>
  <si>
    <t>Sales yesterday</t>
  </si>
  <si>
    <t>Change vs yesterday</t>
  </si>
  <si>
    <t>Invoices today</t>
  </si>
  <si>
    <t>Average per invoice</t>
  </si>
  <si>
    <t>Top product today</t>
  </si>
  <si>
    <t>Top product sales</t>
  </si>
  <si>
    <t>Month-to-date sales</t>
  </si>
  <si>
    <t>Same period last month</t>
  </si>
  <si>
    <t>MTD change</t>
  </si>
  <si>
    <t>Year-to-date sales (to analysis date)</t>
  </si>
  <si>
    <t>Average daily sales (30 days)</t>
  </si>
  <si>
    <t>Units sold today</t>
  </si>
  <si>
    <t>CONTROL CHECKS – MODEL INTEGRITY</t>
  </si>
  <si>
    <t>Check</t>
  </si>
  <si>
    <t>Difference / Count</t>
  </si>
  <si>
    <t>Where to look</t>
  </si>
  <si>
    <t>COA opening balances balanced</t>
  </si>
  <si>
    <t>COA</t>
  </si>
  <si>
    <t>General Journal: total debit = total credit</t>
  </si>
  <si>
    <t>General Journal</t>
  </si>
  <si>
    <t>General Journal: invalid account codes</t>
  </si>
  <si>
    <t>Trial Balance balanced</t>
  </si>
  <si>
    <t>Trial Balance</t>
  </si>
  <si>
    <t>Balance Sheet balanced – current period</t>
  </si>
  <si>
    <t>Balance Sheet</t>
  </si>
  <si>
    <t>Balance Sheet balanced – comparative</t>
  </si>
  <si>
    <t>Cash Flow closing cash = Balance Sheet cash</t>
  </si>
  <si>
    <t>Cash Flow</t>
  </si>
  <si>
    <t>Changes in Equity = Balance Sheet equity</t>
  </si>
  <si>
    <t>Changes in Equity</t>
  </si>
  <si>
    <t>Sales sub-ledger revenue = GL revenue</t>
  </si>
  <si>
    <t>Sales / Income Statement</t>
  </si>
  <si>
    <t>Purchases sub-ledger = GL postings</t>
  </si>
  <si>
    <t>Purchases</t>
  </si>
  <si>
    <t>Payroll gross salary = GL salary expense</t>
  </si>
  <si>
    <t>Payroll / Tax Reconciliation</t>
  </si>
  <si>
    <t>Fixed Asset register NBV = Balance Sheet</t>
  </si>
  <si>
    <t>Fixed Assets</t>
  </si>
  <si>
    <t>Intangible register NBV = Balance Sheet</t>
  </si>
  <si>
    <t>Prepaid schedule = Balance Sheet prepaid</t>
  </si>
  <si>
    <t>Prepaid Schedule</t>
  </si>
  <si>
    <t>Bank reconciliation BCA – unexplained difference</t>
  </si>
  <si>
    <t>Bank Reconciliation</t>
  </si>
  <si>
    <t>Bank reconciliation Mandiri – unexplained difference</t>
  </si>
  <si>
    <t>Tax reconciliation – items to check</t>
  </si>
  <si>
    <t>Tax Reconciliation</t>
  </si>
  <si>
    <t>Sales lines with unknown customer / product</t>
  </si>
  <si>
    <t>Purchases with unknown vendor / account</t>
  </si>
  <si>
    <t>Bank statement lines not yet booked in GJ (info)</t>
  </si>
  <si>
    <t>Bank Statement → book adjusting entries</t>
  </si>
  <si>
    <t>OVERALL STATUS</t>
  </si>
  <si>
    <t>Sales YTD (DPP)</t>
  </si>
  <si>
    <t>Outstanding AR (est.)</t>
  </si>
  <si>
    <t>Purchases YTD (DPP)</t>
  </si>
  <si>
    <t>Unpaid at Period End</t>
  </si>
  <si>
    <t>Gross Pay YTD</t>
  </si>
  <si>
    <t>PPh 21 YTD</t>
  </si>
  <si>
    <t>Qty Sold YTD</t>
  </si>
  <si>
    <t>Analysis Date ▸</t>
  </si>
  <si>
    <t>☰  MAIN MENU — click a module to open it</t>
  </si>
  <si>
    <t>⚙ Company Info</t>
  </si>
  <si>
    <t>🏭 Industry Profile</t>
  </si>
  <si>
    <t>📒 Chart of Accounts</t>
  </si>
  <si>
    <t>👥 Customers</t>
  </si>
  <si>
    <t>🚚 Vendors</t>
  </si>
  <si>
    <t>👔 Employees</t>
  </si>
  <si>
    <t>📦 Products</t>
  </si>
  <si>
    <t>🧾 Sales</t>
  </si>
  <si>
    <t>🛒 Purchases</t>
  </si>
  <si>
    <t>💰 Payroll</t>
  </si>
  <si>
    <t>🏦 Bank Statement</t>
  </si>
  <si>
    <t>✍ General Journal</t>
  </si>
  <si>
    <t>🏗 Fixed Assets</t>
  </si>
  <si>
    <t>📅 Prepaid Schedule</t>
  </si>
  <si>
    <t>📖 General Ledger</t>
  </si>
  <si>
    <t>⚖ Trial Balance</t>
  </si>
  <si>
    <t>📈 Income Statement</t>
  </si>
  <si>
    <t>🏛 Balance Sheet</t>
  </si>
  <si>
    <t>🔄 Changes in Equity</t>
  </si>
  <si>
    <t>💧 Cash Flow</t>
  </si>
  <si>
    <t>📝 Notes to FS</t>
  </si>
  <si>
    <t>🧮 Tax Reconciliation</t>
  </si>
  <si>
    <t>🔗 Bank Reconciliation</t>
  </si>
  <si>
    <t>✅ Controls</t>
  </si>
  <si>
    <t>🧾 Sales Invoice</t>
  </si>
  <si>
    <t>📊 Ratios</t>
  </si>
  <si>
    <t>📆 Monthly P&amp;L</t>
  </si>
  <si>
    <t>🗂 Dashboard Data</t>
  </si>
  <si>
    <t>■ Setup   ■ Master Data   ■ Transactions   ■ Schedules   ■ Reports   ■ Tax &amp; Reconciliation   ■ Tools</t>
  </si>
  <si>
    <t>SYSTEM STATUS</t>
  </si>
  <si>
    <t>CONTROL CHECKS</t>
  </si>
  <si>
    <t>TAX RECONCILIATION</t>
  </si>
  <si>
    <t>BANK RECONCILIATION</t>
  </si>
  <si>
    <t>BANK ITEMS TO BOOK</t>
  </si>
  <si>
    <t>NET PROFIT</t>
  </si>
  <si>
    <t>CASH &amp; EQUIVALENTS</t>
  </si>
  <si>
    <t>SALES TODAY</t>
  </si>
  <si>
    <t>INVOICES TODAY</t>
  </si>
  <si>
    <t>TOP PRODUCT TODAY</t>
  </si>
  <si>
    <t>MONTH-TO-DATE SALES</t>
  </si>
  <si>
    <t>TRENDS, PRODUCTS &amp; COST STRUCTURE</t>
  </si>
  <si>
    <t>TOP PRODUCTS, TODAY'S SALES BY PRODUCT, FINANCIAL HEALTH &amp; TOP CUSTOMERS</t>
  </si>
  <si>
    <t>🏆 TOP 5 PRODUCTS / SERVICES (YTD)</t>
  </si>
  <si>
    <t>Total today</t>
  </si>
  <si>
    <t>🩺 FINANCIAL HEALTH</t>
  </si>
  <si>
    <t>Return on assets (ann.)</t>
  </si>
  <si>
    <t>Return on equity (ann.)</t>
  </si>
  <si>
    <t>🤝 TOP 5 CUSTOMERS (YTD, excl. walk-in)</t>
  </si>
  <si>
    <t>CASH, PAYMENT METHODS &amp; TRANSACTION VOLUME</t>
  </si>
  <si>
    <t>Dummy data for demonstration • Replace Sales / Purchases / Payroll / Bank Statement with real data – all reports update automatically</t>
  </si>
  <si>
    <t>🏠 HOME</t>
  </si>
  <si>
    <t>◀ PREV</t>
  </si>
  <si>
    <t>NEXT ▶</t>
  </si>
  <si>
    <t>☰ MENU</t>
  </si>
  <si>
    <t>Journal</t>
  </si>
  <si>
    <t>Trial Bal.</t>
  </si>
  <si>
    <t>Income St.</t>
  </si>
  <si>
    <t>Balance Sh.</t>
  </si>
  <si>
    <t>Tax Recon</t>
  </si>
  <si>
    <t>Bank Recon</t>
  </si>
  <si>
    <t>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</si>
</sst>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_);_(* \(#,##0\);_(* &quot;-&quot;_);_(@_)"/>
    <numFmt numFmtId="165" formatCode="0.0%"/>
    <numFmt numFmtId="167" formatCode="0.0%;\(0.0%\);\-"/>
    <numFmt numFmtId="168" formatCode="0.00&quot;x&quot;"/>
    <numFmt numFmtId="177" formatCode="0.0&quot;x&quot;"/>
    <numFmt numFmtId="178" formatCode="#,##0;\-#,##0;\-"/>
    <numFmt numFmtId="179" formatCode="0.0%;\-0.0%;\-"/>
    <numFmt numFmtId="180" formatCode="#,##0.0"/>
    <numFmt numFmtId="182" formatCode="0.0000"/>
    <numFmt numFmtId="183" formatCode="[$-409]dd\-mmm\-yyyy"/>
    <numFmt numFmtId="184" formatCode="[$-409]mmm\-yyyy"/>
    <numFmt numFmtId="185" formatCode="[$-409]dd\-mmm\-yyyy;;"/>
    <numFmt numFmtId="186" formatCode="[$-409]dd\-mmm\-yy"/>
    <numFmt numFmtId="187" formatCode="[$-409]dd\ mmmm\ yyyy"/>
    <numFmt numFmtId="188" formatCode="0&quot; days&quot;"/>
    <numFmt numFmtId="189" formatCode="[$-409]dd\ mmm\ yyyy"/>
    <numFmt numFmtId="190" formatCode="[&gt;=1000000000]&quot;Rp &quot;#,##0.00,,,&quot; bn&quot;;[&gt;=0]&quot;Rp &quot;#,##0.0,,&quot; m&quot;;&quot;-Rp &quot;#,##0.0,,&quot; m&quot;"/>
    <numFmt numFmtId="191" formatCode="0&quot; invoices&quot;"/>
  </numFmts>
  <fonts count="65" x14ac:knownFonts="1">
    <font>
      <sz val="11"/>
      <color theme="1"/>
      <name val="Aptos Narrow"/>
      <family val="2"/>
      <charset val="1"/>
      <scheme val="minor"/>
    </font>
    <font>
      <b/>
      <sz val="11"/>
      <color theme="1"/>
      <name val="Aptos Narrow"/>
      <family val="2"/>
      <charset val="1"/>
      <scheme val="minor"/>
    </font>
    <font>
      <sz val="8"/>
      <color theme="1"/>
      <name val="Calibri"/>
    </font>
    <font>
      <u/>
      <sz val="11"/>
      <color theme="10"/>
      <name val="Aptos Narrow"/>
      <family val="2"/>
      <charset val="1"/>
      <scheme val="minor"/>
    </font>
    <font>
      <b/>
      <sz val="8"/>
      <color theme="1"/>
      <name val="Calibri"/>
    </font>
    <font>
      <i/>
      <sz val="8"/>
      <color theme="1"/>
      <name val="Calibri"/>
    </font>
    <font>
      <sz val="8"/>
      <color rgb="FFFFFFFF"/>
      <name val="Calibri"/>
    </font>
    <font>
      <b/>
      <sz val="8"/>
      <color rgb="FFFFFFFF"/>
      <name val="Calibri"/>
    </font>
    <font>
      <sz val="8"/>
      <color rgb="FF0000FF"/>
      <name val="Calibri"/>
    </font>
    <font>
      <b/>
      <sz val="8"/>
      <color rgb="FF0000FF"/>
      <name val="Calibri"/>
    </font>
    <font>
      <sz val="8"/>
      <color rgb="FF000000"/>
      <name val="Calibri"/>
    </font>
    <font>
      <b/>
      <i/>
      <sz val="8"/>
      <color theme="1"/>
      <name val="Calibri"/>
    </font>
    <font>
      <sz val="8"/>
      <color rgb="FFE2E8F0"/>
      <name val="Calibri"/>
    </font>
    <font>
      <sz val="11"/>
      <color rgb="FFE2E8F0"/>
      <name val="Aptos Narrow"/>
      <family val="2"/>
      <charset val="1"/>
      <scheme val="minor"/>
    </font>
    <font>
      <b/>
      <sz val="18"/>
      <color rgb="FFFFFFFF"/>
      <name val="Aptos Narrow"/>
      <family val="2"/>
      <charset val="1"/>
      <scheme val="minor"/>
    </font>
    <font>
      <sz val="9"/>
      <color rgb="FF94A3B8"/>
      <name val="Aptos Narrow"/>
      <family val="2"/>
      <charset val="1"/>
      <scheme val="minor"/>
    </font>
    <font>
      <b/>
      <sz val="9"/>
      <color theme="1"/>
      <name val="Aptos Narrow"/>
      <family val="2"/>
      <charset val="1"/>
      <scheme val="minor"/>
    </font>
    <font>
      <b/>
      <sz val="11"/>
      <color rgb="FF94A3B8"/>
      <name val="Aptos Narrow"/>
      <family val="2"/>
      <charset val="1"/>
      <scheme val="minor"/>
    </font>
    <font>
      <b/>
      <sz val="8"/>
      <color rgb="FF0F172A"/>
      <name val="Calibri"/>
    </font>
    <font>
      <b/>
      <sz val="10"/>
      <color rgb="FF0F172A"/>
      <name val="Calibri"/>
    </font>
    <font>
      <b/>
      <sz val="10"/>
      <color rgb="FF38BDF8"/>
      <name val="Aptos Narrow"/>
      <family val="2"/>
      <charset val="1"/>
      <scheme val="minor"/>
    </font>
    <font>
      <b/>
      <sz val="16"/>
      <color rgb="FF38BDF8"/>
      <name val="Aptos Narrow"/>
      <family val="2"/>
      <charset val="1"/>
      <scheme val="minor"/>
    </font>
    <font>
      <sz val="11"/>
      <color rgb="FFCBD5E1"/>
      <name val="Aptos Narrow"/>
      <family val="2"/>
      <charset val="1"/>
      <scheme val="minor"/>
    </font>
    <font>
      <b/>
      <sz val="16"/>
      <color rgb="FF14B8A6"/>
      <name val="Aptos Narrow"/>
      <family val="2"/>
      <charset val="1"/>
      <scheme val="minor"/>
    </font>
    <font>
      <b/>
      <sz val="16"/>
      <color rgb="FF22C55E"/>
      <name val="Aptos Narrow"/>
      <family val="2"/>
      <charset val="1"/>
      <scheme val="minor"/>
    </font>
    <font>
      <b/>
      <sz val="16"/>
      <color rgb="FFF59E0B"/>
      <name val="Aptos Narrow"/>
      <family val="2"/>
      <charset val="1"/>
      <scheme val="minor"/>
    </font>
    <font>
      <b/>
      <sz val="16"/>
      <color rgb="FFA78BFA"/>
      <name val="Aptos Narrow"/>
      <family val="2"/>
      <charset val="1"/>
      <scheme val="minor"/>
    </font>
    <font>
      <b/>
      <sz val="16"/>
      <color rgb="FFF43F5E"/>
      <name val="Aptos Narrow"/>
      <family val="2"/>
      <charset val="1"/>
      <scheme val="minor"/>
    </font>
    <font>
      <b/>
      <sz val="12"/>
      <color rgb="FFF59E0B"/>
      <name val="Aptos Narrow"/>
      <family val="2"/>
      <charset val="1"/>
      <scheme val="minor"/>
    </font>
    <font>
      <b/>
      <sz val="11"/>
      <color rgb="FFF59E0B"/>
      <name val="Aptos Narrow"/>
      <family val="2"/>
      <charset val="1"/>
      <scheme val="minor"/>
    </font>
    <font>
      <b/>
      <sz val="8"/>
      <color rgb="FFE2E8F0"/>
      <name val="Calibri"/>
    </font>
    <font>
      <b/>
      <sz val="11"/>
      <color rgb="FFFFFFFF"/>
      <name val="Aptos Narrow"/>
      <family val="2"/>
      <charset val="1"/>
      <scheme val="minor"/>
    </font>
    <font>
      <b/>
      <sz val="8"/>
      <color rgb="FFF59E0B"/>
      <name val="Calibri"/>
    </font>
    <font>
      <b/>
      <sz val="11"/>
      <color rgb="FF22C55E"/>
      <name val="Aptos Narrow"/>
      <family val="2"/>
      <charset val="1"/>
      <scheme val="minor"/>
    </font>
    <font>
      <b/>
      <sz val="9"/>
      <color rgb="FF22C55E"/>
      <name val="Aptos Narrow"/>
      <family val="2"/>
      <charset val="1"/>
      <scheme val="minor"/>
    </font>
    <font>
      <b/>
      <sz val="11"/>
      <color rgb="FFE2E8F0"/>
      <name val="Aptos Narrow"/>
      <family val="2"/>
      <charset val="1"/>
      <scheme val="minor"/>
    </font>
    <font>
      <b/>
      <sz val="9"/>
      <color rgb="FFF59E0B"/>
      <name val="Aptos Narrow"/>
      <family val="2"/>
      <charset val="1"/>
      <scheme val="minor"/>
    </font>
    <font>
      <b/>
      <sz val="9"/>
      <color rgb="FF38BDF8"/>
      <name val="Aptos Narrow"/>
      <family val="2"/>
      <charset val="1"/>
      <scheme val="minor"/>
    </font>
    <font>
      <b/>
      <sz val="9"/>
      <color rgb="FFFFFFFF"/>
      <name val="Aptos Narrow"/>
      <family val="2"/>
      <charset val="1"/>
      <scheme val="minor"/>
    </font>
    <font>
      <b/>
      <sz val="12"/>
      <color rgb="FFFFFFFF"/>
      <name val="Calibri"/>
    </font>
    <font>
      <sz val="8"/>
      <color rgb="FF64748B"/>
      <name val="Calibri"/>
    </font>
    <font>
      <i/>
      <sz val="8"/>
      <color rgb="FF64748B"/>
      <name val="Calibri"/>
    </font>
    <font>
      <b/>
      <sz val="8"/>
      <color rgb="FF1E3A8A"/>
      <name val="Calibri"/>
    </font>
    <font>
      <sz val="11"/>
      <color rgb="FF0000FF"/>
      <name val="Aptos Narrow"/>
      <family val="2"/>
      <charset val="1"/>
      <scheme val="minor"/>
    </font>
    <font>
      <sz val="11"/>
      <color rgb="FF64748B"/>
      <name val="Aptos Narrow"/>
      <family val="2"/>
      <charset val="1"/>
      <scheme val="minor"/>
    </font>
    <font>
      <b/>
      <i/>
      <sz val="11"/>
      <color rgb="FF64748B"/>
      <name val="Aptos Narrow"/>
      <family val="2"/>
      <charset val="1"/>
      <scheme val="minor"/>
    </font>
    <font>
      <i/>
      <sz val="11"/>
      <color rgb="FF64748B"/>
      <name val="Aptos Narrow"/>
      <family val="2"/>
      <charset val="1"/>
      <scheme val="minor"/>
    </font>
    <font>
      <b/>
      <sz val="11"/>
      <color rgb="FF1E3A8A"/>
      <name val="Aptos Narrow"/>
      <family val="2"/>
      <charset val="1"/>
      <scheme val="minor"/>
    </font>
    <font>
      <sz val="8"/>
      <color rgb="FF94A3B8"/>
      <name val="Calibri"/>
    </font>
    <font>
      <sz val="9"/>
      <color indexed="81"/>
      <name val="Tahoma"/>
      <charset val="1"/>
    </font>
    <font>
      <b/>
      <sz val="9"/>
      <color indexed="81"/>
      <name val="Tahoma"/>
      <charset val="1"/>
    </font>
    <font>
      <b/>
      <sz val="11"/>
      <color rgb="FF1E3A8A"/>
      <name val="Calibri"/>
    </font>
    <font>
      <b/>
      <sz val="12"/>
      <color rgb="FFCBD5E1"/>
      <name val="Calibri"/>
    </font>
    <font>
      <sz val="8"/>
      <color rgb="FFCBD5E1"/>
      <name val="Calibri"/>
    </font>
    <font>
      <b/>
      <sz val="14"/>
      <color rgb="FF1E3A8A"/>
      <name val="Aptos Narrow"/>
      <family val="2"/>
      <charset val="1"/>
      <scheme val="minor"/>
    </font>
    <font>
      <b/>
      <sz val="20"/>
      <color rgb="FF1E3A8A"/>
      <name val="Aptos Narrow"/>
      <family val="2"/>
      <charset val="1"/>
      <scheme val="minor"/>
    </font>
    <font>
      <sz val="11"/>
      <color rgb="FF475569"/>
      <name val="Aptos Narrow"/>
      <family val="2"/>
      <charset val="1"/>
      <scheme val="minor"/>
    </font>
    <font>
      <b/>
      <sz val="8"/>
      <color rgb="FF94A3B8"/>
      <name val="Calibri"/>
    </font>
    <font>
      <b/>
      <sz val="10"/>
      <color rgb="FFFFFFFF"/>
      <name val="Aptos Narrow"/>
      <family val="2"/>
      <charset val="1"/>
      <scheme val="minor"/>
    </font>
    <font>
      <b/>
      <sz val="10"/>
      <color rgb="FFFFFFFF"/>
      <name val="Calibri"/>
    </font>
    <font>
      <i/>
      <sz val="8"/>
      <color rgb="FFFFFFFF"/>
      <name val="Calibri"/>
    </font>
    <font>
      <b/>
      <sz val="9"/>
      <color rgb="FFA78BFA"/>
      <name val="Aptos Narrow"/>
      <family val="2"/>
      <charset val="1"/>
      <scheme val="minor"/>
    </font>
    <font>
      <b/>
      <sz val="8"/>
      <color rgb="FFA78BFA"/>
      <name val="Calibri"/>
    </font>
    <font>
      <b/>
      <sz val="8"/>
      <color rgb="FFFFFFFF"/>
      <name val="Calibri"/>
      <family val="2"/>
    </font>
    <font>
      <b/>
      <sz val="11"/>
      <color rgb="FF0F172A"/>
      <name val="Aptos Narrow"/>
      <family val="2"/>
      <charset val="1"/>
      <scheme val="minor"/>
    </font>
  </fonts>
  <fills count="15">
    <fill>
      <patternFill patternType="none"/>
    </fill>
    <fill>
      <patternFill patternType="gray125"/>
    </fill>
    <fill>
      <patternFill patternType="solid">
        <fgColor rgb="FF0F172A"/>
        <bgColor indexed="64"/>
      </patternFill>
    </fill>
    <fill>
      <patternFill patternType="solid">
        <fgColor rgb="FFF59E0B"/>
        <bgColor indexed="64"/>
      </patternFill>
    </fill>
    <fill>
      <patternFill patternType="solid">
        <fgColor rgb="FF1E293B"/>
        <bgColor indexed="64"/>
      </patternFill>
    </fill>
    <fill>
      <patternFill patternType="solid">
        <fgColor rgb="FF334155"/>
        <bgColor indexed="64"/>
      </patternFill>
    </fill>
    <fill>
      <patternFill patternType="solid">
        <fgColor rgb="FF1E3A8A"/>
        <bgColor indexed="64"/>
      </patternFill>
    </fill>
    <fill>
      <patternFill patternType="solid">
        <fgColor rgb="FFFEF3C7"/>
        <bgColor indexed="64"/>
      </patternFill>
    </fill>
    <fill>
      <patternFill patternType="solid">
        <fgColor rgb="FFDBEAFE"/>
        <bgColor indexed="64"/>
      </patternFill>
    </fill>
    <fill>
      <patternFill patternType="solid">
        <fgColor rgb="FFF1F5F9"/>
        <bgColor indexed="64"/>
      </patternFill>
    </fill>
    <fill>
      <patternFill patternType="solid">
        <fgColor rgb="FF0F766E"/>
        <bgColor indexed="64"/>
      </patternFill>
    </fill>
    <fill>
      <patternFill patternType="solid">
        <fgColor rgb="FF5B21B6"/>
        <bgColor indexed="64"/>
      </patternFill>
    </fill>
    <fill>
      <patternFill patternType="solid">
        <fgColor rgb="FF166534"/>
        <bgColor indexed="64"/>
      </patternFill>
    </fill>
    <fill>
      <patternFill patternType="solid">
        <fgColor rgb="FF9F1239"/>
        <bgColor indexed="64"/>
      </patternFill>
    </fill>
    <fill>
      <patternFill patternType="solid">
        <fgColor rgb="FF0369A1"/>
        <bgColor indexed="64"/>
      </patternFill>
    </fill>
  </fills>
  <borders count="61">
    <border>
      <left/>
      <right/>
      <top/>
      <bottom/>
      <diagonal/>
    </border>
    <border>
      <left/>
      <right/>
      <top/>
      <bottom style="thin">
        <color auto="1"/>
      </bottom>
      <diagonal/>
    </border>
    <border>
      <left/>
      <right/>
      <top style="thin">
        <color auto="1"/>
      </top>
      <bottom/>
      <diagonal/>
    </border>
    <border>
      <left/>
      <right/>
      <top style="thin">
        <color auto="1"/>
      </top>
      <bottom style="double">
        <color auto="1"/>
      </bottom>
      <diagonal/>
    </border>
    <border>
      <left/>
      <right/>
      <top/>
      <bottom style="double">
        <color auto="1"/>
      </bottom>
      <diagonal/>
    </border>
    <border>
      <left/>
      <right/>
      <top/>
      <bottom style="thin">
        <color rgb="FF334155"/>
      </bottom>
      <diagonal/>
    </border>
    <border>
      <left/>
      <right/>
      <top style="thin">
        <color rgb="FF334155"/>
      </top>
      <bottom/>
      <diagonal/>
    </border>
    <border>
      <left style="thick">
        <color rgb="FF38BDF8"/>
      </left>
      <right/>
      <top/>
      <bottom/>
      <diagonal/>
    </border>
    <border>
      <left style="thick">
        <color rgb="FF14B8A6"/>
      </left>
      <right/>
      <top/>
      <bottom/>
      <diagonal/>
    </border>
    <border>
      <left style="thick">
        <color rgb="FF22C55E"/>
      </left>
      <right/>
      <top/>
      <bottom/>
      <diagonal/>
    </border>
    <border>
      <left style="thick">
        <color rgb="FFF59E0B"/>
      </left>
      <right/>
      <top/>
      <bottom/>
      <diagonal/>
    </border>
    <border>
      <left style="thick">
        <color rgb="FFA78BFA"/>
      </left>
      <right/>
      <top/>
      <bottom/>
      <diagonal/>
    </border>
    <border>
      <left style="thick">
        <color rgb="FFF43F5E"/>
      </left>
      <right/>
      <top/>
      <bottom/>
      <diagonal/>
    </border>
    <border>
      <left/>
      <right/>
      <top style="thin">
        <color rgb="FF334155"/>
      </top>
      <bottom style="thin">
        <color rgb="FF334155"/>
      </bottom>
      <diagonal/>
    </border>
    <border>
      <left/>
      <right/>
      <top/>
      <bottom style="thin">
        <color rgb="FFE2E8F0"/>
      </bottom>
      <diagonal/>
    </border>
    <border>
      <left/>
      <right/>
      <top style="thin">
        <color rgb="FFE2E8F0"/>
      </top>
      <bottom style="thin">
        <color rgb="FFE2E8F0"/>
      </bottom>
      <diagonal/>
    </border>
    <border>
      <left/>
      <right/>
      <top style="thin">
        <color rgb="FFE2E8F0"/>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
      <left/>
      <right/>
      <top/>
      <bottom style="medium">
        <color rgb="FF1E3A8A"/>
      </bottom>
      <diagonal/>
    </border>
    <border>
      <left/>
      <right/>
      <top style="thin">
        <color rgb="FFE2E8F0"/>
      </top>
      <bottom style="thin">
        <color rgb="FF1E3A8A"/>
      </bottom>
      <diagonal/>
    </border>
    <border>
      <left/>
      <right/>
      <top style="medium">
        <color rgb="FF1E3A8A"/>
      </top>
      <bottom/>
      <diagonal/>
    </border>
    <border>
      <left style="medium">
        <color rgb="FF94A3B8"/>
      </left>
      <right/>
      <top style="medium">
        <color rgb="FF94A3B8"/>
      </top>
      <bottom style="thick">
        <color rgb="FF020617"/>
      </bottom>
      <diagonal/>
    </border>
    <border>
      <left/>
      <right/>
      <top style="medium">
        <color rgb="FF94A3B8"/>
      </top>
      <bottom style="thick">
        <color rgb="FF020617"/>
      </bottom>
      <diagonal/>
    </border>
    <border>
      <left style="medium">
        <color rgb="FF5EEAD4"/>
      </left>
      <right/>
      <top style="medium">
        <color rgb="FF5EEAD4"/>
      </top>
      <bottom style="thick">
        <color rgb="FF020617"/>
      </bottom>
      <diagonal/>
    </border>
    <border>
      <left/>
      <right/>
      <top style="medium">
        <color rgb="FF5EEAD4"/>
      </top>
      <bottom style="thick">
        <color rgb="FF020617"/>
      </bottom>
      <diagonal/>
    </border>
    <border>
      <left style="medium">
        <color rgb="FF93C5FD"/>
      </left>
      <right/>
      <top style="medium">
        <color rgb="FF93C5FD"/>
      </top>
      <bottom style="thick">
        <color rgb="FF020617"/>
      </bottom>
      <diagonal/>
    </border>
    <border>
      <left/>
      <right/>
      <top style="medium">
        <color rgb="FF93C5FD"/>
      </top>
      <bottom style="thick">
        <color rgb="FF020617"/>
      </bottom>
      <diagonal/>
    </border>
    <border>
      <left/>
      <right style="thick">
        <color rgb="FF020617"/>
      </right>
      <top style="medium">
        <color rgb="FF93C5FD"/>
      </top>
      <bottom style="thick">
        <color rgb="FF020617"/>
      </bottom>
      <diagonal/>
    </border>
    <border>
      <left style="medium">
        <color rgb="FFC4B5FD"/>
      </left>
      <right/>
      <top style="medium">
        <color rgb="FFC4B5FD"/>
      </top>
      <bottom style="thick">
        <color rgb="FF020617"/>
      </bottom>
      <diagonal/>
    </border>
    <border>
      <left/>
      <right/>
      <top style="medium">
        <color rgb="FFC4B5FD"/>
      </top>
      <bottom style="thick">
        <color rgb="FF020617"/>
      </bottom>
      <diagonal/>
    </border>
    <border>
      <left style="medium">
        <color rgb="FF86EFAC"/>
      </left>
      <right/>
      <top style="medium">
        <color rgb="FF86EFAC"/>
      </top>
      <bottom style="thick">
        <color rgb="FF020617"/>
      </bottom>
      <diagonal/>
    </border>
    <border>
      <left/>
      <right/>
      <top style="medium">
        <color rgb="FF86EFAC"/>
      </top>
      <bottom style="thick">
        <color rgb="FF020617"/>
      </bottom>
      <diagonal/>
    </border>
    <border>
      <left/>
      <right style="thick">
        <color rgb="FF020617"/>
      </right>
      <top style="medium">
        <color rgb="FF86EFAC"/>
      </top>
      <bottom style="thick">
        <color rgb="FF020617"/>
      </bottom>
      <diagonal/>
    </border>
    <border>
      <left style="medium">
        <color rgb="FFFDA4AF"/>
      </left>
      <right/>
      <top style="medium">
        <color rgb="FFFDA4AF"/>
      </top>
      <bottom style="thick">
        <color rgb="FF020617"/>
      </bottom>
      <diagonal/>
    </border>
    <border>
      <left/>
      <right/>
      <top style="medium">
        <color rgb="FFFDA4AF"/>
      </top>
      <bottom style="thick">
        <color rgb="FF020617"/>
      </bottom>
      <diagonal/>
    </border>
    <border>
      <left/>
      <right style="thick">
        <color rgb="FF020617"/>
      </right>
      <top style="medium">
        <color rgb="FFFDA4AF"/>
      </top>
      <bottom style="thick">
        <color rgb="FF020617"/>
      </bottom>
      <diagonal/>
    </border>
    <border>
      <left style="medium">
        <color rgb="FF7DD3FC"/>
      </left>
      <right/>
      <top style="medium">
        <color rgb="FF7DD3FC"/>
      </top>
      <bottom style="thick">
        <color rgb="FF020617"/>
      </bottom>
      <diagonal/>
    </border>
    <border>
      <left/>
      <right/>
      <top style="medium">
        <color rgb="FF7DD3FC"/>
      </top>
      <bottom style="thick">
        <color rgb="FF020617"/>
      </bottom>
      <diagonal/>
    </border>
    <border>
      <left/>
      <right style="thick">
        <color rgb="FF020617"/>
      </right>
      <top style="medium">
        <color rgb="FF7DD3FC"/>
      </top>
      <bottom style="thick">
        <color rgb="FF020617"/>
      </bottom>
      <diagonal/>
    </border>
    <border>
      <left/>
      <right/>
      <top style="medium">
        <color rgb="FF334155"/>
      </top>
      <bottom/>
      <diagonal/>
    </border>
    <border>
      <left/>
      <right style="medium">
        <color rgb="FF334155"/>
      </right>
      <top style="medium">
        <color rgb="FF334155"/>
      </top>
      <bottom/>
      <diagonal/>
    </border>
    <border>
      <left/>
      <right style="medium">
        <color rgb="FF334155"/>
      </right>
      <top/>
      <bottom/>
      <diagonal/>
    </border>
    <border>
      <left/>
      <right/>
      <top/>
      <bottom style="thick">
        <color rgb="FF020617"/>
      </bottom>
      <diagonal/>
    </border>
    <border>
      <left/>
      <right style="medium">
        <color rgb="FF334155"/>
      </right>
      <top/>
      <bottom style="thick">
        <color rgb="FF020617"/>
      </bottom>
      <diagonal/>
    </border>
    <border>
      <left style="thick">
        <color rgb="FF22C55E"/>
      </left>
      <right/>
      <top style="medium">
        <color rgb="FF334155"/>
      </top>
      <bottom/>
      <diagonal/>
    </border>
    <border>
      <left style="thick">
        <color rgb="FF22C55E"/>
      </left>
      <right/>
      <top/>
      <bottom style="thick">
        <color rgb="FF020617"/>
      </bottom>
      <diagonal/>
    </border>
    <border>
      <left style="thick">
        <color rgb="FFF43F5E"/>
      </left>
      <right/>
      <top style="medium">
        <color rgb="FF334155"/>
      </top>
      <bottom/>
      <diagonal/>
    </border>
    <border>
      <left style="thick">
        <color rgb="FFF43F5E"/>
      </left>
      <right/>
      <top/>
      <bottom style="thick">
        <color rgb="FF020617"/>
      </bottom>
      <diagonal/>
    </border>
    <border>
      <left style="thick">
        <color rgb="FF38BDF8"/>
      </left>
      <right/>
      <top style="medium">
        <color rgb="FF334155"/>
      </top>
      <bottom/>
      <diagonal/>
    </border>
    <border>
      <left style="thick">
        <color rgb="FF38BDF8"/>
      </left>
      <right/>
      <top/>
      <bottom style="thick">
        <color rgb="FF020617"/>
      </bottom>
      <diagonal/>
    </border>
    <border>
      <left style="thick">
        <color rgb="FFF59E0B"/>
      </left>
      <right/>
      <top style="medium">
        <color rgb="FF334155"/>
      </top>
      <bottom/>
      <diagonal/>
    </border>
    <border>
      <left style="thick">
        <color rgb="FFF59E0B"/>
      </left>
      <right/>
      <top/>
      <bottom style="thick">
        <color rgb="FF020617"/>
      </bottom>
      <diagonal/>
    </border>
    <border>
      <left style="thick">
        <color rgb="FF14B8A6"/>
      </left>
      <right/>
      <top style="medium">
        <color rgb="FF334155"/>
      </top>
      <bottom/>
      <diagonal/>
    </border>
    <border>
      <left style="thick">
        <color rgb="FF14B8A6"/>
      </left>
      <right/>
      <top/>
      <bottom style="thick">
        <color rgb="FF020617"/>
      </bottom>
      <diagonal/>
    </border>
    <border>
      <left style="thick">
        <color rgb="FFA78BFA"/>
      </left>
      <right/>
      <top style="medium">
        <color rgb="FF334155"/>
      </top>
      <bottom/>
      <diagonal/>
    </border>
    <border>
      <left style="thick">
        <color rgb="FFA78BFA"/>
      </left>
      <right/>
      <top/>
      <bottom style="thick">
        <color rgb="FF020617"/>
      </bottom>
      <diagonal/>
    </border>
    <border>
      <left style="thin">
        <color rgb="FF60A5FA"/>
      </left>
      <right/>
      <top style="thin">
        <color rgb="FF60A5FA"/>
      </top>
      <bottom style="thick">
        <color rgb="FF020617"/>
      </bottom>
      <diagonal/>
    </border>
    <border>
      <left style="thin">
        <color rgb="FF60A5FA"/>
      </left>
      <right style="medium">
        <color rgb="FF020617"/>
      </right>
      <top style="thin">
        <color rgb="FF60A5FA"/>
      </top>
      <bottom style="thick">
        <color rgb="FF020617"/>
      </bottom>
      <diagonal/>
    </border>
    <border>
      <left/>
      <right/>
      <top style="thin">
        <color rgb="FF60A5FA"/>
      </top>
      <bottom style="thick">
        <color rgb="FF020617"/>
      </bottom>
      <diagonal/>
    </border>
    <border>
      <left/>
      <right style="medium">
        <color rgb="FF020617"/>
      </right>
      <top style="thin">
        <color rgb="FF60A5FA"/>
      </top>
      <bottom style="thick">
        <color rgb="FF020617"/>
      </bottom>
      <diagonal/>
    </border>
  </borders>
  <cellStyleXfs count="2">
    <xf numFmtId="0" fontId="0" fillId="0" borderId="0"/>
    <xf numFmtId="0" fontId="3" fillId="0" borderId="0" applyNumberFormat="0" applyFill="0" applyBorder="0" applyAlignment="0" applyProtection="0"/>
  </cellStyleXfs>
  <cellXfs count="323">
    <xf numFmtId="0" fontId="0" fillId="0" borderId="0" xfId="0"/>
    <xf numFmtId="0" fontId="2" fillId="0" borderId="0" xfId="0" applyFont="1"/>
    <xf numFmtId="0" fontId="4" fillId="0" borderId="0" xfId="0" applyFont="1"/>
    <xf numFmtId="0" fontId="5" fillId="0" borderId="0" xfId="0" applyFont="1"/>
    <xf numFmtId="0" fontId="8" fillId="0" borderId="0" xfId="0" applyFont="1"/>
    <xf numFmtId="164" fontId="2" fillId="0" borderId="0" xfId="0" applyNumberFormat="1" applyFont="1"/>
    <xf numFmtId="164" fontId="8" fillId="0" borderId="0" xfId="0" applyNumberFormat="1" applyFont="1"/>
    <xf numFmtId="0" fontId="2" fillId="0" borderId="0" xfId="0" applyFont="1" applyAlignment="1">
      <alignment horizontal="center"/>
    </xf>
    <xf numFmtId="165" fontId="2" fillId="0" borderId="0" xfId="0" applyNumberFormat="1" applyFont="1"/>
    <xf numFmtId="3" fontId="2" fillId="0" borderId="0" xfId="0" applyNumberFormat="1" applyFont="1"/>
    <xf numFmtId="164" fontId="10" fillId="0" borderId="0" xfId="0" applyNumberFormat="1" applyFont="1"/>
    <xf numFmtId="164" fontId="4" fillId="0" borderId="0" xfId="0" applyNumberFormat="1" applyFont="1"/>
    <xf numFmtId="0" fontId="11" fillId="0" borderId="0" xfId="0" applyFont="1"/>
    <xf numFmtId="164" fontId="4" fillId="0" borderId="2" xfId="0" applyNumberFormat="1" applyFont="1" applyBorder="1"/>
    <xf numFmtId="164" fontId="5" fillId="0" borderId="0" xfId="0" applyNumberFormat="1" applyFont="1"/>
    <xf numFmtId="0" fontId="4" fillId="0" borderId="0" xfId="0" applyFont="1" applyAlignment="1">
      <alignment horizontal="center"/>
    </xf>
    <xf numFmtId="165" fontId="5" fillId="0" borderId="0" xfId="0" applyNumberFormat="1" applyFont="1"/>
    <xf numFmtId="3" fontId="4" fillId="0" borderId="0" xfId="0" applyNumberFormat="1" applyFont="1"/>
    <xf numFmtId="49" fontId="2" fillId="0" borderId="0" xfId="0" applyNumberFormat="1" applyFont="1"/>
    <xf numFmtId="0" fontId="12" fillId="2" borderId="0" xfId="0" applyFont="1" applyFill="1"/>
    <xf numFmtId="0" fontId="0" fillId="0" borderId="0" xfId="0"/>
    <xf numFmtId="0" fontId="0" fillId="0" borderId="0" xfId="0" applyAlignment="1">
      <alignment horizontal="right"/>
    </xf>
    <xf numFmtId="0" fontId="1" fillId="0" borderId="0" xfId="0" applyFont="1"/>
    <xf numFmtId="165" fontId="12" fillId="4" borderId="5" xfId="0" applyNumberFormat="1" applyFont="1" applyFill="1" applyBorder="1"/>
    <xf numFmtId="165" fontId="12" fillId="4" borderId="13" xfId="0" applyNumberFormat="1" applyFont="1" applyFill="1" applyBorder="1"/>
    <xf numFmtId="165" fontId="12" fillId="4" borderId="6" xfId="0" applyNumberFormat="1" applyFont="1" applyFill="1" applyBorder="1"/>
    <xf numFmtId="0" fontId="32" fillId="4" borderId="5" xfId="0" applyFont="1" applyFill="1" applyBorder="1" applyAlignment="1">
      <alignment horizontal="center"/>
    </xf>
    <xf numFmtId="0" fontId="32" fillId="4" borderId="13" xfId="0" applyFont="1" applyFill="1" applyBorder="1" applyAlignment="1">
      <alignment horizontal="center"/>
    </xf>
    <xf numFmtId="179" fontId="12" fillId="4" borderId="5" xfId="0" applyNumberFormat="1" applyFont="1" applyFill="1" applyBorder="1"/>
    <xf numFmtId="179" fontId="12" fillId="4" borderId="13" xfId="0" applyNumberFormat="1" applyFont="1" applyFill="1" applyBorder="1"/>
    <xf numFmtId="179" fontId="12" fillId="4" borderId="6" xfId="0" applyNumberFormat="1" applyFont="1" applyFill="1" applyBorder="1"/>
    <xf numFmtId="178" fontId="12" fillId="4" borderId="5" xfId="0" applyNumberFormat="1" applyFont="1" applyFill="1" applyBorder="1" applyAlignment="1">
      <alignment horizontal="center"/>
    </xf>
    <xf numFmtId="178" fontId="12" fillId="4" borderId="13" xfId="0" applyNumberFormat="1" applyFont="1" applyFill="1" applyBorder="1" applyAlignment="1">
      <alignment horizontal="center"/>
    </xf>
    <xf numFmtId="0" fontId="14" fillId="2" borderId="0" xfId="0" applyFont="1" applyFill="1"/>
    <xf numFmtId="0" fontId="15" fillId="2" borderId="0" xfId="0" applyFont="1" applyFill="1"/>
    <xf numFmtId="0" fontId="16" fillId="2" borderId="0" xfId="0" applyFont="1" applyFill="1" applyAlignment="1">
      <alignment horizontal="right"/>
    </xf>
    <xf numFmtId="0" fontId="17" fillId="2" borderId="0" xfId="0" applyFont="1" applyFill="1" applyAlignment="1">
      <alignment horizontal="right"/>
    </xf>
    <xf numFmtId="0" fontId="20" fillId="2" borderId="0" xfId="0" applyFont="1" applyFill="1" applyBorder="1"/>
    <xf numFmtId="0" fontId="21" fillId="4" borderId="0" xfId="0" applyFont="1" applyFill="1" applyAlignment="1">
      <alignment horizontal="left" vertical="center" indent="1"/>
    </xf>
    <xf numFmtId="0" fontId="21" fillId="4" borderId="0" xfId="0" applyFont="1" applyFill="1" applyBorder="1" applyAlignment="1">
      <alignment horizontal="left" vertical="center" indent="1"/>
    </xf>
    <xf numFmtId="0" fontId="23" fillId="4" borderId="0" xfId="0" applyFont="1" applyFill="1" applyAlignment="1">
      <alignment horizontal="left" vertical="center" indent="1"/>
    </xf>
    <xf numFmtId="0" fontId="23" fillId="4" borderId="0" xfId="0" applyFont="1" applyFill="1" applyBorder="1" applyAlignment="1">
      <alignment horizontal="left" vertical="center" indent="1"/>
    </xf>
    <xf numFmtId="0" fontId="24" fillId="4" borderId="0" xfId="0" applyFont="1" applyFill="1" applyAlignment="1">
      <alignment horizontal="left" vertical="center" indent="1"/>
    </xf>
    <xf numFmtId="0" fontId="24" fillId="4" borderId="0" xfId="0" applyFont="1" applyFill="1" applyBorder="1" applyAlignment="1">
      <alignment horizontal="left" vertical="center" indent="1"/>
    </xf>
    <xf numFmtId="0" fontId="25" fillId="4" borderId="0" xfId="0" applyFont="1" applyFill="1" applyAlignment="1">
      <alignment horizontal="left" vertical="center" indent="1"/>
    </xf>
    <xf numFmtId="0" fontId="26" fillId="4" borderId="0" xfId="0" applyFont="1" applyFill="1" applyAlignment="1">
      <alignment horizontal="left" vertical="center" indent="1"/>
    </xf>
    <xf numFmtId="0" fontId="26" fillId="4" borderId="0" xfId="0" applyFont="1" applyFill="1" applyBorder="1" applyAlignment="1">
      <alignment horizontal="left" vertical="center" indent="1"/>
    </xf>
    <xf numFmtId="168" fontId="21" fillId="4" borderId="7" xfId="0" applyNumberFormat="1" applyFont="1" applyFill="1" applyBorder="1" applyAlignment="1">
      <alignment horizontal="left" vertical="center" indent="1"/>
    </xf>
    <xf numFmtId="168" fontId="27" fillId="4" borderId="12" xfId="0" applyNumberFormat="1" applyFont="1" applyFill="1" applyBorder="1" applyAlignment="1">
      <alignment horizontal="left" vertical="center" indent="1"/>
    </xf>
    <xf numFmtId="0" fontId="27" fillId="4" borderId="0" xfId="0" applyFont="1" applyFill="1" applyAlignment="1">
      <alignment horizontal="left" vertical="center" indent="1"/>
    </xf>
    <xf numFmtId="0" fontId="27" fillId="4" borderId="0" xfId="0" applyFont="1" applyFill="1" applyBorder="1" applyAlignment="1">
      <alignment horizontal="left" vertical="center" indent="1"/>
    </xf>
    <xf numFmtId="0" fontId="28" fillId="4" borderId="10" xfId="0" applyFont="1" applyFill="1" applyBorder="1" applyAlignment="1">
      <alignment horizontal="left" vertical="center" indent="1"/>
    </xf>
    <xf numFmtId="0" fontId="28" fillId="4" borderId="0" xfId="0" applyFont="1" applyFill="1" applyAlignment="1">
      <alignment horizontal="left" vertical="center" indent="1"/>
    </xf>
    <xf numFmtId="0" fontId="28" fillId="4" borderId="0" xfId="0" applyFont="1" applyFill="1" applyBorder="1" applyAlignment="1">
      <alignment horizontal="left" vertical="center" indent="1"/>
    </xf>
    <xf numFmtId="180" fontId="2" fillId="0" borderId="0" xfId="0" applyNumberFormat="1" applyFont="1"/>
    <xf numFmtId="0" fontId="13" fillId="4" borderId="5" xfId="0" applyFont="1" applyFill="1" applyBorder="1"/>
    <xf numFmtId="0" fontId="13" fillId="4" borderId="13" xfId="0" applyFont="1" applyFill="1" applyBorder="1"/>
    <xf numFmtId="0" fontId="13" fillId="4" borderId="5" xfId="0" applyFont="1" applyFill="1" applyBorder="1" applyAlignment="1">
      <alignment indent="1"/>
    </xf>
    <xf numFmtId="168" fontId="13" fillId="4" borderId="5" xfId="0" applyNumberFormat="1" applyFont="1" applyFill="1" applyBorder="1" applyAlignment="1">
      <alignment horizontal="center"/>
    </xf>
    <xf numFmtId="0" fontId="13" fillId="4" borderId="5" xfId="0" applyFont="1" applyFill="1" applyBorder="1" applyAlignment="1">
      <alignment horizontal="center"/>
    </xf>
    <xf numFmtId="0" fontId="13" fillId="4" borderId="13" xfId="0" applyFont="1" applyFill="1" applyBorder="1" applyAlignment="1">
      <alignment indent="1"/>
    </xf>
    <xf numFmtId="168" fontId="13" fillId="4" borderId="13" xfId="0" applyNumberFormat="1" applyFont="1" applyFill="1" applyBorder="1" applyAlignment="1">
      <alignment horizontal="center"/>
    </xf>
    <xf numFmtId="0" fontId="13" fillId="4" borderId="13" xfId="0" applyFont="1" applyFill="1" applyBorder="1" applyAlignment="1">
      <alignment horizontal="center"/>
    </xf>
    <xf numFmtId="165" fontId="13" fillId="4" borderId="13" xfId="0" applyNumberFormat="1" applyFont="1" applyFill="1" applyBorder="1" applyAlignment="1">
      <alignment horizontal="center"/>
    </xf>
    <xf numFmtId="164" fontId="13" fillId="4" borderId="5" xfId="0" applyNumberFormat="1" applyFont="1" applyFill="1" applyBorder="1"/>
    <xf numFmtId="164" fontId="13" fillId="4" borderId="13" xfId="0" applyNumberFormat="1" applyFont="1" applyFill="1" applyBorder="1"/>
    <xf numFmtId="0" fontId="34" fillId="2" borderId="0" xfId="0" applyFont="1" applyFill="1"/>
    <xf numFmtId="0" fontId="39" fillId="2" borderId="0" xfId="0" applyFont="1" applyFill="1"/>
    <xf numFmtId="0" fontId="7" fillId="6" borderId="0" xfId="0" applyFont="1" applyFill="1"/>
    <xf numFmtId="0" fontId="2" fillId="0" borderId="0" xfId="0" quotePrefix="1" applyFont="1"/>
    <xf numFmtId="164" fontId="7" fillId="6" borderId="0" xfId="0" applyNumberFormat="1" applyFont="1" applyFill="1"/>
    <xf numFmtId="1" fontId="2" fillId="0" borderId="0" xfId="0" applyNumberFormat="1" applyFont="1"/>
    <xf numFmtId="0" fontId="41" fillId="0" borderId="0" xfId="0" applyFont="1"/>
    <xf numFmtId="0" fontId="2" fillId="0" borderId="15" xfId="0" applyFont="1" applyBorder="1"/>
    <xf numFmtId="0" fontId="2" fillId="0" borderId="16" xfId="0" applyFont="1" applyBorder="1"/>
    <xf numFmtId="0" fontId="42" fillId="0" borderId="0" xfId="0" applyFont="1"/>
    <xf numFmtId="0" fontId="31" fillId="6" borderId="0" xfId="0" applyFont="1" applyFill="1"/>
    <xf numFmtId="165" fontId="43" fillId="0" borderId="0" xfId="0" applyNumberFormat="1" applyFont="1"/>
    <xf numFmtId="0" fontId="31" fillId="6" borderId="14" xfId="0" applyFont="1" applyFill="1" applyBorder="1"/>
    <xf numFmtId="0" fontId="31" fillId="6" borderId="14" xfId="0" applyFont="1" applyFill="1" applyBorder="1" applyAlignment="1">
      <alignment horizontal="left"/>
    </xf>
    <xf numFmtId="0" fontId="45" fillId="6" borderId="14" xfId="0" applyFont="1" applyFill="1" applyBorder="1"/>
    <xf numFmtId="0" fontId="0" fillId="0" borderId="15" xfId="0" applyBorder="1"/>
    <xf numFmtId="0" fontId="43" fillId="0" borderId="15" xfId="0" applyFont="1" applyBorder="1" applyAlignment="1">
      <alignment horizontal="left"/>
    </xf>
    <xf numFmtId="0" fontId="46" fillId="0" borderId="15" xfId="0" applyFont="1" applyBorder="1"/>
    <xf numFmtId="0" fontId="43" fillId="7" borderId="15" xfId="0" applyFont="1" applyFill="1" applyBorder="1" applyAlignment="1">
      <alignment horizontal="left"/>
    </xf>
    <xf numFmtId="0" fontId="0" fillId="0" borderId="15" xfId="0" applyBorder="1" applyAlignment="1">
      <alignment horizontal="left"/>
    </xf>
    <xf numFmtId="0" fontId="43" fillId="0" borderId="15" xfId="0" quotePrefix="1" applyFont="1" applyBorder="1" applyAlignment="1">
      <alignment horizontal="left"/>
    </xf>
    <xf numFmtId="164" fontId="43" fillId="0" borderId="15" xfId="0" applyNumberFormat="1" applyFont="1" applyBorder="1" applyAlignment="1">
      <alignment horizontal="left"/>
    </xf>
    <xf numFmtId="0" fontId="31" fillId="6" borderId="15" xfId="0" applyFont="1" applyFill="1" applyBorder="1"/>
    <xf numFmtId="0" fontId="31" fillId="6" borderId="15" xfId="0" applyFont="1" applyFill="1" applyBorder="1" applyAlignment="1">
      <alignment horizontal="left"/>
    </xf>
    <xf numFmtId="0" fontId="45" fillId="6" borderId="15" xfId="0" applyFont="1" applyFill="1" applyBorder="1"/>
    <xf numFmtId="1" fontId="43" fillId="0" borderId="15" xfId="0" applyNumberFormat="1" applyFont="1" applyBorder="1" applyAlignment="1">
      <alignment horizontal="left"/>
    </xf>
    <xf numFmtId="1" fontId="43" fillId="7" borderId="15" xfId="0" applyNumberFormat="1" applyFont="1" applyFill="1" applyBorder="1" applyAlignment="1">
      <alignment horizontal="left"/>
    </xf>
    <xf numFmtId="165" fontId="43" fillId="0" borderId="15" xfId="0" applyNumberFormat="1" applyFont="1" applyBorder="1" applyAlignment="1">
      <alignment horizontal="left"/>
    </xf>
    <xf numFmtId="182" fontId="43" fillId="0" borderId="15" xfId="0" applyNumberFormat="1" applyFont="1" applyBorder="1" applyAlignment="1">
      <alignment horizontal="left"/>
    </xf>
    <xf numFmtId="165" fontId="0" fillId="0" borderId="15" xfId="0" applyNumberFormat="1" applyBorder="1" applyAlignment="1">
      <alignment horizontal="left"/>
    </xf>
    <xf numFmtId="0" fontId="47" fillId="0" borderId="0" xfId="0" applyFont="1"/>
    <xf numFmtId="183" fontId="43" fillId="0" borderId="15" xfId="0" applyNumberFormat="1" applyFont="1" applyBorder="1" applyAlignment="1">
      <alignment horizontal="left"/>
    </xf>
    <xf numFmtId="183" fontId="0" fillId="0" borderId="15" xfId="0" applyNumberFormat="1" applyBorder="1" applyAlignment="1">
      <alignment horizontal="left"/>
    </xf>
    <xf numFmtId="0" fontId="4" fillId="7" borderId="0" xfId="0" applyFont="1" applyFill="1"/>
    <xf numFmtId="0" fontId="2" fillId="0" borderId="0" xfId="0" applyFont="1" applyAlignment="1">
      <alignment wrapText="1"/>
    </xf>
    <xf numFmtId="0" fontId="18" fillId="3" borderId="17" xfId="0" applyFont="1" applyFill="1" applyBorder="1"/>
    <xf numFmtId="0" fontId="7" fillId="6" borderId="17" xfId="0" applyFont="1" applyFill="1" applyBorder="1"/>
    <xf numFmtId="0" fontId="4" fillId="7" borderId="18" xfId="0" applyFont="1" applyFill="1" applyBorder="1" applyAlignment="1">
      <alignment vertical="top"/>
    </xf>
    <xf numFmtId="0" fontId="8" fillId="0" borderId="18" xfId="0" applyFont="1" applyBorder="1" applyAlignment="1">
      <alignment vertical="top"/>
    </xf>
    <xf numFmtId="0" fontId="4" fillId="7" borderId="18" xfId="0" applyFont="1" applyFill="1" applyBorder="1" applyAlignment="1">
      <alignment vertical="top" wrapText="1"/>
    </xf>
    <xf numFmtId="0" fontId="8" fillId="0" borderId="18" xfId="0" applyFont="1" applyBorder="1" applyAlignment="1">
      <alignment vertical="top" wrapText="1"/>
    </xf>
    <xf numFmtId="0" fontId="2" fillId="0" borderId="18" xfId="0" applyFont="1" applyBorder="1" applyAlignment="1">
      <alignment vertical="top"/>
    </xf>
    <xf numFmtId="0" fontId="2" fillId="0" borderId="18" xfId="0" applyFont="1" applyBorder="1" applyAlignment="1">
      <alignment vertical="top" wrapText="1"/>
    </xf>
    <xf numFmtId="183" fontId="2" fillId="0" borderId="0" xfId="0" applyNumberFormat="1" applyFont="1"/>
    <xf numFmtId="0" fontId="48" fillId="0" borderId="0" xfId="0" applyFont="1"/>
    <xf numFmtId="0" fontId="48" fillId="0" borderId="0" xfId="0" applyFont="1" applyAlignment="1">
      <alignment horizontal="center"/>
    </xf>
    <xf numFmtId="184" fontId="2" fillId="0" borderId="0" xfId="0" applyNumberFormat="1" applyFont="1"/>
    <xf numFmtId="183" fontId="8" fillId="0" borderId="0" xfId="0" applyNumberFormat="1" applyFont="1"/>
    <xf numFmtId="0" fontId="2" fillId="0" borderId="14" xfId="0" applyFont="1" applyBorder="1"/>
    <xf numFmtId="164" fontId="2" fillId="0" borderId="14" xfId="0" applyNumberFormat="1" applyFont="1" applyBorder="1"/>
    <xf numFmtId="164" fontId="2" fillId="0" borderId="15" xfId="0" applyNumberFormat="1" applyFont="1" applyBorder="1"/>
    <xf numFmtId="0" fontId="4" fillId="0" borderId="15" xfId="0" applyFont="1" applyBorder="1"/>
    <xf numFmtId="9" fontId="2" fillId="0" borderId="0" xfId="0" applyNumberFormat="1" applyFont="1"/>
    <xf numFmtId="10" fontId="2" fillId="0" borderId="0" xfId="0" applyNumberFormat="1" applyFont="1"/>
    <xf numFmtId="10" fontId="8" fillId="0" borderId="0" xfId="0" applyNumberFormat="1" applyFont="1"/>
    <xf numFmtId="185" fontId="2" fillId="0" borderId="0" xfId="0" applyNumberFormat="1" applyFont="1"/>
    <xf numFmtId="0" fontId="7" fillId="6" borderId="0" xfId="0" applyFont="1" applyFill="1" applyAlignment="1">
      <alignment horizontal="center"/>
    </xf>
    <xf numFmtId="0" fontId="4" fillId="8" borderId="0" xfId="0" applyFont="1" applyFill="1"/>
    <xf numFmtId="0" fontId="42" fillId="8" borderId="0" xfId="0" applyFont="1" applyFill="1"/>
    <xf numFmtId="164" fontId="4" fillId="7" borderId="2" xfId="0" applyNumberFormat="1" applyFont="1" applyFill="1" applyBorder="1"/>
    <xf numFmtId="0" fontId="7" fillId="6" borderId="0" xfId="0" applyFont="1" applyFill="1" applyAlignment="1">
      <alignment wrapText="1"/>
    </xf>
    <xf numFmtId="164" fontId="4" fillId="8" borderId="0" xfId="0" applyNumberFormat="1" applyFont="1" applyFill="1"/>
    <xf numFmtId="164" fontId="7" fillId="6" borderId="0" xfId="0" applyNumberFormat="1" applyFont="1" applyFill="1" applyAlignment="1">
      <alignment wrapText="1"/>
    </xf>
    <xf numFmtId="164" fontId="2" fillId="0" borderId="16" xfId="0" applyNumberFormat="1" applyFont="1" applyBorder="1"/>
    <xf numFmtId="0" fontId="8" fillId="7" borderId="0" xfId="0" applyFont="1" applyFill="1"/>
    <xf numFmtId="186" fontId="2" fillId="0" borderId="0" xfId="0" applyNumberFormat="1" applyFont="1"/>
    <xf numFmtId="0" fontId="51" fillId="0" borderId="0" xfId="0" applyFont="1"/>
    <xf numFmtId="0" fontId="52" fillId="2" borderId="0" xfId="0" applyFont="1" applyFill="1"/>
    <xf numFmtId="0" fontId="53" fillId="0" borderId="0" xfId="0" applyFont="1"/>
    <xf numFmtId="0" fontId="39" fillId="2" borderId="0" xfId="0" applyFont="1" applyFill="1" applyAlignment="1">
      <alignment horizontal="center"/>
    </xf>
    <xf numFmtId="0" fontId="7" fillId="6" borderId="0" xfId="0" applyFont="1" applyFill="1" applyAlignment="1">
      <alignment horizontal="right"/>
    </xf>
    <xf numFmtId="0" fontId="4" fillId="8" borderId="0" xfId="0" applyFont="1" applyFill="1" applyAlignment="1">
      <alignment horizontal="center"/>
    </xf>
    <xf numFmtId="164" fontId="4" fillId="8" borderId="4" xfId="0" applyNumberFormat="1" applyFont="1" applyFill="1" applyBorder="1"/>
    <xf numFmtId="0" fontId="2" fillId="0" borderId="0" xfId="0" applyFont="1" applyAlignment="1">
      <alignment indent="1"/>
    </xf>
    <xf numFmtId="167" fontId="41" fillId="0" borderId="0" xfId="0" applyNumberFormat="1" applyFont="1"/>
    <xf numFmtId="4" fontId="2" fillId="0" borderId="0" xfId="0" applyNumberFormat="1" applyFont="1"/>
    <xf numFmtId="167" fontId="41" fillId="0" borderId="2" xfId="0" applyNumberFormat="1" applyFont="1" applyBorder="1"/>
    <xf numFmtId="167" fontId="41" fillId="8" borderId="4" xfId="0" applyNumberFormat="1" applyFont="1" applyFill="1" applyBorder="1"/>
    <xf numFmtId="0" fontId="41" fillId="0" borderId="0" xfId="0" applyFont="1" applyAlignment="1">
      <alignment horizontal="center"/>
    </xf>
    <xf numFmtId="164" fontId="41" fillId="0" borderId="0" xfId="0" applyNumberFormat="1" applyFont="1"/>
    <xf numFmtId="0" fontId="7" fillId="6" borderId="0" xfId="0" applyFont="1" applyFill="1" applyAlignment="1">
      <alignment horizontal="right" wrapText="1"/>
    </xf>
    <xf numFmtId="164" fontId="4" fillId="8" borderId="3" xfId="0" applyNumberFormat="1" applyFont="1" applyFill="1" applyBorder="1"/>
    <xf numFmtId="0" fontId="7" fillId="6" borderId="0" xfId="0" applyFont="1" applyFill="1" applyAlignment="1">
      <alignment horizontal="center" wrapText="1"/>
    </xf>
    <xf numFmtId="0" fontId="9" fillId="7" borderId="0" xfId="0" applyFont="1" applyFill="1"/>
    <xf numFmtId="0" fontId="0" fillId="0" borderId="0" xfId="0" applyAlignment="1">
      <alignment vertical="top" wrapText="1"/>
    </xf>
    <xf numFmtId="0" fontId="4" fillId="0" borderId="1" xfId="0" applyFont="1" applyBorder="1"/>
    <xf numFmtId="0" fontId="4" fillId="0" borderId="1" xfId="0" applyFont="1" applyBorder="1" applyAlignment="1">
      <alignment horizontal="right"/>
    </xf>
    <xf numFmtId="0" fontId="2" fillId="0" borderId="0" xfId="0" applyFont="1" applyAlignment="1">
      <alignment horizontal="right"/>
    </xf>
    <xf numFmtId="0" fontId="4" fillId="0" borderId="1" xfId="0" applyFont="1" applyBorder="1" applyAlignment="1">
      <alignment wrapText="1"/>
    </xf>
    <xf numFmtId="0" fontId="4" fillId="0" borderId="1" xfId="0" applyFont="1" applyBorder="1" applyAlignment="1">
      <alignment horizontal="right" wrapText="1"/>
    </xf>
    <xf numFmtId="0" fontId="39" fillId="2" borderId="0" xfId="0" applyFont="1" applyFill="1" applyAlignment="1">
      <alignment horizontal="center" vertical="top"/>
    </xf>
    <xf numFmtId="0" fontId="51" fillId="0" borderId="0" xfId="0" applyFont="1" applyAlignment="1">
      <alignment horizontal="center" vertical="top"/>
    </xf>
    <xf numFmtId="0" fontId="4" fillId="0" borderId="0" xfId="0" applyFont="1" applyAlignment="1">
      <alignment horizontal="center" vertical="top"/>
    </xf>
    <xf numFmtId="0" fontId="41" fillId="0" borderId="0" xfId="0" applyFont="1" applyAlignment="1">
      <alignment horizontal="center" vertical="top"/>
    </xf>
    <xf numFmtId="0" fontId="7" fillId="6" borderId="0" xfId="0" applyFont="1" applyFill="1" applyAlignment="1">
      <alignment horizontal="center" vertical="top"/>
    </xf>
    <xf numFmtId="0" fontId="2" fillId="0" borderId="0" xfId="0" applyFont="1" applyAlignment="1">
      <alignment horizontal="center" vertical="top"/>
    </xf>
    <xf numFmtId="0" fontId="54" fillId="0" borderId="0" xfId="0" applyFont="1"/>
    <xf numFmtId="0" fontId="55" fillId="0" borderId="0" xfId="0" applyFont="1" applyAlignment="1">
      <alignment horizontal="right"/>
    </xf>
    <xf numFmtId="0" fontId="44" fillId="0" borderId="0" xfId="0" applyFont="1" applyAlignment="1">
      <alignment horizontal="right"/>
    </xf>
    <xf numFmtId="0" fontId="56" fillId="0" borderId="0" xfId="0" applyFont="1"/>
    <xf numFmtId="0" fontId="2" fillId="0" borderId="19" xfId="0" applyFont="1" applyBorder="1"/>
    <xf numFmtId="0" fontId="4" fillId="0" borderId="0" xfId="0" applyFont="1" applyAlignment="1">
      <alignment horizontal="right"/>
    </xf>
    <xf numFmtId="0" fontId="57" fillId="0" borderId="0" xfId="0" applyFont="1"/>
    <xf numFmtId="0" fontId="9" fillId="7" borderId="0" xfId="0" applyFont="1" applyFill="1" applyAlignment="1">
      <alignment horizontal="right"/>
    </xf>
    <xf numFmtId="187" fontId="2" fillId="0" borderId="0" xfId="0" applyNumberFormat="1" applyFont="1" applyAlignment="1">
      <alignment horizontal="right"/>
    </xf>
    <xf numFmtId="0" fontId="2" fillId="0" borderId="20" xfId="0" applyFont="1" applyBorder="1"/>
    <xf numFmtId="164" fontId="2" fillId="0" borderId="20" xfId="0" applyNumberFormat="1" applyFont="1" applyBorder="1"/>
    <xf numFmtId="3" fontId="2" fillId="0" borderId="14" xfId="0" applyNumberFormat="1" applyFont="1" applyBorder="1"/>
    <xf numFmtId="3" fontId="2" fillId="0" borderId="15" xfId="0" applyNumberFormat="1" applyFont="1" applyBorder="1"/>
    <xf numFmtId="3" fontId="2" fillId="0" borderId="20" xfId="0" applyNumberFormat="1" applyFont="1" applyBorder="1"/>
    <xf numFmtId="0" fontId="2" fillId="0" borderId="14" xfId="0" applyFont="1" applyBorder="1" applyAlignment="1">
      <alignment horizontal="center"/>
    </xf>
    <xf numFmtId="0" fontId="2" fillId="0" borderId="15" xfId="0" applyFont="1" applyBorder="1" applyAlignment="1">
      <alignment horizontal="center"/>
    </xf>
    <xf numFmtId="0" fontId="2" fillId="0" borderId="20" xfId="0" applyFont="1" applyBorder="1" applyAlignment="1">
      <alignment horizontal="center"/>
    </xf>
    <xf numFmtId="0" fontId="2" fillId="0" borderId="14" xfId="0" applyFont="1" applyBorder="1" applyAlignment="1">
      <alignment horizontal="right"/>
    </xf>
    <xf numFmtId="0" fontId="2" fillId="0" borderId="15" xfId="0" applyFont="1" applyBorder="1" applyAlignment="1">
      <alignment horizontal="right"/>
    </xf>
    <xf numFmtId="0" fontId="2" fillId="0" borderId="20" xfId="0" applyFont="1" applyBorder="1" applyAlignment="1">
      <alignment horizontal="right"/>
    </xf>
    <xf numFmtId="0" fontId="58" fillId="6" borderId="0" xfId="0" applyFont="1" applyFill="1" applyAlignment="1">
      <alignment horizontal="right"/>
    </xf>
    <xf numFmtId="164" fontId="59" fillId="6" borderId="0" xfId="0" applyNumberFormat="1" applyFont="1" applyFill="1"/>
    <xf numFmtId="164" fontId="40" fillId="0" borderId="0" xfId="0" applyNumberFormat="1" applyFont="1"/>
    <xf numFmtId="0" fontId="46" fillId="0" borderId="0" xfId="0" applyFont="1"/>
    <xf numFmtId="0" fontId="0" fillId="0" borderId="0" xfId="0" applyAlignment="1">
      <alignment horizontal="center"/>
    </xf>
    <xf numFmtId="0" fontId="1" fillId="0" borderId="2" xfId="0" applyFont="1" applyBorder="1" applyAlignment="1">
      <alignment horizontal="center"/>
    </xf>
    <xf numFmtId="0" fontId="44" fillId="0" borderId="0" xfId="0" applyFont="1" applyAlignment="1">
      <alignment horizontal="center"/>
    </xf>
    <xf numFmtId="188" fontId="2" fillId="0" borderId="0" xfId="0" applyNumberFormat="1" applyFont="1"/>
    <xf numFmtId="188" fontId="8" fillId="0" borderId="0" xfId="0" applyNumberFormat="1" applyFont="1"/>
    <xf numFmtId="0" fontId="42" fillId="8" borderId="14" xfId="0" applyFont="1" applyFill="1" applyBorder="1"/>
    <xf numFmtId="0" fontId="9" fillId="8" borderId="14" xfId="0" applyFont="1" applyFill="1" applyBorder="1"/>
    <xf numFmtId="0" fontId="42" fillId="8" borderId="14" xfId="0" applyFont="1" applyFill="1" applyBorder="1" applyAlignment="1">
      <alignment horizontal="center"/>
    </xf>
    <xf numFmtId="168" fontId="2" fillId="0" borderId="15" xfId="0" applyNumberFormat="1" applyFont="1" applyBorder="1"/>
    <xf numFmtId="168" fontId="8" fillId="0" borderId="15" xfId="0" applyNumberFormat="1" applyFont="1" applyBorder="1"/>
    <xf numFmtId="0" fontId="42" fillId="8" borderId="15" xfId="0" applyFont="1" applyFill="1" applyBorder="1"/>
    <xf numFmtId="0" fontId="9" fillId="8" borderId="15" xfId="0" applyFont="1" applyFill="1" applyBorder="1"/>
    <xf numFmtId="0" fontId="42" fillId="8" borderId="15" xfId="0" applyFont="1" applyFill="1" applyBorder="1" applyAlignment="1">
      <alignment horizontal="center"/>
    </xf>
    <xf numFmtId="165" fontId="2" fillId="0" borderId="15" xfId="0" applyNumberFormat="1" applyFont="1" applyBorder="1"/>
    <xf numFmtId="165" fontId="8" fillId="0" borderId="15" xfId="0" applyNumberFormat="1" applyFont="1" applyBorder="1"/>
    <xf numFmtId="177" fontId="2" fillId="0" borderId="15" xfId="0" applyNumberFormat="1" applyFont="1" applyBorder="1"/>
    <xf numFmtId="177" fontId="8" fillId="0" borderId="15" xfId="0" applyNumberFormat="1" applyFont="1" applyBorder="1"/>
    <xf numFmtId="188" fontId="2" fillId="0" borderId="15" xfId="0" applyNumberFormat="1" applyFont="1" applyBorder="1"/>
    <xf numFmtId="188" fontId="8" fillId="0" borderId="15" xfId="0" applyNumberFormat="1" applyFont="1" applyBorder="1"/>
    <xf numFmtId="188" fontId="2" fillId="0" borderId="16" xfId="0" applyNumberFormat="1" applyFont="1" applyBorder="1"/>
    <xf numFmtId="188" fontId="8" fillId="0" borderId="16" xfId="0" applyNumberFormat="1" applyFont="1" applyBorder="1"/>
    <xf numFmtId="0" fontId="2" fillId="0" borderId="16" xfId="0" applyFont="1" applyBorder="1" applyAlignment="1">
      <alignment horizontal="center"/>
    </xf>
    <xf numFmtId="0" fontId="4" fillId="0" borderId="16" xfId="0" applyFont="1" applyBorder="1"/>
    <xf numFmtId="0" fontId="2" fillId="9" borderId="0" xfId="0" applyFont="1" applyFill="1"/>
    <xf numFmtId="164" fontId="2" fillId="9" borderId="0" xfId="0" applyNumberFormat="1" applyFont="1" applyFill="1"/>
    <xf numFmtId="164" fontId="4" fillId="9" borderId="2" xfId="0" applyNumberFormat="1" applyFont="1" applyFill="1" applyBorder="1"/>
    <xf numFmtId="165" fontId="5" fillId="9" borderId="0" xfId="0" applyNumberFormat="1" applyFont="1" applyFill="1"/>
    <xf numFmtId="164" fontId="4" fillId="9" borderId="0" xfId="0" applyNumberFormat="1" applyFont="1" applyFill="1"/>
    <xf numFmtId="3" fontId="2" fillId="9" borderId="0" xfId="0" applyNumberFormat="1" applyFont="1" applyFill="1"/>
    <xf numFmtId="0" fontId="7" fillId="2" borderId="0" xfId="0" applyFont="1" applyFill="1" applyAlignment="1">
      <alignment horizontal="right"/>
    </xf>
    <xf numFmtId="0" fontId="6" fillId="0" borderId="0" xfId="0" applyFont="1"/>
    <xf numFmtId="0" fontId="7" fillId="0" borderId="0" xfId="0" applyFont="1"/>
    <xf numFmtId="0" fontId="60" fillId="0" borderId="0" xfId="0" applyFont="1"/>
    <xf numFmtId="0" fontId="7" fillId="8" borderId="0" xfId="0" applyFont="1" applyFill="1"/>
    <xf numFmtId="0" fontId="4" fillId="0" borderId="14" xfId="0" applyFont="1" applyBorder="1"/>
    <xf numFmtId="3" fontId="10" fillId="0" borderId="0" xfId="0" applyNumberFormat="1" applyFont="1"/>
    <xf numFmtId="14" fontId="19" fillId="3" borderId="0" xfId="0" applyNumberFormat="1" applyFont="1" applyFill="1" applyAlignment="1">
      <alignment horizontal="center"/>
    </xf>
    <xf numFmtId="189" fontId="19" fillId="3" borderId="0" xfId="0" applyNumberFormat="1" applyFont="1" applyFill="1" applyAlignment="1">
      <alignment horizontal="center"/>
    </xf>
    <xf numFmtId="0" fontId="38" fillId="5" borderId="22" xfId="1" applyFont="1" applyFill="1" applyBorder="1" applyAlignment="1">
      <alignment horizontal="center" vertical="center"/>
    </xf>
    <xf numFmtId="0" fontId="38" fillId="5" borderId="23" xfId="1" applyFont="1" applyFill="1" applyBorder="1" applyAlignment="1">
      <alignment horizontal="center" vertical="center"/>
    </xf>
    <xf numFmtId="0" fontId="38" fillId="10" borderId="24" xfId="1" applyFont="1" applyFill="1" applyBorder="1" applyAlignment="1">
      <alignment horizontal="center" vertical="center"/>
    </xf>
    <xf numFmtId="0" fontId="38" fillId="10" borderId="25" xfId="1" applyFont="1" applyFill="1" applyBorder="1" applyAlignment="1">
      <alignment horizontal="center" vertical="center"/>
    </xf>
    <xf numFmtId="0" fontId="38" fillId="6" borderId="26" xfId="1" applyFont="1" applyFill="1" applyBorder="1" applyAlignment="1">
      <alignment horizontal="center" vertical="center"/>
    </xf>
    <xf numFmtId="0" fontId="38" fillId="6" borderId="27" xfId="1" applyFont="1" applyFill="1" applyBorder="1" applyAlignment="1">
      <alignment horizontal="center" vertical="center"/>
    </xf>
    <xf numFmtId="0" fontId="38" fillId="6" borderId="28" xfId="1" applyFont="1" applyFill="1" applyBorder="1" applyAlignment="1">
      <alignment horizontal="center" vertical="center"/>
    </xf>
    <xf numFmtId="0" fontId="38" fillId="11" borderId="29" xfId="1" applyFont="1" applyFill="1" applyBorder="1" applyAlignment="1">
      <alignment horizontal="center" vertical="center"/>
    </xf>
    <xf numFmtId="0" fontId="38" fillId="11" borderId="30" xfId="1" applyFont="1" applyFill="1" applyBorder="1" applyAlignment="1">
      <alignment horizontal="center" vertical="center"/>
    </xf>
    <xf numFmtId="0" fontId="38" fillId="12" borderId="31" xfId="1" applyFont="1" applyFill="1" applyBorder="1" applyAlignment="1">
      <alignment horizontal="center" vertical="center"/>
    </xf>
    <xf numFmtId="0" fontId="38" fillId="12" borderId="32" xfId="1" applyFont="1" applyFill="1" applyBorder="1" applyAlignment="1">
      <alignment horizontal="center" vertical="center"/>
    </xf>
    <xf numFmtId="0" fontId="38" fillId="12" borderId="33" xfId="1" applyFont="1" applyFill="1" applyBorder="1" applyAlignment="1">
      <alignment horizontal="center" vertical="center"/>
    </xf>
    <xf numFmtId="0" fontId="38" fillId="13" borderId="34" xfId="1" applyFont="1" applyFill="1" applyBorder="1" applyAlignment="1">
      <alignment horizontal="center" vertical="center"/>
    </xf>
    <xf numFmtId="0" fontId="38" fillId="13" borderId="35" xfId="1" applyFont="1" applyFill="1" applyBorder="1" applyAlignment="1">
      <alignment horizontal="center" vertical="center"/>
    </xf>
    <xf numFmtId="0" fontId="38" fillId="13" borderId="36" xfId="1" applyFont="1" applyFill="1" applyBorder="1" applyAlignment="1">
      <alignment horizontal="center" vertical="center"/>
    </xf>
    <xf numFmtId="0" fontId="38" fillId="14" borderId="37" xfId="1" applyFont="1" applyFill="1" applyBorder="1" applyAlignment="1">
      <alignment horizontal="center" vertical="center"/>
    </xf>
    <xf numFmtId="0" fontId="38" fillId="14" borderId="38" xfId="1" applyFont="1" applyFill="1" applyBorder="1" applyAlignment="1">
      <alignment horizontal="center" vertical="center"/>
    </xf>
    <xf numFmtId="0" fontId="38" fillId="14" borderId="39" xfId="1" applyFont="1" applyFill="1" applyBorder="1" applyAlignment="1">
      <alignment horizontal="center" vertical="center"/>
    </xf>
    <xf numFmtId="0" fontId="46" fillId="2" borderId="0" xfId="0" applyFont="1" applyFill="1" applyAlignment="1">
      <alignment horizontal="center"/>
    </xf>
    <xf numFmtId="0" fontId="20" fillId="2" borderId="19" xfId="0" applyFont="1" applyFill="1" applyBorder="1"/>
    <xf numFmtId="0" fontId="17" fillId="4" borderId="45" xfId="0" applyFont="1" applyFill="1" applyBorder="1" applyAlignment="1">
      <alignment indent="1"/>
    </xf>
    <xf numFmtId="0" fontId="17" fillId="4" borderId="40" xfId="0" applyFont="1" applyFill="1" applyBorder="1" applyAlignment="1">
      <alignment indent="1"/>
    </xf>
    <xf numFmtId="0" fontId="33" fillId="4" borderId="9" xfId="0" applyFont="1" applyFill="1" applyBorder="1" applyAlignment="1">
      <alignment horizontal="left" vertical="center" indent="1"/>
    </xf>
    <xf numFmtId="0" fontId="33" fillId="4" borderId="0" xfId="0" applyFont="1" applyFill="1" applyAlignment="1">
      <alignment horizontal="left" vertical="center" indent="1"/>
    </xf>
    <xf numFmtId="0" fontId="33" fillId="4" borderId="0" xfId="0" applyFont="1" applyFill="1" applyBorder="1" applyAlignment="1">
      <alignment horizontal="left" vertical="center" indent="1"/>
    </xf>
    <xf numFmtId="0" fontId="22" fillId="4" borderId="46" xfId="0" applyFont="1" applyFill="1" applyBorder="1" applyAlignment="1">
      <alignment vertical="top" indent="1"/>
    </xf>
    <xf numFmtId="0" fontId="22" fillId="4" borderId="43" xfId="0" applyFont="1" applyFill="1" applyBorder="1" applyAlignment="1">
      <alignment vertical="top" indent="1"/>
    </xf>
    <xf numFmtId="0" fontId="17" fillId="4" borderId="47" xfId="0" applyFont="1" applyFill="1" applyBorder="1" applyAlignment="1">
      <alignment indent="1"/>
    </xf>
    <xf numFmtId="0" fontId="22" fillId="4" borderId="48" xfId="0" applyFont="1" applyFill="1" applyBorder="1" applyAlignment="1">
      <alignment vertical="top" indent="1"/>
    </xf>
    <xf numFmtId="0" fontId="17" fillId="4" borderId="49" xfId="0" applyFont="1" applyFill="1" applyBorder="1" applyAlignment="1">
      <alignment indent="1"/>
    </xf>
    <xf numFmtId="0" fontId="22" fillId="4" borderId="50" xfId="0" applyFont="1" applyFill="1" applyBorder="1" applyAlignment="1">
      <alignment vertical="top" indent="1"/>
    </xf>
    <xf numFmtId="0" fontId="17" fillId="4" borderId="51" xfId="0" applyFont="1" applyFill="1" applyBorder="1" applyAlignment="1">
      <alignment indent="1"/>
    </xf>
    <xf numFmtId="0" fontId="17" fillId="4" borderId="41" xfId="0" applyFont="1" applyFill="1" applyBorder="1" applyAlignment="1">
      <alignment indent="1"/>
    </xf>
    <xf numFmtId="0" fontId="29" fillId="4" borderId="10" xfId="0" applyFont="1" applyFill="1" applyBorder="1" applyAlignment="1">
      <alignment horizontal="left" vertical="center" indent="1"/>
    </xf>
    <xf numFmtId="0" fontId="29" fillId="4" borderId="0" xfId="0" applyFont="1" applyFill="1" applyAlignment="1">
      <alignment horizontal="left" vertical="center" indent="1"/>
    </xf>
    <xf numFmtId="0" fontId="29" fillId="4" borderId="42" xfId="0" applyFont="1" applyFill="1" applyBorder="1" applyAlignment="1">
      <alignment horizontal="left" vertical="center" indent="1"/>
    </xf>
    <xf numFmtId="0" fontId="22" fillId="4" borderId="52" xfId="0" applyFont="1" applyFill="1" applyBorder="1" applyAlignment="1">
      <alignment vertical="top" indent="1"/>
    </xf>
    <xf numFmtId="0" fontId="22" fillId="4" borderId="44" xfId="0" applyFont="1" applyFill="1" applyBorder="1" applyAlignment="1">
      <alignment vertical="top" indent="1"/>
    </xf>
    <xf numFmtId="190" fontId="21" fillId="4" borderId="7" xfId="0" applyNumberFormat="1" applyFont="1" applyFill="1" applyBorder="1" applyAlignment="1">
      <alignment horizontal="left" vertical="center" indent="1"/>
    </xf>
    <xf numFmtId="0" fontId="17" fillId="4" borderId="53" xfId="0" applyFont="1" applyFill="1" applyBorder="1" applyAlignment="1">
      <alignment indent="1"/>
    </xf>
    <xf numFmtId="190" fontId="23" fillId="4" borderId="8" xfId="0" applyNumberFormat="1" applyFont="1" applyFill="1" applyBorder="1" applyAlignment="1">
      <alignment horizontal="left" vertical="center" indent="1"/>
    </xf>
    <xf numFmtId="0" fontId="22" fillId="4" borderId="54" xfId="0" applyFont="1" applyFill="1" applyBorder="1" applyAlignment="1">
      <alignment vertical="top" indent="1"/>
    </xf>
    <xf numFmtId="190" fontId="24" fillId="4" borderId="9" xfId="0" applyNumberFormat="1" applyFont="1" applyFill="1" applyBorder="1" applyAlignment="1">
      <alignment horizontal="left" vertical="center" indent="1"/>
    </xf>
    <xf numFmtId="190" fontId="25" fillId="4" borderId="10" xfId="0" applyNumberFormat="1" applyFont="1" applyFill="1" applyBorder="1" applyAlignment="1">
      <alignment horizontal="left" vertical="center" indent="1"/>
    </xf>
    <xf numFmtId="0" fontId="25" fillId="4" borderId="42" xfId="0" applyFont="1" applyFill="1" applyBorder="1" applyAlignment="1">
      <alignment horizontal="left" vertical="center" indent="1"/>
    </xf>
    <xf numFmtId="0" fontId="17" fillId="4" borderId="55" xfId="0" applyFont="1" applyFill="1" applyBorder="1" applyAlignment="1">
      <alignment indent="1"/>
    </xf>
    <xf numFmtId="190" fontId="26" fillId="4" borderId="11" xfId="0" applyNumberFormat="1" applyFont="1" applyFill="1" applyBorder="1" applyAlignment="1">
      <alignment horizontal="left" vertical="center" indent="1"/>
    </xf>
    <xf numFmtId="0" fontId="22" fillId="4" borderId="56" xfId="0" applyFont="1" applyFill="1" applyBorder="1" applyAlignment="1">
      <alignment vertical="top" indent="1"/>
    </xf>
    <xf numFmtId="188" fontId="23" fillId="4" borderId="8" xfId="0" applyNumberFormat="1" applyFont="1" applyFill="1" applyBorder="1" applyAlignment="1">
      <alignment horizontal="left" vertical="center" indent="1"/>
    </xf>
    <xf numFmtId="0" fontId="23" fillId="4" borderId="42" xfId="0" applyFont="1" applyFill="1" applyBorder="1" applyAlignment="1">
      <alignment horizontal="left" vertical="center" indent="1"/>
    </xf>
    <xf numFmtId="191" fontId="26" fillId="4" borderId="11" xfId="0" applyNumberFormat="1" applyFont="1" applyFill="1" applyBorder="1" applyAlignment="1">
      <alignment horizontal="left" vertical="center" indent="1"/>
    </xf>
    <xf numFmtId="0" fontId="24" fillId="4" borderId="42" xfId="0" applyFont="1" applyFill="1" applyBorder="1" applyAlignment="1">
      <alignment horizontal="left" vertical="center" indent="1"/>
    </xf>
    <xf numFmtId="0" fontId="33" fillId="4" borderId="7" xfId="0" applyFont="1" applyFill="1" applyBorder="1" applyAlignment="1">
      <alignment horizontal="left" vertical="center" indent="1"/>
    </xf>
    <xf numFmtId="0" fontId="33" fillId="4" borderId="12" xfId="0" applyFont="1" applyFill="1" applyBorder="1" applyAlignment="1">
      <alignment horizontal="left" vertical="center" indent="1"/>
    </xf>
    <xf numFmtId="0" fontId="0" fillId="2" borderId="0" xfId="0" applyFill="1"/>
    <xf numFmtId="0" fontId="36" fillId="2" borderId="21" xfId="0" applyFont="1" applyFill="1" applyBorder="1"/>
    <xf numFmtId="0" fontId="30" fillId="6" borderId="0" xfId="0" applyFont="1" applyFill="1"/>
    <xf numFmtId="0" fontId="1" fillId="6" borderId="0" xfId="0" applyFont="1" applyFill="1"/>
    <xf numFmtId="0" fontId="31" fillId="6" borderId="0" xfId="0" applyFont="1" applyFill="1" applyAlignment="1">
      <alignment horizontal="center"/>
    </xf>
    <xf numFmtId="0" fontId="37" fillId="2" borderId="21" xfId="0" applyFont="1" applyFill="1" applyBorder="1"/>
    <xf numFmtId="0" fontId="1" fillId="6" borderId="0" xfId="0" applyFont="1" applyFill="1" applyAlignment="1">
      <alignment indent="1"/>
    </xf>
    <xf numFmtId="164" fontId="1" fillId="6" borderId="0" xfId="0" applyNumberFormat="1" applyFont="1" applyFill="1"/>
    <xf numFmtId="0" fontId="61" fillId="2" borderId="0" xfId="0" applyFont="1" applyFill="1"/>
    <xf numFmtId="190" fontId="13" fillId="4" borderId="5" xfId="0" applyNumberFormat="1" applyFont="1" applyFill="1" applyBorder="1"/>
    <xf numFmtId="190" fontId="12" fillId="4" borderId="5" xfId="0" applyNumberFormat="1" applyFont="1" applyFill="1" applyBorder="1"/>
    <xf numFmtId="190" fontId="13" fillId="4" borderId="13" xfId="0" applyNumberFormat="1" applyFont="1" applyFill="1" applyBorder="1"/>
    <xf numFmtId="190" fontId="12" fillId="4" borderId="13" xfId="0" applyNumberFormat="1" applyFont="1" applyFill="1" applyBorder="1"/>
    <xf numFmtId="0" fontId="13" fillId="4" borderId="6" xfId="0" applyFont="1" applyFill="1" applyBorder="1"/>
    <xf numFmtId="190" fontId="13" fillId="4" borderId="6" xfId="0" applyNumberFormat="1" applyFont="1" applyFill="1" applyBorder="1"/>
    <xf numFmtId="190" fontId="12" fillId="4" borderId="6" xfId="0" applyNumberFormat="1" applyFont="1" applyFill="1" applyBorder="1"/>
    <xf numFmtId="164" fontId="13" fillId="4" borderId="6" xfId="0" applyNumberFormat="1" applyFont="1" applyFill="1" applyBorder="1"/>
    <xf numFmtId="0" fontId="13" fillId="4" borderId="6" xfId="0" applyFont="1" applyFill="1" applyBorder="1" applyAlignment="1">
      <alignment indent="1"/>
    </xf>
    <xf numFmtId="0" fontId="32" fillId="4" borderId="6" xfId="0" applyFont="1" applyFill="1" applyBorder="1" applyAlignment="1">
      <alignment horizontal="center"/>
    </xf>
    <xf numFmtId="0" fontId="62" fillId="4" borderId="5" xfId="0" applyFont="1" applyFill="1" applyBorder="1" applyAlignment="1">
      <alignment horizontal="center"/>
    </xf>
    <xf numFmtId="0" fontId="62" fillId="4" borderId="13" xfId="0" applyFont="1" applyFill="1" applyBorder="1" applyAlignment="1">
      <alignment horizontal="center"/>
    </xf>
    <xf numFmtId="0" fontId="62" fillId="4" borderId="6" xfId="0" applyFont="1" applyFill="1" applyBorder="1" applyAlignment="1">
      <alignment horizontal="center"/>
    </xf>
    <xf numFmtId="178" fontId="12" fillId="4" borderId="6" xfId="0" applyNumberFormat="1" applyFont="1" applyFill="1" applyBorder="1" applyAlignment="1">
      <alignment horizontal="center"/>
    </xf>
    <xf numFmtId="3" fontId="30" fillId="6" borderId="0" xfId="0" applyNumberFormat="1" applyFont="1" applyFill="1" applyAlignment="1">
      <alignment horizontal="center"/>
    </xf>
    <xf numFmtId="177" fontId="13" fillId="4" borderId="6" xfId="0" applyNumberFormat="1" applyFont="1" applyFill="1" applyBorder="1" applyAlignment="1">
      <alignment horizontal="center"/>
    </xf>
    <xf numFmtId="0" fontId="13" fillId="4" borderId="6" xfId="0" applyFont="1" applyFill="1" applyBorder="1" applyAlignment="1">
      <alignment horizontal="center"/>
    </xf>
    <xf numFmtId="0" fontId="35" fillId="4" borderId="5" xfId="0" applyFont="1" applyFill="1" applyBorder="1" applyAlignment="1">
      <alignment horizontal="center"/>
    </xf>
    <xf numFmtId="0" fontId="35" fillId="4" borderId="13" xfId="0" applyFont="1" applyFill="1" applyBorder="1" applyAlignment="1">
      <alignment horizontal="center"/>
    </xf>
    <xf numFmtId="0" fontId="35" fillId="4" borderId="6" xfId="0" applyFont="1" applyFill="1" applyBorder="1" applyAlignment="1">
      <alignment horizontal="center"/>
    </xf>
    <xf numFmtId="0" fontId="63" fillId="0" borderId="0" xfId="0" applyFont="1"/>
    <xf numFmtId="0" fontId="31" fillId="2" borderId="58" xfId="1" applyFont="1" applyFill="1" applyBorder="1" applyAlignment="1">
      <alignment horizontal="center" vertical="center"/>
    </xf>
    <xf numFmtId="0" fontId="31" fillId="5" borderId="58" xfId="1" applyFont="1" applyFill="1" applyBorder="1" applyAlignment="1">
      <alignment horizontal="center" vertical="center"/>
    </xf>
    <xf numFmtId="0" fontId="31" fillId="5" borderId="57" xfId="1" applyFont="1" applyFill="1" applyBorder="1" applyAlignment="1">
      <alignment horizontal="center" vertical="center"/>
    </xf>
    <xf numFmtId="0" fontId="31" fillId="5" borderId="60" xfId="1" applyFont="1" applyFill="1" applyBorder="1" applyAlignment="1">
      <alignment horizontal="center" vertical="center"/>
    </xf>
    <xf numFmtId="0" fontId="31" fillId="2" borderId="57" xfId="1" applyFont="1" applyFill="1" applyBorder="1" applyAlignment="1">
      <alignment horizontal="center" vertical="center"/>
    </xf>
    <xf numFmtId="0" fontId="31" fillId="2" borderId="60" xfId="1" applyFont="1" applyFill="1" applyBorder="1" applyAlignment="1">
      <alignment horizontal="center" vertical="center"/>
    </xf>
    <xf numFmtId="0" fontId="31" fillId="6" borderId="57" xfId="1" applyFont="1" applyFill="1" applyBorder="1" applyAlignment="1">
      <alignment horizontal="center" vertical="center"/>
    </xf>
    <xf numFmtId="0" fontId="31" fillId="6" borderId="60" xfId="1" applyFont="1" applyFill="1" applyBorder="1" applyAlignment="1">
      <alignment horizontal="center" vertical="center"/>
    </xf>
    <xf numFmtId="0" fontId="31" fillId="0" borderId="0" xfId="0" applyFont="1"/>
    <xf numFmtId="0" fontId="31" fillId="6" borderId="58" xfId="1" applyFont="1" applyFill="1" applyBorder="1" applyAlignment="1">
      <alignment horizontal="center" vertical="center"/>
    </xf>
    <xf numFmtId="0" fontId="31" fillId="6" borderId="59" xfId="1" applyFont="1" applyFill="1" applyBorder="1" applyAlignment="1">
      <alignment horizontal="center" vertical="center"/>
    </xf>
    <xf numFmtId="0" fontId="64" fillId="3" borderId="58" xfId="1" applyFont="1" applyFill="1" applyBorder="1" applyAlignment="1">
      <alignment horizontal="center" vertical="center"/>
    </xf>
    <xf numFmtId="0" fontId="63" fillId="0" borderId="0" xfId="0" applyFont="1" applyAlignment="1">
      <alignment horizontal="center"/>
    </xf>
    <xf numFmtId="0" fontId="31" fillId="3" borderId="60" xfId="1" applyFont="1" applyFill="1" applyBorder="1" applyAlignment="1">
      <alignment horizontal="center" vertical="center"/>
    </xf>
    <xf numFmtId="0" fontId="64" fillId="3" borderId="57" xfId="1" applyFont="1" applyFill="1" applyBorder="1" applyAlignment="1">
      <alignment horizontal="center" vertical="center"/>
    </xf>
  </cellXfs>
  <cellStyles count="2">
    <cellStyle name="Hyperlink" xfId="1" builtinId="8"/>
    <cellStyle name="Normal" xfId="0" builtinId="0"/>
  </cellStyles>
  <dxfs count="343">
    <dxf>
      <font>
        <color rgb="FFF59E0B"/>
      </font>
    </dxf>
    <dxf>
      <font>
        <color rgb="FF22C55E"/>
      </font>
    </dxf>
    <dxf>
      <font>
        <color rgb="FFF59E0B"/>
      </font>
    </dxf>
    <dxf>
      <font>
        <color rgb="FF22C55E"/>
      </font>
    </dxf>
    <dxf>
      <font>
        <color rgb="FFF43F5E"/>
      </font>
    </dxf>
    <dxf>
      <font>
        <color rgb="FF22C55E"/>
      </font>
    </dxf>
    <dxf>
      <font>
        <color rgb="FFF43F5E"/>
      </font>
    </dxf>
    <dxf>
      <font>
        <color rgb="FF22C55E"/>
      </font>
    </dxf>
    <dxf>
      <font>
        <color rgb="FFF43F5E"/>
      </font>
    </dxf>
    <dxf>
      <font>
        <color rgb="FF22C55E"/>
      </font>
    </dxf>
    <dxf>
      <font>
        <b val="0"/>
        <i val="0"/>
        <strike val="0"/>
        <condense val="0"/>
        <extend val="0"/>
        <outline val="0"/>
        <shadow val="0"/>
        <u val="none"/>
        <vertAlign val="baseline"/>
        <sz val="8"/>
        <color rgb="FF000000"/>
        <name val="Calibri"/>
        <scheme val="none"/>
      </font>
      <numFmt numFmtId="3" formatCode="#,##0"/>
    </dxf>
    <dxf>
      <font>
        <b val="0"/>
        <i val="0"/>
        <strike val="0"/>
        <condense val="0"/>
        <extend val="0"/>
        <outline val="0"/>
        <shadow val="0"/>
        <u val="none"/>
        <vertAlign val="baseline"/>
        <sz val="8"/>
        <color rgb="FF000000"/>
        <name val="Calibri"/>
        <scheme val="none"/>
      </font>
      <numFmt numFmtId="164" formatCode="_(* #,##0_);_(* \(#,##0\);_(* &quot;-&quot;_);_(@_)"/>
    </dxf>
    <dxf>
      <font>
        <color rgb="FFB45309"/>
      </font>
    </dxf>
    <dxf>
      <font>
        <color rgb="FFDC2626"/>
      </font>
      <fill>
        <patternFill patternType="solid">
          <fgColor indexed="64"/>
          <bgColor rgb="FFFEE2E2"/>
        </patternFill>
      </fill>
    </dxf>
    <dxf>
      <font>
        <color rgb="FF15803D"/>
      </font>
    </dxf>
    <dxf>
      <fill>
        <patternFill patternType="solid">
          <fgColor indexed="64"/>
          <bgColor rgb="FFF59E0B"/>
        </patternFill>
      </fill>
    </dxf>
    <dxf>
      <font>
        <color rgb="FFCBD5E1"/>
      </font>
    </dxf>
    <dxf>
      <font>
        <color rgb="FFB45309"/>
      </font>
    </dxf>
    <dxf>
      <font>
        <color rgb="FF15803D"/>
      </font>
    </dxf>
    <dxf>
      <font>
        <b/>
        <i val="0"/>
      </font>
      <fill>
        <patternFill patternType="solid">
          <fgColor indexed="64"/>
          <bgColor rgb="FFFEF3C7"/>
        </patternFill>
      </fill>
    </dxf>
    <dxf>
      <font>
        <color rgb="FFDC2626"/>
      </font>
    </dxf>
    <dxf>
      <font>
        <color rgb="FF15803D"/>
      </font>
    </dxf>
    <dxf>
      <font>
        <color rgb="FFB45309"/>
      </font>
      <fill>
        <patternFill patternType="solid">
          <fgColor indexed="64"/>
          <bgColor rgb="FFFEF3C7"/>
        </patternFill>
      </fill>
    </dxf>
    <dxf>
      <font>
        <color rgb="FFDC2626"/>
      </font>
      <fill>
        <patternFill patternType="solid">
          <fgColor indexed="64"/>
          <bgColor rgb="FFFEE2E2"/>
        </patternFill>
      </fill>
    </dxf>
    <dxf>
      <font>
        <color rgb="FF15803D"/>
      </font>
    </dxf>
    <dxf>
      <font>
        <color rgb="FFDC2626"/>
      </font>
    </dxf>
    <dxf>
      <font>
        <color rgb="FF15803D"/>
      </font>
    </dxf>
    <dxf>
      <font>
        <color rgb="FFDC2626"/>
      </font>
    </dxf>
    <dxf>
      <font>
        <color rgb="FF15803D"/>
      </font>
    </dxf>
    <dxf>
      <font>
        <color rgb="FF0000FF"/>
      </font>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rgb="FF000000"/>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numFmt numFmtId="185" formatCode="[$-409]dd\-mmm\-yyyy;;"/>
    </dxf>
    <dxf>
      <font>
        <b val="0"/>
        <i val="0"/>
        <strike val="0"/>
        <condense val="0"/>
        <extend val="0"/>
        <outline val="0"/>
        <shadow val="0"/>
        <u val="none"/>
        <vertAlign val="baseline"/>
        <sz val="8"/>
        <color theme="1"/>
        <name val="Calibri"/>
        <scheme val="none"/>
      </font>
      <alignment wrapText="1"/>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numFmt numFmtId="183" formatCode="[$-409]dd\-mmm\-yyyy"/>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alignment wrapText="1"/>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4" formatCode="0.00%"/>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theme="1"/>
        <name val="Calibri"/>
        <scheme val="none"/>
      </font>
      <numFmt numFmtId="13" formatCode="0%"/>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alignment wrapText="1"/>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83" formatCode="[$-409]dd\-mmm\-yyyy"/>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alignment wrapText="1"/>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numFmt numFmtId="183" formatCode="[$-409]dd\-mmm\-yyyy"/>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theme="1"/>
        <name val="Calibri"/>
        <scheme val="none"/>
      </font>
      <numFmt numFmtId="184" formatCode="[$-409]mmm\-yyyy"/>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rgb="FF0000FF"/>
        <name val="Calibri"/>
        <scheme val="none"/>
      </font>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rgb="FF0000FF"/>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5" formatCode="0.0%"/>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numFmt numFmtId="183" formatCode="[$-409]dd\-mmm\-yyyy"/>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numFmt numFmtId="164" formatCode="_(* #,##0_);_(* \(#,##0\);_(* &quot;-&quot;_);_(@_)"/>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
      <font>
        <b val="0"/>
        <i val="0"/>
        <strike val="0"/>
        <condense val="0"/>
        <extend val="0"/>
        <outline val="0"/>
        <shadow val="0"/>
        <u val="none"/>
        <vertAlign val="baseline"/>
        <sz val="8"/>
        <color theme="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Revenue, Gross Profit &amp; Net Profit by Month (Rp m)</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barChart>
        <c:barDir val="col"/>
        <c:grouping val="clustered"/>
        <c:varyColors val="0"/>
        <c:ser>
          <c:idx val="0"/>
          <c:order val="0"/>
          <c:tx>
            <c:strRef>
              <c:f>'Dashboard Data'!$D$6</c:f>
              <c:strCache>
                <c:ptCount val="1"/>
                <c:pt idx="0">
                  <c:v>Revenue</c:v>
                </c:pt>
              </c:strCache>
            </c:strRef>
          </c:tx>
          <c:spPr>
            <a:solidFill>
              <a:srgbClr val="38BDF8"/>
            </a:solidFill>
            <a:ln>
              <a:noFill/>
            </a:ln>
            <a:effectLst/>
          </c:spPr>
          <c:invertIfNegative val="0"/>
          <c:cat>
            <c:strRef>
              <c:f>'Dashboard Data'!$C$7:$C$18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Data'!$D$7:$D$18</c:f>
              <c:numCache>
                <c:formatCode>#,##0.0</c:formatCode>
                <c:ptCount val="12"/>
                <c:pt idx="0">
                  <c:v>1072.9949999999999</c:v>
                </c:pt>
                <c:pt idx="1">
                  <c:v>964.94500000000005</c:v>
                </c:pt>
                <c:pt idx="2">
                  <c:v>1337.4649999999999</c:v>
                </c:pt>
                <c:pt idx="3">
                  <c:v>1095.9100000000001</c:v>
                </c:pt>
                <c:pt idx="4">
                  <c:v>1085.175</c:v>
                </c:pt>
                <c:pt idx="5">
                  <c:v>1143.0050000000001</c:v>
                </c:pt>
                <c:pt idx="6">
                  <c:v>1371.895</c:v>
                </c:pt>
                <c:pt idx="7">
                  <c:v>972.79</c:v>
                </c:pt>
                <c:pt idx="8">
                  <c:v>1052.5350000000001</c:v>
                </c:pt>
                <c:pt idx="9">
                  <c:v>1253.8499999999999</c:v>
                </c:pt>
                <c:pt idx="10">
                  <c:v>#N/A</c:v>
                </c:pt>
                <c:pt idx="11">
                  <c:v>#N/A</c:v>
                </c:pt>
              </c:numCache>
            </c:numRef>
          </c:val>
          <c:extLst>
            <c:ext xmlns:c16="http://schemas.microsoft.com/office/drawing/2014/chart" uri="{C3380CC4-5D6E-409C-BE32-E72D297353CC}">
              <c16:uniqueId val="{00000000-3A86-4117-ADA7-96DE1CFE0C74}"/>
            </c:ext>
          </c:extLst>
        </c:ser>
        <c:dLbls>
          <c:showLegendKey val="0"/>
          <c:showVal val="0"/>
          <c:showCatName val="0"/>
          <c:showSerName val="0"/>
          <c:showPercent val="0"/>
          <c:showBubbleSize val="0"/>
        </c:dLbls>
        <c:gapWidth val="55"/>
        <c:overlap val="-27"/>
        <c:axId val="438894784"/>
        <c:axId val="19811984"/>
      </c:barChart>
      <c:lineChart>
        <c:grouping val="standard"/>
        <c:varyColors val="0"/>
        <c:ser>
          <c:idx val="1"/>
          <c:order val="1"/>
          <c:tx>
            <c:v>Gross Profit</c:v>
          </c:tx>
          <c:spPr>
            <a:ln w="22225" cap="rnd">
              <a:solidFill>
                <a:srgbClr val="F59E0B"/>
              </a:solidFill>
              <a:prstDash val="lgDash"/>
              <a:round/>
            </a:ln>
            <a:effectLst/>
          </c:spPr>
          <c:marker>
            <c:symbol val="none"/>
          </c:marker>
          <c:cat>
            <c:strRef>
              <c:f>'Dashboard Data'!$C$7:$C$18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Data'!$E$7:$E$18</c:f>
              <c:numCache>
                <c:formatCode>#,##0.0</c:formatCode>
                <c:ptCount val="12"/>
                <c:pt idx="0">
                  <c:v>433.22300000000001</c:v>
                </c:pt>
                <c:pt idx="1">
                  <c:v>386.10500000000002</c:v>
                </c:pt>
                <c:pt idx="2">
                  <c:v>531.80499999999995</c:v>
                </c:pt>
                <c:pt idx="3">
                  <c:v>434.47500000000002</c:v>
                </c:pt>
                <c:pt idx="4">
                  <c:v>430.22199999999998</c:v>
                </c:pt>
                <c:pt idx="5">
                  <c:v>457.16500000000002</c:v>
                </c:pt>
                <c:pt idx="6">
                  <c:v>540.68799999999999</c:v>
                </c:pt>
                <c:pt idx="7">
                  <c:v>390.55500000000001</c:v>
                </c:pt>
                <c:pt idx="8">
                  <c:v>416.952</c:v>
                </c:pt>
                <c:pt idx="9">
                  <c:v>496.99</c:v>
                </c:pt>
                <c:pt idx="10">
                  <c:v>#N/A</c:v>
                </c:pt>
                <c:pt idx="11">
                  <c:v>#N/A</c:v>
                </c:pt>
              </c:numCache>
            </c:numRef>
          </c:val>
          <c:smooth val="0"/>
          <c:extLst>
            <c:ext xmlns:c16="http://schemas.microsoft.com/office/drawing/2014/chart" uri="{C3380CC4-5D6E-409C-BE32-E72D297353CC}">
              <c16:uniqueId val="{00000001-3A86-4117-ADA7-96DE1CFE0C74}"/>
            </c:ext>
          </c:extLst>
        </c:ser>
        <c:ser>
          <c:idx val="2"/>
          <c:order val="2"/>
          <c:tx>
            <c:v>Net Profit</c:v>
          </c:tx>
          <c:spPr>
            <a:ln w="28575" cap="rnd">
              <a:solidFill>
                <a:srgbClr val="22C55E"/>
              </a:solidFill>
              <a:prstDash val="solid"/>
              <a:round/>
            </a:ln>
            <a:effectLst/>
          </c:spPr>
          <c:marker>
            <c:symbol val="circle"/>
            <c:size val="5"/>
            <c:spPr>
              <a:solidFill>
                <a:srgbClr val="22C55E"/>
              </a:solidFill>
              <a:ln w="9525">
                <a:solidFill>
                  <a:srgbClr val="22C55E"/>
                </a:solidFill>
                <a:prstDash val="solid"/>
              </a:ln>
              <a:effectLst/>
            </c:spPr>
          </c:marker>
          <c:cat>
            <c:strRef>
              <c:f>'Dashboard Data'!$C$7:$C$18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Data'!$F$7:$F$18</c:f>
              <c:numCache>
                <c:formatCode>#,##0.0</c:formatCode>
                <c:ptCount val="12"/>
                <c:pt idx="0">
                  <c:v>108.77616424407242</c:v>
                </c:pt>
                <c:pt idx="1">
                  <c:v>68.863886506549562</c:v>
                </c:pt>
                <c:pt idx="2">
                  <c:v>12.223520483591365</c:v>
                </c:pt>
                <c:pt idx="3">
                  <c:v>50.696333730615883</c:v>
                </c:pt>
                <c:pt idx="4">
                  <c:v>102.85180787247538</c:v>
                </c:pt>
                <c:pt idx="5">
                  <c:v>101.25685994218819</c:v>
                </c:pt>
                <c:pt idx="6">
                  <c:v>189.41470464795736</c:v>
                </c:pt>
                <c:pt idx="7">
                  <c:v>68.879236055767706</c:v>
                </c:pt>
                <c:pt idx="8">
                  <c:v>69.095244374405056</c:v>
                </c:pt>
                <c:pt idx="9">
                  <c:v>150.6654821423771</c:v>
                </c:pt>
                <c:pt idx="10">
                  <c:v>#N/A</c:v>
                </c:pt>
                <c:pt idx="11">
                  <c:v>#N/A</c:v>
                </c:pt>
              </c:numCache>
            </c:numRef>
          </c:val>
          <c:smooth val="0"/>
          <c:extLst>
            <c:ext xmlns:c16="http://schemas.microsoft.com/office/drawing/2014/chart" uri="{C3380CC4-5D6E-409C-BE32-E72D297353CC}">
              <c16:uniqueId val="{00000002-3A86-4117-ADA7-96DE1CFE0C74}"/>
            </c:ext>
          </c:extLst>
        </c:ser>
        <c:dLbls>
          <c:showLegendKey val="0"/>
          <c:showVal val="0"/>
          <c:showCatName val="0"/>
          <c:showSerName val="0"/>
          <c:showPercent val="0"/>
          <c:showBubbleSize val="0"/>
        </c:dLbls>
        <c:marker val="1"/>
        <c:smooth val="0"/>
        <c:axId val="438894784"/>
        <c:axId val="19811984"/>
      </c:lineChart>
      <c:catAx>
        <c:axId val="438894784"/>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19811984"/>
        <c:crosses val="autoZero"/>
        <c:auto val="1"/>
        <c:lblAlgn val="ctr"/>
        <c:lblOffset val="100"/>
        <c:noMultiLvlLbl val="0"/>
      </c:catAx>
      <c:valAx>
        <c:axId val="19811984"/>
        <c:scaling>
          <c:orientation val="minMax"/>
        </c:scaling>
        <c:delete val="0"/>
        <c:axPos val="l"/>
        <c:majorGridlines>
          <c:spPr>
            <a:ln w="9525" cap="flat" cmpd="sng" algn="ctr">
              <a:solidFill>
                <a:srgbClr val="334155"/>
              </a:solidFill>
              <a:prstDash val="solid"/>
              <a:round/>
            </a:ln>
            <a:effectLst/>
          </c:spPr>
        </c:majorGridlines>
        <c:numFmt formatCode="#.##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438894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CBD5E1"/>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Daily Sales – Last 30 Days to Analysis Date (Rp m)</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areaChart>
        <c:grouping val="standard"/>
        <c:varyColors val="0"/>
        <c:ser>
          <c:idx val="0"/>
          <c:order val="0"/>
          <c:tx>
            <c:strRef>
              <c:f>'Dashboard Data'!$M$6</c:f>
              <c:strCache>
                <c:ptCount val="1"/>
                <c:pt idx="0">
                  <c:v>Sales (Rp m)</c:v>
                </c:pt>
              </c:strCache>
            </c:strRef>
          </c:tx>
          <c:spPr>
            <a:solidFill>
              <a:srgbClr val="0E7490"/>
            </a:solidFill>
            <a:ln>
              <a:solidFill>
                <a:srgbClr val="22D3EE"/>
              </a:solidFill>
              <a:prstDash val="solid"/>
            </a:ln>
            <a:effectLst/>
          </c:spPr>
          <c:cat>
            <c:strRef>
              <c:f>'Dashboard Data'!$L$7:$L$36</c:f>
              <c:strCache>
                <c:ptCount val="30"/>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pt idx="23">
                  <c:v>02/10</c:v>
                </c:pt>
                <c:pt idx="24">
                  <c:v>03/10</c:v>
                </c:pt>
                <c:pt idx="25">
                  <c:v>04/10</c:v>
                </c:pt>
                <c:pt idx="26">
                  <c:v>05/10</c:v>
                </c:pt>
                <c:pt idx="27">
                  <c:v>06/10</c:v>
                </c:pt>
                <c:pt idx="28">
                  <c:v>07/10</c:v>
                </c:pt>
                <c:pt idx="29">
                  <c:v>08/10</c:v>
                </c:pt>
              </c:strCache>
            </c:strRef>
          </c:cat>
          <c:val>
            <c:numRef>
              <c:f>'Dashboard Data'!$M$7:$M$36</c:f>
              <c:numCache>
                <c:formatCode>#,##0.0</c:formatCode>
                <c:ptCount val="30"/>
                <c:pt idx="0">
                  <c:v>16.77</c:v>
                </c:pt>
                <c:pt idx="1">
                  <c:v>23.395</c:v>
                </c:pt>
                <c:pt idx="2">
                  <c:v>50.26</c:v>
                </c:pt>
                <c:pt idx="3">
                  <c:v>67.08</c:v>
                </c:pt>
                <c:pt idx="4">
                  <c:v>64.98</c:v>
                </c:pt>
                <c:pt idx="5">
                  <c:v>28.844999999999999</c:v>
                </c:pt>
                <c:pt idx="6">
                  <c:v>38.164999999999999</c:v>
                </c:pt>
                <c:pt idx="7">
                  <c:v>14.615</c:v>
                </c:pt>
                <c:pt idx="8">
                  <c:v>43.674999999999997</c:v>
                </c:pt>
                <c:pt idx="9">
                  <c:v>54.715000000000003</c:v>
                </c:pt>
                <c:pt idx="10">
                  <c:v>57.585000000000001</c:v>
                </c:pt>
                <c:pt idx="11">
                  <c:v>12.164999999999999</c:v>
                </c:pt>
                <c:pt idx="12">
                  <c:v>15.09</c:v>
                </c:pt>
                <c:pt idx="13">
                  <c:v>87.305000000000007</c:v>
                </c:pt>
                <c:pt idx="14">
                  <c:v>25.545000000000002</c:v>
                </c:pt>
                <c:pt idx="15">
                  <c:v>9.7799999999999994</c:v>
                </c:pt>
                <c:pt idx="16">
                  <c:v>15.904999999999999</c:v>
                </c:pt>
                <c:pt idx="17">
                  <c:v>23.645</c:v>
                </c:pt>
                <c:pt idx="18">
                  <c:v>29.734999999999999</c:v>
                </c:pt>
                <c:pt idx="19">
                  <c:v>27</c:v>
                </c:pt>
                <c:pt idx="20">
                  <c:v>38.97</c:v>
                </c:pt>
                <c:pt idx="21">
                  <c:v>23.204999999999998</c:v>
                </c:pt>
                <c:pt idx="22">
                  <c:v>45.844999999999999</c:v>
                </c:pt>
                <c:pt idx="23">
                  <c:v>57.89</c:v>
                </c:pt>
                <c:pt idx="24">
                  <c:v>14.96</c:v>
                </c:pt>
                <c:pt idx="25">
                  <c:v>29.87</c:v>
                </c:pt>
                <c:pt idx="26">
                  <c:v>66.185000000000002</c:v>
                </c:pt>
                <c:pt idx="27">
                  <c:v>50.82</c:v>
                </c:pt>
                <c:pt idx="28">
                  <c:v>38.340000000000003</c:v>
                </c:pt>
                <c:pt idx="29">
                  <c:v>48.48</c:v>
                </c:pt>
              </c:numCache>
            </c:numRef>
          </c:val>
          <c:extLst>
            <c:ext xmlns:c16="http://schemas.microsoft.com/office/drawing/2014/chart" uri="{C3380CC4-5D6E-409C-BE32-E72D297353CC}">
              <c16:uniqueId val="{00000000-BCBC-4B14-8B31-51B897B5F453}"/>
            </c:ext>
          </c:extLst>
        </c:ser>
        <c:dLbls>
          <c:showLegendKey val="0"/>
          <c:showVal val="0"/>
          <c:showCatName val="0"/>
          <c:showSerName val="0"/>
          <c:showPercent val="0"/>
          <c:showBubbleSize val="0"/>
        </c:dLbls>
        <c:axId val="438915664"/>
        <c:axId val="19691024"/>
      </c:areaChart>
      <c:catAx>
        <c:axId val="438915664"/>
        <c:scaling>
          <c:orientation val="minMax"/>
        </c:scaling>
        <c:delete val="0"/>
        <c:axPos val="b"/>
        <c:numFmt formatCode="General" sourceLinked="1"/>
        <c:majorTickMark val="out"/>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19691024"/>
        <c:crosses val="autoZero"/>
        <c:auto val="1"/>
        <c:lblAlgn val="ctr"/>
        <c:lblOffset val="100"/>
        <c:tickLblSkip val="3"/>
        <c:noMultiLvlLbl val="0"/>
      </c:catAx>
      <c:valAx>
        <c:axId val="19691024"/>
        <c:scaling>
          <c:orientation val="minMax"/>
        </c:scaling>
        <c:delete val="0"/>
        <c:axPos val="l"/>
        <c:majorGridlines>
          <c:spPr>
            <a:ln w="9525" cap="flat" cmpd="sng" algn="ctr">
              <a:solidFill>
                <a:srgbClr val="334155"/>
              </a:solidFill>
              <a:prstDash val="solid"/>
              <a:round/>
            </a:ln>
            <a:effectLst/>
          </c:spPr>
        </c:majorGridlines>
        <c:numFmt formatCode="#.##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438915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Sales by Product / Service – YTD (Rp m)</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barChart>
        <c:barDir val="bar"/>
        <c:grouping val="clustered"/>
        <c:varyColors val="0"/>
        <c:ser>
          <c:idx val="0"/>
          <c:order val="0"/>
          <c:tx>
            <c:strRef>
              <c:f>'Dashboard Data'!$R$20</c:f>
              <c:strCache>
                <c:ptCount val="1"/>
                <c:pt idx="0">
                  <c:v>Sales (Rp m)</c:v>
                </c:pt>
              </c:strCache>
            </c:strRef>
          </c:tx>
          <c:spPr>
            <a:solidFill>
              <a:srgbClr val="14B8A6"/>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Data'!$Q$21:$Q$30</c:f>
              <c:strCache>
                <c:ptCount val="10"/>
                <c:pt idx="0">
                  <c:v>Chino Pants</c:v>
                </c:pt>
                <c:pt idx="1">
                  <c:v>Casual Shirt</c:v>
                </c:pt>
                <c:pt idx="2">
                  <c:v>Wireless Earbuds Pro</c:v>
                </c:pt>
                <c:pt idx="3">
                  <c:v>Backpack</c:v>
                </c:pt>
                <c:pt idx="4">
                  <c:v>Casual Shorts</c:v>
                </c:pt>
                <c:pt idx="5">
                  <c:v>Bomber Jacket</c:v>
                </c:pt>
                <c:pt idx="6">
                  <c:v>Sneakers</c:v>
                </c:pt>
                <c:pt idx="7">
                  <c:v>Smartwatch</c:v>
                </c:pt>
                <c:pt idx="8">
                  <c:v>Premium Basic T-shirt</c:v>
                </c:pt>
                <c:pt idx="9">
                  <c:v>Socks &amp; Accessories</c:v>
                </c:pt>
              </c:strCache>
            </c:strRef>
          </c:cat>
          <c:val>
            <c:numRef>
              <c:f>'Dashboard Data'!$R$21:$R$30</c:f>
              <c:numCache>
                <c:formatCode>#,##0.0</c:formatCode>
                <c:ptCount val="10"/>
                <c:pt idx="0">
                  <c:v>1471.35</c:v>
                </c:pt>
                <c:pt idx="1">
                  <c:v>1400.28</c:v>
                </c:pt>
                <c:pt idx="2">
                  <c:v>1393.75</c:v>
                </c:pt>
                <c:pt idx="3">
                  <c:v>1265.5</c:v>
                </c:pt>
                <c:pt idx="4">
                  <c:v>1166.03</c:v>
                </c:pt>
                <c:pt idx="5">
                  <c:v>1157.0999999999999</c:v>
                </c:pt>
                <c:pt idx="6">
                  <c:v>1035.5</c:v>
                </c:pt>
                <c:pt idx="7">
                  <c:v>918</c:v>
                </c:pt>
                <c:pt idx="8">
                  <c:v>858.06500000000005</c:v>
                </c:pt>
                <c:pt idx="9">
                  <c:v>684.99</c:v>
                </c:pt>
              </c:numCache>
            </c:numRef>
          </c:val>
          <c:extLst>
            <c:ext xmlns:c16="http://schemas.microsoft.com/office/drawing/2014/chart" uri="{C3380CC4-5D6E-409C-BE32-E72D297353CC}">
              <c16:uniqueId val="{00000000-CF13-432E-ABC1-DFC4FDDBD940}"/>
            </c:ext>
          </c:extLst>
        </c:ser>
        <c:dLbls>
          <c:showLegendKey val="0"/>
          <c:showVal val="0"/>
          <c:showCatName val="0"/>
          <c:showSerName val="0"/>
          <c:showPercent val="0"/>
          <c:showBubbleSize val="0"/>
        </c:dLbls>
        <c:gapWidth val="40"/>
        <c:axId val="438871120"/>
        <c:axId val="19721264"/>
      </c:barChart>
      <c:catAx>
        <c:axId val="438871120"/>
        <c:scaling>
          <c:orientation val="maxMin"/>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19721264"/>
        <c:crosses val="autoZero"/>
        <c:auto val="1"/>
        <c:lblAlgn val="ctr"/>
        <c:lblOffset val="100"/>
        <c:noMultiLvlLbl val="0"/>
      </c:catAx>
      <c:valAx>
        <c:axId val="19721264"/>
        <c:scaling>
          <c:orientation val="minMax"/>
        </c:scaling>
        <c:delete val="1"/>
        <c:axPos val="t"/>
        <c:numFmt formatCode="#.##0" sourceLinked="0"/>
        <c:majorTickMark val="none"/>
        <c:minorTickMark val="none"/>
        <c:tickLblPos val="nextTo"/>
        <c:crossAx val="43887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Operating Expense Mix – YTD</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doughnutChart>
        <c:varyColors val="1"/>
        <c:ser>
          <c:idx val="0"/>
          <c:order val="0"/>
          <c:tx>
            <c:strRef>
              <c:f>'Dashboard Data'!$Y$6</c:f>
              <c:strCache>
                <c:ptCount val="1"/>
                <c:pt idx="0">
                  <c:v>Amount</c:v>
                </c:pt>
              </c:strCache>
            </c:strRef>
          </c:tx>
          <c:dPt>
            <c:idx val="0"/>
            <c:bubble3D val="0"/>
            <c:spPr>
              <a:solidFill>
                <a:srgbClr val="38BDF8"/>
              </a:solidFill>
              <a:ln w="19050">
                <a:solidFill>
                  <a:srgbClr val="1E293B"/>
                </a:solidFill>
                <a:prstDash val="solid"/>
              </a:ln>
              <a:effectLst/>
            </c:spPr>
            <c:extLst>
              <c:ext xmlns:c16="http://schemas.microsoft.com/office/drawing/2014/chart" uri="{C3380CC4-5D6E-409C-BE32-E72D297353CC}">
                <c16:uniqueId val="{00000001-092B-4E40-AC4D-93A684675019}"/>
              </c:ext>
            </c:extLst>
          </c:dPt>
          <c:dPt>
            <c:idx val="1"/>
            <c:bubble3D val="0"/>
            <c:spPr>
              <a:solidFill>
                <a:srgbClr val="14B8A6"/>
              </a:solidFill>
              <a:ln w="19050">
                <a:solidFill>
                  <a:srgbClr val="1E293B"/>
                </a:solidFill>
                <a:prstDash val="solid"/>
              </a:ln>
              <a:effectLst/>
            </c:spPr>
            <c:extLst>
              <c:ext xmlns:c16="http://schemas.microsoft.com/office/drawing/2014/chart" uri="{C3380CC4-5D6E-409C-BE32-E72D297353CC}">
                <c16:uniqueId val="{00000002-092B-4E40-AC4D-93A684675019}"/>
              </c:ext>
            </c:extLst>
          </c:dPt>
          <c:dPt>
            <c:idx val="2"/>
            <c:bubble3D val="0"/>
            <c:spPr>
              <a:solidFill>
                <a:srgbClr val="F59E0B"/>
              </a:solidFill>
              <a:ln w="19050">
                <a:solidFill>
                  <a:srgbClr val="1E293B"/>
                </a:solidFill>
                <a:prstDash val="solid"/>
              </a:ln>
              <a:effectLst/>
            </c:spPr>
            <c:extLst>
              <c:ext xmlns:c16="http://schemas.microsoft.com/office/drawing/2014/chart" uri="{C3380CC4-5D6E-409C-BE32-E72D297353CC}">
                <c16:uniqueId val="{00000003-092B-4E40-AC4D-93A684675019}"/>
              </c:ext>
            </c:extLst>
          </c:dPt>
          <c:dPt>
            <c:idx val="3"/>
            <c:bubble3D val="0"/>
            <c:spPr>
              <a:solidFill>
                <a:srgbClr val="A78BFA"/>
              </a:solidFill>
              <a:ln w="19050">
                <a:solidFill>
                  <a:srgbClr val="1E293B"/>
                </a:solidFill>
                <a:prstDash val="solid"/>
              </a:ln>
              <a:effectLst/>
            </c:spPr>
            <c:extLst>
              <c:ext xmlns:c16="http://schemas.microsoft.com/office/drawing/2014/chart" uri="{C3380CC4-5D6E-409C-BE32-E72D297353CC}">
                <c16:uniqueId val="{00000004-092B-4E40-AC4D-93A684675019}"/>
              </c:ext>
            </c:extLst>
          </c:dPt>
          <c:dPt>
            <c:idx val="4"/>
            <c:bubble3D val="0"/>
            <c:spPr>
              <a:solidFill>
                <a:srgbClr val="F43F5E"/>
              </a:solidFill>
              <a:ln w="19050">
                <a:solidFill>
                  <a:srgbClr val="1E293B"/>
                </a:solidFill>
                <a:prstDash val="solid"/>
              </a:ln>
              <a:effectLst/>
            </c:spPr>
            <c:extLst>
              <c:ext xmlns:c16="http://schemas.microsoft.com/office/drawing/2014/chart" uri="{C3380CC4-5D6E-409C-BE32-E72D297353CC}">
                <c16:uniqueId val="{00000005-092B-4E40-AC4D-93A684675019}"/>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Data'!$X$7:$X$11</c:f>
              <c:strCache>
                <c:ptCount val="5"/>
                <c:pt idx="0">
                  <c:v>Payroll &amp; benefits</c:v>
                </c:pt>
                <c:pt idx="1">
                  <c:v>Marketing &amp; selling</c:v>
                </c:pt>
                <c:pt idx="2">
                  <c:v>Rent &amp; utilities</c:v>
                </c:pt>
                <c:pt idx="3">
                  <c:v>Depreciation &amp; amortization</c:v>
                </c:pt>
                <c:pt idx="4">
                  <c:v>Other G&amp;A</c:v>
                </c:pt>
              </c:strCache>
            </c:strRef>
          </c:cat>
          <c:val>
            <c:numRef>
              <c:f>'Dashboard Data'!$Y$7:$Y$11</c:f>
              <c:numCache>
                <c:formatCode>_(* #,##0_);_(* \(#,##0\);_(* "-"_);_(@_)</c:formatCode>
                <c:ptCount val="5"/>
                <c:pt idx="0">
                  <c:v>2148124200</c:v>
                </c:pt>
                <c:pt idx="1">
                  <c:v>256899000</c:v>
                </c:pt>
                <c:pt idx="2">
                  <c:v>235473000</c:v>
                </c:pt>
                <c:pt idx="3">
                  <c:v>331249999</c:v>
                </c:pt>
                <c:pt idx="4">
                  <c:v>318080000</c:v>
                </c:pt>
              </c:numCache>
            </c:numRef>
          </c:val>
          <c:extLst>
            <c:ext xmlns:c16="http://schemas.microsoft.com/office/drawing/2014/chart" uri="{C3380CC4-5D6E-409C-BE32-E72D297353CC}">
              <c16:uniqueId val="{00000000-092B-4E40-AC4D-93A6846750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CBD5E1"/>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Sales by Channel – YTD</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doughnutChart>
        <c:varyColors val="1"/>
        <c:ser>
          <c:idx val="0"/>
          <c:order val="0"/>
          <c:tx>
            <c:strRef>
              <c:f>'Dashboard Data'!$Y$15</c:f>
              <c:strCache>
                <c:ptCount val="1"/>
                <c:pt idx="0">
                  <c:v>Sales</c:v>
                </c:pt>
              </c:strCache>
            </c:strRef>
          </c:tx>
          <c:dPt>
            <c:idx val="0"/>
            <c:bubble3D val="0"/>
            <c:spPr>
              <a:solidFill>
                <a:srgbClr val="38BDF8"/>
              </a:solidFill>
              <a:ln w="19050">
                <a:solidFill>
                  <a:srgbClr val="1E293B"/>
                </a:solidFill>
                <a:prstDash val="solid"/>
              </a:ln>
              <a:effectLst/>
            </c:spPr>
            <c:extLst>
              <c:ext xmlns:c16="http://schemas.microsoft.com/office/drawing/2014/chart" uri="{C3380CC4-5D6E-409C-BE32-E72D297353CC}">
                <c16:uniqueId val="{00000001-EF4E-4F41-9083-48A0FE761D93}"/>
              </c:ext>
            </c:extLst>
          </c:dPt>
          <c:dPt>
            <c:idx val="1"/>
            <c:bubble3D val="0"/>
            <c:spPr>
              <a:solidFill>
                <a:srgbClr val="14B8A6"/>
              </a:solidFill>
              <a:ln w="19050">
                <a:solidFill>
                  <a:srgbClr val="1E293B"/>
                </a:solidFill>
                <a:prstDash val="solid"/>
              </a:ln>
              <a:effectLst/>
            </c:spPr>
            <c:extLst>
              <c:ext xmlns:c16="http://schemas.microsoft.com/office/drawing/2014/chart" uri="{C3380CC4-5D6E-409C-BE32-E72D297353CC}">
                <c16:uniqueId val="{00000002-EF4E-4F41-9083-48A0FE761D93}"/>
              </c:ext>
            </c:extLst>
          </c:dPt>
          <c:dPt>
            <c:idx val="2"/>
            <c:bubble3D val="0"/>
            <c:spPr>
              <a:solidFill>
                <a:srgbClr val="F59E0B"/>
              </a:solidFill>
              <a:ln w="19050">
                <a:solidFill>
                  <a:srgbClr val="1E293B"/>
                </a:solidFill>
                <a:prstDash val="solid"/>
              </a:ln>
              <a:effectLst/>
            </c:spPr>
            <c:extLst>
              <c:ext xmlns:c16="http://schemas.microsoft.com/office/drawing/2014/chart" uri="{C3380CC4-5D6E-409C-BE32-E72D297353CC}">
                <c16:uniqueId val="{00000003-EF4E-4F41-9083-48A0FE761D93}"/>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Data'!$X$16:$X$18</c:f>
              <c:strCache>
                <c:ptCount val="3"/>
                <c:pt idx="0">
                  <c:v>In-store</c:v>
                </c:pt>
                <c:pt idx="1">
                  <c:v>Marketplace</c:v>
                </c:pt>
                <c:pt idx="2">
                  <c:v>Website &amp; Social Media</c:v>
                </c:pt>
              </c:strCache>
            </c:strRef>
          </c:cat>
          <c:val>
            <c:numRef>
              <c:f>'Dashboard Data'!$Y$16:$Y$18</c:f>
              <c:numCache>
                <c:formatCode>_(* #,##0_);_(* \(#,##0\);_(* "-"_);_(@_)</c:formatCode>
                <c:ptCount val="3"/>
                <c:pt idx="0">
                  <c:v>8866085000</c:v>
                </c:pt>
                <c:pt idx="1">
                  <c:v>853875000</c:v>
                </c:pt>
                <c:pt idx="2">
                  <c:v>1630605000</c:v>
                </c:pt>
              </c:numCache>
            </c:numRef>
          </c:val>
          <c:extLst>
            <c:ext xmlns:c16="http://schemas.microsoft.com/office/drawing/2014/chart" uri="{C3380CC4-5D6E-409C-BE32-E72D297353CC}">
              <c16:uniqueId val="{00000000-EF4E-4F41-9083-48A0FE761D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CBD5E1"/>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Cash &amp; Cash Equivalents at Month-end (Rp m)</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lineChart>
        <c:grouping val="standard"/>
        <c:varyColors val="0"/>
        <c:ser>
          <c:idx val="0"/>
          <c:order val="0"/>
          <c:tx>
            <c:v>Cash</c:v>
          </c:tx>
          <c:spPr>
            <a:ln w="31750" cap="rnd">
              <a:solidFill>
                <a:srgbClr val="F59E0B"/>
              </a:solidFill>
              <a:prstDash val="solid"/>
              <a:round/>
            </a:ln>
            <a:effectLst/>
          </c:spPr>
          <c:marker>
            <c:symbol val="circle"/>
            <c:size val="5"/>
            <c:spPr>
              <a:solidFill>
                <a:srgbClr val="F59E0B"/>
              </a:solidFill>
              <a:ln w="9525">
                <a:solidFill>
                  <a:srgbClr val="F59E0B"/>
                </a:solidFill>
                <a:prstDash val="solid"/>
              </a:ln>
              <a:effectLst/>
            </c:spPr>
          </c:marker>
          <c:dLbls>
            <c:numFmt formatCode="#.##0" sourceLinked="0"/>
            <c:spPr>
              <a:noFill/>
              <a:ln>
                <a:noFill/>
              </a:ln>
              <a:effectLst/>
            </c:spPr>
            <c:txPr>
              <a:bodyPr rot="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Data'!$G$7:$G$18</c:f>
              <c:numCache>
                <c:formatCode>#,##0.0</c:formatCode>
                <c:ptCount val="12"/>
                <c:pt idx="0">
                  <c:v>1808.641607</c:v>
                </c:pt>
                <c:pt idx="1">
                  <c:v>1926.79721</c:v>
                </c:pt>
                <c:pt idx="2">
                  <c:v>1967.1588389999999</c:v>
                </c:pt>
                <c:pt idx="3">
                  <c:v>1751.6889389999999</c:v>
                </c:pt>
                <c:pt idx="4">
                  <c:v>1588.087583</c:v>
                </c:pt>
                <c:pt idx="5">
                  <c:v>1326.1737949999999</c:v>
                </c:pt>
                <c:pt idx="6">
                  <c:v>1439.8404190000001</c:v>
                </c:pt>
                <c:pt idx="7">
                  <c:v>1413.230566</c:v>
                </c:pt>
                <c:pt idx="8">
                  <c:v>1465.3566049999999</c:v>
                </c:pt>
                <c:pt idx="9">
                  <c:v>1563.245568</c:v>
                </c:pt>
                <c:pt idx="10">
                  <c:v>#N/A</c:v>
                </c:pt>
                <c:pt idx="11">
                  <c:v>#N/A</c:v>
                </c:pt>
              </c:numCache>
            </c:numRef>
          </c:val>
          <c:smooth val="0"/>
          <c:extLst>
            <c:ext xmlns:c16="http://schemas.microsoft.com/office/drawing/2014/chart" uri="{C3380CC4-5D6E-409C-BE32-E72D297353CC}">
              <c16:uniqueId val="{00000000-6608-4BF7-8A9A-786D9497344D}"/>
            </c:ext>
          </c:extLst>
        </c:ser>
        <c:dLbls>
          <c:showLegendKey val="0"/>
          <c:showVal val="0"/>
          <c:showCatName val="0"/>
          <c:showSerName val="0"/>
          <c:showPercent val="0"/>
          <c:showBubbleSize val="0"/>
        </c:dLbls>
        <c:marker val="1"/>
        <c:smooth val="0"/>
        <c:axId val="438833072"/>
        <c:axId val="19697744"/>
      </c:lineChart>
      <c:catAx>
        <c:axId val="438833072"/>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19697744"/>
        <c:crosses val="autoZero"/>
        <c:auto val="1"/>
        <c:lblAlgn val="ctr"/>
        <c:lblOffset val="100"/>
        <c:noMultiLvlLbl val="0"/>
      </c:catAx>
      <c:valAx>
        <c:axId val="19697744"/>
        <c:scaling>
          <c:orientation val="minMax"/>
        </c:scaling>
        <c:delete val="0"/>
        <c:axPos val="l"/>
        <c:majorGridlines>
          <c:spPr>
            <a:ln w="9525" cap="flat" cmpd="sng" algn="ctr">
              <a:solidFill>
                <a:srgbClr val="334155"/>
              </a:solidFill>
              <a:prstDash val="solid"/>
              <a:round/>
            </a:ln>
            <a:effectLst/>
          </c:spPr>
        </c:majorGridlines>
        <c:numFmt formatCode="#.##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43883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Payment Methods – YTD</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doughnutChart>
        <c:varyColors val="1"/>
        <c:ser>
          <c:idx val="0"/>
          <c:order val="0"/>
          <c:tx>
            <c:strRef>
              <c:f>'Dashboard Data'!$Y$21</c:f>
              <c:strCache>
                <c:ptCount val="1"/>
                <c:pt idx="0">
                  <c:v> Sales incl. VAT </c:v>
                </c:pt>
              </c:strCache>
            </c:strRef>
          </c:tx>
          <c:dPt>
            <c:idx val="0"/>
            <c:bubble3D val="0"/>
            <c:spPr>
              <a:solidFill>
                <a:srgbClr val="22C55E"/>
              </a:solidFill>
              <a:ln w="19050">
                <a:solidFill>
                  <a:srgbClr val="1E293B"/>
                </a:solidFill>
                <a:prstDash val="solid"/>
              </a:ln>
              <a:effectLst/>
            </c:spPr>
            <c:extLst>
              <c:ext xmlns:c16="http://schemas.microsoft.com/office/drawing/2014/chart" uri="{C3380CC4-5D6E-409C-BE32-E72D297353CC}">
                <c16:uniqueId val="{00000001-8B6E-4E9F-99B0-C9005C877C33}"/>
              </c:ext>
            </c:extLst>
          </c:dPt>
          <c:dPt>
            <c:idx val="1"/>
            <c:bubble3D val="0"/>
            <c:spPr>
              <a:solidFill>
                <a:srgbClr val="38BDF8"/>
              </a:solidFill>
              <a:ln w="19050">
                <a:solidFill>
                  <a:srgbClr val="1E293B"/>
                </a:solidFill>
                <a:prstDash val="solid"/>
              </a:ln>
              <a:effectLst/>
            </c:spPr>
            <c:extLst>
              <c:ext xmlns:c16="http://schemas.microsoft.com/office/drawing/2014/chart" uri="{C3380CC4-5D6E-409C-BE32-E72D297353CC}">
                <c16:uniqueId val="{00000002-8B6E-4E9F-99B0-C9005C877C33}"/>
              </c:ext>
            </c:extLst>
          </c:dPt>
          <c:dPt>
            <c:idx val="2"/>
            <c:bubble3D val="0"/>
            <c:spPr>
              <a:solidFill>
                <a:srgbClr val="F43F5E"/>
              </a:solidFill>
              <a:ln w="19050">
                <a:solidFill>
                  <a:srgbClr val="1E293B"/>
                </a:solidFill>
                <a:prstDash val="solid"/>
              </a:ln>
              <a:effectLst/>
            </c:spPr>
            <c:extLst>
              <c:ext xmlns:c16="http://schemas.microsoft.com/office/drawing/2014/chart" uri="{C3380CC4-5D6E-409C-BE32-E72D297353CC}">
                <c16:uniqueId val="{00000003-8B6E-4E9F-99B0-C9005C877C3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Data'!$X$22:$X$24</c:f>
              <c:strCache>
                <c:ptCount val="3"/>
                <c:pt idx="0">
                  <c:v>Cash</c:v>
                </c:pt>
                <c:pt idx="1">
                  <c:v>QRIS / Transfer</c:v>
                </c:pt>
                <c:pt idx="2">
                  <c:v>Credit (Term)</c:v>
                </c:pt>
              </c:strCache>
            </c:strRef>
          </c:cat>
          <c:val>
            <c:numRef>
              <c:f>'Dashboard Data'!$Y$22:$Y$24</c:f>
              <c:numCache>
                <c:formatCode>_(* #,##0_);_(* \(#,##0\);_(* "-"_);_(@_)</c:formatCode>
                <c:ptCount val="3"/>
                <c:pt idx="0">
                  <c:v>1455365400</c:v>
                </c:pt>
                <c:pt idx="1">
                  <c:v>2087626950</c:v>
                </c:pt>
                <c:pt idx="2">
                  <c:v>9056134800</c:v>
                </c:pt>
              </c:numCache>
            </c:numRef>
          </c:val>
          <c:extLst>
            <c:ext xmlns:c16="http://schemas.microsoft.com/office/drawing/2014/chart" uri="{C3380CC4-5D6E-409C-BE32-E72D297353CC}">
              <c16:uniqueId val="{00000000-8B6E-4E9F-99B0-C9005C877C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CBD5E1"/>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r>
              <a:rPr lang="en-US"/>
              <a:t>Invoices Issued per Month</a:t>
            </a:r>
          </a:p>
        </c:rich>
      </c:tx>
      <c:overlay val="0"/>
      <c:spPr>
        <a:noFill/>
        <a:ln>
          <a:noFill/>
        </a:ln>
        <a:effectLst/>
      </c:spPr>
      <c:txPr>
        <a:bodyPr rot="0" spcFirstLastPara="1" vertOverflow="ellipsis" vert="horz" wrap="square" anchor="ctr" anchorCtr="1"/>
        <a:lstStyle/>
        <a:p>
          <a:pPr>
            <a:defRPr sz="960" b="0" i="0" u="none" strike="noStrike" kern="1200" spc="0" baseline="0">
              <a:solidFill>
                <a:srgbClr val="94A3B8"/>
              </a:solidFill>
              <a:latin typeface="Calibri"/>
              <a:ea typeface="Calibri"/>
              <a:cs typeface="Calibri"/>
            </a:defRPr>
          </a:pPr>
          <a:endParaRPr lang="en-US"/>
        </a:p>
      </c:txPr>
    </c:title>
    <c:autoTitleDeleted val="0"/>
    <c:plotArea>
      <c:layout/>
      <c:barChart>
        <c:barDir val="col"/>
        <c:grouping val="clustered"/>
        <c:varyColors val="0"/>
        <c:ser>
          <c:idx val="0"/>
          <c:order val="0"/>
          <c:tx>
            <c:v>Invoices</c:v>
          </c:tx>
          <c:spPr>
            <a:solidFill>
              <a:srgbClr val="A78BFA"/>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Data'!$H$7:$H$18</c:f>
              <c:numCache>
                <c:formatCode>#,##0</c:formatCode>
                <c:ptCount val="12"/>
                <c:pt idx="0">
                  <c:v>344</c:v>
                </c:pt>
                <c:pt idx="1">
                  <c:v>310</c:v>
                </c:pt>
                <c:pt idx="2">
                  <c:v>459</c:v>
                </c:pt>
                <c:pt idx="3">
                  <c:v>357</c:v>
                </c:pt>
                <c:pt idx="4">
                  <c:v>359</c:v>
                </c:pt>
                <c:pt idx="5">
                  <c:v>375</c:v>
                </c:pt>
                <c:pt idx="6">
                  <c:v>392</c:v>
                </c:pt>
                <c:pt idx="7">
                  <c:v>358</c:v>
                </c:pt>
                <c:pt idx="8">
                  <c:v>320</c:v>
                </c:pt>
                <c:pt idx="9">
                  <c:v>349</c:v>
                </c:pt>
                <c:pt idx="10">
                  <c:v>#N/A</c:v>
                </c:pt>
                <c:pt idx="11">
                  <c:v>#N/A</c:v>
                </c:pt>
              </c:numCache>
            </c:numRef>
          </c:val>
          <c:extLst>
            <c:ext xmlns:c16="http://schemas.microsoft.com/office/drawing/2014/chart" uri="{C3380CC4-5D6E-409C-BE32-E72D297353CC}">
              <c16:uniqueId val="{00000000-FA8B-4234-8DF5-1C28A70674D8}"/>
            </c:ext>
          </c:extLst>
        </c:ser>
        <c:dLbls>
          <c:showLegendKey val="0"/>
          <c:showVal val="0"/>
          <c:showCatName val="0"/>
          <c:showSerName val="0"/>
          <c:showPercent val="0"/>
          <c:showBubbleSize val="0"/>
        </c:dLbls>
        <c:gapWidth val="50"/>
        <c:overlap val="-27"/>
        <c:axId val="438928192"/>
        <c:axId val="19758704"/>
      </c:barChart>
      <c:catAx>
        <c:axId val="438928192"/>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19758704"/>
        <c:crosses val="autoZero"/>
        <c:auto val="1"/>
        <c:lblAlgn val="ctr"/>
        <c:lblOffset val="100"/>
        <c:noMultiLvlLbl val="0"/>
      </c:catAx>
      <c:valAx>
        <c:axId val="19758704"/>
        <c:scaling>
          <c:orientation val="minMax"/>
        </c:scaling>
        <c:delete val="0"/>
        <c:axPos val="l"/>
        <c:majorGridlines>
          <c:spPr>
            <a:ln w="9525" cap="flat" cmpd="sng" algn="ctr">
              <a:solidFill>
                <a:srgbClr val="334155"/>
              </a:solidFill>
              <a:prstDash val="solid"/>
              <a:round/>
            </a:ln>
            <a:effectLst/>
          </c:spPr>
        </c:majorGridlines>
        <c:numFmt formatCode="#.##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94A3B8"/>
                </a:solidFill>
                <a:latin typeface="Calibri"/>
                <a:ea typeface="Calibri"/>
                <a:cs typeface="Calibri"/>
              </a:defRPr>
            </a:pPr>
            <a:endParaRPr lang="en-US"/>
          </a:p>
        </c:txPr>
        <c:crossAx val="4389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334155"/>
      </a:solidFill>
      <a:prstDash val="solid"/>
      <a:round/>
    </a:ln>
    <a:effectLst/>
  </c:spPr>
  <c:txPr>
    <a:bodyPr/>
    <a:lstStyle/>
    <a:p>
      <a:pPr>
        <a:defRPr sz="800">
          <a:solidFill>
            <a:srgbClr val="94A3B8"/>
          </a:solidFill>
          <a:latin typeface="Calibri"/>
          <a:ea typeface="Calibri"/>
          <a:cs typeface="Calibri"/>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34</xdr:row>
      <xdr:rowOff>0</xdr:rowOff>
    </xdr:from>
    <xdr:to>
      <xdr:col>9</xdr:col>
      <xdr:colOff>0</xdr:colOff>
      <xdr:row>50</xdr:row>
      <xdr:rowOff>0</xdr:rowOff>
    </xdr:to>
    <xdr:graphicFrame macro="">
      <xdr:nvGraphicFramePr>
        <xdr:cNvPr id="2" name="Chart 1">
          <a:extLst>
            <a:ext uri="{FF2B5EF4-FFF2-40B4-BE49-F238E27FC236}">
              <a16:creationId xmlns:a16="http://schemas.microsoft.com/office/drawing/2014/main" id="{68E1C8B7-CE1D-732E-0344-96B98B441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34</xdr:row>
      <xdr:rowOff>0</xdr:rowOff>
    </xdr:from>
    <xdr:to>
      <xdr:col>17</xdr:col>
      <xdr:colOff>0</xdr:colOff>
      <xdr:row>50</xdr:row>
      <xdr:rowOff>0</xdr:rowOff>
    </xdr:to>
    <xdr:graphicFrame macro="">
      <xdr:nvGraphicFramePr>
        <xdr:cNvPr id="3" name="Chart 2">
          <a:extLst>
            <a:ext uri="{FF2B5EF4-FFF2-40B4-BE49-F238E27FC236}">
              <a16:creationId xmlns:a16="http://schemas.microsoft.com/office/drawing/2014/main" id="{97E8CC7E-BCE2-6625-FAFB-F6398D6A5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9</xdr:col>
      <xdr:colOff>0</xdr:colOff>
      <xdr:row>67</xdr:row>
      <xdr:rowOff>0</xdr:rowOff>
    </xdr:to>
    <xdr:graphicFrame macro="">
      <xdr:nvGraphicFramePr>
        <xdr:cNvPr id="4" name="Chart 3">
          <a:extLst>
            <a:ext uri="{FF2B5EF4-FFF2-40B4-BE49-F238E27FC236}">
              <a16:creationId xmlns:a16="http://schemas.microsoft.com/office/drawing/2014/main" id="{FC9E02B7-088D-7C95-DD54-136A320CA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50</xdr:row>
      <xdr:rowOff>0</xdr:rowOff>
    </xdr:from>
    <xdr:to>
      <xdr:col>13</xdr:col>
      <xdr:colOff>0</xdr:colOff>
      <xdr:row>67</xdr:row>
      <xdr:rowOff>0</xdr:rowOff>
    </xdr:to>
    <xdr:graphicFrame macro="">
      <xdr:nvGraphicFramePr>
        <xdr:cNvPr id="5" name="Chart 4">
          <a:extLst>
            <a:ext uri="{FF2B5EF4-FFF2-40B4-BE49-F238E27FC236}">
              <a16:creationId xmlns:a16="http://schemas.microsoft.com/office/drawing/2014/main" id="{089B7F80-ED48-AAFB-D7DF-38A20B45A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50</xdr:row>
      <xdr:rowOff>0</xdr:rowOff>
    </xdr:from>
    <xdr:to>
      <xdr:col>17</xdr:col>
      <xdr:colOff>0</xdr:colOff>
      <xdr:row>67</xdr:row>
      <xdr:rowOff>0</xdr:rowOff>
    </xdr:to>
    <xdr:graphicFrame macro="">
      <xdr:nvGraphicFramePr>
        <xdr:cNvPr id="6" name="Chart 5">
          <a:extLst>
            <a:ext uri="{FF2B5EF4-FFF2-40B4-BE49-F238E27FC236}">
              <a16:creationId xmlns:a16="http://schemas.microsoft.com/office/drawing/2014/main" id="{8900888E-A0B4-DBDA-2DC0-E1D43D35B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91</xdr:row>
      <xdr:rowOff>0</xdr:rowOff>
    </xdr:from>
    <xdr:to>
      <xdr:col>9</xdr:col>
      <xdr:colOff>0</xdr:colOff>
      <xdr:row>107</xdr:row>
      <xdr:rowOff>0</xdr:rowOff>
    </xdr:to>
    <xdr:graphicFrame macro="">
      <xdr:nvGraphicFramePr>
        <xdr:cNvPr id="7" name="Chart 6">
          <a:extLst>
            <a:ext uri="{FF2B5EF4-FFF2-40B4-BE49-F238E27FC236}">
              <a16:creationId xmlns:a16="http://schemas.microsoft.com/office/drawing/2014/main" id="{5D02E271-AEBB-EC82-B0A1-8B7993979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91</xdr:row>
      <xdr:rowOff>0</xdr:rowOff>
    </xdr:from>
    <xdr:to>
      <xdr:col>13</xdr:col>
      <xdr:colOff>0</xdr:colOff>
      <xdr:row>107</xdr:row>
      <xdr:rowOff>0</xdr:rowOff>
    </xdr:to>
    <xdr:graphicFrame macro="">
      <xdr:nvGraphicFramePr>
        <xdr:cNvPr id="8" name="Chart 7">
          <a:extLst>
            <a:ext uri="{FF2B5EF4-FFF2-40B4-BE49-F238E27FC236}">
              <a16:creationId xmlns:a16="http://schemas.microsoft.com/office/drawing/2014/main" id="{6E7BF6C9-1174-3358-AFEB-FCDF3C973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91</xdr:row>
      <xdr:rowOff>0</xdr:rowOff>
    </xdr:from>
    <xdr:to>
      <xdr:col>17</xdr:col>
      <xdr:colOff>0</xdr:colOff>
      <xdr:row>107</xdr:row>
      <xdr:rowOff>0</xdr:rowOff>
    </xdr:to>
    <xdr:graphicFrame macro="">
      <xdr:nvGraphicFramePr>
        <xdr:cNvPr id="9" name="Chart 8">
          <a:extLst>
            <a:ext uri="{FF2B5EF4-FFF2-40B4-BE49-F238E27FC236}">
              <a16:creationId xmlns:a16="http://schemas.microsoft.com/office/drawing/2014/main" id="{BB387885-DEDF-A24D-30B7-1A0ADF406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BC0A8B7-2895-4A02-8071-71DDF9D1BCC6}" name="tblCOA" displayName="tblCOA" ref="B6:I74" totalsRowShown="0" headerRowDxfId="146" dataDxfId="147">
  <autoFilter ref="B6:I74" xr:uid="{FBC0A8B7-2895-4A02-8071-71DDF9D1BCC6}"/>
  <tableColumns count="8">
    <tableColumn id="1" xr3:uid="{F657AB00-64C9-4A2B-B405-181A47F112B7}" name="Code" dataDxfId="154"/>
    <tableColumn id="2" xr3:uid="{33B2C784-7330-42E7-9C58-AD645A1A19FD}" name="Account Name" dataDxfId="153"/>
    <tableColumn id="3" xr3:uid="{931D125D-65D8-4475-BAA2-1E32F1440691}" name="Class" dataDxfId="152"/>
    <tableColumn id="4" xr3:uid="{CBD32151-48B3-4FEE-99B3-6E6D2C423F39}" name="FS Line" dataDxfId="151"/>
    <tableColumn id="5" xr3:uid="{6E74D3DB-96C6-4B95-8381-BC72821D33A9}" name="Normal" dataDxfId="150"/>
    <tableColumn id="6" xr3:uid="{2400F718-EA8F-4774-819C-8D4FD880BA69}" name="Note" dataDxfId="149"/>
    <tableColumn id="7" xr3:uid="{2224B276-CDD6-405F-BF4F-FD3F415F3F0C}" name="CF Line" dataDxfId="148"/>
    <tableColumn id="8" xr3:uid="{CEDF3954-CF51-4110-85CD-632672366B71}" name="Opening Balance" dataDxfId="1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2650D1-2062-4245-BA36-6BFE7A1E0350}" name="tblCustomers" displayName="tblCustomers" ref="B6:M19" totalsRowShown="0" headerRowDxfId="332" dataDxfId="333">
  <autoFilter ref="B6:M19" xr:uid="{442650D1-2062-4245-BA36-6BFE7A1E0350}"/>
  <tableColumns count="12">
    <tableColumn id="1" xr3:uid="{6F6560D5-8172-4F16-9CF8-172CFACBF21B}" name="Customer ID" dataDxfId="342"/>
    <tableColumn id="2" xr3:uid="{86C0BBB1-6EC1-49CD-A399-44DD44D18C41}" name="Customer Name" dataDxfId="341"/>
    <tableColumn id="3" xr3:uid="{6B9AB99A-B9BC-452C-860C-D87B55B00EAF}" name="Type" dataDxfId="340"/>
    <tableColumn id="4" xr3:uid="{E4D5A60D-638D-428A-8363-D90C2B944205}" name="NPWP" dataDxfId="339"/>
    <tableColumn id="5" xr3:uid="{0984CADE-16E3-4943-985B-0033E9A2BDF5}" name="Address" dataDxfId="338"/>
    <tableColumn id="6" xr3:uid="{94270E18-5E84-4EB1-8E2D-7BCA2D94A32E}" name="City" dataDxfId="337"/>
    <tableColumn id="7" xr3:uid="{44A428B3-4A40-4166-B8AF-A1E4F2498EC0}" name="Email" dataDxfId="336"/>
    <tableColumn id="8" xr3:uid="{6F34BB1D-5AE1-4AA6-AF12-B40A71414522}" name="Phone" dataDxfId="335"/>
    <tableColumn id="9" xr3:uid="{6D775769-D9ED-4EC3-8E26-87B12256CC40}" name="Payment Terms (days)" dataDxfId="334"/>
    <tableColumn id="10" xr3:uid="{548CB0B6-8DB9-472F-B610-1F44FB8A7E4F}" name="Credit Limit" dataDxfId="331"/>
    <tableColumn id="11" xr3:uid="{235C4E92-C013-4EBB-BFA9-210205AF9D26}" name="Sales YTD (DPP)" dataDxfId="35">
      <calculatedColumnFormula>SUMIFS(tblSales[DPP (excl. VAT)],tblSales[Customer ID],tblCustomers[[#This Row],[Customer ID]],tblSales[Date],"&lt;="&amp;PEnd)</calculatedColumnFormula>
    </tableColumn>
    <tableColumn id="12" xr3:uid="{5507281D-578F-44FE-AE6B-0350D3A42A82}" name="Outstanding AR (est.)" dataDxfId="34">
      <calculatedColumnFormula>SUMIFS(tblSales[Total incl. VAT],tblSales[Customer ID],tblCustomers[[#This Row],[Customer ID]],tblSales[Payment Method],"Credit (Term)",tblSales[Month],CutOff)</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E4E57C-44DB-4857-BBD4-8986AFA559C1}" name="tblVendors" displayName="tblVendors" ref="B6:M23" totalsRowShown="0" headerRowDxfId="319" dataDxfId="320">
  <autoFilter ref="B6:M23" xr:uid="{B2E4E57C-44DB-4857-BBD4-8986AFA559C1}"/>
  <tableColumns count="12">
    <tableColumn id="1" xr3:uid="{41F0A49A-CF41-471D-B82A-DCDDCCB39278}" name="Vendor ID" dataDxfId="330"/>
    <tableColumn id="2" xr3:uid="{A1E12464-D0EE-4351-9B4A-DEE1088D4833}" name="Vendor Name" dataDxfId="329"/>
    <tableColumn id="3" xr3:uid="{563AD039-EE75-4FB1-B7E1-16EAF6121D1E}" name="Category" dataDxfId="328"/>
    <tableColumn id="4" xr3:uid="{00AB7EF7-8064-49C7-BBF2-86FA6FF95D55}" name="NPWP" dataDxfId="327"/>
    <tableColumn id="5" xr3:uid="{29C90760-0FFD-4D80-B7BD-558BBA631290}" name="VAT Status" dataDxfId="326"/>
    <tableColumn id="6" xr3:uid="{46CB99DE-E919-43AF-8F07-4E88EA4BC6FD}" name="WHT Type" dataDxfId="325"/>
    <tableColumn id="7" xr3:uid="{EB306CF2-932A-49E8-9518-53B1BF75C50A}" name="Default Account" dataDxfId="324"/>
    <tableColumn id="8" xr3:uid="{056079E7-3C2C-45F3-A22F-430F5AE4B380}" name="Address" dataDxfId="323"/>
    <tableColumn id="9" xr3:uid="{C98ACF78-C314-4DA1-82CF-7201E16073B8}" name="Bank Account" dataDxfId="322"/>
    <tableColumn id="10" xr3:uid="{C9AAEC8C-A48A-494C-8561-72604B0F6FFA}" name="Payment Terms (days)" dataDxfId="321"/>
    <tableColumn id="11" xr3:uid="{47B1F8EB-4AD3-43F7-817D-7C7ABE8132EB}" name="Purchases YTD (DPP)" dataDxfId="33">
      <calculatedColumnFormula>SUMIFS(tblPurchases[DPP (excl. VAT)],tblPurchases[Vendor ID],tblVendors[[#This Row],[Vendor ID]],tblPurchases[Date],"&lt;="&amp;PEnd)</calculatedColumnFormula>
    </tableColumn>
    <tableColumn id="12" xr3:uid="{76042CDF-7277-4813-A91C-F657576F2C82}" name="Unpaid at Period End" dataDxfId="32">
      <calculatedColumnFormula>SUMIFS(tblPurchases[Total Payable],tblPurchases[Vendor ID],tblVendors[[#This Row],[Vendor ID]],tblPurchases[Date],"&lt;="&amp;PEnd,tblPurchases[Payment Date],"&gt;"&amp;PEnd)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7241AD-0ECE-4764-BB53-82592BA3B583}" name="tblEmployees" displayName="tblEmployees" ref="B6:N21" totalsRowShown="0" headerRowDxfId="310" dataDxfId="311">
  <autoFilter ref="B6:N21" xr:uid="{CF7241AD-0ECE-4764-BB53-82592BA3B583}"/>
  <tableColumns count="13">
    <tableColumn id="1" xr3:uid="{5A57A9CF-0D4A-4680-855D-C80ABE3986E2}" name="Employee ID" dataDxfId="318"/>
    <tableColumn id="2" xr3:uid="{E4615917-00F3-4E4E-AAA1-9BA63DE8B6A1}" name="Full Name" dataDxfId="317"/>
    <tableColumn id="3" xr3:uid="{41568CDE-6B86-4E47-BE37-76592358D3D5}" name="Position" dataDxfId="316"/>
    <tableColumn id="4" xr3:uid="{B58FC82F-0E03-4516-83A4-A994E0F1C5A1}" name="Department" dataDxfId="315"/>
    <tableColumn id="5" xr3:uid="{756DE58B-07F5-43ED-B379-981E6447422C}" name="Join Date" dataDxfId="308"/>
    <tableColumn id="6" xr3:uid="{C59CDF13-51C3-4A41-BE70-2B4ED1F1EFCA}" name="NIK / NPWP" dataDxfId="314"/>
    <tableColumn id="7" xr3:uid="{0D028525-77ED-442D-9A75-638AB7B4D344}" name="PTKP Status" dataDxfId="313"/>
    <tableColumn id="8" xr3:uid="{3CD72EE0-DEF6-4DD0-8FC6-BD7C3AD54EC7}" name="Basic Salary" dataDxfId="307"/>
    <tableColumn id="9" xr3:uid="{9B65AE5C-E71A-47FC-9377-F4831D017778}" name="Fixed Allowance" dataDxfId="306"/>
    <tableColumn id="10" xr3:uid="{270B8AAC-D3E0-4DD3-9E5D-C3F8F8EC38A5}" name="Bank Account" dataDxfId="312"/>
    <tableColumn id="11" xr3:uid="{DA4D72CA-2B52-42B0-B209-BDDC19A6AE2C}" name="TER Category" dataDxfId="309">
      <calculatedColumnFormula>IF(OR(tblEmployees[[#This Row],[PTKP Status]]="TK/0",tblEmployees[[#This Row],[PTKP Status]]="TK/1",tblEmployees[[#This Row],[PTKP Status]]="K/0"),"A",IF(tblEmployees[[#This Row],[PTKP Status]]="K/3","C","B"))</calculatedColumnFormula>
    </tableColumn>
    <tableColumn id="12" xr3:uid="{C5D2673B-357A-41E1-BB6C-9FBAD453D727}" name="Gross Pay YTD" dataDxfId="31">
      <calculatedColumnFormula>SUMIFS(tblPayroll[Gross Salary],tblPayroll[Employee ID],tblEmployees[[#This Row],[Employee ID]],tblPayroll[Period],"&lt;="&amp;CutOff)</calculatedColumnFormula>
    </tableColumn>
    <tableColumn id="13" xr3:uid="{542807DE-3F9A-4F21-B10E-6BA73B420DE1}" name="PPh 21 YTD" dataDxfId="30">
      <calculatedColumnFormula>SUMIFS(tblPayroll[PPh 21],tblPayroll[Employee ID],tblEmployees[[#This Row],[Employee ID]],tblPayroll[Period],"&lt;="&amp;CutOff)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A61A9A-CDCC-4766-BF7F-DABEF6552B5F}" name="tblProducts" displayName="tblProducts" ref="B6:K16" totalsRowShown="0" headerRowDxfId="303" dataDxfId="304">
  <autoFilter ref="B6:K16" xr:uid="{BDA61A9A-CDCC-4766-BF7F-DABEF6552B5F}"/>
  <tableColumns count="10">
    <tableColumn id="1" xr3:uid="{E29C06C8-8621-485D-B5E5-B5739F5F5C07}" name="Code" dataDxfId="305"/>
    <tableColumn id="5" xr3:uid="{DC0360BD-7875-4D2F-876E-A43DEAD28CA8}" name="Product / Service Name" dataDxfId="302">
      <calculatedColumnFormula>_xlfn.XLOOKUP("Product "&amp;tblProducts[[#This Row],[Code]],'Industry Profile'!$B$18:$B$27,'Industry Profile'!$C$18:$C$27)</calculatedColumnFormula>
    </tableColumn>
    <tableColumn id="2" xr3:uid="{CA3D7316-8760-4EF1-9985-A2CB3C1E8696}" name="Category Group" dataDxfId="288"/>
    <tableColumn id="6" xr3:uid="{BEBC748C-6478-4918-8BE5-66D02650D8AB}" name="Category" dataDxfId="301">
      <calculatedColumnFormula array="1">INDEX('Industry Profile'!$C$12:$C$14,tblProducts[[#This Row],[Category Group]])</calculatedColumnFormula>
    </tableColumn>
    <tableColumn id="7" xr3:uid="{4333C9DC-2351-454C-8530-E3A555C05955}" name="Unit" dataDxfId="300">
      <calculatedColumnFormula>IP_Unit</calculatedColumnFormula>
    </tableColumn>
    <tableColumn id="3" xr3:uid="{77115413-A1F5-40CB-86D4-C026552454B4}" name="Selling Price (excl. VAT)" dataDxfId="290"/>
    <tableColumn id="4" xr3:uid="{C03B8027-16E7-4AF1-A565-A2E525C2AFA6}" name="Unit Cost" dataDxfId="289"/>
    <tableColumn id="8" xr3:uid="{A8B28ACE-7AFF-473E-A7BB-EBC1C1B69819}" name="Gross Margin %" dataDxfId="291">
      <calculatedColumnFormula>IFERROR(1-tblProducts[[#This Row],[Unit Cost]]/tblProducts[[#This Row],[Selling Price (excl. VAT)]],0)</calculatedColumnFormula>
    </tableColumn>
    <tableColumn id="9" xr3:uid="{60C77D6E-C671-48F4-94B7-2C5641CE8907}" name="Qty Sold YTD" dataDxfId="10">
      <calculatedColumnFormula>SUMIFS(tblSales[Qty],tblSales[Product Code],tblProducts[[#This Row],[Code]],tblSales[Date],"&lt;="&amp;PEnd)</calculatedColumnFormula>
    </tableColumn>
    <tableColumn id="10" xr3:uid="{400DFE8D-3A91-4F37-8C06-AE6AFAAF01CA}" name="Sales YTD" dataDxfId="11">
      <calculatedColumnFormula>SUMIFS(tblSales[DPP (excl. VAT)],tblSales[Product Code],tblProducts[[#This Row],[Code]],tblSales[Date],"&lt;="&amp;PEnd)</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7908DC2-6B21-4882-A200-67A8C885B153}" name="tblChannels" displayName="tblChannels" ref="O6:P9" totalsRowShown="0" headerRowDxfId="296" dataDxfId="297">
  <autoFilter ref="O6:P9" xr:uid="{67908DC2-6B21-4882-A200-67A8C885B153}"/>
  <tableColumns count="2">
    <tableColumn id="1" xr3:uid="{66DF7015-9E96-4102-8C6D-C98BE2E73FB2}" name="Channel Code" dataDxfId="299"/>
    <tableColumn id="2" xr3:uid="{62F26867-B3BC-4DF5-A484-B8D08C69506C}" name="Channel Name" dataDxfId="298">
      <calculatedColumnFormula>'Industry Profile'!C15</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3C4BD53-6167-4983-8657-D462B6B384B4}" name="tblPayMethods" displayName="tblPayMethods" ref="O12:P15" totalsRowShown="0" headerRowDxfId="292" dataDxfId="293">
  <autoFilter ref="O12:P15" xr:uid="{C3C4BD53-6167-4983-8657-D462B6B384B4}"/>
  <tableColumns count="2">
    <tableColumn id="1" xr3:uid="{95AC897F-50D1-4A49-BB76-36FEE1A83272}" name="Payment Method" dataDxfId="295"/>
    <tableColumn id="2" xr3:uid="{4EAF6E37-EC3B-46C6-AE03-27C11784B12E}" name="Account Code" dataDxfId="29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E109FB3-B6DF-4089-BB51-427850D3E849}" name="tblSales" displayName="tblSales" ref="B6:R6196" totalsRowShown="0" headerRowDxfId="133" dataDxfId="134">
  <autoFilter ref="B6:R6196" xr:uid="{2E109FB3-B6DF-4089-BB51-427850D3E849}"/>
  <tableColumns count="17">
    <tableColumn id="1" xr3:uid="{A33BD7E3-D189-4AE5-A144-AEF3F6D5588D}" name="Date" dataDxfId="132"/>
    <tableColumn id="2" xr3:uid="{9DD9EC11-135F-4B50-A1FD-7F89FA8D797A}" name="Invoice No" dataDxfId="131"/>
    <tableColumn id="3" xr3:uid="{C8C40BEB-3DE0-4E20-9AC8-025A61669B51}" name="Customer ID" dataDxfId="130"/>
    <tableColumn id="4" xr3:uid="{22F9ACC4-9E7A-444E-BFD6-B5599FB1C991}" name="Customer Name" dataDxfId="144"/>
    <tableColumn id="5" xr3:uid="{629E5F8C-02A7-4AE0-BA3D-A7ED2A6406EA}" name="Product Code" dataDxfId="129"/>
    <tableColumn id="6" xr3:uid="{3DEC302F-41FC-4CB1-AFCE-CCEE08842CC0}" name="Product / Service" dataDxfId="143"/>
    <tableColumn id="7" xr3:uid="{3793DF7D-EFD8-4D0A-BE40-99CD4DB0AFF6}" name="Category" dataDxfId="142"/>
    <tableColumn id="8" xr3:uid="{44438A8D-11E8-4ED0-86B0-8AD4D09E3180}" name="Qty" dataDxfId="128"/>
    <tableColumn id="9" xr3:uid="{C0BB27C4-662A-4EE7-A74B-13356B58572F}" name="Unit Price" dataDxfId="141"/>
    <tableColumn id="10" xr3:uid="{939509E7-C386-44EC-9279-1F7B4079FBA8}" name="DPP (excl. VAT)" dataDxfId="140"/>
    <tableColumn id="11" xr3:uid="{C2FA39ED-446A-436E-82D4-B1B099763AE8}" name="Output VAT" dataDxfId="139"/>
    <tableColumn id="12" xr3:uid="{17F2CF6B-9542-4548-BA76-7674ADD35B45}" name="Total incl. VAT" dataDxfId="138"/>
    <tableColumn id="13" xr3:uid="{FD2DC18A-F3E9-4B51-AA5F-F9324F192B54}" name="COGS" dataDxfId="137"/>
    <tableColumn id="14" xr3:uid="{80B41ED5-F2A1-4564-93A8-25D540FBF12D}" name="Payment Method" dataDxfId="127"/>
    <tableColumn id="15" xr3:uid="{316D6DA0-43BA-4EA3-95E2-A7089EE0DE17}" name="Channel Code" dataDxfId="126"/>
    <tableColumn id="16" xr3:uid="{F2688247-3025-4700-9708-D96CC671FDFE}" name="Channel" dataDxfId="136"/>
    <tableColumn id="17" xr3:uid="{83DBD301-1280-4476-875C-399BA3ACA043}" name="Month" dataDxfId="13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8D76496-8FEC-4EB4-AE1B-254E2C7E77A3}" name="tblPurchases" displayName="tblPurchases" ref="B6:R139" totalsRowShown="0" headerRowDxfId="119" dataDxfId="120">
  <autoFilter ref="B6:R139" xr:uid="{48D76496-8FEC-4EB4-AE1B-254E2C7E77A3}"/>
  <tableColumns count="17">
    <tableColumn id="1" xr3:uid="{7A63E57E-238D-4A46-8970-B97DE9BB419F}" name="Date" dataDxfId="114"/>
    <tableColumn id="2" xr3:uid="{1AFA9A84-59B4-4642-93DB-A465293D82B5}" name="Bill No" dataDxfId="113"/>
    <tableColumn id="3" xr3:uid="{CD042E6B-7A5C-4286-9359-98EF3367A38C}" name="Vendor ID" dataDxfId="112"/>
    <tableColumn id="4" xr3:uid="{3346EAF3-1D9F-46DF-A62A-B7D6E3A711C3}" name="Vendor Name" dataDxfId="125">
      <calculatedColumnFormula>_xlfn.XLOOKUP(tblPurchases[[#This Row],[Vendor ID]],tblVendors[Vendor ID],tblVendors[Vendor Name],"⚠ Unknown")</calculatedColumnFormula>
    </tableColumn>
    <tableColumn id="5" xr3:uid="{C7A67048-5E55-4731-BC51-7D716E3E2826}" name="Description" dataDxfId="111"/>
    <tableColumn id="6" xr3:uid="{38E92653-1D79-4EE1-8238-D85AC7D679FF}" name="Account Code" dataDxfId="110"/>
    <tableColumn id="7" xr3:uid="{ABB4D6DE-B526-42F8-9042-C8F5013C2011}" name="Account Name" dataDxfId="124">
      <calculatedColumnFormula>_xlfn.XLOOKUP(tblPurchases[[#This Row],[Account Code]],tblCOA[Code],tblCOA[Account Name],"⚠ Invalid")</calculatedColumnFormula>
    </tableColumn>
    <tableColumn id="8" xr3:uid="{840E5794-1A91-4136-BF9A-C6F27D9BCB98}" name="DPP (excl. VAT)" dataDxfId="109"/>
    <tableColumn id="9" xr3:uid="{FE24B099-A15D-4104-A77B-05A5824CC055}" name="Input VAT" dataDxfId="118">
      <calculatedColumnFormula>IF(_xlfn.XLOOKUP(tblPurchases[[#This Row],[Vendor ID]],tblVendors[Vendor ID],tblVendors[VAT Status],"")="PKP",ROUND(tblPurchases[[#This Row],[DPP (excl. VAT)]]*VATEff,0),0)</calculatedColumnFormula>
    </tableColumn>
    <tableColumn id="10" xr3:uid="{FF14BD88-B728-4053-AE3E-99A19035565A}" name="WHT Type" dataDxfId="123">
      <calculatedColumnFormula>_xlfn.XLOOKUP(tblPurchases[[#This Row],[Vendor ID]],tblVendors[Vendor ID],tblVendors[WHT Type],"None")</calculatedColumnFormula>
    </tableColumn>
    <tableColumn id="11" xr3:uid="{A720EDA5-E437-41F4-8FB9-1200B8BD7936}" name="WHT Rate" dataDxfId="115">
      <calculatedColumnFormula>_xlfn.XLOOKUP(tblPurchases[[#This Row],[WHT Type]],WHTTypes,WHTRates,0)</calculatedColumnFormula>
    </tableColumn>
    <tableColumn id="12" xr3:uid="{C5BDE1C1-58A4-4DF4-A36A-C558348E2DEC}" name="WHT Amount" dataDxfId="117">
      <calculatedColumnFormula>ROUND(tblPurchases[[#This Row],[DPP (excl. VAT)]]*tblPurchases[[#This Row],[WHT Rate]],0)</calculatedColumnFormula>
    </tableColumn>
    <tableColumn id="13" xr3:uid="{42DD6C22-96A1-42BA-9858-4887B6953E67}" name="Total Payable" dataDxfId="116">
      <calculatedColumnFormula>tblPurchases[[#This Row],[DPP (excl. VAT)]]+tblPurchases[[#This Row],[Input VAT]]-tblPurchases[[#This Row],[WHT Amount]]</calculatedColumnFormula>
    </tableColumn>
    <tableColumn id="14" xr3:uid="{CE2BCF78-B1A6-4592-982A-034EEC824D62}" name="Payment Date" dataDxfId="108"/>
    <tableColumn id="15" xr3:uid="{6DAFB4B1-41A8-4190-9F63-B1F4C29F5D3A}" name="Paid From" dataDxfId="107"/>
    <tableColumn id="16" xr3:uid="{07F9B83A-A71B-485D-AE29-BACE0299CBAA}" name="Month" dataDxfId="122">
      <calculatedColumnFormula>MONTH(tblPurchases[[#This Row],[Date]])</calculatedColumnFormula>
    </tableColumn>
    <tableColumn id="17" xr3:uid="{696460CC-17A9-4A96-BE18-A109761D50AB}" name="Pay Month" dataDxfId="121">
      <calculatedColumnFormula>IF(tblPurchases[[#This Row],[Payment Date]]="",0,IF(YEAR(tblPurchases[[#This Row],[Payment Date]])=FYear,MONTH(tblPurchases[[#This Row],[Payment Date]]),0))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CF1A876-1B30-4E75-8B83-18C641C4D533}" name="tblPayroll" displayName="tblPayroll" ref="B6:AB186" totalsRowShown="0" headerRowDxfId="78" dataDxfId="93">
  <autoFilter ref="B6:AB186" xr:uid="{0CF1A876-1B30-4E75-8B83-18C641C4D533}"/>
  <tableColumns count="27">
    <tableColumn id="1" xr3:uid="{207FEF0B-D4A3-4108-85C2-C8CF50DB9795}" name="Period" dataDxfId="83"/>
    <tableColumn id="2" xr3:uid="{FB2357E7-43D4-40F8-9347-27C3AEE2BAA7}" name="Pay Date" dataDxfId="82"/>
    <tableColumn id="3" xr3:uid="{817B3090-540B-4106-81CC-F2AC092EE595}" name="Employee ID" dataDxfId="81"/>
    <tableColumn id="4" xr3:uid="{3BA674F6-884F-40B4-B76D-0B00597E2219}" name="Employee Name" dataDxfId="106">
      <calculatedColumnFormula>_xlfn.XLOOKUP(tblPayroll[[#This Row],[Employee ID]],tblEmployees[Employee ID],tblEmployees[Full Name],"")</calculatedColumnFormula>
    </tableColumn>
    <tableColumn id="5" xr3:uid="{A3D50CAA-8E5A-47E8-BA1C-C3B47D44D24A}" name="Department" dataDxfId="105">
      <calculatedColumnFormula>_xlfn.XLOOKUP(tblPayroll[[#This Row],[Employee ID]],tblEmployees[Employee ID],tblEmployees[Department],"")</calculatedColumnFormula>
    </tableColumn>
    <tableColumn id="6" xr3:uid="{4A402CC8-D2F1-4BD5-9511-5E11B432F269}" name="TER Cat" dataDxfId="104">
      <calculatedColumnFormula>_xlfn.XLOOKUP(tblPayroll[[#This Row],[Employee ID]],tblEmployees[Employee ID],tblEmployees[TER Category],"")</calculatedColumnFormula>
    </tableColumn>
    <tableColumn id="7" xr3:uid="{3E5357E8-3563-48F4-95C7-D8250107824A}" name="Basic Salary" dataDxfId="103">
      <calculatedColumnFormula>_xlfn.XLOOKUP(tblPayroll[[#This Row],[Employee ID]],tblEmployees[Employee ID],tblEmployees[Basic Salary],"")</calculatedColumnFormula>
    </tableColumn>
    <tableColumn id="8" xr3:uid="{9285EFB3-93A6-40B4-904E-F51D0CA300F2}" name="Fixed Allowance" dataDxfId="102">
      <calculatedColumnFormula>_xlfn.XLOOKUP(tblPayroll[[#This Row],[Employee ID]],tblEmployees[Employee ID],tblEmployees[Fixed Allowance],"")</calculatedColumnFormula>
    </tableColumn>
    <tableColumn id="9" xr3:uid="{30D2632A-7580-4AA4-B68C-F125C835C8C4}" name="THR / Bonus" dataDxfId="80"/>
    <tableColumn id="10" xr3:uid="{5DE1C8B2-C053-4837-B7CC-1542C5F2F530}" name="Gross Salary" dataDxfId="101">
      <calculatedColumnFormula>tblPayroll[[#This Row],[Basic Salary]]+tblPayroll[[#This Row],[Fixed Allowance]]+tblPayroll[[#This Row],[THR / Bonus]]</calculatedColumnFormula>
    </tableColumn>
    <tableColumn id="11" xr3:uid="{45F698FE-D489-468B-94F2-14F8001F9A9A}" name="BPJS Health (Er)" dataDxfId="100">
      <calculatedColumnFormula>ROUND(MIN(tblPayroll[[#This Row],[Basic Salary]]+tblPayroll[[#This Row],[Fixed Allowance]],BPJSKesCap)*R_KesEr,0)</calculatedColumnFormula>
    </tableColumn>
    <tableColumn id="12" xr3:uid="{BA4E306A-DF3D-4FFA-AC02-F267A8F9D0C9}" name="JKK (Er)" dataDxfId="99">
      <calculatedColumnFormula>ROUND((tblPayroll[[#This Row],[Basic Salary]]+tblPayroll[[#This Row],[Fixed Allowance]])*R_JKK,0)</calculatedColumnFormula>
    </tableColumn>
    <tableColumn id="13" xr3:uid="{7E4F7724-6B5A-490F-8291-98799C490A87}" name="JKM (Er)" dataDxfId="98">
      <calculatedColumnFormula>ROUND((tblPayroll[[#This Row],[Basic Salary]]+tblPayroll[[#This Row],[Fixed Allowance]])*R_JKM,0)</calculatedColumnFormula>
    </tableColumn>
    <tableColumn id="14" xr3:uid="{E2F31027-02F4-4C4B-8A7D-30609389D12C}" name="JHT (Er)" dataDxfId="97">
      <calculatedColumnFormula>ROUND((tblPayroll[[#This Row],[Basic Salary]]+tblPayroll[[#This Row],[Fixed Allowance]])*R_JHTEr,0)</calculatedColumnFormula>
    </tableColumn>
    <tableColumn id="15" xr3:uid="{92F6B678-DC35-49B0-A073-714F337D20AD}" name="JP (Er)" dataDxfId="96">
      <calculatedColumnFormula>ROUND(MIN(tblPayroll[[#This Row],[Basic Salary]]+tblPayroll[[#This Row],[Fixed Allowance]],JPCap)*R_JPEr,0)</calculatedColumnFormula>
    </tableColumn>
    <tableColumn id="16" xr3:uid="{956266EB-E39D-476B-A4AA-0E57FE654478}" name="Employer BPJS Total" dataDxfId="95">
      <calculatedColumnFormula>SUM(tblPayroll[[#This Row],[BPJS Health (Er)]:[JP (Er)]])</calculatedColumnFormula>
    </tableColumn>
    <tableColumn id="17" xr3:uid="{4A7F0648-B04D-4C40-9A47-48123C13C090}" name="PPh 21 Base" dataDxfId="94">
      <calculatedColumnFormula>tblPayroll[[#This Row],[Gross Salary]]+tblPayroll[[#This Row],[BPJS Health (Er)]]+tblPayroll[[#This Row],[JKK (Er)]]+tblPayroll[[#This Row],[JKM (Er)]]</calculatedColumnFormula>
    </tableColumn>
    <tableColumn id="18" xr3:uid="{3F49BB3E-4CEB-4E22-8339-8BAA98E6B54A}" name="TER Rate" dataDxfId="92">
      <calculatedColumnFormula>IF(tblPayroll[[#This Row],[TER Cat]]="A",_xlfn.XLOOKUP(tblPayroll[[#This Row],[PPh 21 Base]],TerA_L,TerA_R,0,-1),IF(tblPayroll[[#This Row],[TER Cat]]="B",_xlfn.XLOOKUP(tblPayroll[[#This Row],[PPh 21 Base]],TerB_L,TerB_R,0,-1),_xlfn.XLOOKUP(tblPayroll[[#This Row],[PPh 21 Base]],TerC_L,TerC_R,0,-1)))</calculatedColumnFormula>
    </tableColumn>
    <tableColumn id="19" xr3:uid="{D456A9CD-AD53-4A25-8461-F06450FD3B45}" name="PPh 21" dataDxfId="91">
      <calculatedColumnFormula>ROUND(tblPayroll[[#This Row],[PPh 21 Base]]*tblPayroll[[#This Row],[TER Rate]],0)</calculatedColumnFormula>
    </tableColumn>
    <tableColumn id="20" xr3:uid="{0EF124DB-E7C7-497F-9B25-84307DF38921}" name="BPJS Health (Ee)" dataDxfId="90">
      <calculatedColumnFormula>ROUND(MIN(tblPayroll[[#This Row],[Basic Salary]]+tblPayroll[[#This Row],[Fixed Allowance]],BPJSKesCap)*R_KesEe,0)</calculatedColumnFormula>
    </tableColumn>
    <tableColumn id="21" xr3:uid="{A44622D1-8B8A-4833-9A14-C063B7CB6043}" name="JHT (Ee)" dataDxfId="89">
      <calculatedColumnFormula>ROUND((tblPayroll[[#This Row],[Basic Salary]]+tblPayroll[[#This Row],[Fixed Allowance]])*R_JHTEe,0)</calculatedColumnFormula>
    </tableColumn>
    <tableColumn id="22" xr3:uid="{1B7F0720-CD96-4475-A1D4-E7B3FEC7E597}" name="JP (Ee)" dataDxfId="88">
      <calculatedColumnFormula>ROUND(MIN(tblPayroll[[#This Row],[Basic Salary]]+tblPayroll[[#This Row],[Fixed Allowance]],JPCap)*R_JPEe,0)</calculatedColumnFormula>
    </tableColumn>
    <tableColumn id="23" xr3:uid="{5D0C3902-34DA-4153-9C97-E5C3B6260269}" name="Employee BPJS Total" dataDxfId="87">
      <calculatedColumnFormula>tblPayroll[[#This Row],[BPJS Health (Ee)]]+tblPayroll[[#This Row],[JHT (Ee)]]+tblPayroll[[#This Row],[JP (Ee)]]</calculatedColumnFormula>
    </tableColumn>
    <tableColumn id="24" xr3:uid="{705BC78C-76C8-4B94-905F-5960C40278B2}" name="Net Pay" dataDxfId="86">
      <calculatedColumnFormula>tblPayroll[[#This Row],[Gross Salary]]-tblPayroll[[#This Row],[PPh 21]]-tblPayroll[[#This Row],[Employee BPJS Total]]</calculatedColumnFormula>
    </tableColumn>
    <tableColumn id="25" xr3:uid="{203597B1-F53B-4DF6-986B-19F2D1EBF106}" name="BPJS Payable" dataDxfId="85">
      <calculatedColumnFormula>tblPayroll[[#This Row],[Employer BPJS Total]]+tblPayroll[[#This Row],[Employee BPJS Total]]</calculatedColumnFormula>
    </tableColumn>
    <tableColumn id="26" xr3:uid="{1F789F72-C52A-4A17-9779-541240DE2D91}" name="Total Employer Cost" dataDxfId="84">
      <calculatedColumnFormula>tblPayroll[[#This Row],[Gross Salary]]+tblPayroll[[#This Row],[Employer BPJS Total]]</calculatedColumnFormula>
    </tableColumn>
    <tableColumn id="27" xr3:uid="{6F7B7D7F-6960-44CD-BFF2-DA1BA157D808}" name="Paid From" dataDxfId="7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BE0990-44FD-4D2A-AA43-CEE2C662F58E}" name="tblFAClass" displayName="tblFAClass" ref="B6:G12" totalsRowShown="0" headerRowDxfId="280" dataDxfId="281">
  <autoFilter ref="B6:G12" xr:uid="{79BE0990-44FD-4D2A-AA43-CEE2C662F58E}"/>
  <tableColumns count="6">
    <tableColumn id="1" xr3:uid="{818BE18E-1C6A-4451-B7BA-134438C574F5}" name="Asset Class" dataDxfId="287"/>
    <tableColumn id="2" xr3:uid="{9D6E3160-51A4-4C0D-B8C8-CE2317E859FD}" name="Useful Life (years)" dataDxfId="286"/>
    <tableColumn id="3" xr3:uid="{A4502551-A4B5-4239-A65B-6535B4068ACB}" name="Cost Account" dataDxfId="285"/>
    <tableColumn id="4" xr3:uid="{74D85295-8B11-4F92-B24F-0BAA93F6040C}" name="Acc. Dep. Account" dataDxfId="284"/>
    <tableColumn id="5" xr3:uid="{0489A074-8DEC-4A58-AAF0-963C7352F283}" name="Expense Account" dataDxfId="283"/>
    <tableColumn id="6" xr3:uid="{76D47839-9603-420A-8795-FF6821511DC5}" name="Tax Group" dataDxfId="282"/>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B091639-57D6-419E-B13B-14DD44A5A693}" name="tblFA" displayName="tblFA" ref="B15:AE30" totalsRowCount="1" headerRowDxfId="239" dataDxfId="274">
  <autoFilter ref="B15:AE29" xr:uid="{0B091639-57D6-419E-B13B-14DD44A5A693}"/>
  <tableColumns count="30">
    <tableColumn id="1" xr3:uid="{BD5E2778-A744-46FA-B044-25E8487E80FB}" name="Asset ID" totalsRowLabel="TOTAL" dataDxfId="244" totalsRowDxfId="273"/>
    <tableColumn id="2" xr3:uid="{F3CA5C42-B3A3-4A70-A194-9BD835170513}" name="Asset Name" dataDxfId="243" totalsRowDxfId="272"/>
    <tableColumn id="3" xr3:uid="{D98BB5A0-8B09-47B9-B575-C9990DFA566A}" name="Asset Class" dataDxfId="242" totalsRowDxfId="271"/>
    <tableColumn id="4" xr3:uid="{59072036-BE86-4F21-8C89-A9B6BC606D0B}" name="Acquisition Date" dataDxfId="241" totalsRowDxfId="270"/>
    <tableColumn id="5" xr3:uid="{6DC1220D-1ADB-4C38-956C-4692CE5906BD}" name="Cost" totalsRowFunction="sum" dataDxfId="240" totalsRowDxfId="192"/>
    <tableColumn id="6" xr3:uid="{AC24D5B0-1F1F-4897-A68A-59124D8BC43C}" name="Useful Life (yrs)" dataDxfId="279" totalsRowDxfId="269">
      <calculatedColumnFormula>_xlfn.XLOOKUP(tblFA[[#This Row],[Asset Class]],tblFAClass[Asset Class],tblFAClass[Useful Life (years)])</calculatedColumnFormula>
    </tableColumn>
    <tableColumn id="7" xr3:uid="{8A7F03A4-E894-44BA-8467-D75B2080DB7A}" name="Cost Account" dataDxfId="278" totalsRowDxfId="268">
      <calculatedColumnFormula>_xlfn.XLOOKUP(tblFA[[#This Row],[Asset Class]],tblFAClass[Asset Class],tblFAClass[Cost Account])</calculatedColumnFormula>
    </tableColumn>
    <tableColumn id="8" xr3:uid="{8841198A-260E-416E-A0CB-EDDEA7DDA3A9}" name="Acc. Dep. Account" dataDxfId="277" totalsRowDxfId="267">
      <calculatedColumnFormula>_xlfn.XLOOKUP(tblFA[[#This Row],[Asset Class]],tblFAClass[Asset Class],tblFAClass[Acc. Dep. Account])</calculatedColumnFormula>
    </tableColumn>
    <tableColumn id="9" xr3:uid="{DF3BE9D7-6D5D-444D-AD83-8F42F6530CCB}" name="Expense Account" dataDxfId="276" totalsRowDxfId="266">
      <calculatedColumnFormula>_xlfn.XLOOKUP(tblFA[[#This Row],[Asset Class]],tblFAClass[Asset Class],tblFAClass[Expense Account])</calculatedColumnFormula>
    </tableColumn>
    <tableColumn id="10" xr3:uid="{4FEEC42F-0D36-436F-85D6-16495908B4FB}" name="Monthly Depreciation" dataDxfId="264" totalsRowDxfId="191">
      <calculatedColumnFormula>IF(tblFA[[#This Row],[Useful Life (yrs)]]=0,0,ROUND(tblFA[[#This Row],[Cost]]/(tblFA[[#This Row],[Useful Life (yrs)]]*12),0))</calculatedColumnFormula>
    </tableColumn>
    <tableColumn id="11" xr3:uid="{1CF99112-5585-43C6-99DE-5FAB5E50C32C}" name="Dep. Start" dataDxfId="245" totalsRowDxfId="190">
      <calculatedColumnFormula>DATE(YEAR(tblFA[[#This Row],[Acquisition Date]]),MONTH(tblFA[[#This Row],[Acquisition Date]]),1)</calculatedColumnFormula>
    </tableColumn>
    <tableColumn id="12" xr3:uid="{541D5A61-D976-414E-9F1A-426BAF361BE9}" name="Opening Acc. Dep." totalsRowFunction="sum" dataDxfId="263" totalsRowDxfId="189">
      <calculatedColumnFormula>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calculatedColumnFormula>
    </tableColumn>
    <tableColumn id="13" xr3:uid="{B011860E-9035-44E6-9439-708382FA3E45}" name="Opening NBV" totalsRowFunction="sum" dataDxfId="262" totalsRowDxfId="188">
      <calculatedColumnFormula>IF(tblFA[[#This Row],[Acquisition Date]]&gt;CompDate,0,tblFA[[#This Row],[Cost]]-tblFA[[#This Row],[Opening Acc. Dep.]])</calculatedColumnFormula>
    </tableColumn>
    <tableColumn id="14" xr3:uid="{B156F55C-4666-41CD-9DE9-2E6F6EADB131}" name="Jan" totalsRowFunction="sum" dataDxfId="261" totalsRowDxfId="187">
      <calculatedColumnFormula>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calculatedColumnFormula>
    </tableColumn>
    <tableColumn id="15" xr3:uid="{7DAC5504-10CF-4914-ABF8-93FF7E270BF5}" name="Feb" totalsRowFunction="sum" dataDxfId="260" totalsRowDxfId="186">
      <calculatedColumnFormula>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calculatedColumnFormula>
    </tableColumn>
    <tableColumn id="16" xr3:uid="{50548155-7970-4770-8064-C191A40ACB15}" name="Mar" totalsRowFunction="sum" dataDxfId="259" totalsRowDxfId="185">
      <calculatedColumnFormula>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calculatedColumnFormula>
    </tableColumn>
    <tableColumn id="17" xr3:uid="{A9224956-9645-408F-9D63-3C4DE7BB9791}" name="Apr" totalsRowFunction="sum" dataDxfId="258" totalsRowDxfId="184">
      <calculatedColumnFormula>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calculatedColumnFormula>
    </tableColumn>
    <tableColumn id="18" xr3:uid="{41D48523-A829-4C99-B098-1331F4D3125B}" name="May" totalsRowFunction="sum" dataDxfId="257" totalsRowDxfId="183">
      <calculatedColumnFormula>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calculatedColumnFormula>
    </tableColumn>
    <tableColumn id="19" xr3:uid="{40EEA40E-A020-48C5-9556-D8D3273605DE}" name="Jun" totalsRowFunction="sum" dataDxfId="256" totalsRowDxfId="182">
      <calculatedColumnFormula>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calculatedColumnFormula>
    </tableColumn>
    <tableColumn id="20" xr3:uid="{2E6A236E-DF61-4E8A-8047-0FE46E96394A}" name="Jul" totalsRowFunction="sum" dataDxfId="255" totalsRowDxfId="181">
      <calculatedColumnFormula>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calculatedColumnFormula>
    </tableColumn>
    <tableColumn id="21" xr3:uid="{95F0F684-428A-4F25-AE8F-0CAC52AB676F}" name="Aug" totalsRowFunction="sum" dataDxfId="254" totalsRowDxfId="180">
      <calculatedColumnFormula>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calculatedColumnFormula>
    </tableColumn>
    <tableColumn id="22" xr3:uid="{2D513C73-4FC3-47CD-8115-E9F35F7E9BFD}" name="Sep" totalsRowFunction="sum" dataDxfId="253" totalsRowDxfId="179">
      <calculatedColumnFormula>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calculatedColumnFormula>
    </tableColumn>
    <tableColumn id="23" xr3:uid="{A5E02EA2-4A3A-411F-BB88-240A5F04A1AF}" name="Oct" totalsRowFunction="sum" dataDxfId="252" totalsRowDxfId="178">
      <calculatedColumnFormula>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calculatedColumnFormula>
    </tableColumn>
    <tableColumn id="24" xr3:uid="{686ED270-7937-422E-B9B4-60A0DE18C79C}" name="Nov" totalsRowFunction="sum" dataDxfId="251" totalsRowDxfId="177">
      <calculatedColumnFormula>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calculatedColumnFormula>
    </tableColumn>
    <tableColumn id="25" xr3:uid="{1E0DCF2F-DE45-49AF-9463-5FA16ADCAE64}" name="Dec" totalsRowFunction="sum" dataDxfId="250" totalsRowDxfId="176">
      <calculatedColumnFormula>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calculatedColumnFormula>
    </tableColumn>
    <tableColumn id="26" xr3:uid="{BA06ED7B-558A-4DE2-983A-9087B3DD2452}" name="YTD Depreciation" totalsRowFunction="sum" dataDxfId="249" totalsRowDxfId="175">
      <calculatedColumnFormula array="1">SUMPRODUCT(($O$14:$Z$14&lt;=CutOff)*tblFA[[#This Row],[Jan]:[Dec]])</calculatedColumnFormula>
    </tableColumn>
    <tableColumn id="27" xr3:uid="{883B3435-3559-4EF8-ABD8-60AC012D96CF}" name="Acc. Dep. at Period End" totalsRowFunction="sum" dataDxfId="248" totalsRowDxfId="174">
      <calculatedColumnFormula>IF(tblFA[[#This Row],[Acquisition Date]]&gt;PEnd,0,tblFA[[#This Row],[Opening Acc. Dep.]]+tblFA[[#This Row],[YTD Depreciation]])</calculatedColumnFormula>
    </tableColumn>
    <tableColumn id="28" xr3:uid="{1D8102A9-0451-490E-BB25-4FAF72FA213E}" name="Cost at Period End" totalsRowFunction="sum" dataDxfId="247" totalsRowDxfId="173">
      <calculatedColumnFormula>IF(tblFA[[#This Row],[Acquisition Date]]&lt;=PEnd,tblFA[[#This Row],[Cost]],0)</calculatedColumnFormula>
    </tableColumn>
    <tableColumn id="29" xr3:uid="{609CEF9D-4242-45E2-AE65-F126C38E112F}" name="NBV at Period End" totalsRowFunction="sum" dataDxfId="246" totalsRowDxfId="172">
      <calculatedColumnFormula>tblFA[[#This Row],[Cost at Period End]]-tblFA[[#This Row],[Acc. Dep. at Period End]]</calculatedColumnFormula>
    </tableColumn>
    <tableColumn id="30" xr3:uid="{22AB911C-CDC3-4ECF-8A64-E718D83B8F86}" name="Status" totalsRowFunction="count" dataDxfId="275" totalsRowDxfId="265">
      <calculatedColumnFormula>IF(tblFA[[#This Row],[Acquisition Date]]&gt;PEnd,"Not yet acquired",IF(tblFA[[#This Row],[Useful Life (yrs)]]=0,"Not depreciated",IF(tblFA[[#This Row],[NBV at Period End]]&lt;=0,"Fully depreciated","Active")))</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284BAA3-3256-4F9E-8C9E-0DC43BF93C15}" name="tblPrepaidCat" displayName="tblPrepaidCat" ref="B7:D10" totalsRowShown="0" headerRowDxfId="234" dataDxfId="235">
  <autoFilter ref="B7:D10" xr:uid="{F284BAA3-3256-4F9E-8C9E-0DC43BF93C15}"/>
  <tableColumns count="3">
    <tableColumn id="1" xr3:uid="{A3AE9C5A-9E10-4913-A824-C270CD3FBB05}" name="Category" dataDxfId="238"/>
    <tableColumn id="2" xr3:uid="{25C3ABF6-45A4-4E2C-AF6E-51C7BD1AFB63}" name="Prepaid Account" dataDxfId="237"/>
    <tableColumn id="3" xr3:uid="{37D286FC-E4C0-4C02-B9F8-2E8139C07C0E}" name="Expense Account" dataDxfId="236"/>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792EA5-FEE5-4093-9DA5-EB037527B588}" name="tblPrepaid" displayName="tblPrepaid" ref="B15:AC24" totalsRowCount="1" headerRowDxfId="193" dataDxfId="230">
  <autoFilter ref="B15:AC23" xr:uid="{9E792EA5-FEE5-4093-9DA5-EB037527B588}"/>
  <tableColumns count="28">
    <tableColumn id="1" xr3:uid="{7B85D700-3CE2-485D-A125-B36C814BB5C3}" name="Prepaid ID" totalsRowLabel="TOTAL" dataDxfId="201" totalsRowDxfId="229"/>
    <tableColumn id="2" xr3:uid="{84BA7F44-DC9A-4F8D-BD34-6AFB04AA43C5}" name="Description" dataDxfId="200" totalsRowDxfId="228"/>
    <tableColumn id="3" xr3:uid="{022856EB-C934-460D-ABBB-B8BECECEB6DF}" name="Category" dataDxfId="199" totalsRowDxfId="227"/>
    <tableColumn id="4" xr3:uid="{5AB9D690-FD5D-4013-A82C-27F1D46C7791}" name="Vendor ID" dataDxfId="198" totalsRowDxfId="226"/>
    <tableColumn id="5" xr3:uid="{C83A4589-AA71-4C1B-B53F-EB1A42470028}" name="Prepaid Account" dataDxfId="233" totalsRowDxfId="225">
      <calculatedColumnFormula>_xlfn.XLOOKUP(tblPrepaid[[#This Row],[Category]],tblPrepaidCat[Category],tblPrepaidCat[Prepaid Account])</calculatedColumnFormula>
    </tableColumn>
    <tableColumn id="6" xr3:uid="{94298E8B-2610-426D-88F7-6F97BCC82EDB}" name="Expense Account" dataDxfId="232" totalsRowDxfId="224">
      <calculatedColumnFormula>_xlfn.XLOOKUP(tblPrepaid[[#This Row],[Category]],tblPrepaidCat[Category],tblPrepaidCat[Expense Account])</calculatedColumnFormula>
    </tableColumn>
    <tableColumn id="7" xr3:uid="{4B214C16-7995-434A-805C-982DE8DCD02C}" name="Payment Date" dataDxfId="197" totalsRowDxfId="223"/>
    <tableColumn id="8" xr3:uid="{54E4D6C4-6FAE-41A7-A2A0-143E60C5D10C}" name="Amount" totalsRowFunction="sum" dataDxfId="196" totalsRowDxfId="171"/>
    <tableColumn id="9" xr3:uid="{0DF2CB2F-39BB-4495-8CB7-C191B920E5C0}" name="Coverage Start" dataDxfId="195" totalsRowDxfId="222"/>
    <tableColumn id="10" xr3:uid="{C2049CA4-3C16-4E91-B4EC-98D47236F095}" name="Months" dataDxfId="194" totalsRowDxfId="221"/>
    <tableColumn id="11" xr3:uid="{1F56DD43-6DC8-484F-8FFB-F84D8766FD12}" name="Coverage End" dataDxfId="218" totalsRowDxfId="220">
      <calculatedColumnFormula>EOMONTH(tblPrepaid[[#This Row],[Coverage Start]],tblPrepaid[[#This Row],[Months]]-1)</calculatedColumnFormula>
    </tableColumn>
    <tableColumn id="12" xr3:uid="{61C788F7-8225-41BF-B6FE-75C69AC4B4C2}" name="Monthly Amortization" dataDxfId="217" totalsRowDxfId="170">
      <calculatedColumnFormula>ROUND(tblPrepaid[[#This Row],[Amount]]/tblPrepaid[[#This Row],[Months]],0)</calculatedColumnFormula>
    </tableColumn>
    <tableColumn id="13" xr3:uid="{5BCFDA1C-462C-4079-9610-5C8351DCC702}" name="Opening Balance" totalsRowFunction="sum" dataDxfId="216" totalsRowDxfId="169">
      <calculatedColumnFormula>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calculatedColumnFormula>
    </tableColumn>
    <tableColumn id="14" xr3:uid="{911BCEDE-54DE-454D-98A6-B3C2F34926B2}" name="Jan" totalsRowFunction="sum" dataDxfId="215" totalsRowDxfId="168">
      <calculatedColumnFormula>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calculatedColumnFormula>
    </tableColumn>
    <tableColumn id="15" xr3:uid="{FBAC1A70-8B21-4477-8D51-8B750A3C57C9}" name="Feb" totalsRowFunction="sum" dataDxfId="214" totalsRowDxfId="167">
      <calculatedColumnFormula>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calculatedColumnFormula>
    </tableColumn>
    <tableColumn id="16" xr3:uid="{F853902E-CE86-40C5-ACD0-2EF098F27B97}" name="Mar" totalsRowFunction="sum" dataDxfId="213" totalsRowDxfId="166">
      <calculatedColumnFormula>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calculatedColumnFormula>
    </tableColumn>
    <tableColumn id="17" xr3:uid="{F92E45D9-7AB2-42C4-9981-8A5354C15BB1}" name="Apr" totalsRowFunction="sum" dataDxfId="212" totalsRowDxfId="165">
      <calculatedColumnFormula>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calculatedColumnFormula>
    </tableColumn>
    <tableColumn id="18" xr3:uid="{28D88A66-D9C3-4D86-9E84-9BF8EBCCD2C1}" name="May" totalsRowFunction="sum" dataDxfId="211" totalsRowDxfId="164">
      <calculatedColumnFormula>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calculatedColumnFormula>
    </tableColumn>
    <tableColumn id="19" xr3:uid="{1219B0D5-79AB-48A8-9747-5C702E1770DD}" name="Jun" totalsRowFunction="sum" dataDxfId="210" totalsRowDxfId="163">
      <calculatedColumnFormula>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calculatedColumnFormula>
    </tableColumn>
    <tableColumn id="20" xr3:uid="{A3DF0829-DCE9-4D74-9AC6-B77D20492B15}" name="Jul" totalsRowFunction="sum" dataDxfId="209" totalsRowDxfId="162">
      <calculatedColumnFormula>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calculatedColumnFormula>
    </tableColumn>
    <tableColumn id="21" xr3:uid="{3D782844-1C49-4596-BD18-CB448B64E963}" name="Aug" totalsRowFunction="sum" dataDxfId="208" totalsRowDxfId="161">
      <calculatedColumnFormula>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calculatedColumnFormula>
    </tableColumn>
    <tableColumn id="22" xr3:uid="{34D86B4B-E6E2-4240-AE3C-02509B3C80B0}" name="Sep" totalsRowFunction="sum" dataDxfId="207" totalsRowDxfId="160">
      <calculatedColumnFormula>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calculatedColumnFormula>
    </tableColumn>
    <tableColumn id="23" xr3:uid="{35F0AB58-7926-4E3B-BF28-0277FB2D7324}" name="Oct" totalsRowFunction="sum" dataDxfId="206" totalsRowDxfId="159">
      <calculatedColumnFormula>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calculatedColumnFormula>
    </tableColumn>
    <tableColumn id="24" xr3:uid="{42C3E609-A3B5-485D-B35D-A4D28EC60384}" name="Nov" totalsRowFunction="sum" dataDxfId="205" totalsRowDxfId="158">
      <calculatedColumnFormula>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calculatedColumnFormula>
    </tableColumn>
    <tableColumn id="25" xr3:uid="{7D86D25B-64B7-4DAE-8AD2-FB442A473136}" name="Dec" totalsRowFunction="sum" dataDxfId="204" totalsRowDxfId="157">
      <calculatedColumnFormula>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calculatedColumnFormula>
    </tableColumn>
    <tableColumn id="26" xr3:uid="{AEED0B40-4FDA-4B19-885E-4B27FEE647AD}" name="YTD Amortization" totalsRowFunction="sum" dataDxfId="203" totalsRowDxfId="156">
      <calculatedColumnFormula array="1">SUMPRODUCT(($O$14:$Z$14&lt;=CutOff)*tblPrepaid[[#This Row],[Jan]:[Dec]])</calculatedColumnFormula>
    </tableColumn>
    <tableColumn id="27" xr3:uid="{3AEC7452-E40F-4508-8692-C708A0645468}" name="Balance at Period End" totalsRowFunction="sum" dataDxfId="202" totalsRowDxfId="155">
      <calculatedColumnFormula>IF(tblPrepaid[[#This Row],[Payment Date]]&lt;=CompDate,tblPrepaid[[#This Row],[Opening Balance]]-tblPrepaid[[#This Row],[YTD Amortization]],IF(tblPrepaid[[#This Row],[Payment Date]]&lt;=PEnd,tblPrepaid[[#This Row],[Amount]]-tblPrepaid[[#This Row],[YTD Amortization]],0))</calculatedColumnFormula>
    </tableColumn>
    <tableColumn id="28" xr3:uid="{02574083-1FAD-4DA3-B75B-6ABCC39F77A5}" name="Status" totalsRowFunction="count" dataDxfId="231" totalsRowDxfId="219">
      <calculatedColumnFormula>IF(tblPrepaid[[#This Row],[Payment Date]]&gt;PEnd,"Not yet paid",IF(tblPrepaid[[#This Row],[Balance at Period End]]&lt;=0,"Fully amortized",IF(tblPrepaid[[#This Row],[Coverage Start]]&gt;PEnd,"Paid - coverage not started","Active")))</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8CD7B0B-FF4C-4AE2-8C15-697065149856}" name="tblGJ" displayName="tblGJ" ref="B6:M981" totalsRowShown="0" headerRowDxfId="66" dataDxfId="67">
  <autoFilter ref="B6:M981" xr:uid="{68CD7B0B-FF4C-4AE2-8C15-697065149856}"/>
  <tableColumns count="12">
    <tableColumn id="1" xr3:uid="{9E68D83E-7F61-472D-AE26-5D53E00E9938}" name="Date" dataDxfId="65"/>
    <tableColumn id="2" xr3:uid="{C7E53C94-CE49-4494-A669-FF65BA4A3989}" name="Voucher No" dataDxfId="77"/>
    <tableColumn id="3" xr3:uid="{6F51ED58-7B4C-4865-B4F4-83B10630143E}" name="Account Code" dataDxfId="76"/>
    <tableColumn id="4" xr3:uid="{D5AAD53A-41D9-41BF-BDBC-C00683800023}" name="Account Name" dataDxfId="75">
      <calculatedColumnFormula>_xlfn.XLOOKUP(tblGJ[[#This Row],[Account Code]],tblCOA[Code],tblCOA[Account Name],"⚠ Invalid account")</calculatedColumnFormula>
    </tableColumn>
    <tableColumn id="5" xr3:uid="{84ECDC3A-11D2-423D-BCE5-915E760E056F}" name="Description" dataDxfId="74"/>
    <tableColumn id="6" xr3:uid="{389C123B-AB8F-4413-AB59-FDDD72FCEA8C}" name="Debit" dataDxfId="73"/>
    <tableColumn id="7" xr3:uid="{B4C4F6C6-CD82-4E11-9866-D24F7A10560B}" name="Credit" dataDxfId="72"/>
    <tableColumn id="8" xr3:uid="{821D9215-392D-4F46-B001-454B1963D2BB}" name="Source" dataDxfId="71"/>
    <tableColumn id="9" xr3:uid="{FF22920B-1A00-478A-BC5F-394F52C283BC}" name="Month" dataDxfId="70">
      <calculatedColumnFormula>MONTH(tblGJ[[#This Row],[Date]])</calculatedColumnFormula>
    </tableColumn>
    <tableColumn id="10" xr3:uid="{D4401A57-F3EF-4946-80F9-FBB06EC0C71A}" name="FS Line" dataDxfId="69">
      <calculatedColumnFormula>_xlfn.XLOOKUP(tblGJ[[#This Row],[Account Code]],tblCOA[Code],tblCOA[FS Line],"")</calculatedColumnFormula>
    </tableColumn>
    <tableColumn id="11" xr3:uid="{4A11B705-8AEB-40E6-A525-CEC4AEDD88CB}" name="Bank Cleared Date" dataDxfId="43">
      <calculatedColumnFormula>IF(OR(tblGJ[[#This Row],[Account Code]]=1120,tblGJ[[#This Row],[Account Code]]=1130),_xlfn.MINIFS(tblBank[Value Date],tblBank[Reference],tblGJ[[#This Row],[Voucher No]],tblBank[Account Code],tblGJ[[#This Row],[Account Code]]),"")</calculatedColumnFormula>
    </tableColumn>
    <tableColumn id="12" xr3:uid="{6EEF00EE-11C8-41EF-99FB-9F4D97759FAB}" name="In Period" dataDxfId="68">
      <calculatedColumnFormula>IF(tblGJ[[#This Row],[Date]]&lt;=PEnd,"Yes","No")</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85EA929-3C8E-48CE-907F-B916C700F810}" name="tblTaxAdj" displayName="tblTaxAdj" ref="B75:F77" totalsRowShown="0" headerRowDxfId="38" dataDxfId="39">
  <autoFilter ref="B75:F77" xr:uid="{C85EA929-3C8E-48CE-907F-B916C700F810}"/>
  <tableColumns count="5">
    <tableColumn id="1" xr3:uid="{22CB3E6B-4723-406D-8582-95529B8953C3}" name="Description" dataDxfId="42"/>
    <tableColumn id="2" xr3:uid="{749C0F66-6D7F-47B6-8B91-2DDAB837F34D}" name="Account Code" dataDxfId="41"/>
    <tableColumn id="3" xr3:uid="{5773AF74-43BC-4CC6-847D-FE045EFD039E}" name="Account Name" dataDxfId="40">
      <calculatedColumnFormula>_xlfn.XLOOKUP(C76,tblCOA[Code],tblCOA[Account Name])</calculatedColumnFormula>
    </tableColumn>
    <tableColumn id="4" xr3:uid="{C13FB71F-57F0-4AA4-AECC-7BA4489215B0}" name="Debit" dataDxfId="37">
      <calculatedColumnFormula>Q69</calculatedColumnFormula>
    </tableColumn>
    <tableColumn id="5" xr3:uid="{844E964D-B616-455B-B5F8-E9496F2164DB}" name="Credit" dataDxfId="36"/>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7993822-5F76-4B8A-B15B-957E023261D1}" name="tblBankAcc" displayName="tblBankAcc" ref="B6:F8" totalsRowShown="0" headerRowDxfId="44" dataDxfId="61">
  <autoFilter ref="B6:F8" xr:uid="{77993822-5F76-4B8A-B15B-957E023261D1}"/>
  <tableColumns count="5">
    <tableColumn id="1" xr3:uid="{D3B98A07-1C70-4C81-9B16-E3D16514D16D}" name="Account Code" dataDxfId="64"/>
    <tableColumn id="2" xr3:uid="{23FF3946-1C5B-4475-B9CC-E41A566548F3}" name="Bank" dataDxfId="63"/>
    <tableColumn id="3" xr3:uid="{791781F3-F1F1-4FE0-BD1F-97AA57F62A8E}" name="Account No" dataDxfId="62"/>
    <tableColumn id="4" xr3:uid="{070B0B29-8DC5-4C6C-92E1-AC1E95DAF4E4}" name="Opening Balance per Statement" dataDxfId="55"/>
    <tableColumn id="5" xr3:uid="{E4DF7B9C-1325-43BB-80A2-1DE774E1B04B}" name="Closing Balance per Statement" dataDxfId="56">
      <calculatedColumnFormula>E7+SUMIFS(tblBank[Money In],tblBank[Account Code],B7)-SUMIFS(tblBank[Money Out],tblBank[Account Code],B7)</calculatedColumnFormula>
    </tableColumn>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49AB058-11F3-47FC-9FB7-34E0E589A25A}" name="tblBank" displayName="tblBank" ref="B11:M262" totalsRowShown="0" headerRowDxfId="57" dataDxfId="58">
  <autoFilter ref="B11:M262" xr:uid="{C49AB058-11F3-47FC-9FB7-34E0E589A25A}"/>
  <tableColumns count="12">
    <tableColumn id="1" xr3:uid="{641B17B7-AA92-440A-AB48-813A54A161FC}" name="Seq" dataDxfId="52"/>
    <tableColumn id="2" xr3:uid="{B1132613-6FF9-4B88-AFD6-D447C2DFABF8}" name="Bank" dataDxfId="51"/>
    <tableColumn id="3" xr3:uid="{B47F7438-5EE6-4901-B0D0-43840058629A}" name="Account Code" dataDxfId="50"/>
    <tableColumn id="4" xr3:uid="{DC2824FD-0B34-43E1-ADA6-68A8B4B57C9D}" name="Value Date" dataDxfId="49"/>
    <tableColumn id="5" xr3:uid="{96B71548-1D9B-4E79-B8A6-1CF0BDE547D5}" name="Description" dataDxfId="48"/>
    <tableColumn id="6" xr3:uid="{D502EFA0-5528-48AF-AAEF-5567363827FF}" name="Reference" dataDxfId="47"/>
    <tableColumn id="7" xr3:uid="{BBE5AD95-EB59-4AA2-99EE-905A8F996F29}" name="Money In" dataDxfId="46"/>
    <tableColumn id="8" xr3:uid="{D872296D-D915-4A0C-8B65-6732E9C97956}" name="Money Out" dataDxfId="45"/>
    <tableColumn id="9" xr3:uid="{E2CD1907-1FBE-4494-ABBA-77663898570C}" name="Balance" dataDxfId="54">
      <calculatedColumnFormula>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calculatedColumnFormula>
    </tableColumn>
    <tableColumn id="10" xr3:uid="{C4CE994B-048B-47C2-B636-1D255FD70E23}" name="Month" dataDxfId="60">
      <calculatedColumnFormula>MONTH(tblBank[[#This Row],[Value Date]])</calculatedColumnFormula>
    </tableColumn>
    <tableColumn id="11" xr3:uid="{82FE1113-9213-49ED-91A7-959A88526A97}" name="GJ Amount" dataDxfId="53">
      <calculatedColumnFormula>SUMIFS(tblGJ[Debit],tblGJ[Voucher No],tblBank[[#This Row],[Reference]],tblGJ[Account Code],tblBank[[#This Row],[Account Code]])-SUMIFS(tblGJ[Credit],tblGJ[Voucher No],tblBank[[#This Row],[Reference]],tblGJ[Account Code],tblBank[[#This Row],[Account Code]])</calculatedColumnFormula>
    </tableColumn>
    <tableColumn id="12" xr3:uid="{E5C56851-E061-43EC-B15D-108BA0DD37A0}" name="Status" dataDxfId="59">
      <calculatedColumnFormula>IF(COUNTIFS(tblGJ[Voucher No],tblBank[[#This Row],[Reference]],tblGJ[Account Code],tblBank[[#This Row],[Account Code]])=0,"✖ Not in GJ",IF(ABS(tblBank[[#This Row],[GJ Amount]]-(tblBank[[#This Row],[Money In]]-tblBank[[#This Row],[Money Out]]))&lt;1,"✔ Recorded","⚠ Amount mismatch"))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F78843-1BC5-4C24-90FC-6778D16B1A1A}">
  <we:reference id="wa200010725" version="1.0.0.1" store="en-US" storeType="OMEX"/>
  <we:alternateReferences>
    <we:reference id="WA200010725" version="1.0.0.1" store="" storeType="OMEX"/>
  </we:alternateReferences>
  <we:properties>
    <we:property name="claude.fileId" value="&quot;24f0ddd0-6421-4461-82e9-b57c66b385d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vmlDrawing" Target="../drawings/vmlDrawing2.v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5.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6D37-3A7E-4DEF-A7C6-6495E7062A21}">
  <sheetPr>
    <tabColor rgb="FF0F172A"/>
  </sheetPr>
  <dimension ref="A1:AZ120"/>
  <sheetViews>
    <sheetView showGridLines="0" tabSelected="1" topLeftCell="A3" workbookViewId="0">
      <selection activeCell="D8" sqref="D8:E8"/>
    </sheetView>
  </sheetViews>
  <sheetFormatPr defaultRowHeight="14.5" x14ac:dyDescent="0.35"/>
  <cols>
    <col min="1" max="1" width="1.81640625" style="1" customWidth="1"/>
    <col min="2" max="17" width="10.54296875" style="1" customWidth="1"/>
    <col min="18" max="18" width="1.81640625" style="1" customWidth="1"/>
    <col min="19" max="52" width="8.7265625" style="1"/>
  </cols>
  <sheetData>
    <row r="1" spans="1:18" ht="8" customHeight="1" x14ac:dyDescent="0.35">
      <c r="A1" s="19"/>
      <c r="B1" s="19"/>
      <c r="C1" s="19"/>
      <c r="D1" s="19"/>
      <c r="E1" s="19"/>
      <c r="F1" s="19"/>
      <c r="G1" s="19"/>
      <c r="H1" s="19"/>
      <c r="I1" s="19"/>
      <c r="J1" s="19"/>
      <c r="K1" s="19"/>
      <c r="L1" s="19"/>
      <c r="M1" s="19"/>
      <c r="N1" s="19"/>
      <c r="O1" s="19"/>
      <c r="P1" s="19"/>
      <c r="Q1" s="19"/>
      <c r="R1" s="19"/>
    </row>
    <row r="2" spans="1:18" ht="28" customHeight="1" x14ac:dyDescent="0.55000000000000004">
      <c r="A2" s="19"/>
      <c r="B2" s="33" t="str">
        <f>UPPER(CompanyName)</f>
        <v>PT NUSANTARA SEJAHTERA ABADI</v>
      </c>
      <c r="C2" s="33"/>
      <c r="D2" s="33"/>
      <c r="E2" s="33"/>
      <c r="F2" s="33"/>
      <c r="G2" s="33"/>
      <c r="H2" s="33"/>
      <c r="I2" s="33"/>
      <c r="J2" s="33"/>
      <c r="K2" s="33"/>
      <c r="L2" s="33"/>
      <c r="M2" s="19"/>
      <c r="N2" s="35" t="str">
        <f>"Controls: "&amp;ControlStatus</f>
        <v>Controls: ✔ ALL CONTROLS OK</v>
      </c>
      <c r="O2" s="35"/>
      <c r="P2" s="35"/>
      <c r="Q2" s="35"/>
      <c r="R2" s="19"/>
    </row>
    <row r="3" spans="1:18" ht="18" customHeight="1" x14ac:dyDescent="0.35">
      <c r="A3" s="19"/>
      <c r="B3" s="34" t="str">
        <f>"Financial Dashboard • "&amp;Industry&amp;" — "&amp;IP_Desc&amp;" • "&amp;PeriodTitle</f>
        <v>Financial Dashboard • Retail — Retail of fashion, lifestyle &amp; consumer electronics • For the Period from 1 January to 31 October 2026</v>
      </c>
      <c r="C3" s="34"/>
      <c r="D3" s="34"/>
      <c r="E3" s="34"/>
      <c r="F3" s="34"/>
      <c r="G3" s="34"/>
      <c r="H3" s="34"/>
      <c r="I3" s="34"/>
      <c r="J3" s="34"/>
      <c r="K3" s="34"/>
      <c r="L3" s="34"/>
      <c r="M3" s="19"/>
      <c r="N3" s="36" t="s">
        <v>7023</v>
      </c>
      <c r="O3" s="36"/>
      <c r="P3" s="223">
        <v>46303</v>
      </c>
      <c r="Q3" s="222"/>
      <c r="R3" s="19"/>
    </row>
    <row r="4" spans="1:18" x14ac:dyDescent="0.35">
      <c r="A4" s="19"/>
      <c r="B4" s="19"/>
      <c r="C4" s="19"/>
      <c r="D4" s="19"/>
      <c r="E4" s="19"/>
      <c r="F4" s="19"/>
      <c r="G4" s="19"/>
      <c r="H4" s="19"/>
      <c r="I4" s="19"/>
      <c r="J4" s="19"/>
      <c r="K4" s="19"/>
      <c r="L4" s="19"/>
      <c r="M4" s="19"/>
      <c r="N4" s="19"/>
      <c r="O4" s="19"/>
      <c r="P4" s="19"/>
      <c r="Q4" s="19"/>
      <c r="R4" s="19"/>
    </row>
    <row r="5" spans="1:18" ht="20" customHeight="1" thickBot="1" x14ac:dyDescent="0.4">
      <c r="A5" s="19"/>
      <c r="B5" s="37" t="s">
        <v>7024</v>
      </c>
      <c r="C5" s="37"/>
      <c r="D5" s="37"/>
      <c r="E5" s="37"/>
      <c r="F5" s="37"/>
      <c r="G5" s="37"/>
      <c r="H5" s="37"/>
      <c r="I5" s="37"/>
      <c r="J5" s="37"/>
      <c r="K5" s="37"/>
      <c r="L5" s="37"/>
      <c r="M5" s="37"/>
      <c r="N5" s="37"/>
      <c r="O5" s="37"/>
      <c r="P5" s="37"/>
      <c r="Q5" s="37"/>
      <c r="R5" s="19"/>
    </row>
    <row r="6" spans="1:18" ht="24" customHeight="1" thickBot="1" x14ac:dyDescent="0.4">
      <c r="A6" s="19"/>
      <c r="B6" s="224" t="s">
        <v>7025</v>
      </c>
      <c r="C6" s="225"/>
      <c r="D6" s="224" t="s">
        <v>7026</v>
      </c>
      <c r="E6" s="225"/>
      <c r="F6" s="224" t="s">
        <v>7027</v>
      </c>
      <c r="G6" s="225"/>
      <c r="H6" s="226" t="s">
        <v>7028</v>
      </c>
      <c r="I6" s="227"/>
      <c r="J6" s="226" t="s">
        <v>7029</v>
      </c>
      <c r="K6" s="227"/>
      <c r="L6" s="226" t="s">
        <v>7030</v>
      </c>
      <c r="M6" s="227"/>
      <c r="N6" s="226" t="s">
        <v>7031</v>
      </c>
      <c r="O6" s="227"/>
      <c r="P6" s="228" t="s">
        <v>7032</v>
      </c>
      <c r="Q6" s="230"/>
      <c r="R6" s="19"/>
    </row>
    <row r="7" spans="1:18" ht="5" customHeight="1" thickTop="1" thickBot="1" x14ac:dyDescent="0.4">
      <c r="A7" s="19"/>
      <c r="B7" s="19"/>
      <c r="C7" s="19"/>
      <c r="D7" s="19"/>
      <c r="E7" s="19"/>
      <c r="F7" s="19"/>
      <c r="G7" s="19"/>
      <c r="H7" s="19"/>
      <c r="I7" s="19"/>
      <c r="J7" s="19"/>
      <c r="K7" s="19"/>
      <c r="L7" s="19"/>
      <c r="M7" s="19"/>
      <c r="N7" s="19"/>
      <c r="O7" s="19"/>
      <c r="P7" s="19"/>
      <c r="Q7" s="19"/>
      <c r="R7" s="19"/>
    </row>
    <row r="8" spans="1:18" ht="24" customHeight="1" thickBot="1" x14ac:dyDescent="0.4">
      <c r="A8" s="19"/>
      <c r="B8" s="228" t="s">
        <v>7033</v>
      </c>
      <c r="C8" s="229"/>
      <c r="D8" s="228" t="s">
        <v>7034</v>
      </c>
      <c r="E8" s="229"/>
      <c r="F8" s="228" t="s">
        <v>7035</v>
      </c>
      <c r="G8" s="229"/>
      <c r="H8" s="228" t="s">
        <v>7036</v>
      </c>
      <c r="I8" s="229"/>
      <c r="J8" s="231" t="s">
        <v>7037</v>
      </c>
      <c r="K8" s="232"/>
      <c r="L8" s="231" t="s">
        <v>7038</v>
      </c>
      <c r="M8" s="232"/>
      <c r="N8" s="233" t="s">
        <v>7039</v>
      </c>
      <c r="O8" s="234"/>
      <c r="P8" s="233" t="s">
        <v>7040</v>
      </c>
      <c r="Q8" s="235"/>
      <c r="R8" s="19"/>
    </row>
    <row r="9" spans="1:18" ht="5" customHeight="1" thickTop="1" thickBot="1" x14ac:dyDescent="0.4">
      <c r="A9" s="19"/>
      <c r="B9" s="19"/>
      <c r="C9" s="19"/>
      <c r="D9" s="19"/>
      <c r="E9" s="19"/>
      <c r="F9" s="19"/>
      <c r="G9" s="19"/>
      <c r="H9" s="19"/>
      <c r="I9" s="19"/>
      <c r="J9" s="19"/>
      <c r="K9" s="19"/>
      <c r="L9" s="19"/>
      <c r="M9" s="19"/>
      <c r="N9" s="19"/>
      <c r="O9" s="19"/>
      <c r="P9" s="19"/>
      <c r="Q9" s="19"/>
      <c r="R9" s="19"/>
    </row>
    <row r="10" spans="1:18" ht="24" customHeight="1" thickBot="1" x14ac:dyDescent="0.4">
      <c r="A10" s="19"/>
      <c r="B10" s="233" t="s">
        <v>7041</v>
      </c>
      <c r="C10" s="234"/>
      <c r="D10" s="233" t="s">
        <v>7042</v>
      </c>
      <c r="E10" s="234"/>
      <c r="F10" s="233" t="s">
        <v>7043</v>
      </c>
      <c r="G10" s="234"/>
      <c r="H10" s="233" t="s">
        <v>7044</v>
      </c>
      <c r="I10" s="234"/>
      <c r="J10" s="233" t="s">
        <v>7045</v>
      </c>
      <c r="K10" s="234"/>
      <c r="L10" s="236" t="s">
        <v>7046</v>
      </c>
      <c r="M10" s="237"/>
      <c r="N10" s="236" t="s">
        <v>7047</v>
      </c>
      <c r="O10" s="237"/>
      <c r="P10" s="236" t="s">
        <v>7048</v>
      </c>
      <c r="Q10" s="238"/>
      <c r="R10" s="19"/>
    </row>
    <row r="11" spans="1:18" ht="5" customHeight="1" thickTop="1" thickBot="1" x14ac:dyDescent="0.4">
      <c r="A11" s="19"/>
      <c r="B11" s="19"/>
      <c r="C11" s="19"/>
      <c r="D11" s="19"/>
      <c r="E11" s="19"/>
      <c r="F11" s="19"/>
      <c r="G11" s="19"/>
      <c r="H11" s="19"/>
      <c r="I11" s="19"/>
      <c r="J11" s="19"/>
      <c r="K11" s="19"/>
      <c r="L11" s="19"/>
      <c r="M11" s="19"/>
      <c r="N11" s="19"/>
      <c r="O11" s="19"/>
      <c r="P11" s="19"/>
      <c r="Q11" s="19"/>
      <c r="R11" s="19"/>
    </row>
    <row r="12" spans="1:18" ht="24" customHeight="1" thickBot="1" x14ac:dyDescent="0.4">
      <c r="A12" s="19"/>
      <c r="B12" s="239" t="s">
        <v>7049</v>
      </c>
      <c r="C12" s="240"/>
      <c r="D12" s="239" t="s">
        <v>7050</v>
      </c>
      <c r="E12" s="240"/>
      <c r="F12" s="239" t="s">
        <v>7051</v>
      </c>
      <c r="G12" s="240"/>
      <c r="H12" s="239" t="s">
        <v>7052</v>
      </c>
      <c r="I12" s="241"/>
      <c r="J12" s="19"/>
      <c r="K12" s="19"/>
      <c r="L12" s="19"/>
      <c r="M12" s="19"/>
      <c r="N12" s="19"/>
      <c r="O12" s="19"/>
      <c r="P12" s="19"/>
      <c r="Q12" s="19"/>
      <c r="R12" s="19"/>
    </row>
    <row r="13" spans="1:18" ht="15" thickTop="1" x14ac:dyDescent="0.35">
      <c r="A13" s="19"/>
      <c r="B13" s="242" t="s">
        <v>7053</v>
      </c>
      <c r="C13" s="242"/>
      <c r="D13" s="242"/>
      <c r="E13" s="242"/>
      <c r="F13" s="242"/>
      <c r="G13" s="242"/>
      <c r="H13" s="242"/>
      <c r="I13" s="242"/>
      <c r="J13" s="242"/>
      <c r="K13" s="242"/>
      <c r="L13" s="242"/>
      <c r="M13" s="242"/>
      <c r="N13" s="242"/>
      <c r="O13" s="242"/>
      <c r="P13" s="242"/>
      <c r="Q13" s="242"/>
      <c r="R13" s="19"/>
    </row>
    <row r="14" spans="1:18" ht="6" customHeight="1" x14ac:dyDescent="0.35">
      <c r="A14" s="19"/>
      <c r="B14" s="19"/>
      <c r="C14" s="19"/>
      <c r="D14" s="19"/>
      <c r="E14" s="19"/>
      <c r="F14" s="19"/>
      <c r="G14" s="19"/>
      <c r="H14" s="19"/>
      <c r="I14" s="19"/>
      <c r="J14" s="19"/>
      <c r="K14" s="19"/>
      <c r="L14" s="19"/>
      <c r="M14" s="19"/>
      <c r="N14" s="19"/>
      <c r="O14" s="19"/>
      <c r="P14" s="19"/>
      <c r="Q14" s="19"/>
      <c r="R14" s="19"/>
    </row>
    <row r="15" spans="1:18" ht="20" customHeight="1" thickBot="1" x14ac:dyDescent="0.4">
      <c r="A15" s="19"/>
      <c r="B15" s="37" t="s">
        <v>7054</v>
      </c>
      <c r="C15" s="37"/>
      <c r="D15" s="37"/>
      <c r="E15" s="37"/>
      <c r="F15" s="37"/>
      <c r="G15" s="37"/>
      <c r="H15" s="37"/>
      <c r="I15" s="37"/>
      <c r="J15" s="37"/>
      <c r="K15" s="37"/>
      <c r="L15" s="37"/>
      <c r="M15" s="37"/>
      <c r="N15" s="37"/>
      <c r="O15" s="37"/>
      <c r="P15" s="37"/>
      <c r="Q15" s="37"/>
      <c r="R15" s="19"/>
    </row>
    <row r="16" spans="1:18" ht="16" customHeight="1" x14ac:dyDescent="0.35">
      <c r="A16" s="19"/>
      <c r="B16" s="244" t="s">
        <v>7055</v>
      </c>
      <c r="C16" s="245"/>
      <c r="D16" s="245"/>
      <c r="E16" s="245"/>
      <c r="F16" s="251" t="s">
        <v>7056</v>
      </c>
      <c r="G16" s="245"/>
      <c r="H16" s="245"/>
      <c r="I16" s="245"/>
      <c r="J16" s="253" t="s">
        <v>7057</v>
      </c>
      <c r="K16" s="245"/>
      <c r="L16" s="245"/>
      <c r="M16" s="245"/>
      <c r="N16" s="255" t="s">
        <v>7058</v>
      </c>
      <c r="O16" s="245"/>
      <c r="P16" s="245"/>
      <c r="Q16" s="256"/>
      <c r="R16" s="19"/>
    </row>
    <row r="17" spans="1:18" ht="26" customHeight="1" x14ac:dyDescent="0.35">
      <c r="A17" s="19"/>
      <c r="B17" s="246" t="str">
        <f>ControlStatus</f>
        <v>✔ ALL CONTROLS OK</v>
      </c>
      <c r="C17" s="247"/>
      <c r="D17" s="247"/>
      <c r="E17" s="248"/>
      <c r="F17" s="277" t="str">
        <f>'Tax Reconciliation'!E91</f>
        <v>✔ ALL TAXES RECONCILED</v>
      </c>
      <c r="G17" s="247"/>
      <c r="H17" s="247"/>
      <c r="I17" s="248"/>
      <c r="J17" s="276" t="str">
        <f>IF(AND(LEFT(Controls!E21,1)="✔",LEFT(Controls!E22,1)="✔"),"✔ BCA &amp; MANDIRI RECONCILED","✖ UNEXPLAINED DIFFERENCE")</f>
        <v>✔ BCA &amp; MANDIRI RECONCILED</v>
      </c>
      <c r="K17" s="247"/>
      <c r="L17" s="247"/>
      <c r="M17" s="248"/>
      <c r="N17" s="257" t="str">
        <f>Controls!E26</f>
        <v>⚠ 6 item(s) to book</v>
      </c>
      <c r="O17" s="258"/>
      <c r="P17" s="258"/>
      <c r="Q17" s="259"/>
      <c r="R17" s="19"/>
    </row>
    <row r="18" spans="1:18" ht="16" customHeight="1" thickBot="1" x14ac:dyDescent="0.4">
      <c r="A18" s="19"/>
      <c r="B18" s="249" t="str">
        <f>"20 integrity checks – see Controls"</f>
        <v>20 integrity checks – see Controls</v>
      </c>
      <c r="C18" s="250"/>
      <c r="D18" s="250"/>
      <c r="E18" s="250"/>
      <c r="F18" s="252" t="str">
        <f>"PPN • PPh 21 • Unifikasi • PPh 25 • PPh Badan"</f>
        <v>PPN • PPh 21 • Unifikasi • PPh 25 • PPh Badan</v>
      </c>
      <c r="G18" s="250"/>
      <c r="H18" s="250"/>
      <c r="I18" s="250"/>
      <c r="J18" s="254" t="str">
        <f>"Books vs bank statement at "&amp;CurLabel</f>
        <v>Books vs bank statement at 31 October 2026</v>
      </c>
      <c r="K18" s="250"/>
      <c r="L18" s="250"/>
      <c r="M18" s="250"/>
      <c r="N18" s="260" t="str">
        <f>"Interest / fees on statement not yet in GJ"</f>
        <v>Interest / fees on statement not yet in GJ</v>
      </c>
      <c r="O18" s="250"/>
      <c r="P18" s="250"/>
      <c r="Q18" s="261"/>
      <c r="R18" s="19"/>
    </row>
    <row r="19" spans="1:18" ht="6" customHeight="1" thickTop="1" x14ac:dyDescent="0.35">
      <c r="A19" s="19"/>
      <c r="B19" s="19"/>
      <c r="C19" s="19"/>
      <c r="D19" s="19"/>
      <c r="E19" s="19"/>
      <c r="F19" s="19"/>
      <c r="G19" s="19"/>
      <c r="H19" s="19"/>
      <c r="I19" s="19"/>
      <c r="J19" s="19"/>
      <c r="K19" s="19"/>
      <c r="L19" s="19"/>
      <c r="M19" s="19"/>
      <c r="N19" s="19"/>
      <c r="O19" s="19"/>
      <c r="P19" s="19"/>
      <c r="Q19" s="19"/>
      <c r="R19" s="19"/>
    </row>
    <row r="20" spans="1:18" ht="20" customHeight="1" thickBot="1" x14ac:dyDescent="0.4">
      <c r="A20" s="19"/>
      <c r="B20" s="37" t="str">
        <f>"FINANCIAL PERFORMANCE — YTD "&amp;'Company Info'!C50&amp;" "&amp;FYear</f>
        <v>FINANCIAL PERFORMANCE — YTD October 2026</v>
      </c>
      <c r="C20" s="37"/>
      <c r="D20" s="37"/>
      <c r="E20" s="37"/>
      <c r="F20" s="37"/>
      <c r="G20" s="37"/>
      <c r="H20" s="37"/>
      <c r="I20" s="37"/>
      <c r="J20" s="37"/>
      <c r="K20" s="37"/>
      <c r="L20" s="37"/>
      <c r="M20" s="37"/>
      <c r="N20" s="37"/>
      <c r="O20" s="37"/>
      <c r="P20" s="37"/>
      <c r="Q20" s="37"/>
      <c r="R20" s="19"/>
    </row>
    <row r="21" spans="1:18" ht="16" customHeight="1" x14ac:dyDescent="0.35">
      <c r="A21" s="19"/>
      <c r="B21" s="253" t="s">
        <v>6826</v>
      </c>
      <c r="C21" s="245"/>
      <c r="D21" s="245"/>
      <c r="E21" s="245"/>
      <c r="F21" s="263" t="s">
        <v>6698</v>
      </c>
      <c r="G21" s="245"/>
      <c r="H21" s="245"/>
      <c r="I21" s="245"/>
      <c r="J21" s="244" t="s">
        <v>7059</v>
      </c>
      <c r="K21" s="245"/>
      <c r="L21" s="245"/>
      <c r="M21" s="245"/>
      <c r="N21" s="255" t="s">
        <v>7060</v>
      </c>
      <c r="O21" s="245"/>
      <c r="P21" s="245"/>
      <c r="Q21" s="256"/>
      <c r="R21" s="19"/>
    </row>
    <row r="22" spans="1:18" ht="26" customHeight="1" x14ac:dyDescent="0.35">
      <c r="A22" s="19"/>
      <c r="B22" s="262">
        <f>Revenue</f>
        <v>11350565000</v>
      </c>
      <c r="C22" s="38"/>
      <c r="D22" s="38"/>
      <c r="E22" s="39"/>
      <c r="F22" s="264">
        <f>GrossProfit</f>
        <v>4518180000</v>
      </c>
      <c r="G22" s="40"/>
      <c r="H22" s="40"/>
      <c r="I22" s="41"/>
      <c r="J22" s="266">
        <f>NetIncome</f>
        <v>922723240</v>
      </c>
      <c r="K22" s="42"/>
      <c r="L22" s="42"/>
      <c r="M22" s="43"/>
      <c r="N22" s="267">
        <f>CashBS</f>
        <v>1563245568</v>
      </c>
      <c r="O22" s="44"/>
      <c r="P22" s="44"/>
      <c r="Q22" s="268"/>
      <c r="R22" s="19"/>
    </row>
    <row r="23" spans="1:18" ht="16" customHeight="1" thickBot="1" x14ac:dyDescent="0.4">
      <c r="A23" s="19"/>
      <c r="B23" s="254" t="str">
        <f>"Avg Rp "&amp;FIXED(Revenue/CutOff/1000000,1)&amp;" m / month"</f>
        <v>Avg Rp 1.135,1 m / month</v>
      </c>
      <c r="C23" s="250"/>
      <c r="D23" s="250"/>
      <c r="E23" s="250"/>
      <c r="F23" s="265" t="str">
        <f>"Gross margin "&amp;FIXED(Ratios!D13*100,1)&amp;"%"</f>
        <v>Gross margin 39,8%</v>
      </c>
      <c r="G23" s="250"/>
      <c r="H23" s="250"/>
      <c r="I23" s="250"/>
      <c r="J23" s="249" t="str">
        <f>"Net margin "&amp;FIXED(Ratios!D16*100,1)&amp;"%  •  ROE "&amp;FIXED(Ratios!D18*100,1)&amp;"% (ann.)"</f>
        <v>Net margin 8,1%  •  ROE 26,6% (ann.)</v>
      </c>
      <c r="K23" s="250"/>
      <c r="L23" s="250"/>
      <c r="M23" s="250"/>
      <c r="N23" s="260" t="str">
        <f>"vs opening "&amp;IF(CashBS&gt;='Balance Sheet'!F14,"+","")&amp;FIXED((CashBS/'Balance Sheet'!F14-1)*100,1)&amp;"%"</f>
        <v>vs opening -29,7%</v>
      </c>
      <c r="O23" s="250"/>
      <c r="P23" s="250"/>
      <c r="Q23" s="261"/>
      <c r="R23" s="19"/>
    </row>
    <row r="24" spans="1:18" ht="5" customHeight="1" thickTop="1" thickBot="1" x14ac:dyDescent="0.4">
      <c r="A24" s="19"/>
      <c r="B24" s="19"/>
      <c r="C24" s="19"/>
      <c r="D24" s="19"/>
      <c r="E24" s="19"/>
      <c r="F24" s="19"/>
      <c r="G24" s="19"/>
      <c r="H24" s="19"/>
      <c r="I24" s="19"/>
      <c r="J24" s="19"/>
      <c r="K24" s="19"/>
      <c r="L24" s="19"/>
      <c r="M24" s="19"/>
      <c r="N24" s="19"/>
      <c r="O24" s="19"/>
      <c r="P24" s="19"/>
      <c r="Q24" s="19"/>
      <c r="R24" s="19"/>
    </row>
    <row r="25" spans="1:18" ht="16" customHeight="1" x14ac:dyDescent="0.35">
      <c r="A25" s="19"/>
      <c r="B25" s="269" t="s">
        <v>6714</v>
      </c>
      <c r="C25" s="245"/>
      <c r="D25" s="245"/>
      <c r="E25" s="245"/>
      <c r="F25" s="253" t="s">
        <v>4284</v>
      </c>
      <c r="G25" s="245"/>
      <c r="H25" s="245"/>
      <c r="I25" s="245"/>
      <c r="J25" s="251" t="s">
        <v>4285</v>
      </c>
      <c r="K25" s="245"/>
      <c r="L25" s="245"/>
      <c r="M25" s="245"/>
      <c r="N25" s="263" t="s">
        <v>4286</v>
      </c>
      <c r="O25" s="245"/>
      <c r="P25" s="245"/>
      <c r="Q25" s="256"/>
      <c r="R25" s="19"/>
    </row>
    <row r="26" spans="1:18" ht="26" customHeight="1" x14ac:dyDescent="0.35">
      <c r="A26" s="19"/>
      <c r="B26" s="270">
        <f>TotalAssets</f>
        <v>7134292003</v>
      </c>
      <c r="C26" s="45"/>
      <c r="D26" s="45"/>
      <c r="E26" s="46"/>
      <c r="F26" s="47">
        <f>Ratios!D9</f>
        <v>3.3235778275799013</v>
      </c>
      <c r="G26" s="38"/>
      <c r="H26" s="38"/>
      <c r="I26" s="39"/>
      <c r="J26" s="48">
        <f>Ratios!D20</f>
        <v>0.59510387201823212</v>
      </c>
      <c r="K26" s="49"/>
      <c r="L26" s="49"/>
      <c r="M26" s="50"/>
      <c r="N26" s="272">
        <f>Ratios!D28</f>
        <v>33.061538552175669</v>
      </c>
      <c r="O26" s="40"/>
      <c r="P26" s="40"/>
      <c r="Q26" s="273"/>
      <c r="R26" s="19"/>
    </row>
    <row r="27" spans="1:18" ht="16" customHeight="1" thickBot="1" x14ac:dyDescent="0.4">
      <c r="A27" s="19"/>
      <c r="B27" s="271" t="str">
        <f>"Equity Rp "&amp;FIXED(TotalEquity/1000000000,2)&amp;" bn  •  Liabilities Rp "&amp;FIXED(TotalLiab/1000000000,2)&amp;" bn"</f>
        <v>Equity Rp 4,47 bn  •  Liabilities Rp 2,66 bn</v>
      </c>
      <c r="C27" s="250"/>
      <c r="D27" s="250"/>
      <c r="E27" s="250"/>
      <c r="F27" s="254" t="str">
        <f>Ratios!G9&amp;"  •  Quick "&amp;FIXED(Ratios!D10,2)&amp;"x"</f>
        <v>✔ Healthy  •  Quick 2,41x</v>
      </c>
      <c r="G27" s="250"/>
      <c r="H27" s="250"/>
      <c r="I27" s="250"/>
      <c r="J27" s="252" t="str">
        <f>Ratios!G20&amp;"  •  ICR "&amp;FIXED(Ratios!D22,1)&amp;"x"</f>
        <v>✔ Healthy  •  ICR 10,3x</v>
      </c>
      <c r="K27" s="250"/>
      <c r="L27" s="250"/>
      <c r="M27" s="250"/>
      <c r="N27" s="265" t="str">
        <f>"DSO "&amp;FIXED(Ratios!D25,0)&amp;" • DIO "&amp;FIXED(Ratios!D26,0)&amp;" • DPO "&amp;FIXED(Ratios!D27,0)</f>
        <v>DSO 25 • DIO 44 • DPO 36</v>
      </c>
      <c r="O27" s="250"/>
      <c r="P27" s="250"/>
      <c r="Q27" s="261"/>
      <c r="R27" s="19"/>
    </row>
    <row r="28" spans="1:18" ht="6" customHeight="1" thickTop="1" x14ac:dyDescent="0.35">
      <c r="A28" s="19"/>
      <c r="B28" s="19"/>
      <c r="C28" s="19"/>
      <c r="D28" s="19"/>
      <c r="E28" s="19"/>
      <c r="F28" s="19"/>
      <c r="G28" s="19"/>
      <c r="H28" s="19"/>
      <c r="I28" s="19"/>
      <c r="J28" s="19"/>
      <c r="K28" s="19"/>
      <c r="L28" s="19"/>
      <c r="M28" s="19"/>
      <c r="N28" s="19"/>
      <c r="O28" s="19"/>
      <c r="P28" s="19"/>
      <c r="Q28" s="19"/>
      <c r="R28" s="19"/>
    </row>
    <row r="29" spans="1:18" ht="20" customHeight="1" thickBot="1" x14ac:dyDescent="0.4">
      <c r="A29" s="19"/>
      <c r="B29" s="37" t="str">
        <f>"DAILY SNAPSHOT — "&amp;TEXT(AnalysisDate,"[$-409]dddd, d mmmm yyyy")</f>
        <v>DAILY SNAPSHOT — Thursday, 8 October 2026</v>
      </c>
      <c r="C29" s="37"/>
      <c r="D29" s="37"/>
      <c r="E29" s="37"/>
      <c r="F29" s="37"/>
      <c r="G29" s="37"/>
      <c r="H29" s="37"/>
      <c r="I29" s="37"/>
      <c r="J29" s="37"/>
      <c r="K29" s="37"/>
      <c r="L29" s="37"/>
      <c r="M29" s="37"/>
      <c r="N29" s="37"/>
      <c r="O29" s="37"/>
      <c r="P29" s="37"/>
      <c r="Q29" s="37"/>
      <c r="R29" s="19"/>
    </row>
    <row r="30" spans="1:18" ht="16" customHeight="1" x14ac:dyDescent="0.35">
      <c r="A30" s="19"/>
      <c r="B30" s="253" t="s">
        <v>7061</v>
      </c>
      <c r="C30" s="245"/>
      <c r="D30" s="245"/>
      <c r="E30" s="245"/>
      <c r="F30" s="269" t="s">
        <v>7062</v>
      </c>
      <c r="G30" s="245"/>
      <c r="H30" s="245"/>
      <c r="I30" s="245"/>
      <c r="J30" s="255" t="s">
        <v>7063</v>
      </c>
      <c r="K30" s="245"/>
      <c r="L30" s="245"/>
      <c r="M30" s="245"/>
      <c r="N30" s="244" t="s">
        <v>7064</v>
      </c>
      <c r="O30" s="245"/>
      <c r="P30" s="245"/>
      <c r="Q30" s="256"/>
      <c r="R30" s="19"/>
    </row>
    <row r="31" spans="1:18" ht="26" customHeight="1" x14ac:dyDescent="0.35">
      <c r="A31" s="19"/>
      <c r="B31" s="262">
        <f>'Dashboard Data'!C23</f>
        <v>48480000</v>
      </c>
      <c r="C31" s="38"/>
      <c r="D31" s="38"/>
      <c r="E31" s="39"/>
      <c r="F31" s="274">
        <f>'Dashboard Data'!C26</f>
        <v>9</v>
      </c>
      <c r="G31" s="45"/>
      <c r="H31" s="45"/>
      <c r="I31" s="46"/>
      <c r="J31" s="51" t="str">
        <f>'Dashboard Data'!C28</f>
        <v>Casual Shirt</v>
      </c>
      <c r="K31" s="52"/>
      <c r="L31" s="52"/>
      <c r="M31" s="53"/>
      <c r="N31" s="266">
        <f>'Dashboard Data'!C30</f>
        <v>352390000</v>
      </c>
      <c r="O31" s="42"/>
      <c r="P31" s="42"/>
      <c r="Q31" s="275"/>
      <c r="R31" s="19"/>
    </row>
    <row r="32" spans="1:18" ht="16" customHeight="1" thickBot="1" x14ac:dyDescent="0.4">
      <c r="A32" s="19"/>
      <c r="B32" s="254" t="str">
        <f>IF('Dashboard Data'!C25&gt;=0,"▲ ","▼ ")&amp;FIXED(ABS('Dashboard Data'!C25)*100,1)&amp;"% vs yesterday (Rp "&amp;FIXED('Dashboard Data'!C24/1000000,1)&amp;" m)"</f>
        <v>▲ 26,4% vs yesterday (Rp 38,3 m)</v>
      </c>
      <c r="C32" s="250"/>
      <c r="D32" s="250"/>
      <c r="E32" s="250"/>
      <c r="F32" s="271" t="str">
        <f>"Avg Rp "&amp;FIXED('Dashboard Data'!C27/1000000,2)&amp;" m / invoice  •  "&amp;'Dashboard Data'!C35&amp;" units"</f>
        <v>Avg Rp 5,39 m / invoice  •  394 units</v>
      </c>
      <c r="G32" s="250"/>
      <c r="H32" s="250"/>
      <c r="I32" s="250"/>
      <c r="J32" s="260" t="str">
        <f>"Rp "&amp;FIXED('Dashboard Data'!C29/1000000,1)&amp;" m sold today"</f>
        <v>Rp 15,2 m sold today</v>
      </c>
      <c r="K32" s="250"/>
      <c r="L32" s="250"/>
      <c r="M32" s="250"/>
      <c r="N32" s="249" t="str">
        <f>IF('Dashboard Data'!C32&gt;=0,"▲ ","▼ ")&amp;FIXED(ABS('Dashboard Data'!C32)*100,1)&amp;"% vs same period last month"</f>
        <v>▲ 24,0% vs same period last month</v>
      </c>
      <c r="O32" s="250"/>
      <c r="P32" s="250"/>
      <c r="Q32" s="261"/>
      <c r="R32" s="19"/>
    </row>
    <row r="33" spans="1:18" ht="6" customHeight="1" thickTop="1" x14ac:dyDescent="0.35">
      <c r="A33" s="19"/>
      <c r="B33" s="19"/>
      <c r="C33" s="19"/>
      <c r="D33" s="19"/>
      <c r="E33" s="19"/>
      <c r="F33" s="19"/>
      <c r="G33" s="19"/>
      <c r="H33" s="19"/>
      <c r="I33" s="19"/>
      <c r="J33" s="19"/>
      <c r="K33" s="19"/>
      <c r="L33" s="19"/>
      <c r="M33" s="19"/>
      <c r="N33" s="19"/>
      <c r="O33" s="19"/>
      <c r="P33" s="19"/>
      <c r="Q33" s="19"/>
      <c r="R33" s="19"/>
    </row>
    <row r="34" spans="1:18" ht="20" customHeight="1" thickBot="1" x14ac:dyDescent="0.4">
      <c r="A34" s="19"/>
      <c r="B34" s="243" t="s">
        <v>7065</v>
      </c>
      <c r="C34" s="243"/>
      <c r="D34" s="243"/>
      <c r="E34" s="243"/>
      <c r="F34" s="243"/>
      <c r="G34" s="243"/>
      <c r="H34" s="243"/>
      <c r="I34" s="243"/>
      <c r="J34" s="243"/>
      <c r="K34" s="243"/>
      <c r="L34" s="243"/>
      <c r="M34" s="243"/>
      <c r="N34" s="243"/>
      <c r="O34" s="243"/>
      <c r="P34" s="243"/>
      <c r="Q34" s="243"/>
      <c r="R34" s="19"/>
    </row>
    <row r="35" spans="1:18" x14ac:dyDescent="0.35">
      <c r="A35" s="19"/>
      <c r="B35" s="19"/>
      <c r="C35" s="19"/>
      <c r="D35" s="19"/>
      <c r="E35" s="19"/>
      <c r="F35" s="19"/>
      <c r="G35" s="19"/>
      <c r="H35" s="19"/>
      <c r="I35" s="19"/>
      <c r="J35" s="19"/>
      <c r="K35" s="19"/>
      <c r="L35" s="19"/>
      <c r="M35" s="19"/>
      <c r="N35" s="19"/>
      <c r="O35" s="19"/>
      <c r="P35" s="19"/>
      <c r="Q35" s="19"/>
      <c r="R35" s="19"/>
    </row>
    <row r="36" spans="1:18" x14ac:dyDescent="0.35">
      <c r="A36" s="19"/>
      <c r="B36" s="19"/>
      <c r="C36" s="19"/>
      <c r="D36" s="19"/>
      <c r="E36" s="19"/>
      <c r="F36" s="19"/>
      <c r="G36" s="19"/>
      <c r="H36" s="19"/>
      <c r="I36" s="19"/>
      <c r="J36" s="19"/>
      <c r="K36" s="19"/>
      <c r="L36" s="19"/>
      <c r="M36" s="19"/>
      <c r="N36" s="19"/>
      <c r="O36" s="19"/>
      <c r="P36" s="19"/>
      <c r="Q36" s="19"/>
      <c r="R36" s="19"/>
    </row>
    <row r="37" spans="1:18" x14ac:dyDescent="0.35">
      <c r="A37" s="19"/>
      <c r="B37" s="19"/>
      <c r="C37" s="19"/>
      <c r="D37" s="19"/>
      <c r="E37" s="19"/>
      <c r="F37" s="19"/>
      <c r="G37" s="19"/>
      <c r="H37" s="19"/>
      <c r="I37" s="19"/>
      <c r="J37" s="19"/>
      <c r="K37" s="19"/>
      <c r="L37" s="19"/>
      <c r="M37" s="19"/>
      <c r="N37" s="19"/>
      <c r="O37" s="19"/>
      <c r="P37" s="19"/>
      <c r="Q37" s="19"/>
      <c r="R37" s="19"/>
    </row>
    <row r="38" spans="1:18" x14ac:dyDescent="0.35">
      <c r="A38" s="19"/>
      <c r="B38" s="19"/>
      <c r="C38" s="19"/>
      <c r="D38" s="19"/>
      <c r="E38" s="19"/>
      <c r="F38" s="19"/>
      <c r="G38" s="19"/>
      <c r="H38" s="19"/>
      <c r="I38" s="19"/>
      <c r="J38" s="19"/>
      <c r="K38" s="19"/>
      <c r="L38" s="19"/>
      <c r="M38" s="19"/>
      <c r="N38" s="19"/>
      <c r="O38" s="19"/>
      <c r="P38" s="19"/>
      <c r="Q38" s="19"/>
      <c r="R38" s="19"/>
    </row>
    <row r="39" spans="1:18" x14ac:dyDescent="0.35">
      <c r="A39" s="19"/>
      <c r="B39" s="19"/>
      <c r="C39" s="19"/>
      <c r="D39" s="19"/>
      <c r="E39" s="19"/>
      <c r="F39" s="19"/>
      <c r="G39" s="19"/>
      <c r="H39" s="19"/>
      <c r="I39" s="19"/>
      <c r="J39" s="19"/>
      <c r="K39" s="19"/>
      <c r="L39" s="19"/>
      <c r="M39" s="19"/>
      <c r="N39" s="19"/>
      <c r="O39" s="19"/>
      <c r="P39" s="19"/>
      <c r="Q39" s="19"/>
      <c r="R39" s="19"/>
    </row>
    <row r="40" spans="1:18" x14ac:dyDescent="0.35">
      <c r="A40" s="19"/>
      <c r="B40" s="19"/>
      <c r="C40" s="19"/>
      <c r="D40" s="19"/>
      <c r="E40" s="19"/>
      <c r="F40" s="19"/>
      <c r="G40" s="19"/>
      <c r="H40" s="19"/>
      <c r="I40" s="19"/>
      <c r="J40" s="19"/>
      <c r="K40" s="19"/>
      <c r="L40" s="19"/>
      <c r="M40" s="19"/>
      <c r="N40" s="19"/>
      <c r="O40" s="19"/>
      <c r="P40" s="19"/>
      <c r="Q40" s="19"/>
      <c r="R40" s="19"/>
    </row>
    <row r="41" spans="1:18" x14ac:dyDescent="0.35">
      <c r="A41" s="19"/>
      <c r="B41" s="19"/>
      <c r="C41" s="19"/>
      <c r="D41" s="19"/>
      <c r="E41" s="19"/>
      <c r="F41" s="19"/>
      <c r="G41" s="19"/>
      <c r="H41" s="19"/>
      <c r="I41" s="19"/>
      <c r="J41" s="19"/>
      <c r="K41" s="19"/>
      <c r="L41" s="19"/>
      <c r="M41" s="19"/>
      <c r="N41" s="19"/>
      <c r="O41" s="19"/>
      <c r="P41" s="19"/>
      <c r="Q41" s="19"/>
      <c r="R41" s="19"/>
    </row>
    <row r="42" spans="1:18" x14ac:dyDescent="0.35">
      <c r="A42" s="19"/>
      <c r="B42" s="19"/>
      <c r="C42" s="19"/>
      <c r="D42" s="19"/>
      <c r="E42" s="19"/>
      <c r="F42" s="19"/>
      <c r="G42" s="19"/>
      <c r="H42" s="19"/>
      <c r="I42" s="19"/>
      <c r="J42" s="19"/>
      <c r="K42" s="19"/>
      <c r="L42" s="19"/>
      <c r="M42" s="19"/>
      <c r="N42" s="19"/>
      <c r="O42" s="19"/>
      <c r="P42" s="19"/>
      <c r="Q42" s="19"/>
      <c r="R42" s="19"/>
    </row>
    <row r="43" spans="1:18" x14ac:dyDescent="0.35">
      <c r="A43" s="19"/>
      <c r="B43" s="19"/>
      <c r="C43" s="19"/>
      <c r="D43" s="19"/>
      <c r="E43" s="19"/>
      <c r="F43" s="19"/>
      <c r="G43" s="19"/>
      <c r="H43" s="19"/>
      <c r="I43" s="19"/>
      <c r="J43" s="19"/>
      <c r="K43" s="19"/>
      <c r="L43" s="19"/>
      <c r="M43" s="19"/>
      <c r="N43" s="19"/>
      <c r="O43" s="19"/>
      <c r="P43" s="19"/>
      <c r="Q43" s="19"/>
      <c r="R43" s="19"/>
    </row>
    <row r="44" spans="1:18" x14ac:dyDescent="0.35">
      <c r="A44" s="19"/>
      <c r="B44" s="19"/>
      <c r="C44" s="19"/>
      <c r="D44" s="19"/>
      <c r="E44" s="19"/>
      <c r="F44" s="19"/>
      <c r="G44" s="19"/>
      <c r="H44" s="19"/>
      <c r="I44" s="19"/>
      <c r="J44" s="19"/>
      <c r="K44" s="19"/>
      <c r="L44" s="19"/>
      <c r="M44" s="19"/>
      <c r="N44" s="19"/>
      <c r="O44" s="19"/>
      <c r="P44" s="19"/>
      <c r="Q44" s="19"/>
      <c r="R44" s="19"/>
    </row>
    <row r="45" spans="1:18" x14ac:dyDescent="0.35">
      <c r="A45" s="19"/>
      <c r="B45" s="19"/>
      <c r="C45" s="19"/>
      <c r="D45" s="19"/>
      <c r="E45" s="19"/>
      <c r="F45" s="19"/>
      <c r="G45" s="19"/>
      <c r="H45" s="19"/>
      <c r="I45" s="19"/>
      <c r="J45" s="19"/>
      <c r="K45" s="19"/>
      <c r="L45" s="19"/>
      <c r="M45" s="19"/>
      <c r="N45" s="19"/>
      <c r="O45" s="19"/>
      <c r="P45" s="19"/>
      <c r="Q45" s="19"/>
      <c r="R45" s="19"/>
    </row>
    <row r="46" spans="1:18" x14ac:dyDescent="0.35">
      <c r="A46" s="19"/>
      <c r="B46" s="19"/>
      <c r="C46" s="19"/>
      <c r="D46" s="19"/>
      <c r="E46" s="19"/>
      <c r="F46" s="19"/>
      <c r="G46" s="19"/>
      <c r="H46" s="19"/>
      <c r="I46" s="19"/>
      <c r="J46" s="19"/>
      <c r="K46" s="19"/>
      <c r="L46" s="19"/>
      <c r="M46" s="19"/>
      <c r="N46" s="19"/>
      <c r="O46" s="19"/>
      <c r="P46" s="19"/>
      <c r="Q46" s="19"/>
      <c r="R46" s="19"/>
    </row>
    <row r="47" spans="1:18" x14ac:dyDescent="0.35">
      <c r="A47" s="19"/>
      <c r="B47" s="19"/>
      <c r="C47" s="19"/>
      <c r="D47" s="19"/>
      <c r="E47" s="19"/>
      <c r="F47" s="19"/>
      <c r="G47" s="19"/>
      <c r="H47" s="19"/>
      <c r="I47" s="19"/>
      <c r="J47" s="19"/>
      <c r="K47" s="19"/>
      <c r="L47" s="19"/>
      <c r="M47" s="19"/>
      <c r="N47" s="19"/>
      <c r="O47" s="19"/>
      <c r="P47" s="19"/>
      <c r="Q47" s="19"/>
      <c r="R47" s="19"/>
    </row>
    <row r="48" spans="1:18" x14ac:dyDescent="0.35">
      <c r="A48" s="19"/>
      <c r="B48" s="19"/>
      <c r="C48" s="19"/>
      <c r="D48" s="19"/>
      <c r="E48" s="19"/>
      <c r="F48" s="19"/>
      <c r="G48" s="19"/>
      <c r="H48" s="19"/>
      <c r="I48" s="19"/>
      <c r="J48" s="19"/>
      <c r="K48" s="19"/>
      <c r="L48" s="19"/>
      <c r="M48" s="19"/>
      <c r="N48" s="19"/>
      <c r="O48" s="19"/>
      <c r="P48" s="19"/>
      <c r="Q48" s="19"/>
      <c r="R48" s="19"/>
    </row>
    <row r="49" spans="1:18" x14ac:dyDescent="0.35">
      <c r="A49" s="19"/>
      <c r="B49" s="19"/>
      <c r="C49" s="19"/>
      <c r="D49" s="19"/>
      <c r="E49" s="19"/>
      <c r="F49" s="19"/>
      <c r="G49" s="19"/>
      <c r="H49" s="19"/>
      <c r="I49" s="19"/>
      <c r="J49" s="19"/>
      <c r="K49" s="19"/>
      <c r="L49" s="19"/>
      <c r="M49" s="19"/>
      <c r="N49" s="19"/>
      <c r="O49" s="19"/>
      <c r="P49" s="19"/>
      <c r="Q49" s="19"/>
      <c r="R49" s="19"/>
    </row>
    <row r="50" spans="1:18" x14ac:dyDescent="0.35">
      <c r="A50" s="19"/>
      <c r="B50" s="19"/>
      <c r="C50" s="19"/>
      <c r="D50" s="19"/>
      <c r="E50" s="19"/>
      <c r="F50" s="19"/>
      <c r="G50" s="19"/>
      <c r="H50" s="19"/>
      <c r="I50" s="19"/>
      <c r="J50" s="19"/>
      <c r="K50" s="19"/>
      <c r="L50" s="19"/>
      <c r="M50" s="19"/>
      <c r="N50" s="19"/>
      <c r="O50" s="19"/>
      <c r="P50" s="19"/>
      <c r="Q50" s="19"/>
      <c r="R50" s="19"/>
    </row>
    <row r="51" spans="1:18" x14ac:dyDescent="0.35">
      <c r="A51" s="19"/>
      <c r="B51" s="19"/>
      <c r="C51" s="19"/>
      <c r="D51" s="19"/>
      <c r="E51" s="19"/>
      <c r="F51" s="19"/>
      <c r="G51" s="19"/>
      <c r="H51" s="19"/>
      <c r="I51" s="19"/>
      <c r="J51" s="19"/>
      <c r="K51" s="19"/>
      <c r="L51" s="19"/>
      <c r="M51" s="19"/>
      <c r="N51" s="19"/>
      <c r="O51" s="19"/>
      <c r="P51" s="19"/>
      <c r="Q51" s="19"/>
      <c r="R51" s="19"/>
    </row>
    <row r="52" spans="1:18" x14ac:dyDescent="0.35">
      <c r="A52" s="19"/>
      <c r="B52" s="19"/>
      <c r="C52" s="19"/>
      <c r="D52" s="19"/>
      <c r="E52" s="19"/>
      <c r="F52" s="19"/>
      <c r="G52" s="19"/>
      <c r="H52" s="19"/>
      <c r="I52" s="19"/>
      <c r="J52" s="19"/>
      <c r="K52" s="19"/>
      <c r="L52" s="19"/>
      <c r="M52" s="19"/>
      <c r="N52" s="19"/>
      <c r="O52" s="19"/>
      <c r="P52" s="19"/>
      <c r="Q52" s="19"/>
      <c r="R52" s="19"/>
    </row>
    <row r="53" spans="1:18" x14ac:dyDescent="0.35">
      <c r="A53" s="19"/>
      <c r="B53" s="19"/>
      <c r="C53" s="19"/>
      <c r="D53" s="19"/>
      <c r="E53" s="19"/>
      <c r="F53" s="19"/>
      <c r="G53" s="19"/>
      <c r="H53" s="19"/>
      <c r="I53" s="19"/>
      <c r="J53" s="19"/>
      <c r="K53" s="19"/>
      <c r="L53" s="19"/>
      <c r="M53" s="19"/>
      <c r="N53" s="19"/>
      <c r="O53" s="19"/>
      <c r="P53" s="19"/>
      <c r="Q53" s="19"/>
      <c r="R53" s="19"/>
    </row>
    <row r="54" spans="1:18" x14ac:dyDescent="0.35">
      <c r="A54" s="19"/>
      <c r="B54" s="19"/>
      <c r="C54" s="19"/>
      <c r="D54" s="19"/>
      <c r="E54" s="19"/>
      <c r="F54" s="19"/>
      <c r="G54" s="19"/>
      <c r="H54" s="19"/>
      <c r="I54" s="19"/>
      <c r="J54" s="19"/>
      <c r="K54" s="19"/>
      <c r="L54" s="19"/>
      <c r="M54" s="19"/>
      <c r="N54" s="19"/>
      <c r="O54" s="19"/>
      <c r="P54" s="19"/>
      <c r="Q54" s="19"/>
      <c r="R54" s="19"/>
    </row>
    <row r="55" spans="1:18" x14ac:dyDescent="0.35">
      <c r="A55" s="19"/>
      <c r="B55" s="19"/>
      <c r="C55" s="19"/>
      <c r="D55" s="19"/>
      <c r="E55" s="19"/>
      <c r="F55" s="19"/>
      <c r="G55" s="19"/>
      <c r="H55" s="19"/>
      <c r="I55" s="19"/>
      <c r="J55" s="19"/>
      <c r="K55" s="19"/>
      <c r="L55" s="19"/>
      <c r="M55" s="19"/>
      <c r="N55" s="19"/>
      <c r="O55" s="19"/>
      <c r="P55" s="19"/>
      <c r="Q55" s="19"/>
      <c r="R55" s="19"/>
    </row>
    <row r="56" spans="1:18" x14ac:dyDescent="0.35">
      <c r="A56" s="19"/>
      <c r="B56" s="19"/>
      <c r="C56" s="19"/>
      <c r="D56" s="19"/>
      <c r="E56" s="19"/>
      <c r="F56" s="19"/>
      <c r="G56" s="19"/>
      <c r="H56" s="19"/>
      <c r="I56" s="19"/>
      <c r="J56" s="19"/>
      <c r="K56" s="19"/>
      <c r="L56" s="19"/>
      <c r="M56" s="19"/>
      <c r="N56" s="19"/>
      <c r="O56" s="19"/>
      <c r="P56" s="19"/>
      <c r="Q56" s="19"/>
      <c r="R56" s="19"/>
    </row>
    <row r="57" spans="1:18" x14ac:dyDescent="0.35">
      <c r="A57" s="19"/>
      <c r="B57" s="19"/>
      <c r="C57" s="19"/>
      <c r="D57" s="19"/>
      <c r="E57" s="19"/>
      <c r="F57" s="19"/>
      <c r="G57" s="19"/>
      <c r="H57" s="19"/>
      <c r="I57" s="19"/>
      <c r="J57" s="19"/>
      <c r="K57" s="19"/>
      <c r="L57" s="19"/>
      <c r="M57" s="19"/>
      <c r="N57" s="19"/>
      <c r="O57" s="19"/>
      <c r="P57" s="19"/>
      <c r="Q57" s="19"/>
      <c r="R57" s="19"/>
    </row>
    <row r="58" spans="1:18" x14ac:dyDescent="0.35">
      <c r="A58" s="19"/>
      <c r="B58" s="19"/>
      <c r="C58" s="19"/>
      <c r="D58" s="19"/>
      <c r="E58" s="19"/>
      <c r="F58" s="19"/>
      <c r="G58" s="19"/>
      <c r="H58" s="19"/>
      <c r="I58" s="19"/>
      <c r="J58" s="19"/>
      <c r="K58" s="19"/>
      <c r="L58" s="19"/>
      <c r="M58" s="19"/>
      <c r="N58" s="19"/>
      <c r="O58" s="19"/>
      <c r="P58" s="19"/>
      <c r="Q58" s="19"/>
      <c r="R58" s="19"/>
    </row>
    <row r="59" spans="1:18" x14ac:dyDescent="0.35">
      <c r="A59" s="19"/>
      <c r="B59" s="19"/>
      <c r="C59" s="19"/>
      <c r="D59" s="19"/>
      <c r="E59" s="19"/>
      <c r="F59" s="19"/>
      <c r="G59" s="19"/>
      <c r="H59" s="19"/>
      <c r="I59" s="19"/>
      <c r="J59" s="19"/>
      <c r="K59" s="19"/>
      <c r="L59" s="19"/>
      <c r="M59" s="19"/>
      <c r="N59" s="19"/>
      <c r="O59" s="19"/>
      <c r="P59" s="19"/>
      <c r="Q59" s="19"/>
      <c r="R59" s="19"/>
    </row>
    <row r="60" spans="1:18" x14ac:dyDescent="0.35">
      <c r="A60" s="19"/>
      <c r="B60" s="19"/>
      <c r="C60" s="19"/>
      <c r="D60" s="19"/>
      <c r="E60" s="19"/>
      <c r="F60" s="19"/>
      <c r="G60" s="19"/>
      <c r="H60" s="19"/>
      <c r="I60" s="19"/>
      <c r="J60" s="19"/>
      <c r="K60" s="19"/>
      <c r="L60" s="19"/>
      <c r="M60" s="19"/>
      <c r="N60" s="19"/>
      <c r="O60" s="19"/>
      <c r="P60" s="19"/>
      <c r="Q60" s="19"/>
      <c r="R60" s="19"/>
    </row>
    <row r="61" spans="1:18" x14ac:dyDescent="0.35">
      <c r="A61" s="19"/>
      <c r="B61" s="19"/>
      <c r="C61" s="19"/>
      <c r="D61" s="19"/>
      <c r="E61" s="19"/>
      <c r="F61" s="19"/>
      <c r="G61" s="19"/>
      <c r="H61" s="19"/>
      <c r="I61" s="19"/>
      <c r="J61" s="19"/>
      <c r="K61" s="19"/>
      <c r="L61" s="19"/>
      <c r="M61" s="19"/>
      <c r="N61" s="19"/>
      <c r="O61" s="19"/>
      <c r="P61" s="19"/>
      <c r="Q61" s="19"/>
      <c r="R61" s="19"/>
    </row>
    <row r="62" spans="1:18" x14ac:dyDescent="0.35">
      <c r="A62" s="19"/>
      <c r="B62" s="19"/>
      <c r="C62" s="19"/>
      <c r="D62" s="19"/>
      <c r="E62" s="19"/>
      <c r="F62" s="19"/>
      <c r="G62" s="19"/>
      <c r="H62" s="19"/>
      <c r="I62" s="19"/>
      <c r="J62" s="19"/>
      <c r="K62" s="19"/>
      <c r="L62" s="19"/>
      <c r="M62" s="19"/>
      <c r="N62" s="19"/>
      <c r="O62" s="19"/>
      <c r="P62" s="19"/>
      <c r="Q62" s="19"/>
      <c r="R62" s="19"/>
    </row>
    <row r="63" spans="1:18" x14ac:dyDescent="0.35">
      <c r="A63" s="19"/>
      <c r="B63" s="19"/>
      <c r="C63" s="19"/>
      <c r="D63" s="19"/>
      <c r="E63" s="19"/>
      <c r="F63" s="19"/>
      <c r="G63" s="19"/>
      <c r="H63" s="19"/>
      <c r="I63" s="19"/>
      <c r="J63" s="19"/>
      <c r="K63" s="19"/>
      <c r="L63" s="19"/>
      <c r="M63" s="19"/>
      <c r="N63" s="19"/>
      <c r="O63" s="19"/>
      <c r="P63" s="19"/>
      <c r="Q63" s="19"/>
      <c r="R63" s="19"/>
    </row>
    <row r="64" spans="1:18" x14ac:dyDescent="0.35">
      <c r="A64" s="19"/>
      <c r="B64" s="19"/>
      <c r="C64" s="19"/>
      <c r="D64" s="19"/>
      <c r="E64" s="19"/>
      <c r="F64" s="19"/>
      <c r="G64" s="19"/>
      <c r="H64" s="19"/>
      <c r="I64" s="19"/>
      <c r="J64" s="19"/>
      <c r="K64" s="19"/>
      <c r="L64" s="19"/>
      <c r="M64" s="19"/>
      <c r="N64" s="19"/>
      <c r="O64" s="19"/>
      <c r="P64" s="19"/>
      <c r="Q64" s="19"/>
      <c r="R64" s="19"/>
    </row>
    <row r="65" spans="1:18" x14ac:dyDescent="0.35">
      <c r="A65" s="19"/>
      <c r="B65" s="19"/>
      <c r="C65" s="19"/>
      <c r="D65" s="19"/>
      <c r="E65" s="19"/>
      <c r="F65" s="19"/>
      <c r="G65" s="19"/>
      <c r="H65" s="19"/>
      <c r="I65" s="19"/>
      <c r="J65" s="19"/>
      <c r="K65" s="19"/>
      <c r="L65" s="19"/>
      <c r="M65" s="19"/>
      <c r="N65" s="19"/>
      <c r="O65" s="19"/>
      <c r="P65" s="19"/>
      <c r="Q65" s="19"/>
      <c r="R65" s="19"/>
    </row>
    <row r="66" spans="1:18" x14ac:dyDescent="0.35">
      <c r="A66" s="19"/>
      <c r="B66" s="19"/>
      <c r="C66" s="19"/>
      <c r="D66" s="19"/>
      <c r="E66" s="19"/>
      <c r="F66" s="19"/>
      <c r="G66" s="19"/>
      <c r="H66" s="19"/>
      <c r="I66" s="19"/>
      <c r="J66" s="19"/>
      <c r="K66" s="19"/>
      <c r="L66" s="19"/>
      <c r="M66" s="19"/>
      <c r="N66" s="19"/>
      <c r="O66" s="19"/>
      <c r="P66" s="19"/>
      <c r="Q66" s="19"/>
      <c r="R66" s="19"/>
    </row>
    <row r="67" spans="1:18" x14ac:dyDescent="0.35">
      <c r="A67" s="19"/>
      <c r="B67" s="19"/>
      <c r="C67" s="19"/>
      <c r="D67" s="19"/>
      <c r="E67" s="19"/>
      <c r="F67" s="19"/>
      <c r="G67" s="19"/>
      <c r="H67" s="19"/>
      <c r="I67" s="19"/>
      <c r="J67" s="19"/>
      <c r="K67" s="19"/>
      <c r="L67" s="19"/>
      <c r="M67" s="19"/>
      <c r="N67" s="19"/>
      <c r="O67" s="19"/>
      <c r="P67" s="19"/>
      <c r="Q67" s="19"/>
      <c r="R67" s="19"/>
    </row>
    <row r="68" spans="1:18" ht="20" customHeight="1" thickBot="1" x14ac:dyDescent="0.4">
      <c r="A68" s="19"/>
      <c r="B68" s="243" t="s">
        <v>7066</v>
      </c>
      <c r="C68" s="243"/>
      <c r="D68" s="243"/>
      <c r="E68" s="243"/>
      <c r="F68" s="243"/>
      <c r="G68" s="243"/>
      <c r="H68" s="243"/>
      <c r="I68" s="243"/>
      <c r="J68" s="243"/>
      <c r="K68" s="243"/>
      <c r="L68" s="243"/>
      <c r="M68" s="243"/>
      <c r="N68" s="243"/>
      <c r="O68" s="243"/>
      <c r="P68" s="243"/>
      <c r="Q68" s="243"/>
      <c r="R68" s="19"/>
    </row>
    <row r="69" spans="1:18" x14ac:dyDescent="0.35">
      <c r="A69" s="19"/>
      <c r="B69" s="279" t="s">
        <v>7067</v>
      </c>
      <c r="C69" s="279"/>
      <c r="D69" s="279"/>
      <c r="E69" s="279"/>
      <c r="F69" s="279"/>
      <c r="G69" s="279"/>
      <c r="H69" s="279"/>
      <c r="I69" s="279"/>
      <c r="J69" s="283" t="str">
        <f>"📅 SALES BY PRODUCT ON "&amp;TEXT(AnalysisDate,"[$-409]dd mmm yyyy")</f>
        <v>📅 SALES BY PRODUCT ON 08 Oct 2026</v>
      </c>
      <c r="K69" s="283"/>
      <c r="L69" s="283"/>
      <c r="M69" s="283"/>
      <c r="N69" s="283"/>
      <c r="O69" s="283"/>
      <c r="P69" s="283"/>
      <c r="Q69" s="283"/>
      <c r="R69" s="19"/>
    </row>
    <row r="70" spans="1:18" x14ac:dyDescent="0.35">
      <c r="A70" s="19"/>
      <c r="B70" s="122" t="s">
        <v>4287</v>
      </c>
      <c r="C70" s="282" t="s">
        <v>5075</v>
      </c>
      <c r="D70" s="282"/>
      <c r="E70" s="282"/>
      <c r="F70" s="282" t="s">
        <v>6956</v>
      </c>
      <c r="G70" s="282"/>
      <c r="H70" s="122" t="s">
        <v>6948</v>
      </c>
      <c r="I70" s="122" t="s">
        <v>6936</v>
      </c>
      <c r="J70" s="282" t="s">
        <v>5075</v>
      </c>
      <c r="K70" s="282"/>
      <c r="L70" s="282"/>
      <c r="M70" s="282"/>
      <c r="N70" s="122" t="s">
        <v>37</v>
      </c>
      <c r="O70" s="282" t="s">
        <v>6956</v>
      </c>
      <c r="P70" s="282"/>
      <c r="Q70" s="122" t="s">
        <v>6948</v>
      </c>
      <c r="R70" s="19"/>
    </row>
    <row r="71" spans="1:18" x14ac:dyDescent="0.35">
      <c r="A71" s="19"/>
      <c r="B71" s="26">
        <f>'Dashboard Data'!P21</f>
        <v>1</v>
      </c>
      <c r="C71" s="55" t="str">
        <f>'Dashboard Data'!Q21</f>
        <v>Chino Pants</v>
      </c>
      <c r="D71" s="55"/>
      <c r="E71" s="55"/>
      <c r="F71" s="287">
        <f>'Dashboard Data'!R21*1000000</f>
        <v>1471350000</v>
      </c>
      <c r="G71" s="55"/>
      <c r="H71" s="23">
        <f>'Dashboard Data'!S21</f>
        <v>0.12962790839046337</v>
      </c>
      <c r="I71" s="288">
        <f>'Dashboard Data'!T21</f>
        <v>608158000</v>
      </c>
      <c r="J71" s="55" t="str" cm="1">
        <f t="array" ref="J71">INDEX(_xlfn.SORTBY('Dashboard Data'!$Q$7:$Q$16,'Dashboard Data'!$U$7:$U$16,-1),1)</f>
        <v>Casual Shirt</v>
      </c>
      <c r="K71" s="55"/>
      <c r="L71" s="55"/>
      <c r="M71" s="55"/>
      <c r="N71" s="31">
        <f>_xlfn.XLOOKUP(J71,'Dashboard Data'!$Q$7:$Q$16,'Dashboard Data'!$V$7:$V$16,0)</f>
        <v>127</v>
      </c>
      <c r="O71" s="64">
        <f>_xlfn.XLOOKUP(J71,'Dashboard Data'!$Q$7:$Q$16,'Dashboard Data'!$U$7:$U$16,0)</f>
        <v>15240000</v>
      </c>
      <c r="P71" s="55"/>
      <c r="Q71" s="28">
        <f>IFERROR(O71/'Dashboard Data'!$U$17,0)</f>
        <v>0.31435643564356436</v>
      </c>
      <c r="R71" s="19"/>
    </row>
    <row r="72" spans="1:18" x14ac:dyDescent="0.35">
      <c r="A72" s="19"/>
      <c r="B72" s="27">
        <f>'Dashboard Data'!P22</f>
        <v>2</v>
      </c>
      <c r="C72" s="56" t="str">
        <f>'Dashboard Data'!Q22</f>
        <v>Casual Shirt</v>
      </c>
      <c r="D72" s="56"/>
      <c r="E72" s="56"/>
      <c r="F72" s="289">
        <f>'Dashboard Data'!R22*1000000</f>
        <v>1400280000</v>
      </c>
      <c r="G72" s="56"/>
      <c r="H72" s="24">
        <f>'Dashboard Data'!S22</f>
        <v>0.12336654607061411</v>
      </c>
      <c r="I72" s="290">
        <f>'Dashboard Data'!T22</f>
        <v>560112000</v>
      </c>
      <c r="J72" s="56" t="str" cm="1">
        <f t="array" ref="J72">INDEX(_xlfn.SORTBY('Dashboard Data'!$Q$7:$Q$16,'Dashboard Data'!$U$7:$U$16,-1),2)</f>
        <v>Casual Shorts</v>
      </c>
      <c r="K72" s="56"/>
      <c r="L72" s="56"/>
      <c r="M72" s="56"/>
      <c r="N72" s="32">
        <f>_xlfn.XLOOKUP(J72,'Dashboard Data'!$Q$7:$Q$16,'Dashboard Data'!$V$7:$V$16,0)</f>
        <v>124</v>
      </c>
      <c r="O72" s="65">
        <f>_xlfn.XLOOKUP(J72,'Dashboard Data'!$Q$7:$Q$16,'Dashboard Data'!$U$7:$U$16,0)</f>
        <v>10540000</v>
      </c>
      <c r="P72" s="56"/>
      <c r="Q72" s="29">
        <f>IFERROR(O72/'Dashboard Data'!$U$17,0)</f>
        <v>0.21740924092409242</v>
      </c>
      <c r="R72" s="19"/>
    </row>
    <row r="73" spans="1:18" x14ac:dyDescent="0.35">
      <c r="A73" s="19"/>
      <c r="B73" s="27">
        <f>'Dashboard Data'!P23</f>
        <v>3</v>
      </c>
      <c r="C73" s="56" t="str">
        <f>'Dashboard Data'!Q23</f>
        <v>Wireless Earbuds Pro</v>
      </c>
      <c r="D73" s="56"/>
      <c r="E73" s="56"/>
      <c r="F73" s="289">
        <f>'Dashboard Data'!R23*1000000</f>
        <v>1393750000</v>
      </c>
      <c r="G73" s="56"/>
      <c r="H73" s="24">
        <f>'Dashboard Data'!S23</f>
        <v>0.12279124431250779</v>
      </c>
      <c r="I73" s="290">
        <f>'Dashboard Data'!T23</f>
        <v>479450000</v>
      </c>
      <c r="J73" s="56" t="str" cm="1">
        <f t="array" ref="J73">INDEX(_xlfn.SORTBY('Dashboard Data'!$Q$7:$Q$16,'Dashboard Data'!$U$7:$U$16,-1),3)</f>
        <v>Sneakers</v>
      </c>
      <c r="K73" s="56"/>
      <c r="L73" s="56"/>
      <c r="M73" s="56"/>
      <c r="N73" s="32">
        <f>_xlfn.XLOOKUP(J73,'Dashboard Data'!$Q$7:$Q$16,'Dashboard Data'!$V$7:$V$16,0)</f>
        <v>24</v>
      </c>
      <c r="O73" s="65">
        <f>_xlfn.XLOOKUP(J73,'Dashboard Data'!$Q$7:$Q$16,'Dashboard Data'!$U$7:$U$16,0)</f>
        <v>6000000</v>
      </c>
      <c r="P73" s="56"/>
      <c r="Q73" s="29">
        <f>IFERROR(O73/'Dashboard Data'!$U$17,0)</f>
        <v>0.12376237623762376</v>
      </c>
      <c r="R73" s="19"/>
    </row>
    <row r="74" spans="1:18" x14ac:dyDescent="0.35">
      <c r="A74" s="19"/>
      <c r="B74" s="27">
        <f>'Dashboard Data'!P24</f>
        <v>4</v>
      </c>
      <c r="C74" s="56" t="str">
        <f>'Dashboard Data'!Q24</f>
        <v>Backpack</v>
      </c>
      <c r="D74" s="56"/>
      <c r="E74" s="56"/>
      <c r="F74" s="289">
        <f>'Dashboard Data'!R24*1000000</f>
        <v>1265500000</v>
      </c>
      <c r="G74" s="56"/>
      <c r="H74" s="24">
        <f>'Dashboard Data'!S24</f>
        <v>0.1114922473022268</v>
      </c>
      <c r="I74" s="290">
        <f>'Dashboard Data'!T24</f>
        <v>531510000</v>
      </c>
      <c r="J74" s="56" t="str" cm="1">
        <f t="array" ref="J74">INDEX(_xlfn.SORTBY('Dashboard Data'!$Q$7:$Q$16,'Dashboard Data'!$U$7:$U$16,-1),4)</f>
        <v>Bomber Jacket</v>
      </c>
      <c r="K74" s="56"/>
      <c r="L74" s="56"/>
      <c r="M74" s="56"/>
      <c r="N74" s="32">
        <f>_xlfn.XLOOKUP(J74,'Dashboard Data'!$Q$7:$Q$16,'Dashboard Data'!$V$7:$V$16,0)</f>
        <v>16</v>
      </c>
      <c r="O74" s="65">
        <f>_xlfn.XLOOKUP(J74,'Dashboard Data'!$Q$7:$Q$16,'Dashboard Data'!$U$7:$U$16,0)</f>
        <v>5600000</v>
      </c>
      <c r="P74" s="56"/>
      <c r="Q74" s="29">
        <f>IFERROR(O74/'Dashboard Data'!$U$17,0)</f>
        <v>0.11551155115511551</v>
      </c>
      <c r="R74" s="19"/>
    </row>
    <row r="75" spans="1:18" x14ac:dyDescent="0.35">
      <c r="A75" s="19"/>
      <c r="B75" s="296">
        <f>'Dashboard Data'!P25</f>
        <v>5</v>
      </c>
      <c r="C75" s="291" t="str">
        <f>'Dashboard Data'!Q25</f>
        <v>Casual Shorts</v>
      </c>
      <c r="D75" s="291"/>
      <c r="E75" s="291"/>
      <c r="F75" s="292">
        <f>'Dashboard Data'!R25*1000000</f>
        <v>1166030000</v>
      </c>
      <c r="G75" s="291"/>
      <c r="H75" s="25">
        <f>'Dashboard Data'!S25</f>
        <v>0.10272880689199172</v>
      </c>
      <c r="I75" s="293">
        <f>'Dashboard Data'!T25</f>
        <v>480130000</v>
      </c>
      <c r="J75" s="56" t="str" cm="1">
        <f t="array" ref="J75">INDEX(_xlfn.SORTBY('Dashboard Data'!$Q$7:$Q$16,'Dashboard Data'!$U$7:$U$16,-1),5)</f>
        <v>Premium Basic T-shirt</v>
      </c>
      <c r="K75" s="56"/>
      <c r="L75" s="56"/>
      <c r="M75" s="56"/>
      <c r="N75" s="32">
        <f>_xlfn.XLOOKUP(J75,'Dashboard Data'!$Q$7:$Q$16,'Dashboard Data'!$V$7:$V$16,0)</f>
        <v>80</v>
      </c>
      <c r="O75" s="65">
        <f>_xlfn.XLOOKUP(J75,'Dashboard Data'!$Q$7:$Q$16,'Dashboard Data'!$U$7:$U$16,0)</f>
        <v>5200000</v>
      </c>
      <c r="P75" s="56"/>
      <c r="Q75" s="29">
        <f>IFERROR(O75/'Dashboard Data'!$U$17,0)</f>
        <v>0.10726072607260725</v>
      </c>
      <c r="R75" s="19"/>
    </row>
    <row r="76" spans="1:18" x14ac:dyDescent="0.35">
      <c r="A76" s="19"/>
      <c r="B76" s="19"/>
      <c r="C76" s="19"/>
      <c r="D76" s="19"/>
      <c r="E76" s="19"/>
      <c r="F76" s="19"/>
      <c r="G76" s="19"/>
      <c r="H76" s="19"/>
      <c r="I76" s="19"/>
      <c r="J76" s="56" t="str" cm="1">
        <f t="array" ref="J76">INDEX(_xlfn.SORTBY('Dashboard Data'!$Q$7:$Q$16,'Dashboard Data'!$U$7:$U$16,-1),6)</f>
        <v>Backpack</v>
      </c>
      <c r="K76" s="56"/>
      <c r="L76" s="56"/>
      <c r="M76" s="56"/>
      <c r="N76" s="32">
        <f>_xlfn.XLOOKUP(J76,'Dashboard Data'!$Q$7:$Q$16,'Dashboard Data'!$V$7:$V$16,0)</f>
        <v>10</v>
      </c>
      <c r="O76" s="65">
        <f>_xlfn.XLOOKUP(J76,'Dashboard Data'!$Q$7:$Q$16,'Dashboard Data'!$U$7:$U$16,0)</f>
        <v>5000000</v>
      </c>
      <c r="P76" s="56"/>
      <c r="Q76" s="29">
        <f>IFERROR(O76/'Dashboard Data'!$U$17,0)</f>
        <v>0.10313531353135313</v>
      </c>
      <c r="R76" s="19"/>
    </row>
    <row r="77" spans="1:18" x14ac:dyDescent="0.35">
      <c r="A77" s="19"/>
      <c r="B77" s="66" t="s">
        <v>7069</v>
      </c>
      <c r="C77" s="66"/>
      <c r="D77" s="66"/>
      <c r="E77" s="66"/>
      <c r="F77" s="66"/>
      <c r="G77" s="66"/>
      <c r="H77" s="66"/>
      <c r="I77" s="66"/>
      <c r="J77" s="56" t="str" cm="1">
        <f t="array" ref="J77">INDEX(_xlfn.SORTBY('Dashboard Data'!$Q$7:$Q$16,'Dashboard Data'!$U$7:$U$16,-1),7)</f>
        <v>Socks &amp; Accessories</v>
      </c>
      <c r="K77" s="56"/>
      <c r="L77" s="56"/>
      <c r="M77" s="56"/>
      <c r="N77" s="32">
        <f>_xlfn.XLOOKUP(J77,'Dashboard Data'!$Q$7:$Q$16,'Dashboard Data'!$V$7:$V$16,0)</f>
        <v>10</v>
      </c>
      <c r="O77" s="65">
        <f>_xlfn.XLOOKUP(J77,'Dashboard Data'!$Q$7:$Q$16,'Dashboard Data'!$U$7:$U$16,0)</f>
        <v>450000</v>
      </c>
      <c r="P77" s="56"/>
      <c r="Q77" s="29">
        <f>IFERROR(O77/'Dashboard Data'!$U$17,0)</f>
        <v>9.2821782178217817E-3</v>
      </c>
      <c r="R77" s="19"/>
    </row>
    <row r="78" spans="1:18" x14ac:dyDescent="0.35">
      <c r="A78" s="19"/>
      <c r="B78" s="282" t="s">
        <v>6858</v>
      </c>
      <c r="C78" s="282"/>
      <c r="D78" s="282"/>
      <c r="E78" s="282"/>
      <c r="F78" s="282" t="s">
        <v>6860</v>
      </c>
      <c r="G78" s="282"/>
      <c r="H78" s="282" t="s">
        <v>4276</v>
      </c>
      <c r="I78" s="282"/>
      <c r="J78" s="56" t="str" cm="1">
        <f t="array" ref="J78">INDEX(_xlfn.SORTBY('Dashboard Data'!$Q$7:$Q$16,'Dashboard Data'!$U$7:$U$16,-1),8)</f>
        <v>Chino Pants</v>
      </c>
      <c r="K78" s="56"/>
      <c r="L78" s="56"/>
      <c r="M78" s="56"/>
      <c r="N78" s="32">
        <f>_xlfn.XLOOKUP(J78,'Dashboard Data'!$Q$7:$Q$16,'Dashboard Data'!$V$7:$V$16,0)</f>
        <v>3</v>
      </c>
      <c r="O78" s="65">
        <f>_xlfn.XLOOKUP(J78,'Dashboard Data'!$Q$7:$Q$16,'Dashboard Data'!$U$7:$U$16,0)</f>
        <v>450000</v>
      </c>
      <c r="P78" s="56"/>
      <c r="Q78" s="29">
        <f>IFERROR(O78/'Dashboard Data'!$U$17,0)</f>
        <v>9.2821782178217817E-3</v>
      </c>
      <c r="R78" s="19"/>
    </row>
    <row r="79" spans="1:18" x14ac:dyDescent="0.35">
      <c r="A79" s="19"/>
      <c r="B79" s="57" t="s">
        <v>6864</v>
      </c>
      <c r="C79" s="57"/>
      <c r="D79" s="57"/>
      <c r="E79" s="57"/>
      <c r="F79" s="58">
        <f>Ratios!D9</f>
        <v>3.3235778275799013</v>
      </c>
      <c r="G79" s="59"/>
      <c r="H79" s="304" t="str">
        <f>Ratios!G9</f>
        <v>✔ Healthy</v>
      </c>
      <c r="I79" s="304"/>
      <c r="J79" s="56" t="str" cm="1">
        <f t="array" ref="J79">INDEX(_xlfn.SORTBY('Dashboard Data'!$Q$7:$Q$16,'Dashboard Data'!$U$7:$U$16,-1),9)</f>
        <v>Smartwatch</v>
      </c>
      <c r="K79" s="56"/>
      <c r="L79" s="56"/>
      <c r="M79" s="56"/>
      <c r="N79" s="32">
        <f>_xlfn.XLOOKUP(J79,'Dashboard Data'!$Q$7:$Q$16,'Dashboard Data'!$V$7:$V$16,0)</f>
        <v>0</v>
      </c>
      <c r="O79" s="65">
        <f>_xlfn.XLOOKUP(J79,'Dashboard Data'!$Q$7:$Q$16,'Dashboard Data'!$U$7:$U$16,0)</f>
        <v>0</v>
      </c>
      <c r="P79" s="56"/>
      <c r="Q79" s="29">
        <f>IFERROR(O79/'Dashboard Data'!$U$17,0)</f>
        <v>0</v>
      </c>
      <c r="R79" s="19"/>
    </row>
    <row r="80" spans="1:18" x14ac:dyDescent="0.35">
      <c r="A80" s="19"/>
      <c r="B80" s="60" t="s">
        <v>6867</v>
      </c>
      <c r="C80" s="60"/>
      <c r="D80" s="60"/>
      <c r="E80" s="60"/>
      <c r="F80" s="61">
        <f>Ratios!D10</f>
        <v>2.4115835554992158</v>
      </c>
      <c r="G80" s="62"/>
      <c r="H80" s="305" t="str">
        <f>Ratios!G10</f>
        <v>✔ Healthy</v>
      </c>
      <c r="I80" s="305"/>
      <c r="J80" s="291" t="str" cm="1">
        <f t="array" ref="J80">INDEX(_xlfn.SORTBY('Dashboard Data'!$Q$7:$Q$16,'Dashboard Data'!$U$7:$U$16,-1),10)</f>
        <v>Wireless Earbuds Pro</v>
      </c>
      <c r="K80" s="291"/>
      <c r="L80" s="291"/>
      <c r="M80" s="291"/>
      <c r="N80" s="300">
        <f>_xlfn.XLOOKUP(J80,'Dashboard Data'!$Q$7:$Q$16,'Dashboard Data'!$V$7:$V$16,0)</f>
        <v>0</v>
      </c>
      <c r="O80" s="294">
        <f>_xlfn.XLOOKUP(J80,'Dashboard Data'!$Q$7:$Q$16,'Dashboard Data'!$U$7:$U$16,0)</f>
        <v>0</v>
      </c>
      <c r="P80" s="291"/>
      <c r="Q80" s="30">
        <f>IFERROR(O80/'Dashboard Data'!$U$17,0)</f>
        <v>0</v>
      </c>
      <c r="R80" s="19"/>
    </row>
    <row r="81" spans="1:18" x14ac:dyDescent="0.35">
      <c r="A81" s="19"/>
      <c r="B81" s="60" t="s">
        <v>6883</v>
      </c>
      <c r="C81" s="60"/>
      <c r="D81" s="60"/>
      <c r="E81" s="60"/>
      <c r="F81" s="63">
        <f>Ratios!D16</f>
        <v>8.12931550103453E-2</v>
      </c>
      <c r="G81" s="62"/>
      <c r="H81" s="305" t="str">
        <f>Ratios!G16</f>
        <v>✔ Healthy</v>
      </c>
      <c r="I81" s="305"/>
      <c r="J81" s="284" t="s">
        <v>7068</v>
      </c>
      <c r="K81" s="284"/>
      <c r="L81" s="284"/>
      <c r="M81" s="284"/>
      <c r="N81" s="301">
        <f>'Dashboard Data'!V17</f>
        <v>394</v>
      </c>
      <c r="O81" s="285">
        <f>'Dashboard Data'!U17</f>
        <v>48480000</v>
      </c>
      <c r="P81" s="281"/>
      <c r="Q81" s="280"/>
      <c r="R81" s="19"/>
    </row>
    <row r="82" spans="1:18" x14ac:dyDescent="0.35">
      <c r="A82" s="19"/>
      <c r="B82" s="60" t="s">
        <v>7070</v>
      </c>
      <c r="C82" s="60"/>
      <c r="D82" s="60"/>
      <c r="E82" s="60"/>
      <c r="F82" s="63">
        <f>Ratios!D17</f>
        <v>0.15911664365058428</v>
      </c>
      <c r="G82" s="62"/>
      <c r="H82" s="305" t="str">
        <f>Ratios!G17</f>
        <v>✔ Healthy</v>
      </c>
      <c r="I82" s="305"/>
      <c r="J82" s="19"/>
      <c r="K82" s="19"/>
      <c r="L82" s="19"/>
      <c r="M82" s="19"/>
      <c r="N82" s="19"/>
      <c r="O82" s="19"/>
      <c r="P82" s="19"/>
      <c r="Q82" s="19"/>
      <c r="R82" s="19"/>
    </row>
    <row r="83" spans="1:18" x14ac:dyDescent="0.35">
      <c r="A83" s="19"/>
      <c r="B83" s="60" t="s">
        <v>7071</v>
      </c>
      <c r="C83" s="60"/>
      <c r="D83" s="60"/>
      <c r="E83" s="60"/>
      <c r="F83" s="63">
        <f>Ratios!D18</f>
        <v>0.2660897337499849</v>
      </c>
      <c r="G83" s="62"/>
      <c r="H83" s="305" t="str">
        <f>Ratios!G18</f>
        <v>✔ Healthy</v>
      </c>
      <c r="I83" s="305"/>
      <c r="J83" s="286" t="s">
        <v>7072</v>
      </c>
      <c r="K83" s="286"/>
      <c r="L83" s="286"/>
      <c r="M83" s="286"/>
      <c r="N83" s="286"/>
      <c r="O83" s="286"/>
      <c r="P83" s="286"/>
      <c r="Q83" s="286"/>
      <c r="R83" s="19"/>
    </row>
    <row r="84" spans="1:18" x14ac:dyDescent="0.35">
      <c r="A84" s="19"/>
      <c r="B84" s="60" t="s">
        <v>6893</v>
      </c>
      <c r="C84" s="60"/>
      <c r="D84" s="60"/>
      <c r="E84" s="60"/>
      <c r="F84" s="61">
        <f>Ratios!D20</f>
        <v>0.59510387201823212</v>
      </c>
      <c r="G84" s="62"/>
      <c r="H84" s="305" t="str">
        <f>Ratios!G20</f>
        <v>✔ Healthy</v>
      </c>
      <c r="I84" s="305"/>
      <c r="J84" s="122" t="s">
        <v>4287</v>
      </c>
      <c r="K84" s="282" t="s">
        <v>6961</v>
      </c>
      <c r="L84" s="282"/>
      <c r="M84" s="282"/>
      <c r="N84" s="282"/>
      <c r="O84" s="282" t="s">
        <v>6956</v>
      </c>
      <c r="P84" s="282"/>
      <c r="Q84" s="122" t="s">
        <v>6948</v>
      </c>
      <c r="R84" s="19"/>
    </row>
    <row r="85" spans="1:18" x14ac:dyDescent="0.35">
      <c r="A85" s="19"/>
      <c r="B85" s="295" t="s">
        <v>6899</v>
      </c>
      <c r="C85" s="295"/>
      <c r="D85" s="295"/>
      <c r="E85" s="295"/>
      <c r="F85" s="302">
        <f>Ratios!D22</f>
        <v>10.316882318110236</v>
      </c>
      <c r="G85" s="303"/>
      <c r="H85" s="306" t="str">
        <f>Ratios!G22</f>
        <v>✔ Healthy</v>
      </c>
      <c r="I85" s="306"/>
      <c r="J85" s="297">
        <v>1</v>
      </c>
      <c r="K85" s="55" t="str">
        <f>'Dashboard Data'!X28</f>
        <v>PT Graha Nusa Persada</v>
      </c>
      <c r="L85" s="55"/>
      <c r="M85" s="55"/>
      <c r="N85" s="55"/>
      <c r="O85" s="287">
        <f>'Dashboard Data'!Y28</f>
        <v>927360000</v>
      </c>
      <c r="P85" s="55"/>
      <c r="Q85" s="23">
        <f>IFERROR(O85/Revenue,0)</f>
        <v>8.1701659785217734E-2</v>
      </c>
      <c r="R85" s="19"/>
    </row>
    <row r="86" spans="1:18" x14ac:dyDescent="0.35">
      <c r="A86" s="19"/>
      <c r="B86" s="19"/>
      <c r="C86" s="19"/>
      <c r="D86" s="19"/>
      <c r="E86" s="19"/>
      <c r="F86" s="19"/>
      <c r="G86" s="19"/>
      <c r="H86" s="19"/>
      <c r="I86" s="19"/>
      <c r="J86" s="298">
        <v>2</v>
      </c>
      <c r="K86" s="56" t="str">
        <f>'Dashboard Data'!X29</f>
        <v>PT Bintang Timur Sejahtera</v>
      </c>
      <c r="L86" s="56"/>
      <c r="M86" s="56"/>
      <c r="N86" s="56"/>
      <c r="O86" s="289">
        <f>'Dashboard Data'!Y29</f>
        <v>844240000</v>
      </c>
      <c r="P86" s="56"/>
      <c r="Q86" s="24">
        <f>IFERROR(O86/Revenue,0)</f>
        <v>7.4378676303778715E-2</v>
      </c>
      <c r="R86" s="19"/>
    </row>
    <row r="87" spans="1:18" x14ac:dyDescent="0.35">
      <c r="A87" s="19"/>
      <c r="B87" s="19"/>
      <c r="C87" s="19"/>
      <c r="D87" s="19"/>
      <c r="E87" s="19"/>
      <c r="F87" s="19"/>
      <c r="G87" s="19"/>
      <c r="H87" s="19"/>
      <c r="I87" s="19"/>
      <c r="J87" s="298">
        <v>3</v>
      </c>
      <c r="K87" s="56" t="str">
        <f>'Dashboard Data'!X30</f>
        <v>PT Cahaya Abadi Makmur</v>
      </c>
      <c r="L87" s="56"/>
      <c r="M87" s="56"/>
      <c r="N87" s="56"/>
      <c r="O87" s="289">
        <f>'Dashboard Data'!Y30</f>
        <v>827360000</v>
      </c>
      <c r="P87" s="56"/>
      <c r="Q87" s="24">
        <f>IFERROR(O87/Revenue,0)</f>
        <v>7.2891525664140949E-2</v>
      </c>
      <c r="R87" s="19"/>
    </row>
    <row r="88" spans="1:18" x14ac:dyDescent="0.35">
      <c r="A88" s="19"/>
      <c r="B88" s="19"/>
      <c r="C88" s="19"/>
      <c r="D88" s="19"/>
      <c r="E88" s="19"/>
      <c r="F88" s="19"/>
      <c r="G88" s="19"/>
      <c r="H88" s="19"/>
      <c r="I88" s="19"/>
      <c r="J88" s="298">
        <v>4</v>
      </c>
      <c r="K88" s="56" t="str">
        <f>'Dashboard Data'!X31</f>
        <v>PT Delta Inti Selaras</v>
      </c>
      <c r="L88" s="56"/>
      <c r="M88" s="56"/>
      <c r="N88" s="56"/>
      <c r="O88" s="289">
        <f>'Dashboard Data'!Y31</f>
        <v>821240000</v>
      </c>
      <c r="P88" s="56"/>
      <c r="Q88" s="24">
        <f>IFERROR(O88/Revenue,0)</f>
        <v>7.2352345455931055E-2</v>
      </c>
      <c r="R88" s="19"/>
    </row>
    <row r="89" spans="1:18" x14ac:dyDescent="0.35">
      <c r="A89" s="19"/>
      <c r="B89" s="19"/>
      <c r="C89" s="19"/>
      <c r="D89" s="19"/>
      <c r="E89" s="19"/>
      <c r="F89" s="19"/>
      <c r="G89" s="19"/>
      <c r="H89" s="19"/>
      <c r="I89" s="19"/>
      <c r="J89" s="299">
        <v>5</v>
      </c>
      <c r="K89" s="291" t="str">
        <f>'Dashboard Data'!X32</f>
        <v>PT Mega Prima Distribusi</v>
      </c>
      <c r="L89" s="291"/>
      <c r="M89" s="291"/>
      <c r="N89" s="291"/>
      <c r="O89" s="292">
        <f>'Dashboard Data'!Y32</f>
        <v>776080000</v>
      </c>
      <c r="P89" s="291"/>
      <c r="Q89" s="25">
        <f>IFERROR(O89/Revenue,0)</f>
        <v>6.8373688886852774E-2</v>
      </c>
      <c r="R89" s="19"/>
    </row>
    <row r="90" spans="1:18" x14ac:dyDescent="0.35">
      <c r="A90" s="19"/>
      <c r="B90" s="19"/>
      <c r="C90" s="19"/>
      <c r="D90" s="19"/>
      <c r="E90" s="19"/>
      <c r="F90" s="19"/>
      <c r="G90" s="19"/>
      <c r="H90" s="19"/>
      <c r="I90" s="19"/>
      <c r="J90" s="19"/>
      <c r="K90" s="19"/>
      <c r="L90" s="19"/>
      <c r="M90" s="19"/>
      <c r="N90" s="19"/>
      <c r="O90" s="19"/>
      <c r="P90" s="19"/>
      <c r="Q90" s="19"/>
      <c r="R90" s="19"/>
    </row>
    <row r="91" spans="1:18" ht="20" customHeight="1" thickBot="1" x14ac:dyDescent="0.4">
      <c r="A91" s="19"/>
      <c r="B91" s="243" t="s">
        <v>7073</v>
      </c>
      <c r="C91" s="243"/>
      <c r="D91" s="243"/>
      <c r="E91" s="243"/>
      <c r="F91" s="243"/>
      <c r="G91" s="243"/>
      <c r="H91" s="243"/>
      <c r="I91" s="243"/>
      <c r="J91" s="243"/>
      <c r="K91" s="243"/>
      <c r="L91" s="243"/>
      <c r="M91" s="243"/>
      <c r="N91" s="243"/>
      <c r="O91" s="243"/>
      <c r="P91" s="243"/>
      <c r="Q91" s="243"/>
      <c r="R91" s="19"/>
    </row>
    <row r="92" spans="1:18" x14ac:dyDescent="0.35">
      <c r="A92" s="19"/>
      <c r="B92" s="19"/>
      <c r="C92" s="19"/>
      <c r="D92" s="19"/>
      <c r="E92" s="19"/>
      <c r="F92" s="19"/>
      <c r="G92" s="19"/>
      <c r="H92" s="19"/>
      <c r="I92" s="19"/>
      <c r="J92" s="19"/>
      <c r="K92" s="19"/>
      <c r="L92" s="19"/>
      <c r="M92" s="19"/>
      <c r="N92" s="19"/>
      <c r="O92" s="19"/>
      <c r="P92" s="19"/>
      <c r="Q92" s="19"/>
      <c r="R92" s="19"/>
    </row>
    <row r="93" spans="1:18" x14ac:dyDescent="0.35">
      <c r="A93" s="19"/>
      <c r="B93" s="19"/>
      <c r="C93" s="19"/>
      <c r="D93" s="19"/>
      <c r="E93" s="19"/>
      <c r="F93" s="19"/>
      <c r="G93" s="19"/>
      <c r="H93" s="19"/>
      <c r="I93" s="19"/>
      <c r="J93" s="19"/>
      <c r="K93" s="19"/>
      <c r="L93" s="19"/>
      <c r="M93" s="19"/>
      <c r="N93" s="19"/>
      <c r="O93" s="19"/>
      <c r="P93" s="19"/>
      <c r="Q93" s="19"/>
      <c r="R93" s="19"/>
    </row>
    <row r="94" spans="1:18" x14ac:dyDescent="0.35">
      <c r="A94" s="19"/>
      <c r="B94" s="19"/>
      <c r="C94" s="19"/>
      <c r="D94" s="19"/>
      <c r="E94" s="19"/>
      <c r="F94" s="19"/>
      <c r="G94" s="19"/>
      <c r="H94" s="19"/>
      <c r="I94" s="19"/>
      <c r="J94" s="19"/>
      <c r="K94" s="19"/>
      <c r="L94" s="19"/>
      <c r="M94" s="19"/>
      <c r="N94" s="19"/>
      <c r="O94" s="19"/>
      <c r="P94" s="19"/>
      <c r="Q94" s="19"/>
      <c r="R94" s="19"/>
    </row>
    <row r="95" spans="1:18" x14ac:dyDescent="0.35">
      <c r="A95" s="19"/>
      <c r="B95" s="19"/>
      <c r="C95" s="19"/>
      <c r="D95" s="19"/>
      <c r="E95" s="19"/>
      <c r="F95" s="19"/>
      <c r="G95" s="19"/>
      <c r="H95" s="19"/>
      <c r="I95" s="19"/>
      <c r="J95" s="19"/>
      <c r="K95" s="19"/>
      <c r="L95" s="19"/>
      <c r="M95" s="19"/>
      <c r="N95" s="19"/>
      <c r="O95" s="19"/>
      <c r="P95" s="19"/>
      <c r="Q95" s="19"/>
      <c r="R95" s="19"/>
    </row>
    <row r="96" spans="1:18" x14ac:dyDescent="0.35">
      <c r="A96" s="19"/>
      <c r="B96" s="19"/>
      <c r="C96" s="19"/>
      <c r="D96" s="19"/>
      <c r="E96" s="19"/>
      <c r="F96" s="19"/>
      <c r="G96" s="19"/>
      <c r="H96" s="19"/>
      <c r="I96" s="19"/>
      <c r="J96" s="19"/>
      <c r="K96" s="19"/>
      <c r="L96" s="19"/>
      <c r="M96" s="19"/>
      <c r="N96" s="19"/>
      <c r="O96" s="19"/>
      <c r="P96" s="19"/>
      <c r="Q96" s="19"/>
      <c r="R96" s="19"/>
    </row>
    <row r="97" spans="1:18" x14ac:dyDescent="0.35">
      <c r="A97" s="19"/>
      <c r="B97" s="19"/>
      <c r="C97" s="19"/>
      <c r="D97" s="19"/>
      <c r="E97" s="19"/>
      <c r="F97" s="19"/>
      <c r="G97" s="19"/>
      <c r="H97" s="19"/>
      <c r="I97" s="19"/>
      <c r="J97" s="19"/>
      <c r="K97" s="19"/>
      <c r="L97" s="19"/>
      <c r="M97" s="19"/>
      <c r="N97" s="19"/>
      <c r="O97" s="19"/>
      <c r="P97" s="19"/>
      <c r="Q97" s="19"/>
      <c r="R97" s="19"/>
    </row>
    <row r="98" spans="1:18" x14ac:dyDescent="0.35">
      <c r="A98" s="19"/>
      <c r="B98" s="19"/>
      <c r="C98" s="19"/>
      <c r="D98" s="19"/>
      <c r="E98" s="19"/>
      <c r="F98" s="19"/>
      <c r="G98" s="19"/>
      <c r="H98" s="19"/>
      <c r="I98" s="19"/>
      <c r="J98" s="19"/>
      <c r="K98" s="19"/>
      <c r="L98" s="19"/>
      <c r="M98" s="19"/>
      <c r="N98" s="19"/>
      <c r="O98" s="19"/>
      <c r="P98" s="19"/>
      <c r="Q98" s="19"/>
      <c r="R98" s="19"/>
    </row>
    <row r="99" spans="1:18" x14ac:dyDescent="0.35">
      <c r="A99" s="19"/>
      <c r="B99" s="19"/>
      <c r="C99" s="19"/>
      <c r="D99" s="19"/>
      <c r="E99" s="19"/>
      <c r="F99" s="19"/>
      <c r="G99" s="19"/>
      <c r="H99" s="19"/>
      <c r="I99" s="19"/>
      <c r="J99" s="19"/>
      <c r="K99" s="19"/>
      <c r="L99" s="19"/>
      <c r="M99" s="19"/>
      <c r="N99" s="19"/>
      <c r="O99" s="19"/>
      <c r="P99" s="19"/>
      <c r="Q99" s="19"/>
      <c r="R99" s="19"/>
    </row>
    <row r="100" spans="1:18" x14ac:dyDescent="0.35">
      <c r="A100" s="19"/>
      <c r="B100" s="19"/>
      <c r="C100" s="19"/>
      <c r="D100" s="19"/>
      <c r="E100" s="19"/>
      <c r="F100" s="19"/>
      <c r="G100" s="19"/>
      <c r="H100" s="19"/>
      <c r="I100" s="19"/>
      <c r="J100" s="19"/>
      <c r="K100" s="19"/>
      <c r="L100" s="19"/>
      <c r="M100" s="19"/>
      <c r="N100" s="19"/>
      <c r="O100" s="19"/>
      <c r="P100" s="19"/>
      <c r="Q100" s="19"/>
      <c r="R100" s="19"/>
    </row>
    <row r="101" spans="1:18" x14ac:dyDescent="0.35">
      <c r="A101" s="19"/>
      <c r="B101" s="19"/>
      <c r="C101" s="19"/>
      <c r="D101" s="19"/>
      <c r="E101" s="19"/>
      <c r="F101" s="19"/>
      <c r="G101" s="19"/>
      <c r="H101" s="19"/>
      <c r="I101" s="19"/>
      <c r="J101" s="19"/>
      <c r="K101" s="19"/>
      <c r="L101" s="19"/>
      <c r="M101" s="19"/>
      <c r="N101" s="19"/>
      <c r="O101" s="19"/>
      <c r="P101" s="19"/>
      <c r="Q101" s="19"/>
      <c r="R101" s="19"/>
    </row>
    <row r="102" spans="1:18" x14ac:dyDescent="0.35">
      <c r="A102" s="19"/>
      <c r="B102" s="19"/>
      <c r="C102" s="19"/>
      <c r="D102" s="19"/>
      <c r="E102" s="19"/>
      <c r="F102" s="19"/>
      <c r="G102" s="19"/>
      <c r="H102" s="19"/>
      <c r="I102" s="19"/>
      <c r="J102" s="19"/>
      <c r="K102" s="19"/>
      <c r="L102" s="19"/>
      <c r="M102" s="19"/>
      <c r="N102" s="19"/>
      <c r="O102" s="19"/>
      <c r="P102" s="19"/>
      <c r="Q102" s="19"/>
      <c r="R102" s="19"/>
    </row>
    <row r="103" spans="1:18" x14ac:dyDescent="0.35">
      <c r="A103" s="19"/>
      <c r="B103" s="19"/>
      <c r="C103" s="19"/>
      <c r="D103" s="19"/>
      <c r="E103" s="19"/>
      <c r="F103" s="19"/>
      <c r="G103" s="19"/>
      <c r="H103" s="19"/>
      <c r="I103" s="19"/>
      <c r="J103" s="19"/>
      <c r="K103" s="19"/>
      <c r="L103" s="19"/>
      <c r="M103" s="19"/>
      <c r="N103" s="19"/>
      <c r="O103" s="19"/>
      <c r="P103" s="19"/>
      <c r="Q103" s="19"/>
      <c r="R103" s="19"/>
    </row>
    <row r="104" spans="1:18" x14ac:dyDescent="0.35">
      <c r="A104" s="19"/>
      <c r="B104" s="19"/>
      <c r="C104" s="19"/>
      <c r="D104" s="19"/>
      <c r="E104" s="19"/>
      <c r="F104" s="19"/>
      <c r="G104" s="19"/>
      <c r="H104" s="19"/>
      <c r="I104" s="19"/>
      <c r="J104" s="19"/>
      <c r="K104" s="19"/>
      <c r="L104" s="19"/>
      <c r="M104" s="19"/>
      <c r="N104" s="19"/>
      <c r="O104" s="19"/>
      <c r="P104" s="19"/>
      <c r="Q104" s="19"/>
      <c r="R104" s="19"/>
    </row>
    <row r="105" spans="1:18" x14ac:dyDescent="0.35">
      <c r="A105" s="19"/>
      <c r="B105" s="19"/>
      <c r="C105" s="19"/>
      <c r="D105" s="19"/>
      <c r="E105" s="19"/>
      <c r="F105" s="19"/>
      <c r="G105" s="19"/>
      <c r="H105" s="19"/>
      <c r="I105" s="19"/>
      <c r="J105" s="19"/>
      <c r="K105" s="19"/>
      <c r="L105" s="19"/>
      <c r="M105" s="19"/>
      <c r="N105" s="19"/>
      <c r="O105" s="19"/>
      <c r="P105" s="19"/>
      <c r="Q105" s="19"/>
      <c r="R105" s="19"/>
    </row>
    <row r="106" spans="1:18" x14ac:dyDescent="0.35">
      <c r="A106" s="19"/>
      <c r="B106" s="19"/>
      <c r="C106" s="19"/>
      <c r="D106" s="19"/>
      <c r="E106" s="19"/>
      <c r="F106" s="19"/>
      <c r="G106" s="19"/>
      <c r="H106" s="19"/>
      <c r="I106" s="19"/>
      <c r="J106" s="19"/>
      <c r="K106" s="19"/>
      <c r="L106" s="19"/>
      <c r="M106" s="19"/>
      <c r="N106" s="19"/>
      <c r="O106" s="19"/>
      <c r="P106" s="19"/>
      <c r="Q106" s="19"/>
      <c r="R106" s="19"/>
    </row>
    <row r="107" spans="1:18" x14ac:dyDescent="0.35">
      <c r="A107" s="19"/>
      <c r="B107" s="19"/>
      <c r="C107" s="19"/>
      <c r="D107" s="19"/>
      <c r="E107" s="19"/>
      <c r="F107" s="19"/>
      <c r="G107" s="19"/>
      <c r="H107" s="19"/>
      <c r="I107" s="19"/>
      <c r="J107" s="19"/>
      <c r="K107" s="19"/>
      <c r="L107" s="19"/>
      <c r="M107" s="19"/>
      <c r="N107" s="19"/>
      <c r="O107" s="19"/>
      <c r="P107" s="19"/>
      <c r="Q107" s="19"/>
      <c r="R107" s="19"/>
    </row>
    <row r="108" spans="1:18" x14ac:dyDescent="0.35">
      <c r="A108" s="19"/>
      <c r="B108" s="19"/>
      <c r="C108" s="19"/>
      <c r="D108" s="19"/>
      <c r="E108" s="19"/>
      <c r="F108" s="19"/>
      <c r="G108" s="19"/>
      <c r="H108" s="19"/>
      <c r="I108" s="19"/>
      <c r="J108" s="19"/>
      <c r="K108" s="19"/>
      <c r="L108" s="19"/>
      <c r="M108" s="19"/>
      <c r="N108" s="19"/>
      <c r="O108" s="19"/>
      <c r="P108" s="19"/>
      <c r="Q108" s="19"/>
      <c r="R108" s="19"/>
    </row>
    <row r="109" spans="1:18" x14ac:dyDescent="0.35">
      <c r="A109" s="19"/>
      <c r="B109" s="242" t="s">
        <v>7074</v>
      </c>
      <c r="C109" s="278"/>
      <c r="D109" s="278"/>
      <c r="E109" s="278"/>
      <c r="F109" s="278"/>
      <c r="G109" s="278"/>
      <c r="H109" s="278"/>
      <c r="I109" s="278"/>
      <c r="J109" s="278"/>
      <c r="K109" s="278"/>
      <c r="L109" s="278"/>
      <c r="M109" s="278"/>
      <c r="N109" s="278"/>
      <c r="O109" s="278"/>
      <c r="P109" s="278"/>
      <c r="Q109" s="278"/>
      <c r="R109" s="19"/>
    </row>
    <row r="110" spans="1:18" x14ac:dyDescent="0.35">
      <c r="A110" s="19"/>
      <c r="B110" s="19"/>
      <c r="C110" s="19"/>
      <c r="D110" s="19"/>
      <c r="E110" s="19"/>
      <c r="F110" s="19"/>
      <c r="G110" s="19"/>
      <c r="H110" s="19"/>
      <c r="I110" s="19"/>
      <c r="J110" s="19"/>
      <c r="K110" s="19"/>
      <c r="L110" s="19"/>
      <c r="M110" s="19"/>
      <c r="N110" s="19"/>
      <c r="O110" s="19"/>
      <c r="P110" s="19"/>
      <c r="Q110" s="19"/>
      <c r="R110" s="19"/>
    </row>
    <row r="111" spans="1:18" x14ac:dyDescent="0.35">
      <c r="A111" s="19"/>
      <c r="B111" s="19"/>
      <c r="C111" s="19"/>
      <c r="D111" s="19"/>
      <c r="E111" s="19"/>
      <c r="F111" s="19"/>
      <c r="G111" s="19"/>
      <c r="H111" s="19"/>
      <c r="I111" s="19"/>
      <c r="J111" s="19"/>
      <c r="K111" s="19"/>
      <c r="L111" s="19"/>
      <c r="M111" s="19"/>
      <c r="N111" s="19"/>
      <c r="O111" s="19"/>
      <c r="P111" s="19"/>
      <c r="Q111" s="19"/>
      <c r="R111" s="19"/>
    </row>
    <row r="112" spans="1:18" x14ac:dyDescent="0.35">
      <c r="A112" s="19"/>
      <c r="B112" s="19"/>
      <c r="C112" s="19"/>
      <c r="D112" s="19"/>
      <c r="E112" s="19"/>
      <c r="F112" s="19"/>
      <c r="G112" s="19"/>
      <c r="H112" s="19"/>
      <c r="I112" s="19"/>
      <c r="J112" s="19"/>
      <c r="K112" s="19"/>
      <c r="L112" s="19"/>
      <c r="M112" s="19"/>
      <c r="N112" s="19"/>
      <c r="O112" s="19"/>
      <c r="P112" s="19"/>
      <c r="Q112" s="19"/>
      <c r="R112" s="19"/>
    </row>
    <row r="113" spans="1:18" x14ac:dyDescent="0.35">
      <c r="A113" s="19"/>
      <c r="B113" s="19"/>
      <c r="C113" s="19"/>
      <c r="D113" s="19"/>
      <c r="E113" s="19"/>
      <c r="F113" s="19"/>
      <c r="G113" s="19"/>
      <c r="H113" s="19"/>
      <c r="I113" s="19"/>
      <c r="J113" s="19"/>
      <c r="K113" s="19"/>
      <c r="L113" s="19"/>
      <c r="M113" s="19"/>
      <c r="N113" s="19"/>
      <c r="O113" s="19"/>
      <c r="P113" s="19"/>
      <c r="Q113" s="19"/>
      <c r="R113" s="19"/>
    </row>
    <row r="114" spans="1:18" x14ac:dyDescent="0.35">
      <c r="A114" s="19"/>
      <c r="B114" s="19"/>
      <c r="C114" s="19"/>
      <c r="D114" s="19"/>
      <c r="E114" s="19"/>
      <c r="F114" s="19"/>
      <c r="G114" s="19"/>
      <c r="H114" s="19"/>
      <c r="I114" s="19"/>
      <c r="J114" s="19"/>
      <c r="K114" s="19"/>
      <c r="L114" s="19"/>
      <c r="M114" s="19"/>
      <c r="N114" s="19"/>
      <c r="O114" s="19"/>
      <c r="P114" s="19"/>
      <c r="Q114" s="19"/>
      <c r="R114" s="19"/>
    </row>
    <row r="115" spans="1:18" x14ac:dyDescent="0.35">
      <c r="A115" s="19"/>
      <c r="B115" s="19"/>
      <c r="C115" s="19"/>
      <c r="D115" s="19"/>
      <c r="E115" s="19"/>
      <c r="F115" s="19"/>
      <c r="G115" s="19"/>
      <c r="H115" s="19"/>
      <c r="I115" s="19"/>
      <c r="J115" s="19"/>
      <c r="K115" s="19"/>
      <c r="L115" s="19"/>
      <c r="M115" s="19"/>
      <c r="N115" s="19"/>
      <c r="O115" s="19"/>
      <c r="P115" s="19"/>
      <c r="Q115" s="19"/>
      <c r="R115" s="19"/>
    </row>
    <row r="116" spans="1:18" x14ac:dyDescent="0.35">
      <c r="A116" s="19"/>
      <c r="B116" s="19"/>
      <c r="C116" s="19"/>
      <c r="D116" s="19"/>
      <c r="E116" s="19"/>
      <c r="F116" s="19"/>
      <c r="G116" s="19"/>
      <c r="H116" s="19"/>
      <c r="I116" s="19"/>
      <c r="J116" s="19"/>
      <c r="K116" s="19"/>
      <c r="L116" s="19"/>
      <c r="M116" s="19"/>
      <c r="N116" s="19"/>
      <c r="O116" s="19"/>
      <c r="P116" s="19"/>
      <c r="Q116" s="19"/>
      <c r="R116" s="19"/>
    </row>
    <row r="117" spans="1:18" x14ac:dyDescent="0.35">
      <c r="A117" s="19"/>
      <c r="B117" s="19"/>
      <c r="C117" s="19"/>
      <c r="D117" s="19"/>
      <c r="E117" s="19"/>
      <c r="F117" s="19"/>
      <c r="G117" s="19"/>
      <c r="H117" s="19"/>
      <c r="I117" s="19"/>
      <c r="J117" s="19"/>
      <c r="K117" s="19"/>
      <c r="L117" s="19"/>
      <c r="M117" s="19"/>
      <c r="N117" s="19"/>
      <c r="O117" s="19"/>
      <c r="P117" s="19"/>
      <c r="Q117" s="19"/>
      <c r="R117" s="19"/>
    </row>
    <row r="118" spans="1:18" x14ac:dyDescent="0.35">
      <c r="A118" s="19"/>
      <c r="B118" s="19"/>
      <c r="C118" s="19"/>
      <c r="D118" s="19"/>
      <c r="E118" s="19"/>
      <c r="F118" s="19"/>
      <c r="G118" s="19"/>
      <c r="H118" s="19"/>
      <c r="I118" s="19"/>
      <c r="J118" s="19"/>
      <c r="K118" s="19"/>
      <c r="L118" s="19"/>
      <c r="M118" s="19"/>
      <c r="N118" s="19"/>
      <c r="O118" s="19"/>
      <c r="P118" s="19"/>
      <c r="Q118" s="19"/>
      <c r="R118" s="19"/>
    </row>
    <row r="119" spans="1:18" x14ac:dyDescent="0.35">
      <c r="A119" s="19"/>
      <c r="B119" s="19"/>
      <c r="C119" s="19"/>
      <c r="D119" s="19"/>
      <c r="E119" s="19"/>
      <c r="F119" s="19"/>
      <c r="G119" s="19"/>
      <c r="H119" s="19"/>
      <c r="I119" s="19"/>
      <c r="J119" s="19"/>
      <c r="K119" s="19"/>
      <c r="L119" s="19"/>
      <c r="M119" s="19"/>
      <c r="N119" s="19"/>
      <c r="O119" s="19"/>
      <c r="P119" s="19"/>
      <c r="Q119" s="19"/>
      <c r="R119" s="19"/>
    </row>
    <row r="120" spans="1:18" x14ac:dyDescent="0.35">
      <c r="A120" s="19"/>
      <c r="B120" s="19"/>
      <c r="C120" s="19"/>
      <c r="D120" s="19"/>
      <c r="E120" s="19"/>
      <c r="F120" s="19"/>
      <c r="G120" s="19"/>
      <c r="H120" s="19"/>
      <c r="I120" s="19"/>
      <c r="J120" s="19"/>
      <c r="K120" s="19"/>
      <c r="L120" s="19"/>
      <c r="M120" s="19"/>
      <c r="N120" s="19"/>
      <c r="O120" s="19"/>
      <c r="P120" s="19"/>
      <c r="Q120" s="19"/>
      <c r="R120" s="19"/>
    </row>
  </sheetData>
  <mergeCells count="166">
    <mergeCell ref="B91:Q91"/>
    <mergeCell ref="B109:Q109"/>
    <mergeCell ref="K87:N87"/>
    <mergeCell ref="O87:P87"/>
    <mergeCell ref="K88:N88"/>
    <mergeCell ref="O88:P88"/>
    <mergeCell ref="K89:N89"/>
    <mergeCell ref="O89:P89"/>
    <mergeCell ref="J83:Q83"/>
    <mergeCell ref="K84:N84"/>
    <mergeCell ref="O84:P84"/>
    <mergeCell ref="K85:N85"/>
    <mergeCell ref="O85:P85"/>
    <mergeCell ref="K86:N86"/>
    <mergeCell ref="O86:P86"/>
    <mergeCell ref="B84:E84"/>
    <mergeCell ref="F84:G84"/>
    <mergeCell ref="H84:I84"/>
    <mergeCell ref="B85:E85"/>
    <mergeCell ref="F85:G85"/>
    <mergeCell ref="H85:I85"/>
    <mergeCell ref="B82:E82"/>
    <mergeCell ref="F82:G82"/>
    <mergeCell ref="H82:I82"/>
    <mergeCell ref="B83:E83"/>
    <mergeCell ref="F83:G83"/>
    <mergeCell ref="H83:I83"/>
    <mergeCell ref="B80:E80"/>
    <mergeCell ref="F80:G80"/>
    <mergeCell ref="H80:I80"/>
    <mergeCell ref="B81:E81"/>
    <mergeCell ref="F81:G81"/>
    <mergeCell ref="H81:I81"/>
    <mergeCell ref="B77:I77"/>
    <mergeCell ref="B78:E78"/>
    <mergeCell ref="F78:G78"/>
    <mergeCell ref="H78:I78"/>
    <mergeCell ref="B79:E79"/>
    <mergeCell ref="F79:G79"/>
    <mergeCell ref="H79:I79"/>
    <mergeCell ref="J79:M79"/>
    <mergeCell ref="O79:P79"/>
    <mergeCell ref="J80:M80"/>
    <mergeCell ref="O80:P80"/>
    <mergeCell ref="J81:M81"/>
    <mergeCell ref="O81:P81"/>
    <mergeCell ref="J76:M76"/>
    <mergeCell ref="O76:P76"/>
    <mergeCell ref="J77:M77"/>
    <mergeCell ref="O77:P77"/>
    <mergeCell ref="J78:M78"/>
    <mergeCell ref="O78:P78"/>
    <mergeCell ref="O72:P72"/>
    <mergeCell ref="J73:M73"/>
    <mergeCell ref="O73:P73"/>
    <mergeCell ref="J74:M74"/>
    <mergeCell ref="O74:P74"/>
    <mergeCell ref="J75:M75"/>
    <mergeCell ref="O75:P75"/>
    <mergeCell ref="C74:E74"/>
    <mergeCell ref="F74:G74"/>
    <mergeCell ref="C75:E75"/>
    <mergeCell ref="F75:G75"/>
    <mergeCell ref="J69:Q69"/>
    <mergeCell ref="J70:M70"/>
    <mergeCell ref="O70:P70"/>
    <mergeCell ref="J71:M71"/>
    <mergeCell ref="O71:P71"/>
    <mergeCell ref="J72:M72"/>
    <mergeCell ref="C71:E71"/>
    <mergeCell ref="F71:G71"/>
    <mergeCell ref="C72:E72"/>
    <mergeCell ref="F72:G72"/>
    <mergeCell ref="C73:E73"/>
    <mergeCell ref="F73:G73"/>
    <mergeCell ref="N31:Q31"/>
    <mergeCell ref="N32:Q32"/>
    <mergeCell ref="B34:Q34"/>
    <mergeCell ref="B68:Q68"/>
    <mergeCell ref="B69:I69"/>
    <mergeCell ref="C70:E70"/>
    <mergeCell ref="F70:G70"/>
    <mergeCell ref="B31:E31"/>
    <mergeCell ref="B32:E32"/>
    <mergeCell ref="F30:I30"/>
    <mergeCell ref="F31:I31"/>
    <mergeCell ref="F32:I32"/>
    <mergeCell ref="J30:M30"/>
    <mergeCell ref="J31:M31"/>
    <mergeCell ref="J32:M32"/>
    <mergeCell ref="J27:M27"/>
    <mergeCell ref="N25:Q25"/>
    <mergeCell ref="N26:Q26"/>
    <mergeCell ref="N27:Q27"/>
    <mergeCell ref="B29:Q29"/>
    <mergeCell ref="B30:E30"/>
    <mergeCell ref="N30:Q30"/>
    <mergeCell ref="N22:Q22"/>
    <mergeCell ref="N23:Q23"/>
    <mergeCell ref="B25:E25"/>
    <mergeCell ref="B26:E26"/>
    <mergeCell ref="B27:E27"/>
    <mergeCell ref="F25:I25"/>
    <mergeCell ref="F26:I26"/>
    <mergeCell ref="F27:I27"/>
    <mergeCell ref="J25:M25"/>
    <mergeCell ref="J26:M26"/>
    <mergeCell ref="B22:E22"/>
    <mergeCell ref="B23:E23"/>
    <mergeCell ref="F21:I21"/>
    <mergeCell ref="F22:I22"/>
    <mergeCell ref="F23:I23"/>
    <mergeCell ref="J21:M21"/>
    <mergeCell ref="J22:M22"/>
    <mergeCell ref="J23:M23"/>
    <mergeCell ref="J18:M18"/>
    <mergeCell ref="N16:Q16"/>
    <mergeCell ref="N17:Q17"/>
    <mergeCell ref="N18:Q18"/>
    <mergeCell ref="B20:Q20"/>
    <mergeCell ref="B21:E21"/>
    <mergeCell ref="N21:Q21"/>
    <mergeCell ref="B13:Q13"/>
    <mergeCell ref="B15:Q15"/>
    <mergeCell ref="B16:E16"/>
    <mergeCell ref="B17:E17"/>
    <mergeCell ref="B18:E18"/>
    <mergeCell ref="F16:I16"/>
    <mergeCell ref="F17:I17"/>
    <mergeCell ref="F18:I18"/>
    <mergeCell ref="J16:M16"/>
    <mergeCell ref="J17:M17"/>
    <mergeCell ref="N10:O10"/>
    <mergeCell ref="P10:Q10"/>
    <mergeCell ref="B12:C12"/>
    <mergeCell ref="D12:E12"/>
    <mergeCell ref="F12:G12"/>
    <mergeCell ref="H12:I12"/>
    <mergeCell ref="B10:C10"/>
    <mergeCell ref="D10:E10"/>
    <mergeCell ref="F10:G10"/>
    <mergeCell ref="H10:I10"/>
    <mergeCell ref="J10:K10"/>
    <mergeCell ref="L10:M10"/>
    <mergeCell ref="N6:O6"/>
    <mergeCell ref="P6:Q6"/>
    <mergeCell ref="B8:C8"/>
    <mergeCell ref="D8:E8"/>
    <mergeCell ref="F8:G8"/>
    <mergeCell ref="H8:I8"/>
    <mergeCell ref="J8:K8"/>
    <mergeCell ref="L8:M8"/>
    <mergeCell ref="N8:O8"/>
    <mergeCell ref="P8:Q8"/>
    <mergeCell ref="B6:C6"/>
    <mergeCell ref="D6:E6"/>
    <mergeCell ref="F6:G6"/>
    <mergeCell ref="H6:I6"/>
    <mergeCell ref="J6:K6"/>
    <mergeCell ref="L6:M6"/>
    <mergeCell ref="B2:L2"/>
    <mergeCell ref="B3:L3"/>
    <mergeCell ref="N2:Q2"/>
    <mergeCell ref="N3:O3"/>
    <mergeCell ref="P3:Q3"/>
    <mergeCell ref="B5:Q5"/>
  </mergeCells>
  <conditionalFormatting sqref="N2:Q2">
    <cfRule type="containsText" dxfId="9" priority="1" operator="containsText" text="✔">
      <formula>NOT(ISERROR(SEARCH("✔",N2)))</formula>
    </cfRule>
  </conditionalFormatting>
  <conditionalFormatting sqref="N2:Q2">
    <cfRule type="containsText" dxfId="8" priority="2" operator="containsText" text="✖">
      <formula>NOT(ISERROR(SEARCH("✖",N2)))</formula>
    </cfRule>
  </conditionalFormatting>
  <conditionalFormatting sqref="B32:E32">
    <cfRule type="beginsWith" dxfId="7" priority="3" operator="beginsWith" text="▲">
      <formula>LEFT(B32,LEN("▲"))="▲"</formula>
    </cfRule>
  </conditionalFormatting>
  <conditionalFormatting sqref="B32:E32">
    <cfRule type="beginsWith" dxfId="6" priority="4" operator="beginsWith" text="▼">
      <formula>LEFT(B32,LEN("▼"))="▼"</formula>
    </cfRule>
  </conditionalFormatting>
  <conditionalFormatting sqref="N32:Q32">
    <cfRule type="beginsWith" dxfId="5" priority="5" operator="beginsWith" text="▲">
      <formula>LEFT(N32,LEN("▲"))="▲"</formula>
    </cfRule>
  </conditionalFormatting>
  <conditionalFormatting sqref="N32:Q32">
    <cfRule type="beginsWith" dxfId="4" priority="6" operator="beginsWith" text="▼">
      <formula>LEFT(N32,LEN("▼"))="▼"</formula>
    </cfRule>
  </conditionalFormatting>
  <conditionalFormatting sqref="F27:M27">
    <cfRule type="containsText" dxfId="3" priority="7" operator="containsText" text="✔">
      <formula>NOT(ISERROR(SEARCH("✔",F27)))</formula>
    </cfRule>
  </conditionalFormatting>
  <conditionalFormatting sqref="F27:M27">
    <cfRule type="containsText" dxfId="2" priority="8" operator="containsText" text="⚠">
      <formula>NOT(ISERROR(SEARCH("⚠",F27)))</formula>
    </cfRule>
  </conditionalFormatting>
  <conditionalFormatting sqref="H71:H75">
    <cfRule type="dataBar" priority="9">
      <dataBar>
        <cfvo type="min"/>
        <cfvo type="max"/>
        <color rgb="FFF59E0B"/>
      </dataBar>
      <extLst>
        <ext xmlns:x14="http://schemas.microsoft.com/office/spreadsheetml/2009/9/main" uri="{B025F937-C7B1-47D3-B67F-A62EFF666E3E}">
          <x14:id>{5F5DEA80-D00C-4F1D-B4AB-2754EDCD31CD}</x14:id>
        </ext>
      </extLst>
    </cfRule>
  </conditionalFormatting>
  <conditionalFormatting sqref="Q71:Q80">
    <cfRule type="dataBar" priority="10">
      <dataBar>
        <cfvo type="min"/>
        <cfvo type="max"/>
        <color rgb="FF38BDF8"/>
      </dataBar>
      <extLst>
        <ext xmlns:x14="http://schemas.microsoft.com/office/spreadsheetml/2009/9/main" uri="{B025F937-C7B1-47D3-B67F-A62EFF666E3E}">
          <x14:id>{BDAB1A9B-00ED-43EA-9C16-59D4F1B4F796}</x14:id>
        </ext>
      </extLst>
    </cfRule>
  </conditionalFormatting>
  <conditionalFormatting sqref="Q85:Q89">
    <cfRule type="dataBar" priority="11">
      <dataBar>
        <cfvo type="min"/>
        <cfvo type="max"/>
        <color rgb="FFA78BFA"/>
      </dataBar>
      <extLst>
        <ext xmlns:x14="http://schemas.microsoft.com/office/spreadsheetml/2009/9/main" uri="{B025F937-C7B1-47D3-B67F-A62EFF666E3E}">
          <x14:id>{FF6BB6F1-B554-4AD7-92AF-B3A656DA1DCE}</x14:id>
        </ext>
      </extLst>
    </cfRule>
  </conditionalFormatting>
  <conditionalFormatting sqref="H79:I85">
    <cfRule type="containsText" dxfId="1" priority="12" operator="containsText" text="✔">
      <formula>NOT(ISERROR(SEARCH("✔",H79)))</formula>
    </cfRule>
  </conditionalFormatting>
  <conditionalFormatting sqref="H79:I85">
    <cfRule type="containsText" dxfId="0" priority="13" operator="containsText" text="⚠">
      <formula>NOT(ISERROR(SEARCH("⚠",H79)))</formula>
    </cfRule>
  </conditionalFormatting>
  <dataValidations count="1">
    <dataValidation type="date" allowBlank="1" showInputMessage="1" showErrorMessage="1" promptTitle="Analysis Date" prompt="Change the date to refresh the daily snapshot &amp; 30-day trend (within the reporting period)." sqref="P3" xr:uid="{845C367D-A609-47A6-B33B-CFFE5262F2CB}">
      <formula1>PStart</formula1>
      <formula2>PEnd</formula2>
    </dataValidation>
  </dataValidations>
  <hyperlinks>
    <hyperlink ref="B6:C6" location="'Company Info'!A1" tooltip="Open Company Info" display="⚙ Company Info" xr:uid="{46D918F8-5125-4DD4-89B2-10D11F0D7984}"/>
    <hyperlink ref="D6:E6" location="'Industry Profile'!A1" tooltip="Open Industry Profile" display="🏭 Industry Profile" xr:uid="{382B9081-25C7-49B4-A671-3D42547566EA}"/>
    <hyperlink ref="F6:G6" location="'COA'!A1" tooltip="Open COA" display="📒 Chart of Accounts" xr:uid="{B4BD3163-B0FA-46FF-A23B-C6E0D614B11D}"/>
    <hyperlink ref="H6:I6" location="'Customers'!A1" tooltip="Open Customers" display="👥 Customers" xr:uid="{D3FFEFFB-BAA4-4C37-8513-C2B95D209628}"/>
    <hyperlink ref="J6:K6" location="'Vendors'!A1" tooltip="Open Vendors" display="🚚 Vendors" xr:uid="{E08CCB9D-13FD-455A-89BE-3D89898EA905}"/>
    <hyperlink ref="L6:M6" location="'Employees'!A1" tooltip="Open Employees" display="👔 Employees" xr:uid="{57D6CC46-F64B-44D6-B092-40E977F37F5B}"/>
    <hyperlink ref="N6:O6" location="'Products'!A1" tooltip="Open Products" display="📦 Products" xr:uid="{D4534662-2D13-423E-AD8F-DE2A31D2FC85}"/>
    <hyperlink ref="P6:Q6" location="'Sales'!A1" tooltip="Open Sales" display="🧾 Sales" xr:uid="{08F66AF3-944D-4FEA-95F6-511B064D72A1}"/>
    <hyperlink ref="B8:C8" location="'Purchases'!A1" tooltip="Open Purchases" display="🛒 Purchases" xr:uid="{D278FBCD-FAFA-4763-9FEB-AD3EA8AACF84}"/>
    <hyperlink ref="D8:E8" location="'Payroll'!A1" tooltip="Open Payroll" display="💰 Payroll" xr:uid="{01BDFBDE-E050-4396-B3EF-C6BE4E5BCE80}"/>
    <hyperlink ref="F8:G8" location="'Bank Statement'!A1" tooltip="Open Bank Statement" display="🏦 Bank Statement" xr:uid="{B1301338-AA37-48B9-ABF4-3B2B97FA675E}"/>
    <hyperlink ref="H8:I8" location="'General Journal'!A1" tooltip="Open General Journal" display="✍ General Journal" xr:uid="{C2BCA4EE-AC7D-43AE-8CD8-CD358920F1EB}"/>
    <hyperlink ref="J8:K8" location="'Fixed Assets'!A1" tooltip="Open Fixed Assets" display="🏗 Fixed Assets" xr:uid="{EA307C3F-1C37-4312-8535-71FB886CC4A3}"/>
    <hyperlink ref="L8:M8" location="'Prepaid Schedule'!A1" tooltip="Open Prepaid Schedule" display="📅 Prepaid Schedule" xr:uid="{4009D52E-A3FC-40E9-BAB8-5FC2FF8AA208}"/>
    <hyperlink ref="N8:O8" location="'General Ledger'!A1" tooltip="Open General Ledger" display="📖 General Ledger" xr:uid="{27C77156-7057-47B8-8429-2E47AE4BC70D}"/>
    <hyperlink ref="P8:Q8" location="'Trial Balance'!A1" tooltip="Open Trial Balance" display="⚖ Trial Balance" xr:uid="{0F43ABBC-0A80-4565-8690-6C0DEFEE3C6C}"/>
    <hyperlink ref="B10:C10" location="'Income Statement'!A1" tooltip="Open Income Statement" display="📈 Income Statement" xr:uid="{A49EE290-40F4-4974-820B-3FF56A4BD19C}"/>
    <hyperlink ref="D10:E10" location="'Balance Sheet'!A1" tooltip="Open Balance Sheet" display="🏛 Balance Sheet" xr:uid="{9FEF124B-180F-4EB1-B0D6-A1BBACC52310}"/>
    <hyperlink ref="F10:G10" location="'Changes in Equity'!A1" tooltip="Open Changes in Equity" display="🔄 Changes in Equity" xr:uid="{A511777C-B09A-450D-AB8C-084E0673B77C}"/>
    <hyperlink ref="H10:I10" location="'Cash Flow'!A1" tooltip="Open Cash Flow" display="💧 Cash Flow" xr:uid="{5C228396-D4A2-4EA3-AE07-8E4746780AAD}"/>
    <hyperlink ref="J10:K10" location="'Notes to FS'!A1" tooltip="Open Notes to FS" display="📝 Notes to FS" xr:uid="{45C2CDA6-25E6-47BA-A6BA-F3EF868B7FB4}"/>
    <hyperlink ref="L10:M10" location="'Tax Reconciliation'!A1" tooltip="Open Tax Reconciliation" display="🧮 Tax Reconciliation" xr:uid="{9A5DB4E3-89D7-4046-9464-860A72FC8C67}"/>
    <hyperlink ref="N10:O10" location="'Bank Reconciliation'!A1" tooltip="Open Bank Reconciliation" display="🔗 Bank Reconciliation" xr:uid="{DB99EE93-3EC6-4207-B457-4E582F27AEE8}"/>
    <hyperlink ref="P10:Q10" location="'Controls'!A1" tooltip="Open Controls" display="✅ Controls" xr:uid="{AA05537F-B605-46F9-B664-82BCEDB4F891}"/>
    <hyperlink ref="B12:C12" location="'Sales Invoice'!A1" tooltip="Open Sales Invoice" display="🧾 Sales Invoice" xr:uid="{C3281343-5BBE-4C4C-A7BF-35FF531B735C}"/>
    <hyperlink ref="D12:E12" location="'Ratios'!A1" tooltip="Open Ratios" display="📊 Ratios" xr:uid="{649F6482-EC4F-42B7-8EDB-AAE8D9C12897}"/>
    <hyperlink ref="F12:G12" location="'Monthly P&amp;L'!A1" tooltip="Open Monthly P&amp;L" display="📆 Monthly P&amp;L" xr:uid="{2CE29341-54DF-4CC5-B427-565EEDF61A35}"/>
    <hyperlink ref="H12:I12" location="'Dashboard Data'!A1" tooltip="Open Dashboard Data" display="🗂 Dashboard Data" xr:uid="{8C13C071-85EE-4A27-8E98-AF76C1CD2DA3}"/>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F5DEA80-D00C-4F1D-B4AB-2754EDCD31CD}">
            <x14:dataBar minLength="0" maxLength="100" gradient="0" negativeBarColorSameAsPositive="1" axisPosition="none">
              <x14:cfvo type="min"/>
              <x14:cfvo type="max"/>
            </x14:dataBar>
          </x14:cfRule>
          <xm:sqref>H71:H75</xm:sqref>
        </x14:conditionalFormatting>
        <x14:conditionalFormatting xmlns:xm="http://schemas.microsoft.com/office/excel/2006/main">
          <x14:cfRule type="dataBar" id="{BDAB1A9B-00ED-43EA-9C16-59D4F1B4F796}">
            <x14:dataBar minLength="0" maxLength="100" gradient="0" negativeBarColorSameAsPositive="1" axisPosition="none">
              <x14:cfvo type="min"/>
              <x14:cfvo type="max"/>
            </x14:dataBar>
          </x14:cfRule>
          <xm:sqref>Q71:Q80</xm:sqref>
        </x14:conditionalFormatting>
        <x14:conditionalFormatting xmlns:xm="http://schemas.microsoft.com/office/excel/2006/main">
          <x14:cfRule type="dataBar" id="{FF6BB6F1-B554-4AD7-92AF-B3A656DA1DCE}">
            <x14:dataBar minLength="0" maxLength="100" gradient="0" negativeBarColorSameAsPositive="1" axisPosition="none">
              <x14:cfvo type="min"/>
              <x14:cfvo type="max"/>
            </x14:dataBar>
          </x14:cfRule>
          <xm:sqref>Q85:Q89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6B78D-FB99-412C-8339-A5BA5DD391B4}">
  <sheetPr>
    <tabColor rgb="FF1E3A8A"/>
  </sheetPr>
  <dimension ref="A1:BH60"/>
  <sheetViews>
    <sheetView showGridLines="0" topLeftCell="A42" workbookViewId="0">
      <selection activeCell="C51" sqref="C51"/>
    </sheetView>
  </sheetViews>
  <sheetFormatPr defaultRowHeight="14.5" x14ac:dyDescent="0.35"/>
  <cols>
    <col min="1" max="1" width="1.453125" style="1" customWidth="1"/>
    <col min="2" max="2" width="27.26953125" style="1" customWidth="1"/>
    <col min="3" max="3" width="45.453125" style="1" customWidth="1"/>
    <col min="4" max="4" width="27.26953125" style="1" customWidth="1"/>
    <col min="5" max="5" width="2.7265625" style="1" customWidth="1"/>
    <col min="6" max="6" width="4.54296875" style="1" customWidth="1"/>
    <col min="7" max="7" width="20" style="1" customWidth="1"/>
    <col min="8" max="8" width="41.81640625" style="1" customWidth="1"/>
    <col min="9" max="9" width="10" style="1" customWidth="1"/>
    <col min="10" max="52" width="8.7265625" style="1"/>
  </cols>
  <sheetData>
    <row r="1" spans="1:60" ht="5" customHeight="1" x14ac:dyDescent="0.35"/>
    <row r="2" spans="1:60" ht="18" customHeight="1" thickBot="1" x14ac:dyDescent="0.4">
      <c r="A2" s="307"/>
      <c r="B2" s="308" t="s">
        <v>7075</v>
      </c>
      <c r="C2" s="307"/>
      <c r="D2" s="309" t="s">
        <v>7076</v>
      </c>
      <c r="E2" s="307"/>
      <c r="F2" s="310" t="s">
        <v>7077</v>
      </c>
      <c r="G2" s="311"/>
      <c r="H2" s="307"/>
      <c r="I2" s="312" t="s">
        <v>7078</v>
      </c>
      <c r="J2" s="313"/>
      <c r="K2" s="307"/>
      <c r="L2" s="314" t="s">
        <v>7079</v>
      </c>
      <c r="M2" s="315"/>
      <c r="N2" s="307"/>
      <c r="O2" s="314" t="s">
        <v>7080</v>
      </c>
      <c r="P2" s="315"/>
      <c r="Q2" s="307"/>
      <c r="R2" s="314" t="s">
        <v>7081</v>
      </c>
      <c r="S2" s="315"/>
      <c r="T2" s="307"/>
      <c r="U2" s="314" t="s">
        <v>7082</v>
      </c>
      <c r="V2" s="315"/>
      <c r="W2" s="307"/>
      <c r="X2" s="314" t="s">
        <v>7083</v>
      </c>
      <c r="Y2" s="315"/>
      <c r="Z2" s="307"/>
      <c r="AA2" s="314" t="s">
        <v>7084</v>
      </c>
      <c r="AB2" s="315"/>
      <c r="AC2" s="307"/>
      <c r="AD2" s="314" t="s">
        <v>7085</v>
      </c>
      <c r="AE2" s="315"/>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4288</v>
      </c>
      <c r="C4" s="67"/>
      <c r="D4" s="67"/>
      <c r="E4" s="67"/>
      <c r="F4" s="67"/>
      <c r="G4" s="67"/>
      <c r="H4" s="67"/>
      <c r="I4" s="67"/>
    </row>
    <row r="5" spans="1:60" x14ac:dyDescent="0.35">
      <c r="B5" s="78" t="s">
        <v>4289</v>
      </c>
      <c r="C5" s="79"/>
      <c r="D5" s="80"/>
    </row>
    <row r="6" spans="1:60" x14ac:dyDescent="0.35">
      <c r="B6" s="81" t="s">
        <v>4290</v>
      </c>
      <c r="C6" s="82" t="s">
        <v>31</v>
      </c>
      <c r="D6" s="83" t="s">
        <v>4291</v>
      </c>
    </row>
    <row r="7" spans="1:60" x14ac:dyDescent="0.35">
      <c r="B7" s="81" t="s">
        <v>4292</v>
      </c>
      <c r="C7" s="84" t="s">
        <v>0</v>
      </c>
      <c r="D7" s="83" t="s">
        <v>4293</v>
      </c>
    </row>
    <row r="8" spans="1:60" x14ac:dyDescent="0.35">
      <c r="B8" s="81" t="s">
        <v>4294</v>
      </c>
      <c r="C8" s="85" t="str">
        <f>IP_Desc</f>
        <v>Retail of fashion, lifestyle &amp; consumer electronics</v>
      </c>
      <c r="D8" s="83" t="s">
        <v>4295</v>
      </c>
    </row>
    <row r="9" spans="1:60" x14ac:dyDescent="0.35">
      <c r="B9" s="81" t="s">
        <v>4296</v>
      </c>
      <c r="C9" s="86" t="s">
        <v>4297</v>
      </c>
      <c r="D9" s="83" t="s">
        <v>4298</v>
      </c>
    </row>
    <row r="10" spans="1:60" x14ac:dyDescent="0.35">
      <c r="B10" s="81" t="s">
        <v>4299</v>
      </c>
      <c r="C10" s="86" t="s">
        <v>4300</v>
      </c>
      <c r="D10" s="83"/>
    </row>
    <row r="11" spans="1:60" x14ac:dyDescent="0.35">
      <c r="B11" s="81" t="s">
        <v>4301</v>
      </c>
      <c r="C11" s="82" t="s">
        <v>4302</v>
      </c>
      <c r="D11" s="83"/>
    </row>
    <row r="12" spans="1:60" x14ac:dyDescent="0.35">
      <c r="B12" s="81" t="s">
        <v>4303</v>
      </c>
      <c r="C12" s="82" t="s">
        <v>4304</v>
      </c>
      <c r="D12" s="83"/>
    </row>
    <row r="13" spans="1:60" x14ac:dyDescent="0.35">
      <c r="B13" s="81" t="s">
        <v>4305</v>
      </c>
      <c r="C13" s="82" t="s">
        <v>4306</v>
      </c>
      <c r="D13" s="83"/>
    </row>
    <row r="14" spans="1:60" x14ac:dyDescent="0.35">
      <c r="B14" s="81" t="s">
        <v>4307</v>
      </c>
      <c r="C14" s="82" t="s">
        <v>4308</v>
      </c>
      <c r="D14" s="83"/>
    </row>
    <row r="15" spans="1:60" x14ac:dyDescent="0.35">
      <c r="B15" s="81" t="s">
        <v>33</v>
      </c>
      <c r="C15" s="82" t="s">
        <v>34</v>
      </c>
      <c r="D15" s="83"/>
    </row>
    <row r="16" spans="1:60" x14ac:dyDescent="0.35">
      <c r="B16" s="81" t="s">
        <v>4309</v>
      </c>
      <c r="C16" s="97">
        <v>43174</v>
      </c>
      <c r="D16" s="83"/>
    </row>
    <row r="17" spans="2:4" x14ac:dyDescent="0.35">
      <c r="B17" s="81" t="s">
        <v>4310</v>
      </c>
      <c r="C17" s="82" t="s">
        <v>4311</v>
      </c>
      <c r="D17" s="83"/>
    </row>
    <row r="18" spans="2:4" x14ac:dyDescent="0.35">
      <c r="B18" s="81" t="s">
        <v>4312</v>
      </c>
      <c r="C18" s="82" t="s">
        <v>35</v>
      </c>
      <c r="D18" s="83"/>
    </row>
    <row r="19" spans="2:4" x14ac:dyDescent="0.35">
      <c r="B19" s="81" t="s">
        <v>4313</v>
      </c>
      <c r="C19" s="85">
        <f>ROWS(tblEmployees[Employee ID])</f>
        <v>15</v>
      </c>
      <c r="D19" s="83" t="s">
        <v>4314</v>
      </c>
    </row>
    <row r="20" spans="2:4" x14ac:dyDescent="0.35">
      <c r="B20" s="81" t="s">
        <v>4315</v>
      </c>
      <c r="C20" s="87">
        <v>2500000</v>
      </c>
      <c r="D20" s="83" t="s">
        <v>4316</v>
      </c>
    </row>
    <row r="21" spans="2:4" x14ac:dyDescent="0.35">
      <c r="B21" s="81" t="s">
        <v>4317</v>
      </c>
      <c r="C21" s="87">
        <v>1000</v>
      </c>
      <c r="D21" s="83"/>
    </row>
    <row r="22" spans="2:4" x14ac:dyDescent="0.35">
      <c r="B22" s="88" t="s">
        <v>4318</v>
      </c>
      <c r="C22" s="89"/>
      <c r="D22" s="90"/>
    </row>
    <row r="23" spans="2:4" x14ac:dyDescent="0.35">
      <c r="B23" s="81" t="s">
        <v>4319</v>
      </c>
      <c r="C23" s="82" t="s">
        <v>4320</v>
      </c>
      <c r="D23" s="83"/>
    </row>
    <row r="24" spans="2:4" x14ac:dyDescent="0.35">
      <c r="B24" s="81" t="s">
        <v>4321</v>
      </c>
      <c r="C24" s="82" t="s">
        <v>4322</v>
      </c>
      <c r="D24" s="83"/>
    </row>
    <row r="25" spans="2:4" x14ac:dyDescent="0.35">
      <c r="B25" s="81" t="s">
        <v>4323</v>
      </c>
      <c r="C25" s="82" t="s">
        <v>4324</v>
      </c>
      <c r="D25" s="83"/>
    </row>
    <row r="26" spans="2:4" x14ac:dyDescent="0.35">
      <c r="B26" s="81" t="s">
        <v>4325</v>
      </c>
      <c r="C26" s="82" t="s">
        <v>4326</v>
      </c>
      <c r="D26" s="83"/>
    </row>
    <row r="27" spans="2:4" x14ac:dyDescent="0.35">
      <c r="B27" s="81"/>
      <c r="C27" s="85"/>
      <c r="D27" s="83"/>
    </row>
    <row r="28" spans="2:4" x14ac:dyDescent="0.35">
      <c r="B28" s="88" t="s">
        <v>4327</v>
      </c>
      <c r="C28" s="89"/>
      <c r="D28" s="90"/>
    </row>
    <row r="29" spans="2:4" x14ac:dyDescent="0.35">
      <c r="B29" s="81" t="s">
        <v>4328</v>
      </c>
      <c r="C29" s="91">
        <v>2026</v>
      </c>
      <c r="D29" s="83"/>
    </row>
    <row r="30" spans="2:4" x14ac:dyDescent="0.35">
      <c r="B30" s="81" t="s">
        <v>4329</v>
      </c>
      <c r="C30" s="92">
        <v>10</v>
      </c>
      <c r="D30" s="83" t="s">
        <v>4330</v>
      </c>
    </row>
    <row r="31" spans="2:4" x14ac:dyDescent="0.35">
      <c r="B31" s="81" t="s">
        <v>4331</v>
      </c>
      <c r="C31" s="98">
        <f>DATE(C29,1,1)</f>
        <v>46023</v>
      </c>
      <c r="D31" s="83"/>
    </row>
    <row r="32" spans="2:4" x14ac:dyDescent="0.35">
      <c r="B32" s="81" t="s">
        <v>4332</v>
      </c>
      <c r="C32" s="98">
        <f>EOMONTH(DATE(C29,C30,1),0)</f>
        <v>46326</v>
      </c>
      <c r="D32" s="83" t="s">
        <v>4333</v>
      </c>
    </row>
    <row r="33" spans="2:4" x14ac:dyDescent="0.35">
      <c r="B33" s="81" t="s">
        <v>4334</v>
      </c>
      <c r="C33" s="98">
        <f>DATE(C29-1,12,31)</f>
        <v>46022</v>
      </c>
      <c r="D33" s="83" t="s">
        <v>4335</v>
      </c>
    </row>
    <row r="34" spans="2:4" x14ac:dyDescent="0.35">
      <c r="B34" s="81" t="s">
        <v>4336</v>
      </c>
      <c r="C34" s="82" t="s">
        <v>4337</v>
      </c>
      <c r="D34" s="83"/>
    </row>
    <row r="35" spans="2:4" x14ac:dyDescent="0.35">
      <c r="B35" s="81" t="s">
        <v>4338</v>
      </c>
      <c r="C35" s="82" t="s">
        <v>4339</v>
      </c>
      <c r="D35" s="83"/>
    </row>
    <row r="36" spans="2:4" x14ac:dyDescent="0.35">
      <c r="B36" s="88" t="s">
        <v>4340</v>
      </c>
      <c r="C36" s="89"/>
      <c r="D36" s="90"/>
    </row>
    <row r="37" spans="2:4" x14ac:dyDescent="0.35">
      <c r="B37" s="81" t="s">
        <v>4341</v>
      </c>
      <c r="C37" s="93">
        <v>0.12</v>
      </c>
      <c r="D37" s="83" t="s">
        <v>4342</v>
      </c>
    </row>
    <row r="38" spans="2:4" x14ac:dyDescent="0.35">
      <c r="B38" s="81" t="s">
        <v>4343</v>
      </c>
      <c r="C38" s="94">
        <f>11/12</f>
        <v>0.91666666666666663</v>
      </c>
      <c r="D38" s="83" t="s">
        <v>4344</v>
      </c>
    </row>
    <row r="39" spans="2:4" x14ac:dyDescent="0.35">
      <c r="B39" s="81" t="s">
        <v>4345</v>
      </c>
      <c r="C39" s="95">
        <f>C37*C38</f>
        <v>0.10999999999999999</v>
      </c>
      <c r="D39" s="83"/>
    </row>
    <row r="40" spans="2:4" x14ac:dyDescent="0.35">
      <c r="B40" s="81" t="s">
        <v>4346</v>
      </c>
      <c r="C40" s="93">
        <v>0.22</v>
      </c>
      <c r="D40" s="83" t="s">
        <v>4347</v>
      </c>
    </row>
    <row r="41" spans="2:4" x14ac:dyDescent="0.35">
      <c r="B41" s="81" t="s">
        <v>4348</v>
      </c>
      <c r="C41" s="84" t="s">
        <v>4349</v>
      </c>
      <c r="D41" s="83" t="s">
        <v>4350</v>
      </c>
    </row>
    <row r="42" spans="2:4" x14ac:dyDescent="0.35">
      <c r="B42" s="81" t="s">
        <v>4351</v>
      </c>
      <c r="C42" s="87">
        <v>4800000000</v>
      </c>
      <c r="D42" s="83"/>
    </row>
    <row r="43" spans="2:4" x14ac:dyDescent="0.35">
      <c r="B43" s="81" t="s">
        <v>4352</v>
      </c>
      <c r="C43" s="87">
        <v>20000000</v>
      </c>
      <c r="D43" s="83" t="s">
        <v>4353</v>
      </c>
    </row>
    <row r="44" spans="2:4" x14ac:dyDescent="0.35">
      <c r="B44" s="81" t="s">
        <v>4354</v>
      </c>
      <c r="C44" s="87">
        <v>12000000</v>
      </c>
      <c r="D44" s="83" t="s">
        <v>4355</v>
      </c>
    </row>
    <row r="45" spans="2:4" x14ac:dyDescent="0.35">
      <c r="B45" s="81" t="s">
        <v>4356</v>
      </c>
      <c r="C45" s="87">
        <v>10547400</v>
      </c>
      <c r="D45" s="83" t="s">
        <v>4357</v>
      </c>
    </row>
    <row r="46" spans="2:4" x14ac:dyDescent="0.35">
      <c r="B46" s="88" t="s">
        <v>4358</v>
      </c>
      <c r="C46" s="89"/>
      <c r="D46" s="90"/>
    </row>
    <row r="47" spans="2:4" x14ac:dyDescent="0.35">
      <c r="B47" s="81" t="s">
        <v>4359</v>
      </c>
      <c r="C47" s="85" t="str" cm="1">
        <f t="array" ref="C47">"For the Period from 1 January to "&amp;DAY(C32)&amp;" "&amp;INDEX({"January","February","March","April","May","June","July","August","September","October","November","December"},MONTH(C32))&amp;" "&amp;YEAR(C32)</f>
        <v>For the Period from 1 January to 31 October 2026</v>
      </c>
      <c r="D47" s="83"/>
    </row>
    <row r="48" spans="2:4" x14ac:dyDescent="0.35">
      <c r="B48" s="81" t="s">
        <v>4360</v>
      </c>
      <c r="C48" s="85" t="str" cm="1">
        <f t="array" ref="C48">DAY(C32)&amp;" "&amp;INDEX({"January","February","March","April","May","June","July","August","September","October","November","December"},MONTH(C32))&amp;" "&amp;YEAR(C32)</f>
        <v>31 October 2026</v>
      </c>
      <c r="D48" s="83"/>
    </row>
    <row r="49" spans="2:4" x14ac:dyDescent="0.35">
      <c r="B49" s="81" t="s">
        <v>4361</v>
      </c>
      <c r="C49" s="85" t="str" cm="1">
        <f t="array" ref="C49">DAY(C33)&amp;" "&amp;INDEX({"January","February","March","April","May","June","July","August","September","October","November","December"},MONTH(C33))&amp;" "&amp;YEAR(C33)</f>
        <v>31 December 2025</v>
      </c>
      <c r="D49" s="83"/>
    </row>
    <row r="50" spans="2:4" x14ac:dyDescent="0.35">
      <c r="B50" s="81" t="s">
        <v>4362</v>
      </c>
      <c r="C50" s="85" t="str" cm="1">
        <f t="array" ref="C50">INDEX({"January","February","March","April","May","June","July","August","September","October","November","December"},C30)</f>
        <v>October</v>
      </c>
      <c r="D50" s="83"/>
    </row>
    <row r="51" spans="2:4" x14ac:dyDescent="0.35">
      <c r="B51" s="81" t="s">
        <v>4363</v>
      </c>
      <c r="C51" s="82" t="s">
        <v>4364</v>
      </c>
      <c r="D51" s="83"/>
    </row>
    <row r="52" spans="2:4" x14ac:dyDescent="0.35">
      <c r="B52" s="81" t="s">
        <v>4365</v>
      </c>
      <c r="C52" s="97">
        <v>46346</v>
      </c>
      <c r="D52" s="83"/>
    </row>
    <row r="53" spans="2:4" x14ac:dyDescent="0.35">
      <c r="B53"/>
      <c r="C53"/>
      <c r="D53"/>
    </row>
    <row r="54" spans="2:4" x14ac:dyDescent="0.35">
      <c r="B54" s="96" t="s">
        <v>4377</v>
      </c>
      <c r="C54"/>
      <c r="D54"/>
    </row>
    <row r="55" spans="2:4" x14ac:dyDescent="0.35">
      <c r="B55" s="76" t="s">
        <v>4366</v>
      </c>
      <c r="C55" s="76" t="s">
        <v>4367</v>
      </c>
      <c r="D55" s="76" t="s">
        <v>4368</v>
      </c>
    </row>
    <row r="56" spans="2:4" x14ac:dyDescent="0.35">
      <c r="B56" t="s">
        <v>4369</v>
      </c>
      <c r="C56" s="77">
        <v>0</v>
      </c>
      <c r="D56" t="s">
        <v>4370</v>
      </c>
    </row>
    <row r="57" spans="2:4" x14ac:dyDescent="0.35">
      <c r="B57" t="s">
        <v>4371</v>
      </c>
      <c r="C57" s="77">
        <v>0.02</v>
      </c>
      <c r="D57" t="s">
        <v>4372</v>
      </c>
    </row>
    <row r="58" spans="2:4" x14ac:dyDescent="0.35">
      <c r="B58" t="s">
        <v>4373</v>
      </c>
      <c r="C58" s="77">
        <v>0.1</v>
      </c>
      <c r="D58" t="s">
        <v>4374</v>
      </c>
    </row>
    <row r="59" spans="2:4" x14ac:dyDescent="0.35">
      <c r="B59" t="s">
        <v>4375</v>
      </c>
      <c r="C59" s="77">
        <v>0.02</v>
      </c>
      <c r="D59" t="s">
        <v>4376</v>
      </c>
    </row>
    <row r="60" spans="2:4" x14ac:dyDescent="0.35">
      <c r="B60"/>
      <c r="C60"/>
      <c r="D60"/>
    </row>
  </sheetData>
  <mergeCells count="9">
    <mergeCell ref="X2:Y2"/>
    <mergeCell ref="AA2:AB2"/>
    <mergeCell ref="AD2:AE2"/>
    <mergeCell ref="F2:G2"/>
    <mergeCell ref="I2:J2"/>
    <mergeCell ref="L2:M2"/>
    <mergeCell ref="O2:P2"/>
    <mergeCell ref="R2:S2"/>
    <mergeCell ref="U2:V2"/>
  </mergeCells>
  <dataValidations count="2">
    <dataValidation type="whole" allowBlank="1" showInputMessage="1" showErrorMessage="1" sqref="C30" xr:uid="{1DBE8A9F-CC41-44A7-88DE-8774A8941E46}">
      <formula1>1</formula1>
      <formula2>12</formula2>
    </dataValidation>
    <dataValidation type="list" allowBlank="1" showInputMessage="1" showErrorMessage="1" sqref="C41" xr:uid="{DF204178-DBEE-4A66-8780-6ABE82C4F36E}">
      <formula1>"Yes,No"</formula1>
    </dataValidation>
  </dataValidations>
  <hyperlinks>
    <hyperlink ref="B2" location="'Dashboard'!A1" tooltip="Go to Dashboard" display="🏠 HOME" xr:uid="{17FE1460-7971-48E9-A406-F33D47B026A2}"/>
    <hyperlink ref="D2" location="'Dashboard'!A1" tooltip="Go to Dashboard" display="◀ PREV" xr:uid="{F847F9E2-7C28-449B-857B-A658A0513068}"/>
    <hyperlink ref="F2:G2" location="'Industry Profile'!A1" tooltip="Go to Industry Profile" display="NEXT ▶" xr:uid="{0588317C-0498-460A-849B-1CEAC050F4F2}"/>
    <hyperlink ref="I2:J2" location="'Dashboard'!B5" tooltip="Go to Dashboard" display="☰ MENU" xr:uid="{F72786DE-E2DB-4B44-AD13-1EE13279F549}"/>
    <hyperlink ref="L2:M2" location="'General Journal'!A1" tooltip="Go to General Journal" display="Journal" xr:uid="{14A22208-C5AB-4A4D-9E7F-5A4166CA559C}"/>
    <hyperlink ref="O2:P2" location="'Trial Balance'!A1" tooltip="Go to Trial Balance" display="Trial Bal." xr:uid="{EF68AEC5-5309-4DD5-82E8-98DA6E9E4428}"/>
    <hyperlink ref="R2:S2" location="'Income Statement'!A1" tooltip="Go to Income Statement" display="Income St." xr:uid="{FC7D78BF-05D3-4FD6-80EA-B1224022052F}"/>
    <hyperlink ref="U2:V2" location="'Balance Sheet'!A1" tooltip="Go to Balance Sheet" display="Balance Sh." xr:uid="{F821B60D-B93E-42B0-BDC9-575460435625}"/>
    <hyperlink ref="X2:Y2" location="'Tax Reconciliation'!A1" tooltip="Go to Tax Reconciliation" display="Tax Recon" xr:uid="{8EF8635B-5BC5-442A-8959-DD729966AF74}"/>
    <hyperlink ref="AA2:AB2" location="'Bank Reconciliation'!A1" tooltip="Go to Bank Reconciliation" display="Bank Recon" xr:uid="{CA1491CE-19F9-4434-8B64-76E559264333}"/>
    <hyperlink ref="AD2:AE2" location="'Controls'!A1" tooltip="Go to Controls" display="Controls" xr:uid="{F08EE098-5977-4C4E-9099-1043BB85550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793937-48D0-438E-ABD6-993BC5993E76}">
          <x14:formula1>
            <xm:f>'Industry Profile'!$D$6:$K$6</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2072-1BCD-4FA1-A042-292DEE37B596}">
  <sheetPr>
    <tabColor rgb="FF1E3A8A"/>
  </sheetPr>
  <dimension ref="A1:BH28"/>
  <sheetViews>
    <sheetView showGridLines="0" workbookViewId="0">
      <selection activeCell="C6" sqref="C6"/>
    </sheetView>
  </sheetViews>
  <sheetFormatPr defaultRowHeight="14.5" x14ac:dyDescent="0.35"/>
  <cols>
    <col min="1" max="1" width="1.453125" style="1" customWidth="1"/>
    <col min="2" max="2" width="21.81640625" style="1" customWidth="1"/>
    <col min="3" max="3" width="34.54296875" style="1" customWidth="1"/>
    <col min="4" max="11" width="27.26953125" style="1" customWidth="1"/>
    <col min="12" max="52" width="8.7265625" style="1"/>
  </cols>
  <sheetData>
    <row r="1" spans="1:60" ht="5" customHeight="1" x14ac:dyDescent="0.35"/>
    <row r="2" spans="1:60" ht="18" customHeight="1" thickBot="1" x14ac:dyDescent="0.4">
      <c r="A2" s="307"/>
      <c r="B2" s="308" t="s">
        <v>7075</v>
      </c>
      <c r="C2" s="307"/>
      <c r="D2" s="309" t="s">
        <v>7076</v>
      </c>
      <c r="E2" s="307"/>
      <c r="F2" s="309" t="s">
        <v>7077</v>
      </c>
      <c r="G2" s="307"/>
      <c r="H2" s="308" t="s">
        <v>7078</v>
      </c>
      <c r="I2" s="307"/>
      <c r="J2" s="317" t="s">
        <v>7079</v>
      </c>
      <c r="K2" s="307"/>
      <c r="L2" s="314" t="s">
        <v>7080</v>
      </c>
      <c r="M2" s="315"/>
      <c r="N2" s="307"/>
      <c r="O2" s="314" t="s">
        <v>7081</v>
      </c>
      <c r="P2" s="315"/>
      <c r="Q2" s="307"/>
      <c r="R2" s="314" t="s">
        <v>7082</v>
      </c>
      <c r="S2" s="315"/>
      <c r="T2" s="307"/>
      <c r="U2" s="314" t="s">
        <v>7083</v>
      </c>
      <c r="V2" s="315"/>
      <c r="W2" s="307"/>
      <c r="X2" s="314" t="s">
        <v>7084</v>
      </c>
      <c r="Y2" s="315"/>
      <c r="Z2" s="307"/>
      <c r="AA2" s="314" t="s">
        <v>7085</v>
      </c>
      <c r="AB2" s="315"/>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4378</v>
      </c>
      <c r="C4" s="67"/>
      <c r="D4" s="67"/>
      <c r="E4" s="67"/>
      <c r="F4" s="67"/>
      <c r="G4" s="67"/>
      <c r="H4" s="67"/>
      <c r="I4" s="67"/>
      <c r="J4" s="67"/>
      <c r="K4" s="67"/>
    </row>
    <row r="5" spans="1:60" x14ac:dyDescent="0.35">
      <c r="B5" s="72" t="s">
        <v>4560</v>
      </c>
    </row>
    <row r="6" spans="1:60" x14ac:dyDescent="0.35">
      <c r="B6" s="102" t="s">
        <v>4379</v>
      </c>
      <c r="C6" s="101" t="s">
        <v>4380</v>
      </c>
      <c r="D6" s="102" t="s">
        <v>0</v>
      </c>
      <c r="E6" s="102" t="s">
        <v>4381</v>
      </c>
      <c r="F6" s="102" t="s">
        <v>4382</v>
      </c>
      <c r="G6" s="102" t="s">
        <v>4383</v>
      </c>
      <c r="H6" s="102" t="s">
        <v>4384</v>
      </c>
      <c r="I6" s="102" t="s">
        <v>1</v>
      </c>
      <c r="J6" s="102" t="s">
        <v>2</v>
      </c>
      <c r="K6" s="102" t="s">
        <v>4385</v>
      </c>
    </row>
    <row r="7" spans="1:60" x14ac:dyDescent="0.35">
      <c r="B7" s="107" t="s">
        <v>4368</v>
      </c>
      <c r="C7" s="103" t="str">
        <f>INDEX(D7:K7,MATCH(Industry,$D$6:$K$6,0))</f>
        <v>Retail of fashion, lifestyle &amp; consumer electronics</v>
      </c>
      <c r="D7" s="104" t="s">
        <v>4404</v>
      </c>
      <c r="E7" s="104" t="s">
        <v>4405</v>
      </c>
      <c r="F7" s="104" t="s">
        <v>4406</v>
      </c>
      <c r="G7" s="104" t="s">
        <v>4407</v>
      </c>
      <c r="H7" s="104" t="s">
        <v>4408</v>
      </c>
      <c r="I7" s="104" t="s">
        <v>4409</v>
      </c>
      <c r="J7" s="104" t="s">
        <v>4410</v>
      </c>
      <c r="K7" s="104" t="s">
        <v>4411</v>
      </c>
    </row>
    <row r="8" spans="1:60" x14ac:dyDescent="0.35">
      <c r="B8" s="107" t="s">
        <v>4386</v>
      </c>
      <c r="C8" s="103" t="str">
        <f>INDEX(D8:K8,MATCH(Industry,$D$6:$K$6,0))</f>
        <v>Sales of goods</v>
      </c>
      <c r="D8" s="104" t="s">
        <v>4412</v>
      </c>
      <c r="E8" s="104" t="s">
        <v>4413</v>
      </c>
      <c r="F8" s="104" t="s">
        <v>4414</v>
      </c>
      <c r="G8" s="104" t="s">
        <v>4415</v>
      </c>
      <c r="H8" s="104" t="s">
        <v>4416</v>
      </c>
      <c r="I8" s="104" t="s">
        <v>4417</v>
      </c>
      <c r="J8" s="104" t="s">
        <v>4418</v>
      </c>
      <c r="K8" s="104" t="s">
        <v>4419</v>
      </c>
    </row>
    <row r="9" spans="1:60" x14ac:dyDescent="0.35">
      <c r="B9" s="107" t="s">
        <v>4387</v>
      </c>
      <c r="C9" s="103" t="str">
        <f>INDEX(D9:K9,MATCH(Industry,$D$6:$K$6,0))</f>
        <v>Cost of goods sold</v>
      </c>
      <c r="D9" s="104" t="s">
        <v>4420</v>
      </c>
      <c r="E9" s="104" t="s">
        <v>4421</v>
      </c>
      <c r="F9" s="104" t="s">
        <v>4422</v>
      </c>
      <c r="G9" s="104" t="s">
        <v>4420</v>
      </c>
      <c r="H9" s="104" t="s">
        <v>4423</v>
      </c>
      <c r="I9" s="104" t="s">
        <v>4420</v>
      </c>
      <c r="J9" s="104" t="s">
        <v>4421</v>
      </c>
      <c r="K9" s="104" t="s">
        <v>4424</v>
      </c>
    </row>
    <row r="10" spans="1:60" x14ac:dyDescent="0.35">
      <c r="B10" s="107" t="s">
        <v>4388</v>
      </c>
      <c r="C10" s="103" t="str">
        <f>INDEX(D10:K10,MATCH(Industry,$D$6:$K$6,0))</f>
        <v>Merchandise inventory</v>
      </c>
      <c r="D10" s="104" t="s">
        <v>4425</v>
      </c>
      <c r="E10" s="104" t="s">
        <v>4426</v>
      </c>
      <c r="F10" s="104" t="s">
        <v>4427</v>
      </c>
      <c r="G10" s="104" t="s">
        <v>4425</v>
      </c>
      <c r="H10" s="104" t="s">
        <v>4428</v>
      </c>
      <c r="I10" s="104" t="s">
        <v>4429</v>
      </c>
      <c r="J10" s="104" t="s">
        <v>4430</v>
      </c>
      <c r="K10" s="104" t="s">
        <v>4431</v>
      </c>
    </row>
    <row r="11" spans="1:60" x14ac:dyDescent="0.35">
      <c r="B11" s="107" t="s">
        <v>4389</v>
      </c>
      <c r="C11" s="103" t="str">
        <f>INDEX(D11:K11,MATCH(Industry,$D$6:$K$6,0))</f>
        <v>pcs</v>
      </c>
      <c r="D11" s="104" t="s">
        <v>16</v>
      </c>
      <c r="E11" s="104" t="s">
        <v>4432</v>
      </c>
      <c r="F11" s="104" t="s">
        <v>17</v>
      </c>
      <c r="G11" s="104" t="s">
        <v>4433</v>
      </c>
      <c r="H11" s="104" t="s">
        <v>18</v>
      </c>
      <c r="I11" s="104" t="s">
        <v>17</v>
      </c>
      <c r="J11" s="104" t="s">
        <v>4434</v>
      </c>
      <c r="K11" s="104" t="s">
        <v>4435</v>
      </c>
    </row>
    <row r="12" spans="1:60" x14ac:dyDescent="0.35">
      <c r="B12" s="107" t="s">
        <v>4390</v>
      </c>
      <c r="C12" s="103" t="str">
        <f>INDEX(D12:K12,MATCH(Industry,$D$6:$K$6,0))</f>
        <v>Accessories &amp; Basics</v>
      </c>
      <c r="D12" s="104" t="s">
        <v>4436</v>
      </c>
      <c r="E12" s="104" t="s">
        <v>4437</v>
      </c>
      <c r="F12" s="104" t="s">
        <v>4438</v>
      </c>
      <c r="G12" s="104" t="s">
        <v>4439</v>
      </c>
      <c r="H12" s="104" t="s">
        <v>4440</v>
      </c>
      <c r="I12" s="104" t="s">
        <v>4441</v>
      </c>
      <c r="J12" s="104" t="s">
        <v>4442</v>
      </c>
      <c r="K12" s="104" t="s">
        <v>4443</v>
      </c>
    </row>
    <row r="13" spans="1:60" x14ac:dyDescent="0.35">
      <c r="B13" s="107" t="s">
        <v>4391</v>
      </c>
      <c r="C13" s="103" t="str">
        <f>INDEX(D13:K13,MATCH(Industry,$D$6:$K$6,0))</f>
        <v>Apparel &amp; Footwear</v>
      </c>
      <c r="D13" s="104" t="s">
        <v>19</v>
      </c>
      <c r="E13" s="104" t="s">
        <v>4444</v>
      </c>
      <c r="F13" s="104" t="s">
        <v>4445</v>
      </c>
      <c r="G13" s="104" t="s">
        <v>4446</v>
      </c>
      <c r="H13" s="104" t="s">
        <v>4447</v>
      </c>
      <c r="I13" s="104" t="s">
        <v>4448</v>
      </c>
      <c r="J13" s="104" t="s">
        <v>4449</v>
      </c>
      <c r="K13" s="104" t="s">
        <v>4450</v>
      </c>
    </row>
    <row r="14" spans="1:60" x14ac:dyDescent="0.35">
      <c r="B14" s="107" t="s">
        <v>4392</v>
      </c>
      <c r="C14" s="103" t="str">
        <f>INDEX(D14:K14,MATCH(Industry,$D$6:$K$6,0))</f>
        <v>Bags &amp; Gadgets</v>
      </c>
      <c r="D14" s="104" t="s">
        <v>4451</v>
      </c>
      <c r="E14" s="104" t="s">
        <v>4452</v>
      </c>
      <c r="F14" s="104" t="s">
        <v>4453</v>
      </c>
      <c r="G14" s="104" t="s">
        <v>4454</v>
      </c>
      <c r="H14" s="104" t="s">
        <v>4455</v>
      </c>
      <c r="I14" s="104" t="s">
        <v>4456</v>
      </c>
      <c r="J14" s="104" t="s">
        <v>4457</v>
      </c>
      <c r="K14" s="104" t="s">
        <v>4458</v>
      </c>
    </row>
    <row r="15" spans="1:60" x14ac:dyDescent="0.35">
      <c r="B15" s="107" t="s">
        <v>3</v>
      </c>
      <c r="C15" s="103" t="str">
        <f>INDEX(D15:K15,MATCH(Industry,$D$6:$K$6,0))</f>
        <v>In-store</v>
      </c>
      <c r="D15" s="104" t="s">
        <v>4459</v>
      </c>
      <c r="E15" s="104" t="s">
        <v>4460</v>
      </c>
      <c r="F15" s="104" t="s">
        <v>20</v>
      </c>
      <c r="G15" s="104" t="s">
        <v>4461</v>
      </c>
      <c r="H15" s="104" t="s">
        <v>4462</v>
      </c>
      <c r="I15" s="104" t="s">
        <v>4463</v>
      </c>
      <c r="J15" s="104" t="s">
        <v>4464</v>
      </c>
      <c r="K15" s="104" t="s">
        <v>21</v>
      </c>
    </row>
    <row r="16" spans="1:60" x14ac:dyDescent="0.35">
      <c r="B16" s="107" t="s">
        <v>4</v>
      </c>
      <c r="C16" s="103" t="str">
        <f>INDEX(D16:K16,MATCH(Industry,$D$6:$K$6,0))</f>
        <v>Marketplace</v>
      </c>
      <c r="D16" s="104" t="s">
        <v>22</v>
      </c>
      <c r="E16" s="104" t="s">
        <v>23</v>
      </c>
      <c r="F16" s="104" t="s">
        <v>4465</v>
      </c>
      <c r="G16" s="104" t="s">
        <v>4466</v>
      </c>
      <c r="H16" s="104" t="s">
        <v>4467</v>
      </c>
      <c r="I16" s="104" t="s">
        <v>4468</v>
      </c>
      <c r="J16" s="104" t="s">
        <v>4469</v>
      </c>
      <c r="K16" s="104" t="s">
        <v>4470</v>
      </c>
    </row>
    <row r="17" spans="2:11" x14ac:dyDescent="0.35">
      <c r="B17" s="107" t="s">
        <v>5</v>
      </c>
      <c r="C17" s="103" t="str">
        <f>INDEX(D17:K17,MATCH(Industry,$D$6:$K$6,0))</f>
        <v>Website &amp; Social Media</v>
      </c>
      <c r="D17" s="104" t="s">
        <v>4471</v>
      </c>
      <c r="E17" s="104" t="s">
        <v>24</v>
      </c>
      <c r="F17" s="104" t="s">
        <v>4472</v>
      </c>
      <c r="G17" s="104" t="s">
        <v>4473</v>
      </c>
      <c r="H17" s="104" t="s">
        <v>4474</v>
      </c>
      <c r="I17" s="104" t="s">
        <v>4475</v>
      </c>
      <c r="J17" s="104" t="s">
        <v>4476</v>
      </c>
      <c r="K17" s="104" t="s">
        <v>4477</v>
      </c>
    </row>
    <row r="18" spans="2:11" x14ac:dyDescent="0.35">
      <c r="B18" s="107" t="s">
        <v>4393</v>
      </c>
      <c r="C18" s="103" t="str">
        <f>INDEX(D18:K18,MATCH(Industry,$D$6:$K$6,0))</f>
        <v>Socks &amp; Accessories</v>
      </c>
      <c r="D18" s="104" t="s">
        <v>4478</v>
      </c>
      <c r="E18" s="104" t="s">
        <v>4479</v>
      </c>
      <c r="F18" s="104" t="s">
        <v>4480</v>
      </c>
      <c r="G18" s="104" t="s">
        <v>4481</v>
      </c>
      <c r="H18" s="104" t="s">
        <v>4482</v>
      </c>
      <c r="I18" s="104" t="s">
        <v>4483</v>
      </c>
      <c r="J18" s="104" t="s">
        <v>4484</v>
      </c>
      <c r="K18" s="104" t="s">
        <v>4485</v>
      </c>
    </row>
    <row r="19" spans="2:11" x14ac:dyDescent="0.35">
      <c r="B19" s="107" t="s">
        <v>4394</v>
      </c>
      <c r="C19" s="103" t="str">
        <f>INDEX(D19:K19,MATCH(Industry,$D$6:$K$6,0))</f>
        <v>Premium Basic T-shirt</v>
      </c>
      <c r="D19" s="104" t="s">
        <v>4486</v>
      </c>
      <c r="E19" s="104" t="s">
        <v>4487</v>
      </c>
      <c r="F19" s="104" t="s">
        <v>4488</v>
      </c>
      <c r="G19" s="104" t="s">
        <v>4489</v>
      </c>
      <c r="H19" s="104" t="s">
        <v>4490</v>
      </c>
      <c r="I19" s="104" t="s">
        <v>4491</v>
      </c>
      <c r="J19" s="104" t="s">
        <v>4492</v>
      </c>
      <c r="K19" s="104" t="s">
        <v>4493</v>
      </c>
    </row>
    <row r="20" spans="2:11" x14ac:dyDescent="0.35">
      <c r="B20" s="107" t="s">
        <v>4395</v>
      </c>
      <c r="C20" s="103" t="str">
        <f>INDEX(D20:K20,MATCH(Industry,$D$6:$K$6,0))</f>
        <v>Casual Shorts</v>
      </c>
      <c r="D20" s="104" t="s">
        <v>4494</v>
      </c>
      <c r="E20" s="104" t="s">
        <v>4495</v>
      </c>
      <c r="F20" s="104" t="s">
        <v>4496</v>
      </c>
      <c r="G20" s="104" t="s">
        <v>4497</v>
      </c>
      <c r="H20" s="104" t="s">
        <v>4498</v>
      </c>
      <c r="I20" s="104" t="s">
        <v>4499</v>
      </c>
      <c r="J20" s="104" t="s">
        <v>4500</v>
      </c>
      <c r="K20" s="104" t="s">
        <v>4501</v>
      </c>
    </row>
    <row r="21" spans="2:11" x14ac:dyDescent="0.35">
      <c r="B21" s="107" t="s">
        <v>4396</v>
      </c>
      <c r="C21" s="103" t="str">
        <f>INDEX(D21:K21,MATCH(Industry,$D$6:$K$6,0))</f>
        <v>Casual Shirt</v>
      </c>
      <c r="D21" s="104" t="s">
        <v>4502</v>
      </c>
      <c r="E21" s="104" t="s">
        <v>4503</v>
      </c>
      <c r="F21" s="104" t="s">
        <v>4504</v>
      </c>
      <c r="G21" s="104" t="s">
        <v>4505</v>
      </c>
      <c r="H21" s="104" t="s">
        <v>4506</v>
      </c>
      <c r="I21" s="104" t="s">
        <v>4507</v>
      </c>
      <c r="J21" s="104" t="s">
        <v>4508</v>
      </c>
      <c r="K21" s="104" t="s">
        <v>4509</v>
      </c>
    </row>
    <row r="22" spans="2:11" x14ac:dyDescent="0.35">
      <c r="B22" s="107" t="s">
        <v>4397</v>
      </c>
      <c r="C22" s="103" t="str">
        <f>INDEX(D22:K22,MATCH(Industry,$D$6:$K$6,0))</f>
        <v>Chino Pants</v>
      </c>
      <c r="D22" s="104" t="s">
        <v>4510</v>
      </c>
      <c r="E22" s="104" t="s">
        <v>4511</v>
      </c>
      <c r="F22" s="104" t="s">
        <v>4512</v>
      </c>
      <c r="G22" s="104" t="s">
        <v>4513</v>
      </c>
      <c r="H22" s="104" t="s">
        <v>4514</v>
      </c>
      <c r="I22" s="104" t="s">
        <v>4515</v>
      </c>
      <c r="J22" s="104" t="s">
        <v>4516</v>
      </c>
      <c r="K22" s="104" t="s">
        <v>4517</v>
      </c>
    </row>
    <row r="23" spans="2:11" x14ac:dyDescent="0.35">
      <c r="B23" s="107" t="s">
        <v>4398</v>
      </c>
      <c r="C23" s="103" t="str">
        <f>INDEX(D23:K23,MATCH(Industry,$D$6:$K$6,0))</f>
        <v>Sneakers</v>
      </c>
      <c r="D23" s="104" t="s">
        <v>4518</v>
      </c>
      <c r="E23" s="104" t="s">
        <v>4519</v>
      </c>
      <c r="F23" s="104" t="s">
        <v>4520</v>
      </c>
      <c r="G23" s="104" t="s">
        <v>4521</v>
      </c>
      <c r="H23" s="104" t="s">
        <v>25</v>
      </c>
      <c r="I23" s="104" t="s">
        <v>4522</v>
      </c>
      <c r="J23" s="104" t="s">
        <v>4523</v>
      </c>
      <c r="K23" s="104" t="s">
        <v>4524</v>
      </c>
    </row>
    <row r="24" spans="2:11" x14ac:dyDescent="0.35">
      <c r="B24" s="107" t="s">
        <v>4399</v>
      </c>
      <c r="C24" s="103" t="str">
        <f>INDEX(D24:K24,MATCH(Industry,$D$6:$K$6,0))</f>
        <v>Bomber Jacket</v>
      </c>
      <c r="D24" s="104" t="s">
        <v>4525</v>
      </c>
      <c r="E24" s="104" t="s">
        <v>4526</v>
      </c>
      <c r="F24" s="104" t="s">
        <v>4527</v>
      </c>
      <c r="G24" s="104" t="s">
        <v>4528</v>
      </c>
      <c r="H24" s="104" t="s">
        <v>4529</v>
      </c>
      <c r="I24" s="104" t="s">
        <v>4530</v>
      </c>
      <c r="J24" s="104" t="s">
        <v>26</v>
      </c>
      <c r="K24" s="104" t="s">
        <v>4531</v>
      </c>
    </row>
    <row r="25" spans="2:11" x14ac:dyDescent="0.35">
      <c r="B25" s="107" t="s">
        <v>4400</v>
      </c>
      <c r="C25" s="103" t="str">
        <f>INDEX(D25:K25,MATCH(Industry,$D$6:$K$6,0))</f>
        <v>Backpack</v>
      </c>
      <c r="D25" s="104" t="s">
        <v>4532</v>
      </c>
      <c r="E25" s="104" t="s">
        <v>4533</v>
      </c>
      <c r="F25" s="104" t="s">
        <v>4534</v>
      </c>
      <c r="G25" s="104" t="s">
        <v>4535</v>
      </c>
      <c r="H25" s="104" t="s">
        <v>4536</v>
      </c>
      <c r="I25" s="104" t="s">
        <v>4537</v>
      </c>
      <c r="J25" s="104" t="s">
        <v>27</v>
      </c>
      <c r="K25" s="104" t="s">
        <v>4538</v>
      </c>
    </row>
    <row r="26" spans="2:11" x14ac:dyDescent="0.35">
      <c r="B26" s="107" t="s">
        <v>4401</v>
      </c>
      <c r="C26" s="103" t="str">
        <f>INDEX(D26:K26,MATCH(Industry,$D$6:$K$6,0))</f>
        <v>Smartwatch</v>
      </c>
      <c r="D26" s="104" t="s">
        <v>28</v>
      </c>
      <c r="E26" s="104" t="s">
        <v>29</v>
      </c>
      <c r="F26" s="104" t="s">
        <v>4539</v>
      </c>
      <c r="G26" s="104" t="s">
        <v>4540</v>
      </c>
      <c r="H26" s="104" t="s">
        <v>4541</v>
      </c>
      <c r="I26" s="104" t="s">
        <v>4542</v>
      </c>
      <c r="J26" s="104" t="s">
        <v>30</v>
      </c>
      <c r="K26" s="104" t="s">
        <v>4543</v>
      </c>
    </row>
    <row r="27" spans="2:11" x14ac:dyDescent="0.35">
      <c r="B27" s="107" t="s">
        <v>4402</v>
      </c>
      <c r="C27" s="103" t="str">
        <f>INDEX(D27:K27,MATCH(Industry,$D$6:$K$6,0))</f>
        <v>Wireless Earbuds Pro</v>
      </c>
      <c r="D27" s="104" t="s">
        <v>4544</v>
      </c>
      <c r="E27" s="104" t="s">
        <v>4545</v>
      </c>
      <c r="F27" s="104" t="s">
        <v>4546</v>
      </c>
      <c r="G27" s="104" t="s">
        <v>4547</v>
      </c>
      <c r="H27" s="104" t="s">
        <v>4548</v>
      </c>
      <c r="I27" s="104" t="s">
        <v>4549</v>
      </c>
      <c r="J27" s="104" t="s">
        <v>4550</v>
      </c>
      <c r="K27" s="104" t="s">
        <v>4551</v>
      </c>
    </row>
    <row r="28" spans="2:11" ht="60" customHeight="1" x14ac:dyDescent="0.35">
      <c r="B28" s="108" t="s">
        <v>4403</v>
      </c>
      <c r="C28" s="105" t="str">
        <f>INDEX(D28:K28,MATCH(Industry,$D$6:$K$6,0))</f>
        <v>Revenue from the sale of goods is recognised at a point in time when control transfers to the customer, generally upon handover at the store or delivery to the courier (PSAK 115).</v>
      </c>
      <c r="D28" s="106" t="s">
        <v>4552</v>
      </c>
      <c r="E28" s="106" t="s">
        <v>4553</v>
      </c>
      <c r="F28" s="106" t="s">
        <v>4554</v>
      </c>
      <c r="G28" s="106" t="s">
        <v>4555</v>
      </c>
      <c r="H28" s="106" t="s">
        <v>4556</v>
      </c>
      <c r="I28" s="106" t="s">
        <v>4557</v>
      </c>
      <c r="J28" s="106" t="s">
        <v>4558</v>
      </c>
      <c r="K28" s="106" t="s">
        <v>4559</v>
      </c>
    </row>
  </sheetData>
  <mergeCells count="6">
    <mergeCell ref="L2:M2"/>
    <mergeCell ref="O2:P2"/>
    <mergeCell ref="R2:S2"/>
    <mergeCell ref="U2:V2"/>
    <mergeCell ref="X2:Y2"/>
    <mergeCell ref="AA2:AB2"/>
  </mergeCells>
  <hyperlinks>
    <hyperlink ref="B2" location="'Dashboard'!A1" tooltip="Go to Dashboard" display="🏠 HOME" xr:uid="{429B49CE-F88F-485E-AC7C-CDFF361EC320}"/>
    <hyperlink ref="D2" location="'Company Info'!A1" tooltip="Go to Company Info" display="◀ PREV" xr:uid="{8F7B7086-9D7C-437A-A494-45B2F1BA0E11}"/>
    <hyperlink ref="F2" location="'COA'!A1" tooltip="Go to COA" display="NEXT ▶" xr:uid="{BEE85C8B-43F4-463F-97C8-4D50E11B9DEE}"/>
    <hyperlink ref="H2" location="'Dashboard'!B5" tooltip="Go to Dashboard" display="☰ MENU" xr:uid="{DB4FCF3F-9868-4953-8553-19939BCA1CE5}"/>
    <hyperlink ref="J2" location="'General Journal'!A1" tooltip="Go to General Journal" display="Journal" xr:uid="{05B0B95F-A327-4900-AB42-F47BFB37A3B5}"/>
    <hyperlink ref="L2:M2" location="'Trial Balance'!A1" tooltip="Go to Trial Balance" display="Trial Bal." xr:uid="{505AE2F1-1A0F-4F31-A4A4-9F8E88C7560C}"/>
    <hyperlink ref="O2:P2" location="'Income Statement'!A1" tooltip="Go to Income Statement" display="Income St." xr:uid="{B1D744E6-71B5-4D4B-9755-D5E129A3BAA3}"/>
    <hyperlink ref="R2:S2" location="'Balance Sheet'!A1" tooltip="Go to Balance Sheet" display="Balance Sh." xr:uid="{0249ED83-22DB-4C1D-A90B-1B6AAD39B097}"/>
    <hyperlink ref="U2:V2" location="'Tax Reconciliation'!A1" tooltip="Go to Tax Reconciliation" display="Tax Recon" xr:uid="{464009DB-518D-46C1-8971-A8C79DA356A5}"/>
    <hyperlink ref="X2:Y2" location="'Bank Reconciliation'!A1" tooltip="Go to Bank Reconciliation" display="Bank Recon" xr:uid="{98051FE2-64D7-4A2F-9696-D3920B4C788A}"/>
    <hyperlink ref="AA2:AB2" location="'Controls'!A1" tooltip="Go to Controls" display="Controls" xr:uid="{9372D928-5C7A-4BC1-A63D-35B640D565C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48E9-41D7-4E5B-BBB2-E40FDCBC1DB8}">
  <sheetPr>
    <tabColor rgb="FF1E3A8A"/>
  </sheetPr>
  <dimension ref="A1:BH74"/>
  <sheetViews>
    <sheetView showGridLines="0" workbookViewId="0"/>
  </sheetViews>
  <sheetFormatPr defaultRowHeight="14.5" x14ac:dyDescent="0.35"/>
  <cols>
    <col min="1" max="1" width="1.453125" style="1" customWidth="1"/>
    <col min="2" max="2" width="8.1796875" style="1" customWidth="1"/>
    <col min="3" max="3" width="38.1796875" style="1" customWidth="1"/>
    <col min="4" max="4" width="10" style="1" customWidth="1"/>
    <col min="5" max="5" width="29.08984375" style="1" customWidth="1"/>
    <col min="6" max="6" width="8.1796875" style="1" customWidth="1"/>
    <col min="7" max="7" width="7.26953125" style="1" customWidth="1"/>
    <col min="8" max="8" width="25.453125" style="1" customWidth="1"/>
    <col min="9" max="9" width="17.26953125" style="1" customWidth="1"/>
    <col min="10" max="10" width="8.7265625" style="1"/>
    <col min="11" max="11" width="32.7265625" style="1" customWidth="1"/>
    <col min="12" max="12" width="17.26953125" style="1" customWidth="1"/>
    <col min="13" max="52" width="8.7265625" style="1"/>
  </cols>
  <sheetData>
    <row r="1" spans="1:60" ht="5" customHeight="1" x14ac:dyDescent="0.35"/>
    <row r="2" spans="1:60" ht="18" customHeight="1" thickBot="1" x14ac:dyDescent="0.4">
      <c r="A2" s="307"/>
      <c r="B2" s="312" t="s">
        <v>7075</v>
      </c>
      <c r="C2" s="313"/>
      <c r="D2" s="307"/>
      <c r="E2" s="309" t="s">
        <v>7076</v>
      </c>
      <c r="F2" s="307"/>
      <c r="G2" s="310" t="s">
        <v>7077</v>
      </c>
      <c r="H2" s="311"/>
      <c r="I2" s="307"/>
      <c r="J2" s="312" t="s">
        <v>7078</v>
      </c>
      <c r="K2" s="313"/>
      <c r="L2" s="307"/>
      <c r="M2" s="314" t="s">
        <v>7079</v>
      </c>
      <c r="N2" s="315"/>
      <c r="O2" s="307"/>
      <c r="P2" s="314" t="s">
        <v>7080</v>
      </c>
      <c r="Q2" s="315"/>
      <c r="R2" s="307"/>
      <c r="S2" s="314" t="s">
        <v>7081</v>
      </c>
      <c r="T2" s="315"/>
      <c r="U2" s="307"/>
      <c r="V2" s="314" t="s">
        <v>7082</v>
      </c>
      <c r="W2" s="315"/>
      <c r="X2" s="307"/>
      <c r="Y2" s="314" t="s">
        <v>7083</v>
      </c>
      <c r="Z2" s="315"/>
      <c r="AA2" s="307"/>
      <c r="AB2" s="314" t="s">
        <v>7084</v>
      </c>
      <c r="AC2" s="315"/>
      <c r="AD2" s="307"/>
      <c r="AE2" s="314" t="s">
        <v>7085</v>
      </c>
      <c r="AF2" s="315"/>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4963</v>
      </c>
      <c r="C4" s="67"/>
      <c r="D4" s="67"/>
      <c r="E4" s="67"/>
      <c r="F4" s="67"/>
      <c r="G4" s="67"/>
      <c r="H4" s="67"/>
      <c r="I4" s="67"/>
    </row>
    <row r="5" spans="1:60" x14ac:dyDescent="0.35">
      <c r="B5" s="72" t="s">
        <v>4964</v>
      </c>
    </row>
    <row r="6" spans="1:60" x14ac:dyDescent="0.35">
      <c r="B6" s="1" t="s">
        <v>4852</v>
      </c>
      <c r="C6" s="1" t="s">
        <v>4965</v>
      </c>
      <c r="D6" s="1" t="s">
        <v>4966</v>
      </c>
      <c r="E6" s="1" t="s">
        <v>4967</v>
      </c>
      <c r="F6" s="1" t="s">
        <v>4264</v>
      </c>
      <c r="G6" s="1" t="s">
        <v>4968</v>
      </c>
      <c r="H6" s="1" t="s">
        <v>4969</v>
      </c>
      <c r="I6" s="1" t="s">
        <v>4944</v>
      </c>
      <c r="K6" s="68" t="s">
        <v>5067</v>
      </c>
      <c r="L6" s="68" t="s">
        <v>4939</v>
      </c>
    </row>
    <row r="7" spans="1:60" x14ac:dyDescent="0.35">
      <c r="B7" s="1">
        <v>1110</v>
      </c>
      <c r="C7" s="1" t="s">
        <v>4970</v>
      </c>
      <c r="D7" s="1" t="s">
        <v>4971</v>
      </c>
      <c r="E7" s="1" t="s">
        <v>4972</v>
      </c>
      <c r="F7" s="1" t="s">
        <v>36</v>
      </c>
      <c r="G7" s="1">
        <v>3</v>
      </c>
      <c r="H7" s="1" t="s">
        <v>4865</v>
      </c>
      <c r="I7" s="6">
        <v>25000000</v>
      </c>
      <c r="K7" s="114" t="s">
        <v>5068</v>
      </c>
      <c r="L7" s="115">
        <f>SUMIFS(tblCOA[Opening Balance],tblCOA[Normal],"D")</f>
        <v>8742000000</v>
      </c>
    </row>
    <row r="8" spans="1:60" x14ac:dyDescent="0.35">
      <c r="B8" s="1">
        <v>1120</v>
      </c>
      <c r="C8" s="1" t="s">
        <v>4973</v>
      </c>
      <c r="D8" s="1" t="s">
        <v>4971</v>
      </c>
      <c r="E8" s="1" t="s">
        <v>4972</v>
      </c>
      <c r="F8" s="1" t="s">
        <v>36</v>
      </c>
      <c r="G8" s="1">
        <v>3</v>
      </c>
      <c r="H8" s="1" t="s">
        <v>4865</v>
      </c>
      <c r="I8" s="6">
        <v>1250000000</v>
      </c>
      <c r="K8" s="73" t="s">
        <v>5069</v>
      </c>
      <c r="L8" s="116">
        <f>SUMIFS(tblCOA[Opening Balance],tblCOA[Normal],"C")</f>
        <v>8742000000</v>
      </c>
    </row>
    <row r="9" spans="1:60" x14ac:dyDescent="0.35">
      <c r="B9" s="1">
        <v>1130</v>
      </c>
      <c r="C9" s="1" t="s">
        <v>4974</v>
      </c>
      <c r="D9" s="1" t="s">
        <v>4971</v>
      </c>
      <c r="E9" s="1" t="s">
        <v>4972</v>
      </c>
      <c r="F9" s="1" t="s">
        <v>36</v>
      </c>
      <c r="G9" s="1">
        <v>3</v>
      </c>
      <c r="H9" s="1" t="s">
        <v>4865</v>
      </c>
      <c r="I9" s="6">
        <v>450000000</v>
      </c>
      <c r="K9" s="73" t="s">
        <v>5070</v>
      </c>
      <c r="L9" s="116">
        <f>L7-L8</f>
        <v>0</v>
      </c>
    </row>
    <row r="10" spans="1:60" x14ac:dyDescent="0.35">
      <c r="B10" s="1">
        <v>1140</v>
      </c>
      <c r="C10" s="1" t="s">
        <v>4975</v>
      </c>
      <c r="D10" s="1" t="s">
        <v>4971</v>
      </c>
      <c r="E10" s="1" t="s">
        <v>4972</v>
      </c>
      <c r="F10" s="1" t="s">
        <v>36</v>
      </c>
      <c r="G10" s="1">
        <v>3</v>
      </c>
      <c r="H10" s="1" t="s">
        <v>4865</v>
      </c>
      <c r="I10" s="6">
        <v>500000000</v>
      </c>
      <c r="K10" s="73" t="s">
        <v>4276</v>
      </c>
      <c r="L10" s="117" t="str">
        <f>IF(ABS(L9)&lt;1,"✔ Balanced","✖ Not balanced")</f>
        <v>✔ Balanced</v>
      </c>
    </row>
    <row r="11" spans="1:60" x14ac:dyDescent="0.35">
      <c r="B11" s="1">
        <v>1210</v>
      </c>
      <c r="C11" s="1" t="s">
        <v>4976</v>
      </c>
      <c r="D11" s="1" t="s">
        <v>4971</v>
      </c>
      <c r="E11" s="1" t="s">
        <v>4977</v>
      </c>
      <c r="F11" s="1" t="s">
        <v>36</v>
      </c>
      <c r="G11" s="1">
        <v>4</v>
      </c>
      <c r="H11" s="1" t="s">
        <v>4978</v>
      </c>
      <c r="I11" s="6">
        <v>420000000</v>
      </c>
      <c r="K11" s="74" t="s">
        <v>5071</v>
      </c>
      <c r="L11" s="74">
        <f>ROWS(tblCOA[Code])</f>
        <v>68</v>
      </c>
    </row>
    <row r="12" spans="1:60" x14ac:dyDescent="0.35">
      <c r="B12" s="1">
        <v>1220</v>
      </c>
      <c r="C12" s="1" t="s">
        <v>4979</v>
      </c>
      <c r="D12" s="1" t="s">
        <v>4971</v>
      </c>
      <c r="E12" s="1" t="s">
        <v>4977</v>
      </c>
      <c r="F12" s="1" t="s">
        <v>4980</v>
      </c>
      <c r="G12" s="1">
        <v>4</v>
      </c>
      <c r="H12" s="1" t="s">
        <v>4978</v>
      </c>
      <c r="I12" s="6">
        <v>20000000</v>
      </c>
    </row>
    <row r="13" spans="1:60" x14ac:dyDescent="0.35">
      <c r="B13" s="1">
        <v>1230</v>
      </c>
      <c r="C13" s="1" t="s">
        <v>4981</v>
      </c>
      <c r="D13" s="1" t="s">
        <v>4971</v>
      </c>
      <c r="E13" s="1" t="s">
        <v>4982</v>
      </c>
      <c r="F13" s="1" t="s">
        <v>36</v>
      </c>
      <c r="G13" s="1">
        <v>4</v>
      </c>
      <c r="H13" s="1" t="s">
        <v>4978</v>
      </c>
      <c r="I13" s="6">
        <v>25000000</v>
      </c>
    </row>
    <row r="14" spans="1:60" x14ac:dyDescent="0.35">
      <c r="B14" s="1">
        <v>1310</v>
      </c>
      <c r="C14" s="1" t="str">
        <f>IP_InvLabel</f>
        <v>Merchandise inventory</v>
      </c>
      <c r="D14" s="1" t="s">
        <v>4971</v>
      </c>
      <c r="E14" s="1" t="s">
        <v>4983</v>
      </c>
      <c r="F14" s="1" t="s">
        <v>36</v>
      </c>
      <c r="G14" s="1">
        <v>5</v>
      </c>
      <c r="H14" s="1" t="s">
        <v>4983</v>
      </c>
      <c r="I14" s="6">
        <v>950000000</v>
      </c>
    </row>
    <row r="15" spans="1:60" x14ac:dyDescent="0.35">
      <c r="B15" s="1">
        <v>1410</v>
      </c>
      <c r="C15" s="1" t="s">
        <v>4984</v>
      </c>
      <c r="D15" s="1" t="s">
        <v>4971</v>
      </c>
      <c r="E15" s="1" t="s">
        <v>4985</v>
      </c>
      <c r="F15" s="1" t="s">
        <v>36</v>
      </c>
      <c r="G15" s="1">
        <v>6</v>
      </c>
      <c r="H15" s="1" t="s">
        <v>4985</v>
      </c>
      <c r="I15" s="10">
        <f>SUMIFS(tblPrepaid[Opening Balance],tblPrepaid[Prepaid Account],tblCOA[[#This Row],[Code]])</f>
        <v>132000000</v>
      </c>
    </row>
    <row r="16" spans="1:60" x14ac:dyDescent="0.35">
      <c r="B16" s="1">
        <v>1420</v>
      </c>
      <c r="C16" s="1" t="s">
        <v>4986</v>
      </c>
      <c r="D16" s="1" t="s">
        <v>4971</v>
      </c>
      <c r="E16" s="1" t="s">
        <v>4985</v>
      </c>
      <c r="F16" s="1" t="s">
        <v>36</v>
      </c>
      <c r="G16" s="1">
        <v>6</v>
      </c>
      <c r="H16" s="1" t="s">
        <v>4985</v>
      </c>
      <c r="I16" s="10">
        <f>SUMIFS(tblPrepaid[Opening Balance],tblPrepaid[Prepaid Account],tblCOA[[#This Row],[Code]])</f>
        <v>25000000</v>
      </c>
    </row>
    <row r="17" spans="2:9" x14ac:dyDescent="0.35">
      <c r="B17" s="1">
        <v>1430</v>
      </c>
      <c r="C17" s="1" t="s">
        <v>4987</v>
      </c>
      <c r="D17" s="1" t="s">
        <v>4971</v>
      </c>
      <c r="E17" s="1" t="s">
        <v>4985</v>
      </c>
      <c r="F17" s="1" t="s">
        <v>36</v>
      </c>
      <c r="G17" s="1">
        <v>6</v>
      </c>
      <c r="H17" s="1" t="s">
        <v>4985</v>
      </c>
      <c r="I17" s="10">
        <f>SUMIFS(tblPrepaid[Opening Balance],tblPrepaid[Prepaid Account],tblCOA[[#This Row],[Code]])</f>
        <v>15000000</v>
      </c>
    </row>
    <row r="18" spans="2:9" x14ac:dyDescent="0.35">
      <c r="B18" s="1">
        <v>1510</v>
      </c>
      <c r="C18" s="1" t="s">
        <v>4988</v>
      </c>
      <c r="D18" s="1" t="s">
        <v>4971</v>
      </c>
      <c r="E18" s="1" t="s">
        <v>4989</v>
      </c>
      <c r="F18" s="1" t="s">
        <v>36</v>
      </c>
      <c r="G18" s="1">
        <v>7</v>
      </c>
      <c r="H18" s="1" t="s">
        <v>4989</v>
      </c>
      <c r="I18" s="6">
        <v>0</v>
      </c>
    </row>
    <row r="19" spans="2:9" x14ac:dyDescent="0.35">
      <c r="B19" s="1">
        <v>1520</v>
      </c>
      <c r="C19" s="1" t="s">
        <v>4990</v>
      </c>
      <c r="D19" s="1" t="s">
        <v>4971</v>
      </c>
      <c r="E19" s="1" t="s">
        <v>4989</v>
      </c>
      <c r="F19" s="1" t="s">
        <v>36</v>
      </c>
      <c r="G19" s="1">
        <v>7</v>
      </c>
      <c r="H19" s="1" t="s">
        <v>4989</v>
      </c>
      <c r="I19" s="6">
        <v>0</v>
      </c>
    </row>
    <row r="20" spans="2:9" x14ac:dyDescent="0.35">
      <c r="B20" s="1">
        <v>1610</v>
      </c>
      <c r="C20" s="1" t="s">
        <v>4876</v>
      </c>
      <c r="D20" s="1" t="s">
        <v>4971</v>
      </c>
      <c r="E20" s="1" t="s">
        <v>4991</v>
      </c>
      <c r="F20" s="1" t="s">
        <v>36</v>
      </c>
      <c r="G20" s="1">
        <v>8</v>
      </c>
      <c r="H20" s="1" t="s">
        <v>4992</v>
      </c>
      <c r="I20" s="10">
        <f>SUMIFS(tblFA[Cost],tblFA[Cost Account],tblCOA[[#This Row],[Code]],tblFA[Acquisition Date],"&lt;="&amp;CompDate)</f>
        <v>1200000000</v>
      </c>
    </row>
    <row r="21" spans="2:9" x14ac:dyDescent="0.35">
      <c r="B21" s="1">
        <v>1620</v>
      </c>
      <c r="C21" s="1" t="s">
        <v>4878</v>
      </c>
      <c r="D21" s="1" t="s">
        <v>4971</v>
      </c>
      <c r="E21" s="1" t="s">
        <v>4991</v>
      </c>
      <c r="F21" s="1" t="s">
        <v>36</v>
      </c>
      <c r="G21" s="1">
        <v>8</v>
      </c>
      <c r="H21" s="1" t="s">
        <v>4992</v>
      </c>
      <c r="I21" s="10">
        <f>SUMIFS(tblFA[Cost],tblFA[Cost Account],tblCOA[[#This Row],[Code]],tblFA[Acquisition Date],"&lt;="&amp;CompDate)</f>
        <v>1800000000</v>
      </c>
    </row>
    <row r="22" spans="2:9" x14ac:dyDescent="0.35">
      <c r="B22" s="1">
        <v>1630</v>
      </c>
      <c r="C22" s="1" t="s">
        <v>4880</v>
      </c>
      <c r="D22" s="1" t="s">
        <v>4971</v>
      </c>
      <c r="E22" s="1" t="s">
        <v>4991</v>
      </c>
      <c r="F22" s="1" t="s">
        <v>36</v>
      </c>
      <c r="G22" s="1">
        <v>8</v>
      </c>
      <c r="H22" s="1" t="s">
        <v>4992</v>
      </c>
      <c r="I22" s="10">
        <f>SUMIFS(tblFA[Cost],tblFA[Cost Account],tblCOA[[#This Row],[Code]],tblFA[Acquisition Date],"&lt;="&amp;CompDate)</f>
        <v>700000000</v>
      </c>
    </row>
    <row r="23" spans="2:9" x14ac:dyDescent="0.35">
      <c r="B23" s="1">
        <v>1640</v>
      </c>
      <c r="C23" s="1" t="s">
        <v>4882</v>
      </c>
      <c r="D23" s="1" t="s">
        <v>4971</v>
      </c>
      <c r="E23" s="1" t="s">
        <v>4991</v>
      </c>
      <c r="F23" s="1" t="s">
        <v>36</v>
      </c>
      <c r="G23" s="1">
        <v>8</v>
      </c>
      <c r="H23" s="1" t="s">
        <v>4992</v>
      </c>
      <c r="I23" s="10">
        <f>SUMIFS(tblFA[Cost],tblFA[Cost Account],tblCOA[[#This Row],[Code]],tblFA[Acquisition Date],"&lt;="&amp;CompDate)</f>
        <v>800000000</v>
      </c>
    </row>
    <row r="24" spans="2:9" x14ac:dyDescent="0.35">
      <c r="B24" s="1">
        <v>1650</v>
      </c>
      <c r="C24" s="1" t="s">
        <v>4883</v>
      </c>
      <c r="D24" s="1" t="s">
        <v>4971</v>
      </c>
      <c r="E24" s="1" t="s">
        <v>4991</v>
      </c>
      <c r="F24" s="1" t="s">
        <v>36</v>
      </c>
      <c r="G24" s="1">
        <v>8</v>
      </c>
      <c r="H24" s="1" t="s">
        <v>4992</v>
      </c>
      <c r="I24" s="10">
        <f>SUMIFS(tblFA[Cost],tblFA[Cost Account],tblCOA[[#This Row],[Code]],tblFA[Acquisition Date],"&lt;="&amp;CompDate)</f>
        <v>270000000</v>
      </c>
    </row>
    <row r="25" spans="2:9" x14ac:dyDescent="0.35">
      <c r="B25" s="1">
        <v>1691</v>
      </c>
      <c r="C25" s="1" t="s">
        <v>4993</v>
      </c>
      <c r="D25" s="1" t="s">
        <v>4971</v>
      </c>
      <c r="E25" s="1" t="s">
        <v>4991</v>
      </c>
      <c r="F25" s="1" t="s">
        <v>4980</v>
      </c>
      <c r="G25" s="1">
        <v>8</v>
      </c>
      <c r="H25" s="1" t="s">
        <v>4994</v>
      </c>
      <c r="I25" s="10">
        <f>SUMIFS(tblFA[Opening Acc. Dep.],tblFA[Acc. Dep. Account],tblCOA[[#This Row],[Code]])</f>
        <v>697500000</v>
      </c>
    </row>
    <row r="26" spans="2:9" x14ac:dyDescent="0.35">
      <c r="B26" s="1">
        <v>1693</v>
      </c>
      <c r="C26" s="1" t="s">
        <v>4995</v>
      </c>
      <c r="D26" s="1" t="s">
        <v>4971</v>
      </c>
      <c r="E26" s="1" t="s">
        <v>4991</v>
      </c>
      <c r="F26" s="1" t="s">
        <v>4980</v>
      </c>
      <c r="G26" s="1">
        <v>8</v>
      </c>
      <c r="H26" s="1" t="s">
        <v>4994</v>
      </c>
      <c r="I26" s="10">
        <f>SUMIFS(tblFA[Opening Acc. Dep.],tblFA[Acc. Dep. Account],tblCOA[[#This Row],[Code]])</f>
        <v>377708349</v>
      </c>
    </row>
    <row r="27" spans="2:9" x14ac:dyDescent="0.35">
      <c r="B27" s="1">
        <v>1694</v>
      </c>
      <c r="C27" s="1" t="s">
        <v>4996</v>
      </c>
      <c r="D27" s="1" t="s">
        <v>4971</v>
      </c>
      <c r="E27" s="1" t="s">
        <v>4991</v>
      </c>
      <c r="F27" s="1" t="s">
        <v>4980</v>
      </c>
      <c r="G27" s="1">
        <v>8</v>
      </c>
      <c r="H27" s="1" t="s">
        <v>4994</v>
      </c>
      <c r="I27" s="10">
        <f>SUMIFS(tblFA[Opening Acc. Dep.],tblFA[Acc. Dep. Account],tblCOA[[#This Row],[Code]])</f>
        <v>523645817</v>
      </c>
    </row>
    <row r="28" spans="2:9" x14ac:dyDescent="0.35">
      <c r="B28" s="1">
        <v>1695</v>
      </c>
      <c r="C28" s="1" t="s">
        <v>4997</v>
      </c>
      <c r="D28" s="1" t="s">
        <v>4971</v>
      </c>
      <c r="E28" s="1" t="s">
        <v>4991</v>
      </c>
      <c r="F28" s="1" t="s">
        <v>4980</v>
      </c>
      <c r="G28" s="1">
        <v>8</v>
      </c>
      <c r="H28" s="1" t="s">
        <v>4994</v>
      </c>
      <c r="I28" s="10">
        <f>SUMIFS(tblFA[Opening Acc. Dep.],tblFA[Acc. Dep. Account],tblCOA[[#This Row],[Code]])</f>
        <v>204750000</v>
      </c>
    </row>
    <row r="29" spans="2:9" x14ac:dyDescent="0.35">
      <c r="B29" s="1">
        <v>1710</v>
      </c>
      <c r="C29" s="1" t="s">
        <v>4998</v>
      </c>
      <c r="D29" s="1" t="s">
        <v>4971</v>
      </c>
      <c r="E29" s="1" t="s">
        <v>4999</v>
      </c>
      <c r="F29" s="1" t="s">
        <v>36</v>
      </c>
      <c r="G29" s="1">
        <v>9</v>
      </c>
      <c r="H29" s="1" t="s">
        <v>5000</v>
      </c>
      <c r="I29" s="10">
        <f>SUMIFS(tblFA[Cost],tblFA[Cost Account],tblCOA[[#This Row],[Code]],tblFA[Acquisition Date],"&lt;="&amp;CompDate)</f>
        <v>180000000</v>
      </c>
    </row>
    <row r="30" spans="2:9" x14ac:dyDescent="0.35">
      <c r="B30" s="1">
        <v>1719</v>
      </c>
      <c r="C30" s="1" t="s">
        <v>5001</v>
      </c>
      <c r="D30" s="1" t="s">
        <v>4971</v>
      </c>
      <c r="E30" s="1" t="s">
        <v>4999</v>
      </c>
      <c r="F30" s="1" t="s">
        <v>4980</v>
      </c>
      <c r="G30" s="1">
        <v>9</v>
      </c>
      <c r="H30" s="1" t="s">
        <v>4994</v>
      </c>
      <c r="I30" s="10">
        <f>SUMIFS(tblFA[Opening Acc. Dep.],tblFA[Acc. Dep. Account],tblCOA[[#This Row],[Code]])</f>
        <v>135000000</v>
      </c>
    </row>
    <row r="31" spans="2:9" x14ac:dyDescent="0.35">
      <c r="B31" s="1">
        <v>2110</v>
      </c>
      <c r="C31" s="1" t="s">
        <v>5002</v>
      </c>
      <c r="D31" s="1" t="s">
        <v>5003</v>
      </c>
      <c r="E31" s="1" t="s">
        <v>5004</v>
      </c>
      <c r="F31" s="1" t="s">
        <v>4980</v>
      </c>
      <c r="G31" s="1">
        <v>10</v>
      </c>
      <c r="H31" s="1" t="s">
        <v>5004</v>
      </c>
      <c r="I31" s="6">
        <v>620000000</v>
      </c>
    </row>
    <row r="32" spans="2:9" x14ac:dyDescent="0.35">
      <c r="B32" s="1">
        <v>2120</v>
      </c>
      <c r="C32" s="1" t="s">
        <v>5005</v>
      </c>
      <c r="D32" s="1" t="s">
        <v>5003</v>
      </c>
      <c r="E32" s="1" t="s">
        <v>5006</v>
      </c>
      <c r="F32" s="1" t="s">
        <v>4980</v>
      </c>
      <c r="G32" s="1">
        <v>11</v>
      </c>
      <c r="H32" s="1" t="s">
        <v>5007</v>
      </c>
      <c r="I32" s="6">
        <v>35000000</v>
      </c>
    </row>
    <row r="33" spans="2:9" x14ac:dyDescent="0.35">
      <c r="B33" s="1">
        <v>2130</v>
      </c>
      <c r="C33" s="1" t="s">
        <v>5008</v>
      </c>
      <c r="D33" s="1" t="s">
        <v>5003</v>
      </c>
      <c r="E33" s="1" t="s">
        <v>5009</v>
      </c>
      <c r="F33" s="1" t="s">
        <v>4980</v>
      </c>
      <c r="G33" s="1">
        <v>11</v>
      </c>
      <c r="H33" s="1" t="s">
        <v>5007</v>
      </c>
      <c r="I33" s="6">
        <v>45000000</v>
      </c>
    </row>
    <row r="34" spans="2:9" x14ac:dyDescent="0.35">
      <c r="B34" s="1">
        <v>2140</v>
      </c>
      <c r="C34" s="1" t="s">
        <v>5010</v>
      </c>
      <c r="D34" s="1" t="s">
        <v>5003</v>
      </c>
      <c r="E34" s="1" t="s">
        <v>5011</v>
      </c>
      <c r="F34" s="1" t="s">
        <v>4980</v>
      </c>
      <c r="G34" s="1">
        <v>11</v>
      </c>
      <c r="H34" s="1" t="s">
        <v>5007</v>
      </c>
      <c r="I34" s="6">
        <v>40000000</v>
      </c>
    </row>
    <row r="35" spans="2:9" x14ac:dyDescent="0.35">
      <c r="B35" s="1">
        <v>2150</v>
      </c>
      <c r="C35" s="1" t="s">
        <v>5012</v>
      </c>
      <c r="D35" s="1" t="s">
        <v>5003</v>
      </c>
      <c r="E35" s="1" t="s">
        <v>5009</v>
      </c>
      <c r="F35" s="1" t="s">
        <v>4980</v>
      </c>
      <c r="G35" s="1">
        <v>11</v>
      </c>
      <c r="H35" s="1" t="s">
        <v>5007</v>
      </c>
      <c r="I35" s="6">
        <v>18000000</v>
      </c>
    </row>
    <row r="36" spans="2:9" x14ac:dyDescent="0.35">
      <c r="B36" s="1">
        <v>2210</v>
      </c>
      <c r="C36" s="1" t="s">
        <v>5013</v>
      </c>
      <c r="D36" s="1" t="s">
        <v>5003</v>
      </c>
      <c r="E36" s="1" t="s">
        <v>5014</v>
      </c>
      <c r="F36" s="1" t="s">
        <v>4980</v>
      </c>
      <c r="G36" s="1">
        <v>7</v>
      </c>
      <c r="H36" s="1" t="s">
        <v>5014</v>
      </c>
      <c r="I36" s="6">
        <v>0</v>
      </c>
    </row>
    <row r="37" spans="2:9" x14ac:dyDescent="0.35">
      <c r="B37" s="1">
        <v>2220</v>
      </c>
      <c r="C37" s="1" t="s">
        <v>5015</v>
      </c>
      <c r="D37" s="1" t="s">
        <v>5003</v>
      </c>
      <c r="E37" s="1" t="s">
        <v>5014</v>
      </c>
      <c r="F37" s="1" t="s">
        <v>4980</v>
      </c>
      <c r="G37" s="1">
        <v>7</v>
      </c>
      <c r="H37" s="1" t="s">
        <v>5014</v>
      </c>
      <c r="I37" s="6">
        <v>85000000</v>
      </c>
    </row>
    <row r="38" spans="2:9" x14ac:dyDescent="0.35">
      <c r="B38" s="1">
        <v>2230</v>
      </c>
      <c r="C38" s="1" t="s">
        <v>5016</v>
      </c>
      <c r="D38" s="1" t="s">
        <v>5003</v>
      </c>
      <c r="E38" s="1" t="s">
        <v>5014</v>
      </c>
      <c r="F38" s="1" t="s">
        <v>4980</v>
      </c>
      <c r="G38" s="1">
        <v>7</v>
      </c>
      <c r="H38" s="1" t="s">
        <v>5014</v>
      </c>
      <c r="I38" s="6">
        <v>14000000</v>
      </c>
    </row>
    <row r="39" spans="2:9" x14ac:dyDescent="0.35">
      <c r="B39" s="1">
        <v>2240</v>
      </c>
      <c r="C39" s="1" t="s">
        <v>5017</v>
      </c>
      <c r="D39" s="1" t="s">
        <v>5003</v>
      </c>
      <c r="E39" s="1" t="s">
        <v>5014</v>
      </c>
      <c r="F39" s="1" t="s">
        <v>4980</v>
      </c>
      <c r="G39" s="1">
        <v>7</v>
      </c>
      <c r="H39" s="1" t="s">
        <v>5014</v>
      </c>
      <c r="I39" s="6">
        <v>6500000</v>
      </c>
    </row>
    <row r="40" spans="2:9" x14ac:dyDescent="0.35">
      <c r="B40" s="1">
        <v>2250</v>
      </c>
      <c r="C40" s="1" t="s">
        <v>5018</v>
      </c>
      <c r="D40" s="1" t="s">
        <v>5003</v>
      </c>
      <c r="E40" s="1" t="s">
        <v>5014</v>
      </c>
      <c r="F40" s="1" t="s">
        <v>4980</v>
      </c>
      <c r="G40" s="1">
        <v>7</v>
      </c>
      <c r="H40" s="1" t="s">
        <v>5014</v>
      </c>
      <c r="I40" s="6">
        <v>60000000</v>
      </c>
    </row>
    <row r="41" spans="2:9" x14ac:dyDescent="0.35">
      <c r="B41" s="1">
        <v>2310</v>
      </c>
      <c r="C41" s="1" t="s">
        <v>5019</v>
      </c>
      <c r="D41" s="1" t="s">
        <v>5003</v>
      </c>
      <c r="E41" s="1" t="s">
        <v>5020</v>
      </c>
      <c r="F41" s="1" t="s">
        <v>4980</v>
      </c>
      <c r="G41" s="1">
        <v>12</v>
      </c>
      <c r="H41" s="1" t="s">
        <v>5021</v>
      </c>
      <c r="I41" s="6">
        <v>300000000</v>
      </c>
    </row>
    <row r="42" spans="2:9" x14ac:dyDescent="0.35">
      <c r="B42" s="1">
        <v>2410</v>
      </c>
      <c r="C42" s="1" t="s">
        <v>5022</v>
      </c>
      <c r="D42" s="1" t="s">
        <v>5003</v>
      </c>
      <c r="E42" s="1" t="s">
        <v>5023</v>
      </c>
      <c r="F42" s="1" t="s">
        <v>4980</v>
      </c>
      <c r="G42" s="1">
        <v>12</v>
      </c>
      <c r="H42" s="1" t="s">
        <v>5021</v>
      </c>
      <c r="I42" s="6">
        <v>1500000000</v>
      </c>
    </row>
    <row r="43" spans="2:9" x14ac:dyDescent="0.35">
      <c r="B43" s="1">
        <v>2420</v>
      </c>
      <c r="C43" s="1" t="s">
        <v>5024</v>
      </c>
      <c r="D43" s="1" t="s">
        <v>5003</v>
      </c>
      <c r="E43" s="1" t="s">
        <v>5025</v>
      </c>
      <c r="F43" s="1" t="s">
        <v>4980</v>
      </c>
      <c r="G43" s="1">
        <v>13</v>
      </c>
      <c r="H43" s="1" t="s">
        <v>5026</v>
      </c>
      <c r="I43" s="6">
        <v>210000000</v>
      </c>
    </row>
    <row r="44" spans="2:9" x14ac:dyDescent="0.35">
      <c r="B44" s="1">
        <v>3110</v>
      </c>
      <c r="C44" s="1" t="s">
        <v>5027</v>
      </c>
      <c r="D44" s="1" t="s">
        <v>5028</v>
      </c>
      <c r="E44" s="1" t="s">
        <v>5029</v>
      </c>
      <c r="F44" s="1" t="s">
        <v>4980</v>
      </c>
      <c r="G44" s="1">
        <v>14</v>
      </c>
      <c r="H44" s="1" t="s">
        <v>5029</v>
      </c>
      <c r="I44" s="6">
        <v>2500000000</v>
      </c>
    </row>
    <row r="45" spans="2:9" x14ac:dyDescent="0.35">
      <c r="B45" s="1">
        <v>3120</v>
      </c>
      <c r="C45" s="1" t="s">
        <v>5030</v>
      </c>
      <c r="D45" s="1" t="s">
        <v>5028</v>
      </c>
      <c r="E45" s="1" t="s">
        <v>5031</v>
      </c>
      <c r="F45" s="1" t="s">
        <v>4980</v>
      </c>
      <c r="G45" s="1">
        <v>14</v>
      </c>
      <c r="H45" s="1" t="s">
        <v>5029</v>
      </c>
      <c r="I45" s="6">
        <v>300000000</v>
      </c>
    </row>
    <row r="46" spans="2:9" x14ac:dyDescent="0.35">
      <c r="B46" s="1">
        <v>3210</v>
      </c>
      <c r="C46" s="1" t="s">
        <v>5032</v>
      </c>
      <c r="D46" s="1" t="s">
        <v>5028</v>
      </c>
      <c r="E46" s="1" t="s">
        <v>5033</v>
      </c>
      <c r="F46" s="1" t="s">
        <v>4980</v>
      </c>
      <c r="G46" s="1">
        <v>14</v>
      </c>
      <c r="H46" s="1" t="s">
        <v>5033</v>
      </c>
      <c r="I46" s="6">
        <v>1049895834</v>
      </c>
    </row>
    <row r="47" spans="2:9" x14ac:dyDescent="0.35">
      <c r="B47" s="1">
        <v>3310</v>
      </c>
      <c r="C47" s="1" t="s">
        <v>5034</v>
      </c>
      <c r="D47" s="1" t="s">
        <v>5028</v>
      </c>
      <c r="E47" s="1" t="s">
        <v>5033</v>
      </c>
      <c r="F47" s="1" t="s">
        <v>36</v>
      </c>
      <c r="G47" s="1">
        <v>14</v>
      </c>
      <c r="H47" s="1" t="s">
        <v>5034</v>
      </c>
      <c r="I47" s="6">
        <v>0</v>
      </c>
    </row>
    <row r="48" spans="2:9" x14ac:dyDescent="0.35">
      <c r="B48" s="1">
        <v>4100</v>
      </c>
      <c r="C48" s="1" t="str">
        <f>IP_RevLabel</f>
        <v>Sales of goods</v>
      </c>
      <c r="D48" s="1" t="s">
        <v>5035</v>
      </c>
      <c r="E48" s="1" t="s">
        <v>5035</v>
      </c>
      <c r="F48" s="1" t="s">
        <v>4980</v>
      </c>
      <c r="G48" s="1">
        <v>15</v>
      </c>
      <c r="I48" s="6">
        <v>0</v>
      </c>
    </row>
    <row r="49" spans="2:9" x14ac:dyDescent="0.35">
      <c r="B49" s="1">
        <v>5100</v>
      </c>
      <c r="C49" s="1" t="str">
        <f>IP_CostLabel</f>
        <v>Cost of goods sold</v>
      </c>
      <c r="D49" s="1" t="s">
        <v>5036</v>
      </c>
      <c r="E49" s="1" t="s">
        <v>5037</v>
      </c>
      <c r="F49" s="1" t="s">
        <v>36</v>
      </c>
      <c r="G49" s="1">
        <v>16</v>
      </c>
      <c r="I49" s="6">
        <v>0</v>
      </c>
    </row>
    <row r="50" spans="2:9" x14ac:dyDescent="0.35">
      <c r="B50" s="1">
        <v>6110</v>
      </c>
      <c r="C50" s="1" t="s">
        <v>5038</v>
      </c>
      <c r="D50" s="1" t="s">
        <v>5036</v>
      </c>
      <c r="E50" s="1" t="s">
        <v>5039</v>
      </c>
      <c r="F50" s="1" t="s">
        <v>36</v>
      </c>
      <c r="G50" s="1">
        <v>17</v>
      </c>
      <c r="I50" s="6">
        <v>0</v>
      </c>
    </row>
    <row r="51" spans="2:9" x14ac:dyDescent="0.35">
      <c r="B51" s="1">
        <v>6111</v>
      </c>
      <c r="C51" s="1" t="s">
        <v>5040</v>
      </c>
      <c r="D51" s="1" t="s">
        <v>5036</v>
      </c>
      <c r="E51" s="1" t="s">
        <v>5039</v>
      </c>
      <c r="F51" s="1" t="s">
        <v>36</v>
      </c>
      <c r="G51" s="1">
        <v>17</v>
      </c>
      <c r="I51" s="6">
        <v>0</v>
      </c>
    </row>
    <row r="52" spans="2:9" x14ac:dyDescent="0.35">
      <c r="B52" s="1">
        <v>6120</v>
      </c>
      <c r="C52" s="1" t="s">
        <v>5041</v>
      </c>
      <c r="D52" s="1" t="s">
        <v>5036</v>
      </c>
      <c r="E52" s="1" t="s">
        <v>5039</v>
      </c>
      <c r="F52" s="1" t="s">
        <v>36</v>
      </c>
      <c r="G52" s="1">
        <v>17</v>
      </c>
      <c r="I52" s="6">
        <v>0</v>
      </c>
    </row>
    <row r="53" spans="2:9" x14ac:dyDescent="0.35">
      <c r="B53" s="1">
        <v>6130</v>
      </c>
      <c r="C53" s="1" t="s">
        <v>5042</v>
      </c>
      <c r="D53" s="1" t="s">
        <v>5036</v>
      </c>
      <c r="E53" s="1" t="s">
        <v>5039</v>
      </c>
      <c r="F53" s="1" t="s">
        <v>36</v>
      </c>
      <c r="G53" s="1">
        <v>17</v>
      </c>
      <c r="I53" s="6">
        <v>0</v>
      </c>
    </row>
    <row r="54" spans="2:9" x14ac:dyDescent="0.35">
      <c r="B54" s="1">
        <v>6140</v>
      </c>
      <c r="C54" s="1" t="s">
        <v>5043</v>
      </c>
      <c r="D54" s="1" t="s">
        <v>5036</v>
      </c>
      <c r="E54" s="1" t="s">
        <v>5039</v>
      </c>
      <c r="F54" s="1" t="s">
        <v>36</v>
      </c>
      <c r="G54" s="1">
        <v>17</v>
      </c>
      <c r="I54" s="6">
        <v>0</v>
      </c>
    </row>
    <row r="55" spans="2:9" x14ac:dyDescent="0.35">
      <c r="B55" s="1">
        <v>6210</v>
      </c>
      <c r="C55" s="1" t="s">
        <v>5044</v>
      </c>
      <c r="D55" s="1" t="s">
        <v>5036</v>
      </c>
      <c r="E55" s="1" t="s">
        <v>5045</v>
      </c>
      <c r="F55" s="1" t="s">
        <v>36</v>
      </c>
      <c r="G55" s="1">
        <v>18</v>
      </c>
      <c r="I55" s="6">
        <v>0</v>
      </c>
    </row>
    <row r="56" spans="2:9" x14ac:dyDescent="0.35">
      <c r="B56" s="1">
        <v>6211</v>
      </c>
      <c r="C56" s="1" t="s">
        <v>5046</v>
      </c>
      <c r="D56" s="1" t="s">
        <v>5036</v>
      </c>
      <c r="E56" s="1" t="s">
        <v>5045</v>
      </c>
      <c r="F56" s="1" t="s">
        <v>36</v>
      </c>
      <c r="G56" s="1">
        <v>18</v>
      </c>
      <c r="I56" s="6">
        <v>0</v>
      </c>
    </row>
    <row r="57" spans="2:9" x14ac:dyDescent="0.35">
      <c r="B57" s="1">
        <v>6220</v>
      </c>
      <c r="C57" s="1" t="s">
        <v>5047</v>
      </c>
      <c r="D57" s="1" t="s">
        <v>5036</v>
      </c>
      <c r="E57" s="1" t="s">
        <v>5045</v>
      </c>
      <c r="F57" s="1" t="s">
        <v>36</v>
      </c>
      <c r="G57" s="1">
        <v>18</v>
      </c>
      <c r="I57" s="6">
        <v>0</v>
      </c>
    </row>
    <row r="58" spans="2:9" x14ac:dyDescent="0.35">
      <c r="B58" s="1">
        <v>6230</v>
      </c>
      <c r="C58" s="1" t="s">
        <v>5048</v>
      </c>
      <c r="D58" s="1" t="s">
        <v>5036</v>
      </c>
      <c r="E58" s="1" t="s">
        <v>5045</v>
      </c>
      <c r="F58" s="1" t="s">
        <v>36</v>
      </c>
      <c r="G58" s="1">
        <v>18</v>
      </c>
      <c r="I58" s="6">
        <v>0</v>
      </c>
    </row>
    <row r="59" spans="2:9" x14ac:dyDescent="0.35">
      <c r="B59" s="1">
        <v>6240</v>
      </c>
      <c r="C59" s="1" t="s">
        <v>5049</v>
      </c>
      <c r="D59" s="1" t="s">
        <v>5036</v>
      </c>
      <c r="E59" s="1" t="s">
        <v>5045</v>
      </c>
      <c r="F59" s="1" t="s">
        <v>36</v>
      </c>
      <c r="G59" s="1">
        <v>18</v>
      </c>
      <c r="I59" s="6">
        <v>0</v>
      </c>
    </row>
    <row r="60" spans="2:9" x14ac:dyDescent="0.35">
      <c r="B60" s="1">
        <v>6250</v>
      </c>
      <c r="C60" s="1" t="s">
        <v>5050</v>
      </c>
      <c r="D60" s="1" t="s">
        <v>5036</v>
      </c>
      <c r="E60" s="1" t="s">
        <v>5045</v>
      </c>
      <c r="F60" s="1" t="s">
        <v>36</v>
      </c>
      <c r="G60" s="1">
        <v>18</v>
      </c>
      <c r="I60" s="6">
        <v>0</v>
      </c>
    </row>
    <row r="61" spans="2:9" x14ac:dyDescent="0.35">
      <c r="B61" s="1">
        <v>6260</v>
      </c>
      <c r="C61" s="1" t="s">
        <v>5051</v>
      </c>
      <c r="D61" s="1" t="s">
        <v>5036</v>
      </c>
      <c r="E61" s="1" t="s">
        <v>5045</v>
      </c>
      <c r="F61" s="1" t="s">
        <v>36</v>
      </c>
      <c r="G61" s="1">
        <v>18</v>
      </c>
      <c r="I61" s="6">
        <v>0</v>
      </c>
    </row>
    <row r="62" spans="2:9" x14ac:dyDescent="0.35">
      <c r="B62" s="1">
        <v>6265</v>
      </c>
      <c r="C62" s="1" t="s">
        <v>5052</v>
      </c>
      <c r="D62" s="1" t="s">
        <v>5036</v>
      </c>
      <c r="E62" s="1" t="s">
        <v>5045</v>
      </c>
      <c r="F62" s="1" t="s">
        <v>36</v>
      </c>
      <c r="G62" s="1">
        <v>18</v>
      </c>
      <c r="I62" s="6">
        <v>0</v>
      </c>
    </row>
    <row r="63" spans="2:9" x14ac:dyDescent="0.35">
      <c r="B63" s="1">
        <v>6270</v>
      </c>
      <c r="C63" s="1" t="s">
        <v>4731</v>
      </c>
      <c r="D63" s="1" t="s">
        <v>5036</v>
      </c>
      <c r="E63" s="1" t="s">
        <v>5045</v>
      </c>
      <c r="F63" s="1" t="s">
        <v>36</v>
      </c>
      <c r="G63" s="1">
        <v>18</v>
      </c>
      <c r="I63" s="6">
        <v>0</v>
      </c>
    </row>
    <row r="64" spans="2:9" x14ac:dyDescent="0.35">
      <c r="B64" s="1">
        <v>6280</v>
      </c>
      <c r="C64" s="1" t="s">
        <v>5053</v>
      </c>
      <c r="D64" s="1" t="s">
        <v>5036</v>
      </c>
      <c r="E64" s="1" t="s">
        <v>5045</v>
      </c>
      <c r="F64" s="1" t="s">
        <v>36</v>
      </c>
      <c r="G64" s="1">
        <v>18</v>
      </c>
      <c r="I64" s="6">
        <v>0</v>
      </c>
    </row>
    <row r="65" spans="2:9" x14ac:dyDescent="0.35">
      <c r="B65" s="1">
        <v>6285</v>
      </c>
      <c r="C65" s="1" t="s">
        <v>5054</v>
      </c>
      <c r="D65" s="1" t="s">
        <v>5036</v>
      </c>
      <c r="E65" s="1" t="s">
        <v>5045</v>
      </c>
      <c r="F65" s="1" t="s">
        <v>36</v>
      </c>
      <c r="G65" s="1">
        <v>18</v>
      </c>
      <c r="I65" s="6">
        <v>0</v>
      </c>
    </row>
    <row r="66" spans="2:9" x14ac:dyDescent="0.35">
      <c r="B66" s="1">
        <v>6290</v>
      </c>
      <c r="C66" s="1" t="s">
        <v>5055</v>
      </c>
      <c r="D66" s="1" t="s">
        <v>5036</v>
      </c>
      <c r="E66" s="1" t="s">
        <v>5045</v>
      </c>
      <c r="F66" s="1" t="s">
        <v>36</v>
      </c>
      <c r="G66" s="1">
        <v>18</v>
      </c>
      <c r="I66" s="6">
        <v>0</v>
      </c>
    </row>
    <row r="67" spans="2:9" x14ac:dyDescent="0.35">
      <c r="B67" s="1">
        <v>6295</v>
      </c>
      <c r="C67" s="1" t="s">
        <v>5056</v>
      </c>
      <c r="D67" s="1" t="s">
        <v>5036</v>
      </c>
      <c r="E67" s="1" t="s">
        <v>5045</v>
      </c>
      <c r="F67" s="1" t="s">
        <v>36</v>
      </c>
      <c r="G67" s="1">
        <v>18</v>
      </c>
      <c r="I67" s="6">
        <v>0</v>
      </c>
    </row>
    <row r="68" spans="2:9" x14ac:dyDescent="0.35">
      <c r="B68" s="1">
        <v>6296</v>
      </c>
      <c r="C68" s="1" t="s">
        <v>4761</v>
      </c>
      <c r="D68" s="1" t="s">
        <v>5036</v>
      </c>
      <c r="E68" s="1" t="s">
        <v>5045</v>
      </c>
      <c r="F68" s="1" t="s">
        <v>36</v>
      </c>
      <c r="G68" s="1">
        <v>18</v>
      </c>
      <c r="I68" s="6">
        <v>0</v>
      </c>
    </row>
    <row r="69" spans="2:9" x14ac:dyDescent="0.35">
      <c r="B69" s="1">
        <v>7110</v>
      </c>
      <c r="C69" s="1" t="s">
        <v>5057</v>
      </c>
      <c r="D69" s="1" t="s">
        <v>5035</v>
      </c>
      <c r="E69" s="1" t="s">
        <v>5058</v>
      </c>
      <c r="F69" s="1" t="s">
        <v>4980</v>
      </c>
      <c r="G69" s="1">
        <v>19</v>
      </c>
      <c r="I69" s="6">
        <v>0</v>
      </c>
    </row>
    <row r="70" spans="2:9" x14ac:dyDescent="0.35">
      <c r="B70" s="1">
        <v>7120</v>
      </c>
      <c r="C70" s="1" t="s">
        <v>5059</v>
      </c>
      <c r="D70" s="1" t="s">
        <v>5035</v>
      </c>
      <c r="E70" s="1" t="s">
        <v>5058</v>
      </c>
      <c r="F70" s="1" t="s">
        <v>4980</v>
      </c>
      <c r="G70" s="1">
        <v>19</v>
      </c>
      <c r="I70" s="6">
        <v>0</v>
      </c>
    </row>
    <row r="71" spans="2:9" x14ac:dyDescent="0.35">
      <c r="B71" s="1">
        <v>7210</v>
      </c>
      <c r="C71" s="1" t="s">
        <v>5060</v>
      </c>
      <c r="D71" s="1" t="s">
        <v>5036</v>
      </c>
      <c r="E71" s="1" t="s">
        <v>5061</v>
      </c>
      <c r="F71" s="1" t="s">
        <v>36</v>
      </c>
      <c r="G71" s="1">
        <v>19</v>
      </c>
      <c r="I71" s="6">
        <v>0</v>
      </c>
    </row>
    <row r="72" spans="2:9" x14ac:dyDescent="0.35">
      <c r="B72" s="1">
        <v>7220</v>
      </c>
      <c r="C72" s="1" t="s">
        <v>5062</v>
      </c>
      <c r="D72" s="1" t="s">
        <v>5036</v>
      </c>
      <c r="E72" s="1" t="s">
        <v>5063</v>
      </c>
      <c r="F72" s="1" t="s">
        <v>36</v>
      </c>
      <c r="G72" s="1">
        <v>19</v>
      </c>
      <c r="I72" s="6">
        <v>0</v>
      </c>
    </row>
    <row r="73" spans="2:9" x14ac:dyDescent="0.35">
      <c r="B73" s="1">
        <v>8100</v>
      </c>
      <c r="C73" s="1" t="s">
        <v>5064</v>
      </c>
      <c r="D73" s="1" t="s">
        <v>5036</v>
      </c>
      <c r="E73" s="1" t="s">
        <v>5065</v>
      </c>
      <c r="F73" s="1" t="s">
        <v>36</v>
      </c>
      <c r="G73" s="1">
        <v>7</v>
      </c>
      <c r="I73" s="6">
        <v>0</v>
      </c>
    </row>
    <row r="74" spans="2:9" x14ac:dyDescent="0.35">
      <c r="B74" s="1">
        <v>8200</v>
      </c>
      <c r="C74" s="1" t="s">
        <v>5066</v>
      </c>
      <c r="D74" s="1" t="s">
        <v>5036</v>
      </c>
      <c r="E74" s="1" t="s">
        <v>5063</v>
      </c>
      <c r="F74" s="1" t="s">
        <v>36</v>
      </c>
      <c r="G74" s="1">
        <v>19</v>
      </c>
      <c r="I74" s="6">
        <v>0</v>
      </c>
    </row>
  </sheetData>
  <mergeCells count="10">
    <mergeCell ref="V2:W2"/>
    <mergeCell ref="Y2:Z2"/>
    <mergeCell ref="AB2:AC2"/>
    <mergeCell ref="AE2:AF2"/>
    <mergeCell ref="B2:C2"/>
    <mergeCell ref="G2:H2"/>
    <mergeCell ref="J2:K2"/>
    <mergeCell ref="M2:N2"/>
    <mergeCell ref="P2:Q2"/>
    <mergeCell ref="S2:T2"/>
  </mergeCells>
  <dataValidations count="2">
    <dataValidation type="list" allowBlank="1" showInputMessage="1" showErrorMessage="1" sqref="F7:F74" xr:uid="{233733F4-A0FA-4428-8B3E-3D86D63B5864}">
      <formula1>"D,C"</formula1>
    </dataValidation>
    <dataValidation type="list" allowBlank="1" showInputMessage="1" showErrorMessage="1" sqref="D7:D74" xr:uid="{24300703-82D1-492D-9136-46E1A54D2425}">
      <formula1>"Asset,Liability,Equity,Revenue,Expense"</formula1>
    </dataValidation>
  </dataValidations>
  <hyperlinks>
    <hyperlink ref="B2:C2" location="'Dashboard'!A1" tooltip="Go to Dashboard" display="🏠 HOME" xr:uid="{886A5C27-B91A-4D00-999C-BBD2138C6171}"/>
    <hyperlink ref="E2" location="'Industry Profile'!A1" tooltip="Go to Industry Profile" display="◀ PREV" xr:uid="{B02CF77E-07FD-4A96-8A4D-B5DD26D94C47}"/>
    <hyperlink ref="G2:H2" location="'Customers'!A1" tooltip="Go to Customers" display="NEXT ▶" xr:uid="{E211FF81-9514-4C6F-B327-08FFE2A5234A}"/>
    <hyperlink ref="J2:K2" location="'Dashboard'!B5" tooltip="Go to Dashboard" display="☰ MENU" xr:uid="{C7AABDAA-E10E-47B8-9B4A-B86198D60632}"/>
    <hyperlink ref="M2:N2" location="'General Journal'!A1" tooltip="Go to General Journal" display="Journal" xr:uid="{8D46DE87-5E61-4947-BED6-B6D6459E8C72}"/>
    <hyperlink ref="P2:Q2" location="'Trial Balance'!A1" tooltip="Go to Trial Balance" display="Trial Bal." xr:uid="{C99F92AF-58C3-4800-A0A9-1F22E12EA3B4}"/>
    <hyperlink ref="S2:T2" location="'Income Statement'!A1" tooltip="Go to Income Statement" display="Income St." xr:uid="{2497E8B9-315F-4454-9554-9B4A78F37DEF}"/>
    <hyperlink ref="V2:W2" location="'Balance Sheet'!A1" tooltip="Go to Balance Sheet" display="Balance Sh." xr:uid="{31C64629-2BC5-479B-B5F1-04AD896A98FA}"/>
    <hyperlink ref="Y2:Z2" location="'Tax Reconciliation'!A1" tooltip="Go to Tax Reconciliation" display="Tax Recon" xr:uid="{1575C4CD-1494-4464-B4F6-5A57EA10F438}"/>
    <hyperlink ref="AB2:AC2" location="'Bank Reconciliation'!A1" tooltip="Go to Bank Reconciliation" display="Bank Recon" xr:uid="{3B20EDD3-ED75-4899-9777-0D0479E18CC8}"/>
    <hyperlink ref="AE2:AF2" location="'Controls'!A1" tooltip="Go to Controls" display="Controls" xr:uid="{F9D526C9-DDD0-4966-A6D4-49A920F0D956}"/>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7C5C-77C8-4FCD-9B29-3267A1030359}">
  <sheetPr>
    <tabColor rgb="FF14B8A6"/>
  </sheetPr>
  <dimension ref="A1:BH19"/>
  <sheetViews>
    <sheetView showGridLines="0" topLeftCell="A12" workbookViewId="0"/>
  </sheetViews>
  <sheetFormatPr defaultRowHeight="14.5" x14ac:dyDescent="0.35"/>
  <cols>
    <col min="1" max="1" width="1.453125" style="1" customWidth="1"/>
    <col min="2" max="2" width="10" style="1" customWidth="1"/>
    <col min="3" max="3" width="27.26953125" style="1" customWidth="1"/>
    <col min="4" max="4" width="10.90625" style="1" customWidth="1"/>
    <col min="5" max="5" width="16.36328125" style="1" customWidth="1"/>
    <col min="6" max="6" width="27.26953125" style="1" customWidth="1"/>
    <col min="7" max="7" width="14.54296875" style="1" customWidth="1"/>
    <col min="8" max="8" width="25.453125" style="1" customWidth="1"/>
    <col min="9" max="9" width="14.54296875" style="1" customWidth="1"/>
    <col min="10" max="10" width="12.7265625" style="1" customWidth="1"/>
    <col min="11" max="11" width="14.54296875" style="1" customWidth="1"/>
    <col min="12" max="12" width="15.453125" style="1" customWidth="1"/>
    <col min="13" max="13" width="10.90625" style="1" customWidth="1"/>
    <col min="14" max="14" width="15.453125" style="1" customWidth="1"/>
    <col min="15" max="52" width="8.7265625" style="1"/>
  </cols>
  <sheetData>
    <row r="1" spans="1:60" ht="5" customHeight="1" x14ac:dyDescent="0.35"/>
    <row r="2" spans="1:60" ht="18" customHeight="1" thickBot="1" x14ac:dyDescent="0.4">
      <c r="A2" s="307"/>
      <c r="B2" s="312" t="s">
        <v>7075</v>
      </c>
      <c r="C2" s="313"/>
      <c r="D2" s="307"/>
      <c r="E2" s="309" t="s">
        <v>7076</v>
      </c>
      <c r="F2" s="307"/>
      <c r="G2" s="309" t="s">
        <v>7077</v>
      </c>
      <c r="H2" s="307"/>
      <c r="I2" s="308" t="s">
        <v>7078</v>
      </c>
      <c r="J2" s="307"/>
      <c r="K2" s="317" t="s">
        <v>7079</v>
      </c>
      <c r="L2" s="307"/>
      <c r="M2" s="314" t="s">
        <v>7080</v>
      </c>
      <c r="N2" s="315"/>
      <c r="O2" s="307"/>
      <c r="P2" s="314" t="s">
        <v>7081</v>
      </c>
      <c r="Q2" s="315"/>
      <c r="R2" s="307"/>
      <c r="S2" s="314" t="s">
        <v>7082</v>
      </c>
      <c r="T2" s="315"/>
      <c r="U2" s="307"/>
      <c r="V2" s="314" t="s">
        <v>7083</v>
      </c>
      <c r="W2" s="315"/>
      <c r="X2" s="307"/>
      <c r="Y2" s="314" t="s">
        <v>7084</v>
      </c>
      <c r="Z2" s="315"/>
      <c r="AA2" s="307"/>
      <c r="AB2" s="314" t="s">
        <v>7085</v>
      </c>
      <c r="AC2" s="315"/>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4561</v>
      </c>
      <c r="C4" s="67"/>
      <c r="D4" s="67"/>
      <c r="E4" s="67"/>
      <c r="F4" s="67"/>
      <c r="G4" s="67"/>
      <c r="H4" s="67"/>
      <c r="I4" s="67"/>
      <c r="J4" s="67"/>
      <c r="K4" s="67"/>
      <c r="L4" s="67"/>
      <c r="M4" s="67"/>
      <c r="N4" s="67"/>
    </row>
    <row r="5" spans="1:60" x14ac:dyDescent="0.35">
      <c r="B5" s="72" t="s">
        <v>4562</v>
      </c>
    </row>
    <row r="6" spans="1:60" x14ac:dyDescent="0.35">
      <c r="B6" s="1" t="s">
        <v>4563</v>
      </c>
      <c r="C6" s="1" t="s">
        <v>4564</v>
      </c>
      <c r="D6" s="1" t="s">
        <v>4565</v>
      </c>
      <c r="E6" s="1" t="s">
        <v>32</v>
      </c>
      <c r="F6" s="1" t="s">
        <v>4303</v>
      </c>
      <c r="G6" s="1" t="s">
        <v>4305</v>
      </c>
      <c r="H6" s="1" t="s">
        <v>33</v>
      </c>
      <c r="I6" s="1" t="s">
        <v>4307</v>
      </c>
      <c r="J6" s="1" t="s">
        <v>4566</v>
      </c>
      <c r="K6" s="1" t="s">
        <v>4567</v>
      </c>
      <c r="L6" s="1" t="s">
        <v>7016</v>
      </c>
      <c r="M6" s="1" t="s">
        <v>7017</v>
      </c>
      <c r="BA6" s="1"/>
      <c r="BB6" s="1"/>
    </row>
    <row r="7" spans="1:60" x14ac:dyDescent="0.35">
      <c r="B7" s="1" t="s">
        <v>4568</v>
      </c>
      <c r="C7" s="1" t="s">
        <v>4569</v>
      </c>
      <c r="D7" s="1" t="s">
        <v>0</v>
      </c>
      <c r="E7" s="69" t="s">
        <v>4570</v>
      </c>
      <c r="F7" s="1" t="s">
        <v>4571</v>
      </c>
      <c r="G7" s="1" t="s">
        <v>4306</v>
      </c>
      <c r="H7" s="1" t="s">
        <v>4571</v>
      </c>
      <c r="I7" s="1" t="s">
        <v>4571</v>
      </c>
      <c r="J7" s="1">
        <v>0</v>
      </c>
      <c r="K7" s="5">
        <v>0</v>
      </c>
      <c r="L7" s="10">
        <f>SUMIFS(tblSales[DPP (excl. VAT)],tblSales[Customer ID],tblCustomers[[#This Row],[Customer ID]],tblSales[Date],"&lt;="&amp;PEnd)</f>
        <v>3191885000</v>
      </c>
      <c r="M7" s="10">
        <f>SUMIFS(tblSales[Total incl. VAT],tblSales[Customer ID],tblCustomers[[#This Row],[Customer ID]],tblSales[Payment Method],"Credit (Term)",tblSales[Month],CutOff)</f>
        <v>0</v>
      </c>
      <c r="BA7" s="1"/>
      <c r="BB7" s="1"/>
    </row>
    <row r="8" spans="1:60" x14ac:dyDescent="0.35">
      <c r="B8" s="1" t="s">
        <v>4572</v>
      </c>
      <c r="C8" s="1" t="s">
        <v>4573</v>
      </c>
      <c r="D8" s="1" t="s">
        <v>4476</v>
      </c>
      <c r="E8" s="69" t="s">
        <v>4574</v>
      </c>
      <c r="F8" s="1" t="s">
        <v>4575</v>
      </c>
      <c r="G8" s="1" t="s">
        <v>4306</v>
      </c>
      <c r="H8" s="1" t="s">
        <v>4576</v>
      </c>
      <c r="I8" s="1" t="s">
        <v>4577</v>
      </c>
      <c r="J8" s="1">
        <v>30</v>
      </c>
      <c r="K8" s="5">
        <v>250000000</v>
      </c>
      <c r="L8" s="10">
        <f>SUMIFS(tblSales[DPP (excl. VAT)],tblSales[Customer ID],tblCustomers[[#This Row],[Customer ID]],tblSales[Date],"&lt;="&amp;PEnd)</f>
        <v>827360000</v>
      </c>
      <c r="M8" s="10">
        <f>SUMIFS(tblSales[Total incl. VAT],tblSales[Customer ID],tblCustomers[[#This Row],[Customer ID]],tblSales[Payment Method],"Credit (Term)",tblSales[Month],CutOff)</f>
        <v>117615600</v>
      </c>
      <c r="BA8" s="1"/>
      <c r="BB8" s="1"/>
    </row>
    <row r="9" spans="1:60" x14ac:dyDescent="0.35">
      <c r="B9" s="1" t="s">
        <v>4578</v>
      </c>
      <c r="C9" s="1" t="s">
        <v>4579</v>
      </c>
      <c r="D9" s="1" t="s">
        <v>4476</v>
      </c>
      <c r="E9" s="69" t="s">
        <v>4580</v>
      </c>
      <c r="F9" s="1" t="s">
        <v>4581</v>
      </c>
      <c r="G9" s="1" t="s">
        <v>4582</v>
      </c>
      <c r="H9" s="1" t="s">
        <v>4583</v>
      </c>
      <c r="I9" s="1" t="s">
        <v>4584</v>
      </c>
      <c r="J9" s="1">
        <v>30</v>
      </c>
      <c r="K9" s="5">
        <v>200000000</v>
      </c>
      <c r="L9" s="10">
        <f>SUMIFS(tblSales[DPP (excl. VAT)],tblSales[Customer ID],tblCustomers[[#This Row],[Customer ID]],tblSales[Date],"&lt;="&amp;PEnd)</f>
        <v>844240000</v>
      </c>
      <c r="M9" s="10">
        <f>SUMIFS(tblSales[Total incl. VAT],tblSales[Customer ID],tblCustomers[[#This Row],[Customer ID]],tblSales[Payment Method],"Credit (Term)",tblSales[Month],CutOff)</f>
        <v>192340800</v>
      </c>
      <c r="BA9" s="1"/>
      <c r="BB9" s="1"/>
    </row>
    <row r="10" spans="1:60" x14ac:dyDescent="0.35">
      <c r="B10" s="1" t="s">
        <v>4585</v>
      </c>
      <c r="C10" s="1" t="s">
        <v>4586</v>
      </c>
      <c r="D10" s="1" t="s">
        <v>4587</v>
      </c>
      <c r="E10" s="69" t="s">
        <v>4588</v>
      </c>
      <c r="F10" s="1" t="s">
        <v>4589</v>
      </c>
      <c r="G10" s="1" t="s">
        <v>4590</v>
      </c>
      <c r="H10" s="1" t="s">
        <v>4591</v>
      </c>
      <c r="I10" s="1" t="s">
        <v>4592</v>
      </c>
      <c r="J10" s="1">
        <v>14</v>
      </c>
      <c r="K10" s="5">
        <v>100000000</v>
      </c>
      <c r="L10" s="10">
        <f>SUMIFS(tblSales[DPP (excl. VAT)],tblSales[Customer ID],tblCustomers[[#This Row],[Customer ID]],tblSales[Date],"&lt;="&amp;PEnd)</f>
        <v>512560000</v>
      </c>
      <c r="M10" s="10">
        <f>SUMIFS(tblSales[Total incl. VAT],tblSales[Customer ID],tblCustomers[[#This Row],[Customer ID]],tblSales[Payment Method],"Credit (Term)",tblSales[Month],CutOff)</f>
        <v>97014000</v>
      </c>
      <c r="BA10" s="1"/>
      <c r="BB10" s="1"/>
    </row>
    <row r="11" spans="1:60" x14ac:dyDescent="0.35">
      <c r="B11" s="1" t="s">
        <v>4593</v>
      </c>
      <c r="C11" s="1" t="s">
        <v>4594</v>
      </c>
      <c r="D11" s="1" t="s">
        <v>4476</v>
      </c>
      <c r="E11" s="69" t="s">
        <v>4595</v>
      </c>
      <c r="F11" s="1" t="s">
        <v>4596</v>
      </c>
      <c r="G11" s="1" t="s">
        <v>4306</v>
      </c>
      <c r="H11" s="1" t="s">
        <v>4597</v>
      </c>
      <c r="I11" s="1" t="s">
        <v>4598</v>
      </c>
      <c r="J11" s="1">
        <v>30</v>
      </c>
      <c r="K11" s="5">
        <v>300000000</v>
      </c>
      <c r="L11" s="10">
        <f>SUMIFS(tblSales[DPP (excl. VAT)],tblSales[Customer ID],tblCustomers[[#This Row],[Customer ID]],tblSales[Date],"&lt;="&amp;PEnd)</f>
        <v>927360000</v>
      </c>
      <c r="M11" s="10">
        <f>SUMIFS(tblSales[Total incl. VAT],tblSales[Customer ID],tblCustomers[[#This Row],[Customer ID]],tblSales[Payment Method],"Credit (Term)",tblSales[Month],CutOff)</f>
        <v>91108800</v>
      </c>
      <c r="BA11" s="1"/>
      <c r="BB11" s="1"/>
    </row>
    <row r="12" spans="1:60" x14ac:dyDescent="0.35">
      <c r="B12" s="1" t="s">
        <v>4599</v>
      </c>
      <c r="C12" s="1" t="s">
        <v>4600</v>
      </c>
      <c r="D12" s="1" t="s">
        <v>4476</v>
      </c>
      <c r="E12" s="69" t="s">
        <v>4601</v>
      </c>
      <c r="F12" s="1" t="s">
        <v>4602</v>
      </c>
      <c r="G12" s="1" t="s">
        <v>4603</v>
      </c>
      <c r="H12" s="1" t="s">
        <v>4604</v>
      </c>
      <c r="I12" s="1" t="s">
        <v>4605</v>
      </c>
      <c r="J12" s="1">
        <v>45</v>
      </c>
      <c r="K12" s="5">
        <v>250000000</v>
      </c>
      <c r="L12" s="10">
        <f>SUMIFS(tblSales[DPP (excl. VAT)],tblSales[Customer ID],tblCustomers[[#This Row],[Customer ID]],tblSales[Date],"&lt;="&amp;PEnd)</f>
        <v>712240000</v>
      </c>
      <c r="M12" s="10">
        <f>SUMIFS(tblSales[Total incl. VAT],tblSales[Customer ID],tblCustomers[[#This Row],[Customer ID]],tblSales[Payment Method],"Credit (Term)",tblSales[Month],CutOff)</f>
        <v>82006800</v>
      </c>
      <c r="BA12" s="1"/>
      <c r="BB12" s="1"/>
    </row>
    <row r="13" spans="1:60" x14ac:dyDescent="0.35">
      <c r="B13" s="1" t="s">
        <v>4606</v>
      </c>
      <c r="C13" s="1" t="s">
        <v>4607</v>
      </c>
      <c r="D13" s="1" t="s">
        <v>4476</v>
      </c>
      <c r="E13" s="69" t="s">
        <v>4608</v>
      </c>
      <c r="F13" s="1" t="s">
        <v>4609</v>
      </c>
      <c r="G13" s="1" t="s">
        <v>4610</v>
      </c>
      <c r="H13" s="1" t="s">
        <v>4611</v>
      </c>
      <c r="I13" s="1" t="s">
        <v>4612</v>
      </c>
      <c r="J13" s="1">
        <v>30</v>
      </c>
      <c r="K13" s="5">
        <v>150000000</v>
      </c>
      <c r="L13" s="10">
        <f>SUMIFS(tblSales[DPP (excl. VAT)],tblSales[Customer ID],tblCustomers[[#This Row],[Customer ID]],tblSales[Date],"&lt;="&amp;PEnd)</f>
        <v>443600000</v>
      </c>
      <c r="M13" s="10">
        <f>SUMIFS(tblSales[Total incl. VAT],tblSales[Customer ID],tblCustomers[[#This Row],[Customer ID]],tblSales[Payment Method],"Credit (Term)",tblSales[Month],CutOff)</f>
        <v>68464800</v>
      </c>
      <c r="BA13" s="1"/>
      <c r="BB13" s="1"/>
    </row>
    <row r="14" spans="1:60" x14ac:dyDescent="0.35">
      <c r="B14" s="1" t="s">
        <v>4613</v>
      </c>
      <c r="C14" s="1" t="s">
        <v>4614</v>
      </c>
      <c r="D14" s="1" t="s">
        <v>4476</v>
      </c>
      <c r="E14" s="69" t="s">
        <v>4615</v>
      </c>
      <c r="F14" s="1" t="s">
        <v>4616</v>
      </c>
      <c r="G14" s="1" t="s">
        <v>4617</v>
      </c>
      <c r="H14" s="1" t="s">
        <v>4618</v>
      </c>
      <c r="I14" s="1" t="s">
        <v>4619</v>
      </c>
      <c r="J14" s="1">
        <v>30</v>
      </c>
      <c r="K14" s="5">
        <v>300000000</v>
      </c>
      <c r="L14" s="10">
        <f>SUMIFS(tblSales[DPP (excl. VAT)],tblSales[Customer ID],tblCustomers[[#This Row],[Customer ID]],tblSales[Date],"&lt;="&amp;PEnd)</f>
        <v>776080000</v>
      </c>
      <c r="M14" s="10">
        <f>SUMIFS(tblSales[Total incl. VAT],tblSales[Customer ID],tblCustomers[[#This Row],[Customer ID]],tblSales[Payment Method],"Credit (Term)",tblSales[Month],CutOff)</f>
        <v>65978400</v>
      </c>
      <c r="BA14" s="1"/>
      <c r="BB14" s="1"/>
    </row>
    <row r="15" spans="1:60" x14ac:dyDescent="0.35">
      <c r="B15" s="1" t="s">
        <v>4620</v>
      </c>
      <c r="C15" s="1" t="s">
        <v>4621</v>
      </c>
      <c r="D15" s="1" t="s">
        <v>4587</v>
      </c>
      <c r="E15" s="69" t="s">
        <v>4622</v>
      </c>
      <c r="F15" s="1" t="s">
        <v>4623</v>
      </c>
      <c r="G15" s="1" t="s">
        <v>4624</v>
      </c>
      <c r="H15" s="1" t="s">
        <v>4625</v>
      </c>
      <c r="I15" s="1" t="s">
        <v>4626</v>
      </c>
      <c r="J15" s="1">
        <v>14</v>
      </c>
      <c r="K15" s="5">
        <v>80000000</v>
      </c>
      <c r="L15" s="10">
        <f>SUMIFS(tblSales[DPP (excl. VAT)],tblSales[Customer ID],tblCustomers[[#This Row],[Customer ID]],tblSales[Date],"&lt;="&amp;PEnd)</f>
        <v>456720000</v>
      </c>
      <c r="M15" s="10">
        <f>SUMIFS(tblSales[Total incl. VAT],tblSales[Customer ID],tblCustomers[[#This Row],[Customer ID]],tblSales[Payment Method],"Credit (Term)",tblSales[Month],CutOff)</f>
        <v>72416400</v>
      </c>
      <c r="BA15" s="1"/>
      <c r="BB15" s="1"/>
    </row>
    <row r="16" spans="1:60" x14ac:dyDescent="0.35">
      <c r="B16" s="1" t="s">
        <v>4627</v>
      </c>
      <c r="C16" s="1" t="s">
        <v>4628</v>
      </c>
      <c r="D16" s="1" t="s">
        <v>4476</v>
      </c>
      <c r="E16" s="69" t="s">
        <v>4629</v>
      </c>
      <c r="F16" s="1" t="s">
        <v>4630</v>
      </c>
      <c r="G16" s="1" t="s">
        <v>4631</v>
      </c>
      <c r="H16" s="1" t="s">
        <v>4632</v>
      </c>
      <c r="I16" s="1" t="s">
        <v>4633</v>
      </c>
      <c r="J16" s="1">
        <v>30</v>
      </c>
      <c r="K16" s="5">
        <v>200000000</v>
      </c>
      <c r="L16" s="10">
        <f>SUMIFS(tblSales[DPP (excl. VAT)],tblSales[Customer ID],tblCustomers[[#This Row],[Customer ID]],tblSales[Date],"&lt;="&amp;PEnd)</f>
        <v>768960000</v>
      </c>
      <c r="M16" s="10">
        <f>SUMIFS(tblSales[Total incl. VAT],tblSales[Customer ID],tblCustomers[[#This Row],[Customer ID]],tblSales[Payment Method],"Credit (Term)",tblSales[Month],CutOff)</f>
        <v>33344400</v>
      </c>
      <c r="BA16" s="1"/>
      <c r="BB16" s="1"/>
    </row>
    <row r="17" spans="2:54" x14ac:dyDescent="0.35">
      <c r="B17" s="1" t="s">
        <v>4634</v>
      </c>
      <c r="C17" s="1" t="s">
        <v>4635</v>
      </c>
      <c r="D17" s="1" t="s">
        <v>4476</v>
      </c>
      <c r="E17" s="69" t="s">
        <v>4636</v>
      </c>
      <c r="F17" s="1" t="s">
        <v>4637</v>
      </c>
      <c r="G17" s="1" t="s">
        <v>4638</v>
      </c>
      <c r="H17" s="1" t="s">
        <v>4639</v>
      </c>
      <c r="I17" s="1" t="s">
        <v>4640</v>
      </c>
      <c r="J17" s="1">
        <v>30</v>
      </c>
      <c r="K17" s="5">
        <v>150000000</v>
      </c>
      <c r="L17" s="10">
        <f>SUMIFS(tblSales[DPP (excl. VAT)],tblSales[Customer ID],tblCustomers[[#This Row],[Customer ID]],tblSales[Date],"&lt;="&amp;PEnd)</f>
        <v>821240000</v>
      </c>
      <c r="M17" s="10">
        <f>SUMIFS(tblSales[Total incl. VAT],tblSales[Customer ID],tblCustomers[[#This Row],[Customer ID]],tblSales[Payment Method],"Credit (Term)",tblSales[Month],CutOff)</f>
        <v>122277600</v>
      </c>
      <c r="BA17" s="1"/>
      <c r="BB17" s="1"/>
    </row>
    <row r="18" spans="2:54" x14ac:dyDescent="0.35">
      <c r="B18" s="1" t="s">
        <v>4641</v>
      </c>
      <c r="C18" s="1" t="s">
        <v>4642</v>
      </c>
      <c r="D18" s="1" t="s">
        <v>4476</v>
      </c>
      <c r="E18" s="69" t="s">
        <v>4643</v>
      </c>
      <c r="F18" s="1" t="s">
        <v>4644</v>
      </c>
      <c r="G18" s="1" t="s">
        <v>4645</v>
      </c>
      <c r="H18" s="1" t="s">
        <v>4646</v>
      </c>
      <c r="I18" s="1" t="s">
        <v>4647</v>
      </c>
      <c r="J18" s="1">
        <v>30</v>
      </c>
      <c r="K18" s="5">
        <v>200000000</v>
      </c>
      <c r="L18" s="10">
        <f>SUMIFS(tblSales[DPP (excl. VAT)],tblSales[Customer ID],tblCustomers[[#This Row],[Customer ID]],tblSales[Date],"&lt;="&amp;PEnd)</f>
        <v>491440000</v>
      </c>
      <c r="M18" s="10">
        <f>SUMIFS(tblSales[Total incl. VAT],tblSales[Customer ID],tblCustomers[[#This Row],[Customer ID]],tblSales[Payment Method],"Credit (Term)",tblSales[Month],CutOff)</f>
        <v>33655200</v>
      </c>
      <c r="BA18" s="1"/>
      <c r="BB18" s="1"/>
    </row>
    <row r="19" spans="2:54" x14ac:dyDescent="0.35">
      <c r="B19" s="1" t="s">
        <v>4648</v>
      </c>
      <c r="C19" s="1" t="s">
        <v>4649</v>
      </c>
      <c r="D19" s="1" t="s">
        <v>4476</v>
      </c>
      <c r="E19" s="69" t="s">
        <v>4650</v>
      </c>
      <c r="F19" s="1" t="s">
        <v>4651</v>
      </c>
      <c r="G19" s="1" t="s">
        <v>4652</v>
      </c>
      <c r="H19" s="1" t="s">
        <v>4653</v>
      </c>
      <c r="I19" s="1" t="s">
        <v>4654</v>
      </c>
      <c r="J19" s="1">
        <v>45</v>
      </c>
      <c r="K19" s="5">
        <v>350000000</v>
      </c>
      <c r="L19" s="10">
        <f>SUMIFS(tblSales[DPP (excl. VAT)],tblSales[Customer ID],tblCustomers[[#This Row],[Customer ID]],tblSales[Date],"&lt;="&amp;PEnd)</f>
        <v>576880000</v>
      </c>
      <c r="M19" s="10">
        <f>SUMIFS(tblSales[Total incl. VAT],tblSales[Customer ID],tblCustomers[[#This Row],[Customer ID]],tblSales[Payment Method],"Credit (Term)",tblSales[Month],CutOff)</f>
        <v>81118800</v>
      </c>
      <c r="BA19" s="1"/>
      <c r="BB19" s="1"/>
    </row>
  </sheetData>
  <mergeCells count="7">
    <mergeCell ref="AB2:AC2"/>
    <mergeCell ref="B2:C2"/>
    <mergeCell ref="M2:N2"/>
    <mergeCell ref="P2:Q2"/>
    <mergeCell ref="S2:T2"/>
    <mergeCell ref="V2:W2"/>
    <mergeCell ref="Y2:Z2"/>
  </mergeCells>
  <hyperlinks>
    <hyperlink ref="B2:C2" location="'Dashboard'!A1" tooltip="Go to Dashboard" display="🏠 HOME" xr:uid="{C910903F-381C-42CF-B8D1-AE37293FD31B}"/>
    <hyperlink ref="E2" location="'COA'!A1" tooltip="Go to COA" display="◀ PREV" xr:uid="{BD278493-4EEA-4579-B15F-F11CFFB2E6A0}"/>
    <hyperlink ref="G2" location="'Vendors'!A1" tooltip="Go to Vendors" display="NEXT ▶" xr:uid="{43048C11-FD25-47F7-B5AE-476798A04F49}"/>
    <hyperlink ref="I2" location="'Dashboard'!B5" tooltip="Go to Dashboard" display="☰ MENU" xr:uid="{0F32C98D-9C5C-4072-86AC-7AC7A355F709}"/>
    <hyperlink ref="K2" location="'General Journal'!A1" tooltip="Go to General Journal" display="Journal" xr:uid="{5A96C017-BE40-44FE-917D-3D6767FC46E7}"/>
    <hyperlink ref="M2:N2" location="'Trial Balance'!A1" tooltip="Go to Trial Balance" display="Trial Bal." xr:uid="{7BDAF20D-746B-4802-88AD-F8E39332FA33}"/>
    <hyperlink ref="P2:Q2" location="'Income Statement'!A1" tooltip="Go to Income Statement" display="Income St." xr:uid="{C6A2DF73-93BD-4C88-AAD1-512DD9F0A1FC}"/>
    <hyperlink ref="S2:T2" location="'Balance Sheet'!A1" tooltip="Go to Balance Sheet" display="Balance Sh." xr:uid="{8A6BF776-84A9-477B-A760-A48517561B18}"/>
    <hyperlink ref="V2:W2" location="'Tax Reconciliation'!A1" tooltip="Go to Tax Reconciliation" display="Tax Recon" xr:uid="{2E86F0A0-E30D-43AB-871B-019C2E319013}"/>
    <hyperlink ref="Y2:Z2" location="'Bank Reconciliation'!A1" tooltip="Go to Bank Reconciliation" display="Bank Recon" xr:uid="{EB5C5079-655C-4BF7-977A-BB3EE2D608D5}"/>
    <hyperlink ref="AB2:AC2" location="'Controls'!A1" tooltip="Go to Controls" display="Controls" xr:uid="{3B9579E7-AFDA-41A7-9880-76DEE7C227D8}"/>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8D0A-43FC-408F-9746-2BF6B6817C74}">
  <sheetPr>
    <tabColor rgb="FF14B8A6"/>
  </sheetPr>
  <dimension ref="A1:BH23"/>
  <sheetViews>
    <sheetView showGridLines="0" workbookViewId="0"/>
  </sheetViews>
  <sheetFormatPr defaultRowHeight="14.5" x14ac:dyDescent="0.35"/>
  <cols>
    <col min="1" max="1" width="1.453125" style="1" customWidth="1"/>
    <col min="2" max="2" width="9.08984375" style="1" customWidth="1"/>
    <col min="3" max="3" width="27.26953125" style="1" customWidth="1"/>
    <col min="4" max="4" width="20" style="1" customWidth="1"/>
    <col min="5" max="5" width="16.36328125" style="1" customWidth="1"/>
    <col min="6" max="6" width="10.90625" style="1" customWidth="1"/>
    <col min="7" max="7" width="23.6328125" style="1" customWidth="1"/>
    <col min="8" max="8" width="10.90625" style="1" customWidth="1"/>
    <col min="9" max="9" width="30.90625" style="1" customWidth="1"/>
    <col min="10" max="10" width="18.1796875" style="1" customWidth="1"/>
    <col min="11" max="11" width="12.7265625" style="1" customWidth="1"/>
    <col min="12" max="12" width="10.90625" style="1" customWidth="1"/>
    <col min="13" max="14" width="15.453125" style="1" customWidth="1"/>
    <col min="15" max="52" width="8.7265625" style="1"/>
  </cols>
  <sheetData>
    <row r="1" spans="1:60" ht="5" customHeight="1" x14ac:dyDescent="0.35"/>
    <row r="2" spans="1:60" ht="18" customHeight="1" thickBot="1" x14ac:dyDescent="0.4">
      <c r="A2" s="307"/>
      <c r="B2" s="312" t="s">
        <v>7075</v>
      </c>
      <c r="C2" s="313"/>
      <c r="D2" s="307"/>
      <c r="E2" s="309" t="s">
        <v>7076</v>
      </c>
      <c r="F2" s="307"/>
      <c r="G2" s="309" t="s">
        <v>7077</v>
      </c>
      <c r="H2" s="307"/>
      <c r="I2" s="308" t="s">
        <v>7078</v>
      </c>
      <c r="J2" s="307"/>
      <c r="K2" s="317" t="s">
        <v>7079</v>
      </c>
      <c r="L2" s="307"/>
      <c r="M2" s="317" t="s">
        <v>7080</v>
      </c>
      <c r="N2" s="307"/>
      <c r="O2" s="314" t="s">
        <v>7081</v>
      </c>
      <c r="P2" s="315"/>
      <c r="Q2" s="307"/>
      <c r="R2" s="314" t="s">
        <v>7082</v>
      </c>
      <c r="S2" s="315"/>
      <c r="T2" s="307"/>
      <c r="U2" s="314" t="s">
        <v>7083</v>
      </c>
      <c r="V2" s="315"/>
      <c r="W2" s="307"/>
      <c r="X2" s="314" t="s">
        <v>7084</v>
      </c>
      <c r="Y2" s="315"/>
      <c r="Z2" s="307"/>
      <c r="AA2" s="314" t="s">
        <v>7085</v>
      </c>
      <c r="AB2" s="315"/>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4655</v>
      </c>
      <c r="C4" s="67"/>
      <c r="D4" s="67"/>
      <c r="E4" s="67"/>
      <c r="F4" s="67"/>
      <c r="G4" s="67"/>
      <c r="H4" s="67"/>
      <c r="I4" s="67"/>
      <c r="J4" s="67"/>
      <c r="K4" s="67"/>
      <c r="L4" s="67"/>
      <c r="M4" s="67"/>
      <c r="N4" s="67"/>
    </row>
    <row r="5" spans="1:60" x14ac:dyDescent="0.35">
      <c r="B5" s="72" t="s">
        <v>4656</v>
      </c>
    </row>
    <row r="6" spans="1:60" x14ac:dyDescent="0.35">
      <c r="B6" s="1" t="s">
        <v>4657</v>
      </c>
      <c r="C6" s="1" t="s">
        <v>4658</v>
      </c>
      <c r="D6" s="1" t="s">
        <v>4659</v>
      </c>
      <c r="E6" s="1" t="s">
        <v>32</v>
      </c>
      <c r="F6" s="1" t="s">
        <v>4301</v>
      </c>
      <c r="G6" s="1" t="s">
        <v>4366</v>
      </c>
      <c r="H6" s="1" t="s">
        <v>4660</v>
      </c>
      <c r="I6" s="1" t="s">
        <v>4303</v>
      </c>
      <c r="J6" s="1" t="s">
        <v>4661</v>
      </c>
      <c r="K6" s="1" t="s">
        <v>4566</v>
      </c>
      <c r="L6" s="1" t="s">
        <v>7018</v>
      </c>
      <c r="M6" s="1" t="s">
        <v>7019</v>
      </c>
      <c r="BA6" s="1"/>
      <c r="BB6" s="1"/>
    </row>
    <row r="7" spans="1:60" x14ac:dyDescent="0.35">
      <c r="B7" s="1" t="s">
        <v>4662</v>
      </c>
      <c r="C7" s="1" t="s">
        <v>4663</v>
      </c>
      <c r="D7" s="1" t="s">
        <v>4664</v>
      </c>
      <c r="E7" s="69" t="s">
        <v>4665</v>
      </c>
      <c r="F7" s="1" t="s">
        <v>4666</v>
      </c>
      <c r="G7" s="1" t="s">
        <v>4369</v>
      </c>
      <c r="H7" s="1">
        <v>1310</v>
      </c>
      <c r="I7" s="1" t="s">
        <v>4667</v>
      </c>
      <c r="J7" s="1" t="s">
        <v>4668</v>
      </c>
      <c r="K7" s="1">
        <v>30</v>
      </c>
      <c r="L7" s="10">
        <f>SUMIFS(tblPurchases[DPP (excl. VAT)],tblPurchases[Vendor ID],tblVendors[[#This Row],[Vendor ID]],tblPurchases[Date],"&lt;="&amp;PEnd)</f>
        <v>3431971000</v>
      </c>
      <c r="M7" s="10">
        <f>SUMIFS(tblPurchases[Total Payable],tblPurchases[Vendor ID],tblVendors[[#This Row],[Vendor ID]],tblPurchases[Date],"&lt;="&amp;PEnd,tblPurchases[Payment Date],"&gt;"&amp;PEnd)</f>
        <v>431996460</v>
      </c>
      <c r="BA7" s="1"/>
      <c r="BB7" s="1"/>
    </row>
    <row r="8" spans="1:60" x14ac:dyDescent="0.35">
      <c r="B8" s="1" t="s">
        <v>4669</v>
      </c>
      <c r="C8" s="1" t="s">
        <v>4670</v>
      </c>
      <c r="D8" s="1" t="s">
        <v>4664</v>
      </c>
      <c r="E8" s="69" t="s">
        <v>4671</v>
      </c>
      <c r="F8" s="1" t="s">
        <v>4666</v>
      </c>
      <c r="G8" s="1" t="s">
        <v>4369</v>
      </c>
      <c r="H8" s="1">
        <v>1310</v>
      </c>
      <c r="I8" s="1" t="s">
        <v>4672</v>
      </c>
      <c r="J8" s="1" t="s">
        <v>4673</v>
      </c>
      <c r="K8" s="1">
        <v>30</v>
      </c>
      <c r="L8" s="10">
        <f>SUMIFS(tblPurchases[DPP (excl. VAT)],tblPurchases[Vendor ID],tblVendors[[#This Row],[Vendor ID]],tblPurchases[Date],"&lt;="&amp;PEnd)</f>
        <v>2402381000</v>
      </c>
      <c r="M8" s="10">
        <f>SUMIFS(tblPurchases[Total Payable],tblPurchases[Vendor ID],tblVendors[[#This Row],[Vendor ID]],tblPurchases[Date],"&lt;="&amp;PEnd,tblPurchases[Payment Date],"&gt;"&amp;PEnd)</f>
        <v>302397300</v>
      </c>
      <c r="BA8" s="1"/>
      <c r="BB8" s="1"/>
    </row>
    <row r="9" spans="1:60" x14ac:dyDescent="0.35">
      <c r="B9" s="1" t="s">
        <v>4674</v>
      </c>
      <c r="C9" s="1" t="s">
        <v>4675</v>
      </c>
      <c r="D9" s="1" t="s">
        <v>4664</v>
      </c>
      <c r="E9" s="69" t="s">
        <v>4676</v>
      </c>
      <c r="F9" s="1" t="s">
        <v>4677</v>
      </c>
      <c r="G9" s="1" t="s">
        <v>4369</v>
      </c>
      <c r="H9" s="1">
        <v>1310</v>
      </c>
      <c r="I9" s="1" t="s">
        <v>4678</v>
      </c>
      <c r="J9" s="1" t="s">
        <v>4679</v>
      </c>
      <c r="K9" s="1">
        <v>7</v>
      </c>
      <c r="L9" s="10">
        <f>SUMIFS(tblPurchases[DPP (excl. VAT)],tblPurchases[Vendor ID],tblVendors[[#This Row],[Vendor ID]],tblPurchases[Date],"&lt;="&amp;PEnd)</f>
        <v>1029592000</v>
      </c>
      <c r="M9" s="10">
        <f>SUMIFS(tblPurchases[Total Payable],tblPurchases[Vendor ID],tblVendors[[#This Row],[Vendor ID]],tblPurchases[Date],"&lt;="&amp;PEnd,tblPurchases[Payment Date],"&gt;"&amp;PEnd)</f>
        <v>0</v>
      </c>
      <c r="BA9" s="1"/>
      <c r="BB9" s="1"/>
    </row>
    <row r="10" spans="1:60" x14ac:dyDescent="0.35">
      <c r="B10" s="1" t="s">
        <v>4680</v>
      </c>
      <c r="C10" s="1" t="s">
        <v>4681</v>
      </c>
      <c r="D10" s="1" t="s">
        <v>4682</v>
      </c>
      <c r="E10" s="69" t="s">
        <v>4683</v>
      </c>
      <c r="F10" s="1" t="s">
        <v>4666</v>
      </c>
      <c r="G10" s="1" t="s">
        <v>4373</v>
      </c>
      <c r="H10" s="1">
        <v>1410</v>
      </c>
      <c r="I10" s="1" t="s">
        <v>4684</v>
      </c>
      <c r="J10" s="1" t="s">
        <v>4685</v>
      </c>
      <c r="K10" s="1">
        <v>0</v>
      </c>
      <c r="L10" s="10">
        <f>SUMIFS(tblPurchases[DPP (excl. VAT)],tblPurchases[Vendor ID],tblVendors[[#This Row],[Vendor ID]],tblPurchases[Date],"&lt;="&amp;PEnd)</f>
        <v>0</v>
      </c>
      <c r="M10" s="10">
        <f>SUMIFS(tblPurchases[Total Payable],tblPurchases[Vendor ID],tblVendors[[#This Row],[Vendor ID]],tblPurchases[Date],"&lt;="&amp;PEnd,tblPurchases[Payment Date],"&gt;"&amp;PEnd)</f>
        <v>0</v>
      </c>
      <c r="BA10" s="1"/>
      <c r="BB10" s="1"/>
    </row>
    <row r="11" spans="1:60" x14ac:dyDescent="0.35">
      <c r="B11" s="1" t="s">
        <v>4686</v>
      </c>
      <c r="C11" s="1" t="s">
        <v>4687</v>
      </c>
      <c r="D11" s="1" t="s">
        <v>4688</v>
      </c>
      <c r="E11" s="69" t="s">
        <v>4689</v>
      </c>
      <c r="F11" s="1" t="s">
        <v>4690</v>
      </c>
      <c r="G11" s="1" t="s">
        <v>4369</v>
      </c>
      <c r="H11" s="1">
        <v>1420</v>
      </c>
      <c r="I11" s="1" t="s">
        <v>4691</v>
      </c>
      <c r="J11" s="1" t="s">
        <v>4692</v>
      </c>
      <c r="K11" s="1">
        <v>14</v>
      </c>
      <c r="L11" s="10">
        <f>SUMIFS(tblPurchases[DPP (excl. VAT)],tblPurchases[Vendor ID],tblVendors[[#This Row],[Vendor ID]],tblPurchases[Date],"&lt;="&amp;PEnd)</f>
        <v>36000000</v>
      </c>
      <c r="M11" s="10">
        <f>SUMIFS(tblPurchases[Total Payable],tblPurchases[Vendor ID],tblVendors[[#This Row],[Vendor ID]],tblPurchases[Date],"&lt;="&amp;PEnd,tblPurchases[Payment Date],"&gt;"&amp;PEnd)</f>
        <v>36000000</v>
      </c>
      <c r="BA11" s="1"/>
      <c r="BB11" s="1"/>
    </row>
    <row r="12" spans="1:60" x14ac:dyDescent="0.35">
      <c r="B12" s="1" t="s">
        <v>4693</v>
      </c>
      <c r="C12" s="1" t="s">
        <v>4694</v>
      </c>
      <c r="D12" s="1" t="s">
        <v>4695</v>
      </c>
      <c r="E12" s="69" t="s">
        <v>4696</v>
      </c>
      <c r="F12" s="1" t="s">
        <v>4666</v>
      </c>
      <c r="G12" s="1" t="s">
        <v>4371</v>
      </c>
      <c r="H12" s="1">
        <v>1430</v>
      </c>
      <c r="I12" s="1" t="s">
        <v>4697</v>
      </c>
      <c r="J12" s="1" t="s">
        <v>4698</v>
      </c>
      <c r="K12" s="1">
        <v>7</v>
      </c>
      <c r="L12" s="10">
        <f>SUMIFS(tblPurchases[DPP (excl. VAT)],tblPurchases[Vendor ID],tblVendors[[#This Row],[Vendor ID]],tblPurchases[Date],"&lt;="&amp;PEnd)</f>
        <v>72000000</v>
      </c>
      <c r="M12" s="10">
        <f>SUMIFS(tblPurchases[Total Payable],tblPurchases[Vendor ID],tblVendors[[#This Row],[Vendor ID]],tblPurchases[Date],"&lt;="&amp;PEnd,tblPurchases[Payment Date],"&gt;"&amp;PEnd)</f>
        <v>0</v>
      </c>
      <c r="BA12" s="1"/>
      <c r="BB12" s="1"/>
    </row>
    <row r="13" spans="1:60" x14ac:dyDescent="0.35">
      <c r="B13" s="1" t="s">
        <v>4699</v>
      </c>
      <c r="C13" s="1" t="s">
        <v>4700</v>
      </c>
      <c r="D13" s="1" t="s">
        <v>4701</v>
      </c>
      <c r="E13" s="69" t="s">
        <v>4702</v>
      </c>
      <c r="F13" s="1" t="s">
        <v>4666</v>
      </c>
      <c r="G13" s="1" t="s">
        <v>4371</v>
      </c>
      <c r="H13" s="1">
        <v>6120</v>
      </c>
      <c r="I13" s="1" t="s">
        <v>4703</v>
      </c>
      <c r="J13" s="1" t="s">
        <v>4704</v>
      </c>
      <c r="K13" s="1">
        <v>30</v>
      </c>
      <c r="L13" s="10">
        <f>SUMIFS(tblPurchases[DPP (excl. VAT)],tblPurchases[Vendor ID],tblVendors[[#This Row],[Vendor ID]],tblPurchases[Date],"&lt;="&amp;PEnd)</f>
        <v>124856000</v>
      </c>
      <c r="M13" s="10">
        <f>SUMIFS(tblPurchases[Total Payable],tblPurchases[Vendor ID],tblVendors[[#This Row],[Vendor ID]],tblPurchases[Date],"&lt;="&amp;PEnd,tblPurchases[Payment Date],"&gt;"&amp;PEnd)</f>
        <v>15033280</v>
      </c>
      <c r="BA13" s="1"/>
      <c r="BB13" s="1"/>
    </row>
    <row r="14" spans="1:60" x14ac:dyDescent="0.35">
      <c r="B14" s="1" t="s">
        <v>4705</v>
      </c>
      <c r="C14" s="1" t="s">
        <v>4706</v>
      </c>
      <c r="D14" s="1" t="s">
        <v>4707</v>
      </c>
      <c r="E14" s="69" t="s">
        <v>4708</v>
      </c>
      <c r="F14" s="1" t="s">
        <v>4666</v>
      </c>
      <c r="G14" s="1" t="s">
        <v>4371</v>
      </c>
      <c r="H14" s="1">
        <v>6140</v>
      </c>
      <c r="I14" s="1" t="s">
        <v>4709</v>
      </c>
      <c r="J14" s="1" t="s">
        <v>4710</v>
      </c>
      <c r="K14" s="1">
        <v>14</v>
      </c>
      <c r="L14" s="10">
        <f>SUMIFS(tblPurchases[DPP (excl. VAT)],tblPurchases[Vendor ID],tblVendors[[#This Row],[Vendor ID]],tblPurchases[Date],"&lt;="&amp;PEnd)</f>
        <v>102156000</v>
      </c>
      <c r="M14" s="10">
        <f>SUMIFS(tblPurchases[Total Payable],tblPurchases[Vendor ID],tblVendors[[#This Row],[Vendor ID]],tblPurchases[Date],"&lt;="&amp;PEnd,tblPurchases[Payment Date],"&gt;"&amp;PEnd)</f>
        <v>12300650</v>
      </c>
      <c r="BA14" s="1"/>
      <c r="BB14" s="1"/>
    </row>
    <row r="15" spans="1:60" x14ac:dyDescent="0.35">
      <c r="B15" s="1" t="s">
        <v>4711</v>
      </c>
      <c r="C15" s="1" t="s">
        <v>4712</v>
      </c>
      <c r="D15" s="1" t="s">
        <v>4713</v>
      </c>
      <c r="E15" s="69" t="s">
        <v>4714</v>
      </c>
      <c r="F15" s="1" t="s">
        <v>4666</v>
      </c>
      <c r="G15" s="1" t="s">
        <v>4369</v>
      </c>
      <c r="H15" s="1">
        <v>6230</v>
      </c>
      <c r="I15" s="1" t="s">
        <v>4715</v>
      </c>
      <c r="J15" s="1" t="s">
        <v>4716</v>
      </c>
      <c r="K15" s="1">
        <v>14</v>
      </c>
      <c r="L15" s="10">
        <f>SUMIFS(tblPurchases[DPP (excl. VAT)],tblPurchases[Vendor ID],tblVendors[[#This Row],[Vendor ID]],tblPurchases[Date],"&lt;="&amp;PEnd)</f>
        <v>125473000</v>
      </c>
      <c r="M15" s="10">
        <f>SUMIFS(tblPurchases[Total Payable],tblPurchases[Vendor ID],tblVendors[[#This Row],[Vendor ID]],tblPurchases[Date],"&lt;="&amp;PEnd,tblPurchases[Payment Date],"&gt;"&amp;PEnd)</f>
        <v>0</v>
      </c>
      <c r="BA15" s="1"/>
      <c r="BB15" s="1"/>
    </row>
    <row r="16" spans="1:60" x14ac:dyDescent="0.35">
      <c r="B16" s="1" t="s">
        <v>4717</v>
      </c>
      <c r="C16" s="1" t="s">
        <v>4718</v>
      </c>
      <c r="D16" s="1" t="s">
        <v>4719</v>
      </c>
      <c r="E16" s="69" t="s">
        <v>4720</v>
      </c>
      <c r="F16" s="1" t="s">
        <v>4666</v>
      </c>
      <c r="G16" s="1" t="s">
        <v>4371</v>
      </c>
      <c r="H16" s="1">
        <v>6280</v>
      </c>
      <c r="I16" s="1" t="s">
        <v>4721</v>
      </c>
      <c r="J16" s="1" t="s">
        <v>4722</v>
      </c>
      <c r="K16" s="1">
        <v>14</v>
      </c>
      <c r="L16" s="10">
        <f>SUMIFS(tblPurchases[DPP (excl. VAT)],tblPurchases[Vendor ID],tblVendors[[#This Row],[Vendor ID]],tblPurchases[Date],"&lt;="&amp;PEnd)</f>
        <v>140000000</v>
      </c>
      <c r="M16" s="10">
        <f>SUMIFS(tblPurchases[Total Payable],tblPurchases[Vendor ID],tblVendors[[#This Row],[Vendor ID]],tblPurchases[Date],"&lt;="&amp;PEnd,tblPurchases[Payment Date],"&gt;"&amp;PEnd)</f>
        <v>0</v>
      </c>
      <c r="BA16" s="1"/>
      <c r="BB16" s="1"/>
    </row>
    <row r="17" spans="2:54" x14ac:dyDescent="0.35">
      <c r="B17" s="1" t="s">
        <v>4723</v>
      </c>
      <c r="C17" s="1" t="s">
        <v>4724</v>
      </c>
      <c r="D17" s="1" t="s">
        <v>4725</v>
      </c>
      <c r="E17" s="69" t="s">
        <v>4726</v>
      </c>
      <c r="F17" s="1" t="s">
        <v>4677</v>
      </c>
      <c r="G17" s="1" t="s">
        <v>4371</v>
      </c>
      <c r="H17" s="1">
        <v>6295</v>
      </c>
      <c r="I17" s="1" t="s">
        <v>4727</v>
      </c>
      <c r="J17" s="1" t="s">
        <v>4728</v>
      </c>
      <c r="K17" s="1">
        <v>7</v>
      </c>
      <c r="L17" s="10">
        <f>SUMIFS(tblPurchases[DPP (excl. VAT)],tblPurchases[Vendor ID],tblVendors[[#This Row],[Vendor ID]],tblPurchases[Date],"&lt;="&amp;PEnd)</f>
        <v>40738000</v>
      </c>
      <c r="M17" s="10">
        <f>SUMIFS(tblPurchases[Total Payable],tblPurchases[Vendor ID],tblVendors[[#This Row],[Vendor ID]],tblPurchases[Date],"&lt;="&amp;PEnd,tblPurchases[Payment Date],"&gt;"&amp;PEnd)</f>
        <v>0</v>
      </c>
      <c r="BA17" s="1"/>
      <c r="BB17" s="1"/>
    </row>
    <row r="18" spans="2:54" x14ac:dyDescent="0.35">
      <c r="B18" s="1" t="s">
        <v>4729</v>
      </c>
      <c r="C18" s="1" t="s">
        <v>4730</v>
      </c>
      <c r="D18" s="1" t="s">
        <v>4731</v>
      </c>
      <c r="E18" s="69" t="s">
        <v>4732</v>
      </c>
      <c r="F18" s="1" t="s">
        <v>4677</v>
      </c>
      <c r="G18" s="1" t="s">
        <v>4369</v>
      </c>
      <c r="H18" s="1">
        <v>6270</v>
      </c>
      <c r="I18" s="1" t="s">
        <v>4733</v>
      </c>
      <c r="J18" s="1" t="s">
        <v>4734</v>
      </c>
      <c r="K18" s="1">
        <v>0</v>
      </c>
      <c r="L18" s="10">
        <f>SUMIFS(tblPurchases[DPP (excl. VAT)],tblPurchases[Vendor ID],tblVendors[[#This Row],[Vendor ID]],tblPurchases[Date],"&lt;="&amp;PEnd)</f>
        <v>29893000</v>
      </c>
      <c r="M18" s="10">
        <f>SUMIFS(tblPurchases[Total Payable],tblPurchases[Vendor ID],tblVendors[[#This Row],[Vendor ID]],tblPurchases[Date],"&lt;="&amp;PEnd,tblPurchases[Payment Date],"&gt;"&amp;PEnd)</f>
        <v>0</v>
      </c>
      <c r="BA18" s="1"/>
      <c r="BB18" s="1"/>
    </row>
    <row r="19" spans="2:54" x14ac:dyDescent="0.35">
      <c r="B19" s="1" t="s">
        <v>4735</v>
      </c>
      <c r="C19" s="1" t="s">
        <v>4736</v>
      </c>
      <c r="D19" s="1" t="s">
        <v>4737</v>
      </c>
      <c r="E19" s="69" t="s">
        <v>4738</v>
      </c>
      <c r="F19" s="1" t="s">
        <v>4666</v>
      </c>
      <c r="G19" s="1" t="s">
        <v>4371</v>
      </c>
      <c r="H19" s="1">
        <v>6130</v>
      </c>
      <c r="I19" s="1" t="s">
        <v>4739</v>
      </c>
      <c r="J19" s="1" t="s">
        <v>4740</v>
      </c>
      <c r="K19" s="1">
        <v>10</v>
      </c>
      <c r="L19" s="10">
        <f>SUMIFS(tblPurchases[DPP (excl. VAT)],tblPurchases[Vendor ID],tblVendors[[#This Row],[Vendor ID]],tblPurchases[Date],"&lt;="&amp;PEnd)</f>
        <v>29887000</v>
      </c>
      <c r="M19" s="10">
        <f>SUMIFS(tblPurchases[Total Payable],tblPurchases[Vendor ID],tblVendors[[#This Row],[Vendor ID]],tblPurchases[Date],"&lt;="&amp;PEnd,tblPurchases[Payment Date],"&gt;"&amp;PEnd)</f>
        <v>3722350</v>
      </c>
      <c r="BA19" s="1"/>
      <c r="BB19" s="1"/>
    </row>
    <row r="20" spans="2:54" x14ac:dyDescent="0.35">
      <c r="B20" s="1" t="s">
        <v>4741</v>
      </c>
      <c r="C20" s="1" t="s">
        <v>4742</v>
      </c>
      <c r="D20" s="1" t="s">
        <v>4743</v>
      </c>
      <c r="E20" s="69" t="s">
        <v>4744</v>
      </c>
      <c r="F20" s="1" t="s">
        <v>4666</v>
      </c>
      <c r="G20" s="1" t="s">
        <v>4369</v>
      </c>
      <c r="H20" s="1">
        <v>1640</v>
      </c>
      <c r="I20" s="1" t="s">
        <v>4745</v>
      </c>
      <c r="J20" s="1" t="s">
        <v>4746</v>
      </c>
      <c r="K20" s="1">
        <v>30</v>
      </c>
      <c r="L20" s="10">
        <f>SUMIFS(tblPurchases[DPP (excl. VAT)],tblPurchases[Vendor ID],tblVendors[[#This Row],[Vendor ID]],tblPurchases[Date],"&lt;="&amp;PEnd)</f>
        <v>180000000</v>
      </c>
      <c r="M20" s="10">
        <f>SUMIFS(tblPurchases[Total Payable],tblPurchases[Vendor ID],tblVendors[[#This Row],[Vendor ID]],tblPurchases[Date],"&lt;="&amp;PEnd,tblPurchases[Payment Date],"&gt;"&amp;PEnd)</f>
        <v>0</v>
      </c>
      <c r="BA20" s="1"/>
      <c r="BB20" s="1"/>
    </row>
    <row r="21" spans="2:54" x14ac:dyDescent="0.35">
      <c r="B21" s="1" t="s">
        <v>4747</v>
      </c>
      <c r="C21" s="1" t="s">
        <v>4748</v>
      </c>
      <c r="D21" s="1" t="s">
        <v>4749</v>
      </c>
      <c r="E21" s="69" t="s">
        <v>4750</v>
      </c>
      <c r="F21" s="1" t="s">
        <v>4666</v>
      </c>
      <c r="G21" s="1" t="s">
        <v>4369</v>
      </c>
      <c r="H21" s="1">
        <v>1630</v>
      </c>
      <c r="I21" s="1" t="s">
        <v>4751</v>
      </c>
      <c r="J21" s="1" t="s">
        <v>4752</v>
      </c>
      <c r="K21" s="1">
        <v>10</v>
      </c>
      <c r="L21" s="10">
        <f>SUMIFS(tblPurchases[DPP (excl. VAT)],tblPurchases[Vendor ID],tblVendors[[#This Row],[Vendor ID]],tblPurchases[Date],"&lt;="&amp;PEnd)</f>
        <v>320000000</v>
      </c>
      <c r="M21" s="10">
        <f>SUMIFS(tblPurchases[Total Payable],tblPurchases[Vendor ID],tblVendors[[#This Row],[Vendor ID]],tblPurchases[Date],"&lt;="&amp;PEnd,tblPurchases[Payment Date],"&gt;"&amp;PEnd)</f>
        <v>0</v>
      </c>
      <c r="BA21" s="1"/>
      <c r="BB21" s="1"/>
    </row>
    <row r="22" spans="2:54" x14ac:dyDescent="0.35">
      <c r="B22" s="1" t="s">
        <v>4753</v>
      </c>
      <c r="C22" s="1" t="s">
        <v>4754</v>
      </c>
      <c r="D22" s="1" t="s">
        <v>4755</v>
      </c>
      <c r="E22" s="69" t="s">
        <v>4756</v>
      </c>
      <c r="F22" s="1" t="s">
        <v>4666</v>
      </c>
      <c r="G22" s="1" t="s">
        <v>4369</v>
      </c>
      <c r="H22" s="1">
        <v>1710</v>
      </c>
      <c r="I22" s="1" t="s">
        <v>4757</v>
      </c>
      <c r="J22" s="1" t="s">
        <v>4758</v>
      </c>
      <c r="K22" s="1">
        <v>14</v>
      </c>
      <c r="L22" s="10">
        <f>SUMIFS(tblPurchases[DPP (excl. VAT)],tblPurchases[Vendor ID],tblVendors[[#This Row],[Vendor ID]],tblPurchases[Date],"&lt;="&amp;PEnd)</f>
        <v>60000000</v>
      </c>
      <c r="M22" s="10">
        <f>SUMIFS(tblPurchases[Total Payable],tblPurchases[Vendor ID],tblVendors[[#This Row],[Vendor ID]],tblPurchases[Date],"&lt;="&amp;PEnd,tblPurchases[Payment Date],"&gt;"&amp;PEnd)</f>
        <v>0</v>
      </c>
      <c r="BA22" s="1"/>
      <c r="BB22" s="1"/>
    </row>
    <row r="23" spans="2:54" x14ac:dyDescent="0.35">
      <c r="B23" s="1" t="s">
        <v>4759</v>
      </c>
      <c r="C23" s="1" t="s">
        <v>4760</v>
      </c>
      <c r="D23" s="1" t="s">
        <v>4761</v>
      </c>
      <c r="E23" s="69" t="s">
        <v>4570</v>
      </c>
      <c r="F23" s="1" t="s">
        <v>4677</v>
      </c>
      <c r="G23" s="1" t="s">
        <v>4369</v>
      </c>
      <c r="H23" s="1">
        <v>6296</v>
      </c>
      <c r="I23" s="1" t="s">
        <v>4762</v>
      </c>
      <c r="J23" s="1" t="s">
        <v>4571</v>
      </c>
      <c r="K23" s="1">
        <v>0</v>
      </c>
      <c r="L23" s="10">
        <f>SUMIFS(tblPurchases[DPP (excl. VAT)],tblPurchases[Vendor ID],tblVendors[[#This Row],[Vendor ID]],tblPurchases[Date],"&lt;="&amp;PEnd)</f>
        <v>24449000</v>
      </c>
      <c r="M23" s="10">
        <f>SUMIFS(tblPurchases[Total Payable],tblPurchases[Vendor ID],tblVendors[[#This Row],[Vendor ID]],tblPurchases[Date],"&lt;="&amp;PEnd,tblPurchases[Payment Date],"&gt;"&amp;PEnd)</f>
        <v>0</v>
      </c>
      <c r="BA23" s="1"/>
      <c r="BB23" s="1"/>
    </row>
  </sheetData>
  <mergeCells count="6">
    <mergeCell ref="B2:C2"/>
    <mergeCell ref="O2:P2"/>
    <mergeCell ref="R2:S2"/>
    <mergeCell ref="U2:V2"/>
    <mergeCell ref="X2:Y2"/>
    <mergeCell ref="AA2:AB2"/>
  </mergeCells>
  <dataValidations count="2">
    <dataValidation type="list" allowBlank="1" showInputMessage="1" showErrorMessage="1" sqref="F7:F23" xr:uid="{CB0A20ED-55FD-42DC-8AEB-10E86443745C}">
      <formula1>"PKP,Non-PKP,VAT-exempt"</formula1>
    </dataValidation>
    <dataValidation type="list" allowBlank="1" showInputMessage="1" showErrorMessage="1" sqref="G7:G23" xr:uid="{7F50FE59-BB9A-4B67-8D40-6E6C94DACEA4}">
      <formula1>WHTTypes</formula1>
    </dataValidation>
  </dataValidations>
  <hyperlinks>
    <hyperlink ref="B2:C2" location="'Dashboard'!A1" tooltip="Go to Dashboard" display="🏠 HOME" xr:uid="{987E09D1-07D7-48BA-A710-9AA10C453F3E}"/>
    <hyperlink ref="E2" location="'Customers'!A1" tooltip="Go to Customers" display="◀ PREV" xr:uid="{DE76B4CE-38E8-47C0-89A7-A846A91A9A05}"/>
    <hyperlink ref="G2" location="'Employees'!A1" tooltip="Go to Employees" display="NEXT ▶" xr:uid="{1E059692-9E1F-467B-AE67-EBE5B0A5369F}"/>
    <hyperlink ref="I2" location="'Dashboard'!B5" tooltip="Go to Dashboard" display="☰ MENU" xr:uid="{5A02F4B9-85D8-41EA-BCED-6BD9B2EA1149}"/>
    <hyperlink ref="K2" location="'General Journal'!A1" tooltip="Go to General Journal" display="Journal" xr:uid="{16A52761-8C41-4303-88CC-E41830FE93DA}"/>
    <hyperlink ref="M2" location="'Trial Balance'!A1" tooltip="Go to Trial Balance" display="Trial Bal." xr:uid="{EFEA529F-8C1F-4A9E-AA9B-9857867DADEA}"/>
    <hyperlink ref="O2:P2" location="'Income Statement'!A1" tooltip="Go to Income Statement" display="Income St." xr:uid="{781480D7-11CB-4DE3-81FD-ACAD002B6F57}"/>
    <hyperlink ref="R2:S2" location="'Balance Sheet'!A1" tooltip="Go to Balance Sheet" display="Balance Sh." xr:uid="{F0F1FD86-F194-475B-9A2B-9F6BF30F521F}"/>
    <hyperlink ref="U2:V2" location="'Tax Reconciliation'!A1" tooltip="Go to Tax Reconciliation" display="Tax Recon" xr:uid="{590379A4-4375-4633-A1F8-979340900E40}"/>
    <hyperlink ref="X2:Y2" location="'Bank Reconciliation'!A1" tooltip="Go to Bank Reconciliation" display="Bank Recon" xr:uid="{3A21688F-23ED-4A9A-BF58-6402054D9EBD}"/>
    <hyperlink ref="AA2:AB2" location="'Controls'!A1" tooltip="Go to Controls" display="Controls" xr:uid="{5031DB39-CBC1-4DF2-8239-5B6B39EDC8F9}"/>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12CC-A92A-4D11-9642-DA6A6AE98B3E}">
  <sheetPr>
    <tabColor rgb="FF14B8A6"/>
  </sheetPr>
  <dimension ref="A1:BH21"/>
  <sheetViews>
    <sheetView showGridLines="0" workbookViewId="0"/>
  </sheetViews>
  <sheetFormatPr defaultRowHeight="14.5" x14ac:dyDescent="0.35"/>
  <cols>
    <col min="1" max="1" width="1.453125" style="1" customWidth="1"/>
    <col min="2" max="2" width="10" style="1" customWidth="1"/>
    <col min="3" max="4" width="20" style="1" customWidth="1"/>
    <col min="5" max="5" width="10.90625" style="1" customWidth="1"/>
    <col min="6" max="6" width="11.81640625" style="1" customWidth="1"/>
    <col min="7" max="7" width="16.36328125" style="1" customWidth="1"/>
    <col min="8" max="8" width="10" style="1" customWidth="1"/>
    <col min="9" max="10" width="13.6328125" style="1" customWidth="1"/>
    <col min="11" max="11" width="17.26953125" style="1" customWidth="1"/>
    <col min="12" max="12" width="10" style="1" customWidth="1"/>
    <col min="13" max="16" width="14.54296875" style="1" customWidth="1"/>
    <col min="17" max="52" width="8.7265625" style="1"/>
  </cols>
  <sheetData>
    <row r="1" spans="1:60" ht="5" customHeight="1" x14ac:dyDescent="0.35"/>
    <row r="2" spans="1:60" ht="18" customHeight="1" thickBot="1" x14ac:dyDescent="0.4">
      <c r="A2" s="307"/>
      <c r="B2" s="312" t="s">
        <v>7075</v>
      </c>
      <c r="C2" s="313"/>
      <c r="D2" s="307"/>
      <c r="E2" s="310" t="s">
        <v>7076</v>
      </c>
      <c r="F2" s="311"/>
      <c r="G2" s="307"/>
      <c r="H2" s="310" t="s">
        <v>7077</v>
      </c>
      <c r="I2" s="311"/>
      <c r="J2" s="307"/>
      <c r="K2" s="308" t="s">
        <v>7078</v>
      </c>
      <c r="L2" s="307"/>
      <c r="M2" s="317" t="s">
        <v>7079</v>
      </c>
      <c r="N2" s="307"/>
      <c r="O2" s="317" t="s">
        <v>7080</v>
      </c>
      <c r="P2" s="307"/>
      <c r="Q2" s="314" t="s">
        <v>7081</v>
      </c>
      <c r="R2" s="315"/>
      <c r="S2" s="307"/>
      <c r="T2" s="314" t="s">
        <v>7082</v>
      </c>
      <c r="U2" s="315"/>
      <c r="V2" s="307"/>
      <c r="W2" s="314" t="s">
        <v>7083</v>
      </c>
      <c r="X2" s="315"/>
      <c r="Y2" s="307"/>
      <c r="Z2" s="314" t="s">
        <v>7084</v>
      </c>
      <c r="AA2" s="315"/>
      <c r="AB2" s="307"/>
      <c r="AC2" s="314" t="s">
        <v>7085</v>
      </c>
      <c r="AD2" s="315"/>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4763</v>
      </c>
      <c r="C4" s="67"/>
      <c r="D4" s="67"/>
      <c r="E4" s="67"/>
      <c r="F4" s="67"/>
      <c r="G4" s="67"/>
      <c r="H4" s="67"/>
      <c r="I4" s="67"/>
      <c r="J4" s="67"/>
      <c r="K4" s="67"/>
      <c r="L4" s="67"/>
      <c r="M4" s="67"/>
      <c r="N4" s="67"/>
      <c r="O4" s="67"/>
      <c r="P4" s="67"/>
    </row>
    <row r="5" spans="1:60" x14ac:dyDescent="0.35">
      <c r="B5" s="72" t="s">
        <v>4764</v>
      </c>
    </row>
    <row r="6" spans="1:60" x14ac:dyDescent="0.35">
      <c r="B6" s="1" t="s">
        <v>4765</v>
      </c>
      <c r="C6" s="1" t="s">
        <v>4766</v>
      </c>
      <c r="D6" s="1" t="s">
        <v>4767</v>
      </c>
      <c r="E6" s="1" t="s">
        <v>4768</v>
      </c>
      <c r="F6" s="1" t="s">
        <v>4769</v>
      </c>
      <c r="G6" s="1" t="s">
        <v>4770</v>
      </c>
      <c r="H6" s="1" t="s">
        <v>4771</v>
      </c>
      <c r="I6" s="1" t="s">
        <v>4772</v>
      </c>
      <c r="J6" s="1" t="s">
        <v>4773</v>
      </c>
      <c r="K6" s="1" t="s">
        <v>4661</v>
      </c>
      <c r="L6" s="1" t="s">
        <v>4849</v>
      </c>
      <c r="M6" s="1" t="s">
        <v>7020</v>
      </c>
      <c r="N6" s="1" t="s">
        <v>7021</v>
      </c>
      <c r="BA6" s="1"/>
      <c r="BB6" s="1"/>
      <c r="BC6" s="1"/>
    </row>
    <row r="7" spans="1:60" x14ac:dyDescent="0.35">
      <c r="B7" s="1" t="s">
        <v>4774</v>
      </c>
      <c r="C7" s="1" t="s">
        <v>4322</v>
      </c>
      <c r="D7" s="1" t="s">
        <v>4321</v>
      </c>
      <c r="E7" s="1" t="s">
        <v>4775</v>
      </c>
      <c r="F7" s="109">
        <v>43174</v>
      </c>
      <c r="G7" s="69" t="s">
        <v>4776</v>
      </c>
      <c r="H7" s="1" t="s">
        <v>4777</v>
      </c>
      <c r="I7" s="5">
        <v>25000000</v>
      </c>
      <c r="J7" s="5">
        <v>4000000</v>
      </c>
      <c r="K7" s="1" t="s">
        <v>4778</v>
      </c>
      <c r="L7" s="1" t="str">
        <f>IF(OR(tblEmployees[[#This Row],[PTKP Status]]="TK/0",tblEmployees[[#This Row],[PTKP Status]]="TK/1",tblEmployees[[#This Row],[PTKP Status]]="K/0"),"A",IF(tblEmployees[[#This Row],[PTKP Status]]="K/3","C","B"))</f>
        <v>B</v>
      </c>
      <c r="M7" s="10">
        <f>SUMIFS(tblPayroll[Gross Salary],tblPayroll[Employee ID],tblEmployees[[#This Row],[Employee ID]],tblPayroll[Period],"&lt;="&amp;CutOff)</f>
        <v>319000000</v>
      </c>
      <c r="N7" s="10">
        <f>SUMIFS(tblPayroll[PPh 21],tblPayroll[Employee ID],tblEmployees[[#This Row],[Employee ID]],tblPayroll[Period],"&lt;="&amp;CutOff)</f>
        <v>43734848</v>
      </c>
      <c r="BA7" s="1"/>
      <c r="BB7" s="1"/>
      <c r="BC7" s="1"/>
    </row>
    <row r="8" spans="1:60" x14ac:dyDescent="0.35">
      <c r="B8" s="1" t="s">
        <v>4779</v>
      </c>
      <c r="C8" s="1" t="s">
        <v>4324</v>
      </c>
      <c r="D8" s="1" t="s">
        <v>4323</v>
      </c>
      <c r="E8" s="1" t="s">
        <v>4775</v>
      </c>
      <c r="F8" s="109">
        <v>43222</v>
      </c>
      <c r="G8" s="69" t="s">
        <v>4780</v>
      </c>
      <c r="H8" s="1" t="s">
        <v>4781</v>
      </c>
      <c r="I8" s="5">
        <v>20000000</v>
      </c>
      <c r="J8" s="5">
        <v>3000000</v>
      </c>
      <c r="K8" s="1" t="s">
        <v>4782</v>
      </c>
      <c r="L8" s="1" t="str">
        <f>IF(OR(tblEmployees[[#This Row],[PTKP Status]]="TK/0",tblEmployees[[#This Row],[PTKP Status]]="TK/1",tblEmployees[[#This Row],[PTKP Status]]="K/0"),"A",IF(tblEmployees[[#This Row],[PTKP Status]]="K/3","C","B"))</f>
        <v>B</v>
      </c>
      <c r="M8" s="10">
        <f>SUMIFS(tblPayroll[Gross Salary],tblPayroll[Employee ID],tblEmployees[[#This Row],[Employee ID]],tblPayroll[Period],"&lt;="&amp;CutOff)</f>
        <v>253000000</v>
      </c>
      <c r="N8" s="10">
        <f>SUMIFS(tblPayroll[PPh 21],tblPayroll[Employee ID],tblEmployees[[#This Row],[Employee ID]],tblPayroll[Period],"&lt;="&amp;CutOff)</f>
        <v>27042116</v>
      </c>
      <c r="BA8" s="1"/>
      <c r="BB8" s="1"/>
      <c r="BC8" s="1"/>
    </row>
    <row r="9" spans="1:60" x14ac:dyDescent="0.35">
      <c r="B9" s="1" t="s">
        <v>4783</v>
      </c>
      <c r="C9" s="1" t="s">
        <v>4326</v>
      </c>
      <c r="D9" s="1" t="s">
        <v>4325</v>
      </c>
      <c r="E9" s="1" t="s">
        <v>4775</v>
      </c>
      <c r="F9" s="109">
        <v>43507</v>
      </c>
      <c r="G9" s="69" t="s">
        <v>4784</v>
      </c>
      <c r="H9" s="1" t="s">
        <v>4785</v>
      </c>
      <c r="I9" s="5">
        <v>15000000</v>
      </c>
      <c r="J9" s="5">
        <v>2000000</v>
      </c>
      <c r="K9" s="1" t="s">
        <v>4786</v>
      </c>
      <c r="L9" s="1" t="str">
        <f>IF(OR(tblEmployees[[#This Row],[PTKP Status]]="TK/0",tblEmployees[[#This Row],[PTKP Status]]="TK/1",tblEmployees[[#This Row],[PTKP Status]]="K/0"),"A",IF(tblEmployees[[#This Row],[PTKP Status]]="K/3","C","B"))</f>
        <v>A</v>
      </c>
      <c r="M9" s="10">
        <f>SUMIFS(tblPayroll[Gross Salary],tblPayroll[Employee ID],tblEmployees[[#This Row],[Employee ID]],tblPayroll[Period],"&lt;="&amp;CutOff)</f>
        <v>187000000</v>
      </c>
      <c r="N9" s="10">
        <f>SUMIFS(tblPayroll[PPh 21],tblPayroll[Employee ID],tblEmployees[[#This Row],[Employee ID]],tblPayroll[Period],"&lt;="&amp;CutOff)</f>
        <v>17491748</v>
      </c>
      <c r="BA9" s="1"/>
      <c r="BB9" s="1"/>
      <c r="BC9" s="1"/>
    </row>
    <row r="10" spans="1:60" x14ac:dyDescent="0.35">
      <c r="B10" s="1" t="s">
        <v>4787</v>
      </c>
      <c r="C10" s="1" t="s">
        <v>4788</v>
      </c>
      <c r="D10" s="1" t="s">
        <v>4789</v>
      </c>
      <c r="E10" s="1" t="s">
        <v>4790</v>
      </c>
      <c r="F10" s="109">
        <v>43647</v>
      </c>
      <c r="G10" s="69" t="s">
        <v>4791</v>
      </c>
      <c r="H10" s="1" t="s">
        <v>4781</v>
      </c>
      <c r="I10" s="5">
        <v>14000000</v>
      </c>
      <c r="J10" s="5">
        <v>2000000</v>
      </c>
      <c r="K10" s="1" t="s">
        <v>4792</v>
      </c>
      <c r="L10" s="1" t="str">
        <f>IF(OR(tblEmployees[[#This Row],[PTKP Status]]="TK/0",tblEmployees[[#This Row],[PTKP Status]]="TK/1",tblEmployees[[#This Row],[PTKP Status]]="K/0"),"A",IF(tblEmployees[[#This Row],[PTKP Status]]="K/3","C","B"))</f>
        <v>B</v>
      </c>
      <c r="M10" s="10">
        <f>SUMIFS(tblPayroll[Gross Salary],tblPayroll[Employee ID],tblEmployees[[#This Row],[Employee ID]],tblPayroll[Period],"&lt;="&amp;CutOff)</f>
        <v>176000000</v>
      </c>
      <c r="N10" s="10">
        <f>SUMIFS(tblPayroll[PPh 21],tblPayroll[Employee ID],tblEmployees[[#This Row],[Employee ID]],tblPayroll[Period],"&lt;="&amp;CutOff)</f>
        <v>14670464</v>
      </c>
      <c r="BA10" s="1"/>
      <c r="BB10" s="1"/>
      <c r="BC10" s="1"/>
    </row>
    <row r="11" spans="1:60" x14ac:dyDescent="0.35">
      <c r="B11" s="1" t="s">
        <v>4793</v>
      </c>
      <c r="C11" s="1" t="s">
        <v>4794</v>
      </c>
      <c r="D11" s="1" t="s">
        <v>4795</v>
      </c>
      <c r="E11" s="1" t="s">
        <v>4790</v>
      </c>
      <c r="F11" s="109">
        <v>43836</v>
      </c>
      <c r="G11" s="69" t="s">
        <v>4796</v>
      </c>
      <c r="H11" s="1" t="s">
        <v>4785</v>
      </c>
      <c r="I11" s="5">
        <v>12000000</v>
      </c>
      <c r="J11" s="5">
        <v>1500000</v>
      </c>
      <c r="K11" s="1" t="s">
        <v>4797</v>
      </c>
      <c r="L11" s="1" t="str">
        <f>IF(OR(tblEmployees[[#This Row],[PTKP Status]]="TK/0",tblEmployees[[#This Row],[PTKP Status]]="TK/1",tblEmployees[[#This Row],[PTKP Status]]="K/0"),"A",IF(tblEmployees[[#This Row],[PTKP Status]]="K/3","C","B"))</f>
        <v>A</v>
      </c>
      <c r="M11" s="10">
        <f>SUMIFS(tblPayroll[Gross Salary],tblPayroll[Employee ID],tblEmployees[[#This Row],[Employee ID]],tblPayroll[Period],"&lt;="&amp;CutOff)</f>
        <v>148500000</v>
      </c>
      <c r="N11" s="10">
        <f>SUMIFS(tblPayroll[PPh 21],tblPayroll[Employee ID],tblEmployees[[#This Row],[Employee ID]],tblPayroll[Period],"&lt;="&amp;CutOff)</f>
        <v>10619385</v>
      </c>
      <c r="BA11" s="1"/>
      <c r="BB11" s="1"/>
      <c r="BC11" s="1"/>
    </row>
    <row r="12" spans="1:60" x14ac:dyDescent="0.35">
      <c r="B12" s="1" t="s">
        <v>4798</v>
      </c>
      <c r="C12" s="1" t="s">
        <v>4799</v>
      </c>
      <c r="D12" s="1" t="s">
        <v>4800</v>
      </c>
      <c r="E12" s="1" t="s">
        <v>4775</v>
      </c>
      <c r="F12" s="109">
        <v>44256</v>
      </c>
      <c r="G12" s="69" t="s">
        <v>4801</v>
      </c>
      <c r="H12" s="1" t="s">
        <v>4785</v>
      </c>
      <c r="I12" s="5">
        <v>8500000</v>
      </c>
      <c r="J12" s="5">
        <v>1000000</v>
      </c>
      <c r="K12" s="1" t="s">
        <v>4802</v>
      </c>
      <c r="L12" s="1" t="str">
        <f>IF(OR(tblEmployees[[#This Row],[PTKP Status]]="TK/0",tblEmployees[[#This Row],[PTKP Status]]="TK/1",tblEmployees[[#This Row],[PTKP Status]]="K/0"),"A",IF(tblEmployees[[#This Row],[PTKP Status]]="K/3","C","B"))</f>
        <v>A</v>
      </c>
      <c r="M12" s="10">
        <f>SUMIFS(tblPayroll[Gross Salary],tblPayroll[Employee ID],tblEmployees[[#This Row],[Employee ID]],tblPayroll[Period],"&lt;="&amp;CutOff)</f>
        <v>104500000</v>
      </c>
      <c r="N12" s="10">
        <f>SUMIFS(tblPayroll[PPh 21],tblPayroll[Employee ID],tblEmployees[[#This Row],[Employee ID]],tblPayroll[Period],"&lt;="&amp;CutOff)</f>
        <v>3342138</v>
      </c>
      <c r="BA12" s="1"/>
      <c r="BB12" s="1"/>
      <c r="BC12" s="1"/>
    </row>
    <row r="13" spans="1:60" x14ac:dyDescent="0.35">
      <c r="B13" s="1" t="s">
        <v>4803</v>
      </c>
      <c r="C13" s="1" t="s">
        <v>4804</v>
      </c>
      <c r="D13" s="1" t="s">
        <v>4805</v>
      </c>
      <c r="E13" s="1" t="s">
        <v>4775</v>
      </c>
      <c r="F13" s="109">
        <v>44424</v>
      </c>
      <c r="G13" s="69" t="s">
        <v>4806</v>
      </c>
      <c r="H13" s="1" t="s">
        <v>4807</v>
      </c>
      <c r="I13" s="5">
        <v>8000000</v>
      </c>
      <c r="J13" s="5">
        <v>1000000</v>
      </c>
      <c r="K13" s="1" t="s">
        <v>4808</v>
      </c>
      <c r="L13" s="1" t="str">
        <f>IF(OR(tblEmployees[[#This Row],[PTKP Status]]="TK/0",tblEmployees[[#This Row],[PTKP Status]]="TK/1",tblEmployees[[#This Row],[PTKP Status]]="K/0"),"A",IF(tblEmployees[[#This Row],[PTKP Status]]="K/3","C","B"))</f>
        <v>A</v>
      </c>
      <c r="M13" s="10">
        <f>SUMIFS(tblPayroll[Gross Salary],tblPayroll[Employee ID],tblEmployees[[#This Row],[Employee ID]],tblPayroll[Period],"&lt;="&amp;CutOff)</f>
        <v>99000000</v>
      </c>
      <c r="N13" s="10">
        <f>SUMIFS(tblPayroll[PPh 21],tblPayroll[Employee ID],tblEmployees[[#This Row],[Employee ID]],tblPayroll[Period],"&lt;="&amp;CutOff)</f>
        <v>2954547</v>
      </c>
      <c r="BA13" s="1"/>
      <c r="BB13" s="1"/>
      <c r="BC13" s="1"/>
    </row>
    <row r="14" spans="1:60" x14ac:dyDescent="0.35">
      <c r="B14" s="1" t="s">
        <v>4809</v>
      </c>
      <c r="C14" s="1" t="s">
        <v>4810</v>
      </c>
      <c r="D14" s="1" t="s">
        <v>4811</v>
      </c>
      <c r="E14" s="1" t="s">
        <v>4790</v>
      </c>
      <c r="F14" s="109">
        <v>44116</v>
      </c>
      <c r="G14" s="69" t="s">
        <v>4812</v>
      </c>
      <c r="H14" s="1" t="s">
        <v>4807</v>
      </c>
      <c r="I14" s="5">
        <v>9000000</v>
      </c>
      <c r="J14" s="5">
        <v>1500000</v>
      </c>
      <c r="K14" s="1" t="s">
        <v>4813</v>
      </c>
      <c r="L14" s="1" t="str">
        <f>IF(OR(tblEmployees[[#This Row],[PTKP Status]]="TK/0",tblEmployees[[#This Row],[PTKP Status]]="TK/1",tblEmployees[[#This Row],[PTKP Status]]="K/0"),"A",IF(tblEmployees[[#This Row],[PTKP Status]]="K/3","C","B"))</f>
        <v>A</v>
      </c>
      <c r="M14" s="10">
        <f>SUMIFS(tblPayroll[Gross Salary],tblPayroll[Employee ID],tblEmployees[[#This Row],[Employee ID]],tblPayroll[Period],"&lt;="&amp;CutOff)</f>
        <v>115500000</v>
      </c>
      <c r="N14" s="10">
        <f>SUMIFS(tblPayroll[PPh 21],tblPayroll[Employee ID],tblEmployees[[#This Row],[Employee ID]],tblPayroll[Period],"&lt;="&amp;CutOff)</f>
        <v>4896612</v>
      </c>
      <c r="BA14" s="1"/>
      <c r="BB14" s="1"/>
      <c r="BC14" s="1"/>
    </row>
    <row r="15" spans="1:60" x14ac:dyDescent="0.35">
      <c r="B15" s="1" t="s">
        <v>4814</v>
      </c>
      <c r="C15" s="1" t="s">
        <v>4815</v>
      </c>
      <c r="D15" s="1" t="s">
        <v>4816</v>
      </c>
      <c r="E15" s="1" t="s">
        <v>4790</v>
      </c>
      <c r="F15" s="109">
        <v>44655</v>
      </c>
      <c r="G15" s="69" t="s">
        <v>4817</v>
      </c>
      <c r="H15" s="1" t="s">
        <v>4785</v>
      </c>
      <c r="I15" s="5">
        <v>5800000</v>
      </c>
      <c r="J15" s="5">
        <v>700000</v>
      </c>
      <c r="K15" s="1" t="s">
        <v>4818</v>
      </c>
      <c r="L15" s="1" t="str">
        <f>IF(OR(tblEmployees[[#This Row],[PTKP Status]]="TK/0",tblEmployees[[#This Row],[PTKP Status]]="TK/1",tblEmployees[[#This Row],[PTKP Status]]="K/0"),"A",IF(tblEmployees[[#This Row],[PTKP Status]]="K/3","C","B"))</f>
        <v>A</v>
      </c>
      <c r="M15" s="10">
        <f>SUMIFS(tblPayroll[Gross Salary],tblPayroll[Employee ID],tblEmployees[[#This Row],[Employee ID]],tblPayroll[Period],"&lt;="&amp;CutOff)</f>
        <v>71500000</v>
      </c>
      <c r="N15" s="10">
        <f>SUMIFS(tblPayroll[PPh 21],tblPayroll[Employee ID],tblEmployees[[#This Row],[Employee ID]],tblPayroll[Period],"&lt;="&amp;CutOff)</f>
        <v>1429206</v>
      </c>
      <c r="BA15" s="1"/>
      <c r="BB15" s="1"/>
      <c r="BC15" s="1"/>
    </row>
    <row r="16" spans="1:60" x14ac:dyDescent="0.35">
      <c r="B16" s="1" t="s">
        <v>4819</v>
      </c>
      <c r="C16" s="1" t="s">
        <v>4820</v>
      </c>
      <c r="D16" s="1" t="s">
        <v>4816</v>
      </c>
      <c r="E16" s="1" t="s">
        <v>4790</v>
      </c>
      <c r="F16" s="109">
        <v>44935</v>
      </c>
      <c r="G16" s="69" t="s">
        <v>4821</v>
      </c>
      <c r="H16" s="1" t="s">
        <v>4785</v>
      </c>
      <c r="I16" s="5">
        <v>5800000</v>
      </c>
      <c r="J16" s="5">
        <v>700000</v>
      </c>
      <c r="K16" s="1" t="s">
        <v>4822</v>
      </c>
      <c r="L16" s="1" t="str">
        <f>IF(OR(tblEmployees[[#This Row],[PTKP Status]]="TK/0",tblEmployees[[#This Row],[PTKP Status]]="TK/1",tblEmployees[[#This Row],[PTKP Status]]="K/0"),"A",IF(tblEmployees[[#This Row],[PTKP Status]]="K/3","C","B"))</f>
        <v>A</v>
      </c>
      <c r="M16" s="10">
        <f>SUMIFS(tblPayroll[Gross Salary],tblPayroll[Employee ID],tblEmployees[[#This Row],[Employee ID]],tblPayroll[Period],"&lt;="&amp;CutOff)</f>
        <v>71500000</v>
      </c>
      <c r="N16" s="10">
        <f>SUMIFS(tblPayroll[PPh 21],tblPayroll[Employee ID],tblEmployees[[#This Row],[Employee ID]],tblPayroll[Period],"&lt;="&amp;CutOff)</f>
        <v>1429206</v>
      </c>
      <c r="BA16" s="1"/>
      <c r="BB16" s="1"/>
      <c r="BC16" s="1"/>
    </row>
    <row r="17" spans="2:55" x14ac:dyDescent="0.35">
      <c r="B17" s="1" t="s">
        <v>4823</v>
      </c>
      <c r="C17" s="1" t="s">
        <v>4824</v>
      </c>
      <c r="D17" s="1" t="s">
        <v>4825</v>
      </c>
      <c r="E17" s="1" t="s">
        <v>4790</v>
      </c>
      <c r="F17" s="109">
        <v>43787</v>
      </c>
      <c r="G17" s="69" t="s">
        <v>4826</v>
      </c>
      <c r="H17" s="1" t="s">
        <v>4777</v>
      </c>
      <c r="I17" s="5">
        <v>7500000</v>
      </c>
      <c r="J17" s="5">
        <v>1000000</v>
      </c>
      <c r="K17" s="1" t="s">
        <v>4827</v>
      </c>
      <c r="L17" s="1" t="str">
        <f>IF(OR(tblEmployees[[#This Row],[PTKP Status]]="TK/0",tblEmployees[[#This Row],[PTKP Status]]="TK/1",tblEmployees[[#This Row],[PTKP Status]]="K/0"),"A",IF(tblEmployees[[#This Row],[PTKP Status]]="K/3","C","B"))</f>
        <v>B</v>
      </c>
      <c r="M17" s="10">
        <f>SUMIFS(tblPayroll[Gross Salary],tblPayroll[Employee ID],tblEmployees[[#This Row],[Employee ID]],tblPayroll[Period],"&lt;="&amp;CutOff)</f>
        <v>93500000</v>
      </c>
      <c r="N17" s="10">
        <f>SUMIFS(tblPayroll[PPh 21],tblPayroll[Employee ID],tblEmployees[[#This Row],[Employee ID]],tblPayroll[Period],"&lt;="&amp;CutOff)</f>
        <v>2016744</v>
      </c>
      <c r="BA17" s="1"/>
      <c r="BB17" s="1"/>
      <c r="BC17" s="1"/>
    </row>
    <row r="18" spans="2:55" x14ac:dyDescent="0.35">
      <c r="B18" s="1" t="s">
        <v>4828</v>
      </c>
      <c r="C18" s="1" t="s">
        <v>4829</v>
      </c>
      <c r="D18" s="1" t="s">
        <v>4830</v>
      </c>
      <c r="E18" s="1" t="s">
        <v>4790</v>
      </c>
      <c r="F18" s="109">
        <v>44725</v>
      </c>
      <c r="G18" s="69" t="s">
        <v>4831</v>
      </c>
      <c r="H18" s="1" t="s">
        <v>4832</v>
      </c>
      <c r="I18" s="5">
        <v>5600000</v>
      </c>
      <c r="J18" s="5">
        <v>600000</v>
      </c>
      <c r="K18" s="1" t="s">
        <v>4833</v>
      </c>
      <c r="L18" s="1" t="str">
        <f>IF(OR(tblEmployees[[#This Row],[PTKP Status]]="TK/0",tblEmployees[[#This Row],[PTKP Status]]="TK/1",tblEmployees[[#This Row],[PTKP Status]]="K/0"),"A",IF(tblEmployees[[#This Row],[PTKP Status]]="K/3","C","B"))</f>
        <v>A</v>
      </c>
      <c r="M18" s="10">
        <f>SUMIFS(tblPayroll[Gross Salary],tblPayroll[Employee ID],tblEmployees[[#This Row],[Employee ID]],tblPayroll[Period],"&lt;="&amp;CutOff)</f>
        <v>68200000</v>
      </c>
      <c r="N18" s="10">
        <f>SUMIFS(tblPayroll[PPh 21],tblPayroll[Employee ID],tblEmployees[[#This Row],[Employee ID]],tblPayroll[Period],"&lt;="&amp;CutOff)</f>
        <v>1217409</v>
      </c>
      <c r="BA18" s="1"/>
      <c r="BB18" s="1"/>
      <c r="BC18" s="1"/>
    </row>
    <row r="19" spans="2:55" x14ac:dyDescent="0.35">
      <c r="B19" s="1" t="s">
        <v>4834</v>
      </c>
      <c r="C19" s="1" t="s">
        <v>4835</v>
      </c>
      <c r="D19" s="1" t="s">
        <v>4836</v>
      </c>
      <c r="E19" s="1" t="s">
        <v>4790</v>
      </c>
      <c r="F19" s="109">
        <v>45068</v>
      </c>
      <c r="G19" s="69" t="s">
        <v>4837</v>
      </c>
      <c r="H19" s="1" t="s">
        <v>4781</v>
      </c>
      <c r="I19" s="5">
        <v>5600000</v>
      </c>
      <c r="J19" s="5">
        <v>600000</v>
      </c>
      <c r="K19" s="1" t="s">
        <v>4838</v>
      </c>
      <c r="L19" s="1" t="str">
        <f>IF(OR(tblEmployees[[#This Row],[PTKP Status]]="TK/0",tblEmployees[[#This Row],[PTKP Status]]="TK/1",tblEmployees[[#This Row],[PTKP Status]]="K/0"),"A",IF(tblEmployees[[#This Row],[PTKP Status]]="K/3","C","B"))</f>
        <v>B</v>
      </c>
      <c r="M19" s="10">
        <f>SUMIFS(tblPayroll[Gross Salary],tblPayroll[Employee ID],tblEmployees[[#This Row],[Employee ID]],tblPayroll[Period],"&lt;="&amp;CutOff)</f>
        <v>68200000</v>
      </c>
      <c r="N19" s="10">
        <f>SUMIFS(tblPayroll[PPh 21],tblPayroll[Employee ID],tblEmployees[[#This Row],[Employee ID]],tblPayroll[Period],"&lt;="&amp;CutOff)</f>
        <v>653095</v>
      </c>
      <c r="BA19" s="1"/>
      <c r="BB19" s="1"/>
      <c r="BC19" s="1"/>
    </row>
    <row r="20" spans="2:55" x14ac:dyDescent="0.35">
      <c r="B20" s="1" t="s">
        <v>4839</v>
      </c>
      <c r="C20" s="1" t="s">
        <v>4840</v>
      </c>
      <c r="D20" s="1" t="s">
        <v>4841</v>
      </c>
      <c r="E20" s="1" t="s">
        <v>4790</v>
      </c>
      <c r="F20" s="109">
        <v>45327</v>
      </c>
      <c r="G20" s="69" t="s">
        <v>4842</v>
      </c>
      <c r="H20" s="1" t="s">
        <v>4785</v>
      </c>
      <c r="I20" s="5">
        <v>5700000</v>
      </c>
      <c r="J20" s="5">
        <v>600000</v>
      </c>
      <c r="K20" s="1" t="s">
        <v>4843</v>
      </c>
      <c r="L20" s="1" t="str">
        <f>IF(OR(tblEmployees[[#This Row],[PTKP Status]]="TK/0",tblEmployees[[#This Row],[PTKP Status]]="TK/1",tblEmployees[[#This Row],[PTKP Status]]="K/0"),"A",IF(tblEmployees[[#This Row],[PTKP Status]]="K/3","C","B"))</f>
        <v>A</v>
      </c>
      <c r="M20" s="10">
        <f>SUMIFS(tblPayroll[Gross Salary],tblPayroll[Employee ID],tblEmployees[[#This Row],[Employee ID]],tblPayroll[Period],"&lt;="&amp;CutOff)</f>
        <v>69300000</v>
      </c>
      <c r="N20" s="10">
        <f>SUMIFS(tblPayroll[PPh 21],tblPayroll[Employee ID],tblEmployees[[#This Row],[Employee ID]],tblPayroll[Period],"&lt;="&amp;CutOff)</f>
        <v>1237041</v>
      </c>
      <c r="BA20" s="1"/>
      <c r="BB20" s="1"/>
      <c r="BC20" s="1"/>
    </row>
    <row r="21" spans="2:55" x14ac:dyDescent="0.35">
      <c r="B21" s="1" t="s">
        <v>4844</v>
      </c>
      <c r="C21" s="1" t="s">
        <v>4845</v>
      </c>
      <c r="D21" s="1" t="s">
        <v>4846</v>
      </c>
      <c r="E21" s="1" t="s">
        <v>4775</v>
      </c>
      <c r="F21" s="109">
        <v>44466</v>
      </c>
      <c r="G21" s="69" t="s">
        <v>4847</v>
      </c>
      <c r="H21" s="1" t="s">
        <v>4785</v>
      </c>
      <c r="I21" s="5">
        <v>9500000</v>
      </c>
      <c r="J21" s="5">
        <v>1000000</v>
      </c>
      <c r="K21" s="1" t="s">
        <v>4848</v>
      </c>
      <c r="L21" s="1" t="str">
        <f>IF(OR(tblEmployees[[#This Row],[PTKP Status]]="TK/0",tblEmployees[[#This Row],[PTKP Status]]="TK/1",tblEmployees[[#This Row],[PTKP Status]]="K/0"),"A",IF(tblEmployees[[#This Row],[PTKP Status]]="K/3","C","B"))</f>
        <v>A</v>
      </c>
      <c r="M21" s="10">
        <f>SUMIFS(tblPayroll[Gross Salary],tblPayroll[Employee ID],tblEmployees[[#This Row],[Employee ID]],tblPayroll[Period],"&lt;="&amp;CutOff)</f>
        <v>115500000</v>
      </c>
      <c r="N21" s="10">
        <f>SUMIFS(tblPayroll[PPh 21],tblPayroll[Employee ID],tblEmployees[[#This Row],[Employee ID]],tblPayroll[Period],"&lt;="&amp;CutOff)</f>
        <v>4896612</v>
      </c>
      <c r="BA21" s="1"/>
      <c r="BB21" s="1"/>
      <c r="BC21" s="1"/>
    </row>
  </sheetData>
  <mergeCells count="8">
    <mergeCell ref="Z2:AA2"/>
    <mergeCell ref="AC2:AD2"/>
    <mergeCell ref="B2:C2"/>
    <mergeCell ref="E2:F2"/>
    <mergeCell ref="H2:I2"/>
    <mergeCell ref="Q2:R2"/>
    <mergeCell ref="T2:U2"/>
    <mergeCell ref="W2:X2"/>
  </mergeCells>
  <dataValidations count="2">
    <dataValidation type="list" allowBlank="1" showInputMessage="1" showErrorMessage="1" sqref="E7:E21" xr:uid="{BEC37911-C133-4EC5-8117-174CF622BA93}">
      <formula1>"Selling,G&amp;A"</formula1>
    </dataValidation>
    <dataValidation type="list" allowBlank="1" showInputMessage="1" showErrorMessage="1" sqref="H7:H21" xr:uid="{E0B4FCB7-D3BA-45E9-8DB9-7406884D4D8C}">
      <formula1>"TK/0,TK/1,TK/2,TK/3,K/0,K/1,K/2,K/3"</formula1>
    </dataValidation>
  </dataValidations>
  <hyperlinks>
    <hyperlink ref="B2:C2" location="'Dashboard'!A1" tooltip="Go to Dashboard" display="🏠 HOME" xr:uid="{1449E942-66C2-4DF8-A947-F943F8FF8063}"/>
    <hyperlink ref="E2:F2" location="'Vendors'!A1" tooltip="Go to Vendors" display="◀ PREV" xr:uid="{2ADDA67C-2E79-49B2-9788-7E94EAB7A5D8}"/>
    <hyperlink ref="H2:I2" location="'Products'!A1" tooltip="Go to Products" display="NEXT ▶" xr:uid="{4C825DAD-DFAE-45D9-8B05-335EA5CB889A}"/>
    <hyperlink ref="K2" location="'Dashboard'!B5" tooltip="Go to Dashboard" display="☰ MENU" xr:uid="{025FA6C9-B5FA-4A80-A634-F3B1154E84CA}"/>
    <hyperlink ref="M2" location="'General Journal'!A1" tooltip="Go to General Journal" display="Journal" xr:uid="{E9BFEE3A-6DB3-48A5-952F-A8076132F38B}"/>
    <hyperlink ref="O2" location="'Trial Balance'!A1" tooltip="Go to Trial Balance" display="Trial Bal." xr:uid="{33FF1D56-F83A-4B58-8F95-C46A4A63485F}"/>
    <hyperlink ref="Q2:R2" location="'Income Statement'!A1" tooltip="Go to Income Statement" display="Income St." xr:uid="{AB301165-A2FB-4FE6-B773-9EB298789D39}"/>
    <hyperlink ref="T2:U2" location="'Balance Sheet'!A1" tooltip="Go to Balance Sheet" display="Balance Sh." xr:uid="{3F47D829-C976-4521-98A0-D86AB70F73DA}"/>
    <hyperlink ref="W2:X2" location="'Tax Reconciliation'!A1" tooltip="Go to Tax Reconciliation" display="Tax Recon" xr:uid="{291AB2DF-4A80-4BDB-A926-C636B4BA369D}"/>
    <hyperlink ref="Z2:AA2" location="'Bank Reconciliation'!A1" tooltip="Go to Bank Reconciliation" display="Bank Recon" xr:uid="{08F4A59E-841E-4D88-9191-EA3C158D5EB9}"/>
    <hyperlink ref="AC2:AD2" location="'Controls'!A1" tooltip="Go to Controls" display="Controls" xr:uid="{AFF857AE-E07D-46F9-BC60-5ED757AA3927}"/>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1849-06DA-47A5-8780-40FFDBCBB1F0}">
  <sheetPr>
    <tabColor rgb="FF14B8A6"/>
  </sheetPr>
  <dimension ref="A1:BH16"/>
  <sheetViews>
    <sheetView showGridLines="0" workbookViewId="0"/>
  </sheetViews>
  <sheetFormatPr defaultRowHeight="14.5" x14ac:dyDescent="0.35"/>
  <cols>
    <col min="1" max="1" width="1.453125" style="1" customWidth="1"/>
    <col min="2" max="2" width="8.1796875" style="1" customWidth="1"/>
    <col min="3" max="3" width="27.26953125" style="1" customWidth="1"/>
    <col min="4" max="4" width="10" style="1" customWidth="1"/>
    <col min="5" max="5" width="20" style="1" customWidth="1"/>
    <col min="6" max="6" width="9.08984375" style="1" customWidth="1"/>
    <col min="7" max="7" width="15.453125" style="1" customWidth="1"/>
    <col min="8" max="8" width="13.6328125" style="1" customWidth="1"/>
    <col min="9" max="9" width="11.81640625" style="1" customWidth="1"/>
    <col min="10" max="12" width="2.7265625" style="1" customWidth="1"/>
    <col min="13" max="13" width="14.54296875" style="1" customWidth="1"/>
    <col min="14" max="14" width="21.81640625" style="1" customWidth="1"/>
    <col min="15" max="52" width="8.7265625" style="1"/>
  </cols>
  <sheetData>
    <row r="1" spans="1:60" ht="5" customHeight="1" x14ac:dyDescent="0.35"/>
    <row r="2" spans="1:60" ht="18" customHeight="1" thickBot="1" x14ac:dyDescent="0.4">
      <c r="A2" s="307"/>
      <c r="B2" s="312" t="s">
        <v>7075</v>
      </c>
      <c r="C2" s="313"/>
      <c r="D2" s="307"/>
      <c r="E2" s="309" t="s">
        <v>7076</v>
      </c>
      <c r="F2" s="307"/>
      <c r="G2" s="309" t="s">
        <v>7077</v>
      </c>
      <c r="H2" s="307"/>
      <c r="I2" s="308" t="s">
        <v>7078</v>
      </c>
      <c r="J2" s="307"/>
      <c r="K2" s="314" t="s">
        <v>7079</v>
      </c>
      <c r="L2" s="318"/>
      <c r="M2" s="315"/>
      <c r="N2" s="307"/>
      <c r="O2" s="314" t="s">
        <v>7080</v>
      </c>
      <c r="P2" s="315"/>
      <c r="Q2" s="307"/>
      <c r="R2" s="314" t="s">
        <v>7081</v>
      </c>
      <c r="S2" s="315"/>
      <c r="T2" s="307"/>
      <c r="U2" s="314" t="s">
        <v>7082</v>
      </c>
      <c r="V2" s="315"/>
      <c r="W2" s="307"/>
      <c r="X2" s="314" t="s">
        <v>7083</v>
      </c>
      <c r="Y2" s="315"/>
      <c r="Z2" s="307"/>
      <c r="AA2" s="314" t="s">
        <v>7084</v>
      </c>
      <c r="AB2" s="315"/>
      <c r="AC2" s="307"/>
      <c r="AD2" s="314" t="s">
        <v>7085</v>
      </c>
      <c r="AE2" s="315"/>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4850</v>
      </c>
      <c r="C4" s="67"/>
      <c r="D4" s="67"/>
      <c r="E4" s="67"/>
      <c r="F4" s="67"/>
      <c r="G4" s="67"/>
      <c r="H4" s="67"/>
      <c r="I4" s="67"/>
      <c r="J4" s="67"/>
      <c r="K4" s="67"/>
      <c r="L4" s="67"/>
      <c r="M4" s="67"/>
      <c r="N4" s="67"/>
      <c r="O4" s="67"/>
      <c r="P4" s="67"/>
      <c r="Q4" s="67"/>
    </row>
    <row r="5" spans="1:60" x14ac:dyDescent="0.35">
      <c r="B5" s="72" t="s">
        <v>4851</v>
      </c>
    </row>
    <row r="6" spans="1:60" x14ac:dyDescent="0.35">
      <c r="B6" s="1" t="s">
        <v>4852</v>
      </c>
      <c r="C6" s="1" t="s">
        <v>4856</v>
      </c>
      <c r="D6" s="1" t="s">
        <v>4853</v>
      </c>
      <c r="E6" s="1" t="s">
        <v>4659</v>
      </c>
      <c r="F6" s="1" t="s">
        <v>4389</v>
      </c>
      <c r="G6" s="1" t="s">
        <v>4854</v>
      </c>
      <c r="H6" s="1" t="s">
        <v>4855</v>
      </c>
      <c r="I6" s="1" t="s">
        <v>4857</v>
      </c>
      <c r="J6" s="1" t="s">
        <v>7022</v>
      </c>
      <c r="K6" s="1" t="s">
        <v>6943</v>
      </c>
      <c r="O6" s="1" t="s">
        <v>4858</v>
      </c>
      <c r="P6" s="1" t="s">
        <v>4859</v>
      </c>
      <c r="BA6" s="1"/>
      <c r="BB6" s="1"/>
      <c r="BC6" s="1"/>
      <c r="BD6" s="1"/>
      <c r="BE6" s="1"/>
      <c r="BF6" s="1"/>
    </row>
    <row r="7" spans="1:60" x14ac:dyDescent="0.35">
      <c r="B7" s="1" t="s">
        <v>6</v>
      </c>
      <c r="C7" s="1" t="str">
        <f>_xlfn.XLOOKUP("Product "&amp;tblProducts[[#This Row],[Code]],'Industry Profile'!$B$18:$B$27,'Industry Profile'!$C$18:$C$27)</f>
        <v>Socks &amp; Accessories</v>
      </c>
      <c r="D7" s="4">
        <v>1</v>
      </c>
      <c r="E7" s="1" t="str" cm="1">
        <f t="array" ref="E7">INDEX('Industry Profile'!$C$12:$C$14,tblProducts[[#This Row],[Category Group]])</f>
        <v>Accessories &amp; Basics</v>
      </c>
      <c r="F7" s="1" t="str">
        <f>IP_Unit</f>
        <v>pcs</v>
      </c>
      <c r="G7" s="6">
        <v>45000</v>
      </c>
      <c r="H7" s="6">
        <v>24000</v>
      </c>
      <c r="I7" s="8">
        <f>IFERROR(1-tblProducts[[#This Row],[Unit Cost]]/tblProducts[[#This Row],[Selling Price (excl. VAT)]],0)</f>
        <v>0.46666666666666667</v>
      </c>
      <c r="J7" s="221">
        <f>SUMIFS(tblSales[Qty],tblSales[Product Code],tblProducts[[#This Row],[Code]],tblSales[Date],"&lt;="&amp;PEnd)</f>
        <v>15222</v>
      </c>
      <c r="K7" s="10">
        <f>SUMIFS(tblSales[DPP (excl. VAT)],tblSales[Product Code],tblProducts[[#This Row],[Code]],tblSales[Date],"&lt;="&amp;PEnd)</f>
        <v>684990000</v>
      </c>
      <c r="O7" s="1" t="s">
        <v>4860</v>
      </c>
      <c r="P7" s="1" t="str">
        <f>'Industry Profile'!C15</f>
        <v>In-store</v>
      </c>
      <c r="BA7" s="1"/>
      <c r="BB7" s="1"/>
      <c r="BC7" s="1"/>
      <c r="BD7" s="1"/>
      <c r="BE7" s="1"/>
      <c r="BF7" s="1"/>
    </row>
    <row r="8" spans="1:60" x14ac:dyDescent="0.35">
      <c r="B8" s="1" t="s">
        <v>7</v>
      </c>
      <c r="C8" s="1" t="str">
        <f>_xlfn.XLOOKUP("Product "&amp;tblProducts[[#This Row],[Code]],'Industry Profile'!$B$18:$B$27,'Industry Profile'!$C$18:$C$27)</f>
        <v>Premium Basic T-shirt</v>
      </c>
      <c r="D8" s="4">
        <v>1</v>
      </c>
      <c r="E8" s="1" t="str" cm="1">
        <f t="array" ref="E8">INDEX('Industry Profile'!$C$12:$C$14,tblProducts[[#This Row],[Category Group]])</f>
        <v>Accessories &amp; Basics</v>
      </c>
      <c r="F8" s="1" t="str">
        <f>IP_Unit</f>
        <v>pcs</v>
      </c>
      <c r="G8" s="6">
        <v>65000</v>
      </c>
      <c r="H8" s="6">
        <v>37000</v>
      </c>
      <c r="I8" s="8">
        <f>IFERROR(1-tblProducts[[#This Row],[Unit Cost]]/tblProducts[[#This Row],[Selling Price (excl. VAT)]],0)</f>
        <v>0.43076923076923079</v>
      </c>
      <c r="J8" s="221">
        <f>SUMIFS(tblSales[Qty],tblSales[Product Code],tblProducts[[#This Row],[Code]],tblSales[Date],"&lt;="&amp;PEnd)</f>
        <v>13201</v>
      </c>
      <c r="K8" s="10">
        <f>SUMIFS(tblSales[DPP (excl. VAT)],tblSales[Product Code],tblProducts[[#This Row],[Code]],tblSales[Date],"&lt;="&amp;PEnd)</f>
        <v>858065000</v>
      </c>
      <c r="O8" s="1" t="s">
        <v>4861</v>
      </c>
      <c r="P8" s="1" t="str">
        <f>'Industry Profile'!C16</f>
        <v>Marketplace</v>
      </c>
      <c r="BA8" s="1"/>
      <c r="BB8" s="1"/>
      <c r="BC8" s="1"/>
      <c r="BD8" s="1"/>
      <c r="BE8" s="1"/>
      <c r="BF8" s="1"/>
    </row>
    <row r="9" spans="1:60" x14ac:dyDescent="0.35">
      <c r="B9" s="1" t="s">
        <v>8</v>
      </c>
      <c r="C9" s="1" t="str">
        <f>_xlfn.XLOOKUP("Product "&amp;tblProducts[[#This Row],[Code]],'Industry Profile'!$B$18:$B$27,'Industry Profile'!$C$18:$C$27)</f>
        <v>Casual Shorts</v>
      </c>
      <c r="D9" s="4">
        <v>1</v>
      </c>
      <c r="E9" s="1" t="str" cm="1">
        <f t="array" ref="E9">INDEX('Industry Profile'!$C$12:$C$14,tblProducts[[#This Row],[Category Group]])</f>
        <v>Accessories &amp; Basics</v>
      </c>
      <c r="F9" s="1" t="str">
        <f>IP_Unit</f>
        <v>pcs</v>
      </c>
      <c r="G9" s="6">
        <v>85000</v>
      </c>
      <c r="H9" s="6">
        <v>50000</v>
      </c>
      <c r="I9" s="8">
        <f>IFERROR(1-tblProducts[[#This Row],[Unit Cost]]/tblProducts[[#This Row],[Selling Price (excl. VAT)]],0)</f>
        <v>0.41176470588235292</v>
      </c>
      <c r="J9" s="221">
        <f>SUMIFS(tblSales[Qty],tblSales[Product Code],tblProducts[[#This Row],[Code]],tblSales[Date],"&lt;="&amp;PEnd)</f>
        <v>13718</v>
      </c>
      <c r="K9" s="10">
        <f>SUMIFS(tblSales[DPP (excl. VAT)],tblSales[Product Code],tblProducts[[#This Row],[Code]],tblSales[Date],"&lt;="&amp;PEnd)</f>
        <v>1166030000</v>
      </c>
      <c r="O9" s="1" t="s">
        <v>4862</v>
      </c>
      <c r="P9" s="1" t="str">
        <f>'Industry Profile'!C17</f>
        <v>Website &amp; Social Media</v>
      </c>
      <c r="BA9" s="1"/>
      <c r="BB9" s="1"/>
      <c r="BC9" s="1"/>
      <c r="BD9" s="1"/>
      <c r="BE9" s="1"/>
      <c r="BF9" s="1"/>
    </row>
    <row r="10" spans="1:60" x14ac:dyDescent="0.35">
      <c r="B10" s="1" t="s">
        <v>9</v>
      </c>
      <c r="C10" s="1" t="str">
        <f>_xlfn.XLOOKUP("Product "&amp;tblProducts[[#This Row],[Code]],'Industry Profile'!$B$18:$B$27,'Industry Profile'!$C$18:$C$27)</f>
        <v>Casual Shirt</v>
      </c>
      <c r="D10" s="4">
        <v>2</v>
      </c>
      <c r="E10" s="1" t="str" cm="1">
        <f t="array" ref="E10">INDEX('Industry Profile'!$C$12:$C$14,tblProducts[[#This Row],[Category Group]])</f>
        <v>Apparel &amp; Footwear</v>
      </c>
      <c r="F10" s="1" t="str">
        <f>IP_Unit</f>
        <v>pcs</v>
      </c>
      <c r="G10" s="6">
        <v>120000</v>
      </c>
      <c r="H10" s="6">
        <v>72000</v>
      </c>
      <c r="I10" s="8">
        <f>IFERROR(1-tblProducts[[#This Row],[Unit Cost]]/tblProducts[[#This Row],[Selling Price (excl. VAT)]],0)</f>
        <v>0.4</v>
      </c>
      <c r="J10" s="221">
        <f>SUMIFS(tblSales[Qty],tblSales[Product Code],tblProducts[[#This Row],[Code]],tblSales[Date],"&lt;="&amp;PEnd)</f>
        <v>11669</v>
      </c>
      <c r="K10" s="10">
        <f>SUMIFS(tblSales[DPP (excl. VAT)],tblSales[Product Code],tblProducts[[#This Row],[Code]],tblSales[Date],"&lt;="&amp;PEnd)</f>
        <v>1400280000</v>
      </c>
      <c r="BA10" s="1"/>
      <c r="BB10" s="1"/>
      <c r="BC10" s="1"/>
      <c r="BD10" s="1"/>
      <c r="BE10" s="1"/>
      <c r="BF10" s="1"/>
    </row>
    <row r="11" spans="1:60" x14ac:dyDescent="0.35">
      <c r="B11" s="1" t="s">
        <v>10</v>
      </c>
      <c r="C11" s="1" t="str">
        <f>_xlfn.XLOOKUP("Product "&amp;tblProducts[[#This Row],[Code]],'Industry Profile'!$B$18:$B$27,'Industry Profile'!$C$18:$C$27)</f>
        <v>Chino Pants</v>
      </c>
      <c r="D11" s="4">
        <v>2</v>
      </c>
      <c r="E11" s="1" t="str" cm="1">
        <f t="array" ref="E11">INDEX('Industry Profile'!$C$12:$C$14,tblProducts[[#This Row],[Category Group]])</f>
        <v>Apparel &amp; Footwear</v>
      </c>
      <c r="F11" s="1" t="str">
        <f>IP_Unit</f>
        <v>pcs</v>
      </c>
      <c r="G11" s="6">
        <v>150000</v>
      </c>
      <c r="H11" s="6">
        <v>88000</v>
      </c>
      <c r="I11" s="8">
        <f>IFERROR(1-tblProducts[[#This Row],[Unit Cost]]/tblProducts[[#This Row],[Selling Price (excl. VAT)]],0)</f>
        <v>0.41333333333333333</v>
      </c>
      <c r="J11" s="221">
        <f>SUMIFS(tblSales[Qty],tblSales[Product Code],tblProducts[[#This Row],[Code]],tblSales[Date],"&lt;="&amp;PEnd)</f>
        <v>9809</v>
      </c>
      <c r="K11" s="10">
        <f>SUMIFS(tblSales[DPP (excl. VAT)],tblSales[Product Code],tblProducts[[#This Row],[Code]],tblSales[Date],"&lt;="&amp;PEnd)</f>
        <v>1471350000</v>
      </c>
      <c r="BA11" s="1"/>
      <c r="BB11" s="1"/>
      <c r="BC11" s="1"/>
      <c r="BD11" s="1"/>
      <c r="BE11" s="1"/>
      <c r="BF11" s="1"/>
    </row>
    <row r="12" spans="1:60" x14ac:dyDescent="0.35">
      <c r="B12" s="1" t="s">
        <v>11</v>
      </c>
      <c r="C12" s="1" t="str">
        <f>_xlfn.XLOOKUP("Product "&amp;tblProducts[[#This Row],[Code]],'Industry Profile'!$B$18:$B$27,'Industry Profile'!$C$18:$C$27)</f>
        <v>Sneakers</v>
      </c>
      <c r="D12" s="4">
        <v>2</v>
      </c>
      <c r="E12" s="1" t="str" cm="1">
        <f t="array" ref="E12">INDEX('Industry Profile'!$C$12:$C$14,tblProducts[[#This Row],[Category Group]])</f>
        <v>Apparel &amp; Footwear</v>
      </c>
      <c r="F12" s="1" t="str">
        <f>IP_Unit</f>
        <v>pcs</v>
      </c>
      <c r="G12" s="6">
        <v>250000</v>
      </c>
      <c r="H12" s="6">
        <v>155000</v>
      </c>
      <c r="I12" s="8">
        <f>IFERROR(1-tblProducts[[#This Row],[Unit Cost]]/tblProducts[[#This Row],[Selling Price (excl. VAT)]],0)</f>
        <v>0.38</v>
      </c>
      <c r="J12" s="221">
        <f>SUMIFS(tblSales[Qty],tblSales[Product Code],tblProducts[[#This Row],[Code]],tblSales[Date],"&lt;="&amp;PEnd)</f>
        <v>4142</v>
      </c>
      <c r="K12" s="10">
        <f>SUMIFS(tblSales[DPP (excl. VAT)],tblSales[Product Code],tblProducts[[#This Row],[Code]],tblSales[Date],"&lt;="&amp;PEnd)</f>
        <v>1035500000</v>
      </c>
      <c r="O12" s="1" t="s">
        <v>4863</v>
      </c>
      <c r="P12" s="1" t="s">
        <v>4864</v>
      </c>
      <c r="BA12" s="1"/>
      <c r="BB12" s="1"/>
      <c r="BC12" s="1"/>
      <c r="BD12" s="1"/>
      <c r="BE12" s="1"/>
      <c r="BF12" s="1"/>
    </row>
    <row r="13" spans="1:60" x14ac:dyDescent="0.35">
      <c r="B13" s="1" t="s">
        <v>12</v>
      </c>
      <c r="C13" s="1" t="str">
        <f>_xlfn.XLOOKUP("Product "&amp;tblProducts[[#This Row],[Code]],'Industry Profile'!$B$18:$B$27,'Industry Profile'!$C$18:$C$27)</f>
        <v>Bomber Jacket</v>
      </c>
      <c r="D13" s="4">
        <v>2</v>
      </c>
      <c r="E13" s="1" t="str" cm="1">
        <f t="array" ref="E13">INDEX('Industry Profile'!$C$12:$C$14,tblProducts[[#This Row],[Category Group]])</f>
        <v>Apparel &amp; Footwear</v>
      </c>
      <c r="F13" s="1" t="str">
        <f>IP_Unit</f>
        <v>pcs</v>
      </c>
      <c r="G13" s="6">
        <v>350000</v>
      </c>
      <c r="H13" s="6">
        <v>210000</v>
      </c>
      <c r="I13" s="8">
        <f>IFERROR(1-tblProducts[[#This Row],[Unit Cost]]/tblProducts[[#This Row],[Selling Price (excl. VAT)]],0)</f>
        <v>0.4</v>
      </c>
      <c r="J13" s="221">
        <f>SUMIFS(tblSales[Qty],tblSales[Product Code],tblProducts[[#This Row],[Code]],tblSales[Date],"&lt;="&amp;PEnd)</f>
        <v>3306</v>
      </c>
      <c r="K13" s="10">
        <f>SUMIFS(tblSales[DPP (excl. VAT)],tblSales[Product Code],tblProducts[[#This Row],[Code]],tblSales[Date],"&lt;="&amp;PEnd)</f>
        <v>1157100000</v>
      </c>
      <c r="O13" s="1" t="s">
        <v>4865</v>
      </c>
      <c r="P13" s="1">
        <v>1110</v>
      </c>
      <c r="BA13" s="1"/>
      <c r="BB13" s="1"/>
      <c r="BC13" s="1"/>
      <c r="BD13" s="1"/>
      <c r="BE13" s="1"/>
      <c r="BF13" s="1"/>
    </row>
    <row r="14" spans="1:60" x14ac:dyDescent="0.35">
      <c r="B14" s="1" t="s">
        <v>13</v>
      </c>
      <c r="C14" s="1" t="str">
        <f>_xlfn.XLOOKUP("Product "&amp;tblProducts[[#This Row],[Code]],'Industry Profile'!$B$18:$B$27,'Industry Profile'!$C$18:$C$27)</f>
        <v>Backpack</v>
      </c>
      <c r="D14" s="4">
        <v>3</v>
      </c>
      <c r="E14" s="1" t="str" cm="1">
        <f t="array" ref="E14">INDEX('Industry Profile'!$C$12:$C$14,tblProducts[[#This Row],[Category Group]])</f>
        <v>Bags &amp; Gadgets</v>
      </c>
      <c r="F14" s="1" t="str">
        <f>IP_Unit</f>
        <v>pcs</v>
      </c>
      <c r="G14" s="6">
        <v>500000</v>
      </c>
      <c r="H14" s="6">
        <v>290000</v>
      </c>
      <c r="I14" s="8">
        <f>IFERROR(1-tblProducts[[#This Row],[Unit Cost]]/tblProducts[[#This Row],[Selling Price (excl. VAT)]],0)</f>
        <v>0.42000000000000004</v>
      </c>
      <c r="J14" s="221">
        <f>SUMIFS(tblSales[Qty],tblSales[Product Code],tblProducts[[#This Row],[Code]],tblSales[Date],"&lt;="&amp;PEnd)</f>
        <v>2531</v>
      </c>
      <c r="K14" s="10">
        <f>SUMIFS(tblSales[DPP (excl. VAT)],tblSales[Product Code],tblProducts[[#This Row],[Code]],tblSales[Date],"&lt;="&amp;PEnd)</f>
        <v>1265500000</v>
      </c>
      <c r="O14" s="1" t="s">
        <v>4866</v>
      </c>
      <c r="P14" s="1">
        <v>1120</v>
      </c>
      <c r="BA14" s="1"/>
      <c r="BB14" s="1"/>
      <c r="BC14" s="1"/>
      <c r="BD14" s="1"/>
      <c r="BE14" s="1"/>
      <c r="BF14" s="1"/>
    </row>
    <row r="15" spans="1:60" x14ac:dyDescent="0.35">
      <c r="B15" s="1" t="s">
        <v>14</v>
      </c>
      <c r="C15" s="1" t="str">
        <f>_xlfn.XLOOKUP("Product "&amp;tblProducts[[#This Row],[Code]],'Industry Profile'!$B$18:$B$27,'Industry Profile'!$C$18:$C$27)</f>
        <v>Smartwatch</v>
      </c>
      <c r="D15" s="4">
        <v>3</v>
      </c>
      <c r="E15" s="1" t="str" cm="1">
        <f t="array" ref="E15">INDEX('Industry Profile'!$C$12:$C$14,tblProducts[[#This Row],[Category Group]])</f>
        <v>Bags &amp; Gadgets</v>
      </c>
      <c r="F15" s="1" t="str">
        <f>IP_Unit</f>
        <v>pcs</v>
      </c>
      <c r="G15" s="6">
        <v>850000</v>
      </c>
      <c r="H15" s="6">
        <v>560000</v>
      </c>
      <c r="I15" s="8">
        <f>IFERROR(1-tblProducts[[#This Row],[Unit Cost]]/tblProducts[[#This Row],[Selling Price (excl. VAT)]],0)</f>
        <v>0.3411764705882353</v>
      </c>
      <c r="J15" s="221">
        <f>SUMIFS(tblSales[Qty],tblSales[Product Code],tblProducts[[#This Row],[Code]],tblSales[Date],"&lt;="&amp;PEnd)</f>
        <v>1080</v>
      </c>
      <c r="K15" s="10">
        <f>SUMIFS(tblSales[DPP (excl. VAT)],tblSales[Product Code],tblProducts[[#This Row],[Code]],tblSales[Date],"&lt;="&amp;PEnd)</f>
        <v>918000000</v>
      </c>
      <c r="O15" s="1" t="s">
        <v>4867</v>
      </c>
      <c r="P15" s="1">
        <v>1210</v>
      </c>
      <c r="BA15" s="1"/>
      <c r="BB15" s="1"/>
      <c r="BC15" s="1"/>
      <c r="BD15" s="1"/>
      <c r="BE15" s="1"/>
      <c r="BF15" s="1"/>
    </row>
    <row r="16" spans="1:60" x14ac:dyDescent="0.35">
      <c r="B16" s="1" t="s">
        <v>15</v>
      </c>
      <c r="C16" s="1" t="str">
        <f>_xlfn.XLOOKUP("Product "&amp;tblProducts[[#This Row],[Code]],'Industry Profile'!$B$18:$B$27,'Industry Profile'!$C$18:$C$27)</f>
        <v>Wireless Earbuds Pro</v>
      </c>
      <c r="D16" s="4">
        <v>3</v>
      </c>
      <c r="E16" s="1" t="str" cm="1">
        <f t="array" ref="E16">INDEX('Industry Profile'!$C$12:$C$14,tblProducts[[#This Row],[Category Group]])</f>
        <v>Bags &amp; Gadgets</v>
      </c>
      <c r="F16" s="1" t="str">
        <f>IP_Unit</f>
        <v>pcs</v>
      </c>
      <c r="G16" s="6">
        <v>1250000</v>
      </c>
      <c r="H16" s="6">
        <v>820000</v>
      </c>
      <c r="I16" s="8">
        <f>IFERROR(1-tblProducts[[#This Row],[Unit Cost]]/tblProducts[[#This Row],[Selling Price (excl. VAT)]],0)</f>
        <v>0.34399999999999997</v>
      </c>
      <c r="J16" s="221">
        <f>SUMIFS(tblSales[Qty],tblSales[Product Code],tblProducts[[#This Row],[Code]],tblSales[Date],"&lt;="&amp;PEnd)</f>
        <v>1115</v>
      </c>
      <c r="K16" s="10">
        <f>SUMIFS(tblSales[DPP (excl. VAT)],tblSales[Product Code],tblProducts[[#This Row],[Code]],tblSales[Date],"&lt;="&amp;PEnd)</f>
        <v>1393750000</v>
      </c>
      <c r="BA16" s="1"/>
      <c r="BB16" s="1"/>
      <c r="BC16" s="1"/>
      <c r="BD16" s="1"/>
      <c r="BE16" s="1"/>
      <c r="BF16" s="1"/>
    </row>
  </sheetData>
  <mergeCells count="8">
    <mergeCell ref="AA2:AB2"/>
    <mergeCell ref="AD2:AE2"/>
    <mergeCell ref="B2:C2"/>
    <mergeCell ref="K2:M2"/>
    <mergeCell ref="O2:P2"/>
    <mergeCell ref="R2:S2"/>
    <mergeCell ref="U2:V2"/>
    <mergeCell ref="X2:Y2"/>
  </mergeCells>
  <hyperlinks>
    <hyperlink ref="B2:C2" location="'Dashboard'!A1" tooltip="Go to Dashboard" display="🏠 HOME" xr:uid="{94A281D9-8714-4085-B775-3C32176CA5B5}"/>
    <hyperlink ref="E2" location="'Employees'!A1" tooltip="Go to Employees" display="◀ PREV" xr:uid="{76D76296-F894-491E-AADB-8A8116F9A6D0}"/>
    <hyperlink ref="G2" location="'Sales'!A1" tooltip="Go to Sales" display="NEXT ▶" xr:uid="{5CDFFB54-4650-43A3-947A-C0075759B312}"/>
    <hyperlink ref="I2" location="'Dashboard'!B5" tooltip="Go to Dashboard" display="☰ MENU" xr:uid="{8BF138F1-5597-445B-8809-6104F456C3B9}"/>
    <hyperlink ref="K2:M2" location="'General Journal'!A1" tooltip="Go to General Journal" display="Journal" xr:uid="{41ECDB5D-ECCA-415B-B5FD-3A06E4F45E62}"/>
    <hyperlink ref="O2:P2" location="'Trial Balance'!A1" tooltip="Go to Trial Balance" display="Trial Bal." xr:uid="{E0579A30-1A81-4FC8-98B4-D21D852CBCB0}"/>
    <hyperlink ref="R2:S2" location="'Income Statement'!A1" tooltip="Go to Income Statement" display="Income St." xr:uid="{8363093E-FC88-4D90-95AE-2484F9FBBB47}"/>
    <hyperlink ref="U2:V2" location="'Balance Sheet'!A1" tooltip="Go to Balance Sheet" display="Balance Sh." xr:uid="{D00398E0-B576-41BC-9638-57819D3E830C}"/>
    <hyperlink ref="X2:Y2" location="'Tax Reconciliation'!A1" tooltip="Go to Tax Reconciliation" display="Tax Recon" xr:uid="{989F1E18-789E-4F95-8FC6-17EE165BBE4D}"/>
    <hyperlink ref="AA2:AB2" location="'Bank Reconciliation'!A1" tooltip="Go to Bank Reconciliation" display="Bank Recon" xr:uid="{D81E71F8-26D1-45ED-83D3-66CE93CB3279}"/>
    <hyperlink ref="AD2:AE2" location="'Controls'!A1" tooltip="Go to Controls" display="Controls" xr:uid="{F096DFB8-26CA-4328-9DB1-96B925947191}"/>
  </hyperlink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E891-779D-4378-B87A-029866C122AA}">
  <sheetPr>
    <tabColor rgb="FF38BDF8"/>
  </sheetPr>
  <dimension ref="A1:BH6196"/>
  <sheetViews>
    <sheetView showGridLines="0" workbookViewId="0">
      <pane ySplit="6" topLeftCell="A7" activePane="bottomLeft" state="frozen"/>
      <selection pane="bottomLeft" activeCell="C51" sqref="C51"/>
    </sheetView>
  </sheetViews>
  <sheetFormatPr defaultRowHeight="14.5" x14ac:dyDescent="0.35"/>
  <cols>
    <col min="1" max="1" width="1.453125" style="1" customWidth="1"/>
    <col min="2" max="2" width="11.26953125" style="1" customWidth="1"/>
    <col min="3" max="3" width="14.54296875" style="1" customWidth="1"/>
    <col min="4" max="4" width="9.08984375" style="1" customWidth="1"/>
    <col min="5" max="5" width="25.453125" style="1" customWidth="1"/>
    <col min="6" max="6" width="9.08984375" style="1" customWidth="1"/>
    <col min="7" max="7" width="23.6328125" style="1" customWidth="1"/>
    <col min="8" max="8" width="18.1796875" style="1" customWidth="1"/>
    <col min="9" max="9" width="7.26953125" style="1" customWidth="1"/>
    <col min="10" max="10" width="12.7265625" style="1" customWidth="1"/>
    <col min="11" max="11" width="14.54296875" style="1" customWidth="1"/>
    <col min="12" max="12" width="12.7265625" style="1" customWidth="1"/>
    <col min="13" max="14" width="14.54296875" style="1" customWidth="1"/>
    <col min="15" max="15" width="15.453125" style="1" customWidth="1"/>
    <col min="16" max="16" width="9.08984375" style="1" customWidth="1"/>
    <col min="17" max="17" width="18.1796875" style="1" customWidth="1"/>
    <col min="18" max="18" width="6.36328125" style="1" customWidth="1"/>
    <col min="19" max="52" width="8.7265625" style="1"/>
  </cols>
  <sheetData>
    <row r="1" spans="1:60" ht="5" customHeight="1" x14ac:dyDescent="0.35"/>
    <row r="2" spans="1:60" ht="18" customHeight="1" thickBot="1" x14ac:dyDescent="0.4">
      <c r="A2" s="307"/>
      <c r="B2" s="308" t="s">
        <v>7075</v>
      </c>
      <c r="C2" s="307"/>
      <c r="D2" s="310" t="s">
        <v>7076</v>
      </c>
      <c r="E2" s="311"/>
      <c r="F2" s="307"/>
      <c r="G2" s="309" t="s">
        <v>7077</v>
      </c>
      <c r="H2" s="307"/>
      <c r="I2" s="312" t="s">
        <v>7078</v>
      </c>
      <c r="J2" s="313"/>
      <c r="K2" s="307"/>
      <c r="L2" s="317" t="s">
        <v>7079</v>
      </c>
      <c r="M2" s="307"/>
      <c r="N2" s="317" t="s">
        <v>7080</v>
      </c>
      <c r="O2" s="307"/>
      <c r="P2" s="314" t="s">
        <v>7081</v>
      </c>
      <c r="Q2" s="315"/>
      <c r="R2" s="307"/>
      <c r="S2" s="314" t="s">
        <v>7082</v>
      </c>
      <c r="T2" s="315"/>
      <c r="U2" s="307"/>
      <c r="V2" s="314" t="s">
        <v>7083</v>
      </c>
      <c r="W2" s="315"/>
      <c r="X2" s="307"/>
      <c r="Y2" s="314" t="s">
        <v>7084</v>
      </c>
      <c r="Z2" s="315"/>
      <c r="AA2" s="307"/>
      <c r="AB2" s="314" t="s">
        <v>7085</v>
      </c>
      <c r="AC2" s="315"/>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5329</v>
      </c>
      <c r="C4" s="67"/>
      <c r="D4" s="67"/>
      <c r="E4" s="67"/>
      <c r="F4" s="67"/>
      <c r="G4" s="67"/>
      <c r="H4" s="67"/>
      <c r="I4" s="67"/>
      <c r="J4" s="67"/>
      <c r="K4" s="67"/>
      <c r="L4" s="67"/>
      <c r="M4" s="67"/>
      <c r="N4" s="67"/>
      <c r="O4" s="67"/>
      <c r="P4" s="67"/>
      <c r="Q4" s="67"/>
      <c r="R4" s="67"/>
    </row>
    <row r="5" spans="1:60" x14ac:dyDescent="0.35">
      <c r="B5" s="72" t="s">
        <v>5330</v>
      </c>
    </row>
    <row r="6" spans="1:60" x14ac:dyDescent="0.35">
      <c r="B6" s="1" t="s">
        <v>5072</v>
      </c>
      <c r="C6" s="1" t="s">
        <v>5073</v>
      </c>
      <c r="D6" s="1" t="s">
        <v>4563</v>
      </c>
      <c r="E6" s="1" t="s">
        <v>4564</v>
      </c>
      <c r="F6" s="1" t="s">
        <v>5074</v>
      </c>
      <c r="G6" s="1" t="s">
        <v>5075</v>
      </c>
      <c r="H6" s="1" t="s">
        <v>4659</v>
      </c>
      <c r="I6" s="1" t="s">
        <v>37</v>
      </c>
      <c r="J6" s="1" t="s">
        <v>5076</v>
      </c>
      <c r="K6" s="1" t="s">
        <v>5077</v>
      </c>
      <c r="L6" s="1" t="s">
        <v>5078</v>
      </c>
      <c r="M6" s="1" t="s">
        <v>5079</v>
      </c>
      <c r="N6" s="1" t="s">
        <v>5080</v>
      </c>
      <c r="O6" s="1" t="s">
        <v>4863</v>
      </c>
      <c r="P6" s="1" t="s">
        <v>4858</v>
      </c>
      <c r="Q6" s="1" t="s">
        <v>38</v>
      </c>
      <c r="R6" s="1" t="s">
        <v>5081</v>
      </c>
    </row>
    <row r="7" spans="1:60" x14ac:dyDescent="0.35">
      <c r="B7" s="113">
        <v>46023</v>
      </c>
      <c r="C7" s="4" t="s">
        <v>39</v>
      </c>
      <c r="D7" s="4" t="s">
        <v>4568</v>
      </c>
      <c r="E7" s="1" t="str">
        <f>_xlfn.XLOOKUP(tblSales[[#This Row],[Customer ID]],tblCustomers[Customer ID],tblCustomers[Customer Name],"⚠ Unknown")</f>
        <v>Walk-in Customer</v>
      </c>
      <c r="F7" s="4" t="s">
        <v>6</v>
      </c>
      <c r="G7" s="1" t="str">
        <f>_xlfn.XLOOKUP(tblSales[[#This Row],[Product Code]],tblProducts[Code],tblProducts[Product / Service Name],"⚠ Unknown")</f>
        <v>Socks &amp; Accessories</v>
      </c>
      <c r="H7" s="1" t="str">
        <f>_xlfn.XLOOKUP(tblSales[[#This Row],[Product Code]],tblProducts[Code],tblProducts[Category],"")</f>
        <v>Accessories &amp; Basics</v>
      </c>
      <c r="I7" s="4">
        <v>5</v>
      </c>
      <c r="J7" s="5">
        <f>_xlfn.XLOOKUP(tblSales[[#This Row],[Product Code]],tblProducts[Code],tblProducts[Selling Price (excl. VAT)],0)</f>
        <v>45000</v>
      </c>
      <c r="K7" s="5">
        <f>tblSales[[#This Row],[Qty]]*tblSales[[#This Row],[Unit Price]]</f>
        <v>225000</v>
      </c>
      <c r="L7" s="5">
        <f>ROUND(tblSales[[#This Row],[DPP (excl. VAT)]]*VATEff,0)</f>
        <v>24750</v>
      </c>
      <c r="M7" s="5">
        <f>tblSales[[#This Row],[DPP (excl. VAT)]]+tblSales[[#This Row],[Output VAT]]</f>
        <v>249750</v>
      </c>
      <c r="N7" s="5">
        <f>tblSales[[#This Row],[Qty]]*_xlfn.XLOOKUP(tblSales[[#This Row],[Product Code]],tblProducts[Code],tblProducts[Unit Cost],0)</f>
        <v>120000</v>
      </c>
      <c r="O7" s="4" t="s">
        <v>4866</v>
      </c>
      <c r="P7" s="4" t="s">
        <v>4862</v>
      </c>
      <c r="Q7" s="1" t="str">
        <f>_xlfn.XLOOKUP(tblSales[[#This Row],[Channel Code]],tblChannels[Channel Code],tblChannels[Channel Name],"")</f>
        <v>Website &amp; Social Media</v>
      </c>
      <c r="R7" s="1">
        <f>MONTH(tblSales[[#This Row],[Date]])</f>
        <v>1</v>
      </c>
    </row>
    <row r="8" spans="1:60" x14ac:dyDescent="0.35">
      <c r="B8" s="113">
        <v>46023</v>
      </c>
      <c r="C8" s="4" t="s">
        <v>39</v>
      </c>
      <c r="D8" s="4" t="s">
        <v>4568</v>
      </c>
      <c r="E8" s="1" t="str">
        <f>_xlfn.XLOOKUP(tblSales[[#This Row],[Customer ID]],tblCustomers[Customer ID],tblCustomers[Customer Name],"⚠ Unknown")</f>
        <v>Walk-in Customer</v>
      </c>
      <c r="F8" s="4" t="s">
        <v>8</v>
      </c>
      <c r="G8" s="1" t="str">
        <f>_xlfn.XLOOKUP(tblSales[[#This Row],[Product Code]],tblProducts[Code],tblProducts[Product / Service Name],"⚠ Unknown")</f>
        <v>Casual Shorts</v>
      </c>
      <c r="H8" s="1" t="str">
        <f>_xlfn.XLOOKUP(tblSales[[#This Row],[Product Code]],tblProducts[Code],tblProducts[Category],"")</f>
        <v>Accessories &amp; Basics</v>
      </c>
      <c r="I8" s="4">
        <v>1</v>
      </c>
      <c r="J8" s="5">
        <f>_xlfn.XLOOKUP(tblSales[[#This Row],[Product Code]],tblProducts[Code],tblProducts[Selling Price (excl. VAT)],0)</f>
        <v>85000</v>
      </c>
      <c r="K8" s="5">
        <f>tblSales[[#This Row],[Qty]]*tblSales[[#This Row],[Unit Price]]</f>
        <v>85000</v>
      </c>
      <c r="L8" s="5">
        <f>ROUND(tblSales[[#This Row],[DPP (excl. VAT)]]*VATEff,0)</f>
        <v>9350</v>
      </c>
      <c r="M8" s="5">
        <f>tblSales[[#This Row],[DPP (excl. VAT)]]+tblSales[[#This Row],[Output VAT]]</f>
        <v>94350</v>
      </c>
      <c r="N8" s="5">
        <f>tblSales[[#This Row],[Qty]]*_xlfn.XLOOKUP(tblSales[[#This Row],[Product Code]],tblProducts[Code],tblProducts[Unit Cost],0)</f>
        <v>50000</v>
      </c>
      <c r="O8" s="4" t="s">
        <v>4866</v>
      </c>
      <c r="P8" s="4" t="s">
        <v>4862</v>
      </c>
      <c r="Q8" s="1" t="str">
        <f>_xlfn.XLOOKUP(tblSales[[#This Row],[Channel Code]],tblChannels[Channel Code],tblChannels[Channel Name],"")</f>
        <v>Website &amp; Social Media</v>
      </c>
      <c r="R8" s="1">
        <f>MONTH(tblSales[[#This Row],[Date]])</f>
        <v>1</v>
      </c>
    </row>
    <row r="9" spans="1:60" x14ac:dyDescent="0.35">
      <c r="B9" s="113">
        <v>46023</v>
      </c>
      <c r="C9" s="4" t="s">
        <v>40</v>
      </c>
      <c r="D9" s="4" t="s">
        <v>4578</v>
      </c>
      <c r="E9" s="1" t="str">
        <f>_xlfn.XLOOKUP(tblSales[[#This Row],[Customer ID]],tblCustomers[Customer ID],tblCustomers[Customer Name],"⚠ Unknown")</f>
        <v>PT Bintang Timur Sejahtera</v>
      </c>
      <c r="F9" s="4" t="s">
        <v>7</v>
      </c>
      <c r="G9" s="1" t="str">
        <f>_xlfn.XLOOKUP(tblSales[[#This Row],[Product Code]],tblProducts[Code],tblProducts[Product / Service Name],"⚠ Unknown")</f>
        <v>Premium Basic T-shirt</v>
      </c>
      <c r="H9" s="1" t="str">
        <f>_xlfn.XLOOKUP(tblSales[[#This Row],[Product Code]],tblProducts[Code],tblProducts[Category],"")</f>
        <v>Accessories &amp; Basics</v>
      </c>
      <c r="I9" s="4">
        <v>80</v>
      </c>
      <c r="J9" s="5">
        <f>_xlfn.XLOOKUP(tblSales[[#This Row],[Product Code]],tblProducts[Code],tblProducts[Selling Price (excl. VAT)],0)</f>
        <v>65000</v>
      </c>
      <c r="K9" s="5">
        <f>tblSales[[#This Row],[Qty]]*tblSales[[#This Row],[Unit Price]]</f>
        <v>5200000</v>
      </c>
      <c r="L9" s="5">
        <f>ROUND(tblSales[[#This Row],[DPP (excl. VAT)]]*VATEff,0)</f>
        <v>572000</v>
      </c>
      <c r="M9" s="5">
        <f>tblSales[[#This Row],[DPP (excl. VAT)]]+tblSales[[#This Row],[Output VAT]]</f>
        <v>5772000</v>
      </c>
      <c r="N9" s="5">
        <f>tblSales[[#This Row],[Qty]]*_xlfn.XLOOKUP(tblSales[[#This Row],[Product Code]],tblProducts[Code],tblProducts[Unit Cost],0)</f>
        <v>2960000</v>
      </c>
      <c r="O9" s="4" t="s">
        <v>4867</v>
      </c>
      <c r="P9" s="4" t="s">
        <v>4860</v>
      </c>
      <c r="Q9" s="1" t="str">
        <f>_xlfn.XLOOKUP(tblSales[[#This Row],[Channel Code]],tblChannels[Channel Code],tblChannels[Channel Name],"")</f>
        <v>In-store</v>
      </c>
      <c r="R9" s="1">
        <f>MONTH(tblSales[[#This Row],[Date]])</f>
        <v>1</v>
      </c>
    </row>
    <row r="10" spans="1:60" x14ac:dyDescent="0.35">
      <c r="B10" s="113">
        <v>46023</v>
      </c>
      <c r="C10" s="4" t="s">
        <v>41</v>
      </c>
      <c r="D10" s="4" t="s">
        <v>4593</v>
      </c>
      <c r="E10" s="1" t="str">
        <f>_xlfn.XLOOKUP(tblSales[[#This Row],[Customer ID]],tblCustomers[Customer ID],tblCustomers[Customer Name],"⚠ Unknown")</f>
        <v>PT Graha Nusa Persada</v>
      </c>
      <c r="F10" s="4" t="s">
        <v>7</v>
      </c>
      <c r="G10" s="1" t="str">
        <f>_xlfn.XLOOKUP(tblSales[[#This Row],[Product Code]],tblProducts[Code],tblProducts[Product / Service Name],"⚠ Unknown")</f>
        <v>Premium Basic T-shirt</v>
      </c>
      <c r="H10" s="1" t="str">
        <f>_xlfn.XLOOKUP(tblSales[[#This Row],[Product Code]],tblProducts[Code],tblProducts[Category],"")</f>
        <v>Accessories &amp; Basics</v>
      </c>
      <c r="I10" s="4">
        <v>96</v>
      </c>
      <c r="J10" s="5">
        <f>_xlfn.XLOOKUP(tblSales[[#This Row],[Product Code]],tblProducts[Code],tblProducts[Selling Price (excl. VAT)],0)</f>
        <v>65000</v>
      </c>
      <c r="K10" s="5">
        <f>tblSales[[#This Row],[Qty]]*tblSales[[#This Row],[Unit Price]]</f>
        <v>6240000</v>
      </c>
      <c r="L10" s="5">
        <f>ROUND(tblSales[[#This Row],[DPP (excl. VAT)]]*VATEff,0)</f>
        <v>686400</v>
      </c>
      <c r="M10" s="5">
        <f>tblSales[[#This Row],[DPP (excl. VAT)]]+tblSales[[#This Row],[Output VAT]]</f>
        <v>6926400</v>
      </c>
      <c r="N10" s="5">
        <f>tblSales[[#This Row],[Qty]]*_xlfn.XLOOKUP(tblSales[[#This Row],[Product Code]],tblProducts[Code],tblProducts[Unit Cost],0)</f>
        <v>3552000</v>
      </c>
      <c r="O10" s="4" t="s">
        <v>4867</v>
      </c>
      <c r="P10" s="4" t="s">
        <v>4860</v>
      </c>
      <c r="Q10" s="1" t="str">
        <f>_xlfn.XLOOKUP(tblSales[[#This Row],[Channel Code]],tblChannels[Channel Code],tblChannels[Channel Name],"")</f>
        <v>In-store</v>
      </c>
      <c r="R10" s="1">
        <f>MONTH(tblSales[[#This Row],[Date]])</f>
        <v>1</v>
      </c>
    </row>
    <row r="11" spans="1:60" x14ac:dyDescent="0.35">
      <c r="B11" s="113">
        <v>46023</v>
      </c>
      <c r="C11" s="4" t="s">
        <v>41</v>
      </c>
      <c r="D11" s="4" t="s">
        <v>4593</v>
      </c>
      <c r="E11" s="1" t="str">
        <f>_xlfn.XLOOKUP(tblSales[[#This Row],[Customer ID]],tblCustomers[Customer ID],tblCustomers[Customer Name],"⚠ Unknown")</f>
        <v>PT Graha Nusa Persada</v>
      </c>
      <c r="F11" s="4" t="s">
        <v>8</v>
      </c>
      <c r="G11" s="1" t="str">
        <f>_xlfn.XLOOKUP(tblSales[[#This Row],[Product Code]],tblProducts[Code],tblProducts[Product / Service Name],"⚠ Unknown")</f>
        <v>Casual Shorts</v>
      </c>
      <c r="H11" s="1" t="str">
        <f>_xlfn.XLOOKUP(tblSales[[#This Row],[Product Code]],tblProducts[Code],tblProducts[Category],"")</f>
        <v>Accessories &amp; Basics</v>
      </c>
      <c r="I11" s="4">
        <v>80</v>
      </c>
      <c r="J11" s="5">
        <f>_xlfn.XLOOKUP(tblSales[[#This Row],[Product Code]],tblProducts[Code],tblProducts[Selling Price (excl. VAT)],0)</f>
        <v>85000</v>
      </c>
      <c r="K11" s="5">
        <f>tblSales[[#This Row],[Qty]]*tblSales[[#This Row],[Unit Price]]</f>
        <v>6800000</v>
      </c>
      <c r="L11" s="5">
        <f>ROUND(tblSales[[#This Row],[DPP (excl. VAT)]]*VATEff,0)</f>
        <v>748000</v>
      </c>
      <c r="M11" s="5">
        <f>tblSales[[#This Row],[DPP (excl. VAT)]]+tblSales[[#This Row],[Output VAT]]</f>
        <v>7548000</v>
      </c>
      <c r="N11" s="5">
        <f>tblSales[[#This Row],[Qty]]*_xlfn.XLOOKUP(tblSales[[#This Row],[Product Code]],tblProducts[Code],tblProducts[Unit Cost],0)</f>
        <v>4000000</v>
      </c>
      <c r="O11" s="4" t="s">
        <v>4867</v>
      </c>
      <c r="P11" s="4" t="s">
        <v>4860</v>
      </c>
      <c r="Q11" s="1" t="str">
        <f>_xlfn.XLOOKUP(tblSales[[#This Row],[Channel Code]],tblChannels[Channel Code],tblChannels[Channel Name],"")</f>
        <v>In-store</v>
      </c>
      <c r="R11" s="1">
        <f>MONTH(tblSales[[#This Row],[Date]])</f>
        <v>1</v>
      </c>
    </row>
    <row r="12" spans="1:60" x14ac:dyDescent="0.35">
      <c r="B12" s="113">
        <v>46023</v>
      </c>
      <c r="C12" s="4" t="s">
        <v>42</v>
      </c>
      <c r="D12" s="4" t="s">
        <v>4568</v>
      </c>
      <c r="E12" s="1" t="str">
        <f>_xlfn.XLOOKUP(tblSales[[#This Row],[Customer ID]],tblCustomers[Customer ID],tblCustomers[Customer Name],"⚠ Unknown")</f>
        <v>Walk-in Customer</v>
      </c>
      <c r="F12" s="4" t="s">
        <v>11</v>
      </c>
      <c r="G12" s="1" t="str">
        <f>_xlfn.XLOOKUP(tblSales[[#This Row],[Product Code]],tblProducts[Code],tblProducts[Product / Service Name],"⚠ Unknown")</f>
        <v>Sneakers</v>
      </c>
      <c r="H12" s="1" t="str">
        <f>_xlfn.XLOOKUP(tblSales[[#This Row],[Product Code]],tblProducts[Code],tblProducts[Category],"")</f>
        <v>Apparel &amp; Footwear</v>
      </c>
      <c r="I12" s="4">
        <v>3</v>
      </c>
      <c r="J12" s="5">
        <f>_xlfn.XLOOKUP(tblSales[[#This Row],[Product Code]],tblProducts[Code],tblProducts[Selling Price (excl. VAT)],0)</f>
        <v>250000</v>
      </c>
      <c r="K12" s="5">
        <f>tblSales[[#This Row],[Qty]]*tblSales[[#This Row],[Unit Price]]</f>
        <v>750000</v>
      </c>
      <c r="L12" s="5">
        <f>ROUND(tblSales[[#This Row],[DPP (excl. VAT)]]*VATEff,0)</f>
        <v>82500</v>
      </c>
      <c r="M12" s="5">
        <f>tblSales[[#This Row],[DPP (excl. VAT)]]+tblSales[[#This Row],[Output VAT]]</f>
        <v>832500</v>
      </c>
      <c r="N12" s="5">
        <f>tblSales[[#This Row],[Qty]]*_xlfn.XLOOKUP(tblSales[[#This Row],[Product Code]],tblProducts[Code],tblProducts[Unit Cost],0)</f>
        <v>465000</v>
      </c>
      <c r="O12" s="4" t="s">
        <v>4865</v>
      </c>
      <c r="P12" s="4" t="s">
        <v>4860</v>
      </c>
      <c r="Q12" s="1" t="str">
        <f>_xlfn.XLOOKUP(tblSales[[#This Row],[Channel Code]],tblChannels[Channel Code],tblChannels[Channel Name],"")</f>
        <v>In-store</v>
      </c>
      <c r="R12" s="1">
        <f>MONTH(tblSales[[#This Row],[Date]])</f>
        <v>1</v>
      </c>
    </row>
    <row r="13" spans="1:60" x14ac:dyDescent="0.35">
      <c r="B13" s="113">
        <v>46023</v>
      </c>
      <c r="C13" s="4" t="s">
        <v>43</v>
      </c>
      <c r="D13" s="4" t="s">
        <v>4568</v>
      </c>
      <c r="E13" s="1" t="str">
        <f>_xlfn.XLOOKUP(tblSales[[#This Row],[Customer ID]],tblCustomers[Customer ID],tblCustomers[Customer Name],"⚠ Unknown")</f>
        <v>Walk-in Customer</v>
      </c>
      <c r="F13" s="4" t="s">
        <v>7</v>
      </c>
      <c r="G13" s="1" t="str">
        <f>_xlfn.XLOOKUP(tblSales[[#This Row],[Product Code]],tblProducts[Code],tblProducts[Product / Service Name],"⚠ Unknown")</f>
        <v>Premium Basic T-shirt</v>
      </c>
      <c r="H13" s="1" t="str">
        <f>_xlfn.XLOOKUP(tblSales[[#This Row],[Product Code]],tblProducts[Code],tblProducts[Category],"")</f>
        <v>Accessories &amp; Basics</v>
      </c>
      <c r="I13" s="4">
        <v>4</v>
      </c>
      <c r="J13" s="5">
        <f>_xlfn.XLOOKUP(tblSales[[#This Row],[Product Code]],tblProducts[Code],tblProducts[Selling Price (excl. VAT)],0)</f>
        <v>65000</v>
      </c>
      <c r="K13" s="5">
        <f>tblSales[[#This Row],[Qty]]*tblSales[[#This Row],[Unit Price]]</f>
        <v>260000</v>
      </c>
      <c r="L13" s="5">
        <f>ROUND(tblSales[[#This Row],[DPP (excl. VAT)]]*VATEff,0)</f>
        <v>28600</v>
      </c>
      <c r="M13" s="5">
        <f>tblSales[[#This Row],[DPP (excl. VAT)]]+tblSales[[#This Row],[Output VAT]]</f>
        <v>288600</v>
      </c>
      <c r="N13" s="5">
        <f>tblSales[[#This Row],[Qty]]*_xlfn.XLOOKUP(tblSales[[#This Row],[Product Code]],tblProducts[Code],tblProducts[Unit Cost],0)</f>
        <v>148000</v>
      </c>
      <c r="O13" s="4" t="s">
        <v>4865</v>
      </c>
      <c r="P13" s="4" t="s">
        <v>4860</v>
      </c>
      <c r="Q13" s="1" t="str">
        <f>_xlfn.XLOOKUP(tblSales[[#This Row],[Channel Code]],tblChannels[Channel Code],tblChannels[Channel Name],"")</f>
        <v>In-store</v>
      </c>
      <c r="R13" s="1">
        <f>MONTH(tblSales[[#This Row],[Date]])</f>
        <v>1</v>
      </c>
    </row>
    <row r="14" spans="1:60" x14ac:dyDescent="0.35">
      <c r="B14" s="113">
        <v>46023</v>
      </c>
      <c r="C14" s="4" t="s">
        <v>44</v>
      </c>
      <c r="D14" s="4" t="s">
        <v>4568</v>
      </c>
      <c r="E14" s="1" t="str">
        <f>_xlfn.XLOOKUP(tblSales[[#This Row],[Customer ID]],tblCustomers[Customer ID],tblCustomers[Customer Name],"⚠ Unknown")</f>
        <v>Walk-in Customer</v>
      </c>
      <c r="F14" s="4" t="s">
        <v>8</v>
      </c>
      <c r="G14" s="1" t="str">
        <f>_xlfn.XLOOKUP(tblSales[[#This Row],[Product Code]],tblProducts[Code],tblProducts[Product / Service Name],"⚠ Unknown")</f>
        <v>Casual Shorts</v>
      </c>
      <c r="H14" s="1" t="str">
        <f>_xlfn.XLOOKUP(tblSales[[#This Row],[Product Code]],tblProducts[Code],tblProducts[Category],"")</f>
        <v>Accessories &amp; Basics</v>
      </c>
      <c r="I14" s="4">
        <v>7</v>
      </c>
      <c r="J14" s="5">
        <f>_xlfn.XLOOKUP(tblSales[[#This Row],[Product Code]],tblProducts[Code],tblProducts[Selling Price (excl. VAT)],0)</f>
        <v>85000</v>
      </c>
      <c r="K14" s="5">
        <f>tblSales[[#This Row],[Qty]]*tblSales[[#This Row],[Unit Price]]</f>
        <v>595000</v>
      </c>
      <c r="L14" s="5">
        <f>ROUND(tblSales[[#This Row],[DPP (excl. VAT)]]*VATEff,0)</f>
        <v>65450</v>
      </c>
      <c r="M14" s="5">
        <f>tblSales[[#This Row],[DPP (excl. VAT)]]+tblSales[[#This Row],[Output VAT]]</f>
        <v>660450</v>
      </c>
      <c r="N14" s="5">
        <f>tblSales[[#This Row],[Qty]]*_xlfn.XLOOKUP(tblSales[[#This Row],[Product Code]],tblProducts[Code],tblProducts[Unit Cost],0)</f>
        <v>350000</v>
      </c>
      <c r="O14" s="4" t="s">
        <v>4865</v>
      </c>
      <c r="P14" s="4" t="s">
        <v>4860</v>
      </c>
      <c r="Q14" s="1" t="str">
        <f>_xlfn.XLOOKUP(tblSales[[#This Row],[Channel Code]],tblChannels[Channel Code],tblChannels[Channel Name],"")</f>
        <v>In-store</v>
      </c>
      <c r="R14" s="1">
        <f>MONTH(tblSales[[#This Row],[Date]])</f>
        <v>1</v>
      </c>
    </row>
    <row r="15" spans="1:60" x14ac:dyDescent="0.35">
      <c r="B15" s="113">
        <v>46023</v>
      </c>
      <c r="C15" s="4" t="s">
        <v>45</v>
      </c>
      <c r="D15" s="4" t="s">
        <v>4572</v>
      </c>
      <c r="E15" s="1" t="str">
        <f>_xlfn.XLOOKUP(tblSales[[#This Row],[Customer ID]],tblCustomers[Customer ID],tblCustomers[Customer Name],"⚠ Unknown")</f>
        <v>PT Cahaya Abadi Makmur</v>
      </c>
      <c r="F15" s="4" t="s">
        <v>8</v>
      </c>
      <c r="G15" s="1" t="str">
        <f>_xlfn.XLOOKUP(tblSales[[#This Row],[Product Code]],tblProducts[Code],tblProducts[Product / Service Name],"⚠ Unknown")</f>
        <v>Casual Shorts</v>
      </c>
      <c r="H15" s="1" t="str">
        <f>_xlfn.XLOOKUP(tblSales[[#This Row],[Product Code]],tblProducts[Code],tblProducts[Category],"")</f>
        <v>Accessories &amp; Basics</v>
      </c>
      <c r="I15" s="4">
        <v>32</v>
      </c>
      <c r="J15" s="5">
        <f>_xlfn.XLOOKUP(tblSales[[#This Row],[Product Code]],tblProducts[Code],tblProducts[Selling Price (excl. VAT)],0)</f>
        <v>85000</v>
      </c>
      <c r="K15" s="5">
        <f>tblSales[[#This Row],[Qty]]*tblSales[[#This Row],[Unit Price]]</f>
        <v>2720000</v>
      </c>
      <c r="L15" s="5">
        <f>ROUND(tblSales[[#This Row],[DPP (excl. VAT)]]*VATEff,0)</f>
        <v>299200</v>
      </c>
      <c r="M15" s="5">
        <f>tblSales[[#This Row],[DPP (excl. VAT)]]+tblSales[[#This Row],[Output VAT]]</f>
        <v>3019200</v>
      </c>
      <c r="N15" s="5">
        <f>tblSales[[#This Row],[Qty]]*_xlfn.XLOOKUP(tblSales[[#This Row],[Product Code]],tblProducts[Code],tblProducts[Unit Cost],0)</f>
        <v>1600000</v>
      </c>
      <c r="O15" s="4" t="s">
        <v>4867</v>
      </c>
      <c r="P15" s="4" t="s">
        <v>4860</v>
      </c>
      <c r="Q15" s="1" t="str">
        <f>_xlfn.XLOOKUP(tblSales[[#This Row],[Channel Code]],tblChannels[Channel Code],tblChannels[Channel Name],"")</f>
        <v>In-store</v>
      </c>
      <c r="R15" s="1">
        <f>MONTH(tblSales[[#This Row],[Date]])</f>
        <v>1</v>
      </c>
    </row>
    <row r="16" spans="1:60" x14ac:dyDescent="0.35">
      <c r="B16" s="113">
        <v>46023</v>
      </c>
      <c r="C16" s="4" t="s">
        <v>45</v>
      </c>
      <c r="D16" s="4" t="s">
        <v>4572</v>
      </c>
      <c r="E16" s="1" t="str">
        <f>_xlfn.XLOOKUP(tblSales[[#This Row],[Customer ID]],tblCustomers[Customer ID],tblCustomers[Customer Name],"⚠ Unknown")</f>
        <v>PT Cahaya Abadi Makmur</v>
      </c>
      <c r="F16" s="4" t="s">
        <v>6</v>
      </c>
      <c r="G16" s="1" t="str">
        <f>_xlfn.XLOOKUP(tblSales[[#This Row],[Product Code]],tblProducts[Code],tblProducts[Product / Service Name],"⚠ Unknown")</f>
        <v>Socks &amp; Accessories</v>
      </c>
      <c r="H16" s="1" t="str">
        <f>_xlfn.XLOOKUP(tblSales[[#This Row],[Product Code]],tblProducts[Code],tblProducts[Category],"")</f>
        <v>Accessories &amp; Basics</v>
      </c>
      <c r="I16" s="4">
        <v>16</v>
      </c>
      <c r="J16" s="5">
        <f>_xlfn.XLOOKUP(tblSales[[#This Row],[Product Code]],tblProducts[Code],tblProducts[Selling Price (excl. VAT)],0)</f>
        <v>45000</v>
      </c>
      <c r="K16" s="5">
        <f>tblSales[[#This Row],[Qty]]*tblSales[[#This Row],[Unit Price]]</f>
        <v>720000</v>
      </c>
      <c r="L16" s="5">
        <f>ROUND(tblSales[[#This Row],[DPP (excl. VAT)]]*VATEff,0)</f>
        <v>79200</v>
      </c>
      <c r="M16" s="5">
        <f>tblSales[[#This Row],[DPP (excl. VAT)]]+tblSales[[#This Row],[Output VAT]]</f>
        <v>799200</v>
      </c>
      <c r="N16" s="5">
        <f>tblSales[[#This Row],[Qty]]*_xlfn.XLOOKUP(tblSales[[#This Row],[Product Code]],tblProducts[Code],tblProducts[Unit Cost],0)</f>
        <v>384000</v>
      </c>
      <c r="O16" s="4" t="s">
        <v>4867</v>
      </c>
      <c r="P16" s="4" t="s">
        <v>4860</v>
      </c>
      <c r="Q16" s="1" t="str">
        <f>_xlfn.XLOOKUP(tblSales[[#This Row],[Channel Code]],tblChannels[Channel Code],tblChannels[Channel Name],"")</f>
        <v>In-store</v>
      </c>
      <c r="R16" s="1">
        <f>MONTH(tblSales[[#This Row],[Date]])</f>
        <v>1</v>
      </c>
    </row>
    <row r="17" spans="2:18" x14ac:dyDescent="0.35">
      <c r="B17" s="113">
        <v>46023</v>
      </c>
      <c r="C17" s="4" t="s">
        <v>46</v>
      </c>
      <c r="D17" s="4" t="s">
        <v>4568</v>
      </c>
      <c r="E17" s="1" t="str">
        <f>_xlfn.XLOOKUP(tblSales[[#This Row],[Customer ID]],tblCustomers[Customer ID],tblCustomers[Customer Name],"⚠ Unknown")</f>
        <v>Walk-in Customer</v>
      </c>
      <c r="F17" s="4" t="s">
        <v>13</v>
      </c>
      <c r="G17" s="1" t="str">
        <f>_xlfn.XLOOKUP(tblSales[[#This Row],[Product Code]],tblProducts[Code],tblProducts[Product / Service Name],"⚠ Unknown")</f>
        <v>Backpack</v>
      </c>
      <c r="H17" s="1" t="str">
        <f>_xlfn.XLOOKUP(tblSales[[#This Row],[Product Code]],tblProducts[Code],tblProducts[Category],"")</f>
        <v>Bags &amp; Gadgets</v>
      </c>
      <c r="I17" s="4">
        <v>1</v>
      </c>
      <c r="J17" s="5">
        <f>_xlfn.XLOOKUP(tblSales[[#This Row],[Product Code]],tblProducts[Code],tblProducts[Selling Price (excl. VAT)],0)</f>
        <v>500000</v>
      </c>
      <c r="K17" s="5">
        <f>tblSales[[#This Row],[Qty]]*tblSales[[#This Row],[Unit Price]]</f>
        <v>500000</v>
      </c>
      <c r="L17" s="5">
        <f>ROUND(tblSales[[#This Row],[DPP (excl. VAT)]]*VATEff,0)</f>
        <v>55000</v>
      </c>
      <c r="M17" s="5">
        <f>tblSales[[#This Row],[DPP (excl. VAT)]]+tblSales[[#This Row],[Output VAT]]</f>
        <v>555000</v>
      </c>
      <c r="N17" s="5">
        <f>tblSales[[#This Row],[Qty]]*_xlfn.XLOOKUP(tblSales[[#This Row],[Product Code]],tblProducts[Code],tblProducts[Unit Cost],0)</f>
        <v>290000</v>
      </c>
      <c r="O17" s="4" t="s">
        <v>4865</v>
      </c>
      <c r="P17" s="4" t="s">
        <v>4860</v>
      </c>
      <c r="Q17" s="1" t="str">
        <f>_xlfn.XLOOKUP(tblSales[[#This Row],[Channel Code]],tblChannels[Channel Code],tblChannels[Channel Name],"")</f>
        <v>In-store</v>
      </c>
      <c r="R17" s="1">
        <f>MONTH(tblSales[[#This Row],[Date]])</f>
        <v>1</v>
      </c>
    </row>
    <row r="18" spans="2:18" x14ac:dyDescent="0.35">
      <c r="B18" s="113">
        <v>46023</v>
      </c>
      <c r="C18" s="4" t="s">
        <v>47</v>
      </c>
      <c r="D18" s="4" t="s">
        <v>4568</v>
      </c>
      <c r="E18" s="1" t="str">
        <f>_xlfn.XLOOKUP(tblSales[[#This Row],[Customer ID]],tblCustomers[Customer ID],tblCustomers[Customer Name],"⚠ Unknown")</f>
        <v>Walk-in Customer</v>
      </c>
      <c r="F18" s="4" t="s">
        <v>6</v>
      </c>
      <c r="G18" s="1" t="str">
        <f>_xlfn.XLOOKUP(tblSales[[#This Row],[Product Code]],tblProducts[Code],tblProducts[Product / Service Name],"⚠ Unknown")</f>
        <v>Socks &amp; Accessories</v>
      </c>
      <c r="H18" s="1" t="str">
        <f>_xlfn.XLOOKUP(tblSales[[#This Row],[Product Code]],tblProducts[Code],tblProducts[Category],"")</f>
        <v>Accessories &amp; Basics</v>
      </c>
      <c r="I18" s="4">
        <v>3</v>
      </c>
      <c r="J18" s="5">
        <f>_xlfn.XLOOKUP(tblSales[[#This Row],[Product Code]],tblProducts[Code],tblProducts[Selling Price (excl. VAT)],0)</f>
        <v>45000</v>
      </c>
      <c r="K18" s="5">
        <f>tblSales[[#This Row],[Qty]]*tblSales[[#This Row],[Unit Price]]</f>
        <v>135000</v>
      </c>
      <c r="L18" s="5">
        <f>ROUND(tblSales[[#This Row],[DPP (excl. VAT)]]*VATEff,0)</f>
        <v>14850</v>
      </c>
      <c r="M18" s="5">
        <f>tblSales[[#This Row],[DPP (excl. VAT)]]+tblSales[[#This Row],[Output VAT]]</f>
        <v>149850</v>
      </c>
      <c r="N18" s="5">
        <f>tblSales[[#This Row],[Qty]]*_xlfn.XLOOKUP(tblSales[[#This Row],[Product Code]],tblProducts[Code],tblProducts[Unit Cost],0)</f>
        <v>72000</v>
      </c>
      <c r="O18" s="4" t="s">
        <v>4865</v>
      </c>
      <c r="P18" s="4" t="s">
        <v>4860</v>
      </c>
      <c r="Q18" s="1" t="str">
        <f>_xlfn.XLOOKUP(tblSales[[#This Row],[Channel Code]],tblChannels[Channel Code],tblChannels[Channel Name],"")</f>
        <v>In-store</v>
      </c>
      <c r="R18" s="1">
        <f>MONTH(tblSales[[#This Row],[Date]])</f>
        <v>1</v>
      </c>
    </row>
    <row r="19" spans="2:18" x14ac:dyDescent="0.35">
      <c r="B19" s="113">
        <v>46024</v>
      </c>
      <c r="C19" s="4" t="s">
        <v>48</v>
      </c>
      <c r="D19" s="4" t="s">
        <v>4585</v>
      </c>
      <c r="E19" s="1" t="str">
        <f>_xlfn.XLOOKUP(tblSales[[#This Row],[Customer ID]],tblCustomers[Customer ID],tblCustomers[Customer Name],"⚠ Unknown")</f>
        <v>CV Mitra Karya Mandiri</v>
      </c>
      <c r="F19" s="4" t="s">
        <v>8</v>
      </c>
      <c r="G19" s="1" t="str">
        <f>_xlfn.XLOOKUP(tblSales[[#This Row],[Product Code]],tblProducts[Code],tblProducts[Product / Service Name],"⚠ Unknown")</f>
        <v>Casual Shorts</v>
      </c>
      <c r="H19" s="1" t="str">
        <f>_xlfn.XLOOKUP(tblSales[[#This Row],[Product Code]],tblProducts[Code],tblProducts[Category],"")</f>
        <v>Accessories &amp; Basics</v>
      </c>
      <c r="I19" s="4">
        <v>48</v>
      </c>
      <c r="J19" s="5">
        <f>_xlfn.XLOOKUP(tblSales[[#This Row],[Product Code]],tblProducts[Code],tblProducts[Selling Price (excl. VAT)],0)</f>
        <v>85000</v>
      </c>
      <c r="K19" s="5">
        <f>tblSales[[#This Row],[Qty]]*tblSales[[#This Row],[Unit Price]]</f>
        <v>4080000</v>
      </c>
      <c r="L19" s="5">
        <f>ROUND(tblSales[[#This Row],[DPP (excl. VAT)]]*VATEff,0)</f>
        <v>448800</v>
      </c>
      <c r="M19" s="5">
        <f>tblSales[[#This Row],[DPP (excl. VAT)]]+tblSales[[#This Row],[Output VAT]]</f>
        <v>4528800</v>
      </c>
      <c r="N19" s="5">
        <f>tblSales[[#This Row],[Qty]]*_xlfn.XLOOKUP(tblSales[[#This Row],[Product Code]],tblProducts[Code],tblProducts[Unit Cost],0)</f>
        <v>2400000</v>
      </c>
      <c r="O19" s="4" t="s">
        <v>4867</v>
      </c>
      <c r="P19" s="4" t="s">
        <v>4860</v>
      </c>
      <c r="Q19" s="1" t="str">
        <f>_xlfn.XLOOKUP(tblSales[[#This Row],[Channel Code]],tblChannels[Channel Code],tblChannels[Channel Name],"")</f>
        <v>In-store</v>
      </c>
      <c r="R19" s="1">
        <f>MONTH(tblSales[[#This Row],[Date]])</f>
        <v>1</v>
      </c>
    </row>
    <row r="20" spans="2:18" x14ac:dyDescent="0.35">
      <c r="B20" s="113">
        <v>46024</v>
      </c>
      <c r="C20" s="4" t="s">
        <v>48</v>
      </c>
      <c r="D20" s="4" t="s">
        <v>4585</v>
      </c>
      <c r="E20" s="1" t="str">
        <f>_xlfn.XLOOKUP(tblSales[[#This Row],[Customer ID]],tblCustomers[Customer ID],tblCustomers[Customer Name],"⚠ Unknown")</f>
        <v>CV Mitra Karya Mandiri</v>
      </c>
      <c r="F20" s="4" t="s">
        <v>6</v>
      </c>
      <c r="G20" s="1" t="str">
        <f>_xlfn.XLOOKUP(tblSales[[#This Row],[Product Code]],tblProducts[Code],tblProducts[Product / Service Name],"⚠ Unknown")</f>
        <v>Socks &amp; Accessories</v>
      </c>
      <c r="H20" s="1" t="str">
        <f>_xlfn.XLOOKUP(tblSales[[#This Row],[Product Code]],tblProducts[Code],tblProducts[Category],"")</f>
        <v>Accessories &amp; Basics</v>
      </c>
      <c r="I20" s="4">
        <v>16</v>
      </c>
      <c r="J20" s="5">
        <f>_xlfn.XLOOKUP(tblSales[[#This Row],[Product Code]],tblProducts[Code],tblProducts[Selling Price (excl. VAT)],0)</f>
        <v>45000</v>
      </c>
      <c r="K20" s="5">
        <f>tblSales[[#This Row],[Qty]]*tblSales[[#This Row],[Unit Price]]</f>
        <v>720000</v>
      </c>
      <c r="L20" s="5">
        <f>ROUND(tblSales[[#This Row],[DPP (excl. VAT)]]*VATEff,0)</f>
        <v>79200</v>
      </c>
      <c r="M20" s="5">
        <f>tblSales[[#This Row],[DPP (excl. VAT)]]+tblSales[[#This Row],[Output VAT]]</f>
        <v>799200</v>
      </c>
      <c r="N20" s="5">
        <f>tblSales[[#This Row],[Qty]]*_xlfn.XLOOKUP(tblSales[[#This Row],[Product Code]],tblProducts[Code],tblProducts[Unit Cost],0)</f>
        <v>384000</v>
      </c>
      <c r="O20" s="4" t="s">
        <v>4867</v>
      </c>
      <c r="P20" s="4" t="s">
        <v>4860</v>
      </c>
      <c r="Q20" s="1" t="str">
        <f>_xlfn.XLOOKUP(tblSales[[#This Row],[Channel Code]],tblChannels[Channel Code],tblChannels[Channel Name],"")</f>
        <v>In-store</v>
      </c>
      <c r="R20" s="1">
        <f>MONTH(tblSales[[#This Row],[Date]])</f>
        <v>1</v>
      </c>
    </row>
    <row r="21" spans="2:18" x14ac:dyDescent="0.35">
      <c r="B21" s="113">
        <v>46024</v>
      </c>
      <c r="C21" s="4" t="s">
        <v>49</v>
      </c>
      <c r="D21" s="4" t="s">
        <v>4568</v>
      </c>
      <c r="E21" s="1" t="str">
        <f>_xlfn.XLOOKUP(tblSales[[#This Row],[Customer ID]],tblCustomers[Customer ID],tblCustomers[Customer Name],"⚠ Unknown")</f>
        <v>Walk-in Customer</v>
      </c>
      <c r="F21" s="4" t="s">
        <v>15</v>
      </c>
      <c r="G21" s="1" t="str">
        <f>_xlfn.XLOOKUP(tblSales[[#This Row],[Product Code]],tblProducts[Code],tblProducts[Product / Service Name],"⚠ Unknown")</f>
        <v>Wireless Earbuds Pro</v>
      </c>
      <c r="H21" s="1" t="str">
        <f>_xlfn.XLOOKUP(tblSales[[#This Row],[Product Code]],tblProducts[Code],tblProducts[Category],"")</f>
        <v>Bags &amp; Gadgets</v>
      </c>
      <c r="I21" s="4">
        <v>2</v>
      </c>
      <c r="J21" s="5">
        <f>_xlfn.XLOOKUP(tblSales[[#This Row],[Product Code]],tblProducts[Code],tblProducts[Selling Price (excl. VAT)],0)</f>
        <v>1250000</v>
      </c>
      <c r="K21" s="5">
        <f>tblSales[[#This Row],[Qty]]*tblSales[[#This Row],[Unit Price]]</f>
        <v>2500000</v>
      </c>
      <c r="L21" s="5">
        <f>ROUND(tblSales[[#This Row],[DPP (excl. VAT)]]*VATEff,0)</f>
        <v>275000</v>
      </c>
      <c r="M21" s="5">
        <f>tblSales[[#This Row],[DPP (excl. VAT)]]+tblSales[[#This Row],[Output VAT]]</f>
        <v>2775000</v>
      </c>
      <c r="N21" s="5">
        <f>tblSales[[#This Row],[Qty]]*_xlfn.XLOOKUP(tblSales[[#This Row],[Product Code]],tblProducts[Code],tblProducts[Unit Cost],0)</f>
        <v>1640000</v>
      </c>
      <c r="O21" s="4" t="s">
        <v>4866</v>
      </c>
      <c r="P21" s="4" t="s">
        <v>4862</v>
      </c>
      <c r="Q21" s="1" t="str">
        <f>_xlfn.XLOOKUP(tblSales[[#This Row],[Channel Code]],tblChannels[Channel Code],tblChannels[Channel Name],"")</f>
        <v>Website &amp; Social Media</v>
      </c>
      <c r="R21" s="1">
        <f>MONTH(tblSales[[#This Row],[Date]])</f>
        <v>1</v>
      </c>
    </row>
    <row r="22" spans="2:18" x14ac:dyDescent="0.35">
      <c r="B22" s="113">
        <v>46024</v>
      </c>
      <c r="C22" s="4" t="s">
        <v>50</v>
      </c>
      <c r="D22" s="4" t="s">
        <v>4568</v>
      </c>
      <c r="E22" s="1" t="str">
        <f>_xlfn.XLOOKUP(tblSales[[#This Row],[Customer ID]],tblCustomers[Customer ID],tblCustomers[Customer Name],"⚠ Unknown")</f>
        <v>Walk-in Customer</v>
      </c>
      <c r="F22" s="4" t="s">
        <v>10</v>
      </c>
      <c r="G22" s="1" t="str">
        <f>_xlfn.XLOOKUP(tblSales[[#This Row],[Product Code]],tblProducts[Code],tblProducts[Product / Service Name],"⚠ Unknown")</f>
        <v>Chino Pants</v>
      </c>
      <c r="H22" s="1" t="str">
        <f>_xlfn.XLOOKUP(tblSales[[#This Row],[Product Code]],tblProducts[Code],tblProducts[Category],"")</f>
        <v>Apparel &amp; Footwear</v>
      </c>
      <c r="I22" s="4">
        <v>5</v>
      </c>
      <c r="J22" s="5">
        <f>_xlfn.XLOOKUP(tblSales[[#This Row],[Product Code]],tblProducts[Code],tblProducts[Selling Price (excl. VAT)],0)</f>
        <v>150000</v>
      </c>
      <c r="K22" s="5">
        <f>tblSales[[#This Row],[Qty]]*tblSales[[#This Row],[Unit Price]]</f>
        <v>750000</v>
      </c>
      <c r="L22" s="5">
        <f>ROUND(tblSales[[#This Row],[DPP (excl. VAT)]]*VATEff,0)</f>
        <v>82500</v>
      </c>
      <c r="M22" s="5">
        <f>tblSales[[#This Row],[DPP (excl. VAT)]]+tblSales[[#This Row],[Output VAT]]</f>
        <v>832500</v>
      </c>
      <c r="N22" s="5">
        <f>tblSales[[#This Row],[Qty]]*_xlfn.XLOOKUP(tblSales[[#This Row],[Product Code]],tblProducts[Code],tblProducts[Unit Cost],0)</f>
        <v>440000</v>
      </c>
      <c r="O22" s="4" t="s">
        <v>4866</v>
      </c>
      <c r="P22" s="4" t="s">
        <v>4861</v>
      </c>
      <c r="Q22" s="1" t="str">
        <f>_xlfn.XLOOKUP(tblSales[[#This Row],[Channel Code]],tblChannels[Channel Code],tblChannels[Channel Name],"")</f>
        <v>Marketplace</v>
      </c>
      <c r="R22" s="1">
        <f>MONTH(tblSales[[#This Row],[Date]])</f>
        <v>1</v>
      </c>
    </row>
    <row r="23" spans="2:18" x14ac:dyDescent="0.35">
      <c r="B23" s="113">
        <v>46024</v>
      </c>
      <c r="C23" s="4" t="s">
        <v>50</v>
      </c>
      <c r="D23" s="4" t="s">
        <v>4568</v>
      </c>
      <c r="E23" s="1" t="str">
        <f>_xlfn.XLOOKUP(tblSales[[#This Row],[Customer ID]],tblCustomers[Customer ID],tblCustomers[Customer Name],"⚠ Unknown")</f>
        <v>Walk-in Customer</v>
      </c>
      <c r="F23" s="4" t="s">
        <v>13</v>
      </c>
      <c r="G23" s="1" t="str">
        <f>_xlfn.XLOOKUP(tblSales[[#This Row],[Product Code]],tblProducts[Code],tblProducts[Product / Service Name],"⚠ Unknown")</f>
        <v>Backpack</v>
      </c>
      <c r="H23" s="1" t="str">
        <f>_xlfn.XLOOKUP(tblSales[[#This Row],[Product Code]],tblProducts[Code],tblProducts[Category],"")</f>
        <v>Bags &amp; Gadgets</v>
      </c>
      <c r="I23" s="4">
        <v>1</v>
      </c>
      <c r="J23" s="5">
        <f>_xlfn.XLOOKUP(tblSales[[#This Row],[Product Code]],tblProducts[Code],tblProducts[Selling Price (excl. VAT)],0)</f>
        <v>500000</v>
      </c>
      <c r="K23" s="5">
        <f>tblSales[[#This Row],[Qty]]*tblSales[[#This Row],[Unit Price]]</f>
        <v>500000</v>
      </c>
      <c r="L23" s="5">
        <f>ROUND(tblSales[[#This Row],[DPP (excl. VAT)]]*VATEff,0)</f>
        <v>55000</v>
      </c>
      <c r="M23" s="5">
        <f>tblSales[[#This Row],[DPP (excl. VAT)]]+tblSales[[#This Row],[Output VAT]]</f>
        <v>555000</v>
      </c>
      <c r="N23" s="5">
        <f>tblSales[[#This Row],[Qty]]*_xlfn.XLOOKUP(tblSales[[#This Row],[Product Code]],tblProducts[Code],tblProducts[Unit Cost],0)</f>
        <v>290000</v>
      </c>
      <c r="O23" s="4" t="s">
        <v>4866</v>
      </c>
      <c r="P23" s="4" t="s">
        <v>4861</v>
      </c>
      <c r="Q23" s="1" t="str">
        <f>_xlfn.XLOOKUP(tblSales[[#This Row],[Channel Code]],tblChannels[Channel Code],tblChannels[Channel Name],"")</f>
        <v>Marketplace</v>
      </c>
      <c r="R23" s="1">
        <f>MONTH(tblSales[[#This Row],[Date]])</f>
        <v>1</v>
      </c>
    </row>
    <row r="24" spans="2:18" x14ac:dyDescent="0.35">
      <c r="B24" s="113">
        <v>46024</v>
      </c>
      <c r="C24" s="4" t="s">
        <v>51</v>
      </c>
      <c r="D24" s="4" t="s">
        <v>4627</v>
      </c>
      <c r="E24" s="1" t="str">
        <f>_xlfn.XLOOKUP(tblSales[[#This Row],[Customer ID]],tblCustomers[Customer ID],tblCustomers[Customer Name],"⚠ Unknown")</f>
        <v>PT Kencana Wira Usaha</v>
      </c>
      <c r="F24" s="4" t="s">
        <v>9</v>
      </c>
      <c r="G24" s="1" t="str">
        <f>_xlfn.XLOOKUP(tblSales[[#This Row],[Product Code]],tblProducts[Code],tblProducts[Product / Service Name],"⚠ Unknown")</f>
        <v>Casual Shirt</v>
      </c>
      <c r="H24" s="1" t="str">
        <f>_xlfn.XLOOKUP(tblSales[[#This Row],[Product Code]],tblProducts[Code],tblProducts[Category],"")</f>
        <v>Apparel &amp; Footwear</v>
      </c>
      <c r="I24" s="4">
        <v>88</v>
      </c>
      <c r="J24" s="5">
        <f>_xlfn.XLOOKUP(tblSales[[#This Row],[Product Code]],tblProducts[Code],tblProducts[Selling Price (excl. VAT)],0)</f>
        <v>120000</v>
      </c>
      <c r="K24" s="5">
        <f>tblSales[[#This Row],[Qty]]*tblSales[[#This Row],[Unit Price]]</f>
        <v>10560000</v>
      </c>
      <c r="L24" s="5">
        <f>ROUND(tblSales[[#This Row],[DPP (excl. VAT)]]*VATEff,0)</f>
        <v>1161600</v>
      </c>
      <c r="M24" s="5">
        <f>tblSales[[#This Row],[DPP (excl. VAT)]]+tblSales[[#This Row],[Output VAT]]</f>
        <v>11721600</v>
      </c>
      <c r="N24" s="5">
        <f>tblSales[[#This Row],[Qty]]*_xlfn.XLOOKUP(tblSales[[#This Row],[Product Code]],tblProducts[Code],tblProducts[Unit Cost],0)</f>
        <v>6336000</v>
      </c>
      <c r="O24" s="4" t="s">
        <v>4867</v>
      </c>
      <c r="P24" s="4" t="s">
        <v>4860</v>
      </c>
      <c r="Q24" s="1" t="str">
        <f>_xlfn.XLOOKUP(tblSales[[#This Row],[Channel Code]],tblChannels[Channel Code],tblChannels[Channel Name],"")</f>
        <v>In-store</v>
      </c>
      <c r="R24" s="1">
        <f>MONTH(tblSales[[#This Row],[Date]])</f>
        <v>1</v>
      </c>
    </row>
    <row r="25" spans="2:18" x14ac:dyDescent="0.35">
      <c r="B25" s="113">
        <v>46024</v>
      </c>
      <c r="C25" s="4" t="s">
        <v>52</v>
      </c>
      <c r="D25" s="4" t="s">
        <v>4568</v>
      </c>
      <c r="E25" s="1" t="str">
        <f>_xlfn.XLOOKUP(tblSales[[#This Row],[Customer ID]],tblCustomers[Customer ID],tblCustomers[Customer Name],"⚠ Unknown")</f>
        <v>Walk-in Customer</v>
      </c>
      <c r="F25" s="4" t="s">
        <v>6</v>
      </c>
      <c r="G25" s="1" t="str">
        <f>_xlfn.XLOOKUP(tblSales[[#This Row],[Product Code]],tblProducts[Code],tblProducts[Product / Service Name],"⚠ Unknown")</f>
        <v>Socks &amp; Accessories</v>
      </c>
      <c r="H25" s="1" t="str">
        <f>_xlfn.XLOOKUP(tblSales[[#This Row],[Product Code]],tblProducts[Code],tblProducts[Category],"")</f>
        <v>Accessories &amp; Basics</v>
      </c>
      <c r="I25" s="4">
        <v>12</v>
      </c>
      <c r="J25" s="5">
        <f>_xlfn.XLOOKUP(tblSales[[#This Row],[Product Code]],tblProducts[Code],tblProducts[Selling Price (excl. VAT)],0)</f>
        <v>45000</v>
      </c>
      <c r="K25" s="5">
        <f>tblSales[[#This Row],[Qty]]*tblSales[[#This Row],[Unit Price]]</f>
        <v>540000</v>
      </c>
      <c r="L25" s="5">
        <f>ROUND(tblSales[[#This Row],[DPP (excl. VAT)]]*VATEff,0)</f>
        <v>59400</v>
      </c>
      <c r="M25" s="5">
        <f>tblSales[[#This Row],[DPP (excl. VAT)]]+tblSales[[#This Row],[Output VAT]]</f>
        <v>599400</v>
      </c>
      <c r="N25" s="5">
        <f>tblSales[[#This Row],[Qty]]*_xlfn.XLOOKUP(tblSales[[#This Row],[Product Code]],tblProducts[Code],tblProducts[Unit Cost],0)</f>
        <v>288000</v>
      </c>
      <c r="O25" s="4" t="s">
        <v>4866</v>
      </c>
      <c r="P25" s="4" t="s">
        <v>4860</v>
      </c>
      <c r="Q25" s="1" t="str">
        <f>_xlfn.XLOOKUP(tblSales[[#This Row],[Channel Code]],tblChannels[Channel Code],tblChannels[Channel Name],"")</f>
        <v>In-store</v>
      </c>
      <c r="R25" s="1">
        <f>MONTH(tblSales[[#This Row],[Date]])</f>
        <v>1</v>
      </c>
    </row>
    <row r="26" spans="2:18" x14ac:dyDescent="0.35">
      <c r="B26" s="113">
        <v>46024</v>
      </c>
      <c r="C26" s="4" t="s">
        <v>53</v>
      </c>
      <c r="D26" s="4" t="s">
        <v>4568</v>
      </c>
      <c r="E26" s="1" t="str">
        <f>_xlfn.XLOOKUP(tblSales[[#This Row],[Customer ID]],tblCustomers[Customer ID],tblCustomers[Customer Name],"⚠ Unknown")</f>
        <v>Walk-in Customer</v>
      </c>
      <c r="F26" s="4" t="s">
        <v>8</v>
      </c>
      <c r="G26" s="1" t="str">
        <f>_xlfn.XLOOKUP(tblSales[[#This Row],[Product Code]],tblProducts[Code],tblProducts[Product / Service Name],"⚠ Unknown")</f>
        <v>Casual Shorts</v>
      </c>
      <c r="H26" s="1" t="str">
        <f>_xlfn.XLOOKUP(tblSales[[#This Row],[Product Code]],tblProducts[Code],tblProducts[Category],"")</f>
        <v>Accessories &amp; Basics</v>
      </c>
      <c r="I26" s="4">
        <v>4</v>
      </c>
      <c r="J26" s="5">
        <f>_xlfn.XLOOKUP(tblSales[[#This Row],[Product Code]],tblProducts[Code],tblProducts[Selling Price (excl. VAT)],0)</f>
        <v>85000</v>
      </c>
      <c r="K26" s="5">
        <f>tblSales[[#This Row],[Qty]]*tblSales[[#This Row],[Unit Price]]</f>
        <v>340000</v>
      </c>
      <c r="L26" s="5">
        <f>ROUND(tblSales[[#This Row],[DPP (excl. VAT)]]*VATEff,0)</f>
        <v>37400</v>
      </c>
      <c r="M26" s="5">
        <f>tblSales[[#This Row],[DPP (excl. VAT)]]+tblSales[[#This Row],[Output VAT]]</f>
        <v>377400</v>
      </c>
      <c r="N26" s="5">
        <f>tblSales[[#This Row],[Qty]]*_xlfn.XLOOKUP(tblSales[[#This Row],[Product Code]],tblProducts[Code],tblProducts[Unit Cost],0)</f>
        <v>200000</v>
      </c>
      <c r="O26" s="4" t="s">
        <v>4866</v>
      </c>
      <c r="P26" s="4" t="s">
        <v>4861</v>
      </c>
      <c r="Q26" s="1" t="str">
        <f>_xlfn.XLOOKUP(tblSales[[#This Row],[Channel Code]],tblChannels[Channel Code],tblChannels[Channel Name],"")</f>
        <v>Marketplace</v>
      </c>
      <c r="R26" s="1">
        <f>MONTH(tblSales[[#This Row],[Date]])</f>
        <v>1</v>
      </c>
    </row>
    <row r="27" spans="2:18" x14ac:dyDescent="0.35">
      <c r="B27" s="113">
        <v>46024</v>
      </c>
      <c r="C27" s="4" t="s">
        <v>54</v>
      </c>
      <c r="D27" s="4" t="s">
        <v>4568</v>
      </c>
      <c r="E27" s="1" t="str">
        <f>_xlfn.XLOOKUP(tblSales[[#This Row],[Customer ID]],tblCustomers[Customer ID],tblCustomers[Customer Name],"⚠ Unknown")</f>
        <v>Walk-in Customer</v>
      </c>
      <c r="F27" s="4" t="s">
        <v>10</v>
      </c>
      <c r="G27" s="1" t="str">
        <f>_xlfn.XLOOKUP(tblSales[[#This Row],[Product Code]],tblProducts[Code],tblProducts[Product / Service Name],"⚠ Unknown")</f>
        <v>Chino Pants</v>
      </c>
      <c r="H27" s="1" t="str">
        <f>_xlfn.XLOOKUP(tblSales[[#This Row],[Product Code]],tblProducts[Code],tblProducts[Category],"")</f>
        <v>Apparel &amp; Footwear</v>
      </c>
      <c r="I27" s="4">
        <v>2</v>
      </c>
      <c r="J27" s="5">
        <f>_xlfn.XLOOKUP(tblSales[[#This Row],[Product Code]],tblProducts[Code],tblProducts[Selling Price (excl. VAT)],0)</f>
        <v>150000</v>
      </c>
      <c r="K27" s="5">
        <f>tblSales[[#This Row],[Qty]]*tblSales[[#This Row],[Unit Price]]</f>
        <v>300000</v>
      </c>
      <c r="L27" s="5">
        <f>ROUND(tblSales[[#This Row],[DPP (excl. VAT)]]*VATEff,0)</f>
        <v>33000</v>
      </c>
      <c r="M27" s="5">
        <f>tblSales[[#This Row],[DPP (excl. VAT)]]+tblSales[[#This Row],[Output VAT]]</f>
        <v>333000</v>
      </c>
      <c r="N27" s="5">
        <f>tblSales[[#This Row],[Qty]]*_xlfn.XLOOKUP(tblSales[[#This Row],[Product Code]],tblProducts[Code],tblProducts[Unit Cost],0)</f>
        <v>176000</v>
      </c>
      <c r="O27" s="4" t="s">
        <v>4866</v>
      </c>
      <c r="P27" s="4" t="s">
        <v>4862</v>
      </c>
      <c r="Q27" s="1" t="str">
        <f>_xlfn.XLOOKUP(tblSales[[#This Row],[Channel Code]],tblChannels[Channel Code],tblChannels[Channel Name],"")</f>
        <v>Website &amp; Social Media</v>
      </c>
      <c r="R27" s="1">
        <f>MONTH(tblSales[[#This Row],[Date]])</f>
        <v>1</v>
      </c>
    </row>
    <row r="28" spans="2:18" x14ac:dyDescent="0.35">
      <c r="B28" s="113">
        <v>46024</v>
      </c>
      <c r="C28" s="4" t="s">
        <v>55</v>
      </c>
      <c r="D28" s="4" t="s">
        <v>4568</v>
      </c>
      <c r="E28" s="1" t="str">
        <f>_xlfn.XLOOKUP(tblSales[[#This Row],[Customer ID]],tblCustomers[Customer ID],tblCustomers[Customer Name],"⚠ Unknown")</f>
        <v>Walk-in Customer</v>
      </c>
      <c r="F28" s="4" t="s">
        <v>10</v>
      </c>
      <c r="G28" s="1" t="str">
        <f>_xlfn.XLOOKUP(tblSales[[#This Row],[Product Code]],tblProducts[Code],tblProducts[Product / Service Name],"⚠ Unknown")</f>
        <v>Chino Pants</v>
      </c>
      <c r="H28" s="1" t="str">
        <f>_xlfn.XLOOKUP(tblSales[[#This Row],[Product Code]],tblProducts[Code],tblProducts[Category],"")</f>
        <v>Apparel &amp; Footwear</v>
      </c>
      <c r="I28" s="4">
        <v>4</v>
      </c>
      <c r="J28" s="5">
        <f>_xlfn.XLOOKUP(tblSales[[#This Row],[Product Code]],tblProducts[Code],tblProducts[Selling Price (excl. VAT)],0)</f>
        <v>150000</v>
      </c>
      <c r="K28" s="5">
        <f>tblSales[[#This Row],[Qty]]*tblSales[[#This Row],[Unit Price]]</f>
        <v>600000</v>
      </c>
      <c r="L28" s="5">
        <f>ROUND(tblSales[[#This Row],[DPP (excl. VAT)]]*VATEff,0)</f>
        <v>66000</v>
      </c>
      <c r="M28" s="5">
        <f>tblSales[[#This Row],[DPP (excl. VAT)]]+tblSales[[#This Row],[Output VAT]]</f>
        <v>666000</v>
      </c>
      <c r="N28" s="5">
        <f>tblSales[[#This Row],[Qty]]*_xlfn.XLOOKUP(tblSales[[#This Row],[Product Code]],tblProducts[Code],tblProducts[Unit Cost],0)</f>
        <v>352000</v>
      </c>
      <c r="O28" s="4" t="s">
        <v>4865</v>
      </c>
      <c r="P28" s="4" t="s">
        <v>4860</v>
      </c>
      <c r="Q28" s="1" t="str">
        <f>_xlfn.XLOOKUP(tblSales[[#This Row],[Channel Code]],tblChannels[Channel Code],tblChannels[Channel Name],"")</f>
        <v>In-store</v>
      </c>
      <c r="R28" s="1">
        <f>MONTH(tblSales[[#This Row],[Date]])</f>
        <v>1</v>
      </c>
    </row>
    <row r="29" spans="2:18" x14ac:dyDescent="0.35">
      <c r="B29" s="113">
        <v>46024</v>
      </c>
      <c r="C29" s="4" t="s">
        <v>56</v>
      </c>
      <c r="D29" s="4" t="s">
        <v>4568</v>
      </c>
      <c r="E29" s="1" t="str">
        <f>_xlfn.XLOOKUP(tblSales[[#This Row],[Customer ID]],tblCustomers[Customer ID],tblCustomers[Customer Name],"⚠ Unknown")</f>
        <v>Walk-in Customer</v>
      </c>
      <c r="F29" s="4" t="s">
        <v>9</v>
      </c>
      <c r="G29" s="1" t="str">
        <f>_xlfn.XLOOKUP(tblSales[[#This Row],[Product Code]],tblProducts[Code],tblProducts[Product / Service Name],"⚠ Unknown")</f>
        <v>Casual Shirt</v>
      </c>
      <c r="H29" s="1" t="str">
        <f>_xlfn.XLOOKUP(tblSales[[#This Row],[Product Code]],tblProducts[Code],tblProducts[Category],"")</f>
        <v>Apparel &amp; Footwear</v>
      </c>
      <c r="I29" s="4">
        <v>1</v>
      </c>
      <c r="J29" s="5">
        <f>_xlfn.XLOOKUP(tblSales[[#This Row],[Product Code]],tblProducts[Code],tblProducts[Selling Price (excl. VAT)],0)</f>
        <v>120000</v>
      </c>
      <c r="K29" s="5">
        <f>tblSales[[#This Row],[Qty]]*tblSales[[#This Row],[Unit Price]]</f>
        <v>120000</v>
      </c>
      <c r="L29" s="5">
        <f>ROUND(tblSales[[#This Row],[DPP (excl. VAT)]]*VATEff,0)</f>
        <v>13200</v>
      </c>
      <c r="M29" s="5">
        <f>tblSales[[#This Row],[DPP (excl. VAT)]]+tblSales[[#This Row],[Output VAT]]</f>
        <v>133200</v>
      </c>
      <c r="N29" s="5">
        <f>tblSales[[#This Row],[Qty]]*_xlfn.XLOOKUP(tblSales[[#This Row],[Product Code]],tblProducts[Code],tblProducts[Unit Cost],0)</f>
        <v>72000</v>
      </c>
      <c r="O29" s="4" t="s">
        <v>4865</v>
      </c>
      <c r="P29" s="4" t="s">
        <v>4860</v>
      </c>
      <c r="Q29" s="1" t="str">
        <f>_xlfn.XLOOKUP(tblSales[[#This Row],[Channel Code]],tblChannels[Channel Code],tblChannels[Channel Name],"")</f>
        <v>In-store</v>
      </c>
      <c r="R29" s="1">
        <f>MONTH(tblSales[[#This Row],[Date]])</f>
        <v>1</v>
      </c>
    </row>
    <row r="30" spans="2:18" x14ac:dyDescent="0.35">
      <c r="B30" s="113">
        <v>46024</v>
      </c>
      <c r="C30" s="4" t="s">
        <v>57</v>
      </c>
      <c r="D30" s="4" t="s">
        <v>4568</v>
      </c>
      <c r="E30" s="1" t="str">
        <f>_xlfn.XLOOKUP(tblSales[[#This Row],[Customer ID]],tblCustomers[Customer ID],tblCustomers[Customer Name],"⚠ Unknown")</f>
        <v>Walk-in Customer</v>
      </c>
      <c r="F30" s="4" t="s">
        <v>7</v>
      </c>
      <c r="G30" s="1" t="str">
        <f>_xlfn.XLOOKUP(tblSales[[#This Row],[Product Code]],tblProducts[Code],tblProducts[Product / Service Name],"⚠ Unknown")</f>
        <v>Premium Basic T-shirt</v>
      </c>
      <c r="H30" s="1" t="str">
        <f>_xlfn.XLOOKUP(tblSales[[#This Row],[Product Code]],tblProducts[Code],tblProducts[Category],"")</f>
        <v>Accessories &amp; Basics</v>
      </c>
      <c r="I30" s="4">
        <v>2</v>
      </c>
      <c r="J30" s="5">
        <f>_xlfn.XLOOKUP(tblSales[[#This Row],[Product Code]],tblProducts[Code],tblProducts[Selling Price (excl. VAT)],0)</f>
        <v>65000</v>
      </c>
      <c r="K30" s="5">
        <f>tblSales[[#This Row],[Qty]]*tblSales[[#This Row],[Unit Price]]</f>
        <v>130000</v>
      </c>
      <c r="L30" s="5">
        <f>ROUND(tblSales[[#This Row],[DPP (excl. VAT)]]*VATEff,0)</f>
        <v>14300</v>
      </c>
      <c r="M30" s="5">
        <f>tblSales[[#This Row],[DPP (excl. VAT)]]+tblSales[[#This Row],[Output VAT]]</f>
        <v>144300</v>
      </c>
      <c r="N30" s="5">
        <f>tblSales[[#This Row],[Qty]]*_xlfn.XLOOKUP(tblSales[[#This Row],[Product Code]],tblProducts[Code],tblProducts[Unit Cost],0)</f>
        <v>74000</v>
      </c>
      <c r="O30" s="4" t="s">
        <v>4866</v>
      </c>
      <c r="P30" s="4" t="s">
        <v>4862</v>
      </c>
      <c r="Q30" s="1" t="str">
        <f>_xlfn.XLOOKUP(tblSales[[#This Row],[Channel Code]],tblChannels[Channel Code],tblChannels[Channel Name],"")</f>
        <v>Website &amp; Social Media</v>
      </c>
      <c r="R30" s="1">
        <f>MONTH(tblSales[[#This Row],[Date]])</f>
        <v>1</v>
      </c>
    </row>
    <row r="31" spans="2:18" x14ac:dyDescent="0.35">
      <c r="B31" s="113">
        <v>46024</v>
      </c>
      <c r="C31" s="4" t="s">
        <v>57</v>
      </c>
      <c r="D31" s="4" t="s">
        <v>4568</v>
      </c>
      <c r="E31" s="1" t="str">
        <f>_xlfn.XLOOKUP(tblSales[[#This Row],[Customer ID]],tblCustomers[Customer ID],tblCustomers[Customer Name],"⚠ Unknown")</f>
        <v>Walk-in Customer</v>
      </c>
      <c r="F31" s="4" t="s">
        <v>9</v>
      </c>
      <c r="G31" s="1" t="str">
        <f>_xlfn.XLOOKUP(tblSales[[#This Row],[Product Code]],tblProducts[Code],tblProducts[Product / Service Name],"⚠ Unknown")</f>
        <v>Casual Shirt</v>
      </c>
      <c r="H31" s="1" t="str">
        <f>_xlfn.XLOOKUP(tblSales[[#This Row],[Product Code]],tblProducts[Code],tblProducts[Category],"")</f>
        <v>Apparel &amp; Footwear</v>
      </c>
      <c r="I31" s="4">
        <v>7</v>
      </c>
      <c r="J31" s="5">
        <f>_xlfn.XLOOKUP(tblSales[[#This Row],[Product Code]],tblProducts[Code],tblProducts[Selling Price (excl. VAT)],0)</f>
        <v>120000</v>
      </c>
      <c r="K31" s="5">
        <f>tblSales[[#This Row],[Qty]]*tblSales[[#This Row],[Unit Price]]</f>
        <v>840000</v>
      </c>
      <c r="L31" s="5">
        <f>ROUND(tblSales[[#This Row],[DPP (excl. VAT)]]*VATEff,0)</f>
        <v>92400</v>
      </c>
      <c r="M31" s="5">
        <f>tblSales[[#This Row],[DPP (excl. VAT)]]+tblSales[[#This Row],[Output VAT]]</f>
        <v>932400</v>
      </c>
      <c r="N31" s="5">
        <f>tblSales[[#This Row],[Qty]]*_xlfn.XLOOKUP(tblSales[[#This Row],[Product Code]],tblProducts[Code],tblProducts[Unit Cost],0)</f>
        <v>504000</v>
      </c>
      <c r="O31" s="4" t="s">
        <v>4866</v>
      </c>
      <c r="P31" s="4" t="s">
        <v>4862</v>
      </c>
      <c r="Q31" s="1" t="str">
        <f>_xlfn.XLOOKUP(tblSales[[#This Row],[Channel Code]],tblChannels[Channel Code],tblChannels[Channel Name],"")</f>
        <v>Website &amp; Social Media</v>
      </c>
      <c r="R31" s="1">
        <f>MONTH(tblSales[[#This Row],[Date]])</f>
        <v>1</v>
      </c>
    </row>
    <row r="32" spans="2:18" x14ac:dyDescent="0.35">
      <c r="B32" s="113">
        <v>46024</v>
      </c>
      <c r="C32" s="4" t="s">
        <v>58</v>
      </c>
      <c r="D32" s="4" t="s">
        <v>4627</v>
      </c>
      <c r="E32" s="1" t="str">
        <f>_xlfn.XLOOKUP(tblSales[[#This Row],[Customer ID]],tblCustomers[Customer ID],tblCustomers[Customer Name],"⚠ Unknown")</f>
        <v>PT Kencana Wira Usaha</v>
      </c>
      <c r="F32" s="4" t="s">
        <v>8</v>
      </c>
      <c r="G32" s="1" t="str">
        <f>_xlfn.XLOOKUP(tblSales[[#This Row],[Product Code]],tblProducts[Code],tblProducts[Product / Service Name],"⚠ Unknown")</f>
        <v>Casual Shorts</v>
      </c>
      <c r="H32" s="1" t="str">
        <f>_xlfn.XLOOKUP(tblSales[[#This Row],[Product Code]],tblProducts[Code],tblProducts[Category],"")</f>
        <v>Accessories &amp; Basics</v>
      </c>
      <c r="I32" s="4">
        <v>32</v>
      </c>
      <c r="J32" s="5">
        <f>_xlfn.XLOOKUP(tblSales[[#This Row],[Product Code]],tblProducts[Code],tblProducts[Selling Price (excl. VAT)],0)</f>
        <v>85000</v>
      </c>
      <c r="K32" s="5">
        <f>tblSales[[#This Row],[Qty]]*tblSales[[#This Row],[Unit Price]]</f>
        <v>2720000</v>
      </c>
      <c r="L32" s="5">
        <f>ROUND(tblSales[[#This Row],[DPP (excl. VAT)]]*VATEff,0)</f>
        <v>299200</v>
      </c>
      <c r="M32" s="5">
        <f>tblSales[[#This Row],[DPP (excl. VAT)]]+tblSales[[#This Row],[Output VAT]]</f>
        <v>3019200</v>
      </c>
      <c r="N32" s="5">
        <f>tblSales[[#This Row],[Qty]]*_xlfn.XLOOKUP(tblSales[[#This Row],[Product Code]],tblProducts[Code],tblProducts[Unit Cost],0)</f>
        <v>1600000</v>
      </c>
      <c r="O32" s="4" t="s">
        <v>4867</v>
      </c>
      <c r="P32" s="4" t="s">
        <v>4860</v>
      </c>
      <c r="Q32" s="1" t="str">
        <f>_xlfn.XLOOKUP(tblSales[[#This Row],[Channel Code]],tblChannels[Channel Code],tblChannels[Channel Name],"")</f>
        <v>In-store</v>
      </c>
      <c r="R32" s="1">
        <f>MONTH(tblSales[[#This Row],[Date]])</f>
        <v>1</v>
      </c>
    </row>
    <row r="33" spans="2:18" x14ac:dyDescent="0.35">
      <c r="B33" s="113">
        <v>46024</v>
      </c>
      <c r="C33" s="4" t="s">
        <v>59</v>
      </c>
      <c r="D33" s="4" t="s">
        <v>4593</v>
      </c>
      <c r="E33" s="1" t="str">
        <f>_xlfn.XLOOKUP(tblSales[[#This Row],[Customer ID]],tblCustomers[Customer ID],tblCustomers[Customer Name],"⚠ Unknown")</f>
        <v>PT Graha Nusa Persada</v>
      </c>
      <c r="F33" s="4" t="s">
        <v>9</v>
      </c>
      <c r="G33" s="1" t="str">
        <f>_xlfn.XLOOKUP(tblSales[[#This Row],[Product Code]],tblProducts[Code],tblProducts[Product / Service Name],"⚠ Unknown")</f>
        <v>Casual Shirt</v>
      </c>
      <c r="H33" s="1" t="str">
        <f>_xlfn.XLOOKUP(tblSales[[#This Row],[Product Code]],tblProducts[Code],tblProducts[Category],"")</f>
        <v>Apparel &amp; Footwear</v>
      </c>
      <c r="I33" s="4">
        <v>40</v>
      </c>
      <c r="J33" s="5">
        <f>_xlfn.XLOOKUP(tblSales[[#This Row],[Product Code]],tblProducts[Code],tblProducts[Selling Price (excl. VAT)],0)</f>
        <v>120000</v>
      </c>
      <c r="K33" s="5">
        <f>tblSales[[#This Row],[Qty]]*tblSales[[#This Row],[Unit Price]]</f>
        <v>4800000</v>
      </c>
      <c r="L33" s="5">
        <f>ROUND(tblSales[[#This Row],[DPP (excl. VAT)]]*VATEff,0)</f>
        <v>528000</v>
      </c>
      <c r="M33" s="5">
        <f>tblSales[[#This Row],[DPP (excl. VAT)]]+tblSales[[#This Row],[Output VAT]]</f>
        <v>5328000</v>
      </c>
      <c r="N33" s="5">
        <f>tblSales[[#This Row],[Qty]]*_xlfn.XLOOKUP(tblSales[[#This Row],[Product Code]],tblProducts[Code],tblProducts[Unit Cost],0)</f>
        <v>2880000</v>
      </c>
      <c r="O33" s="4" t="s">
        <v>4867</v>
      </c>
      <c r="P33" s="4" t="s">
        <v>4862</v>
      </c>
      <c r="Q33" s="1" t="str">
        <f>_xlfn.XLOOKUP(tblSales[[#This Row],[Channel Code]],tblChannels[Channel Code],tblChannels[Channel Name],"")</f>
        <v>Website &amp; Social Media</v>
      </c>
      <c r="R33" s="1">
        <f>MONTH(tblSales[[#This Row],[Date]])</f>
        <v>1</v>
      </c>
    </row>
    <row r="34" spans="2:18" x14ac:dyDescent="0.35">
      <c r="B34" s="113">
        <v>46025</v>
      </c>
      <c r="C34" s="4" t="s">
        <v>60</v>
      </c>
      <c r="D34" s="4" t="s">
        <v>4568</v>
      </c>
      <c r="E34" s="1" t="str">
        <f>_xlfn.XLOOKUP(tblSales[[#This Row],[Customer ID]],tblCustomers[Customer ID],tblCustomers[Customer Name],"⚠ Unknown")</f>
        <v>Walk-in Customer</v>
      </c>
      <c r="F34" s="4" t="s">
        <v>10</v>
      </c>
      <c r="G34" s="1" t="str">
        <f>_xlfn.XLOOKUP(tblSales[[#This Row],[Product Code]],tblProducts[Code],tblProducts[Product / Service Name],"⚠ Unknown")</f>
        <v>Chino Pants</v>
      </c>
      <c r="H34" s="1" t="str">
        <f>_xlfn.XLOOKUP(tblSales[[#This Row],[Product Code]],tblProducts[Code],tblProducts[Category],"")</f>
        <v>Apparel &amp; Footwear</v>
      </c>
      <c r="I34" s="4">
        <v>1</v>
      </c>
      <c r="J34" s="5">
        <f>_xlfn.XLOOKUP(tblSales[[#This Row],[Product Code]],tblProducts[Code],tblProducts[Selling Price (excl. VAT)],0)</f>
        <v>150000</v>
      </c>
      <c r="K34" s="5">
        <f>tblSales[[#This Row],[Qty]]*tblSales[[#This Row],[Unit Price]]</f>
        <v>150000</v>
      </c>
      <c r="L34" s="5">
        <f>ROUND(tblSales[[#This Row],[DPP (excl. VAT)]]*VATEff,0)</f>
        <v>16500</v>
      </c>
      <c r="M34" s="5">
        <f>tblSales[[#This Row],[DPP (excl. VAT)]]+tblSales[[#This Row],[Output VAT]]</f>
        <v>166500</v>
      </c>
      <c r="N34" s="5">
        <f>tblSales[[#This Row],[Qty]]*_xlfn.XLOOKUP(tblSales[[#This Row],[Product Code]],tblProducts[Code],tblProducts[Unit Cost],0)</f>
        <v>88000</v>
      </c>
      <c r="O34" s="4" t="s">
        <v>4866</v>
      </c>
      <c r="P34" s="4" t="s">
        <v>4861</v>
      </c>
      <c r="Q34" s="1" t="str">
        <f>_xlfn.XLOOKUP(tblSales[[#This Row],[Channel Code]],tblChannels[Channel Code],tblChannels[Channel Name],"")</f>
        <v>Marketplace</v>
      </c>
      <c r="R34" s="1">
        <f>MONTH(tblSales[[#This Row],[Date]])</f>
        <v>1</v>
      </c>
    </row>
    <row r="35" spans="2:18" x14ac:dyDescent="0.35">
      <c r="B35" s="113">
        <v>46025</v>
      </c>
      <c r="C35" s="4" t="s">
        <v>61</v>
      </c>
      <c r="D35" s="4" t="s">
        <v>4568</v>
      </c>
      <c r="E35" s="1" t="str">
        <f>_xlfn.XLOOKUP(tblSales[[#This Row],[Customer ID]],tblCustomers[Customer ID],tblCustomers[Customer Name],"⚠ Unknown")</f>
        <v>Walk-in Customer</v>
      </c>
      <c r="F35" s="4" t="s">
        <v>9</v>
      </c>
      <c r="G35" s="1" t="str">
        <f>_xlfn.XLOOKUP(tblSales[[#This Row],[Product Code]],tblProducts[Code],tblProducts[Product / Service Name],"⚠ Unknown")</f>
        <v>Casual Shirt</v>
      </c>
      <c r="H35" s="1" t="str">
        <f>_xlfn.XLOOKUP(tblSales[[#This Row],[Product Code]],tblProducts[Code],tblProducts[Category],"")</f>
        <v>Apparel &amp; Footwear</v>
      </c>
      <c r="I35" s="4">
        <v>11</v>
      </c>
      <c r="J35" s="5">
        <f>_xlfn.XLOOKUP(tblSales[[#This Row],[Product Code]],tblProducts[Code],tblProducts[Selling Price (excl. VAT)],0)</f>
        <v>120000</v>
      </c>
      <c r="K35" s="5">
        <f>tblSales[[#This Row],[Qty]]*tblSales[[#This Row],[Unit Price]]</f>
        <v>1320000</v>
      </c>
      <c r="L35" s="5">
        <f>ROUND(tblSales[[#This Row],[DPP (excl. VAT)]]*VATEff,0)</f>
        <v>145200</v>
      </c>
      <c r="M35" s="5">
        <f>tblSales[[#This Row],[DPP (excl. VAT)]]+tblSales[[#This Row],[Output VAT]]</f>
        <v>1465200</v>
      </c>
      <c r="N35" s="5">
        <f>tblSales[[#This Row],[Qty]]*_xlfn.XLOOKUP(tblSales[[#This Row],[Product Code]],tblProducts[Code],tblProducts[Unit Cost],0)</f>
        <v>792000</v>
      </c>
      <c r="O35" s="4" t="s">
        <v>4866</v>
      </c>
      <c r="P35" s="4" t="s">
        <v>4860</v>
      </c>
      <c r="Q35" s="1" t="str">
        <f>_xlfn.XLOOKUP(tblSales[[#This Row],[Channel Code]],tblChannels[Channel Code],tblChannels[Channel Name],"")</f>
        <v>In-store</v>
      </c>
      <c r="R35" s="1">
        <f>MONTH(tblSales[[#This Row],[Date]])</f>
        <v>1</v>
      </c>
    </row>
    <row r="36" spans="2:18" x14ac:dyDescent="0.35">
      <c r="B36" s="113">
        <v>46025</v>
      </c>
      <c r="C36" s="4" t="s">
        <v>62</v>
      </c>
      <c r="D36" s="4" t="s">
        <v>4568</v>
      </c>
      <c r="E36" s="1" t="str">
        <f>_xlfn.XLOOKUP(tblSales[[#This Row],[Customer ID]],tblCustomers[Customer ID],tblCustomers[Customer Name],"⚠ Unknown")</f>
        <v>Walk-in Customer</v>
      </c>
      <c r="F36" s="4" t="s">
        <v>7</v>
      </c>
      <c r="G36" s="1" t="str">
        <f>_xlfn.XLOOKUP(tblSales[[#This Row],[Product Code]],tblProducts[Code],tblProducts[Product / Service Name],"⚠ Unknown")</f>
        <v>Premium Basic T-shirt</v>
      </c>
      <c r="H36" s="1" t="str">
        <f>_xlfn.XLOOKUP(tblSales[[#This Row],[Product Code]],tblProducts[Code],tblProducts[Category],"")</f>
        <v>Accessories &amp; Basics</v>
      </c>
      <c r="I36" s="4">
        <v>6</v>
      </c>
      <c r="J36" s="5">
        <f>_xlfn.XLOOKUP(tblSales[[#This Row],[Product Code]],tblProducts[Code],tblProducts[Selling Price (excl. VAT)],0)</f>
        <v>65000</v>
      </c>
      <c r="K36" s="5">
        <f>tblSales[[#This Row],[Qty]]*tblSales[[#This Row],[Unit Price]]</f>
        <v>390000</v>
      </c>
      <c r="L36" s="5">
        <f>ROUND(tblSales[[#This Row],[DPP (excl. VAT)]]*VATEff,0)</f>
        <v>42900</v>
      </c>
      <c r="M36" s="5">
        <f>tblSales[[#This Row],[DPP (excl. VAT)]]+tblSales[[#This Row],[Output VAT]]</f>
        <v>432900</v>
      </c>
      <c r="N36" s="5">
        <f>tblSales[[#This Row],[Qty]]*_xlfn.XLOOKUP(tblSales[[#This Row],[Product Code]],tblProducts[Code],tblProducts[Unit Cost],0)</f>
        <v>222000</v>
      </c>
      <c r="O36" s="4" t="s">
        <v>4865</v>
      </c>
      <c r="P36" s="4" t="s">
        <v>4860</v>
      </c>
      <c r="Q36" s="1" t="str">
        <f>_xlfn.XLOOKUP(tblSales[[#This Row],[Channel Code]],tblChannels[Channel Code],tblChannels[Channel Name],"")</f>
        <v>In-store</v>
      </c>
      <c r="R36" s="1">
        <f>MONTH(tblSales[[#This Row],[Date]])</f>
        <v>1</v>
      </c>
    </row>
    <row r="37" spans="2:18" x14ac:dyDescent="0.35">
      <c r="B37" s="113">
        <v>46025</v>
      </c>
      <c r="C37" s="4" t="s">
        <v>63</v>
      </c>
      <c r="D37" s="4" t="s">
        <v>4572</v>
      </c>
      <c r="E37" s="1" t="str">
        <f>_xlfn.XLOOKUP(tblSales[[#This Row],[Customer ID]],tblCustomers[Customer ID],tblCustomers[Customer Name],"⚠ Unknown")</f>
        <v>PT Cahaya Abadi Makmur</v>
      </c>
      <c r="F37" s="4" t="s">
        <v>6</v>
      </c>
      <c r="G37" s="1" t="str">
        <f>_xlfn.XLOOKUP(tblSales[[#This Row],[Product Code]],tblProducts[Code],tblProducts[Product / Service Name],"⚠ Unknown")</f>
        <v>Socks &amp; Accessories</v>
      </c>
      <c r="H37" s="1" t="str">
        <f>_xlfn.XLOOKUP(tblSales[[#This Row],[Product Code]],tblProducts[Code],tblProducts[Category],"")</f>
        <v>Accessories &amp; Basics</v>
      </c>
      <c r="I37" s="4">
        <v>64</v>
      </c>
      <c r="J37" s="5">
        <f>_xlfn.XLOOKUP(tblSales[[#This Row],[Product Code]],tblProducts[Code],tblProducts[Selling Price (excl. VAT)],0)</f>
        <v>45000</v>
      </c>
      <c r="K37" s="5">
        <f>tblSales[[#This Row],[Qty]]*tblSales[[#This Row],[Unit Price]]</f>
        <v>2880000</v>
      </c>
      <c r="L37" s="5">
        <f>ROUND(tblSales[[#This Row],[DPP (excl. VAT)]]*VATEff,0)</f>
        <v>316800</v>
      </c>
      <c r="M37" s="5">
        <f>tblSales[[#This Row],[DPP (excl. VAT)]]+tblSales[[#This Row],[Output VAT]]</f>
        <v>3196800</v>
      </c>
      <c r="N37" s="5">
        <f>tblSales[[#This Row],[Qty]]*_xlfn.XLOOKUP(tblSales[[#This Row],[Product Code]],tblProducts[Code],tblProducts[Unit Cost],0)</f>
        <v>1536000</v>
      </c>
      <c r="O37" s="4" t="s">
        <v>4867</v>
      </c>
      <c r="P37" s="4" t="s">
        <v>4860</v>
      </c>
      <c r="Q37" s="1" t="str">
        <f>_xlfn.XLOOKUP(tblSales[[#This Row],[Channel Code]],tblChannels[Channel Code],tblChannels[Channel Name],"")</f>
        <v>In-store</v>
      </c>
      <c r="R37" s="1">
        <f>MONTH(tblSales[[#This Row],[Date]])</f>
        <v>1</v>
      </c>
    </row>
    <row r="38" spans="2:18" x14ac:dyDescent="0.35">
      <c r="B38" s="113">
        <v>46025</v>
      </c>
      <c r="C38" s="4" t="s">
        <v>64</v>
      </c>
      <c r="D38" s="4" t="s">
        <v>4606</v>
      </c>
      <c r="E38" s="1" t="str">
        <f>_xlfn.XLOOKUP(tblSales[[#This Row],[Customer ID]],tblCustomers[Customer ID],tblCustomers[Customer Name],"⚠ Unknown")</f>
        <v>PT Arunika Digital Kreatif</v>
      </c>
      <c r="F38" s="4" t="s">
        <v>6</v>
      </c>
      <c r="G38" s="1" t="str">
        <f>_xlfn.XLOOKUP(tblSales[[#This Row],[Product Code]],tblProducts[Code],tblProducts[Product / Service Name],"⚠ Unknown")</f>
        <v>Socks &amp; Accessories</v>
      </c>
      <c r="H38" s="1" t="str">
        <f>_xlfn.XLOOKUP(tblSales[[#This Row],[Product Code]],tblProducts[Code],tblProducts[Category],"")</f>
        <v>Accessories &amp; Basics</v>
      </c>
      <c r="I38" s="4">
        <v>40</v>
      </c>
      <c r="J38" s="5">
        <f>_xlfn.XLOOKUP(tblSales[[#This Row],[Product Code]],tblProducts[Code],tblProducts[Selling Price (excl. VAT)],0)</f>
        <v>45000</v>
      </c>
      <c r="K38" s="5">
        <f>tblSales[[#This Row],[Qty]]*tblSales[[#This Row],[Unit Price]]</f>
        <v>1800000</v>
      </c>
      <c r="L38" s="5">
        <f>ROUND(tblSales[[#This Row],[DPP (excl. VAT)]]*VATEff,0)</f>
        <v>198000</v>
      </c>
      <c r="M38" s="5">
        <f>tblSales[[#This Row],[DPP (excl. VAT)]]+tblSales[[#This Row],[Output VAT]]</f>
        <v>1998000</v>
      </c>
      <c r="N38" s="5">
        <f>tblSales[[#This Row],[Qty]]*_xlfn.XLOOKUP(tblSales[[#This Row],[Product Code]],tblProducts[Code],tblProducts[Unit Cost],0)</f>
        <v>960000</v>
      </c>
      <c r="O38" s="4" t="s">
        <v>4867</v>
      </c>
      <c r="P38" s="4" t="s">
        <v>4860</v>
      </c>
      <c r="Q38" s="1" t="str">
        <f>_xlfn.XLOOKUP(tblSales[[#This Row],[Channel Code]],tblChannels[Channel Code],tblChannels[Channel Name],"")</f>
        <v>In-store</v>
      </c>
      <c r="R38" s="1">
        <f>MONTH(tblSales[[#This Row],[Date]])</f>
        <v>1</v>
      </c>
    </row>
    <row r="39" spans="2:18" x14ac:dyDescent="0.35">
      <c r="B39" s="113">
        <v>46025</v>
      </c>
      <c r="C39" s="4" t="s">
        <v>64</v>
      </c>
      <c r="D39" s="4" t="s">
        <v>4606</v>
      </c>
      <c r="E39" s="1" t="str">
        <f>_xlfn.XLOOKUP(tblSales[[#This Row],[Customer ID]],tblCustomers[Customer ID],tblCustomers[Customer Name],"⚠ Unknown")</f>
        <v>PT Arunika Digital Kreatif</v>
      </c>
      <c r="F39" s="4" t="s">
        <v>11</v>
      </c>
      <c r="G39" s="1" t="str">
        <f>_xlfn.XLOOKUP(tblSales[[#This Row],[Product Code]],tblProducts[Code],tblProducts[Product / Service Name],"⚠ Unknown")</f>
        <v>Sneakers</v>
      </c>
      <c r="H39" s="1" t="str">
        <f>_xlfn.XLOOKUP(tblSales[[#This Row],[Product Code]],tblProducts[Code],tblProducts[Category],"")</f>
        <v>Apparel &amp; Footwear</v>
      </c>
      <c r="I39" s="4">
        <v>32</v>
      </c>
      <c r="J39" s="5">
        <f>_xlfn.XLOOKUP(tblSales[[#This Row],[Product Code]],tblProducts[Code],tblProducts[Selling Price (excl. VAT)],0)</f>
        <v>250000</v>
      </c>
      <c r="K39" s="5">
        <f>tblSales[[#This Row],[Qty]]*tblSales[[#This Row],[Unit Price]]</f>
        <v>8000000</v>
      </c>
      <c r="L39" s="5">
        <f>ROUND(tblSales[[#This Row],[DPP (excl. VAT)]]*VATEff,0)</f>
        <v>880000</v>
      </c>
      <c r="M39" s="5">
        <f>tblSales[[#This Row],[DPP (excl. VAT)]]+tblSales[[#This Row],[Output VAT]]</f>
        <v>8880000</v>
      </c>
      <c r="N39" s="5">
        <f>tblSales[[#This Row],[Qty]]*_xlfn.XLOOKUP(tblSales[[#This Row],[Product Code]],tblProducts[Code],tblProducts[Unit Cost],0)</f>
        <v>4960000</v>
      </c>
      <c r="O39" s="4" t="s">
        <v>4867</v>
      </c>
      <c r="P39" s="4" t="s">
        <v>4860</v>
      </c>
      <c r="Q39" s="1" t="str">
        <f>_xlfn.XLOOKUP(tblSales[[#This Row],[Channel Code]],tblChannels[Channel Code],tblChannels[Channel Name],"")</f>
        <v>In-store</v>
      </c>
      <c r="R39" s="1">
        <f>MONTH(tblSales[[#This Row],[Date]])</f>
        <v>1</v>
      </c>
    </row>
    <row r="40" spans="2:18" x14ac:dyDescent="0.35">
      <c r="B40" s="113">
        <v>46025</v>
      </c>
      <c r="C40" s="4" t="s">
        <v>65</v>
      </c>
      <c r="D40" s="4" t="s">
        <v>4568</v>
      </c>
      <c r="E40" s="1" t="str">
        <f>_xlfn.XLOOKUP(tblSales[[#This Row],[Customer ID]],tblCustomers[Customer ID],tblCustomers[Customer Name],"⚠ Unknown")</f>
        <v>Walk-in Customer</v>
      </c>
      <c r="F40" s="4" t="s">
        <v>6</v>
      </c>
      <c r="G40" s="1" t="str">
        <f>_xlfn.XLOOKUP(tblSales[[#This Row],[Product Code]],tblProducts[Code],tblProducts[Product / Service Name],"⚠ Unknown")</f>
        <v>Socks &amp; Accessories</v>
      </c>
      <c r="H40" s="1" t="str">
        <f>_xlfn.XLOOKUP(tblSales[[#This Row],[Product Code]],tblProducts[Code],tblProducts[Category],"")</f>
        <v>Accessories &amp; Basics</v>
      </c>
      <c r="I40" s="4">
        <v>9</v>
      </c>
      <c r="J40" s="5">
        <f>_xlfn.XLOOKUP(tblSales[[#This Row],[Product Code]],tblProducts[Code],tblProducts[Selling Price (excl. VAT)],0)</f>
        <v>45000</v>
      </c>
      <c r="K40" s="5">
        <f>tblSales[[#This Row],[Qty]]*tblSales[[#This Row],[Unit Price]]</f>
        <v>405000</v>
      </c>
      <c r="L40" s="5">
        <f>ROUND(tblSales[[#This Row],[DPP (excl. VAT)]]*VATEff,0)</f>
        <v>44550</v>
      </c>
      <c r="M40" s="5">
        <f>tblSales[[#This Row],[DPP (excl. VAT)]]+tblSales[[#This Row],[Output VAT]]</f>
        <v>449550</v>
      </c>
      <c r="N40" s="5">
        <f>tblSales[[#This Row],[Qty]]*_xlfn.XLOOKUP(tblSales[[#This Row],[Product Code]],tblProducts[Code],tblProducts[Unit Cost],0)</f>
        <v>216000</v>
      </c>
      <c r="O40" s="4" t="s">
        <v>4866</v>
      </c>
      <c r="P40" s="4" t="s">
        <v>4860</v>
      </c>
      <c r="Q40" s="1" t="str">
        <f>_xlfn.XLOOKUP(tblSales[[#This Row],[Channel Code]],tblChannels[Channel Code],tblChannels[Channel Name],"")</f>
        <v>In-store</v>
      </c>
      <c r="R40" s="1">
        <f>MONTH(tblSales[[#This Row],[Date]])</f>
        <v>1</v>
      </c>
    </row>
    <row r="41" spans="2:18" x14ac:dyDescent="0.35">
      <c r="B41" s="113">
        <v>46025</v>
      </c>
      <c r="C41" s="4" t="s">
        <v>65</v>
      </c>
      <c r="D41" s="4" t="s">
        <v>4568</v>
      </c>
      <c r="E41" s="1" t="str">
        <f>_xlfn.XLOOKUP(tblSales[[#This Row],[Customer ID]],tblCustomers[Customer ID],tblCustomers[Customer Name],"⚠ Unknown")</f>
        <v>Walk-in Customer</v>
      </c>
      <c r="F41" s="4" t="s">
        <v>10</v>
      </c>
      <c r="G41" s="1" t="str">
        <f>_xlfn.XLOOKUP(tblSales[[#This Row],[Product Code]],tblProducts[Code],tblProducts[Product / Service Name],"⚠ Unknown")</f>
        <v>Chino Pants</v>
      </c>
      <c r="H41" s="1" t="str">
        <f>_xlfn.XLOOKUP(tblSales[[#This Row],[Product Code]],tblProducts[Code],tblProducts[Category],"")</f>
        <v>Apparel &amp; Footwear</v>
      </c>
      <c r="I41" s="4">
        <v>11</v>
      </c>
      <c r="J41" s="5">
        <f>_xlfn.XLOOKUP(tblSales[[#This Row],[Product Code]],tblProducts[Code],tblProducts[Selling Price (excl. VAT)],0)</f>
        <v>150000</v>
      </c>
      <c r="K41" s="5">
        <f>tblSales[[#This Row],[Qty]]*tblSales[[#This Row],[Unit Price]]</f>
        <v>1650000</v>
      </c>
      <c r="L41" s="5">
        <f>ROUND(tblSales[[#This Row],[DPP (excl. VAT)]]*VATEff,0)</f>
        <v>181500</v>
      </c>
      <c r="M41" s="5">
        <f>tblSales[[#This Row],[DPP (excl. VAT)]]+tblSales[[#This Row],[Output VAT]]</f>
        <v>1831500</v>
      </c>
      <c r="N41" s="5">
        <f>tblSales[[#This Row],[Qty]]*_xlfn.XLOOKUP(tblSales[[#This Row],[Product Code]],tblProducts[Code],tblProducts[Unit Cost],0)</f>
        <v>968000</v>
      </c>
      <c r="O41" s="4" t="s">
        <v>4866</v>
      </c>
      <c r="P41" s="4" t="s">
        <v>4860</v>
      </c>
      <c r="Q41" s="1" t="str">
        <f>_xlfn.XLOOKUP(tblSales[[#This Row],[Channel Code]],tblChannels[Channel Code],tblChannels[Channel Name],"")</f>
        <v>In-store</v>
      </c>
      <c r="R41" s="1">
        <f>MONTH(tblSales[[#This Row],[Date]])</f>
        <v>1</v>
      </c>
    </row>
    <row r="42" spans="2:18" x14ac:dyDescent="0.35">
      <c r="B42" s="113">
        <v>46025</v>
      </c>
      <c r="C42" s="4" t="s">
        <v>65</v>
      </c>
      <c r="D42" s="4" t="s">
        <v>4568</v>
      </c>
      <c r="E42" s="1" t="str">
        <f>_xlfn.XLOOKUP(tblSales[[#This Row],[Customer ID]],tblCustomers[Customer ID],tblCustomers[Customer Name],"⚠ Unknown")</f>
        <v>Walk-in Customer</v>
      </c>
      <c r="F42" s="4" t="s">
        <v>11</v>
      </c>
      <c r="G42" s="1" t="str">
        <f>_xlfn.XLOOKUP(tblSales[[#This Row],[Product Code]],tblProducts[Code],tblProducts[Product / Service Name],"⚠ Unknown")</f>
        <v>Sneakers</v>
      </c>
      <c r="H42" s="1" t="str">
        <f>_xlfn.XLOOKUP(tblSales[[#This Row],[Product Code]],tblProducts[Code],tblProducts[Category],"")</f>
        <v>Apparel &amp; Footwear</v>
      </c>
      <c r="I42" s="4">
        <v>1</v>
      </c>
      <c r="J42" s="5">
        <f>_xlfn.XLOOKUP(tblSales[[#This Row],[Product Code]],tblProducts[Code],tblProducts[Selling Price (excl. VAT)],0)</f>
        <v>250000</v>
      </c>
      <c r="K42" s="5">
        <f>tblSales[[#This Row],[Qty]]*tblSales[[#This Row],[Unit Price]]</f>
        <v>250000</v>
      </c>
      <c r="L42" s="5">
        <f>ROUND(tblSales[[#This Row],[DPP (excl. VAT)]]*VATEff,0)</f>
        <v>27500</v>
      </c>
      <c r="M42" s="5">
        <f>tblSales[[#This Row],[DPP (excl. VAT)]]+tblSales[[#This Row],[Output VAT]]</f>
        <v>277500</v>
      </c>
      <c r="N42" s="5">
        <f>tblSales[[#This Row],[Qty]]*_xlfn.XLOOKUP(tblSales[[#This Row],[Product Code]],tblProducts[Code],tblProducts[Unit Cost],0)</f>
        <v>155000</v>
      </c>
      <c r="O42" s="4" t="s">
        <v>4866</v>
      </c>
      <c r="P42" s="4" t="s">
        <v>4860</v>
      </c>
      <c r="Q42" s="1" t="str">
        <f>_xlfn.XLOOKUP(tblSales[[#This Row],[Channel Code]],tblChannels[Channel Code],tblChannels[Channel Name],"")</f>
        <v>In-store</v>
      </c>
      <c r="R42" s="1">
        <f>MONTH(tblSales[[#This Row],[Date]])</f>
        <v>1</v>
      </c>
    </row>
    <row r="43" spans="2:18" x14ac:dyDescent="0.35">
      <c r="B43" s="113">
        <v>46025</v>
      </c>
      <c r="C43" s="4" t="s">
        <v>66</v>
      </c>
      <c r="D43" s="4" t="s">
        <v>4568</v>
      </c>
      <c r="E43" s="1" t="str">
        <f>_xlfn.XLOOKUP(tblSales[[#This Row],[Customer ID]],tblCustomers[Customer ID],tblCustomers[Customer Name],"⚠ Unknown")</f>
        <v>Walk-in Customer</v>
      </c>
      <c r="F43" s="4" t="s">
        <v>6</v>
      </c>
      <c r="G43" s="1" t="str">
        <f>_xlfn.XLOOKUP(tblSales[[#This Row],[Product Code]],tblProducts[Code],tblProducts[Product / Service Name],"⚠ Unknown")</f>
        <v>Socks &amp; Accessories</v>
      </c>
      <c r="H43" s="1" t="str">
        <f>_xlfn.XLOOKUP(tblSales[[#This Row],[Product Code]],tblProducts[Code],tblProducts[Category],"")</f>
        <v>Accessories &amp; Basics</v>
      </c>
      <c r="I43" s="4">
        <v>9</v>
      </c>
      <c r="J43" s="5">
        <f>_xlfn.XLOOKUP(tblSales[[#This Row],[Product Code]],tblProducts[Code],tblProducts[Selling Price (excl. VAT)],0)</f>
        <v>45000</v>
      </c>
      <c r="K43" s="5">
        <f>tblSales[[#This Row],[Qty]]*tblSales[[#This Row],[Unit Price]]</f>
        <v>405000</v>
      </c>
      <c r="L43" s="5">
        <f>ROUND(tblSales[[#This Row],[DPP (excl. VAT)]]*VATEff,0)</f>
        <v>44550</v>
      </c>
      <c r="M43" s="5">
        <f>tblSales[[#This Row],[DPP (excl. VAT)]]+tblSales[[#This Row],[Output VAT]]</f>
        <v>449550</v>
      </c>
      <c r="N43" s="5">
        <f>tblSales[[#This Row],[Qty]]*_xlfn.XLOOKUP(tblSales[[#This Row],[Product Code]],tblProducts[Code],tblProducts[Unit Cost],0)</f>
        <v>216000</v>
      </c>
      <c r="O43" s="4" t="s">
        <v>4866</v>
      </c>
      <c r="P43" s="4" t="s">
        <v>4862</v>
      </c>
      <c r="Q43" s="1" t="str">
        <f>_xlfn.XLOOKUP(tblSales[[#This Row],[Channel Code]],tblChannels[Channel Code],tblChannels[Channel Name],"")</f>
        <v>Website &amp; Social Media</v>
      </c>
      <c r="R43" s="1">
        <f>MONTH(tblSales[[#This Row],[Date]])</f>
        <v>1</v>
      </c>
    </row>
    <row r="44" spans="2:18" x14ac:dyDescent="0.35">
      <c r="B44" s="113">
        <v>46025</v>
      </c>
      <c r="C44" s="4" t="s">
        <v>67</v>
      </c>
      <c r="D44" s="4" t="s">
        <v>4568</v>
      </c>
      <c r="E44" s="1" t="str">
        <f>_xlfn.XLOOKUP(tblSales[[#This Row],[Customer ID]],tblCustomers[Customer ID],tblCustomers[Customer Name],"⚠ Unknown")</f>
        <v>Walk-in Customer</v>
      </c>
      <c r="F44" s="4" t="s">
        <v>7</v>
      </c>
      <c r="G44" s="1" t="str">
        <f>_xlfn.XLOOKUP(tblSales[[#This Row],[Product Code]],tblProducts[Code],tblProducts[Product / Service Name],"⚠ Unknown")</f>
        <v>Premium Basic T-shirt</v>
      </c>
      <c r="H44" s="1" t="str">
        <f>_xlfn.XLOOKUP(tblSales[[#This Row],[Product Code]],tblProducts[Code],tblProducts[Category],"")</f>
        <v>Accessories &amp; Basics</v>
      </c>
      <c r="I44" s="4">
        <v>4</v>
      </c>
      <c r="J44" s="5">
        <f>_xlfn.XLOOKUP(tblSales[[#This Row],[Product Code]],tblProducts[Code],tblProducts[Selling Price (excl. VAT)],0)</f>
        <v>65000</v>
      </c>
      <c r="K44" s="5">
        <f>tblSales[[#This Row],[Qty]]*tblSales[[#This Row],[Unit Price]]</f>
        <v>260000</v>
      </c>
      <c r="L44" s="5">
        <f>ROUND(tblSales[[#This Row],[DPP (excl. VAT)]]*VATEff,0)</f>
        <v>28600</v>
      </c>
      <c r="M44" s="5">
        <f>tblSales[[#This Row],[DPP (excl. VAT)]]+tblSales[[#This Row],[Output VAT]]</f>
        <v>288600</v>
      </c>
      <c r="N44" s="5">
        <f>tblSales[[#This Row],[Qty]]*_xlfn.XLOOKUP(tblSales[[#This Row],[Product Code]],tblProducts[Code],tblProducts[Unit Cost],0)</f>
        <v>148000</v>
      </c>
      <c r="O44" s="4" t="s">
        <v>4865</v>
      </c>
      <c r="P44" s="4" t="s">
        <v>4860</v>
      </c>
      <c r="Q44" s="1" t="str">
        <f>_xlfn.XLOOKUP(tblSales[[#This Row],[Channel Code]],tblChannels[Channel Code],tblChannels[Channel Name],"")</f>
        <v>In-store</v>
      </c>
      <c r="R44" s="1">
        <f>MONTH(tblSales[[#This Row],[Date]])</f>
        <v>1</v>
      </c>
    </row>
    <row r="45" spans="2:18" x14ac:dyDescent="0.35">
      <c r="B45" s="113">
        <v>46025</v>
      </c>
      <c r="C45" s="4" t="s">
        <v>67</v>
      </c>
      <c r="D45" s="4" t="s">
        <v>4568</v>
      </c>
      <c r="E45" s="1" t="str">
        <f>_xlfn.XLOOKUP(tblSales[[#This Row],[Customer ID]],tblCustomers[Customer ID],tblCustomers[Customer Name],"⚠ Unknown")</f>
        <v>Walk-in Customer</v>
      </c>
      <c r="F45" s="4" t="s">
        <v>12</v>
      </c>
      <c r="G45" s="1" t="str">
        <f>_xlfn.XLOOKUP(tblSales[[#This Row],[Product Code]],tblProducts[Code],tblProducts[Product / Service Name],"⚠ Unknown")</f>
        <v>Bomber Jacket</v>
      </c>
      <c r="H45" s="1" t="str">
        <f>_xlfn.XLOOKUP(tblSales[[#This Row],[Product Code]],tblProducts[Code],tblProducts[Category],"")</f>
        <v>Apparel &amp; Footwear</v>
      </c>
      <c r="I45" s="4">
        <v>4</v>
      </c>
      <c r="J45" s="5">
        <f>_xlfn.XLOOKUP(tblSales[[#This Row],[Product Code]],tblProducts[Code],tblProducts[Selling Price (excl. VAT)],0)</f>
        <v>350000</v>
      </c>
      <c r="K45" s="5">
        <f>tblSales[[#This Row],[Qty]]*tblSales[[#This Row],[Unit Price]]</f>
        <v>1400000</v>
      </c>
      <c r="L45" s="5">
        <f>ROUND(tblSales[[#This Row],[DPP (excl. VAT)]]*VATEff,0)</f>
        <v>154000</v>
      </c>
      <c r="M45" s="5">
        <f>tblSales[[#This Row],[DPP (excl. VAT)]]+tblSales[[#This Row],[Output VAT]]</f>
        <v>1554000</v>
      </c>
      <c r="N45" s="5">
        <f>tblSales[[#This Row],[Qty]]*_xlfn.XLOOKUP(tblSales[[#This Row],[Product Code]],tblProducts[Code],tblProducts[Unit Cost],0)</f>
        <v>840000</v>
      </c>
      <c r="O45" s="4" t="s">
        <v>4865</v>
      </c>
      <c r="P45" s="4" t="s">
        <v>4860</v>
      </c>
      <c r="Q45" s="1" t="str">
        <f>_xlfn.XLOOKUP(tblSales[[#This Row],[Channel Code]],tblChannels[Channel Code],tblChannels[Channel Name],"")</f>
        <v>In-store</v>
      </c>
      <c r="R45" s="1">
        <f>MONTH(tblSales[[#This Row],[Date]])</f>
        <v>1</v>
      </c>
    </row>
    <row r="46" spans="2:18" x14ac:dyDescent="0.35">
      <c r="B46" s="113">
        <v>46025</v>
      </c>
      <c r="C46" s="4" t="s">
        <v>68</v>
      </c>
      <c r="D46" s="4" t="s">
        <v>4568</v>
      </c>
      <c r="E46" s="1" t="str">
        <f>_xlfn.XLOOKUP(tblSales[[#This Row],[Customer ID]],tblCustomers[Customer ID],tblCustomers[Customer Name],"⚠ Unknown")</f>
        <v>Walk-in Customer</v>
      </c>
      <c r="F46" s="4" t="s">
        <v>9</v>
      </c>
      <c r="G46" s="1" t="str">
        <f>_xlfn.XLOOKUP(tblSales[[#This Row],[Product Code]],tblProducts[Code],tblProducts[Product / Service Name],"⚠ Unknown")</f>
        <v>Casual Shirt</v>
      </c>
      <c r="H46" s="1" t="str">
        <f>_xlfn.XLOOKUP(tblSales[[#This Row],[Product Code]],tblProducts[Code],tblProducts[Category],"")</f>
        <v>Apparel &amp; Footwear</v>
      </c>
      <c r="I46" s="4">
        <v>4</v>
      </c>
      <c r="J46" s="5">
        <f>_xlfn.XLOOKUP(tblSales[[#This Row],[Product Code]],tblProducts[Code],tblProducts[Selling Price (excl. VAT)],0)</f>
        <v>120000</v>
      </c>
      <c r="K46" s="5">
        <f>tblSales[[#This Row],[Qty]]*tblSales[[#This Row],[Unit Price]]</f>
        <v>480000</v>
      </c>
      <c r="L46" s="5">
        <f>ROUND(tblSales[[#This Row],[DPP (excl. VAT)]]*VATEff,0)</f>
        <v>52800</v>
      </c>
      <c r="M46" s="5">
        <f>tblSales[[#This Row],[DPP (excl. VAT)]]+tblSales[[#This Row],[Output VAT]]</f>
        <v>532800</v>
      </c>
      <c r="N46" s="5">
        <f>tblSales[[#This Row],[Qty]]*_xlfn.XLOOKUP(tblSales[[#This Row],[Product Code]],tblProducts[Code],tblProducts[Unit Cost],0)</f>
        <v>288000</v>
      </c>
      <c r="O46" s="4" t="s">
        <v>4866</v>
      </c>
      <c r="P46" s="4" t="s">
        <v>4861</v>
      </c>
      <c r="Q46" s="1" t="str">
        <f>_xlfn.XLOOKUP(tblSales[[#This Row],[Channel Code]],tblChannels[Channel Code],tblChannels[Channel Name],"")</f>
        <v>Marketplace</v>
      </c>
      <c r="R46" s="1">
        <f>MONTH(tblSales[[#This Row],[Date]])</f>
        <v>1</v>
      </c>
    </row>
    <row r="47" spans="2:18" x14ac:dyDescent="0.35">
      <c r="B47" s="113">
        <v>46025</v>
      </c>
      <c r="C47" s="4" t="s">
        <v>69</v>
      </c>
      <c r="D47" s="4" t="s">
        <v>4568</v>
      </c>
      <c r="E47" s="1" t="str">
        <f>_xlfn.XLOOKUP(tblSales[[#This Row],[Customer ID]],tblCustomers[Customer ID],tblCustomers[Customer Name],"⚠ Unknown")</f>
        <v>Walk-in Customer</v>
      </c>
      <c r="F47" s="4" t="s">
        <v>11</v>
      </c>
      <c r="G47" s="1" t="str">
        <f>_xlfn.XLOOKUP(tblSales[[#This Row],[Product Code]],tblProducts[Code],tblProducts[Product / Service Name],"⚠ Unknown")</f>
        <v>Sneakers</v>
      </c>
      <c r="H47" s="1" t="str">
        <f>_xlfn.XLOOKUP(tblSales[[#This Row],[Product Code]],tblProducts[Code],tblProducts[Category],"")</f>
        <v>Apparel &amp; Footwear</v>
      </c>
      <c r="I47" s="4">
        <v>4</v>
      </c>
      <c r="J47" s="5">
        <f>_xlfn.XLOOKUP(tblSales[[#This Row],[Product Code]],tblProducts[Code],tblProducts[Selling Price (excl. VAT)],0)</f>
        <v>250000</v>
      </c>
      <c r="K47" s="5">
        <f>tblSales[[#This Row],[Qty]]*tblSales[[#This Row],[Unit Price]]</f>
        <v>1000000</v>
      </c>
      <c r="L47" s="5">
        <f>ROUND(tblSales[[#This Row],[DPP (excl. VAT)]]*VATEff,0)</f>
        <v>110000</v>
      </c>
      <c r="M47" s="5">
        <f>tblSales[[#This Row],[DPP (excl. VAT)]]+tblSales[[#This Row],[Output VAT]]</f>
        <v>1110000</v>
      </c>
      <c r="N47" s="5">
        <f>tblSales[[#This Row],[Qty]]*_xlfn.XLOOKUP(tblSales[[#This Row],[Product Code]],tblProducts[Code],tblProducts[Unit Cost],0)</f>
        <v>620000</v>
      </c>
      <c r="O47" s="4" t="s">
        <v>4866</v>
      </c>
      <c r="P47" s="4" t="s">
        <v>4861</v>
      </c>
      <c r="Q47" s="1" t="str">
        <f>_xlfn.XLOOKUP(tblSales[[#This Row],[Channel Code]],tblChannels[Channel Code],tblChannels[Channel Name],"")</f>
        <v>Marketplace</v>
      </c>
      <c r="R47" s="1">
        <f>MONTH(tblSales[[#This Row],[Date]])</f>
        <v>1</v>
      </c>
    </row>
    <row r="48" spans="2:18" x14ac:dyDescent="0.35">
      <c r="B48" s="113">
        <v>46025</v>
      </c>
      <c r="C48" s="4" t="s">
        <v>70</v>
      </c>
      <c r="D48" s="4" t="s">
        <v>4568</v>
      </c>
      <c r="E48" s="1" t="str">
        <f>_xlfn.XLOOKUP(tblSales[[#This Row],[Customer ID]],tblCustomers[Customer ID],tblCustomers[Customer Name],"⚠ Unknown")</f>
        <v>Walk-in Customer</v>
      </c>
      <c r="F48" s="4" t="s">
        <v>10</v>
      </c>
      <c r="G48" s="1" t="str">
        <f>_xlfn.XLOOKUP(tblSales[[#This Row],[Product Code]],tblProducts[Code],tblProducts[Product / Service Name],"⚠ Unknown")</f>
        <v>Chino Pants</v>
      </c>
      <c r="H48" s="1" t="str">
        <f>_xlfn.XLOOKUP(tblSales[[#This Row],[Product Code]],tblProducts[Code],tblProducts[Category],"")</f>
        <v>Apparel &amp; Footwear</v>
      </c>
      <c r="I48" s="4">
        <v>4</v>
      </c>
      <c r="J48" s="5">
        <f>_xlfn.XLOOKUP(tblSales[[#This Row],[Product Code]],tblProducts[Code],tblProducts[Selling Price (excl. VAT)],0)</f>
        <v>150000</v>
      </c>
      <c r="K48" s="5">
        <f>tblSales[[#This Row],[Qty]]*tblSales[[#This Row],[Unit Price]]</f>
        <v>600000</v>
      </c>
      <c r="L48" s="5">
        <f>ROUND(tblSales[[#This Row],[DPP (excl. VAT)]]*VATEff,0)</f>
        <v>66000</v>
      </c>
      <c r="M48" s="5">
        <f>tblSales[[#This Row],[DPP (excl. VAT)]]+tblSales[[#This Row],[Output VAT]]</f>
        <v>666000</v>
      </c>
      <c r="N48" s="5">
        <f>tblSales[[#This Row],[Qty]]*_xlfn.XLOOKUP(tblSales[[#This Row],[Product Code]],tblProducts[Code],tblProducts[Unit Cost],0)</f>
        <v>352000</v>
      </c>
      <c r="O48" s="4" t="s">
        <v>4866</v>
      </c>
      <c r="P48" s="4" t="s">
        <v>4861</v>
      </c>
      <c r="Q48" s="1" t="str">
        <f>_xlfn.XLOOKUP(tblSales[[#This Row],[Channel Code]],tblChannels[Channel Code],tblChannels[Channel Name],"")</f>
        <v>Marketplace</v>
      </c>
      <c r="R48" s="1">
        <f>MONTH(tblSales[[#This Row],[Date]])</f>
        <v>1</v>
      </c>
    </row>
    <row r="49" spans="2:18" x14ac:dyDescent="0.35">
      <c r="B49" s="113">
        <v>46025</v>
      </c>
      <c r="C49" s="4" t="s">
        <v>71</v>
      </c>
      <c r="D49" s="4" t="s">
        <v>4634</v>
      </c>
      <c r="E49" s="1" t="str">
        <f>_xlfn.XLOOKUP(tblSales[[#This Row],[Customer ID]],tblCustomers[Customer ID],tblCustomers[Customer Name],"⚠ Unknown")</f>
        <v>PT Delta Inti Selaras</v>
      </c>
      <c r="F49" s="4" t="s">
        <v>9</v>
      </c>
      <c r="G49" s="1" t="str">
        <f>_xlfn.XLOOKUP(tblSales[[#This Row],[Product Code]],tblProducts[Code],tblProducts[Product / Service Name],"⚠ Unknown")</f>
        <v>Casual Shirt</v>
      </c>
      <c r="H49" s="1" t="str">
        <f>_xlfn.XLOOKUP(tblSales[[#This Row],[Product Code]],tblProducts[Code],tblProducts[Category],"")</f>
        <v>Apparel &amp; Footwear</v>
      </c>
      <c r="I49" s="4">
        <v>72</v>
      </c>
      <c r="J49" s="5">
        <f>_xlfn.XLOOKUP(tblSales[[#This Row],[Product Code]],tblProducts[Code],tblProducts[Selling Price (excl. VAT)],0)</f>
        <v>120000</v>
      </c>
      <c r="K49" s="5">
        <f>tblSales[[#This Row],[Qty]]*tblSales[[#This Row],[Unit Price]]</f>
        <v>8640000</v>
      </c>
      <c r="L49" s="5">
        <f>ROUND(tblSales[[#This Row],[DPP (excl. VAT)]]*VATEff,0)</f>
        <v>950400</v>
      </c>
      <c r="M49" s="5">
        <f>tblSales[[#This Row],[DPP (excl. VAT)]]+tblSales[[#This Row],[Output VAT]]</f>
        <v>9590400</v>
      </c>
      <c r="N49" s="5">
        <f>tblSales[[#This Row],[Qty]]*_xlfn.XLOOKUP(tblSales[[#This Row],[Product Code]],tblProducts[Code],tblProducts[Unit Cost],0)</f>
        <v>5184000</v>
      </c>
      <c r="O49" s="4" t="s">
        <v>4867</v>
      </c>
      <c r="P49" s="4" t="s">
        <v>4860</v>
      </c>
      <c r="Q49" s="1" t="str">
        <f>_xlfn.XLOOKUP(tblSales[[#This Row],[Channel Code]],tblChannels[Channel Code],tblChannels[Channel Name],"")</f>
        <v>In-store</v>
      </c>
      <c r="R49" s="1">
        <f>MONTH(tblSales[[#This Row],[Date]])</f>
        <v>1</v>
      </c>
    </row>
    <row r="50" spans="2:18" x14ac:dyDescent="0.35">
      <c r="B50" s="113">
        <v>46026</v>
      </c>
      <c r="C50" s="4" t="s">
        <v>72</v>
      </c>
      <c r="D50" s="4" t="s">
        <v>4568</v>
      </c>
      <c r="E50" s="1" t="str">
        <f>_xlfn.XLOOKUP(tblSales[[#This Row],[Customer ID]],tblCustomers[Customer ID],tblCustomers[Customer Name],"⚠ Unknown")</f>
        <v>Walk-in Customer</v>
      </c>
      <c r="F50" s="4" t="s">
        <v>14</v>
      </c>
      <c r="G50" s="1" t="str">
        <f>_xlfn.XLOOKUP(tblSales[[#This Row],[Product Code]],tblProducts[Code],tblProducts[Product / Service Name],"⚠ Unknown")</f>
        <v>Smartwatch</v>
      </c>
      <c r="H50" s="1" t="str">
        <f>_xlfn.XLOOKUP(tblSales[[#This Row],[Product Code]],tblProducts[Code],tblProducts[Category],"")</f>
        <v>Bags &amp; Gadgets</v>
      </c>
      <c r="I50" s="4">
        <v>2</v>
      </c>
      <c r="J50" s="5">
        <f>_xlfn.XLOOKUP(tblSales[[#This Row],[Product Code]],tblProducts[Code],tblProducts[Selling Price (excl. VAT)],0)</f>
        <v>850000</v>
      </c>
      <c r="K50" s="5">
        <f>tblSales[[#This Row],[Qty]]*tblSales[[#This Row],[Unit Price]]</f>
        <v>1700000</v>
      </c>
      <c r="L50" s="5">
        <f>ROUND(tblSales[[#This Row],[DPP (excl. VAT)]]*VATEff,0)</f>
        <v>187000</v>
      </c>
      <c r="M50" s="5">
        <f>tblSales[[#This Row],[DPP (excl. VAT)]]+tblSales[[#This Row],[Output VAT]]</f>
        <v>1887000</v>
      </c>
      <c r="N50" s="5">
        <f>tblSales[[#This Row],[Qty]]*_xlfn.XLOOKUP(tblSales[[#This Row],[Product Code]],tblProducts[Code],tblProducts[Unit Cost],0)</f>
        <v>1120000</v>
      </c>
      <c r="O50" s="4" t="s">
        <v>4865</v>
      </c>
      <c r="P50" s="4" t="s">
        <v>4860</v>
      </c>
      <c r="Q50" s="1" t="str">
        <f>_xlfn.XLOOKUP(tblSales[[#This Row],[Channel Code]],tblChannels[Channel Code],tblChannels[Channel Name],"")</f>
        <v>In-store</v>
      </c>
      <c r="R50" s="1">
        <f>MONTH(tblSales[[#This Row],[Date]])</f>
        <v>1</v>
      </c>
    </row>
    <row r="51" spans="2:18" x14ac:dyDescent="0.35">
      <c r="B51" s="113">
        <v>46026</v>
      </c>
      <c r="C51" s="4" t="s">
        <v>73</v>
      </c>
      <c r="D51" s="4" t="s">
        <v>4572</v>
      </c>
      <c r="E51" s="1" t="str">
        <f>_xlfn.XLOOKUP(tblSales[[#This Row],[Customer ID]],tblCustomers[Customer ID],tblCustomers[Customer Name],"⚠ Unknown")</f>
        <v>PT Cahaya Abadi Makmur</v>
      </c>
      <c r="F51" s="4" t="s">
        <v>8</v>
      </c>
      <c r="G51" s="1" t="str">
        <f>_xlfn.XLOOKUP(tblSales[[#This Row],[Product Code]],tblProducts[Code],tblProducts[Product / Service Name],"⚠ Unknown")</f>
        <v>Casual Shorts</v>
      </c>
      <c r="H51" s="1" t="str">
        <f>_xlfn.XLOOKUP(tblSales[[#This Row],[Product Code]],tblProducts[Code],tblProducts[Category],"")</f>
        <v>Accessories &amp; Basics</v>
      </c>
      <c r="I51" s="4">
        <v>80</v>
      </c>
      <c r="J51" s="5">
        <f>_xlfn.XLOOKUP(tblSales[[#This Row],[Product Code]],tblProducts[Code],tblProducts[Selling Price (excl. VAT)],0)</f>
        <v>85000</v>
      </c>
      <c r="K51" s="5">
        <f>tblSales[[#This Row],[Qty]]*tblSales[[#This Row],[Unit Price]]</f>
        <v>6800000</v>
      </c>
      <c r="L51" s="5">
        <f>ROUND(tblSales[[#This Row],[DPP (excl. VAT)]]*VATEff,0)</f>
        <v>748000</v>
      </c>
      <c r="M51" s="5">
        <f>tblSales[[#This Row],[DPP (excl. VAT)]]+tblSales[[#This Row],[Output VAT]]</f>
        <v>7548000</v>
      </c>
      <c r="N51" s="5">
        <f>tblSales[[#This Row],[Qty]]*_xlfn.XLOOKUP(tblSales[[#This Row],[Product Code]],tblProducts[Code],tblProducts[Unit Cost],0)</f>
        <v>4000000</v>
      </c>
      <c r="O51" s="4" t="s">
        <v>4867</v>
      </c>
      <c r="P51" s="4" t="s">
        <v>4860</v>
      </c>
      <c r="Q51" s="1" t="str">
        <f>_xlfn.XLOOKUP(tblSales[[#This Row],[Channel Code]],tblChannels[Channel Code],tblChannels[Channel Name],"")</f>
        <v>In-store</v>
      </c>
      <c r="R51" s="1">
        <f>MONTH(tblSales[[#This Row],[Date]])</f>
        <v>1</v>
      </c>
    </row>
    <row r="52" spans="2:18" x14ac:dyDescent="0.35">
      <c r="B52" s="113">
        <v>46026</v>
      </c>
      <c r="C52" s="4" t="s">
        <v>74</v>
      </c>
      <c r="D52" s="4" t="s">
        <v>4568</v>
      </c>
      <c r="E52" s="1" t="str">
        <f>_xlfn.XLOOKUP(tblSales[[#This Row],[Customer ID]],tblCustomers[Customer ID],tblCustomers[Customer Name],"⚠ Unknown")</f>
        <v>Walk-in Customer</v>
      </c>
      <c r="F52" s="4" t="s">
        <v>14</v>
      </c>
      <c r="G52" s="1" t="str">
        <f>_xlfn.XLOOKUP(tblSales[[#This Row],[Product Code]],tblProducts[Code],tblProducts[Product / Service Name],"⚠ Unknown")</f>
        <v>Smartwatch</v>
      </c>
      <c r="H52" s="1" t="str">
        <f>_xlfn.XLOOKUP(tblSales[[#This Row],[Product Code]],tblProducts[Code],tblProducts[Category],"")</f>
        <v>Bags &amp; Gadgets</v>
      </c>
      <c r="I52" s="4">
        <v>2</v>
      </c>
      <c r="J52" s="5">
        <f>_xlfn.XLOOKUP(tblSales[[#This Row],[Product Code]],tblProducts[Code],tblProducts[Selling Price (excl. VAT)],0)</f>
        <v>850000</v>
      </c>
      <c r="K52" s="5">
        <f>tblSales[[#This Row],[Qty]]*tblSales[[#This Row],[Unit Price]]</f>
        <v>1700000</v>
      </c>
      <c r="L52" s="5">
        <f>ROUND(tblSales[[#This Row],[DPP (excl. VAT)]]*VATEff,0)</f>
        <v>187000</v>
      </c>
      <c r="M52" s="5">
        <f>tblSales[[#This Row],[DPP (excl. VAT)]]+tblSales[[#This Row],[Output VAT]]</f>
        <v>1887000</v>
      </c>
      <c r="N52" s="5">
        <f>tblSales[[#This Row],[Qty]]*_xlfn.XLOOKUP(tblSales[[#This Row],[Product Code]],tblProducts[Code],tblProducts[Unit Cost],0)</f>
        <v>1120000</v>
      </c>
      <c r="O52" s="4" t="s">
        <v>4866</v>
      </c>
      <c r="P52" s="4" t="s">
        <v>4861</v>
      </c>
      <c r="Q52" s="1" t="str">
        <f>_xlfn.XLOOKUP(tblSales[[#This Row],[Channel Code]],tblChannels[Channel Code],tblChannels[Channel Name],"")</f>
        <v>Marketplace</v>
      </c>
      <c r="R52" s="1">
        <f>MONTH(tblSales[[#This Row],[Date]])</f>
        <v>1</v>
      </c>
    </row>
    <row r="53" spans="2:18" x14ac:dyDescent="0.35">
      <c r="B53" s="113">
        <v>46026</v>
      </c>
      <c r="C53" s="4" t="s">
        <v>75</v>
      </c>
      <c r="D53" s="4" t="s">
        <v>4568</v>
      </c>
      <c r="E53" s="1" t="str">
        <f>_xlfn.XLOOKUP(tblSales[[#This Row],[Customer ID]],tblCustomers[Customer ID],tblCustomers[Customer Name],"⚠ Unknown")</f>
        <v>Walk-in Customer</v>
      </c>
      <c r="F53" s="4" t="s">
        <v>6</v>
      </c>
      <c r="G53" s="1" t="str">
        <f>_xlfn.XLOOKUP(tblSales[[#This Row],[Product Code]],tblProducts[Code],tblProducts[Product / Service Name],"⚠ Unknown")</f>
        <v>Socks &amp; Accessories</v>
      </c>
      <c r="H53" s="1" t="str">
        <f>_xlfn.XLOOKUP(tblSales[[#This Row],[Product Code]],tblProducts[Code],tblProducts[Category],"")</f>
        <v>Accessories &amp; Basics</v>
      </c>
      <c r="I53" s="4">
        <v>1</v>
      </c>
      <c r="J53" s="5">
        <f>_xlfn.XLOOKUP(tblSales[[#This Row],[Product Code]],tblProducts[Code],tblProducts[Selling Price (excl. VAT)],0)</f>
        <v>45000</v>
      </c>
      <c r="K53" s="5">
        <f>tblSales[[#This Row],[Qty]]*tblSales[[#This Row],[Unit Price]]</f>
        <v>45000</v>
      </c>
      <c r="L53" s="5">
        <f>ROUND(tblSales[[#This Row],[DPP (excl. VAT)]]*VATEff,0)</f>
        <v>4950</v>
      </c>
      <c r="M53" s="5">
        <f>tblSales[[#This Row],[DPP (excl. VAT)]]+tblSales[[#This Row],[Output VAT]]</f>
        <v>49950</v>
      </c>
      <c r="N53" s="5">
        <f>tblSales[[#This Row],[Qty]]*_xlfn.XLOOKUP(tblSales[[#This Row],[Product Code]],tblProducts[Code],tblProducts[Unit Cost],0)</f>
        <v>24000</v>
      </c>
      <c r="O53" s="4" t="s">
        <v>4866</v>
      </c>
      <c r="P53" s="4" t="s">
        <v>4860</v>
      </c>
      <c r="Q53" s="1" t="str">
        <f>_xlfn.XLOOKUP(tblSales[[#This Row],[Channel Code]],tblChannels[Channel Code],tblChannels[Channel Name],"")</f>
        <v>In-store</v>
      </c>
      <c r="R53" s="1">
        <f>MONTH(tblSales[[#This Row],[Date]])</f>
        <v>1</v>
      </c>
    </row>
    <row r="54" spans="2:18" x14ac:dyDescent="0.35">
      <c r="B54" s="113">
        <v>46026</v>
      </c>
      <c r="C54" s="4" t="s">
        <v>75</v>
      </c>
      <c r="D54" s="4" t="s">
        <v>4568</v>
      </c>
      <c r="E54" s="1" t="str">
        <f>_xlfn.XLOOKUP(tblSales[[#This Row],[Customer ID]],tblCustomers[Customer ID],tblCustomers[Customer Name],"⚠ Unknown")</f>
        <v>Walk-in Customer</v>
      </c>
      <c r="F54" s="4" t="s">
        <v>10</v>
      </c>
      <c r="G54" s="1" t="str">
        <f>_xlfn.XLOOKUP(tblSales[[#This Row],[Product Code]],tblProducts[Code],tblProducts[Product / Service Name],"⚠ Unknown")</f>
        <v>Chino Pants</v>
      </c>
      <c r="H54" s="1" t="str">
        <f>_xlfn.XLOOKUP(tblSales[[#This Row],[Product Code]],tblProducts[Code],tblProducts[Category],"")</f>
        <v>Apparel &amp; Footwear</v>
      </c>
      <c r="I54" s="4">
        <v>6</v>
      </c>
      <c r="J54" s="5">
        <f>_xlfn.XLOOKUP(tblSales[[#This Row],[Product Code]],tblProducts[Code],tblProducts[Selling Price (excl. VAT)],0)</f>
        <v>150000</v>
      </c>
      <c r="K54" s="5">
        <f>tblSales[[#This Row],[Qty]]*tblSales[[#This Row],[Unit Price]]</f>
        <v>900000</v>
      </c>
      <c r="L54" s="5">
        <f>ROUND(tblSales[[#This Row],[DPP (excl. VAT)]]*VATEff,0)</f>
        <v>99000</v>
      </c>
      <c r="M54" s="5">
        <f>tblSales[[#This Row],[DPP (excl. VAT)]]+tblSales[[#This Row],[Output VAT]]</f>
        <v>999000</v>
      </c>
      <c r="N54" s="5">
        <f>tblSales[[#This Row],[Qty]]*_xlfn.XLOOKUP(tblSales[[#This Row],[Product Code]],tblProducts[Code],tblProducts[Unit Cost],0)</f>
        <v>528000</v>
      </c>
      <c r="O54" s="4" t="s">
        <v>4866</v>
      </c>
      <c r="P54" s="4" t="s">
        <v>4860</v>
      </c>
      <c r="Q54" s="1" t="str">
        <f>_xlfn.XLOOKUP(tblSales[[#This Row],[Channel Code]],tblChannels[Channel Code],tblChannels[Channel Name],"")</f>
        <v>In-store</v>
      </c>
      <c r="R54" s="1">
        <f>MONTH(tblSales[[#This Row],[Date]])</f>
        <v>1</v>
      </c>
    </row>
    <row r="55" spans="2:18" x14ac:dyDescent="0.35">
      <c r="B55" s="113">
        <v>46026</v>
      </c>
      <c r="C55" s="4" t="s">
        <v>75</v>
      </c>
      <c r="D55" s="4" t="s">
        <v>4568</v>
      </c>
      <c r="E55" s="1" t="str">
        <f>_xlfn.XLOOKUP(tblSales[[#This Row],[Customer ID]],tblCustomers[Customer ID],tblCustomers[Customer Name],"⚠ Unknown")</f>
        <v>Walk-in Customer</v>
      </c>
      <c r="F55" s="4" t="s">
        <v>12</v>
      </c>
      <c r="G55" s="1" t="str">
        <f>_xlfn.XLOOKUP(tblSales[[#This Row],[Product Code]],tblProducts[Code],tblProducts[Product / Service Name],"⚠ Unknown")</f>
        <v>Bomber Jacket</v>
      </c>
      <c r="H55" s="1" t="str">
        <f>_xlfn.XLOOKUP(tblSales[[#This Row],[Product Code]],tblProducts[Code],tblProducts[Category],"")</f>
        <v>Apparel &amp; Footwear</v>
      </c>
      <c r="I55" s="4">
        <v>5</v>
      </c>
      <c r="J55" s="5">
        <f>_xlfn.XLOOKUP(tblSales[[#This Row],[Product Code]],tblProducts[Code],tblProducts[Selling Price (excl. VAT)],0)</f>
        <v>350000</v>
      </c>
      <c r="K55" s="5">
        <f>tblSales[[#This Row],[Qty]]*tblSales[[#This Row],[Unit Price]]</f>
        <v>1750000</v>
      </c>
      <c r="L55" s="5">
        <f>ROUND(tblSales[[#This Row],[DPP (excl. VAT)]]*VATEff,0)</f>
        <v>192500</v>
      </c>
      <c r="M55" s="5">
        <f>tblSales[[#This Row],[DPP (excl. VAT)]]+tblSales[[#This Row],[Output VAT]]</f>
        <v>1942500</v>
      </c>
      <c r="N55" s="5">
        <f>tblSales[[#This Row],[Qty]]*_xlfn.XLOOKUP(tblSales[[#This Row],[Product Code]],tblProducts[Code],tblProducts[Unit Cost],0)</f>
        <v>1050000</v>
      </c>
      <c r="O55" s="4" t="s">
        <v>4866</v>
      </c>
      <c r="P55" s="4" t="s">
        <v>4860</v>
      </c>
      <c r="Q55" s="1" t="str">
        <f>_xlfn.XLOOKUP(tblSales[[#This Row],[Channel Code]],tblChannels[Channel Code],tblChannels[Channel Name],"")</f>
        <v>In-store</v>
      </c>
      <c r="R55" s="1">
        <f>MONTH(tblSales[[#This Row],[Date]])</f>
        <v>1</v>
      </c>
    </row>
    <row r="56" spans="2:18" x14ac:dyDescent="0.35">
      <c r="B56" s="113">
        <v>46026</v>
      </c>
      <c r="C56" s="4" t="s">
        <v>76</v>
      </c>
      <c r="D56" s="4" t="s">
        <v>4568</v>
      </c>
      <c r="E56" s="1" t="str">
        <f>_xlfn.XLOOKUP(tblSales[[#This Row],[Customer ID]],tblCustomers[Customer ID],tblCustomers[Customer Name],"⚠ Unknown")</f>
        <v>Walk-in Customer</v>
      </c>
      <c r="F56" s="4" t="s">
        <v>7</v>
      </c>
      <c r="G56" s="1" t="str">
        <f>_xlfn.XLOOKUP(tblSales[[#This Row],[Product Code]],tblProducts[Code],tblProducts[Product / Service Name],"⚠ Unknown")</f>
        <v>Premium Basic T-shirt</v>
      </c>
      <c r="H56" s="1" t="str">
        <f>_xlfn.XLOOKUP(tblSales[[#This Row],[Product Code]],tblProducts[Code],tblProducts[Category],"")</f>
        <v>Accessories &amp; Basics</v>
      </c>
      <c r="I56" s="4">
        <v>7</v>
      </c>
      <c r="J56" s="5">
        <f>_xlfn.XLOOKUP(tblSales[[#This Row],[Product Code]],tblProducts[Code],tblProducts[Selling Price (excl. VAT)],0)</f>
        <v>65000</v>
      </c>
      <c r="K56" s="5">
        <f>tblSales[[#This Row],[Qty]]*tblSales[[#This Row],[Unit Price]]</f>
        <v>455000</v>
      </c>
      <c r="L56" s="5">
        <f>ROUND(tblSales[[#This Row],[DPP (excl. VAT)]]*VATEff,0)</f>
        <v>50050</v>
      </c>
      <c r="M56" s="5">
        <f>tblSales[[#This Row],[DPP (excl. VAT)]]+tblSales[[#This Row],[Output VAT]]</f>
        <v>505050</v>
      </c>
      <c r="N56" s="5">
        <f>tblSales[[#This Row],[Qty]]*_xlfn.XLOOKUP(tblSales[[#This Row],[Product Code]],tblProducts[Code],tblProducts[Unit Cost],0)</f>
        <v>259000</v>
      </c>
      <c r="O56" s="4" t="s">
        <v>4865</v>
      </c>
      <c r="P56" s="4" t="s">
        <v>4860</v>
      </c>
      <c r="Q56" s="1" t="str">
        <f>_xlfn.XLOOKUP(tblSales[[#This Row],[Channel Code]],tblChannels[Channel Code],tblChannels[Channel Name],"")</f>
        <v>In-store</v>
      </c>
      <c r="R56" s="1">
        <f>MONTH(tblSales[[#This Row],[Date]])</f>
        <v>1</v>
      </c>
    </row>
    <row r="57" spans="2:18" x14ac:dyDescent="0.35">
      <c r="B57" s="113">
        <v>46026</v>
      </c>
      <c r="C57" s="4" t="s">
        <v>76</v>
      </c>
      <c r="D57" s="4" t="s">
        <v>4568</v>
      </c>
      <c r="E57" s="1" t="str">
        <f>_xlfn.XLOOKUP(tblSales[[#This Row],[Customer ID]],tblCustomers[Customer ID],tblCustomers[Customer Name],"⚠ Unknown")</f>
        <v>Walk-in Customer</v>
      </c>
      <c r="F57" s="4" t="s">
        <v>6</v>
      </c>
      <c r="G57" s="1" t="str">
        <f>_xlfn.XLOOKUP(tblSales[[#This Row],[Product Code]],tblProducts[Code],tblProducts[Product / Service Name],"⚠ Unknown")</f>
        <v>Socks &amp; Accessories</v>
      </c>
      <c r="H57" s="1" t="str">
        <f>_xlfn.XLOOKUP(tblSales[[#This Row],[Product Code]],tblProducts[Code],tblProducts[Category],"")</f>
        <v>Accessories &amp; Basics</v>
      </c>
      <c r="I57" s="4">
        <v>4</v>
      </c>
      <c r="J57" s="5">
        <f>_xlfn.XLOOKUP(tblSales[[#This Row],[Product Code]],tblProducts[Code],tblProducts[Selling Price (excl. VAT)],0)</f>
        <v>45000</v>
      </c>
      <c r="K57" s="5">
        <f>tblSales[[#This Row],[Qty]]*tblSales[[#This Row],[Unit Price]]</f>
        <v>180000</v>
      </c>
      <c r="L57" s="5">
        <f>ROUND(tblSales[[#This Row],[DPP (excl. VAT)]]*VATEff,0)</f>
        <v>19800</v>
      </c>
      <c r="M57" s="5">
        <f>tblSales[[#This Row],[DPP (excl. VAT)]]+tblSales[[#This Row],[Output VAT]]</f>
        <v>199800</v>
      </c>
      <c r="N57" s="5">
        <f>tblSales[[#This Row],[Qty]]*_xlfn.XLOOKUP(tblSales[[#This Row],[Product Code]],tblProducts[Code],tblProducts[Unit Cost],0)</f>
        <v>96000</v>
      </c>
      <c r="O57" s="4" t="s">
        <v>4865</v>
      </c>
      <c r="P57" s="4" t="s">
        <v>4860</v>
      </c>
      <c r="Q57" s="1" t="str">
        <f>_xlfn.XLOOKUP(tblSales[[#This Row],[Channel Code]],tblChannels[Channel Code],tblChannels[Channel Name],"")</f>
        <v>In-store</v>
      </c>
      <c r="R57" s="1">
        <f>MONTH(tblSales[[#This Row],[Date]])</f>
        <v>1</v>
      </c>
    </row>
    <row r="58" spans="2:18" x14ac:dyDescent="0.35">
      <c r="B58" s="113">
        <v>46026</v>
      </c>
      <c r="C58" s="4" t="s">
        <v>77</v>
      </c>
      <c r="D58" s="4" t="s">
        <v>4568</v>
      </c>
      <c r="E58" s="1" t="str">
        <f>_xlfn.XLOOKUP(tblSales[[#This Row],[Customer ID]],tblCustomers[Customer ID],tblCustomers[Customer Name],"⚠ Unknown")</f>
        <v>Walk-in Customer</v>
      </c>
      <c r="F58" s="4" t="s">
        <v>6</v>
      </c>
      <c r="G58" s="1" t="str">
        <f>_xlfn.XLOOKUP(tblSales[[#This Row],[Product Code]],tblProducts[Code],tblProducts[Product / Service Name],"⚠ Unknown")</f>
        <v>Socks &amp; Accessories</v>
      </c>
      <c r="H58" s="1" t="str">
        <f>_xlfn.XLOOKUP(tblSales[[#This Row],[Product Code]],tblProducts[Code],tblProducts[Category],"")</f>
        <v>Accessories &amp; Basics</v>
      </c>
      <c r="I58" s="4">
        <v>10</v>
      </c>
      <c r="J58" s="5">
        <f>_xlfn.XLOOKUP(tblSales[[#This Row],[Product Code]],tblProducts[Code],tblProducts[Selling Price (excl. VAT)],0)</f>
        <v>45000</v>
      </c>
      <c r="K58" s="5">
        <f>tblSales[[#This Row],[Qty]]*tblSales[[#This Row],[Unit Price]]</f>
        <v>450000</v>
      </c>
      <c r="L58" s="5">
        <f>ROUND(tblSales[[#This Row],[DPP (excl. VAT)]]*VATEff,0)</f>
        <v>49500</v>
      </c>
      <c r="M58" s="5">
        <f>tblSales[[#This Row],[DPP (excl. VAT)]]+tblSales[[#This Row],[Output VAT]]</f>
        <v>499500</v>
      </c>
      <c r="N58" s="5">
        <f>tblSales[[#This Row],[Qty]]*_xlfn.XLOOKUP(tblSales[[#This Row],[Product Code]],tblProducts[Code],tblProducts[Unit Cost],0)</f>
        <v>240000</v>
      </c>
      <c r="O58" s="4" t="s">
        <v>4865</v>
      </c>
      <c r="P58" s="4" t="s">
        <v>4860</v>
      </c>
      <c r="Q58" s="1" t="str">
        <f>_xlfn.XLOOKUP(tblSales[[#This Row],[Channel Code]],tblChannels[Channel Code],tblChannels[Channel Name],"")</f>
        <v>In-store</v>
      </c>
      <c r="R58" s="1">
        <f>MONTH(tblSales[[#This Row],[Date]])</f>
        <v>1</v>
      </c>
    </row>
    <row r="59" spans="2:18" x14ac:dyDescent="0.35">
      <c r="B59" s="113">
        <v>46026</v>
      </c>
      <c r="C59" s="4" t="s">
        <v>78</v>
      </c>
      <c r="D59" s="4" t="s">
        <v>4599</v>
      </c>
      <c r="E59" s="1" t="str">
        <f>_xlfn.XLOOKUP(tblSales[[#This Row],[Customer ID]],tblCustomers[Customer ID],tblCustomers[Customer Name],"⚠ Unknown")</f>
        <v>PT Samudra Jaya Logistik</v>
      </c>
      <c r="F59" s="4" t="s">
        <v>7</v>
      </c>
      <c r="G59" s="1" t="str">
        <f>_xlfn.XLOOKUP(tblSales[[#This Row],[Product Code]],tblProducts[Code],tblProducts[Product / Service Name],"⚠ Unknown")</f>
        <v>Premium Basic T-shirt</v>
      </c>
      <c r="H59" s="1" t="str">
        <f>_xlfn.XLOOKUP(tblSales[[#This Row],[Product Code]],tblProducts[Code],tblProducts[Category],"")</f>
        <v>Accessories &amp; Basics</v>
      </c>
      <c r="I59" s="4">
        <v>24</v>
      </c>
      <c r="J59" s="5">
        <f>_xlfn.XLOOKUP(tblSales[[#This Row],[Product Code]],tblProducts[Code],tblProducts[Selling Price (excl. VAT)],0)</f>
        <v>65000</v>
      </c>
      <c r="K59" s="5">
        <f>tblSales[[#This Row],[Qty]]*tblSales[[#This Row],[Unit Price]]</f>
        <v>1560000</v>
      </c>
      <c r="L59" s="5">
        <f>ROUND(tblSales[[#This Row],[DPP (excl. VAT)]]*VATEff,0)</f>
        <v>171600</v>
      </c>
      <c r="M59" s="5">
        <f>tblSales[[#This Row],[DPP (excl. VAT)]]+tblSales[[#This Row],[Output VAT]]</f>
        <v>1731600</v>
      </c>
      <c r="N59" s="5">
        <f>tblSales[[#This Row],[Qty]]*_xlfn.XLOOKUP(tblSales[[#This Row],[Product Code]],tblProducts[Code],tblProducts[Unit Cost],0)</f>
        <v>888000</v>
      </c>
      <c r="O59" s="4" t="s">
        <v>4867</v>
      </c>
      <c r="P59" s="4" t="s">
        <v>4860</v>
      </c>
      <c r="Q59" s="1" t="str">
        <f>_xlfn.XLOOKUP(tblSales[[#This Row],[Channel Code]],tblChannels[Channel Code],tblChannels[Channel Name],"")</f>
        <v>In-store</v>
      </c>
      <c r="R59" s="1">
        <f>MONTH(tblSales[[#This Row],[Date]])</f>
        <v>1</v>
      </c>
    </row>
    <row r="60" spans="2:18" x14ac:dyDescent="0.35">
      <c r="B60" s="113">
        <v>46026</v>
      </c>
      <c r="C60" s="4" t="s">
        <v>79</v>
      </c>
      <c r="D60" s="4" t="s">
        <v>4568</v>
      </c>
      <c r="E60" s="1" t="str">
        <f>_xlfn.XLOOKUP(tblSales[[#This Row],[Customer ID]],tblCustomers[Customer ID],tblCustomers[Customer Name],"⚠ Unknown")</f>
        <v>Walk-in Customer</v>
      </c>
      <c r="F60" s="4" t="s">
        <v>11</v>
      </c>
      <c r="G60" s="1" t="str">
        <f>_xlfn.XLOOKUP(tblSales[[#This Row],[Product Code]],tblProducts[Code],tblProducts[Product / Service Name],"⚠ Unknown")</f>
        <v>Sneakers</v>
      </c>
      <c r="H60" s="1" t="str">
        <f>_xlfn.XLOOKUP(tblSales[[#This Row],[Product Code]],tblProducts[Code],tblProducts[Category],"")</f>
        <v>Apparel &amp; Footwear</v>
      </c>
      <c r="I60" s="4">
        <v>4</v>
      </c>
      <c r="J60" s="5">
        <f>_xlfn.XLOOKUP(tblSales[[#This Row],[Product Code]],tblProducts[Code],tblProducts[Selling Price (excl. VAT)],0)</f>
        <v>250000</v>
      </c>
      <c r="K60" s="5">
        <f>tblSales[[#This Row],[Qty]]*tblSales[[#This Row],[Unit Price]]</f>
        <v>1000000</v>
      </c>
      <c r="L60" s="5">
        <f>ROUND(tblSales[[#This Row],[DPP (excl. VAT)]]*VATEff,0)</f>
        <v>110000</v>
      </c>
      <c r="M60" s="5">
        <f>tblSales[[#This Row],[DPP (excl. VAT)]]+tblSales[[#This Row],[Output VAT]]</f>
        <v>1110000</v>
      </c>
      <c r="N60" s="5">
        <f>tblSales[[#This Row],[Qty]]*_xlfn.XLOOKUP(tblSales[[#This Row],[Product Code]],tblProducts[Code],tblProducts[Unit Cost],0)</f>
        <v>620000</v>
      </c>
      <c r="O60" s="4" t="s">
        <v>4866</v>
      </c>
      <c r="P60" s="4" t="s">
        <v>4862</v>
      </c>
      <c r="Q60" s="1" t="str">
        <f>_xlfn.XLOOKUP(tblSales[[#This Row],[Channel Code]],tblChannels[Channel Code],tblChannels[Channel Name],"")</f>
        <v>Website &amp; Social Media</v>
      </c>
      <c r="R60" s="1">
        <f>MONTH(tblSales[[#This Row],[Date]])</f>
        <v>1</v>
      </c>
    </row>
    <row r="61" spans="2:18" x14ac:dyDescent="0.35">
      <c r="B61" s="113">
        <v>46026</v>
      </c>
      <c r="C61" s="4" t="s">
        <v>80</v>
      </c>
      <c r="D61" s="4" t="s">
        <v>4568</v>
      </c>
      <c r="E61" s="1" t="str">
        <f>_xlfn.XLOOKUP(tblSales[[#This Row],[Customer ID]],tblCustomers[Customer ID],tblCustomers[Customer Name],"⚠ Unknown")</f>
        <v>Walk-in Customer</v>
      </c>
      <c r="F61" s="4" t="s">
        <v>7</v>
      </c>
      <c r="G61" s="1" t="str">
        <f>_xlfn.XLOOKUP(tblSales[[#This Row],[Product Code]],tblProducts[Code],tblProducts[Product / Service Name],"⚠ Unknown")</f>
        <v>Premium Basic T-shirt</v>
      </c>
      <c r="H61" s="1" t="str">
        <f>_xlfn.XLOOKUP(tblSales[[#This Row],[Product Code]],tblProducts[Code],tblProducts[Category],"")</f>
        <v>Accessories &amp; Basics</v>
      </c>
      <c r="I61" s="4">
        <v>2</v>
      </c>
      <c r="J61" s="5">
        <f>_xlfn.XLOOKUP(tblSales[[#This Row],[Product Code]],tblProducts[Code],tblProducts[Selling Price (excl. VAT)],0)</f>
        <v>65000</v>
      </c>
      <c r="K61" s="5">
        <f>tblSales[[#This Row],[Qty]]*tblSales[[#This Row],[Unit Price]]</f>
        <v>130000</v>
      </c>
      <c r="L61" s="5">
        <f>ROUND(tblSales[[#This Row],[DPP (excl. VAT)]]*VATEff,0)</f>
        <v>14300</v>
      </c>
      <c r="M61" s="5">
        <f>tblSales[[#This Row],[DPP (excl. VAT)]]+tblSales[[#This Row],[Output VAT]]</f>
        <v>144300</v>
      </c>
      <c r="N61" s="5">
        <f>tblSales[[#This Row],[Qty]]*_xlfn.XLOOKUP(tblSales[[#This Row],[Product Code]],tblProducts[Code],tblProducts[Unit Cost],0)</f>
        <v>74000</v>
      </c>
      <c r="O61" s="4" t="s">
        <v>4866</v>
      </c>
      <c r="P61" s="4" t="s">
        <v>4862</v>
      </c>
      <c r="Q61" s="1" t="str">
        <f>_xlfn.XLOOKUP(tblSales[[#This Row],[Channel Code]],tblChannels[Channel Code],tblChannels[Channel Name],"")</f>
        <v>Website &amp; Social Media</v>
      </c>
      <c r="R61" s="1">
        <f>MONTH(tblSales[[#This Row],[Date]])</f>
        <v>1</v>
      </c>
    </row>
    <row r="62" spans="2:18" x14ac:dyDescent="0.35">
      <c r="B62" s="113">
        <v>46026</v>
      </c>
      <c r="C62" s="4" t="s">
        <v>81</v>
      </c>
      <c r="D62" s="4" t="s">
        <v>4568</v>
      </c>
      <c r="E62" s="1" t="str">
        <f>_xlfn.XLOOKUP(tblSales[[#This Row],[Customer ID]],tblCustomers[Customer ID],tblCustomers[Customer Name],"⚠ Unknown")</f>
        <v>Walk-in Customer</v>
      </c>
      <c r="F62" s="4" t="s">
        <v>11</v>
      </c>
      <c r="G62" s="1" t="str">
        <f>_xlfn.XLOOKUP(tblSales[[#This Row],[Product Code]],tblProducts[Code],tblProducts[Product / Service Name],"⚠ Unknown")</f>
        <v>Sneakers</v>
      </c>
      <c r="H62" s="1" t="str">
        <f>_xlfn.XLOOKUP(tblSales[[#This Row],[Product Code]],tblProducts[Code],tblProducts[Category],"")</f>
        <v>Apparel &amp; Footwear</v>
      </c>
      <c r="I62" s="4">
        <v>3</v>
      </c>
      <c r="J62" s="5">
        <f>_xlfn.XLOOKUP(tblSales[[#This Row],[Product Code]],tblProducts[Code],tblProducts[Selling Price (excl. VAT)],0)</f>
        <v>250000</v>
      </c>
      <c r="K62" s="5">
        <f>tblSales[[#This Row],[Qty]]*tblSales[[#This Row],[Unit Price]]</f>
        <v>750000</v>
      </c>
      <c r="L62" s="5">
        <f>ROUND(tblSales[[#This Row],[DPP (excl. VAT)]]*VATEff,0)</f>
        <v>82500</v>
      </c>
      <c r="M62" s="5">
        <f>tblSales[[#This Row],[DPP (excl. VAT)]]+tblSales[[#This Row],[Output VAT]]</f>
        <v>832500</v>
      </c>
      <c r="N62" s="5">
        <f>tblSales[[#This Row],[Qty]]*_xlfn.XLOOKUP(tblSales[[#This Row],[Product Code]],tblProducts[Code],tblProducts[Unit Cost],0)</f>
        <v>465000</v>
      </c>
      <c r="O62" s="4" t="s">
        <v>4865</v>
      </c>
      <c r="P62" s="4" t="s">
        <v>4860</v>
      </c>
      <c r="Q62" s="1" t="str">
        <f>_xlfn.XLOOKUP(tblSales[[#This Row],[Channel Code]],tblChannels[Channel Code],tblChannels[Channel Name],"")</f>
        <v>In-store</v>
      </c>
      <c r="R62" s="1">
        <f>MONTH(tblSales[[#This Row],[Date]])</f>
        <v>1</v>
      </c>
    </row>
    <row r="63" spans="2:18" x14ac:dyDescent="0.35">
      <c r="B63" s="113">
        <v>46026</v>
      </c>
      <c r="C63" s="4" t="s">
        <v>82</v>
      </c>
      <c r="D63" s="4" t="s">
        <v>4568</v>
      </c>
      <c r="E63" s="1" t="str">
        <f>_xlfn.XLOOKUP(tblSales[[#This Row],[Customer ID]],tblCustomers[Customer ID],tblCustomers[Customer Name],"⚠ Unknown")</f>
        <v>Walk-in Customer</v>
      </c>
      <c r="F63" s="4" t="s">
        <v>8</v>
      </c>
      <c r="G63" s="1" t="str">
        <f>_xlfn.XLOOKUP(tblSales[[#This Row],[Product Code]],tblProducts[Code],tblProducts[Product / Service Name],"⚠ Unknown")</f>
        <v>Casual Shorts</v>
      </c>
      <c r="H63" s="1" t="str">
        <f>_xlfn.XLOOKUP(tblSales[[#This Row],[Product Code]],tblProducts[Code],tblProducts[Category],"")</f>
        <v>Accessories &amp; Basics</v>
      </c>
      <c r="I63" s="4">
        <v>12</v>
      </c>
      <c r="J63" s="5">
        <f>_xlfn.XLOOKUP(tblSales[[#This Row],[Product Code]],tblProducts[Code],tblProducts[Selling Price (excl. VAT)],0)</f>
        <v>85000</v>
      </c>
      <c r="K63" s="5">
        <f>tblSales[[#This Row],[Qty]]*tblSales[[#This Row],[Unit Price]]</f>
        <v>1020000</v>
      </c>
      <c r="L63" s="5">
        <f>ROUND(tblSales[[#This Row],[DPP (excl. VAT)]]*VATEff,0)</f>
        <v>112200</v>
      </c>
      <c r="M63" s="5">
        <f>tblSales[[#This Row],[DPP (excl. VAT)]]+tblSales[[#This Row],[Output VAT]]</f>
        <v>1132200</v>
      </c>
      <c r="N63" s="5">
        <f>tblSales[[#This Row],[Qty]]*_xlfn.XLOOKUP(tblSales[[#This Row],[Product Code]],tblProducts[Code],tblProducts[Unit Cost],0)</f>
        <v>600000</v>
      </c>
      <c r="O63" s="4" t="s">
        <v>4866</v>
      </c>
      <c r="P63" s="4" t="s">
        <v>4860</v>
      </c>
      <c r="Q63" s="1" t="str">
        <f>_xlfn.XLOOKUP(tblSales[[#This Row],[Channel Code]],tblChannels[Channel Code],tblChannels[Channel Name],"")</f>
        <v>In-store</v>
      </c>
      <c r="R63" s="1">
        <f>MONTH(tblSales[[#This Row],[Date]])</f>
        <v>1</v>
      </c>
    </row>
    <row r="64" spans="2:18" x14ac:dyDescent="0.35">
      <c r="B64" s="113">
        <v>46026</v>
      </c>
      <c r="C64" s="4" t="s">
        <v>82</v>
      </c>
      <c r="D64" s="4" t="s">
        <v>4568</v>
      </c>
      <c r="E64" s="1" t="str">
        <f>_xlfn.XLOOKUP(tblSales[[#This Row],[Customer ID]],tblCustomers[Customer ID],tblCustomers[Customer Name],"⚠ Unknown")</f>
        <v>Walk-in Customer</v>
      </c>
      <c r="F64" s="4" t="s">
        <v>11</v>
      </c>
      <c r="G64" s="1" t="str">
        <f>_xlfn.XLOOKUP(tblSales[[#This Row],[Product Code]],tblProducts[Code],tblProducts[Product / Service Name],"⚠ Unknown")</f>
        <v>Sneakers</v>
      </c>
      <c r="H64" s="1" t="str">
        <f>_xlfn.XLOOKUP(tblSales[[#This Row],[Product Code]],tblProducts[Code],tblProducts[Category],"")</f>
        <v>Apparel &amp; Footwear</v>
      </c>
      <c r="I64" s="4">
        <v>4</v>
      </c>
      <c r="J64" s="5">
        <f>_xlfn.XLOOKUP(tblSales[[#This Row],[Product Code]],tblProducts[Code],tblProducts[Selling Price (excl. VAT)],0)</f>
        <v>250000</v>
      </c>
      <c r="K64" s="5">
        <f>tblSales[[#This Row],[Qty]]*tblSales[[#This Row],[Unit Price]]</f>
        <v>1000000</v>
      </c>
      <c r="L64" s="5">
        <f>ROUND(tblSales[[#This Row],[DPP (excl. VAT)]]*VATEff,0)</f>
        <v>110000</v>
      </c>
      <c r="M64" s="5">
        <f>tblSales[[#This Row],[DPP (excl. VAT)]]+tblSales[[#This Row],[Output VAT]]</f>
        <v>1110000</v>
      </c>
      <c r="N64" s="5">
        <f>tblSales[[#This Row],[Qty]]*_xlfn.XLOOKUP(tblSales[[#This Row],[Product Code]],tblProducts[Code],tblProducts[Unit Cost],0)</f>
        <v>620000</v>
      </c>
      <c r="O64" s="4" t="s">
        <v>4866</v>
      </c>
      <c r="P64" s="4" t="s">
        <v>4860</v>
      </c>
      <c r="Q64" s="1" t="str">
        <f>_xlfn.XLOOKUP(tblSales[[#This Row],[Channel Code]],tblChannels[Channel Code],tblChannels[Channel Name],"")</f>
        <v>In-store</v>
      </c>
      <c r="R64" s="1">
        <f>MONTH(tblSales[[#This Row],[Date]])</f>
        <v>1</v>
      </c>
    </row>
    <row r="65" spans="2:18" x14ac:dyDescent="0.35">
      <c r="B65" s="113">
        <v>46026</v>
      </c>
      <c r="C65" s="4" t="s">
        <v>82</v>
      </c>
      <c r="D65" s="4" t="s">
        <v>4568</v>
      </c>
      <c r="E65" s="1" t="str">
        <f>_xlfn.XLOOKUP(tblSales[[#This Row],[Customer ID]],tblCustomers[Customer ID],tblCustomers[Customer Name],"⚠ Unknown")</f>
        <v>Walk-in Customer</v>
      </c>
      <c r="F65" s="4" t="s">
        <v>7</v>
      </c>
      <c r="G65" s="1" t="str">
        <f>_xlfn.XLOOKUP(tblSales[[#This Row],[Product Code]],tblProducts[Code],tblProducts[Product / Service Name],"⚠ Unknown")</f>
        <v>Premium Basic T-shirt</v>
      </c>
      <c r="H65" s="1" t="str">
        <f>_xlfn.XLOOKUP(tblSales[[#This Row],[Product Code]],tblProducts[Code],tblProducts[Category],"")</f>
        <v>Accessories &amp; Basics</v>
      </c>
      <c r="I65" s="4">
        <v>11</v>
      </c>
      <c r="J65" s="5">
        <f>_xlfn.XLOOKUP(tblSales[[#This Row],[Product Code]],tblProducts[Code],tblProducts[Selling Price (excl. VAT)],0)</f>
        <v>65000</v>
      </c>
      <c r="K65" s="5">
        <f>tblSales[[#This Row],[Qty]]*tblSales[[#This Row],[Unit Price]]</f>
        <v>715000</v>
      </c>
      <c r="L65" s="5">
        <f>ROUND(tblSales[[#This Row],[DPP (excl. VAT)]]*VATEff,0)</f>
        <v>78650</v>
      </c>
      <c r="M65" s="5">
        <f>tblSales[[#This Row],[DPP (excl. VAT)]]+tblSales[[#This Row],[Output VAT]]</f>
        <v>793650</v>
      </c>
      <c r="N65" s="5">
        <f>tblSales[[#This Row],[Qty]]*_xlfn.XLOOKUP(tblSales[[#This Row],[Product Code]],tblProducts[Code],tblProducts[Unit Cost],0)</f>
        <v>407000</v>
      </c>
      <c r="O65" s="4" t="s">
        <v>4866</v>
      </c>
      <c r="P65" s="4" t="s">
        <v>4860</v>
      </c>
      <c r="Q65" s="1" t="str">
        <f>_xlfn.XLOOKUP(tblSales[[#This Row],[Channel Code]],tblChannels[Channel Code],tblChannels[Channel Name],"")</f>
        <v>In-store</v>
      </c>
      <c r="R65" s="1">
        <f>MONTH(tblSales[[#This Row],[Date]])</f>
        <v>1</v>
      </c>
    </row>
    <row r="66" spans="2:18" x14ac:dyDescent="0.35">
      <c r="B66" s="113">
        <v>46026</v>
      </c>
      <c r="C66" s="4" t="s">
        <v>83</v>
      </c>
      <c r="D66" s="4" t="s">
        <v>4568</v>
      </c>
      <c r="E66" s="1" t="str">
        <f>_xlfn.XLOOKUP(tblSales[[#This Row],[Customer ID]],tblCustomers[Customer ID],tblCustomers[Customer Name],"⚠ Unknown")</f>
        <v>Walk-in Customer</v>
      </c>
      <c r="F66" s="4" t="s">
        <v>6</v>
      </c>
      <c r="G66" s="1" t="str">
        <f>_xlfn.XLOOKUP(tblSales[[#This Row],[Product Code]],tblProducts[Code],tblProducts[Product / Service Name],"⚠ Unknown")</f>
        <v>Socks &amp; Accessories</v>
      </c>
      <c r="H66" s="1" t="str">
        <f>_xlfn.XLOOKUP(tblSales[[#This Row],[Product Code]],tblProducts[Code],tblProducts[Category],"")</f>
        <v>Accessories &amp; Basics</v>
      </c>
      <c r="I66" s="4">
        <v>5</v>
      </c>
      <c r="J66" s="5">
        <f>_xlfn.XLOOKUP(tblSales[[#This Row],[Product Code]],tblProducts[Code],tblProducts[Selling Price (excl. VAT)],0)</f>
        <v>45000</v>
      </c>
      <c r="K66" s="5">
        <f>tblSales[[#This Row],[Qty]]*tblSales[[#This Row],[Unit Price]]</f>
        <v>225000</v>
      </c>
      <c r="L66" s="5">
        <f>ROUND(tblSales[[#This Row],[DPP (excl. VAT)]]*VATEff,0)</f>
        <v>24750</v>
      </c>
      <c r="M66" s="5">
        <f>tblSales[[#This Row],[DPP (excl. VAT)]]+tblSales[[#This Row],[Output VAT]]</f>
        <v>249750</v>
      </c>
      <c r="N66" s="5">
        <f>tblSales[[#This Row],[Qty]]*_xlfn.XLOOKUP(tblSales[[#This Row],[Product Code]],tblProducts[Code],tblProducts[Unit Cost],0)</f>
        <v>120000</v>
      </c>
      <c r="O66" s="4" t="s">
        <v>4866</v>
      </c>
      <c r="P66" s="4" t="s">
        <v>4861</v>
      </c>
      <c r="Q66" s="1" t="str">
        <f>_xlfn.XLOOKUP(tblSales[[#This Row],[Channel Code]],tblChannels[Channel Code],tblChannels[Channel Name],"")</f>
        <v>Marketplace</v>
      </c>
      <c r="R66" s="1">
        <f>MONTH(tblSales[[#This Row],[Date]])</f>
        <v>1</v>
      </c>
    </row>
    <row r="67" spans="2:18" x14ac:dyDescent="0.35">
      <c r="B67" s="113">
        <v>46026</v>
      </c>
      <c r="C67" s="4" t="s">
        <v>84</v>
      </c>
      <c r="D67" s="4" t="s">
        <v>4568</v>
      </c>
      <c r="E67" s="1" t="str">
        <f>_xlfn.XLOOKUP(tblSales[[#This Row],[Customer ID]],tblCustomers[Customer ID],tblCustomers[Customer Name],"⚠ Unknown")</f>
        <v>Walk-in Customer</v>
      </c>
      <c r="F67" s="4" t="s">
        <v>14</v>
      </c>
      <c r="G67" s="1" t="str">
        <f>_xlfn.XLOOKUP(tblSales[[#This Row],[Product Code]],tblProducts[Code],tblProducts[Product / Service Name],"⚠ Unknown")</f>
        <v>Smartwatch</v>
      </c>
      <c r="H67" s="1" t="str">
        <f>_xlfn.XLOOKUP(tblSales[[#This Row],[Product Code]],tblProducts[Code],tblProducts[Category],"")</f>
        <v>Bags &amp; Gadgets</v>
      </c>
      <c r="I67" s="4">
        <v>1</v>
      </c>
      <c r="J67" s="5">
        <f>_xlfn.XLOOKUP(tblSales[[#This Row],[Product Code]],tblProducts[Code],tblProducts[Selling Price (excl. VAT)],0)</f>
        <v>850000</v>
      </c>
      <c r="K67" s="5">
        <f>tblSales[[#This Row],[Qty]]*tblSales[[#This Row],[Unit Price]]</f>
        <v>850000</v>
      </c>
      <c r="L67" s="5">
        <f>ROUND(tblSales[[#This Row],[DPP (excl. VAT)]]*VATEff,0)</f>
        <v>93500</v>
      </c>
      <c r="M67" s="5">
        <f>tblSales[[#This Row],[DPP (excl. VAT)]]+tblSales[[#This Row],[Output VAT]]</f>
        <v>943500</v>
      </c>
      <c r="N67" s="5">
        <f>tblSales[[#This Row],[Qty]]*_xlfn.XLOOKUP(tblSales[[#This Row],[Product Code]],tblProducts[Code],tblProducts[Unit Cost],0)</f>
        <v>560000</v>
      </c>
      <c r="O67" s="4" t="s">
        <v>4866</v>
      </c>
      <c r="P67" s="4" t="s">
        <v>4861</v>
      </c>
      <c r="Q67" s="1" t="str">
        <f>_xlfn.XLOOKUP(tblSales[[#This Row],[Channel Code]],tblChannels[Channel Code],tblChannels[Channel Name],"")</f>
        <v>Marketplace</v>
      </c>
      <c r="R67" s="1">
        <f>MONTH(tblSales[[#This Row],[Date]])</f>
        <v>1</v>
      </c>
    </row>
    <row r="68" spans="2:18" x14ac:dyDescent="0.35">
      <c r="B68" s="113">
        <v>46026</v>
      </c>
      <c r="C68" s="4" t="s">
        <v>85</v>
      </c>
      <c r="D68" s="4" t="s">
        <v>4568</v>
      </c>
      <c r="E68" s="1" t="str">
        <f>_xlfn.XLOOKUP(tblSales[[#This Row],[Customer ID]],tblCustomers[Customer ID],tblCustomers[Customer Name],"⚠ Unknown")</f>
        <v>Walk-in Customer</v>
      </c>
      <c r="F68" s="4" t="s">
        <v>14</v>
      </c>
      <c r="G68" s="1" t="str">
        <f>_xlfn.XLOOKUP(tblSales[[#This Row],[Product Code]],tblProducts[Code],tblProducts[Product / Service Name],"⚠ Unknown")</f>
        <v>Smartwatch</v>
      </c>
      <c r="H68" s="1" t="str">
        <f>_xlfn.XLOOKUP(tblSales[[#This Row],[Product Code]],tblProducts[Code],tblProducts[Category],"")</f>
        <v>Bags &amp; Gadgets</v>
      </c>
      <c r="I68" s="4">
        <v>2</v>
      </c>
      <c r="J68" s="5">
        <f>_xlfn.XLOOKUP(tblSales[[#This Row],[Product Code]],tblProducts[Code],tblProducts[Selling Price (excl. VAT)],0)</f>
        <v>850000</v>
      </c>
      <c r="K68" s="5">
        <f>tblSales[[#This Row],[Qty]]*tblSales[[#This Row],[Unit Price]]</f>
        <v>1700000</v>
      </c>
      <c r="L68" s="5">
        <f>ROUND(tblSales[[#This Row],[DPP (excl. VAT)]]*VATEff,0)</f>
        <v>187000</v>
      </c>
      <c r="M68" s="5">
        <f>tblSales[[#This Row],[DPP (excl. VAT)]]+tblSales[[#This Row],[Output VAT]]</f>
        <v>1887000</v>
      </c>
      <c r="N68" s="5">
        <f>tblSales[[#This Row],[Qty]]*_xlfn.XLOOKUP(tblSales[[#This Row],[Product Code]],tblProducts[Code],tblProducts[Unit Cost],0)</f>
        <v>1120000</v>
      </c>
      <c r="O68" s="4" t="s">
        <v>4866</v>
      </c>
      <c r="P68" s="4" t="s">
        <v>4860</v>
      </c>
      <c r="Q68" s="1" t="str">
        <f>_xlfn.XLOOKUP(tblSales[[#This Row],[Channel Code]],tblChannels[Channel Code],tblChannels[Channel Name],"")</f>
        <v>In-store</v>
      </c>
      <c r="R68" s="1">
        <f>MONTH(tblSales[[#This Row],[Date]])</f>
        <v>1</v>
      </c>
    </row>
    <row r="69" spans="2:18" x14ac:dyDescent="0.35">
      <c r="B69" s="113">
        <v>46027</v>
      </c>
      <c r="C69" s="4" t="s">
        <v>86</v>
      </c>
      <c r="D69" s="4" t="s">
        <v>4568</v>
      </c>
      <c r="E69" s="1" t="str">
        <f>_xlfn.XLOOKUP(tblSales[[#This Row],[Customer ID]],tblCustomers[Customer ID],tblCustomers[Customer Name],"⚠ Unknown")</f>
        <v>Walk-in Customer</v>
      </c>
      <c r="F69" s="4" t="s">
        <v>7</v>
      </c>
      <c r="G69" s="1" t="str">
        <f>_xlfn.XLOOKUP(tblSales[[#This Row],[Product Code]],tblProducts[Code],tblProducts[Product / Service Name],"⚠ Unknown")</f>
        <v>Premium Basic T-shirt</v>
      </c>
      <c r="H69" s="1" t="str">
        <f>_xlfn.XLOOKUP(tblSales[[#This Row],[Product Code]],tblProducts[Code],tblProducts[Category],"")</f>
        <v>Accessories &amp; Basics</v>
      </c>
      <c r="I69" s="4">
        <v>1</v>
      </c>
      <c r="J69" s="5">
        <f>_xlfn.XLOOKUP(tblSales[[#This Row],[Product Code]],tblProducts[Code],tblProducts[Selling Price (excl. VAT)],0)</f>
        <v>65000</v>
      </c>
      <c r="K69" s="5">
        <f>tblSales[[#This Row],[Qty]]*tblSales[[#This Row],[Unit Price]]</f>
        <v>65000</v>
      </c>
      <c r="L69" s="5">
        <f>ROUND(tblSales[[#This Row],[DPP (excl. VAT)]]*VATEff,0)</f>
        <v>7150</v>
      </c>
      <c r="M69" s="5">
        <f>tblSales[[#This Row],[DPP (excl. VAT)]]+tblSales[[#This Row],[Output VAT]]</f>
        <v>72150</v>
      </c>
      <c r="N69" s="5">
        <f>tblSales[[#This Row],[Qty]]*_xlfn.XLOOKUP(tblSales[[#This Row],[Product Code]],tblProducts[Code],tblProducts[Unit Cost],0)</f>
        <v>37000</v>
      </c>
      <c r="O69" s="4" t="s">
        <v>4866</v>
      </c>
      <c r="P69" s="4" t="s">
        <v>4860</v>
      </c>
      <c r="Q69" s="1" t="str">
        <f>_xlfn.XLOOKUP(tblSales[[#This Row],[Channel Code]],tblChannels[Channel Code],tblChannels[Channel Name],"")</f>
        <v>In-store</v>
      </c>
      <c r="R69" s="1">
        <f>MONTH(tblSales[[#This Row],[Date]])</f>
        <v>1</v>
      </c>
    </row>
    <row r="70" spans="2:18" x14ac:dyDescent="0.35">
      <c r="B70" s="113">
        <v>46027</v>
      </c>
      <c r="C70" s="4" t="s">
        <v>86</v>
      </c>
      <c r="D70" s="4" t="s">
        <v>4568</v>
      </c>
      <c r="E70" s="1" t="str">
        <f>_xlfn.XLOOKUP(tblSales[[#This Row],[Customer ID]],tblCustomers[Customer ID],tblCustomers[Customer Name],"⚠ Unknown")</f>
        <v>Walk-in Customer</v>
      </c>
      <c r="F70" s="4" t="s">
        <v>11</v>
      </c>
      <c r="G70" s="1" t="str">
        <f>_xlfn.XLOOKUP(tblSales[[#This Row],[Product Code]],tblProducts[Code],tblProducts[Product / Service Name],"⚠ Unknown")</f>
        <v>Sneakers</v>
      </c>
      <c r="H70" s="1" t="str">
        <f>_xlfn.XLOOKUP(tblSales[[#This Row],[Product Code]],tblProducts[Code],tblProducts[Category],"")</f>
        <v>Apparel &amp; Footwear</v>
      </c>
      <c r="I70" s="4">
        <v>2</v>
      </c>
      <c r="J70" s="5">
        <f>_xlfn.XLOOKUP(tblSales[[#This Row],[Product Code]],tblProducts[Code],tblProducts[Selling Price (excl. VAT)],0)</f>
        <v>250000</v>
      </c>
      <c r="K70" s="5">
        <f>tblSales[[#This Row],[Qty]]*tblSales[[#This Row],[Unit Price]]</f>
        <v>500000</v>
      </c>
      <c r="L70" s="5">
        <f>ROUND(tblSales[[#This Row],[DPP (excl. VAT)]]*VATEff,0)</f>
        <v>55000</v>
      </c>
      <c r="M70" s="5">
        <f>tblSales[[#This Row],[DPP (excl. VAT)]]+tblSales[[#This Row],[Output VAT]]</f>
        <v>555000</v>
      </c>
      <c r="N70" s="5">
        <f>tblSales[[#This Row],[Qty]]*_xlfn.XLOOKUP(tblSales[[#This Row],[Product Code]],tblProducts[Code],tblProducts[Unit Cost],0)</f>
        <v>310000</v>
      </c>
      <c r="O70" s="4" t="s">
        <v>4866</v>
      </c>
      <c r="P70" s="4" t="s">
        <v>4860</v>
      </c>
      <c r="Q70" s="1" t="str">
        <f>_xlfn.XLOOKUP(tblSales[[#This Row],[Channel Code]],tblChannels[Channel Code],tblChannels[Channel Name],"")</f>
        <v>In-store</v>
      </c>
      <c r="R70" s="1">
        <f>MONTH(tblSales[[#This Row],[Date]])</f>
        <v>1</v>
      </c>
    </row>
    <row r="71" spans="2:18" x14ac:dyDescent="0.35">
      <c r="B71" s="113">
        <v>46027</v>
      </c>
      <c r="C71" s="4" t="s">
        <v>86</v>
      </c>
      <c r="D71" s="4" t="s">
        <v>4568</v>
      </c>
      <c r="E71" s="1" t="str">
        <f>_xlfn.XLOOKUP(tblSales[[#This Row],[Customer ID]],tblCustomers[Customer ID],tblCustomers[Customer Name],"⚠ Unknown")</f>
        <v>Walk-in Customer</v>
      </c>
      <c r="F71" s="4" t="s">
        <v>6</v>
      </c>
      <c r="G71" s="1" t="str">
        <f>_xlfn.XLOOKUP(tblSales[[#This Row],[Product Code]],tblProducts[Code],tblProducts[Product / Service Name],"⚠ Unknown")</f>
        <v>Socks &amp; Accessories</v>
      </c>
      <c r="H71" s="1" t="str">
        <f>_xlfn.XLOOKUP(tblSales[[#This Row],[Product Code]],tblProducts[Code],tblProducts[Category],"")</f>
        <v>Accessories &amp; Basics</v>
      </c>
      <c r="I71" s="4">
        <v>3</v>
      </c>
      <c r="J71" s="5">
        <f>_xlfn.XLOOKUP(tblSales[[#This Row],[Product Code]],tblProducts[Code],tblProducts[Selling Price (excl. VAT)],0)</f>
        <v>45000</v>
      </c>
      <c r="K71" s="5">
        <f>tblSales[[#This Row],[Qty]]*tblSales[[#This Row],[Unit Price]]</f>
        <v>135000</v>
      </c>
      <c r="L71" s="5">
        <f>ROUND(tblSales[[#This Row],[DPP (excl. VAT)]]*VATEff,0)</f>
        <v>14850</v>
      </c>
      <c r="M71" s="5">
        <f>tblSales[[#This Row],[DPP (excl. VAT)]]+tblSales[[#This Row],[Output VAT]]</f>
        <v>149850</v>
      </c>
      <c r="N71" s="5">
        <f>tblSales[[#This Row],[Qty]]*_xlfn.XLOOKUP(tblSales[[#This Row],[Product Code]],tblProducts[Code],tblProducts[Unit Cost],0)</f>
        <v>72000</v>
      </c>
      <c r="O71" s="4" t="s">
        <v>4866</v>
      </c>
      <c r="P71" s="4" t="s">
        <v>4860</v>
      </c>
      <c r="Q71" s="1" t="str">
        <f>_xlfn.XLOOKUP(tblSales[[#This Row],[Channel Code]],tblChannels[Channel Code],tblChannels[Channel Name],"")</f>
        <v>In-store</v>
      </c>
      <c r="R71" s="1">
        <f>MONTH(tblSales[[#This Row],[Date]])</f>
        <v>1</v>
      </c>
    </row>
    <row r="72" spans="2:18" x14ac:dyDescent="0.35">
      <c r="B72" s="113">
        <v>46027</v>
      </c>
      <c r="C72" s="4" t="s">
        <v>87</v>
      </c>
      <c r="D72" s="4" t="s">
        <v>4568</v>
      </c>
      <c r="E72" s="1" t="str">
        <f>_xlfn.XLOOKUP(tblSales[[#This Row],[Customer ID]],tblCustomers[Customer ID],tblCustomers[Customer Name],"⚠ Unknown")</f>
        <v>Walk-in Customer</v>
      </c>
      <c r="F72" s="4" t="s">
        <v>8</v>
      </c>
      <c r="G72" s="1" t="str">
        <f>_xlfn.XLOOKUP(tblSales[[#This Row],[Product Code]],tblProducts[Code],tblProducts[Product / Service Name],"⚠ Unknown")</f>
        <v>Casual Shorts</v>
      </c>
      <c r="H72" s="1" t="str">
        <f>_xlfn.XLOOKUP(tblSales[[#This Row],[Product Code]],tblProducts[Code],tblProducts[Category],"")</f>
        <v>Accessories &amp; Basics</v>
      </c>
      <c r="I72" s="4">
        <v>11</v>
      </c>
      <c r="J72" s="5">
        <f>_xlfn.XLOOKUP(tblSales[[#This Row],[Product Code]],tblProducts[Code],tblProducts[Selling Price (excl. VAT)],0)</f>
        <v>85000</v>
      </c>
      <c r="K72" s="5">
        <f>tblSales[[#This Row],[Qty]]*tblSales[[#This Row],[Unit Price]]</f>
        <v>935000</v>
      </c>
      <c r="L72" s="5">
        <f>ROUND(tblSales[[#This Row],[DPP (excl. VAT)]]*VATEff,0)</f>
        <v>102850</v>
      </c>
      <c r="M72" s="5">
        <f>tblSales[[#This Row],[DPP (excl. VAT)]]+tblSales[[#This Row],[Output VAT]]</f>
        <v>1037850</v>
      </c>
      <c r="N72" s="5">
        <f>tblSales[[#This Row],[Qty]]*_xlfn.XLOOKUP(tblSales[[#This Row],[Product Code]],tblProducts[Code],tblProducts[Unit Cost],0)</f>
        <v>550000</v>
      </c>
      <c r="O72" s="4" t="s">
        <v>4866</v>
      </c>
      <c r="P72" s="4" t="s">
        <v>4861</v>
      </c>
      <c r="Q72" s="1" t="str">
        <f>_xlfn.XLOOKUP(tblSales[[#This Row],[Channel Code]],tblChannels[Channel Code],tblChannels[Channel Name],"")</f>
        <v>Marketplace</v>
      </c>
      <c r="R72" s="1">
        <f>MONTH(tblSales[[#This Row],[Date]])</f>
        <v>1</v>
      </c>
    </row>
    <row r="73" spans="2:18" x14ac:dyDescent="0.35">
      <c r="B73" s="113">
        <v>46027</v>
      </c>
      <c r="C73" s="4" t="s">
        <v>88</v>
      </c>
      <c r="D73" s="4" t="s">
        <v>4568</v>
      </c>
      <c r="E73" s="1" t="str">
        <f>_xlfn.XLOOKUP(tblSales[[#This Row],[Customer ID]],tblCustomers[Customer ID],tblCustomers[Customer Name],"⚠ Unknown")</f>
        <v>Walk-in Customer</v>
      </c>
      <c r="F73" s="4" t="s">
        <v>10</v>
      </c>
      <c r="G73" s="1" t="str">
        <f>_xlfn.XLOOKUP(tblSales[[#This Row],[Product Code]],tblProducts[Code],tblProducts[Product / Service Name],"⚠ Unknown")</f>
        <v>Chino Pants</v>
      </c>
      <c r="H73" s="1" t="str">
        <f>_xlfn.XLOOKUP(tblSales[[#This Row],[Product Code]],tblProducts[Code],tblProducts[Category],"")</f>
        <v>Apparel &amp; Footwear</v>
      </c>
      <c r="I73" s="4">
        <v>8</v>
      </c>
      <c r="J73" s="5">
        <f>_xlfn.XLOOKUP(tblSales[[#This Row],[Product Code]],tblProducts[Code],tblProducts[Selling Price (excl. VAT)],0)</f>
        <v>150000</v>
      </c>
      <c r="K73" s="5">
        <f>tblSales[[#This Row],[Qty]]*tblSales[[#This Row],[Unit Price]]</f>
        <v>1200000</v>
      </c>
      <c r="L73" s="5">
        <f>ROUND(tblSales[[#This Row],[DPP (excl. VAT)]]*VATEff,0)</f>
        <v>132000</v>
      </c>
      <c r="M73" s="5">
        <f>tblSales[[#This Row],[DPP (excl. VAT)]]+tblSales[[#This Row],[Output VAT]]</f>
        <v>1332000</v>
      </c>
      <c r="N73" s="5">
        <f>tblSales[[#This Row],[Qty]]*_xlfn.XLOOKUP(tblSales[[#This Row],[Product Code]],tblProducts[Code],tblProducts[Unit Cost],0)</f>
        <v>704000</v>
      </c>
      <c r="O73" s="4" t="s">
        <v>4866</v>
      </c>
      <c r="P73" s="4" t="s">
        <v>4860</v>
      </c>
      <c r="Q73" s="1" t="str">
        <f>_xlfn.XLOOKUP(tblSales[[#This Row],[Channel Code]],tblChannels[Channel Code],tblChannels[Channel Name],"")</f>
        <v>In-store</v>
      </c>
      <c r="R73" s="1">
        <f>MONTH(tblSales[[#This Row],[Date]])</f>
        <v>1</v>
      </c>
    </row>
    <row r="74" spans="2:18" x14ac:dyDescent="0.35">
      <c r="B74" s="113">
        <v>46027</v>
      </c>
      <c r="C74" s="4" t="s">
        <v>89</v>
      </c>
      <c r="D74" s="4" t="s">
        <v>4568</v>
      </c>
      <c r="E74" s="1" t="str">
        <f>_xlfn.XLOOKUP(tblSales[[#This Row],[Customer ID]],tblCustomers[Customer ID],tblCustomers[Customer Name],"⚠ Unknown")</f>
        <v>Walk-in Customer</v>
      </c>
      <c r="F74" s="4" t="s">
        <v>7</v>
      </c>
      <c r="G74" s="1" t="str">
        <f>_xlfn.XLOOKUP(tblSales[[#This Row],[Product Code]],tblProducts[Code],tblProducts[Product / Service Name],"⚠ Unknown")</f>
        <v>Premium Basic T-shirt</v>
      </c>
      <c r="H74" s="1" t="str">
        <f>_xlfn.XLOOKUP(tblSales[[#This Row],[Product Code]],tblProducts[Code],tblProducts[Category],"")</f>
        <v>Accessories &amp; Basics</v>
      </c>
      <c r="I74" s="4">
        <v>4</v>
      </c>
      <c r="J74" s="5">
        <f>_xlfn.XLOOKUP(tblSales[[#This Row],[Product Code]],tblProducts[Code],tblProducts[Selling Price (excl. VAT)],0)</f>
        <v>65000</v>
      </c>
      <c r="K74" s="5">
        <f>tblSales[[#This Row],[Qty]]*tblSales[[#This Row],[Unit Price]]</f>
        <v>260000</v>
      </c>
      <c r="L74" s="5">
        <f>ROUND(tblSales[[#This Row],[DPP (excl. VAT)]]*VATEff,0)</f>
        <v>28600</v>
      </c>
      <c r="M74" s="5">
        <f>tblSales[[#This Row],[DPP (excl. VAT)]]+tblSales[[#This Row],[Output VAT]]</f>
        <v>288600</v>
      </c>
      <c r="N74" s="5">
        <f>tblSales[[#This Row],[Qty]]*_xlfn.XLOOKUP(tblSales[[#This Row],[Product Code]],tblProducts[Code],tblProducts[Unit Cost],0)</f>
        <v>148000</v>
      </c>
      <c r="O74" s="4" t="s">
        <v>4866</v>
      </c>
      <c r="P74" s="4" t="s">
        <v>4860</v>
      </c>
      <c r="Q74" s="1" t="str">
        <f>_xlfn.XLOOKUP(tblSales[[#This Row],[Channel Code]],tblChannels[Channel Code],tblChannels[Channel Name],"")</f>
        <v>In-store</v>
      </c>
      <c r="R74" s="1">
        <f>MONTH(tblSales[[#This Row],[Date]])</f>
        <v>1</v>
      </c>
    </row>
    <row r="75" spans="2:18" x14ac:dyDescent="0.35">
      <c r="B75" s="113">
        <v>46027</v>
      </c>
      <c r="C75" s="4" t="s">
        <v>90</v>
      </c>
      <c r="D75" s="4" t="s">
        <v>4568</v>
      </c>
      <c r="E75" s="1" t="str">
        <f>_xlfn.XLOOKUP(tblSales[[#This Row],[Customer ID]],tblCustomers[Customer ID],tblCustomers[Customer Name],"⚠ Unknown")</f>
        <v>Walk-in Customer</v>
      </c>
      <c r="F75" s="4" t="s">
        <v>8</v>
      </c>
      <c r="G75" s="1" t="str">
        <f>_xlfn.XLOOKUP(tblSales[[#This Row],[Product Code]],tblProducts[Code],tblProducts[Product / Service Name],"⚠ Unknown")</f>
        <v>Casual Shorts</v>
      </c>
      <c r="H75" s="1" t="str">
        <f>_xlfn.XLOOKUP(tblSales[[#This Row],[Product Code]],tblProducts[Code],tblProducts[Category],"")</f>
        <v>Accessories &amp; Basics</v>
      </c>
      <c r="I75" s="4">
        <v>10</v>
      </c>
      <c r="J75" s="5">
        <f>_xlfn.XLOOKUP(tblSales[[#This Row],[Product Code]],tblProducts[Code],tblProducts[Selling Price (excl. VAT)],0)</f>
        <v>85000</v>
      </c>
      <c r="K75" s="5">
        <f>tblSales[[#This Row],[Qty]]*tblSales[[#This Row],[Unit Price]]</f>
        <v>850000</v>
      </c>
      <c r="L75" s="5">
        <f>ROUND(tblSales[[#This Row],[DPP (excl. VAT)]]*VATEff,0)</f>
        <v>93500</v>
      </c>
      <c r="M75" s="5">
        <f>tblSales[[#This Row],[DPP (excl. VAT)]]+tblSales[[#This Row],[Output VAT]]</f>
        <v>943500</v>
      </c>
      <c r="N75" s="5">
        <f>tblSales[[#This Row],[Qty]]*_xlfn.XLOOKUP(tblSales[[#This Row],[Product Code]],tblProducts[Code],tblProducts[Unit Cost],0)</f>
        <v>500000</v>
      </c>
      <c r="O75" s="4" t="s">
        <v>4865</v>
      </c>
      <c r="P75" s="4" t="s">
        <v>4860</v>
      </c>
      <c r="Q75" s="1" t="str">
        <f>_xlfn.XLOOKUP(tblSales[[#This Row],[Channel Code]],tblChannels[Channel Code],tblChannels[Channel Name],"")</f>
        <v>In-store</v>
      </c>
      <c r="R75" s="1">
        <f>MONTH(tblSales[[#This Row],[Date]])</f>
        <v>1</v>
      </c>
    </row>
    <row r="76" spans="2:18" x14ac:dyDescent="0.35">
      <c r="B76" s="113">
        <v>46027</v>
      </c>
      <c r="C76" s="4" t="s">
        <v>91</v>
      </c>
      <c r="D76" s="4" t="s">
        <v>4568</v>
      </c>
      <c r="E76" s="1" t="str">
        <f>_xlfn.XLOOKUP(tblSales[[#This Row],[Customer ID]],tblCustomers[Customer ID],tblCustomers[Customer Name],"⚠ Unknown")</f>
        <v>Walk-in Customer</v>
      </c>
      <c r="F76" s="4" t="s">
        <v>15</v>
      </c>
      <c r="G76" s="1" t="str">
        <f>_xlfn.XLOOKUP(tblSales[[#This Row],[Product Code]],tblProducts[Code],tblProducts[Product / Service Name],"⚠ Unknown")</f>
        <v>Wireless Earbuds Pro</v>
      </c>
      <c r="H76" s="1" t="str">
        <f>_xlfn.XLOOKUP(tblSales[[#This Row],[Product Code]],tblProducts[Code],tblProducts[Category],"")</f>
        <v>Bags &amp; Gadgets</v>
      </c>
      <c r="I76" s="4">
        <v>1</v>
      </c>
      <c r="J76" s="5">
        <f>_xlfn.XLOOKUP(tblSales[[#This Row],[Product Code]],tblProducts[Code],tblProducts[Selling Price (excl. VAT)],0)</f>
        <v>1250000</v>
      </c>
      <c r="K76" s="5">
        <f>tblSales[[#This Row],[Qty]]*tblSales[[#This Row],[Unit Price]]</f>
        <v>1250000</v>
      </c>
      <c r="L76" s="5">
        <f>ROUND(tblSales[[#This Row],[DPP (excl. VAT)]]*VATEff,0)</f>
        <v>137500</v>
      </c>
      <c r="M76" s="5">
        <f>tblSales[[#This Row],[DPP (excl. VAT)]]+tblSales[[#This Row],[Output VAT]]</f>
        <v>1387500</v>
      </c>
      <c r="N76" s="5">
        <f>tblSales[[#This Row],[Qty]]*_xlfn.XLOOKUP(tblSales[[#This Row],[Product Code]],tblProducts[Code],tblProducts[Unit Cost],0)</f>
        <v>820000</v>
      </c>
      <c r="O76" s="4" t="s">
        <v>4865</v>
      </c>
      <c r="P76" s="4" t="s">
        <v>4860</v>
      </c>
      <c r="Q76" s="1" t="str">
        <f>_xlfn.XLOOKUP(tblSales[[#This Row],[Channel Code]],tblChannels[Channel Code],tblChannels[Channel Name],"")</f>
        <v>In-store</v>
      </c>
      <c r="R76" s="1">
        <f>MONTH(tblSales[[#This Row],[Date]])</f>
        <v>1</v>
      </c>
    </row>
    <row r="77" spans="2:18" x14ac:dyDescent="0.35">
      <c r="B77" s="113">
        <v>46027</v>
      </c>
      <c r="C77" s="4" t="s">
        <v>92</v>
      </c>
      <c r="D77" s="4" t="s">
        <v>4613</v>
      </c>
      <c r="E77" s="1" t="str">
        <f>_xlfn.XLOOKUP(tblSales[[#This Row],[Customer ID]],tblCustomers[Customer ID],tblCustomers[Customer Name],"⚠ Unknown")</f>
        <v>PT Mega Prima Distribusi</v>
      </c>
      <c r="F77" s="4" t="s">
        <v>8</v>
      </c>
      <c r="G77" s="1" t="str">
        <f>_xlfn.XLOOKUP(tblSales[[#This Row],[Product Code]],tblProducts[Code],tblProducts[Product / Service Name],"⚠ Unknown")</f>
        <v>Casual Shorts</v>
      </c>
      <c r="H77" s="1" t="str">
        <f>_xlfn.XLOOKUP(tblSales[[#This Row],[Product Code]],tblProducts[Code],tblProducts[Category],"")</f>
        <v>Accessories &amp; Basics</v>
      </c>
      <c r="I77" s="4">
        <v>88</v>
      </c>
      <c r="J77" s="5">
        <f>_xlfn.XLOOKUP(tblSales[[#This Row],[Product Code]],tblProducts[Code],tblProducts[Selling Price (excl. VAT)],0)</f>
        <v>85000</v>
      </c>
      <c r="K77" s="5">
        <f>tblSales[[#This Row],[Qty]]*tblSales[[#This Row],[Unit Price]]</f>
        <v>7480000</v>
      </c>
      <c r="L77" s="5">
        <f>ROUND(tblSales[[#This Row],[DPP (excl. VAT)]]*VATEff,0)</f>
        <v>822800</v>
      </c>
      <c r="M77" s="5">
        <f>tblSales[[#This Row],[DPP (excl. VAT)]]+tblSales[[#This Row],[Output VAT]]</f>
        <v>8302800</v>
      </c>
      <c r="N77" s="5">
        <f>tblSales[[#This Row],[Qty]]*_xlfn.XLOOKUP(tblSales[[#This Row],[Product Code]],tblProducts[Code],tblProducts[Unit Cost],0)</f>
        <v>4400000</v>
      </c>
      <c r="O77" s="4" t="s">
        <v>4867</v>
      </c>
      <c r="P77" s="4" t="s">
        <v>4860</v>
      </c>
      <c r="Q77" s="1" t="str">
        <f>_xlfn.XLOOKUP(tblSales[[#This Row],[Channel Code]],tblChannels[Channel Code],tblChannels[Channel Name],"")</f>
        <v>In-store</v>
      </c>
      <c r="R77" s="1">
        <f>MONTH(tblSales[[#This Row],[Date]])</f>
        <v>1</v>
      </c>
    </row>
    <row r="78" spans="2:18" x14ac:dyDescent="0.35">
      <c r="B78" s="113">
        <v>46027</v>
      </c>
      <c r="C78" s="4" t="s">
        <v>93</v>
      </c>
      <c r="D78" s="4" t="s">
        <v>4568</v>
      </c>
      <c r="E78" s="1" t="str">
        <f>_xlfn.XLOOKUP(tblSales[[#This Row],[Customer ID]],tblCustomers[Customer ID],tblCustomers[Customer Name],"⚠ Unknown")</f>
        <v>Walk-in Customer</v>
      </c>
      <c r="F78" s="4" t="s">
        <v>9</v>
      </c>
      <c r="G78" s="1" t="str">
        <f>_xlfn.XLOOKUP(tblSales[[#This Row],[Product Code]],tblProducts[Code],tblProducts[Product / Service Name],"⚠ Unknown")</f>
        <v>Casual Shirt</v>
      </c>
      <c r="H78" s="1" t="str">
        <f>_xlfn.XLOOKUP(tblSales[[#This Row],[Product Code]],tblProducts[Code],tblProducts[Category],"")</f>
        <v>Apparel &amp; Footwear</v>
      </c>
      <c r="I78" s="4">
        <v>4</v>
      </c>
      <c r="J78" s="5">
        <f>_xlfn.XLOOKUP(tblSales[[#This Row],[Product Code]],tblProducts[Code],tblProducts[Selling Price (excl. VAT)],0)</f>
        <v>120000</v>
      </c>
      <c r="K78" s="5">
        <f>tblSales[[#This Row],[Qty]]*tblSales[[#This Row],[Unit Price]]</f>
        <v>480000</v>
      </c>
      <c r="L78" s="5">
        <f>ROUND(tblSales[[#This Row],[DPP (excl. VAT)]]*VATEff,0)</f>
        <v>52800</v>
      </c>
      <c r="M78" s="5">
        <f>tblSales[[#This Row],[DPP (excl. VAT)]]+tblSales[[#This Row],[Output VAT]]</f>
        <v>532800</v>
      </c>
      <c r="N78" s="5">
        <f>tblSales[[#This Row],[Qty]]*_xlfn.XLOOKUP(tblSales[[#This Row],[Product Code]],tblProducts[Code],tblProducts[Unit Cost],0)</f>
        <v>288000</v>
      </c>
      <c r="O78" s="4" t="s">
        <v>4866</v>
      </c>
      <c r="P78" s="4" t="s">
        <v>4861</v>
      </c>
      <c r="Q78" s="1" t="str">
        <f>_xlfn.XLOOKUP(tblSales[[#This Row],[Channel Code]],tblChannels[Channel Code],tblChannels[Channel Name],"")</f>
        <v>Marketplace</v>
      </c>
      <c r="R78" s="1">
        <f>MONTH(tblSales[[#This Row],[Date]])</f>
        <v>1</v>
      </c>
    </row>
    <row r="79" spans="2:18" x14ac:dyDescent="0.35">
      <c r="B79" s="113">
        <v>46027</v>
      </c>
      <c r="C79" s="4" t="s">
        <v>94</v>
      </c>
      <c r="D79" s="4" t="s">
        <v>4568</v>
      </c>
      <c r="E79" s="1" t="str">
        <f>_xlfn.XLOOKUP(tblSales[[#This Row],[Customer ID]],tblCustomers[Customer ID],tblCustomers[Customer Name],"⚠ Unknown")</f>
        <v>Walk-in Customer</v>
      </c>
      <c r="F79" s="4" t="s">
        <v>9</v>
      </c>
      <c r="G79" s="1" t="str">
        <f>_xlfn.XLOOKUP(tblSales[[#This Row],[Product Code]],tblProducts[Code],tblProducts[Product / Service Name],"⚠ Unknown")</f>
        <v>Casual Shirt</v>
      </c>
      <c r="H79" s="1" t="str">
        <f>_xlfn.XLOOKUP(tblSales[[#This Row],[Product Code]],tblProducts[Code],tblProducts[Category],"")</f>
        <v>Apparel &amp; Footwear</v>
      </c>
      <c r="I79" s="4">
        <v>3</v>
      </c>
      <c r="J79" s="5">
        <f>_xlfn.XLOOKUP(tblSales[[#This Row],[Product Code]],tblProducts[Code],tblProducts[Selling Price (excl. VAT)],0)</f>
        <v>120000</v>
      </c>
      <c r="K79" s="5">
        <f>tblSales[[#This Row],[Qty]]*tblSales[[#This Row],[Unit Price]]</f>
        <v>360000</v>
      </c>
      <c r="L79" s="5">
        <f>ROUND(tblSales[[#This Row],[DPP (excl. VAT)]]*VATEff,0)</f>
        <v>39600</v>
      </c>
      <c r="M79" s="5">
        <f>tblSales[[#This Row],[DPP (excl. VAT)]]+tblSales[[#This Row],[Output VAT]]</f>
        <v>399600</v>
      </c>
      <c r="N79" s="5">
        <f>tblSales[[#This Row],[Qty]]*_xlfn.XLOOKUP(tblSales[[#This Row],[Product Code]],tblProducts[Code],tblProducts[Unit Cost],0)</f>
        <v>216000</v>
      </c>
      <c r="O79" s="4" t="s">
        <v>4865</v>
      </c>
      <c r="P79" s="4" t="s">
        <v>4860</v>
      </c>
      <c r="Q79" s="1" t="str">
        <f>_xlfn.XLOOKUP(tblSales[[#This Row],[Channel Code]],tblChannels[Channel Code],tblChannels[Channel Name],"")</f>
        <v>In-store</v>
      </c>
      <c r="R79" s="1">
        <f>MONTH(tblSales[[#This Row],[Date]])</f>
        <v>1</v>
      </c>
    </row>
    <row r="80" spans="2:18" x14ac:dyDescent="0.35">
      <c r="B80" s="113">
        <v>46027</v>
      </c>
      <c r="C80" s="4" t="s">
        <v>94</v>
      </c>
      <c r="D80" s="4" t="s">
        <v>4568</v>
      </c>
      <c r="E80" s="1" t="str">
        <f>_xlfn.XLOOKUP(tblSales[[#This Row],[Customer ID]],tblCustomers[Customer ID],tblCustomers[Customer Name],"⚠ Unknown")</f>
        <v>Walk-in Customer</v>
      </c>
      <c r="F80" s="4" t="s">
        <v>8</v>
      </c>
      <c r="G80" s="1" t="str">
        <f>_xlfn.XLOOKUP(tblSales[[#This Row],[Product Code]],tblProducts[Code],tblProducts[Product / Service Name],"⚠ Unknown")</f>
        <v>Casual Shorts</v>
      </c>
      <c r="H80" s="1" t="str">
        <f>_xlfn.XLOOKUP(tblSales[[#This Row],[Product Code]],tblProducts[Code],tblProducts[Category],"")</f>
        <v>Accessories &amp; Basics</v>
      </c>
      <c r="I80" s="4">
        <v>2</v>
      </c>
      <c r="J80" s="5">
        <f>_xlfn.XLOOKUP(tblSales[[#This Row],[Product Code]],tblProducts[Code],tblProducts[Selling Price (excl. VAT)],0)</f>
        <v>85000</v>
      </c>
      <c r="K80" s="5">
        <f>tblSales[[#This Row],[Qty]]*tblSales[[#This Row],[Unit Price]]</f>
        <v>170000</v>
      </c>
      <c r="L80" s="5">
        <f>ROUND(tblSales[[#This Row],[DPP (excl. VAT)]]*VATEff,0)</f>
        <v>18700</v>
      </c>
      <c r="M80" s="5">
        <f>tblSales[[#This Row],[DPP (excl. VAT)]]+tblSales[[#This Row],[Output VAT]]</f>
        <v>188700</v>
      </c>
      <c r="N80" s="5">
        <f>tblSales[[#This Row],[Qty]]*_xlfn.XLOOKUP(tblSales[[#This Row],[Product Code]],tblProducts[Code],tblProducts[Unit Cost],0)</f>
        <v>100000</v>
      </c>
      <c r="O80" s="4" t="s">
        <v>4865</v>
      </c>
      <c r="P80" s="4" t="s">
        <v>4860</v>
      </c>
      <c r="Q80" s="1" t="str">
        <f>_xlfn.XLOOKUP(tblSales[[#This Row],[Channel Code]],tblChannels[Channel Code],tblChannels[Channel Name],"")</f>
        <v>In-store</v>
      </c>
      <c r="R80" s="1">
        <f>MONTH(tblSales[[#This Row],[Date]])</f>
        <v>1</v>
      </c>
    </row>
    <row r="81" spans="2:18" x14ac:dyDescent="0.35">
      <c r="B81" s="113">
        <v>46027</v>
      </c>
      <c r="C81" s="4" t="s">
        <v>94</v>
      </c>
      <c r="D81" s="4" t="s">
        <v>4568</v>
      </c>
      <c r="E81" s="1" t="str">
        <f>_xlfn.XLOOKUP(tblSales[[#This Row],[Customer ID]],tblCustomers[Customer ID],tblCustomers[Customer Name],"⚠ Unknown")</f>
        <v>Walk-in Customer</v>
      </c>
      <c r="F81" s="4" t="s">
        <v>6</v>
      </c>
      <c r="G81" s="1" t="str">
        <f>_xlfn.XLOOKUP(tblSales[[#This Row],[Product Code]],tblProducts[Code],tblProducts[Product / Service Name],"⚠ Unknown")</f>
        <v>Socks &amp; Accessories</v>
      </c>
      <c r="H81" s="1" t="str">
        <f>_xlfn.XLOOKUP(tblSales[[#This Row],[Product Code]],tblProducts[Code],tblProducts[Category],"")</f>
        <v>Accessories &amp; Basics</v>
      </c>
      <c r="I81" s="4">
        <v>12</v>
      </c>
      <c r="J81" s="5">
        <f>_xlfn.XLOOKUP(tblSales[[#This Row],[Product Code]],tblProducts[Code],tblProducts[Selling Price (excl. VAT)],0)</f>
        <v>45000</v>
      </c>
      <c r="K81" s="5">
        <f>tblSales[[#This Row],[Qty]]*tblSales[[#This Row],[Unit Price]]</f>
        <v>540000</v>
      </c>
      <c r="L81" s="5">
        <f>ROUND(tblSales[[#This Row],[DPP (excl. VAT)]]*VATEff,0)</f>
        <v>59400</v>
      </c>
      <c r="M81" s="5">
        <f>tblSales[[#This Row],[DPP (excl. VAT)]]+tblSales[[#This Row],[Output VAT]]</f>
        <v>599400</v>
      </c>
      <c r="N81" s="5">
        <f>tblSales[[#This Row],[Qty]]*_xlfn.XLOOKUP(tblSales[[#This Row],[Product Code]],tblProducts[Code],tblProducts[Unit Cost],0)</f>
        <v>288000</v>
      </c>
      <c r="O81" s="4" t="s">
        <v>4865</v>
      </c>
      <c r="P81" s="4" t="s">
        <v>4860</v>
      </c>
      <c r="Q81" s="1" t="str">
        <f>_xlfn.XLOOKUP(tblSales[[#This Row],[Channel Code]],tblChannels[Channel Code],tblChannels[Channel Name],"")</f>
        <v>In-store</v>
      </c>
      <c r="R81" s="1">
        <f>MONTH(tblSales[[#This Row],[Date]])</f>
        <v>1</v>
      </c>
    </row>
    <row r="82" spans="2:18" x14ac:dyDescent="0.35">
      <c r="B82" s="113">
        <v>46028</v>
      </c>
      <c r="C82" s="4" t="s">
        <v>95</v>
      </c>
      <c r="D82" s="4" t="s">
        <v>4568</v>
      </c>
      <c r="E82" s="1" t="str">
        <f>_xlfn.XLOOKUP(tblSales[[#This Row],[Customer ID]],tblCustomers[Customer ID],tblCustomers[Customer Name],"⚠ Unknown")</f>
        <v>Walk-in Customer</v>
      </c>
      <c r="F82" s="4" t="s">
        <v>14</v>
      </c>
      <c r="G82" s="1" t="str">
        <f>_xlfn.XLOOKUP(tblSales[[#This Row],[Product Code]],tblProducts[Code],tblProducts[Product / Service Name],"⚠ Unknown")</f>
        <v>Smartwatch</v>
      </c>
      <c r="H82" s="1" t="str">
        <f>_xlfn.XLOOKUP(tblSales[[#This Row],[Product Code]],tblProducts[Code],tblProducts[Category],"")</f>
        <v>Bags &amp; Gadgets</v>
      </c>
      <c r="I82" s="4">
        <v>2</v>
      </c>
      <c r="J82" s="5">
        <f>_xlfn.XLOOKUP(tblSales[[#This Row],[Product Code]],tblProducts[Code],tblProducts[Selling Price (excl. VAT)],0)</f>
        <v>850000</v>
      </c>
      <c r="K82" s="5">
        <f>tblSales[[#This Row],[Qty]]*tblSales[[#This Row],[Unit Price]]</f>
        <v>1700000</v>
      </c>
      <c r="L82" s="5">
        <f>ROUND(tblSales[[#This Row],[DPP (excl. VAT)]]*VATEff,0)</f>
        <v>187000</v>
      </c>
      <c r="M82" s="5">
        <f>tblSales[[#This Row],[DPP (excl. VAT)]]+tblSales[[#This Row],[Output VAT]]</f>
        <v>1887000</v>
      </c>
      <c r="N82" s="5">
        <f>tblSales[[#This Row],[Qty]]*_xlfn.XLOOKUP(tblSales[[#This Row],[Product Code]],tblProducts[Code],tblProducts[Unit Cost],0)</f>
        <v>1120000</v>
      </c>
      <c r="O82" s="4" t="s">
        <v>4865</v>
      </c>
      <c r="P82" s="4" t="s">
        <v>4860</v>
      </c>
      <c r="Q82" s="1" t="str">
        <f>_xlfn.XLOOKUP(tblSales[[#This Row],[Channel Code]],tblChannels[Channel Code],tblChannels[Channel Name],"")</f>
        <v>In-store</v>
      </c>
      <c r="R82" s="1">
        <f>MONTH(tblSales[[#This Row],[Date]])</f>
        <v>1</v>
      </c>
    </row>
    <row r="83" spans="2:18" x14ac:dyDescent="0.35">
      <c r="B83" s="113">
        <v>46028</v>
      </c>
      <c r="C83" s="4" t="s">
        <v>95</v>
      </c>
      <c r="D83" s="4" t="s">
        <v>4568</v>
      </c>
      <c r="E83" s="1" t="str">
        <f>_xlfn.XLOOKUP(tblSales[[#This Row],[Customer ID]],tblCustomers[Customer ID],tblCustomers[Customer Name],"⚠ Unknown")</f>
        <v>Walk-in Customer</v>
      </c>
      <c r="F83" s="4" t="s">
        <v>6</v>
      </c>
      <c r="G83" s="1" t="str">
        <f>_xlfn.XLOOKUP(tblSales[[#This Row],[Product Code]],tblProducts[Code],tblProducts[Product / Service Name],"⚠ Unknown")</f>
        <v>Socks &amp; Accessories</v>
      </c>
      <c r="H83" s="1" t="str">
        <f>_xlfn.XLOOKUP(tblSales[[#This Row],[Product Code]],tblProducts[Code],tblProducts[Category],"")</f>
        <v>Accessories &amp; Basics</v>
      </c>
      <c r="I83" s="4">
        <v>12</v>
      </c>
      <c r="J83" s="5">
        <f>_xlfn.XLOOKUP(tblSales[[#This Row],[Product Code]],tblProducts[Code],tblProducts[Selling Price (excl. VAT)],0)</f>
        <v>45000</v>
      </c>
      <c r="K83" s="5">
        <f>tblSales[[#This Row],[Qty]]*tblSales[[#This Row],[Unit Price]]</f>
        <v>540000</v>
      </c>
      <c r="L83" s="5">
        <f>ROUND(tblSales[[#This Row],[DPP (excl. VAT)]]*VATEff,0)</f>
        <v>59400</v>
      </c>
      <c r="M83" s="5">
        <f>tblSales[[#This Row],[DPP (excl. VAT)]]+tblSales[[#This Row],[Output VAT]]</f>
        <v>599400</v>
      </c>
      <c r="N83" s="5">
        <f>tblSales[[#This Row],[Qty]]*_xlfn.XLOOKUP(tblSales[[#This Row],[Product Code]],tblProducts[Code],tblProducts[Unit Cost],0)</f>
        <v>288000</v>
      </c>
      <c r="O83" s="4" t="s">
        <v>4865</v>
      </c>
      <c r="P83" s="4" t="s">
        <v>4860</v>
      </c>
      <c r="Q83" s="1" t="str">
        <f>_xlfn.XLOOKUP(tblSales[[#This Row],[Channel Code]],tblChannels[Channel Code],tblChannels[Channel Name],"")</f>
        <v>In-store</v>
      </c>
      <c r="R83" s="1">
        <f>MONTH(tblSales[[#This Row],[Date]])</f>
        <v>1</v>
      </c>
    </row>
    <row r="84" spans="2:18" x14ac:dyDescent="0.35">
      <c r="B84" s="113">
        <v>46028</v>
      </c>
      <c r="C84" s="4" t="s">
        <v>95</v>
      </c>
      <c r="D84" s="4" t="s">
        <v>4568</v>
      </c>
      <c r="E84" s="1" t="str">
        <f>_xlfn.XLOOKUP(tblSales[[#This Row],[Customer ID]],tblCustomers[Customer ID],tblCustomers[Customer Name],"⚠ Unknown")</f>
        <v>Walk-in Customer</v>
      </c>
      <c r="F84" s="4" t="s">
        <v>7</v>
      </c>
      <c r="G84" s="1" t="str">
        <f>_xlfn.XLOOKUP(tblSales[[#This Row],[Product Code]],tblProducts[Code],tblProducts[Product / Service Name],"⚠ Unknown")</f>
        <v>Premium Basic T-shirt</v>
      </c>
      <c r="H84" s="1" t="str">
        <f>_xlfn.XLOOKUP(tblSales[[#This Row],[Product Code]],tblProducts[Code],tblProducts[Category],"")</f>
        <v>Accessories &amp; Basics</v>
      </c>
      <c r="I84" s="4">
        <v>8</v>
      </c>
      <c r="J84" s="5">
        <f>_xlfn.XLOOKUP(tblSales[[#This Row],[Product Code]],tblProducts[Code],tblProducts[Selling Price (excl. VAT)],0)</f>
        <v>65000</v>
      </c>
      <c r="K84" s="5">
        <f>tblSales[[#This Row],[Qty]]*tblSales[[#This Row],[Unit Price]]</f>
        <v>520000</v>
      </c>
      <c r="L84" s="5">
        <f>ROUND(tblSales[[#This Row],[DPP (excl. VAT)]]*VATEff,0)</f>
        <v>57200</v>
      </c>
      <c r="M84" s="5">
        <f>tblSales[[#This Row],[DPP (excl. VAT)]]+tblSales[[#This Row],[Output VAT]]</f>
        <v>577200</v>
      </c>
      <c r="N84" s="5">
        <f>tblSales[[#This Row],[Qty]]*_xlfn.XLOOKUP(tblSales[[#This Row],[Product Code]],tblProducts[Code],tblProducts[Unit Cost],0)</f>
        <v>296000</v>
      </c>
      <c r="O84" s="4" t="s">
        <v>4865</v>
      </c>
      <c r="P84" s="4" t="s">
        <v>4860</v>
      </c>
      <c r="Q84" s="1" t="str">
        <f>_xlfn.XLOOKUP(tblSales[[#This Row],[Channel Code]],tblChannels[Channel Code],tblChannels[Channel Name],"")</f>
        <v>In-store</v>
      </c>
      <c r="R84" s="1">
        <f>MONTH(tblSales[[#This Row],[Date]])</f>
        <v>1</v>
      </c>
    </row>
    <row r="85" spans="2:18" x14ac:dyDescent="0.35">
      <c r="B85" s="113">
        <v>46028</v>
      </c>
      <c r="C85" s="4" t="s">
        <v>96</v>
      </c>
      <c r="D85" s="4" t="s">
        <v>4568</v>
      </c>
      <c r="E85" s="1" t="str">
        <f>_xlfn.XLOOKUP(tblSales[[#This Row],[Customer ID]],tblCustomers[Customer ID],tblCustomers[Customer Name],"⚠ Unknown")</f>
        <v>Walk-in Customer</v>
      </c>
      <c r="F85" s="4" t="s">
        <v>7</v>
      </c>
      <c r="G85" s="1" t="str">
        <f>_xlfn.XLOOKUP(tblSales[[#This Row],[Product Code]],tblProducts[Code],tblProducts[Product / Service Name],"⚠ Unknown")</f>
        <v>Premium Basic T-shirt</v>
      </c>
      <c r="H85" s="1" t="str">
        <f>_xlfn.XLOOKUP(tblSales[[#This Row],[Product Code]],tblProducts[Code],tblProducts[Category],"")</f>
        <v>Accessories &amp; Basics</v>
      </c>
      <c r="I85" s="4">
        <v>9</v>
      </c>
      <c r="J85" s="5">
        <f>_xlfn.XLOOKUP(tblSales[[#This Row],[Product Code]],tblProducts[Code],tblProducts[Selling Price (excl. VAT)],0)</f>
        <v>65000</v>
      </c>
      <c r="K85" s="5">
        <f>tblSales[[#This Row],[Qty]]*tblSales[[#This Row],[Unit Price]]</f>
        <v>585000</v>
      </c>
      <c r="L85" s="5">
        <f>ROUND(tblSales[[#This Row],[DPP (excl. VAT)]]*VATEff,0)</f>
        <v>64350</v>
      </c>
      <c r="M85" s="5">
        <f>tblSales[[#This Row],[DPP (excl. VAT)]]+tblSales[[#This Row],[Output VAT]]</f>
        <v>649350</v>
      </c>
      <c r="N85" s="5">
        <f>tblSales[[#This Row],[Qty]]*_xlfn.XLOOKUP(tblSales[[#This Row],[Product Code]],tblProducts[Code],tblProducts[Unit Cost],0)</f>
        <v>333000</v>
      </c>
      <c r="O85" s="4" t="s">
        <v>4866</v>
      </c>
      <c r="P85" s="4" t="s">
        <v>4861</v>
      </c>
      <c r="Q85" s="1" t="str">
        <f>_xlfn.XLOOKUP(tblSales[[#This Row],[Channel Code]],tblChannels[Channel Code],tblChannels[Channel Name],"")</f>
        <v>Marketplace</v>
      </c>
      <c r="R85" s="1">
        <f>MONTH(tblSales[[#This Row],[Date]])</f>
        <v>1</v>
      </c>
    </row>
    <row r="86" spans="2:18" x14ac:dyDescent="0.35">
      <c r="B86" s="113">
        <v>46028</v>
      </c>
      <c r="C86" s="4" t="s">
        <v>96</v>
      </c>
      <c r="D86" s="4" t="s">
        <v>4568</v>
      </c>
      <c r="E86" s="1" t="str">
        <f>_xlfn.XLOOKUP(tblSales[[#This Row],[Customer ID]],tblCustomers[Customer ID],tblCustomers[Customer Name],"⚠ Unknown")</f>
        <v>Walk-in Customer</v>
      </c>
      <c r="F86" s="4" t="s">
        <v>12</v>
      </c>
      <c r="G86" s="1" t="str">
        <f>_xlfn.XLOOKUP(tblSales[[#This Row],[Product Code]],tblProducts[Code],tblProducts[Product / Service Name],"⚠ Unknown")</f>
        <v>Bomber Jacket</v>
      </c>
      <c r="H86" s="1" t="str">
        <f>_xlfn.XLOOKUP(tblSales[[#This Row],[Product Code]],tblProducts[Code],tblProducts[Category],"")</f>
        <v>Apparel &amp; Footwear</v>
      </c>
      <c r="I86" s="4">
        <v>6</v>
      </c>
      <c r="J86" s="5">
        <f>_xlfn.XLOOKUP(tblSales[[#This Row],[Product Code]],tblProducts[Code],tblProducts[Selling Price (excl. VAT)],0)</f>
        <v>350000</v>
      </c>
      <c r="K86" s="5">
        <f>tblSales[[#This Row],[Qty]]*tblSales[[#This Row],[Unit Price]]</f>
        <v>2100000</v>
      </c>
      <c r="L86" s="5">
        <f>ROUND(tblSales[[#This Row],[DPP (excl. VAT)]]*VATEff,0)</f>
        <v>231000</v>
      </c>
      <c r="M86" s="5">
        <f>tblSales[[#This Row],[DPP (excl. VAT)]]+tblSales[[#This Row],[Output VAT]]</f>
        <v>2331000</v>
      </c>
      <c r="N86" s="5">
        <f>tblSales[[#This Row],[Qty]]*_xlfn.XLOOKUP(tblSales[[#This Row],[Product Code]],tblProducts[Code],tblProducts[Unit Cost],0)</f>
        <v>1260000</v>
      </c>
      <c r="O86" s="4" t="s">
        <v>4866</v>
      </c>
      <c r="P86" s="4" t="s">
        <v>4861</v>
      </c>
      <c r="Q86" s="1" t="str">
        <f>_xlfn.XLOOKUP(tblSales[[#This Row],[Channel Code]],tblChannels[Channel Code],tblChannels[Channel Name],"")</f>
        <v>Marketplace</v>
      </c>
      <c r="R86" s="1">
        <f>MONTH(tblSales[[#This Row],[Date]])</f>
        <v>1</v>
      </c>
    </row>
    <row r="87" spans="2:18" x14ac:dyDescent="0.35">
      <c r="B87" s="113">
        <v>46028</v>
      </c>
      <c r="C87" s="4" t="s">
        <v>97</v>
      </c>
      <c r="D87" s="4" t="s">
        <v>4568</v>
      </c>
      <c r="E87" s="1" t="str">
        <f>_xlfn.XLOOKUP(tblSales[[#This Row],[Customer ID]],tblCustomers[Customer ID],tblCustomers[Customer Name],"⚠ Unknown")</f>
        <v>Walk-in Customer</v>
      </c>
      <c r="F87" s="4" t="s">
        <v>10</v>
      </c>
      <c r="G87" s="1" t="str">
        <f>_xlfn.XLOOKUP(tblSales[[#This Row],[Product Code]],tblProducts[Code],tblProducts[Product / Service Name],"⚠ Unknown")</f>
        <v>Chino Pants</v>
      </c>
      <c r="H87" s="1" t="str">
        <f>_xlfn.XLOOKUP(tblSales[[#This Row],[Product Code]],tblProducts[Code],tblProducts[Category],"")</f>
        <v>Apparel &amp; Footwear</v>
      </c>
      <c r="I87" s="4">
        <v>10</v>
      </c>
      <c r="J87" s="5">
        <f>_xlfn.XLOOKUP(tblSales[[#This Row],[Product Code]],tblProducts[Code],tblProducts[Selling Price (excl. VAT)],0)</f>
        <v>150000</v>
      </c>
      <c r="K87" s="5">
        <f>tblSales[[#This Row],[Qty]]*tblSales[[#This Row],[Unit Price]]</f>
        <v>1500000</v>
      </c>
      <c r="L87" s="5">
        <f>ROUND(tblSales[[#This Row],[DPP (excl. VAT)]]*VATEff,0)</f>
        <v>165000</v>
      </c>
      <c r="M87" s="5">
        <f>tblSales[[#This Row],[DPP (excl. VAT)]]+tblSales[[#This Row],[Output VAT]]</f>
        <v>1665000</v>
      </c>
      <c r="N87" s="5">
        <f>tblSales[[#This Row],[Qty]]*_xlfn.XLOOKUP(tblSales[[#This Row],[Product Code]],tblProducts[Code],tblProducts[Unit Cost],0)</f>
        <v>880000</v>
      </c>
      <c r="O87" s="4" t="s">
        <v>4866</v>
      </c>
      <c r="P87" s="4" t="s">
        <v>4861</v>
      </c>
      <c r="Q87" s="1" t="str">
        <f>_xlfn.XLOOKUP(tblSales[[#This Row],[Channel Code]],tblChannels[Channel Code],tblChannels[Channel Name],"")</f>
        <v>Marketplace</v>
      </c>
      <c r="R87" s="1">
        <f>MONTH(tblSales[[#This Row],[Date]])</f>
        <v>1</v>
      </c>
    </row>
    <row r="88" spans="2:18" x14ac:dyDescent="0.35">
      <c r="B88" s="113">
        <v>46028</v>
      </c>
      <c r="C88" s="4" t="s">
        <v>98</v>
      </c>
      <c r="D88" s="4" t="s">
        <v>4613</v>
      </c>
      <c r="E88" s="1" t="str">
        <f>_xlfn.XLOOKUP(tblSales[[#This Row],[Customer ID]],tblCustomers[Customer ID],tblCustomers[Customer Name],"⚠ Unknown")</f>
        <v>PT Mega Prima Distribusi</v>
      </c>
      <c r="F88" s="4" t="s">
        <v>6</v>
      </c>
      <c r="G88" s="1" t="str">
        <f>_xlfn.XLOOKUP(tblSales[[#This Row],[Product Code]],tblProducts[Code],tblProducts[Product / Service Name],"⚠ Unknown")</f>
        <v>Socks &amp; Accessories</v>
      </c>
      <c r="H88" s="1" t="str">
        <f>_xlfn.XLOOKUP(tblSales[[#This Row],[Product Code]],tblProducts[Code],tblProducts[Category],"")</f>
        <v>Accessories &amp; Basics</v>
      </c>
      <c r="I88" s="4">
        <v>40</v>
      </c>
      <c r="J88" s="5">
        <f>_xlfn.XLOOKUP(tblSales[[#This Row],[Product Code]],tblProducts[Code],tblProducts[Selling Price (excl. VAT)],0)</f>
        <v>45000</v>
      </c>
      <c r="K88" s="5">
        <f>tblSales[[#This Row],[Qty]]*tblSales[[#This Row],[Unit Price]]</f>
        <v>1800000</v>
      </c>
      <c r="L88" s="5">
        <f>ROUND(tblSales[[#This Row],[DPP (excl. VAT)]]*VATEff,0)</f>
        <v>198000</v>
      </c>
      <c r="M88" s="5">
        <f>tblSales[[#This Row],[DPP (excl. VAT)]]+tblSales[[#This Row],[Output VAT]]</f>
        <v>1998000</v>
      </c>
      <c r="N88" s="5">
        <f>tblSales[[#This Row],[Qty]]*_xlfn.XLOOKUP(tblSales[[#This Row],[Product Code]],tblProducts[Code],tblProducts[Unit Cost],0)</f>
        <v>960000</v>
      </c>
      <c r="O88" s="4" t="s">
        <v>4867</v>
      </c>
      <c r="P88" s="4" t="s">
        <v>4860</v>
      </c>
      <c r="Q88" s="1" t="str">
        <f>_xlfn.XLOOKUP(tblSales[[#This Row],[Channel Code]],tblChannels[Channel Code],tblChannels[Channel Name],"")</f>
        <v>In-store</v>
      </c>
      <c r="R88" s="1">
        <f>MONTH(tblSales[[#This Row],[Date]])</f>
        <v>1</v>
      </c>
    </row>
    <row r="89" spans="2:18" x14ac:dyDescent="0.35">
      <c r="B89" s="113">
        <v>46028</v>
      </c>
      <c r="C89" s="4" t="s">
        <v>99</v>
      </c>
      <c r="D89" s="4" t="s">
        <v>4568</v>
      </c>
      <c r="E89" s="1" t="str">
        <f>_xlfn.XLOOKUP(tblSales[[#This Row],[Customer ID]],tblCustomers[Customer ID],tblCustomers[Customer Name],"⚠ Unknown")</f>
        <v>Walk-in Customer</v>
      </c>
      <c r="F89" s="4" t="s">
        <v>12</v>
      </c>
      <c r="G89" s="1" t="str">
        <f>_xlfn.XLOOKUP(tblSales[[#This Row],[Product Code]],tblProducts[Code],tblProducts[Product / Service Name],"⚠ Unknown")</f>
        <v>Bomber Jacket</v>
      </c>
      <c r="H89" s="1" t="str">
        <f>_xlfn.XLOOKUP(tblSales[[#This Row],[Product Code]],tblProducts[Code],tblProducts[Category],"")</f>
        <v>Apparel &amp; Footwear</v>
      </c>
      <c r="I89" s="4">
        <v>3</v>
      </c>
      <c r="J89" s="5">
        <f>_xlfn.XLOOKUP(tblSales[[#This Row],[Product Code]],tblProducts[Code],tblProducts[Selling Price (excl. VAT)],0)</f>
        <v>350000</v>
      </c>
      <c r="K89" s="5">
        <f>tblSales[[#This Row],[Qty]]*tblSales[[#This Row],[Unit Price]]</f>
        <v>1050000</v>
      </c>
      <c r="L89" s="5">
        <f>ROUND(tblSales[[#This Row],[DPP (excl. VAT)]]*VATEff,0)</f>
        <v>115500</v>
      </c>
      <c r="M89" s="5">
        <f>tblSales[[#This Row],[DPP (excl. VAT)]]+tblSales[[#This Row],[Output VAT]]</f>
        <v>1165500</v>
      </c>
      <c r="N89" s="5">
        <f>tblSales[[#This Row],[Qty]]*_xlfn.XLOOKUP(tblSales[[#This Row],[Product Code]],tblProducts[Code],tblProducts[Unit Cost],0)</f>
        <v>630000</v>
      </c>
      <c r="O89" s="4" t="s">
        <v>4865</v>
      </c>
      <c r="P89" s="4" t="s">
        <v>4860</v>
      </c>
      <c r="Q89" s="1" t="str">
        <f>_xlfn.XLOOKUP(tblSales[[#This Row],[Channel Code]],tblChannels[Channel Code],tblChannels[Channel Name],"")</f>
        <v>In-store</v>
      </c>
      <c r="R89" s="1">
        <f>MONTH(tblSales[[#This Row],[Date]])</f>
        <v>1</v>
      </c>
    </row>
    <row r="90" spans="2:18" x14ac:dyDescent="0.35">
      <c r="B90" s="113">
        <v>46028</v>
      </c>
      <c r="C90" s="4" t="s">
        <v>100</v>
      </c>
      <c r="D90" s="4" t="s">
        <v>4568</v>
      </c>
      <c r="E90" s="1" t="str">
        <f>_xlfn.XLOOKUP(tblSales[[#This Row],[Customer ID]],tblCustomers[Customer ID],tblCustomers[Customer Name],"⚠ Unknown")</f>
        <v>Walk-in Customer</v>
      </c>
      <c r="F90" s="4" t="s">
        <v>7</v>
      </c>
      <c r="G90" s="1" t="str">
        <f>_xlfn.XLOOKUP(tblSales[[#This Row],[Product Code]],tblProducts[Code],tblProducts[Product / Service Name],"⚠ Unknown")</f>
        <v>Premium Basic T-shirt</v>
      </c>
      <c r="H90" s="1" t="str">
        <f>_xlfn.XLOOKUP(tblSales[[#This Row],[Product Code]],tblProducts[Code],tblProducts[Category],"")</f>
        <v>Accessories &amp; Basics</v>
      </c>
      <c r="I90" s="4">
        <v>4</v>
      </c>
      <c r="J90" s="5">
        <f>_xlfn.XLOOKUP(tblSales[[#This Row],[Product Code]],tblProducts[Code],tblProducts[Selling Price (excl. VAT)],0)</f>
        <v>65000</v>
      </c>
      <c r="K90" s="5">
        <f>tblSales[[#This Row],[Qty]]*tblSales[[#This Row],[Unit Price]]</f>
        <v>260000</v>
      </c>
      <c r="L90" s="5">
        <f>ROUND(tblSales[[#This Row],[DPP (excl. VAT)]]*VATEff,0)</f>
        <v>28600</v>
      </c>
      <c r="M90" s="5">
        <f>tblSales[[#This Row],[DPP (excl. VAT)]]+tblSales[[#This Row],[Output VAT]]</f>
        <v>288600</v>
      </c>
      <c r="N90" s="5">
        <f>tblSales[[#This Row],[Qty]]*_xlfn.XLOOKUP(tblSales[[#This Row],[Product Code]],tblProducts[Code],tblProducts[Unit Cost],0)</f>
        <v>148000</v>
      </c>
      <c r="O90" s="4" t="s">
        <v>4865</v>
      </c>
      <c r="P90" s="4" t="s">
        <v>4860</v>
      </c>
      <c r="Q90" s="1" t="str">
        <f>_xlfn.XLOOKUP(tblSales[[#This Row],[Channel Code]],tblChannels[Channel Code],tblChannels[Channel Name],"")</f>
        <v>In-store</v>
      </c>
      <c r="R90" s="1">
        <f>MONTH(tblSales[[#This Row],[Date]])</f>
        <v>1</v>
      </c>
    </row>
    <row r="91" spans="2:18" x14ac:dyDescent="0.35">
      <c r="B91" s="113">
        <v>46028</v>
      </c>
      <c r="C91" s="4" t="s">
        <v>101</v>
      </c>
      <c r="D91" s="4" t="s">
        <v>4568</v>
      </c>
      <c r="E91" s="1" t="str">
        <f>_xlfn.XLOOKUP(tblSales[[#This Row],[Customer ID]],tblCustomers[Customer ID],tblCustomers[Customer Name],"⚠ Unknown")</f>
        <v>Walk-in Customer</v>
      </c>
      <c r="F91" s="4" t="s">
        <v>13</v>
      </c>
      <c r="G91" s="1" t="str">
        <f>_xlfn.XLOOKUP(tblSales[[#This Row],[Product Code]],tblProducts[Code],tblProducts[Product / Service Name],"⚠ Unknown")</f>
        <v>Backpack</v>
      </c>
      <c r="H91" s="1" t="str">
        <f>_xlfn.XLOOKUP(tblSales[[#This Row],[Product Code]],tblProducts[Code],tblProducts[Category],"")</f>
        <v>Bags &amp; Gadgets</v>
      </c>
      <c r="I91" s="4">
        <v>6</v>
      </c>
      <c r="J91" s="5">
        <f>_xlfn.XLOOKUP(tblSales[[#This Row],[Product Code]],tblProducts[Code],tblProducts[Selling Price (excl. VAT)],0)</f>
        <v>500000</v>
      </c>
      <c r="K91" s="5">
        <f>tblSales[[#This Row],[Qty]]*tblSales[[#This Row],[Unit Price]]</f>
        <v>3000000</v>
      </c>
      <c r="L91" s="5">
        <f>ROUND(tblSales[[#This Row],[DPP (excl. VAT)]]*VATEff,0)</f>
        <v>330000</v>
      </c>
      <c r="M91" s="5">
        <f>tblSales[[#This Row],[DPP (excl. VAT)]]+tblSales[[#This Row],[Output VAT]]</f>
        <v>3330000</v>
      </c>
      <c r="N91" s="5">
        <f>tblSales[[#This Row],[Qty]]*_xlfn.XLOOKUP(tblSales[[#This Row],[Product Code]],tblProducts[Code],tblProducts[Unit Cost],0)</f>
        <v>1740000</v>
      </c>
      <c r="O91" s="4" t="s">
        <v>4865</v>
      </c>
      <c r="P91" s="4" t="s">
        <v>4860</v>
      </c>
      <c r="Q91" s="1" t="str">
        <f>_xlfn.XLOOKUP(tblSales[[#This Row],[Channel Code]],tblChannels[Channel Code],tblChannels[Channel Name],"")</f>
        <v>In-store</v>
      </c>
      <c r="R91" s="1">
        <f>MONTH(tblSales[[#This Row],[Date]])</f>
        <v>1</v>
      </c>
    </row>
    <row r="92" spans="2:18" x14ac:dyDescent="0.35">
      <c r="B92" s="113">
        <v>46028</v>
      </c>
      <c r="C92" s="4" t="s">
        <v>102</v>
      </c>
      <c r="D92" s="4" t="s">
        <v>4613</v>
      </c>
      <c r="E92" s="1" t="str">
        <f>_xlfn.XLOOKUP(tblSales[[#This Row],[Customer ID]],tblCustomers[Customer ID],tblCustomers[Customer Name],"⚠ Unknown")</f>
        <v>PT Mega Prima Distribusi</v>
      </c>
      <c r="F92" s="4" t="s">
        <v>9</v>
      </c>
      <c r="G92" s="1" t="str">
        <f>_xlfn.XLOOKUP(tblSales[[#This Row],[Product Code]],tblProducts[Code],tblProducts[Product / Service Name],"⚠ Unknown")</f>
        <v>Casual Shirt</v>
      </c>
      <c r="H92" s="1" t="str">
        <f>_xlfn.XLOOKUP(tblSales[[#This Row],[Product Code]],tblProducts[Code],tblProducts[Category],"")</f>
        <v>Apparel &amp; Footwear</v>
      </c>
      <c r="I92" s="4">
        <v>48</v>
      </c>
      <c r="J92" s="5">
        <f>_xlfn.XLOOKUP(tblSales[[#This Row],[Product Code]],tblProducts[Code],tblProducts[Selling Price (excl. VAT)],0)</f>
        <v>120000</v>
      </c>
      <c r="K92" s="5">
        <f>tblSales[[#This Row],[Qty]]*tblSales[[#This Row],[Unit Price]]</f>
        <v>5760000</v>
      </c>
      <c r="L92" s="5">
        <f>ROUND(tblSales[[#This Row],[DPP (excl. VAT)]]*VATEff,0)</f>
        <v>633600</v>
      </c>
      <c r="M92" s="5">
        <f>tblSales[[#This Row],[DPP (excl. VAT)]]+tblSales[[#This Row],[Output VAT]]</f>
        <v>6393600</v>
      </c>
      <c r="N92" s="5">
        <f>tblSales[[#This Row],[Qty]]*_xlfn.XLOOKUP(tblSales[[#This Row],[Product Code]],tblProducts[Code],tblProducts[Unit Cost],0)</f>
        <v>3456000</v>
      </c>
      <c r="O92" s="4" t="s">
        <v>4867</v>
      </c>
      <c r="P92" s="4" t="s">
        <v>4860</v>
      </c>
      <c r="Q92" s="1" t="str">
        <f>_xlfn.XLOOKUP(tblSales[[#This Row],[Channel Code]],tblChannels[Channel Code],tblChannels[Channel Name],"")</f>
        <v>In-store</v>
      </c>
      <c r="R92" s="1">
        <f>MONTH(tblSales[[#This Row],[Date]])</f>
        <v>1</v>
      </c>
    </row>
    <row r="93" spans="2:18" x14ac:dyDescent="0.35">
      <c r="B93" s="113">
        <v>46028</v>
      </c>
      <c r="C93" s="4" t="s">
        <v>103</v>
      </c>
      <c r="D93" s="4" t="s">
        <v>4568</v>
      </c>
      <c r="E93" s="1" t="str">
        <f>_xlfn.XLOOKUP(tblSales[[#This Row],[Customer ID]],tblCustomers[Customer ID],tblCustomers[Customer Name],"⚠ Unknown")</f>
        <v>Walk-in Customer</v>
      </c>
      <c r="F93" s="4" t="s">
        <v>10</v>
      </c>
      <c r="G93" s="1" t="str">
        <f>_xlfn.XLOOKUP(tblSales[[#This Row],[Product Code]],tblProducts[Code],tblProducts[Product / Service Name],"⚠ Unknown")</f>
        <v>Chino Pants</v>
      </c>
      <c r="H93" s="1" t="str">
        <f>_xlfn.XLOOKUP(tblSales[[#This Row],[Product Code]],tblProducts[Code],tblProducts[Category],"")</f>
        <v>Apparel &amp; Footwear</v>
      </c>
      <c r="I93" s="4">
        <v>10</v>
      </c>
      <c r="J93" s="5">
        <f>_xlfn.XLOOKUP(tblSales[[#This Row],[Product Code]],tblProducts[Code],tblProducts[Selling Price (excl. VAT)],0)</f>
        <v>150000</v>
      </c>
      <c r="K93" s="5">
        <f>tblSales[[#This Row],[Qty]]*tblSales[[#This Row],[Unit Price]]</f>
        <v>1500000</v>
      </c>
      <c r="L93" s="5">
        <f>ROUND(tblSales[[#This Row],[DPP (excl. VAT)]]*VATEff,0)</f>
        <v>165000</v>
      </c>
      <c r="M93" s="5">
        <f>tblSales[[#This Row],[DPP (excl. VAT)]]+tblSales[[#This Row],[Output VAT]]</f>
        <v>1665000</v>
      </c>
      <c r="N93" s="5">
        <f>tblSales[[#This Row],[Qty]]*_xlfn.XLOOKUP(tblSales[[#This Row],[Product Code]],tblProducts[Code],tblProducts[Unit Cost],0)</f>
        <v>880000</v>
      </c>
      <c r="O93" s="4" t="s">
        <v>4866</v>
      </c>
      <c r="P93" s="4" t="s">
        <v>4861</v>
      </c>
      <c r="Q93" s="1" t="str">
        <f>_xlfn.XLOOKUP(tblSales[[#This Row],[Channel Code]],tblChannels[Channel Code],tblChannels[Channel Name],"")</f>
        <v>Marketplace</v>
      </c>
      <c r="R93" s="1">
        <f>MONTH(tblSales[[#This Row],[Date]])</f>
        <v>1</v>
      </c>
    </row>
    <row r="94" spans="2:18" x14ac:dyDescent="0.35">
      <c r="B94" s="113">
        <v>46028</v>
      </c>
      <c r="C94" s="4" t="s">
        <v>104</v>
      </c>
      <c r="D94" s="4" t="s">
        <v>4568</v>
      </c>
      <c r="E94" s="1" t="str">
        <f>_xlfn.XLOOKUP(tblSales[[#This Row],[Customer ID]],tblCustomers[Customer ID],tblCustomers[Customer Name],"⚠ Unknown")</f>
        <v>Walk-in Customer</v>
      </c>
      <c r="F94" s="4" t="s">
        <v>9</v>
      </c>
      <c r="G94" s="1" t="str">
        <f>_xlfn.XLOOKUP(tblSales[[#This Row],[Product Code]],tblProducts[Code],tblProducts[Product / Service Name],"⚠ Unknown")</f>
        <v>Casual Shirt</v>
      </c>
      <c r="H94" s="1" t="str">
        <f>_xlfn.XLOOKUP(tblSales[[#This Row],[Product Code]],tblProducts[Code],tblProducts[Category],"")</f>
        <v>Apparel &amp; Footwear</v>
      </c>
      <c r="I94" s="4">
        <v>8</v>
      </c>
      <c r="J94" s="5">
        <f>_xlfn.XLOOKUP(tblSales[[#This Row],[Product Code]],tblProducts[Code],tblProducts[Selling Price (excl. VAT)],0)</f>
        <v>120000</v>
      </c>
      <c r="K94" s="5">
        <f>tblSales[[#This Row],[Qty]]*tblSales[[#This Row],[Unit Price]]</f>
        <v>960000</v>
      </c>
      <c r="L94" s="5">
        <f>ROUND(tblSales[[#This Row],[DPP (excl. VAT)]]*VATEff,0)</f>
        <v>105600</v>
      </c>
      <c r="M94" s="5">
        <f>tblSales[[#This Row],[DPP (excl. VAT)]]+tblSales[[#This Row],[Output VAT]]</f>
        <v>1065600</v>
      </c>
      <c r="N94" s="5">
        <f>tblSales[[#This Row],[Qty]]*_xlfn.XLOOKUP(tblSales[[#This Row],[Product Code]],tblProducts[Code],tblProducts[Unit Cost],0)</f>
        <v>576000</v>
      </c>
      <c r="O94" s="4" t="s">
        <v>4865</v>
      </c>
      <c r="P94" s="4" t="s">
        <v>4860</v>
      </c>
      <c r="Q94" s="1" t="str">
        <f>_xlfn.XLOOKUP(tblSales[[#This Row],[Channel Code]],tblChannels[Channel Code],tblChannels[Channel Name],"")</f>
        <v>In-store</v>
      </c>
      <c r="R94" s="1">
        <f>MONTH(tblSales[[#This Row],[Date]])</f>
        <v>1</v>
      </c>
    </row>
    <row r="95" spans="2:18" x14ac:dyDescent="0.35">
      <c r="B95" s="113">
        <v>46028</v>
      </c>
      <c r="C95" s="4" t="s">
        <v>105</v>
      </c>
      <c r="D95" s="4" t="s">
        <v>4568</v>
      </c>
      <c r="E95" s="1" t="str">
        <f>_xlfn.XLOOKUP(tblSales[[#This Row],[Customer ID]],tblCustomers[Customer ID],tblCustomers[Customer Name],"⚠ Unknown")</f>
        <v>Walk-in Customer</v>
      </c>
      <c r="F95" s="4" t="s">
        <v>9</v>
      </c>
      <c r="G95" s="1" t="str">
        <f>_xlfn.XLOOKUP(tblSales[[#This Row],[Product Code]],tblProducts[Code],tblProducts[Product / Service Name],"⚠ Unknown")</f>
        <v>Casual Shirt</v>
      </c>
      <c r="H95" s="1" t="str">
        <f>_xlfn.XLOOKUP(tblSales[[#This Row],[Product Code]],tblProducts[Code],tblProducts[Category],"")</f>
        <v>Apparel &amp; Footwear</v>
      </c>
      <c r="I95" s="4">
        <v>10</v>
      </c>
      <c r="J95" s="5">
        <f>_xlfn.XLOOKUP(tblSales[[#This Row],[Product Code]],tblProducts[Code],tblProducts[Selling Price (excl. VAT)],0)</f>
        <v>120000</v>
      </c>
      <c r="K95" s="5">
        <f>tblSales[[#This Row],[Qty]]*tblSales[[#This Row],[Unit Price]]</f>
        <v>1200000</v>
      </c>
      <c r="L95" s="5">
        <f>ROUND(tblSales[[#This Row],[DPP (excl. VAT)]]*VATEff,0)</f>
        <v>132000</v>
      </c>
      <c r="M95" s="5">
        <f>tblSales[[#This Row],[DPP (excl. VAT)]]+tblSales[[#This Row],[Output VAT]]</f>
        <v>1332000</v>
      </c>
      <c r="N95" s="5">
        <f>tblSales[[#This Row],[Qty]]*_xlfn.XLOOKUP(tblSales[[#This Row],[Product Code]],tblProducts[Code],tblProducts[Unit Cost],0)</f>
        <v>720000</v>
      </c>
      <c r="O95" s="4" t="s">
        <v>4865</v>
      </c>
      <c r="P95" s="4" t="s">
        <v>4860</v>
      </c>
      <c r="Q95" s="1" t="str">
        <f>_xlfn.XLOOKUP(tblSales[[#This Row],[Channel Code]],tblChannels[Channel Code],tblChannels[Channel Name],"")</f>
        <v>In-store</v>
      </c>
      <c r="R95" s="1">
        <f>MONTH(tblSales[[#This Row],[Date]])</f>
        <v>1</v>
      </c>
    </row>
    <row r="96" spans="2:18" x14ac:dyDescent="0.35">
      <c r="B96" s="113">
        <v>46029</v>
      </c>
      <c r="C96" s="4" t="s">
        <v>106</v>
      </c>
      <c r="D96" s="4" t="s">
        <v>4568</v>
      </c>
      <c r="E96" s="1" t="str">
        <f>_xlfn.XLOOKUP(tblSales[[#This Row],[Customer ID]],tblCustomers[Customer ID],tblCustomers[Customer Name],"⚠ Unknown")</f>
        <v>Walk-in Customer</v>
      </c>
      <c r="F96" s="4" t="s">
        <v>6</v>
      </c>
      <c r="G96" s="1" t="str">
        <f>_xlfn.XLOOKUP(tblSales[[#This Row],[Product Code]],tblProducts[Code],tblProducts[Product / Service Name],"⚠ Unknown")</f>
        <v>Socks &amp; Accessories</v>
      </c>
      <c r="H96" s="1" t="str">
        <f>_xlfn.XLOOKUP(tblSales[[#This Row],[Product Code]],tblProducts[Code],tblProducts[Category],"")</f>
        <v>Accessories &amp; Basics</v>
      </c>
      <c r="I96" s="4">
        <v>1</v>
      </c>
      <c r="J96" s="5">
        <f>_xlfn.XLOOKUP(tblSales[[#This Row],[Product Code]],tblProducts[Code],tblProducts[Selling Price (excl. VAT)],0)</f>
        <v>45000</v>
      </c>
      <c r="K96" s="5">
        <f>tblSales[[#This Row],[Qty]]*tblSales[[#This Row],[Unit Price]]</f>
        <v>45000</v>
      </c>
      <c r="L96" s="5">
        <f>ROUND(tblSales[[#This Row],[DPP (excl. VAT)]]*VATEff,0)</f>
        <v>4950</v>
      </c>
      <c r="M96" s="5">
        <f>tblSales[[#This Row],[DPP (excl. VAT)]]+tblSales[[#This Row],[Output VAT]]</f>
        <v>49950</v>
      </c>
      <c r="N96" s="5">
        <f>tblSales[[#This Row],[Qty]]*_xlfn.XLOOKUP(tblSales[[#This Row],[Product Code]],tblProducts[Code],tblProducts[Unit Cost],0)</f>
        <v>24000</v>
      </c>
      <c r="O96" s="4" t="s">
        <v>4865</v>
      </c>
      <c r="P96" s="4" t="s">
        <v>4860</v>
      </c>
      <c r="Q96" s="1" t="str">
        <f>_xlfn.XLOOKUP(tblSales[[#This Row],[Channel Code]],tblChannels[Channel Code],tblChannels[Channel Name],"")</f>
        <v>In-store</v>
      </c>
      <c r="R96" s="1">
        <f>MONTH(tblSales[[#This Row],[Date]])</f>
        <v>1</v>
      </c>
    </row>
    <row r="97" spans="2:18" x14ac:dyDescent="0.35">
      <c r="B97" s="113">
        <v>46029</v>
      </c>
      <c r="C97" s="4" t="s">
        <v>106</v>
      </c>
      <c r="D97" s="4" t="s">
        <v>4568</v>
      </c>
      <c r="E97" s="1" t="str">
        <f>_xlfn.XLOOKUP(tblSales[[#This Row],[Customer ID]],tblCustomers[Customer ID],tblCustomers[Customer Name],"⚠ Unknown")</f>
        <v>Walk-in Customer</v>
      </c>
      <c r="F97" s="4" t="s">
        <v>7</v>
      </c>
      <c r="G97" s="1" t="str">
        <f>_xlfn.XLOOKUP(tblSales[[#This Row],[Product Code]],tblProducts[Code],tblProducts[Product / Service Name],"⚠ Unknown")</f>
        <v>Premium Basic T-shirt</v>
      </c>
      <c r="H97" s="1" t="str">
        <f>_xlfn.XLOOKUP(tblSales[[#This Row],[Product Code]],tblProducts[Code],tblProducts[Category],"")</f>
        <v>Accessories &amp; Basics</v>
      </c>
      <c r="I97" s="4">
        <v>7</v>
      </c>
      <c r="J97" s="5">
        <f>_xlfn.XLOOKUP(tblSales[[#This Row],[Product Code]],tblProducts[Code],tblProducts[Selling Price (excl. VAT)],0)</f>
        <v>65000</v>
      </c>
      <c r="K97" s="5">
        <f>tblSales[[#This Row],[Qty]]*tblSales[[#This Row],[Unit Price]]</f>
        <v>455000</v>
      </c>
      <c r="L97" s="5">
        <f>ROUND(tblSales[[#This Row],[DPP (excl. VAT)]]*VATEff,0)</f>
        <v>50050</v>
      </c>
      <c r="M97" s="5">
        <f>tblSales[[#This Row],[DPP (excl. VAT)]]+tblSales[[#This Row],[Output VAT]]</f>
        <v>505050</v>
      </c>
      <c r="N97" s="5">
        <f>tblSales[[#This Row],[Qty]]*_xlfn.XLOOKUP(tblSales[[#This Row],[Product Code]],tblProducts[Code],tblProducts[Unit Cost],0)</f>
        <v>259000</v>
      </c>
      <c r="O97" s="4" t="s">
        <v>4865</v>
      </c>
      <c r="P97" s="4" t="s">
        <v>4860</v>
      </c>
      <c r="Q97" s="1" t="str">
        <f>_xlfn.XLOOKUP(tblSales[[#This Row],[Channel Code]],tblChannels[Channel Code],tblChannels[Channel Name],"")</f>
        <v>In-store</v>
      </c>
      <c r="R97" s="1">
        <f>MONTH(tblSales[[#This Row],[Date]])</f>
        <v>1</v>
      </c>
    </row>
    <row r="98" spans="2:18" x14ac:dyDescent="0.35">
      <c r="B98" s="113">
        <v>46029</v>
      </c>
      <c r="C98" s="4" t="s">
        <v>107</v>
      </c>
      <c r="D98" s="4" t="s">
        <v>4568</v>
      </c>
      <c r="E98" s="1" t="str">
        <f>_xlfn.XLOOKUP(tblSales[[#This Row],[Customer ID]],tblCustomers[Customer ID],tblCustomers[Customer Name],"⚠ Unknown")</f>
        <v>Walk-in Customer</v>
      </c>
      <c r="F98" s="4" t="s">
        <v>8</v>
      </c>
      <c r="G98" s="1" t="str">
        <f>_xlfn.XLOOKUP(tblSales[[#This Row],[Product Code]],tblProducts[Code],tblProducts[Product / Service Name],"⚠ Unknown")</f>
        <v>Casual Shorts</v>
      </c>
      <c r="H98" s="1" t="str">
        <f>_xlfn.XLOOKUP(tblSales[[#This Row],[Product Code]],tblProducts[Code],tblProducts[Category],"")</f>
        <v>Accessories &amp; Basics</v>
      </c>
      <c r="I98" s="4">
        <v>2</v>
      </c>
      <c r="J98" s="5">
        <f>_xlfn.XLOOKUP(tblSales[[#This Row],[Product Code]],tblProducts[Code],tblProducts[Selling Price (excl. VAT)],0)</f>
        <v>85000</v>
      </c>
      <c r="K98" s="5">
        <f>tblSales[[#This Row],[Qty]]*tblSales[[#This Row],[Unit Price]]</f>
        <v>170000</v>
      </c>
      <c r="L98" s="5">
        <f>ROUND(tblSales[[#This Row],[DPP (excl. VAT)]]*VATEff,0)</f>
        <v>18700</v>
      </c>
      <c r="M98" s="5">
        <f>tblSales[[#This Row],[DPP (excl. VAT)]]+tblSales[[#This Row],[Output VAT]]</f>
        <v>188700</v>
      </c>
      <c r="N98" s="5">
        <f>tblSales[[#This Row],[Qty]]*_xlfn.XLOOKUP(tblSales[[#This Row],[Product Code]],tblProducts[Code],tblProducts[Unit Cost],0)</f>
        <v>100000</v>
      </c>
      <c r="O98" s="4" t="s">
        <v>4866</v>
      </c>
      <c r="P98" s="4" t="s">
        <v>4860</v>
      </c>
      <c r="Q98" s="1" t="str">
        <f>_xlfn.XLOOKUP(tblSales[[#This Row],[Channel Code]],tblChannels[Channel Code],tblChannels[Channel Name],"")</f>
        <v>In-store</v>
      </c>
      <c r="R98" s="1">
        <f>MONTH(tblSales[[#This Row],[Date]])</f>
        <v>1</v>
      </c>
    </row>
    <row r="99" spans="2:18" x14ac:dyDescent="0.35">
      <c r="B99" s="113">
        <v>46029</v>
      </c>
      <c r="C99" s="4" t="s">
        <v>108</v>
      </c>
      <c r="D99" s="4" t="s">
        <v>4568</v>
      </c>
      <c r="E99" s="1" t="str">
        <f>_xlfn.XLOOKUP(tblSales[[#This Row],[Customer ID]],tblCustomers[Customer ID],tblCustomers[Customer Name],"⚠ Unknown")</f>
        <v>Walk-in Customer</v>
      </c>
      <c r="F99" s="4" t="s">
        <v>9</v>
      </c>
      <c r="G99" s="1" t="str">
        <f>_xlfn.XLOOKUP(tblSales[[#This Row],[Product Code]],tblProducts[Code],tblProducts[Product / Service Name],"⚠ Unknown")</f>
        <v>Casual Shirt</v>
      </c>
      <c r="H99" s="1" t="str">
        <f>_xlfn.XLOOKUP(tblSales[[#This Row],[Product Code]],tblProducts[Code],tblProducts[Category],"")</f>
        <v>Apparel &amp; Footwear</v>
      </c>
      <c r="I99" s="4">
        <v>12</v>
      </c>
      <c r="J99" s="5">
        <f>_xlfn.XLOOKUP(tblSales[[#This Row],[Product Code]],tblProducts[Code],tblProducts[Selling Price (excl. VAT)],0)</f>
        <v>120000</v>
      </c>
      <c r="K99" s="5">
        <f>tblSales[[#This Row],[Qty]]*tblSales[[#This Row],[Unit Price]]</f>
        <v>1440000</v>
      </c>
      <c r="L99" s="5">
        <f>ROUND(tblSales[[#This Row],[DPP (excl. VAT)]]*VATEff,0)</f>
        <v>158400</v>
      </c>
      <c r="M99" s="5">
        <f>tblSales[[#This Row],[DPP (excl. VAT)]]+tblSales[[#This Row],[Output VAT]]</f>
        <v>1598400</v>
      </c>
      <c r="N99" s="5">
        <f>tblSales[[#This Row],[Qty]]*_xlfn.XLOOKUP(tblSales[[#This Row],[Product Code]],tblProducts[Code],tblProducts[Unit Cost],0)</f>
        <v>864000</v>
      </c>
      <c r="O99" s="4" t="s">
        <v>4866</v>
      </c>
      <c r="P99" s="4" t="s">
        <v>4862</v>
      </c>
      <c r="Q99" s="1" t="str">
        <f>_xlfn.XLOOKUP(tblSales[[#This Row],[Channel Code]],tblChannels[Channel Code],tblChannels[Channel Name],"")</f>
        <v>Website &amp; Social Media</v>
      </c>
      <c r="R99" s="1">
        <f>MONTH(tblSales[[#This Row],[Date]])</f>
        <v>1</v>
      </c>
    </row>
    <row r="100" spans="2:18" x14ac:dyDescent="0.35">
      <c r="B100" s="113">
        <v>46029</v>
      </c>
      <c r="C100" s="4" t="s">
        <v>109</v>
      </c>
      <c r="D100" s="4" t="s">
        <v>4578</v>
      </c>
      <c r="E100" s="1" t="str">
        <f>_xlfn.XLOOKUP(tblSales[[#This Row],[Customer ID]],tblCustomers[Customer ID],tblCustomers[Customer Name],"⚠ Unknown")</f>
        <v>PT Bintang Timur Sejahtera</v>
      </c>
      <c r="F100" s="4" t="s">
        <v>8</v>
      </c>
      <c r="G100" s="1" t="str">
        <f>_xlfn.XLOOKUP(tblSales[[#This Row],[Product Code]],tblProducts[Code],tblProducts[Product / Service Name],"⚠ Unknown")</f>
        <v>Casual Shorts</v>
      </c>
      <c r="H100" s="1" t="str">
        <f>_xlfn.XLOOKUP(tblSales[[#This Row],[Product Code]],tblProducts[Code],tblProducts[Category],"")</f>
        <v>Accessories &amp; Basics</v>
      </c>
      <c r="I100" s="4">
        <v>48</v>
      </c>
      <c r="J100" s="5">
        <f>_xlfn.XLOOKUP(tblSales[[#This Row],[Product Code]],tblProducts[Code],tblProducts[Selling Price (excl. VAT)],0)</f>
        <v>85000</v>
      </c>
      <c r="K100" s="5">
        <f>tblSales[[#This Row],[Qty]]*tblSales[[#This Row],[Unit Price]]</f>
        <v>4080000</v>
      </c>
      <c r="L100" s="5">
        <f>ROUND(tblSales[[#This Row],[DPP (excl. VAT)]]*VATEff,0)</f>
        <v>448800</v>
      </c>
      <c r="M100" s="5">
        <f>tblSales[[#This Row],[DPP (excl. VAT)]]+tblSales[[#This Row],[Output VAT]]</f>
        <v>4528800</v>
      </c>
      <c r="N100" s="5">
        <f>tblSales[[#This Row],[Qty]]*_xlfn.XLOOKUP(tblSales[[#This Row],[Product Code]],tblProducts[Code],tblProducts[Unit Cost],0)</f>
        <v>2400000</v>
      </c>
      <c r="O100" s="4" t="s">
        <v>4867</v>
      </c>
      <c r="P100" s="4" t="s">
        <v>4860</v>
      </c>
      <c r="Q100" s="1" t="str">
        <f>_xlfn.XLOOKUP(tblSales[[#This Row],[Channel Code]],tblChannels[Channel Code],tblChannels[Channel Name],"")</f>
        <v>In-store</v>
      </c>
      <c r="R100" s="1">
        <f>MONTH(tblSales[[#This Row],[Date]])</f>
        <v>1</v>
      </c>
    </row>
    <row r="101" spans="2:18" x14ac:dyDescent="0.35">
      <c r="B101" s="113">
        <v>46029</v>
      </c>
      <c r="C101" s="4" t="s">
        <v>110</v>
      </c>
      <c r="D101" s="4" t="s">
        <v>4568</v>
      </c>
      <c r="E101" s="1" t="str">
        <f>_xlfn.XLOOKUP(tblSales[[#This Row],[Customer ID]],tblCustomers[Customer ID],tblCustomers[Customer Name],"⚠ Unknown")</f>
        <v>Walk-in Customer</v>
      </c>
      <c r="F101" s="4" t="s">
        <v>7</v>
      </c>
      <c r="G101" s="1" t="str">
        <f>_xlfn.XLOOKUP(tblSales[[#This Row],[Product Code]],tblProducts[Code],tblProducts[Product / Service Name],"⚠ Unknown")</f>
        <v>Premium Basic T-shirt</v>
      </c>
      <c r="H101" s="1" t="str">
        <f>_xlfn.XLOOKUP(tblSales[[#This Row],[Product Code]],tblProducts[Code],tblProducts[Category],"")</f>
        <v>Accessories &amp; Basics</v>
      </c>
      <c r="I101" s="4">
        <v>1</v>
      </c>
      <c r="J101" s="5">
        <f>_xlfn.XLOOKUP(tblSales[[#This Row],[Product Code]],tblProducts[Code],tblProducts[Selling Price (excl. VAT)],0)</f>
        <v>65000</v>
      </c>
      <c r="K101" s="5">
        <f>tblSales[[#This Row],[Qty]]*tblSales[[#This Row],[Unit Price]]</f>
        <v>65000</v>
      </c>
      <c r="L101" s="5">
        <f>ROUND(tblSales[[#This Row],[DPP (excl. VAT)]]*VATEff,0)</f>
        <v>7150</v>
      </c>
      <c r="M101" s="5">
        <f>tblSales[[#This Row],[DPP (excl. VAT)]]+tblSales[[#This Row],[Output VAT]]</f>
        <v>72150</v>
      </c>
      <c r="N101" s="5">
        <f>tblSales[[#This Row],[Qty]]*_xlfn.XLOOKUP(tblSales[[#This Row],[Product Code]],tblProducts[Code],tblProducts[Unit Cost],0)</f>
        <v>37000</v>
      </c>
      <c r="O101" s="4" t="s">
        <v>4866</v>
      </c>
      <c r="P101" s="4" t="s">
        <v>4862</v>
      </c>
      <c r="Q101" s="1" t="str">
        <f>_xlfn.XLOOKUP(tblSales[[#This Row],[Channel Code]],tblChannels[Channel Code],tblChannels[Channel Name],"")</f>
        <v>Website &amp; Social Media</v>
      </c>
      <c r="R101" s="1">
        <f>MONTH(tblSales[[#This Row],[Date]])</f>
        <v>1</v>
      </c>
    </row>
    <row r="102" spans="2:18" x14ac:dyDescent="0.35">
      <c r="B102" s="113">
        <v>46029</v>
      </c>
      <c r="C102" s="4" t="s">
        <v>111</v>
      </c>
      <c r="D102" s="4" t="s">
        <v>4599</v>
      </c>
      <c r="E102" s="1" t="str">
        <f>_xlfn.XLOOKUP(tblSales[[#This Row],[Customer ID]],tblCustomers[Customer ID],tblCustomers[Customer Name],"⚠ Unknown")</f>
        <v>PT Samudra Jaya Logistik</v>
      </c>
      <c r="F102" s="4" t="s">
        <v>11</v>
      </c>
      <c r="G102" s="1" t="str">
        <f>_xlfn.XLOOKUP(tblSales[[#This Row],[Product Code]],tblProducts[Code],tblProducts[Product / Service Name],"⚠ Unknown")</f>
        <v>Sneakers</v>
      </c>
      <c r="H102" s="1" t="str">
        <f>_xlfn.XLOOKUP(tblSales[[#This Row],[Product Code]],tblProducts[Code],tblProducts[Category],"")</f>
        <v>Apparel &amp; Footwear</v>
      </c>
      <c r="I102" s="4">
        <v>40</v>
      </c>
      <c r="J102" s="5">
        <f>_xlfn.XLOOKUP(tblSales[[#This Row],[Product Code]],tblProducts[Code],tblProducts[Selling Price (excl. VAT)],0)</f>
        <v>250000</v>
      </c>
      <c r="K102" s="5">
        <f>tblSales[[#This Row],[Qty]]*tblSales[[#This Row],[Unit Price]]</f>
        <v>10000000</v>
      </c>
      <c r="L102" s="5">
        <f>ROUND(tblSales[[#This Row],[DPP (excl. VAT)]]*VATEff,0)</f>
        <v>1100000</v>
      </c>
      <c r="M102" s="5">
        <f>tblSales[[#This Row],[DPP (excl. VAT)]]+tblSales[[#This Row],[Output VAT]]</f>
        <v>11100000</v>
      </c>
      <c r="N102" s="5">
        <f>tblSales[[#This Row],[Qty]]*_xlfn.XLOOKUP(tblSales[[#This Row],[Product Code]],tblProducts[Code],tblProducts[Unit Cost],0)</f>
        <v>6200000</v>
      </c>
      <c r="O102" s="4" t="s">
        <v>4867</v>
      </c>
      <c r="P102" s="4" t="s">
        <v>4862</v>
      </c>
      <c r="Q102" s="1" t="str">
        <f>_xlfn.XLOOKUP(tblSales[[#This Row],[Channel Code]],tblChannels[Channel Code],tblChannels[Channel Name],"")</f>
        <v>Website &amp; Social Media</v>
      </c>
      <c r="R102" s="1">
        <f>MONTH(tblSales[[#This Row],[Date]])</f>
        <v>1</v>
      </c>
    </row>
    <row r="103" spans="2:18" x14ac:dyDescent="0.35">
      <c r="B103" s="113">
        <v>46029</v>
      </c>
      <c r="C103" s="4" t="s">
        <v>112</v>
      </c>
      <c r="D103" s="4" t="s">
        <v>4634</v>
      </c>
      <c r="E103" s="1" t="str">
        <f>_xlfn.XLOOKUP(tblSales[[#This Row],[Customer ID]],tblCustomers[Customer ID],tblCustomers[Customer Name],"⚠ Unknown")</f>
        <v>PT Delta Inti Selaras</v>
      </c>
      <c r="F103" s="4" t="s">
        <v>7</v>
      </c>
      <c r="G103" s="1" t="str">
        <f>_xlfn.XLOOKUP(tblSales[[#This Row],[Product Code]],tblProducts[Code],tblProducts[Product / Service Name],"⚠ Unknown")</f>
        <v>Premium Basic T-shirt</v>
      </c>
      <c r="H103" s="1" t="str">
        <f>_xlfn.XLOOKUP(tblSales[[#This Row],[Product Code]],tblProducts[Code],tblProducts[Category],"")</f>
        <v>Accessories &amp; Basics</v>
      </c>
      <c r="I103" s="4">
        <v>80</v>
      </c>
      <c r="J103" s="5">
        <f>_xlfn.XLOOKUP(tblSales[[#This Row],[Product Code]],tblProducts[Code],tblProducts[Selling Price (excl. VAT)],0)</f>
        <v>65000</v>
      </c>
      <c r="K103" s="5">
        <f>tblSales[[#This Row],[Qty]]*tblSales[[#This Row],[Unit Price]]</f>
        <v>5200000</v>
      </c>
      <c r="L103" s="5">
        <f>ROUND(tblSales[[#This Row],[DPP (excl. VAT)]]*VATEff,0)</f>
        <v>572000</v>
      </c>
      <c r="M103" s="5">
        <f>tblSales[[#This Row],[DPP (excl. VAT)]]+tblSales[[#This Row],[Output VAT]]</f>
        <v>5772000</v>
      </c>
      <c r="N103" s="5">
        <f>tblSales[[#This Row],[Qty]]*_xlfn.XLOOKUP(tblSales[[#This Row],[Product Code]],tblProducts[Code],tblProducts[Unit Cost],0)</f>
        <v>2960000</v>
      </c>
      <c r="O103" s="4" t="s">
        <v>4867</v>
      </c>
      <c r="P103" s="4" t="s">
        <v>4860</v>
      </c>
      <c r="Q103" s="1" t="str">
        <f>_xlfn.XLOOKUP(tblSales[[#This Row],[Channel Code]],tblChannels[Channel Code],tblChannels[Channel Name],"")</f>
        <v>In-store</v>
      </c>
      <c r="R103" s="1">
        <f>MONTH(tblSales[[#This Row],[Date]])</f>
        <v>1</v>
      </c>
    </row>
    <row r="104" spans="2:18" x14ac:dyDescent="0.35">
      <c r="B104" s="113">
        <v>46029</v>
      </c>
      <c r="C104" s="4" t="s">
        <v>113</v>
      </c>
      <c r="D104" s="4" t="s">
        <v>4568</v>
      </c>
      <c r="E104" s="1" t="str">
        <f>_xlfn.XLOOKUP(tblSales[[#This Row],[Customer ID]],tblCustomers[Customer ID],tblCustomers[Customer Name],"⚠ Unknown")</f>
        <v>Walk-in Customer</v>
      </c>
      <c r="F104" s="4" t="s">
        <v>7</v>
      </c>
      <c r="G104" s="1" t="str">
        <f>_xlfn.XLOOKUP(tblSales[[#This Row],[Product Code]],tblProducts[Code],tblProducts[Product / Service Name],"⚠ Unknown")</f>
        <v>Premium Basic T-shirt</v>
      </c>
      <c r="H104" s="1" t="str">
        <f>_xlfn.XLOOKUP(tblSales[[#This Row],[Product Code]],tblProducts[Code],tblProducts[Category],"")</f>
        <v>Accessories &amp; Basics</v>
      </c>
      <c r="I104" s="4">
        <v>4</v>
      </c>
      <c r="J104" s="5">
        <f>_xlfn.XLOOKUP(tblSales[[#This Row],[Product Code]],tblProducts[Code],tblProducts[Selling Price (excl. VAT)],0)</f>
        <v>65000</v>
      </c>
      <c r="K104" s="5">
        <f>tblSales[[#This Row],[Qty]]*tblSales[[#This Row],[Unit Price]]</f>
        <v>260000</v>
      </c>
      <c r="L104" s="5">
        <f>ROUND(tblSales[[#This Row],[DPP (excl. VAT)]]*VATEff,0)</f>
        <v>28600</v>
      </c>
      <c r="M104" s="5">
        <f>tblSales[[#This Row],[DPP (excl. VAT)]]+tblSales[[#This Row],[Output VAT]]</f>
        <v>288600</v>
      </c>
      <c r="N104" s="5">
        <f>tblSales[[#This Row],[Qty]]*_xlfn.XLOOKUP(tblSales[[#This Row],[Product Code]],tblProducts[Code],tblProducts[Unit Cost],0)</f>
        <v>148000</v>
      </c>
      <c r="O104" s="4" t="s">
        <v>4866</v>
      </c>
      <c r="P104" s="4" t="s">
        <v>4861</v>
      </c>
      <c r="Q104" s="1" t="str">
        <f>_xlfn.XLOOKUP(tblSales[[#This Row],[Channel Code]],tblChannels[Channel Code],tblChannels[Channel Name],"")</f>
        <v>Marketplace</v>
      </c>
      <c r="R104" s="1">
        <f>MONTH(tblSales[[#This Row],[Date]])</f>
        <v>1</v>
      </c>
    </row>
    <row r="105" spans="2:18" x14ac:dyDescent="0.35">
      <c r="B105" s="113">
        <v>46029</v>
      </c>
      <c r="C105" s="4" t="s">
        <v>114</v>
      </c>
      <c r="D105" s="4" t="s">
        <v>4568</v>
      </c>
      <c r="E105" s="1" t="str">
        <f>_xlfn.XLOOKUP(tblSales[[#This Row],[Customer ID]],tblCustomers[Customer ID],tblCustomers[Customer Name],"⚠ Unknown")</f>
        <v>Walk-in Customer</v>
      </c>
      <c r="F105" s="4" t="s">
        <v>6</v>
      </c>
      <c r="G105" s="1" t="str">
        <f>_xlfn.XLOOKUP(tblSales[[#This Row],[Product Code]],tblProducts[Code],tblProducts[Product / Service Name],"⚠ Unknown")</f>
        <v>Socks &amp; Accessories</v>
      </c>
      <c r="H105" s="1" t="str">
        <f>_xlfn.XLOOKUP(tblSales[[#This Row],[Product Code]],tblProducts[Code],tblProducts[Category],"")</f>
        <v>Accessories &amp; Basics</v>
      </c>
      <c r="I105" s="4">
        <v>9</v>
      </c>
      <c r="J105" s="5">
        <f>_xlfn.XLOOKUP(tblSales[[#This Row],[Product Code]],tblProducts[Code],tblProducts[Selling Price (excl. VAT)],0)</f>
        <v>45000</v>
      </c>
      <c r="K105" s="5">
        <f>tblSales[[#This Row],[Qty]]*tblSales[[#This Row],[Unit Price]]</f>
        <v>405000</v>
      </c>
      <c r="L105" s="5">
        <f>ROUND(tblSales[[#This Row],[DPP (excl. VAT)]]*VATEff,0)</f>
        <v>44550</v>
      </c>
      <c r="M105" s="5">
        <f>tblSales[[#This Row],[DPP (excl. VAT)]]+tblSales[[#This Row],[Output VAT]]</f>
        <v>449550</v>
      </c>
      <c r="N105" s="5">
        <f>tblSales[[#This Row],[Qty]]*_xlfn.XLOOKUP(tblSales[[#This Row],[Product Code]],tblProducts[Code],tblProducts[Unit Cost],0)</f>
        <v>216000</v>
      </c>
      <c r="O105" s="4" t="s">
        <v>4866</v>
      </c>
      <c r="P105" s="4" t="s">
        <v>4861</v>
      </c>
      <c r="Q105" s="1" t="str">
        <f>_xlfn.XLOOKUP(tblSales[[#This Row],[Channel Code]],tblChannels[Channel Code],tblChannels[Channel Name],"")</f>
        <v>Marketplace</v>
      </c>
      <c r="R105" s="1">
        <f>MONTH(tblSales[[#This Row],[Date]])</f>
        <v>1</v>
      </c>
    </row>
    <row r="106" spans="2:18" x14ac:dyDescent="0.35">
      <c r="B106" s="113">
        <v>46029</v>
      </c>
      <c r="C106" s="4" t="s">
        <v>115</v>
      </c>
      <c r="D106" s="4" t="s">
        <v>4627</v>
      </c>
      <c r="E106" s="1" t="str">
        <f>_xlfn.XLOOKUP(tblSales[[#This Row],[Customer ID]],tblCustomers[Customer ID],tblCustomers[Customer Name],"⚠ Unknown")</f>
        <v>PT Kencana Wira Usaha</v>
      </c>
      <c r="F106" s="4" t="s">
        <v>12</v>
      </c>
      <c r="G106" s="1" t="str">
        <f>_xlfn.XLOOKUP(tblSales[[#This Row],[Product Code]],tblProducts[Code],tblProducts[Product / Service Name],"⚠ Unknown")</f>
        <v>Bomber Jacket</v>
      </c>
      <c r="H106" s="1" t="str">
        <f>_xlfn.XLOOKUP(tblSales[[#This Row],[Product Code]],tblProducts[Code],tblProducts[Category],"")</f>
        <v>Apparel &amp; Footwear</v>
      </c>
      <c r="I106" s="4">
        <v>16</v>
      </c>
      <c r="J106" s="5">
        <f>_xlfn.XLOOKUP(tblSales[[#This Row],[Product Code]],tblProducts[Code],tblProducts[Selling Price (excl. VAT)],0)</f>
        <v>350000</v>
      </c>
      <c r="K106" s="5">
        <f>tblSales[[#This Row],[Qty]]*tblSales[[#This Row],[Unit Price]]</f>
        <v>5600000</v>
      </c>
      <c r="L106" s="5">
        <f>ROUND(tblSales[[#This Row],[DPP (excl. VAT)]]*VATEff,0)</f>
        <v>616000</v>
      </c>
      <c r="M106" s="5">
        <f>tblSales[[#This Row],[DPP (excl. VAT)]]+tblSales[[#This Row],[Output VAT]]</f>
        <v>6216000</v>
      </c>
      <c r="N106" s="5">
        <f>tblSales[[#This Row],[Qty]]*_xlfn.XLOOKUP(tblSales[[#This Row],[Product Code]],tblProducts[Code],tblProducts[Unit Cost],0)</f>
        <v>3360000</v>
      </c>
      <c r="O106" s="4" t="s">
        <v>4867</v>
      </c>
      <c r="P106" s="4" t="s">
        <v>4862</v>
      </c>
      <c r="Q106" s="1" t="str">
        <f>_xlfn.XLOOKUP(tblSales[[#This Row],[Channel Code]],tblChannels[Channel Code],tblChannels[Channel Name],"")</f>
        <v>Website &amp; Social Media</v>
      </c>
      <c r="R106" s="1">
        <f>MONTH(tblSales[[#This Row],[Date]])</f>
        <v>1</v>
      </c>
    </row>
    <row r="107" spans="2:18" x14ac:dyDescent="0.35">
      <c r="B107" s="113">
        <v>46030</v>
      </c>
      <c r="C107" s="4" t="s">
        <v>116</v>
      </c>
      <c r="D107" s="4" t="s">
        <v>4568</v>
      </c>
      <c r="E107" s="1" t="str">
        <f>_xlfn.XLOOKUP(tblSales[[#This Row],[Customer ID]],tblCustomers[Customer ID],tblCustomers[Customer Name],"⚠ Unknown")</f>
        <v>Walk-in Customer</v>
      </c>
      <c r="F107" s="4" t="s">
        <v>11</v>
      </c>
      <c r="G107" s="1" t="str">
        <f>_xlfn.XLOOKUP(tblSales[[#This Row],[Product Code]],tblProducts[Code],tblProducts[Product / Service Name],"⚠ Unknown")</f>
        <v>Sneakers</v>
      </c>
      <c r="H107" s="1" t="str">
        <f>_xlfn.XLOOKUP(tblSales[[#This Row],[Product Code]],tblProducts[Code],tblProducts[Category],"")</f>
        <v>Apparel &amp; Footwear</v>
      </c>
      <c r="I107" s="4">
        <v>1</v>
      </c>
      <c r="J107" s="5">
        <f>_xlfn.XLOOKUP(tblSales[[#This Row],[Product Code]],tblProducts[Code],tblProducts[Selling Price (excl. VAT)],0)</f>
        <v>250000</v>
      </c>
      <c r="K107" s="5">
        <f>tblSales[[#This Row],[Qty]]*tblSales[[#This Row],[Unit Price]]</f>
        <v>250000</v>
      </c>
      <c r="L107" s="5">
        <f>ROUND(tblSales[[#This Row],[DPP (excl. VAT)]]*VATEff,0)</f>
        <v>27500</v>
      </c>
      <c r="M107" s="5">
        <f>tblSales[[#This Row],[DPP (excl. VAT)]]+tblSales[[#This Row],[Output VAT]]</f>
        <v>277500</v>
      </c>
      <c r="N107" s="5">
        <f>tblSales[[#This Row],[Qty]]*_xlfn.XLOOKUP(tblSales[[#This Row],[Product Code]],tblProducts[Code],tblProducts[Unit Cost],0)</f>
        <v>155000</v>
      </c>
      <c r="O107" s="4" t="s">
        <v>4866</v>
      </c>
      <c r="P107" s="4" t="s">
        <v>4861</v>
      </c>
      <c r="Q107" s="1" t="str">
        <f>_xlfn.XLOOKUP(tblSales[[#This Row],[Channel Code]],tblChannels[Channel Code],tblChannels[Channel Name],"")</f>
        <v>Marketplace</v>
      </c>
      <c r="R107" s="1">
        <f>MONTH(tblSales[[#This Row],[Date]])</f>
        <v>1</v>
      </c>
    </row>
    <row r="108" spans="2:18" x14ac:dyDescent="0.35">
      <c r="B108" s="113">
        <v>46030</v>
      </c>
      <c r="C108" s="4" t="s">
        <v>117</v>
      </c>
      <c r="D108" s="4" t="s">
        <v>4568</v>
      </c>
      <c r="E108" s="1" t="str">
        <f>_xlfn.XLOOKUP(tblSales[[#This Row],[Customer ID]],tblCustomers[Customer ID],tblCustomers[Customer Name],"⚠ Unknown")</f>
        <v>Walk-in Customer</v>
      </c>
      <c r="F108" s="4" t="s">
        <v>13</v>
      </c>
      <c r="G108" s="1" t="str">
        <f>_xlfn.XLOOKUP(tblSales[[#This Row],[Product Code]],tblProducts[Code],tblProducts[Product / Service Name],"⚠ Unknown")</f>
        <v>Backpack</v>
      </c>
      <c r="H108" s="1" t="str">
        <f>_xlfn.XLOOKUP(tblSales[[#This Row],[Product Code]],tblProducts[Code],tblProducts[Category],"")</f>
        <v>Bags &amp; Gadgets</v>
      </c>
      <c r="I108" s="4">
        <v>2</v>
      </c>
      <c r="J108" s="5">
        <f>_xlfn.XLOOKUP(tblSales[[#This Row],[Product Code]],tblProducts[Code],tblProducts[Selling Price (excl. VAT)],0)</f>
        <v>500000</v>
      </c>
      <c r="K108" s="5">
        <f>tblSales[[#This Row],[Qty]]*tblSales[[#This Row],[Unit Price]]</f>
        <v>1000000</v>
      </c>
      <c r="L108" s="5">
        <f>ROUND(tblSales[[#This Row],[DPP (excl. VAT)]]*VATEff,0)</f>
        <v>110000</v>
      </c>
      <c r="M108" s="5">
        <f>tblSales[[#This Row],[DPP (excl. VAT)]]+tblSales[[#This Row],[Output VAT]]</f>
        <v>1110000</v>
      </c>
      <c r="N108" s="5">
        <f>tblSales[[#This Row],[Qty]]*_xlfn.XLOOKUP(tblSales[[#This Row],[Product Code]],tblProducts[Code],tblProducts[Unit Cost],0)</f>
        <v>580000</v>
      </c>
      <c r="O108" s="4" t="s">
        <v>4866</v>
      </c>
      <c r="P108" s="4" t="s">
        <v>4861</v>
      </c>
      <c r="Q108" s="1" t="str">
        <f>_xlfn.XLOOKUP(tblSales[[#This Row],[Channel Code]],tblChannels[Channel Code],tblChannels[Channel Name],"")</f>
        <v>Marketplace</v>
      </c>
      <c r="R108" s="1">
        <f>MONTH(tblSales[[#This Row],[Date]])</f>
        <v>1</v>
      </c>
    </row>
    <row r="109" spans="2:18" x14ac:dyDescent="0.35">
      <c r="B109" s="113">
        <v>46030</v>
      </c>
      <c r="C109" s="4" t="s">
        <v>118</v>
      </c>
      <c r="D109" s="4" t="s">
        <v>4568</v>
      </c>
      <c r="E109" s="1" t="str">
        <f>_xlfn.XLOOKUP(tblSales[[#This Row],[Customer ID]],tblCustomers[Customer ID],tblCustomers[Customer Name],"⚠ Unknown")</f>
        <v>Walk-in Customer</v>
      </c>
      <c r="F109" s="4" t="s">
        <v>6</v>
      </c>
      <c r="G109" s="1" t="str">
        <f>_xlfn.XLOOKUP(tblSales[[#This Row],[Product Code]],tblProducts[Code],tblProducts[Product / Service Name],"⚠ Unknown")</f>
        <v>Socks &amp; Accessories</v>
      </c>
      <c r="H109" s="1" t="str">
        <f>_xlfn.XLOOKUP(tblSales[[#This Row],[Product Code]],tblProducts[Code],tblProducts[Category],"")</f>
        <v>Accessories &amp; Basics</v>
      </c>
      <c r="I109" s="4">
        <v>4</v>
      </c>
      <c r="J109" s="5">
        <f>_xlfn.XLOOKUP(tblSales[[#This Row],[Product Code]],tblProducts[Code],tblProducts[Selling Price (excl. VAT)],0)</f>
        <v>45000</v>
      </c>
      <c r="K109" s="5">
        <f>tblSales[[#This Row],[Qty]]*tblSales[[#This Row],[Unit Price]]</f>
        <v>180000</v>
      </c>
      <c r="L109" s="5">
        <f>ROUND(tblSales[[#This Row],[DPP (excl. VAT)]]*VATEff,0)</f>
        <v>19800</v>
      </c>
      <c r="M109" s="5">
        <f>tblSales[[#This Row],[DPP (excl. VAT)]]+tblSales[[#This Row],[Output VAT]]</f>
        <v>199800</v>
      </c>
      <c r="N109" s="5">
        <f>tblSales[[#This Row],[Qty]]*_xlfn.XLOOKUP(tblSales[[#This Row],[Product Code]],tblProducts[Code],tblProducts[Unit Cost],0)</f>
        <v>96000</v>
      </c>
      <c r="O109" s="4" t="s">
        <v>4866</v>
      </c>
      <c r="P109" s="4" t="s">
        <v>4862</v>
      </c>
      <c r="Q109" s="1" t="str">
        <f>_xlfn.XLOOKUP(tblSales[[#This Row],[Channel Code]],tblChannels[Channel Code],tblChannels[Channel Name],"")</f>
        <v>Website &amp; Social Media</v>
      </c>
      <c r="R109" s="1">
        <f>MONTH(tblSales[[#This Row],[Date]])</f>
        <v>1</v>
      </c>
    </row>
    <row r="110" spans="2:18" x14ac:dyDescent="0.35">
      <c r="B110" s="113">
        <v>46030</v>
      </c>
      <c r="C110" s="4" t="s">
        <v>119</v>
      </c>
      <c r="D110" s="4" t="s">
        <v>4568</v>
      </c>
      <c r="E110" s="1" t="str">
        <f>_xlfn.XLOOKUP(tblSales[[#This Row],[Customer ID]],tblCustomers[Customer ID],tblCustomers[Customer Name],"⚠ Unknown")</f>
        <v>Walk-in Customer</v>
      </c>
      <c r="F110" s="4" t="s">
        <v>8</v>
      </c>
      <c r="G110" s="1" t="str">
        <f>_xlfn.XLOOKUP(tblSales[[#This Row],[Product Code]],tblProducts[Code],tblProducts[Product / Service Name],"⚠ Unknown")</f>
        <v>Casual Shorts</v>
      </c>
      <c r="H110" s="1" t="str">
        <f>_xlfn.XLOOKUP(tblSales[[#This Row],[Product Code]],tblProducts[Code],tblProducts[Category],"")</f>
        <v>Accessories &amp; Basics</v>
      </c>
      <c r="I110" s="4">
        <v>3</v>
      </c>
      <c r="J110" s="5">
        <f>_xlfn.XLOOKUP(tblSales[[#This Row],[Product Code]],tblProducts[Code],tblProducts[Selling Price (excl. VAT)],0)</f>
        <v>85000</v>
      </c>
      <c r="K110" s="5">
        <f>tblSales[[#This Row],[Qty]]*tblSales[[#This Row],[Unit Price]]</f>
        <v>255000</v>
      </c>
      <c r="L110" s="5">
        <f>ROUND(tblSales[[#This Row],[DPP (excl. VAT)]]*VATEff,0)</f>
        <v>28050</v>
      </c>
      <c r="M110" s="5">
        <f>tblSales[[#This Row],[DPP (excl. VAT)]]+tblSales[[#This Row],[Output VAT]]</f>
        <v>283050</v>
      </c>
      <c r="N110" s="5">
        <f>tblSales[[#This Row],[Qty]]*_xlfn.XLOOKUP(tblSales[[#This Row],[Product Code]],tblProducts[Code],tblProducts[Unit Cost],0)</f>
        <v>150000</v>
      </c>
      <c r="O110" s="4" t="s">
        <v>4866</v>
      </c>
      <c r="P110" s="4" t="s">
        <v>4861</v>
      </c>
      <c r="Q110" s="1" t="str">
        <f>_xlfn.XLOOKUP(tblSales[[#This Row],[Channel Code]],tblChannels[Channel Code],tblChannels[Channel Name],"")</f>
        <v>Marketplace</v>
      </c>
      <c r="R110" s="1">
        <f>MONTH(tblSales[[#This Row],[Date]])</f>
        <v>1</v>
      </c>
    </row>
    <row r="111" spans="2:18" x14ac:dyDescent="0.35">
      <c r="B111" s="113">
        <v>46030</v>
      </c>
      <c r="C111" s="4" t="s">
        <v>120</v>
      </c>
      <c r="D111" s="4" t="s">
        <v>4568</v>
      </c>
      <c r="E111" s="1" t="str">
        <f>_xlfn.XLOOKUP(tblSales[[#This Row],[Customer ID]],tblCustomers[Customer ID],tblCustomers[Customer Name],"⚠ Unknown")</f>
        <v>Walk-in Customer</v>
      </c>
      <c r="F111" s="4" t="s">
        <v>15</v>
      </c>
      <c r="G111" s="1" t="str">
        <f>_xlfn.XLOOKUP(tblSales[[#This Row],[Product Code]],tblProducts[Code],tblProducts[Product / Service Name],"⚠ Unknown")</f>
        <v>Wireless Earbuds Pro</v>
      </c>
      <c r="H111" s="1" t="str">
        <f>_xlfn.XLOOKUP(tblSales[[#This Row],[Product Code]],tblProducts[Code],tblProducts[Category],"")</f>
        <v>Bags &amp; Gadgets</v>
      </c>
      <c r="I111" s="4">
        <v>2</v>
      </c>
      <c r="J111" s="5">
        <f>_xlfn.XLOOKUP(tblSales[[#This Row],[Product Code]],tblProducts[Code],tblProducts[Selling Price (excl. VAT)],0)</f>
        <v>1250000</v>
      </c>
      <c r="K111" s="5">
        <f>tblSales[[#This Row],[Qty]]*tblSales[[#This Row],[Unit Price]]</f>
        <v>2500000</v>
      </c>
      <c r="L111" s="5">
        <f>ROUND(tblSales[[#This Row],[DPP (excl. VAT)]]*VATEff,0)</f>
        <v>275000</v>
      </c>
      <c r="M111" s="5">
        <f>tblSales[[#This Row],[DPP (excl. VAT)]]+tblSales[[#This Row],[Output VAT]]</f>
        <v>2775000</v>
      </c>
      <c r="N111" s="5">
        <f>tblSales[[#This Row],[Qty]]*_xlfn.XLOOKUP(tblSales[[#This Row],[Product Code]],tblProducts[Code],tblProducts[Unit Cost],0)</f>
        <v>1640000</v>
      </c>
      <c r="O111" s="4" t="s">
        <v>4866</v>
      </c>
      <c r="P111" s="4" t="s">
        <v>4861</v>
      </c>
      <c r="Q111" s="1" t="str">
        <f>_xlfn.XLOOKUP(tblSales[[#This Row],[Channel Code]],tblChannels[Channel Code],tblChannels[Channel Name],"")</f>
        <v>Marketplace</v>
      </c>
      <c r="R111" s="1">
        <f>MONTH(tblSales[[#This Row],[Date]])</f>
        <v>1</v>
      </c>
    </row>
    <row r="112" spans="2:18" x14ac:dyDescent="0.35">
      <c r="B112" s="113">
        <v>46030</v>
      </c>
      <c r="C112" s="4" t="s">
        <v>121</v>
      </c>
      <c r="D112" s="4" t="s">
        <v>4606</v>
      </c>
      <c r="E112" s="1" t="str">
        <f>_xlfn.XLOOKUP(tblSales[[#This Row],[Customer ID]],tblCustomers[Customer ID],tblCustomers[Customer Name],"⚠ Unknown")</f>
        <v>PT Arunika Digital Kreatif</v>
      </c>
      <c r="F112" s="4" t="s">
        <v>8</v>
      </c>
      <c r="G112" s="1" t="str">
        <f>_xlfn.XLOOKUP(tblSales[[#This Row],[Product Code]],tblProducts[Code],tblProducts[Product / Service Name],"⚠ Unknown")</f>
        <v>Casual Shorts</v>
      </c>
      <c r="H112" s="1" t="str">
        <f>_xlfn.XLOOKUP(tblSales[[#This Row],[Product Code]],tblProducts[Code],tblProducts[Category],"")</f>
        <v>Accessories &amp; Basics</v>
      </c>
      <c r="I112" s="4">
        <v>8</v>
      </c>
      <c r="J112" s="5">
        <f>_xlfn.XLOOKUP(tblSales[[#This Row],[Product Code]],tblProducts[Code],tblProducts[Selling Price (excl. VAT)],0)</f>
        <v>85000</v>
      </c>
      <c r="K112" s="5">
        <f>tblSales[[#This Row],[Qty]]*tblSales[[#This Row],[Unit Price]]</f>
        <v>680000</v>
      </c>
      <c r="L112" s="5">
        <f>ROUND(tblSales[[#This Row],[DPP (excl. VAT)]]*VATEff,0)</f>
        <v>74800</v>
      </c>
      <c r="M112" s="5">
        <f>tblSales[[#This Row],[DPP (excl. VAT)]]+tblSales[[#This Row],[Output VAT]]</f>
        <v>754800</v>
      </c>
      <c r="N112" s="5">
        <f>tblSales[[#This Row],[Qty]]*_xlfn.XLOOKUP(tblSales[[#This Row],[Product Code]],tblProducts[Code],tblProducts[Unit Cost],0)</f>
        <v>400000</v>
      </c>
      <c r="O112" s="4" t="s">
        <v>4867</v>
      </c>
      <c r="P112" s="4" t="s">
        <v>4860</v>
      </c>
      <c r="Q112" s="1" t="str">
        <f>_xlfn.XLOOKUP(tblSales[[#This Row],[Channel Code]],tblChannels[Channel Code],tblChannels[Channel Name],"")</f>
        <v>In-store</v>
      </c>
      <c r="R112" s="1">
        <f>MONTH(tblSales[[#This Row],[Date]])</f>
        <v>1</v>
      </c>
    </row>
    <row r="113" spans="2:18" x14ac:dyDescent="0.35">
      <c r="B113" s="113">
        <v>46030</v>
      </c>
      <c r="C113" s="4" t="s">
        <v>122</v>
      </c>
      <c r="D113" s="4" t="s">
        <v>4606</v>
      </c>
      <c r="E113" s="1" t="str">
        <f>_xlfn.XLOOKUP(tblSales[[#This Row],[Customer ID]],tblCustomers[Customer ID],tblCustomers[Customer Name],"⚠ Unknown")</f>
        <v>PT Arunika Digital Kreatif</v>
      </c>
      <c r="F113" s="4" t="s">
        <v>7</v>
      </c>
      <c r="G113" s="1" t="str">
        <f>_xlfn.XLOOKUP(tblSales[[#This Row],[Product Code]],tblProducts[Code],tblProducts[Product / Service Name],"⚠ Unknown")</f>
        <v>Premium Basic T-shirt</v>
      </c>
      <c r="H113" s="1" t="str">
        <f>_xlfn.XLOOKUP(tblSales[[#This Row],[Product Code]],tblProducts[Code],tblProducts[Category],"")</f>
        <v>Accessories &amp; Basics</v>
      </c>
      <c r="I113" s="4">
        <v>56</v>
      </c>
      <c r="J113" s="5">
        <f>_xlfn.XLOOKUP(tblSales[[#This Row],[Product Code]],tblProducts[Code],tblProducts[Selling Price (excl. VAT)],0)</f>
        <v>65000</v>
      </c>
      <c r="K113" s="5">
        <f>tblSales[[#This Row],[Qty]]*tblSales[[#This Row],[Unit Price]]</f>
        <v>3640000</v>
      </c>
      <c r="L113" s="5">
        <f>ROUND(tblSales[[#This Row],[DPP (excl. VAT)]]*VATEff,0)</f>
        <v>400400</v>
      </c>
      <c r="M113" s="5">
        <f>tblSales[[#This Row],[DPP (excl. VAT)]]+tblSales[[#This Row],[Output VAT]]</f>
        <v>4040400</v>
      </c>
      <c r="N113" s="5">
        <f>tblSales[[#This Row],[Qty]]*_xlfn.XLOOKUP(tblSales[[#This Row],[Product Code]],tblProducts[Code],tblProducts[Unit Cost],0)</f>
        <v>2072000</v>
      </c>
      <c r="O113" s="4" t="s">
        <v>4867</v>
      </c>
      <c r="P113" s="4" t="s">
        <v>4862</v>
      </c>
      <c r="Q113" s="1" t="str">
        <f>_xlfn.XLOOKUP(tblSales[[#This Row],[Channel Code]],tblChannels[Channel Code],tblChannels[Channel Name],"")</f>
        <v>Website &amp; Social Media</v>
      </c>
      <c r="R113" s="1">
        <f>MONTH(tblSales[[#This Row],[Date]])</f>
        <v>1</v>
      </c>
    </row>
    <row r="114" spans="2:18" x14ac:dyDescent="0.35">
      <c r="B114" s="113">
        <v>46030</v>
      </c>
      <c r="C114" s="4" t="s">
        <v>122</v>
      </c>
      <c r="D114" s="4" t="s">
        <v>4606</v>
      </c>
      <c r="E114" s="1" t="str">
        <f>_xlfn.XLOOKUP(tblSales[[#This Row],[Customer ID]],tblCustomers[Customer ID],tblCustomers[Customer Name],"⚠ Unknown")</f>
        <v>PT Arunika Digital Kreatif</v>
      </c>
      <c r="F114" s="4" t="s">
        <v>6</v>
      </c>
      <c r="G114" s="1" t="str">
        <f>_xlfn.XLOOKUP(tblSales[[#This Row],[Product Code]],tblProducts[Code],tblProducts[Product / Service Name],"⚠ Unknown")</f>
        <v>Socks &amp; Accessories</v>
      </c>
      <c r="H114" s="1" t="str">
        <f>_xlfn.XLOOKUP(tblSales[[#This Row],[Product Code]],tblProducts[Code],tblProducts[Category],"")</f>
        <v>Accessories &amp; Basics</v>
      </c>
      <c r="I114" s="4">
        <v>32</v>
      </c>
      <c r="J114" s="5">
        <f>_xlfn.XLOOKUP(tblSales[[#This Row],[Product Code]],tblProducts[Code],tblProducts[Selling Price (excl. VAT)],0)</f>
        <v>45000</v>
      </c>
      <c r="K114" s="5">
        <f>tblSales[[#This Row],[Qty]]*tblSales[[#This Row],[Unit Price]]</f>
        <v>1440000</v>
      </c>
      <c r="L114" s="5">
        <f>ROUND(tblSales[[#This Row],[DPP (excl. VAT)]]*VATEff,0)</f>
        <v>158400</v>
      </c>
      <c r="M114" s="5">
        <f>tblSales[[#This Row],[DPP (excl. VAT)]]+tblSales[[#This Row],[Output VAT]]</f>
        <v>1598400</v>
      </c>
      <c r="N114" s="5">
        <f>tblSales[[#This Row],[Qty]]*_xlfn.XLOOKUP(tblSales[[#This Row],[Product Code]],tblProducts[Code],tblProducts[Unit Cost],0)</f>
        <v>768000</v>
      </c>
      <c r="O114" s="4" t="s">
        <v>4867</v>
      </c>
      <c r="P114" s="4" t="s">
        <v>4862</v>
      </c>
      <c r="Q114" s="1" t="str">
        <f>_xlfn.XLOOKUP(tblSales[[#This Row],[Channel Code]],tblChannels[Channel Code],tblChannels[Channel Name],"")</f>
        <v>Website &amp; Social Media</v>
      </c>
      <c r="R114" s="1">
        <f>MONTH(tblSales[[#This Row],[Date]])</f>
        <v>1</v>
      </c>
    </row>
    <row r="115" spans="2:18" x14ac:dyDescent="0.35">
      <c r="B115" s="113">
        <v>46030</v>
      </c>
      <c r="C115" s="4" t="s">
        <v>123</v>
      </c>
      <c r="D115" s="4" t="s">
        <v>4578</v>
      </c>
      <c r="E115" s="1" t="str">
        <f>_xlfn.XLOOKUP(tblSales[[#This Row],[Customer ID]],tblCustomers[Customer ID],tblCustomers[Customer Name],"⚠ Unknown")</f>
        <v>PT Bintang Timur Sejahtera</v>
      </c>
      <c r="F115" s="4" t="s">
        <v>9</v>
      </c>
      <c r="G115" s="1" t="str">
        <f>_xlfn.XLOOKUP(tblSales[[#This Row],[Product Code]],tblProducts[Code],tblProducts[Product / Service Name],"⚠ Unknown")</f>
        <v>Casual Shirt</v>
      </c>
      <c r="H115" s="1" t="str">
        <f>_xlfn.XLOOKUP(tblSales[[#This Row],[Product Code]],tblProducts[Code],tblProducts[Category],"")</f>
        <v>Apparel &amp; Footwear</v>
      </c>
      <c r="I115" s="4">
        <v>56</v>
      </c>
      <c r="J115" s="5">
        <f>_xlfn.XLOOKUP(tblSales[[#This Row],[Product Code]],tblProducts[Code],tblProducts[Selling Price (excl. VAT)],0)</f>
        <v>120000</v>
      </c>
      <c r="K115" s="5">
        <f>tblSales[[#This Row],[Qty]]*tblSales[[#This Row],[Unit Price]]</f>
        <v>6720000</v>
      </c>
      <c r="L115" s="5">
        <f>ROUND(tblSales[[#This Row],[DPP (excl. VAT)]]*VATEff,0)</f>
        <v>739200</v>
      </c>
      <c r="M115" s="5">
        <f>tblSales[[#This Row],[DPP (excl. VAT)]]+tblSales[[#This Row],[Output VAT]]</f>
        <v>7459200</v>
      </c>
      <c r="N115" s="5">
        <f>tblSales[[#This Row],[Qty]]*_xlfn.XLOOKUP(tblSales[[#This Row],[Product Code]],tblProducts[Code],tblProducts[Unit Cost],0)</f>
        <v>4032000</v>
      </c>
      <c r="O115" s="4" t="s">
        <v>4867</v>
      </c>
      <c r="P115" s="4" t="s">
        <v>4860</v>
      </c>
      <c r="Q115" s="1" t="str">
        <f>_xlfn.XLOOKUP(tblSales[[#This Row],[Channel Code]],tblChannels[Channel Code],tblChannels[Channel Name],"")</f>
        <v>In-store</v>
      </c>
      <c r="R115" s="1">
        <f>MONTH(tblSales[[#This Row],[Date]])</f>
        <v>1</v>
      </c>
    </row>
    <row r="116" spans="2:18" x14ac:dyDescent="0.35">
      <c r="B116" s="113">
        <v>46031</v>
      </c>
      <c r="C116" s="4" t="s">
        <v>124</v>
      </c>
      <c r="D116" s="4" t="s">
        <v>4568</v>
      </c>
      <c r="E116" s="1" t="str">
        <f>_xlfn.XLOOKUP(tblSales[[#This Row],[Customer ID]],tblCustomers[Customer ID],tblCustomers[Customer Name],"⚠ Unknown")</f>
        <v>Walk-in Customer</v>
      </c>
      <c r="F116" s="4" t="s">
        <v>10</v>
      </c>
      <c r="G116" s="1" t="str">
        <f>_xlfn.XLOOKUP(tblSales[[#This Row],[Product Code]],tblProducts[Code],tblProducts[Product / Service Name],"⚠ Unknown")</f>
        <v>Chino Pants</v>
      </c>
      <c r="H116" s="1" t="str">
        <f>_xlfn.XLOOKUP(tblSales[[#This Row],[Product Code]],tblProducts[Code],tblProducts[Category],"")</f>
        <v>Apparel &amp; Footwear</v>
      </c>
      <c r="I116" s="4">
        <v>1</v>
      </c>
      <c r="J116" s="5">
        <f>_xlfn.XLOOKUP(tblSales[[#This Row],[Product Code]],tblProducts[Code],tblProducts[Selling Price (excl. VAT)],0)</f>
        <v>150000</v>
      </c>
      <c r="K116" s="5">
        <f>tblSales[[#This Row],[Qty]]*tblSales[[#This Row],[Unit Price]]</f>
        <v>150000</v>
      </c>
      <c r="L116" s="5">
        <f>ROUND(tblSales[[#This Row],[DPP (excl. VAT)]]*VATEff,0)</f>
        <v>16500</v>
      </c>
      <c r="M116" s="5">
        <f>tblSales[[#This Row],[DPP (excl. VAT)]]+tblSales[[#This Row],[Output VAT]]</f>
        <v>166500</v>
      </c>
      <c r="N116" s="5">
        <f>tblSales[[#This Row],[Qty]]*_xlfn.XLOOKUP(tblSales[[#This Row],[Product Code]],tblProducts[Code],tblProducts[Unit Cost],0)</f>
        <v>88000</v>
      </c>
      <c r="O116" s="4" t="s">
        <v>4865</v>
      </c>
      <c r="P116" s="4" t="s">
        <v>4860</v>
      </c>
      <c r="Q116" s="1" t="str">
        <f>_xlfn.XLOOKUP(tblSales[[#This Row],[Channel Code]],tblChannels[Channel Code],tblChannels[Channel Name],"")</f>
        <v>In-store</v>
      </c>
      <c r="R116" s="1">
        <f>MONTH(tblSales[[#This Row],[Date]])</f>
        <v>1</v>
      </c>
    </row>
    <row r="117" spans="2:18" x14ac:dyDescent="0.35">
      <c r="B117" s="113">
        <v>46031</v>
      </c>
      <c r="C117" s="4" t="s">
        <v>125</v>
      </c>
      <c r="D117" s="4" t="s">
        <v>4568</v>
      </c>
      <c r="E117" s="1" t="str">
        <f>_xlfn.XLOOKUP(tblSales[[#This Row],[Customer ID]],tblCustomers[Customer ID],tblCustomers[Customer Name],"⚠ Unknown")</f>
        <v>Walk-in Customer</v>
      </c>
      <c r="F117" s="4" t="s">
        <v>10</v>
      </c>
      <c r="G117" s="1" t="str">
        <f>_xlfn.XLOOKUP(tblSales[[#This Row],[Product Code]],tblProducts[Code],tblProducts[Product / Service Name],"⚠ Unknown")</f>
        <v>Chino Pants</v>
      </c>
      <c r="H117" s="1" t="str">
        <f>_xlfn.XLOOKUP(tblSales[[#This Row],[Product Code]],tblProducts[Code],tblProducts[Category],"")</f>
        <v>Apparel &amp; Footwear</v>
      </c>
      <c r="I117" s="4">
        <v>8</v>
      </c>
      <c r="J117" s="5">
        <f>_xlfn.XLOOKUP(tblSales[[#This Row],[Product Code]],tblProducts[Code],tblProducts[Selling Price (excl. VAT)],0)</f>
        <v>150000</v>
      </c>
      <c r="K117" s="5">
        <f>tblSales[[#This Row],[Qty]]*tblSales[[#This Row],[Unit Price]]</f>
        <v>1200000</v>
      </c>
      <c r="L117" s="5">
        <f>ROUND(tblSales[[#This Row],[DPP (excl. VAT)]]*VATEff,0)</f>
        <v>132000</v>
      </c>
      <c r="M117" s="5">
        <f>tblSales[[#This Row],[DPP (excl. VAT)]]+tblSales[[#This Row],[Output VAT]]</f>
        <v>1332000</v>
      </c>
      <c r="N117" s="5">
        <f>tblSales[[#This Row],[Qty]]*_xlfn.XLOOKUP(tblSales[[#This Row],[Product Code]],tblProducts[Code],tblProducts[Unit Cost],0)</f>
        <v>704000</v>
      </c>
      <c r="O117" s="4" t="s">
        <v>4866</v>
      </c>
      <c r="P117" s="4" t="s">
        <v>4861</v>
      </c>
      <c r="Q117" s="1" t="str">
        <f>_xlfn.XLOOKUP(tblSales[[#This Row],[Channel Code]],tblChannels[Channel Code],tblChannels[Channel Name],"")</f>
        <v>Marketplace</v>
      </c>
      <c r="R117" s="1">
        <f>MONTH(tblSales[[#This Row],[Date]])</f>
        <v>1</v>
      </c>
    </row>
    <row r="118" spans="2:18" x14ac:dyDescent="0.35">
      <c r="B118" s="113">
        <v>46031</v>
      </c>
      <c r="C118" s="4" t="s">
        <v>126</v>
      </c>
      <c r="D118" s="4" t="s">
        <v>4568</v>
      </c>
      <c r="E118" s="1" t="str">
        <f>_xlfn.XLOOKUP(tblSales[[#This Row],[Customer ID]],tblCustomers[Customer ID],tblCustomers[Customer Name],"⚠ Unknown")</f>
        <v>Walk-in Customer</v>
      </c>
      <c r="F118" s="4" t="s">
        <v>7</v>
      </c>
      <c r="G118" s="1" t="str">
        <f>_xlfn.XLOOKUP(tblSales[[#This Row],[Product Code]],tblProducts[Code],tblProducts[Product / Service Name],"⚠ Unknown")</f>
        <v>Premium Basic T-shirt</v>
      </c>
      <c r="H118" s="1" t="str">
        <f>_xlfn.XLOOKUP(tblSales[[#This Row],[Product Code]],tblProducts[Code],tblProducts[Category],"")</f>
        <v>Accessories &amp; Basics</v>
      </c>
      <c r="I118" s="4">
        <v>12</v>
      </c>
      <c r="J118" s="5">
        <f>_xlfn.XLOOKUP(tblSales[[#This Row],[Product Code]],tblProducts[Code],tblProducts[Selling Price (excl. VAT)],0)</f>
        <v>65000</v>
      </c>
      <c r="K118" s="5">
        <f>tblSales[[#This Row],[Qty]]*tblSales[[#This Row],[Unit Price]]</f>
        <v>780000</v>
      </c>
      <c r="L118" s="5">
        <f>ROUND(tblSales[[#This Row],[DPP (excl. VAT)]]*VATEff,0)</f>
        <v>85800</v>
      </c>
      <c r="M118" s="5">
        <f>tblSales[[#This Row],[DPP (excl. VAT)]]+tblSales[[#This Row],[Output VAT]]</f>
        <v>865800</v>
      </c>
      <c r="N118" s="5">
        <f>tblSales[[#This Row],[Qty]]*_xlfn.XLOOKUP(tblSales[[#This Row],[Product Code]],tblProducts[Code],tblProducts[Unit Cost],0)</f>
        <v>444000</v>
      </c>
      <c r="O118" s="4" t="s">
        <v>4865</v>
      </c>
      <c r="P118" s="4" t="s">
        <v>4860</v>
      </c>
      <c r="Q118" s="1" t="str">
        <f>_xlfn.XLOOKUP(tblSales[[#This Row],[Channel Code]],tblChannels[Channel Code],tblChannels[Channel Name],"")</f>
        <v>In-store</v>
      </c>
      <c r="R118" s="1">
        <f>MONTH(tblSales[[#This Row],[Date]])</f>
        <v>1</v>
      </c>
    </row>
    <row r="119" spans="2:18" x14ac:dyDescent="0.35">
      <c r="B119" s="113">
        <v>46031</v>
      </c>
      <c r="C119" s="4" t="s">
        <v>126</v>
      </c>
      <c r="D119" s="4" t="s">
        <v>4568</v>
      </c>
      <c r="E119" s="1" t="str">
        <f>_xlfn.XLOOKUP(tblSales[[#This Row],[Customer ID]],tblCustomers[Customer ID],tblCustomers[Customer Name],"⚠ Unknown")</f>
        <v>Walk-in Customer</v>
      </c>
      <c r="F119" s="4" t="s">
        <v>11</v>
      </c>
      <c r="G119" s="1" t="str">
        <f>_xlfn.XLOOKUP(tblSales[[#This Row],[Product Code]],tblProducts[Code],tblProducts[Product / Service Name],"⚠ Unknown")</f>
        <v>Sneakers</v>
      </c>
      <c r="H119" s="1" t="str">
        <f>_xlfn.XLOOKUP(tblSales[[#This Row],[Product Code]],tblProducts[Code],tblProducts[Category],"")</f>
        <v>Apparel &amp; Footwear</v>
      </c>
      <c r="I119" s="4">
        <v>6</v>
      </c>
      <c r="J119" s="5">
        <f>_xlfn.XLOOKUP(tblSales[[#This Row],[Product Code]],tblProducts[Code],tblProducts[Selling Price (excl. VAT)],0)</f>
        <v>250000</v>
      </c>
      <c r="K119" s="5">
        <f>tblSales[[#This Row],[Qty]]*tblSales[[#This Row],[Unit Price]]</f>
        <v>1500000</v>
      </c>
      <c r="L119" s="5">
        <f>ROUND(tblSales[[#This Row],[DPP (excl. VAT)]]*VATEff,0)</f>
        <v>165000</v>
      </c>
      <c r="M119" s="5">
        <f>tblSales[[#This Row],[DPP (excl. VAT)]]+tblSales[[#This Row],[Output VAT]]</f>
        <v>1665000</v>
      </c>
      <c r="N119" s="5">
        <f>tblSales[[#This Row],[Qty]]*_xlfn.XLOOKUP(tblSales[[#This Row],[Product Code]],tblProducts[Code],tblProducts[Unit Cost],0)</f>
        <v>930000</v>
      </c>
      <c r="O119" s="4" t="s">
        <v>4865</v>
      </c>
      <c r="P119" s="4" t="s">
        <v>4860</v>
      </c>
      <c r="Q119" s="1" t="str">
        <f>_xlfn.XLOOKUP(tblSales[[#This Row],[Channel Code]],tblChannels[Channel Code],tblChannels[Channel Name],"")</f>
        <v>In-store</v>
      </c>
      <c r="R119" s="1">
        <f>MONTH(tblSales[[#This Row],[Date]])</f>
        <v>1</v>
      </c>
    </row>
    <row r="120" spans="2:18" x14ac:dyDescent="0.35">
      <c r="B120" s="113">
        <v>46031</v>
      </c>
      <c r="C120" s="4" t="s">
        <v>126</v>
      </c>
      <c r="D120" s="4" t="s">
        <v>4568</v>
      </c>
      <c r="E120" s="1" t="str">
        <f>_xlfn.XLOOKUP(tblSales[[#This Row],[Customer ID]],tblCustomers[Customer ID],tblCustomers[Customer Name],"⚠ Unknown")</f>
        <v>Walk-in Customer</v>
      </c>
      <c r="F120" s="4" t="s">
        <v>6</v>
      </c>
      <c r="G120" s="1" t="str">
        <f>_xlfn.XLOOKUP(tblSales[[#This Row],[Product Code]],tblProducts[Code],tblProducts[Product / Service Name],"⚠ Unknown")</f>
        <v>Socks &amp; Accessories</v>
      </c>
      <c r="H120" s="1" t="str">
        <f>_xlfn.XLOOKUP(tblSales[[#This Row],[Product Code]],tblProducts[Code],tblProducts[Category],"")</f>
        <v>Accessories &amp; Basics</v>
      </c>
      <c r="I120" s="4">
        <v>2</v>
      </c>
      <c r="J120" s="5">
        <f>_xlfn.XLOOKUP(tblSales[[#This Row],[Product Code]],tblProducts[Code],tblProducts[Selling Price (excl. VAT)],0)</f>
        <v>45000</v>
      </c>
      <c r="K120" s="5">
        <f>tblSales[[#This Row],[Qty]]*tblSales[[#This Row],[Unit Price]]</f>
        <v>90000</v>
      </c>
      <c r="L120" s="5">
        <f>ROUND(tblSales[[#This Row],[DPP (excl. VAT)]]*VATEff,0)</f>
        <v>9900</v>
      </c>
      <c r="M120" s="5">
        <f>tblSales[[#This Row],[DPP (excl. VAT)]]+tblSales[[#This Row],[Output VAT]]</f>
        <v>99900</v>
      </c>
      <c r="N120" s="5">
        <f>tblSales[[#This Row],[Qty]]*_xlfn.XLOOKUP(tblSales[[#This Row],[Product Code]],tblProducts[Code],tblProducts[Unit Cost],0)</f>
        <v>48000</v>
      </c>
      <c r="O120" s="4" t="s">
        <v>4865</v>
      </c>
      <c r="P120" s="4" t="s">
        <v>4860</v>
      </c>
      <c r="Q120" s="1" t="str">
        <f>_xlfn.XLOOKUP(tblSales[[#This Row],[Channel Code]],tblChannels[Channel Code],tblChannels[Channel Name],"")</f>
        <v>In-store</v>
      </c>
      <c r="R120" s="1">
        <f>MONTH(tblSales[[#This Row],[Date]])</f>
        <v>1</v>
      </c>
    </row>
    <row r="121" spans="2:18" x14ac:dyDescent="0.35">
      <c r="B121" s="113">
        <v>46031</v>
      </c>
      <c r="C121" s="4" t="s">
        <v>127</v>
      </c>
      <c r="D121" s="4" t="s">
        <v>4568</v>
      </c>
      <c r="E121" s="1" t="str">
        <f>_xlfn.XLOOKUP(tblSales[[#This Row],[Customer ID]],tblCustomers[Customer ID],tblCustomers[Customer Name],"⚠ Unknown")</f>
        <v>Walk-in Customer</v>
      </c>
      <c r="F121" s="4" t="s">
        <v>6</v>
      </c>
      <c r="G121" s="1" t="str">
        <f>_xlfn.XLOOKUP(tblSales[[#This Row],[Product Code]],tblProducts[Code],tblProducts[Product / Service Name],"⚠ Unknown")</f>
        <v>Socks &amp; Accessories</v>
      </c>
      <c r="H121" s="1" t="str">
        <f>_xlfn.XLOOKUP(tblSales[[#This Row],[Product Code]],tblProducts[Code],tblProducts[Category],"")</f>
        <v>Accessories &amp; Basics</v>
      </c>
      <c r="I121" s="4">
        <v>11</v>
      </c>
      <c r="J121" s="5">
        <f>_xlfn.XLOOKUP(tblSales[[#This Row],[Product Code]],tblProducts[Code],tblProducts[Selling Price (excl. VAT)],0)</f>
        <v>45000</v>
      </c>
      <c r="K121" s="5">
        <f>tblSales[[#This Row],[Qty]]*tblSales[[#This Row],[Unit Price]]</f>
        <v>495000</v>
      </c>
      <c r="L121" s="5">
        <f>ROUND(tblSales[[#This Row],[DPP (excl. VAT)]]*VATEff,0)</f>
        <v>54450</v>
      </c>
      <c r="M121" s="5">
        <f>tblSales[[#This Row],[DPP (excl. VAT)]]+tblSales[[#This Row],[Output VAT]]</f>
        <v>549450</v>
      </c>
      <c r="N121" s="5">
        <f>tblSales[[#This Row],[Qty]]*_xlfn.XLOOKUP(tblSales[[#This Row],[Product Code]],tblProducts[Code],tblProducts[Unit Cost],0)</f>
        <v>264000</v>
      </c>
      <c r="O121" s="4" t="s">
        <v>4866</v>
      </c>
      <c r="P121" s="4" t="s">
        <v>4860</v>
      </c>
      <c r="Q121" s="1" t="str">
        <f>_xlfn.XLOOKUP(tblSales[[#This Row],[Channel Code]],tblChannels[Channel Code],tblChannels[Channel Name],"")</f>
        <v>In-store</v>
      </c>
      <c r="R121" s="1">
        <f>MONTH(tblSales[[#This Row],[Date]])</f>
        <v>1</v>
      </c>
    </row>
    <row r="122" spans="2:18" x14ac:dyDescent="0.35">
      <c r="B122" s="113">
        <v>46031</v>
      </c>
      <c r="C122" s="4" t="s">
        <v>128</v>
      </c>
      <c r="D122" s="4" t="s">
        <v>4568</v>
      </c>
      <c r="E122" s="1" t="str">
        <f>_xlfn.XLOOKUP(tblSales[[#This Row],[Customer ID]],tblCustomers[Customer ID],tblCustomers[Customer Name],"⚠ Unknown")</f>
        <v>Walk-in Customer</v>
      </c>
      <c r="F122" s="4" t="s">
        <v>10</v>
      </c>
      <c r="G122" s="1" t="str">
        <f>_xlfn.XLOOKUP(tblSales[[#This Row],[Product Code]],tblProducts[Code],tblProducts[Product / Service Name],"⚠ Unknown")</f>
        <v>Chino Pants</v>
      </c>
      <c r="H122" s="1" t="str">
        <f>_xlfn.XLOOKUP(tblSales[[#This Row],[Product Code]],tblProducts[Code],tblProducts[Category],"")</f>
        <v>Apparel &amp; Footwear</v>
      </c>
      <c r="I122" s="4">
        <v>2</v>
      </c>
      <c r="J122" s="5">
        <f>_xlfn.XLOOKUP(tblSales[[#This Row],[Product Code]],tblProducts[Code],tblProducts[Selling Price (excl. VAT)],0)</f>
        <v>150000</v>
      </c>
      <c r="K122" s="5">
        <f>tblSales[[#This Row],[Qty]]*tblSales[[#This Row],[Unit Price]]</f>
        <v>300000</v>
      </c>
      <c r="L122" s="5">
        <f>ROUND(tblSales[[#This Row],[DPP (excl. VAT)]]*VATEff,0)</f>
        <v>33000</v>
      </c>
      <c r="M122" s="5">
        <f>tblSales[[#This Row],[DPP (excl. VAT)]]+tblSales[[#This Row],[Output VAT]]</f>
        <v>333000</v>
      </c>
      <c r="N122" s="5">
        <f>tblSales[[#This Row],[Qty]]*_xlfn.XLOOKUP(tblSales[[#This Row],[Product Code]],tblProducts[Code],tblProducts[Unit Cost],0)</f>
        <v>176000</v>
      </c>
      <c r="O122" s="4" t="s">
        <v>4866</v>
      </c>
      <c r="P122" s="4" t="s">
        <v>4861</v>
      </c>
      <c r="Q122" s="1" t="str">
        <f>_xlfn.XLOOKUP(tblSales[[#This Row],[Channel Code]],tblChannels[Channel Code],tblChannels[Channel Name],"")</f>
        <v>Marketplace</v>
      </c>
      <c r="R122" s="1">
        <f>MONTH(tblSales[[#This Row],[Date]])</f>
        <v>1</v>
      </c>
    </row>
    <row r="123" spans="2:18" x14ac:dyDescent="0.35">
      <c r="B123" s="113">
        <v>46031</v>
      </c>
      <c r="C123" s="4" t="s">
        <v>129</v>
      </c>
      <c r="D123" s="4" t="s">
        <v>4568</v>
      </c>
      <c r="E123" s="1" t="str">
        <f>_xlfn.XLOOKUP(tblSales[[#This Row],[Customer ID]],tblCustomers[Customer ID],tblCustomers[Customer Name],"⚠ Unknown")</f>
        <v>Walk-in Customer</v>
      </c>
      <c r="F123" s="4" t="s">
        <v>7</v>
      </c>
      <c r="G123" s="1" t="str">
        <f>_xlfn.XLOOKUP(tblSales[[#This Row],[Product Code]],tblProducts[Code],tblProducts[Product / Service Name],"⚠ Unknown")</f>
        <v>Premium Basic T-shirt</v>
      </c>
      <c r="H123" s="1" t="str">
        <f>_xlfn.XLOOKUP(tblSales[[#This Row],[Product Code]],tblProducts[Code],tblProducts[Category],"")</f>
        <v>Accessories &amp; Basics</v>
      </c>
      <c r="I123" s="4">
        <v>6</v>
      </c>
      <c r="J123" s="5">
        <f>_xlfn.XLOOKUP(tblSales[[#This Row],[Product Code]],tblProducts[Code],tblProducts[Selling Price (excl. VAT)],0)</f>
        <v>65000</v>
      </c>
      <c r="K123" s="5">
        <f>tblSales[[#This Row],[Qty]]*tblSales[[#This Row],[Unit Price]]</f>
        <v>390000</v>
      </c>
      <c r="L123" s="5">
        <f>ROUND(tblSales[[#This Row],[DPP (excl. VAT)]]*VATEff,0)</f>
        <v>42900</v>
      </c>
      <c r="M123" s="5">
        <f>tblSales[[#This Row],[DPP (excl. VAT)]]+tblSales[[#This Row],[Output VAT]]</f>
        <v>432900</v>
      </c>
      <c r="N123" s="5">
        <f>tblSales[[#This Row],[Qty]]*_xlfn.XLOOKUP(tblSales[[#This Row],[Product Code]],tblProducts[Code],tblProducts[Unit Cost],0)</f>
        <v>222000</v>
      </c>
      <c r="O123" s="4" t="s">
        <v>4865</v>
      </c>
      <c r="P123" s="4" t="s">
        <v>4860</v>
      </c>
      <c r="Q123" s="1" t="str">
        <f>_xlfn.XLOOKUP(tblSales[[#This Row],[Channel Code]],tblChannels[Channel Code],tblChannels[Channel Name],"")</f>
        <v>In-store</v>
      </c>
      <c r="R123" s="1">
        <f>MONTH(tblSales[[#This Row],[Date]])</f>
        <v>1</v>
      </c>
    </row>
    <row r="124" spans="2:18" x14ac:dyDescent="0.35">
      <c r="B124" s="113">
        <v>46031</v>
      </c>
      <c r="C124" s="4" t="s">
        <v>130</v>
      </c>
      <c r="D124" s="4" t="s">
        <v>4578</v>
      </c>
      <c r="E124" s="1" t="str">
        <f>_xlfn.XLOOKUP(tblSales[[#This Row],[Customer ID]],tblCustomers[Customer ID],tblCustomers[Customer Name],"⚠ Unknown")</f>
        <v>PT Bintang Timur Sejahtera</v>
      </c>
      <c r="F124" s="4" t="s">
        <v>15</v>
      </c>
      <c r="G124" s="1" t="str">
        <f>_xlfn.XLOOKUP(tblSales[[#This Row],[Product Code]],tblProducts[Code],tblProducts[Product / Service Name],"⚠ Unknown")</f>
        <v>Wireless Earbuds Pro</v>
      </c>
      <c r="H124" s="1" t="str">
        <f>_xlfn.XLOOKUP(tblSales[[#This Row],[Product Code]],tblProducts[Code],tblProducts[Category],"")</f>
        <v>Bags &amp; Gadgets</v>
      </c>
      <c r="I124" s="4">
        <v>16</v>
      </c>
      <c r="J124" s="5">
        <f>_xlfn.XLOOKUP(tblSales[[#This Row],[Product Code]],tblProducts[Code],tblProducts[Selling Price (excl. VAT)],0)</f>
        <v>1250000</v>
      </c>
      <c r="K124" s="5">
        <f>tblSales[[#This Row],[Qty]]*tblSales[[#This Row],[Unit Price]]</f>
        <v>20000000</v>
      </c>
      <c r="L124" s="5">
        <f>ROUND(tblSales[[#This Row],[DPP (excl. VAT)]]*VATEff,0)</f>
        <v>2200000</v>
      </c>
      <c r="M124" s="5">
        <f>tblSales[[#This Row],[DPP (excl. VAT)]]+tblSales[[#This Row],[Output VAT]]</f>
        <v>22200000</v>
      </c>
      <c r="N124" s="5">
        <f>tblSales[[#This Row],[Qty]]*_xlfn.XLOOKUP(tblSales[[#This Row],[Product Code]],tblProducts[Code],tblProducts[Unit Cost],0)</f>
        <v>13120000</v>
      </c>
      <c r="O124" s="4" t="s">
        <v>4867</v>
      </c>
      <c r="P124" s="4" t="s">
        <v>4860</v>
      </c>
      <c r="Q124" s="1" t="str">
        <f>_xlfn.XLOOKUP(tblSales[[#This Row],[Channel Code]],tblChannels[Channel Code],tblChannels[Channel Name],"")</f>
        <v>In-store</v>
      </c>
      <c r="R124" s="1">
        <f>MONTH(tblSales[[#This Row],[Date]])</f>
        <v>1</v>
      </c>
    </row>
    <row r="125" spans="2:18" x14ac:dyDescent="0.35">
      <c r="B125" s="113">
        <v>46031</v>
      </c>
      <c r="C125" s="4" t="s">
        <v>131</v>
      </c>
      <c r="D125" s="4" t="s">
        <v>4568</v>
      </c>
      <c r="E125" s="1" t="str">
        <f>_xlfn.XLOOKUP(tblSales[[#This Row],[Customer ID]],tblCustomers[Customer ID],tblCustomers[Customer Name],"⚠ Unknown")</f>
        <v>Walk-in Customer</v>
      </c>
      <c r="F125" s="4" t="s">
        <v>11</v>
      </c>
      <c r="G125" s="1" t="str">
        <f>_xlfn.XLOOKUP(tblSales[[#This Row],[Product Code]],tblProducts[Code],tblProducts[Product / Service Name],"⚠ Unknown")</f>
        <v>Sneakers</v>
      </c>
      <c r="H125" s="1" t="str">
        <f>_xlfn.XLOOKUP(tblSales[[#This Row],[Product Code]],tblProducts[Code],tblProducts[Category],"")</f>
        <v>Apparel &amp; Footwear</v>
      </c>
      <c r="I125" s="4">
        <v>6</v>
      </c>
      <c r="J125" s="5">
        <f>_xlfn.XLOOKUP(tblSales[[#This Row],[Product Code]],tblProducts[Code],tblProducts[Selling Price (excl. VAT)],0)</f>
        <v>250000</v>
      </c>
      <c r="K125" s="5">
        <f>tblSales[[#This Row],[Qty]]*tblSales[[#This Row],[Unit Price]]</f>
        <v>1500000</v>
      </c>
      <c r="L125" s="5">
        <f>ROUND(tblSales[[#This Row],[DPP (excl. VAT)]]*VATEff,0)</f>
        <v>165000</v>
      </c>
      <c r="M125" s="5">
        <f>tblSales[[#This Row],[DPP (excl. VAT)]]+tblSales[[#This Row],[Output VAT]]</f>
        <v>1665000</v>
      </c>
      <c r="N125" s="5">
        <f>tblSales[[#This Row],[Qty]]*_xlfn.XLOOKUP(tblSales[[#This Row],[Product Code]],tblProducts[Code],tblProducts[Unit Cost],0)</f>
        <v>930000</v>
      </c>
      <c r="O125" s="4" t="s">
        <v>4865</v>
      </c>
      <c r="P125" s="4" t="s">
        <v>4860</v>
      </c>
      <c r="Q125" s="1" t="str">
        <f>_xlfn.XLOOKUP(tblSales[[#This Row],[Channel Code]],tblChannels[Channel Code],tblChannels[Channel Name],"")</f>
        <v>In-store</v>
      </c>
      <c r="R125" s="1">
        <f>MONTH(tblSales[[#This Row],[Date]])</f>
        <v>1</v>
      </c>
    </row>
    <row r="126" spans="2:18" x14ac:dyDescent="0.35">
      <c r="B126" s="113">
        <v>46031</v>
      </c>
      <c r="C126" s="4" t="s">
        <v>132</v>
      </c>
      <c r="D126" s="4" t="s">
        <v>4568</v>
      </c>
      <c r="E126" s="1" t="str">
        <f>_xlfn.XLOOKUP(tblSales[[#This Row],[Customer ID]],tblCustomers[Customer ID],tblCustomers[Customer Name],"⚠ Unknown")</f>
        <v>Walk-in Customer</v>
      </c>
      <c r="F126" s="4" t="s">
        <v>11</v>
      </c>
      <c r="G126" s="1" t="str">
        <f>_xlfn.XLOOKUP(tblSales[[#This Row],[Product Code]],tblProducts[Code],tblProducts[Product / Service Name],"⚠ Unknown")</f>
        <v>Sneakers</v>
      </c>
      <c r="H126" s="1" t="str">
        <f>_xlfn.XLOOKUP(tblSales[[#This Row],[Product Code]],tblProducts[Code],tblProducts[Category],"")</f>
        <v>Apparel &amp; Footwear</v>
      </c>
      <c r="I126" s="4">
        <v>2</v>
      </c>
      <c r="J126" s="5">
        <f>_xlfn.XLOOKUP(tblSales[[#This Row],[Product Code]],tblProducts[Code],tblProducts[Selling Price (excl. VAT)],0)</f>
        <v>250000</v>
      </c>
      <c r="K126" s="5">
        <f>tblSales[[#This Row],[Qty]]*tblSales[[#This Row],[Unit Price]]</f>
        <v>500000</v>
      </c>
      <c r="L126" s="5">
        <f>ROUND(tblSales[[#This Row],[DPP (excl. VAT)]]*VATEff,0)</f>
        <v>55000</v>
      </c>
      <c r="M126" s="5">
        <f>tblSales[[#This Row],[DPP (excl. VAT)]]+tblSales[[#This Row],[Output VAT]]</f>
        <v>555000</v>
      </c>
      <c r="N126" s="5">
        <f>tblSales[[#This Row],[Qty]]*_xlfn.XLOOKUP(tblSales[[#This Row],[Product Code]],tblProducts[Code],tblProducts[Unit Cost],0)</f>
        <v>310000</v>
      </c>
      <c r="O126" s="4" t="s">
        <v>4866</v>
      </c>
      <c r="P126" s="4" t="s">
        <v>4862</v>
      </c>
      <c r="Q126" s="1" t="str">
        <f>_xlfn.XLOOKUP(tblSales[[#This Row],[Channel Code]],tblChannels[Channel Code],tblChannels[Channel Name],"")</f>
        <v>Website &amp; Social Media</v>
      </c>
      <c r="R126" s="1">
        <f>MONTH(tblSales[[#This Row],[Date]])</f>
        <v>1</v>
      </c>
    </row>
    <row r="127" spans="2:18" x14ac:dyDescent="0.35">
      <c r="B127" s="113">
        <v>46032</v>
      </c>
      <c r="C127" s="4" t="s">
        <v>133</v>
      </c>
      <c r="D127" s="4" t="s">
        <v>4641</v>
      </c>
      <c r="E127" s="1" t="str">
        <f>_xlfn.XLOOKUP(tblSales[[#This Row],[Customer ID]],tblCustomers[Customer ID],tblCustomers[Customer Name],"⚠ Unknown")</f>
        <v>PT Harmoni Pangan Lestari</v>
      </c>
      <c r="F127" s="4" t="s">
        <v>7</v>
      </c>
      <c r="G127" s="1" t="str">
        <f>_xlfn.XLOOKUP(tblSales[[#This Row],[Product Code]],tblProducts[Code],tblProducts[Product / Service Name],"⚠ Unknown")</f>
        <v>Premium Basic T-shirt</v>
      </c>
      <c r="H127" s="1" t="str">
        <f>_xlfn.XLOOKUP(tblSales[[#This Row],[Product Code]],tblProducts[Code],tblProducts[Category],"")</f>
        <v>Accessories &amp; Basics</v>
      </c>
      <c r="I127" s="4">
        <v>16</v>
      </c>
      <c r="J127" s="5">
        <f>_xlfn.XLOOKUP(tblSales[[#This Row],[Product Code]],tblProducts[Code],tblProducts[Selling Price (excl. VAT)],0)</f>
        <v>65000</v>
      </c>
      <c r="K127" s="5">
        <f>tblSales[[#This Row],[Qty]]*tblSales[[#This Row],[Unit Price]]</f>
        <v>1040000</v>
      </c>
      <c r="L127" s="5">
        <f>ROUND(tblSales[[#This Row],[DPP (excl. VAT)]]*VATEff,0)</f>
        <v>114400</v>
      </c>
      <c r="M127" s="5">
        <f>tblSales[[#This Row],[DPP (excl. VAT)]]+tblSales[[#This Row],[Output VAT]]</f>
        <v>1154400</v>
      </c>
      <c r="N127" s="5">
        <f>tblSales[[#This Row],[Qty]]*_xlfn.XLOOKUP(tblSales[[#This Row],[Product Code]],tblProducts[Code],tblProducts[Unit Cost],0)</f>
        <v>592000</v>
      </c>
      <c r="O127" s="4" t="s">
        <v>4867</v>
      </c>
      <c r="P127" s="4" t="s">
        <v>4860</v>
      </c>
      <c r="Q127" s="1" t="str">
        <f>_xlfn.XLOOKUP(tblSales[[#This Row],[Channel Code]],tblChannels[Channel Code],tblChannels[Channel Name],"")</f>
        <v>In-store</v>
      </c>
      <c r="R127" s="1">
        <f>MONTH(tblSales[[#This Row],[Date]])</f>
        <v>1</v>
      </c>
    </row>
    <row r="128" spans="2:18" x14ac:dyDescent="0.35">
      <c r="B128" s="113">
        <v>46032</v>
      </c>
      <c r="C128" s="4" t="s">
        <v>133</v>
      </c>
      <c r="D128" s="4" t="s">
        <v>4641</v>
      </c>
      <c r="E128" s="1" t="str">
        <f>_xlfn.XLOOKUP(tblSales[[#This Row],[Customer ID]],tblCustomers[Customer ID],tblCustomers[Customer Name],"⚠ Unknown")</f>
        <v>PT Harmoni Pangan Lestari</v>
      </c>
      <c r="F128" s="4" t="s">
        <v>12</v>
      </c>
      <c r="G128" s="1" t="str">
        <f>_xlfn.XLOOKUP(tblSales[[#This Row],[Product Code]],tblProducts[Code],tblProducts[Product / Service Name],"⚠ Unknown")</f>
        <v>Bomber Jacket</v>
      </c>
      <c r="H128" s="1" t="str">
        <f>_xlfn.XLOOKUP(tblSales[[#This Row],[Product Code]],tblProducts[Code],tblProducts[Category],"")</f>
        <v>Apparel &amp; Footwear</v>
      </c>
      <c r="I128" s="4">
        <v>16</v>
      </c>
      <c r="J128" s="5">
        <f>_xlfn.XLOOKUP(tblSales[[#This Row],[Product Code]],tblProducts[Code],tblProducts[Selling Price (excl. VAT)],0)</f>
        <v>350000</v>
      </c>
      <c r="K128" s="5">
        <f>tblSales[[#This Row],[Qty]]*tblSales[[#This Row],[Unit Price]]</f>
        <v>5600000</v>
      </c>
      <c r="L128" s="5">
        <f>ROUND(tblSales[[#This Row],[DPP (excl. VAT)]]*VATEff,0)</f>
        <v>616000</v>
      </c>
      <c r="M128" s="5">
        <f>tblSales[[#This Row],[DPP (excl. VAT)]]+tblSales[[#This Row],[Output VAT]]</f>
        <v>6216000</v>
      </c>
      <c r="N128" s="5">
        <f>tblSales[[#This Row],[Qty]]*_xlfn.XLOOKUP(tblSales[[#This Row],[Product Code]],tblProducts[Code],tblProducts[Unit Cost],0)</f>
        <v>3360000</v>
      </c>
      <c r="O128" s="4" t="s">
        <v>4867</v>
      </c>
      <c r="P128" s="4" t="s">
        <v>4860</v>
      </c>
      <c r="Q128" s="1" t="str">
        <f>_xlfn.XLOOKUP(tblSales[[#This Row],[Channel Code]],tblChannels[Channel Code],tblChannels[Channel Name],"")</f>
        <v>In-store</v>
      </c>
      <c r="R128" s="1">
        <f>MONTH(tblSales[[#This Row],[Date]])</f>
        <v>1</v>
      </c>
    </row>
    <row r="129" spans="2:18" x14ac:dyDescent="0.35">
      <c r="B129" s="113">
        <v>46032</v>
      </c>
      <c r="C129" s="4" t="s">
        <v>134</v>
      </c>
      <c r="D129" s="4" t="s">
        <v>4568</v>
      </c>
      <c r="E129" s="1" t="str">
        <f>_xlfn.XLOOKUP(tblSales[[#This Row],[Customer ID]],tblCustomers[Customer ID],tblCustomers[Customer Name],"⚠ Unknown")</f>
        <v>Walk-in Customer</v>
      </c>
      <c r="F129" s="4" t="s">
        <v>7</v>
      </c>
      <c r="G129" s="1" t="str">
        <f>_xlfn.XLOOKUP(tblSales[[#This Row],[Product Code]],tblProducts[Code],tblProducts[Product / Service Name],"⚠ Unknown")</f>
        <v>Premium Basic T-shirt</v>
      </c>
      <c r="H129" s="1" t="str">
        <f>_xlfn.XLOOKUP(tblSales[[#This Row],[Product Code]],tblProducts[Code],tblProducts[Category],"")</f>
        <v>Accessories &amp; Basics</v>
      </c>
      <c r="I129" s="4">
        <v>8</v>
      </c>
      <c r="J129" s="5">
        <f>_xlfn.XLOOKUP(tblSales[[#This Row],[Product Code]],tblProducts[Code],tblProducts[Selling Price (excl. VAT)],0)</f>
        <v>65000</v>
      </c>
      <c r="K129" s="5">
        <f>tblSales[[#This Row],[Qty]]*tblSales[[#This Row],[Unit Price]]</f>
        <v>520000</v>
      </c>
      <c r="L129" s="5">
        <f>ROUND(tblSales[[#This Row],[DPP (excl. VAT)]]*VATEff,0)</f>
        <v>57200</v>
      </c>
      <c r="M129" s="5">
        <f>tblSales[[#This Row],[DPP (excl. VAT)]]+tblSales[[#This Row],[Output VAT]]</f>
        <v>577200</v>
      </c>
      <c r="N129" s="5">
        <f>tblSales[[#This Row],[Qty]]*_xlfn.XLOOKUP(tblSales[[#This Row],[Product Code]],tblProducts[Code],tblProducts[Unit Cost],0)</f>
        <v>296000</v>
      </c>
      <c r="O129" s="4" t="s">
        <v>4866</v>
      </c>
      <c r="P129" s="4" t="s">
        <v>4861</v>
      </c>
      <c r="Q129" s="1" t="str">
        <f>_xlfn.XLOOKUP(tblSales[[#This Row],[Channel Code]],tblChannels[Channel Code],tblChannels[Channel Name],"")</f>
        <v>Marketplace</v>
      </c>
      <c r="R129" s="1">
        <f>MONTH(tblSales[[#This Row],[Date]])</f>
        <v>1</v>
      </c>
    </row>
    <row r="130" spans="2:18" x14ac:dyDescent="0.35">
      <c r="B130" s="113">
        <v>46032</v>
      </c>
      <c r="C130" s="4" t="s">
        <v>134</v>
      </c>
      <c r="D130" s="4" t="s">
        <v>4568</v>
      </c>
      <c r="E130" s="1" t="str">
        <f>_xlfn.XLOOKUP(tblSales[[#This Row],[Customer ID]],tblCustomers[Customer ID],tblCustomers[Customer Name],"⚠ Unknown")</f>
        <v>Walk-in Customer</v>
      </c>
      <c r="F130" s="4" t="s">
        <v>6</v>
      </c>
      <c r="G130" s="1" t="str">
        <f>_xlfn.XLOOKUP(tblSales[[#This Row],[Product Code]],tblProducts[Code],tblProducts[Product / Service Name],"⚠ Unknown")</f>
        <v>Socks &amp; Accessories</v>
      </c>
      <c r="H130" s="1" t="str">
        <f>_xlfn.XLOOKUP(tblSales[[#This Row],[Product Code]],tblProducts[Code],tblProducts[Category],"")</f>
        <v>Accessories &amp; Basics</v>
      </c>
      <c r="I130" s="4">
        <v>6</v>
      </c>
      <c r="J130" s="5">
        <f>_xlfn.XLOOKUP(tblSales[[#This Row],[Product Code]],tblProducts[Code],tblProducts[Selling Price (excl. VAT)],0)</f>
        <v>45000</v>
      </c>
      <c r="K130" s="5">
        <f>tblSales[[#This Row],[Qty]]*tblSales[[#This Row],[Unit Price]]</f>
        <v>270000</v>
      </c>
      <c r="L130" s="5">
        <f>ROUND(tblSales[[#This Row],[DPP (excl. VAT)]]*VATEff,0)</f>
        <v>29700</v>
      </c>
      <c r="M130" s="5">
        <f>tblSales[[#This Row],[DPP (excl. VAT)]]+tblSales[[#This Row],[Output VAT]]</f>
        <v>299700</v>
      </c>
      <c r="N130" s="5">
        <f>tblSales[[#This Row],[Qty]]*_xlfn.XLOOKUP(tblSales[[#This Row],[Product Code]],tblProducts[Code],tblProducts[Unit Cost],0)</f>
        <v>144000</v>
      </c>
      <c r="O130" s="4" t="s">
        <v>4866</v>
      </c>
      <c r="P130" s="4" t="s">
        <v>4861</v>
      </c>
      <c r="Q130" s="1" t="str">
        <f>_xlfn.XLOOKUP(tblSales[[#This Row],[Channel Code]],tblChannels[Channel Code],tblChannels[Channel Name],"")</f>
        <v>Marketplace</v>
      </c>
      <c r="R130" s="1">
        <f>MONTH(tblSales[[#This Row],[Date]])</f>
        <v>1</v>
      </c>
    </row>
    <row r="131" spans="2:18" x14ac:dyDescent="0.35">
      <c r="B131" s="113">
        <v>46032</v>
      </c>
      <c r="C131" s="4" t="s">
        <v>135</v>
      </c>
      <c r="D131" s="4" t="s">
        <v>4627</v>
      </c>
      <c r="E131" s="1" t="str">
        <f>_xlfn.XLOOKUP(tblSales[[#This Row],[Customer ID]],tblCustomers[Customer ID],tblCustomers[Customer Name],"⚠ Unknown")</f>
        <v>PT Kencana Wira Usaha</v>
      </c>
      <c r="F131" s="4" t="s">
        <v>10</v>
      </c>
      <c r="G131" s="1" t="str">
        <f>_xlfn.XLOOKUP(tblSales[[#This Row],[Product Code]],tblProducts[Code],tblProducts[Product / Service Name],"⚠ Unknown")</f>
        <v>Chino Pants</v>
      </c>
      <c r="H131" s="1" t="str">
        <f>_xlfn.XLOOKUP(tblSales[[#This Row],[Product Code]],tblProducts[Code],tblProducts[Category],"")</f>
        <v>Apparel &amp; Footwear</v>
      </c>
      <c r="I131" s="4">
        <v>88</v>
      </c>
      <c r="J131" s="5">
        <f>_xlfn.XLOOKUP(tblSales[[#This Row],[Product Code]],tblProducts[Code],tblProducts[Selling Price (excl. VAT)],0)</f>
        <v>150000</v>
      </c>
      <c r="K131" s="5">
        <f>tblSales[[#This Row],[Qty]]*tblSales[[#This Row],[Unit Price]]</f>
        <v>13200000</v>
      </c>
      <c r="L131" s="5">
        <f>ROUND(tblSales[[#This Row],[DPP (excl. VAT)]]*VATEff,0)</f>
        <v>1452000</v>
      </c>
      <c r="M131" s="5">
        <f>tblSales[[#This Row],[DPP (excl. VAT)]]+tblSales[[#This Row],[Output VAT]]</f>
        <v>14652000</v>
      </c>
      <c r="N131" s="5">
        <f>tblSales[[#This Row],[Qty]]*_xlfn.XLOOKUP(tblSales[[#This Row],[Product Code]],tblProducts[Code],tblProducts[Unit Cost],0)</f>
        <v>7744000</v>
      </c>
      <c r="O131" s="4" t="s">
        <v>4867</v>
      </c>
      <c r="P131" s="4" t="s">
        <v>4860</v>
      </c>
      <c r="Q131" s="1" t="str">
        <f>_xlfn.XLOOKUP(tblSales[[#This Row],[Channel Code]],tblChannels[Channel Code],tblChannels[Channel Name],"")</f>
        <v>In-store</v>
      </c>
      <c r="R131" s="1">
        <f>MONTH(tblSales[[#This Row],[Date]])</f>
        <v>1</v>
      </c>
    </row>
    <row r="132" spans="2:18" x14ac:dyDescent="0.35">
      <c r="B132" s="113">
        <v>46032</v>
      </c>
      <c r="C132" s="4" t="s">
        <v>135</v>
      </c>
      <c r="D132" s="4" t="s">
        <v>4627</v>
      </c>
      <c r="E132" s="1" t="str">
        <f>_xlfn.XLOOKUP(tblSales[[#This Row],[Customer ID]],tblCustomers[Customer ID],tblCustomers[Customer Name],"⚠ Unknown")</f>
        <v>PT Kencana Wira Usaha</v>
      </c>
      <c r="F132" s="4" t="s">
        <v>11</v>
      </c>
      <c r="G132" s="1" t="str">
        <f>_xlfn.XLOOKUP(tblSales[[#This Row],[Product Code]],tblProducts[Code],tblProducts[Product / Service Name],"⚠ Unknown")</f>
        <v>Sneakers</v>
      </c>
      <c r="H132" s="1" t="str">
        <f>_xlfn.XLOOKUP(tblSales[[#This Row],[Product Code]],tblProducts[Code],tblProducts[Category],"")</f>
        <v>Apparel &amp; Footwear</v>
      </c>
      <c r="I132" s="4">
        <v>8</v>
      </c>
      <c r="J132" s="5">
        <f>_xlfn.XLOOKUP(tblSales[[#This Row],[Product Code]],tblProducts[Code],tblProducts[Selling Price (excl. VAT)],0)</f>
        <v>250000</v>
      </c>
      <c r="K132" s="5">
        <f>tblSales[[#This Row],[Qty]]*tblSales[[#This Row],[Unit Price]]</f>
        <v>2000000</v>
      </c>
      <c r="L132" s="5">
        <f>ROUND(tblSales[[#This Row],[DPP (excl. VAT)]]*VATEff,0)</f>
        <v>220000</v>
      </c>
      <c r="M132" s="5">
        <f>tblSales[[#This Row],[DPP (excl. VAT)]]+tblSales[[#This Row],[Output VAT]]</f>
        <v>2220000</v>
      </c>
      <c r="N132" s="5">
        <f>tblSales[[#This Row],[Qty]]*_xlfn.XLOOKUP(tblSales[[#This Row],[Product Code]],tblProducts[Code],tblProducts[Unit Cost],0)</f>
        <v>1240000</v>
      </c>
      <c r="O132" s="4" t="s">
        <v>4867</v>
      </c>
      <c r="P132" s="4" t="s">
        <v>4860</v>
      </c>
      <c r="Q132" s="1" t="str">
        <f>_xlfn.XLOOKUP(tblSales[[#This Row],[Channel Code]],tblChannels[Channel Code],tblChannels[Channel Name],"")</f>
        <v>In-store</v>
      </c>
      <c r="R132" s="1">
        <f>MONTH(tblSales[[#This Row],[Date]])</f>
        <v>1</v>
      </c>
    </row>
    <row r="133" spans="2:18" x14ac:dyDescent="0.35">
      <c r="B133" s="113">
        <v>46032</v>
      </c>
      <c r="C133" s="4" t="s">
        <v>135</v>
      </c>
      <c r="D133" s="4" t="s">
        <v>4627</v>
      </c>
      <c r="E133" s="1" t="str">
        <f>_xlfn.XLOOKUP(tblSales[[#This Row],[Customer ID]],tblCustomers[Customer ID],tblCustomers[Customer Name],"⚠ Unknown")</f>
        <v>PT Kencana Wira Usaha</v>
      </c>
      <c r="F133" s="4" t="s">
        <v>8</v>
      </c>
      <c r="G133" s="1" t="str">
        <f>_xlfn.XLOOKUP(tblSales[[#This Row],[Product Code]],tblProducts[Code],tblProducts[Product / Service Name],"⚠ Unknown")</f>
        <v>Casual Shorts</v>
      </c>
      <c r="H133" s="1" t="str">
        <f>_xlfn.XLOOKUP(tblSales[[#This Row],[Product Code]],tblProducts[Code],tblProducts[Category],"")</f>
        <v>Accessories &amp; Basics</v>
      </c>
      <c r="I133" s="4">
        <v>56</v>
      </c>
      <c r="J133" s="5">
        <f>_xlfn.XLOOKUP(tblSales[[#This Row],[Product Code]],tblProducts[Code],tblProducts[Selling Price (excl. VAT)],0)</f>
        <v>85000</v>
      </c>
      <c r="K133" s="5">
        <f>tblSales[[#This Row],[Qty]]*tblSales[[#This Row],[Unit Price]]</f>
        <v>4760000</v>
      </c>
      <c r="L133" s="5">
        <f>ROUND(tblSales[[#This Row],[DPP (excl. VAT)]]*VATEff,0)</f>
        <v>523600</v>
      </c>
      <c r="M133" s="5">
        <f>tblSales[[#This Row],[DPP (excl. VAT)]]+tblSales[[#This Row],[Output VAT]]</f>
        <v>5283600</v>
      </c>
      <c r="N133" s="5">
        <f>tblSales[[#This Row],[Qty]]*_xlfn.XLOOKUP(tblSales[[#This Row],[Product Code]],tblProducts[Code],tblProducts[Unit Cost],0)</f>
        <v>2800000</v>
      </c>
      <c r="O133" s="4" t="s">
        <v>4867</v>
      </c>
      <c r="P133" s="4" t="s">
        <v>4860</v>
      </c>
      <c r="Q133" s="1" t="str">
        <f>_xlfn.XLOOKUP(tblSales[[#This Row],[Channel Code]],tblChannels[Channel Code],tblChannels[Channel Name],"")</f>
        <v>In-store</v>
      </c>
      <c r="R133" s="1">
        <f>MONTH(tblSales[[#This Row],[Date]])</f>
        <v>1</v>
      </c>
    </row>
    <row r="134" spans="2:18" x14ac:dyDescent="0.35">
      <c r="B134" s="113">
        <v>46032</v>
      </c>
      <c r="C134" s="4" t="s">
        <v>136</v>
      </c>
      <c r="D134" s="4" t="s">
        <v>4568</v>
      </c>
      <c r="E134" s="1" t="str">
        <f>_xlfn.XLOOKUP(tblSales[[#This Row],[Customer ID]],tblCustomers[Customer ID],tblCustomers[Customer Name],"⚠ Unknown")</f>
        <v>Walk-in Customer</v>
      </c>
      <c r="F134" s="4" t="s">
        <v>6</v>
      </c>
      <c r="G134" s="1" t="str">
        <f>_xlfn.XLOOKUP(tblSales[[#This Row],[Product Code]],tblProducts[Code],tblProducts[Product / Service Name],"⚠ Unknown")</f>
        <v>Socks &amp; Accessories</v>
      </c>
      <c r="H134" s="1" t="str">
        <f>_xlfn.XLOOKUP(tblSales[[#This Row],[Product Code]],tblProducts[Code],tblProducts[Category],"")</f>
        <v>Accessories &amp; Basics</v>
      </c>
      <c r="I134" s="4">
        <v>12</v>
      </c>
      <c r="J134" s="5">
        <f>_xlfn.XLOOKUP(tblSales[[#This Row],[Product Code]],tblProducts[Code],tblProducts[Selling Price (excl. VAT)],0)</f>
        <v>45000</v>
      </c>
      <c r="K134" s="5">
        <f>tblSales[[#This Row],[Qty]]*tblSales[[#This Row],[Unit Price]]</f>
        <v>540000</v>
      </c>
      <c r="L134" s="5">
        <f>ROUND(tblSales[[#This Row],[DPP (excl. VAT)]]*VATEff,0)</f>
        <v>59400</v>
      </c>
      <c r="M134" s="5">
        <f>tblSales[[#This Row],[DPP (excl. VAT)]]+tblSales[[#This Row],[Output VAT]]</f>
        <v>599400</v>
      </c>
      <c r="N134" s="5">
        <f>tblSales[[#This Row],[Qty]]*_xlfn.XLOOKUP(tblSales[[#This Row],[Product Code]],tblProducts[Code],tblProducts[Unit Cost],0)</f>
        <v>288000</v>
      </c>
      <c r="O134" s="4" t="s">
        <v>4865</v>
      </c>
      <c r="P134" s="4" t="s">
        <v>4860</v>
      </c>
      <c r="Q134" s="1" t="str">
        <f>_xlfn.XLOOKUP(tblSales[[#This Row],[Channel Code]],tblChannels[Channel Code],tblChannels[Channel Name],"")</f>
        <v>In-store</v>
      </c>
      <c r="R134" s="1">
        <f>MONTH(tblSales[[#This Row],[Date]])</f>
        <v>1</v>
      </c>
    </row>
    <row r="135" spans="2:18" x14ac:dyDescent="0.35">
      <c r="B135" s="113">
        <v>46032</v>
      </c>
      <c r="C135" s="4" t="s">
        <v>137</v>
      </c>
      <c r="D135" s="4" t="s">
        <v>4641</v>
      </c>
      <c r="E135" s="1" t="str">
        <f>_xlfn.XLOOKUP(tblSales[[#This Row],[Customer ID]],tblCustomers[Customer ID],tblCustomers[Customer Name],"⚠ Unknown")</f>
        <v>PT Harmoni Pangan Lestari</v>
      </c>
      <c r="F135" s="4" t="s">
        <v>9</v>
      </c>
      <c r="G135" s="1" t="str">
        <f>_xlfn.XLOOKUP(tblSales[[#This Row],[Product Code]],tblProducts[Code],tblProducts[Product / Service Name],"⚠ Unknown")</f>
        <v>Casual Shirt</v>
      </c>
      <c r="H135" s="1" t="str">
        <f>_xlfn.XLOOKUP(tblSales[[#This Row],[Product Code]],tblProducts[Code],tblProducts[Category],"")</f>
        <v>Apparel &amp; Footwear</v>
      </c>
      <c r="I135" s="4">
        <v>8</v>
      </c>
      <c r="J135" s="5">
        <f>_xlfn.XLOOKUP(tblSales[[#This Row],[Product Code]],tblProducts[Code],tblProducts[Selling Price (excl. VAT)],0)</f>
        <v>120000</v>
      </c>
      <c r="K135" s="5">
        <f>tblSales[[#This Row],[Qty]]*tblSales[[#This Row],[Unit Price]]</f>
        <v>960000</v>
      </c>
      <c r="L135" s="5">
        <f>ROUND(tblSales[[#This Row],[DPP (excl. VAT)]]*VATEff,0)</f>
        <v>105600</v>
      </c>
      <c r="M135" s="5">
        <f>tblSales[[#This Row],[DPP (excl. VAT)]]+tblSales[[#This Row],[Output VAT]]</f>
        <v>1065600</v>
      </c>
      <c r="N135" s="5">
        <f>tblSales[[#This Row],[Qty]]*_xlfn.XLOOKUP(tblSales[[#This Row],[Product Code]],tblProducts[Code],tblProducts[Unit Cost],0)</f>
        <v>576000</v>
      </c>
      <c r="O135" s="4" t="s">
        <v>4867</v>
      </c>
      <c r="P135" s="4" t="s">
        <v>4860</v>
      </c>
      <c r="Q135" s="1" t="str">
        <f>_xlfn.XLOOKUP(tblSales[[#This Row],[Channel Code]],tblChannels[Channel Code],tblChannels[Channel Name],"")</f>
        <v>In-store</v>
      </c>
      <c r="R135" s="1">
        <f>MONTH(tblSales[[#This Row],[Date]])</f>
        <v>1</v>
      </c>
    </row>
    <row r="136" spans="2:18" x14ac:dyDescent="0.35">
      <c r="B136" s="113">
        <v>46032</v>
      </c>
      <c r="C136" s="4" t="s">
        <v>138</v>
      </c>
      <c r="D136" s="4" t="s">
        <v>4568</v>
      </c>
      <c r="E136" s="1" t="str">
        <f>_xlfn.XLOOKUP(tblSales[[#This Row],[Customer ID]],tblCustomers[Customer ID],tblCustomers[Customer Name],"⚠ Unknown")</f>
        <v>Walk-in Customer</v>
      </c>
      <c r="F136" s="4" t="s">
        <v>13</v>
      </c>
      <c r="G136" s="1" t="str">
        <f>_xlfn.XLOOKUP(tblSales[[#This Row],[Product Code]],tblProducts[Code],tblProducts[Product / Service Name],"⚠ Unknown")</f>
        <v>Backpack</v>
      </c>
      <c r="H136" s="1" t="str">
        <f>_xlfn.XLOOKUP(tblSales[[#This Row],[Product Code]],tblProducts[Code],tblProducts[Category],"")</f>
        <v>Bags &amp; Gadgets</v>
      </c>
      <c r="I136" s="4">
        <v>6</v>
      </c>
      <c r="J136" s="5">
        <f>_xlfn.XLOOKUP(tblSales[[#This Row],[Product Code]],tblProducts[Code],tblProducts[Selling Price (excl. VAT)],0)</f>
        <v>500000</v>
      </c>
      <c r="K136" s="5">
        <f>tblSales[[#This Row],[Qty]]*tblSales[[#This Row],[Unit Price]]</f>
        <v>3000000</v>
      </c>
      <c r="L136" s="5">
        <f>ROUND(tblSales[[#This Row],[DPP (excl. VAT)]]*VATEff,0)</f>
        <v>330000</v>
      </c>
      <c r="M136" s="5">
        <f>tblSales[[#This Row],[DPP (excl. VAT)]]+tblSales[[#This Row],[Output VAT]]</f>
        <v>3330000</v>
      </c>
      <c r="N136" s="5">
        <f>tblSales[[#This Row],[Qty]]*_xlfn.XLOOKUP(tblSales[[#This Row],[Product Code]],tblProducts[Code],tblProducts[Unit Cost],0)</f>
        <v>1740000</v>
      </c>
      <c r="O136" s="4" t="s">
        <v>4866</v>
      </c>
      <c r="P136" s="4" t="s">
        <v>4861</v>
      </c>
      <c r="Q136" s="1" t="str">
        <f>_xlfn.XLOOKUP(tblSales[[#This Row],[Channel Code]],tblChannels[Channel Code],tblChannels[Channel Name],"")</f>
        <v>Marketplace</v>
      </c>
      <c r="R136" s="1">
        <f>MONTH(tblSales[[#This Row],[Date]])</f>
        <v>1</v>
      </c>
    </row>
    <row r="137" spans="2:18" x14ac:dyDescent="0.35">
      <c r="B137" s="113">
        <v>46032</v>
      </c>
      <c r="C137" s="4" t="s">
        <v>138</v>
      </c>
      <c r="D137" s="4" t="s">
        <v>4568</v>
      </c>
      <c r="E137" s="1" t="str">
        <f>_xlfn.XLOOKUP(tblSales[[#This Row],[Customer ID]],tblCustomers[Customer ID],tblCustomers[Customer Name],"⚠ Unknown")</f>
        <v>Walk-in Customer</v>
      </c>
      <c r="F137" s="4" t="s">
        <v>8</v>
      </c>
      <c r="G137" s="1" t="str">
        <f>_xlfn.XLOOKUP(tblSales[[#This Row],[Product Code]],tblProducts[Code],tblProducts[Product / Service Name],"⚠ Unknown")</f>
        <v>Casual Shorts</v>
      </c>
      <c r="H137" s="1" t="str">
        <f>_xlfn.XLOOKUP(tblSales[[#This Row],[Product Code]],tblProducts[Code],tblProducts[Category],"")</f>
        <v>Accessories &amp; Basics</v>
      </c>
      <c r="I137" s="4">
        <v>10</v>
      </c>
      <c r="J137" s="5">
        <f>_xlfn.XLOOKUP(tblSales[[#This Row],[Product Code]],tblProducts[Code],tblProducts[Selling Price (excl. VAT)],0)</f>
        <v>85000</v>
      </c>
      <c r="K137" s="5">
        <f>tblSales[[#This Row],[Qty]]*tblSales[[#This Row],[Unit Price]]</f>
        <v>850000</v>
      </c>
      <c r="L137" s="5">
        <f>ROUND(tblSales[[#This Row],[DPP (excl. VAT)]]*VATEff,0)</f>
        <v>93500</v>
      </c>
      <c r="M137" s="5">
        <f>tblSales[[#This Row],[DPP (excl. VAT)]]+tblSales[[#This Row],[Output VAT]]</f>
        <v>943500</v>
      </c>
      <c r="N137" s="5">
        <f>tblSales[[#This Row],[Qty]]*_xlfn.XLOOKUP(tblSales[[#This Row],[Product Code]],tblProducts[Code],tblProducts[Unit Cost],0)</f>
        <v>500000</v>
      </c>
      <c r="O137" s="4" t="s">
        <v>4866</v>
      </c>
      <c r="P137" s="4" t="s">
        <v>4861</v>
      </c>
      <c r="Q137" s="1" t="str">
        <f>_xlfn.XLOOKUP(tblSales[[#This Row],[Channel Code]],tblChannels[Channel Code],tblChannels[Channel Name],"")</f>
        <v>Marketplace</v>
      </c>
      <c r="R137" s="1">
        <f>MONTH(tblSales[[#This Row],[Date]])</f>
        <v>1</v>
      </c>
    </row>
    <row r="138" spans="2:18" x14ac:dyDescent="0.35">
      <c r="B138" s="113">
        <v>46032</v>
      </c>
      <c r="C138" s="4" t="s">
        <v>138</v>
      </c>
      <c r="D138" s="4" t="s">
        <v>4568</v>
      </c>
      <c r="E138" s="1" t="str">
        <f>_xlfn.XLOOKUP(tblSales[[#This Row],[Customer ID]],tblCustomers[Customer ID],tblCustomers[Customer Name],"⚠ Unknown")</f>
        <v>Walk-in Customer</v>
      </c>
      <c r="F138" s="4" t="s">
        <v>7</v>
      </c>
      <c r="G138" s="1" t="str">
        <f>_xlfn.XLOOKUP(tblSales[[#This Row],[Product Code]],tblProducts[Code],tblProducts[Product / Service Name],"⚠ Unknown")</f>
        <v>Premium Basic T-shirt</v>
      </c>
      <c r="H138" s="1" t="str">
        <f>_xlfn.XLOOKUP(tblSales[[#This Row],[Product Code]],tblProducts[Code],tblProducts[Category],"")</f>
        <v>Accessories &amp; Basics</v>
      </c>
      <c r="I138" s="4">
        <v>9</v>
      </c>
      <c r="J138" s="5">
        <f>_xlfn.XLOOKUP(tblSales[[#This Row],[Product Code]],tblProducts[Code],tblProducts[Selling Price (excl. VAT)],0)</f>
        <v>65000</v>
      </c>
      <c r="K138" s="5">
        <f>tblSales[[#This Row],[Qty]]*tblSales[[#This Row],[Unit Price]]</f>
        <v>585000</v>
      </c>
      <c r="L138" s="5">
        <f>ROUND(tblSales[[#This Row],[DPP (excl. VAT)]]*VATEff,0)</f>
        <v>64350</v>
      </c>
      <c r="M138" s="5">
        <f>tblSales[[#This Row],[DPP (excl. VAT)]]+tblSales[[#This Row],[Output VAT]]</f>
        <v>649350</v>
      </c>
      <c r="N138" s="5">
        <f>tblSales[[#This Row],[Qty]]*_xlfn.XLOOKUP(tblSales[[#This Row],[Product Code]],tblProducts[Code],tblProducts[Unit Cost],0)</f>
        <v>333000</v>
      </c>
      <c r="O138" s="4" t="s">
        <v>4866</v>
      </c>
      <c r="P138" s="4" t="s">
        <v>4861</v>
      </c>
      <c r="Q138" s="1" t="str">
        <f>_xlfn.XLOOKUP(tblSales[[#This Row],[Channel Code]],tblChannels[Channel Code],tblChannels[Channel Name],"")</f>
        <v>Marketplace</v>
      </c>
      <c r="R138" s="1">
        <f>MONTH(tblSales[[#This Row],[Date]])</f>
        <v>1</v>
      </c>
    </row>
    <row r="139" spans="2:18" x14ac:dyDescent="0.35">
      <c r="B139" s="113">
        <v>46032</v>
      </c>
      <c r="C139" s="4" t="s">
        <v>139</v>
      </c>
      <c r="D139" s="4" t="s">
        <v>4578</v>
      </c>
      <c r="E139" s="1" t="str">
        <f>_xlfn.XLOOKUP(tblSales[[#This Row],[Customer ID]],tblCustomers[Customer ID],tblCustomers[Customer Name],"⚠ Unknown")</f>
        <v>PT Bintang Timur Sejahtera</v>
      </c>
      <c r="F139" s="4" t="s">
        <v>12</v>
      </c>
      <c r="G139" s="1" t="str">
        <f>_xlfn.XLOOKUP(tblSales[[#This Row],[Product Code]],tblProducts[Code],tblProducts[Product / Service Name],"⚠ Unknown")</f>
        <v>Bomber Jacket</v>
      </c>
      <c r="H139" s="1" t="str">
        <f>_xlfn.XLOOKUP(tblSales[[#This Row],[Product Code]],tblProducts[Code],tblProducts[Category],"")</f>
        <v>Apparel &amp; Footwear</v>
      </c>
      <c r="I139" s="4">
        <v>40</v>
      </c>
      <c r="J139" s="5">
        <f>_xlfn.XLOOKUP(tblSales[[#This Row],[Product Code]],tblProducts[Code],tblProducts[Selling Price (excl. VAT)],0)</f>
        <v>350000</v>
      </c>
      <c r="K139" s="5">
        <f>tblSales[[#This Row],[Qty]]*tblSales[[#This Row],[Unit Price]]</f>
        <v>14000000</v>
      </c>
      <c r="L139" s="5">
        <f>ROUND(tblSales[[#This Row],[DPP (excl. VAT)]]*VATEff,0)</f>
        <v>1540000</v>
      </c>
      <c r="M139" s="5">
        <f>tblSales[[#This Row],[DPP (excl. VAT)]]+tblSales[[#This Row],[Output VAT]]</f>
        <v>15540000</v>
      </c>
      <c r="N139" s="5">
        <f>tblSales[[#This Row],[Qty]]*_xlfn.XLOOKUP(tblSales[[#This Row],[Product Code]],tblProducts[Code],tblProducts[Unit Cost],0)</f>
        <v>8400000</v>
      </c>
      <c r="O139" s="4" t="s">
        <v>4867</v>
      </c>
      <c r="P139" s="4" t="s">
        <v>4860</v>
      </c>
      <c r="Q139" s="1" t="str">
        <f>_xlfn.XLOOKUP(tblSales[[#This Row],[Channel Code]],tblChannels[Channel Code],tblChannels[Channel Name],"")</f>
        <v>In-store</v>
      </c>
      <c r="R139" s="1">
        <f>MONTH(tblSales[[#This Row],[Date]])</f>
        <v>1</v>
      </c>
    </row>
    <row r="140" spans="2:18" x14ac:dyDescent="0.35">
      <c r="B140" s="113">
        <v>46032</v>
      </c>
      <c r="C140" s="4" t="s">
        <v>140</v>
      </c>
      <c r="D140" s="4" t="s">
        <v>4568</v>
      </c>
      <c r="E140" s="1" t="str">
        <f>_xlfn.XLOOKUP(tblSales[[#This Row],[Customer ID]],tblCustomers[Customer ID],tblCustomers[Customer Name],"⚠ Unknown")</f>
        <v>Walk-in Customer</v>
      </c>
      <c r="F140" s="4" t="s">
        <v>6</v>
      </c>
      <c r="G140" s="1" t="str">
        <f>_xlfn.XLOOKUP(tblSales[[#This Row],[Product Code]],tblProducts[Code],tblProducts[Product / Service Name],"⚠ Unknown")</f>
        <v>Socks &amp; Accessories</v>
      </c>
      <c r="H140" s="1" t="str">
        <f>_xlfn.XLOOKUP(tblSales[[#This Row],[Product Code]],tblProducts[Code],tblProducts[Category],"")</f>
        <v>Accessories &amp; Basics</v>
      </c>
      <c r="I140" s="4">
        <v>2</v>
      </c>
      <c r="J140" s="5">
        <f>_xlfn.XLOOKUP(tblSales[[#This Row],[Product Code]],tblProducts[Code],tblProducts[Selling Price (excl. VAT)],0)</f>
        <v>45000</v>
      </c>
      <c r="K140" s="5">
        <f>tblSales[[#This Row],[Qty]]*tblSales[[#This Row],[Unit Price]]</f>
        <v>90000</v>
      </c>
      <c r="L140" s="5">
        <f>ROUND(tblSales[[#This Row],[DPP (excl. VAT)]]*VATEff,0)</f>
        <v>9900</v>
      </c>
      <c r="M140" s="5">
        <f>tblSales[[#This Row],[DPP (excl. VAT)]]+tblSales[[#This Row],[Output VAT]]</f>
        <v>99900</v>
      </c>
      <c r="N140" s="5">
        <f>tblSales[[#This Row],[Qty]]*_xlfn.XLOOKUP(tblSales[[#This Row],[Product Code]],tblProducts[Code],tblProducts[Unit Cost],0)</f>
        <v>48000</v>
      </c>
      <c r="O140" s="4" t="s">
        <v>4865</v>
      </c>
      <c r="P140" s="4" t="s">
        <v>4860</v>
      </c>
      <c r="Q140" s="1" t="str">
        <f>_xlfn.XLOOKUP(tblSales[[#This Row],[Channel Code]],tblChannels[Channel Code],tblChannels[Channel Name],"")</f>
        <v>In-store</v>
      </c>
      <c r="R140" s="1">
        <f>MONTH(tblSales[[#This Row],[Date]])</f>
        <v>1</v>
      </c>
    </row>
    <row r="141" spans="2:18" x14ac:dyDescent="0.35">
      <c r="B141" s="113">
        <v>46032</v>
      </c>
      <c r="C141" s="4" t="s">
        <v>141</v>
      </c>
      <c r="D141" s="4" t="s">
        <v>4568</v>
      </c>
      <c r="E141" s="1" t="str">
        <f>_xlfn.XLOOKUP(tblSales[[#This Row],[Customer ID]],tblCustomers[Customer ID],tblCustomers[Customer Name],"⚠ Unknown")</f>
        <v>Walk-in Customer</v>
      </c>
      <c r="F141" s="4" t="s">
        <v>6</v>
      </c>
      <c r="G141" s="1" t="str">
        <f>_xlfn.XLOOKUP(tblSales[[#This Row],[Product Code]],tblProducts[Code],tblProducts[Product / Service Name],"⚠ Unknown")</f>
        <v>Socks &amp; Accessories</v>
      </c>
      <c r="H141" s="1" t="str">
        <f>_xlfn.XLOOKUP(tblSales[[#This Row],[Product Code]],tblProducts[Code],tblProducts[Category],"")</f>
        <v>Accessories &amp; Basics</v>
      </c>
      <c r="I141" s="4">
        <v>10</v>
      </c>
      <c r="J141" s="5">
        <f>_xlfn.XLOOKUP(tblSales[[#This Row],[Product Code]],tblProducts[Code],tblProducts[Selling Price (excl. VAT)],0)</f>
        <v>45000</v>
      </c>
      <c r="K141" s="5">
        <f>tblSales[[#This Row],[Qty]]*tblSales[[#This Row],[Unit Price]]</f>
        <v>450000</v>
      </c>
      <c r="L141" s="5">
        <f>ROUND(tblSales[[#This Row],[DPP (excl. VAT)]]*VATEff,0)</f>
        <v>49500</v>
      </c>
      <c r="M141" s="5">
        <f>tblSales[[#This Row],[DPP (excl. VAT)]]+tblSales[[#This Row],[Output VAT]]</f>
        <v>499500</v>
      </c>
      <c r="N141" s="5">
        <f>tblSales[[#This Row],[Qty]]*_xlfn.XLOOKUP(tblSales[[#This Row],[Product Code]],tblProducts[Code],tblProducts[Unit Cost],0)</f>
        <v>240000</v>
      </c>
      <c r="O141" s="4" t="s">
        <v>4865</v>
      </c>
      <c r="P141" s="4" t="s">
        <v>4860</v>
      </c>
      <c r="Q141" s="1" t="str">
        <f>_xlfn.XLOOKUP(tblSales[[#This Row],[Channel Code]],tblChannels[Channel Code],tblChannels[Channel Name],"")</f>
        <v>In-store</v>
      </c>
      <c r="R141" s="1">
        <f>MONTH(tblSales[[#This Row],[Date]])</f>
        <v>1</v>
      </c>
    </row>
    <row r="142" spans="2:18" x14ac:dyDescent="0.35">
      <c r="B142" s="113">
        <v>46032</v>
      </c>
      <c r="C142" s="4" t="s">
        <v>141</v>
      </c>
      <c r="D142" s="4" t="s">
        <v>4568</v>
      </c>
      <c r="E142" s="1" t="str">
        <f>_xlfn.XLOOKUP(tblSales[[#This Row],[Customer ID]],tblCustomers[Customer ID],tblCustomers[Customer Name],"⚠ Unknown")</f>
        <v>Walk-in Customer</v>
      </c>
      <c r="F142" s="4" t="s">
        <v>13</v>
      </c>
      <c r="G142" s="1" t="str">
        <f>_xlfn.XLOOKUP(tblSales[[#This Row],[Product Code]],tblProducts[Code],tblProducts[Product / Service Name],"⚠ Unknown")</f>
        <v>Backpack</v>
      </c>
      <c r="H142" s="1" t="str">
        <f>_xlfn.XLOOKUP(tblSales[[#This Row],[Product Code]],tblProducts[Code],tblProducts[Category],"")</f>
        <v>Bags &amp; Gadgets</v>
      </c>
      <c r="I142" s="4">
        <v>6</v>
      </c>
      <c r="J142" s="5">
        <f>_xlfn.XLOOKUP(tblSales[[#This Row],[Product Code]],tblProducts[Code],tblProducts[Selling Price (excl. VAT)],0)</f>
        <v>500000</v>
      </c>
      <c r="K142" s="5">
        <f>tblSales[[#This Row],[Qty]]*tblSales[[#This Row],[Unit Price]]</f>
        <v>3000000</v>
      </c>
      <c r="L142" s="5">
        <f>ROUND(tblSales[[#This Row],[DPP (excl. VAT)]]*VATEff,0)</f>
        <v>330000</v>
      </c>
      <c r="M142" s="5">
        <f>tblSales[[#This Row],[DPP (excl. VAT)]]+tblSales[[#This Row],[Output VAT]]</f>
        <v>3330000</v>
      </c>
      <c r="N142" s="5">
        <f>tblSales[[#This Row],[Qty]]*_xlfn.XLOOKUP(tblSales[[#This Row],[Product Code]],tblProducts[Code],tblProducts[Unit Cost],0)</f>
        <v>1740000</v>
      </c>
      <c r="O142" s="4" t="s">
        <v>4865</v>
      </c>
      <c r="P142" s="4" t="s">
        <v>4860</v>
      </c>
      <c r="Q142" s="1" t="str">
        <f>_xlfn.XLOOKUP(tblSales[[#This Row],[Channel Code]],tblChannels[Channel Code],tblChannels[Channel Name],"")</f>
        <v>In-store</v>
      </c>
      <c r="R142" s="1">
        <f>MONTH(tblSales[[#This Row],[Date]])</f>
        <v>1</v>
      </c>
    </row>
    <row r="143" spans="2:18" x14ac:dyDescent="0.35">
      <c r="B143" s="113">
        <v>46032</v>
      </c>
      <c r="C143" s="4" t="s">
        <v>141</v>
      </c>
      <c r="D143" s="4" t="s">
        <v>4568</v>
      </c>
      <c r="E143" s="1" t="str">
        <f>_xlfn.XLOOKUP(tblSales[[#This Row],[Customer ID]],tblCustomers[Customer ID],tblCustomers[Customer Name],"⚠ Unknown")</f>
        <v>Walk-in Customer</v>
      </c>
      <c r="F143" s="4" t="s">
        <v>9</v>
      </c>
      <c r="G143" s="1" t="str">
        <f>_xlfn.XLOOKUP(tblSales[[#This Row],[Product Code]],tblProducts[Code],tblProducts[Product / Service Name],"⚠ Unknown")</f>
        <v>Casual Shirt</v>
      </c>
      <c r="H143" s="1" t="str">
        <f>_xlfn.XLOOKUP(tblSales[[#This Row],[Product Code]],tblProducts[Code],tblProducts[Category],"")</f>
        <v>Apparel &amp; Footwear</v>
      </c>
      <c r="I143" s="4">
        <v>11</v>
      </c>
      <c r="J143" s="5">
        <f>_xlfn.XLOOKUP(tblSales[[#This Row],[Product Code]],tblProducts[Code],tblProducts[Selling Price (excl. VAT)],0)</f>
        <v>120000</v>
      </c>
      <c r="K143" s="5">
        <f>tblSales[[#This Row],[Qty]]*tblSales[[#This Row],[Unit Price]]</f>
        <v>1320000</v>
      </c>
      <c r="L143" s="5">
        <f>ROUND(tblSales[[#This Row],[DPP (excl. VAT)]]*VATEff,0)</f>
        <v>145200</v>
      </c>
      <c r="M143" s="5">
        <f>tblSales[[#This Row],[DPP (excl. VAT)]]+tblSales[[#This Row],[Output VAT]]</f>
        <v>1465200</v>
      </c>
      <c r="N143" s="5">
        <f>tblSales[[#This Row],[Qty]]*_xlfn.XLOOKUP(tblSales[[#This Row],[Product Code]],tblProducts[Code],tblProducts[Unit Cost],0)</f>
        <v>792000</v>
      </c>
      <c r="O143" s="4" t="s">
        <v>4865</v>
      </c>
      <c r="P143" s="4" t="s">
        <v>4860</v>
      </c>
      <c r="Q143" s="1" t="str">
        <f>_xlfn.XLOOKUP(tblSales[[#This Row],[Channel Code]],tblChannels[Channel Code],tblChannels[Channel Name],"")</f>
        <v>In-store</v>
      </c>
      <c r="R143" s="1">
        <f>MONTH(tblSales[[#This Row],[Date]])</f>
        <v>1</v>
      </c>
    </row>
    <row r="144" spans="2:18" x14ac:dyDescent="0.35">
      <c r="B144" s="113">
        <v>46032</v>
      </c>
      <c r="C144" s="4" t="s">
        <v>142</v>
      </c>
      <c r="D144" s="4" t="s">
        <v>4568</v>
      </c>
      <c r="E144" s="1" t="str">
        <f>_xlfn.XLOOKUP(tblSales[[#This Row],[Customer ID]],tblCustomers[Customer ID],tblCustomers[Customer Name],"⚠ Unknown")</f>
        <v>Walk-in Customer</v>
      </c>
      <c r="F144" s="4" t="s">
        <v>7</v>
      </c>
      <c r="G144" s="1" t="str">
        <f>_xlfn.XLOOKUP(tblSales[[#This Row],[Product Code]],tblProducts[Code],tblProducts[Product / Service Name],"⚠ Unknown")</f>
        <v>Premium Basic T-shirt</v>
      </c>
      <c r="H144" s="1" t="str">
        <f>_xlfn.XLOOKUP(tblSales[[#This Row],[Product Code]],tblProducts[Code],tblProducts[Category],"")</f>
        <v>Accessories &amp; Basics</v>
      </c>
      <c r="I144" s="4">
        <v>6</v>
      </c>
      <c r="J144" s="5">
        <f>_xlfn.XLOOKUP(tblSales[[#This Row],[Product Code]],tblProducts[Code],tblProducts[Selling Price (excl. VAT)],0)</f>
        <v>65000</v>
      </c>
      <c r="K144" s="5">
        <f>tblSales[[#This Row],[Qty]]*tblSales[[#This Row],[Unit Price]]</f>
        <v>390000</v>
      </c>
      <c r="L144" s="5">
        <f>ROUND(tblSales[[#This Row],[DPP (excl. VAT)]]*VATEff,0)</f>
        <v>42900</v>
      </c>
      <c r="M144" s="5">
        <f>tblSales[[#This Row],[DPP (excl. VAT)]]+tblSales[[#This Row],[Output VAT]]</f>
        <v>432900</v>
      </c>
      <c r="N144" s="5">
        <f>tblSales[[#This Row],[Qty]]*_xlfn.XLOOKUP(tblSales[[#This Row],[Product Code]],tblProducts[Code],tblProducts[Unit Cost],0)</f>
        <v>222000</v>
      </c>
      <c r="O144" s="4" t="s">
        <v>4865</v>
      </c>
      <c r="P144" s="4" t="s">
        <v>4860</v>
      </c>
      <c r="Q144" s="1" t="str">
        <f>_xlfn.XLOOKUP(tblSales[[#This Row],[Channel Code]],tblChannels[Channel Code],tblChannels[Channel Name],"")</f>
        <v>In-store</v>
      </c>
      <c r="R144" s="1">
        <f>MONTH(tblSales[[#This Row],[Date]])</f>
        <v>1</v>
      </c>
    </row>
    <row r="145" spans="2:18" x14ac:dyDescent="0.35">
      <c r="B145" s="113">
        <v>46032</v>
      </c>
      <c r="C145" s="4" t="s">
        <v>143</v>
      </c>
      <c r="D145" s="4" t="s">
        <v>4568</v>
      </c>
      <c r="E145" s="1" t="str">
        <f>_xlfn.XLOOKUP(tblSales[[#This Row],[Customer ID]],tblCustomers[Customer ID],tblCustomers[Customer Name],"⚠ Unknown")</f>
        <v>Walk-in Customer</v>
      </c>
      <c r="F145" s="4" t="s">
        <v>10</v>
      </c>
      <c r="G145" s="1" t="str">
        <f>_xlfn.XLOOKUP(tblSales[[#This Row],[Product Code]],tblProducts[Code],tblProducts[Product / Service Name],"⚠ Unknown")</f>
        <v>Chino Pants</v>
      </c>
      <c r="H145" s="1" t="str">
        <f>_xlfn.XLOOKUP(tblSales[[#This Row],[Product Code]],tblProducts[Code],tblProducts[Category],"")</f>
        <v>Apparel &amp; Footwear</v>
      </c>
      <c r="I145" s="4">
        <v>5</v>
      </c>
      <c r="J145" s="5">
        <f>_xlfn.XLOOKUP(tblSales[[#This Row],[Product Code]],tblProducts[Code],tblProducts[Selling Price (excl. VAT)],0)</f>
        <v>150000</v>
      </c>
      <c r="K145" s="5">
        <f>tblSales[[#This Row],[Qty]]*tblSales[[#This Row],[Unit Price]]</f>
        <v>750000</v>
      </c>
      <c r="L145" s="5">
        <f>ROUND(tblSales[[#This Row],[DPP (excl. VAT)]]*VATEff,0)</f>
        <v>82500</v>
      </c>
      <c r="M145" s="5">
        <f>tblSales[[#This Row],[DPP (excl. VAT)]]+tblSales[[#This Row],[Output VAT]]</f>
        <v>832500</v>
      </c>
      <c r="N145" s="5">
        <f>tblSales[[#This Row],[Qty]]*_xlfn.XLOOKUP(tblSales[[#This Row],[Product Code]],tblProducts[Code],tblProducts[Unit Cost],0)</f>
        <v>440000</v>
      </c>
      <c r="O145" s="4" t="s">
        <v>4866</v>
      </c>
      <c r="P145" s="4" t="s">
        <v>4862</v>
      </c>
      <c r="Q145" s="1" t="str">
        <f>_xlfn.XLOOKUP(tblSales[[#This Row],[Channel Code]],tblChannels[Channel Code],tblChannels[Channel Name],"")</f>
        <v>Website &amp; Social Media</v>
      </c>
      <c r="R145" s="1">
        <f>MONTH(tblSales[[#This Row],[Date]])</f>
        <v>1</v>
      </c>
    </row>
    <row r="146" spans="2:18" x14ac:dyDescent="0.35">
      <c r="B146" s="113">
        <v>46032</v>
      </c>
      <c r="C146" s="4" t="s">
        <v>144</v>
      </c>
      <c r="D146" s="4" t="s">
        <v>4568</v>
      </c>
      <c r="E146" s="1" t="str">
        <f>_xlfn.XLOOKUP(tblSales[[#This Row],[Customer ID]],tblCustomers[Customer ID],tblCustomers[Customer Name],"⚠ Unknown")</f>
        <v>Walk-in Customer</v>
      </c>
      <c r="F146" s="4" t="s">
        <v>7</v>
      </c>
      <c r="G146" s="1" t="str">
        <f>_xlfn.XLOOKUP(tblSales[[#This Row],[Product Code]],tblProducts[Code],tblProducts[Product / Service Name],"⚠ Unknown")</f>
        <v>Premium Basic T-shirt</v>
      </c>
      <c r="H146" s="1" t="str">
        <f>_xlfn.XLOOKUP(tblSales[[#This Row],[Product Code]],tblProducts[Code],tblProducts[Category],"")</f>
        <v>Accessories &amp; Basics</v>
      </c>
      <c r="I146" s="4">
        <v>3</v>
      </c>
      <c r="J146" s="5">
        <f>_xlfn.XLOOKUP(tblSales[[#This Row],[Product Code]],tblProducts[Code],tblProducts[Selling Price (excl. VAT)],0)</f>
        <v>65000</v>
      </c>
      <c r="K146" s="5">
        <f>tblSales[[#This Row],[Qty]]*tblSales[[#This Row],[Unit Price]]</f>
        <v>195000</v>
      </c>
      <c r="L146" s="5">
        <f>ROUND(tblSales[[#This Row],[DPP (excl. VAT)]]*VATEff,0)</f>
        <v>21450</v>
      </c>
      <c r="M146" s="5">
        <f>tblSales[[#This Row],[DPP (excl. VAT)]]+tblSales[[#This Row],[Output VAT]]</f>
        <v>216450</v>
      </c>
      <c r="N146" s="5">
        <f>tblSales[[#This Row],[Qty]]*_xlfn.XLOOKUP(tblSales[[#This Row],[Product Code]],tblProducts[Code],tblProducts[Unit Cost],0)</f>
        <v>111000</v>
      </c>
      <c r="O146" s="4" t="s">
        <v>4866</v>
      </c>
      <c r="P146" s="4" t="s">
        <v>4861</v>
      </c>
      <c r="Q146" s="1" t="str">
        <f>_xlfn.XLOOKUP(tblSales[[#This Row],[Channel Code]],tblChannels[Channel Code],tblChannels[Channel Name],"")</f>
        <v>Marketplace</v>
      </c>
      <c r="R146" s="1">
        <f>MONTH(tblSales[[#This Row],[Date]])</f>
        <v>1</v>
      </c>
    </row>
    <row r="147" spans="2:18" x14ac:dyDescent="0.35">
      <c r="B147" s="113">
        <v>46032</v>
      </c>
      <c r="C147" s="4" t="s">
        <v>145</v>
      </c>
      <c r="D147" s="4" t="s">
        <v>4613</v>
      </c>
      <c r="E147" s="1" t="str">
        <f>_xlfn.XLOOKUP(tblSales[[#This Row],[Customer ID]],tblCustomers[Customer ID],tblCustomers[Customer Name],"⚠ Unknown")</f>
        <v>PT Mega Prima Distribusi</v>
      </c>
      <c r="F147" s="4" t="s">
        <v>15</v>
      </c>
      <c r="G147" s="1" t="str">
        <f>_xlfn.XLOOKUP(tblSales[[#This Row],[Product Code]],tblProducts[Code],tblProducts[Product / Service Name],"⚠ Unknown")</f>
        <v>Wireless Earbuds Pro</v>
      </c>
      <c r="H147" s="1" t="str">
        <f>_xlfn.XLOOKUP(tblSales[[#This Row],[Product Code]],tblProducts[Code],tblProducts[Category],"")</f>
        <v>Bags &amp; Gadgets</v>
      </c>
      <c r="I147" s="4">
        <v>8</v>
      </c>
      <c r="J147" s="5">
        <f>_xlfn.XLOOKUP(tblSales[[#This Row],[Product Code]],tblProducts[Code],tblProducts[Selling Price (excl. VAT)],0)</f>
        <v>1250000</v>
      </c>
      <c r="K147" s="5">
        <f>tblSales[[#This Row],[Qty]]*tblSales[[#This Row],[Unit Price]]</f>
        <v>10000000</v>
      </c>
      <c r="L147" s="5">
        <f>ROUND(tblSales[[#This Row],[DPP (excl. VAT)]]*VATEff,0)</f>
        <v>1100000</v>
      </c>
      <c r="M147" s="5">
        <f>tblSales[[#This Row],[DPP (excl. VAT)]]+tblSales[[#This Row],[Output VAT]]</f>
        <v>11100000</v>
      </c>
      <c r="N147" s="5">
        <f>tblSales[[#This Row],[Qty]]*_xlfn.XLOOKUP(tblSales[[#This Row],[Product Code]],tblProducts[Code],tblProducts[Unit Cost],0)</f>
        <v>6560000</v>
      </c>
      <c r="O147" s="4" t="s">
        <v>4867</v>
      </c>
      <c r="P147" s="4" t="s">
        <v>4860</v>
      </c>
      <c r="Q147" s="1" t="str">
        <f>_xlfn.XLOOKUP(tblSales[[#This Row],[Channel Code]],tblChannels[Channel Code],tblChannels[Channel Name],"")</f>
        <v>In-store</v>
      </c>
      <c r="R147" s="1">
        <f>MONTH(tblSales[[#This Row],[Date]])</f>
        <v>1</v>
      </c>
    </row>
    <row r="148" spans="2:18" x14ac:dyDescent="0.35">
      <c r="B148" s="113">
        <v>46032</v>
      </c>
      <c r="C148" s="4" t="s">
        <v>146</v>
      </c>
      <c r="D148" s="4" t="s">
        <v>4568</v>
      </c>
      <c r="E148" s="1" t="str">
        <f>_xlfn.XLOOKUP(tblSales[[#This Row],[Customer ID]],tblCustomers[Customer ID],tblCustomers[Customer Name],"⚠ Unknown")</f>
        <v>Walk-in Customer</v>
      </c>
      <c r="F148" s="4" t="s">
        <v>13</v>
      </c>
      <c r="G148" s="1" t="str">
        <f>_xlfn.XLOOKUP(tblSales[[#This Row],[Product Code]],tblProducts[Code],tblProducts[Product / Service Name],"⚠ Unknown")</f>
        <v>Backpack</v>
      </c>
      <c r="H148" s="1" t="str">
        <f>_xlfn.XLOOKUP(tblSales[[#This Row],[Product Code]],tblProducts[Code],tblProducts[Category],"")</f>
        <v>Bags &amp; Gadgets</v>
      </c>
      <c r="I148" s="4">
        <v>5</v>
      </c>
      <c r="J148" s="5">
        <f>_xlfn.XLOOKUP(tblSales[[#This Row],[Product Code]],tblProducts[Code],tblProducts[Selling Price (excl. VAT)],0)</f>
        <v>500000</v>
      </c>
      <c r="K148" s="5">
        <f>tblSales[[#This Row],[Qty]]*tblSales[[#This Row],[Unit Price]]</f>
        <v>2500000</v>
      </c>
      <c r="L148" s="5">
        <f>ROUND(tblSales[[#This Row],[DPP (excl. VAT)]]*VATEff,0)</f>
        <v>275000</v>
      </c>
      <c r="M148" s="5">
        <f>tblSales[[#This Row],[DPP (excl. VAT)]]+tblSales[[#This Row],[Output VAT]]</f>
        <v>2775000</v>
      </c>
      <c r="N148" s="5">
        <f>tblSales[[#This Row],[Qty]]*_xlfn.XLOOKUP(tblSales[[#This Row],[Product Code]],tblProducts[Code],tblProducts[Unit Cost],0)</f>
        <v>1450000</v>
      </c>
      <c r="O148" s="4" t="s">
        <v>4866</v>
      </c>
      <c r="P148" s="4" t="s">
        <v>4861</v>
      </c>
      <c r="Q148" s="1" t="str">
        <f>_xlfn.XLOOKUP(tblSales[[#This Row],[Channel Code]],tblChannels[Channel Code],tblChannels[Channel Name],"")</f>
        <v>Marketplace</v>
      </c>
      <c r="R148" s="1">
        <f>MONTH(tblSales[[#This Row],[Date]])</f>
        <v>1</v>
      </c>
    </row>
    <row r="149" spans="2:18" x14ac:dyDescent="0.35">
      <c r="B149" s="113">
        <v>46033</v>
      </c>
      <c r="C149" s="4" t="s">
        <v>147</v>
      </c>
      <c r="D149" s="4" t="s">
        <v>4568</v>
      </c>
      <c r="E149" s="1" t="str">
        <f>_xlfn.XLOOKUP(tblSales[[#This Row],[Customer ID]],tblCustomers[Customer ID],tblCustomers[Customer Name],"⚠ Unknown")</f>
        <v>Walk-in Customer</v>
      </c>
      <c r="F149" s="4" t="s">
        <v>12</v>
      </c>
      <c r="G149" s="1" t="str">
        <f>_xlfn.XLOOKUP(tblSales[[#This Row],[Product Code]],tblProducts[Code],tblProducts[Product / Service Name],"⚠ Unknown")</f>
        <v>Bomber Jacket</v>
      </c>
      <c r="H149" s="1" t="str">
        <f>_xlfn.XLOOKUP(tblSales[[#This Row],[Product Code]],tblProducts[Code],tblProducts[Category],"")</f>
        <v>Apparel &amp; Footwear</v>
      </c>
      <c r="I149" s="4">
        <v>4</v>
      </c>
      <c r="J149" s="5">
        <f>_xlfn.XLOOKUP(tblSales[[#This Row],[Product Code]],tblProducts[Code],tblProducts[Selling Price (excl. VAT)],0)</f>
        <v>350000</v>
      </c>
      <c r="K149" s="5">
        <f>tblSales[[#This Row],[Qty]]*tblSales[[#This Row],[Unit Price]]</f>
        <v>1400000</v>
      </c>
      <c r="L149" s="5">
        <f>ROUND(tblSales[[#This Row],[DPP (excl. VAT)]]*VATEff,0)</f>
        <v>154000</v>
      </c>
      <c r="M149" s="5">
        <f>tblSales[[#This Row],[DPP (excl. VAT)]]+tblSales[[#This Row],[Output VAT]]</f>
        <v>1554000</v>
      </c>
      <c r="N149" s="5">
        <f>tblSales[[#This Row],[Qty]]*_xlfn.XLOOKUP(tblSales[[#This Row],[Product Code]],tblProducts[Code],tblProducts[Unit Cost],0)</f>
        <v>840000</v>
      </c>
      <c r="O149" s="4" t="s">
        <v>4866</v>
      </c>
      <c r="P149" s="4" t="s">
        <v>4860</v>
      </c>
      <c r="Q149" s="1" t="str">
        <f>_xlfn.XLOOKUP(tblSales[[#This Row],[Channel Code]],tblChannels[Channel Code],tblChannels[Channel Name],"")</f>
        <v>In-store</v>
      </c>
      <c r="R149" s="1">
        <f>MONTH(tblSales[[#This Row],[Date]])</f>
        <v>1</v>
      </c>
    </row>
    <row r="150" spans="2:18" x14ac:dyDescent="0.35">
      <c r="B150" s="113">
        <v>46033</v>
      </c>
      <c r="C150" s="4" t="s">
        <v>148</v>
      </c>
      <c r="D150" s="4" t="s">
        <v>4568</v>
      </c>
      <c r="E150" s="1" t="str">
        <f>_xlfn.XLOOKUP(tblSales[[#This Row],[Customer ID]],tblCustomers[Customer ID],tblCustomers[Customer Name],"⚠ Unknown")</f>
        <v>Walk-in Customer</v>
      </c>
      <c r="F150" s="4" t="s">
        <v>6</v>
      </c>
      <c r="G150" s="1" t="str">
        <f>_xlfn.XLOOKUP(tblSales[[#This Row],[Product Code]],tblProducts[Code],tblProducts[Product / Service Name],"⚠ Unknown")</f>
        <v>Socks &amp; Accessories</v>
      </c>
      <c r="H150" s="1" t="str">
        <f>_xlfn.XLOOKUP(tblSales[[#This Row],[Product Code]],tblProducts[Code],tblProducts[Category],"")</f>
        <v>Accessories &amp; Basics</v>
      </c>
      <c r="I150" s="4">
        <v>5</v>
      </c>
      <c r="J150" s="5">
        <f>_xlfn.XLOOKUP(tblSales[[#This Row],[Product Code]],tblProducts[Code],tblProducts[Selling Price (excl. VAT)],0)</f>
        <v>45000</v>
      </c>
      <c r="K150" s="5">
        <f>tblSales[[#This Row],[Qty]]*tblSales[[#This Row],[Unit Price]]</f>
        <v>225000</v>
      </c>
      <c r="L150" s="5">
        <f>ROUND(tblSales[[#This Row],[DPP (excl. VAT)]]*VATEff,0)</f>
        <v>24750</v>
      </c>
      <c r="M150" s="5">
        <f>tblSales[[#This Row],[DPP (excl. VAT)]]+tblSales[[#This Row],[Output VAT]]</f>
        <v>249750</v>
      </c>
      <c r="N150" s="5">
        <f>tblSales[[#This Row],[Qty]]*_xlfn.XLOOKUP(tblSales[[#This Row],[Product Code]],tblProducts[Code],tblProducts[Unit Cost],0)</f>
        <v>120000</v>
      </c>
      <c r="O150" s="4" t="s">
        <v>4865</v>
      </c>
      <c r="P150" s="4" t="s">
        <v>4860</v>
      </c>
      <c r="Q150" s="1" t="str">
        <f>_xlfn.XLOOKUP(tblSales[[#This Row],[Channel Code]],tblChannels[Channel Code],tblChannels[Channel Name],"")</f>
        <v>In-store</v>
      </c>
      <c r="R150" s="1">
        <f>MONTH(tblSales[[#This Row],[Date]])</f>
        <v>1</v>
      </c>
    </row>
    <row r="151" spans="2:18" x14ac:dyDescent="0.35">
      <c r="B151" s="113">
        <v>46033</v>
      </c>
      <c r="C151" s="4" t="s">
        <v>149</v>
      </c>
      <c r="D151" s="4" t="s">
        <v>4620</v>
      </c>
      <c r="E151" s="1" t="str">
        <f>_xlfn.XLOOKUP(tblSales[[#This Row],[Customer ID]],tblCustomers[Customer ID],tblCustomers[Customer Name],"⚠ Unknown")</f>
        <v>CV Sumber Rejeki Utama</v>
      </c>
      <c r="F151" s="4" t="s">
        <v>10</v>
      </c>
      <c r="G151" s="1" t="str">
        <f>_xlfn.XLOOKUP(tblSales[[#This Row],[Product Code]],tblProducts[Code],tblProducts[Product / Service Name],"⚠ Unknown")</f>
        <v>Chino Pants</v>
      </c>
      <c r="H151" s="1" t="str">
        <f>_xlfn.XLOOKUP(tblSales[[#This Row],[Product Code]],tblProducts[Code],tblProducts[Category],"")</f>
        <v>Apparel &amp; Footwear</v>
      </c>
      <c r="I151" s="4">
        <v>48</v>
      </c>
      <c r="J151" s="5">
        <f>_xlfn.XLOOKUP(tblSales[[#This Row],[Product Code]],tblProducts[Code],tblProducts[Selling Price (excl. VAT)],0)</f>
        <v>150000</v>
      </c>
      <c r="K151" s="5">
        <f>tblSales[[#This Row],[Qty]]*tblSales[[#This Row],[Unit Price]]</f>
        <v>7200000</v>
      </c>
      <c r="L151" s="5">
        <f>ROUND(tblSales[[#This Row],[DPP (excl. VAT)]]*VATEff,0)</f>
        <v>792000</v>
      </c>
      <c r="M151" s="5">
        <f>tblSales[[#This Row],[DPP (excl. VAT)]]+tblSales[[#This Row],[Output VAT]]</f>
        <v>7992000</v>
      </c>
      <c r="N151" s="5">
        <f>tblSales[[#This Row],[Qty]]*_xlfn.XLOOKUP(tblSales[[#This Row],[Product Code]],tblProducts[Code],tblProducts[Unit Cost],0)</f>
        <v>4224000</v>
      </c>
      <c r="O151" s="4" t="s">
        <v>4867</v>
      </c>
      <c r="P151" s="4" t="s">
        <v>4862</v>
      </c>
      <c r="Q151" s="1" t="str">
        <f>_xlfn.XLOOKUP(tblSales[[#This Row],[Channel Code]],tblChannels[Channel Code],tblChannels[Channel Name],"")</f>
        <v>Website &amp; Social Media</v>
      </c>
      <c r="R151" s="1">
        <f>MONTH(tblSales[[#This Row],[Date]])</f>
        <v>1</v>
      </c>
    </row>
    <row r="152" spans="2:18" x14ac:dyDescent="0.35">
      <c r="B152" s="113">
        <v>46033</v>
      </c>
      <c r="C152" s="4" t="s">
        <v>150</v>
      </c>
      <c r="D152" s="4" t="s">
        <v>4568</v>
      </c>
      <c r="E152" s="1" t="str">
        <f>_xlfn.XLOOKUP(tblSales[[#This Row],[Customer ID]],tblCustomers[Customer ID],tblCustomers[Customer Name],"⚠ Unknown")</f>
        <v>Walk-in Customer</v>
      </c>
      <c r="F152" s="4" t="s">
        <v>13</v>
      </c>
      <c r="G152" s="1" t="str">
        <f>_xlfn.XLOOKUP(tblSales[[#This Row],[Product Code]],tblProducts[Code],tblProducts[Product / Service Name],"⚠ Unknown")</f>
        <v>Backpack</v>
      </c>
      <c r="H152" s="1" t="str">
        <f>_xlfn.XLOOKUP(tblSales[[#This Row],[Product Code]],tblProducts[Code],tblProducts[Category],"")</f>
        <v>Bags &amp; Gadgets</v>
      </c>
      <c r="I152" s="4">
        <v>1</v>
      </c>
      <c r="J152" s="5">
        <f>_xlfn.XLOOKUP(tblSales[[#This Row],[Product Code]],tblProducts[Code],tblProducts[Selling Price (excl. VAT)],0)</f>
        <v>500000</v>
      </c>
      <c r="K152" s="5">
        <f>tblSales[[#This Row],[Qty]]*tblSales[[#This Row],[Unit Price]]</f>
        <v>500000</v>
      </c>
      <c r="L152" s="5">
        <f>ROUND(tblSales[[#This Row],[DPP (excl. VAT)]]*VATEff,0)</f>
        <v>55000</v>
      </c>
      <c r="M152" s="5">
        <f>tblSales[[#This Row],[DPP (excl. VAT)]]+tblSales[[#This Row],[Output VAT]]</f>
        <v>555000</v>
      </c>
      <c r="N152" s="5">
        <f>tblSales[[#This Row],[Qty]]*_xlfn.XLOOKUP(tblSales[[#This Row],[Product Code]],tblProducts[Code],tblProducts[Unit Cost],0)</f>
        <v>290000</v>
      </c>
      <c r="O152" s="4" t="s">
        <v>4866</v>
      </c>
      <c r="P152" s="4" t="s">
        <v>4861</v>
      </c>
      <c r="Q152" s="1" t="str">
        <f>_xlfn.XLOOKUP(tblSales[[#This Row],[Channel Code]],tblChannels[Channel Code],tblChannels[Channel Name],"")</f>
        <v>Marketplace</v>
      </c>
      <c r="R152" s="1">
        <f>MONTH(tblSales[[#This Row],[Date]])</f>
        <v>1</v>
      </c>
    </row>
    <row r="153" spans="2:18" x14ac:dyDescent="0.35">
      <c r="B153" s="113">
        <v>46033</v>
      </c>
      <c r="C153" s="4" t="s">
        <v>151</v>
      </c>
      <c r="D153" s="4" t="s">
        <v>4613</v>
      </c>
      <c r="E153" s="1" t="str">
        <f>_xlfn.XLOOKUP(tblSales[[#This Row],[Customer ID]],tblCustomers[Customer ID],tblCustomers[Customer Name],"⚠ Unknown")</f>
        <v>PT Mega Prima Distribusi</v>
      </c>
      <c r="F153" s="4" t="s">
        <v>9</v>
      </c>
      <c r="G153" s="1" t="str">
        <f>_xlfn.XLOOKUP(tblSales[[#This Row],[Product Code]],tblProducts[Code],tblProducts[Product / Service Name],"⚠ Unknown")</f>
        <v>Casual Shirt</v>
      </c>
      <c r="H153" s="1" t="str">
        <f>_xlfn.XLOOKUP(tblSales[[#This Row],[Product Code]],tblProducts[Code],tblProducts[Category],"")</f>
        <v>Apparel &amp; Footwear</v>
      </c>
      <c r="I153" s="4">
        <v>72</v>
      </c>
      <c r="J153" s="5">
        <f>_xlfn.XLOOKUP(tblSales[[#This Row],[Product Code]],tblProducts[Code],tblProducts[Selling Price (excl. VAT)],0)</f>
        <v>120000</v>
      </c>
      <c r="K153" s="5">
        <f>tblSales[[#This Row],[Qty]]*tblSales[[#This Row],[Unit Price]]</f>
        <v>8640000</v>
      </c>
      <c r="L153" s="5">
        <f>ROUND(tblSales[[#This Row],[DPP (excl. VAT)]]*VATEff,0)</f>
        <v>950400</v>
      </c>
      <c r="M153" s="5">
        <f>tblSales[[#This Row],[DPP (excl. VAT)]]+tblSales[[#This Row],[Output VAT]]</f>
        <v>9590400</v>
      </c>
      <c r="N153" s="5">
        <f>tblSales[[#This Row],[Qty]]*_xlfn.XLOOKUP(tblSales[[#This Row],[Product Code]],tblProducts[Code],tblProducts[Unit Cost],0)</f>
        <v>5184000</v>
      </c>
      <c r="O153" s="4" t="s">
        <v>4867</v>
      </c>
      <c r="P153" s="4" t="s">
        <v>4860</v>
      </c>
      <c r="Q153" s="1" t="str">
        <f>_xlfn.XLOOKUP(tblSales[[#This Row],[Channel Code]],tblChannels[Channel Code],tblChannels[Channel Name],"")</f>
        <v>In-store</v>
      </c>
      <c r="R153" s="1">
        <f>MONTH(tblSales[[#This Row],[Date]])</f>
        <v>1</v>
      </c>
    </row>
    <row r="154" spans="2:18" x14ac:dyDescent="0.35">
      <c r="B154" s="113">
        <v>46033</v>
      </c>
      <c r="C154" s="4" t="s">
        <v>152</v>
      </c>
      <c r="D154" s="4" t="s">
        <v>4593</v>
      </c>
      <c r="E154" s="1" t="str">
        <f>_xlfn.XLOOKUP(tblSales[[#This Row],[Customer ID]],tblCustomers[Customer ID],tblCustomers[Customer Name],"⚠ Unknown")</f>
        <v>PT Graha Nusa Persada</v>
      </c>
      <c r="F154" s="4" t="s">
        <v>9</v>
      </c>
      <c r="G154" s="1" t="str">
        <f>_xlfn.XLOOKUP(tblSales[[#This Row],[Product Code]],tblProducts[Code],tblProducts[Product / Service Name],"⚠ Unknown")</f>
        <v>Casual Shirt</v>
      </c>
      <c r="H154" s="1" t="str">
        <f>_xlfn.XLOOKUP(tblSales[[#This Row],[Product Code]],tblProducts[Code],tblProducts[Category],"")</f>
        <v>Apparel &amp; Footwear</v>
      </c>
      <c r="I154" s="4">
        <v>96</v>
      </c>
      <c r="J154" s="5">
        <f>_xlfn.XLOOKUP(tblSales[[#This Row],[Product Code]],tblProducts[Code],tblProducts[Selling Price (excl. VAT)],0)</f>
        <v>120000</v>
      </c>
      <c r="K154" s="5">
        <f>tblSales[[#This Row],[Qty]]*tblSales[[#This Row],[Unit Price]]</f>
        <v>11520000</v>
      </c>
      <c r="L154" s="5">
        <f>ROUND(tblSales[[#This Row],[DPP (excl. VAT)]]*VATEff,0)</f>
        <v>1267200</v>
      </c>
      <c r="M154" s="5">
        <f>tblSales[[#This Row],[DPP (excl. VAT)]]+tblSales[[#This Row],[Output VAT]]</f>
        <v>12787200</v>
      </c>
      <c r="N154" s="5">
        <f>tblSales[[#This Row],[Qty]]*_xlfn.XLOOKUP(tblSales[[#This Row],[Product Code]],tblProducts[Code],tblProducts[Unit Cost],0)</f>
        <v>6912000</v>
      </c>
      <c r="O154" s="4" t="s">
        <v>4867</v>
      </c>
      <c r="P154" s="4" t="s">
        <v>4860</v>
      </c>
      <c r="Q154" s="1" t="str">
        <f>_xlfn.XLOOKUP(tblSales[[#This Row],[Channel Code]],tblChannels[Channel Code],tblChannels[Channel Name],"")</f>
        <v>In-store</v>
      </c>
      <c r="R154" s="1">
        <f>MONTH(tblSales[[#This Row],[Date]])</f>
        <v>1</v>
      </c>
    </row>
    <row r="155" spans="2:18" x14ac:dyDescent="0.35">
      <c r="B155" s="113">
        <v>46033</v>
      </c>
      <c r="C155" s="4" t="s">
        <v>152</v>
      </c>
      <c r="D155" s="4" t="s">
        <v>4593</v>
      </c>
      <c r="E155" s="1" t="str">
        <f>_xlfn.XLOOKUP(tblSales[[#This Row],[Customer ID]],tblCustomers[Customer ID],tblCustomers[Customer Name],"⚠ Unknown")</f>
        <v>PT Graha Nusa Persada</v>
      </c>
      <c r="F155" s="4" t="s">
        <v>7</v>
      </c>
      <c r="G155" s="1" t="str">
        <f>_xlfn.XLOOKUP(tblSales[[#This Row],[Product Code]],tblProducts[Code],tblProducts[Product / Service Name],"⚠ Unknown")</f>
        <v>Premium Basic T-shirt</v>
      </c>
      <c r="H155" s="1" t="str">
        <f>_xlfn.XLOOKUP(tblSales[[#This Row],[Product Code]],tblProducts[Code],tblProducts[Category],"")</f>
        <v>Accessories &amp; Basics</v>
      </c>
      <c r="I155" s="4">
        <v>32</v>
      </c>
      <c r="J155" s="5">
        <f>_xlfn.XLOOKUP(tblSales[[#This Row],[Product Code]],tblProducts[Code],tblProducts[Selling Price (excl. VAT)],0)</f>
        <v>65000</v>
      </c>
      <c r="K155" s="5">
        <f>tblSales[[#This Row],[Qty]]*tblSales[[#This Row],[Unit Price]]</f>
        <v>2080000</v>
      </c>
      <c r="L155" s="5">
        <f>ROUND(tblSales[[#This Row],[DPP (excl. VAT)]]*VATEff,0)</f>
        <v>228800</v>
      </c>
      <c r="M155" s="5">
        <f>tblSales[[#This Row],[DPP (excl. VAT)]]+tblSales[[#This Row],[Output VAT]]</f>
        <v>2308800</v>
      </c>
      <c r="N155" s="5">
        <f>tblSales[[#This Row],[Qty]]*_xlfn.XLOOKUP(tblSales[[#This Row],[Product Code]],tblProducts[Code],tblProducts[Unit Cost],0)</f>
        <v>1184000</v>
      </c>
      <c r="O155" s="4" t="s">
        <v>4867</v>
      </c>
      <c r="P155" s="4" t="s">
        <v>4860</v>
      </c>
      <c r="Q155" s="1" t="str">
        <f>_xlfn.XLOOKUP(tblSales[[#This Row],[Channel Code]],tblChannels[Channel Code],tblChannels[Channel Name],"")</f>
        <v>In-store</v>
      </c>
      <c r="R155" s="1">
        <f>MONTH(tblSales[[#This Row],[Date]])</f>
        <v>1</v>
      </c>
    </row>
    <row r="156" spans="2:18" x14ac:dyDescent="0.35">
      <c r="B156" s="113">
        <v>46033</v>
      </c>
      <c r="C156" s="4" t="s">
        <v>153</v>
      </c>
      <c r="D156" s="4" t="s">
        <v>4568</v>
      </c>
      <c r="E156" s="1" t="str">
        <f>_xlfn.XLOOKUP(tblSales[[#This Row],[Customer ID]],tblCustomers[Customer ID],tblCustomers[Customer Name],"⚠ Unknown")</f>
        <v>Walk-in Customer</v>
      </c>
      <c r="F156" s="4" t="s">
        <v>9</v>
      </c>
      <c r="G156" s="1" t="str">
        <f>_xlfn.XLOOKUP(tblSales[[#This Row],[Product Code]],tblProducts[Code],tblProducts[Product / Service Name],"⚠ Unknown")</f>
        <v>Casual Shirt</v>
      </c>
      <c r="H156" s="1" t="str">
        <f>_xlfn.XLOOKUP(tblSales[[#This Row],[Product Code]],tblProducts[Code],tblProducts[Category],"")</f>
        <v>Apparel &amp; Footwear</v>
      </c>
      <c r="I156" s="4">
        <v>8</v>
      </c>
      <c r="J156" s="5">
        <f>_xlfn.XLOOKUP(tblSales[[#This Row],[Product Code]],tblProducts[Code],tblProducts[Selling Price (excl. VAT)],0)</f>
        <v>120000</v>
      </c>
      <c r="K156" s="5">
        <f>tblSales[[#This Row],[Qty]]*tblSales[[#This Row],[Unit Price]]</f>
        <v>960000</v>
      </c>
      <c r="L156" s="5">
        <f>ROUND(tblSales[[#This Row],[DPP (excl. VAT)]]*VATEff,0)</f>
        <v>105600</v>
      </c>
      <c r="M156" s="5">
        <f>tblSales[[#This Row],[DPP (excl. VAT)]]+tblSales[[#This Row],[Output VAT]]</f>
        <v>1065600</v>
      </c>
      <c r="N156" s="5">
        <f>tblSales[[#This Row],[Qty]]*_xlfn.XLOOKUP(tblSales[[#This Row],[Product Code]],tblProducts[Code],tblProducts[Unit Cost],0)</f>
        <v>576000</v>
      </c>
      <c r="O156" s="4" t="s">
        <v>4866</v>
      </c>
      <c r="P156" s="4" t="s">
        <v>4861</v>
      </c>
      <c r="Q156" s="1" t="str">
        <f>_xlfn.XLOOKUP(tblSales[[#This Row],[Channel Code]],tblChannels[Channel Code],tblChannels[Channel Name],"")</f>
        <v>Marketplace</v>
      </c>
      <c r="R156" s="1">
        <f>MONTH(tblSales[[#This Row],[Date]])</f>
        <v>1</v>
      </c>
    </row>
    <row r="157" spans="2:18" x14ac:dyDescent="0.35">
      <c r="B157" s="113">
        <v>46033</v>
      </c>
      <c r="C157" s="4" t="s">
        <v>154</v>
      </c>
      <c r="D157" s="4" t="s">
        <v>4568</v>
      </c>
      <c r="E157" s="1" t="str">
        <f>_xlfn.XLOOKUP(tblSales[[#This Row],[Customer ID]],tblCustomers[Customer ID],tblCustomers[Customer Name],"⚠ Unknown")</f>
        <v>Walk-in Customer</v>
      </c>
      <c r="F157" s="4" t="s">
        <v>10</v>
      </c>
      <c r="G157" s="1" t="str">
        <f>_xlfn.XLOOKUP(tblSales[[#This Row],[Product Code]],tblProducts[Code],tblProducts[Product / Service Name],"⚠ Unknown")</f>
        <v>Chino Pants</v>
      </c>
      <c r="H157" s="1" t="str">
        <f>_xlfn.XLOOKUP(tblSales[[#This Row],[Product Code]],tblProducts[Code],tblProducts[Category],"")</f>
        <v>Apparel &amp; Footwear</v>
      </c>
      <c r="I157" s="4">
        <v>11</v>
      </c>
      <c r="J157" s="5">
        <f>_xlfn.XLOOKUP(tblSales[[#This Row],[Product Code]],tblProducts[Code],tblProducts[Selling Price (excl. VAT)],0)</f>
        <v>150000</v>
      </c>
      <c r="K157" s="5">
        <f>tblSales[[#This Row],[Qty]]*tblSales[[#This Row],[Unit Price]]</f>
        <v>1650000</v>
      </c>
      <c r="L157" s="5">
        <f>ROUND(tblSales[[#This Row],[DPP (excl. VAT)]]*VATEff,0)</f>
        <v>181500</v>
      </c>
      <c r="M157" s="5">
        <f>tblSales[[#This Row],[DPP (excl. VAT)]]+tblSales[[#This Row],[Output VAT]]</f>
        <v>1831500</v>
      </c>
      <c r="N157" s="5">
        <f>tblSales[[#This Row],[Qty]]*_xlfn.XLOOKUP(tblSales[[#This Row],[Product Code]],tblProducts[Code],tblProducts[Unit Cost],0)</f>
        <v>968000</v>
      </c>
      <c r="O157" s="4" t="s">
        <v>4866</v>
      </c>
      <c r="P157" s="4" t="s">
        <v>4860</v>
      </c>
      <c r="Q157" s="1" t="str">
        <f>_xlfn.XLOOKUP(tblSales[[#This Row],[Channel Code]],tblChannels[Channel Code],tblChannels[Channel Name],"")</f>
        <v>In-store</v>
      </c>
      <c r="R157" s="1">
        <f>MONTH(tblSales[[#This Row],[Date]])</f>
        <v>1</v>
      </c>
    </row>
    <row r="158" spans="2:18" x14ac:dyDescent="0.35">
      <c r="B158" s="113">
        <v>46033</v>
      </c>
      <c r="C158" s="4" t="s">
        <v>154</v>
      </c>
      <c r="D158" s="4" t="s">
        <v>4568</v>
      </c>
      <c r="E158" s="1" t="str">
        <f>_xlfn.XLOOKUP(tblSales[[#This Row],[Customer ID]],tblCustomers[Customer ID],tblCustomers[Customer Name],"⚠ Unknown")</f>
        <v>Walk-in Customer</v>
      </c>
      <c r="F158" s="4" t="s">
        <v>6</v>
      </c>
      <c r="G158" s="1" t="str">
        <f>_xlfn.XLOOKUP(tblSales[[#This Row],[Product Code]],tblProducts[Code],tblProducts[Product / Service Name],"⚠ Unknown")</f>
        <v>Socks &amp; Accessories</v>
      </c>
      <c r="H158" s="1" t="str">
        <f>_xlfn.XLOOKUP(tblSales[[#This Row],[Product Code]],tblProducts[Code],tblProducts[Category],"")</f>
        <v>Accessories &amp; Basics</v>
      </c>
      <c r="I158" s="4">
        <v>11</v>
      </c>
      <c r="J158" s="5">
        <f>_xlfn.XLOOKUP(tblSales[[#This Row],[Product Code]],tblProducts[Code],tblProducts[Selling Price (excl. VAT)],0)</f>
        <v>45000</v>
      </c>
      <c r="K158" s="5">
        <f>tblSales[[#This Row],[Qty]]*tblSales[[#This Row],[Unit Price]]</f>
        <v>495000</v>
      </c>
      <c r="L158" s="5">
        <f>ROUND(tblSales[[#This Row],[DPP (excl. VAT)]]*VATEff,0)</f>
        <v>54450</v>
      </c>
      <c r="M158" s="5">
        <f>tblSales[[#This Row],[DPP (excl. VAT)]]+tblSales[[#This Row],[Output VAT]]</f>
        <v>549450</v>
      </c>
      <c r="N158" s="5">
        <f>tblSales[[#This Row],[Qty]]*_xlfn.XLOOKUP(tblSales[[#This Row],[Product Code]],tblProducts[Code],tblProducts[Unit Cost],0)</f>
        <v>264000</v>
      </c>
      <c r="O158" s="4" t="s">
        <v>4866</v>
      </c>
      <c r="P158" s="4" t="s">
        <v>4860</v>
      </c>
      <c r="Q158" s="1" t="str">
        <f>_xlfn.XLOOKUP(tblSales[[#This Row],[Channel Code]],tblChannels[Channel Code],tblChannels[Channel Name],"")</f>
        <v>In-store</v>
      </c>
      <c r="R158" s="1">
        <f>MONTH(tblSales[[#This Row],[Date]])</f>
        <v>1</v>
      </c>
    </row>
    <row r="159" spans="2:18" x14ac:dyDescent="0.35">
      <c r="B159" s="113">
        <v>46033</v>
      </c>
      <c r="C159" s="4" t="s">
        <v>155</v>
      </c>
      <c r="D159" s="4" t="s">
        <v>4568</v>
      </c>
      <c r="E159" s="1" t="str">
        <f>_xlfn.XLOOKUP(tblSales[[#This Row],[Customer ID]],tblCustomers[Customer ID],tblCustomers[Customer Name],"⚠ Unknown")</f>
        <v>Walk-in Customer</v>
      </c>
      <c r="F159" s="4" t="s">
        <v>13</v>
      </c>
      <c r="G159" s="1" t="str">
        <f>_xlfn.XLOOKUP(tblSales[[#This Row],[Product Code]],tblProducts[Code],tblProducts[Product / Service Name],"⚠ Unknown")</f>
        <v>Backpack</v>
      </c>
      <c r="H159" s="1" t="str">
        <f>_xlfn.XLOOKUP(tblSales[[#This Row],[Product Code]],tblProducts[Code],tblProducts[Category],"")</f>
        <v>Bags &amp; Gadgets</v>
      </c>
      <c r="I159" s="4">
        <v>1</v>
      </c>
      <c r="J159" s="5">
        <f>_xlfn.XLOOKUP(tblSales[[#This Row],[Product Code]],tblProducts[Code],tblProducts[Selling Price (excl. VAT)],0)</f>
        <v>500000</v>
      </c>
      <c r="K159" s="5">
        <f>tblSales[[#This Row],[Qty]]*tblSales[[#This Row],[Unit Price]]</f>
        <v>500000</v>
      </c>
      <c r="L159" s="5">
        <f>ROUND(tblSales[[#This Row],[DPP (excl. VAT)]]*VATEff,0)</f>
        <v>55000</v>
      </c>
      <c r="M159" s="5">
        <f>tblSales[[#This Row],[DPP (excl. VAT)]]+tblSales[[#This Row],[Output VAT]]</f>
        <v>555000</v>
      </c>
      <c r="N159" s="5">
        <f>tblSales[[#This Row],[Qty]]*_xlfn.XLOOKUP(tblSales[[#This Row],[Product Code]],tblProducts[Code],tblProducts[Unit Cost],0)</f>
        <v>290000</v>
      </c>
      <c r="O159" s="4" t="s">
        <v>4865</v>
      </c>
      <c r="P159" s="4" t="s">
        <v>4860</v>
      </c>
      <c r="Q159" s="1" t="str">
        <f>_xlfn.XLOOKUP(tblSales[[#This Row],[Channel Code]],tblChannels[Channel Code],tblChannels[Channel Name],"")</f>
        <v>In-store</v>
      </c>
      <c r="R159" s="1">
        <f>MONTH(tblSales[[#This Row],[Date]])</f>
        <v>1</v>
      </c>
    </row>
    <row r="160" spans="2:18" x14ac:dyDescent="0.35">
      <c r="B160" s="113">
        <v>46033</v>
      </c>
      <c r="C160" s="4" t="s">
        <v>155</v>
      </c>
      <c r="D160" s="4" t="s">
        <v>4568</v>
      </c>
      <c r="E160" s="1" t="str">
        <f>_xlfn.XLOOKUP(tblSales[[#This Row],[Customer ID]],tblCustomers[Customer ID],tblCustomers[Customer Name],"⚠ Unknown")</f>
        <v>Walk-in Customer</v>
      </c>
      <c r="F160" s="4" t="s">
        <v>15</v>
      </c>
      <c r="G160" s="1" t="str">
        <f>_xlfn.XLOOKUP(tblSales[[#This Row],[Product Code]],tblProducts[Code],tblProducts[Product / Service Name],"⚠ Unknown")</f>
        <v>Wireless Earbuds Pro</v>
      </c>
      <c r="H160" s="1" t="str">
        <f>_xlfn.XLOOKUP(tblSales[[#This Row],[Product Code]],tblProducts[Code],tblProducts[Category],"")</f>
        <v>Bags &amp; Gadgets</v>
      </c>
      <c r="I160" s="4">
        <v>3</v>
      </c>
      <c r="J160" s="5">
        <f>_xlfn.XLOOKUP(tblSales[[#This Row],[Product Code]],tblProducts[Code],tblProducts[Selling Price (excl. VAT)],0)</f>
        <v>1250000</v>
      </c>
      <c r="K160" s="5">
        <f>tblSales[[#This Row],[Qty]]*tblSales[[#This Row],[Unit Price]]</f>
        <v>3750000</v>
      </c>
      <c r="L160" s="5">
        <f>ROUND(tblSales[[#This Row],[DPP (excl. VAT)]]*VATEff,0)</f>
        <v>412500</v>
      </c>
      <c r="M160" s="5">
        <f>tblSales[[#This Row],[DPP (excl. VAT)]]+tblSales[[#This Row],[Output VAT]]</f>
        <v>4162500</v>
      </c>
      <c r="N160" s="5">
        <f>tblSales[[#This Row],[Qty]]*_xlfn.XLOOKUP(tblSales[[#This Row],[Product Code]],tblProducts[Code],tblProducts[Unit Cost],0)</f>
        <v>2460000</v>
      </c>
      <c r="O160" s="4" t="s">
        <v>4865</v>
      </c>
      <c r="P160" s="4" t="s">
        <v>4860</v>
      </c>
      <c r="Q160" s="1" t="str">
        <f>_xlfn.XLOOKUP(tblSales[[#This Row],[Channel Code]],tblChannels[Channel Code],tblChannels[Channel Name],"")</f>
        <v>In-store</v>
      </c>
      <c r="R160" s="1">
        <f>MONTH(tblSales[[#This Row],[Date]])</f>
        <v>1</v>
      </c>
    </row>
    <row r="161" spans="2:18" x14ac:dyDescent="0.35">
      <c r="B161" s="113">
        <v>46033</v>
      </c>
      <c r="C161" s="4" t="s">
        <v>156</v>
      </c>
      <c r="D161" s="4" t="s">
        <v>4568</v>
      </c>
      <c r="E161" s="1" t="str">
        <f>_xlfn.XLOOKUP(tblSales[[#This Row],[Customer ID]],tblCustomers[Customer ID],tblCustomers[Customer Name],"⚠ Unknown")</f>
        <v>Walk-in Customer</v>
      </c>
      <c r="F161" s="4" t="s">
        <v>12</v>
      </c>
      <c r="G161" s="1" t="str">
        <f>_xlfn.XLOOKUP(tblSales[[#This Row],[Product Code]],tblProducts[Code],tblProducts[Product / Service Name],"⚠ Unknown")</f>
        <v>Bomber Jacket</v>
      </c>
      <c r="H161" s="1" t="str">
        <f>_xlfn.XLOOKUP(tblSales[[#This Row],[Product Code]],tblProducts[Code],tblProducts[Category],"")</f>
        <v>Apparel &amp; Footwear</v>
      </c>
      <c r="I161" s="4">
        <v>1</v>
      </c>
      <c r="J161" s="5">
        <f>_xlfn.XLOOKUP(tblSales[[#This Row],[Product Code]],tblProducts[Code],tblProducts[Selling Price (excl. VAT)],0)</f>
        <v>350000</v>
      </c>
      <c r="K161" s="5">
        <f>tblSales[[#This Row],[Qty]]*tblSales[[#This Row],[Unit Price]]</f>
        <v>350000</v>
      </c>
      <c r="L161" s="5">
        <f>ROUND(tblSales[[#This Row],[DPP (excl. VAT)]]*VATEff,0)</f>
        <v>38500</v>
      </c>
      <c r="M161" s="5">
        <f>tblSales[[#This Row],[DPP (excl. VAT)]]+tblSales[[#This Row],[Output VAT]]</f>
        <v>388500</v>
      </c>
      <c r="N161" s="5">
        <f>tblSales[[#This Row],[Qty]]*_xlfn.XLOOKUP(tblSales[[#This Row],[Product Code]],tblProducts[Code],tblProducts[Unit Cost],0)</f>
        <v>210000</v>
      </c>
      <c r="O161" s="4" t="s">
        <v>4866</v>
      </c>
      <c r="P161" s="4" t="s">
        <v>4861</v>
      </c>
      <c r="Q161" s="1" t="str">
        <f>_xlfn.XLOOKUP(tblSales[[#This Row],[Channel Code]],tblChannels[Channel Code],tblChannels[Channel Name],"")</f>
        <v>Marketplace</v>
      </c>
      <c r="R161" s="1">
        <f>MONTH(tblSales[[#This Row],[Date]])</f>
        <v>1</v>
      </c>
    </row>
    <row r="162" spans="2:18" x14ac:dyDescent="0.35">
      <c r="B162" s="113">
        <v>46033</v>
      </c>
      <c r="C162" s="4" t="s">
        <v>157</v>
      </c>
      <c r="D162" s="4" t="s">
        <v>4568</v>
      </c>
      <c r="E162" s="1" t="str">
        <f>_xlfn.XLOOKUP(tblSales[[#This Row],[Customer ID]],tblCustomers[Customer ID],tblCustomers[Customer Name],"⚠ Unknown")</f>
        <v>Walk-in Customer</v>
      </c>
      <c r="F162" s="4" t="s">
        <v>8</v>
      </c>
      <c r="G162" s="1" t="str">
        <f>_xlfn.XLOOKUP(tblSales[[#This Row],[Product Code]],tblProducts[Code],tblProducts[Product / Service Name],"⚠ Unknown")</f>
        <v>Casual Shorts</v>
      </c>
      <c r="H162" s="1" t="str">
        <f>_xlfn.XLOOKUP(tblSales[[#This Row],[Product Code]],tblProducts[Code],tblProducts[Category],"")</f>
        <v>Accessories &amp; Basics</v>
      </c>
      <c r="I162" s="4">
        <v>3</v>
      </c>
      <c r="J162" s="5">
        <f>_xlfn.XLOOKUP(tblSales[[#This Row],[Product Code]],tblProducts[Code],tblProducts[Selling Price (excl. VAT)],0)</f>
        <v>85000</v>
      </c>
      <c r="K162" s="5">
        <f>tblSales[[#This Row],[Qty]]*tblSales[[#This Row],[Unit Price]]</f>
        <v>255000</v>
      </c>
      <c r="L162" s="5">
        <f>ROUND(tblSales[[#This Row],[DPP (excl. VAT)]]*VATEff,0)</f>
        <v>28050</v>
      </c>
      <c r="M162" s="5">
        <f>tblSales[[#This Row],[DPP (excl. VAT)]]+tblSales[[#This Row],[Output VAT]]</f>
        <v>283050</v>
      </c>
      <c r="N162" s="5">
        <f>tblSales[[#This Row],[Qty]]*_xlfn.XLOOKUP(tblSales[[#This Row],[Product Code]],tblProducts[Code],tblProducts[Unit Cost],0)</f>
        <v>150000</v>
      </c>
      <c r="O162" s="4" t="s">
        <v>4865</v>
      </c>
      <c r="P162" s="4" t="s">
        <v>4860</v>
      </c>
      <c r="Q162" s="1" t="str">
        <f>_xlfn.XLOOKUP(tblSales[[#This Row],[Channel Code]],tblChannels[Channel Code],tblChannels[Channel Name],"")</f>
        <v>In-store</v>
      </c>
      <c r="R162" s="1">
        <f>MONTH(tblSales[[#This Row],[Date]])</f>
        <v>1</v>
      </c>
    </row>
    <row r="163" spans="2:18" x14ac:dyDescent="0.35">
      <c r="B163" s="113">
        <v>46033</v>
      </c>
      <c r="C163" s="4" t="s">
        <v>158</v>
      </c>
      <c r="D163" s="4" t="s">
        <v>4568</v>
      </c>
      <c r="E163" s="1" t="str">
        <f>_xlfn.XLOOKUP(tblSales[[#This Row],[Customer ID]],tblCustomers[Customer ID],tblCustomers[Customer Name],"⚠ Unknown")</f>
        <v>Walk-in Customer</v>
      </c>
      <c r="F163" s="4" t="s">
        <v>8</v>
      </c>
      <c r="G163" s="1" t="str">
        <f>_xlfn.XLOOKUP(tblSales[[#This Row],[Product Code]],tblProducts[Code],tblProducts[Product / Service Name],"⚠ Unknown")</f>
        <v>Casual Shorts</v>
      </c>
      <c r="H163" s="1" t="str">
        <f>_xlfn.XLOOKUP(tblSales[[#This Row],[Product Code]],tblProducts[Code],tblProducts[Category],"")</f>
        <v>Accessories &amp; Basics</v>
      </c>
      <c r="I163" s="4">
        <v>12</v>
      </c>
      <c r="J163" s="5">
        <f>_xlfn.XLOOKUP(tblSales[[#This Row],[Product Code]],tblProducts[Code],tblProducts[Selling Price (excl. VAT)],0)</f>
        <v>85000</v>
      </c>
      <c r="K163" s="5">
        <f>tblSales[[#This Row],[Qty]]*tblSales[[#This Row],[Unit Price]]</f>
        <v>1020000</v>
      </c>
      <c r="L163" s="5">
        <f>ROUND(tblSales[[#This Row],[DPP (excl. VAT)]]*VATEff,0)</f>
        <v>112200</v>
      </c>
      <c r="M163" s="5">
        <f>tblSales[[#This Row],[DPP (excl. VAT)]]+tblSales[[#This Row],[Output VAT]]</f>
        <v>1132200</v>
      </c>
      <c r="N163" s="5">
        <f>tblSales[[#This Row],[Qty]]*_xlfn.XLOOKUP(tblSales[[#This Row],[Product Code]],tblProducts[Code],tblProducts[Unit Cost],0)</f>
        <v>600000</v>
      </c>
      <c r="O163" s="4" t="s">
        <v>4865</v>
      </c>
      <c r="P163" s="4" t="s">
        <v>4860</v>
      </c>
      <c r="Q163" s="1" t="str">
        <f>_xlfn.XLOOKUP(tblSales[[#This Row],[Channel Code]],tblChannels[Channel Code],tblChannels[Channel Name],"")</f>
        <v>In-store</v>
      </c>
      <c r="R163" s="1">
        <f>MONTH(tblSales[[#This Row],[Date]])</f>
        <v>1</v>
      </c>
    </row>
    <row r="164" spans="2:18" x14ac:dyDescent="0.35">
      <c r="B164" s="113">
        <v>46033</v>
      </c>
      <c r="C164" s="4" t="s">
        <v>159</v>
      </c>
      <c r="D164" s="4" t="s">
        <v>4568</v>
      </c>
      <c r="E164" s="1" t="str">
        <f>_xlfn.XLOOKUP(tblSales[[#This Row],[Customer ID]],tblCustomers[Customer ID],tblCustomers[Customer Name],"⚠ Unknown")</f>
        <v>Walk-in Customer</v>
      </c>
      <c r="F164" s="4" t="s">
        <v>10</v>
      </c>
      <c r="G164" s="1" t="str">
        <f>_xlfn.XLOOKUP(tblSales[[#This Row],[Product Code]],tblProducts[Code],tblProducts[Product / Service Name],"⚠ Unknown")</f>
        <v>Chino Pants</v>
      </c>
      <c r="H164" s="1" t="str">
        <f>_xlfn.XLOOKUP(tblSales[[#This Row],[Product Code]],tblProducts[Code],tblProducts[Category],"")</f>
        <v>Apparel &amp; Footwear</v>
      </c>
      <c r="I164" s="4">
        <v>4</v>
      </c>
      <c r="J164" s="5">
        <f>_xlfn.XLOOKUP(tblSales[[#This Row],[Product Code]],tblProducts[Code],tblProducts[Selling Price (excl. VAT)],0)</f>
        <v>150000</v>
      </c>
      <c r="K164" s="5">
        <f>tblSales[[#This Row],[Qty]]*tblSales[[#This Row],[Unit Price]]</f>
        <v>600000</v>
      </c>
      <c r="L164" s="5">
        <f>ROUND(tblSales[[#This Row],[DPP (excl. VAT)]]*VATEff,0)</f>
        <v>66000</v>
      </c>
      <c r="M164" s="5">
        <f>tblSales[[#This Row],[DPP (excl. VAT)]]+tblSales[[#This Row],[Output VAT]]</f>
        <v>666000</v>
      </c>
      <c r="N164" s="5">
        <f>tblSales[[#This Row],[Qty]]*_xlfn.XLOOKUP(tblSales[[#This Row],[Product Code]],tblProducts[Code],tblProducts[Unit Cost],0)</f>
        <v>352000</v>
      </c>
      <c r="O164" s="4" t="s">
        <v>4865</v>
      </c>
      <c r="P164" s="4" t="s">
        <v>4860</v>
      </c>
      <c r="Q164" s="1" t="str">
        <f>_xlfn.XLOOKUP(tblSales[[#This Row],[Channel Code]],tblChannels[Channel Code],tblChannels[Channel Name],"")</f>
        <v>In-store</v>
      </c>
      <c r="R164" s="1">
        <f>MONTH(tblSales[[#This Row],[Date]])</f>
        <v>1</v>
      </c>
    </row>
    <row r="165" spans="2:18" x14ac:dyDescent="0.35">
      <c r="B165" s="113">
        <v>46033</v>
      </c>
      <c r="C165" s="4" t="s">
        <v>159</v>
      </c>
      <c r="D165" s="4" t="s">
        <v>4568</v>
      </c>
      <c r="E165" s="1" t="str">
        <f>_xlfn.XLOOKUP(tblSales[[#This Row],[Customer ID]],tblCustomers[Customer ID],tblCustomers[Customer Name],"⚠ Unknown")</f>
        <v>Walk-in Customer</v>
      </c>
      <c r="F165" s="4" t="s">
        <v>7</v>
      </c>
      <c r="G165" s="1" t="str">
        <f>_xlfn.XLOOKUP(tblSales[[#This Row],[Product Code]],tblProducts[Code],tblProducts[Product / Service Name],"⚠ Unknown")</f>
        <v>Premium Basic T-shirt</v>
      </c>
      <c r="H165" s="1" t="str">
        <f>_xlfn.XLOOKUP(tblSales[[#This Row],[Product Code]],tblProducts[Code],tblProducts[Category],"")</f>
        <v>Accessories &amp; Basics</v>
      </c>
      <c r="I165" s="4">
        <v>3</v>
      </c>
      <c r="J165" s="5">
        <f>_xlfn.XLOOKUP(tblSales[[#This Row],[Product Code]],tblProducts[Code],tblProducts[Selling Price (excl. VAT)],0)</f>
        <v>65000</v>
      </c>
      <c r="K165" s="5">
        <f>tblSales[[#This Row],[Qty]]*tblSales[[#This Row],[Unit Price]]</f>
        <v>195000</v>
      </c>
      <c r="L165" s="5">
        <f>ROUND(tblSales[[#This Row],[DPP (excl. VAT)]]*VATEff,0)</f>
        <v>21450</v>
      </c>
      <c r="M165" s="5">
        <f>tblSales[[#This Row],[DPP (excl. VAT)]]+tblSales[[#This Row],[Output VAT]]</f>
        <v>216450</v>
      </c>
      <c r="N165" s="5">
        <f>tblSales[[#This Row],[Qty]]*_xlfn.XLOOKUP(tblSales[[#This Row],[Product Code]],tblProducts[Code],tblProducts[Unit Cost],0)</f>
        <v>111000</v>
      </c>
      <c r="O165" s="4" t="s">
        <v>4865</v>
      </c>
      <c r="P165" s="4" t="s">
        <v>4860</v>
      </c>
      <c r="Q165" s="1" t="str">
        <f>_xlfn.XLOOKUP(tblSales[[#This Row],[Channel Code]],tblChannels[Channel Code],tblChannels[Channel Name],"")</f>
        <v>In-store</v>
      </c>
      <c r="R165" s="1">
        <f>MONTH(tblSales[[#This Row],[Date]])</f>
        <v>1</v>
      </c>
    </row>
    <row r="166" spans="2:18" x14ac:dyDescent="0.35">
      <c r="B166" s="113">
        <v>46033</v>
      </c>
      <c r="C166" s="4" t="s">
        <v>159</v>
      </c>
      <c r="D166" s="4" t="s">
        <v>4568</v>
      </c>
      <c r="E166" s="1" t="str">
        <f>_xlfn.XLOOKUP(tblSales[[#This Row],[Customer ID]],tblCustomers[Customer ID],tblCustomers[Customer Name],"⚠ Unknown")</f>
        <v>Walk-in Customer</v>
      </c>
      <c r="F166" s="4" t="s">
        <v>13</v>
      </c>
      <c r="G166" s="1" t="str">
        <f>_xlfn.XLOOKUP(tblSales[[#This Row],[Product Code]],tblProducts[Code],tblProducts[Product / Service Name],"⚠ Unknown")</f>
        <v>Backpack</v>
      </c>
      <c r="H166" s="1" t="str">
        <f>_xlfn.XLOOKUP(tblSales[[#This Row],[Product Code]],tblProducts[Code],tblProducts[Category],"")</f>
        <v>Bags &amp; Gadgets</v>
      </c>
      <c r="I166" s="4">
        <v>6</v>
      </c>
      <c r="J166" s="5">
        <f>_xlfn.XLOOKUP(tblSales[[#This Row],[Product Code]],tblProducts[Code],tblProducts[Selling Price (excl. VAT)],0)</f>
        <v>500000</v>
      </c>
      <c r="K166" s="5">
        <f>tblSales[[#This Row],[Qty]]*tblSales[[#This Row],[Unit Price]]</f>
        <v>3000000</v>
      </c>
      <c r="L166" s="5">
        <f>ROUND(tblSales[[#This Row],[DPP (excl. VAT)]]*VATEff,0)</f>
        <v>330000</v>
      </c>
      <c r="M166" s="5">
        <f>tblSales[[#This Row],[DPP (excl. VAT)]]+tblSales[[#This Row],[Output VAT]]</f>
        <v>3330000</v>
      </c>
      <c r="N166" s="5">
        <f>tblSales[[#This Row],[Qty]]*_xlfn.XLOOKUP(tblSales[[#This Row],[Product Code]],tblProducts[Code],tblProducts[Unit Cost],0)</f>
        <v>1740000</v>
      </c>
      <c r="O166" s="4" t="s">
        <v>4865</v>
      </c>
      <c r="P166" s="4" t="s">
        <v>4860</v>
      </c>
      <c r="Q166" s="1" t="str">
        <f>_xlfn.XLOOKUP(tblSales[[#This Row],[Channel Code]],tblChannels[Channel Code],tblChannels[Channel Name],"")</f>
        <v>In-store</v>
      </c>
      <c r="R166" s="1">
        <f>MONTH(tblSales[[#This Row],[Date]])</f>
        <v>1</v>
      </c>
    </row>
    <row r="167" spans="2:18" x14ac:dyDescent="0.35">
      <c r="B167" s="113">
        <v>46033</v>
      </c>
      <c r="C167" s="4" t="s">
        <v>160</v>
      </c>
      <c r="D167" s="4" t="s">
        <v>4568</v>
      </c>
      <c r="E167" s="1" t="str">
        <f>_xlfn.XLOOKUP(tblSales[[#This Row],[Customer ID]],tblCustomers[Customer ID],tblCustomers[Customer Name],"⚠ Unknown")</f>
        <v>Walk-in Customer</v>
      </c>
      <c r="F167" s="4" t="s">
        <v>9</v>
      </c>
      <c r="G167" s="1" t="str">
        <f>_xlfn.XLOOKUP(tblSales[[#This Row],[Product Code]],tblProducts[Code],tblProducts[Product / Service Name],"⚠ Unknown")</f>
        <v>Casual Shirt</v>
      </c>
      <c r="H167" s="1" t="str">
        <f>_xlfn.XLOOKUP(tblSales[[#This Row],[Product Code]],tblProducts[Code],tblProducts[Category],"")</f>
        <v>Apparel &amp; Footwear</v>
      </c>
      <c r="I167" s="4">
        <v>2</v>
      </c>
      <c r="J167" s="5">
        <f>_xlfn.XLOOKUP(tblSales[[#This Row],[Product Code]],tblProducts[Code],tblProducts[Selling Price (excl. VAT)],0)</f>
        <v>120000</v>
      </c>
      <c r="K167" s="5">
        <f>tblSales[[#This Row],[Qty]]*tblSales[[#This Row],[Unit Price]]</f>
        <v>240000</v>
      </c>
      <c r="L167" s="5">
        <f>ROUND(tblSales[[#This Row],[DPP (excl. VAT)]]*VATEff,0)</f>
        <v>26400</v>
      </c>
      <c r="M167" s="5">
        <f>tblSales[[#This Row],[DPP (excl. VAT)]]+tblSales[[#This Row],[Output VAT]]</f>
        <v>266400</v>
      </c>
      <c r="N167" s="5">
        <f>tblSales[[#This Row],[Qty]]*_xlfn.XLOOKUP(tblSales[[#This Row],[Product Code]],tblProducts[Code],tblProducts[Unit Cost],0)</f>
        <v>144000</v>
      </c>
      <c r="O167" s="4" t="s">
        <v>4865</v>
      </c>
      <c r="P167" s="4" t="s">
        <v>4860</v>
      </c>
      <c r="Q167" s="1" t="str">
        <f>_xlfn.XLOOKUP(tblSales[[#This Row],[Channel Code]],tblChannels[Channel Code],tblChannels[Channel Name],"")</f>
        <v>In-store</v>
      </c>
      <c r="R167" s="1">
        <f>MONTH(tblSales[[#This Row],[Date]])</f>
        <v>1</v>
      </c>
    </row>
    <row r="168" spans="2:18" x14ac:dyDescent="0.35">
      <c r="B168" s="113">
        <v>46034</v>
      </c>
      <c r="C168" s="4" t="s">
        <v>161</v>
      </c>
      <c r="D168" s="4" t="s">
        <v>4568</v>
      </c>
      <c r="E168" s="1" t="str">
        <f>_xlfn.XLOOKUP(tblSales[[#This Row],[Customer ID]],tblCustomers[Customer ID],tblCustomers[Customer Name],"⚠ Unknown")</f>
        <v>Walk-in Customer</v>
      </c>
      <c r="F168" s="4" t="s">
        <v>6</v>
      </c>
      <c r="G168" s="1" t="str">
        <f>_xlfn.XLOOKUP(tblSales[[#This Row],[Product Code]],tblProducts[Code],tblProducts[Product / Service Name],"⚠ Unknown")</f>
        <v>Socks &amp; Accessories</v>
      </c>
      <c r="H168" s="1" t="str">
        <f>_xlfn.XLOOKUP(tblSales[[#This Row],[Product Code]],tblProducts[Code],tblProducts[Category],"")</f>
        <v>Accessories &amp; Basics</v>
      </c>
      <c r="I168" s="4">
        <v>12</v>
      </c>
      <c r="J168" s="5">
        <f>_xlfn.XLOOKUP(tblSales[[#This Row],[Product Code]],tblProducts[Code],tblProducts[Selling Price (excl. VAT)],0)</f>
        <v>45000</v>
      </c>
      <c r="K168" s="5">
        <f>tblSales[[#This Row],[Qty]]*tblSales[[#This Row],[Unit Price]]</f>
        <v>540000</v>
      </c>
      <c r="L168" s="5">
        <f>ROUND(tblSales[[#This Row],[DPP (excl. VAT)]]*VATEff,0)</f>
        <v>59400</v>
      </c>
      <c r="M168" s="5">
        <f>tblSales[[#This Row],[DPP (excl. VAT)]]+tblSales[[#This Row],[Output VAT]]</f>
        <v>599400</v>
      </c>
      <c r="N168" s="5">
        <f>tblSales[[#This Row],[Qty]]*_xlfn.XLOOKUP(tblSales[[#This Row],[Product Code]],tblProducts[Code],tblProducts[Unit Cost],0)</f>
        <v>288000</v>
      </c>
      <c r="O168" s="4" t="s">
        <v>4865</v>
      </c>
      <c r="P168" s="4" t="s">
        <v>4860</v>
      </c>
      <c r="Q168" s="1" t="str">
        <f>_xlfn.XLOOKUP(tblSales[[#This Row],[Channel Code]],tblChannels[Channel Code],tblChannels[Channel Name],"")</f>
        <v>In-store</v>
      </c>
      <c r="R168" s="1">
        <f>MONTH(tblSales[[#This Row],[Date]])</f>
        <v>1</v>
      </c>
    </row>
    <row r="169" spans="2:18" x14ac:dyDescent="0.35">
      <c r="B169" s="113">
        <v>46034</v>
      </c>
      <c r="C169" s="4" t="s">
        <v>162</v>
      </c>
      <c r="D169" s="4" t="s">
        <v>4568</v>
      </c>
      <c r="E169" s="1" t="str">
        <f>_xlfn.XLOOKUP(tblSales[[#This Row],[Customer ID]],tblCustomers[Customer ID],tblCustomers[Customer Name],"⚠ Unknown")</f>
        <v>Walk-in Customer</v>
      </c>
      <c r="F169" s="4" t="s">
        <v>9</v>
      </c>
      <c r="G169" s="1" t="str">
        <f>_xlfn.XLOOKUP(tblSales[[#This Row],[Product Code]],tblProducts[Code],tblProducts[Product / Service Name],"⚠ Unknown")</f>
        <v>Casual Shirt</v>
      </c>
      <c r="H169" s="1" t="str">
        <f>_xlfn.XLOOKUP(tblSales[[#This Row],[Product Code]],tblProducts[Code],tblProducts[Category],"")</f>
        <v>Apparel &amp; Footwear</v>
      </c>
      <c r="I169" s="4">
        <v>9</v>
      </c>
      <c r="J169" s="5">
        <f>_xlfn.XLOOKUP(tblSales[[#This Row],[Product Code]],tblProducts[Code],tblProducts[Selling Price (excl. VAT)],0)</f>
        <v>120000</v>
      </c>
      <c r="K169" s="5">
        <f>tblSales[[#This Row],[Qty]]*tblSales[[#This Row],[Unit Price]]</f>
        <v>1080000</v>
      </c>
      <c r="L169" s="5">
        <f>ROUND(tblSales[[#This Row],[DPP (excl. VAT)]]*VATEff,0)</f>
        <v>118800</v>
      </c>
      <c r="M169" s="5">
        <f>tblSales[[#This Row],[DPP (excl. VAT)]]+tblSales[[#This Row],[Output VAT]]</f>
        <v>1198800</v>
      </c>
      <c r="N169" s="5">
        <f>tblSales[[#This Row],[Qty]]*_xlfn.XLOOKUP(tblSales[[#This Row],[Product Code]],tblProducts[Code],tblProducts[Unit Cost],0)</f>
        <v>648000</v>
      </c>
      <c r="O169" s="4" t="s">
        <v>4866</v>
      </c>
      <c r="P169" s="4" t="s">
        <v>4860</v>
      </c>
      <c r="Q169" s="1" t="str">
        <f>_xlfn.XLOOKUP(tblSales[[#This Row],[Channel Code]],tblChannels[Channel Code],tblChannels[Channel Name],"")</f>
        <v>In-store</v>
      </c>
      <c r="R169" s="1">
        <f>MONTH(tblSales[[#This Row],[Date]])</f>
        <v>1</v>
      </c>
    </row>
    <row r="170" spans="2:18" x14ac:dyDescent="0.35">
      <c r="B170" s="113">
        <v>46034</v>
      </c>
      <c r="C170" s="4" t="s">
        <v>163</v>
      </c>
      <c r="D170" s="4" t="s">
        <v>4568</v>
      </c>
      <c r="E170" s="1" t="str">
        <f>_xlfn.XLOOKUP(tblSales[[#This Row],[Customer ID]],tblCustomers[Customer ID],tblCustomers[Customer Name],"⚠ Unknown")</f>
        <v>Walk-in Customer</v>
      </c>
      <c r="F170" s="4" t="s">
        <v>12</v>
      </c>
      <c r="G170" s="1" t="str">
        <f>_xlfn.XLOOKUP(tblSales[[#This Row],[Product Code]],tblProducts[Code],tblProducts[Product / Service Name],"⚠ Unknown")</f>
        <v>Bomber Jacket</v>
      </c>
      <c r="H170" s="1" t="str">
        <f>_xlfn.XLOOKUP(tblSales[[#This Row],[Product Code]],tblProducts[Code],tblProducts[Category],"")</f>
        <v>Apparel &amp; Footwear</v>
      </c>
      <c r="I170" s="4">
        <v>5</v>
      </c>
      <c r="J170" s="5">
        <f>_xlfn.XLOOKUP(tblSales[[#This Row],[Product Code]],tblProducts[Code],tblProducts[Selling Price (excl. VAT)],0)</f>
        <v>350000</v>
      </c>
      <c r="K170" s="5">
        <f>tblSales[[#This Row],[Qty]]*tblSales[[#This Row],[Unit Price]]</f>
        <v>1750000</v>
      </c>
      <c r="L170" s="5">
        <f>ROUND(tblSales[[#This Row],[DPP (excl. VAT)]]*VATEff,0)</f>
        <v>192500</v>
      </c>
      <c r="M170" s="5">
        <f>tblSales[[#This Row],[DPP (excl. VAT)]]+tblSales[[#This Row],[Output VAT]]</f>
        <v>1942500</v>
      </c>
      <c r="N170" s="5">
        <f>tblSales[[#This Row],[Qty]]*_xlfn.XLOOKUP(tblSales[[#This Row],[Product Code]],tblProducts[Code],tblProducts[Unit Cost],0)</f>
        <v>1050000</v>
      </c>
      <c r="O170" s="4" t="s">
        <v>4866</v>
      </c>
      <c r="P170" s="4" t="s">
        <v>4860</v>
      </c>
      <c r="Q170" s="1" t="str">
        <f>_xlfn.XLOOKUP(tblSales[[#This Row],[Channel Code]],tblChannels[Channel Code],tblChannels[Channel Name],"")</f>
        <v>In-store</v>
      </c>
      <c r="R170" s="1">
        <f>MONTH(tblSales[[#This Row],[Date]])</f>
        <v>1</v>
      </c>
    </row>
    <row r="171" spans="2:18" x14ac:dyDescent="0.35">
      <c r="B171" s="113">
        <v>46034</v>
      </c>
      <c r="C171" s="4" t="s">
        <v>164</v>
      </c>
      <c r="D171" s="4" t="s">
        <v>4568</v>
      </c>
      <c r="E171" s="1" t="str">
        <f>_xlfn.XLOOKUP(tblSales[[#This Row],[Customer ID]],tblCustomers[Customer ID],tblCustomers[Customer Name],"⚠ Unknown")</f>
        <v>Walk-in Customer</v>
      </c>
      <c r="F171" s="4" t="s">
        <v>10</v>
      </c>
      <c r="G171" s="1" t="str">
        <f>_xlfn.XLOOKUP(tblSales[[#This Row],[Product Code]],tblProducts[Code],tblProducts[Product / Service Name],"⚠ Unknown")</f>
        <v>Chino Pants</v>
      </c>
      <c r="H171" s="1" t="str">
        <f>_xlfn.XLOOKUP(tblSales[[#This Row],[Product Code]],tblProducts[Code],tblProducts[Category],"")</f>
        <v>Apparel &amp; Footwear</v>
      </c>
      <c r="I171" s="4">
        <v>3</v>
      </c>
      <c r="J171" s="5">
        <f>_xlfn.XLOOKUP(tblSales[[#This Row],[Product Code]],tblProducts[Code],tblProducts[Selling Price (excl. VAT)],0)</f>
        <v>150000</v>
      </c>
      <c r="K171" s="5">
        <f>tblSales[[#This Row],[Qty]]*tblSales[[#This Row],[Unit Price]]</f>
        <v>450000</v>
      </c>
      <c r="L171" s="5">
        <f>ROUND(tblSales[[#This Row],[DPP (excl. VAT)]]*VATEff,0)</f>
        <v>49500</v>
      </c>
      <c r="M171" s="5">
        <f>tblSales[[#This Row],[DPP (excl. VAT)]]+tblSales[[#This Row],[Output VAT]]</f>
        <v>499500</v>
      </c>
      <c r="N171" s="5">
        <f>tblSales[[#This Row],[Qty]]*_xlfn.XLOOKUP(tblSales[[#This Row],[Product Code]],tblProducts[Code],tblProducts[Unit Cost],0)</f>
        <v>264000</v>
      </c>
      <c r="O171" s="4" t="s">
        <v>4865</v>
      </c>
      <c r="P171" s="4" t="s">
        <v>4860</v>
      </c>
      <c r="Q171" s="1" t="str">
        <f>_xlfn.XLOOKUP(tblSales[[#This Row],[Channel Code]],tblChannels[Channel Code],tblChannels[Channel Name],"")</f>
        <v>In-store</v>
      </c>
      <c r="R171" s="1">
        <f>MONTH(tblSales[[#This Row],[Date]])</f>
        <v>1</v>
      </c>
    </row>
    <row r="172" spans="2:18" x14ac:dyDescent="0.35">
      <c r="B172" s="113">
        <v>46034</v>
      </c>
      <c r="C172" s="4" t="s">
        <v>165</v>
      </c>
      <c r="D172" s="4" t="s">
        <v>4627</v>
      </c>
      <c r="E172" s="1" t="str">
        <f>_xlfn.XLOOKUP(tblSales[[#This Row],[Customer ID]],tblCustomers[Customer ID],tblCustomers[Customer Name],"⚠ Unknown")</f>
        <v>PT Kencana Wira Usaha</v>
      </c>
      <c r="F172" s="4" t="s">
        <v>13</v>
      </c>
      <c r="G172" s="1" t="str">
        <f>_xlfn.XLOOKUP(tblSales[[#This Row],[Product Code]],tblProducts[Code],tblProducts[Product / Service Name],"⚠ Unknown")</f>
        <v>Backpack</v>
      </c>
      <c r="H172" s="1" t="str">
        <f>_xlfn.XLOOKUP(tblSales[[#This Row],[Product Code]],tblProducts[Code],tblProducts[Category],"")</f>
        <v>Bags &amp; Gadgets</v>
      </c>
      <c r="I172" s="4">
        <v>32</v>
      </c>
      <c r="J172" s="5">
        <f>_xlfn.XLOOKUP(tblSales[[#This Row],[Product Code]],tblProducts[Code],tblProducts[Selling Price (excl. VAT)],0)</f>
        <v>500000</v>
      </c>
      <c r="K172" s="5">
        <f>tblSales[[#This Row],[Qty]]*tblSales[[#This Row],[Unit Price]]</f>
        <v>16000000</v>
      </c>
      <c r="L172" s="5">
        <f>ROUND(tblSales[[#This Row],[DPP (excl. VAT)]]*VATEff,0)</f>
        <v>1760000</v>
      </c>
      <c r="M172" s="5">
        <f>tblSales[[#This Row],[DPP (excl. VAT)]]+tblSales[[#This Row],[Output VAT]]</f>
        <v>17760000</v>
      </c>
      <c r="N172" s="5">
        <f>tblSales[[#This Row],[Qty]]*_xlfn.XLOOKUP(tblSales[[#This Row],[Product Code]],tblProducts[Code],tblProducts[Unit Cost],0)</f>
        <v>9280000</v>
      </c>
      <c r="O172" s="4" t="s">
        <v>4867</v>
      </c>
      <c r="P172" s="4" t="s">
        <v>4860</v>
      </c>
      <c r="Q172" s="1" t="str">
        <f>_xlfn.XLOOKUP(tblSales[[#This Row],[Channel Code]],tblChannels[Channel Code],tblChannels[Channel Name],"")</f>
        <v>In-store</v>
      </c>
      <c r="R172" s="1">
        <f>MONTH(tblSales[[#This Row],[Date]])</f>
        <v>1</v>
      </c>
    </row>
    <row r="173" spans="2:18" x14ac:dyDescent="0.35">
      <c r="B173" s="113">
        <v>46034</v>
      </c>
      <c r="C173" s="4" t="s">
        <v>165</v>
      </c>
      <c r="D173" s="4" t="s">
        <v>4627</v>
      </c>
      <c r="E173" s="1" t="str">
        <f>_xlfn.XLOOKUP(tblSales[[#This Row],[Customer ID]],tblCustomers[Customer ID],tblCustomers[Customer Name],"⚠ Unknown")</f>
        <v>PT Kencana Wira Usaha</v>
      </c>
      <c r="F173" s="4" t="s">
        <v>7</v>
      </c>
      <c r="G173" s="1" t="str">
        <f>_xlfn.XLOOKUP(tblSales[[#This Row],[Product Code]],tblProducts[Code],tblProducts[Product / Service Name],"⚠ Unknown")</f>
        <v>Premium Basic T-shirt</v>
      </c>
      <c r="H173" s="1" t="str">
        <f>_xlfn.XLOOKUP(tblSales[[#This Row],[Product Code]],tblProducts[Code],tblProducts[Category],"")</f>
        <v>Accessories &amp; Basics</v>
      </c>
      <c r="I173" s="4">
        <v>48</v>
      </c>
      <c r="J173" s="5">
        <f>_xlfn.XLOOKUP(tblSales[[#This Row],[Product Code]],tblProducts[Code],tblProducts[Selling Price (excl. VAT)],0)</f>
        <v>65000</v>
      </c>
      <c r="K173" s="5">
        <f>tblSales[[#This Row],[Qty]]*tblSales[[#This Row],[Unit Price]]</f>
        <v>3120000</v>
      </c>
      <c r="L173" s="5">
        <f>ROUND(tblSales[[#This Row],[DPP (excl. VAT)]]*VATEff,0)</f>
        <v>343200</v>
      </c>
      <c r="M173" s="5">
        <f>tblSales[[#This Row],[DPP (excl. VAT)]]+tblSales[[#This Row],[Output VAT]]</f>
        <v>3463200</v>
      </c>
      <c r="N173" s="5">
        <f>tblSales[[#This Row],[Qty]]*_xlfn.XLOOKUP(tblSales[[#This Row],[Product Code]],tblProducts[Code],tblProducts[Unit Cost],0)</f>
        <v>1776000</v>
      </c>
      <c r="O173" s="4" t="s">
        <v>4867</v>
      </c>
      <c r="P173" s="4" t="s">
        <v>4860</v>
      </c>
      <c r="Q173" s="1" t="str">
        <f>_xlfn.XLOOKUP(tblSales[[#This Row],[Channel Code]],tblChannels[Channel Code],tblChannels[Channel Name],"")</f>
        <v>In-store</v>
      </c>
      <c r="R173" s="1">
        <f>MONTH(tblSales[[#This Row],[Date]])</f>
        <v>1</v>
      </c>
    </row>
    <row r="174" spans="2:18" x14ac:dyDescent="0.35">
      <c r="B174" s="113">
        <v>46034</v>
      </c>
      <c r="C174" s="4" t="s">
        <v>165</v>
      </c>
      <c r="D174" s="4" t="s">
        <v>4627</v>
      </c>
      <c r="E174" s="1" t="str">
        <f>_xlfn.XLOOKUP(tblSales[[#This Row],[Customer ID]],tblCustomers[Customer ID],tblCustomers[Customer Name],"⚠ Unknown")</f>
        <v>PT Kencana Wira Usaha</v>
      </c>
      <c r="F174" s="4" t="s">
        <v>10</v>
      </c>
      <c r="G174" s="1" t="str">
        <f>_xlfn.XLOOKUP(tblSales[[#This Row],[Product Code]],tblProducts[Code],tblProducts[Product / Service Name],"⚠ Unknown")</f>
        <v>Chino Pants</v>
      </c>
      <c r="H174" s="1" t="str">
        <f>_xlfn.XLOOKUP(tblSales[[#This Row],[Product Code]],tblProducts[Code],tblProducts[Category],"")</f>
        <v>Apparel &amp; Footwear</v>
      </c>
      <c r="I174" s="4">
        <v>64</v>
      </c>
      <c r="J174" s="5">
        <f>_xlfn.XLOOKUP(tblSales[[#This Row],[Product Code]],tblProducts[Code],tblProducts[Selling Price (excl. VAT)],0)</f>
        <v>150000</v>
      </c>
      <c r="K174" s="5">
        <f>tblSales[[#This Row],[Qty]]*tblSales[[#This Row],[Unit Price]]</f>
        <v>9600000</v>
      </c>
      <c r="L174" s="5">
        <f>ROUND(tblSales[[#This Row],[DPP (excl. VAT)]]*VATEff,0)</f>
        <v>1056000</v>
      </c>
      <c r="M174" s="5">
        <f>tblSales[[#This Row],[DPP (excl. VAT)]]+tblSales[[#This Row],[Output VAT]]</f>
        <v>10656000</v>
      </c>
      <c r="N174" s="5">
        <f>tblSales[[#This Row],[Qty]]*_xlfn.XLOOKUP(tblSales[[#This Row],[Product Code]],tblProducts[Code],tblProducts[Unit Cost],0)</f>
        <v>5632000</v>
      </c>
      <c r="O174" s="4" t="s">
        <v>4867</v>
      </c>
      <c r="P174" s="4" t="s">
        <v>4860</v>
      </c>
      <c r="Q174" s="1" t="str">
        <f>_xlfn.XLOOKUP(tblSales[[#This Row],[Channel Code]],tblChannels[Channel Code],tblChannels[Channel Name],"")</f>
        <v>In-store</v>
      </c>
      <c r="R174" s="1">
        <f>MONTH(tblSales[[#This Row],[Date]])</f>
        <v>1</v>
      </c>
    </row>
    <row r="175" spans="2:18" x14ac:dyDescent="0.35">
      <c r="B175" s="113">
        <v>46034</v>
      </c>
      <c r="C175" s="4" t="s">
        <v>166</v>
      </c>
      <c r="D175" s="4" t="s">
        <v>4568</v>
      </c>
      <c r="E175" s="1" t="str">
        <f>_xlfn.XLOOKUP(tblSales[[#This Row],[Customer ID]],tblCustomers[Customer ID],tblCustomers[Customer Name],"⚠ Unknown")</f>
        <v>Walk-in Customer</v>
      </c>
      <c r="F175" s="4" t="s">
        <v>10</v>
      </c>
      <c r="G175" s="1" t="str">
        <f>_xlfn.XLOOKUP(tblSales[[#This Row],[Product Code]],tblProducts[Code],tblProducts[Product / Service Name],"⚠ Unknown")</f>
        <v>Chino Pants</v>
      </c>
      <c r="H175" s="1" t="str">
        <f>_xlfn.XLOOKUP(tblSales[[#This Row],[Product Code]],tblProducts[Code],tblProducts[Category],"")</f>
        <v>Apparel &amp; Footwear</v>
      </c>
      <c r="I175" s="4">
        <v>9</v>
      </c>
      <c r="J175" s="5">
        <f>_xlfn.XLOOKUP(tblSales[[#This Row],[Product Code]],tblProducts[Code],tblProducts[Selling Price (excl. VAT)],0)</f>
        <v>150000</v>
      </c>
      <c r="K175" s="5">
        <f>tblSales[[#This Row],[Qty]]*tblSales[[#This Row],[Unit Price]]</f>
        <v>1350000</v>
      </c>
      <c r="L175" s="5">
        <f>ROUND(tblSales[[#This Row],[DPP (excl. VAT)]]*VATEff,0)</f>
        <v>148500</v>
      </c>
      <c r="M175" s="5">
        <f>tblSales[[#This Row],[DPP (excl. VAT)]]+tblSales[[#This Row],[Output VAT]]</f>
        <v>1498500</v>
      </c>
      <c r="N175" s="5">
        <f>tblSales[[#This Row],[Qty]]*_xlfn.XLOOKUP(tblSales[[#This Row],[Product Code]],tblProducts[Code],tblProducts[Unit Cost],0)</f>
        <v>792000</v>
      </c>
      <c r="O175" s="4" t="s">
        <v>4865</v>
      </c>
      <c r="P175" s="4" t="s">
        <v>4860</v>
      </c>
      <c r="Q175" s="1" t="str">
        <f>_xlfn.XLOOKUP(tblSales[[#This Row],[Channel Code]],tblChannels[Channel Code],tblChannels[Channel Name],"")</f>
        <v>In-store</v>
      </c>
      <c r="R175" s="1">
        <f>MONTH(tblSales[[#This Row],[Date]])</f>
        <v>1</v>
      </c>
    </row>
    <row r="176" spans="2:18" x14ac:dyDescent="0.35">
      <c r="B176" s="113">
        <v>46034</v>
      </c>
      <c r="C176" s="4" t="s">
        <v>167</v>
      </c>
      <c r="D176" s="4" t="s">
        <v>4568</v>
      </c>
      <c r="E176" s="1" t="str">
        <f>_xlfn.XLOOKUP(tblSales[[#This Row],[Customer ID]],tblCustomers[Customer ID],tblCustomers[Customer Name],"⚠ Unknown")</f>
        <v>Walk-in Customer</v>
      </c>
      <c r="F176" s="4" t="s">
        <v>7</v>
      </c>
      <c r="G176" s="1" t="str">
        <f>_xlfn.XLOOKUP(tblSales[[#This Row],[Product Code]],tblProducts[Code],tblProducts[Product / Service Name],"⚠ Unknown")</f>
        <v>Premium Basic T-shirt</v>
      </c>
      <c r="H176" s="1" t="str">
        <f>_xlfn.XLOOKUP(tblSales[[#This Row],[Product Code]],tblProducts[Code],tblProducts[Category],"")</f>
        <v>Accessories &amp; Basics</v>
      </c>
      <c r="I176" s="4">
        <v>8</v>
      </c>
      <c r="J176" s="5">
        <f>_xlfn.XLOOKUP(tblSales[[#This Row],[Product Code]],tblProducts[Code],tblProducts[Selling Price (excl. VAT)],0)</f>
        <v>65000</v>
      </c>
      <c r="K176" s="5">
        <f>tblSales[[#This Row],[Qty]]*tblSales[[#This Row],[Unit Price]]</f>
        <v>520000</v>
      </c>
      <c r="L176" s="5">
        <f>ROUND(tblSales[[#This Row],[DPP (excl. VAT)]]*VATEff,0)</f>
        <v>57200</v>
      </c>
      <c r="M176" s="5">
        <f>tblSales[[#This Row],[DPP (excl. VAT)]]+tblSales[[#This Row],[Output VAT]]</f>
        <v>577200</v>
      </c>
      <c r="N176" s="5">
        <f>tblSales[[#This Row],[Qty]]*_xlfn.XLOOKUP(tblSales[[#This Row],[Product Code]],tblProducts[Code],tblProducts[Unit Cost],0)</f>
        <v>296000</v>
      </c>
      <c r="O176" s="4" t="s">
        <v>4866</v>
      </c>
      <c r="P176" s="4" t="s">
        <v>4861</v>
      </c>
      <c r="Q176" s="1" t="str">
        <f>_xlfn.XLOOKUP(tblSales[[#This Row],[Channel Code]],tblChannels[Channel Code],tblChannels[Channel Name],"")</f>
        <v>Marketplace</v>
      </c>
      <c r="R176" s="1">
        <f>MONTH(tblSales[[#This Row],[Date]])</f>
        <v>1</v>
      </c>
    </row>
    <row r="177" spans="2:18" x14ac:dyDescent="0.35">
      <c r="B177" s="113">
        <v>46034</v>
      </c>
      <c r="C177" s="4" t="s">
        <v>168</v>
      </c>
      <c r="D177" s="4" t="s">
        <v>4585</v>
      </c>
      <c r="E177" s="1" t="str">
        <f>_xlfn.XLOOKUP(tblSales[[#This Row],[Customer ID]],tblCustomers[Customer ID],tblCustomers[Customer Name],"⚠ Unknown")</f>
        <v>CV Mitra Karya Mandiri</v>
      </c>
      <c r="F177" s="4" t="s">
        <v>12</v>
      </c>
      <c r="G177" s="1" t="str">
        <f>_xlfn.XLOOKUP(tblSales[[#This Row],[Product Code]],tblProducts[Code],tblProducts[Product / Service Name],"⚠ Unknown")</f>
        <v>Bomber Jacket</v>
      </c>
      <c r="H177" s="1" t="str">
        <f>_xlfn.XLOOKUP(tblSales[[#This Row],[Product Code]],tblProducts[Code],tblProducts[Category],"")</f>
        <v>Apparel &amp; Footwear</v>
      </c>
      <c r="I177" s="4">
        <v>16</v>
      </c>
      <c r="J177" s="5">
        <f>_xlfn.XLOOKUP(tblSales[[#This Row],[Product Code]],tblProducts[Code],tblProducts[Selling Price (excl. VAT)],0)</f>
        <v>350000</v>
      </c>
      <c r="K177" s="5">
        <f>tblSales[[#This Row],[Qty]]*tblSales[[#This Row],[Unit Price]]</f>
        <v>5600000</v>
      </c>
      <c r="L177" s="5">
        <f>ROUND(tblSales[[#This Row],[DPP (excl. VAT)]]*VATEff,0)</f>
        <v>616000</v>
      </c>
      <c r="M177" s="5">
        <f>tblSales[[#This Row],[DPP (excl. VAT)]]+tblSales[[#This Row],[Output VAT]]</f>
        <v>6216000</v>
      </c>
      <c r="N177" s="5">
        <f>tblSales[[#This Row],[Qty]]*_xlfn.XLOOKUP(tblSales[[#This Row],[Product Code]],tblProducts[Code],tblProducts[Unit Cost],0)</f>
        <v>3360000</v>
      </c>
      <c r="O177" s="4" t="s">
        <v>4867</v>
      </c>
      <c r="P177" s="4" t="s">
        <v>4860</v>
      </c>
      <c r="Q177" s="1" t="str">
        <f>_xlfn.XLOOKUP(tblSales[[#This Row],[Channel Code]],tblChannels[Channel Code],tblChannels[Channel Name],"")</f>
        <v>In-store</v>
      </c>
      <c r="R177" s="1">
        <f>MONTH(tblSales[[#This Row],[Date]])</f>
        <v>1</v>
      </c>
    </row>
    <row r="178" spans="2:18" x14ac:dyDescent="0.35">
      <c r="B178" s="113">
        <v>46034</v>
      </c>
      <c r="C178" s="4" t="s">
        <v>169</v>
      </c>
      <c r="D178" s="4" t="s">
        <v>4568</v>
      </c>
      <c r="E178" s="1" t="str">
        <f>_xlfn.XLOOKUP(tblSales[[#This Row],[Customer ID]],tblCustomers[Customer ID],tblCustomers[Customer Name],"⚠ Unknown")</f>
        <v>Walk-in Customer</v>
      </c>
      <c r="F178" s="4" t="s">
        <v>12</v>
      </c>
      <c r="G178" s="1" t="str">
        <f>_xlfn.XLOOKUP(tblSales[[#This Row],[Product Code]],tblProducts[Code],tblProducts[Product / Service Name],"⚠ Unknown")</f>
        <v>Bomber Jacket</v>
      </c>
      <c r="H178" s="1" t="str">
        <f>_xlfn.XLOOKUP(tblSales[[#This Row],[Product Code]],tblProducts[Code],tblProducts[Category],"")</f>
        <v>Apparel &amp; Footwear</v>
      </c>
      <c r="I178" s="4">
        <v>3</v>
      </c>
      <c r="J178" s="5">
        <f>_xlfn.XLOOKUP(tblSales[[#This Row],[Product Code]],tblProducts[Code],tblProducts[Selling Price (excl. VAT)],0)</f>
        <v>350000</v>
      </c>
      <c r="K178" s="5">
        <f>tblSales[[#This Row],[Qty]]*tblSales[[#This Row],[Unit Price]]</f>
        <v>1050000</v>
      </c>
      <c r="L178" s="5">
        <f>ROUND(tblSales[[#This Row],[DPP (excl. VAT)]]*VATEff,0)</f>
        <v>115500</v>
      </c>
      <c r="M178" s="5">
        <f>tblSales[[#This Row],[DPP (excl. VAT)]]+tblSales[[#This Row],[Output VAT]]</f>
        <v>1165500</v>
      </c>
      <c r="N178" s="5">
        <f>tblSales[[#This Row],[Qty]]*_xlfn.XLOOKUP(tblSales[[#This Row],[Product Code]],tblProducts[Code],tblProducts[Unit Cost],0)</f>
        <v>630000</v>
      </c>
      <c r="O178" s="4" t="s">
        <v>4866</v>
      </c>
      <c r="P178" s="4" t="s">
        <v>4860</v>
      </c>
      <c r="Q178" s="1" t="str">
        <f>_xlfn.XLOOKUP(tblSales[[#This Row],[Channel Code]],tblChannels[Channel Code],tblChannels[Channel Name],"")</f>
        <v>In-store</v>
      </c>
      <c r="R178" s="1">
        <f>MONTH(tblSales[[#This Row],[Date]])</f>
        <v>1</v>
      </c>
    </row>
    <row r="179" spans="2:18" x14ac:dyDescent="0.35">
      <c r="B179" s="113">
        <v>46034</v>
      </c>
      <c r="C179" s="4" t="s">
        <v>170</v>
      </c>
      <c r="D179" s="4" t="s">
        <v>4568</v>
      </c>
      <c r="E179" s="1" t="str">
        <f>_xlfn.XLOOKUP(tblSales[[#This Row],[Customer ID]],tblCustomers[Customer ID],tblCustomers[Customer Name],"⚠ Unknown")</f>
        <v>Walk-in Customer</v>
      </c>
      <c r="F179" s="4" t="s">
        <v>10</v>
      </c>
      <c r="G179" s="1" t="str">
        <f>_xlfn.XLOOKUP(tblSales[[#This Row],[Product Code]],tblProducts[Code],tblProducts[Product / Service Name],"⚠ Unknown")</f>
        <v>Chino Pants</v>
      </c>
      <c r="H179" s="1" t="str">
        <f>_xlfn.XLOOKUP(tblSales[[#This Row],[Product Code]],tblProducts[Code],tblProducts[Category],"")</f>
        <v>Apparel &amp; Footwear</v>
      </c>
      <c r="I179" s="4">
        <v>7</v>
      </c>
      <c r="J179" s="5">
        <f>_xlfn.XLOOKUP(tblSales[[#This Row],[Product Code]],tblProducts[Code],tblProducts[Selling Price (excl. VAT)],0)</f>
        <v>150000</v>
      </c>
      <c r="K179" s="5">
        <f>tblSales[[#This Row],[Qty]]*tblSales[[#This Row],[Unit Price]]</f>
        <v>1050000</v>
      </c>
      <c r="L179" s="5">
        <f>ROUND(tblSales[[#This Row],[DPP (excl. VAT)]]*VATEff,0)</f>
        <v>115500</v>
      </c>
      <c r="M179" s="5">
        <f>tblSales[[#This Row],[DPP (excl. VAT)]]+tblSales[[#This Row],[Output VAT]]</f>
        <v>1165500</v>
      </c>
      <c r="N179" s="5">
        <f>tblSales[[#This Row],[Qty]]*_xlfn.XLOOKUP(tblSales[[#This Row],[Product Code]],tblProducts[Code],tblProducts[Unit Cost],0)</f>
        <v>616000</v>
      </c>
      <c r="O179" s="4" t="s">
        <v>4865</v>
      </c>
      <c r="P179" s="4" t="s">
        <v>4860</v>
      </c>
      <c r="Q179" s="1" t="str">
        <f>_xlfn.XLOOKUP(tblSales[[#This Row],[Channel Code]],tblChannels[Channel Code],tblChannels[Channel Name],"")</f>
        <v>In-store</v>
      </c>
      <c r="R179" s="1">
        <f>MONTH(tblSales[[#This Row],[Date]])</f>
        <v>1</v>
      </c>
    </row>
    <row r="180" spans="2:18" x14ac:dyDescent="0.35">
      <c r="B180" s="113">
        <v>46034</v>
      </c>
      <c r="C180" s="4" t="s">
        <v>170</v>
      </c>
      <c r="D180" s="4" t="s">
        <v>4568</v>
      </c>
      <c r="E180" s="1" t="str">
        <f>_xlfn.XLOOKUP(tblSales[[#This Row],[Customer ID]],tblCustomers[Customer ID],tblCustomers[Customer Name],"⚠ Unknown")</f>
        <v>Walk-in Customer</v>
      </c>
      <c r="F180" s="4" t="s">
        <v>14</v>
      </c>
      <c r="G180" s="1" t="str">
        <f>_xlfn.XLOOKUP(tblSales[[#This Row],[Product Code]],tblProducts[Code],tblProducts[Product / Service Name],"⚠ Unknown")</f>
        <v>Smartwatch</v>
      </c>
      <c r="H180" s="1" t="str">
        <f>_xlfn.XLOOKUP(tblSales[[#This Row],[Product Code]],tblProducts[Code],tblProducts[Category],"")</f>
        <v>Bags &amp; Gadgets</v>
      </c>
      <c r="I180" s="4">
        <v>3</v>
      </c>
      <c r="J180" s="5">
        <f>_xlfn.XLOOKUP(tblSales[[#This Row],[Product Code]],tblProducts[Code],tblProducts[Selling Price (excl. VAT)],0)</f>
        <v>850000</v>
      </c>
      <c r="K180" s="5">
        <f>tblSales[[#This Row],[Qty]]*tblSales[[#This Row],[Unit Price]]</f>
        <v>2550000</v>
      </c>
      <c r="L180" s="5">
        <f>ROUND(tblSales[[#This Row],[DPP (excl. VAT)]]*VATEff,0)</f>
        <v>280500</v>
      </c>
      <c r="M180" s="5">
        <f>tblSales[[#This Row],[DPP (excl. VAT)]]+tblSales[[#This Row],[Output VAT]]</f>
        <v>2830500</v>
      </c>
      <c r="N180" s="5">
        <f>tblSales[[#This Row],[Qty]]*_xlfn.XLOOKUP(tblSales[[#This Row],[Product Code]],tblProducts[Code],tblProducts[Unit Cost],0)</f>
        <v>1680000</v>
      </c>
      <c r="O180" s="4" t="s">
        <v>4865</v>
      </c>
      <c r="P180" s="4" t="s">
        <v>4860</v>
      </c>
      <c r="Q180" s="1" t="str">
        <f>_xlfn.XLOOKUP(tblSales[[#This Row],[Channel Code]],tblChannels[Channel Code],tblChannels[Channel Name],"")</f>
        <v>In-store</v>
      </c>
      <c r="R180" s="1">
        <f>MONTH(tblSales[[#This Row],[Date]])</f>
        <v>1</v>
      </c>
    </row>
    <row r="181" spans="2:18" x14ac:dyDescent="0.35">
      <c r="B181" s="113">
        <v>46035</v>
      </c>
      <c r="C181" s="4" t="s">
        <v>171</v>
      </c>
      <c r="D181" s="4" t="s">
        <v>4568</v>
      </c>
      <c r="E181" s="1" t="str">
        <f>_xlfn.XLOOKUP(tblSales[[#This Row],[Customer ID]],tblCustomers[Customer ID],tblCustomers[Customer Name],"⚠ Unknown")</f>
        <v>Walk-in Customer</v>
      </c>
      <c r="F181" s="4" t="s">
        <v>6</v>
      </c>
      <c r="G181" s="1" t="str">
        <f>_xlfn.XLOOKUP(tblSales[[#This Row],[Product Code]],tblProducts[Code],tblProducts[Product / Service Name],"⚠ Unknown")</f>
        <v>Socks &amp; Accessories</v>
      </c>
      <c r="H181" s="1" t="str">
        <f>_xlfn.XLOOKUP(tblSales[[#This Row],[Product Code]],tblProducts[Code],tblProducts[Category],"")</f>
        <v>Accessories &amp; Basics</v>
      </c>
      <c r="I181" s="4">
        <v>2</v>
      </c>
      <c r="J181" s="5">
        <f>_xlfn.XLOOKUP(tblSales[[#This Row],[Product Code]],tblProducts[Code],tblProducts[Selling Price (excl. VAT)],0)</f>
        <v>45000</v>
      </c>
      <c r="K181" s="5">
        <f>tblSales[[#This Row],[Qty]]*tblSales[[#This Row],[Unit Price]]</f>
        <v>90000</v>
      </c>
      <c r="L181" s="5">
        <f>ROUND(tblSales[[#This Row],[DPP (excl. VAT)]]*VATEff,0)</f>
        <v>9900</v>
      </c>
      <c r="M181" s="5">
        <f>tblSales[[#This Row],[DPP (excl. VAT)]]+tblSales[[#This Row],[Output VAT]]</f>
        <v>99900</v>
      </c>
      <c r="N181" s="5">
        <f>tblSales[[#This Row],[Qty]]*_xlfn.XLOOKUP(tblSales[[#This Row],[Product Code]],tblProducts[Code],tblProducts[Unit Cost],0)</f>
        <v>48000</v>
      </c>
      <c r="O181" s="4" t="s">
        <v>4866</v>
      </c>
      <c r="P181" s="4" t="s">
        <v>4861</v>
      </c>
      <c r="Q181" s="1" t="str">
        <f>_xlfn.XLOOKUP(tblSales[[#This Row],[Channel Code]],tblChannels[Channel Code],tblChannels[Channel Name],"")</f>
        <v>Marketplace</v>
      </c>
      <c r="R181" s="1">
        <f>MONTH(tblSales[[#This Row],[Date]])</f>
        <v>1</v>
      </c>
    </row>
    <row r="182" spans="2:18" x14ac:dyDescent="0.35">
      <c r="B182" s="113">
        <v>46035</v>
      </c>
      <c r="C182" s="4" t="s">
        <v>172</v>
      </c>
      <c r="D182" s="4" t="s">
        <v>4568</v>
      </c>
      <c r="E182" s="1" t="str">
        <f>_xlfn.XLOOKUP(tblSales[[#This Row],[Customer ID]],tblCustomers[Customer ID],tblCustomers[Customer Name],"⚠ Unknown")</f>
        <v>Walk-in Customer</v>
      </c>
      <c r="F182" s="4" t="s">
        <v>12</v>
      </c>
      <c r="G182" s="1" t="str">
        <f>_xlfn.XLOOKUP(tblSales[[#This Row],[Product Code]],tblProducts[Code],tblProducts[Product / Service Name],"⚠ Unknown")</f>
        <v>Bomber Jacket</v>
      </c>
      <c r="H182" s="1" t="str">
        <f>_xlfn.XLOOKUP(tblSales[[#This Row],[Product Code]],tblProducts[Code],tblProducts[Category],"")</f>
        <v>Apparel &amp; Footwear</v>
      </c>
      <c r="I182" s="4">
        <v>3</v>
      </c>
      <c r="J182" s="5">
        <f>_xlfn.XLOOKUP(tblSales[[#This Row],[Product Code]],tblProducts[Code],tblProducts[Selling Price (excl. VAT)],0)</f>
        <v>350000</v>
      </c>
      <c r="K182" s="5">
        <f>tblSales[[#This Row],[Qty]]*tblSales[[#This Row],[Unit Price]]</f>
        <v>1050000</v>
      </c>
      <c r="L182" s="5">
        <f>ROUND(tblSales[[#This Row],[DPP (excl. VAT)]]*VATEff,0)</f>
        <v>115500</v>
      </c>
      <c r="M182" s="5">
        <f>tblSales[[#This Row],[DPP (excl. VAT)]]+tblSales[[#This Row],[Output VAT]]</f>
        <v>1165500</v>
      </c>
      <c r="N182" s="5">
        <f>tblSales[[#This Row],[Qty]]*_xlfn.XLOOKUP(tblSales[[#This Row],[Product Code]],tblProducts[Code],tblProducts[Unit Cost],0)</f>
        <v>630000</v>
      </c>
      <c r="O182" s="4" t="s">
        <v>4866</v>
      </c>
      <c r="P182" s="4" t="s">
        <v>4861</v>
      </c>
      <c r="Q182" s="1" t="str">
        <f>_xlfn.XLOOKUP(tblSales[[#This Row],[Channel Code]],tblChannels[Channel Code],tblChannels[Channel Name],"")</f>
        <v>Marketplace</v>
      </c>
      <c r="R182" s="1">
        <f>MONTH(tblSales[[#This Row],[Date]])</f>
        <v>1</v>
      </c>
    </row>
    <row r="183" spans="2:18" x14ac:dyDescent="0.35">
      <c r="B183" s="113">
        <v>46035</v>
      </c>
      <c r="C183" s="4" t="s">
        <v>173</v>
      </c>
      <c r="D183" s="4" t="s">
        <v>4578</v>
      </c>
      <c r="E183" s="1" t="str">
        <f>_xlfn.XLOOKUP(tblSales[[#This Row],[Customer ID]],tblCustomers[Customer ID],tblCustomers[Customer Name],"⚠ Unknown")</f>
        <v>PT Bintang Timur Sejahtera</v>
      </c>
      <c r="F183" s="4" t="s">
        <v>11</v>
      </c>
      <c r="G183" s="1" t="str">
        <f>_xlfn.XLOOKUP(tblSales[[#This Row],[Product Code]],tblProducts[Code],tblProducts[Product / Service Name],"⚠ Unknown")</f>
        <v>Sneakers</v>
      </c>
      <c r="H183" s="1" t="str">
        <f>_xlfn.XLOOKUP(tblSales[[#This Row],[Product Code]],tblProducts[Code],tblProducts[Category],"")</f>
        <v>Apparel &amp; Footwear</v>
      </c>
      <c r="I183" s="4">
        <v>40</v>
      </c>
      <c r="J183" s="5">
        <f>_xlfn.XLOOKUP(tblSales[[#This Row],[Product Code]],tblProducts[Code],tblProducts[Selling Price (excl. VAT)],0)</f>
        <v>250000</v>
      </c>
      <c r="K183" s="5">
        <f>tblSales[[#This Row],[Qty]]*tblSales[[#This Row],[Unit Price]]</f>
        <v>10000000</v>
      </c>
      <c r="L183" s="5">
        <f>ROUND(tblSales[[#This Row],[DPP (excl. VAT)]]*VATEff,0)</f>
        <v>1100000</v>
      </c>
      <c r="M183" s="5">
        <f>tblSales[[#This Row],[DPP (excl. VAT)]]+tblSales[[#This Row],[Output VAT]]</f>
        <v>11100000</v>
      </c>
      <c r="N183" s="5">
        <f>tblSales[[#This Row],[Qty]]*_xlfn.XLOOKUP(tblSales[[#This Row],[Product Code]],tblProducts[Code],tblProducts[Unit Cost],0)</f>
        <v>6200000</v>
      </c>
      <c r="O183" s="4" t="s">
        <v>4867</v>
      </c>
      <c r="P183" s="4" t="s">
        <v>4860</v>
      </c>
      <c r="Q183" s="1" t="str">
        <f>_xlfn.XLOOKUP(tblSales[[#This Row],[Channel Code]],tblChannels[Channel Code],tblChannels[Channel Name],"")</f>
        <v>In-store</v>
      </c>
      <c r="R183" s="1">
        <f>MONTH(tblSales[[#This Row],[Date]])</f>
        <v>1</v>
      </c>
    </row>
    <row r="184" spans="2:18" x14ac:dyDescent="0.35">
      <c r="B184" s="113">
        <v>46035</v>
      </c>
      <c r="C184" s="4" t="s">
        <v>173</v>
      </c>
      <c r="D184" s="4" t="s">
        <v>4578</v>
      </c>
      <c r="E184" s="1" t="str">
        <f>_xlfn.XLOOKUP(tblSales[[#This Row],[Customer ID]],tblCustomers[Customer ID],tblCustomers[Customer Name],"⚠ Unknown")</f>
        <v>PT Bintang Timur Sejahtera</v>
      </c>
      <c r="F184" s="4" t="s">
        <v>7</v>
      </c>
      <c r="G184" s="1" t="str">
        <f>_xlfn.XLOOKUP(tblSales[[#This Row],[Product Code]],tblProducts[Code],tblProducts[Product / Service Name],"⚠ Unknown")</f>
        <v>Premium Basic T-shirt</v>
      </c>
      <c r="H184" s="1" t="str">
        <f>_xlfn.XLOOKUP(tblSales[[#This Row],[Product Code]],tblProducts[Code],tblProducts[Category],"")</f>
        <v>Accessories &amp; Basics</v>
      </c>
      <c r="I184" s="4">
        <v>8</v>
      </c>
      <c r="J184" s="5">
        <f>_xlfn.XLOOKUP(tblSales[[#This Row],[Product Code]],tblProducts[Code],tblProducts[Selling Price (excl. VAT)],0)</f>
        <v>65000</v>
      </c>
      <c r="K184" s="5">
        <f>tblSales[[#This Row],[Qty]]*tblSales[[#This Row],[Unit Price]]</f>
        <v>520000</v>
      </c>
      <c r="L184" s="5">
        <f>ROUND(tblSales[[#This Row],[DPP (excl. VAT)]]*VATEff,0)</f>
        <v>57200</v>
      </c>
      <c r="M184" s="5">
        <f>tblSales[[#This Row],[DPP (excl. VAT)]]+tblSales[[#This Row],[Output VAT]]</f>
        <v>577200</v>
      </c>
      <c r="N184" s="5">
        <f>tblSales[[#This Row],[Qty]]*_xlfn.XLOOKUP(tblSales[[#This Row],[Product Code]],tblProducts[Code],tblProducts[Unit Cost],0)</f>
        <v>296000</v>
      </c>
      <c r="O184" s="4" t="s">
        <v>4867</v>
      </c>
      <c r="P184" s="4" t="s">
        <v>4860</v>
      </c>
      <c r="Q184" s="1" t="str">
        <f>_xlfn.XLOOKUP(tblSales[[#This Row],[Channel Code]],tblChannels[Channel Code],tblChannels[Channel Name],"")</f>
        <v>In-store</v>
      </c>
      <c r="R184" s="1">
        <f>MONTH(tblSales[[#This Row],[Date]])</f>
        <v>1</v>
      </c>
    </row>
    <row r="185" spans="2:18" x14ac:dyDescent="0.35">
      <c r="B185" s="113">
        <v>46035</v>
      </c>
      <c r="C185" s="4" t="s">
        <v>174</v>
      </c>
      <c r="D185" s="4" t="s">
        <v>4568</v>
      </c>
      <c r="E185" s="1" t="str">
        <f>_xlfn.XLOOKUP(tblSales[[#This Row],[Customer ID]],tblCustomers[Customer ID],tblCustomers[Customer Name],"⚠ Unknown")</f>
        <v>Walk-in Customer</v>
      </c>
      <c r="F185" s="4" t="s">
        <v>6</v>
      </c>
      <c r="G185" s="1" t="str">
        <f>_xlfn.XLOOKUP(tblSales[[#This Row],[Product Code]],tblProducts[Code],tblProducts[Product / Service Name],"⚠ Unknown")</f>
        <v>Socks &amp; Accessories</v>
      </c>
      <c r="H185" s="1" t="str">
        <f>_xlfn.XLOOKUP(tblSales[[#This Row],[Product Code]],tblProducts[Code],tblProducts[Category],"")</f>
        <v>Accessories &amp; Basics</v>
      </c>
      <c r="I185" s="4">
        <v>4</v>
      </c>
      <c r="J185" s="5">
        <f>_xlfn.XLOOKUP(tblSales[[#This Row],[Product Code]],tblProducts[Code],tblProducts[Selling Price (excl. VAT)],0)</f>
        <v>45000</v>
      </c>
      <c r="K185" s="5">
        <f>tblSales[[#This Row],[Qty]]*tblSales[[#This Row],[Unit Price]]</f>
        <v>180000</v>
      </c>
      <c r="L185" s="5">
        <f>ROUND(tblSales[[#This Row],[DPP (excl. VAT)]]*VATEff,0)</f>
        <v>19800</v>
      </c>
      <c r="M185" s="5">
        <f>tblSales[[#This Row],[DPP (excl. VAT)]]+tblSales[[#This Row],[Output VAT]]</f>
        <v>199800</v>
      </c>
      <c r="N185" s="5">
        <f>tblSales[[#This Row],[Qty]]*_xlfn.XLOOKUP(tblSales[[#This Row],[Product Code]],tblProducts[Code],tblProducts[Unit Cost],0)</f>
        <v>96000</v>
      </c>
      <c r="O185" s="4" t="s">
        <v>4865</v>
      </c>
      <c r="P185" s="4" t="s">
        <v>4860</v>
      </c>
      <c r="Q185" s="1" t="str">
        <f>_xlfn.XLOOKUP(tblSales[[#This Row],[Channel Code]],tblChannels[Channel Code],tblChannels[Channel Name],"")</f>
        <v>In-store</v>
      </c>
      <c r="R185" s="1">
        <f>MONTH(tblSales[[#This Row],[Date]])</f>
        <v>1</v>
      </c>
    </row>
    <row r="186" spans="2:18" x14ac:dyDescent="0.35">
      <c r="B186" s="113">
        <v>46035</v>
      </c>
      <c r="C186" s="4" t="s">
        <v>175</v>
      </c>
      <c r="D186" s="4" t="s">
        <v>4634</v>
      </c>
      <c r="E186" s="1" t="str">
        <f>_xlfn.XLOOKUP(tblSales[[#This Row],[Customer ID]],tblCustomers[Customer ID],tblCustomers[Customer Name],"⚠ Unknown")</f>
        <v>PT Delta Inti Selaras</v>
      </c>
      <c r="F186" s="4" t="s">
        <v>9</v>
      </c>
      <c r="G186" s="1" t="str">
        <f>_xlfn.XLOOKUP(tblSales[[#This Row],[Product Code]],tblProducts[Code],tblProducts[Product / Service Name],"⚠ Unknown")</f>
        <v>Casual Shirt</v>
      </c>
      <c r="H186" s="1" t="str">
        <f>_xlfn.XLOOKUP(tblSales[[#This Row],[Product Code]],tblProducts[Code],tblProducts[Category],"")</f>
        <v>Apparel &amp; Footwear</v>
      </c>
      <c r="I186" s="4">
        <v>48</v>
      </c>
      <c r="J186" s="5">
        <f>_xlfn.XLOOKUP(tblSales[[#This Row],[Product Code]],tblProducts[Code],tblProducts[Selling Price (excl. VAT)],0)</f>
        <v>120000</v>
      </c>
      <c r="K186" s="5">
        <f>tblSales[[#This Row],[Qty]]*tblSales[[#This Row],[Unit Price]]</f>
        <v>5760000</v>
      </c>
      <c r="L186" s="5">
        <f>ROUND(tblSales[[#This Row],[DPP (excl. VAT)]]*VATEff,0)</f>
        <v>633600</v>
      </c>
      <c r="M186" s="5">
        <f>tblSales[[#This Row],[DPP (excl. VAT)]]+tblSales[[#This Row],[Output VAT]]</f>
        <v>6393600</v>
      </c>
      <c r="N186" s="5">
        <f>tblSales[[#This Row],[Qty]]*_xlfn.XLOOKUP(tblSales[[#This Row],[Product Code]],tblProducts[Code],tblProducts[Unit Cost],0)</f>
        <v>3456000</v>
      </c>
      <c r="O186" s="4" t="s">
        <v>4867</v>
      </c>
      <c r="P186" s="4" t="s">
        <v>4860</v>
      </c>
      <c r="Q186" s="1" t="str">
        <f>_xlfn.XLOOKUP(tblSales[[#This Row],[Channel Code]],tblChannels[Channel Code],tblChannels[Channel Name],"")</f>
        <v>In-store</v>
      </c>
      <c r="R186" s="1">
        <f>MONTH(tblSales[[#This Row],[Date]])</f>
        <v>1</v>
      </c>
    </row>
    <row r="187" spans="2:18" x14ac:dyDescent="0.35">
      <c r="B187" s="113">
        <v>46035</v>
      </c>
      <c r="C187" s="4" t="s">
        <v>176</v>
      </c>
      <c r="D187" s="4" t="s">
        <v>4568</v>
      </c>
      <c r="E187" s="1" t="str">
        <f>_xlfn.XLOOKUP(tblSales[[#This Row],[Customer ID]],tblCustomers[Customer ID],tblCustomers[Customer Name],"⚠ Unknown")</f>
        <v>Walk-in Customer</v>
      </c>
      <c r="F187" s="4" t="s">
        <v>7</v>
      </c>
      <c r="G187" s="1" t="str">
        <f>_xlfn.XLOOKUP(tblSales[[#This Row],[Product Code]],tblProducts[Code],tblProducts[Product / Service Name],"⚠ Unknown")</f>
        <v>Premium Basic T-shirt</v>
      </c>
      <c r="H187" s="1" t="str">
        <f>_xlfn.XLOOKUP(tblSales[[#This Row],[Product Code]],tblProducts[Code],tblProducts[Category],"")</f>
        <v>Accessories &amp; Basics</v>
      </c>
      <c r="I187" s="4">
        <v>2</v>
      </c>
      <c r="J187" s="5">
        <f>_xlfn.XLOOKUP(tblSales[[#This Row],[Product Code]],tblProducts[Code],tblProducts[Selling Price (excl. VAT)],0)</f>
        <v>65000</v>
      </c>
      <c r="K187" s="5">
        <f>tblSales[[#This Row],[Qty]]*tblSales[[#This Row],[Unit Price]]</f>
        <v>130000</v>
      </c>
      <c r="L187" s="5">
        <f>ROUND(tblSales[[#This Row],[DPP (excl. VAT)]]*VATEff,0)</f>
        <v>14300</v>
      </c>
      <c r="M187" s="5">
        <f>tblSales[[#This Row],[DPP (excl. VAT)]]+tblSales[[#This Row],[Output VAT]]</f>
        <v>144300</v>
      </c>
      <c r="N187" s="5">
        <f>tblSales[[#This Row],[Qty]]*_xlfn.XLOOKUP(tblSales[[#This Row],[Product Code]],tblProducts[Code],tblProducts[Unit Cost],0)</f>
        <v>74000</v>
      </c>
      <c r="O187" s="4" t="s">
        <v>4866</v>
      </c>
      <c r="P187" s="4" t="s">
        <v>4861</v>
      </c>
      <c r="Q187" s="1" t="str">
        <f>_xlfn.XLOOKUP(tblSales[[#This Row],[Channel Code]],tblChannels[Channel Code],tblChannels[Channel Name],"")</f>
        <v>Marketplace</v>
      </c>
      <c r="R187" s="1">
        <f>MONTH(tblSales[[#This Row],[Date]])</f>
        <v>1</v>
      </c>
    </row>
    <row r="188" spans="2:18" x14ac:dyDescent="0.35">
      <c r="B188" s="113">
        <v>46035</v>
      </c>
      <c r="C188" s="4" t="s">
        <v>176</v>
      </c>
      <c r="D188" s="4" t="s">
        <v>4568</v>
      </c>
      <c r="E188" s="1" t="str">
        <f>_xlfn.XLOOKUP(tblSales[[#This Row],[Customer ID]],tblCustomers[Customer ID],tblCustomers[Customer Name],"⚠ Unknown")</f>
        <v>Walk-in Customer</v>
      </c>
      <c r="F188" s="4" t="s">
        <v>8</v>
      </c>
      <c r="G188" s="1" t="str">
        <f>_xlfn.XLOOKUP(tblSales[[#This Row],[Product Code]],tblProducts[Code],tblProducts[Product / Service Name],"⚠ Unknown")</f>
        <v>Casual Shorts</v>
      </c>
      <c r="H188" s="1" t="str">
        <f>_xlfn.XLOOKUP(tblSales[[#This Row],[Product Code]],tblProducts[Code],tblProducts[Category],"")</f>
        <v>Accessories &amp; Basics</v>
      </c>
      <c r="I188" s="4">
        <v>9</v>
      </c>
      <c r="J188" s="5">
        <f>_xlfn.XLOOKUP(tblSales[[#This Row],[Product Code]],tblProducts[Code],tblProducts[Selling Price (excl. VAT)],0)</f>
        <v>85000</v>
      </c>
      <c r="K188" s="5">
        <f>tblSales[[#This Row],[Qty]]*tblSales[[#This Row],[Unit Price]]</f>
        <v>765000</v>
      </c>
      <c r="L188" s="5">
        <f>ROUND(tblSales[[#This Row],[DPP (excl. VAT)]]*VATEff,0)</f>
        <v>84150</v>
      </c>
      <c r="M188" s="5">
        <f>tblSales[[#This Row],[DPP (excl. VAT)]]+tblSales[[#This Row],[Output VAT]]</f>
        <v>849150</v>
      </c>
      <c r="N188" s="5">
        <f>tblSales[[#This Row],[Qty]]*_xlfn.XLOOKUP(tblSales[[#This Row],[Product Code]],tblProducts[Code],tblProducts[Unit Cost],0)</f>
        <v>450000</v>
      </c>
      <c r="O188" s="4" t="s">
        <v>4866</v>
      </c>
      <c r="P188" s="4" t="s">
        <v>4861</v>
      </c>
      <c r="Q188" s="1" t="str">
        <f>_xlfn.XLOOKUP(tblSales[[#This Row],[Channel Code]],tblChannels[Channel Code],tblChannels[Channel Name],"")</f>
        <v>Marketplace</v>
      </c>
      <c r="R188" s="1">
        <f>MONTH(tblSales[[#This Row],[Date]])</f>
        <v>1</v>
      </c>
    </row>
    <row r="189" spans="2:18" x14ac:dyDescent="0.35">
      <c r="B189" s="113">
        <v>46035</v>
      </c>
      <c r="C189" s="4" t="s">
        <v>177</v>
      </c>
      <c r="D189" s="4" t="s">
        <v>4568</v>
      </c>
      <c r="E189" s="1" t="str">
        <f>_xlfn.XLOOKUP(tblSales[[#This Row],[Customer ID]],tblCustomers[Customer ID],tblCustomers[Customer Name],"⚠ Unknown")</f>
        <v>Walk-in Customer</v>
      </c>
      <c r="F189" s="4" t="s">
        <v>12</v>
      </c>
      <c r="G189" s="1" t="str">
        <f>_xlfn.XLOOKUP(tblSales[[#This Row],[Product Code]],tblProducts[Code],tblProducts[Product / Service Name],"⚠ Unknown")</f>
        <v>Bomber Jacket</v>
      </c>
      <c r="H189" s="1" t="str">
        <f>_xlfn.XLOOKUP(tblSales[[#This Row],[Product Code]],tblProducts[Code],tblProducts[Category],"")</f>
        <v>Apparel &amp; Footwear</v>
      </c>
      <c r="I189" s="4">
        <v>2</v>
      </c>
      <c r="J189" s="5">
        <f>_xlfn.XLOOKUP(tblSales[[#This Row],[Product Code]],tblProducts[Code],tblProducts[Selling Price (excl. VAT)],0)</f>
        <v>350000</v>
      </c>
      <c r="K189" s="5">
        <f>tblSales[[#This Row],[Qty]]*tblSales[[#This Row],[Unit Price]]</f>
        <v>700000</v>
      </c>
      <c r="L189" s="5">
        <f>ROUND(tblSales[[#This Row],[DPP (excl. VAT)]]*VATEff,0)</f>
        <v>77000</v>
      </c>
      <c r="M189" s="5">
        <f>tblSales[[#This Row],[DPP (excl. VAT)]]+tblSales[[#This Row],[Output VAT]]</f>
        <v>777000</v>
      </c>
      <c r="N189" s="5">
        <f>tblSales[[#This Row],[Qty]]*_xlfn.XLOOKUP(tblSales[[#This Row],[Product Code]],tblProducts[Code],tblProducts[Unit Cost],0)</f>
        <v>420000</v>
      </c>
      <c r="O189" s="4" t="s">
        <v>4865</v>
      </c>
      <c r="P189" s="4" t="s">
        <v>4860</v>
      </c>
      <c r="Q189" s="1" t="str">
        <f>_xlfn.XLOOKUP(tblSales[[#This Row],[Channel Code]],tblChannels[Channel Code],tblChannels[Channel Name],"")</f>
        <v>In-store</v>
      </c>
      <c r="R189" s="1">
        <f>MONTH(tblSales[[#This Row],[Date]])</f>
        <v>1</v>
      </c>
    </row>
    <row r="190" spans="2:18" x14ac:dyDescent="0.35">
      <c r="B190" s="113">
        <v>46035</v>
      </c>
      <c r="C190" s="4" t="s">
        <v>177</v>
      </c>
      <c r="D190" s="4" t="s">
        <v>4568</v>
      </c>
      <c r="E190" s="1" t="str">
        <f>_xlfn.XLOOKUP(tblSales[[#This Row],[Customer ID]],tblCustomers[Customer ID],tblCustomers[Customer Name],"⚠ Unknown")</f>
        <v>Walk-in Customer</v>
      </c>
      <c r="F190" s="4" t="s">
        <v>14</v>
      </c>
      <c r="G190" s="1" t="str">
        <f>_xlfn.XLOOKUP(tblSales[[#This Row],[Product Code]],tblProducts[Code],tblProducts[Product / Service Name],"⚠ Unknown")</f>
        <v>Smartwatch</v>
      </c>
      <c r="H190" s="1" t="str">
        <f>_xlfn.XLOOKUP(tblSales[[#This Row],[Product Code]],tblProducts[Code],tblProducts[Category],"")</f>
        <v>Bags &amp; Gadgets</v>
      </c>
      <c r="I190" s="4">
        <v>1</v>
      </c>
      <c r="J190" s="5">
        <f>_xlfn.XLOOKUP(tblSales[[#This Row],[Product Code]],tblProducts[Code],tblProducts[Selling Price (excl. VAT)],0)</f>
        <v>850000</v>
      </c>
      <c r="K190" s="5">
        <f>tblSales[[#This Row],[Qty]]*tblSales[[#This Row],[Unit Price]]</f>
        <v>850000</v>
      </c>
      <c r="L190" s="5">
        <f>ROUND(tblSales[[#This Row],[DPP (excl. VAT)]]*VATEff,0)</f>
        <v>93500</v>
      </c>
      <c r="M190" s="5">
        <f>tblSales[[#This Row],[DPP (excl. VAT)]]+tblSales[[#This Row],[Output VAT]]</f>
        <v>943500</v>
      </c>
      <c r="N190" s="5">
        <f>tblSales[[#This Row],[Qty]]*_xlfn.XLOOKUP(tblSales[[#This Row],[Product Code]],tblProducts[Code],tblProducts[Unit Cost],0)</f>
        <v>560000</v>
      </c>
      <c r="O190" s="4" t="s">
        <v>4865</v>
      </c>
      <c r="P190" s="4" t="s">
        <v>4860</v>
      </c>
      <c r="Q190" s="1" t="str">
        <f>_xlfn.XLOOKUP(tblSales[[#This Row],[Channel Code]],tblChannels[Channel Code],tblChannels[Channel Name],"")</f>
        <v>In-store</v>
      </c>
      <c r="R190" s="1">
        <f>MONTH(tblSales[[#This Row],[Date]])</f>
        <v>1</v>
      </c>
    </row>
    <row r="191" spans="2:18" x14ac:dyDescent="0.35">
      <c r="B191" s="113">
        <v>46035</v>
      </c>
      <c r="C191" s="4" t="s">
        <v>178</v>
      </c>
      <c r="D191" s="4" t="s">
        <v>4568</v>
      </c>
      <c r="E191" s="1" t="str">
        <f>_xlfn.XLOOKUP(tblSales[[#This Row],[Customer ID]],tblCustomers[Customer ID],tblCustomers[Customer Name],"⚠ Unknown")</f>
        <v>Walk-in Customer</v>
      </c>
      <c r="F191" s="4" t="s">
        <v>9</v>
      </c>
      <c r="G191" s="1" t="str">
        <f>_xlfn.XLOOKUP(tblSales[[#This Row],[Product Code]],tblProducts[Code],tblProducts[Product / Service Name],"⚠ Unknown")</f>
        <v>Casual Shirt</v>
      </c>
      <c r="H191" s="1" t="str">
        <f>_xlfn.XLOOKUP(tblSales[[#This Row],[Product Code]],tblProducts[Code],tblProducts[Category],"")</f>
        <v>Apparel &amp; Footwear</v>
      </c>
      <c r="I191" s="4">
        <v>2</v>
      </c>
      <c r="J191" s="5">
        <f>_xlfn.XLOOKUP(tblSales[[#This Row],[Product Code]],tblProducts[Code],tblProducts[Selling Price (excl. VAT)],0)</f>
        <v>120000</v>
      </c>
      <c r="K191" s="5">
        <f>tblSales[[#This Row],[Qty]]*tblSales[[#This Row],[Unit Price]]</f>
        <v>240000</v>
      </c>
      <c r="L191" s="5">
        <f>ROUND(tblSales[[#This Row],[DPP (excl. VAT)]]*VATEff,0)</f>
        <v>26400</v>
      </c>
      <c r="M191" s="5">
        <f>tblSales[[#This Row],[DPP (excl. VAT)]]+tblSales[[#This Row],[Output VAT]]</f>
        <v>266400</v>
      </c>
      <c r="N191" s="5">
        <f>tblSales[[#This Row],[Qty]]*_xlfn.XLOOKUP(tblSales[[#This Row],[Product Code]],tblProducts[Code],tblProducts[Unit Cost],0)</f>
        <v>144000</v>
      </c>
      <c r="O191" s="4" t="s">
        <v>4866</v>
      </c>
      <c r="P191" s="4" t="s">
        <v>4861</v>
      </c>
      <c r="Q191" s="1" t="str">
        <f>_xlfn.XLOOKUP(tblSales[[#This Row],[Channel Code]],tblChannels[Channel Code],tblChannels[Channel Name],"")</f>
        <v>Marketplace</v>
      </c>
      <c r="R191" s="1">
        <f>MONTH(tblSales[[#This Row],[Date]])</f>
        <v>1</v>
      </c>
    </row>
    <row r="192" spans="2:18" x14ac:dyDescent="0.35">
      <c r="B192" s="113">
        <v>46035</v>
      </c>
      <c r="C192" s="4" t="s">
        <v>179</v>
      </c>
      <c r="D192" s="4" t="s">
        <v>4568</v>
      </c>
      <c r="E192" s="1" t="str">
        <f>_xlfn.XLOOKUP(tblSales[[#This Row],[Customer ID]],tblCustomers[Customer ID],tblCustomers[Customer Name],"⚠ Unknown")</f>
        <v>Walk-in Customer</v>
      </c>
      <c r="F192" s="4" t="s">
        <v>10</v>
      </c>
      <c r="G192" s="1" t="str">
        <f>_xlfn.XLOOKUP(tblSales[[#This Row],[Product Code]],tblProducts[Code],tblProducts[Product / Service Name],"⚠ Unknown")</f>
        <v>Chino Pants</v>
      </c>
      <c r="H192" s="1" t="str">
        <f>_xlfn.XLOOKUP(tblSales[[#This Row],[Product Code]],tblProducts[Code],tblProducts[Category],"")</f>
        <v>Apparel &amp; Footwear</v>
      </c>
      <c r="I192" s="4">
        <v>12</v>
      </c>
      <c r="J192" s="5">
        <f>_xlfn.XLOOKUP(tblSales[[#This Row],[Product Code]],tblProducts[Code],tblProducts[Selling Price (excl. VAT)],0)</f>
        <v>150000</v>
      </c>
      <c r="K192" s="5">
        <f>tblSales[[#This Row],[Qty]]*tblSales[[#This Row],[Unit Price]]</f>
        <v>1800000</v>
      </c>
      <c r="L192" s="5">
        <f>ROUND(tblSales[[#This Row],[DPP (excl. VAT)]]*VATEff,0)</f>
        <v>198000</v>
      </c>
      <c r="M192" s="5">
        <f>tblSales[[#This Row],[DPP (excl. VAT)]]+tblSales[[#This Row],[Output VAT]]</f>
        <v>1998000</v>
      </c>
      <c r="N192" s="5">
        <f>tblSales[[#This Row],[Qty]]*_xlfn.XLOOKUP(tblSales[[#This Row],[Product Code]],tblProducts[Code],tblProducts[Unit Cost],0)</f>
        <v>1056000</v>
      </c>
      <c r="O192" s="4" t="s">
        <v>4865</v>
      </c>
      <c r="P192" s="4" t="s">
        <v>4860</v>
      </c>
      <c r="Q192" s="1" t="str">
        <f>_xlfn.XLOOKUP(tblSales[[#This Row],[Channel Code]],tblChannels[Channel Code],tblChannels[Channel Name],"")</f>
        <v>In-store</v>
      </c>
      <c r="R192" s="1">
        <f>MONTH(tblSales[[#This Row],[Date]])</f>
        <v>1</v>
      </c>
    </row>
    <row r="193" spans="2:18" x14ac:dyDescent="0.35">
      <c r="B193" s="113">
        <v>46036</v>
      </c>
      <c r="C193" s="4" t="s">
        <v>180</v>
      </c>
      <c r="D193" s="4" t="s">
        <v>4568</v>
      </c>
      <c r="E193" s="1" t="str">
        <f>_xlfn.XLOOKUP(tblSales[[#This Row],[Customer ID]],tblCustomers[Customer ID],tblCustomers[Customer Name],"⚠ Unknown")</f>
        <v>Walk-in Customer</v>
      </c>
      <c r="F193" s="4" t="s">
        <v>13</v>
      </c>
      <c r="G193" s="1" t="str">
        <f>_xlfn.XLOOKUP(tblSales[[#This Row],[Product Code]],tblProducts[Code],tblProducts[Product / Service Name],"⚠ Unknown")</f>
        <v>Backpack</v>
      </c>
      <c r="H193" s="1" t="str">
        <f>_xlfn.XLOOKUP(tblSales[[#This Row],[Product Code]],tblProducts[Code],tblProducts[Category],"")</f>
        <v>Bags &amp; Gadgets</v>
      </c>
      <c r="I193" s="4">
        <v>3</v>
      </c>
      <c r="J193" s="5">
        <f>_xlfn.XLOOKUP(tblSales[[#This Row],[Product Code]],tblProducts[Code],tblProducts[Selling Price (excl. VAT)],0)</f>
        <v>500000</v>
      </c>
      <c r="K193" s="5">
        <f>tblSales[[#This Row],[Qty]]*tblSales[[#This Row],[Unit Price]]</f>
        <v>1500000</v>
      </c>
      <c r="L193" s="5">
        <f>ROUND(tblSales[[#This Row],[DPP (excl. VAT)]]*VATEff,0)</f>
        <v>165000</v>
      </c>
      <c r="M193" s="5">
        <f>tblSales[[#This Row],[DPP (excl. VAT)]]+tblSales[[#This Row],[Output VAT]]</f>
        <v>1665000</v>
      </c>
      <c r="N193" s="5">
        <f>tblSales[[#This Row],[Qty]]*_xlfn.XLOOKUP(tblSales[[#This Row],[Product Code]],tblProducts[Code],tblProducts[Unit Cost],0)</f>
        <v>870000</v>
      </c>
      <c r="O193" s="4" t="s">
        <v>4865</v>
      </c>
      <c r="P193" s="4" t="s">
        <v>4860</v>
      </c>
      <c r="Q193" s="1" t="str">
        <f>_xlfn.XLOOKUP(tblSales[[#This Row],[Channel Code]],tblChannels[Channel Code],tblChannels[Channel Name],"")</f>
        <v>In-store</v>
      </c>
      <c r="R193" s="1">
        <f>MONTH(tblSales[[#This Row],[Date]])</f>
        <v>1</v>
      </c>
    </row>
    <row r="194" spans="2:18" x14ac:dyDescent="0.35">
      <c r="B194" s="113">
        <v>46036</v>
      </c>
      <c r="C194" s="4" t="s">
        <v>181</v>
      </c>
      <c r="D194" s="4" t="s">
        <v>4568</v>
      </c>
      <c r="E194" s="1" t="str">
        <f>_xlfn.XLOOKUP(tblSales[[#This Row],[Customer ID]],tblCustomers[Customer ID],tblCustomers[Customer Name],"⚠ Unknown")</f>
        <v>Walk-in Customer</v>
      </c>
      <c r="F194" s="4" t="s">
        <v>6</v>
      </c>
      <c r="G194" s="1" t="str">
        <f>_xlfn.XLOOKUP(tblSales[[#This Row],[Product Code]],tblProducts[Code],tblProducts[Product / Service Name],"⚠ Unknown")</f>
        <v>Socks &amp; Accessories</v>
      </c>
      <c r="H194" s="1" t="str">
        <f>_xlfn.XLOOKUP(tblSales[[#This Row],[Product Code]],tblProducts[Code],tblProducts[Category],"")</f>
        <v>Accessories &amp; Basics</v>
      </c>
      <c r="I194" s="4">
        <v>3</v>
      </c>
      <c r="J194" s="5">
        <f>_xlfn.XLOOKUP(tblSales[[#This Row],[Product Code]],tblProducts[Code],tblProducts[Selling Price (excl. VAT)],0)</f>
        <v>45000</v>
      </c>
      <c r="K194" s="5">
        <f>tblSales[[#This Row],[Qty]]*tblSales[[#This Row],[Unit Price]]</f>
        <v>135000</v>
      </c>
      <c r="L194" s="5">
        <f>ROUND(tblSales[[#This Row],[DPP (excl. VAT)]]*VATEff,0)</f>
        <v>14850</v>
      </c>
      <c r="M194" s="5">
        <f>tblSales[[#This Row],[DPP (excl. VAT)]]+tblSales[[#This Row],[Output VAT]]</f>
        <v>149850</v>
      </c>
      <c r="N194" s="5">
        <f>tblSales[[#This Row],[Qty]]*_xlfn.XLOOKUP(tblSales[[#This Row],[Product Code]],tblProducts[Code],tblProducts[Unit Cost],0)</f>
        <v>72000</v>
      </c>
      <c r="O194" s="4" t="s">
        <v>4866</v>
      </c>
      <c r="P194" s="4" t="s">
        <v>4861</v>
      </c>
      <c r="Q194" s="1" t="str">
        <f>_xlfn.XLOOKUP(tblSales[[#This Row],[Channel Code]],tblChannels[Channel Code],tblChannels[Channel Name],"")</f>
        <v>Marketplace</v>
      </c>
      <c r="R194" s="1">
        <f>MONTH(tblSales[[#This Row],[Date]])</f>
        <v>1</v>
      </c>
    </row>
    <row r="195" spans="2:18" x14ac:dyDescent="0.35">
      <c r="B195" s="113">
        <v>46036</v>
      </c>
      <c r="C195" s="4" t="s">
        <v>182</v>
      </c>
      <c r="D195" s="4" t="s">
        <v>4613</v>
      </c>
      <c r="E195" s="1" t="str">
        <f>_xlfn.XLOOKUP(tblSales[[#This Row],[Customer ID]],tblCustomers[Customer ID],tblCustomers[Customer Name],"⚠ Unknown")</f>
        <v>PT Mega Prima Distribusi</v>
      </c>
      <c r="F195" s="4" t="s">
        <v>6</v>
      </c>
      <c r="G195" s="1" t="str">
        <f>_xlfn.XLOOKUP(tblSales[[#This Row],[Product Code]],tblProducts[Code],tblProducts[Product / Service Name],"⚠ Unknown")</f>
        <v>Socks &amp; Accessories</v>
      </c>
      <c r="H195" s="1" t="str">
        <f>_xlfn.XLOOKUP(tblSales[[#This Row],[Product Code]],tblProducts[Code],tblProducts[Category],"")</f>
        <v>Accessories &amp; Basics</v>
      </c>
      <c r="I195" s="4">
        <v>8</v>
      </c>
      <c r="J195" s="5">
        <f>_xlfn.XLOOKUP(tblSales[[#This Row],[Product Code]],tblProducts[Code],tblProducts[Selling Price (excl. VAT)],0)</f>
        <v>45000</v>
      </c>
      <c r="K195" s="5">
        <f>tblSales[[#This Row],[Qty]]*tblSales[[#This Row],[Unit Price]]</f>
        <v>360000</v>
      </c>
      <c r="L195" s="5">
        <f>ROUND(tblSales[[#This Row],[DPP (excl. VAT)]]*VATEff,0)</f>
        <v>39600</v>
      </c>
      <c r="M195" s="5">
        <f>tblSales[[#This Row],[DPP (excl. VAT)]]+tblSales[[#This Row],[Output VAT]]</f>
        <v>399600</v>
      </c>
      <c r="N195" s="5">
        <f>tblSales[[#This Row],[Qty]]*_xlfn.XLOOKUP(tblSales[[#This Row],[Product Code]],tblProducts[Code],tblProducts[Unit Cost],0)</f>
        <v>192000</v>
      </c>
      <c r="O195" s="4" t="s">
        <v>4867</v>
      </c>
      <c r="P195" s="4" t="s">
        <v>4862</v>
      </c>
      <c r="Q195" s="1" t="str">
        <f>_xlfn.XLOOKUP(tblSales[[#This Row],[Channel Code]],tblChannels[Channel Code],tblChannels[Channel Name],"")</f>
        <v>Website &amp; Social Media</v>
      </c>
      <c r="R195" s="1">
        <f>MONTH(tblSales[[#This Row],[Date]])</f>
        <v>1</v>
      </c>
    </row>
    <row r="196" spans="2:18" x14ac:dyDescent="0.35">
      <c r="B196" s="113">
        <v>46036</v>
      </c>
      <c r="C196" s="4" t="s">
        <v>183</v>
      </c>
      <c r="D196" s="4" t="s">
        <v>4568</v>
      </c>
      <c r="E196" s="1" t="str">
        <f>_xlfn.XLOOKUP(tblSales[[#This Row],[Customer ID]],tblCustomers[Customer ID],tblCustomers[Customer Name],"⚠ Unknown")</f>
        <v>Walk-in Customer</v>
      </c>
      <c r="F196" s="4" t="s">
        <v>11</v>
      </c>
      <c r="G196" s="1" t="str">
        <f>_xlfn.XLOOKUP(tblSales[[#This Row],[Product Code]],tblProducts[Code],tblProducts[Product / Service Name],"⚠ Unknown")</f>
        <v>Sneakers</v>
      </c>
      <c r="H196" s="1" t="str">
        <f>_xlfn.XLOOKUP(tblSales[[#This Row],[Product Code]],tblProducts[Code],tblProducts[Category],"")</f>
        <v>Apparel &amp; Footwear</v>
      </c>
      <c r="I196" s="4">
        <v>4</v>
      </c>
      <c r="J196" s="5">
        <f>_xlfn.XLOOKUP(tblSales[[#This Row],[Product Code]],tblProducts[Code],tblProducts[Selling Price (excl. VAT)],0)</f>
        <v>250000</v>
      </c>
      <c r="K196" s="5">
        <f>tblSales[[#This Row],[Qty]]*tblSales[[#This Row],[Unit Price]]</f>
        <v>1000000</v>
      </c>
      <c r="L196" s="5">
        <f>ROUND(tblSales[[#This Row],[DPP (excl. VAT)]]*VATEff,0)</f>
        <v>110000</v>
      </c>
      <c r="M196" s="5">
        <f>tblSales[[#This Row],[DPP (excl. VAT)]]+tblSales[[#This Row],[Output VAT]]</f>
        <v>1110000</v>
      </c>
      <c r="N196" s="5">
        <f>tblSales[[#This Row],[Qty]]*_xlfn.XLOOKUP(tblSales[[#This Row],[Product Code]],tblProducts[Code],tblProducts[Unit Cost],0)</f>
        <v>620000</v>
      </c>
      <c r="O196" s="4" t="s">
        <v>4865</v>
      </c>
      <c r="P196" s="4" t="s">
        <v>4860</v>
      </c>
      <c r="Q196" s="1" t="str">
        <f>_xlfn.XLOOKUP(tblSales[[#This Row],[Channel Code]],tblChannels[Channel Code],tblChannels[Channel Name],"")</f>
        <v>In-store</v>
      </c>
      <c r="R196" s="1">
        <f>MONTH(tblSales[[#This Row],[Date]])</f>
        <v>1</v>
      </c>
    </row>
    <row r="197" spans="2:18" x14ac:dyDescent="0.35">
      <c r="B197" s="113">
        <v>46036</v>
      </c>
      <c r="C197" s="4" t="s">
        <v>184</v>
      </c>
      <c r="D197" s="4" t="s">
        <v>4568</v>
      </c>
      <c r="E197" s="1" t="str">
        <f>_xlfn.XLOOKUP(tblSales[[#This Row],[Customer ID]],tblCustomers[Customer ID],tblCustomers[Customer Name],"⚠ Unknown")</f>
        <v>Walk-in Customer</v>
      </c>
      <c r="F197" s="4" t="s">
        <v>10</v>
      </c>
      <c r="G197" s="1" t="str">
        <f>_xlfn.XLOOKUP(tblSales[[#This Row],[Product Code]],tblProducts[Code],tblProducts[Product / Service Name],"⚠ Unknown")</f>
        <v>Chino Pants</v>
      </c>
      <c r="H197" s="1" t="str">
        <f>_xlfn.XLOOKUP(tblSales[[#This Row],[Product Code]],tblProducts[Code],tblProducts[Category],"")</f>
        <v>Apparel &amp; Footwear</v>
      </c>
      <c r="I197" s="4">
        <v>5</v>
      </c>
      <c r="J197" s="5">
        <f>_xlfn.XLOOKUP(tblSales[[#This Row],[Product Code]],tblProducts[Code],tblProducts[Selling Price (excl. VAT)],0)</f>
        <v>150000</v>
      </c>
      <c r="K197" s="5">
        <f>tblSales[[#This Row],[Qty]]*tblSales[[#This Row],[Unit Price]]</f>
        <v>750000</v>
      </c>
      <c r="L197" s="5">
        <f>ROUND(tblSales[[#This Row],[DPP (excl. VAT)]]*VATEff,0)</f>
        <v>82500</v>
      </c>
      <c r="M197" s="5">
        <f>tblSales[[#This Row],[DPP (excl. VAT)]]+tblSales[[#This Row],[Output VAT]]</f>
        <v>832500</v>
      </c>
      <c r="N197" s="5">
        <f>tblSales[[#This Row],[Qty]]*_xlfn.XLOOKUP(tblSales[[#This Row],[Product Code]],tblProducts[Code],tblProducts[Unit Cost],0)</f>
        <v>440000</v>
      </c>
      <c r="O197" s="4" t="s">
        <v>4866</v>
      </c>
      <c r="P197" s="4" t="s">
        <v>4861</v>
      </c>
      <c r="Q197" s="1" t="str">
        <f>_xlfn.XLOOKUP(tblSales[[#This Row],[Channel Code]],tblChannels[Channel Code],tblChannels[Channel Name],"")</f>
        <v>Marketplace</v>
      </c>
      <c r="R197" s="1">
        <f>MONTH(tblSales[[#This Row],[Date]])</f>
        <v>1</v>
      </c>
    </row>
    <row r="198" spans="2:18" x14ac:dyDescent="0.35">
      <c r="B198" s="113">
        <v>46036</v>
      </c>
      <c r="C198" s="4" t="s">
        <v>185</v>
      </c>
      <c r="D198" s="4" t="s">
        <v>4568</v>
      </c>
      <c r="E198" s="1" t="str">
        <f>_xlfn.XLOOKUP(tblSales[[#This Row],[Customer ID]],tblCustomers[Customer ID],tblCustomers[Customer Name],"⚠ Unknown")</f>
        <v>Walk-in Customer</v>
      </c>
      <c r="F198" s="4" t="s">
        <v>8</v>
      </c>
      <c r="G198" s="1" t="str">
        <f>_xlfn.XLOOKUP(tblSales[[#This Row],[Product Code]],tblProducts[Code],tblProducts[Product / Service Name],"⚠ Unknown")</f>
        <v>Casual Shorts</v>
      </c>
      <c r="H198" s="1" t="str">
        <f>_xlfn.XLOOKUP(tblSales[[#This Row],[Product Code]],tblProducts[Code],tblProducts[Category],"")</f>
        <v>Accessories &amp; Basics</v>
      </c>
      <c r="I198" s="4">
        <v>5</v>
      </c>
      <c r="J198" s="5">
        <f>_xlfn.XLOOKUP(tblSales[[#This Row],[Product Code]],tblProducts[Code],tblProducts[Selling Price (excl. VAT)],0)</f>
        <v>85000</v>
      </c>
      <c r="K198" s="5">
        <f>tblSales[[#This Row],[Qty]]*tblSales[[#This Row],[Unit Price]]</f>
        <v>425000</v>
      </c>
      <c r="L198" s="5">
        <f>ROUND(tblSales[[#This Row],[DPP (excl. VAT)]]*VATEff,0)</f>
        <v>46750</v>
      </c>
      <c r="M198" s="5">
        <f>tblSales[[#This Row],[DPP (excl. VAT)]]+tblSales[[#This Row],[Output VAT]]</f>
        <v>471750</v>
      </c>
      <c r="N198" s="5">
        <f>tblSales[[#This Row],[Qty]]*_xlfn.XLOOKUP(tblSales[[#This Row],[Product Code]],tblProducts[Code],tblProducts[Unit Cost],0)</f>
        <v>250000</v>
      </c>
      <c r="O198" s="4" t="s">
        <v>4865</v>
      </c>
      <c r="P198" s="4" t="s">
        <v>4860</v>
      </c>
      <c r="Q198" s="1" t="str">
        <f>_xlfn.XLOOKUP(tblSales[[#This Row],[Channel Code]],tblChannels[Channel Code],tblChannels[Channel Name],"")</f>
        <v>In-store</v>
      </c>
      <c r="R198" s="1">
        <f>MONTH(tblSales[[#This Row],[Date]])</f>
        <v>1</v>
      </c>
    </row>
    <row r="199" spans="2:18" x14ac:dyDescent="0.35">
      <c r="B199" s="113">
        <v>46036</v>
      </c>
      <c r="C199" s="4" t="s">
        <v>186</v>
      </c>
      <c r="D199" s="4" t="s">
        <v>4568</v>
      </c>
      <c r="E199" s="1" t="str">
        <f>_xlfn.XLOOKUP(tblSales[[#This Row],[Customer ID]],tblCustomers[Customer ID],tblCustomers[Customer Name],"⚠ Unknown")</f>
        <v>Walk-in Customer</v>
      </c>
      <c r="F199" s="4" t="s">
        <v>9</v>
      </c>
      <c r="G199" s="1" t="str">
        <f>_xlfn.XLOOKUP(tblSales[[#This Row],[Product Code]],tblProducts[Code],tblProducts[Product / Service Name],"⚠ Unknown")</f>
        <v>Casual Shirt</v>
      </c>
      <c r="H199" s="1" t="str">
        <f>_xlfn.XLOOKUP(tblSales[[#This Row],[Product Code]],tblProducts[Code],tblProducts[Category],"")</f>
        <v>Apparel &amp; Footwear</v>
      </c>
      <c r="I199" s="4">
        <v>10</v>
      </c>
      <c r="J199" s="5">
        <f>_xlfn.XLOOKUP(tblSales[[#This Row],[Product Code]],tblProducts[Code],tblProducts[Selling Price (excl. VAT)],0)</f>
        <v>120000</v>
      </c>
      <c r="K199" s="5">
        <f>tblSales[[#This Row],[Qty]]*tblSales[[#This Row],[Unit Price]]</f>
        <v>1200000</v>
      </c>
      <c r="L199" s="5">
        <f>ROUND(tblSales[[#This Row],[DPP (excl. VAT)]]*VATEff,0)</f>
        <v>132000</v>
      </c>
      <c r="M199" s="5">
        <f>tblSales[[#This Row],[DPP (excl. VAT)]]+tblSales[[#This Row],[Output VAT]]</f>
        <v>1332000</v>
      </c>
      <c r="N199" s="5">
        <f>tblSales[[#This Row],[Qty]]*_xlfn.XLOOKUP(tblSales[[#This Row],[Product Code]],tblProducts[Code],tblProducts[Unit Cost],0)</f>
        <v>720000</v>
      </c>
      <c r="O199" s="4" t="s">
        <v>4865</v>
      </c>
      <c r="P199" s="4" t="s">
        <v>4860</v>
      </c>
      <c r="Q199" s="1" t="str">
        <f>_xlfn.XLOOKUP(tblSales[[#This Row],[Channel Code]],tblChannels[Channel Code],tblChannels[Channel Name],"")</f>
        <v>In-store</v>
      </c>
      <c r="R199" s="1">
        <f>MONTH(tblSales[[#This Row],[Date]])</f>
        <v>1</v>
      </c>
    </row>
    <row r="200" spans="2:18" x14ac:dyDescent="0.35">
      <c r="B200" s="113">
        <v>46036</v>
      </c>
      <c r="C200" s="4" t="s">
        <v>186</v>
      </c>
      <c r="D200" s="4" t="s">
        <v>4568</v>
      </c>
      <c r="E200" s="1" t="str">
        <f>_xlfn.XLOOKUP(tblSales[[#This Row],[Customer ID]],tblCustomers[Customer ID],tblCustomers[Customer Name],"⚠ Unknown")</f>
        <v>Walk-in Customer</v>
      </c>
      <c r="F200" s="4" t="s">
        <v>7</v>
      </c>
      <c r="G200" s="1" t="str">
        <f>_xlfn.XLOOKUP(tblSales[[#This Row],[Product Code]],tblProducts[Code],tblProducts[Product / Service Name],"⚠ Unknown")</f>
        <v>Premium Basic T-shirt</v>
      </c>
      <c r="H200" s="1" t="str">
        <f>_xlfn.XLOOKUP(tblSales[[#This Row],[Product Code]],tblProducts[Code],tblProducts[Category],"")</f>
        <v>Accessories &amp; Basics</v>
      </c>
      <c r="I200" s="4">
        <v>12</v>
      </c>
      <c r="J200" s="5">
        <f>_xlfn.XLOOKUP(tblSales[[#This Row],[Product Code]],tblProducts[Code],tblProducts[Selling Price (excl. VAT)],0)</f>
        <v>65000</v>
      </c>
      <c r="K200" s="5">
        <f>tblSales[[#This Row],[Qty]]*tblSales[[#This Row],[Unit Price]]</f>
        <v>780000</v>
      </c>
      <c r="L200" s="5">
        <f>ROUND(tblSales[[#This Row],[DPP (excl. VAT)]]*VATEff,0)</f>
        <v>85800</v>
      </c>
      <c r="M200" s="5">
        <f>tblSales[[#This Row],[DPP (excl. VAT)]]+tblSales[[#This Row],[Output VAT]]</f>
        <v>865800</v>
      </c>
      <c r="N200" s="5">
        <f>tblSales[[#This Row],[Qty]]*_xlfn.XLOOKUP(tblSales[[#This Row],[Product Code]],tblProducts[Code],tblProducts[Unit Cost],0)</f>
        <v>444000</v>
      </c>
      <c r="O200" s="4" t="s">
        <v>4865</v>
      </c>
      <c r="P200" s="4" t="s">
        <v>4860</v>
      </c>
      <c r="Q200" s="1" t="str">
        <f>_xlfn.XLOOKUP(tblSales[[#This Row],[Channel Code]],tblChannels[Channel Code],tblChannels[Channel Name],"")</f>
        <v>In-store</v>
      </c>
      <c r="R200" s="1">
        <f>MONTH(tblSales[[#This Row],[Date]])</f>
        <v>1</v>
      </c>
    </row>
    <row r="201" spans="2:18" x14ac:dyDescent="0.35">
      <c r="B201" s="113">
        <v>46036</v>
      </c>
      <c r="C201" s="4" t="s">
        <v>186</v>
      </c>
      <c r="D201" s="4" t="s">
        <v>4568</v>
      </c>
      <c r="E201" s="1" t="str">
        <f>_xlfn.XLOOKUP(tblSales[[#This Row],[Customer ID]],tblCustomers[Customer ID],tblCustomers[Customer Name],"⚠ Unknown")</f>
        <v>Walk-in Customer</v>
      </c>
      <c r="F201" s="4" t="s">
        <v>8</v>
      </c>
      <c r="G201" s="1" t="str">
        <f>_xlfn.XLOOKUP(tblSales[[#This Row],[Product Code]],tblProducts[Code],tblProducts[Product / Service Name],"⚠ Unknown")</f>
        <v>Casual Shorts</v>
      </c>
      <c r="H201" s="1" t="str">
        <f>_xlfn.XLOOKUP(tblSales[[#This Row],[Product Code]],tblProducts[Code],tblProducts[Category],"")</f>
        <v>Accessories &amp; Basics</v>
      </c>
      <c r="I201" s="4">
        <v>8</v>
      </c>
      <c r="J201" s="5">
        <f>_xlfn.XLOOKUP(tblSales[[#This Row],[Product Code]],tblProducts[Code],tblProducts[Selling Price (excl. VAT)],0)</f>
        <v>85000</v>
      </c>
      <c r="K201" s="5">
        <f>tblSales[[#This Row],[Qty]]*tblSales[[#This Row],[Unit Price]]</f>
        <v>680000</v>
      </c>
      <c r="L201" s="5">
        <f>ROUND(tblSales[[#This Row],[DPP (excl. VAT)]]*VATEff,0)</f>
        <v>74800</v>
      </c>
      <c r="M201" s="5">
        <f>tblSales[[#This Row],[DPP (excl. VAT)]]+tblSales[[#This Row],[Output VAT]]</f>
        <v>754800</v>
      </c>
      <c r="N201" s="5">
        <f>tblSales[[#This Row],[Qty]]*_xlfn.XLOOKUP(tblSales[[#This Row],[Product Code]],tblProducts[Code],tblProducts[Unit Cost],0)</f>
        <v>400000</v>
      </c>
      <c r="O201" s="4" t="s">
        <v>4865</v>
      </c>
      <c r="P201" s="4" t="s">
        <v>4860</v>
      </c>
      <c r="Q201" s="1" t="str">
        <f>_xlfn.XLOOKUP(tblSales[[#This Row],[Channel Code]],tblChannels[Channel Code],tblChannels[Channel Name],"")</f>
        <v>In-store</v>
      </c>
      <c r="R201" s="1">
        <f>MONTH(tblSales[[#This Row],[Date]])</f>
        <v>1</v>
      </c>
    </row>
    <row r="202" spans="2:18" x14ac:dyDescent="0.35">
      <c r="B202" s="113">
        <v>46036</v>
      </c>
      <c r="C202" s="4" t="s">
        <v>187</v>
      </c>
      <c r="D202" s="4" t="s">
        <v>4568</v>
      </c>
      <c r="E202" s="1" t="str">
        <f>_xlfn.XLOOKUP(tblSales[[#This Row],[Customer ID]],tblCustomers[Customer ID],tblCustomers[Customer Name],"⚠ Unknown")</f>
        <v>Walk-in Customer</v>
      </c>
      <c r="F202" s="4" t="s">
        <v>14</v>
      </c>
      <c r="G202" s="1" t="str">
        <f>_xlfn.XLOOKUP(tblSales[[#This Row],[Product Code]],tblProducts[Code],tblProducts[Product / Service Name],"⚠ Unknown")</f>
        <v>Smartwatch</v>
      </c>
      <c r="H202" s="1" t="str">
        <f>_xlfn.XLOOKUP(tblSales[[#This Row],[Product Code]],tblProducts[Code],tblProducts[Category],"")</f>
        <v>Bags &amp; Gadgets</v>
      </c>
      <c r="I202" s="4">
        <v>1</v>
      </c>
      <c r="J202" s="5">
        <f>_xlfn.XLOOKUP(tblSales[[#This Row],[Product Code]],tblProducts[Code],tblProducts[Selling Price (excl. VAT)],0)</f>
        <v>850000</v>
      </c>
      <c r="K202" s="5">
        <f>tblSales[[#This Row],[Qty]]*tblSales[[#This Row],[Unit Price]]</f>
        <v>850000</v>
      </c>
      <c r="L202" s="5">
        <f>ROUND(tblSales[[#This Row],[DPP (excl. VAT)]]*VATEff,0)</f>
        <v>93500</v>
      </c>
      <c r="M202" s="5">
        <f>tblSales[[#This Row],[DPP (excl. VAT)]]+tblSales[[#This Row],[Output VAT]]</f>
        <v>943500</v>
      </c>
      <c r="N202" s="5">
        <f>tblSales[[#This Row],[Qty]]*_xlfn.XLOOKUP(tblSales[[#This Row],[Product Code]],tblProducts[Code],tblProducts[Unit Cost],0)</f>
        <v>560000</v>
      </c>
      <c r="O202" s="4" t="s">
        <v>4865</v>
      </c>
      <c r="P202" s="4" t="s">
        <v>4860</v>
      </c>
      <c r="Q202" s="1" t="str">
        <f>_xlfn.XLOOKUP(tblSales[[#This Row],[Channel Code]],tblChannels[Channel Code],tblChannels[Channel Name],"")</f>
        <v>In-store</v>
      </c>
      <c r="R202" s="1">
        <f>MONTH(tblSales[[#This Row],[Date]])</f>
        <v>1</v>
      </c>
    </row>
    <row r="203" spans="2:18" x14ac:dyDescent="0.35">
      <c r="B203" s="113">
        <v>46036</v>
      </c>
      <c r="C203" s="4" t="s">
        <v>188</v>
      </c>
      <c r="D203" s="4" t="s">
        <v>4568</v>
      </c>
      <c r="E203" s="1" t="str">
        <f>_xlfn.XLOOKUP(tblSales[[#This Row],[Customer ID]],tblCustomers[Customer ID],tblCustomers[Customer Name],"⚠ Unknown")</f>
        <v>Walk-in Customer</v>
      </c>
      <c r="F203" s="4" t="s">
        <v>13</v>
      </c>
      <c r="G203" s="1" t="str">
        <f>_xlfn.XLOOKUP(tblSales[[#This Row],[Product Code]],tblProducts[Code],tblProducts[Product / Service Name],"⚠ Unknown")</f>
        <v>Backpack</v>
      </c>
      <c r="H203" s="1" t="str">
        <f>_xlfn.XLOOKUP(tblSales[[#This Row],[Product Code]],tblProducts[Code],tblProducts[Category],"")</f>
        <v>Bags &amp; Gadgets</v>
      </c>
      <c r="I203" s="4">
        <v>4</v>
      </c>
      <c r="J203" s="5">
        <f>_xlfn.XLOOKUP(tblSales[[#This Row],[Product Code]],tblProducts[Code],tblProducts[Selling Price (excl. VAT)],0)</f>
        <v>500000</v>
      </c>
      <c r="K203" s="5">
        <f>tblSales[[#This Row],[Qty]]*tblSales[[#This Row],[Unit Price]]</f>
        <v>2000000</v>
      </c>
      <c r="L203" s="5">
        <f>ROUND(tblSales[[#This Row],[DPP (excl. VAT)]]*VATEff,0)</f>
        <v>220000</v>
      </c>
      <c r="M203" s="5">
        <f>tblSales[[#This Row],[DPP (excl. VAT)]]+tblSales[[#This Row],[Output VAT]]</f>
        <v>2220000</v>
      </c>
      <c r="N203" s="5">
        <f>tblSales[[#This Row],[Qty]]*_xlfn.XLOOKUP(tblSales[[#This Row],[Product Code]],tblProducts[Code],tblProducts[Unit Cost],0)</f>
        <v>1160000</v>
      </c>
      <c r="O203" s="4" t="s">
        <v>4866</v>
      </c>
      <c r="P203" s="4" t="s">
        <v>4861</v>
      </c>
      <c r="Q203" s="1" t="str">
        <f>_xlfn.XLOOKUP(tblSales[[#This Row],[Channel Code]],tblChannels[Channel Code],tblChannels[Channel Name],"")</f>
        <v>Marketplace</v>
      </c>
      <c r="R203" s="1">
        <f>MONTH(tblSales[[#This Row],[Date]])</f>
        <v>1</v>
      </c>
    </row>
    <row r="204" spans="2:18" x14ac:dyDescent="0.35">
      <c r="B204" s="113">
        <v>46036</v>
      </c>
      <c r="C204" s="4" t="s">
        <v>189</v>
      </c>
      <c r="D204" s="4" t="s">
        <v>4568</v>
      </c>
      <c r="E204" s="1" t="str">
        <f>_xlfn.XLOOKUP(tblSales[[#This Row],[Customer ID]],tblCustomers[Customer ID],tblCustomers[Customer Name],"⚠ Unknown")</f>
        <v>Walk-in Customer</v>
      </c>
      <c r="F204" s="4" t="s">
        <v>6</v>
      </c>
      <c r="G204" s="1" t="str">
        <f>_xlfn.XLOOKUP(tblSales[[#This Row],[Product Code]],tblProducts[Code],tblProducts[Product / Service Name],"⚠ Unknown")</f>
        <v>Socks &amp; Accessories</v>
      </c>
      <c r="H204" s="1" t="str">
        <f>_xlfn.XLOOKUP(tblSales[[#This Row],[Product Code]],tblProducts[Code],tblProducts[Category],"")</f>
        <v>Accessories &amp; Basics</v>
      </c>
      <c r="I204" s="4">
        <v>2</v>
      </c>
      <c r="J204" s="5">
        <f>_xlfn.XLOOKUP(tblSales[[#This Row],[Product Code]],tblProducts[Code],tblProducts[Selling Price (excl. VAT)],0)</f>
        <v>45000</v>
      </c>
      <c r="K204" s="5">
        <f>tblSales[[#This Row],[Qty]]*tblSales[[#This Row],[Unit Price]]</f>
        <v>90000</v>
      </c>
      <c r="L204" s="5">
        <f>ROUND(tblSales[[#This Row],[DPP (excl. VAT)]]*VATEff,0)</f>
        <v>9900</v>
      </c>
      <c r="M204" s="5">
        <f>tblSales[[#This Row],[DPP (excl. VAT)]]+tblSales[[#This Row],[Output VAT]]</f>
        <v>99900</v>
      </c>
      <c r="N204" s="5">
        <f>tblSales[[#This Row],[Qty]]*_xlfn.XLOOKUP(tblSales[[#This Row],[Product Code]],tblProducts[Code],tblProducts[Unit Cost],0)</f>
        <v>48000</v>
      </c>
      <c r="O204" s="4" t="s">
        <v>4865</v>
      </c>
      <c r="P204" s="4" t="s">
        <v>4860</v>
      </c>
      <c r="Q204" s="1" t="str">
        <f>_xlfn.XLOOKUP(tblSales[[#This Row],[Channel Code]],tblChannels[Channel Code],tblChannels[Channel Name],"")</f>
        <v>In-store</v>
      </c>
      <c r="R204" s="1">
        <f>MONTH(tblSales[[#This Row],[Date]])</f>
        <v>1</v>
      </c>
    </row>
    <row r="205" spans="2:18" x14ac:dyDescent="0.35">
      <c r="B205" s="113">
        <v>46037</v>
      </c>
      <c r="C205" s="4" t="s">
        <v>190</v>
      </c>
      <c r="D205" s="4" t="s">
        <v>4568</v>
      </c>
      <c r="E205" s="1" t="str">
        <f>_xlfn.XLOOKUP(tblSales[[#This Row],[Customer ID]],tblCustomers[Customer ID],tblCustomers[Customer Name],"⚠ Unknown")</f>
        <v>Walk-in Customer</v>
      </c>
      <c r="F205" s="4" t="s">
        <v>8</v>
      </c>
      <c r="G205" s="1" t="str">
        <f>_xlfn.XLOOKUP(tblSales[[#This Row],[Product Code]],tblProducts[Code],tblProducts[Product / Service Name],"⚠ Unknown")</f>
        <v>Casual Shorts</v>
      </c>
      <c r="H205" s="1" t="str">
        <f>_xlfn.XLOOKUP(tblSales[[#This Row],[Product Code]],tblProducts[Code],tblProducts[Category],"")</f>
        <v>Accessories &amp; Basics</v>
      </c>
      <c r="I205" s="4">
        <v>8</v>
      </c>
      <c r="J205" s="5">
        <f>_xlfn.XLOOKUP(tblSales[[#This Row],[Product Code]],tblProducts[Code],tblProducts[Selling Price (excl. VAT)],0)</f>
        <v>85000</v>
      </c>
      <c r="K205" s="5">
        <f>tblSales[[#This Row],[Qty]]*tblSales[[#This Row],[Unit Price]]</f>
        <v>680000</v>
      </c>
      <c r="L205" s="5">
        <f>ROUND(tblSales[[#This Row],[DPP (excl. VAT)]]*VATEff,0)</f>
        <v>74800</v>
      </c>
      <c r="M205" s="5">
        <f>tblSales[[#This Row],[DPP (excl. VAT)]]+tblSales[[#This Row],[Output VAT]]</f>
        <v>754800</v>
      </c>
      <c r="N205" s="5">
        <f>tblSales[[#This Row],[Qty]]*_xlfn.XLOOKUP(tblSales[[#This Row],[Product Code]],tblProducts[Code],tblProducts[Unit Cost],0)</f>
        <v>400000</v>
      </c>
      <c r="O205" s="4" t="s">
        <v>4866</v>
      </c>
      <c r="P205" s="4" t="s">
        <v>4862</v>
      </c>
      <c r="Q205" s="1" t="str">
        <f>_xlfn.XLOOKUP(tblSales[[#This Row],[Channel Code]],tblChannels[Channel Code],tblChannels[Channel Name],"")</f>
        <v>Website &amp; Social Media</v>
      </c>
      <c r="R205" s="1">
        <f>MONTH(tblSales[[#This Row],[Date]])</f>
        <v>1</v>
      </c>
    </row>
    <row r="206" spans="2:18" x14ac:dyDescent="0.35">
      <c r="B206" s="113">
        <v>46037</v>
      </c>
      <c r="C206" s="4" t="s">
        <v>190</v>
      </c>
      <c r="D206" s="4" t="s">
        <v>4568</v>
      </c>
      <c r="E206" s="1" t="str">
        <f>_xlfn.XLOOKUP(tblSales[[#This Row],[Customer ID]],tblCustomers[Customer ID],tblCustomers[Customer Name],"⚠ Unknown")</f>
        <v>Walk-in Customer</v>
      </c>
      <c r="F206" s="4" t="s">
        <v>6</v>
      </c>
      <c r="G206" s="1" t="str">
        <f>_xlfn.XLOOKUP(tblSales[[#This Row],[Product Code]],tblProducts[Code],tblProducts[Product / Service Name],"⚠ Unknown")</f>
        <v>Socks &amp; Accessories</v>
      </c>
      <c r="H206" s="1" t="str">
        <f>_xlfn.XLOOKUP(tblSales[[#This Row],[Product Code]],tblProducts[Code],tblProducts[Category],"")</f>
        <v>Accessories &amp; Basics</v>
      </c>
      <c r="I206" s="4">
        <v>2</v>
      </c>
      <c r="J206" s="5">
        <f>_xlfn.XLOOKUP(tblSales[[#This Row],[Product Code]],tblProducts[Code],tblProducts[Selling Price (excl. VAT)],0)</f>
        <v>45000</v>
      </c>
      <c r="K206" s="5">
        <f>tblSales[[#This Row],[Qty]]*tblSales[[#This Row],[Unit Price]]</f>
        <v>90000</v>
      </c>
      <c r="L206" s="5">
        <f>ROUND(tblSales[[#This Row],[DPP (excl. VAT)]]*VATEff,0)</f>
        <v>9900</v>
      </c>
      <c r="M206" s="5">
        <f>tblSales[[#This Row],[DPP (excl. VAT)]]+tblSales[[#This Row],[Output VAT]]</f>
        <v>99900</v>
      </c>
      <c r="N206" s="5">
        <f>tblSales[[#This Row],[Qty]]*_xlfn.XLOOKUP(tblSales[[#This Row],[Product Code]],tblProducts[Code],tblProducts[Unit Cost],0)</f>
        <v>48000</v>
      </c>
      <c r="O206" s="4" t="s">
        <v>4866</v>
      </c>
      <c r="P206" s="4" t="s">
        <v>4862</v>
      </c>
      <c r="Q206" s="1" t="str">
        <f>_xlfn.XLOOKUP(tblSales[[#This Row],[Channel Code]],tblChannels[Channel Code],tblChannels[Channel Name],"")</f>
        <v>Website &amp; Social Media</v>
      </c>
      <c r="R206" s="1">
        <f>MONTH(tblSales[[#This Row],[Date]])</f>
        <v>1</v>
      </c>
    </row>
    <row r="207" spans="2:18" x14ac:dyDescent="0.35">
      <c r="B207" s="113">
        <v>46037</v>
      </c>
      <c r="C207" s="4" t="s">
        <v>191</v>
      </c>
      <c r="D207" s="4" t="s">
        <v>4568</v>
      </c>
      <c r="E207" s="1" t="str">
        <f>_xlfn.XLOOKUP(tblSales[[#This Row],[Customer ID]],tblCustomers[Customer ID],tblCustomers[Customer Name],"⚠ Unknown")</f>
        <v>Walk-in Customer</v>
      </c>
      <c r="F207" s="4" t="s">
        <v>10</v>
      </c>
      <c r="G207" s="1" t="str">
        <f>_xlfn.XLOOKUP(tblSales[[#This Row],[Product Code]],tblProducts[Code],tblProducts[Product / Service Name],"⚠ Unknown")</f>
        <v>Chino Pants</v>
      </c>
      <c r="H207" s="1" t="str">
        <f>_xlfn.XLOOKUP(tblSales[[#This Row],[Product Code]],tblProducts[Code],tblProducts[Category],"")</f>
        <v>Apparel &amp; Footwear</v>
      </c>
      <c r="I207" s="4">
        <v>8</v>
      </c>
      <c r="J207" s="5">
        <f>_xlfn.XLOOKUP(tblSales[[#This Row],[Product Code]],tblProducts[Code],tblProducts[Selling Price (excl. VAT)],0)</f>
        <v>150000</v>
      </c>
      <c r="K207" s="5">
        <f>tblSales[[#This Row],[Qty]]*tblSales[[#This Row],[Unit Price]]</f>
        <v>1200000</v>
      </c>
      <c r="L207" s="5">
        <f>ROUND(tblSales[[#This Row],[DPP (excl. VAT)]]*VATEff,0)</f>
        <v>132000</v>
      </c>
      <c r="M207" s="5">
        <f>tblSales[[#This Row],[DPP (excl. VAT)]]+tblSales[[#This Row],[Output VAT]]</f>
        <v>1332000</v>
      </c>
      <c r="N207" s="5">
        <f>tblSales[[#This Row],[Qty]]*_xlfn.XLOOKUP(tblSales[[#This Row],[Product Code]],tblProducts[Code],tblProducts[Unit Cost],0)</f>
        <v>704000</v>
      </c>
      <c r="O207" s="4" t="s">
        <v>4865</v>
      </c>
      <c r="P207" s="4" t="s">
        <v>4860</v>
      </c>
      <c r="Q207" s="1" t="str">
        <f>_xlfn.XLOOKUP(tblSales[[#This Row],[Channel Code]],tblChannels[Channel Code],tblChannels[Channel Name],"")</f>
        <v>In-store</v>
      </c>
      <c r="R207" s="1">
        <f>MONTH(tblSales[[#This Row],[Date]])</f>
        <v>1</v>
      </c>
    </row>
    <row r="208" spans="2:18" x14ac:dyDescent="0.35">
      <c r="B208" s="113">
        <v>46037</v>
      </c>
      <c r="C208" s="4" t="s">
        <v>191</v>
      </c>
      <c r="D208" s="4" t="s">
        <v>4568</v>
      </c>
      <c r="E208" s="1" t="str">
        <f>_xlfn.XLOOKUP(tblSales[[#This Row],[Customer ID]],tblCustomers[Customer ID],tblCustomers[Customer Name],"⚠ Unknown")</f>
        <v>Walk-in Customer</v>
      </c>
      <c r="F208" s="4" t="s">
        <v>6</v>
      </c>
      <c r="G208" s="1" t="str">
        <f>_xlfn.XLOOKUP(tblSales[[#This Row],[Product Code]],tblProducts[Code],tblProducts[Product / Service Name],"⚠ Unknown")</f>
        <v>Socks &amp; Accessories</v>
      </c>
      <c r="H208" s="1" t="str">
        <f>_xlfn.XLOOKUP(tblSales[[#This Row],[Product Code]],tblProducts[Code],tblProducts[Category],"")</f>
        <v>Accessories &amp; Basics</v>
      </c>
      <c r="I208" s="4">
        <v>9</v>
      </c>
      <c r="J208" s="5">
        <f>_xlfn.XLOOKUP(tblSales[[#This Row],[Product Code]],tblProducts[Code],tblProducts[Selling Price (excl. VAT)],0)</f>
        <v>45000</v>
      </c>
      <c r="K208" s="5">
        <f>tblSales[[#This Row],[Qty]]*tblSales[[#This Row],[Unit Price]]</f>
        <v>405000</v>
      </c>
      <c r="L208" s="5">
        <f>ROUND(tblSales[[#This Row],[DPP (excl. VAT)]]*VATEff,0)</f>
        <v>44550</v>
      </c>
      <c r="M208" s="5">
        <f>tblSales[[#This Row],[DPP (excl. VAT)]]+tblSales[[#This Row],[Output VAT]]</f>
        <v>449550</v>
      </c>
      <c r="N208" s="5">
        <f>tblSales[[#This Row],[Qty]]*_xlfn.XLOOKUP(tblSales[[#This Row],[Product Code]],tblProducts[Code],tblProducts[Unit Cost],0)</f>
        <v>216000</v>
      </c>
      <c r="O208" s="4" t="s">
        <v>4865</v>
      </c>
      <c r="P208" s="4" t="s">
        <v>4860</v>
      </c>
      <c r="Q208" s="1" t="str">
        <f>_xlfn.XLOOKUP(tblSales[[#This Row],[Channel Code]],tblChannels[Channel Code],tblChannels[Channel Name],"")</f>
        <v>In-store</v>
      </c>
      <c r="R208" s="1">
        <f>MONTH(tblSales[[#This Row],[Date]])</f>
        <v>1</v>
      </c>
    </row>
    <row r="209" spans="2:18" x14ac:dyDescent="0.35">
      <c r="B209" s="113">
        <v>46037</v>
      </c>
      <c r="C209" s="4" t="s">
        <v>191</v>
      </c>
      <c r="D209" s="4" t="s">
        <v>4568</v>
      </c>
      <c r="E209" s="1" t="str">
        <f>_xlfn.XLOOKUP(tblSales[[#This Row],[Customer ID]],tblCustomers[Customer ID],tblCustomers[Customer Name],"⚠ Unknown")</f>
        <v>Walk-in Customer</v>
      </c>
      <c r="F209" s="4" t="s">
        <v>8</v>
      </c>
      <c r="G209" s="1" t="str">
        <f>_xlfn.XLOOKUP(tblSales[[#This Row],[Product Code]],tblProducts[Code],tblProducts[Product / Service Name],"⚠ Unknown")</f>
        <v>Casual Shorts</v>
      </c>
      <c r="H209" s="1" t="str">
        <f>_xlfn.XLOOKUP(tblSales[[#This Row],[Product Code]],tblProducts[Code],tblProducts[Category],"")</f>
        <v>Accessories &amp; Basics</v>
      </c>
      <c r="I209" s="4">
        <v>11</v>
      </c>
      <c r="J209" s="5">
        <f>_xlfn.XLOOKUP(tblSales[[#This Row],[Product Code]],tblProducts[Code],tblProducts[Selling Price (excl. VAT)],0)</f>
        <v>85000</v>
      </c>
      <c r="K209" s="5">
        <f>tblSales[[#This Row],[Qty]]*tblSales[[#This Row],[Unit Price]]</f>
        <v>935000</v>
      </c>
      <c r="L209" s="5">
        <f>ROUND(tblSales[[#This Row],[DPP (excl. VAT)]]*VATEff,0)</f>
        <v>102850</v>
      </c>
      <c r="M209" s="5">
        <f>tblSales[[#This Row],[DPP (excl. VAT)]]+tblSales[[#This Row],[Output VAT]]</f>
        <v>1037850</v>
      </c>
      <c r="N209" s="5">
        <f>tblSales[[#This Row],[Qty]]*_xlfn.XLOOKUP(tblSales[[#This Row],[Product Code]],tblProducts[Code],tblProducts[Unit Cost],0)</f>
        <v>550000</v>
      </c>
      <c r="O209" s="4" t="s">
        <v>4865</v>
      </c>
      <c r="P209" s="4" t="s">
        <v>4860</v>
      </c>
      <c r="Q209" s="1" t="str">
        <f>_xlfn.XLOOKUP(tblSales[[#This Row],[Channel Code]],tblChannels[Channel Code],tblChannels[Channel Name],"")</f>
        <v>In-store</v>
      </c>
      <c r="R209" s="1">
        <f>MONTH(tblSales[[#This Row],[Date]])</f>
        <v>1</v>
      </c>
    </row>
    <row r="210" spans="2:18" x14ac:dyDescent="0.35">
      <c r="B210" s="113">
        <v>46037</v>
      </c>
      <c r="C210" s="4" t="s">
        <v>192</v>
      </c>
      <c r="D210" s="4" t="s">
        <v>4568</v>
      </c>
      <c r="E210" s="1" t="str">
        <f>_xlfn.XLOOKUP(tblSales[[#This Row],[Customer ID]],tblCustomers[Customer ID],tblCustomers[Customer Name],"⚠ Unknown")</f>
        <v>Walk-in Customer</v>
      </c>
      <c r="F210" s="4" t="s">
        <v>8</v>
      </c>
      <c r="G210" s="1" t="str">
        <f>_xlfn.XLOOKUP(tblSales[[#This Row],[Product Code]],tblProducts[Code],tblProducts[Product / Service Name],"⚠ Unknown")</f>
        <v>Casual Shorts</v>
      </c>
      <c r="H210" s="1" t="str">
        <f>_xlfn.XLOOKUP(tblSales[[#This Row],[Product Code]],tblProducts[Code],tblProducts[Category],"")</f>
        <v>Accessories &amp; Basics</v>
      </c>
      <c r="I210" s="4">
        <v>8</v>
      </c>
      <c r="J210" s="5">
        <f>_xlfn.XLOOKUP(tblSales[[#This Row],[Product Code]],tblProducts[Code],tblProducts[Selling Price (excl. VAT)],0)</f>
        <v>85000</v>
      </c>
      <c r="K210" s="5">
        <f>tblSales[[#This Row],[Qty]]*tblSales[[#This Row],[Unit Price]]</f>
        <v>680000</v>
      </c>
      <c r="L210" s="5">
        <f>ROUND(tblSales[[#This Row],[DPP (excl. VAT)]]*VATEff,0)</f>
        <v>74800</v>
      </c>
      <c r="M210" s="5">
        <f>tblSales[[#This Row],[DPP (excl. VAT)]]+tblSales[[#This Row],[Output VAT]]</f>
        <v>754800</v>
      </c>
      <c r="N210" s="5">
        <f>tblSales[[#This Row],[Qty]]*_xlfn.XLOOKUP(tblSales[[#This Row],[Product Code]],tblProducts[Code],tblProducts[Unit Cost],0)</f>
        <v>400000</v>
      </c>
      <c r="O210" s="4" t="s">
        <v>4865</v>
      </c>
      <c r="P210" s="4" t="s">
        <v>4860</v>
      </c>
      <c r="Q210" s="1" t="str">
        <f>_xlfn.XLOOKUP(tblSales[[#This Row],[Channel Code]],tblChannels[Channel Code],tblChannels[Channel Name],"")</f>
        <v>In-store</v>
      </c>
      <c r="R210" s="1">
        <f>MONTH(tblSales[[#This Row],[Date]])</f>
        <v>1</v>
      </c>
    </row>
    <row r="211" spans="2:18" x14ac:dyDescent="0.35">
      <c r="B211" s="113">
        <v>46037</v>
      </c>
      <c r="C211" s="4" t="s">
        <v>193</v>
      </c>
      <c r="D211" s="4" t="s">
        <v>4606</v>
      </c>
      <c r="E211" s="1" t="str">
        <f>_xlfn.XLOOKUP(tblSales[[#This Row],[Customer ID]],tblCustomers[Customer ID],tblCustomers[Customer Name],"⚠ Unknown")</f>
        <v>PT Arunika Digital Kreatif</v>
      </c>
      <c r="F211" s="4" t="s">
        <v>13</v>
      </c>
      <c r="G211" s="1" t="str">
        <f>_xlfn.XLOOKUP(tblSales[[#This Row],[Product Code]],tblProducts[Code],tblProducts[Product / Service Name],"⚠ Unknown")</f>
        <v>Backpack</v>
      </c>
      <c r="H211" s="1" t="str">
        <f>_xlfn.XLOOKUP(tblSales[[#This Row],[Product Code]],tblProducts[Code],tblProducts[Category],"")</f>
        <v>Bags &amp; Gadgets</v>
      </c>
      <c r="I211" s="4">
        <v>48</v>
      </c>
      <c r="J211" s="5">
        <f>_xlfn.XLOOKUP(tblSales[[#This Row],[Product Code]],tblProducts[Code],tblProducts[Selling Price (excl. VAT)],0)</f>
        <v>500000</v>
      </c>
      <c r="K211" s="5">
        <f>tblSales[[#This Row],[Qty]]*tblSales[[#This Row],[Unit Price]]</f>
        <v>24000000</v>
      </c>
      <c r="L211" s="5">
        <f>ROUND(tblSales[[#This Row],[DPP (excl. VAT)]]*VATEff,0)</f>
        <v>2640000</v>
      </c>
      <c r="M211" s="5">
        <f>tblSales[[#This Row],[DPP (excl. VAT)]]+tblSales[[#This Row],[Output VAT]]</f>
        <v>26640000</v>
      </c>
      <c r="N211" s="5">
        <f>tblSales[[#This Row],[Qty]]*_xlfn.XLOOKUP(tblSales[[#This Row],[Product Code]],tblProducts[Code],tblProducts[Unit Cost],0)</f>
        <v>13920000</v>
      </c>
      <c r="O211" s="4" t="s">
        <v>4867</v>
      </c>
      <c r="P211" s="4" t="s">
        <v>4860</v>
      </c>
      <c r="Q211" s="1" t="str">
        <f>_xlfn.XLOOKUP(tblSales[[#This Row],[Channel Code]],tblChannels[Channel Code],tblChannels[Channel Name],"")</f>
        <v>In-store</v>
      </c>
      <c r="R211" s="1">
        <f>MONTH(tblSales[[#This Row],[Date]])</f>
        <v>1</v>
      </c>
    </row>
    <row r="212" spans="2:18" x14ac:dyDescent="0.35">
      <c r="B212" s="113">
        <v>46037</v>
      </c>
      <c r="C212" s="4" t="s">
        <v>193</v>
      </c>
      <c r="D212" s="4" t="s">
        <v>4606</v>
      </c>
      <c r="E212" s="1" t="str">
        <f>_xlfn.XLOOKUP(tblSales[[#This Row],[Customer ID]],tblCustomers[Customer ID],tblCustomers[Customer Name],"⚠ Unknown")</f>
        <v>PT Arunika Digital Kreatif</v>
      </c>
      <c r="F212" s="4" t="s">
        <v>6</v>
      </c>
      <c r="G212" s="1" t="str">
        <f>_xlfn.XLOOKUP(tblSales[[#This Row],[Product Code]],tblProducts[Code],tblProducts[Product / Service Name],"⚠ Unknown")</f>
        <v>Socks &amp; Accessories</v>
      </c>
      <c r="H212" s="1" t="str">
        <f>_xlfn.XLOOKUP(tblSales[[#This Row],[Product Code]],tblProducts[Code],tblProducts[Category],"")</f>
        <v>Accessories &amp; Basics</v>
      </c>
      <c r="I212" s="4">
        <v>8</v>
      </c>
      <c r="J212" s="5">
        <f>_xlfn.XLOOKUP(tblSales[[#This Row],[Product Code]],tblProducts[Code],tblProducts[Selling Price (excl. VAT)],0)</f>
        <v>45000</v>
      </c>
      <c r="K212" s="5">
        <f>tblSales[[#This Row],[Qty]]*tblSales[[#This Row],[Unit Price]]</f>
        <v>360000</v>
      </c>
      <c r="L212" s="5">
        <f>ROUND(tblSales[[#This Row],[DPP (excl. VAT)]]*VATEff,0)</f>
        <v>39600</v>
      </c>
      <c r="M212" s="5">
        <f>tblSales[[#This Row],[DPP (excl. VAT)]]+tblSales[[#This Row],[Output VAT]]</f>
        <v>399600</v>
      </c>
      <c r="N212" s="5">
        <f>tblSales[[#This Row],[Qty]]*_xlfn.XLOOKUP(tblSales[[#This Row],[Product Code]],tblProducts[Code],tblProducts[Unit Cost],0)</f>
        <v>192000</v>
      </c>
      <c r="O212" s="4" t="s">
        <v>4867</v>
      </c>
      <c r="P212" s="4" t="s">
        <v>4860</v>
      </c>
      <c r="Q212" s="1" t="str">
        <f>_xlfn.XLOOKUP(tblSales[[#This Row],[Channel Code]],tblChannels[Channel Code],tblChannels[Channel Name],"")</f>
        <v>In-store</v>
      </c>
      <c r="R212" s="1">
        <f>MONTH(tblSales[[#This Row],[Date]])</f>
        <v>1</v>
      </c>
    </row>
    <row r="213" spans="2:18" x14ac:dyDescent="0.35">
      <c r="B213" s="113">
        <v>46037</v>
      </c>
      <c r="C213" s="4" t="s">
        <v>194</v>
      </c>
      <c r="D213" s="4" t="s">
        <v>4568</v>
      </c>
      <c r="E213" s="1" t="str">
        <f>_xlfn.XLOOKUP(tblSales[[#This Row],[Customer ID]],tblCustomers[Customer ID],tblCustomers[Customer Name],"⚠ Unknown")</f>
        <v>Walk-in Customer</v>
      </c>
      <c r="F213" s="4" t="s">
        <v>12</v>
      </c>
      <c r="G213" s="1" t="str">
        <f>_xlfn.XLOOKUP(tblSales[[#This Row],[Product Code]],tblProducts[Code],tblProducts[Product / Service Name],"⚠ Unknown")</f>
        <v>Bomber Jacket</v>
      </c>
      <c r="H213" s="1" t="str">
        <f>_xlfn.XLOOKUP(tblSales[[#This Row],[Product Code]],tblProducts[Code],tblProducts[Category],"")</f>
        <v>Apparel &amp; Footwear</v>
      </c>
      <c r="I213" s="4">
        <v>5</v>
      </c>
      <c r="J213" s="5">
        <f>_xlfn.XLOOKUP(tblSales[[#This Row],[Product Code]],tblProducts[Code],tblProducts[Selling Price (excl. VAT)],0)</f>
        <v>350000</v>
      </c>
      <c r="K213" s="5">
        <f>tblSales[[#This Row],[Qty]]*tblSales[[#This Row],[Unit Price]]</f>
        <v>1750000</v>
      </c>
      <c r="L213" s="5">
        <f>ROUND(tblSales[[#This Row],[DPP (excl. VAT)]]*VATEff,0)</f>
        <v>192500</v>
      </c>
      <c r="M213" s="5">
        <f>tblSales[[#This Row],[DPP (excl. VAT)]]+tblSales[[#This Row],[Output VAT]]</f>
        <v>1942500</v>
      </c>
      <c r="N213" s="5">
        <f>tblSales[[#This Row],[Qty]]*_xlfn.XLOOKUP(tblSales[[#This Row],[Product Code]],tblProducts[Code],tblProducts[Unit Cost],0)</f>
        <v>1050000</v>
      </c>
      <c r="O213" s="4" t="s">
        <v>4865</v>
      </c>
      <c r="P213" s="4" t="s">
        <v>4860</v>
      </c>
      <c r="Q213" s="1" t="str">
        <f>_xlfn.XLOOKUP(tblSales[[#This Row],[Channel Code]],tblChannels[Channel Code],tblChannels[Channel Name],"")</f>
        <v>In-store</v>
      </c>
      <c r="R213" s="1">
        <f>MONTH(tblSales[[#This Row],[Date]])</f>
        <v>1</v>
      </c>
    </row>
    <row r="214" spans="2:18" x14ac:dyDescent="0.35">
      <c r="B214" s="113">
        <v>46037</v>
      </c>
      <c r="C214" s="4" t="s">
        <v>195</v>
      </c>
      <c r="D214" s="4" t="s">
        <v>4568</v>
      </c>
      <c r="E214" s="1" t="str">
        <f>_xlfn.XLOOKUP(tblSales[[#This Row],[Customer ID]],tblCustomers[Customer ID],tblCustomers[Customer Name],"⚠ Unknown")</f>
        <v>Walk-in Customer</v>
      </c>
      <c r="F214" s="4" t="s">
        <v>10</v>
      </c>
      <c r="G214" s="1" t="str">
        <f>_xlfn.XLOOKUP(tblSales[[#This Row],[Product Code]],tblProducts[Code],tblProducts[Product / Service Name],"⚠ Unknown")</f>
        <v>Chino Pants</v>
      </c>
      <c r="H214" s="1" t="str">
        <f>_xlfn.XLOOKUP(tblSales[[#This Row],[Product Code]],tblProducts[Code],tblProducts[Category],"")</f>
        <v>Apparel &amp; Footwear</v>
      </c>
      <c r="I214" s="4">
        <v>2</v>
      </c>
      <c r="J214" s="5">
        <f>_xlfn.XLOOKUP(tblSales[[#This Row],[Product Code]],tblProducts[Code],tblProducts[Selling Price (excl. VAT)],0)</f>
        <v>150000</v>
      </c>
      <c r="K214" s="5">
        <f>tblSales[[#This Row],[Qty]]*tblSales[[#This Row],[Unit Price]]</f>
        <v>300000</v>
      </c>
      <c r="L214" s="5">
        <f>ROUND(tblSales[[#This Row],[DPP (excl. VAT)]]*VATEff,0)</f>
        <v>33000</v>
      </c>
      <c r="M214" s="5">
        <f>tblSales[[#This Row],[DPP (excl. VAT)]]+tblSales[[#This Row],[Output VAT]]</f>
        <v>333000</v>
      </c>
      <c r="N214" s="5">
        <f>tblSales[[#This Row],[Qty]]*_xlfn.XLOOKUP(tblSales[[#This Row],[Product Code]],tblProducts[Code],tblProducts[Unit Cost],0)</f>
        <v>176000</v>
      </c>
      <c r="O214" s="4" t="s">
        <v>4865</v>
      </c>
      <c r="P214" s="4" t="s">
        <v>4860</v>
      </c>
      <c r="Q214" s="1" t="str">
        <f>_xlfn.XLOOKUP(tblSales[[#This Row],[Channel Code]],tblChannels[Channel Code],tblChannels[Channel Name],"")</f>
        <v>In-store</v>
      </c>
      <c r="R214" s="1">
        <f>MONTH(tblSales[[#This Row],[Date]])</f>
        <v>1</v>
      </c>
    </row>
    <row r="215" spans="2:18" x14ac:dyDescent="0.35">
      <c r="B215" s="113">
        <v>46037</v>
      </c>
      <c r="C215" s="4" t="s">
        <v>195</v>
      </c>
      <c r="D215" s="4" t="s">
        <v>4568</v>
      </c>
      <c r="E215" s="1" t="str">
        <f>_xlfn.XLOOKUP(tblSales[[#This Row],[Customer ID]],tblCustomers[Customer ID],tblCustomers[Customer Name],"⚠ Unknown")</f>
        <v>Walk-in Customer</v>
      </c>
      <c r="F215" s="4" t="s">
        <v>9</v>
      </c>
      <c r="G215" s="1" t="str">
        <f>_xlfn.XLOOKUP(tblSales[[#This Row],[Product Code]],tblProducts[Code],tblProducts[Product / Service Name],"⚠ Unknown")</f>
        <v>Casual Shirt</v>
      </c>
      <c r="H215" s="1" t="str">
        <f>_xlfn.XLOOKUP(tblSales[[#This Row],[Product Code]],tblProducts[Code],tblProducts[Category],"")</f>
        <v>Apparel &amp; Footwear</v>
      </c>
      <c r="I215" s="4">
        <v>1</v>
      </c>
      <c r="J215" s="5">
        <f>_xlfn.XLOOKUP(tblSales[[#This Row],[Product Code]],tblProducts[Code],tblProducts[Selling Price (excl. VAT)],0)</f>
        <v>120000</v>
      </c>
      <c r="K215" s="5">
        <f>tblSales[[#This Row],[Qty]]*tblSales[[#This Row],[Unit Price]]</f>
        <v>120000</v>
      </c>
      <c r="L215" s="5">
        <f>ROUND(tblSales[[#This Row],[DPP (excl. VAT)]]*VATEff,0)</f>
        <v>13200</v>
      </c>
      <c r="M215" s="5">
        <f>tblSales[[#This Row],[DPP (excl. VAT)]]+tblSales[[#This Row],[Output VAT]]</f>
        <v>133200</v>
      </c>
      <c r="N215" s="5">
        <f>tblSales[[#This Row],[Qty]]*_xlfn.XLOOKUP(tblSales[[#This Row],[Product Code]],tblProducts[Code],tblProducts[Unit Cost],0)</f>
        <v>72000</v>
      </c>
      <c r="O215" s="4" t="s">
        <v>4865</v>
      </c>
      <c r="P215" s="4" t="s">
        <v>4860</v>
      </c>
      <c r="Q215" s="1" t="str">
        <f>_xlfn.XLOOKUP(tblSales[[#This Row],[Channel Code]],tblChannels[Channel Code],tblChannels[Channel Name],"")</f>
        <v>In-store</v>
      </c>
      <c r="R215" s="1">
        <f>MONTH(tblSales[[#This Row],[Date]])</f>
        <v>1</v>
      </c>
    </row>
    <row r="216" spans="2:18" x14ac:dyDescent="0.35">
      <c r="B216" s="113">
        <v>46037</v>
      </c>
      <c r="C216" s="4" t="s">
        <v>196</v>
      </c>
      <c r="D216" s="4" t="s">
        <v>4648</v>
      </c>
      <c r="E216" s="1" t="str">
        <f>_xlfn.XLOOKUP(tblSales[[#This Row],[Customer ID]],tblCustomers[Customer ID],tblCustomers[Customer Name],"⚠ Unknown")</f>
        <v>PT Lintas Benua Niaga</v>
      </c>
      <c r="F216" s="4" t="s">
        <v>14</v>
      </c>
      <c r="G216" s="1" t="str">
        <f>_xlfn.XLOOKUP(tblSales[[#This Row],[Product Code]],tblProducts[Code],tblProducts[Product / Service Name],"⚠ Unknown")</f>
        <v>Smartwatch</v>
      </c>
      <c r="H216" s="1" t="str">
        <f>_xlfn.XLOOKUP(tblSales[[#This Row],[Product Code]],tblProducts[Code],tblProducts[Category],"")</f>
        <v>Bags &amp; Gadgets</v>
      </c>
      <c r="I216" s="4">
        <v>8</v>
      </c>
      <c r="J216" s="5">
        <f>_xlfn.XLOOKUP(tblSales[[#This Row],[Product Code]],tblProducts[Code],tblProducts[Selling Price (excl. VAT)],0)</f>
        <v>850000</v>
      </c>
      <c r="K216" s="5">
        <f>tblSales[[#This Row],[Qty]]*tblSales[[#This Row],[Unit Price]]</f>
        <v>6800000</v>
      </c>
      <c r="L216" s="5">
        <f>ROUND(tblSales[[#This Row],[DPP (excl. VAT)]]*VATEff,0)</f>
        <v>748000</v>
      </c>
      <c r="M216" s="5">
        <f>tblSales[[#This Row],[DPP (excl. VAT)]]+tblSales[[#This Row],[Output VAT]]</f>
        <v>7548000</v>
      </c>
      <c r="N216" s="5">
        <f>tblSales[[#This Row],[Qty]]*_xlfn.XLOOKUP(tblSales[[#This Row],[Product Code]],tblProducts[Code],tblProducts[Unit Cost],0)</f>
        <v>4480000</v>
      </c>
      <c r="O216" s="4" t="s">
        <v>4867</v>
      </c>
      <c r="P216" s="4" t="s">
        <v>4860</v>
      </c>
      <c r="Q216" s="1" t="str">
        <f>_xlfn.XLOOKUP(tblSales[[#This Row],[Channel Code]],tblChannels[Channel Code],tblChannels[Channel Name],"")</f>
        <v>In-store</v>
      </c>
      <c r="R216" s="1">
        <f>MONTH(tblSales[[#This Row],[Date]])</f>
        <v>1</v>
      </c>
    </row>
    <row r="217" spans="2:18" x14ac:dyDescent="0.35">
      <c r="B217" s="113">
        <v>46037</v>
      </c>
      <c r="C217" s="4" t="s">
        <v>197</v>
      </c>
      <c r="D217" s="4" t="s">
        <v>4568</v>
      </c>
      <c r="E217" s="1" t="str">
        <f>_xlfn.XLOOKUP(tblSales[[#This Row],[Customer ID]],tblCustomers[Customer ID],tblCustomers[Customer Name],"⚠ Unknown")</f>
        <v>Walk-in Customer</v>
      </c>
      <c r="F217" s="4" t="s">
        <v>7</v>
      </c>
      <c r="G217" s="1" t="str">
        <f>_xlfn.XLOOKUP(tblSales[[#This Row],[Product Code]],tblProducts[Code],tblProducts[Product / Service Name],"⚠ Unknown")</f>
        <v>Premium Basic T-shirt</v>
      </c>
      <c r="H217" s="1" t="str">
        <f>_xlfn.XLOOKUP(tblSales[[#This Row],[Product Code]],tblProducts[Code],tblProducts[Category],"")</f>
        <v>Accessories &amp; Basics</v>
      </c>
      <c r="I217" s="4">
        <v>11</v>
      </c>
      <c r="J217" s="5">
        <f>_xlfn.XLOOKUP(tblSales[[#This Row],[Product Code]],tblProducts[Code],tblProducts[Selling Price (excl. VAT)],0)</f>
        <v>65000</v>
      </c>
      <c r="K217" s="5">
        <f>tblSales[[#This Row],[Qty]]*tblSales[[#This Row],[Unit Price]]</f>
        <v>715000</v>
      </c>
      <c r="L217" s="5">
        <f>ROUND(tblSales[[#This Row],[DPP (excl. VAT)]]*VATEff,0)</f>
        <v>78650</v>
      </c>
      <c r="M217" s="5">
        <f>tblSales[[#This Row],[DPP (excl. VAT)]]+tblSales[[#This Row],[Output VAT]]</f>
        <v>793650</v>
      </c>
      <c r="N217" s="5">
        <f>tblSales[[#This Row],[Qty]]*_xlfn.XLOOKUP(tblSales[[#This Row],[Product Code]],tblProducts[Code],tblProducts[Unit Cost],0)</f>
        <v>407000</v>
      </c>
      <c r="O217" s="4" t="s">
        <v>4865</v>
      </c>
      <c r="P217" s="4" t="s">
        <v>4860</v>
      </c>
      <c r="Q217" s="1" t="str">
        <f>_xlfn.XLOOKUP(tblSales[[#This Row],[Channel Code]],tblChannels[Channel Code],tblChannels[Channel Name],"")</f>
        <v>In-store</v>
      </c>
      <c r="R217" s="1">
        <f>MONTH(tblSales[[#This Row],[Date]])</f>
        <v>1</v>
      </c>
    </row>
    <row r="218" spans="2:18" x14ac:dyDescent="0.35">
      <c r="B218" s="113">
        <v>46037</v>
      </c>
      <c r="C218" s="4" t="s">
        <v>198</v>
      </c>
      <c r="D218" s="4" t="s">
        <v>4568</v>
      </c>
      <c r="E218" s="1" t="str">
        <f>_xlfn.XLOOKUP(tblSales[[#This Row],[Customer ID]],tblCustomers[Customer ID],tblCustomers[Customer Name],"⚠ Unknown")</f>
        <v>Walk-in Customer</v>
      </c>
      <c r="F218" s="4" t="s">
        <v>8</v>
      </c>
      <c r="G218" s="1" t="str">
        <f>_xlfn.XLOOKUP(tblSales[[#This Row],[Product Code]],tblProducts[Code],tblProducts[Product / Service Name],"⚠ Unknown")</f>
        <v>Casual Shorts</v>
      </c>
      <c r="H218" s="1" t="str">
        <f>_xlfn.XLOOKUP(tblSales[[#This Row],[Product Code]],tblProducts[Code],tblProducts[Category],"")</f>
        <v>Accessories &amp; Basics</v>
      </c>
      <c r="I218" s="4">
        <v>6</v>
      </c>
      <c r="J218" s="5">
        <f>_xlfn.XLOOKUP(tblSales[[#This Row],[Product Code]],tblProducts[Code],tblProducts[Selling Price (excl. VAT)],0)</f>
        <v>85000</v>
      </c>
      <c r="K218" s="5">
        <f>tblSales[[#This Row],[Qty]]*tblSales[[#This Row],[Unit Price]]</f>
        <v>510000</v>
      </c>
      <c r="L218" s="5">
        <f>ROUND(tblSales[[#This Row],[DPP (excl. VAT)]]*VATEff,0)</f>
        <v>56100</v>
      </c>
      <c r="M218" s="5">
        <f>tblSales[[#This Row],[DPP (excl. VAT)]]+tblSales[[#This Row],[Output VAT]]</f>
        <v>566100</v>
      </c>
      <c r="N218" s="5">
        <f>tblSales[[#This Row],[Qty]]*_xlfn.XLOOKUP(tblSales[[#This Row],[Product Code]],tblProducts[Code],tblProducts[Unit Cost],0)</f>
        <v>300000</v>
      </c>
      <c r="O218" s="4" t="s">
        <v>4866</v>
      </c>
      <c r="P218" s="4" t="s">
        <v>4860</v>
      </c>
      <c r="Q218" s="1" t="str">
        <f>_xlfn.XLOOKUP(tblSales[[#This Row],[Channel Code]],tblChannels[Channel Code],tblChannels[Channel Name],"")</f>
        <v>In-store</v>
      </c>
      <c r="R218" s="1">
        <f>MONTH(tblSales[[#This Row],[Date]])</f>
        <v>1</v>
      </c>
    </row>
    <row r="219" spans="2:18" x14ac:dyDescent="0.35">
      <c r="B219" s="113">
        <v>46037</v>
      </c>
      <c r="C219" s="4" t="s">
        <v>199</v>
      </c>
      <c r="D219" s="4" t="s">
        <v>4568</v>
      </c>
      <c r="E219" s="1" t="str">
        <f>_xlfn.XLOOKUP(tblSales[[#This Row],[Customer ID]],tblCustomers[Customer ID],tblCustomers[Customer Name],"⚠ Unknown")</f>
        <v>Walk-in Customer</v>
      </c>
      <c r="F219" s="4" t="s">
        <v>8</v>
      </c>
      <c r="G219" s="1" t="str">
        <f>_xlfn.XLOOKUP(tblSales[[#This Row],[Product Code]],tblProducts[Code],tblProducts[Product / Service Name],"⚠ Unknown")</f>
        <v>Casual Shorts</v>
      </c>
      <c r="H219" s="1" t="str">
        <f>_xlfn.XLOOKUP(tblSales[[#This Row],[Product Code]],tblProducts[Code],tblProducts[Category],"")</f>
        <v>Accessories &amp; Basics</v>
      </c>
      <c r="I219" s="4">
        <v>8</v>
      </c>
      <c r="J219" s="5">
        <f>_xlfn.XLOOKUP(tblSales[[#This Row],[Product Code]],tblProducts[Code],tblProducts[Selling Price (excl. VAT)],0)</f>
        <v>85000</v>
      </c>
      <c r="K219" s="5">
        <f>tblSales[[#This Row],[Qty]]*tblSales[[#This Row],[Unit Price]]</f>
        <v>680000</v>
      </c>
      <c r="L219" s="5">
        <f>ROUND(tblSales[[#This Row],[DPP (excl. VAT)]]*VATEff,0)</f>
        <v>74800</v>
      </c>
      <c r="M219" s="5">
        <f>tblSales[[#This Row],[DPP (excl. VAT)]]+tblSales[[#This Row],[Output VAT]]</f>
        <v>754800</v>
      </c>
      <c r="N219" s="5">
        <f>tblSales[[#This Row],[Qty]]*_xlfn.XLOOKUP(tblSales[[#This Row],[Product Code]],tblProducts[Code],tblProducts[Unit Cost],0)</f>
        <v>400000</v>
      </c>
      <c r="O219" s="4" t="s">
        <v>4866</v>
      </c>
      <c r="P219" s="4" t="s">
        <v>4861</v>
      </c>
      <c r="Q219" s="1" t="str">
        <f>_xlfn.XLOOKUP(tblSales[[#This Row],[Channel Code]],tblChannels[Channel Code],tblChannels[Channel Name],"")</f>
        <v>Marketplace</v>
      </c>
      <c r="R219" s="1">
        <f>MONTH(tblSales[[#This Row],[Date]])</f>
        <v>1</v>
      </c>
    </row>
    <row r="220" spans="2:18" x14ac:dyDescent="0.35">
      <c r="B220" s="113">
        <v>46038</v>
      </c>
      <c r="C220" s="4" t="s">
        <v>200</v>
      </c>
      <c r="D220" s="4" t="s">
        <v>4568</v>
      </c>
      <c r="E220" s="1" t="str">
        <f>_xlfn.XLOOKUP(tblSales[[#This Row],[Customer ID]],tblCustomers[Customer ID],tblCustomers[Customer Name],"⚠ Unknown")</f>
        <v>Walk-in Customer</v>
      </c>
      <c r="F220" s="4" t="s">
        <v>6</v>
      </c>
      <c r="G220" s="1" t="str">
        <f>_xlfn.XLOOKUP(tblSales[[#This Row],[Product Code]],tblProducts[Code],tblProducts[Product / Service Name],"⚠ Unknown")</f>
        <v>Socks &amp; Accessories</v>
      </c>
      <c r="H220" s="1" t="str">
        <f>_xlfn.XLOOKUP(tblSales[[#This Row],[Product Code]],tblProducts[Code],tblProducts[Category],"")</f>
        <v>Accessories &amp; Basics</v>
      </c>
      <c r="I220" s="4">
        <v>9</v>
      </c>
      <c r="J220" s="5">
        <f>_xlfn.XLOOKUP(tblSales[[#This Row],[Product Code]],tblProducts[Code],tblProducts[Selling Price (excl. VAT)],0)</f>
        <v>45000</v>
      </c>
      <c r="K220" s="5">
        <f>tblSales[[#This Row],[Qty]]*tblSales[[#This Row],[Unit Price]]</f>
        <v>405000</v>
      </c>
      <c r="L220" s="5">
        <f>ROUND(tblSales[[#This Row],[DPP (excl. VAT)]]*VATEff,0)</f>
        <v>44550</v>
      </c>
      <c r="M220" s="5">
        <f>tblSales[[#This Row],[DPP (excl. VAT)]]+tblSales[[#This Row],[Output VAT]]</f>
        <v>449550</v>
      </c>
      <c r="N220" s="5">
        <f>tblSales[[#This Row],[Qty]]*_xlfn.XLOOKUP(tblSales[[#This Row],[Product Code]],tblProducts[Code],tblProducts[Unit Cost],0)</f>
        <v>216000</v>
      </c>
      <c r="O220" s="4" t="s">
        <v>4866</v>
      </c>
      <c r="P220" s="4" t="s">
        <v>4860</v>
      </c>
      <c r="Q220" s="1" t="str">
        <f>_xlfn.XLOOKUP(tblSales[[#This Row],[Channel Code]],tblChannels[Channel Code],tblChannels[Channel Name],"")</f>
        <v>In-store</v>
      </c>
      <c r="R220" s="1">
        <f>MONTH(tblSales[[#This Row],[Date]])</f>
        <v>1</v>
      </c>
    </row>
    <row r="221" spans="2:18" x14ac:dyDescent="0.35">
      <c r="B221" s="113">
        <v>46038</v>
      </c>
      <c r="C221" s="4" t="s">
        <v>201</v>
      </c>
      <c r="D221" s="4" t="s">
        <v>4568</v>
      </c>
      <c r="E221" s="1" t="str">
        <f>_xlfn.XLOOKUP(tblSales[[#This Row],[Customer ID]],tblCustomers[Customer ID],tblCustomers[Customer Name],"⚠ Unknown")</f>
        <v>Walk-in Customer</v>
      </c>
      <c r="F221" s="4" t="s">
        <v>7</v>
      </c>
      <c r="G221" s="1" t="str">
        <f>_xlfn.XLOOKUP(tblSales[[#This Row],[Product Code]],tblProducts[Code],tblProducts[Product / Service Name],"⚠ Unknown")</f>
        <v>Premium Basic T-shirt</v>
      </c>
      <c r="H221" s="1" t="str">
        <f>_xlfn.XLOOKUP(tblSales[[#This Row],[Product Code]],tblProducts[Code],tblProducts[Category],"")</f>
        <v>Accessories &amp; Basics</v>
      </c>
      <c r="I221" s="4">
        <v>12</v>
      </c>
      <c r="J221" s="5">
        <f>_xlfn.XLOOKUP(tblSales[[#This Row],[Product Code]],tblProducts[Code],tblProducts[Selling Price (excl. VAT)],0)</f>
        <v>65000</v>
      </c>
      <c r="K221" s="5">
        <f>tblSales[[#This Row],[Qty]]*tblSales[[#This Row],[Unit Price]]</f>
        <v>780000</v>
      </c>
      <c r="L221" s="5">
        <f>ROUND(tblSales[[#This Row],[DPP (excl. VAT)]]*VATEff,0)</f>
        <v>85800</v>
      </c>
      <c r="M221" s="5">
        <f>tblSales[[#This Row],[DPP (excl. VAT)]]+tblSales[[#This Row],[Output VAT]]</f>
        <v>865800</v>
      </c>
      <c r="N221" s="5">
        <f>tblSales[[#This Row],[Qty]]*_xlfn.XLOOKUP(tblSales[[#This Row],[Product Code]],tblProducts[Code],tblProducts[Unit Cost],0)</f>
        <v>444000</v>
      </c>
      <c r="O221" s="4" t="s">
        <v>4866</v>
      </c>
      <c r="P221" s="4" t="s">
        <v>4861</v>
      </c>
      <c r="Q221" s="1" t="str">
        <f>_xlfn.XLOOKUP(tblSales[[#This Row],[Channel Code]],tblChannels[Channel Code],tblChannels[Channel Name],"")</f>
        <v>Marketplace</v>
      </c>
      <c r="R221" s="1">
        <f>MONTH(tblSales[[#This Row],[Date]])</f>
        <v>1</v>
      </c>
    </row>
    <row r="222" spans="2:18" x14ac:dyDescent="0.35">
      <c r="B222" s="113">
        <v>46038</v>
      </c>
      <c r="C222" s="4" t="s">
        <v>202</v>
      </c>
      <c r="D222" s="4" t="s">
        <v>4568</v>
      </c>
      <c r="E222" s="1" t="str">
        <f>_xlfn.XLOOKUP(tblSales[[#This Row],[Customer ID]],tblCustomers[Customer ID],tblCustomers[Customer Name],"⚠ Unknown")</f>
        <v>Walk-in Customer</v>
      </c>
      <c r="F222" s="4" t="s">
        <v>7</v>
      </c>
      <c r="G222" s="1" t="str">
        <f>_xlfn.XLOOKUP(tblSales[[#This Row],[Product Code]],tblProducts[Code],tblProducts[Product / Service Name],"⚠ Unknown")</f>
        <v>Premium Basic T-shirt</v>
      </c>
      <c r="H222" s="1" t="str">
        <f>_xlfn.XLOOKUP(tblSales[[#This Row],[Product Code]],tblProducts[Code],tblProducts[Category],"")</f>
        <v>Accessories &amp; Basics</v>
      </c>
      <c r="I222" s="4">
        <v>1</v>
      </c>
      <c r="J222" s="5">
        <f>_xlfn.XLOOKUP(tblSales[[#This Row],[Product Code]],tblProducts[Code],tblProducts[Selling Price (excl. VAT)],0)</f>
        <v>65000</v>
      </c>
      <c r="K222" s="5">
        <f>tblSales[[#This Row],[Qty]]*tblSales[[#This Row],[Unit Price]]</f>
        <v>65000</v>
      </c>
      <c r="L222" s="5">
        <f>ROUND(tblSales[[#This Row],[DPP (excl. VAT)]]*VATEff,0)</f>
        <v>7150</v>
      </c>
      <c r="M222" s="5">
        <f>tblSales[[#This Row],[DPP (excl. VAT)]]+tblSales[[#This Row],[Output VAT]]</f>
        <v>72150</v>
      </c>
      <c r="N222" s="5">
        <f>tblSales[[#This Row],[Qty]]*_xlfn.XLOOKUP(tblSales[[#This Row],[Product Code]],tblProducts[Code],tblProducts[Unit Cost],0)</f>
        <v>37000</v>
      </c>
      <c r="O222" s="4" t="s">
        <v>4866</v>
      </c>
      <c r="P222" s="4" t="s">
        <v>4860</v>
      </c>
      <c r="Q222" s="1" t="str">
        <f>_xlfn.XLOOKUP(tblSales[[#This Row],[Channel Code]],tblChannels[Channel Code],tblChannels[Channel Name],"")</f>
        <v>In-store</v>
      </c>
      <c r="R222" s="1">
        <f>MONTH(tblSales[[#This Row],[Date]])</f>
        <v>1</v>
      </c>
    </row>
    <row r="223" spans="2:18" x14ac:dyDescent="0.35">
      <c r="B223" s="113">
        <v>46038</v>
      </c>
      <c r="C223" s="4" t="s">
        <v>203</v>
      </c>
      <c r="D223" s="4" t="s">
        <v>4568</v>
      </c>
      <c r="E223" s="1" t="str">
        <f>_xlfn.XLOOKUP(tblSales[[#This Row],[Customer ID]],tblCustomers[Customer ID],tblCustomers[Customer Name],"⚠ Unknown")</f>
        <v>Walk-in Customer</v>
      </c>
      <c r="F223" s="4" t="s">
        <v>10</v>
      </c>
      <c r="G223" s="1" t="str">
        <f>_xlfn.XLOOKUP(tblSales[[#This Row],[Product Code]],tblProducts[Code],tblProducts[Product / Service Name],"⚠ Unknown")</f>
        <v>Chino Pants</v>
      </c>
      <c r="H223" s="1" t="str">
        <f>_xlfn.XLOOKUP(tblSales[[#This Row],[Product Code]],tblProducts[Code],tblProducts[Category],"")</f>
        <v>Apparel &amp; Footwear</v>
      </c>
      <c r="I223" s="4">
        <v>11</v>
      </c>
      <c r="J223" s="5">
        <f>_xlfn.XLOOKUP(tblSales[[#This Row],[Product Code]],tblProducts[Code],tblProducts[Selling Price (excl. VAT)],0)</f>
        <v>150000</v>
      </c>
      <c r="K223" s="5">
        <f>tblSales[[#This Row],[Qty]]*tblSales[[#This Row],[Unit Price]]</f>
        <v>1650000</v>
      </c>
      <c r="L223" s="5">
        <f>ROUND(tblSales[[#This Row],[DPP (excl. VAT)]]*VATEff,0)</f>
        <v>181500</v>
      </c>
      <c r="M223" s="5">
        <f>tblSales[[#This Row],[DPP (excl. VAT)]]+tblSales[[#This Row],[Output VAT]]</f>
        <v>1831500</v>
      </c>
      <c r="N223" s="5">
        <f>tblSales[[#This Row],[Qty]]*_xlfn.XLOOKUP(tblSales[[#This Row],[Product Code]],tblProducts[Code],tblProducts[Unit Cost],0)</f>
        <v>968000</v>
      </c>
      <c r="O223" s="4" t="s">
        <v>4866</v>
      </c>
      <c r="P223" s="4" t="s">
        <v>4862</v>
      </c>
      <c r="Q223" s="1" t="str">
        <f>_xlfn.XLOOKUP(tblSales[[#This Row],[Channel Code]],tblChannels[Channel Code],tblChannels[Channel Name],"")</f>
        <v>Website &amp; Social Media</v>
      </c>
      <c r="R223" s="1">
        <f>MONTH(tblSales[[#This Row],[Date]])</f>
        <v>1</v>
      </c>
    </row>
    <row r="224" spans="2:18" x14ac:dyDescent="0.35">
      <c r="B224" s="113">
        <v>46038</v>
      </c>
      <c r="C224" s="4" t="s">
        <v>204</v>
      </c>
      <c r="D224" s="4" t="s">
        <v>4568</v>
      </c>
      <c r="E224" s="1" t="str">
        <f>_xlfn.XLOOKUP(tblSales[[#This Row],[Customer ID]],tblCustomers[Customer ID],tblCustomers[Customer Name],"⚠ Unknown")</f>
        <v>Walk-in Customer</v>
      </c>
      <c r="F224" s="4" t="s">
        <v>6</v>
      </c>
      <c r="G224" s="1" t="str">
        <f>_xlfn.XLOOKUP(tblSales[[#This Row],[Product Code]],tblProducts[Code],tblProducts[Product / Service Name],"⚠ Unknown")</f>
        <v>Socks &amp; Accessories</v>
      </c>
      <c r="H224" s="1" t="str">
        <f>_xlfn.XLOOKUP(tblSales[[#This Row],[Product Code]],tblProducts[Code],tblProducts[Category],"")</f>
        <v>Accessories &amp; Basics</v>
      </c>
      <c r="I224" s="4">
        <v>4</v>
      </c>
      <c r="J224" s="5">
        <f>_xlfn.XLOOKUP(tblSales[[#This Row],[Product Code]],tblProducts[Code],tblProducts[Selling Price (excl. VAT)],0)</f>
        <v>45000</v>
      </c>
      <c r="K224" s="5">
        <f>tblSales[[#This Row],[Qty]]*tblSales[[#This Row],[Unit Price]]</f>
        <v>180000</v>
      </c>
      <c r="L224" s="5">
        <f>ROUND(tblSales[[#This Row],[DPP (excl. VAT)]]*VATEff,0)</f>
        <v>19800</v>
      </c>
      <c r="M224" s="5">
        <f>tblSales[[#This Row],[DPP (excl. VAT)]]+tblSales[[#This Row],[Output VAT]]</f>
        <v>199800</v>
      </c>
      <c r="N224" s="5">
        <f>tblSales[[#This Row],[Qty]]*_xlfn.XLOOKUP(tblSales[[#This Row],[Product Code]],tblProducts[Code],tblProducts[Unit Cost],0)</f>
        <v>96000</v>
      </c>
      <c r="O224" s="4" t="s">
        <v>4866</v>
      </c>
      <c r="P224" s="4" t="s">
        <v>4861</v>
      </c>
      <c r="Q224" s="1" t="str">
        <f>_xlfn.XLOOKUP(tblSales[[#This Row],[Channel Code]],tblChannels[Channel Code],tblChannels[Channel Name],"")</f>
        <v>Marketplace</v>
      </c>
      <c r="R224" s="1">
        <f>MONTH(tblSales[[#This Row],[Date]])</f>
        <v>1</v>
      </c>
    </row>
    <row r="225" spans="2:18" x14ac:dyDescent="0.35">
      <c r="B225" s="113">
        <v>46038</v>
      </c>
      <c r="C225" s="4" t="s">
        <v>205</v>
      </c>
      <c r="D225" s="4" t="s">
        <v>4568</v>
      </c>
      <c r="E225" s="1" t="str">
        <f>_xlfn.XLOOKUP(tblSales[[#This Row],[Customer ID]],tblCustomers[Customer ID],tblCustomers[Customer Name],"⚠ Unknown")</f>
        <v>Walk-in Customer</v>
      </c>
      <c r="F225" s="4" t="s">
        <v>8</v>
      </c>
      <c r="G225" s="1" t="str">
        <f>_xlfn.XLOOKUP(tblSales[[#This Row],[Product Code]],tblProducts[Code],tblProducts[Product / Service Name],"⚠ Unknown")</f>
        <v>Casual Shorts</v>
      </c>
      <c r="H225" s="1" t="str">
        <f>_xlfn.XLOOKUP(tblSales[[#This Row],[Product Code]],tblProducts[Code],tblProducts[Category],"")</f>
        <v>Accessories &amp; Basics</v>
      </c>
      <c r="I225" s="4">
        <v>11</v>
      </c>
      <c r="J225" s="5">
        <f>_xlfn.XLOOKUP(tblSales[[#This Row],[Product Code]],tblProducts[Code],tblProducts[Selling Price (excl. VAT)],0)</f>
        <v>85000</v>
      </c>
      <c r="K225" s="5">
        <f>tblSales[[#This Row],[Qty]]*tblSales[[#This Row],[Unit Price]]</f>
        <v>935000</v>
      </c>
      <c r="L225" s="5">
        <f>ROUND(tblSales[[#This Row],[DPP (excl. VAT)]]*VATEff,0)</f>
        <v>102850</v>
      </c>
      <c r="M225" s="5">
        <f>tblSales[[#This Row],[DPP (excl. VAT)]]+tblSales[[#This Row],[Output VAT]]</f>
        <v>1037850</v>
      </c>
      <c r="N225" s="5">
        <f>tblSales[[#This Row],[Qty]]*_xlfn.XLOOKUP(tblSales[[#This Row],[Product Code]],tblProducts[Code],tblProducts[Unit Cost],0)</f>
        <v>550000</v>
      </c>
      <c r="O225" s="4" t="s">
        <v>4866</v>
      </c>
      <c r="P225" s="4" t="s">
        <v>4861</v>
      </c>
      <c r="Q225" s="1" t="str">
        <f>_xlfn.XLOOKUP(tblSales[[#This Row],[Channel Code]],tblChannels[Channel Code],tblChannels[Channel Name],"")</f>
        <v>Marketplace</v>
      </c>
      <c r="R225" s="1">
        <f>MONTH(tblSales[[#This Row],[Date]])</f>
        <v>1</v>
      </c>
    </row>
    <row r="226" spans="2:18" x14ac:dyDescent="0.35">
      <c r="B226" s="113">
        <v>46038</v>
      </c>
      <c r="C226" s="4" t="s">
        <v>205</v>
      </c>
      <c r="D226" s="4" t="s">
        <v>4568</v>
      </c>
      <c r="E226" s="1" t="str">
        <f>_xlfn.XLOOKUP(tblSales[[#This Row],[Customer ID]],tblCustomers[Customer ID],tblCustomers[Customer Name],"⚠ Unknown")</f>
        <v>Walk-in Customer</v>
      </c>
      <c r="F226" s="4" t="s">
        <v>10</v>
      </c>
      <c r="G226" s="1" t="str">
        <f>_xlfn.XLOOKUP(tblSales[[#This Row],[Product Code]],tblProducts[Code],tblProducts[Product / Service Name],"⚠ Unknown")</f>
        <v>Chino Pants</v>
      </c>
      <c r="H226" s="1" t="str">
        <f>_xlfn.XLOOKUP(tblSales[[#This Row],[Product Code]],tblProducts[Code],tblProducts[Category],"")</f>
        <v>Apparel &amp; Footwear</v>
      </c>
      <c r="I226" s="4">
        <v>9</v>
      </c>
      <c r="J226" s="5">
        <f>_xlfn.XLOOKUP(tblSales[[#This Row],[Product Code]],tblProducts[Code],tblProducts[Selling Price (excl. VAT)],0)</f>
        <v>150000</v>
      </c>
      <c r="K226" s="5">
        <f>tblSales[[#This Row],[Qty]]*tblSales[[#This Row],[Unit Price]]</f>
        <v>1350000</v>
      </c>
      <c r="L226" s="5">
        <f>ROUND(tblSales[[#This Row],[DPP (excl. VAT)]]*VATEff,0)</f>
        <v>148500</v>
      </c>
      <c r="M226" s="5">
        <f>tblSales[[#This Row],[DPP (excl. VAT)]]+tblSales[[#This Row],[Output VAT]]</f>
        <v>1498500</v>
      </c>
      <c r="N226" s="5">
        <f>tblSales[[#This Row],[Qty]]*_xlfn.XLOOKUP(tblSales[[#This Row],[Product Code]],tblProducts[Code],tblProducts[Unit Cost],0)</f>
        <v>792000</v>
      </c>
      <c r="O226" s="4" t="s">
        <v>4866</v>
      </c>
      <c r="P226" s="4" t="s">
        <v>4861</v>
      </c>
      <c r="Q226" s="1" t="str">
        <f>_xlfn.XLOOKUP(tblSales[[#This Row],[Channel Code]],tblChannels[Channel Code],tblChannels[Channel Name],"")</f>
        <v>Marketplace</v>
      </c>
      <c r="R226" s="1">
        <f>MONTH(tblSales[[#This Row],[Date]])</f>
        <v>1</v>
      </c>
    </row>
    <row r="227" spans="2:18" x14ac:dyDescent="0.35">
      <c r="B227" s="113">
        <v>46038</v>
      </c>
      <c r="C227" s="4" t="s">
        <v>206</v>
      </c>
      <c r="D227" s="4" t="s">
        <v>4568</v>
      </c>
      <c r="E227" s="1" t="str">
        <f>_xlfn.XLOOKUP(tblSales[[#This Row],[Customer ID]],tblCustomers[Customer ID],tblCustomers[Customer Name],"⚠ Unknown")</f>
        <v>Walk-in Customer</v>
      </c>
      <c r="F227" s="4" t="s">
        <v>7</v>
      </c>
      <c r="G227" s="1" t="str">
        <f>_xlfn.XLOOKUP(tblSales[[#This Row],[Product Code]],tblProducts[Code],tblProducts[Product / Service Name],"⚠ Unknown")</f>
        <v>Premium Basic T-shirt</v>
      </c>
      <c r="H227" s="1" t="str">
        <f>_xlfn.XLOOKUP(tblSales[[#This Row],[Product Code]],tblProducts[Code],tblProducts[Category],"")</f>
        <v>Accessories &amp; Basics</v>
      </c>
      <c r="I227" s="4">
        <v>12</v>
      </c>
      <c r="J227" s="5">
        <f>_xlfn.XLOOKUP(tblSales[[#This Row],[Product Code]],tblProducts[Code],tblProducts[Selling Price (excl. VAT)],0)</f>
        <v>65000</v>
      </c>
      <c r="K227" s="5">
        <f>tblSales[[#This Row],[Qty]]*tblSales[[#This Row],[Unit Price]]</f>
        <v>780000</v>
      </c>
      <c r="L227" s="5">
        <f>ROUND(tblSales[[#This Row],[DPP (excl. VAT)]]*VATEff,0)</f>
        <v>85800</v>
      </c>
      <c r="M227" s="5">
        <f>tblSales[[#This Row],[DPP (excl. VAT)]]+tblSales[[#This Row],[Output VAT]]</f>
        <v>865800</v>
      </c>
      <c r="N227" s="5">
        <f>tblSales[[#This Row],[Qty]]*_xlfn.XLOOKUP(tblSales[[#This Row],[Product Code]],tblProducts[Code],tblProducts[Unit Cost],0)</f>
        <v>444000</v>
      </c>
      <c r="O227" s="4" t="s">
        <v>4866</v>
      </c>
      <c r="P227" s="4" t="s">
        <v>4861</v>
      </c>
      <c r="Q227" s="1" t="str">
        <f>_xlfn.XLOOKUP(tblSales[[#This Row],[Channel Code]],tblChannels[Channel Code],tblChannels[Channel Name],"")</f>
        <v>Marketplace</v>
      </c>
      <c r="R227" s="1">
        <f>MONTH(tblSales[[#This Row],[Date]])</f>
        <v>1</v>
      </c>
    </row>
    <row r="228" spans="2:18" x14ac:dyDescent="0.35">
      <c r="B228" s="113">
        <v>46038</v>
      </c>
      <c r="C228" s="4" t="s">
        <v>207</v>
      </c>
      <c r="D228" s="4" t="s">
        <v>4613</v>
      </c>
      <c r="E228" s="1" t="str">
        <f>_xlfn.XLOOKUP(tblSales[[#This Row],[Customer ID]],tblCustomers[Customer ID],tblCustomers[Customer Name],"⚠ Unknown")</f>
        <v>PT Mega Prima Distribusi</v>
      </c>
      <c r="F228" s="4" t="s">
        <v>6</v>
      </c>
      <c r="G228" s="1" t="str">
        <f>_xlfn.XLOOKUP(tblSales[[#This Row],[Product Code]],tblProducts[Code],tblProducts[Product / Service Name],"⚠ Unknown")</f>
        <v>Socks &amp; Accessories</v>
      </c>
      <c r="H228" s="1" t="str">
        <f>_xlfn.XLOOKUP(tblSales[[#This Row],[Product Code]],tblProducts[Code],tblProducts[Category],"")</f>
        <v>Accessories &amp; Basics</v>
      </c>
      <c r="I228" s="4">
        <v>32</v>
      </c>
      <c r="J228" s="5">
        <f>_xlfn.XLOOKUP(tblSales[[#This Row],[Product Code]],tblProducts[Code],tblProducts[Selling Price (excl. VAT)],0)</f>
        <v>45000</v>
      </c>
      <c r="K228" s="5">
        <f>tblSales[[#This Row],[Qty]]*tblSales[[#This Row],[Unit Price]]</f>
        <v>1440000</v>
      </c>
      <c r="L228" s="5">
        <f>ROUND(tblSales[[#This Row],[DPP (excl. VAT)]]*VATEff,0)</f>
        <v>158400</v>
      </c>
      <c r="M228" s="5">
        <f>tblSales[[#This Row],[DPP (excl. VAT)]]+tblSales[[#This Row],[Output VAT]]</f>
        <v>1598400</v>
      </c>
      <c r="N228" s="5">
        <f>tblSales[[#This Row],[Qty]]*_xlfn.XLOOKUP(tblSales[[#This Row],[Product Code]],tblProducts[Code],tblProducts[Unit Cost],0)</f>
        <v>768000</v>
      </c>
      <c r="O228" s="4" t="s">
        <v>4867</v>
      </c>
      <c r="P228" s="4" t="s">
        <v>4860</v>
      </c>
      <c r="Q228" s="1" t="str">
        <f>_xlfn.XLOOKUP(tblSales[[#This Row],[Channel Code]],tblChannels[Channel Code],tblChannels[Channel Name],"")</f>
        <v>In-store</v>
      </c>
      <c r="R228" s="1">
        <f>MONTH(tblSales[[#This Row],[Date]])</f>
        <v>1</v>
      </c>
    </row>
    <row r="229" spans="2:18" x14ac:dyDescent="0.35">
      <c r="B229" s="113">
        <v>46038</v>
      </c>
      <c r="C229" s="4" t="s">
        <v>207</v>
      </c>
      <c r="D229" s="4" t="s">
        <v>4613</v>
      </c>
      <c r="E229" s="1" t="str">
        <f>_xlfn.XLOOKUP(tblSales[[#This Row],[Customer ID]],tblCustomers[Customer ID],tblCustomers[Customer Name],"⚠ Unknown")</f>
        <v>PT Mega Prima Distribusi</v>
      </c>
      <c r="F229" s="4" t="s">
        <v>7</v>
      </c>
      <c r="G229" s="1" t="str">
        <f>_xlfn.XLOOKUP(tblSales[[#This Row],[Product Code]],tblProducts[Code],tblProducts[Product / Service Name],"⚠ Unknown")</f>
        <v>Premium Basic T-shirt</v>
      </c>
      <c r="H229" s="1" t="str">
        <f>_xlfn.XLOOKUP(tblSales[[#This Row],[Product Code]],tblProducts[Code],tblProducts[Category],"")</f>
        <v>Accessories &amp; Basics</v>
      </c>
      <c r="I229" s="4">
        <v>96</v>
      </c>
      <c r="J229" s="5">
        <f>_xlfn.XLOOKUP(tblSales[[#This Row],[Product Code]],tblProducts[Code],tblProducts[Selling Price (excl. VAT)],0)</f>
        <v>65000</v>
      </c>
      <c r="K229" s="5">
        <f>tblSales[[#This Row],[Qty]]*tblSales[[#This Row],[Unit Price]]</f>
        <v>6240000</v>
      </c>
      <c r="L229" s="5">
        <f>ROUND(tblSales[[#This Row],[DPP (excl. VAT)]]*VATEff,0)</f>
        <v>686400</v>
      </c>
      <c r="M229" s="5">
        <f>tblSales[[#This Row],[DPP (excl. VAT)]]+tblSales[[#This Row],[Output VAT]]</f>
        <v>6926400</v>
      </c>
      <c r="N229" s="5">
        <f>tblSales[[#This Row],[Qty]]*_xlfn.XLOOKUP(tblSales[[#This Row],[Product Code]],tblProducts[Code],tblProducts[Unit Cost],0)</f>
        <v>3552000</v>
      </c>
      <c r="O229" s="4" t="s">
        <v>4867</v>
      </c>
      <c r="P229" s="4" t="s">
        <v>4860</v>
      </c>
      <c r="Q229" s="1" t="str">
        <f>_xlfn.XLOOKUP(tblSales[[#This Row],[Channel Code]],tblChannels[Channel Code],tblChannels[Channel Name],"")</f>
        <v>In-store</v>
      </c>
      <c r="R229" s="1">
        <f>MONTH(tblSales[[#This Row],[Date]])</f>
        <v>1</v>
      </c>
    </row>
    <row r="230" spans="2:18" x14ac:dyDescent="0.35">
      <c r="B230" s="113">
        <v>46038</v>
      </c>
      <c r="C230" s="4" t="s">
        <v>207</v>
      </c>
      <c r="D230" s="4" t="s">
        <v>4613</v>
      </c>
      <c r="E230" s="1" t="str">
        <f>_xlfn.XLOOKUP(tblSales[[#This Row],[Customer ID]],tblCustomers[Customer ID],tblCustomers[Customer Name],"⚠ Unknown")</f>
        <v>PT Mega Prima Distribusi</v>
      </c>
      <c r="F230" s="4" t="s">
        <v>15</v>
      </c>
      <c r="G230" s="1" t="str">
        <f>_xlfn.XLOOKUP(tblSales[[#This Row],[Product Code]],tblProducts[Code],tblProducts[Product / Service Name],"⚠ Unknown")</f>
        <v>Wireless Earbuds Pro</v>
      </c>
      <c r="H230" s="1" t="str">
        <f>_xlfn.XLOOKUP(tblSales[[#This Row],[Product Code]],tblProducts[Code],tblProducts[Category],"")</f>
        <v>Bags &amp; Gadgets</v>
      </c>
      <c r="I230" s="4">
        <v>24</v>
      </c>
      <c r="J230" s="5">
        <f>_xlfn.XLOOKUP(tblSales[[#This Row],[Product Code]],tblProducts[Code],tblProducts[Selling Price (excl. VAT)],0)</f>
        <v>1250000</v>
      </c>
      <c r="K230" s="5">
        <f>tblSales[[#This Row],[Qty]]*tblSales[[#This Row],[Unit Price]]</f>
        <v>30000000</v>
      </c>
      <c r="L230" s="5">
        <f>ROUND(tblSales[[#This Row],[DPP (excl. VAT)]]*VATEff,0)</f>
        <v>3300000</v>
      </c>
      <c r="M230" s="5">
        <f>tblSales[[#This Row],[DPP (excl. VAT)]]+tblSales[[#This Row],[Output VAT]]</f>
        <v>33300000</v>
      </c>
      <c r="N230" s="5">
        <f>tblSales[[#This Row],[Qty]]*_xlfn.XLOOKUP(tblSales[[#This Row],[Product Code]],tblProducts[Code],tblProducts[Unit Cost],0)</f>
        <v>19680000</v>
      </c>
      <c r="O230" s="4" t="s">
        <v>4867</v>
      </c>
      <c r="P230" s="4" t="s">
        <v>4860</v>
      </c>
      <c r="Q230" s="1" t="str">
        <f>_xlfn.XLOOKUP(tblSales[[#This Row],[Channel Code]],tblChannels[Channel Code],tblChannels[Channel Name],"")</f>
        <v>In-store</v>
      </c>
      <c r="R230" s="1">
        <f>MONTH(tblSales[[#This Row],[Date]])</f>
        <v>1</v>
      </c>
    </row>
    <row r="231" spans="2:18" x14ac:dyDescent="0.35">
      <c r="B231" s="113">
        <v>46038</v>
      </c>
      <c r="C231" s="4" t="s">
        <v>208</v>
      </c>
      <c r="D231" s="4" t="s">
        <v>4572</v>
      </c>
      <c r="E231" s="1" t="str">
        <f>_xlfn.XLOOKUP(tblSales[[#This Row],[Customer ID]],tblCustomers[Customer ID],tblCustomers[Customer Name],"⚠ Unknown")</f>
        <v>PT Cahaya Abadi Makmur</v>
      </c>
      <c r="F231" s="4" t="s">
        <v>9</v>
      </c>
      <c r="G231" s="1" t="str">
        <f>_xlfn.XLOOKUP(tblSales[[#This Row],[Product Code]],tblProducts[Code],tblProducts[Product / Service Name],"⚠ Unknown")</f>
        <v>Casual Shirt</v>
      </c>
      <c r="H231" s="1" t="str">
        <f>_xlfn.XLOOKUP(tblSales[[#This Row],[Product Code]],tblProducts[Code],tblProducts[Category],"")</f>
        <v>Apparel &amp; Footwear</v>
      </c>
      <c r="I231" s="4">
        <v>80</v>
      </c>
      <c r="J231" s="5">
        <f>_xlfn.XLOOKUP(tblSales[[#This Row],[Product Code]],tblProducts[Code],tblProducts[Selling Price (excl. VAT)],0)</f>
        <v>120000</v>
      </c>
      <c r="K231" s="5">
        <f>tblSales[[#This Row],[Qty]]*tblSales[[#This Row],[Unit Price]]</f>
        <v>9600000</v>
      </c>
      <c r="L231" s="5">
        <f>ROUND(tblSales[[#This Row],[DPP (excl. VAT)]]*VATEff,0)</f>
        <v>1056000</v>
      </c>
      <c r="M231" s="5">
        <f>tblSales[[#This Row],[DPP (excl. VAT)]]+tblSales[[#This Row],[Output VAT]]</f>
        <v>10656000</v>
      </c>
      <c r="N231" s="5">
        <f>tblSales[[#This Row],[Qty]]*_xlfn.XLOOKUP(tblSales[[#This Row],[Product Code]],tblProducts[Code],tblProducts[Unit Cost],0)</f>
        <v>5760000</v>
      </c>
      <c r="O231" s="4" t="s">
        <v>4867</v>
      </c>
      <c r="P231" s="4" t="s">
        <v>4860</v>
      </c>
      <c r="Q231" s="1" t="str">
        <f>_xlfn.XLOOKUP(tblSales[[#This Row],[Channel Code]],tblChannels[Channel Code],tblChannels[Channel Name],"")</f>
        <v>In-store</v>
      </c>
      <c r="R231" s="1">
        <f>MONTH(tblSales[[#This Row],[Date]])</f>
        <v>1</v>
      </c>
    </row>
    <row r="232" spans="2:18" x14ac:dyDescent="0.35">
      <c r="B232" s="113">
        <v>46038</v>
      </c>
      <c r="C232" s="4" t="s">
        <v>208</v>
      </c>
      <c r="D232" s="4" t="s">
        <v>4572</v>
      </c>
      <c r="E232" s="1" t="str">
        <f>_xlfn.XLOOKUP(tblSales[[#This Row],[Customer ID]],tblCustomers[Customer ID],tblCustomers[Customer Name],"⚠ Unknown")</f>
        <v>PT Cahaya Abadi Makmur</v>
      </c>
      <c r="F232" s="4" t="s">
        <v>6</v>
      </c>
      <c r="G232" s="1" t="str">
        <f>_xlfn.XLOOKUP(tblSales[[#This Row],[Product Code]],tblProducts[Code],tblProducts[Product / Service Name],"⚠ Unknown")</f>
        <v>Socks &amp; Accessories</v>
      </c>
      <c r="H232" s="1" t="str">
        <f>_xlfn.XLOOKUP(tblSales[[#This Row],[Product Code]],tblProducts[Code],tblProducts[Category],"")</f>
        <v>Accessories &amp; Basics</v>
      </c>
      <c r="I232" s="4">
        <v>32</v>
      </c>
      <c r="J232" s="5">
        <f>_xlfn.XLOOKUP(tblSales[[#This Row],[Product Code]],tblProducts[Code],tblProducts[Selling Price (excl. VAT)],0)</f>
        <v>45000</v>
      </c>
      <c r="K232" s="5">
        <f>tblSales[[#This Row],[Qty]]*tblSales[[#This Row],[Unit Price]]</f>
        <v>1440000</v>
      </c>
      <c r="L232" s="5">
        <f>ROUND(tblSales[[#This Row],[DPP (excl. VAT)]]*VATEff,0)</f>
        <v>158400</v>
      </c>
      <c r="M232" s="5">
        <f>tblSales[[#This Row],[DPP (excl. VAT)]]+tblSales[[#This Row],[Output VAT]]</f>
        <v>1598400</v>
      </c>
      <c r="N232" s="5">
        <f>tblSales[[#This Row],[Qty]]*_xlfn.XLOOKUP(tblSales[[#This Row],[Product Code]],tblProducts[Code],tblProducts[Unit Cost],0)</f>
        <v>768000</v>
      </c>
      <c r="O232" s="4" t="s">
        <v>4867</v>
      </c>
      <c r="P232" s="4" t="s">
        <v>4860</v>
      </c>
      <c r="Q232" s="1" t="str">
        <f>_xlfn.XLOOKUP(tblSales[[#This Row],[Channel Code]],tblChannels[Channel Code],tblChannels[Channel Name],"")</f>
        <v>In-store</v>
      </c>
      <c r="R232" s="1">
        <f>MONTH(tblSales[[#This Row],[Date]])</f>
        <v>1</v>
      </c>
    </row>
    <row r="233" spans="2:18" x14ac:dyDescent="0.35">
      <c r="B233" s="113">
        <v>46038</v>
      </c>
      <c r="C233" s="4" t="s">
        <v>209</v>
      </c>
      <c r="D233" s="4" t="s">
        <v>4568</v>
      </c>
      <c r="E233" s="1" t="str">
        <f>_xlfn.XLOOKUP(tblSales[[#This Row],[Customer ID]],tblCustomers[Customer ID],tblCustomers[Customer Name],"⚠ Unknown")</f>
        <v>Walk-in Customer</v>
      </c>
      <c r="F233" s="4" t="s">
        <v>6</v>
      </c>
      <c r="G233" s="1" t="str">
        <f>_xlfn.XLOOKUP(tblSales[[#This Row],[Product Code]],tblProducts[Code],tblProducts[Product / Service Name],"⚠ Unknown")</f>
        <v>Socks &amp; Accessories</v>
      </c>
      <c r="H233" s="1" t="str">
        <f>_xlfn.XLOOKUP(tblSales[[#This Row],[Product Code]],tblProducts[Code],tblProducts[Category],"")</f>
        <v>Accessories &amp; Basics</v>
      </c>
      <c r="I233" s="4">
        <v>2</v>
      </c>
      <c r="J233" s="5">
        <f>_xlfn.XLOOKUP(tblSales[[#This Row],[Product Code]],tblProducts[Code],tblProducts[Selling Price (excl. VAT)],0)</f>
        <v>45000</v>
      </c>
      <c r="K233" s="5">
        <f>tblSales[[#This Row],[Qty]]*tblSales[[#This Row],[Unit Price]]</f>
        <v>90000</v>
      </c>
      <c r="L233" s="5">
        <f>ROUND(tblSales[[#This Row],[DPP (excl. VAT)]]*VATEff,0)</f>
        <v>9900</v>
      </c>
      <c r="M233" s="5">
        <f>tblSales[[#This Row],[DPP (excl. VAT)]]+tblSales[[#This Row],[Output VAT]]</f>
        <v>99900</v>
      </c>
      <c r="N233" s="5">
        <f>tblSales[[#This Row],[Qty]]*_xlfn.XLOOKUP(tblSales[[#This Row],[Product Code]],tblProducts[Code],tblProducts[Unit Cost],0)</f>
        <v>48000</v>
      </c>
      <c r="O233" s="4" t="s">
        <v>4865</v>
      </c>
      <c r="P233" s="4" t="s">
        <v>4860</v>
      </c>
      <c r="Q233" s="1" t="str">
        <f>_xlfn.XLOOKUP(tblSales[[#This Row],[Channel Code]],tblChannels[Channel Code],tblChannels[Channel Name],"")</f>
        <v>In-store</v>
      </c>
      <c r="R233" s="1">
        <f>MONTH(tblSales[[#This Row],[Date]])</f>
        <v>1</v>
      </c>
    </row>
    <row r="234" spans="2:18" x14ac:dyDescent="0.35">
      <c r="B234" s="113">
        <v>46038</v>
      </c>
      <c r="C234" s="4" t="s">
        <v>210</v>
      </c>
      <c r="D234" s="4" t="s">
        <v>4568</v>
      </c>
      <c r="E234" s="1" t="str">
        <f>_xlfn.XLOOKUP(tblSales[[#This Row],[Customer ID]],tblCustomers[Customer ID],tblCustomers[Customer Name],"⚠ Unknown")</f>
        <v>Walk-in Customer</v>
      </c>
      <c r="F234" s="4" t="s">
        <v>11</v>
      </c>
      <c r="G234" s="1" t="str">
        <f>_xlfn.XLOOKUP(tblSales[[#This Row],[Product Code]],tblProducts[Code],tblProducts[Product / Service Name],"⚠ Unknown")</f>
        <v>Sneakers</v>
      </c>
      <c r="H234" s="1" t="str">
        <f>_xlfn.XLOOKUP(tblSales[[#This Row],[Product Code]],tblProducts[Code],tblProducts[Category],"")</f>
        <v>Apparel &amp; Footwear</v>
      </c>
      <c r="I234" s="4">
        <v>2</v>
      </c>
      <c r="J234" s="5">
        <f>_xlfn.XLOOKUP(tblSales[[#This Row],[Product Code]],tblProducts[Code],tblProducts[Selling Price (excl. VAT)],0)</f>
        <v>250000</v>
      </c>
      <c r="K234" s="5">
        <f>tblSales[[#This Row],[Qty]]*tblSales[[#This Row],[Unit Price]]</f>
        <v>500000</v>
      </c>
      <c r="L234" s="5">
        <f>ROUND(tblSales[[#This Row],[DPP (excl. VAT)]]*VATEff,0)</f>
        <v>55000</v>
      </c>
      <c r="M234" s="5">
        <f>tblSales[[#This Row],[DPP (excl. VAT)]]+tblSales[[#This Row],[Output VAT]]</f>
        <v>555000</v>
      </c>
      <c r="N234" s="5">
        <f>tblSales[[#This Row],[Qty]]*_xlfn.XLOOKUP(tblSales[[#This Row],[Product Code]],tblProducts[Code],tblProducts[Unit Cost],0)</f>
        <v>310000</v>
      </c>
      <c r="O234" s="4" t="s">
        <v>4866</v>
      </c>
      <c r="P234" s="4" t="s">
        <v>4861</v>
      </c>
      <c r="Q234" s="1" t="str">
        <f>_xlfn.XLOOKUP(tblSales[[#This Row],[Channel Code]],tblChannels[Channel Code],tblChannels[Channel Name],"")</f>
        <v>Marketplace</v>
      </c>
      <c r="R234" s="1">
        <f>MONTH(tblSales[[#This Row],[Date]])</f>
        <v>1</v>
      </c>
    </row>
    <row r="235" spans="2:18" x14ac:dyDescent="0.35">
      <c r="B235" s="113">
        <v>46038</v>
      </c>
      <c r="C235" s="4" t="s">
        <v>211</v>
      </c>
      <c r="D235" s="4" t="s">
        <v>4593</v>
      </c>
      <c r="E235" s="1" t="str">
        <f>_xlfn.XLOOKUP(tblSales[[#This Row],[Customer ID]],tblCustomers[Customer ID],tblCustomers[Customer Name],"⚠ Unknown")</f>
        <v>PT Graha Nusa Persada</v>
      </c>
      <c r="F235" s="4" t="s">
        <v>10</v>
      </c>
      <c r="G235" s="1" t="str">
        <f>_xlfn.XLOOKUP(tblSales[[#This Row],[Product Code]],tblProducts[Code],tblProducts[Product / Service Name],"⚠ Unknown")</f>
        <v>Chino Pants</v>
      </c>
      <c r="H235" s="1" t="str">
        <f>_xlfn.XLOOKUP(tblSales[[#This Row],[Product Code]],tblProducts[Code],tblProducts[Category],"")</f>
        <v>Apparel &amp; Footwear</v>
      </c>
      <c r="I235" s="4">
        <v>48</v>
      </c>
      <c r="J235" s="5">
        <f>_xlfn.XLOOKUP(tblSales[[#This Row],[Product Code]],tblProducts[Code],tblProducts[Selling Price (excl. VAT)],0)</f>
        <v>150000</v>
      </c>
      <c r="K235" s="5">
        <f>tblSales[[#This Row],[Qty]]*tblSales[[#This Row],[Unit Price]]</f>
        <v>7200000</v>
      </c>
      <c r="L235" s="5">
        <f>ROUND(tblSales[[#This Row],[DPP (excl. VAT)]]*VATEff,0)</f>
        <v>792000</v>
      </c>
      <c r="M235" s="5">
        <f>tblSales[[#This Row],[DPP (excl. VAT)]]+tblSales[[#This Row],[Output VAT]]</f>
        <v>7992000</v>
      </c>
      <c r="N235" s="5">
        <f>tblSales[[#This Row],[Qty]]*_xlfn.XLOOKUP(tblSales[[#This Row],[Product Code]],tblProducts[Code],tblProducts[Unit Cost],0)</f>
        <v>4224000</v>
      </c>
      <c r="O235" s="4" t="s">
        <v>4867</v>
      </c>
      <c r="P235" s="4" t="s">
        <v>4860</v>
      </c>
      <c r="Q235" s="1" t="str">
        <f>_xlfn.XLOOKUP(tblSales[[#This Row],[Channel Code]],tblChannels[Channel Code],tblChannels[Channel Name],"")</f>
        <v>In-store</v>
      </c>
      <c r="R235" s="1">
        <f>MONTH(tblSales[[#This Row],[Date]])</f>
        <v>1</v>
      </c>
    </row>
    <row r="236" spans="2:18" x14ac:dyDescent="0.35">
      <c r="B236" s="113">
        <v>46038</v>
      </c>
      <c r="C236" s="4" t="s">
        <v>211</v>
      </c>
      <c r="D236" s="4" t="s">
        <v>4593</v>
      </c>
      <c r="E236" s="1" t="str">
        <f>_xlfn.XLOOKUP(tblSales[[#This Row],[Customer ID]],tblCustomers[Customer ID],tblCustomers[Customer Name],"⚠ Unknown")</f>
        <v>PT Graha Nusa Persada</v>
      </c>
      <c r="F236" s="4" t="s">
        <v>13</v>
      </c>
      <c r="G236" s="1" t="str">
        <f>_xlfn.XLOOKUP(tblSales[[#This Row],[Product Code]],tblProducts[Code],tblProducts[Product / Service Name],"⚠ Unknown")</f>
        <v>Backpack</v>
      </c>
      <c r="H236" s="1" t="str">
        <f>_xlfn.XLOOKUP(tblSales[[#This Row],[Product Code]],tblProducts[Code],tblProducts[Category],"")</f>
        <v>Bags &amp; Gadgets</v>
      </c>
      <c r="I236" s="4">
        <v>24</v>
      </c>
      <c r="J236" s="5">
        <f>_xlfn.XLOOKUP(tblSales[[#This Row],[Product Code]],tblProducts[Code],tblProducts[Selling Price (excl. VAT)],0)</f>
        <v>500000</v>
      </c>
      <c r="K236" s="5">
        <f>tblSales[[#This Row],[Qty]]*tblSales[[#This Row],[Unit Price]]</f>
        <v>12000000</v>
      </c>
      <c r="L236" s="5">
        <f>ROUND(tblSales[[#This Row],[DPP (excl. VAT)]]*VATEff,0)</f>
        <v>1320000</v>
      </c>
      <c r="M236" s="5">
        <f>tblSales[[#This Row],[DPP (excl. VAT)]]+tblSales[[#This Row],[Output VAT]]</f>
        <v>13320000</v>
      </c>
      <c r="N236" s="5">
        <f>tblSales[[#This Row],[Qty]]*_xlfn.XLOOKUP(tblSales[[#This Row],[Product Code]],tblProducts[Code],tblProducts[Unit Cost],0)</f>
        <v>6960000</v>
      </c>
      <c r="O236" s="4" t="s">
        <v>4867</v>
      </c>
      <c r="P236" s="4" t="s">
        <v>4860</v>
      </c>
      <c r="Q236" s="1" t="str">
        <f>_xlfn.XLOOKUP(tblSales[[#This Row],[Channel Code]],tblChannels[Channel Code],tblChannels[Channel Name],"")</f>
        <v>In-store</v>
      </c>
      <c r="R236" s="1">
        <f>MONTH(tblSales[[#This Row],[Date]])</f>
        <v>1</v>
      </c>
    </row>
    <row r="237" spans="2:18" x14ac:dyDescent="0.35">
      <c r="B237" s="113">
        <v>46038</v>
      </c>
      <c r="C237" s="4" t="s">
        <v>212</v>
      </c>
      <c r="D237" s="4" t="s">
        <v>4593</v>
      </c>
      <c r="E237" s="1" t="str">
        <f>_xlfn.XLOOKUP(tblSales[[#This Row],[Customer ID]],tblCustomers[Customer ID],tblCustomers[Customer Name],"⚠ Unknown")</f>
        <v>PT Graha Nusa Persada</v>
      </c>
      <c r="F237" s="4" t="s">
        <v>12</v>
      </c>
      <c r="G237" s="1" t="str">
        <f>_xlfn.XLOOKUP(tblSales[[#This Row],[Product Code]],tblProducts[Code],tblProducts[Product / Service Name],"⚠ Unknown")</f>
        <v>Bomber Jacket</v>
      </c>
      <c r="H237" s="1" t="str">
        <f>_xlfn.XLOOKUP(tblSales[[#This Row],[Product Code]],tblProducts[Code],tblProducts[Category],"")</f>
        <v>Apparel &amp; Footwear</v>
      </c>
      <c r="I237" s="4">
        <v>16</v>
      </c>
      <c r="J237" s="5">
        <f>_xlfn.XLOOKUP(tblSales[[#This Row],[Product Code]],tblProducts[Code],tblProducts[Selling Price (excl. VAT)],0)</f>
        <v>350000</v>
      </c>
      <c r="K237" s="5">
        <f>tblSales[[#This Row],[Qty]]*tblSales[[#This Row],[Unit Price]]</f>
        <v>5600000</v>
      </c>
      <c r="L237" s="5">
        <f>ROUND(tblSales[[#This Row],[DPP (excl. VAT)]]*VATEff,0)</f>
        <v>616000</v>
      </c>
      <c r="M237" s="5">
        <f>tblSales[[#This Row],[DPP (excl. VAT)]]+tblSales[[#This Row],[Output VAT]]</f>
        <v>6216000</v>
      </c>
      <c r="N237" s="5">
        <f>tblSales[[#This Row],[Qty]]*_xlfn.XLOOKUP(tblSales[[#This Row],[Product Code]],tblProducts[Code],tblProducts[Unit Cost],0)</f>
        <v>3360000</v>
      </c>
      <c r="O237" s="4" t="s">
        <v>4867</v>
      </c>
      <c r="P237" s="4" t="s">
        <v>4860</v>
      </c>
      <c r="Q237" s="1" t="str">
        <f>_xlfn.XLOOKUP(tblSales[[#This Row],[Channel Code]],tblChannels[Channel Code],tblChannels[Channel Name],"")</f>
        <v>In-store</v>
      </c>
      <c r="R237" s="1">
        <f>MONTH(tblSales[[#This Row],[Date]])</f>
        <v>1</v>
      </c>
    </row>
    <row r="238" spans="2:18" x14ac:dyDescent="0.35">
      <c r="B238" s="113">
        <v>46038</v>
      </c>
      <c r="C238" s="4" t="s">
        <v>212</v>
      </c>
      <c r="D238" s="4" t="s">
        <v>4593</v>
      </c>
      <c r="E238" s="1" t="str">
        <f>_xlfn.XLOOKUP(tblSales[[#This Row],[Customer ID]],tblCustomers[Customer ID],tblCustomers[Customer Name],"⚠ Unknown")</f>
        <v>PT Graha Nusa Persada</v>
      </c>
      <c r="F238" s="4" t="s">
        <v>9</v>
      </c>
      <c r="G238" s="1" t="str">
        <f>_xlfn.XLOOKUP(tblSales[[#This Row],[Product Code]],tblProducts[Code],tblProducts[Product / Service Name],"⚠ Unknown")</f>
        <v>Casual Shirt</v>
      </c>
      <c r="H238" s="1" t="str">
        <f>_xlfn.XLOOKUP(tblSales[[#This Row],[Product Code]],tblProducts[Code],tblProducts[Category],"")</f>
        <v>Apparel &amp; Footwear</v>
      </c>
      <c r="I238" s="4">
        <v>56</v>
      </c>
      <c r="J238" s="5">
        <f>_xlfn.XLOOKUP(tblSales[[#This Row],[Product Code]],tblProducts[Code],tblProducts[Selling Price (excl. VAT)],0)</f>
        <v>120000</v>
      </c>
      <c r="K238" s="5">
        <f>tblSales[[#This Row],[Qty]]*tblSales[[#This Row],[Unit Price]]</f>
        <v>6720000</v>
      </c>
      <c r="L238" s="5">
        <f>ROUND(tblSales[[#This Row],[DPP (excl. VAT)]]*VATEff,0)</f>
        <v>739200</v>
      </c>
      <c r="M238" s="5">
        <f>tblSales[[#This Row],[DPP (excl. VAT)]]+tblSales[[#This Row],[Output VAT]]</f>
        <v>7459200</v>
      </c>
      <c r="N238" s="5">
        <f>tblSales[[#This Row],[Qty]]*_xlfn.XLOOKUP(tblSales[[#This Row],[Product Code]],tblProducts[Code],tblProducts[Unit Cost],0)</f>
        <v>4032000</v>
      </c>
      <c r="O238" s="4" t="s">
        <v>4867</v>
      </c>
      <c r="P238" s="4" t="s">
        <v>4860</v>
      </c>
      <c r="Q238" s="1" t="str">
        <f>_xlfn.XLOOKUP(tblSales[[#This Row],[Channel Code]],tblChannels[Channel Code],tblChannels[Channel Name],"")</f>
        <v>In-store</v>
      </c>
      <c r="R238" s="1">
        <f>MONTH(tblSales[[#This Row],[Date]])</f>
        <v>1</v>
      </c>
    </row>
    <row r="239" spans="2:18" x14ac:dyDescent="0.35">
      <c r="B239" s="113">
        <v>46039</v>
      </c>
      <c r="C239" s="4" t="s">
        <v>213</v>
      </c>
      <c r="D239" s="4" t="s">
        <v>4578</v>
      </c>
      <c r="E239" s="1" t="str">
        <f>_xlfn.XLOOKUP(tblSales[[#This Row],[Customer ID]],tblCustomers[Customer ID],tblCustomers[Customer Name],"⚠ Unknown")</f>
        <v>PT Bintang Timur Sejahtera</v>
      </c>
      <c r="F239" s="4" t="s">
        <v>8</v>
      </c>
      <c r="G239" s="1" t="str">
        <f>_xlfn.XLOOKUP(tblSales[[#This Row],[Product Code]],tblProducts[Code],tblProducts[Product / Service Name],"⚠ Unknown")</f>
        <v>Casual Shorts</v>
      </c>
      <c r="H239" s="1" t="str">
        <f>_xlfn.XLOOKUP(tblSales[[#This Row],[Product Code]],tblProducts[Code],tblProducts[Category],"")</f>
        <v>Accessories &amp; Basics</v>
      </c>
      <c r="I239" s="4">
        <v>16</v>
      </c>
      <c r="J239" s="5">
        <f>_xlfn.XLOOKUP(tblSales[[#This Row],[Product Code]],tblProducts[Code],tblProducts[Selling Price (excl. VAT)],0)</f>
        <v>85000</v>
      </c>
      <c r="K239" s="5">
        <f>tblSales[[#This Row],[Qty]]*tblSales[[#This Row],[Unit Price]]</f>
        <v>1360000</v>
      </c>
      <c r="L239" s="5">
        <f>ROUND(tblSales[[#This Row],[DPP (excl. VAT)]]*VATEff,0)</f>
        <v>149600</v>
      </c>
      <c r="M239" s="5">
        <f>tblSales[[#This Row],[DPP (excl. VAT)]]+tblSales[[#This Row],[Output VAT]]</f>
        <v>1509600</v>
      </c>
      <c r="N239" s="5">
        <f>tblSales[[#This Row],[Qty]]*_xlfn.XLOOKUP(tblSales[[#This Row],[Product Code]],tblProducts[Code],tblProducts[Unit Cost],0)</f>
        <v>800000</v>
      </c>
      <c r="O239" s="4" t="s">
        <v>4867</v>
      </c>
      <c r="P239" s="4" t="s">
        <v>4860</v>
      </c>
      <c r="Q239" s="1" t="str">
        <f>_xlfn.XLOOKUP(tblSales[[#This Row],[Channel Code]],tblChannels[Channel Code],tblChannels[Channel Name],"")</f>
        <v>In-store</v>
      </c>
      <c r="R239" s="1">
        <f>MONTH(tblSales[[#This Row],[Date]])</f>
        <v>1</v>
      </c>
    </row>
    <row r="240" spans="2:18" x14ac:dyDescent="0.35">
      <c r="B240" s="113">
        <v>46039</v>
      </c>
      <c r="C240" s="4" t="s">
        <v>214</v>
      </c>
      <c r="D240" s="4" t="s">
        <v>4568</v>
      </c>
      <c r="E240" s="1" t="str">
        <f>_xlfn.XLOOKUP(tblSales[[#This Row],[Customer ID]],tblCustomers[Customer ID],tblCustomers[Customer Name],"⚠ Unknown")</f>
        <v>Walk-in Customer</v>
      </c>
      <c r="F240" s="4" t="s">
        <v>11</v>
      </c>
      <c r="G240" s="1" t="str">
        <f>_xlfn.XLOOKUP(tblSales[[#This Row],[Product Code]],tblProducts[Code],tblProducts[Product / Service Name],"⚠ Unknown")</f>
        <v>Sneakers</v>
      </c>
      <c r="H240" s="1" t="str">
        <f>_xlfn.XLOOKUP(tblSales[[#This Row],[Product Code]],tblProducts[Code],tblProducts[Category],"")</f>
        <v>Apparel &amp; Footwear</v>
      </c>
      <c r="I240" s="4">
        <v>3</v>
      </c>
      <c r="J240" s="5">
        <f>_xlfn.XLOOKUP(tblSales[[#This Row],[Product Code]],tblProducts[Code],tblProducts[Selling Price (excl. VAT)],0)</f>
        <v>250000</v>
      </c>
      <c r="K240" s="5">
        <f>tblSales[[#This Row],[Qty]]*tblSales[[#This Row],[Unit Price]]</f>
        <v>750000</v>
      </c>
      <c r="L240" s="5">
        <f>ROUND(tblSales[[#This Row],[DPP (excl. VAT)]]*VATEff,0)</f>
        <v>82500</v>
      </c>
      <c r="M240" s="5">
        <f>tblSales[[#This Row],[DPP (excl. VAT)]]+tblSales[[#This Row],[Output VAT]]</f>
        <v>832500</v>
      </c>
      <c r="N240" s="5">
        <f>tblSales[[#This Row],[Qty]]*_xlfn.XLOOKUP(tblSales[[#This Row],[Product Code]],tblProducts[Code],tblProducts[Unit Cost],0)</f>
        <v>465000</v>
      </c>
      <c r="O240" s="4" t="s">
        <v>4866</v>
      </c>
      <c r="P240" s="4" t="s">
        <v>4861</v>
      </c>
      <c r="Q240" s="1" t="str">
        <f>_xlfn.XLOOKUP(tblSales[[#This Row],[Channel Code]],tblChannels[Channel Code],tblChannels[Channel Name],"")</f>
        <v>Marketplace</v>
      </c>
      <c r="R240" s="1">
        <f>MONTH(tblSales[[#This Row],[Date]])</f>
        <v>1</v>
      </c>
    </row>
    <row r="241" spans="2:18" x14ac:dyDescent="0.35">
      <c r="B241" s="113">
        <v>46039</v>
      </c>
      <c r="C241" s="4" t="s">
        <v>215</v>
      </c>
      <c r="D241" s="4" t="s">
        <v>4568</v>
      </c>
      <c r="E241" s="1" t="str">
        <f>_xlfn.XLOOKUP(tblSales[[#This Row],[Customer ID]],tblCustomers[Customer ID],tblCustomers[Customer Name],"⚠ Unknown")</f>
        <v>Walk-in Customer</v>
      </c>
      <c r="F241" s="4" t="s">
        <v>7</v>
      </c>
      <c r="G241" s="1" t="str">
        <f>_xlfn.XLOOKUP(tblSales[[#This Row],[Product Code]],tblProducts[Code],tblProducts[Product / Service Name],"⚠ Unknown")</f>
        <v>Premium Basic T-shirt</v>
      </c>
      <c r="H241" s="1" t="str">
        <f>_xlfn.XLOOKUP(tblSales[[#This Row],[Product Code]],tblProducts[Code],tblProducts[Category],"")</f>
        <v>Accessories &amp; Basics</v>
      </c>
      <c r="I241" s="4">
        <v>5</v>
      </c>
      <c r="J241" s="5">
        <f>_xlfn.XLOOKUP(tblSales[[#This Row],[Product Code]],tblProducts[Code],tblProducts[Selling Price (excl. VAT)],0)</f>
        <v>65000</v>
      </c>
      <c r="K241" s="5">
        <f>tblSales[[#This Row],[Qty]]*tblSales[[#This Row],[Unit Price]]</f>
        <v>325000</v>
      </c>
      <c r="L241" s="5">
        <f>ROUND(tblSales[[#This Row],[DPP (excl. VAT)]]*VATEff,0)</f>
        <v>35750</v>
      </c>
      <c r="M241" s="5">
        <f>tblSales[[#This Row],[DPP (excl. VAT)]]+tblSales[[#This Row],[Output VAT]]</f>
        <v>360750</v>
      </c>
      <c r="N241" s="5">
        <f>tblSales[[#This Row],[Qty]]*_xlfn.XLOOKUP(tblSales[[#This Row],[Product Code]],tblProducts[Code],tblProducts[Unit Cost],0)</f>
        <v>185000</v>
      </c>
      <c r="O241" s="4" t="s">
        <v>4866</v>
      </c>
      <c r="P241" s="4" t="s">
        <v>4860</v>
      </c>
      <c r="Q241" s="1" t="str">
        <f>_xlfn.XLOOKUP(tblSales[[#This Row],[Channel Code]],tblChannels[Channel Code],tblChannels[Channel Name],"")</f>
        <v>In-store</v>
      </c>
      <c r="R241" s="1">
        <f>MONTH(tblSales[[#This Row],[Date]])</f>
        <v>1</v>
      </c>
    </row>
    <row r="242" spans="2:18" x14ac:dyDescent="0.35">
      <c r="B242" s="113">
        <v>46039</v>
      </c>
      <c r="C242" s="4" t="s">
        <v>215</v>
      </c>
      <c r="D242" s="4" t="s">
        <v>4568</v>
      </c>
      <c r="E242" s="1" t="str">
        <f>_xlfn.XLOOKUP(tblSales[[#This Row],[Customer ID]],tblCustomers[Customer ID],tblCustomers[Customer Name],"⚠ Unknown")</f>
        <v>Walk-in Customer</v>
      </c>
      <c r="F242" s="4" t="s">
        <v>10</v>
      </c>
      <c r="G242" s="1" t="str">
        <f>_xlfn.XLOOKUP(tblSales[[#This Row],[Product Code]],tblProducts[Code],tblProducts[Product / Service Name],"⚠ Unknown")</f>
        <v>Chino Pants</v>
      </c>
      <c r="H242" s="1" t="str">
        <f>_xlfn.XLOOKUP(tblSales[[#This Row],[Product Code]],tblProducts[Code],tblProducts[Category],"")</f>
        <v>Apparel &amp; Footwear</v>
      </c>
      <c r="I242" s="4">
        <v>1</v>
      </c>
      <c r="J242" s="5">
        <f>_xlfn.XLOOKUP(tblSales[[#This Row],[Product Code]],tblProducts[Code],tblProducts[Selling Price (excl. VAT)],0)</f>
        <v>150000</v>
      </c>
      <c r="K242" s="5">
        <f>tblSales[[#This Row],[Qty]]*tblSales[[#This Row],[Unit Price]]</f>
        <v>150000</v>
      </c>
      <c r="L242" s="5">
        <f>ROUND(tblSales[[#This Row],[DPP (excl. VAT)]]*VATEff,0)</f>
        <v>16500</v>
      </c>
      <c r="M242" s="5">
        <f>tblSales[[#This Row],[DPP (excl. VAT)]]+tblSales[[#This Row],[Output VAT]]</f>
        <v>166500</v>
      </c>
      <c r="N242" s="5">
        <f>tblSales[[#This Row],[Qty]]*_xlfn.XLOOKUP(tblSales[[#This Row],[Product Code]],tblProducts[Code],tblProducts[Unit Cost],0)</f>
        <v>88000</v>
      </c>
      <c r="O242" s="4" t="s">
        <v>4866</v>
      </c>
      <c r="P242" s="4" t="s">
        <v>4860</v>
      </c>
      <c r="Q242" s="1" t="str">
        <f>_xlfn.XLOOKUP(tblSales[[#This Row],[Channel Code]],tblChannels[Channel Code],tblChannels[Channel Name],"")</f>
        <v>In-store</v>
      </c>
      <c r="R242" s="1">
        <f>MONTH(tblSales[[#This Row],[Date]])</f>
        <v>1</v>
      </c>
    </row>
    <row r="243" spans="2:18" x14ac:dyDescent="0.35">
      <c r="B243" s="113">
        <v>46039</v>
      </c>
      <c r="C243" s="4" t="s">
        <v>216</v>
      </c>
      <c r="D243" s="4" t="s">
        <v>4613</v>
      </c>
      <c r="E243" s="1" t="str">
        <f>_xlfn.XLOOKUP(tblSales[[#This Row],[Customer ID]],tblCustomers[Customer ID],tblCustomers[Customer Name],"⚠ Unknown")</f>
        <v>PT Mega Prima Distribusi</v>
      </c>
      <c r="F243" s="4" t="s">
        <v>9</v>
      </c>
      <c r="G243" s="1" t="str">
        <f>_xlfn.XLOOKUP(tblSales[[#This Row],[Product Code]],tblProducts[Code],tblProducts[Product / Service Name],"⚠ Unknown")</f>
        <v>Casual Shirt</v>
      </c>
      <c r="H243" s="1" t="str">
        <f>_xlfn.XLOOKUP(tblSales[[#This Row],[Product Code]],tblProducts[Code],tblProducts[Category],"")</f>
        <v>Apparel &amp; Footwear</v>
      </c>
      <c r="I243" s="4">
        <v>56</v>
      </c>
      <c r="J243" s="5">
        <f>_xlfn.XLOOKUP(tblSales[[#This Row],[Product Code]],tblProducts[Code],tblProducts[Selling Price (excl. VAT)],0)</f>
        <v>120000</v>
      </c>
      <c r="K243" s="5">
        <f>tblSales[[#This Row],[Qty]]*tblSales[[#This Row],[Unit Price]]</f>
        <v>6720000</v>
      </c>
      <c r="L243" s="5">
        <f>ROUND(tblSales[[#This Row],[DPP (excl. VAT)]]*VATEff,0)</f>
        <v>739200</v>
      </c>
      <c r="M243" s="5">
        <f>tblSales[[#This Row],[DPP (excl. VAT)]]+tblSales[[#This Row],[Output VAT]]</f>
        <v>7459200</v>
      </c>
      <c r="N243" s="5">
        <f>tblSales[[#This Row],[Qty]]*_xlfn.XLOOKUP(tblSales[[#This Row],[Product Code]],tblProducts[Code],tblProducts[Unit Cost],0)</f>
        <v>4032000</v>
      </c>
      <c r="O243" s="4" t="s">
        <v>4867</v>
      </c>
      <c r="P243" s="4" t="s">
        <v>4862</v>
      </c>
      <c r="Q243" s="1" t="str">
        <f>_xlfn.XLOOKUP(tblSales[[#This Row],[Channel Code]],tblChannels[Channel Code],tblChannels[Channel Name],"")</f>
        <v>Website &amp; Social Media</v>
      </c>
      <c r="R243" s="1">
        <f>MONTH(tblSales[[#This Row],[Date]])</f>
        <v>1</v>
      </c>
    </row>
    <row r="244" spans="2:18" x14ac:dyDescent="0.35">
      <c r="B244" s="113">
        <v>46039</v>
      </c>
      <c r="C244" s="4" t="s">
        <v>217</v>
      </c>
      <c r="D244" s="4" t="s">
        <v>4568</v>
      </c>
      <c r="E244" s="1" t="str">
        <f>_xlfn.XLOOKUP(tblSales[[#This Row],[Customer ID]],tblCustomers[Customer ID],tblCustomers[Customer Name],"⚠ Unknown")</f>
        <v>Walk-in Customer</v>
      </c>
      <c r="F244" s="4" t="s">
        <v>9</v>
      </c>
      <c r="G244" s="1" t="str">
        <f>_xlfn.XLOOKUP(tblSales[[#This Row],[Product Code]],tblProducts[Code],tblProducts[Product / Service Name],"⚠ Unknown")</f>
        <v>Casual Shirt</v>
      </c>
      <c r="H244" s="1" t="str">
        <f>_xlfn.XLOOKUP(tblSales[[#This Row],[Product Code]],tblProducts[Code],tblProducts[Category],"")</f>
        <v>Apparel &amp; Footwear</v>
      </c>
      <c r="I244" s="4">
        <v>8</v>
      </c>
      <c r="J244" s="5">
        <f>_xlfn.XLOOKUP(tblSales[[#This Row],[Product Code]],tblProducts[Code],tblProducts[Selling Price (excl. VAT)],0)</f>
        <v>120000</v>
      </c>
      <c r="K244" s="5">
        <f>tblSales[[#This Row],[Qty]]*tblSales[[#This Row],[Unit Price]]</f>
        <v>960000</v>
      </c>
      <c r="L244" s="5">
        <f>ROUND(tblSales[[#This Row],[DPP (excl. VAT)]]*VATEff,0)</f>
        <v>105600</v>
      </c>
      <c r="M244" s="5">
        <f>tblSales[[#This Row],[DPP (excl. VAT)]]+tblSales[[#This Row],[Output VAT]]</f>
        <v>1065600</v>
      </c>
      <c r="N244" s="5">
        <f>tblSales[[#This Row],[Qty]]*_xlfn.XLOOKUP(tblSales[[#This Row],[Product Code]],tblProducts[Code],tblProducts[Unit Cost],0)</f>
        <v>576000</v>
      </c>
      <c r="O244" s="4" t="s">
        <v>4865</v>
      </c>
      <c r="P244" s="4" t="s">
        <v>4860</v>
      </c>
      <c r="Q244" s="1" t="str">
        <f>_xlfn.XLOOKUP(tblSales[[#This Row],[Channel Code]],tblChannels[Channel Code],tblChannels[Channel Name],"")</f>
        <v>In-store</v>
      </c>
      <c r="R244" s="1">
        <f>MONTH(tblSales[[#This Row],[Date]])</f>
        <v>1</v>
      </c>
    </row>
    <row r="245" spans="2:18" x14ac:dyDescent="0.35">
      <c r="B245" s="113">
        <v>46039</v>
      </c>
      <c r="C245" s="4" t="s">
        <v>218</v>
      </c>
      <c r="D245" s="4" t="s">
        <v>4568</v>
      </c>
      <c r="E245" s="1" t="str">
        <f>_xlfn.XLOOKUP(tblSales[[#This Row],[Customer ID]],tblCustomers[Customer ID],tblCustomers[Customer Name],"⚠ Unknown")</f>
        <v>Walk-in Customer</v>
      </c>
      <c r="F245" s="4" t="s">
        <v>10</v>
      </c>
      <c r="G245" s="1" t="str">
        <f>_xlfn.XLOOKUP(tblSales[[#This Row],[Product Code]],tblProducts[Code],tblProducts[Product / Service Name],"⚠ Unknown")</f>
        <v>Chino Pants</v>
      </c>
      <c r="H245" s="1" t="str">
        <f>_xlfn.XLOOKUP(tblSales[[#This Row],[Product Code]],tblProducts[Code],tblProducts[Category],"")</f>
        <v>Apparel &amp; Footwear</v>
      </c>
      <c r="I245" s="4">
        <v>6</v>
      </c>
      <c r="J245" s="5">
        <f>_xlfn.XLOOKUP(tblSales[[#This Row],[Product Code]],tblProducts[Code],tblProducts[Selling Price (excl. VAT)],0)</f>
        <v>150000</v>
      </c>
      <c r="K245" s="5">
        <f>tblSales[[#This Row],[Qty]]*tblSales[[#This Row],[Unit Price]]</f>
        <v>900000</v>
      </c>
      <c r="L245" s="5">
        <f>ROUND(tblSales[[#This Row],[DPP (excl. VAT)]]*VATEff,0)</f>
        <v>99000</v>
      </c>
      <c r="M245" s="5">
        <f>tblSales[[#This Row],[DPP (excl. VAT)]]+tblSales[[#This Row],[Output VAT]]</f>
        <v>999000</v>
      </c>
      <c r="N245" s="5">
        <f>tblSales[[#This Row],[Qty]]*_xlfn.XLOOKUP(tblSales[[#This Row],[Product Code]],tblProducts[Code],tblProducts[Unit Cost],0)</f>
        <v>528000</v>
      </c>
      <c r="O245" s="4" t="s">
        <v>4865</v>
      </c>
      <c r="P245" s="4" t="s">
        <v>4860</v>
      </c>
      <c r="Q245" s="1" t="str">
        <f>_xlfn.XLOOKUP(tblSales[[#This Row],[Channel Code]],tblChannels[Channel Code],tblChannels[Channel Name],"")</f>
        <v>In-store</v>
      </c>
      <c r="R245" s="1">
        <f>MONTH(tblSales[[#This Row],[Date]])</f>
        <v>1</v>
      </c>
    </row>
    <row r="246" spans="2:18" x14ac:dyDescent="0.35">
      <c r="B246" s="113">
        <v>46039</v>
      </c>
      <c r="C246" s="4" t="s">
        <v>218</v>
      </c>
      <c r="D246" s="4" t="s">
        <v>4568</v>
      </c>
      <c r="E246" s="1" t="str">
        <f>_xlfn.XLOOKUP(tblSales[[#This Row],[Customer ID]],tblCustomers[Customer ID],tblCustomers[Customer Name],"⚠ Unknown")</f>
        <v>Walk-in Customer</v>
      </c>
      <c r="F246" s="4" t="s">
        <v>6</v>
      </c>
      <c r="G246" s="1" t="str">
        <f>_xlfn.XLOOKUP(tblSales[[#This Row],[Product Code]],tblProducts[Code],tblProducts[Product / Service Name],"⚠ Unknown")</f>
        <v>Socks &amp; Accessories</v>
      </c>
      <c r="H246" s="1" t="str">
        <f>_xlfn.XLOOKUP(tblSales[[#This Row],[Product Code]],tblProducts[Code],tblProducts[Category],"")</f>
        <v>Accessories &amp; Basics</v>
      </c>
      <c r="I246" s="4">
        <v>10</v>
      </c>
      <c r="J246" s="5">
        <f>_xlfn.XLOOKUP(tblSales[[#This Row],[Product Code]],tblProducts[Code],tblProducts[Selling Price (excl. VAT)],0)</f>
        <v>45000</v>
      </c>
      <c r="K246" s="5">
        <f>tblSales[[#This Row],[Qty]]*tblSales[[#This Row],[Unit Price]]</f>
        <v>450000</v>
      </c>
      <c r="L246" s="5">
        <f>ROUND(tblSales[[#This Row],[DPP (excl. VAT)]]*VATEff,0)</f>
        <v>49500</v>
      </c>
      <c r="M246" s="5">
        <f>tblSales[[#This Row],[DPP (excl. VAT)]]+tblSales[[#This Row],[Output VAT]]</f>
        <v>499500</v>
      </c>
      <c r="N246" s="5">
        <f>tblSales[[#This Row],[Qty]]*_xlfn.XLOOKUP(tblSales[[#This Row],[Product Code]],tblProducts[Code],tblProducts[Unit Cost],0)</f>
        <v>240000</v>
      </c>
      <c r="O246" s="4" t="s">
        <v>4865</v>
      </c>
      <c r="P246" s="4" t="s">
        <v>4860</v>
      </c>
      <c r="Q246" s="1" t="str">
        <f>_xlfn.XLOOKUP(tblSales[[#This Row],[Channel Code]],tblChannels[Channel Code],tblChannels[Channel Name],"")</f>
        <v>In-store</v>
      </c>
      <c r="R246" s="1">
        <f>MONTH(tblSales[[#This Row],[Date]])</f>
        <v>1</v>
      </c>
    </row>
    <row r="247" spans="2:18" x14ac:dyDescent="0.35">
      <c r="B247" s="113">
        <v>46039</v>
      </c>
      <c r="C247" s="4" t="s">
        <v>219</v>
      </c>
      <c r="D247" s="4" t="s">
        <v>4593</v>
      </c>
      <c r="E247" s="1" t="str">
        <f>_xlfn.XLOOKUP(tblSales[[#This Row],[Customer ID]],tblCustomers[Customer ID],tblCustomers[Customer Name],"⚠ Unknown")</f>
        <v>PT Graha Nusa Persada</v>
      </c>
      <c r="F247" s="4" t="s">
        <v>12</v>
      </c>
      <c r="G247" s="1" t="str">
        <f>_xlfn.XLOOKUP(tblSales[[#This Row],[Product Code]],tblProducts[Code],tblProducts[Product / Service Name],"⚠ Unknown")</f>
        <v>Bomber Jacket</v>
      </c>
      <c r="H247" s="1" t="str">
        <f>_xlfn.XLOOKUP(tblSales[[#This Row],[Product Code]],tblProducts[Code],tblProducts[Category],"")</f>
        <v>Apparel &amp; Footwear</v>
      </c>
      <c r="I247" s="4">
        <v>8</v>
      </c>
      <c r="J247" s="5">
        <f>_xlfn.XLOOKUP(tblSales[[#This Row],[Product Code]],tblProducts[Code],tblProducts[Selling Price (excl. VAT)],0)</f>
        <v>350000</v>
      </c>
      <c r="K247" s="5">
        <f>tblSales[[#This Row],[Qty]]*tblSales[[#This Row],[Unit Price]]</f>
        <v>2800000</v>
      </c>
      <c r="L247" s="5">
        <f>ROUND(tblSales[[#This Row],[DPP (excl. VAT)]]*VATEff,0)</f>
        <v>308000</v>
      </c>
      <c r="M247" s="5">
        <f>tblSales[[#This Row],[DPP (excl. VAT)]]+tblSales[[#This Row],[Output VAT]]</f>
        <v>3108000</v>
      </c>
      <c r="N247" s="5">
        <f>tblSales[[#This Row],[Qty]]*_xlfn.XLOOKUP(tblSales[[#This Row],[Product Code]],tblProducts[Code],tblProducts[Unit Cost],0)</f>
        <v>1680000</v>
      </c>
      <c r="O247" s="4" t="s">
        <v>4867</v>
      </c>
      <c r="P247" s="4" t="s">
        <v>4860</v>
      </c>
      <c r="Q247" s="1" t="str">
        <f>_xlfn.XLOOKUP(tblSales[[#This Row],[Channel Code]],tblChannels[Channel Code],tblChannels[Channel Name],"")</f>
        <v>In-store</v>
      </c>
      <c r="R247" s="1">
        <f>MONTH(tblSales[[#This Row],[Date]])</f>
        <v>1</v>
      </c>
    </row>
    <row r="248" spans="2:18" x14ac:dyDescent="0.35">
      <c r="B248" s="113">
        <v>46039</v>
      </c>
      <c r="C248" s="4" t="s">
        <v>220</v>
      </c>
      <c r="D248" s="4" t="s">
        <v>4568</v>
      </c>
      <c r="E248" s="1" t="str">
        <f>_xlfn.XLOOKUP(tblSales[[#This Row],[Customer ID]],tblCustomers[Customer ID],tblCustomers[Customer Name],"⚠ Unknown")</f>
        <v>Walk-in Customer</v>
      </c>
      <c r="F248" s="4" t="s">
        <v>8</v>
      </c>
      <c r="G248" s="1" t="str">
        <f>_xlfn.XLOOKUP(tblSales[[#This Row],[Product Code]],tblProducts[Code],tblProducts[Product / Service Name],"⚠ Unknown")</f>
        <v>Casual Shorts</v>
      </c>
      <c r="H248" s="1" t="str">
        <f>_xlfn.XLOOKUP(tblSales[[#This Row],[Product Code]],tblProducts[Code],tblProducts[Category],"")</f>
        <v>Accessories &amp; Basics</v>
      </c>
      <c r="I248" s="4">
        <v>1</v>
      </c>
      <c r="J248" s="5">
        <f>_xlfn.XLOOKUP(tblSales[[#This Row],[Product Code]],tblProducts[Code],tblProducts[Selling Price (excl. VAT)],0)</f>
        <v>85000</v>
      </c>
      <c r="K248" s="5">
        <f>tblSales[[#This Row],[Qty]]*tblSales[[#This Row],[Unit Price]]</f>
        <v>85000</v>
      </c>
      <c r="L248" s="5">
        <f>ROUND(tblSales[[#This Row],[DPP (excl. VAT)]]*VATEff,0)</f>
        <v>9350</v>
      </c>
      <c r="M248" s="5">
        <f>tblSales[[#This Row],[DPP (excl. VAT)]]+tblSales[[#This Row],[Output VAT]]</f>
        <v>94350</v>
      </c>
      <c r="N248" s="5">
        <f>tblSales[[#This Row],[Qty]]*_xlfn.XLOOKUP(tblSales[[#This Row],[Product Code]],tblProducts[Code],tblProducts[Unit Cost],0)</f>
        <v>50000</v>
      </c>
      <c r="O248" s="4" t="s">
        <v>4866</v>
      </c>
      <c r="P248" s="4" t="s">
        <v>4860</v>
      </c>
      <c r="Q248" s="1" t="str">
        <f>_xlfn.XLOOKUP(tblSales[[#This Row],[Channel Code]],tblChannels[Channel Code],tblChannels[Channel Name],"")</f>
        <v>In-store</v>
      </c>
      <c r="R248" s="1">
        <f>MONTH(tblSales[[#This Row],[Date]])</f>
        <v>1</v>
      </c>
    </row>
    <row r="249" spans="2:18" x14ac:dyDescent="0.35">
      <c r="B249" s="113">
        <v>46039</v>
      </c>
      <c r="C249" s="4" t="s">
        <v>221</v>
      </c>
      <c r="D249" s="4" t="s">
        <v>4578</v>
      </c>
      <c r="E249" s="1" t="str">
        <f>_xlfn.XLOOKUP(tblSales[[#This Row],[Customer ID]],tblCustomers[Customer ID],tblCustomers[Customer Name],"⚠ Unknown")</f>
        <v>PT Bintang Timur Sejahtera</v>
      </c>
      <c r="F249" s="4" t="s">
        <v>6</v>
      </c>
      <c r="G249" s="1" t="str">
        <f>_xlfn.XLOOKUP(tblSales[[#This Row],[Product Code]],tblProducts[Code],tblProducts[Product / Service Name],"⚠ Unknown")</f>
        <v>Socks &amp; Accessories</v>
      </c>
      <c r="H249" s="1" t="str">
        <f>_xlfn.XLOOKUP(tblSales[[#This Row],[Product Code]],tblProducts[Code],tblProducts[Category],"")</f>
        <v>Accessories &amp; Basics</v>
      </c>
      <c r="I249" s="4">
        <v>32</v>
      </c>
      <c r="J249" s="5">
        <f>_xlfn.XLOOKUP(tblSales[[#This Row],[Product Code]],tblProducts[Code],tblProducts[Selling Price (excl. VAT)],0)</f>
        <v>45000</v>
      </c>
      <c r="K249" s="5">
        <f>tblSales[[#This Row],[Qty]]*tblSales[[#This Row],[Unit Price]]</f>
        <v>1440000</v>
      </c>
      <c r="L249" s="5">
        <f>ROUND(tblSales[[#This Row],[DPP (excl. VAT)]]*VATEff,0)</f>
        <v>158400</v>
      </c>
      <c r="M249" s="5">
        <f>tblSales[[#This Row],[DPP (excl. VAT)]]+tblSales[[#This Row],[Output VAT]]</f>
        <v>1598400</v>
      </c>
      <c r="N249" s="5">
        <f>tblSales[[#This Row],[Qty]]*_xlfn.XLOOKUP(tblSales[[#This Row],[Product Code]],tblProducts[Code],tblProducts[Unit Cost],0)</f>
        <v>768000</v>
      </c>
      <c r="O249" s="4" t="s">
        <v>4867</v>
      </c>
      <c r="P249" s="4" t="s">
        <v>4860</v>
      </c>
      <c r="Q249" s="1" t="str">
        <f>_xlfn.XLOOKUP(tblSales[[#This Row],[Channel Code]],tblChannels[Channel Code],tblChannels[Channel Name],"")</f>
        <v>In-store</v>
      </c>
      <c r="R249" s="1">
        <f>MONTH(tblSales[[#This Row],[Date]])</f>
        <v>1</v>
      </c>
    </row>
    <row r="250" spans="2:18" x14ac:dyDescent="0.35">
      <c r="B250" s="113">
        <v>46039</v>
      </c>
      <c r="C250" s="4" t="s">
        <v>221</v>
      </c>
      <c r="D250" s="4" t="s">
        <v>4578</v>
      </c>
      <c r="E250" s="1" t="str">
        <f>_xlfn.XLOOKUP(tblSales[[#This Row],[Customer ID]],tblCustomers[Customer ID],tblCustomers[Customer Name],"⚠ Unknown")</f>
        <v>PT Bintang Timur Sejahtera</v>
      </c>
      <c r="F250" s="4" t="s">
        <v>12</v>
      </c>
      <c r="G250" s="1" t="str">
        <f>_xlfn.XLOOKUP(tblSales[[#This Row],[Product Code]],tblProducts[Code],tblProducts[Product / Service Name],"⚠ Unknown")</f>
        <v>Bomber Jacket</v>
      </c>
      <c r="H250" s="1" t="str">
        <f>_xlfn.XLOOKUP(tblSales[[#This Row],[Product Code]],tblProducts[Code],tblProducts[Category],"")</f>
        <v>Apparel &amp; Footwear</v>
      </c>
      <c r="I250" s="4">
        <v>24</v>
      </c>
      <c r="J250" s="5">
        <f>_xlfn.XLOOKUP(tblSales[[#This Row],[Product Code]],tblProducts[Code],tblProducts[Selling Price (excl. VAT)],0)</f>
        <v>350000</v>
      </c>
      <c r="K250" s="5">
        <f>tblSales[[#This Row],[Qty]]*tblSales[[#This Row],[Unit Price]]</f>
        <v>8400000</v>
      </c>
      <c r="L250" s="5">
        <f>ROUND(tblSales[[#This Row],[DPP (excl. VAT)]]*VATEff,0)</f>
        <v>924000</v>
      </c>
      <c r="M250" s="5">
        <f>tblSales[[#This Row],[DPP (excl. VAT)]]+tblSales[[#This Row],[Output VAT]]</f>
        <v>9324000</v>
      </c>
      <c r="N250" s="5">
        <f>tblSales[[#This Row],[Qty]]*_xlfn.XLOOKUP(tblSales[[#This Row],[Product Code]],tblProducts[Code],tblProducts[Unit Cost],0)</f>
        <v>5040000</v>
      </c>
      <c r="O250" s="4" t="s">
        <v>4867</v>
      </c>
      <c r="P250" s="4" t="s">
        <v>4860</v>
      </c>
      <c r="Q250" s="1" t="str">
        <f>_xlfn.XLOOKUP(tblSales[[#This Row],[Channel Code]],tblChannels[Channel Code],tblChannels[Channel Name],"")</f>
        <v>In-store</v>
      </c>
      <c r="R250" s="1">
        <f>MONTH(tblSales[[#This Row],[Date]])</f>
        <v>1</v>
      </c>
    </row>
    <row r="251" spans="2:18" x14ac:dyDescent="0.35">
      <c r="B251" s="113">
        <v>46039</v>
      </c>
      <c r="C251" s="4" t="s">
        <v>221</v>
      </c>
      <c r="D251" s="4" t="s">
        <v>4578</v>
      </c>
      <c r="E251" s="1" t="str">
        <f>_xlfn.XLOOKUP(tblSales[[#This Row],[Customer ID]],tblCustomers[Customer ID],tblCustomers[Customer Name],"⚠ Unknown")</f>
        <v>PT Bintang Timur Sejahtera</v>
      </c>
      <c r="F251" s="4" t="s">
        <v>8</v>
      </c>
      <c r="G251" s="1" t="str">
        <f>_xlfn.XLOOKUP(tblSales[[#This Row],[Product Code]],tblProducts[Code],tblProducts[Product / Service Name],"⚠ Unknown")</f>
        <v>Casual Shorts</v>
      </c>
      <c r="H251" s="1" t="str">
        <f>_xlfn.XLOOKUP(tblSales[[#This Row],[Product Code]],tblProducts[Code],tblProducts[Category],"")</f>
        <v>Accessories &amp; Basics</v>
      </c>
      <c r="I251" s="4">
        <v>40</v>
      </c>
      <c r="J251" s="5">
        <f>_xlfn.XLOOKUP(tblSales[[#This Row],[Product Code]],tblProducts[Code],tblProducts[Selling Price (excl. VAT)],0)</f>
        <v>85000</v>
      </c>
      <c r="K251" s="5">
        <f>tblSales[[#This Row],[Qty]]*tblSales[[#This Row],[Unit Price]]</f>
        <v>3400000</v>
      </c>
      <c r="L251" s="5">
        <f>ROUND(tblSales[[#This Row],[DPP (excl. VAT)]]*VATEff,0)</f>
        <v>374000</v>
      </c>
      <c r="M251" s="5">
        <f>tblSales[[#This Row],[DPP (excl. VAT)]]+tblSales[[#This Row],[Output VAT]]</f>
        <v>3774000</v>
      </c>
      <c r="N251" s="5">
        <f>tblSales[[#This Row],[Qty]]*_xlfn.XLOOKUP(tblSales[[#This Row],[Product Code]],tblProducts[Code],tblProducts[Unit Cost],0)</f>
        <v>2000000</v>
      </c>
      <c r="O251" s="4" t="s">
        <v>4867</v>
      </c>
      <c r="P251" s="4" t="s">
        <v>4860</v>
      </c>
      <c r="Q251" s="1" t="str">
        <f>_xlfn.XLOOKUP(tblSales[[#This Row],[Channel Code]],tblChannels[Channel Code],tblChannels[Channel Name],"")</f>
        <v>In-store</v>
      </c>
      <c r="R251" s="1">
        <f>MONTH(tblSales[[#This Row],[Date]])</f>
        <v>1</v>
      </c>
    </row>
    <row r="252" spans="2:18" x14ac:dyDescent="0.35">
      <c r="B252" s="113">
        <v>46039</v>
      </c>
      <c r="C252" s="4" t="s">
        <v>222</v>
      </c>
      <c r="D252" s="4" t="s">
        <v>4568</v>
      </c>
      <c r="E252" s="1" t="str">
        <f>_xlfn.XLOOKUP(tblSales[[#This Row],[Customer ID]],tblCustomers[Customer ID],tblCustomers[Customer Name],"⚠ Unknown")</f>
        <v>Walk-in Customer</v>
      </c>
      <c r="F252" s="4" t="s">
        <v>6</v>
      </c>
      <c r="G252" s="1" t="str">
        <f>_xlfn.XLOOKUP(tblSales[[#This Row],[Product Code]],tblProducts[Code],tblProducts[Product / Service Name],"⚠ Unknown")</f>
        <v>Socks &amp; Accessories</v>
      </c>
      <c r="H252" s="1" t="str">
        <f>_xlfn.XLOOKUP(tblSales[[#This Row],[Product Code]],tblProducts[Code],tblProducts[Category],"")</f>
        <v>Accessories &amp; Basics</v>
      </c>
      <c r="I252" s="4">
        <v>11</v>
      </c>
      <c r="J252" s="5">
        <f>_xlfn.XLOOKUP(tblSales[[#This Row],[Product Code]],tblProducts[Code],tblProducts[Selling Price (excl. VAT)],0)</f>
        <v>45000</v>
      </c>
      <c r="K252" s="5">
        <f>tblSales[[#This Row],[Qty]]*tblSales[[#This Row],[Unit Price]]</f>
        <v>495000</v>
      </c>
      <c r="L252" s="5">
        <f>ROUND(tblSales[[#This Row],[DPP (excl. VAT)]]*VATEff,0)</f>
        <v>54450</v>
      </c>
      <c r="M252" s="5">
        <f>tblSales[[#This Row],[DPP (excl. VAT)]]+tblSales[[#This Row],[Output VAT]]</f>
        <v>549450</v>
      </c>
      <c r="N252" s="5">
        <f>tblSales[[#This Row],[Qty]]*_xlfn.XLOOKUP(tblSales[[#This Row],[Product Code]],tblProducts[Code],tblProducts[Unit Cost],0)</f>
        <v>264000</v>
      </c>
      <c r="O252" s="4" t="s">
        <v>4865</v>
      </c>
      <c r="P252" s="4" t="s">
        <v>4860</v>
      </c>
      <c r="Q252" s="1" t="str">
        <f>_xlfn.XLOOKUP(tblSales[[#This Row],[Channel Code]],tblChannels[Channel Code],tblChannels[Channel Name],"")</f>
        <v>In-store</v>
      </c>
      <c r="R252" s="1">
        <f>MONTH(tblSales[[#This Row],[Date]])</f>
        <v>1</v>
      </c>
    </row>
    <row r="253" spans="2:18" x14ac:dyDescent="0.35">
      <c r="B253" s="113">
        <v>46039</v>
      </c>
      <c r="C253" s="4" t="s">
        <v>223</v>
      </c>
      <c r="D253" s="4" t="s">
        <v>4568</v>
      </c>
      <c r="E253" s="1" t="str">
        <f>_xlfn.XLOOKUP(tblSales[[#This Row],[Customer ID]],tblCustomers[Customer ID],tblCustomers[Customer Name],"⚠ Unknown")</f>
        <v>Walk-in Customer</v>
      </c>
      <c r="F253" s="4" t="s">
        <v>6</v>
      </c>
      <c r="G253" s="1" t="str">
        <f>_xlfn.XLOOKUP(tblSales[[#This Row],[Product Code]],tblProducts[Code],tblProducts[Product / Service Name],"⚠ Unknown")</f>
        <v>Socks &amp; Accessories</v>
      </c>
      <c r="H253" s="1" t="str">
        <f>_xlfn.XLOOKUP(tblSales[[#This Row],[Product Code]],tblProducts[Code],tblProducts[Category],"")</f>
        <v>Accessories &amp; Basics</v>
      </c>
      <c r="I253" s="4">
        <v>5</v>
      </c>
      <c r="J253" s="5">
        <f>_xlfn.XLOOKUP(tblSales[[#This Row],[Product Code]],tblProducts[Code],tblProducts[Selling Price (excl. VAT)],0)</f>
        <v>45000</v>
      </c>
      <c r="K253" s="5">
        <f>tblSales[[#This Row],[Qty]]*tblSales[[#This Row],[Unit Price]]</f>
        <v>225000</v>
      </c>
      <c r="L253" s="5">
        <f>ROUND(tblSales[[#This Row],[DPP (excl. VAT)]]*VATEff,0)</f>
        <v>24750</v>
      </c>
      <c r="M253" s="5">
        <f>tblSales[[#This Row],[DPP (excl. VAT)]]+tblSales[[#This Row],[Output VAT]]</f>
        <v>249750</v>
      </c>
      <c r="N253" s="5">
        <f>tblSales[[#This Row],[Qty]]*_xlfn.XLOOKUP(tblSales[[#This Row],[Product Code]],tblProducts[Code],tblProducts[Unit Cost],0)</f>
        <v>120000</v>
      </c>
      <c r="O253" s="4" t="s">
        <v>4865</v>
      </c>
      <c r="P253" s="4" t="s">
        <v>4860</v>
      </c>
      <c r="Q253" s="1" t="str">
        <f>_xlfn.XLOOKUP(tblSales[[#This Row],[Channel Code]],tblChannels[Channel Code],tblChannels[Channel Name],"")</f>
        <v>In-store</v>
      </c>
      <c r="R253" s="1">
        <f>MONTH(tblSales[[#This Row],[Date]])</f>
        <v>1</v>
      </c>
    </row>
    <row r="254" spans="2:18" x14ac:dyDescent="0.35">
      <c r="B254" s="113">
        <v>46039</v>
      </c>
      <c r="C254" s="4" t="s">
        <v>224</v>
      </c>
      <c r="D254" s="4" t="s">
        <v>4568</v>
      </c>
      <c r="E254" s="1" t="str">
        <f>_xlfn.XLOOKUP(tblSales[[#This Row],[Customer ID]],tblCustomers[Customer ID],tblCustomers[Customer Name],"⚠ Unknown")</f>
        <v>Walk-in Customer</v>
      </c>
      <c r="F254" s="4" t="s">
        <v>13</v>
      </c>
      <c r="G254" s="1" t="str">
        <f>_xlfn.XLOOKUP(tblSales[[#This Row],[Product Code]],tblProducts[Code],tblProducts[Product / Service Name],"⚠ Unknown")</f>
        <v>Backpack</v>
      </c>
      <c r="H254" s="1" t="str">
        <f>_xlfn.XLOOKUP(tblSales[[#This Row],[Product Code]],tblProducts[Code],tblProducts[Category],"")</f>
        <v>Bags &amp; Gadgets</v>
      </c>
      <c r="I254" s="4">
        <v>4</v>
      </c>
      <c r="J254" s="5">
        <f>_xlfn.XLOOKUP(tblSales[[#This Row],[Product Code]],tblProducts[Code],tblProducts[Selling Price (excl. VAT)],0)</f>
        <v>500000</v>
      </c>
      <c r="K254" s="5">
        <f>tblSales[[#This Row],[Qty]]*tblSales[[#This Row],[Unit Price]]</f>
        <v>2000000</v>
      </c>
      <c r="L254" s="5">
        <f>ROUND(tblSales[[#This Row],[DPP (excl. VAT)]]*VATEff,0)</f>
        <v>220000</v>
      </c>
      <c r="M254" s="5">
        <f>tblSales[[#This Row],[DPP (excl. VAT)]]+tblSales[[#This Row],[Output VAT]]</f>
        <v>2220000</v>
      </c>
      <c r="N254" s="5">
        <f>tblSales[[#This Row],[Qty]]*_xlfn.XLOOKUP(tblSales[[#This Row],[Product Code]],tblProducts[Code],tblProducts[Unit Cost],0)</f>
        <v>1160000</v>
      </c>
      <c r="O254" s="4" t="s">
        <v>4866</v>
      </c>
      <c r="P254" s="4" t="s">
        <v>4861</v>
      </c>
      <c r="Q254" s="1" t="str">
        <f>_xlfn.XLOOKUP(tblSales[[#This Row],[Channel Code]],tblChannels[Channel Code],tblChannels[Channel Name],"")</f>
        <v>Marketplace</v>
      </c>
      <c r="R254" s="1">
        <f>MONTH(tblSales[[#This Row],[Date]])</f>
        <v>1</v>
      </c>
    </row>
    <row r="255" spans="2:18" x14ac:dyDescent="0.35">
      <c r="B255" s="113">
        <v>46039</v>
      </c>
      <c r="C255" s="4" t="s">
        <v>225</v>
      </c>
      <c r="D255" s="4" t="s">
        <v>4568</v>
      </c>
      <c r="E255" s="1" t="str">
        <f>_xlfn.XLOOKUP(tblSales[[#This Row],[Customer ID]],tblCustomers[Customer ID],tblCustomers[Customer Name],"⚠ Unknown")</f>
        <v>Walk-in Customer</v>
      </c>
      <c r="F255" s="4" t="s">
        <v>8</v>
      </c>
      <c r="G255" s="1" t="str">
        <f>_xlfn.XLOOKUP(tblSales[[#This Row],[Product Code]],tblProducts[Code],tblProducts[Product / Service Name],"⚠ Unknown")</f>
        <v>Casual Shorts</v>
      </c>
      <c r="H255" s="1" t="str">
        <f>_xlfn.XLOOKUP(tblSales[[#This Row],[Product Code]],tblProducts[Code],tblProducts[Category],"")</f>
        <v>Accessories &amp; Basics</v>
      </c>
      <c r="I255" s="4">
        <v>6</v>
      </c>
      <c r="J255" s="5">
        <f>_xlfn.XLOOKUP(tblSales[[#This Row],[Product Code]],tblProducts[Code],tblProducts[Selling Price (excl. VAT)],0)</f>
        <v>85000</v>
      </c>
      <c r="K255" s="5">
        <f>tblSales[[#This Row],[Qty]]*tblSales[[#This Row],[Unit Price]]</f>
        <v>510000</v>
      </c>
      <c r="L255" s="5">
        <f>ROUND(tblSales[[#This Row],[DPP (excl. VAT)]]*VATEff,0)</f>
        <v>56100</v>
      </c>
      <c r="M255" s="5">
        <f>tblSales[[#This Row],[DPP (excl. VAT)]]+tblSales[[#This Row],[Output VAT]]</f>
        <v>566100</v>
      </c>
      <c r="N255" s="5">
        <f>tblSales[[#This Row],[Qty]]*_xlfn.XLOOKUP(tblSales[[#This Row],[Product Code]],tblProducts[Code],tblProducts[Unit Cost],0)</f>
        <v>300000</v>
      </c>
      <c r="O255" s="4" t="s">
        <v>4866</v>
      </c>
      <c r="P255" s="4" t="s">
        <v>4860</v>
      </c>
      <c r="Q255" s="1" t="str">
        <f>_xlfn.XLOOKUP(tblSales[[#This Row],[Channel Code]],tblChannels[Channel Code],tblChannels[Channel Name],"")</f>
        <v>In-store</v>
      </c>
      <c r="R255" s="1">
        <f>MONTH(tblSales[[#This Row],[Date]])</f>
        <v>1</v>
      </c>
    </row>
    <row r="256" spans="2:18" x14ac:dyDescent="0.35">
      <c r="B256" s="113">
        <v>46039</v>
      </c>
      <c r="C256" s="4" t="s">
        <v>226</v>
      </c>
      <c r="D256" s="4" t="s">
        <v>4627</v>
      </c>
      <c r="E256" s="1" t="str">
        <f>_xlfn.XLOOKUP(tblSales[[#This Row],[Customer ID]],tblCustomers[Customer ID],tblCustomers[Customer Name],"⚠ Unknown")</f>
        <v>PT Kencana Wira Usaha</v>
      </c>
      <c r="F256" s="4" t="s">
        <v>9</v>
      </c>
      <c r="G256" s="1" t="str">
        <f>_xlfn.XLOOKUP(tblSales[[#This Row],[Product Code]],tblProducts[Code],tblProducts[Product / Service Name],"⚠ Unknown")</f>
        <v>Casual Shirt</v>
      </c>
      <c r="H256" s="1" t="str">
        <f>_xlfn.XLOOKUP(tblSales[[#This Row],[Product Code]],tblProducts[Code],tblProducts[Category],"")</f>
        <v>Apparel &amp; Footwear</v>
      </c>
      <c r="I256" s="4">
        <v>8</v>
      </c>
      <c r="J256" s="5">
        <f>_xlfn.XLOOKUP(tblSales[[#This Row],[Product Code]],tblProducts[Code],tblProducts[Selling Price (excl. VAT)],0)</f>
        <v>120000</v>
      </c>
      <c r="K256" s="5">
        <f>tblSales[[#This Row],[Qty]]*tblSales[[#This Row],[Unit Price]]</f>
        <v>960000</v>
      </c>
      <c r="L256" s="5">
        <f>ROUND(tblSales[[#This Row],[DPP (excl. VAT)]]*VATEff,0)</f>
        <v>105600</v>
      </c>
      <c r="M256" s="5">
        <f>tblSales[[#This Row],[DPP (excl. VAT)]]+tblSales[[#This Row],[Output VAT]]</f>
        <v>1065600</v>
      </c>
      <c r="N256" s="5">
        <f>tblSales[[#This Row],[Qty]]*_xlfn.XLOOKUP(tblSales[[#This Row],[Product Code]],tblProducts[Code],tblProducts[Unit Cost],0)</f>
        <v>576000</v>
      </c>
      <c r="O256" s="4" t="s">
        <v>4867</v>
      </c>
      <c r="P256" s="4" t="s">
        <v>4860</v>
      </c>
      <c r="Q256" s="1" t="str">
        <f>_xlfn.XLOOKUP(tblSales[[#This Row],[Channel Code]],tblChannels[Channel Code],tblChannels[Channel Name],"")</f>
        <v>In-store</v>
      </c>
      <c r="R256" s="1">
        <f>MONTH(tblSales[[#This Row],[Date]])</f>
        <v>1</v>
      </c>
    </row>
    <row r="257" spans="2:18" x14ac:dyDescent="0.35">
      <c r="B257" s="113">
        <v>46039</v>
      </c>
      <c r="C257" s="4" t="s">
        <v>226</v>
      </c>
      <c r="D257" s="4" t="s">
        <v>4627</v>
      </c>
      <c r="E257" s="1" t="str">
        <f>_xlfn.XLOOKUP(tblSales[[#This Row],[Customer ID]],tblCustomers[Customer ID],tblCustomers[Customer Name],"⚠ Unknown")</f>
        <v>PT Kencana Wira Usaha</v>
      </c>
      <c r="F257" s="4" t="s">
        <v>8</v>
      </c>
      <c r="G257" s="1" t="str">
        <f>_xlfn.XLOOKUP(tblSales[[#This Row],[Product Code]],tblProducts[Code],tblProducts[Product / Service Name],"⚠ Unknown")</f>
        <v>Casual Shorts</v>
      </c>
      <c r="H257" s="1" t="str">
        <f>_xlfn.XLOOKUP(tblSales[[#This Row],[Product Code]],tblProducts[Code],tblProducts[Category],"")</f>
        <v>Accessories &amp; Basics</v>
      </c>
      <c r="I257" s="4">
        <v>56</v>
      </c>
      <c r="J257" s="5">
        <f>_xlfn.XLOOKUP(tblSales[[#This Row],[Product Code]],tblProducts[Code],tblProducts[Selling Price (excl. VAT)],0)</f>
        <v>85000</v>
      </c>
      <c r="K257" s="5">
        <f>tblSales[[#This Row],[Qty]]*tblSales[[#This Row],[Unit Price]]</f>
        <v>4760000</v>
      </c>
      <c r="L257" s="5">
        <f>ROUND(tblSales[[#This Row],[DPP (excl. VAT)]]*VATEff,0)</f>
        <v>523600</v>
      </c>
      <c r="M257" s="5">
        <f>tblSales[[#This Row],[DPP (excl. VAT)]]+tblSales[[#This Row],[Output VAT]]</f>
        <v>5283600</v>
      </c>
      <c r="N257" s="5">
        <f>tblSales[[#This Row],[Qty]]*_xlfn.XLOOKUP(tblSales[[#This Row],[Product Code]],tblProducts[Code],tblProducts[Unit Cost],0)</f>
        <v>2800000</v>
      </c>
      <c r="O257" s="4" t="s">
        <v>4867</v>
      </c>
      <c r="P257" s="4" t="s">
        <v>4860</v>
      </c>
      <c r="Q257" s="1" t="str">
        <f>_xlfn.XLOOKUP(tblSales[[#This Row],[Channel Code]],tblChannels[Channel Code],tblChannels[Channel Name],"")</f>
        <v>In-store</v>
      </c>
      <c r="R257" s="1">
        <f>MONTH(tblSales[[#This Row],[Date]])</f>
        <v>1</v>
      </c>
    </row>
    <row r="258" spans="2:18" x14ac:dyDescent="0.35">
      <c r="B258" s="113">
        <v>46039</v>
      </c>
      <c r="C258" s="4" t="s">
        <v>226</v>
      </c>
      <c r="D258" s="4" t="s">
        <v>4627</v>
      </c>
      <c r="E258" s="1" t="str">
        <f>_xlfn.XLOOKUP(tblSales[[#This Row],[Customer ID]],tblCustomers[Customer ID],tblCustomers[Customer Name],"⚠ Unknown")</f>
        <v>PT Kencana Wira Usaha</v>
      </c>
      <c r="F258" s="4" t="s">
        <v>6</v>
      </c>
      <c r="G258" s="1" t="str">
        <f>_xlfn.XLOOKUP(tblSales[[#This Row],[Product Code]],tblProducts[Code],tblProducts[Product / Service Name],"⚠ Unknown")</f>
        <v>Socks &amp; Accessories</v>
      </c>
      <c r="H258" s="1" t="str">
        <f>_xlfn.XLOOKUP(tblSales[[#This Row],[Product Code]],tblProducts[Code],tblProducts[Category],"")</f>
        <v>Accessories &amp; Basics</v>
      </c>
      <c r="I258" s="4">
        <v>40</v>
      </c>
      <c r="J258" s="5">
        <f>_xlfn.XLOOKUP(tblSales[[#This Row],[Product Code]],tblProducts[Code],tblProducts[Selling Price (excl. VAT)],0)</f>
        <v>45000</v>
      </c>
      <c r="K258" s="5">
        <f>tblSales[[#This Row],[Qty]]*tblSales[[#This Row],[Unit Price]]</f>
        <v>1800000</v>
      </c>
      <c r="L258" s="5">
        <f>ROUND(tblSales[[#This Row],[DPP (excl. VAT)]]*VATEff,0)</f>
        <v>198000</v>
      </c>
      <c r="M258" s="5">
        <f>tblSales[[#This Row],[DPP (excl. VAT)]]+tblSales[[#This Row],[Output VAT]]</f>
        <v>1998000</v>
      </c>
      <c r="N258" s="5">
        <f>tblSales[[#This Row],[Qty]]*_xlfn.XLOOKUP(tblSales[[#This Row],[Product Code]],tblProducts[Code],tblProducts[Unit Cost],0)</f>
        <v>960000</v>
      </c>
      <c r="O258" s="4" t="s">
        <v>4867</v>
      </c>
      <c r="P258" s="4" t="s">
        <v>4860</v>
      </c>
      <c r="Q258" s="1" t="str">
        <f>_xlfn.XLOOKUP(tblSales[[#This Row],[Channel Code]],tblChannels[Channel Code],tblChannels[Channel Name],"")</f>
        <v>In-store</v>
      </c>
      <c r="R258" s="1">
        <f>MONTH(tblSales[[#This Row],[Date]])</f>
        <v>1</v>
      </c>
    </row>
    <row r="259" spans="2:18" x14ac:dyDescent="0.35">
      <c r="B259" s="113">
        <v>46039</v>
      </c>
      <c r="C259" s="4" t="s">
        <v>227</v>
      </c>
      <c r="D259" s="4" t="s">
        <v>4568</v>
      </c>
      <c r="E259" s="1" t="str">
        <f>_xlfn.XLOOKUP(tblSales[[#This Row],[Customer ID]],tblCustomers[Customer ID],tblCustomers[Customer Name],"⚠ Unknown")</f>
        <v>Walk-in Customer</v>
      </c>
      <c r="F259" s="4" t="s">
        <v>9</v>
      </c>
      <c r="G259" s="1" t="str">
        <f>_xlfn.XLOOKUP(tblSales[[#This Row],[Product Code]],tblProducts[Code],tblProducts[Product / Service Name],"⚠ Unknown")</f>
        <v>Casual Shirt</v>
      </c>
      <c r="H259" s="1" t="str">
        <f>_xlfn.XLOOKUP(tblSales[[#This Row],[Product Code]],tblProducts[Code],tblProducts[Category],"")</f>
        <v>Apparel &amp; Footwear</v>
      </c>
      <c r="I259" s="4">
        <v>12</v>
      </c>
      <c r="J259" s="5">
        <f>_xlfn.XLOOKUP(tblSales[[#This Row],[Product Code]],tblProducts[Code],tblProducts[Selling Price (excl. VAT)],0)</f>
        <v>120000</v>
      </c>
      <c r="K259" s="5">
        <f>tblSales[[#This Row],[Qty]]*tblSales[[#This Row],[Unit Price]]</f>
        <v>1440000</v>
      </c>
      <c r="L259" s="5">
        <f>ROUND(tblSales[[#This Row],[DPP (excl. VAT)]]*VATEff,0)</f>
        <v>158400</v>
      </c>
      <c r="M259" s="5">
        <f>tblSales[[#This Row],[DPP (excl. VAT)]]+tblSales[[#This Row],[Output VAT]]</f>
        <v>1598400</v>
      </c>
      <c r="N259" s="5">
        <f>tblSales[[#This Row],[Qty]]*_xlfn.XLOOKUP(tblSales[[#This Row],[Product Code]],tblProducts[Code],tblProducts[Unit Cost],0)</f>
        <v>864000</v>
      </c>
      <c r="O259" s="4" t="s">
        <v>4865</v>
      </c>
      <c r="P259" s="4" t="s">
        <v>4860</v>
      </c>
      <c r="Q259" s="1" t="str">
        <f>_xlfn.XLOOKUP(tblSales[[#This Row],[Channel Code]],tblChannels[Channel Code],tblChannels[Channel Name],"")</f>
        <v>In-store</v>
      </c>
      <c r="R259" s="1">
        <f>MONTH(tblSales[[#This Row],[Date]])</f>
        <v>1</v>
      </c>
    </row>
    <row r="260" spans="2:18" x14ac:dyDescent="0.35">
      <c r="B260" s="113">
        <v>46039</v>
      </c>
      <c r="C260" s="4" t="s">
        <v>228</v>
      </c>
      <c r="D260" s="4" t="s">
        <v>4620</v>
      </c>
      <c r="E260" s="1" t="str">
        <f>_xlfn.XLOOKUP(tblSales[[#This Row],[Customer ID]],tblCustomers[Customer ID],tblCustomers[Customer Name],"⚠ Unknown")</f>
        <v>CV Sumber Rejeki Utama</v>
      </c>
      <c r="F260" s="4" t="s">
        <v>7</v>
      </c>
      <c r="G260" s="1" t="str">
        <f>_xlfn.XLOOKUP(tblSales[[#This Row],[Product Code]],tblProducts[Code],tblProducts[Product / Service Name],"⚠ Unknown")</f>
        <v>Premium Basic T-shirt</v>
      </c>
      <c r="H260" s="1" t="str">
        <f>_xlfn.XLOOKUP(tblSales[[#This Row],[Product Code]],tblProducts[Code],tblProducts[Category],"")</f>
        <v>Accessories &amp; Basics</v>
      </c>
      <c r="I260" s="4">
        <v>96</v>
      </c>
      <c r="J260" s="5">
        <f>_xlfn.XLOOKUP(tblSales[[#This Row],[Product Code]],tblProducts[Code],tblProducts[Selling Price (excl. VAT)],0)</f>
        <v>65000</v>
      </c>
      <c r="K260" s="5">
        <f>tblSales[[#This Row],[Qty]]*tblSales[[#This Row],[Unit Price]]</f>
        <v>6240000</v>
      </c>
      <c r="L260" s="5">
        <f>ROUND(tblSales[[#This Row],[DPP (excl. VAT)]]*VATEff,0)</f>
        <v>686400</v>
      </c>
      <c r="M260" s="5">
        <f>tblSales[[#This Row],[DPP (excl. VAT)]]+tblSales[[#This Row],[Output VAT]]</f>
        <v>6926400</v>
      </c>
      <c r="N260" s="5">
        <f>tblSales[[#This Row],[Qty]]*_xlfn.XLOOKUP(tblSales[[#This Row],[Product Code]],tblProducts[Code],tblProducts[Unit Cost],0)</f>
        <v>3552000</v>
      </c>
      <c r="O260" s="4" t="s">
        <v>4867</v>
      </c>
      <c r="P260" s="4" t="s">
        <v>4860</v>
      </c>
      <c r="Q260" s="1" t="str">
        <f>_xlfn.XLOOKUP(tblSales[[#This Row],[Channel Code]],tblChannels[Channel Code],tblChannels[Channel Name],"")</f>
        <v>In-store</v>
      </c>
      <c r="R260" s="1">
        <f>MONTH(tblSales[[#This Row],[Date]])</f>
        <v>1</v>
      </c>
    </row>
    <row r="261" spans="2:18" x14ac:dyDescent="0.35">
      <c r="B261" s="113">
        <v>46039</v>
      </c>
      <c r="C261" s="4" t="s">
        <v>228</v>
      </c>
      <c r="D261" s="4" t="s">
        <v>4620</v>
      </c>
      <c r="E261" s="1" t="str">
        <f>_xlfn.XLOOKUP(tblSales[[#This Row],[Customer ID]],tblCustomers[Customer ID],tblCustomers[Customer Name],"⚠ Unknown")</f>
        <v>CV Sumber Rejeki Utama</v>
      </c>
      <c r="F261" s="4" t="s">
        <v>6</v>
      </c>
      <c r="G261" s="1" t="str">
        <f>_xlfn.XLOOKUP(tblSales[[#This Row],[Product Code]],tblProducts[Code],tblProducts[Product / Service Name],"⚠ Unknown")</f>
        <v>Socks &amp; Accessories</v>
      </c>
      <c r="H261" s="1" t="str">
        <f>_xlfn.XLOOKUP(tblSales[[#This Row],[Product Code]],tblProducts[Code],tblProducts[Category],"")</f>
        <v>Accessories &amp; Basics</v>
      </c>
      <c r="I261" s="4">
        <v>80</v>
      </c>
      <c r="J261" s="5">
        <f>_xlfn.XLOOKUP(tblSales[[#This Row],[Product Code]],tblProducts[Code],tblProducts[Selling Price (excl. VAT)],0)</f>
        <v>45000</v>
      </c>
      <c r="K261" s="5">
        <f>tblSales[[#This Row],[Qty]]*tblSales[[#This Row],[Unit Price]]</f>
        <v>3600000</v>
      </c>
      <c r="L261" s="5">
        <f>ROUND(tblSales[[#This Row],[DPP (excl. VAT)]]*VATEff,0)</f>
        <v>396000</v>
      </c>
      <c r="M261" s="5">
        <f>tblSales[[#This Row],[DPP (excl. VAT)]]+tblSales[[#This Row],[Output VAT]]</f>
        <v>3996000</v>
      </c>
      <c r="N261" s="5">
        <f>tblSales[[#This Row],[Qty]]*_xlfn.XLOOKUP(tblSales[[#This Row],[Product Code]],tblProducts[Code],tblProducts[Unit Cost],0)</f>
        <v>1920000</v>
      </c>
      <c r="O261" s="4" t="s">
        <v>4867</v>
      </c>
      <c r="P261" s="4" t="s">
        <v>4860</v>
      </c>
      <c r="Q261" s="1" t="str">
        <f>_xlfn.XLOOKUP(tblSales[[#This Row],[Channel Code]],tblChannels[Channel Code],tblChannels[Channel Name],"")</f>
        <v>In-store</v>
      </c>
      <c r="R261" s="1">
        <f>MONTH(tblSales[[#This Row],[Date]])</f>
        <v>1</v>
      </c>
    </row>
    <row r="262" spans="2:18" x14ac:dyDescent="0.35">
      <c r="B262" s="113">
        <v>46040</v>
      </c>
      <c r="C262" s="4" t="s">
        <v>229</v>
      </c>
      <c r="D262" s="4" t="s">
        <v>4568</v>
      </c>
      <c r="E262" s="1" t="str">
        <f>_xlfn.XLOOKUP(tblSales[[#This Row],[Customer ID]],tblCustomers[Customer ID],tblCustomers[Customer Name],"⚠ Unknown")</f>
        <v>Walk-in Customer</v>
      </c>
      <c r="F262" s="4" t="s">
        <v>7</v>
      </c>
      <c r="G262" s="1" t="str">
        <f>_xlfn.XLOOKUP(tblSales[[#This Row],[Product Code]],tblProducts[Code],tblProducts[Product / Service Name],"⚠ Unknown")</f>
        <v>Premium Basic T-shirt</v>
      </c>
      <c r="H262" s="1" t="str">
        <f>_xlfn.XLOOKUP(tblSales[[#This Row],[Product Code]],tblProducts[Code],tblProducts[Category],"")</f>
        <v>Accessories &amp; Basics</v>
      </c>
      <c r="I262" s="4">
        <v>10</v>
      </c>
      <c r="J262" s="5">
        <f>_xlfn.XLOOKUP(tblSales[[#This Row],[Product Code]],tblProducts[Code],tblProducts[Selling Price (excl. VAT)],0)</f>
        <v>65000</v>
      </c>
      <c r="K262" s="5">
        <f>tblSales[[#This Row],[Qty]]*tblSales[[#This Row],[Unit Price]]</f>
        <v>650000</v>
      </c>
      <c r="L262" s="5">
        <f>ROUND(tblSales[[#This Row],[DPP (excl. VAT)]]*VATEff,0)</f>
        <v>71500</v>
      </c>
      <c r="M262" s="5">
        <f>tblSales[[#This Row],[DPP (excl. VAT)]]+tblSales[[#This Row],[Output VAT]]</f>
        <v>721500</v>
      </c>
      <c r="N262" s="5">
        <f>tblSales[[#This Row],[Qty]]*_xlfn.XLOOKUP(tblSales[[#This Row],[Product Code]],tblProducts[Code],tblProducts[Unit Cost],0)</f>
        <v>370000</v>
      </c>
      <c r="O262" s="4" t="s">
        <v>4865</v>
      </c>
      <c r="P262" s="4" t="s">
        <v>4860</v>
      </c>
      <c r="Q262" s="1" t="str">
        <f>_xlfn.XLOOKUP(tblSales[[#This Row],[Channel Code]],tblChannels[Channel Code],tblChannels[Channel Name],"")</f>
        <v>In-store</v>
      </c>
      <c r="R262" s="1">
        <f>MONTH(tblSales[[#This Row],[Date]])</f>
        <v>1</v>
      </c>
    </row>
    <row r="263" spans="2:18" x14ac:dyDescent="0.35">
      <c r="B263" s="113">
        <v>46040</v>
      </c>
      <c r="C263" s="4" t="s">
        <v>230</v>
      </c>
      <c r="D263" s="4" t="s">
        <v>4568</v>
      </c>
      <c r="E263" s="1" t="str">
        <f>_xlfn.XLOOKUP(tblSales[[#This Row],[Customer ID]],tblCustomers[Customer ID],tblCustomers[Customer Name],"⚠ Unknown")</f>
        <v>Walk-in Customer</v>
      </c>
      <c r="F263" s="4" t="s">
        <v>6</v>
      </c>
      <c r="G263" s="1" t="str">
        <f>_xlfn.XLOOKUP(tblSales[[#This Row],[Product Code]],tblProducts[Code],tblProducts[Product / Service Name],"⚠ Unknown")</f>
        <v>Socks &amp; Accessories</v>
      </c>
      <c r="H263" s="1" t="str">
        <f>_xlfn.XLOOKUP(tblSales[[#This Row],[Product Code]],tblProducts[Code],tblProducts[Category],"")</f>
        <v>Accessories &amp; Basics</v>
      </c>
      <c r="I263" s="4">
        <v>8</v>
      </c>
      <c r="J263" s="5">
        <f>_xlfn.XLOOKUP(tblSales[[#This Row],[Product Code]],tblProducts[Code],tblProducts[Selling Price (excl. VAT)],0)</f>
        <v>45000</v>
      </c>
      <c r="K263" s="5">
        <f>tblSales[[#This Row],[Qty]]*tblSales[[#This Row],[Unit Price]]</f>
        <v>360000</v>
      </c>
      <c r="L263" s="5">
        <f>ROUND(tblSales[[#This Row],[DPP (excl. VAT)]]*VATEff,0)</f>
        <v>39600</v>
      </c>
      <c r="M263" s="5">
        <f>tblSales[[#This Row],[DPP (excl. VAT)]]+tblSales[[#This Row],[Output VAT]]</f>
        <v>399600</v>
      </c>
      <c r="N263" s="5">
        <f>tblSales[[#This Row],[Qty]]*_xlfn.XLOOKUP(tblSales[[#This Row],[Product Code]],tblProducts[Code],tblProducts[Unit Cost],0)</f>
        <v>192000</v>
      </c>
      <c r="O263" s="4" t="s">
        <v>4865</v>
      </c>
      <c r="P263" s="4" t="s">
        <v>4860</v>
      </c>
      <c r="Q263" s="1" t="str">
        <f>_xlfn.XLOOKUP(tblSales[[#This Row],[Channel Code]],tblChannels[Channel Code],tblChannels[Channel Name],"")</f>
        <v>In-store</v>
      </c>
      <c r="R263" s="1">
        <f>MONTH(tblSales[[#This Row],[Date]])</f>
        <v>1</v>
      </c>
    </row>
    <row r="264" spans="2:18" x14ac:dyDescent="0.35">
      <c r="B264" s="113">
        <v>46040</v>
      </c>
      <c r="C264" s="4" t="s">
        <v>231</v>
      </c>
      <c r="D264" s="4" t="s">
        <v>4568</v>
      </c>
      <c r="E264" s="1" t="str">
        <f>_xlfn.XLOOKUP(tblSales[[#This Row],[Customer ID]],tblCustomers[Customer ID],tblCustomers[Customer Name],"⚠ Unknown")</f>
        <v>Walk-in Customer</v>
      </c>
      <c r="F264" s="4" t="s">
        <v>7</v>
      </c>
      <c r="G264" s="1" t="str">
        <f>_xlfn.XLOOKUP(tblSales[[#This Row],[Product Code]],tblProducts[Code],tblProducts[Product / Service Name],"⚠ Unknown")</f>
        <v>Premium Basic T-shirt</v>
      </c>
      <c r="H264" s="1" t="str">
        <f>_xlfn.XLOOKUP(tblSales[[#This Row],[Product Code]],tblProducts[Code],tblProducts[Category],"")</f>
        <v>Accessories &amp; Basics</v>
      </c>
      <c r="I264" s="4">
        <v>8</v>
      </c>
      <c r="J264" s="5">
        <f>_xlfn.XLOOKUP(tblSales[[#This Row],[Product Code]],tblProducts[Code],tblProducts[Selling Price (excl. VAT)],0)</f>
        <v>65000</v>
      </c>
      <c r="K264" s="5">
        <f>tblSales[[#This Row],[Qty]]*tblSales[[#This Row],[Unit Price]]</f>
        <v>520000</v>
      </c>
      <c r="L264" s="5">
        <f>ROUND(tblSales[[#This Row],[DPP (excl. VAT)]]*VATEff,0)</f>
        <v>57200</v>
      </c>
      <c r="M264" s="5">
        <f>tblSales[[#This Row],[DPP (excl. VAT)]]+tblSales[[#This Row],[Output VAT]]</f>
        <v>577200</v>
      </c>
      <c r="N264" s="5">
        <f>tblSales[[#This Row],[Qty]]*_xlfn.XLOOKUP(tblSales[[#This Row],[Product Code]],tblProducts[Code],tblProducts[Unit Cost],0)</f>
        <v>296000</v>
      </c>
      <c r="O264" s="4" t="s">
        <v>4865</v>
      </c>
      <c r="P264" s="4" t="s">
        <v>4860</v>
      </c>
      <c r="Q264" s="1" t="str">
        <f>_xlfn.XLOOKUP(tblSales[[#This Row],[Channel Code]],tblChannels[Channel Code],tblChannels[Channel Name],"")</f>
        <v>In-store</v>
      </c>
      <c r="R264" s="1">
        <f>MONTH(tblSales[[#This Row],[Date]])</f>
        <v>1</v>
      </c>
    </row>
    <row r="265" spans="2:18" x14ac:dyDescent="0.35">
      <c r="B265" s="113">
        <v>46040</v>
      </c>
      <c r="C265" s="4" t="s">
        <v>231</v>
      </c>
      <c r="D265" s="4" t="s">
        <v>4568</v>
      </c>
      <c r="E265" s="1" t="str">
        <f>_xlfn.XLOOKUP(tblSales[[#This Row],[Customer ID]],tblCustomers[Customer ID],tblCustomers[Customer Name],"⚠ Unknown")</f>
        <v>Walk-in Customer</v>
      </c>
      <c r="F265" s="4" t="s">
        <v>8</v>
      </c>
      <c r="G265" s="1" t="str">
        <f>_xlfn.XLOOKUP(tblSales[[#This Row],[Product Code]],tblProducts[Code],tblProducts[Product / Service Name],"⚠ Unknown")</f>
        <v>Casual Shorts</v>
      </c>
      <c r="H265" s="1" t="str">
        <f>_xlfn.XLOOKUP(tblSales[[#This Row],[Product Code]],tblProducts[Code],tblProducts[Category],"")</f>
        <v>Accessories &amp; Basics</v>
      </c>
      <c r="I265" s="4">
        <v>8</v>
      </c>
      <c r="J265" s="5">
        <f>_xlfn.XLOOKUP(tblSales[[#This Row],[Product Code]],tblProducts[Code],tblProducts[Selling Price (excl. VAT)],0)</f>
        <v>85000</v>
      </c>
      <c r="K265" s="5">
        <f>tblSales[[#This Row],[Qty]]*tblSales[[#This Row],[Unit Price]]</f>
        <v>680000</v>
      </c>
      <c r="L265" s="5">
        <f>ROUND(tblSales[[#This Row],[DPP (excl. VAT)]]*VATEff,0)</f>
        <v>74800</v>
      </c>
      <c r="M265" s="5">
        <f>tblSales[[#This Row],[DPP (excl. VAT)]]+tblSales[[#This Row],[Output VAT]]</f>
        <v>754800</v>
      </c>
      <c r="N265" s="5">
        <f>tblSales[[#This Row],[Qty]]*_xlfn.XLOOKUP(tblSales[[#This Row],[Product Code]],tblProducts[Code],tblProducts[Unit Cost],0)</f>
        <v>400000</v>
      </c>
      <c r="O265" s="4" t="s">
        <v>4865</v>
      </c>
      <c r="P265" s="4" t="s">
        <v>4860</v>
      </c>
      <c r="Q265" s="1" t="str">
        <f>_xlfn.XLOOKUP(tblSales[[#This Row],[Channel Code]],tblChannels[Channel Code],tblChannels[Channel Name],"")</f>
        <v>In-store</v>
      </c>
      <c r="R265" s="1">
        <f>MONTH(tblSales[[#This Row],[Date]])</f>
        <v>1</v>
      </c>
    </row>
    <row r="266" spans="2:18" x14ac:dyDescent="0.35">
      <c r="B266" s="113">
        <v>46040</v>
      </c>
      <c r="C266" s="4" t="s">
        <v>232</v>
      </c>
      <c r="D266" s="4" t="s">
        <v>4568</v>
      </c>
      <c r="E266" s="1" t="str">
        <f>_xlfn.XLOOKUP(tblSales[[#This Row],[Customer ID]],tblCustomers[Customer ID],tblCustomers[Customer Name],"⚠ Unknown")</f>
        <v>Walk-in Customer</v>
      </c>
      <c r="F266" s="4" t="s">
        <v>11</v>
      </c>
      <c r="G266" s="1" t="str">
        <f>_xlfn.XLOOKUP(tblSales[[#This Row],[Product Code]],tblProducts[Code],tblProducts[Product / Service Name],"⚠ Unknown")</f>
        <v>Sneakers</v>
      </c>
      <c r="H266" s="1" t="str">
        <f>_xlfn.XLOOKUP(tblSales[[#This Row],[Product Code]],tblProducts[Code],tblProducts[Category],"")</f>
        <v>Apparel &amp; Footwear</v>
      </c>
      <c r="I266" s="4">
        <v>6</v>
      </c>
      <c r="J266" s="5">
        <f>_xlfn.XLOOKUP(tblSales[[#This Row],[Product Code]],tblProducts[Code],tblProducts[Selling Price (excl. VAT)],0)</f>
        <v>250000</v>
      </c>
      <c r="K266" s="5">
        <f>tblSales[[#This Row],[Qty]]*tblSales[[#This Row],[Unit Price]]</f>
        <v>1500000</v>
      </c>
      <c r="L266" s="5">
        <f>ROUND(tblSales[[#This Row],[DPP (excl. VAT)]]*VATEff,0)</f>
        <v>165000</v>
      </c>
      <c r="M266" s="5">
        <f>tblSales[[#This Row],[DPP (excl. VAT)]]+tblSales[[#This Row],[Output VAT]]</f>
        <v>1665000</v>
      </c>
      <c r="N266" s="5">
        <f>tblSales[[#This Row],[Qty]]*_xlfn.XLOOKUP(tblSales[[#This Row],[Product Code]],tblProducts[Code],tblProducts[Unit Cost],0)</f>
        <v>930000</v>
      </c>
      <c r="O266" s="4" t="s">
        <v>4865</v>
      </c>
      <c r="P266" s="4" t="s">
        <v>4860</v>
      </c>
      <c r="Q266" s="1" t="str">
        <f>_xlfn.XLOOKUP(tblSales[[#This Row],[Channel Code]],tblChannels[Channel Code],tblChannels[Channel Name],"")</f>
        <v>In-store</v>
      </c>
      <c r="R266" s="1">
        <f>MONTH(tblSales[[#This Row],[Date]])</f>
        <v>1</v>
      </c>
    </row>
    <row r="267" spans="2:18" x14ac:dyDescent="0.35">
      <c r="B267" s="113">
        <v>46040</v>
      </c>
      <c r="C267" s="4" t="s">
        <v>233</v>
      </c>
      <c r="D267" s="4" t="s">
        <v>4568</v>
      </c>
      <c r="E267" s="1" t="str">
        <f>_xlfn.XLOOKUP(tblSales[[#This Row],[Customer ID]],tblCustomers[Customer ID],tblCustomers[Customer Name],"⚠ Unknown")</f>
        <v>Walk-in Customer</v>
      </c>
      <c r="F267" s="4" t="s">
        <v>6</v>
      </c>
      <c r="G267" s="1" t="str">
        <f>_xlfn.XLOOKUP(tblSales[[#This Row],[Product Code]],tblProducts[Code],tblProducts[Product / Service Name],"⚠ Unknown")</f>
        <v>Socks &amp; Accessories</v>
      </c>
      <c r="H267" s="1" t="str">
        <f>_xlfn.XLOOKUP(tblSales[[#This Row],[Product Code]],tblProducts[Code],tblProducts[Category],"")</f>
        <v>Accessories &amp; Basics</v>
      </c>
      <c r="I267" s="4">
        <v>7</v>
      </c>
      <c r="J267" s="5">
        <f>_xlfn.XLOOKUP(tblSales[[#This Row],[Product Code]],tblProducts[Code],tblProducts[Selling Price (excl. VAT)],0)</f>
        <v>45000</v>
      </c>
      <c r="K267" s="5">
        <f>tblSales[[#This Row],[Qty]]*tblSales[[#This Row],[Unit Price]]</f>
        <v>315000</v>
      </c>
      <c r="L267" s="5">
        <f>ROUND(tblSales[[#This Row],[DPP (excl. VAT)]]*VATEff,0)</f>
        <v>34650</v>
      </c>
      <c r="M267" s="5">
        <f>tblSales[[#This Row],[DPP (excl. VAT)]]+tblSales[[#This Row],[Output VAT]]</f>
        <v>349650</v>
      </c>
      <c r="N267" s="5">
        <f>tblSales[[#This Row],[Qty]]*_xlfn.XLOOKUP(tblSales[[#This Row],[Product Code]],tblProducts[Code],tblProducts[Unit Cost],0)</f>
        <v>168000</v>
      </c>
      <c r="O267" s="4" t="s">
        <v>4865</v>
      </c>
      <c r="P267" s="4" t="s">
        <v>4860</v>
      </c>
      <c r="Q267" s="1" t="str">
        <f>_xlfn.XLOOKUP(tblSales[[#This Row],[Channel Code]],tblChannels[Channel Code],tblChannels[Channel Name],"")</f>
        <v>In-store</v>
      </c>
      <c r="R267" s="1">
        <f>MONTH(tblSales[[#This Row],[Date]])</f>
        <v>1</v>
      </c>
    </row>
    <row r="268" spans="2:18" x14ac:dyDescent="0.35">
      <c r="B268" s="113">
        <v>46040</v>
      </c>
      <c r="C268" s="4" t="s">
        <v>233</v>
      </c>
      <c r="D268" s="4" t="s">
        <v>4568</v>
      </c>
      <c r="E268" s="1" t="str">
        <f>_xlfn.XLOOKUP(tblSales[[#This Row],[Customer ID]],tblCustomers[Customer ID],tblCustomers[Customer Name],"⚠ Unknown")</f>
        <v>Walk-in Customer</v>
      </c>
      <c r="F268" s="4" t="s">
        <v>11</v>
      </c>
      <c r="G268" s="1" t="str">
        <f>_xlfn.XLOOKUP(tblSales[[#This Row],[Product Code]],tblProducts[Code],tblProducts[Product / Service Name],"⚠ Unknown")</f>
        <v>Sneakers</v>
      </c>
      <c r="H268" s="1" t="str">
        <f>_xlfn.XLOOKUP(tblSales[[#This Row],[Product Code]],tblProducts[Code],tblProducts[Category],"")</f>
        <v>Apparel &amp; Footwear</v>
      </c>
      <c r="I268" s="4">
        <v>6</v>
      </c>
      <c r="J268" s="5">
        <f>_xlfn.XLOOKUP(tblSales[[#This Row],[Product Code]],tblProducts[Code],tblProducts[Selling Price (excl. VAT)],0)</f>
        <v>250000</v>
      </c>
      <c r="K268" s="5">
        <f>tblSales[[#This Row],[Qty]]*tblSales[[#This Row],[Unit Price]]</f>
        <v>1500000</v>
      </c>
      <c r="L268" s="5">
        <f>ROUND(tblSales[[#This Row],[DPP (excl. VAT)]]*VATEff,0)</f>
        <v>165000</v>
      </c>
      <c r="M268" s="5">
        <f>tblSales[[#This Row],[DPP (excl. VAT)]]+tblSales[[#This Row],[Output VAT]]</f>
        <v>1665000</v>
      </c>
      <c r="N268" s="5">
        <f>tblSales[[#This Row],[Qty]]*_xlfn.XLOOKUP(tblSales[[#This Row],[Product Code]],tblProducts[Code],tblProducts[Unit Cost],0)</f>
        <v>930000</v>
      </c>
      <c r="O268" s="4" t="s">
        <v>4865</v>
      </c>
      <c r="P268" s="4" t="s">
        <v>4860</v>
      </c>
      <c r="Q268" s="1" t="str">
        <f>_xlfn.XLOOKUP(tblSales[[#This Row],[Channel Code]],tblChannels[Channel Code],tblChannels[Channel Name],"")</f>
        <v>In-store</v>
      </c>
      <c r="R268" s="1">
        <f>MONTH(tblSales[[#This Row],[Date]])</f>
        <v>1</v>
      </c>
    </row>
    <row r="269" spans="2:18" x14ac:dyDescent="0.35">
      <c r="B269" s="113">
        <v>46040</v>
      </c>
      <c r="C269" s="4" t="s">
        <v>234</v>
      </c>
      <c r="D269" s="4" t="s">
        <v>4568</v>
      </c>
      <c r="E269" s="1" t="str">
        <f>_xlfn.XLOOKUP(tblSales[[#This Row],[Customer ID]],tblCustomers[Customer ID],tblCustomers[Customer Name],"⚠ Unknown")</f>
        <v>Walk-in Customer</v>
      </c>
      <c r="F269" s="4" t="s">
        <v>11</v>
      </c>
      <c r="G269" s="1" t="str">
        <f>_xlfn.XLOOKUP(tblSales[[#This Row],[Product Code]],tblProducts[Code],tblProducts[Product / Service Name],"⚠ Unknown")</f>
        <v>Sneakers</v>
      </c>
      <c r="H269" s="1" t="str">
        <f>_xlfn.XLOOKUP(tblSales[[#This Row],[Product Code]],tblProducts[Code],tblProducts[Category],"")</f>
        <v>Apparel &amp; Footwear</v>
      </c>
      <c r="I269" s="4">
        <v>6</v>
      </c>
      <c r="J269" s="5">
        <f>_xlfn.XLOOKUP(tblSales[[#This Row],[Product Code]],tblProducts[Code],tblProducts[Selling Price (excl. VAT)],0)</f>
        <v>250000</v>
      </c>
      <c r="K269" s="5">
        <f>tblSales[[#This Row],[Qty]]*tblSales[[#This Row],[Unit Price]]</f>
        <v>1500000</v>
      </c>
      <c r="L269" s="5">
        <f>ROUND(tblSales[[#This Row],[DPP (excl. VAT)]]*VATEff,0)</f>
        <v>165000</v>
      </c>
      <c r="M269" s="5">
        <f>tblSales[[#This Row],[DPP (excl. VAT)]]+tblSales[[#This Row],[Output VAT]]</f>
        <v>1665000</v>
      </c>
      <c r="N269" s="5">
        <f>tblSales[[#This Row],[Qty]]*_xlfn.XLOOKUP(tblSales[[#This Row],[Product Code]],tblProducts[Code],tblProducts[Unit Cost],0)</f>
        <v>930000</v>
      </c>
      <c r="O269" s="4" t="s">
        <v>4865</v>
      </c>
      <c r="P269" s="4" t="s">
        <v>4860</v>
      </c>
      <c r="Q269" s="1" t="str">
        <f>_xlfn.XLOOKUP(tblSales[[#This Row],[Channel Code]],tblChannels[Channel Code],tblChannels[Channel Name],"")</f>
        <v>In-store</v>
      </c>
      <c r="R269" s="1">
        <f>MONTH(tblSales[[#This Row],[Date]])</f>
        <v>1</v>
      </c>
    </row>
    <row r="270" spans="2:18" x14ac:dyDescent="0.35">
      <c r="B270" s="113">
        <v>46040</v>
      </c>
      <c r="C270" s="4" t="s">
        <v>235</v>
      </c>
      <c r="D270" s="4" t="s">
        <v>4568</v>
      </c>
      <c r="E270" s="1" t="str">
        <f>_xlfn.XLOOKUP(tblSales[[#This Row],[Customer ID]],tblCustomers[Customer ID],tblCustomers[Customer Name],"⚠ Unknown")</f>
        <v>Walk-in Customer</v>
      </c>
      <c r="F270" s="4" t="s">
        <v>9</v>
      </c>
      <c r="G270" s="1" t="str">
        <f>_xlfn.XLOOKUP(tblSales[[#This Row],[Product Code]],tblProducts[Code],tblProducts[Product / Service Name],"⚠ Unknown")</f>
        <v>Casual Shirt</v>
      </c>
      <c r="H270" s="1" t="str">
        <f>_xlfn.XLOOKUP(tblSales[[#This Row],[Product Code]],tblProducts[Code],tblProducts[Category],"")</f>
        <v>Apparel &amp; Footwear</v>
      </c>
      <c r="I270" s="4">
        <v>6</v>
      </c>
      <c r="J270" s="5">
        <f>_xlfn.XLOOKUP(tblSales[[#This Row],[Product Code]],tblProducts[Code],tblProducts[Selling Price (excl. VAT)],0)</f>
        <v>120000</v>
      </c>
      <c r="K270" s="5">
        <f>tblSales[[#This Row],[Qty]]*tblSales[[#This Row],[Unit Price]]</f>
        <v>720000</v>
      </c>
      <c r="L270" s="5">
        <f>ROUND(tblSales[[#This Row],[DPP (excl. VAT)]]*VATEff,0)</f>
        <v>79200</v>
      </c>
      <c r="M270" s="5">
        <f>tblSales[[#This Row],[DPP (excl. VAT)]]+tblSales[[#This Row],[Output VAT]]</f>
        <v>799200</v>
      </c>
      <c r="N270" s="5">
        <f>tblSales[[#This Row],[Qty]]*_xlfn.XLOOKUP(tblSales[[#This Row],[Product Code]],tblProducts[Code],tblProducts[Unit Cost],0)</f>
        <v>432000</v>
      </c>
      <c r="O270" s="4" t="s">
        <v>4866</v>
      </c>
      <c r="P270" s="4" t="s">
        <v>4862</v>
      </c>
      <c r="Q270" s="1" t="str">
        <f>_xlfn.XLOOKUP(tblSales[[#This Row],[Channel Code]],tblChannels[Channel Code],tblChannels[Channel Name],"")</f>
        <v>Website &amp; Social Media</v>
      </c>
      <c r="R270" s="1">
        <f>MONTH(tblSales[[#This Row],[Date]])</f>
        <v>1</v>
      </c>
    </row>
    <row r="271" spans="2:18" x14ac:dyDescent="0.35">
      <c r="B271" s="113">
        <v>46040</v>
      </c>
      <c r="C271" s="4" t="s">
        <v>236</v>
      </c>
      <c r="D271" s="4" t="s">
        <v>4568</v>
      </c>
      <c r="E271" s="1" t="str">
        <f>_xlfn.XLOOKUP(tblSales[[#This Row],[Customer ID]],tblCustomers[Customer ID],tblCustomers[Customer Name],"⚠ Unknown")</f>
        <v>Walk-in Customer</v>
      </c>
      <c r="F271" s="4" t="s">
        <v>9</v>
      </c>
      <c r="G271" s="1" t="str">
        <f>_xlfn.XLOOKUP(tblSales[[#This Row],[Product Code]],tblProducts[Code],tblProducts[Product / Service Name],"⚠ Unknown")</f>
        <v>Casual Shirt</v>
      </c>
      <c r="H271" s="1" t="str">
        <f>_xlfn.XLOOKUP(tblSales[[#This Row],[Product Code]],tblProducts[Code],tblProducts[Category],"")</f>
        <v>Apparel &amp; Footwear</v>
      </c>
      <c r="I271" s="4">
        <v>9</v>
      </c>
      <c r="J271" s="5">
        <f>_xlfn.XLOOKUP(tblSales[[#This Row],[Product Code]],tblProducts[Code],tblProducts[Selling Price (excl. VAT)],0)</f>
        <v>120000</v>
      </c>
      <c r="K271" s="5">
        <f>tblSales[[#This Row],[Qty]]*tblSales[[#This Row],[Unit Price]]</f>
        <v>1080000</v>
      </c>
      <c r="L271" s="5">
        <f>ROUND(tblSales[[#This Row],[DPP (excl. VAT)]]*VATEff,0)</f>
        <v>118800</v>
      </c>
      <c r="M271" s="5">
        <f>tblSales[[#This Row],[DPP (excl. VAT)]]+tblSales[[#This Row],[Output VAT]]</f>
        <v>1198800</v>
      </c>
      <c r="N271" s="5">
        <f>tblSales[[#This Row],[Qty]]*_xlfn.XLOOKUP(tblSales[[#This Row],[Product Code]],tblProducts[Code],tblProducts[Unit Cost],0)</f>
        <v>648000</v>
      </c>
      <c r="O271" s="4" t="s">
        <v>4866</v>
      </c>
      <c r="P271" s="4" t="s">
        <v>4860</v>
      </c>
      <c r="Q271" s="1" t="str">
        <f>_xlfn.XLOOKUP(tblSales[[#This Row],[Channel Code]],tblChannels[Channel Code],tblChannels[Channel Name],"")</f>
        <v>In-store</v>
      </c>
      <c r="R271" s="1">
        <f>MONTH(tblSales[[#This Row],[Date]])</f>
        <v>1</v>
      </c>
    </row>
    <row r="272" spans="2:18" x14ac:dyDescent="0.35">
      <c r="B272" s="113">
        <v>46040</v>
      </c>
      <c r="C272" s="4" t="s">
        <v>237</v>
      </c>
      <c r="D272" s="4" t="s">
        <v>4568</v>
      </c>
      <c r="E272" s="1" t="str">
        <f>_xlfn.XLOOKUP(tblSales[[#This Row],[Customer ID]],tblCustomers[Customer ID],tblCustomers[Customer Name],"⚠ Unknown")</f>
        <v>Walk-in Customer</v>
      </c>
      <c r="F272" s="4" t="s">
        <v>8</v>
      </c>
      <c r="G272" s="1" t="str">
        <f>_xlfn.XLOOKUP(tblSales[[#This Row],[Product Code]],tblProducts[Code],tblProducts[Product / Service Name],"⚠ Unknown")</f>
        <v>Casual Shorts</v>
      </c>
      <c r="H272" s="1" t="str">
        <f>_xlfn.XLOOKUP(tblSales[[#This Row],[Product Code]],tblProducts[Code],tblProducts[Category],"")</f>
        <v>Accessories &amp; Basics</v>
      </c>
      <c r="I272" s="4">
        <v>12</v>
      </c>
      <c r="J272" s="5">
        <f>_xlfn.XLOOKUP(tblSales[[#This Row],[Product Code]],tblProducts[Code],tblProducts[Selling Price (excl. VAT)],0)</f>
        <v>85000</v>
      </c>
      <c r="K272" s="5">
        <f>tblSales[[#This Row],[Qty]]*tblSales[[#This Row],[Unit Price]]</f>
        <v>1020000</v>
      </c>
      <c r="L272" s="5">
        <f>ROUND(tblSales[[#This Row],[DPP (excl. VAT)]]*VATEff,0)</f>
        <v>112200</v>
      </c>
      <c r="M272" s="5">
        <f>tblSales[[#This Row],[DPP (excl. VAT)]]+tblSales[[#This Row],[Output VAT]]</f>
        <v>1132200</v>
      </c>
      <c r="N272" s="5">
        <f>tblSales[[#This Row],[Qty]]*_xlfn.XLOOKUP(tblSales[[#This Row],[Product Code]],tblProducts[Code],tblProducts[Unit Cost],0)</f>
        <v>600000</v>
      </c>
      <c r="O272" s="4" t="s">
        <v>4865</v>
      </c>
      <c r="P272" s="4" t="s">
        <v>4860</v>
      </c>
      <c r="Q272" s="1" t="str">
        <f>_xlfn.XLOOKUP(tblSales[[#This Row],[Channel Code]],tblChannels[Channel Code],tblChannels[Channel Name],"")</f>
        <v>In-store</v>
      </c>
      <c r="R272" s="1">
        <f>MONTH(tblSales[[#This Row],[Date]])</f>
        <v>1</v>
      </c>
    </row>
    <row r="273" spans="2:18" x14ac:dyDescent="0.35">
      <c r="B273" s="113">
        <v>46040</v>
      </c>
      <c r="C273" s="4" t="s">
        <v>238</v>
      </c>
      <c r="D273" s="4" t="s">
        <v>4568</v>
      </c>
      <c r="E273" s="1" t="str">
        <f>_xlfn.XLOOKUP(tblSales[[#This Row],[Customer ID]],tblCustomers[Customer ID],tblCustomers[Customer Name],"⚠ Unknown")</f>
        <v>Walk-in Customer</v>
      </c>
      <c r="F273" s="4" t="s">
        <v>11</v>
      </c>
      <c r="G273" s="1" t="str">
        <f>_xlfn.XLOOKUP(tblSales[[#This Row],[Product Code]],tblProducts[Code],tblProducts[Product / Service Name],"⚠ Unknown")</f>
        <v>Sneakers</v>
      </c>
      <c r="H273" s="1" t="str">
        <f>_xlfn.XLOOKUP(tblSales[[#This Row],[Product Code]],tblProducts[Code],tblProducts[Category],"")</f>
        <v>Apparel &amp; Footwear</v>
      </c>
      <c r="I273" s="4">
        <v>2</v>
      </c>
      <c r="J273" s="5">
        <f>_xlfn.XLOOKUP(tblSales[[#This Row],[Product Code]],tblProducts[Code],tblProducts[Selling Price (excl. VAT)],0)</f>
        <v>250000</v>
      </c>
      <c r="K273" s="5">
        <f>tblSales[[#This Row],[Qty]]*tblSales[[#This Row],[Unit Price]]</f>
        <v>500000</v>
      </c>
      <c r="L273" s="5">
        <f>ROUND(tblSales[[#This Row],[DPP (excl. VAT)]]*VATEff,0)</f>
        <v>55000</v>
      </c>
      <c r="M273" s="5">
        <f>tblSales[[#This Row],[DPP (excl. VAT)]]+tblSales[[#This Row],[Output VAT]]</f>
        <v>555000</v>
      </c>
      <c r="N273" s="5">
        <f>tblSales[[#This Row],[Qty]]*_xlfn.XLOOKUP(tblSales[[#This Row],[Product Code]],tblProducts[Code],tblProducts[Unit Cost],0)</f>
        <v>310000</v>
      </c>
      <c r="O273" s="4" t="s">
        <v>4865</v>
      </c>
      <c r="P273" s="4" t="s">
        <v>4860</v>
      </c>
      <c r="Q273" s="1" t="str">
        <f>_xlfn.XLOOKUP(tblSales[[#This Row],[Channel Code]],tblChannels[Channel Code],tblChannels[Channel Name],"")</f>
        <v>In-store</v>
      </c>
      <c r="R273" s="1">
        <f>MONTH(tblSales[[#This Row],[Date]])</f>
        <v>1</v>
      </c>
    </row>
    <row r="274" spans="2:18" x14ac:dyDescent="0.35">
      <c r="B274" s="113">
        <v>46040</v>
      </c>
      <c r="C274" s="4" t="s">
        <v>238</v>
      </c>
      <c r="D274" s="4" t="s">
        <v>4568</v>
      </c>
      <c r="E274" s="1" t="str">
        <f>_xlfn.XLOOKUP(tblSales[[#This Row],[Customer ID]],tblCustomers[Customer ID],tblCustomers[Customer Name],"⚠ Unknown")</f>
        <v>Walk-in Customer</v>
      </c>
      <c r="F274" s="4" t="s">
        <v>7</v>
      </c>
      <c r="G274" s="1" t="str">
        <f>_xlfn.XLOOKUP(tblSales[[#This Row],[Product Code]],tblProducts[Code],tblProducts[Product / Service Name],"⚠ Unknown")</f>
        <v>Premium Basic T-shirt</v>
      </c>
      <c r="H274" s="1" t="str">
        <f>_xlfn.XLOOKUP(tblSales[[#This Row],[Product Code]],tblProducts[Code],tblProducts[Category],"")</f>
        <v>Accessories &amp; Basics</v>
      </c>
      <c r="I274" s="4">
        <v>7</v>
      </c>
      <c r="J274" s="5">
        <f>_xlfn.XLOOKUP(tblSales[[#This Row],[Product Code]],tblProducts[Code],tblProducts[Selling Price (excl. VAT)],0)</f>
        <v>65000</v>
      </c>
      <c r="K274" s="5">
        <f>tblSales[[#This Row],[Qty]]*tblSales[[#This Row],[Unit Price]]</f>
        <v>455000</v>
      </c>
      <c r="L274" s="5">
        <f>ROUND(tblSales[[#This Row],[DPP (excl. VAT)]]*VATEff,0)</f>
        <v>50050</v>
      </c>
      <c r="M274" s="5">
        <f>tblSales[[#This Row],[DPP (excl. VAT)]]+tblSales[[#This Row],[Output VAT]]</f>
        <v>505050</v>
      </c>
      <c r="N274" s="5">
        <f>tblSales[[#This Row],[Qty]]*_xlfn.XLOOKUP(tblSales[[#This Row],[Product Code]],tblProducts[Code],tblProducts[Unit Cost],0)</f>
        <v>259000</v>
      </c>
      <c r="O274" s="4" t="s">
        <v>4865</v>
      </c>
      <c r="P274" s="4" t="s">
        <v>4860</v>
      </c>
      <c r="Q274" s="1" t="str">
        <f>_xlfn.XLOOKUP(tblSales[[#This Row],[Channel Code]],tblChannels[Channel Code],tblChannels[Channel Name],"")</f>
        <v>In-store</v>
      </c>
      <c r="R274" s="1">
        <f>MONTH(tblSales[[#This Row],[Date]])</f>
        <v>1</v>
      </c>
    </row>
    <row r="275" spans="2:18" x14ac:dyDescent="0.35">
      <c r="B275" s="113">
        <v>46040</v>
      </c>
      <c r="C275" s="4" t="s">
        <v>238</v>
      </c>
      <c r="D275" s="4" t="s">
        <v>4568</v>
      </c>
      <c r="E275" s="1" t="str">
        <f>_xlfn.XLOOKUP(tblSales[[#This Row],[Customer ID]],tblCustomers[Customer ID],tblCustomers[Customer Name],"⚠ Unknown")</f>
        <v>Walk-in Customer</v>
      </c>
      <c r="F275" s="4" t="s">
        <v>13</v>
      </c>
      <c r="G275" s="1" t="str">
        <f>_xlfn.XLOOKUP(tblSales[[#This Row],[Product Code]],tblProducts[Code],tblProducts[Product / Service Name],"⚠ Unknown")</f>
        <v>Backpack</v>
      </c>
      <c r="H275" s="1" t="str">
        <f>_xlfn.XLOOKUP(tblSales[[#This Row],[Product Code]],tblProducts[Code],tblProducts[Category],"")</f>
        <v>Bags &amp; Gadgets</v>
      </c>
      <c r="I275" s="4">
        <v>6</v>
      </c>
      <c r="J275" s="5">
        <f>_xlfn.XLOOKUP(tblSales[[#This Row],[Product Code]],tblProducts[Code],tblProducts[Selling Price (excl. VAT)],0)</f>
        <v>500000</v>
      </c>
      <c r="K275" s="5">
        <f>tblSales[[#This Row],[Qty]]*tblSales[[#This Row],[Unit Price]]</f>
        <v>3000000</v>
      </c>
      <c r="L275" s="5">
        <f>ROUND(tblSales[[#This Row],[DPP (excl. VAT)]]*VATEff,0)</f>
        <v>330000</v>
      </c>
      <c r="M275" s="5">
        <f>tblSales[[#This Row],[DPP (excl. VAT)]]+tblSales[[#This Row],[Output VAT]]</f>
        <v>3330000</v>
      </c>
      <c r="N275" s="5">
        <f>tblSales[[#This Row],[Qty]]*_xlfn.XLOOKUP(tblSales[[#This Row],[Product Code]],tblProducts[Code],tblProducts[Unit Cost],0)</f>
        <v>1740000</v>
      </c>
      <c r="O275" s="4" t="s">
        <v>4865</v>
      </c>
      <c r="P275" s="4" t="s">
        <v>4860</v>
      </c>
      <c r="Q275" s="1" t="str">
        <f>_xlfn.XLOOKUP(tblSales[[#This Row],[Channel Code]],tblChannels[Channel Code],tblChannels[Channel Name],"")</f>
        <v>In-store</v>
      </c>
      <c r="R275" s="1">
        <f>MONTH(tblSales[[#This Row],[Date]])</f>
        <v>1</v>
      </c>
    </row>
    <row r="276" spans="2:18" x14ac:dyDescent="0.35">
      <c r="B276" s="113">
        <v>46040</v>
      </c>
      <c r="C276" s="4" t="s">
        <v>239</v>
      </c>
      <c r="D276" s="4" t="s">
        <v>4568</v>
      </c>
      <c r="E276" s="1" t="str">
        <f>_xlfn.XLOOKUP(tblSales[[#This Row],[Customer ID]],tblCustomers[Customer ID],tblCustomers[Customer Name],"⚠ Unknown")</f>
        <v>Walk-in Customer</v>
      </c>
      <c r="F276" s="4" t="s">
        <v>7</v>
      </c>
      <c r="G276" s="1" t="str">
        <f>_xlfn.XLOOKUP(tblSales[[#This Row],[Product Code]],tblProducts[Code],tblProducts[Product / Service Name],"⚠ Unknown")</f>
        <v>Premium Basic T-shirt</v>
      </c>
      <c r="H276" s="1" t="str">
        <f>_xlfn.XLOOKUP(tblSales[[#This Row],[Product Code]],tblProducts[Code],tblProducts[Category],"")</f>
        <v>Accessories &amp; Basics</v>
      </c>
      <c r="I276" s="4">
        <v>5</v>
      </c>
      <c r="J276" s="5">
        <f>_xlfn.XLOOKUP(tblSales[[#This Row],[Product Code]],tblProducts[Code],tblProducts[Selling Price (excl. VAT)],0)</f>
        <v>65000</v>
      </c>
      <c r="K276" s="5">
        <f>tblSales[[#This Row],[Qty]]*tblSales[[#This Row],[Unit Price]]</f>
        <v>325000</v>
      </c>
      <c r="L276" s="5">
        <f>ROUND(tblSales[[#This Row],[DPP (excl. VAT)]]*VATEff,0)</f>
        <v>35750</v>
      </c>
      <c r="M276" s="5">
        <f>tblSales[[#This Row],[DPP (excl. VAT)]]+tblSales[[#This Row],[Output VAT]]</f>
        <v>360750</v>
      </c>
      <c r="N276" s="5">
        <f>tblSales[[#This Row],[Qty]]*_xlfn.XLOOKUP(tblSales[[#This Row],[Product Code]],tblProducts[Code],tblProducts[Unit Cost],0)</f>
        <v>185000</v>
      </c>
      <c r="O276" s="4" t="s">
        <v>4865</v>
      </c>
      <c r="P276" s="4" t="s">
        <v>4860</v>
      </c>
      <c r="Q276" s="1" t="str">
        <f>_xlfn.XLOOKUP(tblSales[[#This Row],[Channel Code]],tblChannels[Channel Code],tblChannels[Channel Name],"")</f>
        <v>In-store</v>
      </c>
      <c r="R276" s="1">
        <f>MONTH(tblSales[[#This Row],[Date]])</f>
        <v>1</v>
      </c>
    </row>
    <row r="277" spans="2:18" x14ac:dyDescent="0.35">
      <c r="B277" s="113">
        <v>46040</v>
      </c>
      <c r="C277" s="4" t="s">
        <v>239</v>
      </c>
      <c r="D277" s="4" t="s">
        <v>4568</v>
      </c>
      <c r="E277" s="1" t="str">
        <f>_xlfn.XLOOKUP(tblSales[[#This Row],[Customer ID]],tblCustomers[Customer ID],tblCustomers[Customer Name],"⚠ Unknown")</f>
        <v>Walk-in Customer</v>
      </c>
      <c r="F277" s="4" t="s">
        <v>11</v>
      </c>
      <c r="G277" s="1" t="str">
        <f>_xlfn.XLOOKUP(tblSales[[#This Row],[Product Code]],tblProducts[Code],tblProducts[Product / Service Name],"⚠ Unknown")</f>
        <v>Sneakers</v>
      </c>
      <c r="H277" s="1" t="str">
        <f>_xlfn.XLOOKUP(tblSales[[#This Row],[Product Code]],tblProducts[Code],tblProducts[Category],"")</f>
        <v>Apparel &amp; Footwear</v>
      </c>
      <c r="I277" s="4">
        <v>1</v>
      </c>
      <c r="J277" s="5">
        <f>_xlfn.XLOOKUP(tblSales[[#This Row],[Product Code]],tblProducts[Code],tblProducts[Selling Price (excl. VAT)],0)</f>
        <v>250000</v>
      </c>
      <c r="K277" s="5">
        <f>tblSales[[#This Row],[Qty]]*tblSales[[#This Row],[Unit Price]]</f>
        <v>250000</v>
      </c>
      <c r="L277" s="5">
        <f>ROUND(tblSales[[#This Row],[DPP (excl. VAT)]]*VATEff,0)</f>
        <v>27500</v>
      </c>
      <c r="M277" s="5">
        <f>tblSales[[#This Row],[DPP (excl. VAT)]]+tblSales[[#This Row],[Output VAT]]</f>
        <v>277500</v>
      </c>
      <c r="N277" s="5">
        <f>tblSales[[#This Row],[Qty]]*_xlfn.XLOOKUP(tblSales[[#This Row],[Product Code]],tblProducts[Code],tblProducts[Unit Cost],0)</f>
        <v>155000</v>
      </c>
      <c r="O277" s="4" t="s">
        <v>4865</v>
      </c>
      <c r="P277" s="4" t="s">
        <v>4860</v>
      </c>
      <c r="Q277" s="1" t="str">
        <f>_xlfn.XLOOKUP(tblSales[[#This Row],[Channel Code]],tblChannels[Channel Code],tblChannels[Channel Name],"")</f>
        <v>In-store</v>
      </c>
      <c r="R277" s="1">
        <f>MONTH(tblSales[[#This Row],[Date]])</f>
        <v>1</v>
      </c>
    </row>
    <row r="278" spans="2:18" x14ac:dyDescent="0.35">
      <c r="B278" s="113">
        <v>46040</v>
      </c>
      <c r="C278" s="4" t="s">
        <v>240</v>
      </c>
      <c r="D278" s="4" t="s">
        <v>4648</v>
      </c>
      <c r="E278" s="1" t="str">
        <f>_xlfn.XLOOKUP(tblSales[[#This Row],[Customer ID]],tblCustomers[Customer ID],tblCustomers[Customer Name],"⚠ Unknown")</f>
        <v>PT Lintas Benua Niaga</v>
      </c>
      <c r="F278" s="4" t="s">
        <v>8</v>
      </c>
      <c r="G278" s="1" t="str">
        <f>_xlfn.XLOOKUP(tblSales[[#This Row],[Product Code]],tblProducts[Code],tblProducts[Product / Service Name],"⚠ Unknown")</f>
        <v>Casual Shorts</v>
      </c>
      <c r="H278" s="1" t="str">
        <f>_xlfn.XLOOKUP(tblSales[[#This Row],[Product Code]],tblProducts[Code],tblProducts[Category],"")</f>
        <v>Accessories &amp; Basics</v>
      </c>
      <c r="I278" s="4">
        <v>56</v>
      </c>
      <c r="J278" s="5">
        <f>_xlfn.XLOOKUP(tblSales[[#This Row],[Product Code]],tblProducts[Code],tblProducts[Selling Price (excl. VAT)],0)</f>
        <v>85000</v>
      </c>
      <c r="K278" s="5">
        <f>tblSales[[#This Row],[Qty]]*tblSales[[#This Row],[Unit Price]]</f>
        <v>4760000</v>
      </c>
      <c r="L278" s="5">
        <f>ROUND(tblSales[[#This Row],[DPP (excl. VAT)]]*VATEff,0)</f>
        <v>523600</v>
      </c>
      <c r="M278" s="5">
        <f>tblSales[[#This Row],[DPP (excl. VAT)]]+tblSales[[#This Row],[Output VAT]]</f>
        <v>5283600</v>
      </c>
      <c r="N278" s="5">
        <f>tblSales[[#This Row],[Qty]]*_xlfn.XLOOKUP(tblSales[[#This Row],[Product Code]],tblProducts[Code],tblProducts[Unit Cost],0)</f>
        <v>2800000</v>
      </c>
      <c r="O278" s="4" t="s">
        <v>4867</v>
      </c>
      <c r="P278" s="4" t="s">
        <v>4860</v>
      </c>
      <c r="Q278" s="1" t="str">
        <f>_xlfn.XLOOKUP(tblSales[[#This Row],[Channel Code]],tblChannels[Channel Code],tblChannels[Channel Name],"")</f>
        <v>In-store</v>
      </c>
      <c r="R278" s="1">
        <f>MONTH(tblSales[[#This Row],[Date]])</f>
        <v>1</v>
      </c>
    </row>
    <row r="279" spans="2:18" x14ac:dyDescent="0.35">
      <c r="B279" s="113">
        <v>46040</v>
      </c>
      <c r="C279" s="4" t="s">
        <v>241</v>
      </c>
      <c r="D279" s="4" t="s">
        <v>4627</v>
      </c>
      <c r="E279" s="1" t="str">
        <f>_xlfn.XLOOKUP(tblSales[[#This Row],[Customer ID]],tblCustomers[Customer ID],tblCustomers[Customer Name],"⚠ Unknown")</f>
        <v>PT Kencana Wira Usaha</v>
      </c>
      <c r="F279" s="4" t="s">
        <v>8</v>
      </c>
      <c r="G279" s="1" t="str">
        <f>_xlfn.XLOOKUP(tblSales[[#This Row],[Product Code]],tblProducts[Code],tblProducts[Product / Service Name],"⚠ Unknown")</f>
        <v>Casual Shorts</v>
      </c>
      <c r="H279" s="1" t="str">
        <f>_xlfn.XLOOKUP(tblSales[[#This Row],[Product Code]],tblProducts[Code],tblProducts[Category],"")</f>
        <v>Accessories &amp; Basics</v>
      </c>
      <c r="I279" s="4">
        <v>96</v>
      </c>
      <c r="J279" s="5">
        <f>_xlfn.XLOOKUP(tblSales[[#This Row],[Product Code]],tblProducts[Code],tblProducts[Selling Price (excl. VAT)],0)</f>
        <v>85000</v>
      </c>
      <c r="K279" s="5">
        <f>tblSales[[#This Row],[Qty]]*tblSales[[#This Row],[Unit Price]]</f>
        <v>8160000</v>
      </c>
      <c r="L279" s="5">
        <f>ROUND(tblSales[[#This Row],[DPP (excl. VAT)]]*VATEff,0)</f>
        <v>897600</v>
      </c>
      <c r="M279" s="5">
        <f>tblSales[[#This Row],[DPP (excl. VAT)]]+tblSales[[#This Row],[Output VAT]]</f>
        <v>9057600</v>
      </c>
      <c r="N279" s="5">
        <f>tblSales[[#This Row],[Qty]]*_xlfn.XLOOKUP(tblSales[[#This Row],[Product Code]],tblProducts[Code],tblProducts[Unit Cost],0)</f>
        <v>4800000</v>
      </c>
      <c r="O279" s="4" t="s">
        <v>4867</v>
      </c>
      <c r="P279" s="4" t="s">
        <v>4862</v>
      </c>
      <c r="Q279" s="1" t="str">
        <f>_xlfn.XLOOKUP(tblSales[[#This Row],[Channel Code]],tblChannels[Channel Code],tblChannels[Channel Name],"")</f>
        <v>Website &amp; Social Media</v>
      </c>
      <c r="R279" s="1">
        <f>MONTH(tblSales[[#This Row],[Date]])</f>
        <v>1</v>
      </c>
    </row>
    <row r="280" spans="2:18" x14ac:dyDescent="0.35">
      <c r="B280" s="113">
        <v>46040</v>
      </c>
      <c r="C280" s="4" t="s">
        <v>242</v>
      </c>
      <c r="D280" s="4" t="s">
        <v>4568</v>
      </c>
      <c r="E280" s="1" t="str">
        <f>_xlfn.XLOOKUP(tblSales[[#This Row],[Customer ID]],tblCustomers[Customer ID],tblCustomers[Customer Name],"⚠ Unknown")</f>
        <v>Walk-in Customer</v>
      </c>
      <c r="F280" s="4" t="s">
        <v>9</v>
      </c>
      <c r="G280" s="1" t="str">
        <f>_xlfn.XLOOKUP(tblSales[[#This Row],[Product Code]],tblProducts[Code],tblProducts[Product / Service Name],"⚠ Unknown")</f>
        <v>Casual Shirt</v>
      </c>
      <c r="H280" s="1" t="str">
        <f>_xlfn.XLOOKUP(tblSales[[#This Row],[Product Code]],tblProducts[Code],tblProducts[Category],"")</f>
        <v>Apparel &amp; Footwear</v>
      </c>
      <c r="I280" s="4">
        <v>2</v>
      </c>
      <c r="J280" s="5">
        <f>_xlfn.XLOOKUP(tblSales[[#This Row],[Product Code]],tblProducts[Code],tblProducts[Selling Price (excl. VAT)],0)</f>
        <v>120000</v>
      </c>
      <c r="K280" s="5">
        <f>tblSales[[#This Row],[Qty]]*tblSales[[#This Row],[Unit Price]]</f>
        <v>240000</v>
      </c>
      <c r="L280" s="5">
        <f>ROUND(tblSales[[#This Row],[DPP (excl. VAT)]]*VATEff,0)</f>
        <v>26400</v>
      </c>
      <c r="M280" s="5">
        <f>tblSales[[#This Row],[DPP (excl. VAT)]]+tblSales[[#This Row],[Output VAT]]</f>
        <v>266400</v>
      </c>
      <c r="N280" s="5">
        <f>tblSales[[#This Row],[Qty]]*_xlfn.XLOOKUP(tblSales[[#This Row],[Product Code]],tblProducts[Code],tblProducts[Unit Cost],0)</f>
        <v>144000</v>
      </c>
      <c r="O280" s="4" t="s">
        <v>4866</v>
      </c>
      <c r="P280" s="4" t="s">
        <v>4860</v>
      </c>
      <c r="Q280" s="1" t="str">
        <f>_xlfn.XLOOKUP(tblSales[[#This Row],[Channel Code]],tblChannels[Channel Code],tblChannels[Channel Name],"")</f>
        <v>In-store</v>
      </c>
      <c r="R280" s="1">
        <f>MONTH(tblSales[[#This Row],[Date]])</f>
        <v>1</v>
      </c>
    </row>
    <row r="281" spans="2:18" x14ac:dyDescent="0.35">
      <c r="B281" s="113">
        <v>46041</v>
      </c>
      <c r="C281" s="4" t="s">
        <v>243</v>
      </c>
      <c r="D281" s="4" t="s">
        <v>4568</v>
      </c>
      <c r="E281" s="1" t="str">
        <f>_xlfn.XLOOKUP(tblSales[[#This Row],[Customer ID]],tblCustomers[Customer ID],tblCustomers[Customer Name],"⚠ Unknown")</f>
        <v>Walk-in Customer</v>
      </c>
      <c r="F281" s="4" t="s">
        <v>6</v>
      </c>
      <c r="G281" s="1" t="str">
        <f>_xlfn.XLOOKUP(tblSales[[#This Row],[Product Code]],tblProducts[Code],tblProducts[Product / Service Name],"⚠ Unknown")</f>
        <v>Socks &amp; Accessories</v>
      </c>
      <c r="H281" s="1" t="str">
        <f>_xlfn.XLOOKUP(tblSales[[#This Row],[Product Code]],tblProducts[Code],tblProducts[Category],"")</f>
        <v>Accessories &amp; Basics</v>
      </c>
      <c r="I281" s="4">
        <v>1</v>
      </c>
      <c r="J281" s="5">
        <f>_xlfn.XLOOKUP(tblSales[[#This Row],[Product Code]],tblProducts[Code],tblProducts[Selling Price (excl. VAT)],0)</f>
        <v>45000</v>
      </c>
      <c r="K281" s="5">
        <f>tblSales[[#This Row],[Qty]]*tblSales[[#This Row],[Unit Price]]</f>
        <v>45000</v>
      </c>
      <c r="L281" s="5">
        <f>ROUND(tblSales[[#This Row],[DPP (excl. VAT)]]*VATEff,0)</f>
        <v>4950</v>
      </c>
      <c r="M281" s="5">
        <f>tblSales[[#This Row],[DPP (excl. VAT)]]+tblSales[[#This Row],[Output VAT]]</f>
        <v>49950</v>
      </c>
      <c r="N281" s="5">
        <f>tblSales[[#This Row],[Qty]]*_xlfn.XLOOKUP(tblSales[[#This Row],[Product Code]],tblProducts[Code],tblProducts[Unit Cost],0)</f>
        <v>24000</v>
      </c>
      <c r="O281" s="4" t="s">
        <v>4866</v>
      </c>
      <c r="P281" s="4" t="s">
        <v>4862</v>
      </c>
      <c r="Q281" s="1" t="str">
        <f>_xlfn.XLOOKUP(tblSales[[#This Row],[Channel Code]],tblChannels[Channel Code],tblChannels[Channel Name],"")</f>
        <v>Website &amp; Social Media</v>
      </c>
      <c r="R281" s="1">
        <f>MONTH(tblSales[[#This Row],[Date]])</f>
        <v>1</v>
      </c>
    </row>
    <row r="282" spans="2:18" x14ac:dyDescent="0.35">
      <c r="B282" s="113">
        <v>46041</v>
      </c>
      <c r="C282" s="4" t="s">
        <v>244</v>
      </c>
      <c r="D282" s="4" t="s">
        <v>4568</v>
      </c>
      <c r="E282" s="1" t="str">
        <f>_xlfn.XLOOKUP(tblSales[[#This Row],[Customer ID]],tblCustomers[Customer ID],tblCustomers[Customer Name],"⚠ Unknown")</f>
        <v>Walk-in Customer</v>
      </c>
      <c r="F282" s="4" t="s">
        <v>8</v>
      </c>
      <c r="G282" s="1" t="str">
        <f>_xlfn.XLOOKUP(tblSales[[#This Row],[Product Code]],tblProducts[Code],tblProducts[Product / Service Name],"⚠ Unknown")</f>
        <v>Casual Shorts</v>
      </c>
      <c r="H282" s="1" t="str">
        <f>_xlfn.XLOOKUP(tblSales[[#This Row],[Product Code]],tblProducts[Code],tblProducts[Category],"")</f>
        <v>Accessories &amp; Basics</v>
      </c>
      <c r="I282" s="4">
        <v>1</v>
      </c>
      <c r="J282" s="5">
        <f>_xlfn.XLOOKUP(tblSales[[#This Row],[Product Code]],tblProducts[Code],tblProducts[Selling Price (excl. VAT)],0)</f>
        <v>85000</v>
      </c>
      <c r="K282" s="5">
        <f>tblSales[[#This Row],[Qty]]*tblSales[[#This Row],[Unit Price]]</f>
        <v>85000</v>
      </c>
      <c r="L282" s="5">
        <f>ROUND(tblSales[[#This Row],[DPP (excl. VAT)]]*VATEff,0)</f>
        <v>9350</v>
      </c>
      <c r="M282" s="5">
        <f>tblSales[[#This Row],[DPP (excl. VAT)]]+tblSales[[#This Row],[Output VAT]]</f>
        <v>94350</v>
      </c>
      <c r="N282" s="5">
        <f>tblSales[[#This Row],[Qty]]*_xlfn.XLOOKUP(tblSales[[#This Row],[Product Code]],tblProducts[Code],tblProducts[Unit Cost],0)</f>
        <v>50000</v>
      </c>
      <c r="O282" s="4" t="s">
        <v>4866</v>
      </c>
      <c r="P282" s="4" t="s">
        <v>4862</v>
      </c>
      <c r="Q282" s="1" t="str">
        <f>_xlfn.XLOOKUP(tblSales[[#This Row],[Channel Code]],tblChannels[Channel Code],tblChannels[Channel Name],"")</f>
        <v>Website &amp; Social Media</v>
      </c>
      <c r="R282" s="1">
        <f>MONTH(tblSales[[#This Row],[Date]])</f>
        <v>1</v>
      </c>
    </row>
    <row r="283" spans="2:18" x14ac:dyDescent="0.35">
      <c r="B283" s="113">
        <v>46041</v>
      </c>
      <c r="C283" s="4" t="s">
        <v>245</v>
      </c>
      <c r="D283" s="4" t="s">
        <v>4568</v>
      </c>
      <c r="E283" s="1" t="str">
        <f>_xlfn.XLOOKUP(tblSales[[#This Row],[Customer ID]],tblCustomers[Customer ID],tblCustomers[Customer Name],"⚠ Unknown")</f>
        <v>Walk-in Customer</v>
      </c>
      <c r="F283" s="4" t="s">
        <v>12</v>
      </c>
      <c r="G283" s="1" t="str">
        <f>_xlfn.XLOOKUP(tblSales[[#This Row],[Product Code]],tblProducts[Code],tblProducts[Product / Service Name],"⚠ Unknown")</f>
        <v>Bomber Jacket</v>
      </c>
      <c r="H283" s="1" t="str">
        <f>_xlfn.XLOOKUP(tblSales[[#This Row],[Product Code]],tblProducts[Code],tblProducts[Category],"")</f>
        <v>Apparel &amp; Footwear</v>
      </c>
      <c r="I283" s="4">
        <v>2</v>
      </c>
      <c r="J283" s="5">
        <f>_xlfn.XLOOKUP(tblSales[[#This Row],[Product Code]],tblProducts[Code],tblProducts[Selling Price (excl. VAT)],0)</f>
        <v>350000</v>
      </c>
      <c r="K283" s="5">
        <f>tblSales[[#This Row],[Qty]]*tblSales[[#This Row],[Unit Price]]</f>
        <v>700000</v>
      </c>
      <c r="L283" s="5">
        <f>ROUND(tblSales[[#This Row],[DPP (excl. VAT)]]*VATEff,0)</f>
        <v>77000</v>
      </c>
      <c r="M283" s="5">
        <f>tblSales[[#This Row],[DPP (excl. VAT)]]+tblSales[[#This Row],[Output VAT]]</f>
        <v>777000</v>
      </c>
      <c r="N283" s="5">
        <f>tblSales[[#This Row],[Qty]]*_xlfn.XLOOKUP(tblSales[[#This Row],[Product Code]],tblProducts[Code],tblProducts[Unit Cost],0)</f>
        <v>420000</v>
      </c>
      <c r="O283" s="4" t="s">
        <v>4865</v>
      </c>
      <c r="P283" s="4" t="s">
        <v>4860</v>
      </c>
      <c r="Q283" s="1" t="str">
        <f>_xlfn.XLOOKUP(tblSales[[#This Row],[Channel Code]],tblChannels[Channel Code],tblChannels[Channel Name],"")</f>
        <v>In-store</v>
      </c>
      <c r="R283" s="1">
        <f>MONTH(tblSales[[#This Row],[Date]])</f>
        <v>1</v>
      </c>
    </row>
    <row r="284" spans="2:18" x14ac:dyDescent="0.35">
      <c r="B284" s="113">
        <v>46041</v>
      </c>
      <c r="C284" s="4" t="s">
        <v>246</v>
      </c>
      <c r="D284" s="4" t="s">
        <v>4568</v>
      </c>
      <c r="E284" s="1" t="str">
        <f>_xlfn.XLOOKUP(tblSales[[#This Row],[Customer ID]],tblCustomers[Customer ID],tblCustomers[Customer Name],"⚠ Unknown")</f>
        <v>Walk-in Customer</v>
      </c>
      <c r="F284" s="4" t="s">
        <v>10</v>
      </c>
      <c r="G284" s="1" t="str">
        <f>_xlfn.XLOOKUP(tblSales[[#This Row],[Product Code]],tblProducts[Code],tblProducts[Product / Service Name],"⚠ Unknown")</f>
        <v>Chino Pants</v>
      </c>
      <c r="H284" s="1" t="str">
        <f>_xlfn.XLOOKUP(tblSales[[#This Row],[Product Code]],tblProducts[Code],tblProducts[Category],"")</f>
        <v>Apparel &amp; Footwear</v>
      </c>
      <c r="I284" s="4">
        <v>4</v>
      </c>
      <c r="J284" s="5">
        <f>_xlfn.XLOOKUP(tblSales[[#This Row],[Product Code]],tblProducts[Code],tblProducts[Selling Price (excl. VAT)],0)</f>
        <v>150000</v>
      </c>
      <c r="K284" s="5">
        <f>tblSales[[#This Row],[Qty]]*tblSales[[#This Row],[Unit Price]]</f>
        <v>600000</v>
      </c>
      <c r="L284" s="5">
        <f>ROUND(tblSales[[#This Row],[DPP (excl. VAT)]]*VATEff,0)</f>
        <v>66000</v>
      </c>
      <c r="M284" s="5">
        <f>tblSales[[#This Row],[DPP (excl. VAT)]]+tblSales[[#This Row],[Output VAT]]</f>
        <v>666000</v>
      </c>
      <c r="N284" s="5">
        <f>tblSales[[#This Row],[Qty]]*_xlfn.XLOOKUP(tblSales[[#This Row],[Product Code]],tblProducts[Code],tblProducts[Unit Cost],0)</f>
        <v>352000</v>
      </c>
      <c r="O284" s="4" t="s">
        <v>4866</v>
      </c>
      <c r="P284" s="4" t="s">
        <v>4860</v>
      </c>
      <c r="Q284" s="1" t="str">
        <f>_xlfn.XLOOKUP(tblSales[[#This Row],[Channel Code]],tblChannels[Channel Code],tblChannels[Channel Name],"")</f>
        <v>In-store</v>
      </c>
      <c r="R284" s="1">
        <f>MONTH(tblSales[[#This Row],[Date]])</f>
        <v>1</v>
      </c>
    </row>
    <row r="285" spans="2:18" x14ac:dyDescent="0.35">
      <c r="B285" s="113">
        <v>46041</v>
      </c>
      <c r="C285" s="4" t="s">
        <v>247</v>
      </c>
      <c r="D285" s="4" t="s">
        <v>4568</v>
      </c>
      <c r="E285" s="1" t="str">
        <f>_xlfn.XLOOKUP(tblSales[[#This Row],[Customer ID]],tblCustomers[Customer ID],tblCustomers[Customer Name],"⚠ Unknown")</f>
        <v>Walk-in Customer</v>
      </c>
      <c r="F285" s="4" t="s">
        <v>14</v>
      </c>
      <c r="G285" s="1" t="str">
        <f>_xlfn.XLOOKUP(tblSales[[#This Row],[Product Code]],tblProducts[Code],tblProducts[Product / Service Name],"⚠ Unknown")</f>
        <v>Smartwatch</v>
      </c>
      <c r="H285" s="1" t="str">
        <f>_xlfn.XLOOKUP(tblSales[[#This Row],[Product Code]],tblProducts[Code],tblProducts[Category],"")</f>
        <v>Bags &amp; Gadgets</v>
      </c>
      <c r="I285" s="4">
        <v>1</v>
      </c>
      <c r="J285" s="5">
        <f>_xlfn.XLOOKUP(tblSales[[#This Row],[Product Code]],tblProducts[Code],tblProducts[Selling Price (excl. VAT)],0)</f>
        <v>850000</v>
      </c>
      <c r="K285" s="5">
        <f>tblSales[[#This Row],[Qty]]*tblSales[[#This Row],[Unit Price]]</f>
        <v>850000</v>
      </c>
      <c r="L285" s="5">
        <f>ROUND(tblSales[[#This Row],[DPP (excl. VAT)]]*VATEff,0)</f>
        <v>93500</v>
      </c>
      <c r="M285" s="5">
        <f>tblSales[[#This Row],[DPP (excl. VAT)]]+tblSales[[#This Row],[Output VAT]]</f>
        <v>943500</v>
      </c>
      <c r="N285" s="5">
        <f>tblSales[[#This Row],[Qty]]*_xlfn.XLOOKUP(tblSales[[#This Row],[Product Code]],tblProducts[Code],tblProducts[Unit Cost],0)</f>
        <v>560000</v>
      </c>
      <c r="O285" s="4" t="s">
        <v>4865</v>
      </c>
      <c r="P285" s="4" t="s">
        <v>4860</v>
      </c>
      <c r="Q285" s="1" t="str">
        <f>_xlfn.XLOOKUP(tblSales[[#This Row],[Channel Code]],tblChannels[Channel Code],tblChannels[Channel Name],"")</f>
        <v>In-store</v>
      </c>
      <c r="R285" s="1">
        <f>MONTH(tblSales[[#This Row],[Date]])</f>
        <v>1</v>
      </c>
    </row>
    <row r="286" spans="2:18" x14ac:dyDescent="0.35">
      <c r="B286" s="113">
        <v>46041</v>
      </c>
      <c r="C286" s="4" t="s">
        <v>248</v>
      </c>
      <c r="D286" s="4" t="s">
        <v>4568</v>
      </c>
      <c r="E286" s="1" t="str">
        <f>_xlfn.XLOOKUP(tblSales[[#This Row],[Customer ID]],tblCustomers[Customer ID],tblCustomers[Customer Name],"⚠ Unknown")</f>
        <v>Walk-in Customer</v>
      </c>
      <c r="F286" s="4" t="s">
        <v>7</v>
      </c>
      <c r="G286" s="1" t="str">
        <f>_xlfn.XLOOKUP(tblSales[[#This Row],[Product Code]],tblProducts[Code],tblProducts[Product / Service Name],"⚠ Unknown")</f>
        <v>Premium Basic T-shirt</v>
      </c>
      <c r="H286" s="1" t="str">
        <f>_xlfn.XLOOKUP(tblSales[[#This Row],[Product Code]],tblProducts[Code],tblProducts[Category],"")</f>
        <v>Accessories &amp; Basics</v>
      </c>
      <c r="I286" s="4">
        <v>7</v>
      </c>
      <c r="J286" s="5">
        <f>_xlfn.XLOOKUP(tblSales[[#This Row],[Product Code]],tblProducts[Code],tblProducts[Selling Price (excl. VAT)],0)</f>
        <v>65000</v>
      </c>
      <c r="K286" s="5">
        <f>tblSales[[#This Row],[Qty]]*tblSales[[#This Row],[Unit Price]]</f>
        <v>455000</v>
      </c>
      <c r="L286" s="5">
        <f>ROUND(tblSales[[#This Row],[DPP (excl. VAT)]]*VATEff,0)</f>
        <v>50050</v>
      </c>
      <c r="M286" s="5">
        <f>tblSales[[#This Row],[DPP (excl. VAT)]]+tblSales[[#This Row],[Output VAT]]</f>
        <v>505050</v>
      </c>
      <c r="N286" s="5">
        <f>tblSales[[#This Row],[Qty]]*_xlfn.XLOOKUP(tblSales[[#This Row],[Product Code]],tblProducts[Code],tblProducts[Unit Cost],0)</f>
        <v>259000</v>
      </c>
      <c r="O286" s="4" t="s">
        <v>4866</v>
      </c>
      <c r="P286" s="4" t="s">
        <v>4861</v>
      </c>
      <c r="Q286" s="1" t="str">
        <f>_xlfn.XLOOKUP(tblSales[[#This Row],[Channel Code]],tblChannels[Channel Code],tblChannels[Channel Name],"")</f>
        <v>Marketplace</v>
      </c>
      <c r="R286" s="1">
        <f>MONTH(tblSales[[#This Row],[Date]])</f>
        <v>1</v>
      </c>
    </row>
    <row r="287" spans="2:18" x14ac:dyDescent="0.35">
      <c r="B287" s="113">
        <v>46041</v>
      </c>
      <c r="C287" s="4" t="s">
        <v>249</v>
      </c>
      <c r="D287" s="4" t="s">
        <v>4568</v>
      </c>
      <c r="E287" s="1" t="str">
        <f>_xlfn.XLOOKUP(tblSales[[#This Row],[Customer ID]],tblCustomers[Customer ID],tblCustomers[Customer Name],"⚠ Unknown")</f>
        <v>Walk-in Customer</v>
      </c>
      <c r="F287" s="4" t="s">
        <v>6</v>
      </c>
      <c r="G287" s="1" t="str">
        <f>_xlfn.XLOOKUP(tblSales[[#This Row],[Product Code]],tblProducts[Code],tblProducts[Product / Service Name],"⚠ Unknown")</f>
        <v>Socks &amp; Accessories</v>
      </c>
      <c r="H287" s="1" t="str">
        <f>_xlfn.XLOOKUP(tblSales[[#This Row],[Product Code]],tblProducts[Code],tblProducts[Category],"")</f>
        <v>Accessories &amp; Basics</v>
      </c>
      <c r="I287" s="4">
        <v>10</v>
      </c>
      <c r="J287" s="5">
        <f>_xlfn.XLOOKUP(tblSales[[#This Row],[Product Code]],tblProducts[Code],tblProducts[Selling Price (excl. VAT)],0)</f>
        <v>45000</v>
      </c>
      <c r="K287" s="5">
        <f>tblSales[[#This Row],[Qty]]*tblSales[[#This Row],[Unit Price]]</f>
        <v>450000</v>
      </c>
      <c r="L287" s="5">
        <f>ROUND(tblSales[[#This Row],[DPP (excl. VAT)]]*VATEff,0)</f>
        <v>49500</v>
      </c>
      <c r="M287" s="5">
        <f>tblSales[[#This Row],[DPP (excl. VAT)]]+tblSales[[#This Row],[Output VAT]]</f>
        <v>499500</v>
      </c>
      <c r="N287" s="5">
        <f>tblSales[[#This Row],[Qty]]*_xlfn.XLOOKUP(tblSales[[#This Row],[Product Code]],tblProducts[Code],tblProducts[Unit Cost],0)</f>
        <v>240000</v>
      </c>
      <c r="O287" s="4" t="s">
        <v>4866</v>
      </c>
      <c r="P287" s="4" t="s">
        <v>4860</v>
      </c>
      <c r="Q287" s="1" t="str">
        <f>_xlfn.XLOOKUP(tblSales[[#This Row],[Channel Code]],tblChannels[Channel Code],tblChannels[Channel Name],"")</f>
        <v>In-store</v>
      </c>
      <c r="R287" s="1">
        <f>MONTH(tblSales[[#This Row],[Date]])</f>
        <v>1</v>
      </c>
    </row>
    <row r="288" spans="2:18" x14ac:dyDescent="0.35">
      <c r="B288" s="113">
        <v>46041</v>
      </c>
      <c r="C288" s="4" t="s">
        <v>250</v>
      </c>
      <c r="D288" s="4" t="s">
        <v>4568</v>
      </c>
      <c r="E288" s="1" t="str">
        <f>_xlfn.XLOOKUP(tblSales[[#This Row],[Customer ID]],tblCustomers[Customer ID],tblCustomers[Customer Name],"⚠ Unknown")</f>
        <v>Walk-in Customer</v>
      </c>
      <c r="F288" s="4" t="s">
        <v>12</v>
      </c>
      <c r="G288" s="1" t="str">
        <f>_xlfn.XLOOKUP(tblSales[[#This Row],[Product Code]],tblProducts[Code],tblProducts[Product / Service Name],"⚠ Unknown")</f>
        <v>Bomber Jacket</v>
      </c>
      <c r="H288" s="1" t="str">
        <f>_xlfn.XLOOKUP(tblSales[[#This Row],[Product Code]],tblProducts[Code],tblProducts[Category],"")</f>
        <v>Apparel &amp; Footwear</v>
      </c>
      <c r="I288" s="4">
        <v>6</v>
      </c>
      <c r="J288" s="5">
        <f>_xlfn.XLOOKUP(tblSales[[#This Row],[Product Code]],tblProducts[Code],tblProducts[Selling Price (excl. VAT)],0)</f>
        <v>350000</v>
      </c>
      <c r="K288" s="5">
        <f>tblSales[[#This Row],[Qty]]*tblSales[[#This Row],[Unit Price]]</f>
        <v>2100000</v>
      </c>
      <c r="L288" s="5">
        <f>ROUND(tblSales[[#This Row],[DPP (excl. VAT)]]*VATEff,0)</f>
        <v>231000</v>
      </c>
      <c r="M288" s="5">
        <f>tblSales[[#This Row],[DPP (excl. VAT)]]+tblSales[[#This Row],[Output VAT]]</f>
        <v>2331000</v>
      </c>
      <c r="N288" s="5">
        <f>tblSales[[#This Row],[Qty]]*_xlfn.XLOOKUP(tblSales[[#This Row],[Product Code]],tblProducts[Code],tblProducts[Unit Cost],0)</f>
        <v>1260000</v>
      </c>
      <c r="O288" s="4" t="s">
        <v>4866</v>
      </c>
      <c r="P288" s="4" t="s">
        <v>4860</v>
      </c>
      <c r="Q288" s="1" t="str">
        <f>_xlfn.XLOOKUP(tblSales[[#This Row],[Channel Code]],tblChannels[Channel Code],tblChannels[Channel Name],"")</f>
        <v>In-store</v>
      </c>
      <c r="R288" s="1">
        <f>MONTH(tblSales[[#This Row],[Date]])</f>
        <v>1</v>
      </c>
    </row>
    <row r="289" spans="2:18" x14ac:dyDescent="0.35">
      <c r="B289" s="113">
        <v>46041</v>
      </c>
      <c r="C289" s="4" t="s">
        <v>251</v>
      </c>
      <c r="D289" s="4" t="s">
        <v>4568</v>
      </c>
      <c r="E289" s="1" t="str">
        <f>_xlfn.XLOOKUP(tblSales[[#This Row],[Customer ID]],tblCustomers[Customer ID],tblCustomers[Customer Name],"⚠ Unknown")</f>
        <v>Walk-in Customer</v>
      </c>
      <c r="F289" s="4" t="s">
        <v>10</v>
      </c>
      <c r="G289" s="1" t="str">
        <f>_xlfn.XLOOKUP(tblSales[[#This Row],[Product Code]],tblProducts[Code],tblProducts[Product / Service Name],"⚠ Unknown")</f>
        <v>Chino Pants</v>
      </c>
      <c r="H289" s="1" t="str">
        <f>_xlfn.XLOOKUP(tblSales[[#This Row],[Product Code]],tblProducts[Code],tblProducts[Category],"")</f>
        <v>Apparel &amp; Footwear</v>
      </c>
      <c r="I289" s="4">
        <v>9</v>
      </c>
      <c r="J289" s="5">
        <f>_xlfn.XLOOKUP(tblSales[[#This Row],[Product Code]],tblProducts[Code],tblProducts[Selling Price (excl. VAT)],0)</f>
        <v>150000</v>
      </c>
      <c r="K289" s="5">
        <f>tblSales[[#This Row],[Qty]]*tblSales[[#This Row],[Unit Price]]</f>
        <v>1350000</v>
      </c>
      <c r="L289" s="5">
        <f>ROUND(tblSales[[#This Row],[DPP (excl. VAT)]]*VATEff,0)</f>
        <v>148500</v>
      </c>
      <c r="M289" s="5">
        <f>tblSales[[#This Row],[DPP (excl. VAT)]]+tblSales[[#This Row],[Output VAT]]</f>
        <v>1498500</v>
      </c>
      <c r="N289" s="5">
        <f>tblSales[[#This Row],[Qty]]*_xlfn.XLOOKUP(tblSales[[#This Row],[Product Code]],tblProducts[Code],tblProducts[Unit Cost],0)</f>
        <v>792000</v>
      </c>
      <c r="O289" s="4" t="s">
        <v>4865</v>
      </c>
      <c r="P289" s="4" t="s">
        <v>4860</v>
      </c>
      <c r="Q289" s="1" t="str">
        <f>_xlfn.XLOOKUP(tblSales[[#This Row],[Channel Code]],tblChannels[Channel Code],tblChannels[Channel Name],"")</f>
        <v>In-store</v>
      </c>
      <c r="R289" s="1">
        <f>MONTH(tblSales[[#This Row],[Date]])</f>
        <v>1</v>
      </c>
    </row>
    <row r="290" spans="2:18" x14ac:dyDescent="0.35">
      <c r="B290" s="113">
        <v>46042</v>
      </c>
      <c r="C290" s="4" t="s">
        <v>252</v>
      </c>
      <c r="D290" s="4" t="s">
        <v>4593</v>
      </c>
      <c r="E290" s="1" t="str">
        <f>_xlfn.XLOOKUP(tblSales[[#This Row],[Customer ID]],tblCustomers[Customer ID],tblCustomers[Customer Name],"⚠ Unknown")</f>
        <v>PT Graha Nusa Persada</v>
      </c>
      <c r="F290" s="4" t="s">
        <v>11</v>
      </c>
      <c r="G290" s="1" t="str">
        <f>_xlfn.XLOOKUP(tblSales[[#This Row],[Product Code]],tblProducts[Code],tblProducts[Product / Service Name],"⚠ Unknown")</f>
        <v>Sneakers</v>
      </c>
      <c r="H290" s="1" t="str">
        <f>_xlfn.XLOOKUP(tblSales[[#This Row],[Product Code]],tblProducts[Code],tblProducts[Category],"")</f>
        <v>Apparel &amp; Footwear</v>
      </c>
      <c r="I290" s="4">
        <v>48</v>
      </c>
      <c r="J290" s="5">
        <f>_xlfn.XLOOKUP(tblSales[[#This Row],[Product Code]],tblProducts[Code],tblProducts[Selling Price (excl. VAT)],0)</f>
        <v>250000</v>
      </c>
      <c r="K290" s="5">
        <f>tblSales[[#This Row],[Qty]]*tblSales[[#This Row],[Unit Price]]</f>
        <v>12000000</v>
      </c>
      <c r="L290" s="5">
        <f>ROUND(tblSales[[#This Row],[DPP (excl. VAT)]]*VATEff,0)</f>
        <v>1320000</v>
      </c>
      <c r="M290" s="5">
        <f>tblSales[[#This Row],[DPP (excl. VAT)]]+tblSales[[#This Row],[Output VAT]]</f>
        <v>13320000</v>
      </c>
      <c r="N290" s="5">
        <f>tblSales[[#This Row],[Qty]]*_xlfn.XLOOKUP(tblSales[[#This Row],[Product Code]],tblProducts[Code],tblProducts[Unit Cost],0)</f>
        <v>7440000</v>
      </c>
      <c r="O290" s="4" t="s">
        <v>4867</v>
      </c>
      <c r="P290" s="4" t="s">
        <v>4860</v>
      </c>
      <c r="Q290" s="1" t="str">
        <f>_xlfn.XLOOKUP(tblSales[[#This Row],[Channel Code]],tblChannels[Channel Code],tblChannels[Channel Name],"")</f>
        <v>In-store</v>
      </c>
      <c r="R290" s="1">
        <f>MONTH(tblSales[[#This Row],[Date]])</f>
        <v>1</v>
      </c>
    </row>
    <row r="291" spans="2:18" x14ac:dyDescent="0.35">
      <c r="B291" s="113">
        <v>46042</v>
      </c>
      <c r="C291" s="4" t="s">
        <v>253</v>
      </c>
      <c r="D291" s="4" t="s">
        <v>4568</v>
      </c>
      <c r="E291" s="1" t="str">
        <f>_xlfn.XLOOKUP(tblSales[[#This Row],[Customer ID]],tblCustomers[Customer ID],tblCustomers[Customer Name],"⚠ Unknown")</f>
        <v>Walk-in Customer</v>
      </c>
      <c r="F291" s="4" t="s">
        <v>8</v>
      </c>
      <c r="G291" s="1" t="str">
        <f>_xlfn.XLOOKUP(tblSales[[#This Row],[Product Code]],tblProducts[Code],tblProducts[Product / Service Name],"⚠ Unknown")</f>
        <v>Casual Shorts</v>
      </c>
      <c r="H291" s="1" t="str">
        <f>_xlfn.XLOOKUP(tblSales[[#This Row],[Product Code]],tblProducts[Code],tblProducts[Category],"")</f>
        <v>Accessories &amp; Basics</v>
      </c>
      <c r="I291" s="4">
        <v>12</v>
      </c>
      <c r="J291" s="5">
        <f>_xlfn.XLOOKUP(tblSales[[#This Row],[Product Code]],tblProducts[Code],tblProducts[Selling Price (excl. VAT)],0)</f>
        <v>85000</v>
      </c>
      <c r="K291" s="5">
        <f>tblSales[[#This Row],[Qty]]*tblSales[[#This Row],[Unit Price]]</f>
        <v>1020000</v>
      </c>
      <c r="L291" s="5">
        <f>ROUND(tblSales[[#This Row],[DPP (excl. VAT)]]*VATEff,0)</f>
        <v>112200</v>
      </c>
      <c r="M291" s="5">
        <f>tblSales[[#This Row],[DPP (excl. VAT)]]+tblSales[[#This Row],[Output VAT]]</f>
        <v>1132200</v>
      </c>
      <c r="N291" s="5">
        <f>tblSales[[#This Row],[Qty]]*_xlfn.XLOOKUP(tblSales[[#This Row],[Product Code]],tblProducts[Code],tblProducts[Unit Cost],0)</f>
        <v>600000</v>
      </c>
      <c r="O291" s="4" t="s">
        <v>4866</v>
      </c>
      <c r="P291" s="4" t="s">
        <v>4860</v>
      </c>
      <c r="Q291" s="1" t="str">
        <f>_xlfn.XLOOKUP(tblSales[[#This Row],[Channel Code]],tblChannels[Channel Code],tblChannels[Channel Name],"")</f>
        <v>In-store</v>
      </c>
      <c r="R291" s="1">
        <f>MONTH(tblSales[[#This Row],[Date]])</f>
        <v>1</v>
      </c>
    </row>
    <row r="292" spans="2:18" x14ac:dyDescent="0.35">
      <c r="B292" s="113">
        <v>46042</v>
      </c>
      <c r="C292" s="4" t="s">
        <v>254</v>
      </c>
      <c r="D292" s="4" t="s">
        <v>4585</v>
      </c>
      <c r="E292" s="1" t="str">
        <f>_xlfn.XLOOKUP(tblSales[[#This Row],[Customer ID]],tblCustomers[Customer ID],tblCustomers[Customer Name],"⚠ Unknown")</f>
        <v>CV Mitra Karya Mandiri</v>
      </c>
      <c r="F292" s="4" t="s">
        <v>6</v>
      </c>
      <c r="G292" s="1" t="str">
        <f>_xlfn.XLOOKUP(tblSales[[#This Row],[Product Code]],tblProducts[Code],tblProducts[Product / Service Name],"⚠ Unknown")</f>
        <v>Socks &amp; Accessories</v>
      </c>
      <c r="H292" s="1" t="str">
        <f>_xlfn.XLOOKUP(tblSales[[#This Row],[Product Code]],tblProducts[Code],tblProducts[Category],"")</f>
        <v>Accessories &amp; Basics</v>
      </c>
      <c r="I292" s="4">
        <v>88</v>
      </c>
      <c r="J292" s="5">
        <f>_xlfn.XLOOKUP(tblSales[[#This Row],[Product Code]],tblProducts[Code],tblProducts[Selling Price (excl. VAT)],0)</f>
        <v>45000</v>
      </c>
      <c r="K292" s="5">
        <f>tblSales[[#This Row],[Qty]]*tblSales[[#This Row],[Unit Price]]</f>
        <v>3960000</v>
      </c>
      <c r="L292" s="5">
        <f>ROUND(tblSales[[#This Row],[DPP (excl. VAT)]]*VATEff,0)</f>
        <v>435600</v>
      </c>
      <c r="M292" s="5">
        <f>tblSales[[#This Row],[DPP (excl. VAT)]]+tblSales[[#This Row],[Output VAT]]</f>
        <v>4395600</v>
      </c>
      <c r="N292" s="5">
        <f>tblSales[[#This Row],[Qty]]*_xlfn.XLOOKUP(tblSales[[#This Row],[Product Code]],tblProducts[Code],tblProducts[Unit Cost],0)</f>
        <v>2112000</v>
      </c>
      <c r="O292" s="4" t="s">
        <v>4867</v>
      </c>
      <c r="P292" s="4" t="s">
        <v>4860</v>
      </c>
      <c r="Q292" s="1" t="str">
        <f>_xlfn.XLOOKUP(tblSales[[#This Row],[Channel Code]],tblChannels[Channel Code],tblChannels[Channel Name],"")</f>
        <v>In-store</v>
      </c>
      <c r="R292" s="1">
        <f>MONTH(tblSales[[#This Row],[Date]])</f>
        <v>1</v>
      </c>
    </row>
    <row r="293" spans="2:18" x14ac:dyDescent="0.35">
      <c r="B293" s="113">
        <v>46042</v>
      </c>
      <c r="C293" s="4" t="s">
        <v>255</v>
      </c>
      <c r="D293" s="4" t="s">
        <v>4648</v>
      </c>
      <c r="E293" s="1" t="str">
        <f>_xlfn.XLOOKUP(tblSales[[#This Row],[Customer ID]],tblCustomers[Customer ID],tblCustomers[Customer Name],"⚠ Unknown")</f>
        <v>PT Lintas Benua Niaga</v>
      </c>
      <c r="F293" s="4" t="s">
        <v>13</v>
      </c>
      <c r="G293" s="1" t="str">
        <f>_xlfn.XLOOKUP(tblSales[[#This Row],[Product Code]],tblProducts[Code],tblProducts[Product / Service Name],"⚠ Unknown")</f>
        <v>Backpack</v>
      </c>
      <c r="H293" s="1" t="str">
        <f>_xlfn.XLOOKUP(tblSales[[#This Row],[Product Code]],tblProducts[Code],tblProducts[Category],"")</f>
        <v>Bags &amp; Gadgets</v>
      </c>
      <c r="I293" s="4">
        <v>40</v>
      </c>
      <c r="J293" s="5">
        <f>_xlfn.XLOOKUP(tblSales[[#This Row],[Product Code]],tblProducts[Code],tblProducts[Selling Price (excl. VAT)],0)</f>
        <v>500000</v>
      </c>
      <c r="K293" s="5">
        <f>tblSales[[#This Row],[Qty]]*tblSales[[#This Row],[Unit Price]]</f>
        <v>20000000</v>
      </c>
      <c r="L293" s="5">
        <f>ROUND(tblSales[[#This Row],[DPP (excl. VAT)]]*VATEff,0)</f>
        <v>2200000</v>
      </c>
      <c r="M293" s="5">
        <f>tblSales[[#This Row],[DPP (excl. VAT)]]+tblSales[[#This Row],[Output VAT]]</f>
        <v>22200000</v>
      </c>
      <c r="N293" s="5">
        <f>tblSales[[#This Row],[Qty]]*_xlfn.XLOOKUP(tblSales[[#This Row],[Product Code]],tblProducts[Code],tblProducts[Unit Cost],0)</f>
        <v>11600000</v>
      </c>
      <c r="O293" s="4" t="s">
        <v>4867</v>
      </c>
      <c r="P293" s="4" t="s">
        <v>4862</v>
      </c>
      <c r="Q293" s="1" t="str">
        <f>_xlfn.XLOOKUP(tblSales[[#This Row],[Channel Code]],tblChannels[Channel Code],tblChannels[Channel Name],"")</f>
        <v>Website &amp; Social Media</v>
      </c>
      <c r="R293" s="1">
        <f>MONTH(tblSales[[#This Row],[Date]])</f>
        <v>1</v>
      </c>
    </row>
    <row r="294" spans="2:18" x14ac:dyDescent="0.35">
      <c r="B294" s="113">
        <v>46042</v>
      </c>
      <c r="C294" s="4" t="s">
        <v>255</v>
      </c>
      <c r="D294" s="4" t="s">
        <v>4648</v>
      </c>
      <c r="E294" s="1" t="str">
        <f>_xlfn.XLOOKUP(tblSales[[#This Row],[Customer ID]],tblCustomers[Customer ID],tblCustomers[Customer Name],"⚠ Unknown")</f>
        <v>PT Lintas Benua Niaga</v>
      </c>
      <c r="F294" s="4" t="s">
        <v>11</v>
      </c>
      <c r="G294" s="1" t="str">
        <f>_xlfn.XLOOKUP(tblSales[[#This Row],[Product Code]],tblProducts[Code],tblProducts[Product / Service Name],"⚠ Unknown")</f>
        <v>Sneakers</v>
      </c>
      <c r="H294" s="1" t="str">
        <f>_xlfn.XLOOKUP(tblSales[[#This Row],[Product Code]],tblProducts[Code],tblProducts[Category],"")</f>
        <v>Apparel &amp; Footwear</v>
      </c>
      <c r="I294" s="4">
        <v>40</v>
      </c>
      <c r="J294" s="5">
        <f>_xlfn.XLOOKUP(tblSales[[#This Row],[Product Code]],tblProducts[Code],tblProducts[Selling Price (excl. VAT)],0)</f>
        <v>250000</v>
      </c>
      <c r="K294" s="5">
        <f>tblSales[[#This Row],[Qty]]*tblSales[[#This Row],[Unit Price]]</f>
        <v>10000000</v>
      </c>
      <c r="L294" s="5">
        <f>ROUND(tblSales[[#This Row],[DPP (excl. VAT)]]*VATEff,0)</f>
        <v>1100000</v>
      </c>
      <c r="M294" s="5">
        <f>tblSales[[#This Row],[DPP (excl. VAT)]]+tblSales[[#This Row],[Output VAT]]</f>
        <v>11100000</v>
      </c>
      <c r="N294" s="5">
        <f>tblSales[[#This Row],[Qty]]*_xlfn.XLOOKUP(tblSales[[#This Row],[Product Code]],tblProducts[Code],tblProducts[Unit Cost],0)</f>
        <v>6200000</v>
      </c>
      <c r="O294" s="4" t="s">
        <v>4867</v>
      </c>
      <c r="P294" s="4" t="s">
        <v>4862</v>
      </c>
      <c r="Q294" s="1" t="str">
        <f>_xlfn.XLOOKUP(tblSales[[#This Row],[Channel Code]],tblChannels[Channel Code],tblChannels[Channel Name],"")</f>
        <v>Website &amp; Social Media</v>
      </c>
      <c r="R294" s="1">
        <f>MONTH(tblSales[[#This Row],[Date]])</f>
        <v>1</v>
      </c>
    </row>
    <row r="295" spans="2:18" x14ac:dyDescent="0.35">
      <c r="B295" s="113">
        <v>46042</v>
      </c>
      <c r="C295" s="4" t="s">
        <v>256</v>
      </c>
      <c r="D295" s="4" t="s">
        <v>4568</v>
      </c>
      <c r="E295" s="1" t="str">
        <f>_xlfn.XLOOKUP(tblSales[[#This Row],[Customer ID]],tblCustomers[Customer ID],tblCustomers[Customer Name],"⚠ Unknown")</f>
        <v>Walk-in Customer</v>
      </c>
      <c r="F295" s="4" t="s">
        <v>10</v>
      </c>
      <c r="G295" s="1" t="str">
        <f>_xlfn.XLOOKUP(tblSales[[#This Row],[Product Code]],tblProducts[Code],tblProducts[Product / Service Name],"⚠ Unknown")</f>
        <v>Chino Pants</v>
      </c>
      <c r="H295" s="1" t="str">
        <f>_xlfn.XLOOKUP(tblSales[[#This Row],[Product Code]],tblProducts[Code],tblProducts[Category],"")</f>
        <v>Apparel &amp; Footwear</v>
      </c>
      <c r="I295" s="4">
        <v>10</v>
      </c>
      <c r="J295" s="5">
        <f>_xlfn.XLOOKUP(tblSales[[#This Row],[Product Code]],tblProducts[Code],tblProducts[Selling Price (excl. VAT)],0)</f>
        <v>150000</v>
      </c>
      <c r="K295" s="5">
        <f>tblSales[[#This Row],[Qty]]*tblSales[[#This Row],[Unit Price]]</f>
        <v>1500000</v>
      </c>
      <c r="L295" s="5">
        <f>ROUND(tblSales[[#This Row],[DPP (excl. VAT)]]*VATEff,0)</f>
        <v>165000</v>
      </c>
      <c r="M295" s="5">
        <f>tblSales[[#This Row],[DPP (excl. VAT)]]+tblSales[[#This Row],[Output VAT]]</f>
        <v>1665000</v>
      </c>
      <c r="N295" s="5">
        <f>tblSales[[#This Row],[Qty]]*_xlfn.XLOOKUP(tblSales[[#This Row],[Product Code]],tblProducts[Code],tblProducts[Unit Cost],0)</f>
        <v>880000</v>
      </c>
      <c r="O295" s="4" t="s">
        <v>4866</v>
      </c>
      <c r="P295" s="4" t="s">
        <v>4860</v>
      </c>
      <c r="Q295" s="1" t="str">
        <f>_xlfn.XLOOKUP(tblSales[[#This Row],[Channel Code]],tblChannels[Channel Code],tblChannels[Channel Name],"")</f>
        <v>In-store</v>
      </c>
      <c r="R295" s="1">
        <f>MONTH(tblSales[[#This Row],[Date]])</f>
        <v>1</v>
      </c>
    </row>
    <row r="296" spans="2:18" x14ac:dyDescent="0.35">
      <c r="B296" s="113">
        <v>46042</v>
      </c>
      <c r="C296" s="4" t="s">
        <v>256</v>
      </c>
      <c r="D296" s="4" t="s">
        <v>4568</v>
      </c>
      <c r="E296" s="1" t="str">
        <f>_xlfn.XLOOKUP(tblSales[[#This Row],[Customer ID]],tblCustomers[Customer ID],tblCustomers[Customer Name],"⚠ Unknown")</f>
        <v>Walk-in Customer</v>
      </c>
      <c r="F296" s="4" t="s">
        <v>7</v>
      </c>
      <c r="G296" s="1" t="str">
        <f>_xlfn.XLOOKUP(tblSales[[#This Row],[Product Code]],tblProducts[Code],tblProducts[Product / Service Name],"⚠ Unknown")</f>
        <v>Premium Basic T-shirt</v>
      </c>
      <c r="H296" s="1" t="str">
        <f>_xlfn.XLOOKUP(tblSales[[#This Row],[Product Code]],tblProducts[Code],tblProducts[Category],"")</f>
        <v>Accessories &amp; Basics</v>
      </c>
      <c r="I296" s="4">
        <v>9</v>
      </c>
      <c r="J296" s="5">
        <f>_xlfn.XLOOKUP(tblSales[[#This Row],[Product Code]],tblProducts[Code],tblProducts[Selling Price (excl. VAT)],0)</f>
        <v>65000</v>
      </c>
      <c r="K296" s="5">
        <f>tblSales[[#This Row],[Qty]]*tblSales[[#This Row],[Unit Price]]</f>
        <v>585000</v>
      </c>
      <c r="L296" s="5">
        <f>ROUND(tblSales[[#This Row],[DPP (excl. VAT)]]*VATEff,0)</f>
        <v>64350</v>
      </c>
      <c r="M296" s="5">
        <f>tblSales[[#This Row],[DPP (excl. VAT)]]+tblSales[[#This Row],[Output VAT]]</f>
        <v>649350</v>
      </c>
      <c r="N296" s="5">
        <f>tblSales[[#This Row],[Qty]]*_xlfn.XLOOKUP(tblSales[[#This Row],[Product Code]],tblProducts[Code],tblProducts[Unit Cost],0)</f>
        <v>333000</v>
      </c>
      <c r="O296" s="4" t="s">
        <v>4866</v>
      </c>
      <c r="P296" s="4" t="s">
        <v>4860</v>
      </c>
      <c r="Q296" s="1" t="str">
        <f>_xlfn.XLOOKUP(tblSales[[#This Row],[Channel Code]],tblChannels[Channel Code],tblChannels[Channel Name],"")</f>
        <v>In-store</v>
      </c>
      <c r="R296" s="1">
        <f>MONTH(tblSales[[#This Row],[Date]])</f>
        <v>1</v>
      </c>
    </row>
    <row r="297" spans="2:18" x14ac:dyDescent="0.35">
      <c r="B297" s="113">
        <v>46042</v>
      </c>
      <c r="C297" s="4" t="s">
        <v>257</v>
      </c>
      <c r="D297" s="4" t="s">
        <v>4578</v>
      </c>
      <c r="E297" s="1" t="str">
        <f>_xlfn.XLOOKUP(tblSales[[#This Row],[Customer ID]],tblCustomers[Customer ID],tblCustomers[Customer Name],"⚠ Unknown")</f>
        <v>PT Bintang Timur Sejahtera</v>
      </c>
      <c r="F297" s="4" t="s">
        <v>6</v>
      </c>
      <c r="G297" s="1" t="str">
        <f>_xlfn.XLOOKUP(tblSales[[#This Row],[Product Code]],tblProducts[Code],tblProducts[Product / Service Name],"⚠ Unknown")</f>
        <v>Socks &amp; Accessories</v>
      </c>
      <c r="H297" s="1" t="str">
        <f>_xlfn.XLOOKUP(tblSales[[#This Row],[Product Code]],tblProducts[Code],tblProducts[Category],"")</f>
        <v>Accessories &amp; Basics</v>
      </c>
      <c r="I297" s="4">
        <v>40</v>
      </c>
      <c r="J297" s="5">
        <f>_xlfn.XLOOKUP(tblSales[[#This Row],[Product Code]],tblProducts[Code],tblProducts[Selling Price (excl. VAT)],0)</f>
        <v>45000</v>
      </c>
      <c r="K297" s="5">
        <f>tblSales[[#This Row],[Qty]]*tblSales[[#This Row],[Unit Price]]</f>
        <v>1800000</v>
      </c>
      <c r="L297" s="5">
        <f>ROUND(tblSales[[#This Row],[DPP (excl. VAT)]]*VATEff,0)</f>
        <v>198000</v>
      </c>
      <c r="M297" s="5">
        <f>tblSales[[#This Row],[DPP (excl. VAT)]]+tblSales[[#This Row],[Output VAT]]</f>
        <v>1998000</v>
      </c>
      <c r="N297" s="5">
        <f>tblSales[[#This Row],[Qty]]*_xlfn.XLOOKUP(tblSales[[#This Row],[Product Code]],tblProducts[Code],tblProducts[Unit Cost],0)</f>
        <v>960000</v>
      </c>
      <c r="O297" s="4" t="s">
        <v>4867</v>
      </c>
      <c r="P297" s="4" t="s">
        <v>4862</v>
      </c>
      <c r="Q297" s="1" t="str">
        <f>_xlfn.XLOOKUP(tblSales[[#This Row],[Channel Code]],tblChannels[Channel Code],tblChannels[Channel Name],"")</f>
        <v>Website &amp; Social Media</v>
      </c>
      <c r="R297" s="1">
        <f>MONTH(tblSales[[#This Row],[Date]])</f>
        <v>1</v>
      </c>
    </row>
    <row r="298" spans="2:18" x14ac:dyDescent="0.35">
      <c r="B298" s="113">
        <v>46042</v>
      </c>
      <c r="C298" s="4" t="s">
        <v>258</v>
      </c>
      <c r="D298" s="4" t="s">
        <v>4568</v>
      </c>
      <c r="E298" s="1" t="str">
        <f>_xlfn.XLOOKUP(tblSales[[#This Row],[Customer ID]],tblCustomers[Customer ID],tblCustomers[Customer Name],"⚠ Unknown")</f>
        <v>Walk-in Customer</v>
      </c>
      <c r="F298" s="4" t="s">
        <v>11</v>
      </c>
      <c r="G298" s="1" t="str">
        <f>_xlfn.XLOOKUP(tblSales[[#This Row],[Product Code]],tblProducts[Code],tblProducts[Product / Service Name],"⚠ Unknown")</f>
        <v>Sneakers</v>
      </c>
      <c r="H298" s="1" t="str">
        <f>_xlfn.XLOOKUP(tblSales[[#This Row],[Product Code]],tblProducts[Code],tblProducts[Category],"")</f>
        <v>Apparel &amp; Footwear</v>
      </c>
      <c r="I298" s="4">
        <v>1</v>
      </c>
      <c r="J298" s="5">
        <f>_xlfn.XLOOKUP(tblSales[[#This Row],[Product Code]],tblProducts[Code],tblProducts[Selling Price (excl. VAT)],0)</f>
        <v>250000</v>
      </c>
      <c r="K298" s="5">
        <f>tblSales[[#This Row],[Qty]]*tblSales[[#This Row],[Unit Price]]</f>
        <v>250000</v>
      </c>
      <c r="L298" s="5">
        <f>ROUND(tblSales[[#This Row],[DPP (excl. VAT)]]*VATEff,0)</f>
        <v>27500</v>
      </c>
      <c r="M298" s="5">
        <f>tblSales[[#This Row],[DPP (excl. VAT)]]+tblSales[[#This Row],[Output VAT]]</f>
        <v>277500</v>
      </c>
      <c r="N298" s="5">
        <f>tblSales[[#This Row],[Qty]]*_xlfn.XLOOKUP(tblSales[[#This Row],[Product Code]],tblProducts[Code],tblProducts[Unit Cost],0)</f>
        <v>155000</v>
      </c>
      <c r="O298" s="4" t="s">
        <v>4866</v>
      </c>
      <c r="P298" s="4" t="s">
        <v>4860</v>
      </c>
      <c r="Q298" s="1" t="str">
        <f>_xlfn.XLOOKUP(tblSales[[#This Row],[Channel Code]],tblChannels[Channel Code],tblChannels[Channel Name],"")</f>
        <v>In-store</v>
      </c>
      <c r="R298" s="1">
        <f>MONTH(tblSales[[#This Row],[Date]])</f>
        <v>1</v>
      </c>
    </row>
    <row r="299" spans="2:18" x14ac:dyDescent="0.35">
      <c r="B299" s="113">
        <v>46042</v>
      </c>
      <c r="C299" s="4" t="s">
        <v>258</v>
      </c>
      <c r="D299" s="4" t="s">
        <v>4568</v>
      </c>
      <c r="E299" s="1" t="str">
        <f>_xlfn.XLOOKUP(tblSales[[#This Row],[Customer ID]],tblCustomers[Customer ID],tblCustomers[Customer Name],"⚠ Unknown")</f>
        <v>Walk-in Customer</v>
      </c>
      <c r="F299" s="4" t="s">
        <v>7</v>
      </c>
      <c r="G299" s="1" t="str">
        <f>_xlfn.XLOOKUP(tblSales[[#This Row],[Product Code]],tblProducts[Code],tblProducts[Product / Service Name],"⚠ Unknown")</f>
        <v>Premium Basic T-shirt</v>
      </c>
      <c r="H299" s="1" t="str">
        <f>_xlfn.XLOOKUP(tblSales[[#This Row],[Product Code]],tblProducts[Code],tblProducts[Category],"")</f>
        <v>Accessories &amp; Basics</v>
      </c>
      <c r="I299" s="4">
        <v>9</v>
      </c>
      <c r="J299" s="5">
        <f>_xlfn.XLOOKUP(tblSales[[#This Row],[Product Code]],tblProducts[Code],tblProducts[Selling Price (excl. VAT)],0)</f>
        <v>65000</v>
      </c>
      <c r="K299" s="5">
        <f>tblSales[[#This Row],[Qty]]*tblSales[[#This Row],[Unit Price]]</f>
        <v>585000</v>
      </c>
      <c r="L299" s="5">
        <f>ROUND(tblSales[[#This Row],[DPP (excl. VAT)]]*VATEff,0)</f>
        <v>64350</v>
      </c>
      <c r="M299" s="5">
        <f>tblSales[[#This Row],[DPP (excl. VAT)]]+tblSales[[#This Row],[Output VAT]]</f>
        <v>649350</v>
      </c>
      <c r="N299" s="5">
        <f>tblSales[[#This Row],[Qty]]*_xlfn.XLOOKUP(tblSales[[#This Row],[Product Code]],tblProducts[Code],tblProducts[Unit Cost],0)</f>
        <v>333000</v>
      </c>
      <c r="O299" s="4" t="s">
        <v>4866</v>
      </c>
      <c r="P299" s="4" t="s">
        <v>4860</v>
      </c>
      <c r="Q299" s="1" t="str">
        <f>_xlfn.XLOOKUP(tblSales[[#This Row],[Channel Code]],tblChannels[Channel Code],tblChannels[Channel Name],"")</f>
        <v>In-store</v>
      </c>
      <c r="R299" s="1">
        <f>MONTH(tblSales[[#This Row],[Date]])</f>
        <v>1</v>
      </c>
    </row>
    <row r="300" spans="2:18" x14ac:dyDescent="0.35">
      <c r="B300" s="113">
        <v>46042</v>
      </c>
      <c r="C300" s="4" t="s">
        <v>258</v>
      </c>
      <c r="D300" s="4" t="s">
        <v>4568</v>
      </c>
      <c r="E300" s="1" t="str">
        <f>_xlfn.XLOOKUP(tblSales[[#This Row],[Customer ID]],tblCustomers[Customer ID],tblCustomers[Customer Name],"⚠ Unknown")</f>
        <v>Walk-in Customer</v>
      </c>
      <c r="F300" s="4" t="s">
        <v>8</v>
      </c>
      <c r="G300" s="1" t="str">
        <f>_xlfn.XLOOKUP(tblSales[[#This Row],[Product Code]],tblProducts[Code],tblProducts[Product / Service Name],"⚠ Unknown")</f>
        <v>Casual Shorts</v>
      </c>
      <c r="H300" s="1" t="str">
        <f>_xlfn.XLOOKUP(tblSales[[#This Row],[Product Code]],tblProducts[Code],tblProducts[Category],"")</f>
        <v>Accessories &amp; Basics</v>
      </c>
      <c r="I300" s="4">
        <v>4</v>
      </c>
      <c r="J300" s="5">
        <f>_xlfn.XLOOKUP(tblSales[[#This Row],[Product Code]],tblProducts[Code],tblProducts[Selling Price (excl. VAT)],0)</f>
        <v>85000</v>
      </c>
      <c r="K300" s="5">
        <f>tblSales[[#This Row],[Qty]]*tblSales[[#This Row],[Unit Price]]</f>
        <v>340000</v>
      </c>
      <c r="L300" s="5">
        <f>ROUND(tblSales[[#This Row],[DPP (excl. VAT)]]*VATEff,0)</f>
        <v>37400</v>
      </c>
      <c r="M300" s="5">
        <f>tblSales[[#This Row],[DPP (excl. VAT)]]+tblSales[[#This Row],[Output VAT]]</f>
        <v>377400</v>
      </c>
      <c r="N300" s="5">
        <f>tblSales[[#This Row],[Qty]]*_xlfn.XLOOKUP(tblSales[[#This Row],[Product Code]],tblProducts[Code],tblProducts[Unit Cost],0)</f>
        <v>200000</v>
      </c>
      <c r="O300" s="4" t="s">
        <v>4866</v>
      </c>
      <c r="P300" s="4" t="s">
        <v>4860</v>
      </c>
      <c r="Q300" s="1" t="str">
        <f>_xlfn.XLOOKUP(tblSales[[#This Row],[Channel Code]],tblChannels[Channel Code],tblChannels[Channel Name],"")</f>
        <v>In-store</v>
      </c>
      <c r="R300" s="1">
        <f>MONTH(tblSales[[#This Row],[Date]])</f>
        <v>1</v>
      </c>
    </row>
    <row r="301" spans="2:18" x14ac:dyDescent="0.35">
      <c r="B301" s="113">
        <v>46042</v>
      </c>
      <c r="C301" s="4" t="s">
        <v>259</v>
      </c>
      <c r="D301" s="4" t="s">
        <v>4613</v>
      </c>
      <c r="E301" s="1" t="str">
        <f>_xlfn.XLOOKUP(tblSales[[#This Row],[Customer ID]],tblCustomers[Customer ID],tblCustomers[Customer Name],"⚠ Unknown")</f>
        <v>PT Mega Prima Distribusi</v>
      </c>
      <c r="F301" s="4" t="s">
        <v>6</v>
      </c>
      <c r="G301" s="1" t="str">
        <f>_xlfn.XLOOKUP(tblSales[[#This Row],[Product Code]],tblProducts[Code],tblProducts[Product / Service Name],"⚠ Unknown")</f>
        <v>Socks &amp; Accessories</v>
      </c>
      <c r="H301" s="1" t="str">
        <f>_xlfn.XLOOKUP(tblSales[[#This Row],[Product Code]],tblProducts[Code],tblProducts[Category],"")</f>
        <v>Accessories &amp; Basics</v>
      </c>
      <c r="I301" s="4">
        <v>8</v>
      </c>
      <c r="J301" s="5">
        <f>_xlfn.XLOOKUP(tblSales[[#This Row],[Product Code]],tblProducts[Code],tblProducts[Selling Price (excl. VAT)],0)</f>
        <v>45000</v>
      </c>
      <c r="K301" s="5">
        <f>tblSales[[#This Row],[Qty]]*tblSales[[#This Row],[Unit Price]]</f>
        <v>360000</v>
      </c>
      <c r="L301" s="5">
        <f>ROUND(tblSales[[#This Row],[DPP (excl. VAT)]]*VATEff,0)</f>
        <v>39600</v>
      </c>
      <c r="M301" s="5">
        <f>tblSales[[#This Row],[DPP (excl. VAT)]]+tblSales[[#This Row],[Output VAT]]</f>
        <v>399600</v>
      </c>
      <c r="N301" s="5">
        <f>tblSales[[#This Row],[Qty]]*_xlfn.XLOOKUP(tblSales[[#This Row],[Product Code]],tblProducts[Code],tblProducts[Unit Cost],0)</f>
        <v>192000</v>
      </c>
      <c r="O301" s="4" t="s">
        <v>4867</v>
      </c>
      <c r="P301" s="4" t="s">
        <v>4860</v>
      </c>
      <c r="Q301" s="1" t="str">
        <f>_xlfn.XLOOKUP(tblSales[[#This Row],[Channel Code]],tblChannels[Channel Code],tblChannels[Channel Name],"")</f>
        <v>In-store</v>
      </c>
      <c r="R301" s="1">
        <f>MONTH(tblSales[[#This Row],[Date]])</f>
        <v>1</v>
      </c>
    </row>
    <row r="302" spans="2:18" x14ac:dyDescent="0.35">
      <c r="B302" s="113">
        <v>46042</v>
      </c>
      <c r="C302" s="4" t="s">
        <v>259</v>
      </c>
      <c r="D302" s="4" t="s">
        <v>4613</v>
      </c>
      <c r="E302" s="1" t="str">
        <f>_xlfn.XLOOKUP(tblSales[[#This Row],[Customer ID]],tblCustomers[Customer ID],tblCustomers[Customer Name],"⚠ Unknown")</f>
        <v>PT Mega Prima Distribusi</v>
      </c>
      <c r="F302" s="4" t="s">
        <v>8</v>
      </c>
      <c r="G302" s="1" t="str">
        <f>_xlfn.XLOOKUP(tblSales[[#This Row],[Product Code]],tblProducts[Code],tblProducts[Product / Service Name],"⚠ Unknown")</f>
        <v>Casual Shorts</v>
      </c>
      <c r="H302" s="1" t="str">
        <f>_xlfn.XLOOKUP(tblSales[[#This Row],[Product Code]],tblProducts[Code],tblProducts[Category],"")</f>
        <v>Accessories &amp; Basics</v>
      </c>
      <c r="I302" s="4">
        <v>8</v>
      </c>
      <c r="J302" s="5">
        <f>_xlfn.XLOOKUP(tblSales[[#This Row],[Product Code]],tblProducts[Code],tblProducts[Selling Price (excl. VAT)],0)</f>
        <v>85000</v>
      </c>
      <c r="K302" s="5">
        <f>tblSales[[#This Row],[Qty]]*tblSales[[#This Row],[Unit Price]]</f>
        <v>680000</v>
      </c>
      <c r="L302" s="5">
        <f>ROUND(tblSales[[#This Row],[DPP (excl. VAT)]]*VATEff,0)</f>
        <v>74800</v>
      </c>
      <c r="M302" s="5">
        <f>tblSales[[#This Row],[DPP (excl. VAT)]]+tblSales[[#This Row],[Output VAT]]</f>
        <v>754800</v>
      </c>
      <c r="N302" s="5">
        <f>tblSales[[#This Row],[Qty]]*_xlfn.XLOOKUP(tblSales[[#This Row],[Product Code]],tblProducts[Code],tblProducts[Unit Cost],0)</f>
        <v>400000</v>
      </c>
      <c r="O302" s="4" t="s">
        <v>4867</v>
      </c>
      <c r="P302" s="4" t="s">
        <v>4860</v>
      </c>
      <c r="Q302" s="1" t="str">
        <f>_xlfn.XLOOKUP(tblSales[[#This Row],[Channel Code]],tblChannels[Channel Code],tblChannels[Channel Name],"")</f>
        <v>In-store</v>
      </c>
      <c r="R302" s="1">
        <f>MONTH(tblSales[[#This Row],[Date]])</f>
        <v>1</v>
      </c>
    </row>
    <row r="303" spans="2:18" x14ac:dyDescent="0.35">
      <c r="B303" s="113">
        <v>46042</v>
      </c>
      <c r="C303" s="4" t="s">
        <v>260</v>
      </c>
      <c r="D303" s="4" t="s">
        <v>4568</v>
      </c>
      <c r="E303" s="1" t="str">
        <f>_xlfn.XLOOKUP(tblSales[[#This Row],[Customer ID]],tblCustomers[Customer ID],tblCustomers[Customer Name],"⚠ Unknown")</f>
        <v>Walk-in Customer</v>
      </c>
      <c r="F303" s="4" t="s">
        <v>7</v>
      </c>
      <c r="G303" s="1" t="str">
        <f>_xlfn.XLOOKUP(tblSales[[#This Row],[Product Code]],tblProducts[Code],tblProducts[Product / Service Name],"⚠ Unknown")</f>
        <v>Premium Basic T-shirt</v>
      </c>
      <c r="H303" s="1" t="str">
        <f>_xlfn.XLOOKUP(tblSales[[#This Row],[Product Code]],tblProducts[Code],tblProducts[Category],"")</f>
        <v>Accessories &amp; Basics</v>
      </c>
      <c r="I303" s="4">
        <v>4</v>
      </c>
      <c r="J303" s="5">
        <f>_xlfn.XLOOKUP(tblSales[[#This Row],[Product Code]],tblProducts[Code],tblProducts[Selling Price (excl. VAT)],0)</f>
        <v>65000</v>
      </c>
      <c r="K303" s="5">
        <f>tblSales[[#This Row],[Qty]]*tblSales[[#This Row],[Unit Price]]</f>
        <v>260000</v>
      </c>
      <c r="L303" s="5">
        <f>ROUND(tblSales[[#This Row],[DPP (excl. VAT)]]*VATEff,0)</f>
        <v>28600</v>
      </c>
      <c r="M303" s="5">
        <f>tblSales[[#This Row],[DPP (excl. VAT)]]+tblSales[[#This Row],[Output VAT]]</f>
        <v>288600</v>
      </c>
      <c r="N303" s="5">
        <f>tblSales[[#This Row],[Qty]]*_xlfn.XLOOKUP(tblSales[[#This Row],[Product Code]],tblProducts[Code],tblProducts[Unit Cost],0)</f>
        <v>148000</v>
      </c>
      <c r="O303" s="4" t="s">
        <v>4866</v>
      </c>
      <c r="P303" s="4" t="s">
        <v>4861</v>
      </c>
      <c r="Q303" s="1" t="str">
        <f>_xlfn.XLOOKUP(tblSales[[#This Row],[Channel Code]],tblChannels[Channel Code],tblChannels[Channel Name],"")</f>
        <v>Marketplace</v>
      </c>
      <c r="R303" s="1">
        <f>MONTH(tblSales[[#This Row],[Date]])</f>
        <v>1</v>
      </c>
    </row>
    <row r="304" spans="2:18" x14ac:dyDescent="0.35">
      <c r="B304" s="113">
        <v>46042</v>
      </c>
      <c r="C304" s="4" t="s">
        <v>260</v>
      </c>
      <c r="D304" s="4" t="s">
        <v>4568</v>
      </c>
      <c r="E304" s="1" t="str">
        <f>_xlfn.XLOOKUP(tblSales[[#This Row],[Customer ID]],tblCustomers[Customer ID],tblCustomers[Customer Name],"⚠ Unknown")</f>
        <v>Walk-in Customer</v>
      </c>
      <c r="F304" s="4" t="s">
        <v>13</v>
      </c>
      <c r="G304" s="1" t="str">
        <f>_xlfn.XLOOKUP(tblSales[[#This Row],[Product Code]],tblProducts[Code],tblProducts[Product / Service Name],"⚠ Unknown")</f>
        <v>Backpack</v>
      </c>
      <c r="H304" s="1" t="str">
        <f>_xlfn.XLOOKUP(tblSales[[#This Row],[Product Code]],tblProducts[Code],tblProducts[Category],"")</f>
        <v>Bags &amp; Gadgets</v>
      </c>
      <c r="I304" s="4">
        <v>6</v>
      </c>
      <c r="J304" s="5">
        <f>_xlfn.XLOOKUP(tblSales[[#This Row],[Product Code]],tblProducts[Code],tblProducts[Selling Price (excl. VAT)],0)</f>
        <v>500000</v>
      </c>
      <c r="K304" s="5">
        <f>tblSales[[#This Row],[Qty]]*tblSales[[#This Row],[Unit Price]]</f>
        <v>3000000</v>
      </c>
      <c r="L304" s="5">
        <f>ROUND(tblSales[[#This Row],[DPP (excl. VAT)]]*VATEff,0)</f>
        <v>330000</v>
      </c>
      <c r="M304" s="5">
        <f>tblSales[[#This Row],[DPP (excl. VAT)]]+tblSales[[#This Row],[Output VAT]]</f>
        <v>3330000</v>
      </c>
      <c r="N304" s="5">
        <f>tblSales[[#This Row],[Qty]]*_xlfn.XLOOKUP(tblSales[[#This Row],[Product Code]],tblProducts[Code],tblProducts[Unit Cost],0)</f>
        <v>1740000</v>
      </c>
      <c r="O304" s="4" t="s">
        <v>4866</v>
      </c>
      <c r="P304" s="4" t="s">
        <v>4861</v>
      </c>
      <c r="Q304" s="1" t="str">
        <f>_xlfn.XLOOKUP(tblSales[[#This Row],[Channel Code]],tblChannels[Channel Code],tblChannels[Channel Name],"")</f>
        <v>Marketplace</v>
      </c>
      <c r="R304" s="1">
        <f>MONTH(tblSales[[#This Row],[Date]])</f>
        <v>1</v>
      </c>
    </row>
    <row r="305" spans="2:18" x14ac:dyDescent="0.35">
      <c r="B305" s="113">
        <v>46043</v>
      </c>
      <c r="C305" s="4" t="s">
        <v>261</v>
      </c>
      <c r="D305" s="4" t="s">
        <v>4568</v>
      </c>
      <c r="E305" s="1" t="str">
        <f>_xlfn.XLOOKUP(tblSales[[#This Row],[Customer ID]],tblCustomers[Customer ID],tblCustomers[Customer Name],"⚠ Unknown")</f>
        <v>Walk-in Customer</v>
      </c>
      <c r="F305" s="4" t="s">
        <v>13</v>
      </c>
      <c r="G305" s="1" t="str">
        <f>_xlfn.XLOOKUP(tblSales[[#This Row],[Product Code]],tblProducts[Code],tblProducts[Product / Service Name],"⚠ Unknown")</f>
        <v>Backpack</v>
      </c>
      <c r="H305" s="1" t="str">
        <f>_xlfn.XLOOKUP(tblSales[[#This Row],[Product Code]],tblProducts[Code],tblProducts[Category],"")</f>
        <v>Bags &amp; Gadgets</v>
      </c>
      <c r="I305" s="4">
        <v>1</v>
      </c>
      <c r="J305" s="5">
        <f>_xlfn.XLOOKUP(tblSales[[#This Row],[Product Code]],tblProducts[Code],tblProducts[Selling Price (excl. VAT)],0)</f>
        <v>500000</v>
      </c>
      <c r="K305" s="5">
        <f>tblSales[[#This Row],[Qty]]*tblSales[[#This Row],[Unit Price]]</f>
        <v>500000</v>
      </c>
      <c r="L305" s="5">
        <f>ROUND(tblSales[[#This Row],[DPP (excl. VAT)]]*VATEff,0)</f>
        <v>55000</v>
      </c>
      <c r="M305" s="5">
        <f>tblSales[[#This Row],[DPP (excl. VAT)]]+tblSales[[#This Row],[Output VAT]]</f>
        <v>555000</v>
      </c>
      <c r="N305" s="5">
        <f>tblSales[[#This Row],[Qty]]*_xlfn.XLOOKUP(tblSales[[#This Row],[Product Code]],tblProducts[Code],tblProducts[Unit Cost],0)</f>
        <v>290000</v>
      </c>
      <c r="O305" s="4" t="s">
        <v>4866</v>
      </c>
      <c r="P305" s="4" t="s">
        <v>4860</v>
      </c>
      <c r="Q305" s="1" t="str">
        <f>_xlfn.XLOOKUP(tblSales[[#This Row],[Channel Code]],tblChannels[Channel Code],tblChannels[Channel Name],"")</f>
        <v>In-store</v>
      </c>
      <c r="R305" s="1">
        <f>MONTH(tblSales[[#This Row],[Date]])</f>
        <v>1</v>
      </c>
    </row>
    <row r="306" spans="2:18" x14ac:dyDescent="0.35">
      <c r="B306" s="113">
        <v>46043</v>
      </c>
      <c r="C306" s="4" t="s">
        <v>262</v>
      </c>
      <c r="D306" s="4" t="s">
        <v>4568</v>
      </c>
      <c r="E306" s="1" t="str">
        <f>_xlfn.XLOOKUP(tblSales[[#This Row],[Customer ID]],tblCustomers[Customer ID],tblCustomers[Customer Name],"⚠ Unknown")</f>
        <v>Walk-in Customer</v>
      </c>
      <c r="F306" s="4" t="s">
        <v>8</v>
      </c>
      <c r="G306" s="1" t="str">
        <f>_xlfn.XLOOKUP(tblSales[[#This Row],[Product Code]],tblProducts[Code],tblProducts[Product / Service Name],"⚠ Unknown")</f>
        <v>Casual Shorts</v>
      </c>
      <c r="H306" s="1" t="str">
        <f>_xlfn.XLOOKUP(tblSales[[#This Row],[Product Code]],tblProducts[Code],tblProducts[Category],"")</f>
        <v>Accessories &amp; Basics</v>
      </c>
      <c r="I306" s="4">
        <v>1</v>
      </c>
      <c r="J306" s="5">
        <f>_xlfn.XLOOKUP(tblSales[[#This Row],[Product Code]],tblProducts[Code],tblProducts[Selling Price (excl. VAT)],0)</f>
        <v>85000</v>
      </c>
      <c r="K306" s="5">
        <f>tblSales[[#This Row],[Qty]]*tblSales[[#This Row],[Unit Price]]</f>
        <v>85000</v>
      </c>
      <c r="L306" s="5">
        <f>ROUND(tblSales[[#This Row],[DPP (excl. VAT)]]*VATEff,0)</f>
        <v>9350</v>
      </c>
      <c r="M306" s="5">
        <f>tblSales[[#This Row],[DPP (excl. VAT)]]+tblSales[[#This Row],[Output VAT]]</f>
        <v>94350</v>
      </c>
      <c r="N306" s="5">
        <f>tblSales[[#This Row],[Qty]]*_xlfn.XLOOKUP(tblSales[[#This Row],[Product Code]],tblProducts[Code],tblProducts[Unit Cost],0)</f>
        <v>50000</v>
      </c>
      <c r="O306" s="4" t="s">
        <v>4866</v>
      </c>
      <c r="P306" s="4" t="s">
        <v>4860</v>
      </c>
      <c r="Q306" s="1" t="str">
        <f>_xlfn.XLOOKUP(tblSales[[#This Row],[Channel Code]],tblChannels[Channel Code],tblChannels[Channel Name],"")</f>
        <v>In-store</v>
      </c>
      <c r="R306" s="1">
        <f>MONTH(tblSales[[#This Row],[Date]])</f>
        <v>1</v>
      </c>
    </row>
    <row r="307" spans="2:18" x14ac:dyDescent="0.35">
      <c r="B307" s="113">
        <v>46043</v>
      </c>
      <c r="C307" s="4" t="s">
        <v>263</v>
      </c>
      <c r="D307" s="4" t="s">
        <v>4568</v>
      </c>
      <c r="E307" s="1" t="str">
        <f>_xlfn.XLOOKUP(tblSales[[#This Row],[Customer ID]],tblCustomers[Customer ID],tblCustomers[Customer Name],"⚠ Unknown")</f>
        <v>Walk-in Customer</v>
      </c>
      <c r="F307" s="4" t="s">
        <v>12</v>
      </c>
      <c r="G307" s="1" t="str">
        <f>_xlfn.XLOOKUP(tblSales[[#This Row],[Product Code]],tblProducts[Code],tblProducts[Product / Service Name],"⚠ Unknown")</f>
        <v>Bomber Jacket</v>
      </c>
      <c r="H307" s="1" t="str">
        <f>_xlfn.XLOOKUP(tblSales[[#This Row],[Product Code]],tblProducts[Code],tblProducts[Category],"")</f>
        <v>Apparel &amp; Footwear</v>
      </c>
      <c r="I307" s="4">
        <v>2</v>
      </c>
      <c r="J307" s="5">
        <f>_xlfn.XLOOKUP(tblSales[[#This Row],[Product Code]],tblProducts[Code],tblProducts[Selling Price (excl. VAT)],0)</f>
        <v>350000</v>
      </c>
      <c r="K307" s="5">
        <f>tblSales[[#This Row],[Qty]]*tblSales[[#This Row],[Unit Price]]</f>
        <v>700000</v>
      </c>
      <c r="L307" s="5">
        <f>ROUND(tblSales[[#This Row],[DPP (excl. VAT)]]*VATEff,0)</f>
        <v>77000</v>
      </c>
      <c r="M307" s="5">
        <f>tblSales[[#This Row],[DPP (excl. VAT)]]+tblSales[[#This Row],[Output VAT]]</f>
        <v>777000</v>
      </c>
      <c r="N307" s="5">
        <f>tblSales[[#This Row],[Qty]]*_xlfn.XLOOKUP(tblSales[[#This Row],[Product Code]],tblProducts[Code],tblProducts[Unit Cost],0)</f>
        <v>420000</v>
      </c>
      <c r="O307" s="4" t="s">
        <v>4866</v>
      </c>
      <c r="P307" s="4" t="s">
        <v>4861</v>
      </c>
      <c r="Q307" s="1" t="str">
        <f>_xlfn.XLOOKUP(tblSales[[#This Row],[Channel Code]],tblChannels[Channel Code],tblChannels[Channel Name],"")</f>
        <v>Marketplace</v>
      </c>
      <c r="R307" s="1">
        <f>MONTH(tblSales[[#This Row],[Date]])</f>
        <v>1</v>
      </c>
    </row>
    <row r="308" spans="2:18" x14ac:dyDescent="0.35">
      <c r="B308" s="113">
        <v>46043</v>
      </c>
      <c r="C308" s="4" t="s">
        <v>264</v>
      </c>
      <c r="D308" s="4" t="s">
        <v>4568</v>
      </c>
      <c r="E308" s="1" t="str">
        <f>_xlfn.XLOOKUP(tblSales[[#This Row],[Customer ID]],tblCustomers[Customer ID],tblCustomers[Customer Name],"⚠ Unknown")</f>
        <v>Walk-in Customer</v>
      </c>
      <c r="F308" s="4" t="s">
        <v>10</v>
      </c>
      <c r="G308" s="1" t="str">
        <f>_xlfn.XLOOKUP(tblSales[[#This Row],[Product Code]],tblProducts[Code],tblProducts[Product / Service Name],"⚠ Unknown")</f>
        <v>Chino Pants</v>
      </c>
      <c r="H308" s="1" t="str">
        <f>_xlfn.XLOOKUP(tblSales[[#This Row],[Product Code]],tblProducts[Code],tblProducts[Category],"")</f>
        <v>Apparel &amp; Footwear</v>
      </c>
      <c r="I308" s="4">
        <v>10</v>
      </c>
      <c r="J308" s="5">
        <f>_xlfn.XLOOKUP(tblSales[[#This Row],[Product Code]],tblProducts[Code],tblProducts[Selling Price (excl. VAT)],0)</f>
        <v>150000</v>
      </c>
      <c r="K308" s="5">
        <f>tblSales[[#This Row],[Qty]]*tblSales[[#This Row],[Unit Price]]</f>
        <v>1500000</v>
      </c>
      <c r="L308" s="5">
        <f>ROUND(tblSales[[#This Row],[DPP (excl. VAT)]]*VATEff,0)</f>
        <v>165000</v>
      </c>
      <c r="M308" s="5">
        <f>tblSales[[#This Row],[DPP (excl. VAT)]]+tblSales[[#This Row],[Output VAT]]</f>
        <v>1665000</v>
      </c>
      <c r="N308" s="5">
        <f>tblSales[[#This Row],[Qty]]*_xlfn.XLOOKUP(tblSales[[#This Row],[Product Code]],tblProducts[Code],tblProducts[Unit Cost],0)</f>
        <v>880000</v>
      </c>
      <c r="O308" s="4" t="s">
        <v>4865</v>
      </c>
      <c r="P308" s="4" t="s">
        <v>4860</v>
      </c>
      <c r="Q308" s="1" t="str">
        <f>_xlfn.XLOOKUP(tblSales[[#This Row],[Channel Code]],tblChannels[Channel Code],tblChannels[Channel Name],"")</f>
        <v>In-store</v>
      </c>
      <c r="R308" s="1">
        <f>MONTH(tblSales[[#This Row],[Date]])</f>
        <v>1</v>
      </c>
    </row>
    <row r="309" spans="2:18" x14ac:dyDescent="0.35">
      <c r="B309" s="113">
        <v>46043</v>
      </c>
      <c r="C309" s="4" t="s">
        <v>265</v>
      </c>
      <c r="D309" s="4" t="s">
        <v>4568</v>
      </c>
      <c r="E309" s="1" t="str">
        <f>_xlfn.XLOOKUP(tblSales[[#This Row],[Customer ID]],tblCustomers[Customer ID],tblCustomers[Customer Name],"⚠ Unknown")</f>
        <v>Walk-in Customer</v>
      </c>
      <c r="F309" s="4" t="s">
        <v>6</v>
      </c>
      <c r="G309" s="1" t="str">
        <f>_xlfn.XLOOKUP(tblSales[[#This Row],[Product Code]],tblProducts[Code],tblProducts[Product / Service Name],"⚠ Unknown")</f>
        <v>Socks &amp; Accessories</v>
      </c>
      <c r="H309" s="1" t="str">
        <f>_xlfn.XLOOKUP(tblSales[[#This Row],[Product Code]],tblProducts[Code],tblProducts[Category],"")</f>
        <v>Accessories &amp; Basics</v>
      </c>
      <c r="I309" s="4">
        <v>2</v>
      </c>
      <c r="J309" s="5">
        <f>_xlfn.XLOOKUP(tblSales[[#This Row],[Product Code]],tblProducts[Code],tblProducts[Selling Price (excl. VAT)],0)</f>
        <v>45000</v>
      </c>
      <c r="K309" s="5">
        <f>tblSales[[#This Row],[Qty]]*tblSales[[#This Row],[Unit Price]]</f>
        <v>90000</v>
      </c>
      <c r="L309" s="5">
        <f>ROUND(tblSales[[#This Row],[DPP (excl. VAT)]]*VATEff,0)</f>
        <v>9900</v>
      </c>
      <c r="M309" s="5">
        <f>tblSales[[#This Row],[DPP (excl. VAT)]]+tblSales[[#This Row],[Output VAT]]</f>
        <v>99900</v>
      </c>
      <c r="N309" s="5">
        <f>tblSales[[#This Row],[Qty]]*_xlfn.XLOOKUP(tblSales[[#This Row],[Product Code]],tblProducts[Code],tblProducts[Unit Cost],0)</f>
        <v>48000</v>
      </c>
      <c r="O309" s="4" t="s">
        <v>4866</v>
      </c>
      <c r="P309" s="4" t="s">
        <v>4860</v>
      </c>
      <c r="Q309" s="1" t="str">
        <f>_xlfn.XLOOKUP(tblSales[[#This Row],[Channel Code]],tblChannels[Channel Code],tblChannels[Channel Name],"")</f>
        <v>In-store</v>
      </c>
      <c r="R309" s="1">
        <f>MONTH(tblSales[[#This Row],[Date]])</f>
        <v>1</v>
      </c>
    </row>
    <row r="310" spans="2:18" x14ac:dyDescent="0.35">
      <c r="B310" s="113">
        <v>46043</v>
      </c>
      <c r="C310" s="4" t="s">
        <v>265</v>
      </c>
      <c r="D310" s="4" t="s">
        <v>4568</v>
      </c>
      <c r="E310" s="1" t="str">
        <f>_xlfn.XLOOKUP(tblSales[[#This Row],[Customer ID]],tblCustomers[Customer ID],tblCustomers[Customer Name],"⚠ Unknown")</f>
        <v>Walk-in Customer</v>
      </c>
      <c r="F310" s="4" t="s">
        <v>12</v>
      </c>
      <c r="G310" s="1" t="str">
        <f>_xlfn.XLOOKUP(tblSales[[#This Row],[Product Code]],tblProducts[Code],tblProducts[Product / Service Name],"⚠ Unknown")</f>
        <v>Bomber Jacket</v>
      </c>
      <c r="H310" s="1" t="str">
        <f>_xlfn.XLOOKUP(tblSales[[#This Row],[Product Code]],tblProducts[Code],tblProducts[Category],"")</f>
        <v>Apparel &amp; Footwear</v>
      </c>
      <c r="I310" s="4">
        <v>2</v>
      </c>
      <c r="J310" s="5">
        <f>_xlfn.XLOOKUP(tblSales[[#This Row],[Product Code]],tblProducts[Code],tblProducts[Selling Price (excl. VAT)],0)</f>
        <v>350000</v>
      </c>
      <c r="K310" s="5">
        <f>tblSales[[#This Row],[Qty]]*tblSales[[#This Row],[Unit Price]]</f>
        <v>700000</v>
      </c>
      <c r="L310" s="5">
        <f>ROUND(tblSales[[#This Row],[DPP (excl. VAT)]]*VATEff,0)</f>
        <v>77000</v>
      </c>
      <c r="M310" s="5">
        <f>tblSales[[#This Row],[DPP (excl. VAT)]]+tblSales[[#This Row],[Output VAT]]</f>
        <v>777000</v>
      </c>
      <c r="N310" s="5">
        <f>tblSales[[#This Row],[Qty]]*_xlfn.XLOOKUP(tblSales[[#This Row],[Product Code]],tblProducts[Code],tblProducts[Unit Cost],0)</f>
        <v>420000</v>
      </c>
      <c r="O310" s="4" t="s">
        <v>4866</v>
      </c>
      <c r="P310" s="4" t="s">
        <v>4860</v>
      </c>
      <c r="Q310" s="1" t="str">
        <f>_xlfn.XLOOKUP(tblSales[[#This Row],[Channel Code]],tblChannels[Channel Code],tblChannels[Channel Name],"")</f>
        <v>In-store</v>
      </c>
      <c r="R310" s="1">
        <f>MONTH(tblSales[[#This Row],[Date]])</f>
        <v>1</v>
      </c>
    </row>
    <row r="311" spans="2:18" x14ac:dyDescent="0.35">
      <c r="B311" s="113">
        <v>46043</v>
      </c>
      <c r="C311" s="4" t="s">
        <v>265</v>
      </c>
      <c r="D311" s="4" t="s">
        <v>4568</v>
      </c>
      <c r="E311" s="1" t="str">
        <f>_xlfn.XLOOKUP(tblSales[[#This Row],[Customer ID]],tblCustomers[Customer ID],tblCustomers[Customer Name],"⚠ Unknown")</f>
        <v>Walk-in Customer</v>
      </c>
      <c r="F311" s="4" t="s">
        <v>7</v>
      </c>
      <c r="G311" s="1" t="str">
        <f>_xlfn.XLOOKUP(tblSales[[#This Row],[Product Code]],tblProducts[Code],tblProducts[Product / Service Name],"⚠ Unknown")</f>
        <v>Premium Basic T-shirt</v>
      </c>
      <c r="H311" s="1" t="str">
        <f>_xlfn.XLOOKUP(tblSales[[#This Row],[Product Code]],tblProducts[Code],tblProducts[Category],"")</f>
        <v>Accessories &amp; Basics</v>
      </c>
      <c r="I311" s="4">
        <v>9</v>
      </c>
      <c r="J311" s="5">
        <f>_xlfn.XLOOKUP(tblSales[[#This Row],[Product Code]],tblProducts[Code],tblProducts[Selling Price (excl. VAT)],0)</f>
        <v>65000</v>
      </c>
      <c r="K311" s="5">
        <f>tblSales[[#This Row],[Qty]]*tblSales[[#This Row],[Unit Price]]</f>
        <v>585000</v>
      </c>
      <c r="L311" s="5">
        <f>ROUND(tblSales[[#This Row],[DPP (excl. VAT)]]*VATEff,0)</f>
        <v>64350</v>
      </c>
      <c r="M311" s="5">
        <f>tblSales[[#This Row],[DPP (excl. VAT)]]+tblSales[[#This Row],[Output VAT]]</f>
        <v>649350</v>
      </c>
      <c r="N311" s="5">
        <f>tblSales[[#This Row],[Qty]]*_xlfn.XLOOKUP(tblSales[[#This Row],[Product Code]],tblProducts[Code],tblProducts[Unit Cost],0)</f>
        <v>333000</v>
      </c>
      <c r="O311" s="4" t="s">
        <v>4866</v>
      </c>
      <c r="P311" s="4" t="s">
        <v>4860</v>
      </c>
      <c r="Q311" s="1" t="str">
        <f>_xlfn.XLOOKUP(tblSales[[#This Row],[Channel Code]],tblChannels[Channel Code],tblChannels[Channel Name],"")</f>
        <v>In-store</v>
      </c>
      <c r="R311" s="1">
        <f>MONTH(tblSales[[#This Row],[Date]])</f>
        <v>1</v>
      </c>
    </row>
    <row r="312" spans="2:18" x14ac:dyDescent="0.35">
      <c r="B312" s="113">
        <v>46043</v>
      </c>
      <c r="C312" s="4" t="s">
        <v>266</v>
      </c>
      <c r="D312" s="4" t="s">
        <v>4641</v>
      </c>
      <c r="E312" s="1" t="str">
        <f>_xlfn.XLOOKUP(tblSales[[#This Row],[Customer ID]],tblCustomers[Customer ID],tblCustomers[Customer Name],"⚠ Unknown")</f>
        <v>PT Harmoni Pangan Lestari</v>
      </c>
      <c r="F312" s="4" t="s">
        <v>11</v>
      </c>
      <c r="G312" s="1" t="str">
        <f>_xlfn.XLOOKUP(tblSales[[#This Row],[Product Code]],tblProducts[Code],tblProducts[Product / Service Name],"⚠ Unknown")</f>
        <v>Sneakers</v>
      </c>
      <c r="H312" s="1" t="str">
        <f>_xlfn.XLOOKUP(tblSales[[#This Row],[Product Code]],tblProducts[Code],tblProducts[Category],"")</f>
        <v>Apparel &amp; Footwear</v>
      </c>
      <c r="I312" s="4">
        <v>8</v>
      </c>
      <c r="J312" s="5">
        <f>_xlfn.XLOOKUP(tblSales[[#This Row],[Product Code]],tblProducts[Code],tblProducts[Selling Price (excl. VAT)],0)</f>
        <v>250000</v>
      </c>
      <c r="K312" s="5">
        <f>tblSales[[#This Row],[Qty]]*tblSales[[#This Row],[Unit Price]]</f>
        <v>2000000</v>
      </c>
      <c r="L312" s="5">
        <f>ROUND(tblSales[[#This Row],[DPP (excl. VAT)]]*VATEff,0)</f>
        <v>220000</v>
      </c>
      <c r="M312" s="5">
        <f>tblSales[[#This Row],[DPP (excl. VAT)]]+tblSales[[#This Row],[Output VAT]]</f>
        <v>2220000</v>
      </c>
      <c r="N312" s="5">
        <f>tblSales[[#This Row],[Qty]]*_xlfn.XLOOKUP(tblSales[[#This Row],[Product Code]],tblProducts[Code],tblProducts[Unit Cost],0)</f>
        <v>1240000</v>
      </c>
      <c r="O312" s="4" t="s">
        <v>4867</v>
      </c>
      <c r="P312" s="4" t="s">
        <v>4860</v>
      </c>
      <c r="Q312" s="1" t="str">
        <f>_xlfn.XLOOKUP(tblSales[[#This Row],[Channel Code]],tblChannels[Channel Code],tblChannels[Channel Name],"")</f>
        <v>In-store</v>
      </c>
      <c r="R312" s="1">
        <f>MONTH(tblSales[[#This Row],[Date]])</f>
        <v>1</v>
      </c>
    </row>
    <row r="313" spans="2:18" x14ac:dyDescent="0.35">
      <c r="B313" s="113">
        <v>46043</v>
      </c>
      <c r="C313" s="4" t="s">
        <v>267</v>
      </c>
      <c r="D313" s="4" t="s">
        <v>4568</v>
      </c>
      <c r="E313" s="1" t="str">
        <f>_xlfn.XLOOKUP(tblSales[[#This Row],[Customer ID]],tblCustomers[Customer ID],tblCustomers[Customer Name],"⚠ Unknown")</f>
        <v>Walk-in Customer</v>
      </c>
      <c r="F313" s="4" t="s">
        <v>9</v>
      </c>
      <c r="G313" s="1" t="str">
        <f>_xlfn.XLOOKUP(tblSales[[#This Row],[Product Code]],tblProducts[Code],tblProducts[Product / Service Name],"⚠ Unknown")</f>
        <v>Casual Shirt</v>
      </c>
      <c r="H313" s="1" t="str">
        <f>_xlfn.XLOOKUP(tblSales[[#This Row],[Product Code]],tblProducts[Code],tblProducts[Category],"")</f>
        <v>Apparel &amp; Footwear</v>
      </c>
      <c r="I313" s="4">
        <v>3</v>
      </c>
      <c r="J313" s="5">
        <f>_xlfn.XLOOKUP(tblSales[[#This Row],[Product Code]],tblProducts[Code],tblProducts[Selling Price (excl. VAT)],0)</f>
        <v>120000</v>
      </c>
      <c r="K313" s="5">
        <f>tblSales[[#This Row],[Qty]]*tblSales[[#This Row],[Unit Price]]</f>
        <v>360000</v>
      </c>
      <c r="L313" s="5">
        <f>ROUND(tblSales[[#This Row],[DPP (excl. VAT)]]*VATEff,0)</f>
        <v>39600</v>
      </c>
      <c r="M313" s="5">
        <f>tblSales[[#This Row],[DPP (excl. VAT)]]+tblSales[[#This Row],[Output VAT]]</f>
        <v>399600</v>
      </c>
      <c r="N313" s="5">
        <f>tblSales[[#This Row],[Qty]]*_xlfn.XLOOKUP(tblSales[[#This Row],[Product Code]],tblProducts[Code],tblProducts[Unit Cost],0)</f>
        <v>216000</v>
      </c>
      <c r="O313" s="4" t="s">
        <v>4866</v>
      </c>
      <c r="P313" s="4" t="s">
        <v>4861</v>
      </c>
      <c r="Q313" s="1" t="str">
        <f>_xlfn.XLOOKUP(tblSales[[#This Row],[Channel Code]],tblChannels[Channel Code],tblChannels[Channel Name],"")</f>
        <v>Marketplace</v>
      </c>
      <c r="R313" s="1">
        <f>MONTH(tblSales[[#This Row],[Date]])</f>
        <v>1</v>
      </c>
    </row>
    <row r="314" spans="2:18" x14ac:dyDescent="0.35">
      <c r="B314" s="113">
        <v>46043</v>
      </c>
      <c r="C314" s="4" t="s">
        <v>268</v>
      </c>
      <c r="D314" s="4" t="s">
        <v>4648</v>
      </c>
      <c r="E314" s="1" t="str">
        <f>_xlfn.XLOOKUP(tblSales[[#This Row],[Customer ID]],tblCustomers[Customer ID],tblCustomers[Customer Name],"⚠ Unknown")</f>
        <v>PT Lintas Benua Niaga</v>
      </c>
      <c r="F314" s="4" t="s">
        <v>10</v>
      </c>
      <c r="G314" s="1" t="str">
        <f>_xlfn.XLOOKUP(tblSales[[#This Row],[Product Code]],tblProducts[Code],tblProducts[Product / Service Name],"⚠ Unknown")</f>
        <v>Chino Pants</v>
      </c>
      <c r="H314" s="1" t="str">
        <f>_xlfn.XLOOKUP(tblSales[[#This Row],[Product Code]],tblProducts[Code],tblProducts[Category],"")</f>
        <v>Apparel &amp; Footwear</v>
      </c>
      <c r="I314" s="4">
        <v>56</v>
      </c>
      <c r="J314" s="5">
        <f>_xlfn.XLOOKUP(tblSales[[#This Row],[Product Code]],tblProducts[Code],tblProducts[Selling Price (excl. VAT)],0)</f>
        <v>150000</v>
      </c>
      <c r="K314" s="5">
        <f>tblSales[[#This Row],[Qty]]*tblSales[[#This Row],[Unit Price]]</f>
        <v>8400000</v>
      </c>
      <c r="L314" s="5">
        <f>ROUND(tblSales[[#This Row],[DPP (excl. VAT)]]*VATEff,0)</f>
        <v>924000</v>
      </c>
      <c r="M314" s="5">
        <f>tblSales[[#This Row],[DPP (excl. VAT)]]+tblSales[[#This Row],[Output VAT]]</f>
        <v>9324000</v>
      </c>
      <c r="N314" s="5">
        <f>tblSales[[#This Row],[Qty]]*_xlfn.XLOOKUP(tblSales[[#This Row],[Product Code]],tblProducts[Code],tblProducts[Unit Cost],0)</f>
        <v>4928000</v>
      </c>
      <c r="O314" s="4" t="s">
        <v>4867</v>
      </c>
      <c r="P314" s="4" t="s">
        <v>4860</v>
      </c>
      <c r="Q314" s="1" t="str">
        <f>_xlfn.XLOOKUP(tblSales[[#This Row],[Channel Code]],tblChannels[Channel Code],tblChannels[Channel Name],"")</f>
        <v>In-store</v>
      </c>
      <c r="R314" s="1">
        <f>MONTH(tblSales[[#This Row],[Date]])</f>
        <v>1</v>
      </c>
    </row>
    <row r="315" spans="2:18" x14ac:dyDescent="0.35">
      <c r="B315" s="113">
        <v>46043</v>
      </c>
      <c r="C315" s="4" t="s">
        <v>268</v>
      </c>
      <c r="D315" s="4" t="s">
        <v>4648</v>
      </c>
      <c r="E315" s="1" t="str">
        <f>_xlfn.XLOOKUP(tblSales[[#This Row],[Customer ID]],tblCustomers[Customer ID],tblCustomers[Customer Name],"⚠ Unknown")</f>
        <v>PT Lintas Benua Niaga</v>
      </c>
      <c r="F315" s="4" t="s">
        <v>8</v>
      </c>
      <c r="G315" s="1" t="str">
        <f>_xlfn.XLOOKUP(tblSales[[#This Row],[Product Code]],tblProducts[Code],tblProducts[Product / Service Name],"⚠ Unknown")</f>
        <v>Casual Shorts</v>
      </c>
      <c r="H315" s="1" t="str">
        <f>_xlfn.XLOOKUP(tblSales[[#This Row],[Product Code]],tblProducts[Code],tblProducts[Category],"")</f>
        <v>Accessories &amp; Basics</v>
      </c>
      <c r="I315" s="4">
        <v>8</v>
      </c>
      <c r="J315" s="5">
        <f>_xlfn.XLOOKUP(tblSales[[#This Row],[Product Code]],tblProducts[Code],tblProducts[Selling Price (excl. VAT)],0)</f>
        <v>85000</v>
      </c>
      <c r="K315" s="5">
        <f>tblSales[[#This Row],[Qty]]*tblSales[[#This Row],[Unit Price]]</f>
        <v>680000</v>
      </c>
      <c r="L315" s="5">
        <f>ROUND(tblSales[[#This Row],[DPP (excl. VAT)]]*VATEff,0)</f>
        <v>74800</v>
      </c>
      <c r="M315" s="5">
        <f>tblSales[[#This Row],[DPP (excl. VAT)]]+tblSales[[#This Row],[Output VAT]]</f>
        <v>754800</v>
      </c>
      <c r="N315" s="5">
        <f>tblSales[[#This Row],[Qty]]*_xlfn.XLOOKUP(tblSales[[#This Row],[Product Code]],tblProducts[Code],tblProducts[Unit Cost],0)</f>
        <v>400000</v>
      </c>
      <c r="O315" s="4" t="s">
        <v>4867</v>
      </c>
      <c r="P315" s="4" t="s">
        <v>4860</v>
      </c>
      <c r="Q315" s="1" t="str">
        <f>_xlfn.XLOOKUP(tblSales[[#This Row],[Channel Code]],tblChannels[Channel Code],tblChannels[Channel Name],"")</f>
        <v>In-store</v>
      </c>
      <c r="R315" s="1">
        <f>MONTH(tblSales[[#This Row],[Date]])</f>
        <v>1</v>
      </c>
    </row>
    <row r="316" spans="2:18" x14ac:dyDescent="0.35">
      <c r="B316" s="113">
        <v>46044</v>
      </c>
      <c r="C316" s="4" t="s">
        <v>269</v>
      </c>
      <c r="D316" s="4" t="s">
        <v>4568</v>
      </c>
      <c r="E316" s="1" t="str">
        <f>_xlfn.XLOOKUP(tblSales[[#This Row],[Customer ID]],tblCustomers[Customer ID],tblCustomers[Customer Name],"⚠ Unknown")</f>
        <v>Walk-in Customer</v>
      </c>
      <c r="F316" s="4" t="s">
        <v>13</v>
      </c>
      <c r="G316" s="1" t="str">
        <f>_xlfn.XLOOKUP(tblSales[[#This Row],[Product Code]],tblProducts[Code],tblProducts[Product / Service Name],"⚠ Unknown")</f>
        <v>Backpack</v>
      </c>
      <c r="H316" s="1" t="str">
        <f>_xlfn.XLOOKUP(tblSales[[#This Row],[Product Code]],tblProducts[Code],tblProducts[Category],"")</f>
        <v>Bags &amp; Gadgets</v>
      </c>
      <c r="I316" s="4">
        <v>6</v>
      </c>
      <c r="J316" s="5">
        <f>_xlfn.XLOOKUP(tblSales[[#This Row],[Product Code]],tblProducts[Code],tblProducts[Selling Price (excl. VAT)],0)</f>
        <v>500000</v>
      </c>
      <c r="K316" s="5">
        <f>tblSales[[#This Row],[Qty]]*tblSales[[#This Row],[Unit Price]]</f>
        <v>3000000</v>
      </c>
      <c r="L316" s="5">
        <f>ROUND(tblSales[[#This Row],[DPP (excl. VAT)]]*VATEff,0)</f>
        <v>330000</v>
      </c>
      <c r="M316" s="5">
        <f>tblSales[[#This Row],[DPP (excl. VAT)]]+tblSales[[#This Row],[Output VAT]]</f>
        <v>3330000</v>
      </c>
      <c r="N316" s="5">
        <f>tblSales[[#This Row],[Qty]]*_xlfn.XLOOKUP(tblSales[[#This Row],[Product Code]],tblProducts[Code],tblProducts[Unit Cost],0)</f>
        <v>1740000</v>
      </c>
      <c r="O316" s="4" t="s">
        <v>4866</v>
      </c>
      <c r="P316" s="4" t="s">
        <v>4862</v>
      </c>
      <c r="Q316" s="1" t="str">
        <f>_xlfn.XLOOKUP(tblSales[[#This Row],[Channel Code]],tblChannels[Channel Code],tblChannels[Channel Name],"")</f>
        <v>Website &amp; Social Media</v>
      </c>
      <c r="R316" s="1">
        <f>MONTH(tblSales[[#This Row],[Date]])</f>
        <v>1</v>
      </c>
    </row>
    <row r="317" spans="2:18" x14ac:dyDescent="0.35">
      <c r="B317" s="113">
        <v>46044</v>
      </c>
      <c r="C317" s="4" t="s">
        <v>270</v>
      </c>
      <c r="D317" s="4" t="s">
        <v>4568</v>
      </c>
      <c r="E317" s="1" t="str">
        <f>_xlfn.XLOOKUP(tblSales[[#This Row],[Customer ID]],tblCustomers[Customer ID],tblCustomers[Customer Name],"⚠ Unknown")</f>
        <v>Walk-in Customer</v>
      </c>
      <c r="F317" s="4" t="s">
        <v>9</v>
      </c>
      <c r="G317" s="1" t="str">
        <f>_xlfn.XLOOKUP(tblSales[[#This Row],[Product Code]],tblProducts[Code],tblProducts[Product / Service Name],"⚠ Unknown")</f>
        <v>Casual Shirt</v>
      </c>
      <c r="H317" s="1" t="str">
        <f>_xlfn.XLOOKUP(tblSales[[#This Row],[Product Code]],tblProducts[Code],tblProducts[Category],"")</f>
        <v>Apparel &amp; Footwear</v>
      </c>
      <c r="I317" s="4">
        <v>10</v>
      </c>
      <c r="J317" s="5">
        <f>_xlfn.XLOOKUP(tblSales[[#This Row],[Product Code]],tblProducts[Code],tblProducts[Selling Price (excl. VAT)],0)</f>
        <v>120000</v>
      </c>
      <c r="K317" s="5">
        <f>tblSales[[#This Row],[Qty]]*tblSales[[#This Row],[Unit Price]]</f>
        <v>1200000</v>
      </c>
      <c r="L317" s="5">
        <f>ROUND(tblSales[[#This Row],[DPP (excl. VAT)]]*VATEff,0)</f>
        <v>132000</v>
      </c>
      <c r="M317" s="5">
        <f>tblSales[[#This Row],[DPP (excl. VAT)]]+tblSales[[#This Row],[Output VAT]]</f>
        <v>1332000</v>
      </c>
      <c r="N317" s="5">
        <f>tblSales[[#This Row],[Qty]]*_xlfn.XLOOKUP(tblSales[[#This Row],[Product Code]],tblProducts[Code],tblProducts[Unit Cost],0)</f>
        <v>720000</v>
      </c>
      <c r="O317" s="4" t="s">
        <v>4866</v>
      </c>
      <c r="P317" s="4" t="s">
        <v>4862</v>
      </c>
      <c r="Q317" s="1" t="str">
        <f>_xlfn.XLOOKUP(tblSales[[#This Row],[Channel Code]],tblChannels[Channel Code],tblChannels[Channel Name],"")</f>
        <v>Website &amp; Social Media</v>
      </c>
      <c r="R317" s="1">
        <f>MONTH(tblSales[[#This Row],[Date]])</f>
        <v>1</v>
      </c>
    </row>
    <row r="318" spans="2:18" x14ac:dyDescent="0.35">
      <c r="B318" s="113">
        <v>46044</v>
      </c>
      <c r="C318" s="4" t="s">
        <v>271</v>
      </c>
      <c r="D318" s="4" t="s">
        <v>4593</v>
      </c>
      <c r="E318" s="1" t="str">
        <f>_xlfn.XLOOKUP(tblSales[[#This Row],[Customer ID]],tblCustomers[Customer ID],tblCustomers[Customer Name],"⚠ Unknown")</f>
        <v>PT Graha Nusa Persada</v>
      </c>
      <c r="F318" s="4" t="s">
        <v>12</v>
      </c>
      <c r="G318" s="1" t="str">
        <f>_xlfn.XLOOKUP(tblSales[[#This Row],[Product Code]],tblProducts[Code],tblProducts[Product / Service Name],"⚠ Unknown")</f>
        <v>Bomber Jacket</v>
      </c>
      <c r="H318" s="1" t="str">
        <f>_xlfn.XLOOKUP(tblSales[[#This Row],[Product Code]],tblProducts[Code],tblProducts[Category],"")</f>
        <v>Apparel &amp; Footwear</v>
      </c>
      <c r="I318" s="4">
        <v>40</v>
      </c>
      <c r="J318" s="5">
        <f>_xlfn.XLOOKUP(tblSales[[#This Row],[Product Code]],tblProducts[Code],tblProducts[Selling Price (excl. VAT)],0)</f>
        <v>350000</v>
      </c>
      <c r="K318" s="5">
        <f>tblSales[[#This Row],[Qty]]*tblSales[[#This Row],[Unit Price]]</f>
        <v>14000000</v>
      </c>
      <c r="L318" s="5">
        <f>ROUND(tblSales[[#This Row],[DPP (excl. VAT)]]*VATEff,0)</f>
        <v>1540000</v>
      </c>
      <c r="M318" s="5">
        <f>tblSales[[#This Row],[DPP (excl. VAT)]]+tblSales[[#This Row],[Output VAT]]</f>
        <v>15540000</v>
      </c>
      <c r="N318" s="5">
        <f>tblSales[[#This Row],[Qty]]*_xlfn.XLOOKUP(tblSales[[#This Row],[Product Code]],tblProducts[Code],tblProducts[Unit Cost],0)</f>
        <v>8400000</v>
      </c>
      <c r="O318" s="4" t="s">
        <v>4867</v>
      </c>
      <c r="P318" s="4" t="s">
        <v>4860</v>
      </c>
      <c r="Q318" s="1" t="str">
        <f>_xlfn.XLOOKUP(tblSales[[#This Row],[Channel Code]],tblChannels[Channel Code],tblChannels[Channel Name],"")</f>
        <v>In-store</v>
      </c>
      <c r="R318" s="1">
        <f>MONTH(tblSales[[#This Row],[Date]])</f>
        <v>1</v>
      </c>
    </row>
    <row r="319" spans="2:18" x14ac:dyDescent="0.35">
      <c r="B319" s="113">
        <v>46044</v>
      </c>
      <c r="C319" s="4" t="s">
        <v>271</v>
      </c>
      <c r="D319" s="4" t="s">
        <v>4593</v>
      </c>
      <c r="E319" s="1" t="str">
        <f>_xlfn.XLOOKUP(tblSales[[#This Row],[Customer ID]],tblCustomers[Customer ID],tblCustomers[Customer Name],"⚠ Unknown")</f>
        <v>PT Graha Nusa Persada</v>
      </c>
      <c r="F319" s="4" t="s">
        <v>13</v>
      </c>
      <c r="G319" s="1" t="str">
        <f>_xlfn.XLOOKUP(tblSales[[#This Row],[Product Code]],tblProducts[Code],tblProducts[Product / Service Name],"⚠ Unknown")</f>
        <v>Backpack</v>
      </c>
      <c r="H319" s="1" t="str">
        <f>_xlfn.XLOOKUP(tblSales[[#This Row],[Product Code]],tblProducts[Code],tblProducts[Category],"")</f>
        <v>Bags &amp; Gadgets</v>
      </c>
      <c r="I319" s="4">
        <v>32</v>
      </c>
      <c r="J319" s="5">
        <f>_xlfn.XLOOKUP(tblSales[[#This Row],[Product Code]],tblProducts[Code],tblProducts[Selling Price (excl. VAT)],0)</f>
        <v>500000</v>
      </c>
      <c r="K319" s="5">
        <f>tblSales[[#This Row],[Qty]]*tblSales[[#This Row],[Unit Price]]</f>
        <v>16000000</v>
      </c>
      <c r="L319" s="5">
        <f>ROUND(tblSales[[#This Row],[DPP (excl. VAT)]]*VATEff,0)</f>
        <v>1760000</v>
      </c>
      <c r="M319" s="5">
        <f>tblSales[[#This Row],[DPP (excl. VAT)]]+tblSales[[#This Row],[Output VAT]]</f>
        <v>17760000</v>
      </c>
      <c r="N319" s="5">
        <f>tblSales[[#This Row],[Qty]]*_xlfn.XLOOKUP(tblSales[[#This Row],[Product Code]],tblProducts[Code],tblProducts[Unit Cost],0)</f>
        <v>9280000</v>
      </c>
      <c r="O319" s="4" t="s">
        <v>4867</v>
      </c>
      <c r="P319" s="4" t="s">
        <v>4860</v>
      </c>
      <c r="Q319" s="1" t="str">
        <f>_xlfn.XLOOKUP(tblSales[[#This Row],[Channel Code]],tblChannels[Channel Code],tblChannels[Channel Name],"")</f>
        <v>In-store</v>
      </c>
      <c r="R319" s="1">
        <f>MONTH(tblSales[[#This Row],[Date]])</f>
        <v>1</v>
      </c>
    </row>
    <row r="320" spans="2:18" x14ac:dyDescent="0.35">
      <c r="B320" s="113">
        <v>46044</v>
      </c>
      <c r="C320" s="4" t="s">
        <v>272</v>
      </c>
      <c r="D320" s="4" t="s">
        <v>4568</v>
      </c>
      <c r="E320" s="1" t="str">
        <f>_xlfn.XLOOKUP(tblSales[[#This Row],[Customer ID]],tblCustomers[Customer ID],tblCustomers[Customer Name],"⚠ Unknown")</f>
        <v>Walk-in Customer</v>
      </c>
      <c r="F320" s="4" t="s">
        <v>9</v>
      </c>
      <c r="G320" s="1" t="str">
        <f>_xlfn.XLOOKUP(tblSales[[#This Row],[Product Code]],tblProducts[Code],tblProducts[Product / Service Name],"⚠ Unknown")</f>
        <v>Casual Shirt</v>
      </c>
      <c r="H320" s="1" t="str">
        <f>_xlfn.XLOOKUP(tblSales[[#This Row],[Product Code]],tblProducts[Code],tblProducts[Category],"")</f>
        <v>Apparel &amp; Footwear</v>
      </c>
      <c r="I320" s="4">
        <v>5</v>
      </c>
      <c r="J320" s="5">
        <f>_xlfn.XLOOKUP(tblSales[[#This Row],[Product Code]],tblProducts[Code],tblProducts[Selling Price (excl. VAT)],0)</f>
        <v>120000</v>
      </c>
      <c r="K320" s="5">
        <f>tblSales[[#This Row],[Qty]]*tblSales[[#This Row],[Unit Price]]</f>
        <v>600000</v>
      </c>
      <c r="L320" s="5">
        <f>ROUND(tblSales[[#This Row],[DPP (excl. VAT)]]*VATEff,0)</f>
        <v>66000</v>
      </c>
      <c r="M320" s="5">
        <f>tblSales[[#This Row],[DPP (excl. VAT)]]+tblSales[[#This Row],[Output VAT]]</f>
        <v>666000</v>
      </c>
      <c r="N320" s="5">
        <f>tblSales[[#This Row],[Qty]]*_xlfn.XLOOKUP(tblSales[[#This Row],[Product Code]],tblProducts[Code],tblProducts[Unit Cost],0)</f>
        <v>360000</v>
      </c>
      <c r="O320" s="4" t="s">
        <v>4865</v>
      </c>
      <c r="P320" s="4" t="s">
        <v>4860</v>
      </c>
      <c r="Q320" s="1" t="str">
        <f>_xlfn.XLOOKUP(tblSales[[#This Row],[Channel Code]],tblChannels[Channel Code],tblChannels[Channel Name],"")</f>
        <v>In-store</v>
      </c>
      <c r="R320" s="1">
        <f>MONTH(tblSales[[#This Row],[Date]])</f>
        <v>1</v>
      </c>
    </row>
    <row r="321" spans="2:18" x14ac:dyDescent="0.35">
      <c r="B321" s="113">
        <v>46044</v>
      </c>
      <c r="C321" s="4" t="s">
        <v>273</v>
      </c>
      <c r="D321" s="4" t="s">
        <v>4568</v>
      </c>
      <c r="E321" s="1" t="str">
        <f>_xlfn.XLOOKUP(tblSales[[#This Row],[Customer ID]],tblCustomers[Customer ID],tblCustomers[Customer Name],"⚠ Unknown")</f>
        <v>Walk-in Customer</v>
      </c>
      <c r="F321" s="4" t="s">
        <v>7</v>
      </c>
      <c r="G321" s="1" t="str">
        <f>_xlfn.XLOOKUP(tblSales[[#This Row],[Product Code]],tblProducts[Code],tblProducts[Product / Service Name],"⚠ Unknown")</f>
        <v>Premium Basic T-shirt</v>
      </c>
      <c r="H321" s="1" t="str">
        <f>_xlfn.XLOOKUP(tblSales[[#This Row],[Product Code]],tblProducts[Code],tblProducts[Category],"")</f>
        <v>Accessories &amp; Basics</v>
      </c>
      <c r="I321" s="4">
        <v>1</v>
      </c>
      <c r="J321" s="5">
        <f>_xlfn.XLOOKUP(tblSales[[#This Row],[Product Code]],tblProducts[Code],tblProducts[Selling Price (excl. VAT)],0)</f>
        <v>65000</v>
      </c>
      <c r="K321" s="5">
        <f>tblSales[[#This Row],[Qty]]*tblSales[[#This Row],[Unit Price]]</f>
        <v>65000</v>
      </c>
      <c r="L321" s="5">
        <f>ROUND(tblSales[[#This Row],[DPP (excl. VAT)]]*VATEff,0)</f>
        <v>7150</v>
      </c>
      <c r="M321" s="5">
        <f>tblSales[[#This Row],[DPP (excl. VAT)]]+tblSales[[#This Row],[Output VAT]]</f>
        <v>72150</v>
      </c>
      <c r="N321" s="5">
        <f>tblSales[[#This Row],[Qty]]*_xlfn.XLOOKUP(tblSales[[#This Row],[Product Code]],tblProducts[Code],tblProducts[Unit Cost],0)</f>
        <v>37000</v>
      </c>
      <c r="O321" s="4" t="s">
        <v>4866</v>
      </c>
      <c r="P321" s="4" t="s">
        <v>4861</v>
      </c>
      <c r="Q321" s="1" t="str">
        <f>_xlfn.XLOOKUP(tblSales[[#This Row],[Channel Code]],tblChannels[Channel Code],tblChannels[Channel Name],"")</f>
        <v>Marketplace</v>
      </c>
      <c r="R321" s="1">
        <f>MONTH(tblSales[[#This Row],[Date]])</f>
        <v>1</v>
      </c>
    </row>
    <row r="322" spans="2:18" x14ac:dyDescent="0.35">
      <c r="B322" s="113">
        <v>46044</v>
      </c>
      <c r="C322" s="4" t="s">
        <v>274</v>
      </c>
      <c r="D322" s="4" t="s">
        <v>4568</v>
      </c>
      <c r="E322" s="1" t="str">
        <f>_xlfn.XLOOKUP(tblSales[[#This Row],[Customer ID]],tblCustomers[Customer ID],tblCustomers[Customer Name],"⚠ Unknown")</f>
        <v>Walk-in Customer</v>
      </c>
      <c r="F322" s="4" t="s">
        <v>7</v>
      </c>
      <c r="G322" s="1" t="str">
        <f>_xlfn.XLOOKUP(tblSales[[#This Row],[Product Code]],tblProducts[Code],tblProducts[Product / Service Name],"⚠ Unknown")</f>
        <v>Premium Basic T-shirt</v>
      </c>
      <c r="H322" s="1" t="str">
        <f>_xlfn.XLOOKUP(tblSales[[#This Row],[Product Code]],tblProducts[Code],tblProducts[Category],"")</f>
        <v>Accessories &amp; Basics</v>
      </c>
      <c r="I322" s="4">
        <v>2</v>
      </c>
      <c r="J322" s="5">
        <f>_xlfn.XLOOKUP(tblSales[[#This Row],[Product Code]],tblProducts[Code],tblProducts[Selling Price (excl. VAT)],0)</f>
        <v>65000</v>
      </c>
      <c r="K322" s="5">
        <f>tblSales[[#This Row],[Qty]]*tblSales[[#This Row],[Unit Price]]</f>
        <v>130000</v>
      </c>
      <c r="L322" s="5">
        <f>ROUND(tblSales[[#This Row],[DPP (excl. VAT)]]*VATEff,0)</f>
        <v>14300</v>
      </c>
      <c r="M322" s="5">
        <f>tblSales[[#This Row],[DPP (excl. VAT)]]+tblSales[[#This Row],[Output VAT]]</f>
        <v>144300</v>
      </c>
      <c r="N322" s="5">
        <f>tblSales[[#This Row],[Qty]]*_xlfn.XLOOKUP(tblSales[[#This Row],[Product Code]],tblProducts[Code],tblProducts[Unit Cost],0)</f>
        <v>74000</v>
      </c>
      <c r="O322" s="4" t="s">
        <v>4866</v>
      </c>
      <c r="P322" s="4" t="s">
        <v>4862</v>
      </c>
      <c r="Q322" s="1" t="str">
        <f>_xlfn.XLOOKUP(tblSales[[#This Row],[Channel Code]],tblChannels[Channel Code],tblChannels[Channel Name],"")</f>
        <v>Website &amp; Social Media</v>
      </c>
      <c r="R322" s="1">
        <f>MONTH(tblSales[[#This Row],[Date]])</f>
        <v>1</v>
      </c>
    </row>
    <row r="323" spans="2:18" x14ac:dyDescent="0.35">
      <c r="B323" s="113">
        <v>46044</v>
      </c>
      <c r="C323" s="4" t="s">
        <v>275</v>
      </c>
      <c r="D323" s="4" t="s">
        <v>4568</v>
      </c>
      <c r="E323" s="1" t="str">
        <f>_xlfn.XLOOKUP(tblSales[[#This Row],[Customer ID]],tblCustomers[Customer ID],tblCustomers[Customer Name],"⚠ Unknown")</f>
        <v>Walk-in Customer</v>
      </c>
      <c r="F323" s="4" t="s">
        <v>7</v>
      </c>
      <c r="G323" s="1" t="str">
        <f>_xlfn.XLOOKUP(tblSales[[#This Row],[Product Code]],tblProducts[Code],tblProducts[Product / Service Name],"⚠ Unknown")</f>
        <v>Premium Basic T-shirt</v>
      </c>
      <c r="H323" s="1" t="str">
        <f>_xlfn.XLOOKUP(tblSales[[#This Row],[Product Code]],tblProducts[Code],tblProducts[Category],"")</f>
        <v>Accessories &amp; Basics</v>
      </c>
      <c r="I323" s="4">
        <v>12</v>
      </c>
      <c r="J323" s="5">
        <f>_xlfn.XLOOKUP(tblSales[[#This Row],[Product Code]],tblProducts[Code],tblProducts[Selling Price (excl. VAT)],0)</f>
        <v>65000</v>
      </c>
      <c r="K323" s="5">
        <f>tblSales[[#This Row],[Qty]]*tblSales[[#This Row],[Unit Price]]</f>
        <v>780000</v>
      </c>
      <c r="L323" s="5">
        <f>ROUND(tblSales[[#This Row],[DPP (excl. VAT)]]*VATEff,0)</f>
        <v>85800</v>
      </c>
      <c r="M323" s="5">
        <f>tblSales[[#This Row],[DPP (excl. VAT)]]+tblSales[[#This Row],[Output VAT]]</f>
        <v>865800</v>
      </c>
      <c r="N323" s="5">
        <f>tblSales[[#This Row],[Qty]]*_xlfn.XLOOKUP(tblSales[[#This Row],[Product Code]],tblProducts[Code],tblProducts[Unit Cost],0)</f>
        <v>444000</v>
      </c>
      <c r="O323" s="4" t="s">
        <v>4865</v>
      </c>
      <c r="P323" s="4" t="s">
        <v>4860</v>
      </c>
      <c r="Q323" s="1" t="str">
        <f>_xlfn.XLOOKUP(tblSales[[#This Row],[Channel Code]],tblChannels[Channel Code],tblChannels[Channel Name],"")</f>
        <v>In-store</v>
      </c>
      <c r="R323" s="1">
        <f>MONTH(tblSales[[#This Row],[Date]])</f>
        <v>1</v>
      </c>
    </row>
    <row r="324" spans="2:18" x14ac:dyDescent="0.35">
      <c r="B324" s="113">
        <v>46044</v>
      </c>
      <c r="C324" s="4" t="s">
        <v>276</v>
      </c>
      <c r="D324" s="4" t="s">
        <v>4568</v>
      </c>
      <c r="E324" s="1" t="str">
        <f>_xlfn.XLOOKUP(tblSales[[#This Row],[Customer ID]],tblCustomers[Customer ID],tblCustomers[Customer Name],"⚠ Unknown")</f>
        <v>Walk-in Customer</v>
      </c>
      <c r="F324" s="4" t="s">
        <v>9</v>
      </c>
      <c r="G324" s="1" t="str">
        <f>_xlfn.XLOOKUP(tblSales[[#This Row],[Product Code]],tblProducts[Code],tblProducts[Product / Service Name],"⚠ Unknown")</f>
        <v>Casual Shirt</v>
      </c>
      <c r="H324" s="1" t="str">
        <f>_xlfn.XLOOKUP(tblSales[[#This Row],[Product Code]],tblProducts[Code],tblProducts[Category],"")</f>
        <v>Apparel &amp; Footwear</v>
      </c>
      <c r="I324" s="4">
        <v>10</v>
      </c>
      <c r="J324" s="5">
        <f>_xlfn.XLOOKUP(tblSales[[#This Row],[Product Code]],tblProducts[Code],tblProducts[Selling Price (excl. VAT)],0)</f>
        <v>120000</v>
      </c>
      <c r="K324" s="5">
        <f>tblSales[[#This Row],[Qty]]*tblSales[[#This Row],[Unit Price]]</f>
        <v>1200000</v>
      </c>
      <c r="L324" s="5">
        <f>ROUND(tblSales[[#This Row],[DPP (excl. VAT)]]*VATEff,0)</f>
        <v>132000</v>
      </c>
      <c r="M324" s="5">
        <f>tblSales[[#This Row],[DPP (excl. VAT)]]+tblSales[[#This Row],[Output VAT]]</f>
        <v>1332000</v>
      </c>
      <c r="N324" s="5">
        <f>tblSales[[#This Row],[Qty]]*_xlfn.XLOOKUP(tblSales[[#This Row],[Product Code]],tblProducts[Code],tblProducts[Unit Cost],0)</f>
        <v>720000</v>
      </c>
      <c r="O324" s="4" t="s">
        <v>4865</v>
      </c>
      <c r="P324" s="4" t="s">
        <v>4860</v>
      </c>
      <c r="Q324" s="1" t="str">
        <f>_xlfn.XLOOKUP(tblSales[[#This Row],[Channel Code]],tblChannels[Channel Code],tblChannels[Channel Name],"")</f>
        <v>In-store</v>
      </c>
      <c r="R324" s="1">
        <f>MONTH(tblSales[[#This Row],[Date]])</f>
        <v>1</v>
      </c>
    </row>
    <row r="325" spans="2:18" x14ac:dyDescent="0.35">
      <c r="B325" s="113">
        <v>46044</v>
      </c>
      <c r="C325" s="4" t="s">
        <v>277</v>
      </c>
      <c r="D325" s="4" t="s">
        <v>4634</v>
      </c>
      <c r="E325" s="1" t="str">
        <f>_xlfn.XLOOKUP(tblSales[[#This Row],[Customer ID]],tblCustomers[Customer ID],tblCustomers[Customer Name],"⚠ Unknown")</f>
        <v>PT Delta Inti Selaras</v>
      </c>
      <c r="F325" s="4" t="s">
        <v>7</v>
      </c>
      <c r="G325" s="1" t="str">
        <f>_xlfn.XLOOKUP(tblSales[[#This Row],[Product Code]],tblProducts[Code],tblProducts[Product / Service Name],"⚠ Unknown")</f>
        <v>Premium Basic T-shirt</v>
      </c>
      <c r="H325" s="1" t="str">
        <f>_xlfn.XLOOKUP(tblSales[[#This Row],[Product Code]],tblProducts[Code],tblProducts[Category],"")</f>
        <v>Accessories &amp; Basics</v>
      </c>
      <c r="I325" s="4">
        <v>40</v>
      </c>
      <c r="J325" s="5">
        <f>_xlfn.XLOOKUP(tblSales[[#This Row],[Product Code]],tblProducts[Code],tblProducts[Selling Price (excl. VAT)],0)</f>
        <v>65000</v>
      </c>
      <c r="K325" s="5">
        <f>tblSales[[#This Row],[Qty]]*tblSales[[#This Row],[Unit Price]]</f>
        <v>2600000</v>
      </c>
      <c r="L325" s="5">
        <f>ROUND(tblSales[[#This Row],[DPP (excl. VAT)]]*VATEff,0)</f>
        <v>286000</v>
      </c>
      <c r="M325" s="5">
        <f>tblSales[[#This Row],[DPP (excl. VAT)]]+tblSales[[#This Row],[Output VAT]]</f>
        <v>2886000</v>
      </c>
      <c r="N325" s="5">
        <f>tblSales[[#This Row],[Qty]]*_xlfn.XLOOKUP(tblSales[[#This Row],[Product Code]],tblProducts[Code],tblProducts[Unit Cost],0)</f>
        <v>1480000</v>
      </c>
      <c r="O325" s="4" t="s">
        <v>4867</v>
      </c>
      <c r="P325" s="4" t="s">
        <v>4862</v>
      </c>
      <c r="Q325" s="1" t="str">
        <f>_xlfn.XLOOKUP(tblSales[[#This Row],[Channel Code]],tblChannels[Channel Code],tblChannels[Channel Name],"")</f>
        <v>Website &amp; Social Media</v>
      </c>
      <c r="R325" s="1">
        <f>MONTH(tblSales[[#This Row],[Date]])</f>
        <v>1</v>
      </c>
    </row>
    <row r="326" spans="2:18" x14ac:dyDescent="0.35">
      <c r="B326" s="113">
        <v>46044</v>
      </c>
      <c r="C326" s="4" t="s">
        <v>278</v>
      </c>
      <c r="D326" s="4" t="s">
        <v>4568</v>
      </c>
      <c r="E326" s="1" t="str">
        <f>_xlfn.XLOOKUP(tblSales[[#This Row],[Customer ID]],tblCustomers[Customer ID],tblCustomers[Customer Name],"⚠ Unknown")</f>
        <v>Walk-in Customer</v>
      </c>
      <c r="F326" s="4" t="s">
        <v>11</v>
      </c>
      <c r="G326" s="1" t="str">
        <f>_xlfn.XLOOKUP(tblSales[[#This Row],[Product Code]],tblProducts[Code],tblProducts[Product / Service Name],"⚠ Unknown")</f>
        <v>Sneakers</v>
      </c>
      <c r="H326" s="1" t="str">
        <f>_xlfn.XLOOKUP(tblSales[[#This Row],[Product Code]],tblProducts[Code],tblProducts[Category],"")</f>
        <v>Apparel &amp; Footwear</v>
      </c>
      <c r="I326" s="4">
        <v>2</v>
      </c>
      <c r="J326" s="5">
        <f>_xlfn.XLOOKUP(tblSales[[#This Row],[Product Code]],tblProducts[Code],tblProducts[Selling Price (excl. VAT)],0)</f>
        <v>250000</v>
      </c>
      <c r="K326" s="5">
        <f>tblSales[[#This Row],[Qty]]*tblSales[[#This Row],[Unit Price]]</f>
        <v>500000</v>
      </c>
      <c r="L326" s="5">
        <f>ROUND(tblSales[[#This Row],[DPP (excl. VAT)]]*VATEff,0)</f>
        <v>55000</v>
      </c>
      <c r="M326" s="5">
        <f>tblSales[[#This Row],[DPP (excl. VAT)]]+tblSales[[#This Row],[Output VAT]]</f>
        <v>555000</v>
      </c>
      <c r="N326" s="5">
        <f>tblSales[[#This Row],[Qty]]*_xlfn.XLOOKUP(tblSales[[#This Row],[Product Code]],tblProducts[Code],tblProducts[Unit Cost],0)</f>
        <v>310000</v>
      </c>
      <c r="O326" s="4" t="s">
        <v>4866</v>
      </c>
      <c r="P326" s="4" t="s">
        <v>4862</v>
      </c>
      <c r="Q326" s="1" t="str">
        <f>_xlfn.XLOOKUP(tblSales[[#This Row],[Channel Code]],tblChannels[Channel Code],tblChannels[Channel Name],"")</f>
        <v>Website &amp; Social Media</v>
      </c>
      <c r="R326" s="1">
        <f>MONTH(tblSales[[#This Row],[Date]])</f>
        <v>1</v>
      </c>
    </row>
    <row r="327" spans="2:18" x14ac:dyDescent="0.35">
      <c r="B327" s="113">
        <v>46044</v>
      </c>
      <c r="C327" s="4" t="s">
        <v>278</v>
      </c>
      <c r="D327" s="4" t="s">
        <v>4568</v>
      </c>
      <c r="E327" s="1" t="str">
        <f>_xlfn.XLOOKUP(tblSales[[#This Row],[Customer ID]],tblCustomers[Customer ID],tblCustomers[Customer Name],"⚠ Unknown")</f>
        <v>Walk-in Customer</v>
      </c>
      <c r="F327" s="4" t="s">
        <v>8</v>
      </c>
      <c r="G327" s="1" t="str">
        <f>_xlfn.XLOOKUP(tblSales[[#This Row],[Product Code]],tblProducts[Code],tblProducts[Product / Service Name],"⚠ Unknown")</f>
        <v>Casual Shorts</v>
      </c>
      <c r="H327" s="1" t="str">
        <f>_xlfn.XLOOKUP(tblSales[[#This Row],[Product Code]],tblProducts[Code],tblProducts[Category],"")</f>
        <v>Accessories &amp; Basics</v>
      </c>
      <c r="I327" s="4">
        <v>11</v>
      </c>
      <c r="J327" s="5">
        <f>_xlfn.XLOOKUP(tblSales[[#This Row],[Product Code]],tblProducts[Code],tblProducts[Selling Price (excl. VAT)],0)</f>
        <v>85000</v>
      </c>
      <c r="K327" s="5">
        <f>tblSales[[#This Row],[Qty]]*tblSales[[#This Row],[Unit Price]]</f>
        <v>935000</v>
      </c>
      <c r="L327" s="5">
        <f>ROUND(tblSales[[#This Row],[DPP (excl. VAT)]]*VATEff,0)</f>
        <v>102850</v>
      </c>
      <c r="M327" s="5">
        <f>tblSales[[#This Row],[DPP (excl. VAT)]]+tblSales[[#This Row],[Output VAT]]</f>
        <v>1037850</v>
      </c>
      <c r="N327" s="5">
        <f>tblSales[[#This Row],[Qty]]*_xlfn.XLOOKUP(tblSales[[#This Row],[Product Code]],tblProducts[Code],tblProducts[Unit Cost],0)</f>
        <v>550000</v>
      </c>
      <c r="O327" s="4" t="s">
        <v>4866</v>
      </c>
      <c r="P327" s="4" t="s">
        <v>4862</v>
      </c>
      <c r="Q327" s="1" t="str">
        <f>_xlfn.XLOOKUP(tblSales[[#This Row],[Channel Code]],tblChannels[Channel Code],tblChannels[Channel Name],"")</f>
        <v>Website &amp; Social Media</v>
      </c>
      <c r="R327" s="1">
        <f>MONTH(tblSales[[#This Row],[Date]])</f>
        <v>1</v>
      </c>
    </row>
    <row r="328" spans="2:18" x14ac:dyDescent="0.35">
      <c r="B328" s="113">
        <v>46044</v>
      </c>
      <c r="C328" s="4" t="s">
        <v>278</v>
      </c>
      <c r="D328" s="4" t="s">
        <v>4568</v>
      </c>
      <c r="E328" s="1" t="str">
        <f>_xlfn.XLOOKUP(tblSales[[#This Row],[Customer ID]],tblCustomers[Customer ID],tblCustomers[Customer Name],"⚠ Unknown")</f>
        <v>Walk-in Customer</v>
      </c>
      <c r="F328" s="4" t="s">
        <v>6</v>
      </c>
      <c r="G328" s="1" t="str">
        <f>_xlfn.XLOOKUP(tblSales[[#This Row],[Product Code]],tblProducts[Code],tblProducts[Product / Service Name],"⚠ Unknown")</f>
        <v>Socks &amp; Accessories</v>
      </c>
      <c r="H328" s="1" t="str">
        <f>_xlfn.XLOOKUP(tblSales[[#This Row],[Product Code]],tblProducts[Code],tblProducts[Category],"")</f>
        <v>Accessories &amp; Basics</v>
      </c>
      <c r="I328" s="4">
        <v>11</v>
      </c>
      <c r="J328" s="5">
        <f>_xlfn.XLOOKUP(tblSales[[#This Row],[Product Code]],tblProducts[Code],tblProducts[Selling Price (excl. VAT)],0)</f>
        <v>45000</v>
      </c>
      <c r="K328" s="5">
        <f>tblSales[[#This Row],[Qty]]*tblSales[[#This Row],[Unit Price]]</f>
        <v>495000</v>
      </c>
      <c r="L328" s="5">
        <f>ROUND(tblSales[[#This Row],[DPP (excl. VAT)]]*VATEff,0)</f>
        <v>54450</v>
      </c>
      <c r="M328" s="5">
        <f>tblSales[[#This Row],[DPP (excl. VAT)]]+tblSales[[#This Row],[Output VAT]]</f>
        <v>549450</v>
      </c>
      <c r="N328" s="5">
        <f>tblSales[[#This Row],[Qty]]*_xlfn.XLOOKUP(tblSales[[#This Row],[Product Code]],tblProducts[Code],tblProducts[Unit Cost],0)</f>
        <v>264000</v>
      </c>
      <c r="O328" s="4" t="s">
        <v>4866</v>
      </c>
      <c r="P328" s="4" t="s">
        <v>4862</v>
      </c>
      <c r="Q328" s="1" t="str">
        <f>_xlfn.XLOOKUP(tblSales[[#This Row],[Channel Code]],tblChannels[Channel Code],tblChannels[Channel Name],"")</f>
        <v>Website &amp; Social Media</v>
      </c>
      <c r="R328" s="1">
        <f>MONTH(tblSales[[#This Row],[Date]])</f>
        <v>1</v>
      </c>
    </row>
    <row r="329" spans="2:18" x14ac:dyDescent="0.35">
      <c r="B329" s="113">
        <v>46044</v>
      </c>
      <c r="C329" s="4" t="s">
        <v>279</v>
      </c>
      <c r="D329" s="4" t="s">
        <v>4568</v>
      </c>
      <c r="E329" s="1" t="str">
        <f>_xlfn.XLOOKUP(tblSales[[#This Row],[Customer ID]],tblCustomers[Customer ID],tblCustomers[Customer Name],"⚠ Unknown")</f>
        <v>Walk-in Customer</v>
      </c>
      <c r="F329" s="4" t="s">
        <v>11</v>
      </c>
      <c r="G329" s="1" t="str">
        <f>_xlfn.XLOOKUP(tblSales[[#This Row],[Product Code]],tblProducts[Code],tblProducts[Product / Service Name],"⚠ Unknown")</f>
        <v>Sneakers</v>
      </c>
      <c r="H329" s="1" t="str">
        <f>_xlfn.XLOOKUP(tblSales[[#This Row],[Product Code]],tblProducts[Code],tblProducts[Category],"")</f>
        <v>Apparel &amp; Footwear</v>
      </c>
      <c r="I329" s="4">
        <v>5</v>
      </c>
      <c r="J329" s="5">
        <f>_xlfn.XLOOKUP(tblSales[[#This Row],[Product Code]],tblProducts[Code],tblProducts[Selling Price (excl. VAT)],0)</f>
        <v>250000</v>
      </c>
      <c r="K329" s="5">
        <f>tblSales[[#This Row],[Qty]]*tblSales[[#This Row],[Unit Price]]</f>
        <v>1250000</v>
      </c>
      <c r="L329" s="5">
        <f>ROUND(tblSales[[#This Row],[DPP (excl. VAT)]]*VATEff,0)</f>
        <v>137500</v>
      </c>
      <c r="M329" s="5">
        <f>tblSales[[#This Row],[DPP (excl. VAT)]]+tblSales[[#This Row],[Output VAT]]</f>
        <v>1387500</v>
      </c>
      <c r="N329" s="5">
        <f>tblSales[[#This Row],[Qty]]*_xlfn.XLOOKUP(tblSales[[#This Row],[Product Code]],tblProducts[Code],tblProducts[Unit Cost],0)</f>
        <v>775000</v>
      </c>
      <c r="O329" s="4" t="s">
        <v>4865</v>
      </c>
      <c r="P329" s="4" t="s">
        <v>4860</v>
      </c>
      <c r="Q329" s="1" t="str">
        <f>_xlfn.XLOOKUP(tblSales[[#This Row],[Channel Code]],tblChannels[Channel Code],tblChannels[Channel Name],"")</f>
        <v>In-store</v>
      </c>
      <c r="R329" s="1">
        <f>MONTH(tblSales[[#This Row],[Date]])</f>
        <v>1</v>
      </c>
    </row>
    <row r="330" spans="2:18" x14ac:dyDescent="0.35">
      <c r="B330" s="113">
        <v>46044</v>
      </c>
      <c r="C330" s="4" t="s">
        <v>279</v>
      </c>
      <c r="D330" s="4" t="s">
        <v>4568</v>
      </c>
      <c r="E330" s="1" t="str">
        <f>_xlfn.XLOOKUP(tblSales[[#This Row],[Customer ID]],tblCustomers[Customer ID],tblCustomers[Customer Name],"⚠ Unknown")</f>
        <v>Walk-in Customer</v>
      </c>
      <c r="F330" s="4" t="s">
        <v>10</v>
      </c>
      <c r="G330" s="1" t="str">
        <f>_xlfn.XLOOKUP(tblSales[[#This Row],[Product Code]],tblProducts[Code],tblProducts[Product / Service Name],"⚠ Unknown")</f>
        <v>Chino Pants</v>
      </c>
      <c r="H330" s="1" t="str">
        <f>_xlfn.XLOOKUP(tblSales[[#This Row],[Product Code]],tblProducts[Code],tblProducts[Category],"")</f>
        <v>Apparel &amp; Footwear</v>
      </c>
      <c r="I330" s="4">
        <v>12</v>
      </c>
      <c r="J330" s="5">
        <f>_xlfn.XLOOKUP(tblSales[[#This Row],[Product Code]],tblProducts[Code],tblProducts[Selling Price (excl. VAT)],0)</f>
        <v>150000</v>
      </c>
      <c r="K330" s="5">
        <f>tblSales[[#This Row],[Qty]]*tblSales[[#This Row],[Unit Price]]</f>
        <v>1800000</v>
      </c>
      <c r="L330" s="5">
        <f>ROUND(tblSales[[#This Row],[DPP (excl. VAT)]]*VATEff,0)</f>
        <v>198000</v>
      </c>
      <c r="M330" s="5">
        <f>tblSales[[#This Row],[DPP (excl. VAT)]]+tblSales[[#This Row],[Output VAT]]</f>
        <v>1998000</v>
      </c>
      <c r="N330" s="5">
        <f>tblSales[[#This Row],[Qty]]*_xlfn.XLOOKUP(tblSales[[#This Row],[Product Code]],tblProducts[Code],tblProducts[Unit Cost],0)</f>
        <v>1056000</v>
      </c>
      <c r="O330" s="4" t="s">
        <v>4865</v>
      </c>
      <c r="P330" s="4" t="s">
        <v>4860</v>
      </c>
      <c r="Q330" s="1" t="str">
        <f>_xlfn.XLOOKUP(tblSales[[#This Row],[Channel Code]],tblChannels[Channel Code],tblChannels[Channel Name],"")</f>
        <v>In-store</v>
      </c>
      <c r="R330" s="1">
        <f>MONTH(tblSales[[#This Row],[Date]])</f>
        <v>1</v>
      </c>
    </row>
    <row r="331" spans="2:18" x14ac:dyDescent="0.35">
      <c r="B331" s="113">
        <v>46044</v>
      </c>
      <c r="C331" s="4" t="s">
        <v>279</v>
      </c>
      <c r="D331" s="4" t="s">
        <v>4568</v>
      </c>
      <c r="E331" s="1" t="str">
        <f>_xlfn.XLOOKUP(tblSales[[#This Row],[Customer ID]],tblCustomers[Customer ID],tblCustomers[Customer Name],"⚠ Unknown")</f>
        <v>Walk-in Customer</v>
      </c>
      <c r="F331" s="4" t="s">
        <v>7</v>
      </c>
      <c r="G331" s="1" t="str">
        <f>_xlfn.XLOOKUP(tblSales[[#This Row],[Product Code]],tblProducts[Code],tblProducts[Product / Service Name],"⚠ Unknown")</f>
        <v>Premium Basic T-shirt</v>
      </c>
      <c r="H331" s="1" t="str">
        <f>_xlfn.XLOOKUP(tblSales[[#This Row],[Product Code]],tblProducts[Code],tblProducts[Category],"")</f>
        <v>Accessories &amp; Basics</v>
      </c>
      <c r="I331" s="4">
        <v>8</v>
      </c>
      <c r="J331" s="5">
        <f>_xlfn.XLOOKUP(tblSales[[#This Row],[Product Code]],tblProducts[Code],tblProducts[Selling Price (excl. VAT)],0)</f>
        <v>65000</v>
      </c>
      <c r="K331" s="5">
        <f>tblSales[[#This Row],[Qty]]*tblSales[[#This Row],[Unit Price]]</f>
        <v>520000</v>
      </c>
      <c r="L331" s="5">
        <f>ROUND(tblSales[[#This Row],[DPP (excl. VAT)]]*VATEff,0)</f>
        <v>57200</v>
      </c>
      <c r="M331" s="5">
        <f>tblSales[[#This Row],[DPP (excl. VAT)]]+tblSales[[#This Row],[Output VAT]]</f>
        <v>577200</v>
      </c>
      <c r="N331" s="5">
        <f>tblSales[[#This Row],[Qty]]*_xlfn.XLOOKUP(tblSales[[#This Row],[Product Code]],tblProducts[Code],tblProducts[Unit Cost],0)</f>
        <v>296000</v>
      </c>
      <c r="O331" s="4" t="s">
        <v>4865</v>
      </c>
      <c r="P331" s="4" t="s">
        <v>4860</v>
      </c>
      <c r="Q331" s="1" t="str">
        <f>_xlfn.XLOOKUP(tblSales[[#This Row],[Channel Code]],tblChannels[Channel Code],tblChannels[Channel Name],"")</f>
        <v>In-store</v>
      </c>
      <c r="R331" s="1">
        <f>MONTH(tblSales[[#This Row],[Date]])</f>
        <v>1</v>
      </c>
    </row>
    <row r="332" spans="2:18" x14ac:dyDescent="0.35">
      <c r="B332" s="113">
        <v>46044</v>
      </c>
      <c r="C332" s="4" t="s">
        <v>280</v>
      </c>
      <c r="D332" s="4" t="s">
        <v>4568</v>
      </c>
      <c r="E332" s="1" t="str">
        <f>_xlfn.XLOOKUP(tblSales[[#This Row],[Customer ID]],tblCustomers[Customer ID],tblCustomers[Customer Name],"⚠ Unknown")</f>
        <v>Walk-in Customer</v>
      </c>
      <c r="F332" s="4" t="s">
        <v>8</v>
      </c>
      <c r="G332" s="1" t="str">
        <f>_xlfn.XLOOKUP(tblSales[[#This Row],[Product Code]],tblProducts[Code],tblProducts[Product / Service Name],"⚠ Unknown")</f>
        <v>Casual Shorts</v>
      </c>
      <c r="H332" s="1" t="str">
        <f>_xlfn.XLOOKUP(tblSales[[#This Row],[Product Code]],tblProducts[Code],tblProducts[Category],"")</f>
        <v>Accessories &amp; Basics</v>
      </c>
      <c r="I332" s="4">
        <v>7</v>
      </c>
      <c r="J332" s="5">
        <f>_xlfn.XLOOKUP(tblSales[[#This Row],[Product Code]],tblProducts[Code],tblProducts[Selling Price (excl. VAT)],0)</f>
        <v>85000</v>
      </c>
      <c r="K332" s="5">
        <f>tblSales[[#This Row],[Qty]]*tblSales[[#This Row],[Unit Price]]</f>
        <v>595000</v>
      </c>
      <c r="L332" s="5">
        <f>ROUND(tblSales[[#This Row],[DPP (excl. VAT)]]*VATEff,0)</f>
        <v>65450</v>
      </c>
      <c r="M332" s="5">
        <f>tblSales[[#This Row],[DPP (excl. VAT)]]+tblSales[[#This Row],[Output VAT]]</f>
        <v>660450</v>
      </c>
      <c r="N332" s="5">
        <f>tblSales[[#This Row],[Qty]]*_xlfn.XLOOKUP(tblSales[[#This Row],[Product Code]],tblProducts[Code],tblProducts[Unit Cost],0)</f>
        <v>350000</v>
      </c>
      <c r="O332" s="4" t="s">
        <v>4865</v>
      </c>
      <c r="P332" s="4" t="s">
        <v>4860</v>
      </c>
      <c r="Q332" s="1" t="str">
        <f>_xlfn.XLOOKUP(tblSales[[#This Row],[Channel Code]],tblChannels[Channel Code],tblChannels[Channel Name],"")</f>
        <v>In-store</v>
      </c>
      <c r="R332" s="1">
        <f>MONTH(tblSales[[#This Row],[Date]])</f>
        <v>1</v>
      </c>
    </row>
    <row r="333" spans="2:18" x14ac:dyDescent="0.35">
      <c r="B333" s="113">
        <v>46044</v>
      </c>
      <c r="C333" s="4" t="s">
        <v>280</v>
      </c>
      <c r="D333" s="4" t="s">
        <v>4568</v>
      </c>
      <c r="E333" s="1" t="str">
        <f>_xlfn.XLOOKUP(tblSales[[#This Row],[Customer ID]],tblCustomers[Customer ID],tblCustomers[Customer Name],"⚠ Unknown")</f>
        <v>Walk-in Customer</v>
      </c>
      <c r="F333" s="4" t="s">
        <v>13</v>
      </c>
      <c r="G333" s="1" t="str">
        <f>_xlfn.XLOOKUP(tblSales[[#This Row],[Product Code]],tblProducts[Code],tblProducts[Product / Service Name],"⚠ Unknown")</f>
        <v>Backpack</v>
      </c>
      <c r="H333" s="1" t="str">
        <f>_xlfn.XLOOKUP(tblSales[[#This Row],[Product Code]],tblProducts[Code],tblProducts[Category],"")</f>
        <v>Bags &amp; Gadgets</v>
      </c>
      <c r="I333" s="4">
        <v>1</v>
      </c>
      <c r="J333" s="5">
        <f>_xlfn.XLOOKUP(tblSales[[#This Row],[Product Code]],tblProducts[Code],tblProducts[Selling Price (excl. VAT)],0)</f>
        <v>500000</v>
      </c>
      <c r="K333" s="5">
        <f>tblSales[[#This Row],[Qty]]*tblSales[[#This Row],[Unit Price]]</f>
        <v>500000</v>
      </c>
      <c r="L333" s="5">
        <f>ROUND(tblSales[[#This Row],[DPP (excl. VAT)]]*VATEff,0)</f>
        <v>55000</v>
      </c>
      <c r="M333" s="5">
        <f>tblSales[[#This Row],[DPP (excl. VAT)]]+tblSales[[#This Row],[Output VAT]]</f>
        <v>555000</v>
      </c>
      <c r="N333" s="5">
        <f>tblSales[[#This Row],[Qty]]*_xlfn.XLOOKUP(tblSales[[#This Row],[Product Code]],tblProducts[Code],tblProducts[Unit Cost],0)</f>
        <v>290000</v>
      </c>
      <c r="O333" s="4" t="s">
        <v>4865</v>
      </c>
      <c r="P333" s="4" t="s">
        <v>4860</v>
      </c>
      <c r="Q333" s="1" t="str">
        <f>_xlfn.XLOOKUP(tblSales[[#This Row],[Channel Code]],tblChannels[Channel Code],tblChannels[Channel Name],"")</f>
        <v>In-store</v>
      </c>
      <c r="R333" s="1">
        <f>MONTH(tblSales[[#This Row],[Date]])</f>
        <v>1</v>
      </c>
    </row>
    <row r="334" spans="2:18" x14ac:dyDescent="0.35">
      <c r="B334" s="113">
        <v>46045</v>
      </c>
      <c r="C334" s="4" t="s">
        <v>281</v>
      </c>
      <c r="D334" s="4" t="s">
        <v>4568</v>
      </c>
      <c r="E334" s="1" t="str">
        <f>_xlfn.XLOOKUP(tblSales[[#This Row],[Customer ID]],tblCustomers[Customer ID],tblCustomers[Customer Name],"⚠ Unknown")</f>
        <v>Walk-in Customer</v>
      </c>
      <c r="F334" s="4" t="s">
        <v>6</v>
      </c>
      <c r="G334" s="1" t="str">
        <f>_xlfn.XLOOKUP(tblSales[[#This Row],[Product Code]],tblProducts[Code],tblProducts[Product / Service Name],"⚠ Unknown")</f>
        <v>Socks &amp; Accessories</v>
      </c>
      <c r="H334" s="1" t="str">
        <f>_xlfn.XLOOKUP(tblSales[[#This Row],[Product Code]],tblProducts[Code],tblProducts[Category],"")</f>
        <v>Accessories &amp; Basics</v>
      </c>
      <c r="I334" s="4">
        <v>7</v>
      </c>
      <c r="J334" s="5">
        <f>_xlfn.XLOOKUP(tblSales[[#This Row],[Product Code]],tblProducts[Code],tblProducts[Selling Price (excl. VAT)],0)</f>
        <v>45000</v>
      </c>
      <c r="K334" s="5">
        <f>tblSales[[#This Row],[Qty]]*tblSales[[#This Row],[Unit Price]]</f>
        <v>315000</v>
      </c>
      <c r="L334" s="5">
        <f>ROUND(tblSales[[#This Row],[DPP (excl. VAT)]]*VATEff,0)</f>
        <v>34650</v>
      </c>
      <c r="M334" s="5">
        <f>tblSales[[#This Row],[DPP (excl. VAT)]]+tblSales[[#This Row],[Output VAT]]</f>
        <v>349650</v>
      </c>
      <c r="N334" s="5">
        <f>tblSales[[#This Row],[Qty]]*_xlfn.XLOOKUP(tblSales[[#This Row],[Product Code]],tblProducts[Code],tblProducts[Unit Cost],0)</f>
        <v>168000</v>
      </c>
      <c r="O334" s="4" t="s">
        <v>4865</v>
      </c>
      <c r="P334" s="4" t="s">
        <v>4860</v>
      </c>
      <c r="Q334" s="1" t="str">
        <f>_xlfn.XLOOKUP(tblSales[[#This Row],[Channel Code]],tblChannels[Channel Code],tblChannels[Channel Name],"")</f>
        <v>In-store</v>
      </c>
      <c r="R334" s="1">
        <f>MONTH(tblSales[[#This Row],[Date]])</f>
        <v>1</v>
      </c>
    </row>
    <row r="335" spans="2:18" x14ac:dyDescent="0.35">
      <c r="B335" s="113">
        <v>46045</v>
      </c>
      <c r="C335" s="4" t="s">
        <v>282</v>
      </c>
      <c r="D335" s="4" t="s">
        <v>4641</v>
      </c>
      <c r="E335" s="1" t="str">
        <f>_xlfn.XLOOKUP(tblSales[[#This Row],[Customer ID]],tblCustomers[Customer ID],tblCustomers[Customer Name],"⚠ Unknown")</f>
        <v>PT Harmoni Pangan Lestari</v>
      </c>
      <c r="F335" s="4" t="s">
        <v>10</v>
      </c>
      <c r="G335" s="1" t="str">
        <f>_xlfn.XLOOKUP(tblSales[[#This Row],[Product Code]],tblProducts[Code],tblProducts[Product / Service Name],"⚠ Unknown")</f>
        <v>Chino Pants</v>
      </c>
      <c r="H335" s="1" t="str">
        <f>_xlfn.XLOOKUP(tblSales[[#This Row],[Product Code]],tblProducts[Code],tblProducts[Category],"")</f>
        <v>Apparel &amp; Footwear</v>
      </c>
      <c r="I335" s="4">
        <v>56</v>
      </c>
      <c r="J335" s="5">
        <f>_xlfn.XLOOKUP(tblSales[[#This Row],[Product Code]],tblProducts[Code],tblProducts[Selling Price (excl. VAT)],0)</f>
        <v>150000</v>
      </c>
      <c r="K335" s="5">
        <f>tblSales[[#This Row],[Qty]]*tblSales[[#This Row],[Unit Price]]</f>
        <v>8400000</v>
      </c>
      <c r="L335" s="5">
        <f>ROUND(tblSales[[#This Row],[DPP (excl. VAT)]]*VATEff,0)</f>
        <v>924000</v>
      </c>
      <c r="M335" s="5">
        <f>tblSales[[#This Row],[DPP (excl. VAT)]]+tblSales[[#This Row],[Output VAT]]</f>
        <v>9324000</v>
      </c>
      <c r="N335" s="5">
        <f>tblSales[[#This Row],[Qty]]*_xlfn.XLOOKUP(tblSales[[#This Row],[Product Code]],tblProducts[Code],tblProducts[Unit Cost],0)</f>
        <v>4928000</v>
      </c>
      <c r="O335" s="4" t="s">
        <v>4867</v>
      </c>
      <c r="P335" s="4" t="s">
        <v>4860</v>
      </c>
      <c r="Q335" s="1" t="str">
        <f>_xlfn.XLOOKUP(tblSales[[#This Row],[Channel Code]],tblChannels[Channel Code],tblChannels[Channel Name],"")</f>
        <v>In-store</v>
      </c>
      <c r="R335" s="1">
        <f>MONTH(tblSales[[#This Row],[Date]])</f>
        <v>1</v>
      </c>
    </row>
    <row r="336" spans="2:18" x14ac:dyDescent="0.35">
      <c r="B336" s="113">
        <v>46045</v>
      </c>
      <c r="C336" s="4" t="s">
        <v>282</v>
      </c>
      <c r="D336" s="4" t="s">
        <v>4641</v>
      </c>
      <c r="E336" s="1" t="str">
        <f>_xlfn.XLOOKUP(tblSales[[#This Row],[Customer ID]],tblCustomers[Customer ID],tblCustomers[Customer Name],"⚠ Unknown")</f>
        <v>PT Harmoni Pangan Lestari</v>
      </c>
      <c r="F336" s="4" t="s">
        <v>8</v>
      </c>
      <c r="G336" s="1" t="str">
        <f>_xlfn.XLOOKUP(tblSales[[#This Row],[Product Code]],tblProducts[Code],tblProducts[Product / Service Name],"⚠ Unknown")</f>
        <v>Casual Shorts</v>
      </c>
      <c r="H336" s="1" t="str">
        <f>_xlfn.XLOOKUP(tblSales[[#This Row],[Product Code]],tblProducts[Code],tblProducts[Category],"")</f>
        <v>Accessories &amp; Basics</v>
      </c>
      <c r="I336" s="4">
        <v>88</v>
      </c>
      <c r="J336" s="5">
        <f>_xlfn.XLOOKUP(tblSales[[#This Row],[Product Code]],tblProducts[Code],tblProducts[Selling Price (excl. VAT)],0)</f>
        <v>85000</v>
      </c>
      <c r="K336" s="5">
        <f>tblSales[[#This Row],[Qty]]*tblSales[[#This Row],[Unit Price]]</f>
        <v>7480000</v>
      </c>
      <c r="L336" s="5">
        <f>ROUND(tblSales[[#This Row],[DPP (excl. VAT)]]*VATEff,0)</f>
        <v>822800</v>
      </c>
      <c r="M336" s="5">
        <f>tblSales[[#This Row],[DPP (excl. VAT)]]+tblSales[[#This Row],[Output VAT]]</f>
        <v>8302800</v>
      </c>
      <c r="N336" s="5">
        <f>tblSales[[#This Row],[Qty]]*_xlfn.XLOOKUP(tblSales[[#This Row],[Product Code]],tblProducts[Code],tblProducts[Unit Cost],0)</f>
        <v>4400000</v>
      </c>
      <c r="O336" s="4" t="s">
        <v>4867</v>
      </c>
      <c r="P336" s="4" t="s">
        <v>4860</v>
      </c>
      <c r="Q336" s="1" t="str">
        <f>_xlfn.XLOOKUP(tblSales[[#This Row],[Channel Code]],tblChannels[Channel Code],tblChannels[Channel Name],"")</f>
        <v>In-store</v>
      </c>
      <c r="R336" s="1">
        <f>MONTH(tblSales[[#This Row],[Date]])</f>
        <v>1</v>
      </c>
    </row>
    <row r="337" spans="2:18" x14ac:dyDescent="0.35">
      <c r="B337" s="113">
        <v>46045</v>
      </c>
      <c r="C337" s="4" t="s">
        <v>282</v>
      </c>
      <c r="D337" s="4" t="s">
        <v>4641</v>
      </c>
      <c r="E337" s="1" t="str">
        <f>_xlfn.XLOOKUP(tblSales[[#This Row],[Customer ID]],tblCustomers[Customer ID],tblCustomers[Customer Name],"⚠ Unknown")</f>
        <v>PT Harmoni Pangan Lestari</v>
      </c>
      <c r="F337" s="4" t="s">
        <v>6</v>
      </c>
      <c r="G337" s="1" t="str">
        <f>_xlfn.XLOOKUP(tblSales[[#This Row],[Product Code]],tblProducts[Code],tblProducts[Product / Service Name],"⚠ Unknown")</f>
        <v>Socks &amp; Accessories</v>
      </c>
      <c r="H337" s="1" t="str">
        <f>_xlfn.XLOOKUP(tblSales[[#This Row],[Product Code]],tblProducts[Code],tblProducts[Category],"")</f>
        <v>Accessories &amp; Basics</v>
      </c>
      <c r="I337" s="4">
        <v>8</v>
      </c>
      <c r="J337" s="5">
        <f>_xlfn.XLOOKUP(tblSales[[#This Row],[Product Code]],tblProducts[Code],tblProducts[Selling Price (excl. VAT)],0)</f>
        <v>45000</v>
      </c>
      <c r="K337" s="5">
        <f>tblSales[[#This Row],[Qty]]*tblSales[[#This Row],[Unit Price]]</f>
        <v>360000</v>
      </c>
      <c r="L337" s="5">
        <f>ROUND(tblSales[[#This Row],[DPP (excl. VAT)]]*VATEff,0)</f>
        <v>39600</v>
      </c>
      <c r="M337" s="5">
        <f>tblSales[[#This Row],[DPP (excl. VAT)]]+tblSales[[#This Row],[Output VAT]]</f>
        <v>399600</v>
      </c>
      <c r="N337" s="5">
        <f>tblSales[[#This Row],[Qty]]*_xlfn.XLOOKUP(tblSales[[#This Row],[Product Code]],tblProducts[Code],tblProducts[Unit Cost],0)</f>
        <v>192000</v>
      </c>
      <c r="O337" s="4" t="s">
        <v>4867</v>
      </c>
      <c r="P337" s="4" t="s">
        <v>4860</v>
      </c>
      <c r="Q337" s="1" t="str">
        <f>_xlfn.XLOOKUP(tblSales[[#This Row],[Channel Code]],tblChannels[Channel Code],tblChannels[Channel Name],"")</f>
        <v>In-store</v>
      </c>
      <c r="R337" s="1">
        <f>MONTH(tblSales[[#This Row],[Date]])</f>
        <v>1</v>
      </c>
    </row>
    <row r="338" spans="2:18" x14ac:dyDescent="0.35">
      <c r="B338" s="113">
        <v>46045</v>
      </c>
      <c r="C338" s="4" t="s">
        <v>283</v>
      </c>
      <c r="D338" s="4" t="s">
        <v>4568</v>
      </c>
      <c r="E338" s="1" t="str">
        <f>_xlfn.XLOOKUP(tblSales[[#This Row],[Customer ID]],tblCustomers[Customer ID],tblCustomers[Customer Name],"⚠ Unknown")</f>
        <v>Walk-in Customer</v>
      </c>
      <c r="F338" s="4" t="s">
        <v>8</v>
      </c>
      <c r="G338" s="1" t="str">
        <f>_xlfn.XLOOKUP(tblSales[[#This Row],[Product Code]],tblProducts[Code],tblProducts[Product / Service Name],"⚠ Unknown")</f>
        <v>Casual Shorts</v>
      </c>
      <c r="H338" s="1" t="str">
        <f>_xlfn.XLOOKUP(tblSales[[#This Row],[Product Code]],tblProducts[Code],tblProducts[Category],"")</f>
        <v>Accessories &amp; Basics</v>
      </c>
      <c r="I338" s="4">
        <v>5</v>
      </c>
      <c r="J338" s="5">
        <f>_xlfn.XLOOKUP(tblSales[[#This Row],[Product Code]],tblProducts[Code],tblProducts[Selling Price (excl. VAT)],0)</f>
        <v>85000</v>
      </c>
      <c r="K338" s="5">
        <f>tblSales[[#This Row],[Qty]]*tblSales[[#This Row],[Unit Price]]</f>
        <v>425000</v>
      </c>
      <c r="L338" s="5">
        <f>ROUND(tblSales[[#This Row],[DPP (excl. VAT)]]*VATEff,0)</f>
        <v>46750</v>
      </c>
      <c r="M338" s="5">
        <f>tblSales[[#This Row],[DPP (excl. VAT)]]+tblSales[[#This Row],[Output VAT]]</f>
        <v>471750</v>
      </c>
      <c r="N338" s="5">
        <f>tblSales[[#This Row],[Qty]]*_xlfn.XLOOKUP(tblSales[[#This Row],[Product Code]],tblProducts[Code],tblProducts[Unit Cost],0)</f>
        <v>250000</v>
      </c>
      <c r="O338" s="4" t="s">
        <v>4866</v>
      </c>
      <c r="P338" s="4" t="s">
        <v>4861</v>
      </c>
      <c r="Q338" s="1" t="str">
        <f>_xlfn.XLOOKUP(tblSales[[#This Row],[Channel Code]],tblChannels[Channel Code],tblChannels[Channel Name],"")</f>
        <v>Marketplace</v>
      </c>
      <c r="R338" s="1">
        <f>MONTH(tblSales[[#This Row],[Date]])</f>
        <v>1</v>
      </c>
    </row>
    <row r="339" spans="2:18" x14ac:dyDescent="0.35">
      <c r="B339" s="113">
        <v>46045</v>
      </c>
      <c r="C339" s="4" t="s">
        <v>284</v>
      </c>
      <c r="D339" s="4" t="s">
        <v>4585</v>
      </c>
      <c r="E339" s="1" t="str">
        <f>_xlfn.XLOOKUP(tblSales[[#This Row],[Customer ID]],tblCustomers[Customer ID],tblCustomers[Customer Name],"⚠ Unknown")</f>
        <v>CV Mitra Karya Mandiri</v>
      </c>
      <c r="F339" s="4" t="s">
        <v>12</v>
      </c>
      <c r="G339" s="1" t="str">
        <f>_xlfn.XLOOKUP(tblSales[[#This Row],[Product Code]],tblProducts[Code],tblProducts[Product / Service Name],"⚠ Unknown")</f>
        <v>Bomber Jacket</v>
      </c>
      <c r="H339" s="1" t="str">
        <f>_xlfn.XLOOKUP(tblSales[[#This Row],[Product Code]],tblProducts[Code],tblProducts[Category],"")</f>
        <v>Apparel &amp; Footwear</v>
      </c>
      <c r="I339" s="4">
        <v>8</v>
      </c>
      <c r="J339" s="5">
        <f>_xlfn.XLOOKUP(tblSales[[#This Row],[Product Code]],tblProducts[Code],tblProducts[Selling Price (excl. VAT)],0)</f>
        <v>350000</v>
      </c>
      <c r="K339" s="5">
        <f>tblSales[[#This Row],[Qty]]*tblSales[[#This Row],[Unit Price]]</f>
        <v>2800000</v>
      </c>
      <c r="L339" s="5">
        <f>ROUND(tblSales[[#This Row],[DPP (excl. VAT)]]*VATEff,0)</f>
        <v>308000</v>
      </c>
      <c r="M339" s="5">
        <f>tblSales[[#This Row],[DPP (excl. VAT)]]+tblSales[[#This Row],[Output VAT]]</f>
        <v>3108000</v>
      </c>
      <c r="N339" s="5">
        <f>tblSales[[#This Row],[Qty]]*_xlfn.XLOOKUP(tblSales[[#This Row],[Product Code]],tblProducts[Code],tblProducts[Unit Cost],0)</f>
        <v>1680000</v>
      </c>
      <c r="O339" s="4" t="s">
        <v>4867</v>
      </c>
      <c r="P339" s="4" t="s">
        <v>4862</v>
      </c>
      <c r="Q339" s="1" t="str">
        <f>_xlfn.XLOOKUP(tblSales[[#This Row],[Channel Code]],tblChannels[Channel Code],tblChannels[Channel Name],"")</f>
        <v>Website &amp; Social Media</v>
      </c>
      <c r="R339" s="1">
        <f>MONTH(tblSales[[#This Row],[Date]])</f>
        <v>1</v>
      </c>
    </row>
    <row r="340" spans="2:18" x14ac:dyDescent="0.35">
      <c r="B340" s="113">
        <v>46045</v>
      </c>
      <c r="C340" s="4" t="s">
        <v>285</v>
      </c>
      <c r="D340" s="4" t="s">
        <v>4568</v>
      </c>
      <c r="E340" s="1" t="str">
        <f>_xlfn.XLOOKUP(tblSales[[#This Row],[Customer ID]],tblCustomers[Customer ID],tblCustomers[Customer Name],"⚠ Unknown")</f>
        <v>Walk-in Customer</v>
      </c>
      <c r="F340" s="4" t="s">
        <v>6</v>
      </c>
      <c r="G340" s="1" t="str">
        <f>_xlfn.XLOOKUP(tblSales[[#This Row],[Product Code]],tblProducts[Code],tblProducts[Product / Service Name],"⚠ Unknown")</f>
        <v>Socks &amp; Accessories</v>
      </c>
      <c r="H340" s="1" t="str">
        <f>_xlfn.XLOOKUP(tblSales[[#This Row],[Product Code]],tblProducts[Code],tblProducts[Category],"")</f>
        <v>Accessories &amp; Basics</v>
      </c>
      <c r="I340" s="4">
        <v>4</v>
      </c>
      <c r="J340" s="5">
        <f>_xlfn.XLOOKUP(tblSales[[#This Row],[Product Code]],tblProducts[Code],tblProducts[Selling Price (excl. VAT)],0)</f>
        <v>45000</v>
      </c>
      <c r="K340" s="5">
        <f>tblSales[[#This Row],[Qty]]*tblSales[[#This Row],[Unit Price]]</f>
        <v>180000</v>
      </c>
      <c r="L340" s="5">
        <f>ROUND(tblSales[[#This Row],[DPP (excl. VAT)]]*VATEff,0)</f>
        <v>19800</v>
      </c>
      <c r="M340" s="5">
        <f>tblSales[[#This Row],[DPP (excl. VAT)]]+tblSales[[#This Row],[Output VAT]]</f>
        <v>199800</v>
      </c>
      <c r="N340" s="5">
        <f>tblSales[[#This Row],[Qty]]*_xlfn.XLOOKUP(tblSales[[#This Row],[Product Code]],tblProducts[Code],tblProducts[Unit Cost],0)</f>
        <v>96000</v>
      </c>
      <c r="O340" s="4" t="s">
        <v>4865</v>
      </c>
      <c r="P340" s="4" t="s">
        <v>4860</v>
      </c>
      <c r="Q340" s="1" t="str">
        <f>_xlfn.XLOOKUP(tblSales[[#This Row],[Channel Code]],tblChannels[Channel Code],tblChannels[Channel Name],"")</f>
        <v>In-store</v>
      </c>
      <c r="R340" s="1">
        <f>MONTH(tblSales[[#This Row],[Date]])</f>
        <v>1</v>
      </c>
    </row>
    <row r="341" spans="2:18" x14ac:dyDescent="0.35">
      <c r="B341" s="113">
        <v>46045</v>
      </c>
      <c r="C341" s="4" t="s">
        <v>286</v>
      </c>
      <c r="D341" s="4" t="s">
        <v>4568</v>
      </c>
      <c r="E341" s="1" t="str">
        <f>_xlfn.XLOOKUP(tblSales[[#This Row],[Customer ID]],tblCustomers[Customer ID],tblCustomers[Customer Name],"⚠ Unknown")</f>
        <v>Walk-in Customer</v>
      </c>
      <c r="F341" s="4" t="s">
        <v>7</v>
      </c>
      <c r="G341" s="1" t="str">
        <f>_xlfn.XLOOKUP(tblSales[[#This Row],[Product Code]],tblProducts[Code],tblProducts[Product / Service Name],"⚠ Unknown")</f>
        <v>Premium Basic T-shirt</v>
      </c>
      <c r="H341" s="1" t="str">
        <f>_xlfn.XLOOKUP(tblSales[[#This Row],[Product Code]],tblProducts[Code],tblProducts[Category],"")</f>
        <v>Accessories &amp; Basics</v>
      </c>
      <c r="I341" s="4">
        <v>9</v>
      </c>
      <c r="J341" s="5">
        <f>_xlfn.XLOOKUP(tblSales[[#This Row],[Product Code]],tblProducts[Code],tblProducts[Selling Price (excl. VAT)],0)</f>
        <v>65000</v>
      </c>
      <c r="K341" s="5">
        <f>tblSales[[#This Row],[Qty]]*tblSales[[#This Row],[Unit Price]]</f>
        <v>585000</v>
      </c>
      <c r="L341" s="5">
        <f>ROUND(tblSales[[#This Row],[DPP (excl. VAT)]]*VATEff,0)</f>
        <v>64350</v>
      </c>
      <c r="M341" s="5">
        <f>tblSales[[#This Row],[DPP (excl. VAT)]]+tblSales[[#This Row],[Output VAT]]</f>
        <v>649350</v>
      </c>
      <c r="N341" s="5">
        <f>tblSales[[#This Row],[Qty]]*_xlfn.XLOOKUP(tblSales[[#This Row],[Product Code]],tblProducts[Code],tblProducts[Unit Cost],0)</f>
        <v>333000</v>
      </c>
      <c r="O341" s="4" t="s">
        <v>4865</v>
      </c>
      <c r="P341" s="4" t="s">
        <v>4860</v>
      </c>
      <c r="Q341" s="1" t="str">
        <f>_xlfn.XLOOKUP(tblSales[[#This Row],[Channel Code]],tblChannels[Channel Code],tblChannels[Channel Name],"")</f>
        <v>In-store</v>
      </c>
      <c r="R341" s="1">
        <f>MONTH(tblSales[[#This Row],[Date]])</f>
        <v>1</v>
      </c>
    </row>
    <row r="342" spans="2:18" x14ac:dyDescent="0.35">
      <c r="B342" s="113">
        <v>46045</v>
      </c>
      <c r="C342" s="4" t="s">
        <v>287</v>
      </c>
      <c r="D342" s="4" t="s">
        <v>4568</v>
      </c>
      <c r="E342" s="1" t="str">
        <f>_xlfn.XLOOKUP(tblSales[[#This Row],[Customer ID]],tblCustomers[Customer ID],tblCustomers[Customer Name],"⚠ Unknown")</f>
        <v>Walk-in Customer</v>
      </c>
      <c r="F342" s="4" t="s">
        <v>14</v>
      </c>
      <c r="G342" s="1" t="str">
        <f>_xlfn.XLOOKUP(tblSales[[#This Row],[Product Code]],tblProducts[Code],tblProducts[Product / Service Name],"⚠ Unknown")</f>
        <v>Smartwatch</v>
      </c>
      <c r="H342" s="1" t="str">
        <f>_xlfn.XLOOKUP(tblSales[[#This Row],[Product Code]],tblProducts[Code],tblProducts[Category],"")</f>
        <v>Bags &amp; Gadgets</v>
      </c>
      <c r="I342" s="4">
        <v>1</v>
      </c>
      <c r="J342" s="5">
        <f>_xlfn.XLOOKUP(tblSales[[#This Row],[Product Code]],tblProducts[Code],tblProducts[Selling Price (excl. VAT)],0)</f>
        <v>850000</v>
      </c>
      <c r="K342" s="5">
        <f>tblSales[[#This Row],[Qty]]*tblSales[[#This Row],[Unit Price]]</f>
        <v>850000</v>
      </c>
      <c r="L342" s="5">
        <f>ROUND(tblSales[[#This Row],[DPP (excl. VAT)]]*VATEff,0)</f>
        <v>93500</v>
      </c>
      <c r="M342" s="5">
        <f>tblSales[[#This Row],[DPP (excl. VAT)]]+tblSales[[#This Row],[Output VAT]]</f>
        <v>943500</v>
      </c>
      <c r="N342" s="5">
        <f>tblSales[[#This Row],[Qty]]*_xlfn.XLOOKUP(tblSales[[#This Row],[Product Code]],tblProducts[Code],tblProducts[Unit Cost],0)</f>
        <v>560000</v>
      </c>
      <c r="O342" s="4" t="s">
        <v>4866</v>
      </c>
      <c r="P342" s="4" t="s">
        <v>4860</v>
      </c>
      <c r="Q342" s="1" t="str">
        <f>_xlfn.XLOOKUP(tblSales[[#This Row],[Channel Code]],tblChannels[Channel Code],tblChannels[Channel Name],"")</f>
        <v>In-store</v>
      </c>
      <c r="R342" s="1">
        <f>MONTH(tblSales[[#This Row],[Date]])</f>
        <v>1</v>
      </c>
    </row>
    <row r="343" spans="2:18" x14ac:dyDescent="0.35">
      <c r="B343" s="113">
        <v>46045</v>
      </c>
      <c r="C343" s="4" t="s">
        <v>287</v>
      </c>
      <c r="D343" s="4" t="s">
        <v>4568</v>
      </c>
      <c r="E343" s="1" t="str">
        <f>_xlfn.XLOOKUP(tblSales[[#This Row],[Customer ID]],tblCustomers[Customer ID],tblCustomers[Customer Name],"⚠ Unknown")</f>
        <v>Walk-in Customer</v>
      </c>
      <c r="F343" s="4" t="s">
        <v>15</v>
      </c>
      <c r="G343" s="1" t="str">
        <f>_xlfn.XLOOKUP(tblSales[[#This Row],[Product Code]],tblProducts[Code],tblProducts[Product / Service Name],"⚠ Unknown")</f>
        <v>Wireless Earbuds Pro</v>
      </c>
      <c r="H343" s="1" t="str">
        <f>_xlfn.XLOOKUP(tblSales[[#This Row],[Product Code]],tblProducts[Code],tblProducts[Category],"")</f>
        <v>Bags &amp; Gadgets</v>
      </c>
      <c r="I343" s="4">
        <v>1</v>
      </c>
      <c r="J343" s="5">
        <f>_xlfn.XLOOKUP(tblSales[[#This Row],[Product Code]],tblProducts[Code],tblProducts[Selling Price (excl. VAT)],0)</f>
        <v>1250000</v>
      </c>
      <c r="K343" s="5">
        <f>tblSales[[#This Row],[Qty]]*tblSales[[#This Row],[Unit Price]]</f>
        <v>1250000</v>
      </c>
      <c r="L343" s="5">
        <f>ROUND(tblSales[[#This Row],[DPP (excl. VAT)]]*VATEff,0)</f>
        <v>137500</v>
      </c>
      <c r="M343" s="5">
        <f>tblSales[[#This Row],[DPP (excl. VAT)]]+tblSales[[#This Row],[Output VAT]]</f>
        <v>1387500</v>
      </c>
      <c r="N343" s="5">
        <f>tblSales[[#This Row],[Qty]]*_xlfn.XLOOKUP(tblSales[[#This Row],[Product Code]],tblProducts[Code],tblProducts[Unit Cost],0)</f>
        <v>820000</v>
      </c>
      <c r="O343" s="4" t="s">
        <v>4866</v>
      </c>
      <c r="P343" s="4" t="s">
        <v>4860</v>
      </c>
      <c r="Q343" s="1" t="str">
        <f>_xlfn.XLOOKUP(tblSales[[#This Row],[Channel Code]],tblChannels[Channel Code],tblChannels[Channel Name],"")</f>
        <v>In-store</v>
      </c>
      <c r="R343" s="1">
        <f>MONTH(tblSales[[#This Row],[Date]])</f>
        <v>1</v>
      </c>
    </row>
    <row r="344" spans="2:18" x14ac:dyDescent="0.35">
      <c r="B344" s="113">
        <v>46045</v>
      </c>
      <c r="C344" s="4" t="s">
        <v>288</v>
      </c>
      <c r="D344" s="4" t="s">
        <v>4568</v>
      </c>
      <c r="E344" s="1" t="str">
        <f>_xlfn.XLOOKUP(tblSales[[#This Row],[Customer ID]],tblCustomers[Customer ID],tblCustomers[Customer Name],"⚠ Unknown")</f>
        <v>Walk-in Customer</v>
      </c>
      <c r="F344" s="4" t="s">
        <v>11</v>
      </c>
      <c r="G344" s="1" t="str">
        <f>_xlfn.XLOOKUP(tblSales[[#This Row],[Product Code]],tblProducts[Code],tblProducts[Product / Service Name],"⚠ Unknown")</f>
        <v>Sneakers</v>
      </c>
      <c r="H344" s="1" t="str">
        <f>_xlfn.XLOOKUP(tblSales[[#This Row],[Product Code]],tblProducts[Code],tblProducts[Category],"")</f>
        <v>Apparel &amp; Footwear</v>
      </c>
      <c r="I344" s="4">
        <v>1</v>
      </c>
      <c r="J344" s="5">
        <f>_xlfn.XLOOKUP(tblSales[[#This Row],[Product Code]],tblProducts[Code],tblProducts[Selling Price (excl. VAT)],0)</f>
        <v>250000</v>
      </c>
      <c r="K344" s="5">
        <f>tblSales[[#This Row],[Qty]]*tblSales[[#This Row],[Unit Price]]</f>
        <v>250000</v>
      </c>
      <c r="L344" s="5">
        <f>ROUND(tblSales[[#This Row],[DPP (excl. VAT)]]*VATEff,0)</f>
        <v>27500</v>
      </c>
      <c r="M344" s="5">
        <f>tblSales[[#This Row],[DPP (excl. VAT)]]+tblSales[[#This Row],[Output VAT]]</f>
        <v>277500</v>
      </c>
      <c r="N344" s="5">
        <f>tblSales[[#This Row],[Qty]]*_xlfn.XLOOKUP(tblSales[[#This Row],[Product Code]],tblProducts[Code],tblProducts[Unit Cost],0)</f>
        <v>155000</v>
      </c>
      <c r="O344" s="4" t="s">
        <v>4866</v>
      </c>
      <c r="P344" s="4" t="s">
        <v>4862</v>
      </c>
      <c r="Q344" s="1" t="str">
        <f>_xlfn.XLOOKUP(tblSales[[#This Row],[Channel Code]],tblChannels[Channel Code],tblChannels[Channel Name],"")</f>
        <v>Website &amp; Social Media</v>
      </c>
      <c r="R344" s="1">
        <f>MONTH(tblSales[[#This Row],[Date]])</f>
        <v>1</v>
      </c>
    </row>
    <row r="345" spans="2:18" x14ac:dyDescent="0.35">
      <c r="B345" s="113">
        <v>46045</v>
      </c>
      <c r="C345" s="4" t="s">
        <v>289</v>
      </c>
      <c r="D345" s="4" t="s">
        <v>4568</v>
      </c>
      <c r="E345" s="1" t="str">
        <f>_xlfn.XLOOKUP(tblSales[[#This Row],[Customer ID]],tblCustomers[Customer ID],tblCustomers[Customer Name],"⚠ Unknown")</f>
        <v>Walk-in Customer</v>
      </c>
      <c r="F345" s="4" t="s">
        <v>7</v>
      </c>
      <c r="G345" s="1" t="str">
        <f>_xlfn.XLOOKUP(tblSales[[#This Row],[Product Code]],tblProducts[Code],tblProducts[Product / Service Name],"⚠ Unknown")</f>
        <v>Premium Basic T-shirt</v>
      </c>
      <c r="H345" s="1" t="str">
        <f>_xlfn.XLOOKUP(tblSales[[#This Row],[Product Code]],tblProducts[Code],tblProducts[Category],"")</f>
        <v>Accessories &amp; Basics</v>
      </c>
      <c r="I345" s="4">
        <v>6</v>
      </c>
      <c r="J345" s="5">
        <f>_xlfn.XLOOKUP(tblSales[[#This Row],[Product Code]],tblProducts[Code],tblProducts[Selling Price (excl. VAT)],0)</f>
        <v>65000</v>
      </c>
      <c r="K345" s="5">
        <f>tblSales[[#This Row],[Qty]]*tblSales[[#This Row],[Unit Price]]</f>
        <v>390000</v>
      </c>
      <c r="L345" s="5">
        <f>ROUND(tblSales[[#This Row],[DPP (excl. VAT)]]*VATEff,0)</f>
        <v>42900</v>
      </c>
      <c r="M345" s="5">
        <f>tblSales[[#This Row],[DPP (excl. VAT)]]+tblSales[[#This Row],[Output VAT]]</f>
        <v>432900</v>
      </c>
      <c r="N345" s="5">
        <f>tblSales[[#This Row],[Qty]]*_xlfn.XLOOKUP(tblSales[[#This Row],[Product Code]],tblProducts[Code],tblProducts[Unit Cost],0)</f>
        <v>222000</v>
      </c>
      <c r="O345" s="4" t="s">
        <v>4866</v>
      </c>
      <c r="P345" s="4" t="s">
        <v>4860</v>
      </c>
      <c r="Q345" s="1" t="str">
        <f>_xlfn.XLOOKUP(tblSales[[#This Row],[Channel Code]],tblChannels[Channel Code],tblChannels[Channel Name],"")</f>
        <v>In-store</v>
      </c>
      <c r="R345" s="1">
        <f>MONTH(tblSales[[#This Row],[Date]])</f>
        <v>1</v>
      </c>
    </row>
    <row r="346" spans="2:18" x14ac:dyDescent="0.35">
      <c r="B346" s="113">
        <v>46045</v>
      </c>
      <c r="C346" s="4" t="s">
        <v>290</v>
      </c>
      <c r="D346" s="4" t="s">
        <v>4641</v>
      </c>
      <c r="E346" s="1" t="str">
        <f>_xlfn.XLOOKUP(tblSales[[#This Row],[Customer ID]],tblCustomers[Customer ID],tblCustomers[Customer Name],"⚠ Unknown")</f>
        <v>PT Harmoni Pangan Lestari</v>
      </c>
      <c r="F346" s="4" t="s">
        <v>14</v>
      </c>
      <c r="G346" s="1" t="str">
        <f>_xlfn.XLOOKUP(tblSales[[#This Row],[Product Code]],tblProducts[Code],tblProducts[Product / Service Name],"⚠ Unknown")</f>
        <v>Smartwatch</v>
      </c>
      <c r="H346" s="1" t="str">
        <f>_xlfn.XLOOKUP(tblSales[[#This Row],[Product Code]],tblProducts[Code],tblProducts[Category],"")</f>
        <v>Bags &amp; Gadgets</v>
      </c>
      <c r="I346" s="4">
        <v>16</v>
      </c>
      <c r="J346" s="5">
        <f>_xlfn.XLOOKUP(tblSales[[#This Row],[Product Code]],tblProducts[Code],tblProducts[Selling Price (excl. VAT)],0)</f>
        <v>850000</v>
      </c>
      <c r="K346" s="5">
        <f>tblSales[[#This Row],[Qty]]*tblSales[[#This Row],[Unit Price]]</f>
        <v>13600000</v>
      </c>
      <c r="L346" s="5">
        <f>ROUND(tblSales[[#This Row],[DPP (excl. VAT)]]*VATEff,0)</f>
        <v>1496000</v>
      </c>
      <c r="M346" s="5">
        <f>tblSales[[#This Row],[DPP (excl. VAT)]]+tblSales[[#This Row],[Output VAT]]</f>
        <v>15096000</v>
      </c>
      <c r="N346" s="5">
        <f>tblSales[[#This Row],[Qty]]*_xlfn.XLOOKUP(tblSales[[#This Row],[Product Code]],tblProducts[Code],tblProducts[Unit Cost],0)</f>
        <v>8960000</v>
      </c>
      <c r="O346" s="4" t="s">
        <v>4867</v>
      </c>
      <c r="P346" s="4" t="s">
        <v>4860</v>
      </c>
      <c r="Q346" s="1" t="str">
        <f>_xlfn.XLOOKUP(tblSales[[#This Row],[Channel Code]],tblChannels[Channel Code],tblChannels[Channel Name],"")</f>
        <v>In-store</v>
      </c>
      <c r="R346" s="1">
        <f>MONTH(tblSales[[#This Row],[Date]])</f>
        <v>1</v>
      </c>
    </row>
    <row r="347" spans="2:18" x14ac:dyDescent="0.35">
      <c r="B347" s="113">
        <v>46045</v>
      </c>
      <c r="C347" s="4" t="s">
        <v>290</v>
      </c>
      <c r="D347" s="4" t="s">
        <v>4641</v>
      </c>
      <c r="E347" s="1" t="str">
        <f>_xlfn.XLOOKUP(tblSales[[#This Row],[Customer ID]],tblCustomers[Customer ID],tblCustomers[Customer Name],"⚠ Unknown")</f>
        <v>PT Harmoni Pangan Lestari</v>
      </c>
      <c r="F347" s="4" t="s">
        <v>8</v>
      </c>
      <c r="G347" s="1" t="str">
        <f>_xlfn.XLOOKUP(tblSales[[#This Row],[Product Code]],tblProducts[Code],tblProducts[Product / Service Name],"⚠ Unknown")</f>
        <v>Casual Shorts</v>
      </c>
      <c r="H347" s="1" t="str">
        <f>_xlfn.XLOOKUP(tblSales[[#This Row],[Product Code]],tblProducts[Code],tblProducts[Category],"")</f>
        <v>Accessories &amp; Basics</v>
      </c>
      <c r="I347" s="4">
        <v>32</v>
      </c>
      <c r="J347" s="5">
        <f>_xlfn.XLOOKUP(tblSales[[#This Row],[Product Code]],tblProducts[Code],tblProducts[Selling Price (excl. VAT)],0)</f>
        <v>85000</v>
      </c>
      <c r="K347" s="5">
        <f>tblSales[[#This Row],[Qty]]*tblSales[[#This Row],[Unit Price]]</f>
        <v>2720000</v>
      </c>
      <c r="L347" s="5">
        <f>ROUND(tblSales[[#This Row],[DPP (excl. VAT)]]*VATEff,0)</f>
        <v>299200</v>
      </c>
      <c r="M347" s="5">
        <f>tblSales[[#This Row],[DPP (excl. VAT)]]+tblSales[[#This Row],[Output VAT]]</f>
        <v>3019200</v>
      </c>
      <c r="N347" s="5">
        <f>tblSales[[#This Row],[Qty]]*_xlfn.XLOOKUP(tblSales[[#This Row],[Product Code]],tblProducts[Code],tblProducts[Unit Cost],0)</f>
        <v>1600000</v>
      </c>
      <c r="O347" s="4" t="s">
        <v>4867</v>
      </c>
      <c r="P347" s="4" t="s">
        <v>4860</v>
      </c>
      <c r="Q347" s="1" t="str">
        <f>_xlfn.XLOOKUP(tblSales[[#This Row],[Channel Code]],tblChannels[Channel Code],tblChannels[Channel Name],"")</f>
        <v>In-store</v>
      </c>
      <c r="R347" s="1">
        <f>MONTH(tblSales[[#This Row],[Date]])</f>
        <v>1</v>
      </c>
    </row>
    <row r="348" spans="2:18" x14ac:dyDescent="0.35">
      <c r="B348" s="113">
        <v>46045</v>
      </c>
      <c r="C348" s="4" t="s">
        <v>291</v>
      </c>
      <c r="D348" s="4" t="s">
        <v>4627</v>
      </c>
      <c r="E348" s="1" t="str">
        <f>_xlfn.XLOOKUP(tblSales[[#This Row],[Customer ID]],tblCustomers[Customer ID],tblCustomers[Customer Name],"⚠ Unknown")</f>
        <v>PT Kencana Wira Usaha</v>
      </c>
      <c r="F348" s="4" t="s">
        <v>7</v>
      </c>
      <c r="G348" s="1" t="str">
        <f>_xlfn.XLOOKUP(tblSales[[#This Row],[Product Code]],tblProducts[Code],tblProducts[Product / Service Name],"⚠ Unknown")</f>
        <v>Premium Basic T-shirt</v>
      </c>
      <c r="H348" s="1" t="str">
        <f>_xlfn.XLOOKUP(tblSales[[#This Row],[Product Code]],tblProducts[Code],tblProducts[Category],"")</f>
        <v>Accessories &amp; Basics</v>
      </c>
      <c r="I348" s="4">
        <v>72</v>
      </c>
      <c r="J348" s="5">
        <f>_xlfn.XLOOKUP(tblSales[[#This Row],[Product Code]],tblProducts[Code],tblProducts[Selling Price (excl. VAT)],0)</f>
        <v>65000</v>
      </c>
      <c r="K348" s="5">
        <f>tblSales[[#This Row],[Qty]]*tblSales[[#This Row],[Unit Price]]</f>
        <v>4680000</v>
      </c>
      <c r="L348" s="5">
        <f>ROUND(tblSales[[#This Row],[DPP (excl. VAT)]]*VATEff,0)</f>
        <v>514800</v>
      </c>
      <c r="M348" s="5">
        <f>tblSales[[#This Row],[DPP (excl. VAT)]]+tblSales[[#This Row],[Output VAT]]</f>
        <v>5194800</v>
      </c>
      <c r="N348" s="5">
        <f>tblSales[[#This Row],[Qty]]*_xlfn.XLOOKUP(tblSales[[#This Row],[Product Code]],tblProducts[Code],tblProducts[Unit Cost],0)</f>
        <v>2664000</v>
      </c>
      <c r="O348" s="4" t="s">
        <v>4867</v>
      </c>
      <c r="P348" s="4" t="s">
        <v>4860</v>
      </c>
      <c r="Q348" s="1" t="str">
        <f>_xlfn.XLOOKUP(tblSales[[#This Row],[Channel Code]],tblChannels[Channel Code],tblChannels[Channel Name],"")</f>
        <v>In-store</v>
      </c>
      <c r="R348" s="1">
        <f>MONTH(tblSales[[#This Row],[Date]])</f>
        <v>1</v>
      </c>
    </row>
    <row r="349" spans="2:18" x14ac:dyDescent="0.35">
      <c r="B349" s="113">
        <v>46045</v>
      </c>
      <c r="C349" s="4" t="s">
        <v>291</v>
      </c>
      <c r="D349" s="4" t="s">
        <v>4627</v>
      </c>
      <c r="E349" s="1" t="str">
        <f>_xlfn.XLOOKUP(tblSales[[#This Row],[Customer ID]],tblCustomers[Customer ID],tblCustomers[Customer Name],"⚠ Unknown")</f>
        <v>PT Kencana Wira Usaha</v>
      </c>
      <c r="F349" s="4" t="s">
        <v>10</v>
      </c>
      <c r="G349" s="1" t="str">
        <f>_xlfn.XLOOKUP(tblSales[[#This Row],[Product Code]],tblProducts[Code],tblProducts[Product / Service Name],"⚠ Unknown")</f>
        <v>Chino Pants</v>
      </c>
      <c r="H349" s="1" t="str">
        <f>_xlfn.XLOOKUP(tblSales[[#This Row],[Product Code]],tblProducts[Code],tblProducts[Category],"")</f>
        <v>Apparel &amp; Footwear</v>
      </c>
      <c r="I349" s="4">
        <v>56</v>
      </c>
      <c r="J349" s="5">
        <f>_xlfn.XLOOKUP(tblSales[[#This Row],[Product Code]],tblProducts[Code],tblProducts[Selling Price (excl. VAT)],0)</f>
        <v>150000</v>
      </c>
      <c r="K349" s="5">
        <f>tblSales[[#This Row],[Qty]]*tblSales[[#This Row],[Unit Price]]</f>
        <v>8400000</v>
      </c>
      <c r="L349" s="5">
        <f>ROUND(tblSales[[#This Row],[DPP (excl. VAT)]]*VATEff,0)</f>
        <v>924000</v>
      </c>
      <c r="M349" s="5">
        <f>tblSales[[#This Row],[DPP (excl. VAT)]]+tblSales[[#This Row],[Output VAT]]</f>
        <v>9324000</v>
      </c>
      <c r="N349" s="5">
        <f>tblSales[[#This Row],[Qty]]*_xlfn.XLOOKUP(tblSales[[#This Row],[Product Code]],tblProducts[Code],tblProducts[Unit Cost],0)</f>
        <v>4928000</v>
      </c>
      <c r="O349" s="4" t="s">
        <v>4867</v>
      </c>
      <c r="P349" s="4" t="s">
        <v>4860</v>
      </c>
      <c r="Q349" s="1" t="str">
        <f>_xlfn.XLOOKUP(tblSales[[#This Row],[Channel Code]],tblChannels[Channel Code],tblChannels[Channel Name],"")</f>
        <v>In-store</v>
      </c>
      <c r="R349" s="1">
        <f>MONTH(tblSales[[#This Row],[Date]])</f>
        <v>1</v>
      </c>
    </row>
    <row r="350" spans="2:18" x14ac:dyDescent="0.35">
      <c r="B350" s="113">
        <v>46046</v>
      </c>
      <c r="C350" s="4" t="s">
        <v>292</v>
      </c>
      <c r="D350" s="4" t="s">
        <v>4568</v>
      </c>
      <c r="E350" s="1" t="str">
        <f>_xlfn.XLOOKUP(tblSales[[#This Row],[Customer ID]],tblCustomers[Customer ID],tblCustomers[Customer Name],"⚠ Unknown")</f>
        <v>Walk-in Customer</v>
      </c>
      <c r="F350" s="4" t="s">
        <v>9</v>
      </c>
      <c r="G350" s="1" t="str">
        <f>_xlfn.XLOOKUP(tblSales[[#This Row],[Product Code]],tblProducts[Code],tblProducts[Product / Service Name],"⚠ Unknown")</f>
        <v>Casual Shirt</v>
      </c>
      <c r="H350" s="1" t="str">
        <f>_xlfn.XLOOKUP(tblSales[[#This Row],[Product Code]],tblProducts[Code],tblProducts[Category],"")</f>
        <v>Apparel &amp; Footwear</v>
      </c>
      <c r="I350" s="4">
        <v>10</v>
      </c>
      <c r="J350" s="5">
        <f>_xlfn.XLOOKUP(tblSales[[#This Row],[Product Code]],tblProducts[Code],tblProducts[Selling Price (excl. VAT)],0)</f>
        <v>120000</v>
      </c>
      <c r="K350" s="5">
        <f>tblSales[[#This Row],[Qty]]*tblSales[[#This Row],[Unit Price]]</f>
        <v>1200000</v>
      </c>
      <c r="L350" s="5">
        <f>ROUND(tblSales[[#This Row],[DPP (excl. VAT)]]*VATEff,0)</f>
        <v>132000</v>
      </c>
      <c r="M350" s="5">
        <f>tblSales[[#This Row],[DPP (excl. VAT)]]+tblSales[[#This Row],[Output VAT]]</f>
        <v>1332000</v>
      </c>
      <c r="N350" s="5">
        <f>tblSales[[#This Row],[Qty]]*_xlfn.XLOOKUP(tblSales[[#This Row],[Product Code]],tblProducts[Code],tblProducts[Unit Cost],0)</f>
        <v>720000</v>
      </c>
      <c r="O350" s="4" t="s">
        <v>4866</v>
      </c>
      <c r="P350" s="4" t="s">
        <v>4862</v>
      </c>
      <c r="Q350" s="1" t="str">
        <f>_xlfn.XLOOKUP(tblSales[[#This Row],[Channel Code]],tblChannels[Channel Code],tblChannels[Channel Name],"")</f>
        <v>Website &amp; Social Media</v>
      </c>
      <c r="R350" s="1">
        <f>MONTH(tblSales[[#This Row],[Date]])</f>
        <v>1</v>
      </c>
    </row>
    <row r="351" spans="2:18" x14ac:dyDescent="0.35">
      <c r="B351" s="113">
        <v>46046</v>
      </c>
      <c r="C351" s="4" t="s">
        <v>292</v>
      </c>
      <c r="D351" s="4" t="s">
        <v>4568</v>
      </c>
      <c r="E351" s="1" t="str">
        <f>_xlfn.XLOOKUP(tblSales[[#This Row],[Customer ID]],tblCustomers[Customer ID],tblCustomers[Customer Name],"⚠ Unknown")</f>
        <v>Walk-in Customer</v>
      </c>
      <c r="F351" s="4" t="s">
        <v>8</v>
      </c>
      <c r="G351" s="1" t="str">
        <f>_xlfn.XLOOKUP(tblSales[[#This Row],[Product Code]],tblProducts[Code],tblProducts[Product / Service Name],"⚠ Unknown")</f>
        <v>Casual Shorts</v>
      </c>
      <c r="H351" s="1" t="str">
        <f>_xlfn.XLOOKUP(tblSales[[#This Row],[Product Code]],tblProducts[Code],tblProducts[Category],"")</f>
        <v>Accessories &amp; Basics</v>
      </c>
      <c r="I351" s="4">
        <v>5</v>
      </c>
      <c r="J351" s="5">
        <f>_xlfn.XLOOKUP(tblSales[[#This Row],[Product Code]],tblProducts[Code],tblProducts[Selling Price (excl. VAT)],0)</f>
        <v>85000</v>
      </c>
      <c r="K351" s="5">
        <f>tblSales[[#This Row],[Qty]]*tblSales[[#This Row],[Unit Price]]</f>
        <v>425000</v>
      </c>
      <c r="L351" s="5">
        <f>ROUND(tblSales[[#This Row],[DPP (excl. VAT)]]*VATEff,0)</f>
        <v>46750</v>
      </c>
      <c r="M351" s="5">
        <f>tblSales[[#This Row],[DPP (excl. VAT)]]+tblSales[[#This Row],[Output VAT]]</f>
        <v>471750</v>
      </c>
      <c r="N351" s="5">
        <f>tblSales[[#This Row],[Qty]]*_xlfn.XLOOKUP(tblSales[[#This Row],[Product Code]],tblProducts[Code],tblProducts[Unit Cost],0)</f>
        <v>250000</v>
      </c>
      <c r="O351" s="4" t="s">
        <v>4866</v>
      </c>
      <c r="P351" s="4" t="s">
        <v>4862</v>
      </c>
      <c r="Q351" s="1" t="str">
        <f>_xlfn.XLOOKUP(tblSales[[#This Row],[Channel Code]],tblChannels[Channel Code],tblChannels[Channel Name],"")</f>
        <v>Website &amp; Social Media</v>
      </c>
      <c r="R351" s="1">
        <f>MONTH(tblSales[[#This Row],[Date]])</f>
        <v>1</v>
      </c>
    </row>
    <row r="352" spans="2:18" x14ac:dyDescent="0.35">
      <c r="B352" s="113">
        <v>46046</v>
      </c>
      <c r="C352" s="4" t="s">
        <v>292</v>
      </c>
      <c r="D352" s="4" t="s">
        <v>4568</v>
      </c>
      <c r="E352" s="1" t="str">
        <f>_xlfn.XLOOKUP(tblSales[[#This Row],[Customer ID]],tblCustomers[Customer ID],tblCustomers[Customer Name],"⚠ Unknown")</f>
        <v>Walk-in Customer</v>
      </c>
      <c r="F352" s="4" t="s">
        <v>13</v>
      </c>
      <c r="G352" s="1" t="str">
        <f>_xlfn.XLOOKUP(tblSales[[#This Row],[Product Code]],tblProducts[Code],tblProducts[Product / Service Name],"⚠ Unknown")</f>
        <v>Backpack</v>
      </c>
      <c r="H352" s="1" t="str">
        <f>_xlfn.XLOOKUP(tblSales[[#This Row],[Product Code]],tblProducts[Code],tblProducts[Category],"")</f>
        <v>Bags &amp; Gadgets</v>
      </c>
      <c r="I352" s="4">
        <v>3</v>
      </c>
      <c r="J352" s="5">
        <f>_xlfn.XLOOKUP(tblSales[[#This Row],[Product Code]],tblProducts[Code],tblProducts[Selling Price (excl. VAT)],0)</f>
        <v>500000</v>
      </c>
      <c r="K352" s="5">
        <f>tblSales[[#This Row],[Qty]]*tblSales[[#This Row],[Unit Price]]</f>
        <v>1500000</v>
      </c>
      <c r="L352" s="5">
        <f>ROUND(tblSales[[#This Row],[DPP (excl. VAT)]]*VATEff,0)</f>
        <v>165000</v>
      </c>
      <c r="M352" s="5">
        <f>tblSales[[#This Row],[DPP (excl. VAT)]]+tblSales[[#This Row],[Output VAT]]</f>
        <v>1665000</v>
      </c>
      <c r="N352" s="5">
        <f>tblSales[[#This Row],[Qty]]*_xlfn.XLOOKUP(tblSales[[#This Row],[Product Code]],tblProducts[Code],tblProducts[Unit Cost],0)</f>
        <v>870000</v>
      </c>
      <c r="O352" s="4" t="s">
        <v>4866</v>
      </c>
      <c r="P352" s="4" t="s">
        <v>4862</v>
      </c>
      <c r="Q352" s="1" t="str">
        <f>_xlfn.XLOOKUP(tblSales[[#This Row],[Channel Code]],tblChannels[Channel Code],tblChannels[Channel Name],"")</f>
        <v>Website &amp; Social Media</v>
      </c>
      <c r="R352" s="1">
        <f>MONTH(tblSales[[#This Row],[Date]])</f>
        <v>1</v>
      </c>
    </row>
    <row r="353" spans="2:18" x14ac:dyDescent="0.35">
      <c r="B353" s="113">
        <v>46046</v>
      </c>
      <c r="C353" s="4" t="s">
        <v>293</v>
      </c>
      <c r="D353" s="4" t="s">
        <v>4572</v>
      </c>
      <c r="E353" s="1" t="str">
        <f>_xlfn.XLOOKUP(tblSales[[#This Row],[Customer ID]],tblCustomers[Customer ID],tblCustomers[Customer Name],"⚠ Unknown")</f>
        <v>PT Cahaya Abadi Makmur</v>
      </c>
      <c r="F353" s="4" t="s">
        <v>7</v>
      </c>
      <c r="G353" s="1" t="str">
        <f>_xlfn.XLOOKUP(tblSales[[#This Row],[Product Code]],tblProducts[Code],tblProducts[Product / Service Name],"⚠ Unknown")</f>
        <v>Premium Basic T-shirt</v>
      </c>
      <c r="H353" s="1" t="str">
        <f>_xlfn.XLOOKUP(tblSales[[#This Row],[Product Code]],tblProducts[Code],tblProducts[Category],"")</f>
        <v>Accessories &amp; Basics</v>
      </c>
      <c r="I353" s="4">
        <v>8</v>
      </c>
      <c r="J353" s="5">
        <f>_xlfn.XLOOKUP(tblSales[[#This Row],[Product Code]],tblProducts[Code],tblProducts[Selling Price (excl. VAT)],0)</f>
        <v>65000</v>
      </c>
      <c r="K353" s="5">
        <f>tblSales[[#This Row],[Qty]]*tblSales[[#This Row],[Unit Price]]</f>
        <v>520000</v>
      </c>
      <c r="L353" s="5">
        <f>ROUND(tblSales[[#This Row],[DPP (excl. VAT)]]*VATEff,0)</f>
        <v>57200</v>
      </c>
      <c r="M353" s="5">
        <f>tblSales[[#This Row],[DPP (excl. VAT)]]+tblSales[[#This Row],[Output VAT]]</f>
        <v>577200</v>
      </c>
      <c r="N353" s="5">
        <f>tblSales[[#This Row],[Qty]]*_xlfn.XLOOKUP(tblSales[[#This Row],[Product Code]],tblProducts[Code],tblProducts[Unit Cost],0)</f>
        <v>296000</v>
      </c>
      <c r="O353" s="4" t="s">
        <v>4867</v>
      </c>
      <c r="P353" s="4" t="s">
        <v>4860</v>
      </c>
      <c r="Q353" s="1" t="str">
        <f>_xlfn.XLOOKUP(tblSales[[#This Row],[Channel Code]],tblChannels[Channel Code],tblChannels[Channel Name],"")</f>
        <v>In-store</v>
      </c>
      <c r="R353" s="1">
        <f>MONTH(tblSales[[#This Row],[Date]])</f>
        <v>1</v>
      </c>
    </row>
    <row r="354" spans="2:18" x14ac:dyDescent="0.35">
      <c r="B354" s="113">
        <v>46046</v>
      </c>
      <c r="C354" s="4" t="s">
        <v>294</v>
      </c>
      <c r="D354" s="4" t="s">
        <v>4568</v>
      </c>
      <c r="E354" s="1" t="str">
        <f>_xlfn.XLOOKUP(tblSales[[#This Row],[Customer ID]],tblCustomers[Customer ID],tblCustomers[Customer Name],"⚠ Unknown")</f>
        <v>Walk-in Customer</v>
      </c>
      <c r="F354" s="4" t="s">
        <v>7</v>
      </c>
      <c r="G354" s="1" t="str">
        <f>_xlfn.XLOOKUP(tblSales[[#This Row],[Product Code]],tblProducts[Code],tblProducts[Product / Service Name],"⚠ Unknown")</f>
        <v>Premium Basic T-shirt</v>
      </c>
      <c r="H354" s="1" t="str">
        <f>_xlfn.XLOOKUP(tblSales[[#This Row],[Product Code]],tblProducts[Code],tblProducts[Category],"")</f>
        <v>Accessories &amp; Basics</v>
      </c>
      <c r="I354" s="4">
        <v>11</v>
      </c>
      <c r="J354" s="5">
        <f>_xlfn.XLOOKUP(tblSales[[#This Row],[Product Code]],tblProducts[Code],tblProducts[Selling Price (excl. VAT)],0)</f>
        <v>65000</v>
      </c>
      <c r="K354" s="5">
        <f>tblSales[[#This Row],[Qty]]*tblSales[[#This Row],[Unit Price]]</f>
        <v>715000</v>
      </c>
      <c r="L354" s="5">
        <f>ROUND(tblSales[[#This Row],[DPP (excl. VAT)]]*VATEff,0)</f>
        <v>78650</v>
      </c>
      <c r="M354" s="5">
        <f>tblSales[[#This Row],[DPP (excl. VAT)]]+tblSales[[#This Row],[Output VAT]]</f>
        <v>793650</v>
      </c>
      <c r="N354" s="5">
        <f>tblSales[[#This Row],[Qty]]*_xlfn.XLOOKUP(tblSales[[#This Row],[Product Code]],tblProducts[Code],tblProducts[Unit Cost],0)</f>
        <v>407000</v>
      </c>
      <c r="O354" s="4" t="s">
        <v>4866</v>
      </c>
      <c r="P354" s="4" t="s">
        <v>4860</v>
      </c>
      <c r="Q354" s="1" t="str">
        <f>_xlfn.XLOOKUP(tblSales[[#This Row],[Channel Code]],tblChannels[Channel Code],tblChannels[Channel Name],"")</f>
        <v>In-store</v>
      </c>
      <c r="R354" s="1">
        <f>MONTH(tblSales[[#This Row],[Date]])</f>
        <v>1</v>
      </c>
    </row>
    <row r="355" spans="2:18" x14ac:dyDescent="0.35">
      <c r="B355" s="113">
        <v>46046</v>
      </c>
      <c r="C355" s="4" t="s">
        <v>295</v>
      </c>
      <c r="D355" s="4" t="s">
        <v>4568</v>
      </c>
      <c r="E355" s="1" t="str">
        <f>_xlfn.XLOOKUP(tblSales[[#This Row],[Customer ID]],tblCustomers[Customer ID],tblCustomers[Customer Name],"⚠ Unknown")</f>
        <v>Walk-in Customer</v>
      </c>
      <c r="F355" s="4" t="s">
        <v>11</v>
      </c>
      <c r="G355" s="1" t="str">
        <f>_xlfn.XLOOKUP(tblSales[[#This Row],[Product Code]],tblProducts[Code],tblProducts[Product / Service Name],"⚠ Unknown")</f>
        <v>Sneakers</v>
      </c>
      <c r="H355" s="1" t="str">
        <f>_xlfn.XLOOKUP(tblSales[[#This Row],[Product Code]],tblProducts[Code],tblProducts[Category],"")</f>
        <v>Apparel &amp; Footwear</v>
      </c>
      <c r="I355" s="4">
        <v>5</v>
      </c>
      <c r="J355" s="5">
        <f>_xlfn.XLOOKUP(tblSales[[#This Row],[Product Code]],tblProducts[Code],tblProducts[Selling Price (excl. VAT)],0)</f>
        <v>250000</v>
      </c>
      <c r="K355" s="5">
        <f>tblSales[[#This Row],[Qty]]*tblSales[[#This Row],[Unit Price]]</f>
        <v>1250000</v>
      </c>
      <c r="L355" s="5">
        <f>ROUND(tblSales[[#This Row],[DPP (excl. VAT)]]*VATEff,0)</f>
        <v>137500</v>
      </c>
      <c r="M355" s="5">
        <f>tblSales[[#This Row],[DPP (excl. VAT)]]+tblSales[[#This Row],[Output VAT]]</f>
        <v>1387500</v>
      </c>
      <c r="N355" s="5">
        <f>tblSales[[#This Row],[Qty]]*_xlfn.XLOOKUP(tblSales[[#This Row],[Product Code]],tblProducts[Code],tblProducts[Unit Cost],0)</f>
        <v>775000</v>
      </c>
      <c r="O355" s="4" t="s">
        <v>4866</v>
      </c>
      <c r="P355" s="4" t="s">
        <v>4860</v>
      </c>
      <c r="Q355" s="1" t="str">
        <f>_xlfn.XLOOKUP(tblSales[[#This Row],[Channel Code]],tblChannels[Channel Code],tblChannels[Channel Name],"")</f>
        <v>In-store</v>
      </c>
      <c r="R355" s="1">
        <f>MONTH(tblSales[[#This Row],[Date]])</f>
        <v>1</v>
      </c>
    </row>
    <row r="356" spans="2:18" x14ac:dyDescent="0.35">
      <c r="B356" s="113">
        <v>46046</v>
      </c>
      <c r="C356" s="4" t="s">
        <v>295</v>
      </c>
      <c r="D356" s="4" t="s">
        <v>4568</v>
      </c>
      <c r="E356" s="1" t="str">
        <f>_xlfn.XLOOKUP(tblSales[[#This Row],[Customer ID]],tblCustomers[Customer ID],tblCustomers[Customer Name],"⚠ Unknown")</f>
        <v>Walk-in Customer</v>
      </c>
      <c r="F356" s="4" t="s">
        <v>9</v>
      </c>
      <c r="G356" s="1" t="str">
        <f>_xlfn.XLOOKUP(tblSales[[#This Row],[Product Code]],tblProducts[Code],tblProducts[Product / Service Name],"⚠ Unknown")</f>
        <v>Casual Shirt</v>
      </c>
      <c r="H356" s="1" t="str">
        <f>_xlfn.XLOOKUP(tblSales[[#This Row],[Product Code]],tblProducts[Code],tblProducts[Category],"")</f>
        <v>Apparel &amp; Footwear</v>
      </c>
      <c r="I356" s="4">
        <v>3</v>
      </c>
      <c r="J356" s="5">
        <f>_xlfn.XLOOKUP(tblSales[[#This Row],[Product Code]],tblProducts[Code],tblProducts[Selling Price (excl. VAT)],0)</f>
        <v>120000</v>
      </c>
      <c r="K356" s="5">
        <f>tblSales[[#This Row],[Qty]]*tblSales[[#This Row],[Unit Price]]</f>
        <v>360000</v>
      </c>
      <c r="L356" s="5">
        <f>ROUND(tblSales[[#This Row],[DPP (excl. VAT)]]*VATEff,0)</f>
        <v>39600</v>
      </c>
      <c r="M356" s="5">
        <f>tblSales[[#This Row],[DPP (excl. VAT)]]+tblSales[[#This Row],[Output VAT]]</f>
        <v>399600</v>
      </c>
      <c r="N356" s="5">
        <f>tblSales[[#This Row],[Qty]]*_xlfn.XLOOKUP(tblSales[[#This Row],[Product Code]],tblProducts[Code],tblProducts[Unit Cost],0)</f>
        <v>216000</v>
      </c>
      <c r="O356" s="4" t="s">
        <v>4866</v>
      </c>
      <c r="P356" s="4" t="s">
        <v>4860</v>
      </c>
      <c r="Q356" s="1" t="str">
        <f>_xlfn.XLOOKUP(tblSales[[#This Row],[Channel Code]],tblChannels[Channel Code],tblChannels[Channel Name],"")</f>
        <v>In-store</v>
      </c>
      <c r="R356" s="1">
        <f>MONTH(tblSales[[#This Row],[Date]])</f>
        <v>1</v>
      </c>
    </row>
    <row r="357" spans="2:18" x14ac:dyDescent="0.35">
      <c r="B357" s="113">
        <v>46046</v>
      </c>
      <c r="C357" s="4" t="s">
        <v>296</v>
      </c>
      <c r="D357" s="4" t="s">
        <v>4620</v>
      </c>
      <c r="E357" s="1" t="str">
        <f>_xlfn.XLOOKUP(tblSales[[#This Row],[Customer ID]],tblCustomers[Customer ID],tblCustomers[Customer Name],"⚠ Unknown")</f>
        <v>CV Sumber Rejeki Utama</v>
      </c>
      <c r="F357" s="4" t="s">
        <v>9</v>
      </c>
      <c r="G357" s="1" t="str">
        <f>_xlfn.XLOOKUP(tblSales[[#This Row],[Product Code]],tblProducts[Code],tblProducts[Product / Service Name],"⚠ Unknown")</f>
        <v>Casual Shirt</v>
      </c>
      <c r="H357" s="1" t="str">
        <f>_xlfn.XLOOKUP(tblSales[[#This Row],[Product Code]],tblProducts[Code],tblProducts[Category],"")</f>
        <v>Apparel &amp; Footwear</v>
      </c>
      <c r="I357" s="4">
        <v>72</v>
      </c>
      <c r="J357" s="5">
        <f>_xlfn.XLOOKUP(tblSales[[#This Row],[Product Code]],tblProducts[Code],tblProducts[Selling Price (excl. VAT)],0)</f>
        <v>120000</v>
      </c>
      <c r="K357" s="5">
        <f>tblSales[[#This Row],[Qty]]*tblSales[[#This Row],[Unit Price]]</f>
        <v>8640000</v>
      </c>
      <c r="L357" s="5">
        <f>ROUND(tblSales[[#This Row],[DPP (excl. VAT)]]*VATEff,0)</f>
        <v>950400</v>
      </c>
      <c r="M357" s="5">
        <f>tblSales[[#This Row],[DPP (excl. VAT)]]+tblSales[[#This Row],[Output VAT]]</f>
        <v>9590400</v>
      </c>
      <c r="N357" s="5">
        <f>tblSales[[#This Row],[Qty]]*_xlfn.XLOOKUP(tblSales[[#This Row],[Product Code]],tblProducts[Code],tblProducts[Unit Cost],0)</f>
        <v>5184000</v>
      </c>
      <c r="O357" s="4" t="s">
        <v>4867</v>
      </c>
      <c r="P357" s="4" t="s">
        <v>4862</v>
      </c>
      <c r="Q357" s="1" t="str">
        <f>_xlfn.XLOOKUP(tblSales[[#This Row],[Channel Code]],tblChannels[Channel Code],tblChannels[Channel Name],"")</f>
        <v>Website &amp; Social Media</v>
      </c>
      <c r="R357" s="1">
        <f>MONTH(tblSales[[#This Row],[Date]])</f>
        <v>1</v>
      </c>
    </row>
    <row r="358" spans="2:18" x14ac:dyDescent="0.35">
      <c r="B358" s="113">
        <v>46046</v>
      </c>
      <c r="C358" s="4" t="s">
        <v>297</v>
      </c>
      <c r="D358" s="4" t="s">
        <v>4568</v>
      </c>
      <c r="E358" s="1" t="str">
        <f>_xlfn.XLOOKUP(tblSales[[#This Row],[Customer ID]],tblCustomers[Customer ID],tblCustomers[Customer Name],"⚠ Unknown")</f>
        <v>Walk-in Customer</v>
      </c>
      <c r="F358" s="4" t="s">
        <v>6</v>
      </c>
      <c r="G358" s="1" t="str">
        <f>_xlfn.XLOOKUP(tblSales[[#This Row],[Product Code]],tblProducts[Code],tblProducts[Product / Service Name],"⚠ Unknown")</f>
        <v>Socks &amp; Accessories</v>
      </c>
      <c r="H358" s="1" t="str">
        <f>_xlfn.XLOOKUP(tblSales[[#This Row],[Product Code]],tblProducts[Code],tblProducts[Category],"")</f>
        <v>Accessories &amp; Basics</v>
      </c>
      <c r="I358" s="4">
        <v>1</v>
      </c>
      <c r="J358" s="5">
        <f>_xlfn.XLOOKUP(tblSales[[#This Row],[Product Code]],tblProducts[Code],tblProducts[Selling Price (excl. VAT)],0)</f>
        <v>45000</v>
      </c>
      <c r="K358" s="5">
        <f>tblSales[[#This Row],[Qty]]*tblSales[[#This Row],[Unit Price]]</f>
        <v>45000</v>
      </c>
      <c r="L358" s="5">
        <f>ROUND(tblSales[[#This Row],[DPP (excl. VAT)]]*VATEff,0)</f>
        <v>4950</v>
      </c>
      <c r="M358" s="5">
        <f>tblSales[[#This Row],[DPP (excl. VAT)]]+tblSales[[#This Row],[Output VAT]]</f>
        <v>49950</v>
      </c>
      <c r="N358" s="5">
        <f>tblSales[[#This Row],[Qty]]*_xlfn.XLOOKUP(tblSales[[#This Row],[Product Code]],tblProducts[Code],tblProducts[Unit Cost],0)</f>
        <v>24000</v>
      </c>
      <c r="O358" s="4" t="s">
        <v>4865</v>
      </c>
      <c r="P358" s="4" t="s">
        <v>4860</v>
      </c>
      <c r="Q358" s="1" t="str">
        <f>_xlfn.XLOOKUP(tblSales[[#This Row],[Channel Code]],tblChannels[Channel Code],tblChannels[Channel Name],"")</f>
        <v>In-store</v>
      </c>
      <c r="R358" s="1">
        <f>MONTH(tblSales[[#This Row],[Date]])</f>
        <v>1</v>
      </c>
    </row>
    <row r="359" spans="2:18" x14ac:dyDescent="0.35">
      <c r="B359" s="113">
        <v>46046</v>
      </c>
      <c r="C359" s="4" t="s">
        <v>298</v>
      </c>
      <c r="D359" s="4" t="s">
        <v>4634</v>
      </c>
      <c r="E359" s="1" t="str">
        <f>_xlfn.XLOOKUP(tblSales[[#This Row],[Customer ID]],tblCustomers[Customer ID],tblCustomers[Customer Name],"⚠ Unknown")</f>
        <v>PT Delta Inti Selaras</v>
      </c>
      <c r="F359" s="4" t="s">
        <v>13</v>
      </c>
      <c r="G359" s="1" t="str">
        <f>_xlfn.XLOOKUP(tblSales[[#This Row],[Product Code]],tblProducts[Code],tblProducts[Product / Service Name],"⚠ Unknown")</f>
        <v>Backpack</v>
      </c>
      <c r="H359" s="1" t="str">
        <f>_xlfn.XLOOKUP(tblSales[[#This Row],[Product Code]],tblProducts[Code],tblProducts[Category],"")</f>
        <v>Bags &amp; Gadgets</v>
      </c>
      <c r="I359" s="4">
        <v>8</v>
      </c>
      <c r="J359" s="5">
        <f>_xlfn.XLOOKUP(tblSales[[#This Row],[Product Code]],tblProducts[Code],tblProducts[Selling Price (excl. VAT)],0)</f>
        <v>500000</v>
      </c>
      <c r="K359" s="5">
        <f>tblSales[[#This Row],[Qty]]*tblSales[[#This Row],[Unit Price]]</f>
        <v>4000000</v>
      </c>
      <c r="L359" s="5">
        <f>ROUND(tblSales[[#This Row],[DPP (excl. VAT)]]*VATEff,0)</f>
        <v>440000</v>
      </c>
      <c r="M359" s="5">
        <f>tblSales[[#This Row],[DPP (excl. VAT)]]+tblSales[[#This Row],[Output VAT]]</f>
        <v>4440000</v>
      </c>
      <c r="N359" s="5">
        <f>tblSales[[#This Row],[Qty]]*_xlfn.XLOOKUP(tblSales[[#This Row],[Product Code]],tblProducts[Code],tblProducts[Unit Cost],0)</f>
        <v>2320000</v>
      </c>
      <c r="O359" s="4" t="s">
        <v>4867</v>
      </c>
      <c r="P359" s="4" t="s">
        <v>4860</v>
      </c>
      <c r="Q359" s="1" t="str">
        <f>_xlfn.XLOOKUP(tblSales[[#This Row],[Channel Code]],tblChannels[Channel Code],tblChannels[Channel Name],"")</f>
        <v>In-store</v>
      </c>
      <c r="R359" s="1">
        <f>MONTH(tblSales[[#This Row],[Date]])</f>
        <v>1</v>
      </c>
    </row>
    <row r="360" spans="2:18" x14ac:dyDescent="0.35">
      <c r="B360" s="113">
        <v>46046</v>
      </c>
      <c r="C360" s="4" t="s">
        <v>299</v>
      </c>
      <c r="D360" s="4" t="s">
        <v>4568</v>
      </c>
      <c r="E360" s="1" t="str">
        <f>_xlfn.XLOOKUP(tblSales[[#This Row],[Customer ID]],tblCustomers[Customer ID],tblCustomers[Customer Name],"⚠ Unknown")</f>
        <v>Walk-in Customer</v>
      </c>
      <c r="F360" s="4" t="s">
        <v>7</v>
      </c>
      <c r="G360" s="1" t="str">
        <f>_xlfn.XLOOKUP(tblSales[[#This Row],[Product Code]],tblProducts[Code],tblProducts[Product / Service Name],"⚠ Unknown")</f>
        <v>Premium Basic T-shirt</v>
      </c>
      <c r="H360" s="1" t="str">
        <f>_xlfn.XLOOKUP(tblSales[[#This Row],[Product Code]],tblProducts[Code],tblProducts[Category],"")</f>
        <v>Accessories &amp; Basics</v>
      </c>
      <c r="I360" s="4">
        <v>2</v>
      </c>
      <c r="J360" s="5">
        <f>_xlfn.XLOOKUP(tblSales[[#This Row],[Product Code]],tblProducts[Code],tblProducts[Selling Price (excl. VAT)],0)</f>
        <v>65000</v>
      </c>
      <c r="K360" s="5">
        <f>tblSales[[#This Row],[Qty]]*tblSales[[#This Row],[Unit Price]]</f>
        <v>130000</v>
      </c>
      <c r="L360" s="5">
        <f>ROUND(tblSales[[#This Row],[DPP (excl. VAT)]]*VATEff,0)</f>
        <v>14300</v>
      </c>
      <c r="M360" s="5">
        <f>tblSales[[#This Row],[DPP (excl. VAT)]]+tblSales[[#This Row],[Output VAT]]</f>
        <v>144300</v>
      </c>
      <c r="N360" s="5">
        <f>tblSales[[#This Row],[Qty]]*_xlfn.XLOOKUP(tblSales[[#This Row],[Product Code]],tblProducts[Code],tblProducts[Unit Cost],0)</f>
        <v>74000</v>
      </c>
      <c r="O360" s="4" t="s">
        <v>4866</v>
      </c>
      <c r="P360" s="4" t="s">
        <v>4861</v>
      </c>
      <c r="Q360" s="1" t="str">
        <f>_xlfn.XLOOKUP(tblSales[[#This Row],[Channel Code]],tblChannels[Channel Code],tblChannels[Channel Name],"")</f>
        <v>Marketplace</v>
      </c>
      <c r="R360" s="1">
        <f>MONTH(tblSales[[#This Row],[Date]])</f>
        <v>1</v>
      </c>
    </row>
    <row r="361" spans="2:18" x14ac:dyDescent="0.35">
      <c r="B361" s="113">
        <v>46046</v>
      </c>
      <c r="C361" s="4" t="s">
        <v>299</v>
      </c>
      <c r="D361" s="4" t="s">
        <v>4568</v>
      </c>
      <c r="E361" s="1" t="str">
        <f>_xlfn.XLOOKUP(tblSales[[#This Row],[Customer ID]],tblCustomers[Customer ID],tblCustomers[Customer Name],"⚠ Unknown")</f>
        <v>Walk-in Customer</v>
      </c>
      <c r="F361" s="4" t="s">
        <v>10</v>
      </c>
      <c r="G361" s="1" t="str">
        <f>_xlfn.XLOOKUP(tblSales[[#This Row],[Product Code]],tblProducts[Code],tblProducts[Product / Service Name],"⚠ Unknown")</f>
        <v>Chino Pants</v>
      </c>
      <c r="H361" s="1" t="str">
        <f>_xlfn.XLOOKUP(tblSales[[#This Row],[Product Code]],tblProducts[Code],tblProducts[Category],"")</f>
        <v>Apparel &amp; Footwear</v>
      </c>
      <c r="I361" s="4">
        <v>1</v>
      </c>
      <c r="J361" s="5">
        <f>_xlfn.XLOOKUP(tblSales[[#This Row],[Product Code]],tblProducts[Code],tblProducts[Selling Price (excl. VAT)],0)</f>
        <v>150000</v>
      </c>
      <c r="K361" s="5">
        <f>tblSales[[#This Row],[Qty]]*tblSales[[#This Row],[Unit Price]]</f>
        <v>150000</v>
      </c>
      <c r="L361" s="5">
        <f>ROUND(tblSales[[#This Row],[DPP (excl. VAT)]]*VATEff,0)</f>
        <v>16500</v>
      </c>
      <c r="M361" s="5">
        <f>tblSales[[#This Row],[DPP (excl. VAT)]]+tblSales[[#This Row],[Output VAT]]</f>
        <v>166500</v>
      </c>
      <c r="N361" s="5">
        <f>tblSales[[#This Row],[Qty]]*_xlfn.XLOOKUP(tblSales[[#This Row],[Product Code]],tblProducts[Code],tblProducts[Unit Cost],0)</f>
        <v>88000</v>
      </c>
      <c r="O361" s="4" t="s">
        <v>4866</v>
      </c>
      <c r="P361" s="4" t="s">
        <v>4861</v>
      </c>
      <c r="Q361" s="1" t="str">
        <f>_xlfn.XLOOKUP(tblSales[[#This Row],[Channel Code]],tblChannels[Channel Code],tblChannels[Channel Name],"")</f>
        <v>Marketplace</v>
      </c>
      <c r="R361" s="1">
        <f>MONTH(tblSales[[#This Row],[Date]])</f>
        <v>1</v>
      </c>
    </row>
    <row r="362" spans="2:18" x14ac:dyDescent="0.35">
      <c r="B362" s="113">
        <v>46046</v>
      </c>
      <c r="C362" s="4" t="s">
        <v>300</v>
      </c>
      <c r="D362" s="4" t="s">
        <v>4568</v>
      </c>
      <c r="E362" s="1" t="str">
        <f>_xlfn.XLOOKUP(tblSales[[#This Row],[Customer ID]],tblCustomers[Customer ID],tblCustomers[Customer Name],"⚠ Unknown")</f>
        <v>Walk-in Customer</v>
      </c>
      <c r="F362" s="4" t="s">
        <v>7</v>
      </c>
      <c r="G362" s="1" t="str">
        <f>_xlfn.XLOOKUP(tblSales[[#This Row],[Product Code]],tblProducts[Code],tblProducts[Product / Service Name],"⚠ Unknown")</f>
        <v>Premium Basic T-shirt</v>
      </c>
      <c r="H362" s="1" t="str">
        <f>_xlfn.XLOOKUP(tblSales[[#This Row],[Product Code]],tblProducts[Code],tblProducts[Category],"")</f>
        <v>Accessories &amp; Basics</v>
      </c>
      <c r="I362" s="4">
        <v>9</v>
      </c>
      <c r="J362" s="5">
        <f>_xlfn.XLOOKUP(tblSales[[#This Row],[Product Code]],tblProducts[Code],tblProducts[Selling Price (excl. VAT)],0)</f>
        <v>65000</v>
      </c>
      <c r="K362" s="5">
        <f>tblSales[[#This Row],[Qty]]*tblSales[[#This Row],[Unit Price]]</f>
        <v>585000</v>
      </c>
      <c r="L362" s="5">
        <f>ROUND(tblSales[[#This Row],[DPP (excl. VAT)]]*VATEff,0)</f>
        <v>64350</v>
      </c>
      <c r="M362" s="5">
        <f>tblSales[[#This Row],[DPP (excl. VAT)]]+tblSales[[#This Row],[Output VAT]]</f>
        <v>649350</v>
      </c>
      <c r="N362" s="5">
        <f>tblSales[[#This Row],[Qty]]*_xlfn.XLOOKUP(tblSales[[#This Row],[Product Code]],tblProducts[Code],tblProducts[Unit Cost],0)</f>
        <v>333000</v>
      </c>
      <c r="O362" s="4" t="s">
        <v>4865</v>
      </c>
      <c r="P362" s="4" t="s">
        <v>4860</v>
      </c>
      <c r="Q362" s="1" t="str">
        <f>_xlfn.XLOOKUP(tblSales[[#This Row],[Channel Code]],tblChannels[Channel Code],tblChannels[Channel Name],"")</f>
        <v>In-store</v>
      </c>
      <c r="R362" s="1">
        <f>MONTH(tblSales[[#This Row],[Date]])</f>
        <v>1</v>
      </c>
    </row>
    <row r="363" spans="2:18" x14ac:dyDescent="0.35">
      <c r="B363" s="113">
        <v>46046</v>
      </c>
      <c r="C363" s="4" t="s">
        <v>301</v>
      </c>
      <c r="D363" s="4" t="s">
        <v>4568</v>
      </c>
      <c r="E363" s="1" t="str">
        <f>_xlfn.XLOOKUP(tblSales[[#This Row],[Customer ID]],tblCustomers[Customer ID],tblCustomers[Customer Name],"⚠ Unknown")</f>
        <v>Walk-in Customer</v>
      </c>
      <c r="F363" s="4" t="s">
        <v>11</v>
      </c>
      <c r="G363" s="1" t="str">
        <f>_xlfn.XLOOKUP(tblSales[[#This Row],[Product Code]],tblProducts[Code],tblProducts[Product / Service Name],"⚠ Unknown")</f>
        <v>Sneakers</v>
      </c>
      <c r="H363" s="1" t="str">
        <f>_xlfn.XLOOKUP(tblSales[[#This Row],[Product Code]],tblProducts[Code],tblProducts[Category],"")</f>
        <v>Apparel &amp; Footwear</v>
      </c>
      <c r="I363" s="4">
        <v>3</v>
      </c>
      <c r="J363" s="5">
        <f>_xlfn.XLOOKUP(tblSales[[#This Row],[Product Code]],tblProducts[Code],tblProducts[Selling Price (excl. VAT)],0)</f>
        <v>250000</v>
      </c>
      <c r="K363" s="5">
        <f>tblSales[[#This Row],[Qty]]*tblSales[[#This Row],[Unit Price]]</f>
        <v>750000</v>
      </c>
      <c r="L363" s="5">
        <f>ROUND(tblSales[[#This Row],[DPP (excl. VAT)]]*VATEff,0)</f>
        <v>82500</v>
      </c>
      <c r="M363" s="5">
        <f>tblSales[[#This Row],[DPP (excl. VAT)]]+tblSales[[#This Row],[Output VAT]]</f>
        <v>832500</v>
      </c>
      <c r="N363" s="5">
        <f>tblSales[[#This Row],[Qty]]*_xlfn.XLOOKUP(tblSales[[#This Row],[Product Code]],tblProducts[Code],tblProducts[Unit Cost],0)</f>
        <v>465000</v>
      </c>
      <c r="O363" s="4" t="s">
        <v>4865</v>
      </c>
      <c r="P363" s="4" t="s">
        <v>4860</v>
      </c>
      <c r="Q363" s="1" t="str">
        <f>_xlfn.XLOOKUP(tblSales[[#This Row],[Channel Code]],tblChannels[Channel Code],tblChannels[Channel Name],"")</f>
        <v>In-store</v>
      </c>
      <c r="R363" s="1">
        <f>MONTH(tblSales[[#This Row],[Date]])</f>
        <v>1</v>
      </c>
    </row>
    <row r="364" spans="2:18" x14ac:dyDescent="0.35">
      <c r="B364" s="113">
        <v>46046</v>
      </c>
      <c r="C364" s="4" t="s">
        <v>302</v>
      </c>
      <c r="D364" s="4" t="s">
        <v>4568</v>
      </c>
      <c r="E364" s="1" t="str">
        <f>_xlfn.XLOOKUP(tblSales[[#This Row],[Customer ID]],tblCustomers[Customer ID],tblCustomers[Customer Name],"⚠ Unknown")</f>
        <v>Walk-in Customer</v>
      </c>
      <c r="F364" s="4" t="s">
        <v>9</v>
      </c>
      <c r="G364" s="1" t="str">
        <f>_xlfn.XLOOKUP(tblSales[[#This Row],[Product Code]],tblProducts[Code],tblProducts[Product / Service Name],"⚠ Unknown")</f>
        <v>Casual Shirt</v>
      </c>
      <c r="H364" s="1" t="str">
        <f>_xlfn.XLOOKUP(tblSales[[#This Row],[Product Code]],tblProducts[Code],tblProducts[Category],"")</f>
        <v>Apparel &amp; Footwear</v>
      </c>
      <c r="I364" s="4">
        <v>3</v>
      </c>
      <c r="J364" s="5">
        <f>_xlfn.XLOOKUP(tblSales[[#This Row],[Product Code]],tblProducts[Code],tblProducts[Selling Price (excl. VAT)],0)</f>
        <v>120000</v>
      </c>
      <c r="K364" s="5">
        <f>tblSales[[#This Row],[Qty]]*tblSales[[#This Row],[Unit Price]]</f>
        <v>360000</v>
      </c>
      <c r="L364" s="5">
        <f>ROUND(tblSales[[#This Row],[DPP (excl. VAT)]]*VATEff,0)</f>
        <v>39600</v>
      </c>
      <c r="M364" s="5">
        <f>tblSales[[#This Row],[DPP (excl. VAT)]]+tblSales[[#This Row],[Output VAT]]</f>
        <v>399600</v>
      </c>
      <c r="N364" s="5">
        <f>tblSales[[#This Row],[Qty]]*_xlfn.XLOOKUP(tblSales[[#This Row],[Product Code]],tblProducts[Code],tblProducts[Unit Cost],0)</f>
        <v>216000</v>
      </c>
      <c r="O364" s="4" t="s">
        <v>4865</v>
      </c>
      <c r="P364" s="4" t="s">
        <v>4860</v>
      </c>
      <c r="Q364" s="1" t="str">
        <f>_xlfn.XLOOKUP(tblSales[[#This Row],[Channel Code]],tblChannels[Channel Code],tblChannels[Channel Name],"")</f>
        <v>In-store</v>
      </c>
      <c r="R364" s="1">
        <f>MONTH(tblSales[[#This Row],[Date]])</f>
        <v>1</v>
      </c>
    </row>
    <row r="365" spans="2:18" x14ac:dyDescent="0.35">
      <c r="B365" s="113">
        <v>46046</v>
      </c>
      <c r="C365" s="4" t="s">
        <v>302</v>
      </c>
      <c r="D365" s="4" t="s">
        <v>4568</v>
      </c>
      <c r="E365" s="1" t="str">
        <f>_xlfn.XLOOKUP(tblSales[[#This Row],[Customer ID]],tblCustomers[Customer ID],tblCustomers[Customer Name],"⚠ Unknown")</f>
        <v>Walk-in Customer</v>
      </c>
      <c r="F365" s="4" t="s">
        <v>13</v>
      </c>
      <c r="G365" s="1" t="str">
        <f>_xlfn.XLOOKUP(tblSales[[#This Row],[Product Code]],tblProducts[Code],tblProducts[Product / Service Name],"⚠ Unknown")</f>
        <v>Backpack</v>
      </c>
      <c r="H365" s="1" t="str">
        <f>_xlfn.XLOOKUP(tblSales[[#This Row],[Product Code]],tblProducts[Code],tblProducts[Category],"")</f>
        <v>Bags &amp; Gadgets</v>
      </c>
      <c r="I365" s="4">
        <v>6</v>
      </c>
      <c r="J365" s="5">
        <f>_xlfn.XLOOKUP(tblSales[[#This Row],[Product Code]],tblProducts[Code],tblProducts[Selling Price (excl. VAT)],0)</f>
        <v>500000</v>
      </c>
      <c r="K365" s="5">
        <f>tblSales[[#This Row],[Qty]]*tblSales[[#This Row],[Unit Price]]</f>
        <v>3000000</v>
      </c>
      <c r="L365" s="5">
        <f>ROUND(tblSales[[#This Row],[DPP (excl. VAT)]]*VATEff,0)</f>
        <v>330000</v>
      </c>
      <c r="M365" s="5">
        <f>tblSales[[#This Row],[DPP (excl. VAT)]]+tblSales[[#This Row],[Output VAT]]</f>
        <v>3330000</v>
      </c>
      <c r="N365" s="5">
        <f>tblSales[[#This Row],[Qty]]*_xlfn.XLOOKUP(tblSales[[#This Row],[Product Code]],tblProducts[Code],tblProducts[Unit Cost],0)</f>
        <v>1740000</v>
      </c>
      <c r="O365" s="4" t="s">
        <v>4865</v>
      </c>
      <c r="P365" s="4" t="s">
        <v>4860</v>
      </c>
      <c r="Q365" s="1" t="str">
        <f>_xlfn.XLOOKUP(tblSales[[#This Row],[Channel Code]],tblChannels[Channel Code],tblChannels[Channel Name],"")</f>
        <v>In-store</v>
      </c>
      <c r="R365" s="1">
        <f>MONTH(tblSales[[#This Row],[Date]])</f>
        <v>1</v>
      </c>
    </row>
    <row r="366" spans="2:18" x14ac:dyDescent="0.35">
      <c r="B366" s="113">
        <v>46046</v>
      </c>
      <c r="C366" s="4" t="s">
        <v>302</v>
      </c>
      <c r="D366" s="4" t="s">
        <v>4568</v>
      </c>
      <c r="E366" s="1" t="str">
        <f>_xlfn.XLOOKUP(tblSales[[#This Row],[Customer ID]],tblCustomers[Customer ID],tblCustomers[Customer Name],"⚠ Unknown")</f>
        <v>Walk-in Customer</v>
      </c>
      <c r="F366" s="4" t="s">
        <v>8</v>
      </c>
      <c r="G366" s="1" t="str">
        <f>_xlfn.XLOOKUP(tblSales[[#This Row],[Product Code]],tblProducts[Code],tblProducts[Product / Service Name],"⚠ Unknown")</f>
        <v>Casual Shorts</v>
      </c>
      <c r="H366" s="1" t="str">
        <f>_xlfn.XLOOKUP(tblSales[[#This Row],[Product Code]],tblProducts[Code],tblProducts[Category],"")</f>
        <v>Accessories &amp; Basics</v>
      </c>
      <c r="I366" s="4">
        <v>11</v>
      </c>
      <c r="J366" s="5">
        <f>_xlfn.XLOOKUP(tblSales[[#This Row],[Product Code]],tblProducts[Code],tblProducts[Selling Price (excl. VAT)],0)</f>
        <v>85000</v>
      </c>
      <c r="K366" s="5">
        <f>tblSales[[#This Row],[Qty]]*tblSales[[#This Row],[Unit Price]]</f>
        <v>935000</v>
      </c>
      <c r="L366" s="5">
        <f>ROUND(tblSales[[#This Row],[DPP (excl. VAT)]]*VATEff,0)</f>
        <v>102850</v>
      </c>
      <c r="M366" s="5">
        <f>tblSales[[#This Row],[DPP (excl. VAT)]]+tblSales[[#This Row],[Output VAT]]</f>
        <v>1037850</v>
      </c>
      <c r="N366" s="5">
        <f>tblSales[[#This Row],[Qty]]*_xlfn.XLOOKUP(tblSales[[#This Row],[Product Code]],tblProducts[Code],tblProducts[Unit Cost],0)</f>
        <v>550000</v>
      </c>
      <c r="O366" s="4" t="s">
        <v>4865</v>
      </c>
      <c r="P366" s="4" t="s">
        <v>4860</v>
      </c>
      <c r="Q366" s="1" t="str">
        <f>_xlfn.XLOOKUP(tblSales[[#This Row],[Channel Code]],tblChannels[Channel Code],tblChannels[Channel Name],"")</f>
        <v>In-store</v>
      </c>
      <c r="R366" s="1">
        <f>MONTH(tblSales[[#This Row],[Date]])</f>
        <v>1</v>
      </c>
    </row>
    <row r="367" spans="2:18" x14ac:dyDescent="0.35">
      <c r="B367" s="113">
        <v>46046</v>
      </c>
      <c r="C367" s="4" t="s">
        <v>303</v>
      </c>
      <c r="D367" s="4" t="s">
        <v>4568</v>
      </c>
      <c r="E367" s="1" t="str">
        <f>_xlfn.XLOOKUP(tblSales[[#This Row],[Customer ID]],tblCustomers[Customer ID],tblCustomers[Customer Name],"⚠ Unknown")</f>
        <v>Walk-in Customer</v>
      </c>
      <c r="F367" s="4" t="s">
        <v>8</v>
      </c>
      <c r="G367" s="1" t="str">
        <f>_xlfn.XLOOKUP(tblSales[[#This Row],[Product Code]],tblProducts[Code],tblProducts[Product / Service Name],"⚠ Unknown")</f>
        <v>Casual Shorts</v>
      </c>
      <c r="H367" s="1" t="str">
        <f>_xlfn.XLOOKUP(tblSales[[#This Row],[Product Code]],tblProducts[Code],tblProducts[Category],"")</f>
        <v>Accessories &amp; Basics</v>
      </c>
      <c r="I367" s="4">
        <v>2</v>
      </c>
      <c r="J367" s="5">
        <f>_xlfn.XLOOKUP(tblSales[[#This Row],[Product Code]],tblProducts[Code],tblProducts[Selling Price (excl. VAT)],0)</f>
        <v>85000</v>
      </c>
      <c r="K367" s="5">
        <f>tblSales[[#This Row],[Qty]]*tblSales[[#This Row],[Unit Price]]</f>
        <v>170000</v>
      </c>
      <c r="L367" s="5">
        <f>ROUND(tblSales[[#This Row],[DPP (excl. VAT)]]*VATEff,0)</f>
        <v>18700</v>
      </c>
      <c r="M367" s="5">
        <f>tblSales[[#This Row],[DPP (excl. VAT)]]+tblSales[[#This Row],[Output VAT]]</f>
        <v>188700</v>
      </c>
      <c r="N367" s="5">
        <f>tblSales[[#This Row],[Qty]]*_xlfn.XLOOKUP(tblSales[[#This Row],[Product Code]],tblProducts[Code],tblProducts[Unit Cost],0)</f>
        <v>100000</v>
      </c>
      <c r="O367" s="4" t="s">
        <v>4865</v>
      </c>
      <c r="P367" s="4" t="s">
        <v>4860</v>
      </c>
      <c r="Q367" s="1" t="str">
        <f>_xlfn.XLOOKUP(tblSales[[#This Row],[Channel Code]],tblChannels[Channel Code],tblChannels[Channel Name],"")</f>
        <v>In-store</v>
      </c>
      <c r="R367" s="1">
        <f>MONTH(tblSales[[#This Row],[Date]])</f>
        <v>1</v>
      </c>
    </row>
    <row r="368" spans="2:18" x14ac:dyDescent="0.35">
      <c r="B368" s="113">
        <v>46046</v>
      </c>
      <c r="C368" s="4" t="s">
        <v>304</v>
      </c>
      <c r="D368" s="4" t="s">
        <v>4599</v>
      </c>
      <c r="E368" s="1" t="str">
        <f>_xlfn.XLOOKUP(tblSales[[#This Row],[Customer ID]],tblCustomers[Customer ID],tblCustomers[Customer Name],"⚠ Unknown")</f>
        <v>PT Samudra Jaya Logistik</v>
      </c>
      <c r="F368" s="4" t="s">
        <v>7</v>
      </c>
      <c r="G368" s="1" t="str">
        <f>_xlfn.XLOOKUP(tblSales[[#This Row],[Product Code]],tblProducts[Code],tblProducts[Product / Service Name],"⚠ Unknown")</f>
        <v>Premium Basic T-shirt</v>
      </c>
      <c r="H368" s="1" t="str">
        <f>_xlfn.XLOOKUP(tblSales[[#This Row],[Product Code]],tblProducts[Code],tblProducts[Category],"")</f>
        <v>Accessories &amp; Basics</v>
      </c>
      <c r="I368" s="4">
        <v>88</v>
      </c>
      <c r="J368" s="5">
        <f>_xlfn.XLOOKUP(tblSales[[#This Row],[Product Code]],tblProducts[Code],tblProducts[Selling Price (excl. VAT)],0)</f>
        <v>65000</v>
      </c>
      <c r="K368" s="5">
        <f>tblSales[[#This Row],[Qty]]*tblSales[[#This Row],[Unit Price]]</f>
        <v>5720000</v>
      </c>
      <c r="L368" s="5">
        <f>ROUND(tblSales[[#This Row],[DPP (excl. VAT)]]*VATEff,0)</f>
        <v>629200</v>
      </c>
      <c r="M368" s="5">
        <f>tblSales[[#This Row],[DPP (excl. VAT)]]+tblSales[[#This Row],[Output VAT]]</f>
        <v>6349200</v>
      </c>
      <c r="N368" s="5">
        <f>tblSales[[#This Row],[Qty]]*_xlfn.XLOOKUP(tblSales[[#This Row],[Product Code]],tblProducts[Code],tblProducts[Unit Cost],0)</f>
        <v>3256000</v>
      </c>
      <c r="O368" s="4" t="s">
        <v>4867</v>
      </c>
      <c r="P368" s="4" t="s">
        <v>4860</v>
      </c>
      <c r="Q368" s="1" t="str">
        <f>_xlfn.XLOOKUP(tblSales[[#This Row],[Channel Code]],tblChannels[Channel Code],tblChannels[Channel Name],"")</f>
        <v>In-store</v>
      </c>
      <c r="R368" s="1">
        <f>MONTH(tblSales[[#This Row],[Date]])</f>
        <v>1</v>
      </c>
    </row>
    <row r="369" spans="2:18" x14ac:dyDescent="0.35">
      <c r="B369" s="113">
        <v>46046</v>
      </c>
      <c r="C369" s="4" t="s">
        <v>305</v>
      </c>
      <c r="D369" s="4" t="s">
        <v>4568</v>
      </c>
      <c r="E369" s="1" t="str">
        <f>_xlfn.XLOOKUP(tblSales[[#This Row],[Customer ID]],tblCustomers[Customer ID],tblCustomers[Customer Name],"⚠ Unknown")</f>
        <v>Walk-in Customer</v>
      </c>
      <c r="F369" s="4" t="s">
        <v>12</v>
      </c>
      <c r="G369" s="1" t="str">
        <f>_xlfn.XLOOKUP(tblSales[[#This Row],[Product Code]],tblProducts[Code],tblProducts[Product / Service Name],"⚠ Unknown")</f>
        <v>Bomber Jacket</v>
      </c>
      <c r="H369" s="1" t="str">
        <f>_xlfn.XLOOKUP(tblSales[[#This Row],[Product Code]],tblProducts[Code],tblProducts[Category],"")</f>
        <v>Apparel &amp; Footwear</v>
      </c>
      <c r="I369" s="4">
        <v>5</v>
      </c>
      <c r="J369" s="5">
        <f>_xlfn.XLOOKUP(tblSales[[#This Row],[Product Code]],tblProducts[Code],tblProducts[Selling Price (excl. VAT)],0)</f>
        <v>350000</v>
      </c>
      <c r="K369" s="5">
        <f>tblSales[[#This Row],[Qty]]*tblSales[[#This Row],[Unit Price]]</f>
        <v>1750000</v>
      </c>
      <c r="L369" s="5">
        <f>ROUND(tblSales[[#This Row],[DPP (excl. VAT)]]*VATEff,0)</f>
        <v>192500</v>
      </c>
      <c r="M369" s="5">
        <f>tblSales[[#This Row],[DPP (excl. VAT)]]+tblSales[[#This Row],[Output VAT]]</f>
        <v>1942500</v>
      </c>
      <c r="N369" s="5">
        <f>tblSales[[#This Row],[Qty]]*_xlfn.XLOOKUP(tblSales[[#This Row],[Product Code]],tblProducts[Code],tblProducts[Unit Cost],0)</f>
        <v>1050000</v>
      </c>
      <c r="O369" s="4" t="s">
        <v>4866</v>
      </c>
      <c r="P369" s="4" t="s">
        <v>4862</v>
      </c>
      <c r="Q369" s="1" t="str">
        <f>_xlfn.XLOOKUP(tblSales[[#This Row],[Channel Code]],tblChannels[Channel Code],tblChannels[Channel Name],"")</f>
        <v>Website &amp; Social Media</v>
      </c>
      <c r="R369" s="1">
        <f>MONTH(tblSales[[#This Row],[Date]])</f>
        <v>1</v>
      </c>
    </row>
    <row r="370" spans="2:18" x14ac:dyDescent="0.35">
      <c r="B370" s="113">
        <v>46046</v>
      </c>
      <c r="C370" s="4" t="s">
        <v>305</v>
      </c>
      <c r="D370" s="4" t="s">
        <v>4568</v>
      </c>
      <c r="E370" s="1" t="str">
        <f>_xlfn.XLOOKUP(tblSales[[#This Row],[Customer ID]],tblCustomers[Customer ID],tblCustomers[Customer Name],"⚠ Unknown")</f>
        <v>Walk-in Customer</v>
      </c>
      <c r="F370" s="4" t="s">
        <v>8</v>
      </c>
      <c r="G370" s="1" t="str">
        <f>_xlfn.XLOOKUP(tblSales[[#This Row],[Product Code]],tblProducts[Code],tblProducts[Product / Service Name],"⚠ Unknown")</f>
        <v>Casual Shorts</v>
      </c>
      <c r="H370" s="1" t="str">
        <f>_xlfn.XLOOKUP(tblSales[[#This Row],[Product Code]],tblProducts[Code],tblProducts[Category],"")</f>
        <v>Accessories &amp; Basics</v>
      </c>
      <c r="I370" s="4">
        <v>11</v>
      </c>
      <c r="J370" s="5">
        <f>_xlfn.XLOOKUP(tblSales[[#This Row],[Product Code]],tblProducts[Code],tblProducts[Selling Price (excl. VAT)],0)</f>
        <v>85000</v>
      </c>
      <c r="K370" s="5">
        <f>tblSales[[#This Row],[Qty]]*tblSales[[#This Row],[Unit Price]]</f>
        <v>935000</v>
      </c>
      <c r="L370" s="5">
        <f>ROUND(tblSales[[#This Row],[DPP (excl. VAT)]]*VATEff,0)</f>
        <v>102850</v>
      </c>
      <c r="M370" s="5">
        <f>tblSales[[#This Row],[DPP (excl. VAT)]]+tblSales[[#This Row],[Output VAT]]</f>
        <v>1037850</v>
      </c>
      <c r="N370" s="5">
        <f>tblSales[[#This Row],[Qty]]*_xlfn.XLOOKUP(tblSales[[#This Row],[Product Code]],tblProducts[Code],tblProducts[Unit Cost],0)</f>
        <v>550000</v>
      </c>
      <c r="O370" s="4" t="s">
        <v>4866</v>
      </c>
      <c r="P370" s="4" t="s">
        <v>4862</v>
      </c>
      <c r="Q370" s="1" t="str">
        <f>_xlfn.XLOOKUP(tblSales[[#This Row],[Channel Code]],tblChannels[Channel Code],tblChannels[Channel Name],"")</f>
        <v>Website &amp; Social Media</v>
      </c>
      <c r="R370" s="1">
        <f>MONTH(tblSales[[#This Row],[Date]])</f>
        <v>1</v>
      </c>
    </row>
    <row r="371" spans="2:18" x14ac:dyDescent="0.35">
      <c r="B371" s="113">
        <v>46047</v>
      </c>
      <c r="C371" s="4" t="s">
        <v>306</v>
      </c>
      <c r="D371" s="4" t="s">
        <v>4568</v>
      </c>
      <c r="E371" s="1" t="str">
        <f>_xlfn.XLOOKUP(tblSales[[#This Row],[Customer ID]],tblCustomers[Customer ID],tblCustomers[Customer Name],"⚠ Unknown")</f>
        <v>Walk-in Customer</v>
      </c>
      <c r="F371" s="4" t="s">
        <v>10</v>
      </c>
      <c r="G371" s="1" t="str">
        <f>_xlfn.XLOOKUP(tblSales[[#This Row],[Product Code]],tblProducts[Code],tblProducts[Product / Service Name],"⚠ Unknown")</f>
        <v>Chino Pants</v>
      </c>
      <c r="H371" s="1" t="str">
        <f>_xlfn.XLOOKUP(tblSales[[#This Row],[Product Code]],tblProducts[Code],tblProducts[Category],"")</f>
        <v>Apparel &amp; Footwear</v>
      </c>
      <c r="I371" s="4">
        <v>4</v>
      </c>
      <c r="J371" s="5">
        <f>_xlfn.XLOOKUP(tblSales[[#This Row],[Product Code]],tblProducts[Code],tblProducts[Selling Price (excl. VAT)],0)</f>
        <v>150000</v>
      </c>
      <c r="K371" s="5">
        <f>tblSales[[#This Row],[Qty]]*tblSales[[#This Row],[Unit Price]]</f>
        <v>600000</v>
      </c>
      <c r="L371" s="5">
        <f>ROUND(tblSales[[#This Row],[DPP (excl. VAT)]]*VATEff,0)</f>
        <v>66000</v>
      </c>
      <c r="M371" s="5">
        <f>tblSales[[#This Row],[DPP (excl. VAT)]]+tblSales[[#This Row],[Output VAT]]</f>
        <v>666000</v>
      </c>
      <c r="N371" s="5">
        <f>tblSales[[#This Row],[Qty]]*_xlfn.XLOOKUP(tblSales[[#This Row],[Product Code]],tblProducts[Code],tblProducts[Unit Cost],0)</f>
        <v>352000</v>
      </c>
      <c r="O371" s="4" t="s">
        <v>4865</v>
      </c>
      <c r="P371" s="4" t="s">
        <v>4860</v>
      </c>
      <c r="Q371" s="1" t="str">
        <f>_xlfn.XLOOKUP(tblSales[[#This Row],[Channel Code]],tblChannels[Channel Code],tblChannels[Channel Name],"")</f>
        <v>In-store</v>
      </c>
      <c r="R371" s="1">
        <f>MONTH(tblSales[[#This Row],[Date]])</f>
        <v>1</v>
      </c>
    </row>
    <row r="372" spans="2:18" x14ac:dyDescent="0.35">
      <c r="B372" s="113">
        <v>46047</v>
      </c>
      <c r="C372" s="4" t="s">
        <v>306</v>
      </c>
      <c r="D372" s="4" t="s">
        <v>4568</v>
      </c>
      <c r="E372" s="1" t="str">
        <f>_xlfn.XLOOKUP(tblSales[[#This Row],[Customer ID]],tblCustomers[Customer ID],tblCustomers[Customer Name],"⚠ Unknown")</f>
        <v>Walk-in Customer</v>
      </c>
      <c r="F372" s="4" t="s">
        <v>13</v>
      </c>
      <c r="G372" s="1" t="str">
        <f>_xlfn.XLOOKUP(tblSales[[#This Row],[Product Code]],tblProducts[Code],tblProducts[Product / Service Name],"⚠ Unknown")</f>
        <v>Backpack</v>
      </c>
      <c r="H372" s="1" t="str">
        <f>_xlfn.XLOOKUP(tblSales[[#This Row],[Product Code]],tblProducts[Code],tblProducts[Category],"")</f>
        <v>Bags &amp; Gadgets</v>
      </c>
      <c r="I372" s="4">
        <v>2</v>
      </c>
      <c r="J372" s="5">
        <f>_xlfn.XLOOKUP(tblSales[[#This Row],[Product Code]],tblProducts[Code],tblProducts[Selling Price (excl. VAT)],0)</f>
        <v>500000</v>
      </c>
      <c r="K372" s="5">
        <f>tblSales[[#This Row],[Qty]]*tblSales[[#This Row],[Unit Price]]</f>
        <v>1000000</v>
      </c>
      <c r="L372" s="5">
        <f>ROUND(tblSales[[#This Row],[DPP (excl. VAT)]]*VATEff,0)</f>
        <v>110000</v>
      </c>
      <c r="M372" s="5">
        <f>tblSales[[#This Row],[DPP (excl. VAT)]]+tblSales[[#This Row],[Output VAT]]</f>
        <v>1110000</v>
      </c>
      <c r="N372" s="5">
        <f>tblSales[[#This Row],[Qty]]*_xlfn.XLOOKUP(tblSales[[#This Row],[Product Code]],tblProducts[Code],tblProducts[Unit Cost],0)</f>
        <v>580000</v>
      </c>
      <c r="O372" s="4" t="s">
        <v>4865</v>
      </c>
      <c r="P372" s="4" t="s">
        <v>4860</v>
      </c>
      <c r="Q372" s="1" t="str">
        <f>_xlfn.XLOOKUP(tblSales[[#This Row],[Channel Code]],tblChannels[Channel Code],tblChannels[Channel Name],"")</f>
        <v>In-store</v>
      </c>
      <c r="R372" s="1">
        <f>MONTH(tblSales[[#This Row],[Date]])</f>
        <v>1</v>
      </c>
    </row>
    <row r="373" spans="2:18" x14ac:dyDescent="0.35">
      <c r="B373" s="113">
        <v>46047</v>
      </c>
      <c r="C373" s="4" t="s">
        <v>307</v>
      </c>
      <c r="D373" s="4" t="s">
        <v>4568</v>
      </c>
      <c r="E373" s="1" t="str">
        <f>_xlfn.XLOOKUP(tblSales[[#This Row],[Customer ID]],tblCustomers[Customer ID],tblCustomers[Customer Name],"⚠ Unknown")</f>
        <v>Walk-in Customer</v>
      </c>
      <c r="F373" s="4" t="s">
        <v>15</v>
      </c>
      <c r="G373" s="1" t="str">
        <f>_xlfn.XLOOKUP(tblSales[[#This Row],[Product Code]],tblProducts[Code],tblProducts[Product / Service Name],"⚠ Unknown")</f>
        <v>Wireless Earbuds Pro</v>
      </c>
      <c r="H373" s="1" t="str">
        <f>_xlfn.XLOOKUP(tblSales[[#This Row],[Product Code]],tblProducts[Code],tblProducts[Category],"")</f>
        <v>Bags &amp; Gadgets</v>
      </c>
      <c r="I373" s="4">
        <v>1</v>
      </c>
      <c r="J373" s="5">
        <f>_xlfn.XLOOKUP(tblSales[[#This Row],[Product Code]],tblProducts[Code],tblProducts[Selling Price (excl. VAT)],0)</f>
        <v>1250000</v>
      </c>
      <c r="K373" s="5">
        <f>tblSales[[#This Row],[Qty]]*tblSales[[#This Row],[Unit Price]]</f>
        <v>1250000</v>
      </c>
      <c r="L373" s="5">
        <f>ROUND(tblSales[[#This Row],[DPP (excl. VAT)]]*VATEff,0)</f>
        <v>137500</v>
      </c>
      <c r="M373" s="5">
        <f>tblSales[[#This Row],[DPP (excl. VAT)]]+tblSales[[#This Row],[Output VAT]]</f>
        <v>1387500</v>
      </c>
      <c r="N373" s="5">
        <f>tblSales[[#This Row],[Qty]]*_xlfn.XLOOKUP(tblSales[[#This Row],[Product Code]],tblProducts[Code],tblProducts[Unit Cost],0)</f>
        <v>820000</v>
      </c>
      <c r="O373" s="4" t="s">
        <v>4865</v>
      </c>
      <c r="P373" s="4" t="s">
        <v>4860</v>
      </c>
      <c r="Q373" s="1" t="str">
        <f>_xlfn.XLOOKUP(tblSales[[#This Row],[Channel Code]],tblChannels[Channel Code],tblChannels[Channel Name],"")</f>
        <v>In-store</v>
      </c>
      <c r="R373" s="1">
        <f>MONTH(tblSales[[#This Row],[Date]])</f>
        <v>1</v>
      </c>
    </row>
    <row r="374" spans="2:18" x14ac:dyDescent="0.35">
      <c r="B374" s="113">
        <v>46047</v>
      </c>
      <c r="C374" s="4" t="s">
        <v>308</v>
      </c>
      <c r="D374" s="4" t="s">
        <v>4568</v>
      </c>
      <c r="E374" s="1" t="str">
        <f>_xlfn.XLOOKUP(tblSales[[#This Row],[Customer ID]],tblCustomers[Customer ID],tblCustomers[Customer Name],"⚠ Unknown")</f>
        <v>Walk-in Customer</v>
      </c>
      <c r="F374" s="4" t="s">
        <v>14</v>
      </c>
      <c r="G374" s="1" t="str">
        <f>_xlfn.XLOOKUP(tblSales[[#This Row],[Product Code]],tblProducts[Code],tblProducts[Product / Service Name],"⚠ Unknown")</f>
        <v>Smartwatch</v>
      </c>
      <c r="H374" s="1" t="str">
        <f>_xlfn.XLOOKUP(tblSales[[#This Row],[Product Code]],tblProducts[Code],tblProducts[Category],"")</f>
        <v>Bags &amp; Gadgets</v>
      </c>
      <c r="I374" s="4">
        <v>3</v>
      </c>
      <c r="J374" s="5">
        <f>_xlfn.XLOOKUP(tblSales[[#This Row],[Product Code]],tblProducts[Code],tblProducts[Selling Price (excl. VAT)],0)</f>
        <v>850000</v>
      </c>
      <c r="K374" s="5">
        <f>tblSales[[#This Row],[Qty]]*tblSales[[#This Row],[Unit Price]]</f>
        <v>2550000</v>
      </c>
      <c r="L374" s="5">
        <f>ROUND(tblSales[[#This Row],[DPP (excl. VAT)]]*VATEff,0)</f>
        <v>280500</v>
      </c>
      <c r="M374" s="5">
        <f>tblSales[[#This Row],[DPP (excl. VAT)]]+tblSales[[#This Row],[Output VAT]]</f>
        <v>2830500</v>
      </c>
      <c r="N374" s="5">
        <f>tblSales[[#This Row],[Qty]]*_xlfn.XLOOKUP(tblSales[[#This Row],[Product Code]],tblProducts[Code],tblProducts[Unit Cost],0)</f>
        <v>1680000</v>
      </c>
      <c r="O374" s="4" t="s">
        <v>4865</v>
      </c>
      <c r="P374" s="4" t="s">
        <v>4860</v>
      </c>
      <c r="Q374" s="1" t="str">
        <f>_xlfn.XLOOKUP(tblSales[[#This Row],[Channel Code]],tblChannels[Channel Code],tblChannels[Channel Name],"")</f>
        <v>In-store</v>
      </c>
      <c r="R374" s="1">
        <f>MONTH(tblSales[[#This Row],[Date]])</f>
        <v>1</v>
      </c>
    </row>
    <row r="375" spans="2:18" x14ac:dyDescent="0.35">
      <c r="B375" s="113">
        <v>46047</v>
      </c>
      <c r="C375" s="4" t="s">
        <v>309</v>
      </c>
      <c r="D375" s="4" t="s">
        <v>4568</v>
      </c>
      <c r="E375" s="1" t="str">
        <f>_xlfn.XLOOKUP(tblSales[[#This Row],[Customer ID]],tblCustomers[Customer ID],tblCustomers[Customer Name],"⚠ Unknown")</f>
        <v>Walk-in Customer</v>
      </c>
      <c r="F375" s="4" t="s">
        <v>15</v>
      </c>
      <c r="G375" s="1" t="str">
        <f>_xlfn.XLOOKUP(tblSales[[#This Row],[Product Code]],tblProducts[Code],tblProducts[Product / Service Name],"⚠ Unknown")</f>
        <v>Wireless Earbuds Pro</v>
      </c>
      <c r="H375" s="1" t="str">
        <f>_xlfn.XLOOKUP(tblSales[[#This Row],[Product Code]],tblProducts[Code],tblProducts[Category],"")</f>
        <v>Bags &amp; Gadgets</v>
      </c>
      <c r="I375" s="4">
        <v>1</v>
      </c>
      <c r="J375" s="5">
        <f>_xlfn.XLOOKUP(tblSales[[#This Row],[Product Code]],tblProducts[Code],tblProducts[Selling Price (excl. VAT)],0)</f>
        <v>1250000</v>
      </c>
      <c r="K375" s="5">
        <f>tblSales[[#This Row],[Qty]]*tblSales[[#This Row],[Unit Price]]</f>
        <v>1250000</v>
      </c>
      <c r="L375" s="5">
        <f>ROUND(tblSales[[#This Row],[DPP (excl. VAT)]]*VATEff,0)</f>
        <v>137500</v>
      </c>
      <c r="M375" s="5">
        <f>tblSales[[#This Row],[DPP (excl. VAT)]]+tblSales[[#This Row],[Output VAT]]</f>
        <v>1387500</v>
      </c>
      <c r="N375" s="5">
        <f>tblSales[[#This Row],[Qty]]*_xlfn.XLOOKUP(tblSales[[#This Row],[Product Code]],tblProducts[Code],tblProducts[Unit Cost],0)</f>
        <v>820000</v>
      </c>
      <c r="O375" s="4" t="s">
        <v>4865</v>
      </c>
      <c r="P375" s="4" t="s">
        <v>4860</v>
      </c>
      <c r="Q375" s="1" t="str">
        <f>_xlfn.XLOOKUP(tblSales[[#This Row],[Channel Code]],tblChannels[Channel Code],tblChannels[Channel Name],"")</f>
        <v>In-store</v>
      </c>
      <c r="R375" s="1">
        <f>MONTH(tblSales[[#This Row],[Date]])</f>
        <v>1</v>
      </c>
    </row>
    <row r="376" spans="2:18" x14ac:dyDescent="0.35">
      <c r="B376" s="113">
        <v>46047</v>
      </c>
      <c r="C376" s="4" t="s">
        <v>310</v>
      </c>
      <c r="D376" s="4" t="s">
        <v>4568</v>
      </c>
      <c r="E376" s="1" t="str">
        <f>_xlfn.XLOOKUP(tblSales[[#This Row],[Customer ID]],tblCustomers[Customer ID],tblCustomers[Customer Name],"⚠ Unknown")</f>
        <v>Walk-in Customer</v>
      </c>
      <c r="F376" s="4" t="s">
        <v>8</v>
      </c>
      <c r="G376" s="1" t="str">
        <f>_xlfn.XLOOKUP(tblSales[[#This Row],[Product Code]],tblProducts[Code],tblProducts[Product / Service Name],"⚠ Unknown")</f>
        <v>Casual Shorts</v>
      </c>
      <c r="H376" s="1" t="str">
        <f>_xlfn.XLOOKUP(tblSales[[#This Row],[Product Code]],tblProducts[Code],tblProducts[Category],"")</f>
        <v>Accessories &amp; Basics</v>
      </c>
      <c r="I376" s="4">
        <v>5</v>
      </c>
      <c r="J376" s="5">
        <f>_xlfn.XLOOKUP(tblSales[[#This Row],[Product Code]],tblProducts[Code],tblProducts[Selling Price (excl. VAT)],0)</f>
        <v>85000</v>
      </c>
      <c r="K376" s="5">
        <f>tblSales[[#This Row],[Qty]]*tblSales[[#This Row],[Unit Price]]</f>
        <v>425000</v>
      </c>
      <c r="L376" s="5">
        <f>ROUND(tblSales[[#This Row],[DPP (excl. VAT)]]*VATEff,0)</f>
        <v>46750</v>
      </c>
      <c r="M376" s="5">
        <f>tblSales[[#This Row],[DPP (excl. VAT)]]+tblSales[[#This Row],[Output VAT]]</f>
        <v>471750</v>
      </c>
      <c r="N376" s="5">
        <f>tblSales[[#This Row],[Qty]]*_xlfn.XLOOKUP(tblSales[[#This Row],[Product Code]],tblProducts[Code],tblProducts[Unit Cost],0)</f>
        <v>250000</v>
      </c>
      <c r="O376" s="4" t="s">
        <v>4866</v>
      </c>
      <c r="P376" s="4" t="s">
        <v>4861</v>
      </c>
      <c r="Q376" s="1" t="str">
        <f>_xlfn.XLOOKUP(tblSales[[#This Row],[Channel Code]],tblChannels[Channel Code],tblChannels[Channel Name],"")</f>
        <v>Marketplace</v>
      </c>
      <c r="R376" s="1">
        <f>MONTH(tblSales[[#This Row],[Date]])</f>
        <v>1</v>
      </c>
    </row>
    <row r="377" spans="2:18" x14ac:dyDescent="0.35">
      <c r="B377" s="113">
        <v>46047</v>
      </c>
      <c r="C377" s="4" t="s">
        <v>311</v>
      </c>
      <c r="D377" s="4" t="s">
        <v>4568</v>
      </c>
      <c r="E377" s="1" t="str">
        <f>_xlfn.XLOOKUP(tblSales[[#This Row],[Customer ID]],tblCustomers[Customer ID],tblCustomers[Customer Name],"⚠ Unknown")</f>
        <v>Walk-in Customer</v>
      </c>
      <c r="F377" s="4" t="s">
        <v>10</v>
      </c>
      <c r="G377" s="1" t="str">
        <f>_xlfn.XLOOKUP(tblSales[[#This Row],[Product Code]],tblProducts[Code],tblProducts[Product / Service Name],"⚠ Unknown")</f>
        <v>Chino Pants</v>
      </c>
      <c r="H377" s="1" t="str">
        <f>_xlfn.XLOOKUP(tblSales[[#This Row],[Product Code]],tblProducts[Code],tblProducts[Category],"")</f>
        <v>Apparel &amp; Footwear</v>
      </c>
      <c r="I377" s="4">
        <v>10</v>
      </c>
      <c r="J377" s="5">
        <f>_xlfn.XLOOKUP(tblSales[[#This Row],[Product Code]],tblProducts[Code],tblProducts[Selling Price (excl. VAT)],0)</f>
        <v>150000</v>
      </c>
      <c r="K377" s="5">
        <f>tblSales[[#This Row],[Qty]]*tblSales[[#This Row],[Unit Price]]</f>
        <v>1500000</v>
      </c>
      <c r="L377" s="5">
        <f>ROUND(tblSales[[#This Row],[DPP (excl. VAT)]]*VATEff,0)</f>
        <v>165000</v>
      </c>
      <c r="M377" s="5">
        <f>tblSales[[#This Row],[DPP (excl. VAT)]]+tblSales[[#This Row],[Output VAT]]</f>
        <v>1665000</v>
      </c>
      <c r="N377" s="5">
        <f>tblSales[[#This Row],[Qty]]*_xlfn.XLOOKUP(tblSales[[#This Row],[Product Code]],tblProducts[Code],tblProducts[Unit Cost],0)</f>
        <v>880000</v>
      </c>
      <c r="O377" s="4" t="s">
        <v>4866</v>
      </c>
      <c r="P377" s="4" t="s">
        <v>4862</v>
      </c>
      <c r="Q377" s="1" t="str">
        <f>_xlfn.XLOOKUP(tblSales[[#This Row],[Channel Code]],tblChannels[Channel Code],tblChannels[Channel Name],"")</f>
        <v>Website &amp; Social Media</v>
      </c>
      <c r="R377" s="1">
        <f>MONTH(tblSales[[#This Row],[Date]])</f>
        <v>1</v>
      </c>
    </row>
    <row r="378" spans="2:18" x14ac:dyDescent="0.35">
      <c r="B378" s="113">
        <v>46047</v>
      </c>
      <c r="C378" s="4" t="s">
        <v>312</v>
      </c>
      <c r="D378" s="4" t="s">
        <v>4568</v>
      </c>
      <c r="E378" s="1" t="str">
        <f>_xlfn.XLOOKUP(tblSales[[#This Row],[Customer ID]],tblCustomers[Customer ID],tblCustomers[Customer Name],"⚠ Unknown")</f>
        <v>Walk-in Customer</v>
      </c>
      <c r="F378" s="4" t="s">
        <v>11</v>
      </c>
      <c r="G378" s="1" t="str">
        <f>_xlfn.XLOOKUP(tblSales[[#This Row],[Product Code]],tblProducts[Code],tblProducts[Product / Service Name],"⚠ Unknown")</f>
        <v>Sneakers</v>
      </c>
      <c r="H378" s="1" t="str">
        <f>_xlfn.XLOOKUP(tblSales[[#This Row],[Product Code]],tblProducts[Code],tblProducts[Category],"")</f>
        <v>Apparel &amp; Footwear</v>
      </c>
      <c r="I378" s="4">
        <v>5</v>
      </c>
      <c r="J378" s="5">
        <f>_xlfn.XLOOKUP(tblSales[[#This Row],[Product Code]],tblProducts[Code],tblProducts[Selling Price (excl. VAT)],0)</f>
        <v>250000</v>
      </c>
      <c r="K378" s="5">
        <f>tblSales[[#This Row],[Qty]]*tblSales[[#This Row],[Unit Price]]</f>
        <v>1250000</v>
      </c>
      <c r="L378" s="5">
        <f>ROUND(tblSales[[#This Row],[DPP (excl. VAT)]]*VATEff,0)</f>
        <v>137500</v>
      </c>
      <c r="M378" s="5">
        <f>tblSales[[#This Row],[DPP (excl. VAT)]]+tblSales[[#This Row],[Output VAT]]</f>
        <v>1387500</v>
      </c>
      <c r="N378" s="5">
        <f>tblSales[[#This Row],[Qty]]*_xlfn.XLOOKUP(tblSales[[#This Row],[Product Code]],tblProducts[Code],tblProducts[Unit Cost],0)</f>
        <v>775000</v>
      </c>
      <c r="O378" s="4" t="s">
        <v>4865</v>
      </c>
      <c r="P378" s="4" t="s">
        <v>4860</v>
      </c>
      <c r="Q378" s="1" t="str">
        <f>_xlfn.XLOOKUP(tblSales[[#This Row],[Channel Code]],tblChannels[Channel Code],tblChannels[Channel Name],"")</f>
        <v>In-store</v>
      </c>
      <c r="R378" s="1">
        <f>MONTH(tblSales[[#This Row],[Date]])</f>
        <v>1</v>
      </c>
    </row>
    <row r="379" spans="2:18" x14ac:dyDescent="0.35">
      <c r="B379" s="113">
        <v>46047</v>
      </c>
      <c r="C379" s="4" t="s">
        <v>313</v>
      </c>
      <c r="D379" s="4" t="s">
        <v>4613</v>
      </c>
      <c r="E379" s="1" t="str">
        <f>_xlfn.XLOOKUP(tblSales[[#This Row],[Customer ID]],tblCustomers[Customer ID],tblCustomers[Customer Name],"⚠ Unknown")</f>
        <v>PT Mega Prima Distribusi</v>
      </c>
      <c r="F379" s="4" t="s">
        <v>10</v>
      </c>
      <c r="G379" s="1" t="str">
        <f>_xlfn.XLOOKUP(tblSales[[#This Row],[Product Code]],tblProducts[Code],tblProducts[Product / Service Name],"⚠ Unknown")</f>
        <v>Chino Pants</v>
      </c>
      <c r="H379" s="1" t="str">
        <f>_xlfn.XLOOKUP(tblSales[[#This Row],[Product Code]],tblProducts[Code],tblProducts[Category],"")</f>
        <v>Apparel &amp; Footwear</v>
      </c>
      <c r="I379" s="4">
        <v>88</v>
      </c>
      <c r="J379" s="5">
        <f>_xlfn.XLOOKUP(tblSales[[#This Row],[Product Code]],tblProducts[Code],tblProducts[Selling Price (excl. VAT)],0)</f>
        <v>150000</v>
      </c>
      <c r="K379" s="5">
        <f>tblSales[[#This Row],[Qty]]*tblSales[[#This Row],[Unit Price]]</f>
        <v>13200000</v>
      </c>
      <c r="L379" s="5">
        <f>ROUND(tblSales[[#This Row],[DPP (excl. VAT)]]*VATEff,0)</f>
        <v>1452000</v>
      </c>
      <c r="M379" s="5">
        <f>tblSales[[#This Row],[DPP (excl. VAT)]]+tblSales[[#This Row],[Output VAT]]</f>
        <v>14652000</v>
      </c>
      <c r="N379" s="5">
        <f>tblSales[[#This Row],[Qty]]*_xlfn.XLOOKUP(tblSales[[#This Row],[Product Code]],tblProducts[Code],tblProducts[Unit Cost],0)</f>
        <v>7744000</v>
      </c>
      <c r="O379" s="4" t="s">
        <v>4867</v>
      </c>
      <c r="P379" s="4" t="s">
        <v>4860</v>
      </c>
      <c r="Q379" s="1" t="str">
        <f>_xlfn.XLOOKUP(tblSales[[#This Row],[Channel Code]],tblChannels[Channel Code],tblChannels[Channel Name],"")</f>
        <v>In-store</v>
      </c>
      <c r="R379" s="1">
        <f>MONTH(tblSales[[#This Row],[Date]])</f>
        <v>1</v>
      </c>
    </row>
    <row r="380" spans="2:18" x14ac:dyDescent="0.35">
      <c r="B380" s="113">
        <v>46047</v>
      </c>
      <c r="C380" s="4" t="s">
        <v>314</v>
      </c>
      <c r="D380" s="4" t="s">
        <v>4568</v>
      </c>
      <c r="E380" s="1" t="str">
        <f>_xlfn.XLOOKUP(tblSales[[#This Row],[Customer ID]],tblCustomers[Customer ID],tblCustomers[Customer Name],"⚠ Unknown")</f>
        <v>Walk-in Customer</v>
      </c>
      <c r="F380" s="4" t="s">
        <v>6</v>
      </c>
      <c r="G380" s="1" t="str">
        <f>_xlfn.XLOOKUP(tblSales[[#This Row],[Product Code]],tblProducts[Code],tblProducts[Product / Service Name],"⚠ Unknown")</f>
        <v>Socks &amp; Accessories</v>
      </c>
      <c r="H380" s="1" t="str">
        <f>_xlfn.XLOOKUP(tblSales[[#This Row],[Product Code]],tblProducts[Code],tblProducts[Category],"")</f>
        <v>Accessories &amp; Basics</v>
      </c>
      <c r="I380" s="4">
        <v>8</v>
      </c>
      <c r="J380" s="5">
        <f>_xlfn.XLOOKUP(tblSales[[#This Row],[Product Code]],tblProducts[Code],tblProducts[Selling Price (excl. VAT)],0)</f>
        <v>45000</v>
      </c>
      <c r="K380" s="5">
        <f>tblSales[[#This Row],[Qty]]*tblSales[[#This Row],[Unit Price]]</f>
        <v>360000</v>
      </c>
      <c r="L380" s="5">
        <f>ROUND(tblSales[[#This Row],[DPP (excl. VAT)]]*VATEff,0)</f>
        <v>39600</v>
      </c>
      <c r="M380" s="5">
        <f>tblSales[[#This Row],[DPP (excl. VAT)]]+tblSales[[#This Row],[Output VAT]]</f>
        <v>399600</v>
      </c>
      <c r="N380" s="5">
        <f>tblSales[[#This Row],[Qty]]*_xlfn.XLOOKUP(tblSales[[#This Row],[Product Code]],tblProducts[Code],tblProducts[Unit Cost],0)</f>
        <v>192000</v>
      </c>
      <c r="O380" s="4" t="s">
        <v>4865</v>
      </c>
      <c r="P380" s="4" t="s">
        <v>4860</v>
      </c>
      <c r="Q380" s="1" t="str">
        <f>_xlfn.XLOOKUP(tblSales[[#This Row],[Channel Code]],tblChannels[Channel Code],tblChannels[Channel Name],"")</f>
        <v>In-store</v>
      </c>
      <c r="R380" s="1">
        <f>MONTH(tblSales[[#This Row],[Date]])</f>
        <v>1</v>
      </c>
    </row>
    <row r="381" spans="2:18" x14ac:dyDescent="0.35">
      <c r="B381" s="113">
        <v>46047</v>
      </c>
      <c r="C381" s="4" t="s">
        <v>314</v>
      </c>
      <c r="D381" s="4" t="s">
        <v>4568</v>
      </c>
      <c r="E381" s="1" t="str">
        <f>_xlfn.XLOOKUP(tblSales[[#This Row],[Customer ID]],tblCustomers[Customer ID],tblCustomers[Customer Name],"⚠ Unknown")</f>
        <v>Walk-in Customer</v>
      </c>
      <c r="F381" s="4" t="s">
        <v>11</v>
      </c>
      <c r="G381" s="1" t="str">
        <f>_xlfn.XLOOKUP(tblSales[[#This Row],[Product Code]],tblProducts[Code],tblProducts[Product / Service Name],"⚠ Unknown")</f>
        <v>Sneakers</v>
      </c>
      <c r="H381" s="1" t="str">
        <f>_xlfn.XLOOKUP(tblSales[[#This Row],[Product Code]],tblProducts[Code],tblProducts[Category],"")</f>
        <v>Apparel &amp; Footwear</v>
      </c>
      <c r="I381" s="4">
        <v>4</v>
      </c>
      <c r="J381" s="5">
        <f>_xlfn.XLOOKUP(tblSales[[#This Row],[Product Code]],tblProducts[Code],tblProducts[Selling Price (excl. VAT)],0)</f>
        <v>250000</v>
      </c>
      <c r="K381" s="5">
        <f>tblSales[[#This Row],[Qty]]*tblSales[[#This Row],[Unit Price]]</f>
        <v>1000000</v>
      </c>
      <c r="L381" s="5">
        <f>ROUND(tblSales[[#This Row],[DPP (excl. VAT)]]*VATEff,0)</f>
        <v>110000</v>
      </c>
      <c r="M381" s="5">
        <f>tblSales[[#This Row],[DPP (excl. VAT)]]+tblSales[[#This Row],[Output VAT]]</f>
        <v>1110000</v>
      </c>
      <c r="N381" s="5">
        <f>tblSales[[#This Row],[Qty]]*_xlfn.XLOOKUP(tblSales[[#This Row],[Product Code]],tblProducts[Code],tblProducts[Unit Cost],0)</f>
        <v>620000</v>
      </c>
      <c r="O381" s="4" t="s">
        <v>4865</v>
      </c>
      <c r="P381" s="4" t="s">
        <v>4860</v>
      </c>
      <c r="Q381" s="1" t="str">
        <f>_xlfn.XLOOKUP(tblSales[[#This Row],[Channel Code]],tblChannels[Channel Code],tblChannels[Channel Name],"")</f>
        <v>In-store</v>
      </c>
      <c r="R381" s="1">
        <f>MONTH(tblSales[[#This Row],[Date]])</f>
        <v>1</v>
      </c>
    </row>
    <row r="382" spans="2:18" x14ac:dyDescent="0.35">
      <c r="B382" s="113">
        <v>46047</v>
      </c>
      <c r="C382" s="4" t="s">
        <v>315</v>
      </c>
      <c r="D382" s="4" t="s">
        <v>4568</v>
      </c>
      <c r="E382" s="1" t="str">
        <f>_xlfn.XLOOKUP(tblSales[[#This Row],[Customer ID]],tblCustomers[Customer ID],tblCustomers[Customer Name],"⚠ Unknown")</f>
        <v>Walk-in Customer</v>
      </c>
      <c r="F382" s="4" t="s">
        <v>6</v>
      </c>
      <c r="G382" s="1" t="str">
        <f>_xlfn.XLOOKUP(tblSales[[#This Row],[Product Code]],tblProducts[Code],tblProducts[Product / Service Name],"⚠ Unknown")</f>
        <v>Socks &amp; Accessories</v>
      </c>
      <c r="H382" s="1" t="str">
        <f>_xlfn.XLOOKUP(tblSales[[#This Row],[Product Code]],tblProducts[Code],tblProducts[Category],"")</f>
        <v>Accessories &amp; Basics</v>
      </c>
      <c r="I382" s="4">
        <v>3</v>
      </c>
      <c r="J382" s="5">
        <f>_xlfn.XLOOKUP(tblSales[[#This Row],[Product Code]],tblProducts[Code],tblProducts[Selling Price (excl. VAT)],0)</f>
        <v>45000</v>
      </c>
      <c r="K382" s="5">
        <f>tblSales[[#This Row],[Qty]]*tblSales[[#This Row],[Unit Price]]</f>
        <v>135000</v>
      </c>
      <c r="L382" s="5">
        <f>ROUND(tblSales[[#This Row],[DPP (excl. VAT)]]*VATEff,0)</f>
        <v>14850</v>
      </c>
      <c r="M382" s="5">
        <f>tblSales[[#This Row],[DPP (excl. VAT)]]+tblSales[[#This Row],[Output VAT]]</f>
        <v>149850</v>
      </c>
      <c r="N382" s="5">
        <f>tblSales[[#This Row],[Qty]]*_xlfn.XLOOKUP(tblSales[[#This Row],[Product Code]],tblProducts[Code],tblProducts[Unit Cost],0)</f>
        <v>72000</v>
      </c>
      <c r="O382" s="4" t="s">
        <v>4866</v>
      </c>
      <c r="P382" s="4" t="s">
        <v>4860</v>
      </c>
      <c r="Q382" s="1" t="str">
        <f>_xlfn.XLOOKUP(tblSales[[#This Row],[Channel Code]],tblChannels[Channel Code],tblChannels[Channel Name],"")</f>
        <v>In-store</v>
      </c>
      <c r="R382" s="1">
        <f>MONTH(tblSales[[#This Row],[Date]])</f>
        <v>1</v>
      </c>
    </row>
    <row r="383" spans="2:18" x14ac:dyDescent="0.35">
      <c r="B383" s="113">
        <v>46047</v>
      </c>
      <c r="C383" s="4" t="s">
        <v>316</v>
      </c>
      <c r="D383" s="4" t="s">
        <v>4572</v>
      </c>
      <c r="E383" s="1" t="str">
        <f>_xlfn.XLOOKUP(tblSales[[#This Row],[Customer ID]],tblCustomers[Customer ID],tblCustomers[Customer Name],"⚠ Unknown")</f>
        <v>PT Cahaya Abadi Makmur</v>
      </c>
      <c r="F383" s="4" t="s">
        <v>11</v>
      </c>
      <c r="G383" s="1" t="str">
        <f>_xlfn.XLOOKUP(tblSales[[#This Row],[Product Code]],tblProducts[Code],tblProducts[Product / Service Name],"⚠ Unknown")</f>
        <v>Sneakers</v>
      </c>
      <c r="H383" s="1" t="str">
        <f>_xlfn.XLOOKUP(tblSales[[#This Row],[Product Code]],tblProducts[Code],tblProducts[Category],"")</f>
        <v>Apparel &amp; Footwear</v>
      </c>
      <c r="I383" s="4">
        <v>16</v>
      </c>
      <c r="J383" s="5">
        <f>_xlfn.XLOOKUP(tblSales[[#This Row],[Product Code]],tblProducts[Code],tblProducts[Selling Price (excl. VAT)],0)</f>
        <v>250000</v>
      </c>
      <c r="K383" s="5">
        <f>tblSales[[#This Row],[Qty]]*tblSales[[#This Row],[Unit Price]]</f>
        <v>4000000</v>
      </c>
      <c r="L383" s="5">
        <f>ROUND(tblSales[[#This Row],[DPP (excl. VAT)]]*VATEff,0)</f>
        <v>440000</v>
      </c>
      <c r="M383" s="5">
        <f>tblSales[[#This Row],[DPP (excl. VAT)]]+tblSales[[#This Row],[Output VAT]]</f>
        <v>4440000</v>
      </c>
      <c r="N383" s="5">
        <f>tblSales[[#This Row],[Qty]]*_xlfn.XLOOKUP(tblSales[[#This Row],[Product Code]],tblProducts[Code],tblProducts[Unit Cost],0)</f>
        <v>2480000</v>
      </c>
      <c r="O383" s="4" t="s">
        <v>4867</v>
      </c>
      <c r="P383" s="4" t="s">
        <v>4860</v>
      </c>
      <c r="Q383" s="1" t="str">
        <f>_xlfn.XLOOKUP(tblSales[[#This Row],[Channel Code]],tblChannels[Channel Code],tblChannels[Channel Name],"")</f>
        <v>In-store</v>
      </c>
      <c r="R383" s="1">
        <f>MONTH(tblSales[[#This Row],[Date]])</f>
        <v>1</v>
      </c>
    </row>
    <row r="384" spans="2:18" x14ac:dyDescent="0.35">
      <c r="B384" s="113">
        <v>46047</v>
      </c>
      <c r="C384" s="4" t="s">
        <v>317</v>
      </c>
      <c r="D384" s="4" t="s">
        <v>4568</v>
      </c>
      <c r="E384" s="1" t="str">
        <f>_xlfn.XLOOKUP(tblSales[[#This Row],[Customer ID]],tblCustomers[Customer ID],tblCustomers[Customer Name],"⚠ Unknown")</f>
        <v>Walk-in Customer</v>
      </c>
      <c r="F384" s="4" t="s">
        <v>8</v>
      </c>
      <c r="G384" s="1" t="str">
        <f>_xlfn.XLOOKUP(tblSales[[#This Row],[Product Code]],tblProducts[Code],tblProducts[Product / Service Name],"⚠ Unknown")</f>
        <v>Casual Shorts</v>
      </c>
      <c r="H384" s="1" t="str">
        <f>_xlfn.XLOOKUP(tblSales[[#This Row],[Product Code]],tblProducts[Code],tblProducts[Category],"")</f>
        <v>Accessories &amp; Basics</v>
      </c>
      <c r="I384" s="4">
        <v>6</v>
      </c>
      <c r="J384" s="5">
        <f>_xlfn.XLOOKUP(tblSales[[#This Row],[Product Code]],tblProducts[Code],tblProducts[Selling Price (excl. VAT)],0)</f>
        <v>85000</v>
      </c>
      <c r="K384" s="5">
        <f>tblSales[[#This Row],[Qty]]*tblSales[[#This Row],[Unit Price]]</f>
        <v>510000</v>
      </c>
      <c r="L384" s="5">
        <f>ROUND(tblSales[[#This Row],[DPP (excl. VAT)]]*VATEff,0)</f>
        <v>56100</v>
      </c>
      <c r="M384" s="5">
        <f>tblSales[[#This Row],[DPP (excl. VAT)]]+tblSales[[#This Row],[Output VAT]]</f>
        <v>566100</v>
      </c>
      <c r="N384" s="5">
        <f>tblSales[[#This Row],[Qty]]*_xlfn.XLOOKUP(tblSales[[#This Row],[Product Code]],tblProducts[Code],tblProducts[Unit Cost],0)</f>
        <v>300000</v>
      </c>
      <c r="O384" s="4" t="s">
        <v>4866</v>
      </c>
      <c r="P384" s="4" t="s">
        <v>4860</v>
      </c>
      <c r="Q384" s="1" t="str">
        <f>_xlfn.XLOOKUP(tblSales[[#This Row],[Channel Code]],tblChannels[Channel Code],tblChannels[Channel Name],"")</f>
        <v>In-store</v>
      </c>
      <c r="R384" s="1">
        <f>MONTH(tblSales[[#This Row],[Date]])</f>
        <v>1</v>
      </c>
    </row>
    <row r="385" spans="2:18" x14ac:dyDescent="0.35">
      <c r="B385" s="113">
        <v>46047</v>
      </c>
      <c r="C385" s="4" t="s">
        <v>317</v>
      </c>
      <c r="D385" s="4" t="s">
        <v>4568</v>
      </c>
      <c r="E385" s="1" t="str">
        <f>_xlfn.XLOOKUP(tblSales[[#This Row],[Customer ID]],tblCustomers[Customer ID],tblCustomers[Customer Name],"⚠ Unknown")</f>
        <v>Walk-in Customer</v>
      </c>
      <c r="F385" s="4" t="s">
        <v>6</v>
      </c>
      <c r="G385" s="1" t="str">
        <f>_xlfn.XLOOKUP(tblSales[[#This Row],[Product Code]],tblProducts[Code],tblProducts[Product / Service Name],"⚠ Unknown")</f>
        <v>Socks &amp; Accessories</v>
      </c>
      <c r="H385" s="1" t="str">
        <f>_xlfn.XLOOKUP(tblSales[[#This Row],[Product Code]],tblProducts[Code],tblProducts[Category],"")</f>
        <v>Accessories &amp; Basics</v>
      </c>
      <c r="I385" s="4">
        <v>6</v>
      </c>
      <c r="J385" s="5">
        <f>_xlfn.XLOOKUP(tblSales[[#This Row],[Product Code]],tblProducts[Code],tblProducts[Selling Price (excl. VAT)],0)</f>
        <v>45000</v>
      </c>
      <c r="K385" s="5">
        <f>tblSales[[#This Row],[Qty]]*tblSales[[#This Row],[Unit Price]]</f>
        <v>270000</v>
      </c>
      <c r="L385" s="5">
        <f>ROUND(tblSales[[#This Row],[DPP (excl. VAT)]]*VATEff,0)</f>
        <v>29700</v>
      </c>
      <c r="M385" s="5">
        <f>tblSales[[#This Row],[DPP (excl. VAT)]]+tblSales[[#This Row],[Output VAT]]</f>
        <v>299700</v>
      </c>
      <c r="N385" s="5">
        <f>tblSales[[#This Row],[Qty]]*_xlfn.XLOOKUP(tblSales[[#This Row],[Product Code]],tblProducts[Code],tblProducts[Unit Cost],0)</f>
        <v>144000</v>
      </c>
      <c r="O385" s="4" t="s">
        <v>4866</v>
      </c>
      <c r="P385" s="4" t="s">
        <v>4860</v>
      </c>
      <c r="Q385" s="1" t="str">
        <f>_xlfn.XLOOKUP(tblSales[[#This Row],[Channel Code]],tblChannels[Channel Code],tblChannels[Channel Name],"")</f>
        <v>In-store</v>
      </c>
      <c r="R385" s="1">
        <f>MONTH(tblSales[[#This Row],[Date]])</f>
        <v>1</v>
      </c>
    </row>
    <row r="386" spans="2:18" x14ac:dyDescent="0.35">
      <c r="B386" s="113">
        <v>46047</v>
      </c>
      <c r="C386" s="4" t="s">
        <v>5082</v>
      </c>
      <c r="D386" s="4" t="s">
        <v>4568</v>
      </c>
      <c r="E386" s="1" t="str">
        <f>_xlfn.XLOOKUP(tblSales[[#This Row],[Customer ID]],tblCustomers[Customer ID],tblCustomers[Customer Name],"⚠ Unknown")</f>
        <v>Walk-in Customer</v>
      </c>
      <c r="F386" s="4" t="s">
        <v>11</v>
      </c>
      <c r="G386" s="1" t="str">
        <f>_xlfn.XLOOKUP(tblSales[[#This Row],[Product Code]],tblProducts[Code],tblProducts[Product / Service Name],"⚠ Unknown")</f>
        <v>Sneakers</v>
      </c>
      <c r="H386" s="1" t="str">
        <f>_xlfn.XLOOKUP(tblSales[[#This Row],[Product Code]],tblProducts[Code],tblProducts[Category],"")</f>
        <v>Apparel &amp; Footwear</v>
      </c>
      <c r="I386" s="4">
        <v>6</v>
      </c>
      <c r="J386" s="5">
        <f>_xlfn.XLOOKUP(tblSales[[#This Row],[Product Code]],tblProducts[Code],tblProducts[Selling Price (excl. VAT)],0)</f>
        <v>250000</v>
      </c>
      <c r="K386" s="5">
        <f>tblSales[[#This Row],[Qty]]*tblSales[[#This Row],[Unit Price]]</f>
        <v>1500000</v>
      </c>
      <c r="L386" s="5">
        <f>ROUND(tblSales[[#This Row],[DPP (excl. VAT)]]*VATEff,0)</f>
        <v>165000</v>
      </c>
      <c r="M386" s="5">
        <f>tblSales[[#This Row],[DPP (excl. VAT)]]+tblSales[[#This Row],[Output VAT]]</f>
        <v>1665000</v>
      </c>
      <c r="N386" s="5">
        <f>tblSales[[#This Row],[Qty]]*_xlfn.XLOOKUP(tblSales[[#This Row],[Product Code]],tblProducts[Code],tblProducts[Unit Cost],0)</f>
        <v>930000</v>
      </c>
      <c r="O386" s="4" t="s">
        <v>4866</v>
      </c>
      <c r="P386" s="4" t="s">
        <v>4861</v>
      </c>
      <c r="Q386" s="1" t="str">
        <f>_xlfn.XLOOKUP(tblSales[[#This Row],[Channel Code]],tblChannels[Channel Code],tblChannels[Channel Name],"")</f>
        <v>Marketplace</v>
      </c>
      <c r="R386" s="1">
        <f>MONTH(tblSales[[#This Row],[Date]])</f>
        <v>1</v>
      </c>
    </row>
    <row r="387" spans="2:18" x14ac:dyDescent="0.35">
      <c r="B387" s="113">
        <v>46047</v>
      </c>
      <c r="C387" s="4" t="s">
        <v>5082</v>
      </c>
      <c r="D387" s="4" t="s">
        <v>4568</v>
      </c>
      <c r="E387" s="1" t="str">
        <f>_xlfn.XLOOKUP(tblSales[[#This Row],[Customer ID]],tblCustomers[Customer ID],tblCustomers[Customer Name],"⚠ Unknown")</f>
        <v>Walk-in Customer</v>
      </c>
      <c r="F387" s="4" t="s">
        <v>10</v>
      </c>
      <c r="G387" s="1" t="str">
        <f>_xlfn.XLOOKUP(tblSales[[#This Row],[Product Code]],tblProducts[Code],tblProducts[Product / Service Name],"⚠ Unknown")</f>
        <v>Chino Pants</v>
      </c>
      <c r="H387" s="1" t="str">
        <f>_xlfn.XLOOKUP(tblSales[[#This Row],[Product Code]],tblProducts[Code],tblProducts[Category],"")</f>
        <v>Apparel &amp; Footwear</v>
      </c>
      <c r="I387" s="4">
        <v>8</v>
      </c>
      <c r="J387" s="5">
        <f>_xlfn.XLOOKUP(tblSales[[#This Row],[Product Code]],tblProducts[Code],tblProducts[Selling Price (excl. VAT)],0)</f>
        <v>150000</v>
      </c>
      <c r="K387" s="5">
        <f>tblSales[[#This Row],[Qty]]*tblSales[[#This Row],[Unit Price]]</f>
        <v>1200000</v>
      </c>
      <c r="L387" s="5">
        <f>ROUND(tblSales[[#This Row],[DPP (excl. VAT)]]*VATEff,0)</f>
        <v>132000</v>
      </c>
      <c r="M387" s="5">
        <f>tblSales[[#This Row],[DPP (excl. VAT)]]+tblSales[[#This Row],[Output VAT]]</f>
        <v>1332000</v>
      </c>
      <c r="N387" s="5">
        <f>tblSales[[#This Row],[Qty]]*_xlfn.XLOOKUP(tblSales[[#This Row],[Product Code]],tblProducts[Code],tblProducts[Unit Cost],0)</f>
        <v>704000</v>
      </c>
      <c r="O387" s="4" t="s">
        <v>4866</v>
      </c>
      <c r="P387" s="4" t="s">
        <v>4861</v>
      </c>
      <c r="Q387" s="1" t="str">
        <f>_xlfn.XLOOKUP(tblSales[[#This Row],[Channel Code]],tblChannels[Channel Code],tblChannels[Channel Name],"")</f>
        <v>Marketplace</v>
      </c>
      <c r="R387" s="1">
        <f>MONTH(tblSales[[#This Row],[Date]])</f>
        <v>1</v>
      </c>
    </row>
    <row r="388" spans="2:18" x14ac:dyDescent="0.35">
      <c r="B388" s="113">
        <v>46047</v>
      </c>
      <c r="C388" s="4" t="s">
        <v>5083</v>
      </c>
      <c r="D388" s="4" t="s">
        <v>4568</v>
      </c>
      <c r="E388" s="1" t="str">
        <f>_xlfn.XLOOKUP(tblSales[[#This Row],[Customer ID]],tblCustomers[Customer ID],tblCustomers[Customer Name],"⚠ Unknown")</f>
        <v>Walk-in Customer</v>
      </c>
      <c r="F388" s="4" t="s">
        <v>11</v>
      </c>
      <c r="G388" s="1" t="str">
        <f>_xlfn.XLOOKUP(tblSales[[#This Row],[Product Code]],tblProducts[Code],tblProducts[Product / Service Name],"⚠ Unknown")</f>
        <v>Sneakers</v>
      </c>
      <c r="H388" s="1" t="str">
        <f>_xlfn.XLOOKUP(tblSales[[#This Row],[Product Code]],tblProducts[Code],tblProducts[Category],"")</f>
        <v>Apparel &amp; Footwear</v>
      </c>
      <c r="I388" s="4">
        <v>2</v>
      </c>
      <c r="J388" s="5">
        <f>_xlfn.XLOOKUP(tblSales[[#This Row],[Product Code]],tblProducts[Code],tblProducts[Selling Price (excl. VAT)],0)</f>
        <v>250000</v>
      </c>
      <c r="K388" s="5">
        <f>tblSales[[#This Row],[Qty]]*tblSales[[#This Row],[Unit Price]]</f>
        <v>500000</v>
      </c>
      <c r="L388" s="5">
        <f>ROUND(tblSales[[#This Row],[DPP (excl. VAT)]]*VATEff,0)</f>
        <v>55000</v>
      </c>
      <c r="M388" s="5">
        <f>tblSales[[#This Row],[DPP (excl. VAT)]]+tblSales[[#This Row],[Output VAT]]</f>
        <v>555000</v>
      </c>
      <c r="N388" s="5">
        <f>tblSales[[#This Row],[Qty]]*_xlfn.XLOOKUP(tblSales[[#This Row],[Product Code]],tblProducts[Code],tblProducts[Unit Cost],0)</f>
        <v>310000</v>
      </c>
      <c r="O388" s="4" t="s">
        <v>4865</v>
      </c>
      <c r="P388" s="4" t="s">
        <v>4860</v>
      </c>
      <c r="Q388" s="1" t="str">
        <f>_xlfn.XLOOKUP(tblSales[[#This Row],[Channel Code]],tblChannels[Channel Code],tblChannels[Channel Name],"")</f>
        <v>In-store</v>
      </c>
      <c r="R388" s="1">
        <f>MONTH(tblSales[[#This Row],[Date]])</f>
        <v>1</v>
      </c>
    </row>
    <row r="389" spans="2:18" x14ac:dyDescent="0.35">
      <c r="B389" s="113">
        <v>46048</v>
      </c>
      <c r="C389" s="4" t="s">
        <v>5084</v>
      </c>
      <c r="D389" s="4" t="s">
        <v>4578</v>
      </c>
      <c r="E389" s="1" t="str">
        <f>_xlfn.XLOOKUP(tblSales[[#This Row],[Customer ID]],tblCustomers[Customer ID],tblCustomers[Customer Name],"⚠ Unknown")</f>
        <v>PT Bintang Timur Sejahtera</v>
      </c>
      <c r="F389" s="4" t="s">
        <v>9</v>
      </c>
      <c r="G389" s="1" t="str">
        <f>_xlfn.XLOOKUP(tblSales[[#This Row],[Product Code]],tblProducts[Code],tblProducts[Product / Service Name],"⚠ Unknown")</f>
        <v>Casual Shirt</v>
      </c>
      <c r="H389" s="1" t="str">
        <f>_xlfn.XLOOKUP(tblSales[[#This Row],[Product Code]],tblProducts[Code],tblProducts[Category],"")</f>
        <v>Apparel &amp; Footwear</v>
      </c>
      <c r="I389" s="4">
        <v>16</v>
      </c>
      <c r="J389" s="5">
        <f>_xlfn.XLOOKUP(tblSales[[#This Row],[Product Code]],tblProducts[Code],tblProducts[Selling Price (excl. VAT)],0)</f>
        <v>120000</v>
      </c>
      <c r="K389" s="5">
        <f>tblSales[[#This Row],[Qty]]*tblSales[[#This Row],[Unit Price]]</f>
        <v>1920000</v>
      </c>
      <c r="L389" s="5">
        <f>ROUND(tblSales[[#This Row],[DPP (excl. VAT)]]*VATEff,0)</f>
        <v>211200</v>
      </c>
      <c r="M389" s="5">
        <f>tblSales[[#This Row],[DPP (excl. VAT)]]+tblSales[[#This Row],[Output VAT]]</f>
        <v>2131200</v>
      </c>
      <c r="N389" s="5">
        <f>tblSales[[#This Row],[Qty]]*_xlfn.XLOOKUP(tblSales[[#This Row],[Product Code]],tblProducts[Code],tblProducts[Unit Cost],0)</f>
        <v>1152000</v>
      </c>
      <c r="O389" s="4" t="s">
        <v>4867</v>
      </c>
      <c r="P389" s="4" t="s">
        <v>4860</v>
      </c>
      <c r="Q389" s="1" t="str">
        <f>_xlfn.XLOOKUP(tblSales[[#This Row],[Channel Code]],tblChannels[Channel Code],tblChannels[Channel Name],"")</f>
        <v>In-store</v>
      </c>
      <c r="R389" s="1">
        <f>MONTH(tblSales[[#This Row],[Date]])</f>
        <v>1</v>
      </c>
    </row>
    <row r="390" spans="2:18" x14ac:dyDescent="0.35">
      <c r="B390" s="113">
        <v>46048</v>
      </c>
      <c r="C390" s="4" t="s">
        <v>5085</v>
      </c>
      <c r="D390" s="4" t="s">
        <v>4568</v>
      </c>
      <c r="E390" s="1" t="str">
        <f>_xlfn.XLOOKUP(tblSales[[#This Row],[Customer ID]],tblCustomers[Customer ID],tblCustomers[Customer Name],"⚠ Unknown")</f>
        <v>Walk-in Customer</v>
      </c>
      <c r="F390" s="4" t="s">
        <v>7</v>
      </c>
      <c r="G390" s="1" t="str">
        <f>_xlfn.XLOOKUP(tblSales[[#This Row],[Product Code]],tblProducts[Code],tblProducts[Product / Service Name],"⚠ Unknown")</f>
        <v>Premium Basic T-shirt</v>
      </c>
      <c r="H390" s="1" t="str">
        <f>_xlfn.XLOOKUP(tblSales[[#This Row],[Product Code]],tblProducts[Code],tblProducts[Category],"")</f>
        <v>Accessories &amp; Basics</v>
      </c>
      <c r="I390" s="4">
        <v>6</v>
      </c>
      <c r="J390" s="5">
        <f>_xlfn.XLOOKUP(tblSales[[#This Row],[Product Code]],tblProducts[Code],tblProducts[Selling Price (excl. VAT)],0)</f>
        <v>65000</v>
      </c>
      <c r="K390" s="5">
        <f>tblSales[[#This Row],[Qty]]*tblSales[[#This Row],[Unit Price]]</f>
        <v>390000</v>
      </c>
      <c r="L390" s="5">
        <f>ROUND(tblSales[[#This Row],[DPP (excl. VAT)]]*VATEff,0)</f>
        <v>42900</v>
      </c>
      <c r="M390" s="5">
        <f>tblSales[[#This Row],[DPP (excl. VAT)]]+tblSales[[#This Row],[Output VAT]]</f>
        <v>432900</v>
      </c>
      <c r="N390" s="5">
        <f>tblSales[[#This Row],[Qty]]*_xlfn.XLOOKUP(tblSales[[#This Row],[Product Code]],tblProducts[Code],tblProducts[Unit Cost],0)</f>
        <v>222000</v>
      </c>
      <c r="O390" s="4" t="s">
        <v>4866</v>
      </c>
      <c r="P390" s="4" t="s">
        <v>4860</v>
      </c>
      <c r="Q390" s="1" t="str">
        <f>_xlfn.XLOOKUP(tblSales[[#This Row],[Channel Code]],tblChannels[Channel Code],tblChannels[Channel Name],"")</f>
        <v>In-store</v>
      </c>
      <c r="R390" s="1">
        <f>MONTH(tblSales[[#This Row],[Date]])</f>
        <v>1</v>
      </c>
    </row>
    <row r="391" spans="2:18" x14ac:dyDescent="0.35">
      <c r="B391" s="113">
        <v>46048</v>
      </c>
      <c r="C391" s="4" t="s">
        <v>5086</v>
      </c>
      <c r="D391" s="4" t="s">
        <v>4599</v>
      </c>
      <c r="E391" s="1" t="str">
        <f>_xlfn.XLOOKUP(tblSales[[#This Row],[Customer ID]],tblCustomers[Customer ID],tblCustomers[Customer Name],"⚠ Unknown")</f>
        <v>PT Samudra Jaya Logistik</v>
      </c>
      <c r="F391" s="4" t="s">
        <v>7</v>
      </c>
      <c r="G391" s="1" t="str">
        <f>_xlfn.XLOOKUP(tblSales[[#This Row],[Product Code]],tblProducts[Code],tblProducts[Product / Service Name],"⚠ Unknown")</f>
        <v>Premium Basic T-shirt</v>
      </c>
      <c r="H391" s="1" t="str">
        <f>_xlfn.XLOOKUP(tblSales[[#This Row],[Product Code]],tblProducts[Code],tblProducts[Category],"")</f>
        <v>Accessories &amp; Basics</v>
      </c>
      <c r="I391" s="4">
        <v>96</v>
      </c>
      <c r="J391" s="5">
        <f>_xlfn.XLOOKUP(tblSales[[#This Row],[Product Code]],tblProducts[Code],tblProducts[Selling Price (excl. VAT)],0)</f>
        <v>65000</v>
      </c>
      <c r="K391" s="5">
        <f>tblSales[[#This Row],[Qty]]*tblSales[[#This Row],[Unit Price]]</f>
        <v>6240000</v>
      </c>
      <c r="L391" s="5">
        <f>ROUND(tblSales[[#This Row],[DPP (excl. VAT)]]*VATEff,0)</f>
        <v>686400</v>
      </c>
      <c r="M391" s="5">
        <f>tblSales[[#This Row],[DPP (excl. VAT)]]+tblSales[[#This Row],[Output VAT]]</f>
        <v>6926400</v>
      </c>
      <c r="N391" s="5">
        <f>tblSales[[#This Row],[Qty]]*_xlfn.XLOOKUP(tblSales[[#This Row],[Product Code]],tblProducts[Code],tblProducts[Unit Cost],0)</f>
        <v>3552000</v>
      </c>
      <c r="O391" s="4" t="s">
        <v>4867</v>
      </c>
      <c r="P391" s="4" t="s">
        <v>4860</v>
      </c>
      <c r="Q391" s="1" t="str">
        <f>_xlfn.XLOOKUP(tblSales[[#This Row],[Channel Code]],tblChannels[Channel Code],tblChannels[Channel Name],"")</f>
        <v>In-store</v>
      </c>
      <c r="R391" s="1">
        <f>MONTH(tblSales[[#This Row],[Date]])</f>
        <v>1</v>
      </c>
    </row>
    <row r="392" spans="2:18" x14ac:dyDescent="0.35">
      <c r="B392" s="113">
        <v>46048</v>
      </c>
      <c r="C392" s="4" t="s">
        <v>5086</v>
      </c>
      <c r="D392" s="4" t="s">
        <v>4599</v>
      </c>
      <c r="E392" s="1" t="str">
        <f>_xlfn.XLOOKUP(tblSales[[#This Row],[Customer ID]],tblCustomers[Customer ID],tblCustomers[Customer Name],"⚠ Unknown")</f>
        <v>PT Samudra Jaya Logistik</v>
      </c>
      <c r="F392" s="4" t="s">
        <v>9</v>
      </c>
      <c r="G392" s="1" t="str">
        <f>_xlfn.XLOOKUP(tblSales[[#This Row],[Product Code]],tblProducts[Code],tblProducts[Product / Service Name],"⚠ Unknown")</f>
        <v>Casual Shirt</v>
      </c>
      <c r="H392" s="1" t="str">
        <f>_xlfn.XLOOKUP(tblSales[[#This Row],[Product Code]],tblProducts[Code],tblProducts[Category],"")</f>
        <v>Apparel &amp; Footwear</v>
      </c>
      <c r="I392" s="4">
        <v>56</v>
      </c>
      <c r="J392" s="5">
        <f>_xlfn.XLOOKUP(tblSales[[#This Row],[Product Code]],tblProducts[Code],tblProducts[Selling Price (excl. VAT)],0)</f>
        <v>120000</v>
      </c>
      <c r="K392" s="5">
        <f>tblSales[[#This Row],[Qty]]*tblSales[[#This Row],[Unit Price]]</f>
        <v>6720000</v>
      </c>
      <c r="L392" s="5">
        <f>ROUND(tblSales[[#This Row],[DPP (excl. VAT)]]*VATEff,0)</f>
        <v>739200</v>
      </c>
      <c r="M392" s="5">
        <f>tblSales[[#This Row],[DPP (excl. VAT)]]+tblSales[[#This Row],[Output VAT]]</f>
        <v>7459200</v>
      </c>
      <c r="N392" s="5">
        <f>tblSales[[#This Row],[Qty]]*_xlfn.XLOOKUP(tblSales[[#This Row],[Product Code]],tblProducts[Code],tblProducts[Unit Cost],0)</f>
        <v>4032000</v>
      </c>
      <c r="O392" s="4" t="s">
        <v>4867</v>
      </c>
      <c r="P392" s="4" t="s">
        <v>4860</v>
      </c>
      <c r="Q392" s="1" t="str">
        <f>_xlfn.XLOOKUP(tblSales[[#This Row],[Channel Code]],tblChannels[Channel Code],tblChannels[Channel Name],"")</f>
        <v>In-store</v>
      </c>
      <c r="R392" s="1">
        <f>MONTH(tblSales[[#This Row],[Date]])</f>
        <v>1</v>
      </c>
    </row>
    <row r="393" spans="2:18" x14ac:dyDescent="0.35">
      <c r="B393" s="113">
        <v>46048</v>
      </c>
      <c r="C393" s="4" t="s">
        <v>5086</v>
      </c>
      <c r="D393" s="4" t="s">
        <v>4599</v>
      </c>
      <c r="E393" s="1" t="str">
        <f>_xlfn.XLOOKUP(tblSales[[#This Row],[Customer ID]],tblCustomers[Customer ID],tblCustomers[Customer Name],"⚠ Unknown")</f>
        <v>PT Samudra Jaya Logistik</v>
      </c>
      <c r="F393" s="4" t="s">
        <v>6</v>
      </c>
      <c r="G393" s="1" t="str">
        <f>_xlfn.XLOOKUP(tblSales[[#This Row],[Product Code]],tblProducts[Code],tblProducts[Product / Service Name],"⚠ Unknown")</f>
        <v>Socks &amp; Accessories</v>
      </c>
      <c r="H393" s="1" t="str">
        <f>_xlfn.XLOOKUP(tblSales[[#This Row],[Product Code]],tblProducts[Code],tblProducts[Category],"")</f>
        <v>Accessories &amp; Basics</v>
      </c>
      <c r="I393" s="4">
        <v>16</v>
      </c>
      <c r="J393" s="5">
        <f>_xlfn.XLOOKUP(tblSales[[#This Row],[Product Code]],tblProducts[Code],tblProducts[Selling Price (excl. VAT)],0)</f>
        <v>45000</v>
      </c>
      <c r="K393" s="5">
        <f>tblSales[[#This Row],[Qty]]*tblSales[[#This Row],[Unit Price]]</f>
        <v>720000</v>
      </c>
      <c r="L393" s="5">
        <f>ROUND(tblSales[[#This Row],[DPP (excl. VAT)]]*VATEff,0)</f>
        <v>79200</v>
      </c>
      <c r="M393" s="5">
        <f>tblSales[[#This Row],[DPP (excl. VAT)]]+tblSales[[#This Row],[Output VAT]]</f>
        <v>799200</v>
      </c>
      <c r="N393" s="5">
        <f>tblSales[[#This Row],[Qty]]*_xlfn.XLOOKUP(tblSales[[#This Row],[Product Code]],tblProducts[Code],tblProducts[Unit Cost],0)</f>
        <v>384000</v>
      </c>
      <c r="O393" s="4" t="s">
        <v>4867</v>
      </c>
      <c r="P393" s="4" t="s">
        <v>4860</v>
      </c>
      <c r="Q393" s="1" t="str">
        <f>_xlfn.XLOOKUP(tblSales[[#This Row],[Channel Code]],tblChannels[Channel Code],tblChannels[Channel Name],"")</f>
        <v>In-store</v>
      </c>
      <c r="R393" s="1">
        <f>MONTH(tblSales[[#This Row],[Date]])</f>
        <v>1</v>
      </c>
    </row>
    <row r="394" spans="2:18" x14ac:dyDescent="0.35">
      <c r="B394" s="113">
        <v>46048</v>
      </c>
      <c r="C394" s="4" t="s">
        <v>5087</v>
      </c>
      <c r="D394" s="4" t="s">
        <v>4568</v>
      </c>
      <c r="E394" s="1" t="str">
        <f>_xlfn.XLOOKUP(tblSales[[#This Row],[Customer ID]],tblCustomers[Customer ID],tblCustomers[Customer Name],"⚠ Unknown")</f>
        <v>Walk-in Customer</v>
      </c>
      <c r="F394" s="4" t="s">
        <v>13</v>
      </c>
      <c r="G394" s="1" t="str">
        <f>_xlfn.XLOOKUP(tblSales[[#This Row],[Product Code]],tblProducts[Code],tblProducts[Product / Service Name],"⚠ Unknown")</f>
        <v>Backpack</v>
      </c>
      <c r="H394" s="1" t="str">
        <f>_xlfn.XLOOKUP(tblSales[[#This Row],[Product Code]],tblProducts[Code],tblProducts[Category],"")</f>
        <v>Bags &amp; Gadgets</v>
      </c>
      <c r="I394" s="4">
        <v>3</v>
      </c>
      <c r="J394" s="5">
        <f>_xlfn.XLOOKUP(tblSales[[#This Row],[Product Code]],tblProducts[Code],tblProducts[Selling Price (excl. VAT)],0)</f>
        <v>500000</v>
      </c>
      <c r="K394" s="5">
        <f>tblSales[[#This Row],[Qty]]*tblSales[[#This Row],[Unit Price]]</f>
        <v>1500000</v>
      </c>
      <c r="L394" s="5">
        <f>ROUND(tblSales[[#This Row],[DPP (excl. VAT)]]*VATEff,0)</f>
        <v>165000</v>
      </c>
      <c r="M394" s="5">
        <f>tblSales[[#This Row],[DPP (excl. VAT)]]+tblSales[[#This Row],[Output VAT]]</f>
        <v>1665000</v>
      </c>
      <c r="N394" s="5">
        <f>tblSales[[#This Row],[Qty]]*_xlfn.XLOOKUP(tblSales[[#This Row],[Product Code]],tblProducts[Code],tblProducts[Unit Cost],0)</f>
        <v>870000</v>
      </c>
      <c r="O394" s="4" t="s">
        <v>4865</v>
      </c>
      <c r="P394" s="4" t="s">
        <v>4860</v>
      </c>
      <c r="Q394" s="1" t="str">
        <f>_xlfn.XLOOKUP(tblSales[[#This Row],[Channel Code]],tblChannels[Channel Code],tblChannels[Channel Name],"")</f>
        <v>In-store</v>
      </c>
      <c r="R394" s="1">
        <f>MONTH(tblSales[[#This Row],[Date]])</f>
        <v>1</v>
      </c>
    </row>
    <row r="395" spans="2:18" x14ac:dyDescent="0.35">
      <c r="B395" s="113">
        <v>46048</v>
      </c>
      <c r="C395" s="4" t="s">
        <v>5087</v>
      </c>
      <c r="D395" s="4" t="s">
        <v>4568</v>
      </c>
      <c r="E395" s="1" t="str">
        <f>_xlfn.XLOOKUP(tblSales[[#This Row],[Customer ID]],tblCustomers[Customer ID],tblCustomers[Customer Name],"⚠ Unknown")</f>
        <v>Walk-in Customer</v>
      </c>
      <c r="F395" s="4" t="s">
        <v>7</v>
      </c>
      <c r="G395" s="1" t="str">
        <f>_xlfn.XLOOKUP(tblSales[[#This Row],[Product Code]],tblProducts[Code],tblProducts[Product / Service Name],"⚠ Unknown")</f>
        <v>Premium Basic T-shirt</v>
      </c>
      <c r="H395" s="1" t="str">
        <f>_xlfn.XLOOKUP(tblSales[[#This Row],[Product Code]],tblProducts[Code],tblProducts[Category],"")</f>
        <v>Accessories &amp; Basics</v>
      </c>
      <c r="I395" s="4">
        <v>11</v>
      </c>
      <c r="J395" s="5">
        <f>_xlfn.XLOOKUP(tblSales[[#This Row],[Product Code]],tblProducts[Code],tblProducts[Selling Price (excl. VAT)],0)</f>
        <v>65000</v>
      </c>
      <c r="K395" s="5">
        <f>tblSales[[#This Row],[Qty]]*tblSales[[#This Row],[Unit Price]]</f>
        <v>715000</v>
      </c>
      <c r="L395" s="5">
        <f>ROUND(tblSales[[#This Row],[DPP (excl. VAT)]]*VATEff,0)</f>
        <v>78650</v>
      </c>
      <c r="M395" s="5">
        <f>tblSales[[#This Row],[DPP (excl. VAT)]]+tblSales[[#This Row],[Output VAT]]</f>
        <v>793650</v>
      </c>
      <c r="N395" s="5">
        <f>tblSales[[#This Row],[Qty]]*_xlfn.XLOOKUP(tblSales[[#This Row],[Product Code]],tblProducts[Code],tblProducts[Unit Cost],0)</f>
        <v>407000</v>
      </c>
      <c r="O395" s="4" t="s">
        <v>4865</v>
      </c>
      <c r="P395" s="4" t="s">
        <v>4860</v>
      </c>
      <c r="Q395" s="1" t="str">
        <f>_xlfn.XLOOKUP(tblSales[[#This Row],[Channel Code]],tblChannels[Channel Code],tblChannels[Channel Name],"")</f>
        <v>In-store</v>
      </c>
      <c r="R395" s="1">
        <f>MONTH(tblSales[[#This Row],[Date]])</f>
        <v>1</v>
      </c>
    </row>
    <row r="396" spans="2:18" x14ac:dyDescent="0.35">
      <c r="B396" s="113">
        <v>46048</v>
      </c>
      <c r="C396" s="4" t="s">
        <v>5088</v>
      </c>
      <c r="D396" s="4" t="s">
        <v>4568</v>
      </c>
      <c r="E396" s="1" t="str">
        <f>_xlfn.XLOOKUP(tblSales[[#This Row],[Customer ID]],tblCustomers[Customer ID],tblCustomers[Customer Name],"⚠ Unknown")</f>
        <v>Walk-in Customer</v>
      </c>
      <c r="F396" s="4" t="s">
        <v>10</v>
      </c>
      <c r="G396" s="1" t="str">
        <f>_xlfn.XLOOKUP(tblSales[[#This Row],[Product Code]],tblProducts[Code],tblProducts[Product / Service Name],"⚠ Unknown")</f>
        <v>Chino Pants</v>
      </c>
      <c r="H396" s="1" t="str">
        <f>_xlfn.XLOOKUP(tblSales[[#This Row],[Product Code]],tblProducts[Code],tblProducts[Category],"")</f>
        <v>Apparel &amp; Footwear</v>
      </c>
      <c r="I396" s="4">
        <v>8</v>
      </c>
      <c r="J396" s="5">
        <f>_xlfn.XLOOKUP(tblSales[[#This Row],[Product Code]],tblProducts[Code],tblProducts[Selling Price (excl. VAT)],0)</f>
        <v>150000</v>
      </c>
      <c r="K396" s="5">
        <f>tblSales[[#This Row],[Qty]]*tblSales[[#This Row],[Unit Price]]</f>
        <v>1200000</v>
      </c>
      <c r="L396" s="5">
        <f>ROUND(tblSales[[#This Row],[DPP (excl. VAT)]]*VATEff,0)</f>
        <v>132000</v>
      </c>
      <c r="M396" s="5">
        <f>tblSales[[#This Row],[DPP (excl. VAT)]]+tblSales[[#This Row],[Output VAT]]</f>
        <v>1332000</v>
      </c>
      <c r="N396" s="5">
        <f>tblSales[[#This Row],[Qty]]*_xlfn.XLOOKUP(tblSales[[#This Row],[Product Code]],tblProducts[Code],tblProducts[Unit Cost],0)</f>
        <v>704000</v>
      </c>
      <c r="O396" s="4" t="s">
        <v>4866</v>
      </c>
      <c r="P396" s="4" t="s">
        <v>4860</v>
      </c>
      <c r="Q396" s="1" t="str">
        <f>_xlfn.XLOOKUP(tblSales[[#This Row],[Channel Code]],tblChannels[Channel Code],tblChannels[Channel Name],"")</f>
        <v>In-store</v>
      </c>
      <c r="R396" s="1">
        <f>MONTH(tblSales[[#This Row],[Date]])</f>
        <v>1</v>
      </c>
    </row>
    <row r="397" spans="2:18" x14ac:dyDescent="0.35">
      <c r="B397" s="113">
        <v>46048</v>
      </c>
      <c r="C397" s="4" t="s">
        <v>5089</v>
      </c>
      <c r="D397" s="4" t="s">
        <v>4568</v>
      </c>
      <c r="E397" s="1" t="str">
        <f>_xlfn.XLOOKUP(tblSales[[#This Row],[Customer ID]],tblCustomers[Customer ID],tblCustomers[Customer Name],"⚠ Unknown")</f>
        <v>Walk-in Customer</v>
      </c>
      <c r="F397" s="4" t="s">
        <v>6</v>
      </c>
      <c r="G397" s="1" t="str">
        <f>_xlfn.XLOOKUP(tblSales[[#This Row],[Product Code]],tblProducts[Code],tblProducts[Product / Service Name],"⚠ Unknown")</f>
        <v>Socks &amp; Accessories</v>
      </c>
      <c r="H397" s="1" t="str">
        <f>_xlfn.XLOOKUP(tblSales[[#This Row],[Product Code]],tblProducts[Code],tblProducts[Category],"")</f>
        <v>Accessories &amp; Basics</v>
      </c>
      <c r="I397" s="4">
        <v>8</v>
      </c>
      <c r="J397" s="5">
        <f>_xlfn.XLOOKUP(tblSales[[#This Row],[Product Code]],tblProducts[Code],tblProducts[Selling Price (excl. VAT)],0)</f>
        <v>45000</v>
      </c>
      <c r="K397" s="5">
        <f>tblSales[[#This Row],[Qty]]*tblSales[[#This Row],[Unit Price]]</f>
        <v>360000</v>
      </c>
      <c r="L397" s="5">
        <f>ROUND(tblSales[[#This Row],[DPP (excl. VAT)]]*VATEff,0)</f>
        <v>39600</v>
      </c>
      <c r="M397" s="5">
        <f>tblSales[[#This Row],[DPP (excl. VAT)]]+tblSales[[#This Row],[Output VAT]]</f>
        <v>399600</v>
      </c>
      <c r="N397" s="5">
        <f>tblSales[[#This Row],[Qty]]*_xlfn.XLOOKUP(tblSales[[#This Row],[Product Code]],tblProducts[Code],tblProducts[Unit Cost],0)</f>
        <v>192000</v>
      </c>
      <c r="O397" s="4" t="s">
        <v>4865</v>
      </c>
      <c r="P397" s="4" t="s">
        <v>4860</v>
      </c>
      <c r="Q397" s="1" t="str">
        <f>_xlfn.XLOOKUP(tblSales[[#This Row],[Channel Code]],tblChannels[Channel Code],tblChannels[Channel Name],"")</f>
        <v>In-store</v>
      </c>
      <c r="R397" s="1">
        <f>MONTH(tblSales[[#This Row],[Date]])</f>
        <v>1</v>
      </c>
    </row>
    <row r="398" spans="2:18" x14ac:dyDescent="0.35">
      <c r="B398" s="113">
        <v>46048</v>
      </c>
      <c r="C398" s="4" t="s">
        <v>5090</v>
      </c>
      <c r="D398" s="4" t="s">
        <v>4648</v>
      </c>
      <c r="E398" s="1" t="str">
        <f>_xlfn.XLOOKUP(tblSales[[#This Row],[Customer ID]],tblCustomers[Customer ID],tblCustomers[Customer Name],"⚠ Unknown")</f>
        <v>PT Lintas Benua Niaga</v>
      </c>
      <c r="F398" s="4" t="s">
        <v>6</v>
      </c>
      <c r="G398" s="1" t="str">
        <f>_xlfn.XLOOKUP(tblSales[[#This Row],[Product Code]],tblProducts[Code],tblProducts[Product / Service Name],"⚠ Unknown")</f>
        <v>Socks &amp; Accessories</v>
      </c>
      <c r="H398" s="1" t="str">
        <f>_xlfn.XLOOKUP(tblSales[[#This Row],[Product Code]],tblProducts[Code],tblProducts[Category],"")</f>
        <v>Accessories &amp; Basics</v>
      </c>
      <c r="I398" s="4">
        <v>48</v>
      </c>
      <c r="J398" s="5">
        <f>_xlfn.XLOOKUP(tblSales[[#This Row],[Product Code]],tblProducts[Code],tblProducts[Selling Price (excl. VAT)],0)</f>
        <v>45000</v>
      </c>
      <c r="K398" s="5">
        <f>tblSales[[#This Row],[Qty]]*tblSales[[#This Row],[Unit Price]]</f>
        <v>2160000</v>
      </c>
      <c r="L398" s="5">
        <f>ROUND(tblSales[[#This Row],[DPP (excl. VAT)]]*VATEff,0)</f>
        <v>237600</v>
      </c>
      <c r="M398" s="5">
        <f>tblSales[[#This Row],[DPP (excl. VAT)]]+tblSales[[#This Row],[Output VAT]]</f>
        <v>2397600</v>
      </c>
      <c r="N398" s="5">
        <f>tblSales[[#This Row],[Qty]]*_xlfn.XLOOKUP(tblSales[[#This Row],[Product Code]],tblProducts[Code],tblProducts[Unit Cost],0)</f>
        <v>1152000</v>
      </c>
      <c r="O398" s="4" t="s">
        <v>4867</v>
      </c>
      <c r="P398" s="4" t="s">
        <v>4860</v>
      </c>
      <c r="Q398" s="1" t="str">
        <f>_xlfn.XLOOKUP(tblSales[[#This Row],[Channel Code]],tblChannels[Channel Code],tblChannels[Channel Name],"")</f>
        <v>In-store</v>
      </c>
      <c r="R398" s="1">
        <f>MONTH(tblSales[[#This Row],[Date]])</f>
        <v>1</v>
      </c>
    </row>
    <row r="399" spans="2:18" x14ac:dyDescent="0.35">
      <c r="B399" s="113">
        <v>46048</v>
      </c>
      <c r="C399" s="4" t="s">
        <v>5090</v>
      </c>
      <c r="D399" s="4" t="s">
        <v>4648</v>
      </c>
      <c r="E399" s="1" t="str">
        <f>_xlfn.XLOOKUP(tblSales[[#This Row],[Customer ID]],tblCustomers[Customer ID],tblCustomers[Customer Name],"⚠ Unknown")</f>
        <v>PT Lintas Benua Niaga</v>
      </c>
      <c r="F399" s="4" t="s">
        <v>13</v>
      </c>
      <c r="G399" s="1" t="str">
        <f>_xlfn.XLOOKUP(tblSales[[#This Row],[Product Code]],tblProducts[Code],tblProducts[Product / Service Name],"⚠ Unknown")</f>
        <v>Backpack</v>
      </c>
      <c r="H399" s="1" t="str">
        <f>_xlfn.XLOOKUP(tblSales[[#This Row],[Product Code]],tblProducts[Code],tblProducts[Category],"")</f>
        <v>Bags &amp; Gadgets</v>
      </c>
      <c r="I399" s="4">
        <v>48</v>
      </c>
      <c r="J399" s="5">
        <f>_xlfn.XLOOKUP(tblSales[[#This Row],[Product Code]],tblProducts[Code],tblProducts[Selling Price (excl. VAT)],0)</f>
        <v>500000</v>
      </c>
      <c r="K399" s="5">
        <f>tblSales[[#This Row],[Qty]]*tblSales[[#This Row],[Unit Price]]</f>
        <v>24000000</v>
      </c>
      <c r="L399" s="5">
        <f>ROUND(tblSales[[#This Row],[DPP (excl. VAT)]]*VATEff,0)</f>
        <v>2640000</v>
      </c>
      <c r="M399" s="5">
        <f>tblSales[[#This Row],[DPP (excl. VAT)]]+tblSales[[#This Row],[Output VAT]]</f>
        <v>26640000</v>
      </c>
      <c r="N399" s="5">
        <f>tblSales[[#This Row],[Qty]]*_xlfn.XLOOKUP(tblSales[[#This Row],[Product Code]],tblProducts[Code],tblProducts[Unit Cost],0)</f>
        <v>13920000</v>
      </c>
      <c r="O399" s="4" t="s">
        <v>4867</v>
      </c>
      <c r="P399" s="4" t="s">
        <v>4860</v>
      </c>
      <c r="Q399" s="1" t="str">
        <f>_xlfn.XLOOKUP(tblSales[[#This Row],[Channel Code]],tblChannels[Channel Code],tblChannels[Channel Name],"")</f>
        <v>In-store</v>
      </c>
      <c r="R399" s="1">
        <f>MONTH(tblSales[[#This Row],[Date]])</f>
        <v>1</v>
      </c>
    </row>
    <row r="400" spans="2:18" x14ac:dyDescent="0.35">
      <c r="B400" s="113">
        <v>46048</v>
      </c>
      <c r="C400" s="4" t="s">
        <v>5091</v>
      </c>
      <c r="D400" s="4" t="s">
        <v>4641</v>
      </c>
      <c r="E400" s="1" t="str">
        <f>_xlfn.XLOOKUP(tblSales[[#This Row],[Customer ID]],tblCustomers[Customer ID],tblCustomers[Customer Name],"⚠ Unknown")</f>
        <v>PT Harmoni Pangan Lestari</v>
      </c>
      <c r="F400" s="4" t="s">
        <v>8</v>
      </c>
      <c r="G400" s="1" t="str">
        <f>_xlfn.XLOOKUP(tblSales[[#This Row],[Product Code]],tblProducts[Code],tblProducts[Product / Service Name],"⚠ Unknown")</f>
        <v>Casual Shorts</v>
      </c>
      <c r="H400" s="1" t="str">
        <f>_xlfn.XLOOKUP(tblSales[[#This Row],[Product Code]],tblProducts[Code],tblProducts[Category],"")</f>
        <v>Accessories &amp; Basics</v>
      </c>
      <c r="I400" s="4">
        <v>48</v>
      </c>
      <c r="J400" s="5">
        <f>_xlfn.XLOOKUP(tblSales[[#This Row],[Product Code]],tblProducts[Code],tblProducts[Selling Price (excl. VAT)],0)</f>
        <v>85000</v>
      </c>
      <c r="K400" s="5">
        <f>tblSales[[#This Row],[Qty]]*tblSales[[#This Row],[Unit Price]]</f>
        <v>4080000</v>
      </c>
      <c r="L400" s="5">
        <f>ROUND(tblSales[[#This Row],[DPP (excl. VAT)]]*VATEff,0)</f>
        <v>448800</v>
      </c>
      <c r="M400" s="5">
        <f>tblSales[[#This Row],[DPP (excl. VAT)]]+tblSales[[#This Row],[Output VAT]]</f>
        <v>4528800</v>
      </c>
      <c r="N400" s="5">
        <f>tblSales[[#This Row],[Qty]]*_xlfn.XLOOKUP(tblSales[[#This Row],[Product Code]],tblProducts[Code],tblProducts[Unit Cost],0)</f>
        <v>2400000</v>
      </c>
      <c r="O400" s="4" t="s">
        <v>4867</v>
      </c>
      <c r="P400" s="4" t="s">
        <v>4860</v>
      </c>
      <c r="Q400" s="1" t="str">
        <f>_xlfn.XLOOKUP(tblSales[[#This Row],[Channel Code]],tblChannels[Channel Code],tblChannels[Channel Name],"")</f>
        <v>In-store</v>
      </c>
      <c r="R400" s="1">
        <f>MONTH(tblSales[[#This Row],[Date]])</f>
        <v>1</v>
      </c>
    </row>
    <row r="401" spans="2:18" x14ac:dyDescent="0.35">
      <c r="B401" s="113">
        <v>46048</v>
      </c>
      <c r="C401" s="4" t="s">
        <v>5092</v>
      </c>
      <c r="D401" s="4" t="s">
        <v>4648</v>
      </c>
      <c r="E401" s="1" t="str">
        <f>_xlfn.XLOOKUP(tblSales[[#This Row],[Customer ID]],tblCustomers[Customer ID],tblCustomers[Customer Name],"⚠ Unknown")</f>
        <v>PT Lintas Benua Niaga</v>
      </c>
      <c r="F401" s="4" t="s">
        <v>7</v>
      </c>
      <c r="G401" s="1" t="str">
        <f>_xlfn.XLOOKUP(tblSales[[#This Row],[Product Code]],tblProducts[Code],tblProducts[Product / Service Name],"⚠ Unknown")</f>
        <v>Premium Basic T-shirt</v>
      </c>
      <c r="H401" s="1" t="str">
        <f>_xlfn.XLOOKUP(tblSales[[#This Row],[Product Code]],tblProducts[Code],tblProducts[Category],"")</f>
        <v>Accessories &amp; Basics</v>
      </c>
      <c r="I401" s="4">
        <v>16</v>
      </c>
      <c r="J401" s="5">
        <f>_xlfn.XLOOKUP(tblSales[[#This Row],[Product Code]],tblProducts[Code],tblProducts[Selling Price (excl. VAT)],0)</f>
        <v>65000</v>
      </c>
      <c r="K401" s="5">
        <f>tblSales[[#This Row],[Qty]]*tblSales[[#This Row],[Unit Price]]</f>
        <v>1040000</v>
      </c>
      <c r="L401" s="5">
        <f>ROUND(tblSales[[#This Row],[DPP (excl. VAT)]]*VATEff,0)</f>
        <v>114400</v>
      </c>
      <c r="M401" s="5">
        <f>tblSales[[#This Row],[DPP (excl. VAT)]]+tblSales[[#This Row],[Output VAT]]</f>
        <v>1154400</v>
      </c>
      <c r="N401" s="5">
        <f>tblSales[[#This Row],[Qty]]*_xlfn.XLOOKUP(tblSales[[#This Row],[Product Code]],tblProducts[Code],tblProducts[Unit Cost],0)</f>
        <v>592000</v>
      </c>
      <c r="O401" s="4" t="s">
        <v>4867</v>
      </c>
      <c r="P401" s="4" t="s">
        <v>4860</v>
      </c>
      <c r="Q401" s="1" t="str">
        <f>_xlfn.XLOOKUP(tblSales[[#This Row],[Channel Code]],tblChannels[Channel Code],tblChannels[Channel Name],"")</f>
        <v>In-store</v>
      </c>
      <c r="R401" s="1">
        <f>MONTH(tblSales[[#This Row],[Date]])</f>
        <v>1</v>
      </c>
    </row>
    <row r="402" spans="2:18" x14ac:dyDescent="0.35">
      <c r="B402" s="113">
        <v>46048</v>
      </c>
      <c r="C402" s="4" t="s">
        <v>5093</v>
      </c>
      <c r="D402" s="4" t="s">
        <v>4568</v>
      </c>
      <c r="E402" s="1" t="str">
        <f>_xlfn.XLOOKUP(tblSales[[#This Row],[Customer ID]],tblCustomers[Customer ID],tblCustomers[Customer Name],"⚠ Unknown")</f>
        <v>Walk-in Customer</v>
      </c>
      <c r="F402" s="4" t="s">
        <v>11</v>
      </c>
      <c r="G402" s="1" t="str">
        <f>_xlfn.XLOOKUP(tblSales[[#This Row],[Product Code]],tblProducts[Code],tblProducts[Product / Service Name],"⚠ Unknown")</f>
        <v>Sneakers</v>
      </c>
      <c r="H402" s="1" t="str">
        <f>_xlfn.XLOOKUP(tblSales[[#This Row],[Product Code]],tblProducts[Code],tblProducts[Category],"")</f>
        <v>Apparel &amp; Footwear</v>
      </c>
      <c r="I402" s="4">
        <v>6</v>
      </c>
      <c r="J402" s="5">
        <f>_xlfn.XLOOKUP(tblSales[[#This Row],[Product Code]],tblProducts[Code],tblProducts[Selling Price (excl. VAT)],0)</f>
        <v>250000</v>
      </c>
      <c r="K402" s="5">
        <f>tblSales[[#This Row],[Qty]]*tblSales[[#This Row],[Unit Price]]</f>
        <v>1500000</v>
      </c>
      <c r="L402" s="5">
        <f>ROUND(tblSales[[#This Row],[DPP (excl. VAT)]]*VATEff,0)</f>
        <v>165000</v>
      </c>
      <c r="M402" s="5">
        <f>tblSales[[#This Row],[DPP (excl. VAT)]]+tblSales[[#This Row],[Output VAT]]</f>
        <v>1665000</v>
      </c>
      <c r="N402" s="5">
        <f>tblSales[[#This Row],[Qty]]*_xlfn.XLOOKUP(tblSales[[#This Row],[Product Code]],tblProducts[Code],tblProducts[Unit Cost],0)</f>
        <v>930000</v>
      </c>
      <c r="O402" s="4" t="s">
        <v>4866</v>
      </c>
      <c r="P402" s="4" t="s">
        <v>4860</v>
      </c>
      <c r="Q402" s="1" t="str">
        <f>_xlfn.XLOOKUP(tblSales[[#This Row],[Channel Code]],tblChannels[Channel Code],tblChannels[Channel Name],"")</f>
        <v>In-store</v>
      </c>
      <c r="R402" s="1">
        <f>MONTH(tblSales[[#This Row],[Date]])</f>
        <v>1</v>
      </c>
    </row>
    <row r="403" spans="2:18" x14ac:dyDescent="0.35">
      <c r="B403" s="113">
        <v>46048</v>
      </c>
      <c r="C403" s="4" t="s">
        <v>5094</v>
      </c>
      <c r="D403" s="4" t="s">
        <v>4568</v>
      </c>
      <c r="E403" s="1" t="str">
        <f>_xlfn.XLOOKUP(tblSales[[#This Row],[Customer ID]],tblCustomers[Customer ID],tblCustomers[Customer Name],"⚠ Unknown")</f>
        <v>Walk-in Customer</v>
      </c>
      <c r="F403" s="4" t="s">
        <v>10</v>
      </c>
      <c r="G403" s="1" t="str">
        <f>_xlfn.XLOOKUP(tblSales[[#This Row],[Product Code]],tblProducts[Code],tblProducts[Product / Service Name],"⚠ Unknown")</f>
        <v>Chino Pants</v>
      </c>
      <c r="H403" s="1" t="str">
        <f>_xlfn.XLOOKUP(tblSales[[#This Row],[Product Code]],tblProducts[Code],tblProducts[Category],"")</f>
        <v>Apparel &amp; Footwear</v>
      </c>
      <c r="I403" s="4">
        <v>12</v>
      </c>
      <c r="J403" s="5">
        <f>_xlfn.XLOOKUP(tblSales[[#This Row],[Product Code]],tblProducts[Code],tblProducts[Selling Price (excl. VAT)],0)</f>
        <v>150000</v>
      </c>
      <c r="K403" s="5">
        <f>tblSales[[#This Row],[Qty]]*tblSales[[#This Row],[Unit Price]]</f>
        <v>1800000</v>
      </c>
      <c r="L403" s="5">
        <f>ROUND(tblSales[[#This Row],[DPP (excl. VAT)]]*VATEff,0)</f>
        <v>198000</v>
      </c>
      <c r="M403" s="5">
        <f>tblSales[[#This Row],[DPP (excl. VAT)]]+tblSales[[#This Row],[Output VAT]]</f>
        <v>1998000</v>
      </c>
      <c r="N403" s="5">
        <f>tblSales[[#This Row],[Qty]]*_xlfn.XLOOKUP(tblSales[[#This Row],[Product Code]],tblProducts[Code],tblProducts[Unit Cost],0)</f>
        <v>1056000</v>
      </c>
      <c r="O403" s="4" t="s">
        <v>4866</v>
      </c>
      <c r="P403" s="4" t="s">
        <v>4862</v>
      </c>
      <c r="Q403" s="1" t="str">
        <f>_xlfn.XLOOKUP(tblSales[[#This Row],[Channel Code]],tblChannels[Channel Code],tblChannels[Channel Name],"")</f>
        <v>Website &amp; Social Media</v>
      </c>
      <c r="R403" s="1">
        <f>MONTH(tblSales[[#This Row],[Date]])</f>
        <v>1</v>
      </c>
    </row>
    <row r="404" spans="2:18" x14ac:dyDescent="0.35">
      <c r="B404" s="113">
        <v>46048</v>
      </c>
      <c r="C404" s="4" t="s">
        <v>5094</v>
      </c>
      <c r="D404" s="4" t="s">
        <v>4568</v>
      </c>
      <c r="E404" s="1" t="str">
        <f>_xlfn.XLOOKUP(tblSales[[#This Row],[Customer ID]],tblCustomers[Customer ID],tblCustomers[Customer Name],"⚠ Unknown")</f>
        <v>Walk-in Customer</v>
      </c>
      <c r="F404" s="4" t="s">
        <v>8</v>
      </c>
      <c r="G404" s="1" t="str">
        <f>_xlfn.XLOOKUP(tblSales[[#This Row],[Product Code]],tblProducts[Code],tblProducts[Product / Service Name],"⚠ Unknown")</f>
        <v>Casual Shorts</v>
      </c>
      <c r="H404" s="1" t="str">
        <f>_xlfn.XLOOKUP(tblSales[[#This Row],[Product Code]],tblProducts[Code],tblProducts[Category],"")</f>
        <v>Accessories &amp; Basics</v>
      </c>
      <c r="I404" s="4">
        <v>6</v>
      </c>
      <c r="J404" s="5">
        <f>_xlfn.XLOOKUP(tblSales[[#This Row],[Product Code]],tblProducts[Code],tblProducts[Selling Price (excl. VAT)],0)</f>
        <v>85000</v>
      </c>
      <c r="K404" s="5">
        <f>tblSales[[#This Row],[Qty]]*tblSales[[#This Row],[Unit Price]]</f>
        <v>510000</v>
      </c>
      <c r="L404" s="5">
        <f>ROUND(tblSales[[#This Row],[DPP (excl. VAT)]]*VATEff,0)</f>
        <v>56100</v>
      </c>
      <c r="M404" s="5">
        <f>tblSales[[#This Row],[DPP (excl. VAT)]]+tblSales[[#This Row],[Output VAT]]</f>
        <v>566100</v>
      </c>
      <c r="N404" s="5">
        <f>tblSales[[#This Row],[Qty]]*_xlfn.XLOOKUP(tblSales[[#This Row],[Product Code]],tblProducts[Code],tblProducts[Unit Cost],0)</f>
        <v>300000</v>
      </c>
      <c r="O404" s="4" t="s">
        <v>4866</v>
      </c>
      <c r="P404" s="4" t="s">
        <v>4862</v>
      </c>
      <c r="Q404" s="1" t="str">
        <f>_xlfn.XLOOKUP(tblSales[[#This Row],[Channel Code]],tblChannels[Channel Code],tblChannels[Channel Name],"")</f>
        <v>Website &amp; Social Media</v>
      </c>
      <c r="R404" s="1">
        <f>MONTH(tblSales[[#This Row],[Date]])</f>
        <v>1</v>
      </c>
    </row>
    <row r="405" spans="2:18" x14ac:dyDescent="0.35">
      <c r="B405" s="113">
        <v>46049</v>
      </c>
      <c r="C405" s="4" t="s">
        <v>5095</v>
      </c>
      <c r="D405" s="4" t="s">
        <v>4568</v>
      </c>
      <c r="E405" s="1" t="str">
        <f>_xlfn.XLOOKUP(tblSales[[#This Row],[Customer ID]],tblCustomers[Customer ID],tblCustomers[Customer Name],"⚠ Unknown")</f>
        <v>Walk-in Customer</v>
      </c>
      <c r="F405" s="4" t="s">
        <v>7</v>
      </c>
      <c r="G405" s="1" t="str">
        <f>_xlfn.XLOOKUP(tblSales[[#This Row],[Product Code]],tblProducts[Code],tblProducts[Product / Service Name],"⚠ Unknown")</f>
        <v>Premium Basic T-shirt</v>
      </c>
      <c r="H405" s="1" t="str">
        <f>_xlfn.XLOOKUP(tblSales[[#This Row],[Product Code]],tblProducts[Code],tblProducts[Category],"")</f>
        <v>Accessories &amp; Basics</v>
      </c>
      <c r="I405" s="4">
        <v>2</v>
      </c>
      <c r="J405" s="5">
        <f>_xlfn.XLOOKUP(tblSales[[#This Row],[Product Code]],tblProducts[Code],tblProducts[Selling Price (excl. VAT)],0)</f>
        <v>65000</v>
      </c>
      <c r="K405" s="5">
        <f>tblSales[[#This Row],[Qty]]*tblSales[[#This Row],[Unit Price]]</f>
        <v>130000</v>
      </c>
      <c r="L405" s="5">
        <f>ROUND(tblSales[[#This Row],[DPP (excl. VAT)]]*VATEff,0)</f>
        <v>14300</v>
      </c>
      <c r="M405" s="5">
        <f>tblSales[[#This Row],[DPP (excl. VAT)]]+tblSales[[#This Row],[Output VAT]]</f>
        <v>144300</v>
      </c>
      <c r="N405" s="5">
        <f>tblSales[[#This Row],[Qty]]*_xlfn.XLOOKUP(tblSales[[#This Row],[Product Code]],tblProducts[Code],tblProducts[Unit Cost],0)</f>
        <v>74000</v>
      </c>
      <c r="O405" s="4" t="s">
        <v>4865</v>
      </c>
      <c r="P405" s="4" t="s">
        <v>4860</v>
      </c>
      <c r="Q405" s="1" t="str">
        <f>_xlfn.XLOOKUP(tblSales[[#This Row],[Channel Code]],tblChannels[Channel Code],tblChannels[Channel Name],"")</f>
        <v>In-store</v>
      </c>
      <c r="R405" s="1">
        <f>MONTH(tblSales[[#This Row],[Date]])</f>
        <v>1</v>
      </c>
    </row>
    <row r="406" spans="2:18" x14ac:dyDescent="0.35">
      <c r="B406" s="113">
        <v>46049</v>
      </c>
      <c r="C406" s="4" t="s">
        <v>5096</v>
      </c>
      <c r="D406" s="4" t="s">
        <v>4568</v>
      </c>
      <c r="E406" s="1" t="str">
        <f>_xlfn.XLOOKUP(tblSales[[#This Row],[Customer ID]],tblCustomers[Customer ID],tblCustomers[Customer Name],"⚠ Unknown")</f>
        <v>Walk-in Customer</v>
      </c>
      <c r="F406" s="4" t="s">
        <v>6</v>
      </c>
      <c r="G406" s="1" t="str">
        <f>_xlfn.XLOOKUP(tblSales[[#This Row],[Product Code]],tblProducts[Code],tblProducts[Product / Service Name],"⚠ Unknown")</f>
        <v>Socks &amp; Accessories</v>
      </c>
      <c r="H406" s="1" t="str">
        <f>_xlfn.XLOOKUP(tblSales[[#This Row],[Product Code]],tblProducts[Code],tblProducts[Category],"")</f>
        <v>Accessories &amp; Basics</v>
      </c>
      <c r="I406" s="4">
        <v>11</v>
      </c>
      <c r="J406" s="5">
        <f>_xlfn.XLOOKUP(tblSales[[#This Row],[Product Code]],tblProducts[Code],tblProducts[Selling Price (excl. VAT)],0)</f>
        <v>45000</v>
      </c>
      <c r="K406" s="5">
        <f>tblSales[[#This Row],[Qty]]*tblSales[[#This Row],[Unit Price]]</f>
        <v>495000</v>
      </c>
      <c r="L406" s="5">
        <f>ROUND(tblSales[[#This Row],[DPP (excl. VAT)]]*VATEff,0)</f>
        <v>54450</v>
      </c>
      <c r="M406" s="5">
        <f>tblSales[[#This Row],[DPP (excl. VAT)]]+tblSales[[#This Row],[Output VAT]]</f>
        <v>549450</v>
      </c>
      <c r="N406" s="5">
        <f>tblSales[[#This Row],[Qty]]*_xlfn.XLOOKUP(tblSales[[#This Row],[Product Code]],tblProducts[Code],tblProducts[Unit Cost],0)</f>
        <v>264000</v>
      </c>
      <c r="O406" s="4" t="s">
        <v>4866</v>
      </c>
      <c r="P406" s="4" t="s">
        <v>4860</v>
      </c>
      <c r="Q406" s="1" t="str">
        <f>_xlfn.XLOOKUP(tblSales[[#This Row],[Channel Code]],tblChannels[Channel Code],tblChannels[Channel Name],"")</f>
        <v>In-store</v>
      </c>
      <c r="R406" s="1">
        <f>MONTH(tblSales[[#This Row],[Date]])</f>
        <v>1</v>
      </c>
    </row>
    <row r="407" spans="2:18" x14ac:dyDescent="0.35">
      <c r="B407" s="113">
        <v>46049</v>
      </c>
      <c r="C407" s="4" t="s">
        <v>5096</v>
      </c>
      <c r="D407" s="4" t="s">
        <v>4568</v>
      </c>
      <c r="E407" s="1" t="str">
        <f>_xlfn.XLOOKUP(tblSales[[#This Row],[Customer ID]],tblCustomers[Customer ID],tblCustomers[Customer Name],"⚠ Unknown")</f>
        <v>Walk-in Customer</v>
      </c>
      <c r="F407" s="4" t="s">
        <v>8</v>
      </c>
      <c r="G407" s="1" t="str">
        <f>_xlfn.XLOOKUP(tblSales[[#This Row],[Product Code]],tblProducts[Code],tblProducts[Product / Service Name],"⚠ Unknown")</f>
        <v>Casual Shorts</v>
      </c>
      <c r="H407" s="1" t="str">
        <f>_xlfn.XLOOKUP(tblSales[[#This Row],[Product Code]],tblProducts[Code],tblProducts[Category],"")</f>
        <v>Accessories &amp; Basics</v>
      </c>
      <c r="I407" s="4">
        <v>10</v>
      </c>
      <c r="J407" s="5">
        <f>_xlfn.XLOOKUP(tblSales[[#This Row],[Product Code]],tblProducts[Code],tblProducts[Selling Price (excl. VAT)],0)</f>
        <v>85000</v>
      </c>
      <c r="K407" s="5">
        <f>tblSales[[#This Row],[Qty]]*tblSales[[#This Row],[Unit Price]]</f>
        <v>850000</v>
      </c>
      <c r="L407" s="5">
        <f>ROUND(tblSales[[#This Row],[DPP (excl. VAT)]]*VATEff,0)</f>
        <v>93500</v>
      </c>
      <c r="M407" s="5">
        <f>tblSales[[#This Row],[DPP (excl. VAT)]]+tblSales[[#This Row],[Output VAT]]</f>
        <v>943500</v>
      </c>
      <c r="N407" s="5">
        <f>tblSales[[#This Row],[Qty]]*_xlfn.XLOOKUP(tblSales[[#This Row],[Product Code]],tblProducts[Code],tblProducts[Unit Cost],0)</f>
        <v>500000</v>
      </c>
      <c r="O407" s="4" t="s">
        <v>4866</v>
      </c>
      <c r="P407" s="4" t="s">
        <v>4860</v>
      </c>
      <c r="Q407" s="1" t="str">
        <f>_xlfn.XLOOKUP(tblSales[[#This Row],[Channel Code]],tblChannels[Channel Code],tblChannels[Channel Name],"")</f>
        <v>In-store</v>
      </c>
      <c r="R407" s="1">
        <f>MONTH(tblSales[[#This Row],[Date]])</f>
        <v>1</v>
      </c>
    </row>
    <row r="408" spans="2:18" x14ac:dyDescent="0.35">
      <c r="B408" s="113">
        <v>46049</v>
      </c>
      <c r="C408" s="4" t="s">
        <v>5097</v>
      </c>
      <c r="D408" s="4" t="s">
        <v>4568</v>
      </c>
      <c r="E408" s="1" t="str">
        <f>_xlfn.XLOOKUP(tblSales[[#This Row],[Customer ID]],tblCustomers[Customer ID],tblCustomers[Customer Name],"⚠ Unknown")</f>
        <v>Walk-in Customer</v>
      </c>
      <c r="F408" s="4" t="s">
        <v>6</v>
      </c>
      <c r="G408" s="1" t="str">
        <f>_xlfn.XLOOKUP(tblSales[[#This Row],[Product Code]],tblProducts[Code],tblProducts[Product / Service Name],"⚠ Unknown")</f>
        <v>Socks &amp; Accessories</v>
      </c>
      <c r="H408" s="1" t="str">
        <f>_xlfn.XLOOKUP(tblSales[[#This Row],[Product Code]],tblProducts[Code],tblProducts[Category],"")</f>
        <v>Accessories &amp; Basics</v>
      </c>
      <c r="I408" s="4">
        <v>5</v>
      </c>
      <c r="J408" s="5">
        <f>_xlfn.XLOOKUP(tblSales[[#This Row],[Product Code]],tblProducts[Code],tblProducts[Selling Price (excl. VAT)],0)</f>
        <v>45000</v>
      </c>
      <c r="K408" s="5">
        <f>tblSales[[#This Row],[Qty]]*tblSales[[#This Row],[Unit Price]]</f>
        <v>225000</v>
      </c>
      <c r="L408" s="5">
        <f>ROUND(tblSales[[#This Row],[DPP (excl. VAT)]]*VATEff,0)</f>
        <v>24750</v>
      </c>
      <c r="M408" s="5">
        <f>tblSales[[#This Row],[DPP (excl. VAT)]]+tblSales[[#This Row],[Output VAT]]</f>
        <v>249750</v>
      </c>
      <c r="N408" s="5">
        <f>tblSales[[#This Row],[Qty]]*_xlfn.XLOOKUP(tblSales[[#This Row],[Product Code]],tblProducts[Code],tblProducts[Unit Cost],0)</f>
        <v>120000</v>
      </c>
      <c r="O408" s="4" t="s">
        <v>4866</v>
      </c>
      <c r="P408" s="4" t="s">
        <v>4860</v>
      </c>
      <c r="Q408" s="1" t="str">
        <f>_xlfn.XLOOKUP(tblSales[[#This Row],[Channel Code]],tblChannels[Channel Code],tblChannels[Channel Name],"")</f>
        <v>In-store</v>
      </c>
      <c r="R408" s="1">
        <f>MONTH(tblSales[[#This Row],[Date]])</f>
        <v>1</v>
      </c>
    </row>
    <row r="409" spans="2:18" x14ac:dyDescent="0.35">
      <c r="B409" s="113">
        <v>46049</v>
      </c>
      <c r="C409" s="4" t="s">
        <v>5097</v>
      </c>
      <c r="D409" s="4" t="s">
        <v>4568</v>
      </c>
      <c r="E409" s="1" t="str">
        <f>_xlfn.XLOOKUP(tblSales[[#This Row],[Customer ID]],tblCustomers[Customer ID],tblCustomers[Customer Name],"⚠ Unknown")</f>
        <v>Walk-in Customer</v>
      </c>
      <c r="F409" s="4" t="s">
        <v>13</v>
      </c>
      <c r="G409" s="1" t="str">
        <f>_xlfn.XLOOKUP(tblSales[[#This Row],[Product Code]],tblProducts[Code],tblProducts[Product / Service Name],"⚠ Unknown")</f>
        <v>Backpack</v>
      </c>
      <c r="H409" s="1" t="str">
        <f>_xlfn.XLOOKUP(tblSales[[#This Row],[Product Code]],tblProducts[Code],tblProducts[Category],"")</f>
        <v>Bags &amp; Gadgets</v>
      </c>
      <c r="I409" s="4">
        <v>6</v>
      </c>
      <c r="J409" s="5">
        <f>_xlfn.XLOOKUP(tblSales[[#This Row],[Product Code]],tblProducts[Code],tblProducts[Selling Price (excl. VAT)],0)</f>
        <v>500000</v>
      </c>
      <c r="K409" s="5">
        <f>tblSales[[#This Row],[Qty]]*tblSales[[#This Row],[Unit Price]]</f>
        <v>3000000</v>
      </c>
      <c r="L409" s="5">
        <f>ROUND(tblSales[[#This Row],[DPP (excl. VAT)]]*VATEff,0)</f>
        <v>330000</v>
      </c>
      <c r="M409" s="5">
        <f>tblSales[[#This Row],[DPP (excl. VAT)]]+tblSales[[#This Row],[Output VAT]]</f>
        <v>3330000</v>
      </c>
      <c r="N409" s="5">
        <f>tblSales[[#This Row],[Qty]]*_xlfn.XLOOKUP(tblSales[[#This Row],[Product Code]],tblProducts[Code],tblProducts[Unit Cost],0)</f>
        <v>1740000</v>
      </c>
      <c r="O409" s="4" t="s">
        <v>4866</v>
      </c>
      <c r="P409" s="4" t="s">
        <v>4860</v>
      </c>
      <c r="Q409" s="1" t="str">
        <f>_xlfn.XLOOKUP(tblSales[[#This Row],[Channel Code]],tblChannels[Channel Code],tblChannels[Channel Name],"")</f>
        <v>In-store</v>
      </c>
      <c r="R409" s="1">
        <f>MONTH(tblSales[[#This Row],[Date]])</f>
        <v>1</v>
      </c>
    </row>
    <row r="410" spans="2:18" x14ac:dyDescent="0.35">
      <c r="B410" s="113">
        <v>46049</v>
      </c>
      <c r="C410" s="4" t="s">
        <v>5098</v>
      </c>
      <c r="D410" s="4" t="s">
        <v>4568</v>
      </c>
      <c r="E410" s="1" t="str">
        <f>_xlfn.XLOOKUP(tblSales[[#This Row],[Customer ID]],tblCustomers[Customer ID],tblCustomers[Customer Name],"⚠ Unknown")</f>
        <v>Walk-in Customer</v>
      </c>
      <c r="F410" s="4" t="s">
        <v>15</v>
      </c>
      <c r="G410" s="1" t="str">
        <f>_xlfn.XLOOKUP(tblSales[[#This Row],[Product Code]],tblProducts[Code],tblProducts[Product / Service Name],"⚠ Unknown")</f>
        <v>Wireless Earbuds Pro</v>
      </c>
      <c r="H410" s="1" t="str">
        <f>_xlfn.XLOOKUP(tblSales[[#This Row],[Product Code]],tblProducts[Code],tblProducts[Category],"")</f>
        <v>Bags &amp; Gadgets</v>
      </c>
      <c r="I410" s="4">
        <v>2</v>
      </c>
      <c r="J410" s="5">
        <f>_xlfn.XLOOKUP(tblSales[[#This Row],[Product Code]],tblProducts[Code],tblProducts[Selling Price (excl. VAT)],0)</f>
        <v>1250000</v>
      </c>
      <c r="K410" s="5">
        <f>tblSales[[#This Row],[Qty]]*tblSales[[#This Row],[Unit Price]]</f>
        <v>2500000</v>
      </c>
      <c r="L410" s="5">
        <f>ROUND(tblSales[[#This Row],[DPP (excl. VAT)]]*VATEff,0)</f>
        <v>275000</v>
      </c>
      <c r="M410" s="5">
        <f>tblSales[[#This Row],[DPP (excl. VAT)]]+tblSales[[#This Row],[Output VAT]]</f>
        <v>2775000</v>
      </c>
      <c r="N410" s="5">
        <f>tblSales[[#This Row],[Qty]]*_xlfn.XLOOKUP(tblSales[[#This Row],[Product Code]],tblProducts[Code],tblProducts[Unit Cost],0)</f>
        <v>1640000</v>
      </c>
      <c r="O410" s="4" t="s">
        <v>4866</v>
      </c>
      <c r="P410" s="4" t="s">
        <v>4861</v>
      </c>
      <c r="Q410" s="1" t="str">
        <f>_xlfn.XLOOKUP(tblSales[[#This Row],[Channel Code]],tblChannels[Channel Code],tblChannels[Channel Name],"")</f>
        <v>Marketplace</v>
      </c>
      <c r="R410" s="1">
        <f>MONTH(tblSales[[#This Row],[Date]])</f>
        <v>1</v>
      </c>
    </row>
    <row r="411" spans="2:18" x14ac:dyDescent="0.35">
      <c r="B411" s="113">
        <v>46049</v>
      </c>
      <c r="C411" s="4" t="s">
        <v>5099</v>
      </c>
      <c r="D411" s="4" t="s">
        <v>4568</v>
      </c>
      <c r="E411" s="1" t="str">
        <f>_xlfn.XLOOKUP(tblSales[[#This Row],[Customer ID]],tblCustomers[Customer ID],tblCustomers[Customer Name],"⚠ Unknown")</f>
        <v>Walk-in Customer</v>
      </c>
      <c r="F411" s="4" t="s">
        <v>11</v>
      </c>
      <c r="G411" s="1" t="str">
        <f>_xlfn.XLOOKUP(tblSales[[#This Row],[Product Code]],tblProducts[Code],tblProducts[Product / Service Name],"⚠ Unknown")</f>
        <v>Sneakers</v>
      </c>
      <c r="H411" s="1" t="str">
        <f>_xlfn.XLOOKUP(tblSales[[#This Row],[Product Code]],tblProducts[Code],tblProducts[Category],"")</f>
        <v>Apparel &amp; Footwear</v>
      </c>
      <c r="I411" s="4">
        <v>4</v>
      </c>
      <c r="J411" s="5">
        <f>_xlfn.XLOOKUP(tblSales[[#This Row],[Product Code]],tblProducts[Code],tblProducts[Selling Price (excl. VAT)],0)</f>
        <v>250000</v>
      </c>
      <c r="K411" s="5">
        <f>tblSales[[#This Row],[Qty]]*tblSales[[#This Row],[Unit Price]]</f>
        <v>1000000</v>
      </c>
      <c r="L411" s="5">
        <f>ROUND(tblSales[[#This Row],[DPP (excl. VAT)]]*VATEff,0)</f>
        <v>110000</v>
      </c>
      <c r="M411" s="5">
        <f>tblSales[[#This Row],[DPP (excl. VAT)]]+tblSales[[#This Row],[Output VAT]]</f>
        <v>1110000</v>
      </c>
      <c r="N411" s="5">
        <f>tblSales[[#This Row],[Qty]]*_xlfn.XLOOKUP(tblSales[[#This Row],[Product Code]],tblProducts[Code],tblProducts[Unit Cost],0)</f>
        <v>620000</v>
      </c>
      <c r="O411" s="4" t="s">
        <v>4865</v>
      </c>
      <c r="P411" s="4" t="s">
        <v>4860</v>
      </c>
      <c r="Q411" s="1" t="str">
        <f>_xlfn.XLOOKUP(tblSales[[#This Row],[Channel Code]],tblChannels[Channel Code],tblChannels[Channel Name],"")</f>
        <v>In-store</v>
      </c>
      <c r="R411" s="1">
        <f>MONTH(tblSales[[#This Row],[Date]])</f>
        <v>1</v>
      </c>
    </row>
    <row r="412" spans="2:18" x14ac:dyDescent="0.35">
      <c r="B412" s="113">
        <v>46049</v>
      </c>
      <c r="C412" s="4" t="s">
        <v>5099</v>
      </c>
      <c r="D412" s="4" t="s">
        <v>4568</v>
      </c>
      <c r="E412" s="1" t="str">
        <f>_xlfn.XLOOKUP(tblSales[[#This Row],[Customer ID]],tblCustomers[Customer ID],tblCustomers[Customer Name],"⚠ Unknown")</f>
        <v>Walk-in Customer</v>
      </c>
      <c r="F412" s="4" t="s">
        <v>6</v>
      </c>
      <c r="G412" s="1" t="str">
        <f>_xlfn.XLOOKUP(tblSales[[#This Row],[Product Code]],tblProducts[Code],tblProducts[Product / Service Name],"⚠ Unknown")</f>
        <v>Socks &amp; Accessories</v>
      </c>
      <c r="H412" s="1" t="str">
        <f>_xlfn.XLOOKUP(tblSales[[#This Row],[Product Code]],tblProducts[Code],tblProducts[Category],"")</f>
        <v>Accessories &amp; Basics</v>
      </c>
      <c r="I412" s="4">
        <v>6</v>
      </c>
      <c r="J412" s="5">
        <f>_xlfn.XLOOKUP(tblSales[[#This Row],[Product Code]],tblProducts[Code],tblProducts[Selling Price (excl. VAT)],0)</f>
        <v>45000</v>
      </c>
      <c r="K412" s="5">
        <f>tblSales[[#This Row],[Qty]]*tblSales[[#This Row],[Unit Price]]</f>
        <v>270000</v>
      </c>
      <c r="L412" s="5">
        <f>ROUND(tblSales[[#This Row],[DPP (excl. VAT)]]*VATEff,0)</f>
        <v>29700</v>
      </c>
      <c r="M412" s="5">
        <f>tblSales[[#This Row],[DPP (excl. VAT)]]+tblSales[[#This Row],[Output VAT]]</f>
        <v>299700</v>
      </c>
      <c r="N412" s="5">
        <f>tblSales[[#This Row],[Qty]]*_xlfn.XLOOKUP(tblSales[[#This Row],[Product Code]],tblProducts[Code],tblProducts[Unit Cost],0)</f>
        <v>144000</v>
      </c>
      <c r="O412" s="4" t="s">
        <v>4865</v>
      </c>
      <c r="P412" s="4" t="s">
        <v>4860</v>
      </c>
      <c r="Q412" s="1" t="str">
        <f>_xlfn.XLOOKUP(tblSales[[#This Row],[Channel Code]],tblChannels[Channel Code],tblChannels[Channel Name],"")</f>
        <v>In-store</v>
      </c>
      <c r="R412" s="1">
        <f>MONTH(tblSales[[#This Row],[Date]])</f>
        <v>1</v>
      </c>
    </row>
    <row r="413" spans="2:18" x14ac:dyDescent="0.35">
      <c r="B413" s="113">
        <v>46049</v>
      </c>
      <c r="C413" s="4" t="s">
        <v>5100</v>
      </c>
      <c r="D413" s="4" t="s">
        <v>4568</v>
      </c>
      <c r="E413" s="1" t="str">
        <f>_xlfn.XLOOKUP(tblSales[[#This Row],[Customer ID]],tblCustomers[Customer ID],tblCustomers[Customer Name],"⚠ Unknown")</f>
        <v>Walk-in Customer</v>
      </c>
      <c r="F413" s="4" t="s">
        <v>7</v>
      </c>
      <c r="G413" s="1" t="str">
        <f>_xlfn.XLOOKUP(tblSales[[#This Row],[Product Code]],tblProducts[Code],tblProducts[Product / Service Name],"⚠ Unknown")</f>
        <v>Premium Basic T-shirt</v>
      </c>
      <c r="H413" s="1" t="str">
        <f>_xlfn.XLOOKUP(tblSales[[#This Row],[Product Code]],tblProducts[Code],tblProducts[Category],"")</f>
        <v>Accessories &amp; Basics</v>
      </c>
      <c r="I413" s="4">
        <v>10</v>
      </c>
      <c r="J413" s="5">
        <f>_xlfn.XLOOKUP(tblSales[[#This Row],[Product Code]],tblProducts[Code],tblProducts[Selling Price (excl. VAT)],0)</f>
        <v>65000</v>
      </c>
      <c r="K413" s="5">
        <f>tblSales[[#This Row],[Qty]]*tblSales[[#This Row],[Unit Price]]</f>
        <v>650000</v>
      </c>
      <c r="L413" s="5">
        <f>ROUND(tblSales[[#This Row],[DPP (excl. VAT)]]*VATEff,0)</f>
        <v>71500</v>
      </c>
      <c r="M413" s="5">
        <f>tblSales[[#This Row],[DPP (excl. VAT)]]+tblSales[[#This Row],[Output VAT]]</f>
        <v>721500</v>
      </c>
      <c r="N413" s="5">
        <f>tblSales[[#This Row],[Qty]]*_xlfn.XLOOKUP(tblSales[[#This Row],[Product Code]],tblProducts[Code],tblProducts[Unit Cost],0)</f>
        <v>370000</v>
      </c>
      <c r="O413" s="4" t="s">
        <v>4866</v>
      </c>
      <c r="P413" s="4" t="s">
        <v>4862</v>
      </c>
      <c r="Q413" s="1" t="str">
        <f>_xlfn.XLOOKUP(tblSales[[#This Row],[Channel Code]],tblChannels[Channel Code],tblChannels[Channel Name],"")</f>
        <v>Website &amp; Social Media</v>
      </c>
      <c r="R413" s="1">
        <f>MONTH(tblSales[[#This Row],[Date]])</f>
        <v>1</v>
      </c>
    </row>
    <row r="414" spans="2:18" x14ac:dyDescent="0.35">
      <c r="B414" s="113">
        <v>46049</v>
      </c>
      <c r="C414" s="4" t="s">
        <v>5101</v>
      </c>
      <c r="D414" s="4" t="s">
        <v>4568</v>
      </c>
      <c r="E414" s="1" t="str">
        <f>_xlfn.XLOOKUP(tblSales[[#This Row],[Customer ID]],tblCustomers[Customer ID],tblCustomers[Customer Name],"⚠ Unknown")</f>
        <v>Walk-in Customer</v>
      </c>
      <c r="F414" s="4" t="s">
        <v>10</v>
      </c>
      <c r="G414" s="1" t="str">
        <f>_xlfn.XLOOKUP(tblSales[[#This Row],[Product Code]],tblProducts[Code],tblProducts[Product / Service Name],"⚠ Unknown")</f>
        <v>Chino Pants</v>
      </c>
      <c r="H414" s="1" t="str">
        <f>_xlfn.XLOOKUP(tblSales[[#This Row],[Product Code]],tblProducts[Code],tblProducts[Category],"")</f>
        <v>Apparel &amp; Footwear</v>
      </c>
      <c r="I414" s="4">
        <v>12</v>
      </c>
      <c r="J414" s="5">
        <f>_xlfn.XLOOKUP(tblSales[[#This Row],[Product Code]],tblProducts[Code],tblProducts[Selling Price (excl. VAT)],0)</f>
        <v>150000</v>
      </c>
      <c r="K414" s="5">
        <f>tblSales[[#This Row],[Qty]]*tblSales[[#This Row],[Unit Price]]</f>
        <v>1800000</v>
      </c>
      <c r="L414" s="5">
        <f>ROUND(tblSales[[#This Row],[DPP (excl. VAT)]]*VATEff,0)</f>
        <v>198000</v>
      </c>
      <c r="M414" s="5">
        <f>tblSales[[#This Row],[DPP (excl. VAT)]]+tblSales[[#This Row],[Output VAT]]</f>
        <v>1998000</v>
      </c>
      <c r="N414" s="5">
        <f>tblSales[[#This Row],[Qty]]*_xlfn.XLOOKUP(tblSales[[#This Row],[Product Code]],tblProducts[Code],tblProducts[Unit Cost],0)</f>
        <v>1056000</v>
      </c>
      <c r="O414" s="4" t="s">
        <v>4865</v>
      </c>
      <c r="P414" s="4" t="s">
        <v>4860</v>
      </c>
      <c r="Q414" s="1" t="str">
        <f>_xlfn.XLOOKUP(tblSales[[#This Row],[Channel Code]],tblChannels[Channel Code],tblChannels[Channel Name],"")</f>
        <v>In-store</v>
      </c>
      <c r="R414" s="1">
        <f>MONTH(tblSales[[#This Row],[Date]])</f>
        <v>1</v>
      </c>
    </row>
    <row r="415" spans="2:18" x14ac:dyDescent="0.35">
      <c r="B415" s="113">
        <v>46049</v>
      </c>
      <c r="C415" s="4" t="s">
        <v>5102</v>
      </c>
      <c r="D415" s="4" t="s">
        <v>4568</v>
      </c>
      <c r="E415" s="1" t="str">
        <f>_xlfn.XLOOKUP(tblSales[[#This Row],[Customer ID]],tblCustomers[Customer ID],tblCustomers[Customer Name],"⚠ Unknown")</f>
        <v>Walk-in Customer</v>
      </c>
      <c r="F415" s="4" t="s">
        <v>15</v>
      </c>
      <c r="G415" s="1" t="str">
        <f>_xlfn.XLOOKUP(tblSales[[#This Row],[Product Code]],tblProducts[Code],tblProducts[Product / Service Name],"⚠ Unknown")</f>
        <v>Wireless Earbuds Pro</v>
      </c>
      <c r="H415" s="1" t="str">
        <f>_xlfn.XLOOKUP(tblSales[[#This Row],[Product Code]],tblProducts[Code],tblProducts[Category],"")</f>
        <v>Bags &amp; Gadgets</v>
      </c>
      <c r="I415" s="4">
        <v>3</v>
      </c>
      <c r="J415" s="5">
        <f>_xlfn.XLOOKUP(tblSales[[#This Row],[Product Code]],tblProducts[Code],tblProducts[Selling Price (excl. VAT)],0)</f>
        <v>1250000</v>
      </c>
      <c r="K415" s="5">
        <f>tblSales[[#This Row],[Qty]]*tblSales[[#This Row],[Unit Price]]</f>
        <v>3750000</v>
      </c>
      <c r="L415" s="5">
        <f>ROUND(tblSales[[#This Row],[DPP (excl. VAT)]]*VATEff,0)</f>
        <v>412500</v>
      </c>
      <c r="M415" s="5">
        <f>tblSales[[#This Row],[DPP (excl. VAT)]]+tblSales[[#This Row],[Output VAT]]</f>
        <v>4162500</v>
      </c>
      <c r="N415" s="5">
        <f>tblSales[[#This Row],[Qty]]*_xlfn.XLOOKUP(tblSales[[#This Row],[Product Code]],tblProducts[Code],tblProducts[Unit Cost],0)</f>
        <v>2460000</v>
      </c>
      <c r="O415" s="4" t="s">
        <v>4866</v>
      </c>
      <c r="P415" s="4" t="s">
        <v>4861</v>
      </c>
      <c r="Q415" s="1" t="str">
        <f>_xlfn.XLOOKUP(tblSales[[#This Row],[Channel Code]],tblChannels[Channel Code],tblChannels[Channel Name],"")</f>
        <v>Marketplace</v>
      </c>
      <c r="R415" s="1">
        <f>MONTH(tblSales[[#This Row],[Date]])</f>
        <v>1</v>
      </c>
    </row>
    <row r="416" spans="2:18" x14ac:dyDescent="0.35">
      <c r="B416" s="113">
        <v>46049</v>
      </c>
      <c r="C416" s="4" t="s">
        <v>5102</v>
      </c>
      <c r="D416" s="4" t="s">
        <v>4568</v>
      </c>
      <c r="E416" s="1" t="str">
        <f>_xlfn.XLOOKUP(tblSales[[#This Row],[Customer ID]],tblCustomers[Customer ID],tblCustomers[Customer Name],"⚠ Unknown")</f>
        <v>Walk-in Customer</v>
      </c>
      <c r="F416" s="4" t="s">
        <v>10</v>
      </c>
      <c r="G416" s="1" t="str">
        <f>_xlfn.XLOOKUP(tblSales[[#This Row],[Product Code]],tblProducts[Code],tblProducts[Product / Service Name],"⚠ Unknown")</f>
        <v>Chino Pants</v>
      </c>
      <c r="H416" s="1" t="str">
        <f>_xlfn.XLOOKUP(tblSales[[#This Row],[Product Code]],tblProducts[Code],tblProducts[Category],"")</f>
        <v>Apparel &amp; Footwear</v>
      </c>
      <c r="I416" s="4">
        <v>5</v>
      </c>
      <c r="J416" s="5">
        <f>_xlfn.XLOOKUP(tblSales[[#This Row],[Product Code]],tblProducts[Code],tblProducts[Selling Price (excl. VAT)],0)</f>
        <v>150000</v>
      </c>
      <c r="K416" s="5">
        <f>tblSales[[#This Row],[Qty]]*tblSales[[#This Row],[Unit Price]]</f>
        <v>750000</v>
      </c>
      <c r="L416" s="5">
        <f>ROUND(tblSales[[#This Row],[DPP (excl. VAT)]]*VATEff,0)</f>
        <v>82500</v>
      </c>
      <c r="M416" s="5">
        <f>tblSales[[#This Row],[DPP (excl. VAT)]]+tblSales[[#This Row],[Output VAT]]</f>
        <v>832500</v>
      </c>
      <c r="N416" s="5">
        <f>tblSales[[#This Row],[Qty]]*_xlfn.XLOOKUP(tblSales[[#This Row],[Product Code]],tblProducts[Code],tblProducts[Unit Cost],0)</f>
        <v>440000</v>
      </c>
      <c r="O416" s="4" t="s">
        <v>4866</v>
      </c>
      <c r="P416" s="4" t="s">
        <v>4861</v>
      </c>
      <c r="Q416" s="1" t="str">
        <f>_xlfn.XLOOKUP(tblSales[[#This Row],[Channel Code]],tblChannels[Channel Code],tblChannels[Channel Name],"")</f>
        <v>Marketplace</v>
      </c>
      <c r="R416" s="1">
        <f>MONTH(tblSales[[#This Row],[Date]])</f>
        <v>1</v>
      </c>
    </row>
    <row r="417" spans="2:18" x14ac:dyDescent="0.35">
      <c r="B417" s="113">
        <v>46049</v>
      </c>
      <c r="C417" s="4" t="s">
        <v>5103</v>
      </c>
      <c r="D417" s="4" t="s">
        <v>4572</v>
      </c>
      <c r="E417" s="1" t="str">
        <f>_xlfn.XLOOKUP(tblSales[[#This Row],[Customer ID]],tblCustomers[Customer ID],tblCustomers[Customer Name],"⚠ Unknown")</f>
        <v>PT Cahaya Abadi Makmur</v>
      </c>
      <c r="F417" s="4" t="s">
        <v>10</v>
      </c>
      <c r="G417" s="1" t="str">
        <f>_xlfn.XLOOKUP(tblSales[[#This Row],[Product Code]],tblProducts[Code],tblProducts[Product / Service Name],"⚠ Unknown")</f>
        <v>Chino Pants</v>
      </c>
      <c r="H417" s="1" t="str">
        <f>_xlfn.XLOOKUP(tblSales[[#This Row],[Product Code]],tblProducts[Code],tblProducts[Category],"")</f>
        <v>Apparel &amp; Footwear</v>
      </c>
      <c r="I417" s="4">
        <v>88</v>
      </c>
      <c r="J417" s="5">
        <f>_xlfn.XLOOKUP(tblSales[[#This Row],[Product Code]],tblProducts[Code],tblProducts[Selling Price (excl. VAT)],0)</f>
        <v>150000</v>
      </c>
      <c r="K417" s="5">
        <f>tblSales[[#This Row],[Qty]]*tblSales[[#This Row],[Unit Price]]</f>
        <v>13200000</v>
      </c>
      <c r="L417" s="5">
        <f>ROUND(tblSales[[#This Row],[DPP (excl. VAT)]]*VATEff,0)</f>
        <v>1452000</v>
      </c>
      <c r="M417" s="5">
        <f>tblSales[[#This Row],[DPP (excl. VAT)]]+tblSales[[#This Row],[Output VAT]]</f>
        <v>14652000</v>
      </c>
      <c r="N417" s="5">
        <f>tblSales[[#This Row],[Qty]]*_xlfn.XLOOKUP(tblSales[[#This Row],[Product Code]],tblProducts[Code],tblProducts[Unit Cost],0)</f>
        <v>7744000</v>
      </c>
      <c r="O417" s="4" t="s">
        <v>4867</v>
      </c>
      <c r="P417" s="4" t="s">
        <v>4860</v>
      </c>
      <c r="Q417" s="1" t="str">
        <f>_xlfn.XLOOKUP(tblSales[[#This Row],[Channel Code]],tblChannels[Channel Code],tblChannels[Channel Name],"")</f>
        <v>In-store</v>
      </c>
      <c r="R417" s="1">
        <f>MONTH(tblSales[[#This Row],[Date]])</f>
        <v>1</v>
      </c>
    </row>
    <row r="418" spans="2:18" x14ac:dyDescent="0.35">
      <c r="B418" s="113">
        <v>46049</v>
      </c>
      <c r="C418" s="4" t="s">
        <v>5104</v>
      </c>
      <c r="D418" s="4" t="s">
        <v>4585</v>
      </c>
      <c r="E418" s="1" t="str">
        <f>_xlfn.XLOOKUP(tblSales[[#This Row],[Customer ID]],tblCustomers[Customer ID],tblCustomers[Customer Name],"⚠ Unknown")</f>
        <v>CV Mitra Karya Mandiri</v>
      </c>
      <c r="F418" s="4" t="s">
        <v>12</v>
      </c>
      <c r="G418" s="1" t="str">
        <f>_xlfn.XLOOKUP(tblSales[[#This Row],[Product Code]],tblProducts[Code],tblProducts[Product / Service Name],"⚠ Unknown")</f>
        <v>Bomber Jacket</v>
      </c>
      <c r="H418" s="1" t="str">
        <f>_xlfn.XLOOKUP(tblSales[[#This Row],[Product Code]],tblProducts[Code],tblProducts[Category],"")</f>
        <v>Apparel &amp; Footwear</v>
      </c>
      <c r="I418" s="4">
        <v>32</v>
      </c>
      <c r="J418" s="5">
        <f>_xlfn.XLOOKUP(tblSales[[#This Row],[Product Code]],tblProducts[Code],tblProducts[Selling Price (excl. VAT)],0)</f>
        <v>350000</v>
      </c>
      <c r="K418" s="5">
        <f>tblSales[[#This Row],[Qty]]*tblSales[[#This Row],[Unit Price]]</f>
        <v>11200000</v>
      </c>
      <c r="L418" s="5">
        <f>ROUND(tblSales[[#This Row],[DPP (excl. VAT)]]*VATEff,0)</f>
        <v>1232000</v>
      </c>
      <c r="M418" s="5">
        <f>tblSales[[#This Row],[DPP (excl. VAT)]]+tblSales[[#This Row],[Output VAT]]</f>
        <v>12432000</v>
      </c>
      <c r="N418" s="5">
        <f>tblSales[[#This Row],[Qty]]*_xlfn.XLOOKUP(tblSales[[#This Row],[Product Code]],tblProducts[Code],tblProducts[Unit Cost],0)</f>
        <v>6720000</v>
      </c>
      <c r="O418" s="4" t="s">
        <v>4867</v>
      </c>
      <c r="P418" s="4" t="s">
        <v>4860</v>
      </c>
      <c r="Q418" s="1" t="str">
        <f>_xlfn.XLOOKUP(tblSales[[#This Row],[Channel Code]],tblChannels[Channel Code],tblChannels[Channel Name],"")</f>
        <v>In-store</v>
      </c>
      <c r="R418" s="1">
        <f>MONTH(tblSales[[#This Row],[Date]])</f>
        <v>1</v>
      </c>
    </row>
    <row r="419" spans="2:18" x14ac:dyDescent="0.35">
      <c r="B419" s="113">
        <v>46049</v>
      </c>
      <c r="C419" s="4" t="s">
        <v>5105</v>
      </c>
      <c r="D419" s="4" t="s">
        <v>4568</v>
      </c>
      <c r="E419" s="1" t="str">
        <f>_xlfn.XLOOKUP(tblSales[[#This Row],[Customer ID]],tblCustomers[Customer ID],tblCustomers[Customer Name],"⚠ Unknown")</f>
        <v>Walk-in Customer</v>
      </c>
      <c r="F419" s="4" t="s">
        <v>7</v>
      </c>
      <c r="G419" s="1" t="str">
        <f>_xlfn.XLOOKUP(tblSales[[#This Row],[Product Code]],tblProducts[Code],tblProducts[Product / Service Name],"⚠ Unknown")</f>
        <v>Premium Basic T-shirt</v>
      </c>
      <c r="H419" s="1" t="str">
        <f>_xlfn.XLOOKUP(tblSales[[#This Row],[Product Code]],tblProducts[Code],tblProducts[Category],"")</f>
        <v>Accessories &amp; Basics</v>
      </c>
      <c r="I419" s="4">
        <v>8</v>
      </c>
      <c r="J419" s="5">
        <f>_xlfn.XLOOKUP(tblSales[[#This Row],[Product Code]],tblProducts[Code],tblProducts[Selling Price (excl. VAT)],0)</f>
        <v>65000</v>
      </c>
      <c r="K419" s="5">
        <f>tblSales[[#This Row],[Qty]]*tblSales[[#This Row],[Unit Price]]</f>
        <v>520000</v>
      </c>
      <c r="L419" s="5">
        <f>ROUND(tblSales[[#This Row],[DPP (excl. VAT)]]*VATEff,0)</f>
        <v>57200</v>
      </c>
      <c r="M419" s="5">
        <f>tblSales[[#This Row],[DPP (excl. VAT)]]+tblSales[[#This Row],[Output VAT]]</f>
        <v>577200</v>
      </c>
      <c r="N419" s="5">
        <f>tblSales[[#This Row],[Qty]]*_xlfn.XLOOKUP(tblSales[[#This Row],[Product Code]],tblProducts[Code],tblProducts[Unit Cost],0)</f>
        <v>296000</v>
      </c>
      <c r="O419" s="4" t="s">
        <v>4866</v>
      </c>
      <c r="P419" s="4" t="s">
        <v>4861</v>
      </c>
      <c r="Q419" s="1" t="str">
        <f>_xlfn.XLOOKUP(tblSales[[#This Row],[Channel Code]],tblChannels[Channel Code],tblChannels[Channel Name],"")</f>
        <v>Marketplace</v>
      </c>
      <c r="R419" s="1">
        <f>MONTH(tblSales[[#This Row],[Date]])</f>
        <v>1</v>
      </c>
    </row>
    <row r="420" spans="2:18" x14ac:dyDescent="0.35">
      <c r="B420" s="113">
        <v>46050</v>
      </c>
      <c r="C420" s="4" t="s">
        <v>5106</v>
      </c>
      <c r="D420" s="4" t="s">
        <v>4599</v>
      </c>
      <c r="E420" s="1" t="str">
        <f>_xlfn.XLOOKUP(tblSales[[#This Row],[Customer ID]],tblCustomers[Customer ID],tblCustomers[Customer Name],"⚠ Unknown")</f>
        <v>PT Samudra Jaya Logistik</v>
      </c>
      <c r="F420" s="4" t="s">
        <v>10</v>
      </c>
      <c r="G420" s="1" t="str">
        <f>_xlfn.XLOOKUP(tblSales[[#This Row],[Product Code]],tblProducts[Code],tblProducts[Product / Service Name],"⚠ Unknown")</f>
        <v>Chino Pants</v>
      </c>
      <c r="H420" s="1" t="str">
        <f>_xlfn.XLOOKUP(tblSales[[#This Row],[Product Code]],tblProducts[Code],tblProducts[Category],"")</f>
        <v>Apparel &amp; Footwear</v>
      </c>
      <c r="I420" s="4">
        <v>96</v>
      </c>
      <c r="J420" s="5">
        <f>_xlfn.XLOOKUP(tblSales[[#This Row],[Product Code]],tblProducts[Code],tblProducts[Selling Price (excl. VAT)],0)</f>
        <v>150000</v>
      </c>
      <c r="K420" s="5">
        <f>tblSales[[#This Row],[Qty]]*tblSales[[#This Row],[Unit Price]]</f>
        <v>14400000</v>
      </c>
      <c r="L420" s="5">
        <f>ROUND(tblSales[[#This Row],[DPP (excl. VAT)]]*VATEff,0)</f>
        <v>1584000</v>
      </c>
      <c r="M420" s="5">
        <f>tblSales[[#This Row],[DPP (excl. VAT)]]+tblSales[[#This Row],[Output VAT]]</f>
        <v>15984000</v>
      </c>
      <c r="N420" s="5">
        <f>tblSales[[#This Row],[Qty]]*_xlfn.XLOOKUP(tblSales[[#This Row],[Product Code]],tblProducts[Code],tblProducts[Unit Cost],0)</f>
        <v>8448000</v>
      </c>
      <c r="O420" s="4" t="s">
        <v>4867</v>
      </c>
      <c r="P420" s="4" t="s">
        <v>4860</v>
      </c>
      <c r="Q420" s="1" t="str">
        <f>_xlfn.XLOOKUP(tblSales[[#This Row],[Channel Code]],tblChannels[Channel Code],tblChannels[Channel Name],"")</f>
        <v>In-store</v>
      </c>
      <c r="R420" s="1">
        <f>MONTH(tblSales[[#This Row],[Date]])</f>
        <v>1</v>
      </c>
    </row>
    <row r="421" spans="2:18" x14ac:dyDescent="0.35">
      <c r="B421" s="113">
        <v>46050</v>
      </c>
      <c r="C421" s="4" t="s">
        <v>5107</v>
      </c>
      <c r="D421" s="4" t="s">
        <v>4568</v>
      </c>
      <c r="E421" s="1" t="str">
        <f>_xlfn.XLOOKUP(tblSales[[#This Row],[Customer ID]],tblCustomers[Customer ID],tblCustomers[Customer Name],"⚠ Unknown")</f>
        <v>Walk-in Customer</v>
      </c>
      <c r="F421" s="4" t="s">
        <v>11</v>
      </c>
      <c r="G421" s="1" t="str">
        <f>_xlfn.XLOOKUP(tblSales[[#This Row],[Product Code]],tblProducts[Code],tblProducts[Product / Service Name],"⚠ Unknown")</f>
        <v>Sneakers</v>
      </c>
      <c r="H421" s="1" t="str">
        <f>_xlfn.XLOOKUP(tblSales[[#This Row],[Product Code]],tblProducts[Code],tblProducts[Category],"")</f>
        <v>Apparel &amp; Footwear</v>
      </c>
      <c r="I421" s="4">
        <v>6</v>
      </c>
      <c r="J421" s="5">
        <f>_xlfn.XLOOKUP(tblSales[[#This Row],[Product Code]],tblProducts[Code],tblProducts[Selling Price (excl. VAT)],0)</f>
        <v>250000</v>
      </c>
      <c r="K421" s="5">
        <f>tblSales[[#This Row],[Qty]]*tblSales[[#This Row],[Unit Price]]</f>
        <v>1500000</v>
      </c>
      <c r="L421" s="5">
        <f>ROUND(tblSales[[#This Row],[DPP (excl. VAT)]]*VATEff,0)</f>
        <v>165000</v>
      </c>
      <c r="M421" s="5">
        <f>tblSales[[#This Row],[DPP (excl. VAT)]]+tblSales[[#This Row],[Output VAT]]</f>
        <v>1665000</v>
      </c>
      <c r="N421" s="5">
        <f>tblSales[[#This Row],[Qty]]*_xlfn.XLOOKUP(tblSales[[#This Row],[Product Code]],tblProducts[Code],tblProducts[Unit Cost],0)</f>
        <v>930000</v>
      </c>
      <c r="O421" s="4" t="s">
        <v>4866</v>
      </c>
      <c r="P421" s="4" t="s">
        <v>4861</v>
      </c>
      <c r="Q421" s="1" t="str">
        <f>_xlfn.XLOOKUP(tblSales[[#This Row],[Channel Code]],tblChannels[Channel Code],tblChannels[Channel Name],"")</f>
        <v>Marketplace</v>
      </c>
      <c r="R421" s="1">
        <f>MONTH(tblSales[[#This Row],[Date]])</f>
        <v>1</v>
      </c>
    </row>
    <row r="422" spans="2:18" x14ac:dyDescent="0.35">
      <c r="B422" s="113">
        <v>46050</v>
      </c>
      <c r="C422" s="4" t="s">
        <v>5108</v>
      </c>
      <c r="D422" s="4" t="s">
        <v>4627</v>
      </c>
      <c r="E422" s="1" t="str">
        <f>_xlfn.XLOOKUP(tblSales[[#This Row],[Customer ID]],tblCustomers[Customer ID],tblCustomers[Customer Name],"⚠ Unknown")</f>
        <v>PT Kencana Wira Usaha</v>
      </c>
      <c r="F422" s="4" t="s">
        <v>11</v>
      </c>
      <c r="G422" s="1" t="str">
        <f>_xlfn.XLOOKUP(tblSales[[#This Row],[Product Code]],tblProducts[Code],tblProducts[Product / Service Name],"⚠ Unknown")</f>
        <v>Sneakers</v>
      </c>
      <c r="H422" s="1" t="str">
        <f>_xlfn.XLOOKUP(tblSales[[#This Row],[Product Code]],tblProducts[Code],tblProducts[Category],"")</f>
        <v>Apparel &amp; Footwear</v>
      </c>
      <c r="I422" s="4">
        <v>48</v>
      </c>
      <c r="J422" s="5">
        <f>_xlfn.XLOOKUP(tblSales[[#This Row],[Product Code]],tblProducts[Code],tblProducts[Selling Price (excl. VAT)],0)</f>
        <v>250000</v>
      </c>
      <c r="K422" s="5">
        <f>tblSales[[#This Row],[Qty]]*tblSales[[#This Row],[Unit Price]]</f>
        <v>12000000</v>
      </c>
      <c r="L422" s="5">
        <f>ROUND(tblSales[[#This Row],[DPP (excl. VAT)]]*VATEff,0)</f>
        <v>1320000</v>
      </c>
      <c r="M422" s="5">
        <f>tblSales[[#This Row],[DPP (excl. VAT)]]+tblSales[[#This Row],[Output VAT]]</f>
        <v>13320000</v>
      </c>
      <c r="N422" s="5">
        <f>tblSales[[#This Row],[Qty]]*_xlfn.XLOOKUP(tblSales[[#This Row],[Product Code]],tblProducts[Code],tblProducts[Unit Cost],0)</f>
        <v>7440000</v>
      </c>
      <c r="O422" s="4" t="s">
        <v>4867</v>
      </c>
      <c r="P422" s="4" t="s">
        <v>4862</v>
      </c>
      <c r="Q422" s="1" t="str">
        <f>_xlfn.XLOOKUP(tblSales[[#This Row],[Channel Code]],tblChannels[Channel Code],tblChannels[Channel Name],"")</f>
        <v>Website &amp; Social Media</v>
      </c>
      <c r="R422" s="1">
        <f>MONTH(tblSales[[#This Row],[Date]])</f>
        <v>1</v>
      </c>
    </row>
    <row r="423" spans="2:18" x14ac:dyDescent="0.35">
      <c r="B423" s="113">
        <v>46050</v>
      </c>
      <c r="C423" s="4" t="s">
        <v>5108</v>
      </c>
      <c r="D423" s="4" t="s">
        <v>4627</v>
      </c>
      <c r="E423" s="1" t="str">
        <f>_xlfn.XLOOKUP(tblSales[[#This Row],[Customer ID]],tblCustomers[Customer ID],tblCustomers[Customer Name],"⚠ Unknown")</f>
        <v>PT Kencana Wira Usaha</v>
      </c>
      <c r="F423" s="4" t="s">
        <v>7</v>
      </c>
      <c r="G423" s="1" t="str">
        <f>_xlfn.XLOOKUP(tblSales[[#This Row],[Product Code]],tblProducts[Code],tblProducts[Product / Service Name],"⚠ Unknown")</f>
        <v>Premium Basic T-shirt</v>
      </c>
      <c r="H423" s="1" t="str">
        <f>_xlfn.XLOOKUP(tblSales[[#This Row],[Product Code]],tblProducts[Code],tblProducts[Category],"")</f>
        <v>Accessories &amp; Basics</v>
      </c>
      <c r="I423" s="4">
        <v>8</v>
      </c>
      <c r="J423" s="5">
        <f>_xlfn.XLOOKUP(tblSales[[#This Row],[Product Code]],tblProducts[Code],tblProducts[Selling Price (excl. VAT)],0)</f>
        <v>65000</v>
      </c>
      <c r="K423" s="5">
        <f>tblSales[[#This Row],[Qty]]*tblSales[[#This Row],[Unit Price]]</f>
        <v>520000</v>
      </c>
      <c r="L423" s="5">
        <f>ROUND(tblSales[[#This Row],[DPP (excl. VAT)]]*VATEff,0)</f>
        <v>57200</v>
      </c>
      <c r="M423" s="5">
        <f>tblSales[[#This Row],[DPP (excl. VAT)]]+tblSales[[#This Row],[Output VAT]]</f>
        <v>577200</v>
      </c>
      <c r="N423" s="5">
        <f>tblSales[[#This Row],[Qty]]*_xlfn.XLOOKUP(tblSales[[#This Row],[Product Code]],tblProducts[Code],tblProducts[Unit Cost],0)</f>
        <v>296000</v>
      </c>
      <c r="O423" s="4" t="s">
        <v>4867</v>
      </c>
      <c r="P423" s="4" t="s">
        <v>4862</v>
      </c>
      <c r="Q423" s="1" t="str">
        <f>_xlfn.XLOOKUP(tblSales[[#This Row],[Channel Code]],tblChannels[Channel Code],tblChannels[Channel Name],"")</f>
        <v>Website &amp; Social Media</v>
      </c>
      <c r="R423" s="1">
        <f>MONTH(tblSales[[#This Row],[Date]])</f>
        <v>1</v>
      </c>
    </row>
    <row r="424" spans="2:18" x14ac:dyDescent="0.35">
      <c r="B424" s="113">
        <v>46050</v>
      </c>
      <c r="C424" s="4" t="s">
        <v>5109</v>
      </c>
      <c r="D424" s="4" t="s">
        <v>4568</v>
      </c>
      <c r="E424" s="1" t="str">
        <f>_xlfn.XLOOKUP(tblSales[[#This Row],[Customer ID]],tblCustomers[Customer ID],tblCustomers[Customer Name],"⚠ Unknown")</f>
        <v>Walk-in Customer</v>
      </c>
      <c r="F424" s="4" t="s">
        <v>7</v>
      </c>
      <c r="G424" s="1" t="str">
        <f>_xlfn.XLOOKUP(tblSales[[#This Row],[Product Code]],tblProducts[Code],tblProducts[Product / Service Name],"⚠ Unknown")</f>
        <v>Premium Basic T-shirt</v>
      </c>
      <c r="H424" s="1" t="str">
        <f>_xlfn.XLOOKUP(tblSales[[#This Row],[Product Code]],tblProducts[Code],tblProducts[Category],"")</f>
        <v>Accessories &amp; Basics</v>
      </c>
      <c r="I424" s="4">
        <v>12</v>
      </c>
      <c r="J424" s="5">
        <f>_xlfn.XLOOKUP(tblSales[[#This Row],[Product Code]],tblProducts[Code],tblProducts[Selling Price (excl. VAT)],0)</f>
        <v>65000</v>
      </c>
      <c r="K424" s="5">
        <f>tblSales[[#This Row],[Qty]]*tblSales[[#This Row],[Unit Price]]</f>
        <v>780000</v>
      </c>
      <c r="L424" s="5">
        <f>ROUND(tblSales[[#This Row],[DPP (excl. VAT)]]*VATEff,0)</f>
        <v>85800</v>
      </c>
      <c r="M424" s="5">
        <f>tblSales[[#This Row],[DPP (excl. VAT)]]+tblSales[[#This Row],[Output VAT]]</f>
        <v>865800</v>
      </c>
      <c r="N424" s="5">
        <f>tblSales[[#This Row],[Qty]]*_xlfn.XLOOKUP(tblSales[[#This Row],[Product Code]],tblProducts[Code],tblProducts[Unit Cost],0)</f>
        <v>444000</v>
      </c>
      <c r="O424" s="4" t="s">
        <v>4866</v>
      </c>
      <c r="P424" s="4" t="s">
        <v>4862</v>
      </c>
      <c r="Q424" s="1" t="str">
        <f>_xlfn.XLOOKUP(tblSales[[#This Row],[Channel Code]],tblChannels[Channel Code],tblChannels[Channel Name],"")</f>
        <v>Website &amp; Social Media</v>
      </c>
      <c r="R424" s="1">
        <f>MONTH(tblSales[[#This Row],[Date]])</f>
        <v>1</v>
      </c>
    </row>
    <row r="425" spans="2:18" x14ac:dyDescent="0.35">
      <c r="B425" s="113">
        <v>46050</v>
      </c>
      <c r="C425" s="4" t="s">
        <v>5109</v>
      </c>
      <c r="D425" s="4" t="s">
        <v>4568</v>
      </c>
      <c r="E425" s="1" t="str">
        <f>_xlfn.XLOOKUP(tblSales[[#This Row],[Customer ID]],tblCustomers[Customer ID],tblCustomers[Customer Name],"⚠ Unknown")</f>
        <v>Walk-in Customer</v>
      </c>
      <c r="F425" s="4" t="s">
        <v>9</v>
      </c>
      <c r="G425" s="1" t="str">
        <f>_xlfn.XLOOKUP(tblSales[[#This Row],[Product Code]],tblProducts[Code],tblProducts[Product / Service Name],"⚠ Unknown")</f>
        <v>Casual Shirt</v>
      </c>
      <c r="H425" s="1" t="str">
        <f>_xlfn.XLOOKUP(tblSales[[#This Row],[Product Code]],tblProducts[Code],tblProducts[Category],"")</f>
        <v>Apparel &amp; Footwear</v>
      </c>
      <c r="I425" s="4">
        <v>5</v>
      </c>
      <c r="J425" s="5">
        <f>_xlfn.XLOOKUP(tblSales[[#This Row],[Product Code]],tblProducts[Code],tblProducts[Selling Price (excl. VAT)],0)</f>
        <v>120000</v>
      </c>
      <c r="K425" s="5">
        <f>tblSales[[#This Row],[Qty]]*tblSales[[#This Row],[Unit Price]]</f>
        <v>600000</v>
      </c>
      <c r="L425" s="5">
        <f>ROUND(tblSales[[#This Row],[DPP (excl. VAT)]]*VATEff,0)</f>
        <v>66000</v>
      </c>
      <c r="M425" s="5">
        <f>tblSales[[#This Row],[DPP (excl. VAT)]]+tblSales[[#This Row],[Output VAT]]</f>
        <v>666000</v>
      </c>
      <c r="N425" s="5">
        <f>tblSales[[#This Row],[Qty]]*_xlfn.XLOOKUP(tblSales[[#This Row],[Product Code]],tblProducts[Code],tblProducts[Unit Cost],0)</f>
        <v>360000</v>
      </c>
      <c r="O425" s="4" t="s">
        <v>4866</v>
      </c>
      <c r="P425" s="4" t="s">
        <v>4862</v>
      </c>
      <c r="Q425" s="1" t="str">
        <f>_xlfn.XLOOKUP(tblSales[[#This Row],[Channel Code]],tblChannels[Channel Code],tblChannels[Channel Name],"")</f>
        <v>Website &amp; Social Media</v>
      </c>
      <c r="R425" s="1">
        <f>MONTH(tblSales[[#This Row],[Date]])</f>
        <v>1</v>
      </c>
    </row>
    <row r="426" spans="2:18" x14ac:dyDescent="0.35">
      <c r="B426" s="113">
        <v>46050</v>
      </c>
      <c r="C426" s="4" t="s">
        <v>5110</v>
      </c>
      <c r="D426" s="4" t="s">
        <v>4568</v>
      </c>
      <c r="E426" s="1" t="str">
        <f>_xlfn.XLOOKUP(tblSales[[#This Row],[Customer ID]],tblCustomers[Customer ID],tblCustomers[Customer Name],"⚠ Unknown")</f>
        <v>Walk-in Customer</v>
      </c>
      <c r="F426" s="4" t="s">
        <v>7</v>
      </c>
      <c r="G426" s="1" t="str">
        <f>_xlfn.XLOOKUP(tblSales[[#This Row],[Product Code]],tblProducts[Code],tblProducts[Product / Service Name],"⚠ Unknown")</f>
        <v>Premium Basic T-shirt</v>
      </c>
      <c r="H426" s="1" t="str">
        <f>_xlfn.XLOOKUP(tblSales[[#This Row],[Product Code]],tblProducts[Code],tblProducts[Category],"")</f>
        <v>Accessories &amp; Basics</v>
      </c>
      <c r="I426" s="4">
        <v>3</v>
      </c>
      <c r="J426" s="5">
        <f>_xlfn.XLOOKUP(tblSales[[#This Row],[Product Code]],tblProducts[Code],tblProducts[Selling Price (excl. VAT)],0)</f>
        <v>65000</v>
      </c>
      <c r="K426" s="5">
        <f>tblSales[[#This Row],[Qty]]*tblSales[[#This Row],[Unit Price]]</f>
        <v>195000</v>
      </c>
      <c r="L426" s="5">
        <f>ROUND(tblSales[[#This Row],[DPP (excl. VAT)]]*VATEff,0)</f>
        <v>21450</v>
      </c>
      <c r="M426" s="5">
        <f>tblSales[[#This Row],[DPP (excl. VAT)]]+tblSales[[#This Row],[Output VAT]]</f>
        <v>216450</v>
      </c>
      <c r="N426" s="5">
        <f>tblSales[[#This Row],[Qty]]*_xlfn.XLOOKUP(tblSales[[#This Row],[Product Code]],tblProducts[Code],tblProducts[Unit Cost],0)</f>
        <v>111000</v>
      </c>
      <c r="O426" s="4" t="s">
        <v>4865</v>
      </c>
      <c r="P426" s="4" t="s">
        <v>4860</v>
      </c>
      <c r="Q426" s="1" t="str">
        <f>_xlfn.XLOOKUP(tblSales[[#This Row],[Channel Code]],tblChannels[Channel Code],tblChannels[Channel Name],"")</f>
        <v>In-store</v>
      </c>
      <c r="R426" s="1">
        <f>MONTH(tblSales[[#This Row],[Date]])</f>
        <v>1</v>
      </c>
    </row>
    <row r="427" spans="2:18" x14ac:dyDescent="0.35">
      <c r="B427" s="113">
        <v>46050</v>
      </c>
      <c r="C427" s="4" t="s">
        <v>5111</v>
      </c>
      <c r="D427" s="4" t="s">
        <v>4568</v>
      </c>
      <c r="E427" s="1" t="str">
        <f>_xlfn.XLOOKUP(tblSales[[#This Row],[Customer ID]],tblCustomers[Customer ID],tblCustomers[Customer Name],"⚠ Unknown")</f>
        <v>Walk-in Customer</v>
      </c>
      <c r="F427" s="4" t="s">
        <v>7</v>
      </c>
      <c r="G427" s="1" t="str">
        <f>_xlfn.XLOOKUP(tblSales[[#This Row],[Product Code]],tblProducts[Code],tblProducts[Product / Service Name],"⚠ Unknown")</f>
        <v>Premium Basic T-shirt</v>
      </c>
      <c r="H427" s="1" t="str">
        <f>_xlfn.XLOOKUP(tblSales[[#This Row],[Product Code]],tblProducts[Code],tblProducts[Category],"")</f>
        <v>Accessories &amp; Basics</v>
      </c>
      <c r="I427" s="4">
        <v>6</v>
      </c>
      <c r="J427" s="5">
        <f>_xlfn.XLOOKUP(tblSales[[#This Row],[Product Code]],tblProducts[Code],tblProducts[Selling Price (excl. VAT)],0)</f>
        <v>65000</v>
      </c>
      <c r="K427" s="5">
        <f>tblSales[[#This Row],[Qty]]*tblSales[[#This Row],[Unit Price]]</f>
        <v>390000</v>
      </c>
      <c r="L427" s="5">
        <f>ROUND(tblSales[[#This Row],[DPP (excl. VAT)]]*VATEff,0)</f>
        <v>42900</v>
      </c>
      <c r="M427" s="5">
        <f>tblSales[[#This Row],[DPP (excl. VAT)]]+tblSales[[#This Row],[Output VAT]]</f>
        <v>432900</v>
      </c>
      <c r="N427" s="5">
        <f>tblSales[[#This Row],[Qty]]*_xlfn.XLOOKUP(tblSales[[#This Row],[Product Code]],tblProducts[Code],tblProducts[Unit Cost],0)</f>
        <v>222000</v>
      </c>
      <c r="O427" s="4" t="s">
        <v>4865</v>
      </c>
      <c r="P427" s="4" t="s">
        <v>4860</v>
      </c>
      <c r="Q427" s="1" t="str">
        <f>_xlfn.XLOOKUP(tblSales[[#This Row],[Channel Code]],tblChannels[Channel Code],tblChannels[Channel Name],"")</f>
        <v>In-store</v>
      </c>
      <c r="R427" s="1">
        <f>MONTH(tblSales[[#This Row],[Date]])</f>
        <v>1</v>
      </c>
    </row>
    <row r="428" spans="2:18" x14ac:dyDescent="0.35">
      <c r="B428" s="113">
        <v>46050</v>
      </c>
      <c r="C428" s="4" t="s">
        <v>5112</v>
      </c>
      <c r="D428" s="4" t="s">
        <v>4568</v>
      </c>
      <c r="E428" s="1" t="str">
        <f>_xlfn.XLOOKUP(tblSales[[#This Row],[Customer ID]],tblCustomers[Customer ID],tblCustomers[Customer Name],"⚠ Unknown")</f>
        <v>Walk-in Customer</v>
      </c>
      <c r="F428" s="4" t="s">
        <v>6</v>
      </c>
      <c r="G428" s="1" t="str">
        <f>_xlfn.XLOOKUP(tblSales[[#This Row],[Product Code]],tblProducts[Code],tblProducts[Product / Service Name],"⚠ Unknown")</f>
        <v>Socks &amp; Accessories</v>
      </c>
      <c r="H428" s="1" t="str">
        <f>_xlfn.XLOOKUP(tblSales[[#This Row],[Product Code]],tblProducts[Code],tblProducts[Category],"")</f>
        <v>Accessories &amp; Basics</v>
      </c>
      <c r="I428" s="4">
        <v>6</v>
      </c>
      <c r="J428" s="5">
        <f>_xlfn.XLOOKUP(tblSales[[#This Row],[Product Code]],tblProducts[Code],tblProducts[Selling Price (excl. VAT)],0)</f>
        <v>45000</v>
      </c>
      <c r="K428" s="5">
        <f>tblSales[[#This Row],[Qty]]*tblSales[[#This Row],[Unit Price]]</f>
        <v>270000</v>
      </c>
      <c r="L428" s="5">
        <f>ROUND(tblSales[[#This Row],[DPP (excl. VAT)]]*VATEff,0)</f>
        <v>29700</v>
      </c>
      <c r="M428" s="5">
        <f>tblSales[[#This Row],[DPP (excl. VAT)]]+tblSales[[#This Row],[Output VAT]]</f>
        <v>299700</v>
      </c>
      <c r="N428" s="5">
        <f>tblSales[[#This Row],[Qty]]*_xlfn.XLOOKUP(tblSales[[#This Row],[Product Code]],tblProducts[Code],tblProducts[Unit Cost],0)</f>
        <v>144000</v>
      </c>
      <c r="O428" s="4" t="s">
        <v>4866</v>
      </c>
      <c r="P428" s="4" t="s">
        <v>4861</v>
      </c>
      <c r="Q428" s="1" t="str">
        <f>_xlfn.XLOOKUP(tblSales[[#This Row],[Channel Code]],tblChannels[Channel Code],tblChannels[Channel Name],"")</f>
        <v>Marketplace</v>
      </c>
      <c r="R428" s="1">
        <f>MONTH(tblSales[[#This Row],[Date]])</f>
        <v>1</v>
      </c>
    </row>
    <row r="429" spans="2:18" x14ac:dyDescent="0.35">
      <c r="B429" s="113">
        <v>46050</v>
      </c>
      <c r="C429" s="4" t="s">
        <v>5113</v>
      </c>
      <c r="D429" s="4" t="s">
        <v>4593</v>
      </c>
      <c r="E429" s="1" t="str">
        <f>_xlfn.XLOOKUP(tblSales[[#This Row],[Customer ID]],tblCustomers[Customer ID],tblCustomers[Customer Name],"⚠ Unknown")</f>
        <v>PT Graha Nusa Persada</v>
      </c>
      <c r="F429" s="4" t="s">
        <v>8</v>
      </c>
      <c r="G429" s="1" t="str">
        <f>_xlfn.XLOOKUP(tblSales[[#This Row],[Product Code]],tblProducts[Code],tblProducts[Product / Service Name],"⚠ Unknown")</f>
        <v>Casual Shorts</v>
      </c>
      <c r="H429" s="1" t="str">
        <f>_xlfn.XLOOKUP(tblSales[[#This Row],[Product Code]],tblProducts[Code],tblProducts[Category],"")</f>
        <v>Accessories &amp; Basics</v>
      </c>
      <c r="I429" s="4">
        <v>96</v>
      </c>
      <c r="J429" s="5">
        <f>_xlfn.XLOOKUP(tblSales[[#This Row],[Product Code]],tblProducts[Code],tblProducts[Selling Price (excl. VAT)],0)</f>
        <v>85000</v>
      </c>
      <c r="K429" s="5">
        <f>tblSales[[#This Row],[Qty]]*tblSales[[#This Row],[Unit Price]]</f>
        <v>8160000</v>
      </c>
      <c r="L429" s="5">
        <f>ROUND(tblSales[[#This Row],[DPP (excl. VAT)]]*VATEff,0)</f>
        <v>897600</v>
      </c>
      <c r="M429" s="5">
        <f>tblSales[[#This Row],[DPP (excl. VAT)]]+tblSales[[#This Row],[Output VAT]]</f>
        <v>9057600</v>
      </c>
      <c r="N429" s="5">
        <f>tblSales[[#This Row],[Qty]]*_xlfn.XLOOKUP(tblSales[[#This Row],[Product Code]],tblProducts[Code],tblProducts[Unit Cost],0)</f>
        <v>4800000</v>
      </c>
      <c r="O429" s="4" t="s">
        <v>4867</v>
      </c>
      <c r="P429" s="4" t="s">
        <v>4860</v>
      </c>
      <c r="Q429" s="1" t="str">
        <f>_xlfn.XLOOKUP(tblSales[[#This Row],[Channel Code]],tblChannels[Channel Code],tblChannels[Channel Name],"")</f>
        <v>In-store</v>
      </c>
      <c r="R429" s="1">
        <f>MONTH(tblSales[[#This Row],[Date]])</f>
        <v>1</v>
      </c>
    </row>
    <row r="430" spans="2:18" x14ac:dyDescent="0.35">
      <c r="B430" s="113">
        <v>46050</v>
      </c>
      <c r="C430" s="4" t="s">
        <v>5114</v>
      </c>
      <c r="D430" s="4" t="s">
        <v>4568</v>
      </c>
      <c r="E430" s="1" t="str">
        <f>_xlfn.XLOOKUP(tblSales[[#This Row],[Customer ID]],tblCustomers[Customer ID],tblCustomers[Customer Name],"⚠ Unknown")</f>
        <v>Walk-in Customer</v>
      </c>
      <c r="F430" s="4" t="s">
        <v>7</v>
      </c>
      <c r="G430" s="1" t="str">
        <f>_xlfn.XLOOKUP(tblSales[[#This Row],[Product Code]],tblProducts[Code],tblProducts[Product / Service Name],"⚠ Unknown")</f>
        <v>Premium Basic T-shirt</v>
      </c>
      <c r="H430" s="1" t="str">
        <f>_xlfn.XLOOKUP(tblSales[[#This Row],[Product Code]],tblProducts[Code],tblProducts[Category],"")</f>
        <v>Accessories &amp; Basics</v>
      </c>
      <c r="I430" s="4">
        <v>11</v>
      </c>
      <c r="J430" s="5">
        <f>_xlfn.XLOOKUP(tblSales[[#This Row],[Product Code]],tblProducts[Code],tblProducts[Selling Price (excl. VAT)],0)</f>
        <v>65000</v>
      </c>
      <c r="K430" s="5">
        <f>tblSales[[#This Row],[Qty]]*tblSales[[#This Row],[Unit Price]]</f>
        <v>715000</v>
      </c>
      <c r="L430" s="5">
        <f>ROUND(tblSales[[#This Row],[DPP (excl. VAT)]]*VATEff,0)</f>
        <v>78650</v>
      </c>
      <c r="M430" s="5">
        <f>tblSales[[#This Row],[DPP (excl. VAT)]]+tblSales[[#This Row],[Output VAT]]</f>
        <v>793650</v>
      </c>
      <c r="N430" s="5">
        <f>tblSales[[#This Row],[Qty]]*_xlfn.XLOOKUP(tblSales[[#This Row],[Product Code]],tblProducts[Code],tblProducts[Unit Cost],0)</f>
        <v>407000</v>
      </c>
      <c r="O430" s="4" t="s">
        <v>4865</v>
      </c>
      <c r="P430" s="4" t="s">
        <v>4860</v>
      </c>
      <c r="Q430" s="1" t="str">
        <f>_xlfn.XLOOKUP(tblSales[[#This Row],[Channel Code]],tblChannels[Channel Code],tblChannels[Channel Name],"")</f>
        <v>In-store</v>
      </c>
      <c r="R430" s="1">
        <f>MONTH(tblSales[[#This Row],[Date]])</f>
        <v>1</v>
      </c>
    </row>
    <row r="431" spans="2:18" x14ac:dyDescent="0.35">
      <c r="B431" s="113">
        <v>46051</v>
      </c>
      <c r="C431" s="4" t="s">
        <v>5115</v>
      </c>
      <c r="D431" s="4" t="s">
        <v>4641</v>
      </c>
      <c r="E431" s="1" t="str">
        <f>_xlfn.XLOOKUP(tblSales[[#This Row],[Customer ID]],tblCustomers[Customer ID],tblCustomers[Customer Name],"⚠ Unknown")</f>
        <v>PT Harmoni Pangan Lestari</v>
      </c>
      <c r="F431" s="4" t="s">
        <v>12</v>
      </c>
      <c r="G431" s="1" t="str">
        <f>_xlfn.XLOOKUP(tblSales[[#This Row],[Product Code]],tblProducts[Code],tblProducts[Product / Service Name],"⚠ Unknown")</f>
        <v>Bomber Jacket</v>
      </c>
      <c r="H431" s="1" t="str">
        <f>_xlfn.XLOOKUP(tblSales[[#This Row],[Product Code]],tblProducts[Code],tblProducts[Category],"")</f>
        <v>Apparel &amp; Footwear</v>
      </c>
      <c r="I431" s="4">
        <v>40</v>
      </c>
      <c r="J431" s="5">
        <f>_xlfn.XLOOKUP(tblSales[[#This Row],[Product Code]],tblProducts[Code],tblProducts[Selling Price (excl. VAT)],0)</f>
        <v>350000</v>
      </c>
      <c r="K431" s="5">
        <f>tblSales[[#This Row],[Qty]]*tblSales[[#This Row],[Unit Price]]</f>
        <v>14000000</v>
      </c>
      <c r="L431" s="5">
        <f>ROUND(tblSales[[#This Row],[DPP (excl. VAT)]]*VATEff,0)</f>
        <v>1540000</v>
      </c>
      <c r="M431" s="5">
        <f>tblSales[[#This Row],[DPP (excl. VAT)]]+tblSales[[#This Row],[Output VAT]]</f>
        <v>15540000</v>
      </c>
      <c r="N431" s="5">
        <f>tblSales[[#This Row],[Qty]]*_xlfn.XLOOKUP(tblSales[[#This Row],[Product Code]],tblProducts[Code],tblProducts[Unit Cost],0)</f>
        <v>8400000</v>
      </c>
      <c r="O431" s="4" t="s">
        <v>4867</v>
      </c>
      <c r="P431" s="4" t="s">
        <v>4860</v>
      </c>
      <c r="Q431" s="1" t="str">
        <f>_xlfn.XLOOKUP(tblSales[[#This Row],[Channel Code]],tblChannels[Channel Code],tblChannels[Channel Name],"")</f>
        <v>In-store</v>
      </c>
      <c r="R431" s="1">
        <f>MONTH(tblSales[[#This Row],[Date]])</f>
        <v>1</v>
      </c>
    </row>
    <row r="432" spans="2:18" x14ac:dyDescent="0.35">
      <c r="B432" s="113">
        <v>46051</v>
      </c>
      <c r="C432" s="4" t="s">
        <v>5115</v>
      </c>
      <c r="D432" s="4" t="s">
        <v>4641</v>
      </c>
      <c r="E432" s="1" t="str">
        <f>_xlfn.XLOOKUP(tblSales[[#This Row],[Customer ID]],tblCustomers[Customer ID],tblCustomers[Customer Name],"⚠ Unknown")</f>
        <v>PT Harmoni Pangan Lestari</v>
      </c>
      <c r="F432" s="4" t="s">
        <v>6</v>
      </c>
      <c r="G432" s="1" t="str">
        <f>_xlfn.XLOOKUP(tblSales[[#This Row],[Product Code]],tblProducts[Code],tblProducts[Product / Service Name],"⚠ Unknown")</f>
        <v>Socks &amp; Accessories</v>
      </c>
      <c r="H432" s="1" t="str">
        <f>_xlfn.XLOOKUP(tblSales[[#This Row],[Product Code]],tblProducts[Code],tblProducts[Category],"")</f>
        <v>Accessories &amp; Basics</v>
      </c>
      <c r="I432" s="4">
        <v>16</v>
      </c>
      <c r="J432" s="5">
        <f>_xlfn.XLOOKUP(tblSales[[#This Row],[Product Code]],tblProducts[Code],tblProducts[Selling Price (excl. VAT)],0)</f>
        <v>45000</v>
      </c>
      <c r="K432" s="5">
        <f>tblSales[[#This Row],[Qty]]*tblSales[[#This Row],[Unit Price]]</f>
        <v>720000</v>
      </c>
      <c r="L432" s="5">
        <f>ROUND(tblSales[[#This Row],[DPP (excl. VAT)]]*VATEff,0)</f>
        <v>79200</v>
      </c>
      <c r="M432" s="5">
        <f>tblSales[[#This Row],[DPP (excl. VAT)]]+tblSales[[#This Row],[Output VAT]]</f>
        <v>799200</v>
      </c>
      <c r="N432" s="5">
        <f>tblSales[[#This Row],[Qty]]*_xlfn.XLOOKUP(tblSales[[#This Row],[Product Code]],tblProducts[Code],tblProducts[Unit Cost],0)</f>
        <v>384000</v>
      </c>
      <c r="O432" s="4" t="s">
        <v>4867</v>
      </c>
      <c r="P432" s="4" t="s">
        <v>4860</v>
      </c>
      <c r="Q432" s="1" t="str">
        <f>_xlfn.XLOOKUP(tblSales[[#This Row],[Channel Code]],tblChannels[Channel Code],tblChannels[Channel Name],"")</f>
        <v>In-store</v>
      </c>
      <c r="R432" s="1">
        <f>MONTH(tblSales[[#This Row],[Date]])</f>
        <v>1</v>
      </c>
    </row>
    <row r="433" spans="2:18" x14ac:dyDescent="0.35">
      <c r="B433" s="113">
        <v>46051</v>
      </c>
      <c r="C433" s="4" t="s">
        <v>5115</v>
      </c>
      <c r="D433" s="4" t="s">
        <v>4641</v>
      </c>
      <c r="E433" s="1" t="str">
        <f>_xlfn.XLOOKUP(tblSales[[#This Row],[Customer ID]],tblCustomers[Customer ID],tblCustomers[Customer Name],"⚠ Unknown")</f>
        <v>PT Harmoni Pangan Lestari</v>
      </c>
      <c r="F433" s="4" t="s">
        <v>11</v>
      </c>
      <c r="G433" s="1" t="str">
        <f>_xlfn.XLOOKUP(tblSales[[#This Row],[Product Code]],tblProducts[Code],tblProducts[Product / Service Name],"⚠ Unknown")</f>
        <v>Sneakers</v>
      </c>
      <c r="H433" s="1" t="str">
        <f>_xlfn.XLOOKUP(tblSales[[#This Row],[Product Code]],tblProducts[Code],tblProducts[Category],"")</f>
        <v>Apparel &amp; Footwear</v>
      </c>
      <c r="I433" s="4">
        <v>40</v>
      </c>
      <c r="J433" s="5">
        <f>_xlfn.XLOOKUP(tblSales[[#This Row],[Product Code]],tblProducts[Code],tblProducts[Selling Price (excl. VAT)],0)</f>
        <v>250000</v>
      </c>
      <c r="K433" s="5">
        <f>tblSales[[#This Row],[Qty]]*tblSales[[#This Row],[Unit Price]]</f>
        <v>10000000</v>
      </c>
      <c r="L433" s="5">
        <f>ROUND(tblSales[[#This Row],[DPP (excl. VAT)]]*VATEff,0)</f>
        <v>1100000</v>
      </c>
      <c r="M433" s="5">
        <f>tblSales[[#This Row],[DPP (excl. VAT)]]+tblSales[[#This Row],[Output VAT]]</f>
        <v>11100000</v>
      </c>
      <c r="N433" s="5">
        <f>tblSales[[#This Row],[Qty]]*_xlfn.XLOOKUP(tblSales[[#This Row],[Product Code]],tblProducts[Code],tblProducts[Unit Cost],0)</f>
        <v>6200000</v>
      </c>
      <c r="O433" s="4" t="s">
        <v>4867</v>
      </c>
      <c r="P433" s="4" t="s">
        <v>4860</v>
      </c>
      <c r="Q433" s="1" t="str">
        <f>_xlfn.XLOOKUP(tblSales[[#This Row],[Channel Code]],tblChannels[Channel Code],tblChannels[Channel Name],"")</f>
        <v>In-store</v>
      </c>
      <c r="R433" s="1">
        <f>MONTH(tblSales[[#This Row],[Date]])</f>
        <v>1</v>
      </c>
    </row>
    <row r="434" spans="2:18" x14ac:dyDescent="0.35">
      <c r="B434" s="113">
        <v>46051</v>
      </c>
      <c r="C434" s="4" t="s">
        <v>5116</v>
      </c>
      <c r="D434" s="4" t="s">
        <v>4572</v>
      </c>
      <c r="E434" s="1" t="str">
        <f>_xlfn.XLOOKUP(tblSales[[#This Row],[Customer ID]],tblCustomers[Customer ID],tblCustomers[Customer Name],"⚠ Unknown")</f>
        <v>PT Cahaya Abadi Makmur</v>
      </c>
      <c r="F434" s="4" t="s">
        <v>6</v>
      </c>
      <c r="G434" s="1" t="str">
        <f>_xlfn.XLOOKUP(tblSales[[#This Row],[Product Code]],tblProducts[Code],tblProducts[Product / Service Name],"⚠ Unknown")</f>
        <v>Socks &amp; Accessories</v>
      </c>
      <c r="H434" s="1" t="str">
        <f>_xlfn.XLOOKUP(tblSales[[#This Row],[Product Code]],tblProducts[Code],tblProducts[Category],"")</f>
        <v>Accessories &amp; Basics</v>
      </c>
      <c r="I434" s="4">
        <v>40</v>
      </c>
      <c r="J434" s="5">
        <f>_xlfn.XLOOKUP(tblSales[[#This Row],[Product Code]],tblProducts[Code],tblProducts[Selling Price (excl. VAT)],0)</f>
        <v>45000</v>
      </c>
      <c r="K434" s="5">
        <f>tblSales[[#This Row],[Qty]]*tblSales[[#This Row],[Unit Price]]</f>
        <v>1800000</v>
      </c>
      <c r="L434" s="5">
        <f>ROUND(tblSales[[#This Row],[DPP (excl. VAT)]]*VATEff,0)</f>
        <v>198000</v>
      </c>
      <c r="M434" s="5">
        <f>tblSales[[#This Row],[DPP (excl. VAT)]]+tblSales[[#This Row],[Output VAT]]</f>
        <v>1998000</v>
      </c>
      <c r="N434" s="5">
        <f>tblSales[[#This Row],[Qty]]*_xlfn.XLOOKUP(tblSales[[#This Row],[Product Code]],tblProducts[Code],tblProducts[Unit Cost],0)</f>
        <v>960000</v>
      </c>
      <c r="O434" s="4" t="s">
        <v>4867</v>
      </c>
      <c r="P434" s="4" t="s">
        <v>4860</v>
      </c>
      <c r="Q434" s="1" t="str">
        <f>_xlfn.XLOOKUP(tblSales[[#This Row],[Channel Code]],tblChannels[Channel Code],tblChannels[Channel Name],"")</f>
        <v>In-store</v>
      </c>
      <c r="R434" s="1">
        <f>MONTH(tblSales[[#This Row],[Date]])</f>
        <v>1</v>
      </c>
    </row>
    <row r="435" spans="2:18" x14ac:dyDescent="0.35">
      <c r="B435" s="113">
        <v>46051</v>
      </c>
      <c r="C435" s="4" t="s">
        <v>5117</v>
      </c>
      <c r="D435" s="4" t="s">
        <v>4568</v>
      </c>
      <c r="E435" s="1" t="str">
        <f>_xlfn.XLOOKUP(tblSales[[#This Row],[Customer ID]],tblCustomers[Customer ID],tblCustomers[Customer Name],"⚠ Unknown")</f>
        <v>Walk-in Customer</v>
      </c>
      <c r="F435" s="4" t="s">
        <v>6</v>
      </c>
      <c r="G435" s="1" t="str">
        <f>_xlfn.XLOOKUP(tblSales[[#This Row],[Product Code]],tblProducts[Code],tblProducts[Product / Service Name],"⚠ Unknown")</f>
        <v>Socks &amp; Accessories</v>
      </c>
      <c r="H435" s="1" t="str">
        <f>_xlfn.XLOOKUP(tblSales[[#This Row],[Product Code]],tblProducts[Code],tblProducts[Category],"")</f>
        <v>Accessories &amp; Basics</v>
      </c>
      <c r="I435" s="4">
        <v>10</v>
      </c>
      <c r="J435" s="5">
        <f>_xlfn.XLOOKUP(tblSales[[#This Row],[Product Code]],tblProducts[Code],tblProducts[Selling Price (excl. VAT)],0)</f>
        <v>45000</v>
      </c>
      <c r="K435" s="5">
        <f>tblSales[[#This Row],[Qty]]*tblSales[[#This Row],[Unit Price]]</f>
        <v>450000</v>
      </c>
      <c r="L435" s="5">
        <f>ROUND(tblSales[[#This Row],[DPP (excl. VAT)]]*VATEff,0)</f>
        <v>49500</v>
      </c>
      <c r="M435" s="5">
        <f>tblSales[[#This Row],[DPP (excl. VAT)]]+tblSales[[#This Row],[Output VAT]]</f>
        <v>499500</v>
      </c>
      <c r="N435" s="5">
        <f>tblSales[[#This Row],[Qty]]*_xlfn.XLOOKUP(tblSales[[#This Row],[Product Code]],tblProducts[Code],tblProducts[Unit Cost],0)</f>
        <v>240000</v>
      </c>
      <c r="O435" s="4" t="s">
        <v>4865</v>
      </c>
      <c r="P435" s="4" t="s">
        <v>4860</v>
      </c>
      <c r="Q435" s="1" t="str">
        <f>_xlfn.XLOOKUP(tblSales[[#This Row],[Channel Code]],tblChannels[Channel Code],tblChannels[Channel Name],"")</f>
        <v>In-store</v>
      </c>
      <c r="R435" s="1">
        <f>MONTH(tblSales[[#This Row],[Date]])</f>
        <v>1</v>
      </c>
    </row>
    <row r="436" spans="2:18" x14ac:dyDescent="0.35">
      <c r="B436" s="113">
        <v>46051</v>
      </c>
      <c r="C436" s="4" t="s">
        <v>5118</v>
      </c>
      <c r="D436" s="4" t="s">
        <v>4568</v>
      </c>
      <c r="E436" s="1" t="str">
        <f>_xlfn.XLOOKUP(tblSales[[#This Row],[Customer ID]],tblCustomers[Customer ID],tblCustomers[Customer Name],"⚠ Unknown")</f>
        <v>Walk-in Customer</v>
      </c>
      <c r="F436" s="4" t="s">
        <v>9</v>
      </c>
      <c r="G436" s="1" t="str">
        <f>_xlfn.XLOOKUP(tblSales[[#This Row],[Product Code]],tblProducts[Code],tblProducts[Product / Service Name],"⚠ Unknown")</f>
        <v>Casual Shirt</v>
      </c>
      <c r="H436" s="1" t="str">
        <f>_xlfn.XLOOKUP(tblSales[[#This Row],[Product Code]],tblProducts[Code],tblProducts[Category],"")</f>
        <v>Apparel &amp; Footwear</v>
      </c>
      <c r="I436" s="4">
        <v>7</v>
      </c>
      <c r="J436" s="5">
        <f>_xlfn.XLOOKUP(tblSales[[#This Row],[Product Code]],tblProducts[Code],tblProducts[Selling Price (excl. VAT)],0)</f>
        <v>120000</v>
      </c>
      <c r="K436" s="5">
        <f>tblSales[[#This Row],[Qty]]*tblSales[[#This Row],[Unit Price]]</f>
        <v>840000</v>
      </c>
      <c r="L436" s="5">
        <f>ROUND(tblSales[[#This Row],[DPP (excl. VAT)]]*VATEff,0)</f>
        <v>92400</v>
      </c>
      <c r="M436" s="5">
        <f>tblSales[[#This Row],[DPP (excl. VAT)]]+tblSales[[#This Row],[Output VAT]]</f>
        <v>932400</v>
      </c>
      <c r="N436" s="5">
        <f>tblSales[[#This Row],[Qty]]*_xlfn.XLOOKUP(tblSales[[#This Row],[Product Code]],tblProducts[Code],tblProducts[Unit Cost],0)</f>
        <v>504000</v>
      </c>
      <c r="O436" s="4" t="s">
        <v>4866</v>
      </c>
      <c r="P436" s="4" t="s">
        <v>4861</v>
      </c>
      <c r="Q436" s="1" t="str">
        <f>_xlfn.XLOOKUP(tblSales[[#This Row],[Channel Code]],tblChannels[Channel Code],tblChannels[Channel Name],"")</f>
        <v>Marketplace</v>
      </c>
      <c r="R436" s="1">
        <f>MONTH(tblSales[[#This Row],[Date]])</f>
        <v>1</v>
      </c>
    </row>
    <row r="437" spans="2:18" x14ac:dyDescent="0.35">
      <c r="B437" s="113">
        <v>46051</v>
      </c>
      <c r="C437" s="4" t="s">
        <v>5119</v>
      </c>
      <c r="D437" s="4" t="s">
        <v>4568</v>
      </c>
      <c r="E437" s="1" t="str">
        <f>_xlfn.XLOOKUP(tblSales[[#This Row],[Customer ID]],tblCustomers[Customer ID],tblCustomers[Customer Name],"⚠ Unknown")</f>
        <v>Walk-in Customer</v>
      </c>
      <c r="F437" s="4" t="s">
        <v>12</v>
      </c>
      <c r="G437" s="1" t="str">
        <f>_xlfn.XLOOKUP(tblSales[[#This Row],[Product Code]],tblProducts[Code],tblProducts[Product / Service Name],"⚠ Unknown")</f>
        <v>Bomber Jacket</v>
      </c>
      <c r="H437" s="1" t="str">
        <f>_xlfn.XLOOKUP(tblSales[[#This Row],[Product Code]],tblProducts[Code],tblProducts[Category],"")</f>
        <v>Apparel &amp; Footwear</v>
      </c>
      <c r="I437" s="4">
        <v>3</v>
      </c>
      <c r="J437" s="5">
        <f>_xlfn.XLOOKUP(tblSales[[#This Row],[Product Code]],tblProducts[Code],tblProducts[Selling Price (excl. VAT)],0)</f>
        <v>350000</v>
      </c>
      <c r="K437" s="5">
        <f>tblSales[[#This Row],[Qty]]*tblSales[[#This Row],[Unit Price]]</f>
        <v>1050000</v>
      </c>
      <c r="L437" s="5">
        <f>ROUND(tblSales[[#This Row],[DPP (excl. VAT)]]*VATEff,0)</f>
        <v>115500</v>
      </c>
      <c r="M437" s="5">
        <f>tblSales[[#This Row],[DPP (excl. VAT)]]+tblSales[[#This Row],[Output VAT]]</f>
        <v>1165500</v>
      </c>
      <c r="N437" s="5">
        <f>tblSales[[#This Row],[Qty]]*_xlfn.XLOOKUP(tblSales[[#This Row],[Product Code]],tblProducts[Code],tblProducts[Unit Cost],0)</f>
        <v>630000</v>
      </c>
      <c r="O437" s="4" t="s">
        <v>4866</v>
      </c>
      <c r="P437" s="4" t="s">
        <v>4861</v>
      </c>
      <c r="Q437" s="1" t="str">
        <f>_xlfn.XLOOKUP(tblSales[[#This Row],[Channel Code]],tblChannels[Channel Code],tblChannels[Channel Name],"")</f>
        <v>Marketplace</v>
      </c>
      <c r="R437" s="1">
        <f>MONTH(tblSales[[#This Row],[Date]])</f>
        <v>1</v>
      </c>
    </row>
    <row r="438" spans="2:18" x14ac:dyDescent="0.35">
      <c r="B438" s="113">
        <v>46051</v>
      </c>
      <c r="C438" s="4" t="s">
        <v>5120</v>
      </c>
      <c r="D438" s="4" t="s">
        <v>4568</v>
      </c>
      <c r="E438" s="1" t="str">
        <f>_xlfn.XLOOKUP(tblSales[[#This Row],[Customer ID]],tblCustomers[Customer ID],tblCustomers[Customer Name],"⚠ Unknown")</f>
        <v>Walk-in Customer</v>
      </c>
      <c r="F438" s="4" t="s">
        <v>11</v>
      </c>
      <c r="G438" s="1" t="str">
        <f>_xlfn.XLOOKUP(tblSales[[#This Row],[Product Code]],tblProducts[Code],tblProducts[Product / Service Name],"⚠ Unknown")</f>
        <v>Sneakers</v>
      </c>
      <c r="H438" s="1" t="str">
        <f>_xlfn.XLOOKUP(tblSales[[#This Row],[Product Code]],tblProducts[Code],tblProducts[Category],"")</f>
        <v>Apparel &amp; Footwear</v>
      </c>
      <c r="I438" s="4">
        <v>3</v>
      </c>
      <c r="J438" s="5">
        <f>_xlfn.XLOOKUP(tblSales[[#This Row],[Product Code]],tblProducts[Code],tblProducts[Selling Price (excl. VAT)],0)</f>
        <v>250000</v>
      </c>
      <c r="K438" s="5">
        <f>tblSales[[#This Row],[Qty]]*tblSales[[#This Row],[Unit Price]]</f>
        <v>750000</v>
      </c>
      <c r="L438" s="5">
        <f>ROUND(tblSales[[#This Row],[DPP (excl. VAT)]]*VATEff,0)</f>
        <v>82500</v>
      </c>
      <c r="M438" s="5">
        <f>tblSales[[#This Row],[DPP (excl. VAT)]]+tblSales[[#This Row],[Output VAT]]</f>
        <v>832500</v>
      </c>
      <c r="N438" s="5">
        <f>tblSales[[#This Row],[Qty]]*_xlfn.XLOOKUP(tblSales[[#This Row],[Product Code]],tblProducts[Code],tblProducts[Unit Cost],0)</f>
        <v>465000</v>
      </c>
      <c r="O438" s="4" t="s">
        <v>4865</v>
      </c>
      <c r="P438" s="4" t="s">
        <v>4860</v>
      </c>
      <c r="Q438" s="1" t="str">
        <f>_xlfn.XLOOKUP(tblSales[[#This Row],[Channel Code]],tblChannels[Channel Code],tblChannels[Channel Name],"")</f>
        <v>In-store</v>
      </c>
      <c r="R438" s="1">
        <f>MONTH(tblSales[[#This Row],[Date]])</f>
        <v>1</v>
      </c>
    </row>
    <row r="439" spans="2:18" x14ac:dyDescent="0.35">
      <c r="B439" s="113">
        <v>46051</v>
      </c>
      <c r="C439" s="4" t="s">
        <v>5121</v>
      </c>
      <c r="D439" s="4" t="s">
        <v>4568</v>
      </c>
      <c r="E439" s="1" t="str">
        <f>_xlfn.XLOOKUP(tblSales[[#This Row],[Customer ID]],tblCustomers[Customer ID],tblCustomers[Customer Name],"⚠ Unknown")</f>
        <v>Walk-in Customer</v>
      </c>
      <c r="F439" s="4" t="s">
        <v>8</v>
      </c>
      <c r="G439" s="1" t="str">
        <f>_xlfn.XLOOKUP(tblSales[[#This Row],[Product Code]],tblProducts[Code],tblProducts[Product / Service Name],"⚠ Unknown")</f>
        <v>Casual Shorts</v>
      </c>
      <c r="H439" s="1" t="str">
        <f>_xlfn.XLOOKUP(tblSales[[#This Row],[Product Code]],tblProducts[Code],tblProducts[Category],"")</f>
        <v>Accessories &amp; Basics</v>
      </c>
      <c r="I439" s="4">
        <v>10</v>
      </c>
      <c r="J439" s="5">
        <f>_xlfn.XLOOKUP(tblSales[[#This Row],[Product Code]],tblProducts[Code],tblProducts[Selling Price (excl. VAT)],0)</f>
        <v>85000</v>
      </c>
      <c r="K439" s="5">
        <f>tblSales[[#This Row],[Qty]]*tblSales[[#This Row],[Unit Price]]</f>
        <v>850000</v>
      </c>
      <c r="L439" s="5">
        <f>ROUND(tblSales[[#This Row],[DPP (excl. VAT)]]*VATEff,0)</f>
        <v>93500</v>
      </c>
      <c r="M439" s="5">
        <f>tblSales[[#This Row],[DPP (excl. VAT)]]+tblSales[[#This Row],[Output VAT]]</f>
        <v>943500</v>
      </c>
      <c r="N439" s="5">
        <f>tblSales[[#This Row],[Qty]]*_xlfn.XLOOKUP(tblSales[[#This Row],[Product Code]],tblProducts[Code],tblProducts[Unit Cost],0)</f>
        <v>500000</v>
      </c>
      <c r="O439" s="4" t="s">
        <v>4866</v>
      </c>
      <c r="P439" s="4" t="s">
        <v>4861</v>
      </c>
      <c r="Q439" s="1" t="str">
        <f>_xlfn.XLOOKUP(tblSales[[#This Row],[Channel Code]],tblChannels[Channel Code],tblChannels[Channel Name],"")</f>
        <v>Marketplace</v>
      </c>
      <c r="R439" s="1">
        <f>MONTH(tblSales[[#This Row],[Date]])</f>
        <v>1</v>
      </c>
    </row>
    <row r="440" spans="2:18" x14ac:dyDescent="0.35">
      <c r="B440" s="113">
        <v>46051</v>
      </c>
      <c r="C440" s="4" t="s">
        <v>5121</v>
      </c>
      <c r="D440" s="4" t="s">
        <v>4568</v>
      </c>
      <c r="E440" s="1" t="str">
        <f>_xlfn.XLOOKUP(tblSales[[#This Row],[Customer ID]],tblCustomers[Customer ID],tblCustomers[Customer Name],"⚠ Unknown")</f>
        <v>Walk-in Customer</v>
      </c>
      <c r="F440" s="4" t="s">
        <v>11</v>
      </c>
      <c r="G440" s="1" t="str">
        <f>_xlfn.XLOOKUP(tblSales[[#This Row],[Product Code]],tblProducts[Code],tblProducts[Product / Service Name],"⚠ Unknown")</f>
        <v>Sneakers</v>
      </c>
      <c r="H440" s="1" t="str">
        <f>_xlfn.XLOOKUP(tblSales[[#This Row],[Product Code]],tblProducts[Code],tblProducts[Category],"")</f>
        <v>Apparel &amp; Footwear</v>
      </c>
      <c r="I440" s="4">
        <v>6</v>
      </c>
      <c r="J440" s="5">
        <f>_xlfn.XLOOKUP(tblSales[[#This Row],[Product Code]],tblProducts[Code],tblProducts[Selling Price (excl. VAT)],0)</f>
        <v>250000</v>
      </c>
      <c r="K440" s="5">
        <f>tblSales[[#This Row],[Qty]]*tblSales[[#This Row],[Unit Price]]</f>
        <v>1500000</v>
      </c>
      <c r="L440" s="5">
        <f>ROUND(tblSales[[#This Row],[DPP (excl. VAT)]]*VATEff,0)</f>
        <v>165000</v>
      </c>
      <c r="M440" s="5">
        <f>tblSales[[#This Row],[DPP (excl. VAT)]]+tblSales[[#This Row],[Output VAT]]</f>
        <v>1665000</v>
      </c>
      <c r="N440" s="5">
        <f>tblSales[[#This Row],[Qty]]*_xlfn.XLOOKUP(tblSales[[#This Row],[Product Code]],tblProducts[Code],tblProducts[Unit Cost],0)</f>
        <v>930000</v>
      </c>
      <c r="O440" s="4" t="s">
        <v>4866</v>
      </c>
      <c r="P440" s="4" t="s">
        <v>4861</v>
      </c>
      <c r="Q440" s="1" t="str">
        <f>_xlfn.XLOOKUP(tblSales[[#This Row],[Channel Code]],tblChannels[Channel Code],tblChannels[Channel Name],"")</f>
        <v>Marketplace</v>
      </c>
      <c r="R440" s="1">
        <f>MONTH(tblSales[[#This Row],[Date]])</f>
        <v>1</v>
      </c>
    </row>
    <row r="441" spans="2:18" x14ac:dyDescent="0.35">
      <c r="B441" s="113">
        <v>46051</v>
      </c>
      <c r="C441" s="4" t="s">
        <v>5121</v>
      </c>
      <c r="D441" s="4" t="s">
        <v>4568</v>
      </c>
      <c r="E441" s="1" t="str">
        <f>_xlfn.XLOOKUP(tblSales[[#This Row],[Customer ID]],tblCustomers[Customer ID],tblCustomers[Customer Name],"⚠ Unknown")</f>
        <v>Walk-in Customer</v>
      </c>
      <c r="F441" s="4" t="s">
        <v>6</v>
      </c>
      <c r="G441" s="1" t="str">
        <f>_xlfn.XLOOKUP(tblSales[[#This Row],[Product Code]],tblProducts[Code],tblProducts[Product / Service Name],"⚠ Unknown")</f>
        <v>Socks &amp; Accessories</v>
      </c>
      <c r="H441" s="1" t="str">
        <f>_xlfn.XLOOKUP(tblSales[[#This Row],[Product Code]],tblProducts[Code],tblProducts[Category],"")</f>
        <v>Accessories &amp; Basics</v>
      </c>
      <c r="I441" s="4">
        <v>1</v>
      </c>
      <c r="J441" s="5">
        <f>_xlfn.XLOOKUP(tblSales[[#This Row],[Product Code]],tblProducts[Code],tblProducts[Selling Price (excl. VAT)],0)</f>
        <v>45000</v>
      </c>
      <c r="K441" s="5">
        <f>tblSales[[#This Row],[Qty]]*tblSales[[#This Row],[Unit Price]]</f>
        <v>45000</v>
      </c>
      <c r="L441" s="5">
        <f>ROUND(tblSales[[#This Row],[DPP (excl. VAT)]]*VATEff,0)</f>
        <v>4950</v>
      </c>
      <c r="M441" s="5">
        <f>tblSales[[#This Row],[DPP (excl. VAT)]]+tblSales[[#This Row],[Output VAT]]</f>
        <v>49950</v>
      </c>
      <c r="N441" s="5">
        <f>tblSales[[#This Row],[Qty]]*_xlfn.XLOOKUP(tblSales[[#This Row],[Product Code]],tblProducts[Code],tblProducts[Unit Cost],0)</f>
        <v>24000</v>
      </c>
      <c r="O441" s="4" t="s">
        <v>4866</v>
      </c>
      <c r="P441" s="4" t="s">
        <v>4861</v>
      </c>
      <c r="Q441" s="1" t="str">
        <f>_xlfn.XLOOKUP(tblSales[[#This Row],[Channel Code]],tblChannels[Channel Code],tblChannels[Channel Name],"")</f>
        <v>Marketplace</v>
      </c>
      <c r="R441" s="1">
        <f>MONTH(tblSales[[#This Row],[Date]])</f>
        <v>1</v>
      </c>
    </row>
    <row r="442" spans="2:18" x14ac:dyDescent="0.35">
      <c r="B442" s="113">
        <v>46051</v>
      </c>
      <c r="C442" s="4" t="s">
        <v>5122</v>
      </c>
      <c r="D442" s="4" t="s">
        <v>4568</v>
      </c>
      <c r="E442" s="1" t="str">
        <f>_xlfn.XLOOKUP(tblSales[[#This Row],[Customer ID]],tblCustomers[Customer ID],tblCustomers[Customer Name],"⚠ Unknown")</f>
        <v>Walk-in Customer</v>
      </c>
      <c r="F442" s="4" t="s">
        <v>6</v>
      </c>
      <c r="G442" s="1" t="str">
        <f>_xlfn.XLOOKUP(tblSales[[#This Row],[Product Code]],tblProducts[Code],tblProducts[Product / Service Name],"⚠ Unknown")</f>
        <v>Socks &amp; Accessories</v>
      </c>
      <c r="H442" s="1" t="str">
        <f>_xlfn.XLOOKUP(tblSales[[#This Row],[Product Code]],tblProducts[Code],tblProducts[Category],"")</f>
        <v>Accessories &amp; Basics</v>
      </c>
      <c r="I442" s="4">
        <v>9</v>
      </c>
      <c r="J442" s="5">
        <f>_xlfn.XLOOKUP(tblSales[[#This Row],[Product Code]],tblProducts[Code],tblProducts[Selling Price (excl. VAT)],0)</f>
        <v>45000</v>
      </c>
      <c r="K442" s="5">
        <f>tblSales[[#This Row],[Qty]]*tblSales[[#This Row],[Unit Price]]</f>
        <v>405000</v>
      </c>
      <c r="L442" s="5">
        <f>ROUND(tblSales[[#This Row],[DPP (excl. VAT)]]*VATEff,0)</f>
        <v>44550</v>
      </c>
      <c r="M442" s="5">
        <f>tblSales[[#This Row],[DPP (excl. VAT)]]+tblSales[[#This Row],[Output VAT]]</f>
        <v>449550</v>
      </c>
      <c r="N442" s="5">
        <f>tblSales[[#This Row],[Qty]]*_xlfn.XLOOKUP(tblSales[[#This Row],[Product Code]],tblProducts[Code],tblProducts[Unit Cost],0)</f>
        <v>216000</v>
      </c>
      <c r="O442" s="4" t="s">
        <v>4866</v>
      </c>
      <c r="P442" s="4" t="s">
        <v>4860</v>
      </c>
      <c r="Q442" s="1" t="str">
        <f>_xlfn.XLOOKUP(tblSales[[#This Row],[Channel Code]],tblChannels[Channel Code],tblChannels[Channel Name],"")</f>
        <v>In-store</v>
      </c>
      <c r="R442" s="1">
        <f>MONTH(tblSales[[#This Row],[Date]])</f>
        <v>1</v>
      </c>
    </row>
    <row r="443" spans="2:18" x14ac:dyDescent="0.35">
      <c r="B443" s="113">
        <v>46052</v>
      </c>
      <c r="C443" s="4" t="s">
        <v>5123</v>
      </c>
      <c r="D443" s="4" t="s">
        <v>4568</v>
      </c>
      <c r="E443" s="1" t="str">
        <f>_xlfn.XLOOKUP(tblSales[[#This Row],[Customer ID]],tblCustomers[Customer ID],tblCustomers[Customer Name],"⚠ Unknown")</f>
        <v>Walk-in Customer</v>
      </c>
      <c r="F443" s="4" t="s">
        <v>15</v>
      </c>
      <c r="G443" s="1" t="str">
        <f>_xlfn.XLOOKUP(tblSales[[#This Row],[Product Code]],tblProducts[Code],tblProducts[Product / Service Name],"⚠ Unknown")</f>
        <v>Wireless Earbuds Pro</v>
      </c>
      <c r="H443" s="1" t="str">
        <f>_xlfn.XLOOKUP(tblSales[[#This Row],[Product Code]],tblProducts[Code],tblProducts[Category],"")</f>
        <v>Bags &amp; Gadgets</v>
      </c>
      <c r="I443" s="4">
        <v>1</v>
      </c>
      <c r="J443" s="5">
        <f>_xlfn.XLOOKUP(tblSales[[#This Row],[Product Code]],tblProducts[Code],tblProducts[Selling Price (excl. VAT)],0)</f>
        <v>1250000</v>
      </c>
      <c r="K443" s="5">
        <f>tblSales[[#This Row],[Qty]]*tblSales[[#This Row],[Unit Price]]</f>
        <v>1250000</v>
      </c>
      <c r="L443" s="5">
        <f>ROUND(tblSales[[#This Row],[DPP (excl. VAT)]]*VATEff,0)</f>
        <v>137500</v>
      </c>
      <c r="M443" s="5">
        <f>tblSales[[#This Row],[DPP (excl. VAT)]]+tblSales[[#This Row],[Output VAT]]</f>
        <v>1387500</v>
      </c>
      <c r="N443" s="5">
        <f>tblSales[[#This Row],[Qty]]*_xlfn.XLOOKUP(tblSales[[#This Row],[Product Code]],tblProducts[Code],tblProducts[Unit Cost],0)</f>
        <v>820000</v>
      </c>
      <c r="O443" s="4" t="s">
        <v>4865</v>
      </c>
      <c r="P443" s="4" t="s">
        <v>4860</v>
      </c>
      <c r="Q443" s="1" t="str">
        <f>_xlfn.XLOOKUP(tblSales[[#This Row],[Channel Code]],tblChannels[Channel Code],tblChannels[Channel Name],"")</f>
        <v>In-store</v>
      </c>
      <c r="R443" s="1">
        <f>MONTH(tblSales[[#This Row],[Date]])</f>
        <v>1</v>
      </c>
    </row>
    <row r="444" spans="2:18" x14ac:dyDescent="0.35">
      <c r="B444" s="113">
        <v>46052</v>
      </c>
      <c r="C444" s="4" t="s">
        <v>5124</v>
      </c>
      <c r="D444" s="4" t="s">
        <v>4627</v>
      </c>
      <c r="E444" s="1" t="str">
        <f>_xlfn.XLOOKUP(tblSales[[#This Row],[Customer ID]],tblCustomers[Customer ID],tblCustomers[Customer Name],"⚠ Unknown")</f>
        <v>PT Kencana Wira Usaha</v>
      </c>
      <c r="F444" s="4" t="s">
        <v>11</v>
      </c>
      <c r="G444" s="1" t="str">
        <f>_xlfn.XLOOKUP(tblSales[[#This Row],[Product Code]],tblProducts[Code],tblProducts[Product / Service Name],"⚠ Unknown")</f>
        <v>Sneakers</v>
      </c>
      <c r="H444" s="1" t="str">
        <f>_xlfn.XLOOKUP(tblSales[[#This Row],[Product Code]],tblProducts[Code],tblProducts[Category],"")</f>
        <v>Apparel &amp; Footwear</v>
      </c>
      <c r="I444" s="4">
        <v>32</v>
      </c>
      <c r="J444" s="5">
        <f>_xlfn.XLOOKUP(tblSales[[#This Row],[Product Code]],tblProducts[Code],tblProducts[Selling Price (excl. VAT)],0)</f>
        <v>250000</v>
      </c>
      <c r="K444" s="5">
        <f>tblSales[[#This Row],[Qty]]*tblSales[[#This Row],[Unit Price]]</f>
        <v>8000000</v>
      </c>
      <c r="L444" s="5">
        <f>ROUND(tblSales[[#This Row],[DPP (excl. VAT)]]*VATEff,0)</f>
        <v>880000</v>
      </c>
      <c r="M444" s="5">
        <f>tblSales[[#This Row],[DPP (excl. VAT)]]+tblSales[[#This Row],[Output VAT]]</f>
        <v>8880000</v>
      </c>
      <c r="N444" s="5">
        <f>tblSales[[#This Row],[Qty]]*_xlfn.XLOOKUP(tblSales[[#This Row],[Product Code]],tblProducts[Code],tblProducts[Unit Cost],0)</f>
        <v>4960000</v>
      </c>
      <c r="O444" s="4" t="s">
        <v>4867</v>
      </c>
      <c r="P444" s="4" t="s">
        <v>4860</v>
      </c>
      <c r="Q444" s="1" t="str">
        <f>_xlfn.XLOOKUP(tblSales[[#This Row],[Channel Code]],tblChannels[Channel Code],tblChannels[Channel Name],"")</f>
        <v>In-store</v>
      </c>
      <c r="R444" s="1">
        <f>MONTH(tblSales[[#This Row],[Date]])</f>
        <v>1</v>
      </c>
    </row>
    <row r="445" spans="2:18" x14ac:dyDescent="0.35">
      <c r="B445" s="113">
        <v>46052</v>
      </c>
      <c r="C445" s="4" t="s">
        <v>5124</v>
      </c>
      <c r="D445" s="4" t="s">
        <v>4627</v>
      </c>
      <c r="E445" s="1" t="str">
        <f>_xlfn.XLOOKUP(tblSales[[#This Row],[Customer ID]],tblCustomers[Customer ID],tblCustomers[Customer Name],"⚠ Unknown")</f>
        <v>PT Kencana Wira Usaha</v>
      </c>
      <c r="F445" s="4" t="s">
        <v>6</v>
      </c>
      <c r="G445" s="1" t="str">
        <f>_xlfn.XLOOKUP(tblSales[[#This Row],[Product Code]],tblProducts[Code],tblProducts[Product / Service Name],"⚠ Unknown")</f>
        <v>Socks &amp; Accessories</v>
      </c>
      <c r="H445" s="1" t="str">
        <f>_xlfn.XLOOKUP(tblSales[[#This Row],[Product Code]],tblProducts[Code],tblProducts[Category],"")</f>
        <v>Accessories &amp; Basics</v>
      </c>
      <c r="I445" s="4">
        <v>88</v>
      </c>
      <c r="J445" s="5">
        <f>_xlfn.XLOOKUP(tblSales[[#This Row],[Product Code]],tblProducts[Code],tblProducts[Selling Price (excl. VAT)],0)</f>
        <v>45000</v>
      </c>
      <c r="K445" s="5">
        <f>tblSales[[#This Row],[Qty]]*tblSales[[#This Row],[Unit Price]]</f>
        <v>3960000</v>
      </c>
      <c r="L445" s="5">
        <f>ROUND(tblSales[[#This Row],[DPP (excl. VAT)]]*VATEff,0)</f>
        <v>435600</v>
      </c>
      <c r="M445" s="5">
        <f>tblSales[[#This Row],[DPP (excl. VAT)]]+tblSales[[#This Row],[Output VAT]]</f>
        <v>4395600</v>
      </c>
      <c r="N445" s="5">
        <f>tblSales[[#This Row],[Qty]]*_xlfn.XLOOKUP(tblSales[[#This Row],[Product Code]],tblProducts[Code],tblProducts[Unit Cost],0)</f>
        <v>2112000</v>
      </c>
      <c r="O445" s="4" t="s">
        <v>4867</v>
      </c>
      <c r="P445" s="4" t="s">
        <v>4860</v>
      </c>
      <c r="Q445" s="1" t="str">
        <f>_xlfn.XLOOKUP(tblSales[[#This Row],[Channel Code]],tblChannels[Channel Code],tblChannels[Channel Name],"")</f>
        <v>In-store</v>
      </c>
      <c r="R445" s="1">
        <f>MONTH(tblSales[[#This Row],[Date]])</f>
        <v>1</v>
      </c>
    </row>
    <row r="446" spans="2:18" x14ac:dyDescent="0.35">
      <c r="B446" s="113">
        <v>46052</v>
      </c>
      <c r="C446" s="4" t="s">
        <v>5125</v>
      </c>
      <c r="D446" s="4" t="s">
        <v>4568</v>
      </c>
      <c r="E446" s="1" t="str">
        <f>_xlfn.XLOOKUP(tblSales[[#This Row],[Customer ID]],tblCustomers[Customer ID],tblCustomers[Customer Name],"⚠ Unknown")</f>
        <v>Walk-in Customer</v>
      </c>
      <c r="F446" s="4" t="s">
        <v>8</v>
      </c>
      <c r="G446" s="1" t="str">
        <f>_xlfn.XLOOKUP(tblSales[[#This Row],[Product Code]],tblProducts[Code],tblProducts[Product / Service Name],"⚠ Unknown")</f>
        <v>Casual Shorts</v>
      </c>
      <c r="H446" s="1" t="str">
        <f>_xlfn.XLOOKUP(tblSales[[#This Row],[Product Code]],tblProducts[Code],tblProducts[Category],"")</f>
        <v>Accessories &amp; Basics</v>
      </c>
      <c r="I446" s="4">
        <v>9</v>
      </c>
      <c r="J446" s="5">
        <f>_xlfn.XLOOKUP(tblSales[[#This Row],[Product Code]],tblProducts[Code],tblProducts[Selling Price (excl. VAT)],0)</f>
        <v>85000</v>
      </c>
      <c r="K446" s="5">
        <f>tblSales[[#This Row],[Qty]]*tblSales[[#This Row],[Unit Price]]</f>
        <v>765000</v>
      </c>
      <c r="L446" s="5">
        <f>ROUND(tblSales[[#This Row],[DPP (excl. VAT)]]*VATEff,0)</f>
        <v>84150</v>
      </c>
      <c r="M446" s="5">
        <f>tblSales[[#This Row],[DPP (excl. VAT)]]+tblSales[[#This Row],[Output VAT]]</f>
        <v>849150</v>
      </c>
      <c r="N446" s="5">
        <f>tblSales[[#This Row],[Qty]]*_xlfn.XLOOKUP(tblSales[[#This Row],[Product Code]],tblProducts[Code],tblProducts[Unit Cost],0)</f>
        <v>450000</v>
      </c>
      <c r="O446" s="4" t="s">
        <v>4866</v>
      </c>
      <c r="P446" s="4" t="s">
        <v>4861</v>
      </c>
      <c r="Q446" s="1" t="str">
        <f>_xlfn.XLOOKUP(tblSales[[#This Row],[Channel Code]],tblChannels[Channel Code],tblChannels[Channel Name],"")</f>
        <v>Marketplace</v>
      </c>
      <c r="R446" s="1">
        <f>MONTH(tblSales[[#This Row],[Date]])</f>
        <v>1</v>
      </c>
    </row>
    <row r="447" spans="2:18" x14ac:dyDescent="0.35">
      <c r="B447" s="113">
        <v>46052</v>
      </c>
      <c r="C447" s="4" t="s">
        <v>5126</v>
      </c>
      <c r="D447" s="4" t="s">
        <v>4568</v>
      </c>
      <c r="E447" s="1" t="str">
        <f>_xlfn.XLOOKUP(tblSales[[#This Row],[Customer ID]],tblCustomers[Customer ID],tblCustomers[Customer Name],"⚠ Unknown")</f>
        <v>Walk-in Customer</v>
      </c>
      <c r="F447" s="4" t="s">
        <v>10</v>
      </c>
      <c r="G447" s="1" t="str">
        <f>_xlfn.XLOOKUP(tblSales[[#This Row],[Product Code]],tblProducts[Code],tblProducts[Product / Service Name],"⚠ Unknown")</f>
        <v>Chino Pants</v>
      </c>
      <c r="H447" s="1" t="str">
        <f>_xlfn.XLOOKUP(tblSales[[#This Row],[Product Code]],tblProducts[Code],tblProducts[Category],"")</f>
        <v>Apparel &amp; Footwear</v>
      </c>
      <c r="I447" s="4">
        <v>3</v>
      </c>
      <c r="J447" s="5">
        <f>_xlfn.XLOOKUP(tblSales[[#This Row],[Product Code]],tblProducts[Code],tblProducts[Selling Price (excl. VAT)],0)</f>
        <v>150000</v>
      </c>
      <c r="K447" s="5">
        <f>tblSales[[#This Row],[Qty]]*tblSales[[#This Row],[Unit Price]]</f>
        <v>450000</v>
      </c>
      <c r="L447" s="5">
        <f>ROUND(tblSales[[#This Row],[DPP (excl. VAT)]]*VATEff,0)</f>
        <v>49500</v>
      </c>
      <c r="M447" s="5">
        <f>tblSales[[#This Row],[DPP (excl. VAT)]]+tblSales[[#This Row],[Output VAT]]</f>
        <v>499500</v>
      </c>
      <c r="N447" s="5">
        <f>tblSales[[#This Row],[Qty]]*_xlfn.XLOOKUP(tblSales[[#This Row],[Product Code]],tblProducts[Code],tblProducts[Unit Cost],0)</f>
        <v>264000</v>
      </c>
      <c r="O447" s="4" t="s">
        <v>4866</v>
      </c>
      <c r="P447" s="4" t="s">
        <v>4860</v>
      </c>
      <c r="Q447" s="1" t="str">
        <f>_xlfn.XLOOKUP(tblSales[[#This Row],[Channel Code]],tblChannels[Channel Code],tblChannels[Channel Name],"")</f>
        <v>In-store</v>
      </c>
      <c r="R447" s="1">
        <f>MONTH(tblSales[[#This Row],[Date]])</f>
        <v>1</v>
      </c>
    </row>
    <row r="448" spans="2:18" x14ac:dyDescent="0.35">
      <c r="B448" s="113">
        <v>46052</v>
      </c>
      <c r="C448" s="4" t="s">
        <v>5127</v>
      </c>
      <c r="D448" s="4" t="s">
        <v>4568</v>
      </c>
      <c r="E448" s="1" t="str">
        <f>_xlfn.XLOOKUP(tblSales[[#This Row],[Customer ID]],tblCustomers[Customer ID],tblCustomers[Customer Name],"⚠ Unknown")</f>
        <v>Walk-in Customer</v>
      </c>
      <c r="F448" s="4" t="s">
        <v>11</v>
      </c>
      <c r="G448" s="1" t="str">
        <f>_xlfn.XLOOKUP(tblSales[[#This Row],[Product Code]],tblProducts[Code],tblProducts[Product / Service Name],"⚠ Unknown")</f>
        <v>Sneakers</v>
      </c>
      <c r="H448" s="1" t="str">
        <f>_xlfn.XLOOKUP(tblSales[[#This Row],[Product Code]],tblProducts[Code],tblProducts[Category],"")</f>
        <v>Apparel &amp; Footwear</v>
      </c>
      <c r="I448" s="4">
        <v>4</v>
      </c>
      <c r="J448" s="5">
        <f>_xlfn.XLOOKUP(tblSales[[#This Row],[Product Code]],tblProducts[Code],tblProducts[Selling Price (excl. VAT)],0)</f>
        <v>250000</v>
      </c>
      <c r="K448" s="5">
        <f>tblSales[[#This Row],[Qty]]*tblSales[[#This Row],[Unit Price]]</f>
        <v>1000000</v>
      </c>
      <c r="L448" s="5">
        <f>ROUND(tblSales[[#This Row],[DPP (excl. VAT)]]*VATEff,0)</f>
        <v>110000</v>
      </c>
      <c r="M448" s="5">
        <f>tblSales[[#This Row],[DPP (excl. VAT)]]+tblSales[[#This Row],[Output VAT]]</f>
        <v>1110000</v>
      </c>
      <c r="N448" s="5">
        <f>tblSales[[#This Row],[Qty]]*_xlfn.XLOOKUP(tblSales[[#This Row],[Product Code]],tblProducts[Code],tblProducts[Unit Cost],0)</f>
        <v>620000</v>
      </c>
      <c r="O448" s="4" t="s">
        <v>4866</v>
      </c>
      <c r="P448" s="4" t="s">
        <v>4861</v>
      </c>
      <c r="Q448" s="1" t="str">
        <f>_xlfn.XLOOKUP(tblSales[[#This Row],[Channel Code]],tblChannels[Channel Code],tblChannels[Channel Name],"")</f>
        <v>Marketplace</v>
      </c>
      <c r="R448" s="1">
        <f>MONTH(tblSales[[#This Row],[Date]])</f>
        <v>1</v>
      </c>
    </row>
    <row r="449" spans="2:18" x14ac:dyDescent="0.35">
      <c r="B449" s="113">
        <v>46052</v>
      </c>
      <c r="C449" s="4" t="s">
        <v>5128</v>
      </c>
      <c r="D449" s="4" t="s">
        <v>4568</v>
      </c>
      <c r="E449" s="1" t="str">
        <f>_xlfn.XLOOKUP(tblSales[[#This Row],[Customer ID]],tblCustomers[Customer ID],tblCustomers[Customer Name],"⚠ Unknown")</f>
        <v>Walk-in Customer</v>
      </c>
      <c r="F449" s="4" t="s">
        <v>7</v>
      </c>
      <c r="G449" s="1" t="str">
        <f>_xlfn.XLOOKUP(tblSales[[#This Row],[Product Code]],tblProducts[Code],tblProducts[Product / Service Name],"⚠ Unknown")</f>
        <v>Premium Basic T-shirt</v>
      </c>
      <c r="H449" s="1" t="str">
        <f>_xlfn.XLOOKUP(tblSales[[#This Row],[Product Code]],tblProducts[Code],tblProducts[Category],"")</f>
        <v>Accessories &amp; Basics</v>
      </c>
      <c r="I449" s="4">
        <v>11</v>
      </c>
      <c r="J449" s="5">
        <f>_xlfn.XLOOKUP(tblSales[[#This Row],[Product Code]],tblProducts[Code],tblProducts[Selling Price (excl. VAT)],0)</f>
        <v>65000</v>
      </c>
      <c r="K449" s="5">
        <f>tblSales[[#This Row],[Qty]]*tblSales[[#This Row],[Unit Price]]</f>
        <v>715000</v>
      </c>
      <c r="L449" s="5">
        <f>ROUND(tblSales[[#This Row],[DPP (excl. VAT)]]*VATEff,0)</f>
        <v>78650</v>
      </c>
      <c r="M449" s="5">
        <f>tblSales[[#This Row],[DPP (excl. VAT)]]+tblSales[[#This Row],[Output VAT]]</f>
        <v>793650</v>
      </c>
      <c r="N449" s="5">
        <f>tblSales[[#This Row],[Qty]]*_xlfn.XLOOKUP(tblSales[[#This Row],[Product Code]],tblProducts[Code],tblProducts[Unit Cost],0)</f>
        <v>407000</v>
      </c>
      <c r="O449" s="4" t="s">
        <v>4866</v>
      </c>
      <c r="P449" s="4" t="s">
        <v>4861</v>
      </c>
      <c r="Q449" s="1" t="str">
        <f>_xlfn.XLOOKUP(tblSales[[#This Row],[Channel Code]],tblChannels[Channel Code],tblChannels[Channel Name],"")</f>
        <v>Marketplace</v>
      </c>
      <c r="R449" s="1">
        <f>MONTH(tblSales[[#This Row],[Date]])</f>
        <v>1</v>
      </c>
    </row>
    <row r="450" spans="2:18" x14ac:dyDescent="0.35">
      <c r="B450" s="113">
        <v>46052</v>
      </c>
      <c r="C450" s="4" t="s">
        <v>5128</v>
      </c>
      <c r="D450" s="4" t="s">
        <v>4568</v>
      </c>
      <c r="E450" s="1" t="str">
        <f>_xlfn.XLOOKUP(tblSales[[#This Row],[Customer ID]],tblCustomers[Customer ID],tblCustomers[Customer Name],"⚠ Unknown")</f>
        <v>Walk-in Customer</v>
      </c>
      <c r="F450" s="4" t="s">
        <v>10</v>
      </c>
      <c r="G450" s="1" t="str">
        <f>_xlfn.XLOOKUP(tblSales[[#This Row],[Product Code]],tblProducts[Code],tblProducts[Product / Service Name],"⚠ Unknown")</f>
        <v>Chino Pants</v>
      </c>
      <c r="H450" s="1" t="str">
        <f>_xlfn.XLOOKUP(tblSales[[#This Row],[Product Code]],tblProducts[Code],tblProducts[Category],"")</f>
        <v>Apparel &amp; Footwear</v>
      </c>
      <c r="I450" s="4">
        <v>9</v>
      </c>
      <c r="J450" s="5">
        <f>_xlfn.XLOOKUP(tblSales[[#This Row],[Product Code]],tblProducts[Code],tblProducts[Selling Price (excl. VAT)],0)</f>
        <v>150000</v>
      </c>
      <c r="K450" s="5">
        <f>tblSales[[#This Row],[Qty]]*tblSales[[#This Row],[Unit Price]]</f>
        <v>1350000</v>
      </c>
      <c r="L450" s="5">
        <f>ROUND(tblSales[[#This Row],[DPP (excl. VAT)]]*VATEff,0)</f>
        <v>148500</v>
      </c>
      <c r="M450" s="5">
        <f>tblSales[[#This Row],[DPP (excl. VAT)]]+tblSales[[#This Row],[Output VAT]]</f>
        <v>1498500</v>
      </c>
      <c r="N450" s="5">
        <f>tblSales[[#This Row],[Qty]]*_xlfn.XLOOKUP(tblSales[[#This Row],[Product Code]],tblProducts[Code],tblProducts[Unit Cost],0)</f>
        <v>792000</v>
      </c>
      <c r="O450" s="4" t="s">
        <v>4866</v>
      </c>
      <c r="P450" s="4" t="s">
        <v>4861</v>
      </c>
      <c r="Q450" s="1" t="str">
        <f>_xlfn.XLOOKUP(tblSales[[#This Row],[Channel Code]],tblChannels[Channel Code],tblChannels[Channel Name],"")</f>
        <v>Marketplace</v>
      </c>
      <c r="R450" s="1">
        <f>MONTH(tblSales[[#This Row],[Date]])</f>
        <v>1</v>
      </c>
    </row>
    <row r="451" spans="2:18" x14ac:dyDescent="0.35">
      <c r="B451" s="113">
        <v>46052</v>
      </c>
      <c r="C451" s="4" t="s">
        <v>5129</v>
      </c>
      <c r="D451" s="4" t="s">
        <v>4568</v>
      </c>
      <c r="E451" s="1" t="str">
        <f>_xlfn.XLOOKUP(tblSales[[#This Row],[Customer ID]],tblCustomers[Customer ID],tblCustomers[Customer Name],"⚠ Unknown")</f>
        <v>Walk-in Customer</v>
      </c>
      <c r="F451" s="4" t="s">
        <v>11</v>
      </c>
      <c r="G451" s="1" t="str">
        <f>_xlfn.XLOOKUP(tblSales[[#This Row],[Product Code]],tblProducts[Code],tblProducts[Product / Service Name],"⚠ Unknown")</f>
        <v>Sneakers</v>
      </c>
      <c r="H451" s="1" t="str">
        <f>_xlfn.XLOOKUP(tblSales[[#This Row],[Product Code]],tblProducts[Code],tblProducts[Category],"")</f>
        <v>Apparel &amp; Footwear</v>
      </c>
      <c r="I451" s="4">
        <v>1</v>
      </c>
      <c r="J451" s="5">
        <f>_xlfn.XLOOKUP(tblSales[[#This Row],[Product Code]],tblProducts[Code],tblProducts[Selling Price (excl. VAT)],0)</f>
        <v>250000</v>
      </c>
      <c r="K451" s="5">
        <f>tblSales[[#This Row],[Qty]]*tblSales[[#This Row],[Unit Price]]</f>
        <v>250000</v>
      </c>
      <c r="L451" s="5">
        <f>ROUND(tblSales[[#This Row],[DPP (excl. VAT)]]*VATEff,0)</f>
        <v>27500</v>
      </c>
      <c r="M451" s="5">
        <f>tblSales[[#This Row],[DPP (excl. VAT)]]+tblSales[[#This Row],[Output VAT]]</f>
        <v>277500</v>
      </c>
      <c r="N451" s="5">
        <f>tblSales[[#This Row],[Qty]]*_xlfn.XLOOKUP(tblSales[[#This Row],[Product Code]],tblProducts[Code],tblProducts[Unit Cost],0)</f>
        <v>155000</v>
      </c>
      <c r="O451" s="4" t="s">
        <v>4865</v>
      </c>
      <c r="P451" s="4" t="s">
        <v>4860</v>
      </c>
      <c r="Q451" s="1" t="str">
        <f>_xlfn.XLOOKUP(tblSales[[#This Row],[Channel Code]],tblChannels[Channel Code],tblChannels[Channel Name],"")</f>
        <v>In-store</v>
      </c>
      <c r="R451" s="1">
        <f>MONTH(tblSales[[#This Row],[Date]])</f>
        <v>1</v>
      </c>
    </row>
    <row r="452" spans="2:18" x14ac:dyDescent="0.35">
      <c r="B452" s="113">
        <v>46052</v>
      </c>
      <c r="C452" s="4" t="s">
        <v>5130</v>
      </c>
      <c r="D452" s="4" t="s">
        <v>4572</v>
      </c>
      <c r="E452" s="1" t="str">
        <f>_xlfn.XLOOKUP(tblSales[[#This Row],[Customer ID]],tblCustomers[Customer ID],tblCustomers[Customer Name],"⚠ Unknown")</f>
        <v>PT Cahaya Abadi Makmur</v>
      </c>
      <c r="F452" s="4" t="s">
        <v>7</v>
      </c>
      <c r="G452" s="1" t="str">
        <f>_xlfn.XLOOKUP(tblSales[[#This Row],[Product Code]],tblProducts[Code],tblProducts[Product / Service Name],"⚠ Unknown")</f>
        <v>Premium Basic T-shirt</v>
      </c>
      <c r="H452" s="1" t="str">
        <f>_xlfn.XLOOKUP(tblSales[[#This Row],[Product Code]],tblProducts[Code],tblProducts[Category],"")</f>
        <v>Accessories &amp; Basics</v>
      </c>
      <c r="I452" s="4">
        <v>24</v>
      </c>
      <c r="J452" s="5">
        <f>_xlfn.XLOOKUP(tblSales[[#This Row],[Product Code]],tblProducts[Code],tblProducts[Selling Price (excl. VAT)],0)</f>
        <v>65000</v>
      </c>
      <c r="K452" s="5">
        <f>tblSales[[#This Row],[Qty]]*tblSales[[#This Row],[Unit Price]]</f>
        <v>1560000</v>
      </c>
      <c r="L452" s="5">
        <f>ROUND(tblSales[[#This Row],[DPP (excl. VAT)]]*VATEff,0)</f>
        <v>171600</v>
      </c>
      <c r="M452" s="5">
        <f>tblSales[[#This Row],[DPP (excl. VAT)]]+tblSales[[#This Row],[Output VAT]]</f>
        <v>1731600</v>
      </c>
      <c r="N452" s="5">
        <f>tblSales[[#This Row],[Qty]]*_xlfn.XLOOKUP(tblSales[[#This Row],[Product Code]],tblProducts[Code],tblProducts[Unit Cost],0)</f>
        <v>888000</v>
      </c>
      <c r="O452" s="4" t="s">
        <v>4867</v>
      </c>
      <c r="P452" s="4" t="s">
        <v>4862</v>
      </c>
      <c r="Q452" s="1" t="str">
        <f>_xlfn.XLOOKUP(tblSales[[#This Row],[Channel Code]],tblChannels[Channel Code],tblChannels[Channel Name],"")</f>
        <v>Website &amp; Social Media</v>
      </c>
      <c r="R452" s="1">
        <f>MONTH(tblSales[[#This Row],[Date]])</f>
        <v>1</v>
      </c>
    </row>
    <row r="453" spans="2:18" x14ac:dyDescent="0.35">
      <c r="B453" s="113">
        <v>46052</v>
      </c>
      <c r="C453" s="4" t="s">
        <v>5131</v>
      </c>
      <c r="D453" s="4" t="s">
        <v>4568</v>
      </c>
      <c r="E453" s="1" t="str">
        <f>_xlfn.XLOOKUP(tblSales[[#This Row],[Customer ID]],tblCustomers[Customer ID],tblCustomers[Customer Name],"⚠ Unknown")</f>
        <v>Walk-in Customer</v>
      </c>
      <c r="F453" s="4" t="s">
        <v>9</v>
      </c>
      <c r="G453" s="1" t="str">
        <f>_xlfn.XLOOKUP(tblSales[[#This Row],[Product Code]],tblProducts[Code],tblProducts[Product / Service Name],"⚠ Unknown")</f>
        <v>Casual Shirt</v>
      </c>
      <c r="H453" s="1" t="str">
        <f>_xlfn.XLOOKUP(tblSales[[#This Row],[Product Code]],tblProducts[Code],tblProducts[Category],"")</f>
        <v>Apparel &amp; Footwear</v>
      </c>
      <c r="I453" s="4">
        <v>7</v>
      </c>
      <c r="J453" s="5">
        <f>_xlfn.XLOOKUP(tblSales[[#This Row],[Product Code]],tblProducts[Code],tblProducts[Selling Price (excl. VAT)],0)</f>
        <v>120000</v>
      </c>
      <c r="K453" s="5">
        <f>tblSales[[#This Row],[Qty]]*tblSales[[#This Row],[Unit Price]]</f>
        <v>840000</v>
      </c>
      <c r="L453" s="5">
        <f>ROUND(tblSales[[#This Row],[DPP (excl. VAT)]]*VATEff,0)</f>
        <v>92400</v>
      </c>
      <c r="M453" s="5">
        <f>tblSales[[#This Row],[DPP (excl. VAT)]]+tblSales[[#This Row],[Output VAT]]</f>
        <v>932400</v>
      </c>
      <c r="N453" s="5">
        <f>tblSales[[#This Row],[Qty]]*_xlfn.XLOOKUP(tblSales[[#This Row],[Product Code]],tblProducts[Code],tblProducts[Unit Cost],0)</f>
        <v>504000</v>
      </c>
      <c r="O453" s="4" t="s">
        <v>4866</v>
      </c>
      <c r="P453" s="4" t="s">
        <v>4860</v>
      </c>
      <c r="Q453" s="1" t="str">
        <f>_xlfn.XLOOKUP(tblSales[[#This Row],[Channel Code]],tblChannels[Channel Code],tblChannels[Channel Name],"")</f>
        <v>In-store</v>
      </c>
      <c r="R453" s="1">
        <f>MONTH(tblSales[[#This Row],[Date]])</f>
        <v>1</v>
      </c>
    </row>
    <row r="454" spans="2:18" x14ac:dyDescent="0.35">
      <c r="B454" s="113">
        <v>46053</v>
      </c>
      <c r="C454" s="4" t="s">
        <v>5132</v>
      </c>
      <c r="D454" s="4" t="s">
        <v>4568</v>
      </c>
      <c r="E454" s="1" t="str">
        <f>_xlfn.XLOOKUP(tblSales[[#This Row],[Customer ID]],tblCustomers[Customer ID],tblCustomers[Customer Name],"⚠ Unknown")</f>
        <v>Walk-in Customer</v>
      </c>
      <c r="F454" s="4" t="s">
        <v>6</v>
      </c>
      <c r="G454" s="1" t="str">
        <f>_xlfn.XLOOKUP(tblSales[[#This Row],[Product Code]],tblProducts[Code],tblProducts[Product / Service Name],"⚠ Unknown")</f>
        <v>Socks &amp; Accessories</v>
      </c>
      <c r="H454" s="1" t="str">
        <f>_xlfn.XLOOKUP(tblSales[[#This Row],[Product Code]],tblProducts[Code],tblProducts[Category],"")</f>
        <v>Accessories &amp; Basics</v>
      </c>
      <c r="I454" s="4">
        <v>4</v>
      </c>
      <c r="J454" s="5">
        <f>_xlfn.XLOOKUP(tblSales[[#This Row],[Product Code]],tblProducts[Code],tblProducts[Selling Price (excl. VAT)],0)</f>
        <v>45000</v>
      </c>
      <c r="K454" s="5">
        <f>tblSales[[#This Row],[Qty]]*tblSales[[#This Row],[Unit Price]]</f>
        <v>180000</v>
      </c>
      <c r="L454" s="5">
        <f>ROUND(tblSales[[#This Row],[DPP (excl. VAT)]]*VATEff,0)</f>
        <v>19800</v>
      </c>
      <c r="M454" s="5">
        <f>tblSales[[#This Row],[DPP (excl. VAT)]]+tblSales[[#This Row],[Output VAT]]</f>
        <v>199800</v>
      </c>
      <c r="N454" s="5">
        <f>tblSales[[#This Row],[Qty]]*_xlfn.XLOOKUP(tblSales[[#This Row],[Product Code]],tblProducts[Code],tblProducts[Unit Cost],0)</f>
        <v>96000</v>
      </c>
      <c r="O454" s="4" t="s">
        <v>4866</v>
      </c>
      <c r="P454" s="4" t="s">
        <v>4861</v>
      </c>
      <c r="Q454" s="1" t="str">
        <f>_xlfn.XLOOKUP(tblSales[[#This Row],[Channel Code]],tblChannels[Channel Code],tblChannels[Channel Name],"")</f>
        <v>Marketplace</v>
      </c>
      <c r="R454" s="1">
        <f>MONTH(tblSales[[#This Row],[Date]])</f>
        <v>1</v>
      </c>
    </row>
    <row r="455" spans="2:18" x14ac:dyDescent="0.35">
      <c r="B455" s="113">
        <v>46053</v>
      </c>
      <c r="C455" s="4" t="s">
        <v>5132</v>
      </c>
      <c r="D455" s="4" t="s">
        <v>4568</v>
      </c>
      <c r="E455" s="1" t="str">
        <f>_xlfn.XLOOKUP(tblSales[[#This Row],[Customer ID]],tblCustomers[Customer ID],tblCustomers[Customer Name],"⚠ Unknown")</f>
        <v>Walk-in Customer</v>
      </c>
      <c r="F455" s="4" t="s">
        <v>10</v>
      </c>
      <c r="G455" s="1" t="str">
        <f>_xlfn.XLOOKUP(tblSales[[#This Row],[Product Code]],tblProducts[Code],tblProducts[Product / Service Name],"⚠ Unknown")</f>
        <v>Chino Pants</v>
      </c>
      <c r="H455" s="1" t="str">
        <f>_xlfn.XLOOKUP(tblSales[[#This Row],[Product Code]],tblProducts[Code],tblProducts[Category],"")</f>
        <v>Apparel &amp; Footwear</v>
      </c>
      <c r="I455" s="4">
        <v>9</v>
      </c>
      <c r="J455" s="5">
        <f>_xlfn.XLOOKUP(tblSales[[#This Row],[Product Code]],tblProducts[Code],tblProducts[Selling Price (excl. VAT)],0)</f>
        <v>150000</v>
      </c>
      <c r="K455" s="5">
        <f>tblSales[[#This Row],[Qty]]*tblSales[[#This Row],[Unit Price]]</f>
        <v>1350000</v>
      </c>
      <c r="L455" s="5">
        <f>ROUND(tblSales[[#This Row],[DPP (excl. VAT)]]*VATEff,0)</f>
        <v>148500</v>
      </c>
      <c r="M455" s="5">
        <f>tblSales[[#This Row],[DPP (excl. VAT)]]+tblSales[[#This Row],[Output VAT]]</f>
        <v>1498500</v>
      </c>
      <c r="N455" s="5">
        <f>tblSales[[#This Row],[Qty]]*_xlfn.XLOOKUP(tblSales[[#This Row],[Product Code]],tblProducts[Code],tblProducts[Unit Cost],0)</f>
        <v>792000</v>
      </c>
      <c r="O455" s="4" t="s">
        <v>4866</v>
      </c>
      <c r="P455" s="4" t="s">
        <v>4861</v>
      </c>
      <c r="Q455" s="1" t="str">
        <f>_xlfn.XLOOKUP(tblSales[[#This Row],[Channel Code]],tblChannels[Channel Code],tblChannels[Channel Name],"")</f>
        <v>Marketplace</v>
      </c>
      <c r="R455" s="1">
        <f>MONTH(tblSales[[#This Row],[Date]])</f>
        <v>1</v>
      </c>
    </row>
    <row r="456" spans="2:18" x14ac:dyDescent="0.35">
      <c r="B456" s="113">
        <v>46053</v>
      </c>
      <c r="C456" s="4" t="s">
        <v>5133</v>
      </c>
      <c r="D456" s="4" t="s">
        <v>4568</v>
      </c>
      <c r="E456" s="1" t="str">
        <f>_xlfn.XLOOKUP(tblSales[[#This Row],[Customer ID]],tblCustomers[Customer ID],tblCustomers[Customer Name],"⚠ Unknown")</f>
        <v>Walk-in Customer</v>
      </c>
      <c r="F456" s="4" t="s">
        <v>7</v>
      </c>
      <c r="G456" s="1" t="str">
        <f>_xlfn.XLOOKUP(tblSales[[#This Row],[Product Code]],tblProducts[Code],tblProducts[Product / Service Name],"⚠ Unknown")</f>
        <v>Premium Basic T-shirt</v>
      </c>
      <c r="H456" s="1" t="str">
        <f>_xlfn.XLOOKUP(tblSales[[#This Row],[Product Code]],tblProducts[Code],tblProducts[Category],"")</f>
        <v>Accessories &amp; Basics</v>
      </c>
      <c r="I456" s="4">
        <v>3</v>
      </c>
      <c r="J456" s="5">
        <f>_xlfn.XLOOKUP(tblSales[[#This Row],[Product Code]],tblProducts[Code],tblProducts[Selling Price (excl. VAT)],0)</f>
        <v>65000</v>
      </c>
      <c r="K456" s="5">
        <f>tblSales[[#This Row],[Qty]]*tblSales[[#This Row],[Unit Price]]</f>
        <v>195000</v>
      </c>
      <c r="L456" s="5">
        <f>ROUND(tblSales[[#This Row],[DPP (excl. VAT)]]*VATEff,0)</f>
        <v>21450</v>
      </c>
      <c r="M456" s="5">
        <f>tblSales[[#This Row],[DPP (excl. VAT)]]+tblSales[[#This Row],[Output VAT]]</f>
        <v>216450</v>
      </c>
      <c r="N456" s="5">
        <f>tblSales[[#This Row],[Qty]]*_xlfn.XLOOKUP(tblSales[[#This Row],[Product Code]],tblProducts[Code],tblProducts[Unit Cost],0)</f>
        <v>111000</v>
      </c>
      <c r="O456" s="4" t="s">
        <v>4865</v>
      </c>
      <c r="P456" s="4" t="s">
        <v>4860</v>
      </c>
      <c r="Q456" s="1" t="str">
        <f>_xlfn.XLOOKUP(tblSales[[#This Row],[Channel Code]],tblChannels[Channel Code],tblChannels[Channel Name],"")</f>
        <v>In-store</v>
      </c>
      <c r="R456" s="1">
        <f>MONTH(tblSales[[#This Row],[Date]])</f>
        <v>1</v>
      </c>
    </row>
    <row r="457" spans="2:18" x14ac:dyDescent="0.35">
      <c r="B457" s="113">
        <v>46053</v>
      </c>
      <c r="C457" s="4" t="s">
        <v>5134</v>
      </c>
      <c r="D457" s="4" t="s">
        <v>4568</v>
      </c>
      <c r="E457" s="1" t="str">
        <f>_xlfn.XLOOKUP(tblSales[[#This Row],[Customer ID]],tblCustomers[Customer ID],tblCustomers[Customer Name],"⚠ Unknown")</f>
        <v>Walk-in Customer</v>
      </c>
      <c r="F457" s="4" t="s">
        <v>12</v>
      </c>
      <c r="G457" s="1" t="str">
        <f>_xlfn.XLOOKUP(tblSales[[#This Row],[Product Code]],tblProducts[Code],tblProducts[Product / Service Name],"⚠ Unknown")</f>
        <v>Bomber Jacket</v>
      </c>
      <c r="H457" s="1" t="str">
        <f>_xlfn.XLOOKUP(tblSales[[#This Row],[Product Code]],tblProducts[Code],tblProducts[Category],"")</f>
        <v>Apparel &amp; Footwear</v>
      </c>
      <c r="I457" s="4">
        <v>3</v>
      </c>
      <c r="J457" s="5">
        <f>_xlfn.XLOOKUP(tblSales[[#This Row],[Product Code]],tblProducts[Code],tblProducts[Selling Price (excl. VAT)],0)</f>
        <v>350000</v>
      </c>
      <c r="K457" s="5">
        <f>tblSales[[#This Row],[Qty]]*tblSales[[#This Row],[Unit Price]]</f>
        <v>1050000</v>
      </c>
      <c r="L457" s="5">
        <f>ROUND(tblSales[[#This Row],[DPP (excl. VAT)]]*VATEff,0)</f>
        <v>115500</v>
      </c>
      <c r="M457" s="5">
        <f>tblSales[[#This Row],[DPP (excl. VAT)]]+tblSales[[#This Row],[Output VAT]]</f>
        <v>1165500</v>
      </c>
      <c r="N457" s="5">
        <f>tblSales[[#This Row],[Qty]]*_xlfn.XLOOKUP(tblSales[[#This Row],[Product Code]],tblProducts[Code],tblProducts[Unit Cost],0)</f>
        <v>630000</v>
      </c>
      <c r="O457" s="4" t="s">
        <v>4866</v>
      </c>
      <c r="P457" s="4" t="s">
        <v>4860</v>
      </c>
      <c r="Q457" s="1" t="str">
        <f>_xlfn.XLOOKUP(tblSales[[#This Row],[Channel Code]],tblChannels[Channel Code],tblChannels[Channel Name],"")</f>
        <v>In-store</v>
      </c>
      <c r="R457" s="1">
        <f>MONTH(tblSales[[#This Row],[Date]])</f>
        <v>1</v>
      </c>
    </row>
    <row r="458" spans="2:18" x14ac:dyDescent="0.35">
      <c r="B458" s="113">
        <v>46053</v>
      </c>
      <c r="C458" s="4" t="s">
        <v>5135</v>
      </c>
      <c r="D458" s="4" t="s">
        <v>4568</v>
      </c>
      <c r="E458" s="1" t="str">
        <f>_xlfn.XLOOKUP(tblSales[[#This Row],[Customer ID]],tblCustomers[Customer ID],tblCustomers[Customer Name],"⚠ Unknown")</f>
        <v>Walk-in Customer</v>
      </c>
      <c r="F458" s="4" t="s">
        <v>11</v>
      </c>
      <c r="G458" s="1" t="str">
        <f>_xlfn.XLOOKUP(tblSales[[#This Row],[Product Code]],tblProducts[Code],tblProducts[Product / Service Name],"⚠ Unknown")</f>
        <v>Sneakers</v>
      </c>
      <c r="H458" s="1" t="str">
        <f>_xlfn.XLOOKUP(tblSales[[#This Row],[Product Code]],tblProducts[Code],tblProducts[Category],"")</f>
        <v>Apparel &amp; Footwear</v>
      </c>
      <c r="I458" s="4">
        <v>2</v>
      </c>
      <c r="J458" s="5">
        <f>_xlfn.XLOOKUP(tblSales[[#This Row],[Product Code]],tblProducts[Code],tblProducts[Selling Price (excl. VAT)],0)</f>
        <v>250000</v>
      </c>
      <c r="K458" s="5">
        <f>tblSales[[#This Row],[Qty]]*tblSales[[#This Row],[Unit Price]]</f>
        <v>500000</v>
      </c>
      <c r="L458" s="5">
        <f>ROUND(tblSales[[#This Row],[DPP (excl. VAT)]]*VATEff,0)</f>
        <v>55000</v>
      </c>
      <c r="M458" s="5">
        <f>tblSales[[#This Row],[DPP (excl. VAT)]]+tblSales[[#This Row],[Output VAT]]</f>
        <v>555000</v>
      </c>
      <c r="N458" s="5">
        <f>tblSales[[#This Row],[Qty]]*_xlfn.XLOOKUP(tblSales[[#This Row],[Product Code]],tblProducts[Code],tblProducts[Unit Cost],0)</f>
        <v>310000</v>
      </c>
      <c r="O458" s="4" t="s">
        <v>4866</v>
      </c>
      <c r="P458" s="4" t="s">
        <v>4860</v>
      </c>
      <c r="Q458" s="1" t="str">
        <f>_xlfn.XLOOKUP(tblSales[[#This Row],[Channel Code]],tblChannels[Channel Code],tblChannels[Channel Name],"")</f>
        <v>In-store</v>
      </c>
      <c r="R458" s="1">
        <f>MONTH(tblSales[[#This Row],[Date]])</f>
        <v>1</v>
      </c>
    </row>
    <row r="459" spans="2:18" x14ac:dyDescent="0.35">
      <c r="B459" s="113">
        <v>46053</v>
      </c>
      <c r="C459" s="4" t="s">
        <v>5136</v>
      </c>
      <c r="D459" s="4" t="s">
        <v>4568</v>
      </c>
      <c r="E459" s="1" t="str">
        <f>_xlfn.XLOOKUP(tblSales[[#This Row],[Customer ID]],tblCustomers[Customer ID],tblCustomers[Customer Name],"⚠ Unknown")</f>
        <v>Walk-in Customer</v>
      </c>
      <c r="F459" s="4" t="s">
        <v>10</v>
      </c>
      <c r="G459" s="1" t="str">
        <f>_xlfn.XLOOKUP(tblSales[[#This Row],[Product Code]],tblProducts[Code],tblProducts[Product / Service Name],"⚠ Unknown")</f>
        <v>Chino Pants</v>
      </c>
      <c r="H459" s="1" t="str">
        <f>_xlfn.XLOOKUP(tblSales[[#This Row],[Product Code]],tblProducts[Code],tblProducts[Category],"")</f>
        <v>Apparel &amp; Footwear</v>
      </c>
      <c r="I459" s="4">
        <v>7</v>
      </c>
      <c r="J459" s="5">
        <f>_xlfn.XLOOKUP(tblSales[[#This Row],[Product Code]],tblProducts[Code],tblProducts[Selling Price (excl. VAT)],0)</f>
        <v>150000</v>
      </c>
      <c r="K459" s="5">
        <f>tblSales[[#This Row],[Qty]]*tblSales[[#This Row],[Unit Price]]</f>
        <v>1050000</v>
      </c>
      <c r="L459" s="5">
        <f>ROUND(tblSales[[#This Row],[DPP (excl. VAT)]]*VATEff,0)</f>
        <v>115500</v>
      </c>
      <c r="M459" s="5">
        <f>tblSales[[#This Row],[DPP (excl. VAT)]]+tblSales[[#This Row],[Output VAT]]</f>
        <v>1165500</v>
      </c>
      <c r="N459" s="5">
        <f>tblSales[[#This Row],[Qty]]*_xlfn.XLOOKUP(tblSales[[#This Row],[Product Code]],tblProducts[Code],tblProducts[Unit Cost],0)</f>
        <v>616000</v>
      </c>
      <c r="O459" s="4" t="s">
        <v>4865</v>
      </c>
      <c r="P459" s="4" t="s">
        <v>4860</v>
      </c>
      <c r="Q459" s="1" t="str">
        <f>_xlfn.XLOOKUP(tblSales[[#This Row],[Channel Code]],tblChannels[Channel Code],tblChannels[Channel Name],"")</f>
        <v>In-store</v>
      </c>
      <c r="R459" s="1">
        <f>MONTH(tblSales[[#This Row],[Date]])</f>
        <v>1</v>
      </c>
    </row>
    <row r="460" spans="2:18" x14ac:dyDescent="0.35">
      <c r="B460" s="113">
        <v>46053</v>
      </c>
      <c r="C460" s="4" t="s">
        <v>5137</v>
      </c>
      <c r="D460" s="4" t="s">
        <v>4648</v>
      </c>
      <c r="E460" s="1" t="str">
        <f>_xlfn.XLOOKUP(tblSales[[#This Row],[Customer ID]],tblCustomers[Customer ID],tblCustomers[Customer Name],"⚠ Unknown")</f>
        <v>PT Lintas Benua Niaga</v>
      </c>
      <c r="F460" s="4" t="s">
        <v>7</v>
      </c>
      <c r="G460" s="1" t="str">
        <f>_xlfn.XLOOKUP(tblSales[[#This Row],[Product Code]],tblProducts[Code],tblProducts[Product / Service Name],"⚠ Unknown")</f>
        <v>Premium Basic T-shirt</v>
      </c>
      <c r="H460" s="1" t="str">
        <f>_xlfn.XLOOKUP(tblSales[[#This Row],[Product Code]],tblProducts[Code],tblProducts[Category],"")</f>
        <v>Accessories &amp; Basics</v>
      </c>
      <c r="I460" s="4">
        <v>96</v>
      </c>
      <c r="J460" s="5">
        <f>_xlfn.XLOOKUP(tblSales[[#This Row],[Product Code]],tblProducts[Code],tblProducts[Selling Price (excl. VAT)],0)</f>
        <v>65000</v>
      </c>
      <c r="K460" s="5">
        <f>tblSales[[#This Row],[Qty]]*tblSales[[#This Row],[Unit Price]]</f>
        <v>6240000</v>
      </c>
      <c r="L460" s="5">
        <f>ROUND(tblSales[[#This Row],[DPP (excl. VAT)]]*VATEff,0)</f>
        <v>686400</v>
      </c>
      <c r="M460" s="5">
        <f>tblSales[[#This Row],[DPP (excl. VAT)]]+tblSales[[#This Row],[Output VAT]]</f>
        <v>6926400</v>
      </c>
      <c r="N460" s="5">
        <f>tblSales[[#This Row],[Qty]]*_xlfn.XLOOKUP(tblSales[[#This Row],[Product Code]],tblProducts[Code],tblProducts[Unit Cost],0)</f>
        <v>3552000</v>
      </c>
      <c r="O460" s="4" t="s">
        <v>4867</v>
      </c>
      <c r="P460" s="4" t="s">
        <v>4860</v>
      </c>
      <c r="Q460" s="1" t="str">
        <f>_xlfn.XLOOKUP(tblSales[[#This Row],[Channel Code]],tblChannels[Channel Code],tblChannels[Channel Name],"")</f>
        <v>In-store</v>
      </c>
      <c r="R460" s="1">
        <f>MONTH(tblSales[[#This Row],[Date]])</f>
        <v>1</v>
      </c>
    </row>
    <row r="461" spans="2:18" x14ac:dyDescent="0.35">
      <c r="B461" s="113">
        <v>46053</v>
      </c>
      <c r="C461" s="4" t="s">
        <v>5137</v>
      </c>
      <c r="D461" s="4" t="s">
        <v>4648</v>
      </c>
      <c r="E461" s="1" t="str">
        <f>_xlfn.XLOOKUP(tblSales[[#This Row],[Customer ID]],tblCustomers[Customer ID],tblCustomers[Customer Name],"⚠ Unknown")</f>
        <v>PT Lintas Benua Niaga</v>
      </c>
      <c r="F461" s="4" t="s">
        <v>9</v>
      </c>
      <c r="G461" s="1" t="str">
        <f>_xlfn.XLOOKUP(tblSales[[#This Row],[Product Code]],tblProducts[Code],tblProducts[Product / Service Name],"⚠ Unknown")</f>
        <v>Casual Shirt</v>
      </c>
      <c r="H461" s="1" t="str">
        <f>_xlfn.XLOOKUP(tblSales[[#This Row],[Product Code]],tblProducts[Code],tblProducts[Category],"")</f>
        <v>Apparel &amp; Footwear</v>
      </c>
      <c r="I461" s="4">
        <v>80</v>
      </c>
      <c r="J461" s="5">
        <f>_xlfn.XLOOKUP(tblSales[[#This Row],[Product Code]],tblProducts[Code],tblProducts[Selling Price (excl. VAT)],0)</f>
        <v>120000</v>
      </c>
      <c r="K461" s="5">
        <f>tblSales[[#This Row],[Qty]]*tblSales[[#This Row],[Unit Price]]</f>
        <v>9600000</v>
      </c>
      <c r="L461" s="5">
        <f>ROUND(tblSales[[#This Row],[DPP (excl. VAT)]]*VATEff,0)</f>
        <v>1056000</v>
      </c>
      <c r="M461" s="5">
        <f>tblSales[[#This Row],[DPP (excl. VAT)]]+tblSales[[#This Row],[Output VAT]]</f>
        <v>10656000</v>
      </c>
      <c r="N461" s="5">
        <f>tblSales[[#This Row],[Qty]]*_xlfn.XLOOKUP(tblSales[[#This Row],[Product Code]],tblProducts[Code],tblProducts[Unit Cost],0)</f>
        <v>5760000</v>
      </c>
      <c r="O461" s="4" t="s">
        <v>4867</v>
      </c>
      <c r="P461" s="4" t="s">
        <v>4860</v>
      </c>
      <c r="Q461" s="1" t="str">
        <f>_xlfn.XLOOKUP(tblSales[[#This Row],[Channel Code]],tblChannels[Channel Code],tblChannels[Channel Name],"")</f>
        <v>In-store</v>
      </c>
      <c r="R461" s="1">
        <f>MONTH(tblSales[[#This Row],[Date]])</f>
        <v>1</v>
      </c>
    </row>
    <row r="462" spans="2:18" x14ac:dyDescent="0.35">
      <c r="B462" s="113">
        <v>46053</v>
      </c>
      <c r="C462" s="4" t="s">
        <v>5138</v>
      </c>
      <c r="D462" s="4" t="s">
        <v>4568</v>
      </c>
      <c r="E462" s="1" t="str">
        <f>_xlfn.XLOOKUP(tblSales[[#This Row],[Customer ID]],tblCustomers[Customer ID],tblCustomers[Customer Name],"⚠ Unknown")</f>
        <v>Walk-in Customer</v>
      </c>
      <c r="F462" s="4" t="s">
        <v>7</v>
      </c>
      <c r="G462" s="1" t="str">
        <f>_xlfn.XLOOKUP(tblSales[[#This Row],[Product Code]],tblProducts[Code],tblProducts[Product / Service Name],"⚠ Unknown")</f>
        <v>Premium Basic T-shirt</v>
      </c>
      <c r="H462" s="1" t="str">
        <f>_xlfn.XLOOKUP(tblSales[[#This Row],[Product Code]],tblProducts[Code],tblProducts[Category],"")</f>
        <v>Accessories &amp; Basics</v>
      </c>
      <c r="I462" s="4">
        <v>6</v>
      </c>
      <c r="J462" s="5">
        <f>_xlfn.XLOOKUP(tblSales[[#This Row],[Product Code]],tblProducts[Code],tblProducts[Selling Price (excl. VAT)],0)</f>
        <v>65000</v>
      </c>
      <c r="K462" s="5">
        <f>tblSales[[#This Row],[Qty]]*tblSales[[#This Row],[Unit Price]]</f>
        <v>390000</v>
      </c>
      <c r="L462" s="5">
        <f>ROUND(tblSales[[#This Row],[DPP (excl. VAT)]]*VATEff,0)</f>
        <v>42900</v>
      </c>
      <c r="M462" s="5">
        <f>tblSales[[#This Row],[DPP (excl. VAT)]]+tblSales[[#This Row],[Output VAT]]</f>
        <v>432900</v>
      </c>
      <c r="N462" s="5">
        <f>tblSales[[#This Row],[Qty]]*_xlfn.XLOOKUP(tblSales[[#This Row],[Product Code]],tblProducts[Code],tblProducts[Unit Cost],0)</f>
        <v>222000</v>
      </c>
      <c r="O462" s="4" t="s">
        <v>4866</v>
      </c>
      <c r="P462" s="4" t="s">
        <v>4860</v>
      </c>
      <c r="Q462" s="1" t="str">
        <f>_xlfn.XLOOKUP(tblSales[[#This Row],[Channel Code]],tblChannels[Channel Code],tblChannels[Channel Name],"")</f>
        <v>In-store</v>
      </c>
      <c r="R462" s="1">
        <f>MONTH(tblSales[[#This Row],[Date]])</f>
        <v>1</v>
      </c>
    </row>
    <row r="463" spans="2:18" x14ac:dyDescent="0.35">
      <c r="B463" s="113">
        <v>46053</v>
      </c>
      <c r="C463" s="4" t="s">
        <v>5138</v>
      </c>
      <c r="D463" s="4" t="s">
        <v>4568</v>
      </c>
      <c r="E463" s="1" t="str">
        <f>_xlfn.XLOOKUP(tblSales[[#This Row],[Customer ID]],tblCustomers[Customer ID],tblCustomers[Customer Name],"⚠ Unknown")</f>
        <v>Walk-in Customer</v>
      </c>
      <c r="F463" s="4" t="s">
        <v>9</v>
      </c>
      <c r="G463" s="1" t="str">
        <f>_xlfn.XLOOKUP(tblSales[[#This Row],[Product Code]],tblProducts[Code],tblProducts[Product / Service Name],"⚠ Unknown")</f>
        <v>Casual Shirt</v>
      </c>
      <c r="H463" s="1" t="str">
        <f>_xlfn.XLOOKUP(tblSales[[#This Row],[Product Code]],tblProducts[Code],tblProducts[Category],"")</f>
        <v>Apparel &amp; Footwear</v>
      </c>
      <c r="I463" s="4">
        <v>1</v>
      </c>
      <c r="J463" s="5">
        <f>_xlfn.XLOOKUP(tblSales[[#This Row],[Product Code]],tblProducts[Code],tblProducts[Selling Price (excl. VAT)],0)</f>
        <v>120000</v>
      </c>
      <c r="K463" s="5">
        <f>tblSales[[#This Row],[Qty]]*tblSales[[#This Row],[Unit Price]]</f>
        <v>120000</v>
      </c>
      <c r="L463" s="5">
        <f>ROUND(tblSales[[#This Row],[DPP (excl. VAT)]]*VATEff,0)</f>
        <v>13200</v>
      </c>
      <c r="M463" s="5">
        <f>tblSales[[#This Row],[DPP (excl. VAT)]]+tblSales[[#This Row],[Output VAT]]</f>
        <v>133200</v>
      </c>
      <c r="N463" s="5">
        <f>tblSales[[#This Row],[Qty]]*_xlfn.XLOOKUP(tblSales[[#This Row],[Product Code]],tblProducts[Code],tblProducts[Unit Cost],0)</f>
        <v>72000</v>
      </c>
      <c r="O463" s="4" t="s">
        <v>4866</v>
      </c>
      <c r="P463" s="4" t="s">
        <v>4860</v>
      </c>
      <c r="Q463" s="1" t="str">
        <f>_xlfn.XLOOKUP(tblSales[[#This Row],[Channel Code]],tblChannels[Channel Code],tblChannels[Channel Name],"")</f>
        <v>In-store</v>
      </c>
      <c r="R463" s="1">
        <f>MONTH(tblSales[[#This Row],[Date]])</f>
        <v>1</v>
      </c>
    </row>
    <row r="464" spans="2:18" x14ac:dyDescent="0.35">
      <c r="B464" s="113">
        <v>46053</v>
      </c>
      <c r="C464" s="4" t="s">
        <v>5138</v>
      </c>
      <c r="D464" s="4" t="s">
        <v>4568</v>
      </c>
      <c r="E464" s="1" t="str">
        <f>_xlfn.XLOOKUP(tblSales[[#This Row],[Customer ID]],tblCustomers[Customer ID],tblCustomers[Customer Name],"⚠ Unknown")</f>
        <v>Walk-in Customer</v>
      </c>
      <c r="F464" s="4" t="s">
        <v>6</v>
      </c>
      <c r="G464" s="1" t="str">
        <f>_xlfn.XLOOKUP(tblSales[[#This Row],[Product Code]],tblProducts[Code],tblProducts[Product / Service Name],"⚠ Unknown")</f>
        <v>Socks &amp; Accessories</v>
      </c>
      <c r="H464" s="1" t="str">
        <f>_xlfn.XLOOKUP(tblSales[[#This Row],[Product Code]],tblProducts[Code],tblProducts[Category],"")</f>
        <v>Accessories &amp; Basics</v>
      </c>
      <c r="I464" s="4">
        <v>9</v>
      </c>
      <c r="J464" s="5">
        <f>_xlfn.XLOOKUP(tblSales[[#This Row],[Product Code]],tblProducts[Code],tblProducts[Selling Price (excl. VAT)],0)</f>
        <v>45000</v>
      </c>
      <c r="K464" s="5">
        <f>tblSales[[#This Row],[Qty]]*tblSales[[#This Row],[Unit Price]]</f>
        <v>405000</v>
      </c>
      <c r="L464" s="5">
        <f>ROUND(tblSales[[#This Row],[DPP (excl. VAT)]]*VATEff,0)</f>
        <v>44550</v>
      </c>
      <c r="M464" s="5">
        <f>tblSales[[#This Row],[DPP (excl. VAT)]]+tblSales[[#This Row],[Output VAT]]</f>
        <v>449550</v>
      </c>
      <c r="N464" s="5">
        <f>tblSales[[#This Row],[Qty]]*_xlfn.XLOOKUP(tblSales[[#This Row],[Product Code]],tblProducts[Code],tblProducts[Unit Cost],0)</f>
        <v>216000</v>
      </c>
      <c r="O464" s="4" t="s">
        <v>4866</v>
      </c>
      <c r="P464" s="4" t="s">
        <v>4860</v>
      </c>
      <c r="Q464" s="1" t="str">
        <f>_xlfn.XLOOKUP(tblSales[[#This Row],[Channel Code]],tblChannels[Channel Code],tblChannels[Channel Name],"")</f>
        <v>In-store</v>
      </c>
      <c r="R464" s="1">
        <f>MONTH(tblSales[[#This Row],[Date]])</f>
        <v>1</v>
      </c>
    </row>
    <row r="465" spans="2:18" x14ac:dyDescent="0.35">
      <c r="B465" s="113">
        <v>46053</v>
      </c>
      <c r="C465" s="4" t="s">
        <v>5139</v>
      </c>
      <c r="D465" s="4" t="s">
        <v>4568</v>
      </c>
      <c r="E465" s="1" t="str">
        <f>_xlfn.XLOOKUP(tblSales[[#This Row],[Customer ID]],tblCustomers[Customer ID],tblCustomers[Customer Name],"⚠ Unknown")</f>
        <v>Walk-in Customer</v>
      </c>
      <c r="F465" s="4" t="s">
        <v>8</v>
      </c>
      <c r="G465" s="1" t="str">
        <f>_xlfn.XLOOKUP(tblSales[[#This Row],[Product Code]],tblProducts[Code],tblProducts[Product / Service Name],"⚠ Unknown")</f>
        <v>Casual Shorts</v>
      </c>
      <c r="H465" s="1" t="str">
        <f>_xlfn.XLOOKUP(tblSales[[#This Row],[Product Code]],tblProducts[Code],tblProducts[Category],"")</f>
        <v>Accessories &amp; Basics</v>
      </c>
      <c r="I465" s="4">
        <v>3</v>
      </c>
      <c r="J465" s="5">
        <f>_xlfn.XLOOKUP(tblSales[[#This Row],[Product Code]],tblProducts[Code],tblProducts[Selling Price (excl. VAT)],0)</f>
        <v>85000</v>
      </c>
      <c r="K465" s="5">
        <f>tblSales[[#This Row],[Qty]]*tblSales[[#This Row],[Unit Price]]</f>
        <v>255000</v>
      </c>
      <c r="L465" s="5">
        <f>ROUND(tblSales[[#This Row],[DPP (excl. VAT)]]*VATEff,0)</f>
        <v>28050</v>
      </c>
      <c r="M465" s="5">
        <f>tblSales[[#This Row],[DPP (excl. VAT)]]+tblSales[[#This Row],[Output VAT]]</f>
        <v>283050</v>
      </c>
      <c r="N465" s="5">
        <f>tblSales[[#This Row],[Qty]]*_xlfn.XLOOKUP(tblSales[[#This Row],[Product Code]],tblProducts[Code],tblProducts[Unit Cost],0)</f>
        <v>150000</v>
      </c>
      <c r="O465" s="4" t="s">
        <v>4865</v>
      </c>
      <c r="P465" s="4" t="s">
        <v>4860</v>
      </c>
      <c r="Q465" s="1" t="str">
        <f>_xlfn.XLOOKUP(tblSales[[#This Row],[Channel Code]],tblChannels[Channel Code],tblChannels[Channel Name],"")</f>
        <v>In-store</v>
      </c>
      <c r="R465" s="1">
        <f>MONTH(tblSales[[#This Row],[Date]])</f>
        <v>1</v>
      </c>
    </row>
    <row r="466" spans="2:18" x14ac:dyDescent="0.35">
      <c r="B466" s="113">
        <v>46053</v>
      </c>
      <c r="C466" s="4" t="s">
        <v>5139</v>
      </c>
      <c r="D466" s="4" t="s">
        <v>4568</v>
      </c>
      <c r="E466" s="1" t="str">
        <f>_xlfn.XLOOKUP(tblSales[[#This Row],[Customer ID]],tblCustomers[Customer ID],tblCustomers[Customer Name],"⚠ Unknown")</f>
        <v>Walk-in Customer</v>
      </c>
      <c r="F466" s="4" t="s">
        <v>11</v>
      </c>
      <c r="G466" s="1" t="str">
        <f>_xlfn.XLOOKUP(tblSales[[#This Row],[Product Code]],tblProducts[Code],tblProducts[Product / Service Name],"⚠ Unknown")</f>
        <v>Sneakers</v>
      </c>
      <c r="H466" s="1" t="str">
        <f>_xlfn.XLOOKUP(tblSales[[#This Row],[Product Code]],tblProducts[Code],tblProducts[Category],"")</f>
        <v>Apparel &amp; Footwear</v>
      </c>
      <c r="I466" s="4">
        <v>6</v>
      </c>
      <c r="J466" s="5">
        <f>_xlfn.XLOOKUP(tblSales[[#This Row],[Product Code]],tblProducts[Code],tblProducts[Selling Price (excl. VAT)],0)</f>
        <v>250000</v>
      </c>
      <c r="K466" s="5">
        <f>tblSales[[#This Row],[Qty]]*tblSales[[#This Row],[Unit Price]]</f>
        <v>1500000</v>
      </c>
      <c r="L466" s="5">
        <f>ROUND(tblSales[[#This Row],[DPP (excl. VAT)]]*VATEff,0)</f>
        <v>165000</v>
      </c>
      <c r="M466" s="5">
        <f>tblSales[[#This Row],[DPP (excl. VAT)]]+tblSales[[#This Row],[Output VAT]]</f>
        <v>1665000</v>
      </c>
      <c r="N466" s="5">
        <f>tblSales[[#This Row],[Qty]]*_xlfn.XLOOKUP(tblSales[[#This Row],[Product Code]],tblProducts[Code],tblProducts[Unit Cost],0)</f>
        <v>930000</v>
      </c>
      <c r="O466" s="4" t="s">
        <v>4865</v>
      </c>
      <c r="P466" s="4" t="s">
        <v>4860</v>
      </c>
      <c r="Q466" s="1" t="str">
        <f>_xlfn.XLOOKUP(tblSales[[#This Row],[Channel Code]],tblChannels[Channel Code],tblChannels[Channel Name],"")</f>
        <v>In-store</v>
      </c>
      <c r="R466" s="1">
        <f>MONTH(tblSales[[#This Row],[Date]])</f>
        <v>1</v>
      </c>
    </row>
    <row r="467" spans="2:18" x14ac:dyDescent="0.35">
      <c r="B467" s="113">
        <v>46053</v>
      </c>
      <c r="C467" s="4" t="s">
        <v>5140</v>
      </c>
      <c r="D467" s="4" t="s">
        <v>4568</v>
      </c>
      <c r="E467" s="1" t="str">
        <f>_xlfn.XLOOKUP(tblSales[[#This Row],[Customer ID]],tblCustomers[Customer ID],tblCustomers[Customer Name],"⚠ Unknown")</f>
        <v>Walk-in Customer</v>
      </c>
      <c r="F467" s="4" t="s">
        <v>13</v>
      </c>
      <c r="G467" s="1" t="str">
        <f>_xlfn.XLOOKUP(tblSales[[#This Row],[Product Code]],tblProducts[Code],tblProducts[Product / Service Name],"⚠ Unknown")</f>
        <v>Backpack</v>
      </c>
      <c r="H467" s="1" t="str">
        <f>_xlfn.XLOOKUP(tblSales[[#This Row],[Product Code]],tblProducts[Code],tblProducts[Category],"")</f>
        <v>Bags &amp; Gadgets</v>
      </c>
      <c r="I467" s="4">
        <v>3</v>
      </c>
      <c r="J467" s="5">
        <f>_xlfn.XLOOKUP(tblSales[[#This Row],[Product Code]],tblProducts[Code],tblProducts[Selling Price (excl. VAT)],0)</f>
        <v>500000</v>
      </c>
      <c r="K467" s="5">
        <f>tblSales[[#This Row],[Qty]]*tblSales[[#This Row],[Unit Price]]</f>
        <v>1500000</v>
      </c>
      <c r="L467" s="5">
        <f>ROUND(tblSales[[#This Row],[DPP (excl. VAT)]]*VATEff,0)</f>
        <v>165000</v>
      </c>
      <c r="M467" s="5">
        <f>tblSales[[#This Row],[DPP (excl. VAT)]]+tblSales[[#This Row],[Output VAT]]</f>
        <v>1665000</v>
      </c>
      <c r="N467" s="5">
        <f>tblSales[[#This Row],[Qty]]*_xlfn.XLOOKUP(tblSales[[#This Row],[Product Code]],tblProducts[Code],tblProducts[Unit Cost],0)</f>
        <v>870000</v>
      </c>
      <c r="O467" s="4" t="s">
        <v>4866</v>
      </c>
      <c r="P467" s="4" t="s">
        <v>4861</v>
      </c>
      <c r="Q467" s="1" t="str">
        <f>_xlfn.XLOOKUP(tblSales[[#This Row],[Channel Code]],tblChannels[Channel Code],tblChannels[Channel Name],"")</f>
        <v>Marketplace</v>
      </c>
      <c r="R467" s="1">
        <f>MONTH(tblSales[[#This Row],[Date]])</f>
        <v>1</v>
      </c>
    </row>
    <row r="468" spans="2:18" x14ac:dyDescent="0.35">
      <c r="B468" s="113">
        <v>46053</v>
      </c>
      <c r="C468" s="4" t="s">
        <v>5141</v>
      </c>
      <c r="D468" s="4" t="s">
        <v>4613</v>
      </c>
      <c r="E468" s="1" t="str">
        <f>_xlfn.XLOOKUP(tblSales[[#This Row],[Customer ID]],tblCustomers[Customer ID],tblCustomers[Customer Name],"⚠ Unknown")</f>
        <v>PT Mega Prima Distribusi</v>
      </c>
      <c r="F468" s="4" t="s">
        <v>6</v>
      </c>
      <c r="G468" s="1" t="str">
        <f>_xlfn.XLOOKUP(tblSales[[#This Row],[Product Code]],tblProducts[Code],tblProducts[Product / Service Name],"⚠ Unknown")</f>
        <v>Socks &amp; Accessories</v>
      </c>
      <c r="H468" s="1" t="str">
        <f>_xlfn.XLOOKUP(tblSales[[#This Row],[Product Code]],tblProducts[Code],tblProducts[Category],"")</f>
        <v>Accessories &amp; Basics</v>
      </c>
      <c r="I468" s="4">
        <v>40</v>
      </c>
      <c r="J468" s="5">
        <f>_xlfn.XLOOKUP(tblSales[[#This Row],[Product Code]],tblProducts[Code],tblProducts[Selling Price (excl. VAT)],0)</f>
        <v>45000</v>
      </c>
      <c r="K468" s="5">
        <f>tblSales[[#This Row],[Qty]]*tblSales[[#This Row],[Unit Price]]</f>
        <v>1800000</v>
      </c>
      <c r="L468" s="5">
        <f>ROUND(tblSales[[#This Row],[DPP (excl. VAT)]]*VATEff,0)</f>
        <v>198000</v>
      </c>
      <c r="M468" s="5">
        <f>tblSales[[#This Row],[DPP (excl. VAT)]]+tblSales[[#This Row],[Output VAT]]</f>
        <v>1998000</v>
      </c>
      <c r="N468" s="5">
        <f>tblSales[[#This Row],[Qty]]*_xlfn.XLOOKUP(tblSales[[#This Row],[Product Code]],tblProducts[Code],tblProducts[Unit Cost],0)</f>
        <v>960000</v>
      </c>
      <c r="O468" s="4" t="s">
        <v>4867</v>
      </c>
      <c r="P468" s="4" t="s">
        <v>4860</v>
      </c>
      <c r="Q468" s="1" t="str">
        <f>_xlfn.XLOOKUP(tblSales[[#This Row],[Channel Code]],tblChannels[Channel Code],tblChannels[Channel Name],"")</f>
        <v>In-store</v>
      </c>
      <c r="R468" s="1">
        <f>MONTH(tblSales[[#This Row],[Date]])</f>
        <v>1</v>
      </c>
    </row>
    <row r="469" spans="2:18" x14ac:dyDescent="0.35">
      <c r="B469" s="113">
        <v>46053</v>
      </c>
      <c r="C469" s="4" t="s">
        <v>5142</v>
      </c>
      <c r="D469" s="4" t="s">
        <v>4568</v>
      </c>
      <c r="E469" s="1" t="str">
        <f>_xlfn.XLOOKUP(tblSales[[#This Row],[Customer ID]],tblCustomers[Customer ID],tblCustomers[Customer Name],"⚠ Unknown")</f>
        <v>Walk-in Customer</v>
      </c>
      <c r="F469" s="4" t="s">
        <v>6</v>
      </c>
      <c r="G469" s="1" t="str">
        <f>_xlfn.XLOOKUP(tblSales[[#This Row],[Product Code]],tblProducts[Code],tblProducts[Product / Service Name],"⚠ Unknown")</f>
        <v>Socks &amp; Accessories</v>
      </c>
      <c r="H469" s="1" t="str">
        <f>_xlfn.XLOOKUP(tblSales[[#This Row],[Product Code]],tblProducts[Code],tblProducts[Category],"")</f>
        <v>Accessories &amp; Basics</v>
      </c>
      <c r="I469" s="4">
        <v>3</v>
      </c>
      <c r="J469" s="5">
        <f>_xlfn.XLOOKUP(tblSales[[#This Row],[Product Code]],tblProducts[Code],tblProducts[Selling Price (excl. VAT)],0)</f>
        <v>45000</v>
      </c>
      <c r="K469" s="5">
        <f>tblSales[[#This Row],[Qty]]*tblSales[[#This Row],[Unit Price]]</f>
        <v>135000</v>
      </c>
      <c r="L469" s="5">
        <f>ROUND(tblSales[[#This Row],[DPP (excl. VAT)]]*VATEff,0)</f>
        <v>14850</v>
      </c>
      <c r="M469" s="5">
        <f>tblSales[[#This Row],[DPP (excl. VAT)]]+tblSales[[#This Row],[Output VAT]]</f>
        <v>149850</v>
      </c>
      <c r="N469" s="5">
        <f>tblSales[[#This Row],[Qty]]*_xlfn.XLOOKUP(tblSales[[#This Row],[Product Code]],tblProducts[Code],tblProducts[Unit Cost],0)</f>
        <v>72000</v>
      </c>
      <c r="O469" s="4" t="s">
        <v>4865</v>
      </c>
      <c r="P469" s="4" t="s">
        <v>4860</v>
      </c>
      <c r="Q469" s="1" t="str">
        <f>_xlfn.XLOOKUP(tblSales[[#This Row],[Channel Code]],tblChannels[Channel Code],tblChannels[Channel Name],"")</f>
        <v>In-store</v>
      </c>
      <c r="R469" s="1">
        <f>MONTH(tblSales[[#This Row],[Date]])</f>
        <v>1</v>
      </c>
    </row>
    <row r="470" spans="2:18" x14ac:dyDescent="0.35">
      <c r="B470" s="113">
        <v>46053</v>
      </c>
      <c r="C470" s="4" t="s">
        <v>5143</v>
      </c>
      <c r="D470" s="4" t="s">
        <v>4593</v>
      </c>
      <c r="E470" s="1" t="str">
        <f>_xlfn.XLOOKUP(tblSales[[#This Row],[Customer ID]],tblCustomers[Customer ID],tblCustomers[Customer Name],"⚠ Unknown")</f>
        <v>PT Graha Nusa Persada</v>
      </c>
      <c r="F470" s="4" t="s">
        <v>13</v>
      </c>
      <c r="G470" s="1" t="str">
        <f>_xlfn.XLOOKUP(tblSales[[#This Row],[Product Code]],tblProducts[Code],tblProducts[Product / Service Name],"⚠ Unknown")</f>
        <v>Backpack</v>
      </c>
      <c r="H470" s="1" t="str">
        <f>_xlfn.XLOOKUP(tblSales[[#This Row],[Product Code]],tblProducts[Code],tblProducts[Category],"")</f>
        <v>Bags &amp; Gadgets</v>
      </c>
      <c r="I470" s="4">
        <v>8</v>
      </c>
      <c r="J470" s="5">
        <f>_xlfn.XLOOKUP(tblSales[[#This Row],[Product Code]],tblProducts[Code],tblProducts[Selling Price (excl. VAT)],0)</f>
        <v>500000</v>
      </c>
      <c r="K470" s="5">
        <f>tblSales[[#This Row],[Qty]]*tblSales[[#This Row],[Unit Price]]</f>
        <v>4000000</v>
      </c>
      <c r="L470" s="5">
        <f>ROUND(tblSales[[#This Row],[DPP (excl. VAT)]]*VATEff,0)</f>
        <v>440000</v>
      </c>
      <c r="M470" s="5">
        <f>tblSales[[#This Row],[DPP (excl. VAT)]]+tblSales[[#This Row],[Output VAT]]</f>
        <v>4440000</v>
      </c>
      <c r="N470" s="5">
        <f>tblSales[[#This Row],[Qty]]*_xlfn.XLOOKUP(tblSales[[#This Row],[Product Code]],tblProducts[Code],tblProducts[Unit Cost],0)</f>
        <v>2320000</v>
      </c>
      <c r="O470" s="4" t="s">
        <v>4867</v>
      </c>
      <c r="P470" s="4" t="s">
        <v>4860</v>
      </c>
      <c r="Q470" s="1" t="str">
        <f>_xlfn.XLOOKUP(tblSales[[#This Row],[Channel Code]],tblChannels[Channel Code],tblChannels[Channel Name],"")</f>
        <v>In-store</v>
      </c>
      <c r="R470" s="1">
        <f>MONTH(tblSales[[#This Row],[Date]])</f>
        <v>1</v>
      </c>
    </row>
    <row r="471" spans="2:18" x14ac:dyDescent="0.35">
      <c r="B471" s="113">
        <v>46053</v>
      </c>
      <c r="C471" s="4" t="s">
        <v>5143</v>
      </c>
      <c r="D471" s="4" t="s">
        <v>4593</v>
      </c>
      <c r="E471" s="1" t="str">
        <f>_xlfn.XLOOKUP(tblSales[[#This Row],[Customer ID]],tblCustomers[Customer ID],tblCustomers[Customer Name],"⚠ Unknown")</f>
        <v>PT Graha Nusa Persada</v>
      </c>
      <c r="F471" s="4" t="s">
        <v>12</v>
      </c>
      <c r="G471" s="1" t="str">
        <f>_xlfn.XLOOKUP(tblSales[[#This Row],[Product Code]],tblProducts[Code],tblProducts[Product / Service Name],"⚠ Unknown")</f>
        <v>Bomber Jacket</v>
      </c>
      <c r="H471" s="1" t="str">
        <f>_xlfn.XLOOKUP(tblSales[[#This Row],[Product Code]],tblProducts[Code],tblProducts[Category],"")</f>
        <v>Apparel &amp; Footwear</v>
      </c>
      <c r="I471" s="4">
        <v>16</v>
      </c>
      <c r="J471" s="5">
        <f>_xlfn.XLOOKUP(tblSales[[#This Row],[Product Code]],tblProducts[Code],tblProducts[Selling Price (excl. VAT)],0)</f>
        <v>350000</v>
      </c>
      <c r="K471" s="5">
        <f>tblSales[[#This Row],[Qty]]*tblSales[[#This Row],[Unit Price]]</f>
        <v>5600000</v>
      </c>
      <c r="L471" s="5">
        <f>ROUND(tblSales[[#This Row],[DPP (excl. VAT)]]*VATEff,0)</f>
        <v>616000</v>
      </c>
      <c r="M471" s="5">
        <f>tblSales[[#This Row],[DPP (excl. VAT)]]+tblSales[[#This Row],[Output VAT]]</f>
        <v>6216000</v>
      </c>
      <c r="N471" s="5">
        <f>tblSales[[#This Row],[Qty]]*_xlfn.XLOOKUP(tblSales[[#This Row],[Product Code]],tblProducts[Code],tblProducts[Unit Cost],0)</f>
        <v>3360000</v>
      </c>
      <c r="O471" s="4" t="s">
        <v>4867</v>
      </c>
      <c r="P471" s="4" t="s">
        <v>4860</v>
      </c>
      <c r="Q471" s="1" t="str">
        <f>_xlfn.XLOOKUP(tblSales[[#This Row],[Channel Code]],tblChannels[Channel Code],tblChannels[Channel Name],"")</f>
        <v>In-store</v>
      </c>
      <c r="R471" s="1">
        <f>MONTH(tblSales[[#This Row],[Date]])</f>
        <v>1</v>
      </c>
    </row>
    <row r="472" spans="2:18" x14ac:dyDescent="0.35">
      <c r="B472" s="113">
        <v>46053</v>
      </c>
      <c r="C472" s="4" t="s">
        <v>5144</v>
      </c>
      <c r="D472" s="4" t="s">
        <v>4568</v>
      </c>
      <c r="E472" s="1" t="str">
        <f>_xlfn.XLOOKUP(tblSales[[#This Row],[Customer ID]],tblCustomers[Customer ID],tblCustomers[Customer Name],"⚠ Unknown")</f>
        <v>Walk-in Customer</v>
      </c>
      <c r="F472" s="4" t="s">
        <v>8</v>
      </c>
      <c r="G472" s="1" t="str">
        <f>_xlfn.XLOOKUP(tblSales[[#This Row],[Product Code]],tblProducts[Code],tblProducts[Product / Service Name],"⚠ Unknown")</f>
        <v>Casual Shorts</v>
      </c>
      <c r="H472" s="1" t="str">
        <f>_xlfn.XLOOKUP(tblSales[[#This Row],[Product Code]],tblProducts[Code],tblProducts[Category],"")</f>
        <v>Accessories &amp; Basics</v>
      </c>
      <c r="I472" s="4">
        <v>1</v>
      </c>
      <c r="J472" s="5">
        <f>_xlfn.XLOOKUP(tblSales[[#This Row],[Product Code]],tblProducts[Code],tblProducts[Selling Price (excl. VAT)],0)</f>
        <v>85000</v>
      </c>
      <c r="K472" s="5">
        <f>tblSales[[#This Row],[Qty]]*tblSales[[#This Row],[Unit Price]]</f>
        <v>85000</v>
      </c>
      <c r="L472" s="5">
        <f>ROUND(tblSales[[#This Row],[DPP (excl. VAT)]]*VATEff,0)</f>
        <v>9350</v>
      </c>
      <c r="M472" s="5">
        <f>tblSales[[#This Row],[DPP (excl. VAT)]]+tblSales[[#This Row],[Output VAT]]</f>
        <v>94350</v>
      </c>
      <c r="N472" s="5">
        <f>tblSales[[#This Row],[Qty]]*_xlfn.XLOOKUP(tblSales[[#This Row],[Product Code]],tblProducts[Code],tblProducts[Unit Cost],0)</f>
        <v>50000</v>
      </c>
      <c r="O472" s="4" t="s">
        <v>4866</v>
      </c>
      <c r="P472" s="4" t="s">
        <v>4861</v>
      </c>
      <c r="Q472" s="1" t="str">
        <f>_xlfn.XLOOKUP(tblSales[[#This Row],[Channel Code]],tblChannels[Channel Code],tblChannels[Channel Name],"")</f>
        <v>Marketplace</v>
      </c>
      <c r="R472" s="1">
        <f>MONTH(tblSales[[#This Row],[Date]])</f>
        <v>1</v>
      </c>
    </row>
    <row r="473" spans="2:18" x14ac:dyDescent="0.35">
      <c r="B473" s="113">
        <v>46053</v>
      </c>
      <c r="C473" s="4" t="s">
        <v>5145</v>
      </c>
      <c r="D473" s="4" t="s">
        <v>4568</v>
      </c>
      <c r="E473" s="1" t="str">
        <f>_xlfn.XLOOKUP(tblSales[[#This Row],[Customer ID]],tblCustomers[Customer ID],tblCustomers[Customer Name],"⚠ Unknown")</f>
        <v>Walk-in Customer</v>
      </c>
      <c r="F473" s="4" t="s">
        <v>7</v>
      </c>
      <c r="G473" s="1" t="str">
        <f>_xlfn.XLOOKUP(tblSales[[#This Row],[Product Code]],tblProducts[Code],tblProducts[Product / Service Name],"⚠ Unknown")</f>
        <v>Premium Basic T-shirt</v>
      </c>
      <c r="H473" s="1" t="str">
        <f>_xlfn.XLOOKUP(tblSales[[#This Row],[Product Code]],tblProducts[Code],tblProducts[Category],"")</f>
        <v>Accessories &amp; Basics</v>
      </c>
      <c r="I473" s="4">
        <v>11</v>
      </c>
      <c r="J473" s="5">
        <f>_xlfn.XLOOKUP(tblSales[[#This Row],[Product Code]],tblProducts[Code],tblProducts[Selling Price (excl. VAT)],0)</f>
        <v>65000</v>
      </c>
      <c r="K473" s="5">
        <f>tblSales[[#This Row],[Qty]]*tblSales[[#This Row],[Unit Price]]</f>
        <v>715000</v>
      </c>
      <c r="L473" s="5">
        <f>ROUND(tblSales[[#This Row],[DPP (excl. VAT)]]*VATEff,0)</f>
        <v>78650</v>
      </c>
      <c r="M473" s="5">
        <f>tblSales[[#This Row],[DPP (excl. VAT)]]+tblSales[[#This Row],[Output VAT]]</f>
        <v>793650</v>
      </c>
      <c r="N473" s="5">
        <f>tblSales[[#This Row],[Qty]]*_xlfn.XLOOKUP(tblSales[[#This Row],[Product Code]],tblProducts[Code],tblProducts[Unit Cost],0)</f>
        <v>407000</v>
      </c>
      <c r="O473" s="4" t="s">
        <v>4866</v>
      </c>
      <c r="P473" s="4" t="s">
        <v>4861</v>
      </c>
      <c r="Q473" s="1" t="str">
        <f>_xlfn.XLOOKUP(tblSales[[#This Row],[Channel Code]],tblChannels[Channel Code],tblChannels[Channel Name],"")</f>
        <v>Marketplace</v>
      </c>
      <c r="R473" s="1">
        <f>MONTH(tblSales[[#This Row],[Date]])</f>
        <v>1</v>
      </c>
    </row>
    <row r="474" spans="2:18" x14ac:dyDescent="0.35">
      <c r="B474" s="113">
        <v>46053</v>
      </c>
      <c r="C474" s="4" t="s">
        <v>5146</v>
      </c>
      <c r="D474" s="4" t="s">
        <v>4568</v>
      </c>
      <c r="E474" s="1" t="str">
        <f>_xlfn.XLOOKUP(tblSales[[#This Row],[Customer ID]],tblCustomers[Customer ID],tblCustomers[Customer Name],"⚠ Unknown")</f>
        <v>Walk-in Customer</v>
      </c>
      <c r="F474" s="4" t="s">
        <v>9</v>
      </c>
      <c r="G474" s="1" t="str">
        <f>_xlfn.XLOOKUP(tblSales[[#This Row],[Product Code]],tblProducts[Code],tblProducts[Product / Service Name],"⚠ Unknown")</f>
        <v>Casual Shirt</v>
      </c>
      <c r="H474" s="1" t="str">
        <f>_xlfn.XLOOKUP(tblSales[[#This Row],[Product Code]],tblProducts[Code],tblProducts[Category],"")</f>
        <v>Apparel &amp; Footwear</v>
      </c>
      <c r="I474" s="4">
        <v>9</v>
      </c>
      <c r="J474" s="5">
        <f>_xlfn.XLOOKUP(tblSales[[#This Row],[Product Code]],tblProducts[Code],tblProducts[Selling Price (excl. VAT)],0)</f>
        <v>120000</v>
      </c>
      <c r="K474" s="5">
        <f>tblSales[[#This Row],[Qty]]*tblSales[[#This Row],[Unit Price]]</f>
        <v>1080000</v>
      </c>
      <c r="L474" s="5">
        <f>ROUND(tblSales[[#This Row],[DPP (excl. VAT)]]*VATEff,0)</f>
        <v>118800</v>
      </c>
      <c r="M474" s="5">
        <f>tblSales[[#This Row],[DPP (excl. VAT)]]+tblSales[[#This Row],[Output VAT]]</f>
        <v>1198800</v>
      </c>
      <c r="N474" s="5">
        <f>tblSales[[#This Row],[Qty]]*_xlfn.XLOOKUP(tblSales[[#This Row],[Product Code]],tblProducts[Code],tblProducts[Unit Cost],0)</f>
        <v>648000</v>
      </c>
      <c r="O474" s="4" t="s">
        <v>4866</v>
      </c>
      <c r="P474" s="4" t="s">
        <v>4862</v>
      </c>
      <c r="Q474" s="1" t="str">
        <f>_xlfn.XLOOKUP(tblSales[[#This Row],[Channel Code]],tblChannels[Channel Code],tblChannels[Channel Name],"")</f>
        <v>Website &amp; Social Media</v>
      </c>
      <c r="R474" s="1">
        <f>MONTH(tblSales[[#This Row],[Date]])</f>
        <v>1</v>
      </c>
    </row>
    <row r="475" spans="2:18" x14ac:dyDescent="0.35">
      <c r="B475" s="113">
        <v>46054</v>
      </c>
      <c r="C475" s="4" t="s">
        <v>318</v>
      </c>
      <c r="D475" s="4" t="s">
        <v>4568</v>
      </c>
      <c r="E475" s="1" t="str">
        <f>_xlfn.XLOOKUP(tblSales[[#This Row],[Customer ID]],tblCustomers[Customer ID],tblCustomers[Customer Name],"⚠ Unknown")</f>
        <v>Walk-in Customer</v>
      </c>
      <c r="F475" s="4" t="s">
        <v>8</v>
      </c>
      <c r="G475" s="1" t="str">
        <f>_xlfn.XLOOKUP(tblSales[[#This Row],[Product Code]],tblProducts[Code],tblProducts[Product / Service Name],"⚠ Unknown")</f>
        <v>Casual Shorts</v>
      </c>
      <c r="H475" s="1" t="str">
        <f>_xlfn.XLOOKUP(tblSales[[#This Row],[Product Code]],tblProducts[Code],tblProducts[Category],"")</f>
        <v>Accessories &amp; Basics</v>
      </c>
      <c r="I475" s="4">
        <v>6</v>
      </c>
      <c r="J475" s="5">
        <f>_xlfn.XLOOKUP(tblSales[[#This Row],[Product Code]],tblProducts[Code],tblProducts[Selling Price (excl. VAT)],0)</f>
        <v>85000</v>
      </c>
      <c r="K475" s="5">
        <f>tblSales[[#This Row],[Qty]]*tblSales[[#This Row],[Unit Price]]</f>
        <v>510000</v>
      </c>
      <c r="L475" s="5">
        <f>ROUND(tblSales[[#This Row],[DPP (excl. VAT)]]*VATEff,0)</f>
        <v>56100</v>
      </c>
      <c r="M475" s="5">
        <f>tblSales[[#This Row],[DPP (excl. VAT)]]+tblSales[[#This Row],[Output VAT]]</f>
        <v>566100</v>
      </c>
      <c r="N475" s="5">
        <f>tblSales[[#This Row],[Qty]]*_xlfn.XLOOKUP(tblSales[[#This Row],[Product Code]],tblProducts[Code],tblProducts[Unit Cost],0)</f>
        <v>300000</v>
      </c>
      <c r="O475" s="4" t="s">
        <v>4865</v>
      </c>
      <c r="P475" s="4" t="s">
        <v>4860</v>
      </c>
      <c r="Q475" s="1" t="str">
        <f>_xlfn.XLOOKUP(tblSales[[#This Row],[Channel Code]],tblChannels[Channel Code],tblChannels[Channel Name],"")</f>
        <v>In-store</v>
      </c>
      <c r="R475" s="1">
        <f>MONTH(tblSales[[#This Row],[Date]])</f>
        <v>2</v>
      </c>
    </row>
    <row r="476" spans="2:18" x14ac:dyDescent="0.35">
      <c r="B476" s="113">
        <v>46054</v>
      </c>
      <c r="C476" s="4" t="s">
        <v>319</v>
      </c>
      <c r="D476" s="4" t="s">
        <v>4568</v>
      </c>
      <c r="E476" s="1" t="str">
        <f>_xlfn.XLOOKUP(tblSales[[#This Row],[Customer ID]],tblCustomers[Customer ID],tblCustomers[Customer Name],"⚠ Unknown")</f>
        <v>Walk-in Customer</v>
      </c>
      <c r="F476" s="4" t="s">
        <v>15</v>
      </c>
      <c r="G476" s="1" t="str">
        <f>_xlfn.XLOOKUP(tblSales[[#This Row],[Product Code]],tblProducts[Code],tblProducts[Product / Service Name],"⚠ Unknown")</f>
        <v>Wireless Earbuds Pro</v>
      </c>
      <c r="H476" s="1" t="str">
        <f>_xlfn.XLOOKUP(tblSales[[#This Row],[Product Code]],tblProducts[Code],tblProducts[Category],"")</f>
        <v>Bags &amp; Gadgets</v>
      </c>
      <c r="I476" s="4">
        <v>1</v>
      </c>
      <c r="J476" s="5">
        <f>_xlfn.XLOOKUP(tblSales[[#This Row],[Product Code]],tblProducts[Code],tblProducts[Selling Price (excl. VAT)],0)</f>
        <v>1250000</v>
      </c>
      <c r="K476" s="5">
        <f>tblSales[[#This Row],[Qty]]*tblSales[[#This Row],[Unit Price]]</f>
        <v>1250000</v>
      </c>
      <c r="L476" s="5">
        <f>ROUND(tblSales[[#This Row],[DPP (excl. VAT)]]*VATEff,0)</f>
        <v>137500</v>
      </c>
      <c r="M476" s="5">
        <f>tblSales[[#This Row],[DPP (excl. VAT)]]+tblSales[[#This Row],[Output VAT]]</f>
        <v>1387500</v>
      </c>
      <c r="N476" s="5">
        <f>tblSales[[#This Row],[Qty]]*_xlfn.XLOOKUP(tblSales[[#This Row],[Product Code]],tblProducts[Code],tblProducts[Unit Cost],0)</f>
        <v>820000</v>
      </c>
      <c r="O476" s="4" t="s">
        <v>4866</v>
      </c>
      <c r="P476" s="4" t="s">
        <v>4860</v>
      </c>
      <c r="Q476" s="1" t="str">
        <f>_xlfn.XLOOKUP(tblSales[[#This Row],[Channel Code]],tblChannels[Channel Code],tblChannels[Channel Name],"")</f>
        <v>In-store</v>
      </c>
      <c r="R476" s="1">
        <f>MONTH(tblSales[[#This Row],[Date]])</f>
        <v>2</v>
      </c>
    </row>
    <row r="477" spans="2:18" x14ac:dyDescent="0.35">
      <c r="B477" s="113">
        <v>46054</v>
      </c>
      <c r="C477" s="4" t="s">
        <v>320</v>
      </c>
      <c r="D477" s="4" t="s">
        <v>4572</v>
      </c>
      <c r="E477" s="1" t="str">
        <f>_xlfn.XLOOKUP(tblSales[[#This Row],[Customer ID]],tblCustomers[Customer ID],tblCustomers[Customer Name],"⚠ Unknown")</f>
        <v>PT Cahaya Abadi Makmur</v>
      </c>
      <c r="F477" s="4" t="s">
        <v>10</v>
      </c>
      <c r="G477" s="1" t="str">
        <f>_xlfn.XLOOKUP(tblSales[[#This Row],[Product Code]],tblProducts[Code],tblProducts[Product / Service Name],"⚠ Unknown")</f>
        <v>Chino Pants</v>
      </c>
      <c r="H477" s="1" t="str">
        <f>_xlfn.XLOOKUP(tblSales[[#This Row],[Product Code]],tblProducts[Code],tblProducts[Category],"")</f>
        <v>Apparel &amp; Footwear</v>
      </c>
      <c r="I477" s="4">
        <v>40</v>
      </c>
      <c r="J477" s="5">
        <f>_xlfn.XLOOKUP(tblSales[[#This Row],[Product Code]],tblProducts[Code],tblProducts[Selling Price (excl. VAT)],0)</f>
        <v>150000</v>
      </c>
      <c r="K477" s="5">
        <f>tblSales[[#This Row],[Qty]]*tblSales[[#This Row],[Unit Price]]</f>
        <v>6000000</v>
      </c>
      <c r="L477" s="5">
        <f>ROUND(tblSales[[#This Row],[DPP (excl. VAT)]]*VATEff,0)</f>
        <v>660000</v>
      </c>
      <c r="M477" s="5">
        <f>tblSales[[#This Row],[DPP (excl. VAT)]]+tblSales[[#This Row],[Output VAT]]</f>
        <v>6660000</v>
      </c>
      <c r="N477" s="5">
        <f>tblSales[[#This Row],[Qty]]*_xlfn.XLOOKUP(tblSales[[#This Row],[Product Code]],tblProducts[Code],tblProducts[Unit Cost],0)</f>
        <v>3520000</v>
      </c>
      <c r="O477" s="4" t="s">
        <v>4867</v>
      </c>
      <c r="P477" s="4" t="s">
        <v>4860</v>
      </c>
      <c r="Q477" s="1" t="str">
        <f>_xlfn.XLOOKUP(tblSales[[#This Row],[Channel Code]],tblChannels[Channel Code],tblChannels[Channel Name],"")</f>
        <v>In-store</v>
      </c>
      <c r="R477" s="1">
        <f>MONTH(tblSales[[#This Row],[Date]])</f>
        <v>2</v>
      </c>
    </row>
    <row r="478" spans="2:18" x14ac:dyDescent="0.35">
      <c r="B478" s="113">
        <v>46054</v>
      </c>
      <c r="C478" s="4" t="s">
        <v>321</v>
      </c>
      <c r="D478" s="4" t="s">
        <v>4568</v>
      </c>
      <c r="E478" s="1" t="str">
        <f>_xlfn.XLOOKUP(tblSales[[#This Row],[Customer ID]],tblCustomers[Customer ID],tblCustomers[Customer Name],"⚠ Unknown")</f>
        <v>Walk-in Customer</v>
      </c>
      <c r="F478" s="4" t="s">
        <v>15</v>
      </c>
      <c r="G478" s="1" t="str">
        <f>_xlfn.XLOOKUP(tblSales[[#This Row],[Product Code]],tblProducts[Code],tblProducts[Product / Service Name],"⚠ Unknown")</f>
        <v>Wireless Earbuds Pro</v>
      </c>
      <c r="H478" s="1" t="str">
        <f>_xlfn.XLOOKUP(tblSales[[#This Row],[Product Code]],tblProducts[Code],tblProducts[Category],"")</f>
        <v>Bags &amp; Gadgets</v>
      </c>
      <c r="I478" s="4">
        <v>2</v>
      </c>
      <c r="J478" s="5">
        <f>_xlfn.XLOOKUP(tblSales[[#This Row],[Product Code]],tblProducts[Code],tblProducts[Selling Price (excl. VAT)],0)</f>
        <v>1250000</v>
      </c>
      <c r="K478" s="5">
        <f>tblSales[[#This Row],[Qty]]*tblSales[[#This Row],[Unit Price]]</f>
        <v>2500000</v>
      </c>
      <c r="L478" s="5">
        <f>ROUND(tblSales[[#This Row],[DPP (excl. VAT)]]*VATEff,0)</f>
        <v>275000</v>
      </c>
      <c r="M478" s="5">
        <f>tblSales[[#This Row],[DPP (excl. VAT)]]+tblSales[[#This Row],[Output VAT]]</f>
        <v>2775000</v>
      </c>
      <c r="N478" s="5">
        <f>tblSales[[#This Row],[Qty]]*_xlfn.XLOOKUP(tblSales[[#This Row],[Product Code]],tblProducts[Code],tblProducts[Unit Cost],0)</f>
        <v>1640000</v>
      </c>
      <c r="O478" s="4" t="s">
        <v>4866</v>
      </c>
      <c r="P478" s="4" t="s">
        <v>4860</v>
      </c>
      <c r="Q478" s="1" t="str">
        <f>_xlfn.XLOOKUP(tblSales[[#This Row],[Channel Code]],tblChannels[Channel Code],tblChannels[Channel Name],"")</f>
        <v>In-store</v>
      </c>
      <c r="R478" s="1">
        <f>MONTH(tblSales[[#This Row],[Date]])</f>
        <v>2</v>
      </c>
    </row>
    <row r="479" spans="2:18" x14ac:dyDescent="0.35">
      <c r="B479" s="113">
        <v>46054</v>
      </c>
      <c r="C479" s="4" t="s">
        <v>322</v>
      </c>
      <c r="D479" s="4" t="s">
        <v>4568</v>
      </c>
      <c r="E479" s="1" t="str">
        <f>_xlfn.XLOOKUP(tblSales[[#This Row],[Customer ID]],tblCustomers[Customer ID],tblCustomers[Customer Name],"⚠ Unknown")</f>
        <v>Walk-in Customer</v>
      </c>
      <c r="F479" s="4" t="s">
        <v>12</v>
      </c>
      <c r="G479" s="1" t="str">
        <f>_xlfn.XLOOKUP(tblSales[[#This Row],[Product Code]],tblProducts[Code],tblProducts[Product / Service Name],"⚠ Unknown")</f>
        <v>Bomber Jacket</v>
      </c>
      <c r="H479" s="1" t="str">
        <f>_xlfn.XLOOKUP(tblSales[[#This Row],[Product Code]],tblProducts[Code],tblProducts[Category],"")</f>
        <v>Apparel &amp; Footwear</v>
      </c>
      <c r="I479" s="4">
        <v>3</v>
      </c>
      <c r="J479" s="5">
        <f>_xlfn.XLOOKUP(tblSales[[#This Row],[Product Code]],tblProducts[Code],tblProducts[Selling Price (excl. VAT)],0)</f>
        <v>350000</v>
      </c>
      <c r="K479" s="5">
        <f>tblSales[[#This Row],[Qty]]*tblSales[[#This Row],[Unit Price]]</f>
        <v>1050000</v>
      </c>
      <c r="L479" s="5">
        <f>ROUND(tblSales[[#This Row],[DPP (excl. VAT)]]*VATEff,0)</f>
        <v>115500</v>
      </c>
      <c r="M479" s="5">
        <f>tblSales[[#This Row],[DPP (excl. VAT)]]+tblSales[[#This Row],[Output VAT]]</f>
        <v>1165500</v>
      </c>
      <c r="N479" s="5">
        <f>tblSales[[#This Row],[Qty]]*_xlfn.XLOOKUP(tblSales[[#This Row],[Product Code]],tblProducts[Code],tblProducts[Unit Cost],0)</f>
        <v>630000</v>
      </c>
      <c r="O479" s="4" t="s">
        <v>4865</v>
      </c>
      <c r="P479" s="4" t="s">
        <v>4860</v>
      </c>
      <c r="Q479" s="1" t="str">
        <f>_xlfn.XLOOKUP(tblSales[[#This Row],[Channel Code]],tblChannels[Channel Code],tblChannels[Channel Name],"")</f>
        <v>In-store</v>
      </c>
      <c r="R479" s="1">
        <f>MONTH(tblSales[[#This Row],[Date]])</f>
        <v>2</v>
      </c>
    </row>
    <row r="480" spans="2:18" x14ac:dyDescent="0.35">
      <c r="B480" s="113">
        <v>46054</v>
      </c>
      <c r="C480" s="4" t="s">
        <v>322</v>
      </c>
      <c r="D480" s="4" t="s">
        <v>4568</v>
      </c>
      <c r="E480" s="1" t="str">
        <f>_xlfn.XLOOKUP(tblSales[[#This Row],[Customer ID]],tblCustomers[Customer ID],tblCustomers[Customer Name],"⚠ Unknown")</f>
        <v>Walk-in Customer</v>
      </c>
      <c r="F480" s="4" t="s">
        <v>10</v>
      </c>
      <c r="G480" s="1" t="str">
        <f>_xlfn.XLOOKUP(tblSales[[#This Row],[Product Code]],tblProducts[Code],tblProducts[Product / Service Name],"⚠ Unknown")</f>
        <v>Chino Pants</v>
      </c>
      <c r="H480" s="1" t="str">
        <f>_xlfn.XLOOKUP(tblSales[[#This Row],[Product Code]],tblProducts[Code],tblProducts[Category],"")</f>
        <v>Apparel &amp; Footwear</v>
      </c>
      <c r="I480" s="4">
        <v>4</v>
      </c>
      <c r="J480" s="5">
        <f>_xlfn.XLOOKUP(tblSales[[#This Row],[Product Code]],tblProducts[Code],tblProducts[Selling Price (excl. VAT)],0)</f>
        <v>150000</v>
      </c>
      <c r="K480" s="5">
        <f>tblSales[[#This Row],[Qty]]*tblSales[[#This Row],[Unit Price]]</f>
        <v>600000</v>
      </c>
      <c r="L480" s="5">
        <f>ROUND(tblSales[[#This Row],[DPP (excl. VAT)]]*VATEff,0)</f>
        <v>66000</v>
      </c>
      <c r="M480" s="5">
        <f>tblSales[[#This Row],[DPP (excl. VAT)]]+tblSales[[#This Row],[Output VAT]]</f>
        <v>666000</v>
      </c>
      <c r="N480" s="5">
        <f>tblSales[[#This Row],[Qty]]*_xlfn.XLOOKUP(tblSales[[#This Row],[Product Code]],tblProducts[Code],tblProducts[Unit Cost],0)</f>
        <v>352000</v>
      </c>
      <c r="O480" s="4" t="s">
        <v>4865</v>
      </c>
      <c r="P480" s="4" t="s">
        <v>4860</v>
      </c>
      <c r="Q480" s="1" t="str">
        <f>_xlfn.XLOOKUP(tblSales[[#This Row],[Channel Code]],tblChannels[Channel Code],tblChannels[Channel Name],"")</f>
        <v>In-store</v>
      </c>
      <c r="R480" s="1">
        <f>MONTH(tblSales[[#This Row],[Date]])</f>
        <v>2</v>
      </c>
    </row>
    <row r="481" spans="2:18" x14ac:dyDescent="0.35">
      <c r="B481" s="113">
        <v>46054</v>
      </c>
      <c r="C481" s="4" t="s">
        <v>322</v>
      </c>
      <c r="D481" s="4" t="s">
        <v>4568</v>
      </c>
      <c r="E481" s="1" t="str">
        <f>_xlfn.XLOOKUP(tblSales[[#This Row],[Customer ID]],tblCustomers[Customer ID],tblCustomers[Customer Name],"⚠ Unknown")</f>
        <v>Walk-in Customer</v>
      </c>
      <c r="F481" s="4" t="s">
        <v>13</v>
      </c>
      <c r="G481" s="1" t="str">
        <f>_xlfn.XLOOKUP(tblSales[[#This Row],[Product Code]],tblProducts[Code],tblProducts[Product / Service Name],"⚠ Unknown")</f>
        <v>Backpack</v>
      </c>
      <c r="H481" s="1" t="str">
        <f>_xlfn.XLOOKUP(tblSales[[#This Row],[Product Code]],tblProducts[Code],tblProducts[Category],"")</f>
        <v>Bags &amp; Gadgets</v>
      </c>
      <c r="I481" s="4">
        <v>3</v>
      </c>
      <c r="J481" s="5">
        <f>_xlfn.XLOOKUP(tblSales[[#This Row],[Product Code]],tblProducts[Code],tblProducts[Selling Price (excl. VAT)],0)</f>
        <v>500000</v>
      </c>
      <c r="K481" s="5">
        <f>tblSales[[#This Row],[Qty]]*tblSales[[#This Row],[Unit Price]]</f>
        <v>1500000</v>
      </c>
      <c r="L481" s="5">
        <f>ROUND(tblSales[[#This Row],[DPP (excl. VAT)]]*VATEff,0)</f>
        <v>165000</v>
      </c>
      <c r="M481" s="5">
        <f>tblSales[[#This Row],[DPP (excl. VAT)]]+tblSales[[#This Row],[Output VAT]]</f>
        <v>1665000</v>
      </c>
      <c r="N481" s="5">
        <f>tblSales[[#This Row],[Qty]]*_xlfn.XLOOKUP(tblSales[[#This Row],[Product Code]],tblProducts[Code],tblProducts[Unit Cost],0)</f>
        <v>870000</v>
      </c>
      <c r="O481" s="4" t="s">
        <v>4865</v>
      </c>
      <c r="P481" s="4" t="s">
        <v>4860</v>
      </c>
      <c r="Q481" s="1" t="str">
        <f>_xlfn.XLOOKUP(tblSales[[#This Row],[Channel Code]],tblChannels[Channel Code],tblChannels[Channel Name],"")</f>
        <v>In-store</v>
      </c>
      <c r="R481" s="1">
        <f>MONTH(tblSales[[#This Row],[Date]])</f>
        <v>2</v>
      </c>
    </row>
    <row r="482" spans="2:18" x14ac:dyDescent="0.35">
      <c r="B482" s="113">
        <v>46054</v>
      </c>
      <c r="C482" s="4" t="s">
        <v>323</v>
      </c>
      <c r="D482" s="4" t="s">
        <v>4641</v>
      </c>
      <c r="E482" s="1" t="str">
        <f>_xlfn.XLOOKUP(tblSales[[#This Row],[Customer ID]],tblCustomers[Customer ID],tblCustomers[Customer Name],"⚠ Unknown")</f>
        <v>PT Harmoni Pangan Lestari</v>
      </c>
      <c r="F482" s="4" t="s">
        <v>7</v>
      </c>
      <c r="G482" s="1" t="str">
        <f>_xlfn.XLOOKUP(tblSales[[#This Row],[Product Code]],tblProducts[Code],tblProducts[Product / Service Name],"⚠ Unknown")</f>
        <v>Premium Basic T-shirt</v>
      </c>
      <c r="H482" s="1" t="str">
        <f>_xlfn.XLOOKUP(tblSales[[#This Row],[Product Code]],tblProducts[Code],tblProducts[Category],"")</f>
        <v>Accessories &amp; Basics</v>
      </c>
      <c r="I482" s="4">
        <v>56</v>
      </c>
      <c r="J482" s="5">
        <f>_xlfn.XLOOKUP(tblSales[[#This Row],[Product Code]],tblProducts[Code],tblProducts[Selling Price (excl. VAT)],0)</f>
        <v>65000</v>
      </c>
      <c r="K482" s="5">
        <f>tblSales[[#This Row],[Qty]]*tblSales[[#This Row],[Unit Price]]</f>
        <v>3640000</v>
      </c>
      <c r="L482" s="5">
        <f>ROUND(tblSales[[#This Row],[DPP (excl. VAT)]]*VATEff,0)</f>
        <v>400400</v>
      </c>
      <c r="M482" s="5">
        <f>tblSales[[#This Row],[DPP (excl. VAT)]]+tblSales[[#This Row],[Output VAT]]</f>
        <v>4040400</v>
      </c>
      <c r="N482" s="5">
        <f>tblSales[[#This Row],[Qty]]*_xlfn.XLOOKUP(tblSales[[#This Row],[Product Code]],tblProducts[Code],tblProducts[Unit Cost],0)</f>
        <v>2072000</v>
      </c>
      <c r="O482" s="4" t="s">
        <v>4867</v>
      </c>
      <c r="P482" s="4" t="s">
        <v>4860</v>
      </c>
      <c r="Q482" s="1" t="str">
        <f>_xlfn.XLOOKUP(tblSales[[#This Row],[Channel Code]],tblChannels[Channel Code],tblChannels[Channel Name],"")</f>
        <v>In-store</v>
      </c>
      <c r="R482" s="1">
        <f>MONTH(tblSales[[#This Row],[Date]])</f>
        <v>2</v>
      </c>
    </row>
    <row r="483" spans="2:18" x14ac:dyDescent="0.35">
      <c r="B483" s="113">
        <v>46054</v>
      </c>
      <c r="C483" s="4" t="s">
        <v>324</v>
      </c>
      <c r="D483" s="4" t="s">
        <v>4568</v>
      </c>
      <c r="E483" s="1" t="str">
        <f>_xlfn.XLOOKUP(tblSales[[#This Row],[Customer ID]],tblCustomers[Customer ID],tblCustomers[Customer Name],"⚠ Unknown")</f>
        <v>Walk-in Customer</v>
      </c>
      <c r="F483" s="4" t="s">
        <v>8</v>
      </c>
      <c r="G483" s="1" t="str">
        <f>_xlfn.XLOOKUP(tblSales[[#This Row],[Product Code]],tblProducts[Code],tblProducts[Product / Service Name],"⚠ Unknown")</f>
        <v>Casual Shorts</v>
      </c>
      <c r="H483" s="1" t="str">
        <f>_xlfn.XLOOKUP(tblSales[[#This Row],[Product Code]],tblProducts[Code],tblProducts[Category],"")</f>
        <v>Accessories &amp; Basics</v>
      </c>
      <c r="I483" s="4">
        <v>6</v>
      </c>
      <c r="J483" s="5">
        <f>_xlfn.XLOOKUP(tblSales[[#This Row],[Product Code]],tblProducts[Code],tblProducts[Selling Price (excl. VAT)],0)</f>
        <v>85000</v>
      </c>
      <c r="K483" s="5">
        <f>tblSales[[#This Row],[Qty]]*tblSales[[#This Row],[Unit Price]]</f>
        <v>510000</v>
      </c>
      <c r="L483" s="5">
        <f>ROUND(tblSales[[#This Row],[DPP (excl. VAT)]]*VATEff,0)</f>
        <v>56100</v>
      </c>
      <c r="M483" s="5">
        <f>tblSales[[#This Row],[DPP (excl. VAT)]]+tblSales[[#This Row],[Output VAT]]</f>
        <v>566100</v>
      </c>
      <c r="N483" s="5">
        <f>tblSales[[#This Row],[Qty]]*_xlfn.XLOOKUP(tblSales[[#This Row],[Product Code]],tblProducts[Code],tblProducts[Unit Cost],0)</f>
        <v>300000</v>
      </c>
      <c r="O483" s="4" t="s">
        <v>4865</v>
      </c>
      <c r="P483" s="4" t="s">
        <v>4860</v>
      </c>
      <c r="Q483" s="1" t="str">
        <f>_xlfn.XLOOKUP(tblSales[[#This Row],[Channel Code]],tblChannels[Channel Code],tblChannels[Channel Name],"")</f>
        <v>In-store</v>
      </c>
      <c r="R483" s="1">
        <f>MONTH(tblSales[[#This Row],[Date]])</f>
        <v>2</v>
      </c>
    </row>
    <row r="484" spans="2:18" x14ac:dyDescent="0.35">
      <c r="B484" s="113">
        <v>46054</v>
      </c>
      <c r="C484" s="4" t="s">
        <v>325</v>
      </c>
      <c r="D484" s="4" t="s">
        <v>4568</v>
      </c>
      <c r="E484" s="1" t="str">
        <f>_xlfn.XLOOKUP(tblSales[[#This Row],[Customer ID]],tblCustomers[Customer ID],tblCustomers[Customer Name],"⚠ Unknown")</f>
        <v>Walk-in Customer</v>
      </c>
      <c r="F484" s="4" t="s">
        <v>12</v>
      </c>
      <c r="G484" s="1" t="str">
        <f>_xlfn.XLOOKUP(tblSales[[#This Row],[Product Code]],tblProducts[Code],tblProducts[Product / Service Name],"⚠ Unknown")</f>
        <v>Bomber Jacket</v>
      </c>
      <c r="H484" s="1" t="str">
        <f>_xlfn.XLOOKUP(tblSales[[#This Row],[Product Code]],tblProducts[Code],tblProducts[Category],"")</f>
        <v>Apparel &amp; Footwear</v>
      </c>
      <c r="I484" s="4">
        <v>6</v>
      </c>
      <c r="J484" s="5">
        <f>_xlfn.XLOOKUP(tblSales[[#This Row],[Product Code]],tblProducts[Code],tblProducts[Selling Price (excl. VAT)],0)</f>
        <v>350000</v>
      </c>
      <c r="K484" s="5">
        <f>tblSales[[#This Row],[Qty]]*tblSales[[#This Row],[Unit Price]]</f>
        <v>2100000</v>
      </c>
      <c r="L484" s="5">
        <f>ROUND(tblSales[[#This Row],[DPP (excl. VAT)]]*VATEff,0)</f>
        <v>231000</v>
      </c>
      <c r="M484" s="5">
        <f>tblSales[[#This Row],[DPP (excl. VAT)]]+tblSales[[#This Row],[Output VAT]]</f>
        <v>2331000</v>
      </c>
      <c r="N484" s="5">
        <f>tblSales[[#This Row],[Qty]]*_xlfn.XLOOKUP(tblSales[[#This Row],[Product Code]],tblProducts[Code],tblProducts[Unit Cost],0)</f>
        <v>1260000</v>
      </c>
      <c r="O484" s="4" t="s">
        <v>4866</v>
      </c>
      <c r="P484" s="4" t="s">
        <v>4862</v>
      </c>
      <c r="Q484" s="1" t="str">
        <f>_xlfn.XLOOKUP(tblSales[[#This Row],[Channel Code]],tblChannels[Channel Code],tblChannels[Channel Name],"")</f>
        <v>Website &amp; Social Media</v>
      </c>
      <c r="R484" s="1">
        <f>MONTH(tblSales[[#This Row],[Date]])</f>
        <v>2</v>
      </c>
    </row>
    <row r="485" spans="2:18" x14ac:dyDescent="0.35">
      <c r="B485" s="113">
        <v>46054</v>
      </c>
      <c r="C485" s="4" t="s">
        <v>326</v>
      </c>
      <c r="D485" s="4" t="s">
        <v>4613</v>
      </c>
      <c r="E485" s="1" t="str">
        <f>_xlfn.XLOOKUP(tblSales[[#This Row],[Customer ID]],tblCustomers[Customer ID],tblCustomers[Customer Name],"⚠ Unknown")</f>
        <v>PT Mega Prima Distribusi</v>
      </c>
      <c r="F485" s="4" t="s">
        <v>6</v>
      </c>
      <c r="G485" s="1" t="str">
        <f>_xlfn.XLOOKUP(tblSales[[#This Row],[Product Code]],tblProducts[Code],tblProducts[Product / Service Name],"⚠ Unknown")</f>
        <v>Socks &amp; Accessories</v>
      </c>
      <c r="H485" s="1" t="str">
        <f>_xlfn.XLOOKUP(tblSales[[#This Row],[Product Code]],tblProducts[Code],tblProducts[Category],"")</f>
        <v>Accessories &amp; Basics</v>
      </c>
      <c r="I485" s="4">
        <v>40</v>
      </c>
      <c r="J485" s="5">
        <f>_xlfn.XLOOKUP(tblSales[[#This Row],[Product Code]],tblProducts[Code],tblProducts[Selling Price (excl. VAT)],0)</f>
        <v>45000</v>
      </c>
      <c r="K485" s="5">
        <f>tblSales[[#This Row],[Qty]]*tblSales[[#This Row],[Unit Price]]</f>
        <v>1800000</v>
      </c>
      <c r="L485" s="5">
        <f>ROUND(tblSales[[#This Row],[DPP (excl. VAT)]]*VATEff,0)</f>
        <v>198000</v>
      </c>
      <c r="M485" s="5">
        <f>tblSales[[#This Row],[DPP (excl. VAT)]]+tblSales[[#This Row],[Output VAT]]</f>
        <v>1998000</v>
      </c>
      <c r="N485" s="5">
        <f>tblSales[[#This Row],[Qty]]*_xlfn.XLOOKUP(tblSales[[#This Row],[Product Code]],tblProducts[Code],tblProducts[Unit Cost],0)</f>
        <v>960000</v>
      </c>
      <c r="O485" s="4" t="s">
        <v>4867</v>
      </c>
      <c r="P485" s="4" t="s">
        <v>4860</v>
      </c>
      <c r="Q485" s="1" t="str">
        <f>_xlfn.XLOOKUP(tblSales[[#This Row],[Channel Code]],tblChannels[Channel Code],tblChannels[Channel Name],"")</f>
        <v>In-store</v>
      </c>
      <c r="R485" s="1">
        <f>MONTH(tblSales[[#This Row],[Date]])</f>
        <v>2</v>
      </c>
    </row>
    <row r="486" spans="2:18" x14ac:dyDescent="0.35">
      <c r="B486" s="113">
        <v>46054</v>
      </c>
      <c r="C486" s="4" t="s">
        <v>326</v>
      </c>
      <c r="D486" s="4" t="s">
        <v>4613</v>
      </c>
      <c r="E486" s="1" t="str">
        <f>_xlfn.XLOOKUP(tblSales[[#This Row],[Customer ID]],tblCustomers[Customer ID],tblCustomers[Customer Name],"⚠ Unknown")</f>
        <v>PT Mega Prima Distribusi</v>
      </c>
      <c r="F486" s="4" t="s">
        <v>7</v>
      </c>
      <c r="G486" s="1" t="str">
        <f>_xlfn.XLOOKUP(tblSales[[#This Row],[Product Code]],tblProducts[Code],tblProducts[Product / Service Name],"⚠ Unknown")</f>
        <v>Premium Basic T-shirt</v>
      </c>
      <c r="H486" s="1" t="str">
        <f>_xlfn.XLOOKUP(tblSales[[#This Row],[Product Code]],tblProducts[Code],tblProducts[Category],"")</f>
        <v>Accessories &amp; Basics</v>
      </c>
      <c r="I486" s="4">
        <v>16</v>
      </c>
      <c r="J486" s="5">
        <f>_xlfn.XLOOKUP(tblSales[[#This Row],[Product Code]],tblProducts[Code],tblProducts[Selling Price (excl. VAT)],0)</f>
        <v>65000</v>
      </c>
      <c r="K486" s="5">
        <f>tblSales[[#This Row],[Qty]]*tblSales[[#This Row],[Unit Price]]</f>
        <v>1040000</v>
      </c>
      <c r="L486" s="5">
        <f>ROUND(tblSales[[#This Row],[DPP (excl. VAT)]]*VATEff,0)</f>
        <v>114400</v>
      </c>
      <c r="M486" s="5">
        <f>tblSales[[#This Row],[DPP (excl. VAT)]]+tblSales[[#This Row],[Output VAT]]</f>
        <v>1154400</v>
      </c>
      <c r="N486" s="5">
        <f>tblSales[[#This Row],[Qty]]*_xlfn.XLOOKUP(tblSales[[#This Row],[Product Code]],tblProducts[Code],tblProducts[Unit Cost],0)</f>
        <v>592000</v>
      </c>
      <c r="O486" s="4" t="s">
        <v>4867</v>
      </c>
      <c r="P486" s="4" t="s">
        <v>4860</v>
      </c>
      <c r="Q486" s="1" t="str">
        <f>_xlfn.XLOOKUP(tblSales[[#This Row],[Channel Code]],tblChannels[Channel Code],tblChannels[Channel Name],"")</f>
        <v>In-store</v>
      </c>
      <c r="R486" s="1">
        <f>MONTH(tblSales[[#This Row],[Date]])</f>
        <v>2</v>
      </c>
    </row>
    <row r="487" spans="2:18" x14ac:dyDescent="0.35">
      <c r="B487" s="113">
        <v>46054</v>
      </c>
      <c r="C487" s="4" t="s">
        <v>326</v>
      </c>
      <c r="D487" s="4" t="s">
        <v>4613</v>
      </c>
      <c r="E487" s="1" t="str">
        <f>_xlfn.XLOOKUP(tblSales[[#This Row],[Customer ID]],tblCustomers[Customer ID],tblCustomers[Customer Name],"⚠ Unknown")</f>
        <v>PT Mega Prima Distribusi</v>
      </c>
      <c r="F487" s="4" t="s">
        <v>8</v>
      </c>
      <c r="G487" s="1" t="str">
        <f>_xlfn.XLOOKUP(tblSales[[#This Row],[Product Code]],tblProducts[Code],tblProducts[Product / Service Name],"⚠ Unknown")</f>
        <v>Casual Shorts</v>
      </c>
      <c r="H487" s="1" t="str">
        <f>_xlfn.XLOOKUP(tblSales[[#This Row],[Product Code]],tblProducts[Code],tblProducts[Category],"")</f>
        <v>Accessories &amp; Basics</v>
      </c>
      <c r="I487" s="4">
        <v>16</v>
      </c>
      <c r="J487" s="5">
        <f>_xlfn.XLOOKUP(tblSales[[#This Row],[Product Code]],tblProducts[Code],tblProducts[Selling Price (excl. VAT)],0)</f>
        <v>85000</v>
      </c>
      <c r="K487" s="5">
        <f>tblSales[[#This Row],[Qty]]*tblSales[[#This Row],[Unit Price]]</f>
        <v>1360000</v>
      </c>
      <c r="L487" s="5">
        <f>ROUND(tblSales[[#This Row],[DPP (excl. VAT)]]*VATEff,0)</f>
        <v>149600</v>
      </c>
      <c r="M487" s="5">
        <f>tblSales[[#This Row],[DPP (excl. VAT)]]+tblSales[[#This Row],[Output VAT]]</f>
        <v>1509600</v>
      </c>
      <c r="N487" s="5">
        <f>tblSales[[#This Row],[Qty]]*_xlfn.XLOOKUP(tblSales[[#This Row],[Product Code]],tblProducts[Code],tblProducts[Unit Cost],0)</f>
        <v>800000</v>
      </c>
      <c r="O487" s="4" t="s">
        <v>4867</v>
      </c>
      <c r="P487" s="4" t="s">
        <v>4860</v>
      </c>
      <c r="Q487" s="1" t="str">
        <f>_xlfn.XLOOKUP(tblSales[[#This Row],[Channel Code]],tblChannels[Channel Code],tblChannels[Channel Name],"")</f>
        <v>In-store</v>
      </c>
      <c r="R487" s="1">
        <f>MONTH(tblSales[[#This Row],[Date]])</f>
        <v>2</v>
      </c>
    </row>
    <row r="488" spans="2:18" x14ac:dyDescent="0.35">
      <c r="B488" s="113">
        <v>46054</v>
      </c>
      <c r="C488" s="4" t="s">
        <v>327</v>
      </c>
      <c r="D488" s="4" t="s">
        <v>4568</v>
      </c>
      <c r="E488" s="1" t="str">
        <f>_xlfn.XLOOKUP(tblSales[[#This Row],[Customer ID]],tblCustomers[Customer ID],tblCustomers[Customer Name],"⚠ Unknown")</f>
        <v>Walk-in Customer</v>
      </c>
      <c r="F488" s="4" t="s">
        <v>7</v>
      </c>
      <c r="G488" s="1" t="str">
        <f>_xlfn.XLOOKUP(tblSales[[#This Row],[Product Code]],tblProducts[Code],tblProducts[Product / Service Name],"⚠ Unknown")</f>
        <v>Premium Basic T-shirt</v>
      </c>
      <c r="H488" s="1" t="str">
        <f>_xlfn.XLOOKUP(tblSales[[#This Row],[Product Code]],tblProducts[Code],tblProducts[Category],"")</f>
        <v>Accessories &amp; Basics</v>
      </c>
      <c r="I488" s="4">
        <v>4</v>
      </c>
      <c r="J488" s="5">
        <f>_xlfn.XLOOKUP(tblSales[[#This Row],[Product Code]],tblProducts[Code],tblProducts[Selling Price (excl. VAT)],0)</f>
        <v>65000</v>
      </c>
      <c r="K488" s="5">
        <f>tblSales[[#This Row],[Qty]]*tblSales[[#This Row],[Unit Price]]</f>
        <v>260000</v>
      </c>
      <c r="L488" s="5">
        <f>ROUND(tblSales[[#This Row],[DPP (excl. VAT)]]*VATEff,0)</f>
        <v>28600</v>
      </c>
      <c r="M488" s="5">
        <f>tblSales[[#This Row],[DPP (excl. VAT)]]+tblSales[[#This Row],[Output VAT]]</f>
        <v>288600</v>
      </c>
      <c r="N488" s="5">
        <f>tblSales[[#This Row],[Qty]]*_xlfn.XLOOKUP(tblSales[[#This Row],[Product Code]],tblProducts[Code],tblProducts[Unit Cost],0)</f>
        <v>148000</v>
      </c>
      <c r="O488" s="4" t="s">
        <v>4865</v>
      </c>
      <c r="P488" s="4" t="s">
        <v>4860</v>
      </c>
      <c r="Q488" s="1" t="str">
        <f>_xlfn.XLOOKUP(tblSales[[#This Row],[Channel Code]],tblChannels[Channel Code],tblChannels[Channel Name],"")</f>
        <v>In-store</v>
      </c>
      <c r="R488" s="1">
        <f>MONTH(tblSales[[#This Row],[Date]])</f>
        <v>2</v>
      </c>
    </row>
    <row r="489" spans="2:18" x14ac:dyDescent="0.35">
      <c r="B489" s="113">
        <v>46054</v>
      </c>
      <c r="C489" s="4" t="s">
        <v>328</v>
      </c>
      <c r="D489" s="4" t="s">
        <v>4568</v>
      </c>
      <c r="E489" s="1" t="str">
        <f>_xlfn.XLOOKUP(tblSales[[#This Row],[Customer ID]],tblCustomers[Customer ID],tblCustomers[Customer Name],"⚠ Unknown")</f>
        <v>Walk-in Customer</v>
      </c>
      <c r="F489" s="4" t="s">
        <v>9</v>
      </c>
      <c r="G489" s="1" t="str">
        <f>_xlfn.XLOOKUP(tblSales[[#This Row],[Product Code]],tblProducts[Code],tblProducts[Product / Service Name],"⚠ Unknown")</f>
        <v>Casual Shirt</v>
      </c>
      <c r="H489" s="1" t="str">
        <f>_xlfn.XLOOKUP(tblSales[[#This Row],[Product Code]],tblProducts[Code],tblProducts[Category],"")</f>
        <v>Apparel &amp; Footwear</v>
      </c>
      <c r="I489" s="4">
        <v>5</v>
      </c>
      <c r="J489" s="5">
        <f>_xlfn.XLOOKUP(tblSales[[#This Row],[Product Code]],tblProducts[Code],tblProducts[Selling Price (excl. VAT)],0)</f>
        <v>120000</v>
      </c>
      <c r="K489" s="5">
        <f>tblSales[[#This Row],[Qty]]*tblSales[[#This Row],[Unit Price]]</f>
        <v>600000</v>
      </c>
      <c r="L489" s="5">
        <f>ROUND(tblSales[[#This Row],[DPP (excl. VAT)]]*VATEff,0)</f>
        <v>66000</v>
      </c>
      <c r="M489" s="5">
        <f>tblSales[[#This Row],[DPP (excl. VAT)]]+tblSales[[#This Row],[Output VAT]]</f>
        <v>666000</v>
      </c>
      <c r="N489" s="5">
        <f>tblSales[[#This Row],[Qty]]*_xlfn.XLOOKUP(tblSales[[#This Row],[Product Code]],tblProducts[Code],tblProducts[Unit Cost],0)</f>
        <v>360000</v>
      </c>
      <c r="O489" s="4" t="s">
        <v>4866</v>
      </c>
      <c r="P489" s="4" t="s">
        <v>4860</v>
      </c>
      <c r="Q489" s="1" t="str">
        <f>_xlfn.XLOOKUP(tblSales[[#This Row],[Channel Code]],tblChannels[Channel Code],tblChannels[Channel Name],"")</f>
        <v>In-store</v>
      </c>
      <c r="R489" s="1">
        <f>MONTH(tblSales[[#This Row],[Date]])</f>
        <v>2</v>
      </c>
    </row>
    <row r="490" spans="2:18" x14ac:dyDescent="0.35">
      <c r="B490" s="113">
        <v>46054</v>
      </c>
      <c r="C490" s="4" t="s">
        <v>329</v>
      </c>
      <c r="D490" s="4" t="s">
        <v>4568</v>
      </c>
      <c r="E490" s="1" t="str">
        <f>_xlfn.XLOOKUP(tblSales[[#This Row],[Customer ID]],tblCustomers[Customer ID],tblCustomers[Customer Name],"⚠ Unknown")</f>
        <v>Walk-in Customer</v>
      </c>
      <c r="F490" s="4" t="s">
        <v>7</v>
      </c>
      <c r="G490" s="1" t="str">
        <f>_xlfn.XLOOKUP(tblSales[[#This Row],[Product Code]],tblProducts[Code],tblProducts[Product / Service Name],"⚠ Unknown")</f>
        <v>Premium Basic T-shirt</v>
      </c>
      <c r="H490" s="1" t="str">
        <f>_xlfn.XLOOKUP(tblSales[[#This Row],[Product Code]],tblProducts[Code],tblProducts[Category],"")</f>
        <v>Accessories &amp; Basics</v>
      </c>
      <c r="I490" s="4">
        <v>3</v>
      </c>
      <c r="J490" s="5">
        <f>_xlfn.XLOOKUP(tblSales[[#This Row],[Product Code]],tblProducts[Code],tblProducts[Selling Price (excl. VAT)],0)</f>
        <v>65000</v>
      </c>
      <c r="K490" s="5">
        <f>tblSales[[#This Row],[Qty]]*tblSales[[#This Row],[Unit Price]]</f>
        <v>195000</v>
      </c>
      <c r="L490" s="5">
        <f>ROUND(tblSales[[#This Row],[DPP (excl. VAT)]]*VATEff,0)</f>
        <v>21450</v>
      </c>
      <c r="M490" s="5">
        <f>tblSales[[#This Row],[DPP (excl. VAT)]]+tblSales[[#This Row],[Output VAT]]</f>
        <v>216450</v>
      </c>
      <c r="N490" s="5">
        <f>tblSales[[#This Row],[Qty]]*_xlfn.XLOOKUP(tblSales[[#This Row],[Product Code]],tblProducts[Code],tblProducts[Unit Cost],0)</f>
        <v>111000</v>
      </c>
      <c r="O490" s="4" t="s">
        <v>4865</v>
      </c>
      <c r="P490" s="4" t="s">
        <v>4860</v>
      </c>
      <c r="Q490" s="1" t="str">
        <f>_xlfn.XLOOKUP(tblSales[[#This Row],[Channel Code]],tblChannels[Channel Code],tblChannels[Channel Name],"")</f>
        <v>In-store</v>
      </c>
      <c r="R490" s="1">
        <f>MONTH(tblSales[[#This Row],[Date]])</f>
        <v>2</v>
      </c>
    </row>
    <row r="491" spans="2:18" x14ac:dyDescent="0.35">
      <c r="B491" s="113">
        <v>46055</v>
      </c>
      <c r="C491" s="4" t="s">
        <v>330</v>
      </c>
      <c r="D491" s="4" t="s">
        <v>4613</v>
      </c>
      <c r="E491" s="1" t="str">
        <f>_xlfn.XLOOKUP(tblSales[[#This Row],[Customer ID]],tblCustomers[Customer ID],tblCustomers[Customer Name],"⚠ Unknown")</f>
        <v>PT Mega Prima Distribusi</v>
      </c>
      <c r="F491" s="4" t="s">
        <v>10</v>
      </c>
      <c r="G491" s="1" t="str">
        <f>_xlfn.XLOOKUP(tblSales[[#This Row],[Product Code]],tblProducts[Code],tblProducts[Product / Service Name],"⚠ Unknown")</f>
        <v>Chino Pants</v>
      </c>
      <c r="H491" s="1" t="str">
        <f>_xlfn.XLOOKUP(tblSales[[#This Row],[Product Code]],tblProducts[Code],tblProducts[Category],"")</f>
        <v>Apparel &amp; Footwear</v>
      </c>
      <c r="I491" s="4">
        <v>24</v>
      </c>
      <c r="J491" s="5">
        <f>_xlfn.XLOOKUP(tblSales[[#This Row],[Product Code]],tblProducts[Code],tblProducts[Selling Price (excl. VAT)],0)</f>
        <v>150000</v>
      </c>
      <c r="K491" s="5">
        <f>tblSales[[#This Row],[Qty]]*tblSales[[#This Row],[Unit Price]]</f>
        <v>3600000</v>
      </c>
      <c r="L491" s="5">
        <f>ROUND(tblSales[[#This Row],[DPP (excl. VAT)]]*VATEff,0)</f>
        <v>396000</v>
      </c>
      <c r="M491" s="5">
        <f>tblSales[[#This Row],[DPP (excl. VAT)]]+tblSales[[#This Row],[Output VAT]]</f>
        <v>3996000</v>
      </c>
      <c r="N491" s="5">
        <f>tblSales[[#This Row],[Qty]]*_xlfn.XLOOKUP(tblSales[[#This Row],[Product Code]],tblProducts[Code],tblProducts[Unit Cost],0)</f>
        <v>2112000</v>
      </c>
      <c r="O491" s="4" t="s">
        <v>4867</v>
      </c>
      <c r="P491" s="4" t="s">
        <v>4860</v>
      </c>
      <c r="Q491" s="1" t="str">
        <f>_xlfn.XLOOKUP(tblSales[[#This Row],[Channel Code]],tblChannels[Channel Code],tblChannels[Channel Name],"")</f>
        <v>In-store</v>
      </c>
      <c r="R491" s="1">
        <f>MONTH(tblSales[[#This Row],[Date]])</f>
        <v>2</v>
      </c>
    </row>
    <row r="492" spans="2:18" x14ac:dyDescent="0.35">
      <c r="B492" s="113">
        <v>46055</v>
      </c>
      <c r="C492" s="4" t="s">
        <v>331</v>
      </c>
      <c r="D492" s="4" t="s">
        <v>4568</v>
      </c>
      <c r="E492" s="1" t="str">
        <f>_xlfn.XLOOKUP(tblSales[[#This Row],[Customer ID]],tblCustomers[Customer ID],tblCustomers[Customer Name],"⚠ Unknown")</f>
        <v>Walk-in Customer</v>
      </c>
      <c r="F492" s="4" t="s">
        <v>15</v>
      </c>
      <c r="G492" s="1" t="str">
        <f>_xlfn.XLOOKUP(tblSales[[#This Row],[Product Code]],tblProducts[Code],tblProducts[Product / Service Name],"⚠ Unknown")</f>
        <v>Wireless Earbuds Pro</v>
      </c>
      <c r="H492" s="1" t="str">
        <f>_xlfn.XLOOKUP(tblSales[[#This Row],[Product Code]],tblProducts[Code],tblProducts[Category],"")</f>
        <v>Bags &amp; Gadgets</v>
      </c>
      <c r="I492" s="4">
        <v>2</v>
      </c>
      <c r="J492" s="5">
        <f>_xlfn.XLOOKUP(tblSales[[#This Row],[Product Code]],tblProducts[Code],tblProducts[Selling Price (excl. VAT)],0)</f>
        <v>1250000</v>
      </c>
      <c r="K492" s="5">
        <f>tblSales[[#This Row],[Qty]]*tblSales[[#This Row],[Unit Price]]</f>
        <v>2500000</v>
      </c>
      <c r="L492" s="5">
        <f>ROUND(tblSales[[#This Row],[DPP (excl. VAT)]]*VATEff,0)</f>
        <v>275000</v>
      </c>
      <c r="M492" s="5">
        <f>tblSales[[#This Row],[DPP (excl. VAT)]]+tblSales[[#This Row],[Output VAT]]</f>
        <v>2775000</v>
      </c>
      <c r="N492" s="5">
        <f>tblSales[[#This Row],[Qty]]*_xlfn.XLOOKUP(tblSales[[#This Row],[Product Code]],tblProducts[Code],tblProducts[Unit Cost],0)</f>
        <v>1640000</v>
      </c>
      <c r="O492" s="4" t="s">
        <v>4866</v>
      </c>
      <c r="P492" s="4" t="s">
        <v>4862</v>
      </c>
      <c r="Q492" s="1" t="str">
        <f>_xlfn.XLOOKUP(tblSales[[#This Row],[Channel Code]],tblChannels[Channel Code],tblChannels[Channel Name],"")</f>
        <v>Website &amp; Social Media</v>
      </c>
      <c r="R492" s="1">
        <f>MONTH(tblSales[[#This Row],[Date]])</f>
        <v>2</v>
      </c>
    </row>
    <row r="493" spans="2:18" x14ac:dyDescent="0.35">
      <c r="B493" s="113">
        <v>46055</v>
      </c>
      <c r="C493" s="4" t="s">
        <v>332</v>
      </c>
      <c r="D493" s="4" t="s">
        <v>4568</v>
      </c>
      <c r="E493" s="1" t="str">
        <f>_xlfn.XLOOKUP(tblSales[[#This Row],[Customer ID]],tblCustomers[Customer ID],tblCustomers[Customer Name],"⚠ Unknown")</f>
        <v>Walk-in Customer</v>
      </c>
      <c r="F493" s="4" t="s">
        <v>12</v>
      </c>
      <c r="G493" s="1" t="str">
        <f>_xlfn.XLOOKUP(tblSales[[#This Row],[Product Code]],tblProducts[Code],tblProducts[Product / Service Name],"⚠ Unknown")</f>
        <v>Bomber Jacket</v>
      </c>
      <c r="H493" s="1" t="str">
        <f>_xlfn.XLOOKUP(tblSales[[#This Row],[Product Code]],tblProducts[Code],tblProducts[Category],"")</f>
        <v>Apparel &amp; Footwear</v>
      </c>
      <c r="I493" s="4">
        <v>5</v>
      </c>
      <c r="J493" s="5">
        <f>_xlfn.XLOOKUP(tblSales[[#This Row],[Product Code]],tblProducts[Code],tblProducts[Selling Price (excl. VAT)],0)</f>
        <v>350000</v>
      </c>
      <c r="K493" s="5">
        <f>tblSales[[#This Row],[Qty]]*tblSales[[#This Row],[Unit Price]]</f>
        <v>1750000</v>
      </c>
      <c r="L493" s="5">
        <f>ROUND(tblSales[[#This Row],[DPP (excl. VAT)]]*VATEff,0)</f>
        <v>192500</v>
      </c>
      <c r="M493" s="5">
        <f>tblSales[[#This Row],[DPP (excl. VAT)]]+tblSales[[#This Row],[Output VAT]]</f>
        <v>1942500</v>
      </c>
      <c r="N493" s="5">
        <f>tblSales[[#This Row],[Qty]]*_xlfn.XLOOKUP(tblSales[[#This Row],[Product Code]],tblProducts[Code],tblProducts[Unit Cost],0)</f>
        <v>1050000</v>
      </c>
      <c r="O493" s="4" t="s">
        <v>4866</v>
      </c>
      <c r="P493" s="4" t="s">
        <v>4861</v>
      </c>
      <c r="Q493" s="1" t="str">
        <f>_xlfn.XLOOKUP(tblSales[[#This Row],[Channel Code]],tblChannels[Channel Code],tblChannels[Channel Name],"")</f>
        <v>Marketplace</v>
      </c>
      <c r="R493" s="1">
        <f>MONTH(tblSales[[#This Row],[Date]])</f>
        <v>2</v>
      </c>
    </row>
    <row r="494" spans="2:18" x14ac:dyDescent="0.35">
      <c r="B494" s="113">
        <v>46055</v>
      </c>
      <c r="C494" s="4" t="s">
        <v>333</v>
      </c>
      <c r="D494" s="4" t="s">
        <v>4568</v>
      </c>
      <c r="E494" s="1" t="str">
        <f>_xlfn.XLOOKUP(tblSales[[#This Row],[Customer ID]],tblCustomers[Customer ID],tblCustomers[Customer Name],"⚠ Unknown")</f>
        <v>Walk-in Customer</v>
      </c>
      <c r="F494" s="4" t="s">
        <v>12</v>
      </c>
      <c r="G494" s="1" t="str">
        <f>_xlfn.XLOOKUP(tblSales[[#This Row],[Product Code]],tblProducts[Code],tblProducts[Product / Service Name],"⚠ Unknown")</f>
        <v>Bomber Jacket</v>
      </c>
      <c r="H494" s="1" t="str">
        <f>_xlfn.XLOOKUP(tblSales[[#This Row],[Product Code]],tblProducts[Code],tblProducts[Category],"")</f>
        <v>Apparel &amp; Footwear</v>
      </c>
      <c r="I494" s="4">
        <v>5</v>
      </c>
      <c r="J494" s="5">
        <f>_xlfn.XLOOKUP(tblSales[[#This Row],[Product Code]],tblProducts[Code],tblProducts[Selling Price (excl. VAT)],0)</f>
        <v>350000</v>
      </c>
      <c r="K494" s="5">
        <f>tblSales[[#This Row],[Qty]]*tblSales[[#This Row],[Unit Price]]</f>
        <v>1750000</v>
      </c>
      <c r="L494" s="5">
        <f>ROUND(tblSales[[#This Row],[DPP (excl. VAT)]]*VATEff,0)</f>
        <v>192500</v>
      </c>
      <c r="M494" s="5">
        <f>tblSales[[#This Row],[DPP (excl. VAT)]]+tblSales[[#This Row],[Output VAT]]</f>
        <v>1942500</v>
      </c>
      <c r="N494" s="5">
        <f>tblSales[[#This Row],[Qty]]*_xlfn.XLOOKUP(tblSales[[#This Row],[Product Code]],tblProducts[Code],tblProducts[Unit Cost],0)</f>
        <v>1050000</v>
      </c>
      <c r="O494" s="4" t="s">
        <v>4866</v>
      </c>
      <c r="P494" s="4" t="s">
        <v>4860</v>
      </c>
      <c r="Q494" s="1" t="str">
        <f>_xlfn.XLOOKUP(tblSales[[#This Row],[Channel Code]],tblChannels[Channel Code],tblChannels[Channel Name],"")</f>
        <v>In-store</v>
      </c>
      <c r="R494" s="1">
        <f>MONTH(tblSales[[#This Row],[Date]])</f>
        <v>2</v>
      </c>
    </row>
    <row r="495" spans="2:18" x14ac:dyDescent="0.35">
      <c r="B495" s="113">
        <v>46055</v>
      </c>
      <c r="C495" s="4" t="s">
        <v>334</v>
      </c>
      <c r="D495" s="4" t="s">
        <v>4585</v>
      </c>
      <c r="E495" s="1" t="str">
        <f>_xlfn.XLOOKUP(tblSales[[#This Row],[Customer ID]],tblCustomers[Customer ID],tblCustomers[Customer Name],"⚠ Unknown")</f>
        <v>CV Mitra Karya Mandiri</v>
      </c>
      <c r="F495" s="4" t="s">
        <v>12</v>
      </c>
      <c r="G495" s="1" t="str">
        <f>_xlfn.XLOOKUP(tblSales[[#This Row],[Product Code]],tblProducts[Code],tblProducts[Product / Service Name],"⚠ Unknown")</f>
        <v>Bomber Jacket</v>
      </c>
      <c r="H495" s="1" t="str">
        <f>_xlfn.XLOOKUP(tblSales[[#This Row],[Product Code]],tblProducts[Code],tblProducts[Category],"")</f>
        <v>Apparel &amp; Footwear</v>
      </c>
      <c r="I495" s="4">
        <v>16</v>
      </c>
      <c r="J495" s="5">
        <f>_xlfn.XLOOKUP(tblSales[[#This Row],[Product Code]],tblProducts[Code],tblProducts[Selling Price (excl. VAT)],0)</f>
        <v>350000</v>
      </c>
      <c r="K495" s="5">
        <f>tblSales[[#This Row],[Qty]]*tblSales[[#This Row],[Unit Price]]</f>
        <v>5600000</v>
      </c>
      <c r="L495" s="5">
        <f>ROUND(tblSales[[#This Row],[DPP (excl. VAT)]]*VATEff,0)</f>
        <v>616000</v>
      </c>
      <c r="M495" s="5">
        <f>tblSales[[#This Row],[DPP (excl. VAT)]]+tblSales[[#This Row],[Output VAT]]</f>
        <v>6216000</v>
      </c>
      <c r="N495" s="5">
        <f>tblSales[[#This Row],[Qty]]*_xlfn.XLOOKUP(tblSales[[#This Row],[Product Code]],tblProducts[Code],tblProducts[Unit Cost],0)</f>
        <v>3360000</v>
      </c>
      <c r="O495" s="4" t="s">
        <v>4867</v>
      </c>
      <c r="P495" s="4" t="s">
        <v>4860</v>
      </c>
      <c r="Q495" s="1" t="str">
        <f>_xlfn.XLOOKUP(tblSales[[#This Row],[Channel Code]],tblChannels[Channel Code],tblChannels[Channel Name],"")</f>
        <v>In-store</v>
      </c>
      <c r="R495" s="1">
        <f>MONTH(tblSales[[#This Row],[Date]])</f>
        <v>2</v>
      </c>
    </row>
    <row r="496" spans="2:18" x14ac:dyDescent="0.35">
      <c r="B496" s="113">
        <v>46055</v>
      </c>
      <c r="C496" s="4" t="s">
        <v>334</v>
      </c>
      <c r="D496" s="4" t="s">
        <v>4585</v>
      </c>
      <c r="E496" s="1" t="str">
        <f>_xlfn.XLOOKUP(tblSales[[#This Row],[Customer ID]],tblCustomers[Customer ID],tblCustomers[Customer Name],"⚠ Unknown")</f>
        <v>CV Mitra Karya Mandiri</v>
      </c>
      <c r="F496" s="4" t="s">
        <v>11</v>
      </c>
      <c r="G496" s="1" t="str">
        <f>_xlfn.XLOOKUP(tblSales[[#This Row],[Product Code]],tblProducts[Code],tblProducts[Product / Service Name],"⚠ Unknown")</f>
        <v>Sneakers</v>
      </c>
      <c r="H496" s="1" t="str">
        <f>_xlfn.XLOOKUP(tblSales[[#This Row],[Product Code]],tblProducts[Code],tblProducts[Category],"")</f>
        <v>Apparel &amp; Footwear</v>
      </c>
      <c r="I496" s="4">
        <v>40</v>
      </c>
      <c r="J496" s="5">
        <f>_xlfn.XLOOKUP(tblSales[[#This Row],[Product Code]],tblProducts[Code],tblProducts[Selling Price (excl. VAT)],0)</f>
        <v>250000</v>
      </c>
      <c r="K496" s="5">
        <f>tblSales[[#This Row],[Qty]]*tblSales[[#This Row],[Unit Price]]</f>
        <v>10000000</v>
      </c>
      <c r="L496" s="5">
        <f>ROUND(tblSales[[#This Row],[DPP (excl. VAT)]]*VATEff,0)</f>
        <v>1100000</v>
      </c>
      <c r="M496" s="5">
        <f>tblSales[[#This Row],[DPP (excl. VAT)]]+tblSales[[#This Row],[Output VAT]]</f>
        <v>11100000</v>
      </c>
      <c r="N496" s="5">
        <f>tblSales[[#This Row],[Qty]]*_xlfn.XLOOKUP(tblSales[[#This Row],[Product Code]],tblProducts[Code],tblProducts[Unit Cost],0)</f>
        <v>6200000</v>
      </c>
      <c r="O496" s="4" t="s">
        <v>4867</v>
      </c>
      <c r="P496" s="4" t="s">
        <v>4860</v>
      </c>
      <c r="Q496" s="1" t="str">
        <f>_xlfn.XLOOKUP(tblSales[[#This Row],[Channel Code]],tblChannels[Channel Code],tblChannels[Channel Name],"")</f>
        <v>In-store</v>
      </c>
      <c r="R496" s="1">
        <f>MONTH(tblSales[[#This Row],[Date]])</f>
        <v>2</v>
      </c>
    </row>
    <row r="497" spans="2:18" x14ac:dyDescent="0.35">
      <c r="B497" s="113">
        <v>46055</v>
      </c>
      <c r="C497" s="4" t="s">
        <v>334</v>
      </c>
      <c r="D497" s="4" t="s">
        <v>4585</v>
      </c>
      <c r="E497" s="1" t="str">
        <f>_xlfn.XLOOKUP(tblSales[[#This Row],[Customer ID]],tblCustomers[Customer ID],tblCustomers[Customer Name],"⚠ Unknown")</f>
        <v>CV Mitra Karya Mandiri</v>
      </c>
      <c r="F497" s="4" t="s">
        <v>6</v>
      </c>
      <c r="G497" s="1" t="str">
        <f>_xlfn.XLOOKUP(tblSales[[#This Row],[Product Code]],tblProducts[Code],tblProducts[Product / Service Name],"⚠ Unknown")</f>
        <v>Socks &amp; Accessories</v>
      </c>
      <c r="H497" s="1" t="str">
        <f>_xlfn.XLOOKUP(tblSales[[#This Row],[Product Code]],tblProducts[Code],tblProducts[Category],"")</f>
        <v>Accessories &amp; Basics</v>
      </c>
      <c r="I497" s="4">
        <v>40</v>
      </c>
      <c r="J497" s="5">
        <f>_xlfn.XLOOKUP(tblSales[[#This Row],[Product Code]],tblProducts[Code],tblProducts[Selling Price (excl. VAT)],0)</f>
        <v>45000</v>
      </c>
      <c r="K497" s="5">
        <f>tblSales[[#This Row],[Qty]]*tblSales[[#This Row],[Unit Price]]</f>
        <v>1800000</v>
      </c>
      <c r="L497" s="5">
        <f>ROUND(tblSales[[#This Row],[DPP (excl. VAT)]]*VATEff,0)</f>
        <v>198000</v>
      </c>
      <c r="M497" s="5">
        <f>tblSales[[#This Row],[DPP (excl. VAT)]]+tblSales[[#This Row],[Output VAT]]</f>
        <v>1998000</v>
      </c>
      <c r="N497" s="5">
        <f>tblSales[[#This Row],[Qty]]*_xlfn.XLOOKUP(tblSales[[#This Row],[Product Code]],tblProducts[Code],tblProducts[Unit Cost],0)</f>
        <v>960000</v>
      </c>
      <c r="O497" s="4" t="s">
        <v>4867</v>
      </c>
      <c r="P497" s="4" t="s">
        <v>4860</v>
      </c>
      <c r="Q497" s="1" t="str">
        <f>_xlfn.XLOOKUP(tblSales[[#This Row],[Channel Code]],tblChannels[Channel Code],tblChannels[Channel Name],"")</f>
        <v>In-store</v>
      </c>
      <c r="R497" s="1">
        <f>MONTH(tblSales[[#This Row],[Date]])</f>
        <v>2</v>
      </c>
    </row>
    <row r="498" spans="2:18" x14ac:dyDescent="0.35">
      <c r="B498" s="113">
        <v>46055</v>
      </c>
      <c r="C498" s="4" t="s">
        <v>335</v>
      </c>
      <c r="D498" s="4" t="s">
        <v>4568</v>
      </c>
      <c r="E498" s="1" t="str">
        <f>_xlfn.XLOOKUP(tblSales[[#This Row],[Customer ID]],tblCustomers[Customer ID],tblCustomers[Customer Name],"⚠ Unknown")</f>
        <v>Walk-in Customer</v>
      </c>
      <c r="F498" s="4" t="s">
        <v>11</v>
      </c>
      <c r="G498" s="1" t="str">
        <f>_xlfn.XLOOKUP(tblSales[[#This Row],[Product Code]],tblProducts[Code],tblProducts[Product / Service Name],"⚠ Unknown")</f>
        <v>Sneakers</v>
      </c>
      <c r="H498" s="1" t="str">
        <f>_xlfn.XLOOKUP(tblSales[[#This Row],[Product Code]],tblProducts[Code],tblProducts[Category],"")</f>
        <v>Apparel &amp; Footwear</v>
      </c>
      <c r="I498" s="4">
        <v>5</v>
      </c>
      <c r="J498" s="5">
        <f>_xlfn.XLOOKUP(tblSales[[#This Row],[Product Code]],tblProducts[Code],tblProducts[Selling Price (excl. VAT)],0)</f>
        <v>250000</v>
      </c>
      <c r="K498" s="5">
        <f>tblSales[[#This Row],[Qty]]*tblSales[[#This Row],[Unit Price]]</f>
        <v>1250000</v>
      </c>
      <c r="L498" s="5">
        <f>ROUND(tblSales[[#This Row],[DPP (excl. VAT)]]*VATEff,0)</f>
        <v>137500</v>
      </c>
      <c r="M498" s="5">
        <f>tblSales[[#This Row],[DPP (excl. VAT)]]+tblSales[[#This Row],[Output VAT]]</f>
        <v>1387500</v>
      </c>
      <c r="N498" s="5">
        <f>tblSales[[#This Row],[Qty]]*_xlfn.XLOOKUP(tblSales[[#This Row],[Product Code]],tblProducts[Code],tblProducts[Unit Cost],0)</f>
        <v>775000</v>
      </c>
      <c r="O498" s="4" t="s">
        <v>4865</v>
      </c>
      <c r="P498" s="4" t="s">
        <v>4860</v>
      </c>
      <c r="Q498" s="1" t="str">
        <f>_xlfn.XLOOKUP(tblSales[[#This Row],[Channel Code]],tblChannels[Channel Code],tblChannels[Channel Name],"")</f>
        <v>In-store</v>
      </c>
      <c r="R498" s="1">
        <f>MONTH(tblSales[[#This Row],[Date]])</f>
        <v>2</v>
      </c>
    </row>
    <row r="499" spans="2:18" x14ac:dyDescent="0.35">
      <c r="B499" s="113">
        <v>46055</v>
      </c>
      <c r="C499" s="4" t="s">
        <v>335</v>
      </c>
      <c r="D499" s="4" t="s">
        <v>4568</v>
      </c>
      <c r="E499" s="1" t="str">
        <f>_xlfn.XLOOKUP(tblSales[[#This Row],[Customer ID]],tblCustomers[Customer ID],tblCustomers[Customer Name],"⚠ Unknown")</f>
        <v>Walk-in Customer</v>
      </c>
      <c r="F499" s="4" t="s">
        <v>9</v>
      </c>
      <c r="G499" s="1" t="str">
        <f>_xlfn.XLOOKUP(tblSales[[#This Row],[Product Code]],tblProducts[Code],tblProducts[Product / Service Name],"⚠ Unknown")</f>
        <v>Casual Shirt</v>
      </c>
      <c r="H499" s="1" t="str">
        <f>_xlfn.XLOOKUP(tblSales[[#This Row],[Product Code]],tblProducts[Code],tblProducts[Category],"")</f>
        <v>Apparel &amp; Footwear</v>
      </c>
      <c r="I499" s="4">
        <v>9</v>
      </c>
      <c r="J499" s="5">
        <f>_xlfn.XLOOKUP(tblSales[[#This Row],[Product Code]],tblProducts[Code],tblProducts[Selling Price (excl. VAT)],0)</f>
        <v>120000</v>
      </c>
      <c r="K499" s="5">
        <f>tblSales[[#This Row],[Qty]]*tblSales[[#This Row],[Unit Price]]</f>
        <v>1080000</v>
      </c>
      <c r="L499" s="5">
        <f>ROUND(tblSales[[#This Row],[DPP (excl. VAT)]]*VATEff,0)</f>
        <v>118800</v>
      </c>
      <c r="M499" s="5">
        <f>tblSales[[#This Row],[DPP (excl. VAT)]]+tblSales[[#This Row],[Output VAT]]</f>
        <v>1198800</v>
      </c>
      <c r="N499" s="5">
        <f>tblSales[[#This Row],[Qty]]*_xlfn.XLOOKUP(tblSales[[#This Row],[Product Code]],tblProducts[Code],tblProducts[Unit Cost],0)</f>
        <v>648000</v>
      </c>
      <c r="O499" s="4" t="s">
        <v>4865</v>
      </c>
      <c r="P499" s="4" t="s">
        <v>4860</v>
      </c>
      <c r="Q499" s="1" t="str">
        <f>_xlfn.XLOOKUP(tblSales[[#This Row],[Channel Code]],tblChannels[Channel Code],tblChannels[Channel Name],"")</f>
        <v>In-store</v>
      </c>
      <c r="R499" s="1">
        <f>MONTH(tblSales[[#This Row],[Date]])</f>
        <v>2</v>
      </c>
    </row>
    <row r="500" spans="2:18" x14ac:dyDescent="0.35">
      <c r="B500" s="113">
        <v>46055</v>
      </c>
      <c r="C500" s="4" t="s">
        <v>336</v>
      </c>
      <c r="D500" s="4" t="s">
        <v>4568</v>
      </c>
      <c r="E500" s="1" t="str">
        <f>_xlfn.XLOOKUP(tblSales[[#This Row],[Customer ID]],tblCustomers[Customer ID],tblCustomers[Customer Name],"⚠ Unknown")</f>
        <v>Walk-in Customer</v>
      </c>
      <c r="F500" s="4" t="s">
        <v>9</v>
      </c>
      <c r="G500" s="1" t="str">
        <f>_xlfn.XLOOKUP(tblSales[[#This Row],[Product Code]],tblProducts[Code],tblProducts[Product / Service Name],"⚠ Unknown")</f>
        <v>Casual Shirt</v>
      </c>
      <c r="H500" s="1" t="str">
        <f>_xlfn.XLOOKUP(tblSales[[#This Row],[Product Code]],tblProducts[Code],tblProducts[Category],"")</f>
        <v>Apparel &amp; Footwear</v>
      </c>
      <c r="I500" s="4">
        <v>8</v>
      </c>
      <c r="J500" s="5">
        <f>_xlfn.XLOOKUP(tblSales[[#This Row],[Product Code]],tblProducts[Code],tblProducts[Selling Price (excl. VAT)],0)</f>
        <v>120000</v>
      </c>
      <c r="K500" s="5">
        <f>tblSales[[#This Row],[Qty]]*tblSales[[#This Row],[Unit Price]]</f>
        <v>960000</v>
      </c>
      <c r="L500" s="5">
        <f>ROUND(tblSales[[#This Row],[DPP (excl. VAT)]]*VATEff,0)</f>
        <v>105600</v>
      </c>
      <c r="M500" s="5">
        <f>tblSales[[#This Row],[DPP (excl. VAT)]]+tblSales[[#This Row],[Output VAT]]</f>
        <v>1065600</v>
      </c>
      <c r="N500" s="5">
        <f>tblSales[[#This Row],[Qty]]*_xlfn.XLOOKUP(tblSales[[#This Row],[Product Code]],tblProducts[Code],tblProducts[Unit Cost],0)</f>
        <v>576000</v>
      </c>
      <c r="O500" s="4" t="s">
        <v>4866</v>
      </c>
      <c r="P500" s="4" t="s">
        <v>4862</v>
      </c>
      <c r="Q500" s="1" t="str">
        <f>_xlfn.XLOOKUP(tblSales[[#This Row],[Channel Code]],tblChannels[Channel Code],tblChannels[Channel Name],"")</f>
        <v>Website &amp; Social Media</v>
      </c>
      <c r="R500" s="1">
        <f>MONTH(tblSales[[#This Row],[Date]])</f>
        <v>2</v>
      </c>
    </row>
    <row r="501" spans="2:18" x14ac:dyDescent="0.35">
      <c r="B501" s="113">
        <v>46055</v>
      </c>
      <c r="C501" s="4" t="s">
        <v>337</v>
      </c>
      <c r="D501" s="4" t="s">
        <v>4568</v>
      </c>
      <c r="E501" s="1" t="str">
        <f>_xlfn.XLOOKUP(tblSales[[#This Row],[Customer ID]],tblCustomers[Customer ID],tblCustomers[Customer Name],"⚠ Unknown")</f>
        <v>Walk-in Customer</v>
      </c>
      <c r="F501" s="4" t="s">
        <v>11</v>
      </c>
      <c r="G501" s="1" t="str">
        <f>_xlfn.XLOOKUP(tblSales[[#This Row],[Product Code]],tblProducts[Code],tblProducts[Product / Service Name],"⚠ Unknown")</f>
        <v>Sneakers</v>
      </c>
      <c r="H501" s="1" t="str">
        <f>_xlfn.XLOOKUP(tblSales[[#This Row],[Product Code]],tblProducts[Code],tblProducts[Category],"")</f>
        <v>Apparel &amp; Footwear</v>
      </c>
      <c r="I501" s="4">
        <v>5</v>
      </c>
      <c r="J501" s="5">
        <f>_xlfn.XLOOKUP(tblSales[[#This Row],[Product Code]],tblProducts[Code],tblProducts[Selling Price (excl. VAT)],0)</f>
        <v>250000</v>
      </c>
      <c r="K501" s="5">
        <f>tblSales[[#This Row],[Qty]]*tblSales[[#This Row],[Unit Price]]</f>
        <v>1250000</v>
      </c>
      <c r="L501" s="5">
        <f>ROUND(tblSales[[#This Row],[DPP (excl. VAT)]]*VATEff,0)</f>
        <v>137500</v>
      </c>
      <c r="M501" s="5">
        <f>tblSales[[#This Row],[DPP (excl. VAT)]]+tblSales[[#This Row],[Output VAT]]</f>
        <v>1387500</v>
      </c>
      <c r="N501" s="5">
        <f>tblSales[[#This Row],[Qty]]*_xlfn.XLOOKUP(tblSales[[#This Row],[Product Code]],tblProducts[Code],tblProducts[Unit Cost],0)</f>
        <v>775000</v>
      </c>
      <c r="O501" s="4" t="s">
        <v>4866</v>
      </c>
      <c r="P501" s="4" t="s">
        <v>4861</v>
      </c>
      <c r="Q501" s="1" t="str">
        <f>_xlfn.XLOOKUP(tblSales[[#This Row],[Channel Code]],tblChannels[Channel Code],tblChannels[Channel Name],"")</f>
        <v>Marketplace</v>
      </c>
      <c r="R501" s="1">
        <f>MONTH(tblSales[[#This Row],[Date]])</f>
        <v>2</v>
      </c>
    </row>
    <row r="502" spans="2:18" x14ac:dyDescent="0.35">
      <c r="B502" s="113">
        <v>46055</v>
      </c>
      <c r="C502" s="4" t="s">
        <v>338</v>
      </c>
      <c r="D502" s="4" t="s">
        <v>4578</v>
      </c>
      <c r="E502" s="1" t="str">
        <f>_xlfn.XLOOKUP(tblSales[[#This Row],[Customer ID]],tblCustomers[Customer ID],tblCustomers[Customer Name],"⚠ Unknown")</f>
        <v>PT Bintang Timur Sejahtera</v>
      </c>
      <c r="F502" s="4" t="s">
        <v>15</v>
      </c>
      <c r="G502" s="1" t="str">
        <f>_xlfn.XLOOKUP(tblSales[[#This Row],[Product Code]],tblProducts[Code],tblProducts[Product / Service Name],"⚠ Unknown")</f>
        <v>Wireless Earbuds Pro</v>
      </c>
      <c r="H502" s="1" t="str">
        <f>_xlfn.XLOOKUP(tblSales[[#This Row],[Product Code]],tblProducts[Code],tblProducts[Category],"")</f>
        <v>Bags &amp; Gadgets</v>
      </c>
      <c r="I502" s="4">
        <v>16</v>
      </c>
      <c r="J502" s="5">
        <f>_xlfn.XLOOKUP(tblSales[[#This Row],[Product Code]],tblProducts[Code],tblProducts[Selling Price (excl. VAT)],0)</f>
        <v>1250000</v>
      </c>
      <c r="K502" s="5">
        <f>tblSales[[#This Row],[Qty]]*tblSales[[#This Row],[Unit Price]]</f>
        <v>20000000</v>
      </c>
      <c r="L502" s="5">
        <f>ROUND(tblSales[[#This Row],[DPP (excl. VAT)]]*VATEff,0)</f>
        <v>2200000</v>
      </c>
      <c r="M502" s="5">
        <f>tblSales[[#This Row],[DPP (excl. VAT)]]+tblSales[[#This Row],[Output VAT]]</f>
        <v>22200000</v>
      </c>
      <c r="N502" s="5">
        <f>tblSales[[#This Row],[Qty]]*_xlfn.XLOOKUP(tblSales[[#This Row],[Product Code]],tblProducts[Code],tblProducts[Unit Cost],0)</f>
        <v>13120000</v>
      </c>
      <c r="O502" s="4" t="s">
        <v>4867</v>
      </c>
      <c r="P502" s="4" t="s">
        <v>4860</v>
      </c>
      <c r="Q502" s="1" t="str">
        <f>_xlfn.XLOOKUP(tblSales[[#This Row],[Channel Code]],tblChannels[Channel Code],tblChannels[Channel Name],"")</f>
        <v>In-store</v>
      </c>
      <c r="R502" s="1">
        <f>MONTH(tblSales[[#This Row],[Date]])</f>
        <v>2</v>
      </c>
    </row>
    <row r="503" spans="2:18" x14ac:dyDescent="0.35">
      <c r="B503" s="113">
        <v>46055</v>
      </c>
      <c r="C503" s="4" t="s">
        <v>339</v>
      </c>
      <c r="D503" s="4" t="s">
        <v>4568</v>
      </c>
      <c r="E503" s="1" t="str">
        <f>_xlfn.XLOOKUP(tblSales[[#This Row],[Customer ID]],tblCustomers[Customer ID],tblCustomers[Customer Name],"⚠ Unknown")</f>
        <v>Walk-in Customer</v>
      </c>
      <c r="F503" s="4" t="s">
        <v>9</v>
      </c>
      <c r="G503" s="1" t="str">
        <f>_xlfn.XLOOKUP(tblSales[[#This Row],[Product Code]],tblProducts[Code],tblProducts[Product / Service Name],"⚠ Unknown")</f>
        <v>Casual Shirt</v>
      </c>
      <c r="H503" s="1" t="str">
        <f>_xlfn.XLOOKUP(tblSales[[#This Row],[Product Code]],tblProducts[Code],tblProducts[Category],"")</f>
        <v>Apparel &amp; Footwear</v>
      </c>
      <c r="I503" s="4">
        <v>1</v>
      </c>
      <c r="J503" s="5">
        <f>_xlfn.XLOOKUP(tblSales[[#This Row],[Product Code]],tblProducts[Code],tblProducts[Selling Price (excl. VAT)],0)</f>
        <v>120000</v>
      </c>
      <c r="K503" s="5">
        <f>tblSales[[#This Row],[Qty]]*tblSales[[#This Row],[Unit Price]]</f>
        <v>120000</v>
      </c>
      <c r="L503" s="5">
        <f>ROUND(tblSales[[#This Row],[DPP (excl. VAT)]]*VATEff,0)</f>
        <v>13200</v>
      </c>
      <c r="M503" s="5">
        <f>tblSales[[#This Row],[DPP (excl. VAT)]]+tblSales[[#This Row],[Output VAT]]</f>
        <v>133200</v>
      </c>
      <c r="N503" s="5">
        <f>tblSales[[#This Row],[Qty]]*_xlfn.XLOOKUP(tblSales[[#This Row],[Product Code]],tblProducts[Code],tblProducts[Unit Cost],0)</f>
        <v>72000</v>
      </c>
      <c r="O503" s="4" t="s">
        <v>4866</v>
      </c>
      <c r="P503" s="4" t="s">
        <v>4861</v>
      </c>
      <c r="Q503" s="1" t="str">
        <f>_xlfn.XLOOKUP(tblSales[[#This Row],[Channel Code]],tblChannels[Channel Code],tblChannels[Channel Name],"")</f>
        <v>Marketplace</v>
      </c>
      <c r="R503" s="1">
        <f>MONTH(tblSales[[#This Row],[Date]])</f>
        <v>2</v>
      </c>
    </row>
    <row r="504" spans="2:18" x14ac:dyDescent="0.35">
      <c r="B504" s="113">
        <v>46055</v>
      </c>
      <c r="C504" s="4" t="s">
        <v>339</v>
      </c>
      <c r="D504" s="4" t="s">
        <v>4568</v>
      </c>
      <c r="E504" s="1" t="str">
        <f>_xlfn.XLOOKUP(tblSales[[#This Row],[Customer ID]],tblCustomers[Customer ID],tblCustomers[Customer Name],"⚠ Unknown")</f>
        <v>Walk-in Customer</v>
      </c>
      <c r="F504" s="4" t="s">
        <v>12</v>
      </c>
      <c r="G504" s="1" t="str">
        <f>_xlfn.XLOOKUP(tblSales[[#This Row],[Product Code]],tblProducts[Code],tblProducts[Product / Service Name],"⚠ Unknown")</f>
        <v>Bomber Jacket</v>
      </c>
      <c r="H504" s="1" t="str">
        <f>_xlfn.XLOOKUP(tblSales[[#This Row],[Product Code]],tblProducts[Code],tblProducts[Category],"")</f>
        <v>Apparel &amp; Footwear</v>
      </c>
      <c r="I504" s="4">
        <v>2</v>
      </c>
      <c r="J504" s="5">
        <f>_xlfn.XLOOKUP(tblSales[[#This Row],[Product Code]],tblProducts[Code],tblProducts[Selling Price (excl. VAT)],0)</f>
        <v>350000</v>
      </c>
      <c r="K504" s="5">
        <f>tblSales[[#This Row],[Qty]]*tblSales[[#This Row],[Unit Price]]</f>
        <v>700000</v>
      </c>
      <c r="L504" s="5">
        <f>ROUND(tblSales[[#This Row],[DPP (excl. VAT)]]*VATEff,0)</f>
        <v>77000</v>
      </c>
      <c r="M504" s="5">
        <f>tblSales[[#This Row],[DPP (excl. VAT)]]+tblSales[[#This Row],[Output VAT]]</f>
        <v>777000</v>
      </c>
      <c r="N504" s="5">
        <f>tblSales[[#This Row],[Qty]]*_xlfn.XLOOKUP(tblSales[[#This Row],[Product Code]],tblProducts[Code],tblProducts[Unit Cost],0)</f>
        <v>420000</v>
      </c>
      <c r="O504" s="4" t="s">
        <v>4866</v>
      </c>
      <c r="P504" s="4" t="s">
        <v>4861</v>
      </c>
      <c r="Q504" s="1" t="str">
        <f>_xlfn.XLOOKUP(tblSales[[#This Row],[Channel Code]],tblChannels[Channel Code],tblChannels[Channel Name],"")</f>
        <v>Marketplace</v>
      </c>
      <c r="R504" s="1">
        <f>MONTH(tblSales[[#This Row],[Date]])</f>
        <v>2</v>
      </c>
    </row>
    <row r="505" spans="2:18" x14ac:dyDescent="0.35">
      <c r="B505" s="113">
        <v>46056</v>
      </c>
      <c r="C505" s="4" t="s">
        <v>340</v>
      </c>
      <c r="D505" s="4" t="s">
        <v>4606</v>
      </c>
      <c r="E505" s="1" t="str">
        <f>_xlfn.XLOOKUP(tblSales[[#This Row],[Customer ID]],tblCustomers[Customer ID],tblCustomers[Customer Name],"⚠ Unknown")</f>
        <v>PT Arunika Digital Kreatif</v>
      </c>
      <c r="F505" s="4" t="s">
        <v>7</v>
      </c>
      <c r="G505" s="1" t="str">
        <f>_xlfn.XLOOKUP(tblSales[[#This Row],[Product Code]],tblProducts[Code],tblProducts[Product / Service Name],"⚠ Unknown")</f>
        <v>Premium Basic T-shirt</v>
      </c>
      <c r="H505" s="1" t="str">
        <f>_xlfn.XLOOKUP(tblSales[[#This Row],[Product Code]],tblProducts[Code],tblProducts[Category],"")</f>
        <v>Accessories &amp; Basics</v>
      </c>
      <c r="I505" s="4">
        <v>88</v>
      </c>
      <c r="J505" s="5">
        <f>_xlfn.XLOOKUP(tblSales[[#This Row],[Product Code]],tblProducts[Code],tblProducts[Selling Price (excl. VAT)],0)</f>
        <v>65000</v>
      </c>
      <c r="K505" s="5">
        <f>tblSales[[#This Row],[Qty]]*tblSales[[#This Row],[Unit Price]]</f>
        <v>5720000</v>
      </c>
      <c r="L505" s="5">
        <f>ROUND(tblSales[[#This Row],[DPP (excl. VAT)]]*VATEff,0)</f>
        <v>629200</v>
      </c>
      <c r="M505" s="5">
        <f>tblSales[[#This Row],[DPP (excl. VAT)]]+tblSales[[#This Row],[Output VAT]]</f>
        <v>6349200</v>
      </c>
      <c r="N505" s="5">
        <f>tblSales[[#This Row],[Qty]]*_xlfn.XLOOKUP(tblSales[[#This Row],[Product Code]],tblProducts[Code],tblProducts[Unit Cost],0)</f>
        <v>3256000</v>
      </c>
      <c r="O505" s="4" t="s">
        <v>4867</v>
      </c>
      <c r="P505" s="4" t="s">
        <v>4860</v>
      </c>
      <c r="Q505" s="1" t="str">
        <f>_xlfn.XLOOKUP(tblSales[[#This Row],[Channel Code]],tblChannels[Channel Code],tblChannels[Channel Name],"")</f>
        <v>In-store</v>
      </c>
      <c r="R505" s="1">
        <f>MONTH(tblSales[[#This Row],[Date]])</f>
        <v>2</v>
      </c>
    </row>
    <row r="506" spans="2:18" x14ac:dyDescent="0.35">
      <c r="B506" s="113">
        <v>46056</v>
      </c>
      <c r="C506" s="4" t="s">
        <v>341</v>
      </c>
      <c r="D506" s="4" t="s">
        <v>4568</v>
      </c>
      <c r="E506" s="1" t="str">
        <f>_xlfn.XLOOKUP(tblSales[[#This Row],[Customer ID]],tblCustomers[Customer ID],tblCustomers[Customer Name],"⚠ Unknown")</f>
        <v>Walk-in Customer</v>
      </c>
      <c r="F506" s="4" t="s">
        <v>10</v>
      </c>
      <c r="G506" s="1" t="str">
        <f>_xlfn.XLOOKUP(tblSales[[#This Row],[Product Code]],tblProducts[Code],tblProducts[Product / Service Name],"⚠ Unknown")</f>
        <v>Chino Pants</v>
      </c>
      <c r="H506" s="1" t="str">
        <f>_xlfn.XLOOKUP(tblSales[[#This Row],[Product Code]],tblProducts[Code],tblProducts[Category],"")</f>
        <v>Apparel &amp; Footwear</v>
      </c>
      <c r="I506" s="4">
        <v>6</v>
      </c>
      <c r="J506" s="5">
        <f>_xlfn.XLOOKUP(tblSales[[#This Row],[Product Code]],tblProducts[Code],tblProducts[Selling Price (excl. VAT)],0)</f>
        <v>150000</v>
      </c>
      <c r="K506" s="5">
        <f>tblSales[[#This Row],[Qty]]*tblSales[[#This Row],[Unit Price]]</f>
        <v>900000</v>
      </c>
      <c r="L506" s="5">
        <f>ROUND(tblSales[[#This Row],[DPP (excl. VAT)]]*VATEff,0)</f>
        <v>99000</v>
      </c>
      <c r="M506" s="5">
        <f>tblSales[[#This Row],[DPP (excl. VAT)]]+tblSales[[#This Row],[Output VAT]]</f>
        <v>999000</v>
      </c>
      <c r="N506" s="5">
        <f>tblSales[[#This Row],[Qty]]*_xlfn.XLOOKUP(tblSales[[#This Row],[Product Code]],tblProducts[Code],tblProducts[Unit Cost],0)</f>
        <v>528000</v>
      </c>
      <c r="O506" s="4" t="s">
        <v>4866</v>
      </c>
      <c r="P506" s="4" t="s">
        <v>4861</v>
      </c>
      <c r="Q506" s="1" t="str">
        <f>_xlfn.XLOOKUP(tblSales[[#This Row],[Channel Code]],tblChannels[Channel Code],tblChannels[Channel Name],"")</f>
        <v>Marketplace</v>
      </c>
      <c r="R506" s="1">
        <f>MONTH(tblSales[[#This Row],[Date]])</f>
        <v>2</v>
      </c>
    </row>
    <row r="507" spans="2:18" x14ac:dyDescent="0.35">
      <c r="B507" s="113">
        <v>46056</v>
      </c>
      <c r="C507" s="4" t="s">
        <v>342</v>
      </c>
      <c r="D507" s="4" t="s">
        <v>4568</v>
      </c>
      <c r="E507" s="1" t="str">
        <f>_xlfn.XLOOKUP(tblSales[[#This Row],[Customer ID]],tblCustomers[Customer ID],tblCustomers[Customer Name],"⚠ Unknown")</f>
        <v>Walk-in Customer</v>
      </c>
      <c r="F507" s="4" t="s">
        <v>6</v>
      </c>
      <c r="G507" s="1" t="str">
        <f>_xlfn.XLOOKUP(tblSales[[#This Row],[Product Code]],tblProducts[Code],tblProducts[Product / Service Name],"⚠ Unknown")</f>
        <v>Socks &amp; Accessories</v>
      </c>
      <c r="H507" s="1" t="str">
        <f>_xlfn.XLOOKUP(tblSales[[#This Row],[Product Code]],tblProducts[Code],tblProducts[Category],"")</f>
        <v>Accessories &amp; Basics</v>
      </c>
      <c r="I507" s="4">
        <v>9</v>
      </c>
      <c r="J507" s="5">
        <f>_xlfn.XLOOKUP(tblSales[[#This Row],[Product Code]],tblProducts[Code],tblProducts[Selling Price (excl. VAT)],0)</f>
        <v>45000</v>
      </c>
      <c r="K507" s="5">
        <f>tblSales[[#This Row],[Qty]]*tblSales[[#This Row],[Unit Price]]</f>
        <v>405000</v>
      </c>
      <c r="L507" s="5">
        <f>ROUND(tblSales[[#This Row],[DPP (excl. VAT)]]*VATEff,0)</f>
        <v>44550</v>
      </c>
      <c r="M507" s="5">
        <f>tblSales[[#This Row],[DPP (excl. VAT)]]+tblSales[[#This Row],[Output VAT]]</f>
        <v>449550</v>
      </c>
      <c r="N507" s="5">
        <f>tblSales[[#This Row],[Qty]]*_xlfn.XLOOKUP(tblSales[[#This Row],[Product Code]],tblProducts[Code],tblProducts[Unit Cost],0)</f>
        <v>216000</v>
      </c>
      <c r="O507" s="4" t="s">
        <v>4865</v>
      </c>
      <c r="P507" s="4" t="s">
        <v>4860</v>
      </c>
      <c r="Q507" s="1" t="str">
        <f>_xlfn.XLOOKUP(tblSales[[#This Row],[Channel Code]],tblChannels[Channel Code],tblChannels[Channel Name],"")</f>
        <v>In-store</v>
      </c>
      <c r="R507" s="1">
        <f>MONTH(tblSales[[#This Row],[Date]])</f>
        <v>2</v>
      </c>
    </row>
    <row r="508" spans="2:18" x14ac:dyDescent="0.35">
      <c r="B508" s="113">
        <v>46056</v>
      </c>
      <c r="C508" s="4" t="s">
        <v>343</v>
      </c>
      <c r="D508" s="4" t="s">
        <v>4568</v>
      </c>
      <c r="E508" s="1" t="str">
        <f>_xlfn.XLOOKUP(tblSales[[#This Row],[Customer ID]],tblCustomers[Customer ID],tblCustomers[Customer Name],"⚠ Unknown")</f>
        <v>Walk-in Customer</v>
      </c>
      <c r="F508" s="4" t="s">
        <v>13</v>
      </c>
      <c r="G508" s="1" t="str">
        <f>_xlfn.XLOOKUP(tblSales[[#This Row],[Product Code]],tblProducts[Code],tblProducts[Product / Service Name],"⚠ Unknown")</f>
        <v>Backpack</v>
      </c>
      <c r="H508" s="1" t="str">
        <f>_xlfn.XLOOKUP(tblSales[[#This Row],[Product Code]],tblProducts[Code],tblProducts[Category],"")</f>
        <v>Bags &amp; Gadgets</v>
      </c>
      <c r="I508" s="4">
        <v>6</v>
      </c>
      <c r="J508" s="5">
        <f>_xlfn.XLOOKUP(tblSales[[#This Row],[Product Code]],tblProducts[Code],tblProducts[Selling Price (excl. VAT)],0)</f>
        <v>500000</v>
      </c>
      <c r="K508" s="5">
        <f>tblSales[[#This Row],[Qty]]*tblSales[[#This Row],[Unit Price]]</f>
        <v>3000000</v>
      </c>
      <c r="L508" s="5">
        <f>ROUND(tblSales[[#This Row],[DPP (excl. VAT)]]*VATEff,0)</f>
        <v>330000</v>
      </c>
      <c r="M508" s="5">
        <f>tblSales[[#This Row],[DPP (excl. VAT)]]+tblSales[[#This Row],[Output VAT]]</f>
        <v>3330000</v>
      </c>
      <c r="N508" s="5">
        <f>tblSales[[#This Row],[Qty]]*_xlfn.XLOOKUP(tblSales[[#This Row],[Product Code]],tblProducts[Code],tblProducts[Unit Cost],0)</f>
        <v>1740000</v>
      </c>
      <c r="O508" s="4" t="s">
        <v>4865</v>
      </c>
      <c r="P508" s="4" t="s">
        <v>4860</v>
      </c>
      <c r="Q508" s="1" t="str">
        <f>_xlfn.XLOOKUP(tblSales[[#This Row],[Channel Code]],tblChannels[Channel Code],tblChannels[Channel Name],"")</f>
        <v>In-store</v>
      </c>
      <c r="R508" s="1">
        <f>MONTH(tblSales[[#This Row],[Date]])</f>
        <v>2</v>
      </c>
    </row>
    <row r="509" spans="2:18" x14ac:dyDescent="0.35">
      <c r="B509" s="113">
        <v>46056</v>
      </c>
      <c r="C509" s="4" t="s">
        <v>344</v>
      </c>
      <c r="D509" s="4" t="s">
        <v>4568</v>
      </c>
      <c r="E509" s="1" t="str">
        <f>_xlfn.XLOOKUP(tblSales[[#This Row],[Customer ID]],tblCustomers[Customer ID],tblCustomers[Customer Name],"⚠ Unknown")</f>
        <v>Walk-in Customer</v>
      </c>
      <c r="F509" s="4" t="s">
        <v>6</v>
      </c>
      <c r="G509" s="1" t="str">
        <f>_xlfn.XLOOKUP(tblSales[[#This Row],[Product Code]],tblProducts[Code],tblProducts[Product / Service Name],"⚠ Unknown")</f>
        <v>Socks &amp; Accessories</v>
      </c>
      <c r="H509" s="1" t="str">
        <f>_xlfn.XLOOKUP(tblSales[[#This Row],[Product Code]],tblProducts[Code],tblProducts[Category],"")</f>
        <v>Accessories &amp; Basics</v>
      </c>
      <c r="I509" s="4">
        <v>7</v>
      </c>
      <c r="J509" s="5">
        <f>_xlfn.XLOOKUP(tblSales[[#This Row],[Product Code]],tblProducts[Code],tblProducts[Selling Price (excl. VAT)],0)</f>
        <v>45000</v>
      </c>
      <c r="K509" s="5">
        <f>tblSales[[#This Row],[Qty]]*tblSales[[#This Row],[Unit Price]]</f>
        <v>315000</v>
      </c>
      <c r="L509" s="5">
        <f>ROUND(tblSales[[#This Row],[DPP (excl. VAT)]]*VATEff,0)</f>
        <v>34650</v>
      </c>
      <c r="M509" s="5">
        <f>tblSales[[#This Row],[DPP (excl. VAT)]]+tblSales[[#This Row],[Output VAT]]</f>
        <v>349650</v>
      </c>
      <c r="N509" s="5">
        <f>tblSales[[#This Row],[Qty]]*_xlfn.XLOOKUP(tblSales[[#This Row],[Product Code]],tblProducts[Code],tblProducts[Unit Cost],0)</f>
        <v>168000</v>
      </c>
      <c r="O509" s="4" t="s">
        <v>4865</v>
      </c>
      <c r="P509" s="4" t="s">
        <v>4860</v>
      </c>
      <c r="Q509" s="1" t="str">
        <f>_xlfn.XLOOKUP(tblSales[[#This Row],[Channel Code]],tblChannels[Channel Code],tblChannels[Channel Name],"")</f>
        <v>In-store</v>
      </c>
      <c r="R509" s="1">
        <f>MONTH(tblSales[[#This Row],[Date]])</f>
        <v>2</v>
      </c>
    </row>
    <row r="510" spans="2:18" x14ac:dyDescent="0.35">
      <c r="B510" s="113">
        <v>46056</v>
      </c>
      <c r="C510" s="4" t="s">
        <v>345</v>
      </c>
      <c r="D510" s="4" t="s">
        <v>4568</v>
      </c>
      <c r="E510" s="1" t="str">
        <f>_xlfn.XLOOKUP(tblSales[[#This Row],[Customer ID]],tblCustomers[Customer ID],tblCustomers[Customer Name],"⚠ Unknown")</f>
        <v>Walk-in Customer</v>
      </c>
      <c r="F510" s="4" t="s">
        <v>7</v>
      </c>
      <c r="G510" s="1" t="str">
        <f>_xlfn.XLOOKUP(tblSales[[#This Row],[Product Code]],tblProducts[Code],tblProducts[Product / Service Name],"⚠ Unknown")</f>
        <v>Premium Basic T-shirt</v>
      </c>
      <c r="H510" s="1" t="str">
        <f>_xlfn.XLOOKUP(tblSales[[#This Row],[Product Code]],tblProducts[Code],tblProducts[Category],"")</f>
        <v>Accessories &amp; Basics</v>
      </c>
      <c r="I510" s="4">
        <v>7</v>
      </c>
      <c r="J510" s="5">
        <f>_xlfn.XLOOKUP(tblSales[[#This Row],[Product Code]],tblProducts[Code],tblProducts[Selling Price (excl. VAT)],0)</f>
        <v>65000</v>
      </c>
      <c r="K510" s="5">
        <f>tblSales[[#This Row],[Qty]]*tblSales[[#This Row],[Unit Price]]</f>
        <v>455000</v>
      </c>
      <c r="L510" s="5">
        <f>ROUND(tblSales[[#This Row],[DPP (excl. VAT)]]*VATEff,0)</f>
        <v>50050</v>
      </c>
      <c r="M510" s="5">
        <f>tblSales[[#This Row],[DPP (excl. VAT)]]+tblSales[[#This Row],[Output VAT]]</f>
        <v>505050</v>
      </c>
      <c r="N510" s="5">
        <f>tblSales[[#This Row],[Qty]]*_xlfn.XLOOKUP(tblSales[[#This Row],[Product Code]],tblProducts[Code],tblProducts[Unit Cost],0)</f>
        <v>259000</v>
      </c>
      <c r="O510" s="4" t="s">
        <v>4866</v>
      </c>
      <c r="P510" s="4" t="s">
        <v>4860</v>
      </c>
      <c r="Q510" s="1" t="str">
        <f>_xlfn.XLOOKUP(tblSales[[#This Row],[Channel Code]],tblChannels[Channel Code],tblChannels[Channel Name],"")</f>
        <v>In-store</v>
      </c>
      <c r="R510" s="1">
        <f>MONTH(tblSales[[#This Row],[Date]])</f>
        <v>2</v>
      </c>
    </row>
    <row r="511" spans="2:18" x14ac:dyDescent="0.35">
      <c r="B511" s="113">
        <v>46056</v>
      </c>
      <c r="C511" s="4" t="s">
        <v>346</v>
      </c>
      <c r="D511" s="4" t="s">
        <v>4568</v>
      </c>
      <c r="E511" s="1" t="str">
        <f>_xlfn.XLOOKUP(tblSales[[#This Row],[Customer ID]],tblCustomers[Customer ID],tblCustomers[Customer Name],"⚠ Unknown")</f>
        <v>Walk-in Customer</v>
      </c>
      <c r="F511" s="4" t="s">
        <v>10</v>
      </c>
      <c r="G511" s="1" t="str">
        <f>_xlfn.XLOOKUP(tblSales[[#This Row],[Product Code]],tblProducts[Code],tblProducts[Product / Service Name],"⚠ Unknown")</f>
        <v>Chino Pants</v>
      </c>
      <c r="H511" s="1" t="str">
        <f>_xlfn.XLOOKUP(tblSales[[#This Row],[Product Code]],tblProducts[Code],tblProducts[Category],"")</f>
        <v>Apparel &amp; Footwear</v>
      </c>
      <c r="I511" s="4">
        <v>4</v>
      </c>
      <c r="J511" s="5">
        <f>_xlfn.XLOOKUP(tblSales[[#This Row],[Product Code]],tblProducts[Code],tblProducts[Selling Price (excl. VAT)],0)</f>
        <v>150000</v>
      </c>
      <c r="K511" s="5">
        <f>tblSales[[#This Row],[Qty]]*tblSales[[#This Row],[Unit Price]]</f>
        <v>600000</v>
      </c>
      <c r="L511" s="5">
        <f>ROUND(tblSales[[#This Row],[DPP (excl. VAT)]]*VATEff,0)</f>
        <v>66000</v>
      </c>
      <c r="M511" s="5">
        <f>tblSales[[#This Row],[DPP (excl. VAT)]]+tblSales[[#This Row],[Output VAT]]</f>
        <v>666000</v>
      </c>
      <c r="N511" s="5">
        <f>tblSales[[#This Row],[Qty]]*_xlfn.XLOOKUP(tblSales[[#This Row],[Product Code]],tblProducts[Code],tblProducts[Unit Cost],0)</f>
        <v>352000</v>
      </c>
      <c r="O511" s="4" t="s">
        <v>4866</v>
      </c>
      <c r="P511" s="4" t="s">
        <v>4860</v>
      </c>
      <c r="Q511" s="1" t="str">
        <f>_xlfn.XLOOKUP(tblSales[[#This Row],[Channel Code]],tblChannels[Channel Code],tblChannels[Channel Name],"")</f>
        <v>In-store</v>
      </c>
      <c r="R511" s="1">
        <f>MONTH(tblSales[[#This Row],[Date]])</f>
        <v>2</v>
      </c>
    </row>
    <row r="512" spans="2:18" x14ac:dyDescent="0.35">
      <c r="B512" s="113">
        <v>46056</v>
      </c>
      <c r="C512" s="4" t="s">
        <v>347</v>
      </c>
      <c r="D512" s="4" t="s">
        <v>4620</v>
      </c>
      <c r="E512" s="1" t="str">
        <f>_xlfn.XLOOKUP(tblSales[[#This Row],[Customer ID]],tblCustomers[Customer ID],tblCustomers[Customer Name],"⚠ Unknown")</f>
        <v>CV Sumber Rejeki Utama</v>
      </c>
      <c r="F512" s="4" t="s">
        <v>7</v>
      </c>
      <c r="G512" s="1" t="str">
        <f>_xlfn.XLOOKUP(tblSales[[#This Row],[Product Code]],tblProducts[Code],tblProducts[Product / Service Name],"⚠ Unknown")</f>
        <v>Premium Basic T-shirt</v>
      </c>
      <c r="H512" s="1" t="str">
        <f>_xlfn.XLOOKUP(tblSales[[#This Row],[Product Code]],tblProducts[Code],tblProducts[Category],"")</f>
        <v>Accessories &amp; Basics</v>
      </c>
      <c r="I512" s="4">
        <v>88</v>
      </c>
      <c r="J512" s="5">
        <f>_xlfn.XLOOKUP(tblSales[[#This Row],[Product Code]],tblProducts[Code],tblProducts[Selling Price (excl. VAT)],0)</f>
        <v>65000</v>
      </c>
      <c r="K512" s="5">
        <f>tblSales[[#This Row],[Qty]]*tblSales[[#This Row],[Unit Price]]</f>
        <v>5720000</v>
      </c>
      <c r="L512" s="5">
        <f>ROUND(tblSales[[#This Row],[DPP (excl. VAT)]]*VATEff,0)</f>
        <v>629200</v>
      </c>
      <c r="M512" s="5">
        <f>tblSales[[#This Row],[DPP (excl. VAT)]]+tblSales[[#This Row],[Output VAT]]</f>
        <v>6349200</v>
      </c>
      <c r="N512" s="5">
        <f>tblSales[[#This Row],[Qty]]*_xlfn.XLOOKUP(tblSales[[#This Row],[Product Code]],tblProducts[Code],tblProducts[Unit Cost],0)</f>
        <v>3256000</v>
      </c>
      <c r="O512" s="4" t="s">
        <v>4867</v>
      </c>
      <c r="P512" s="4" t="s">
        <v>4860</v>
      </c>
      <c r="Q512" s="1" t="str">
        <f>_xlfn.XLOOKUP(tblSales[[#This Row],[Channel Code]],tblChannels[Channel Code],tblChannels[Channel Name],"")</f>
        <v>In-store</v>
      </c>
      <c r="R512" s="1">
        <f>MONTH(tblSales[[#This Row],[Date]])</f>
        <v>2</v>
      </c>
    </row>
    <row r="513" spans="2:18" x14ac:dyDescent="0.35">
      <c r="B513" s="113">
        <v>46056</v>
      </c>
      <c r="C513" s="4" t="s">
        <v>348</v>
      </c>
      <c r="D513" s="4" t="s">
        <v>4568</v>
      </c>
      <c r="E513" s="1" t="str">
        <f>_xlfn.XLOOKUP(tblSales[[#This Row],[Customer ID]],tblCustomers[Customer ID],tblCustomers[Customer Name],"⚠ Unknown")</f>
        <v>Walk-in Customer</v>
      </c>
      <c r="F513" s="4" t="s">
        <v>9</v>
      </c>
      <c r="G513" s="1" t="str">
        <f>_xlfn.XLOOKUP(tblSales[[#This Row],[Product Code]],tblProducts[Code],tblProducts[Product / Service Name],"⚠ Unknown")</f>
        <v>Casual Shirt</v>
      </c>
      <c r="H513" s="1" t="str">
        <f>_xlfn.XLOOKUP(tblSales[[#This Row],[Product Code]],tblProducts[Code],tblProducts[Category],"")</f>
        <v>Apparel &amp; Footwear</v>
      </c>
      <c r="I513" s="4">
        <v>11</v>
      </c>
      <c r="J513" s="5">
        <f>_xlfn.XLOOKUP(tblSales[[#This Row],[Product Code]],tblProducts[Code],tblProducts[Selling Price (excl. VAT)],0)</f>
        <v>120000</v>
      </c>
      <c r="K513" s="5">
        <f>tblSales[[#This Row],[Qty]]*tblSales[[#This Row],[Unit Price]]</f>
        <v>1320000</v>
      </c>
      <c r="L513" s="5">
        <f>ROUND(tblSales[[#This Row],[DPP (excl. VAT)]]*VATEff,0)</f>
        <v>145200</v>
      </c>
      <c r="M513" s="5">
        <f>tblSales[[#This Row],[DPP (excl. VAT)]]+tblSales[[#This Row],[Output VAT]]</f>
        <v>1465200</v>
      </c>
      <c r="N513" s="5">
        <f>tblSales[[#This Row],[Qty]]*_xlfn.XLOOKUP(tblSales[[#This Row],[Product Code]],tblProducts[Code],tblProducts[Unit Cost],0)</f>
        <v>792000</v>
      </c>
      <c r="O513" s="4" t="s">
        <v>4866</v>
      </c>
      <c r="P513" s="4" t="s">
        <v>4860</v>
      </c>
      <c r="Q513" s="1" t="str">
        <f>_xlfn.XLOOKUP(tblSales[[#This Row],[Channel Code]],tblChannels[Channel Code],tblChannels[Channel Name],"")</f>
        <v>In-store</v>
      </c>
      <c r="R513" s="1">
        <f>MONTH(tblSales[[#This Row],[Date]])</f>
        <v>2</v>
      </c>
    </row>
    <row r="514" spans="2:18" x14ac:dyDescent="0.35">
      <c r="B514" s="113">
        <v>46056</v>
      </c>
      <c r="C514" s="4" t="s">
        <v>349</v>
      </c>
      <c r="D514" s="4" t="s">
        <v>4627</v>
      </c>
      <c r="E514" s="1" t="str">
        <f>_xlfn.XLOOKUP(tblSales[[#This Row],[Customer ID]],tblCustomers[Customer ID],tblCustomers[Customer Name],"⚠ Unknown")</f>
        <v>PT Kencana Wira Usaha</v>
      </c>
      <c r="F514" s="4" t="s">
        <v>8</v>
      </c>
      <c r="G514" s="1" t="str">
        <f>_xlfn.XLOOKUP(tblSales[[#This Row],[Product Code]],tblProducts[Code],tblProducts[Product / Service Name],"⚠ Unknown")</f>
        <v>Casual Shorts</v>
      </c>
      <c r="H514" s="1" t="str">
        <f>_xlfn.XLOOKUP(tblSales[[#This Row],[Product Code]],tblProducts[Code],tblProducts[Category],"")</f>
        <v>Accessories &amp; Basics</v>
      </c>
      <c r="I514" s="4">
        <v>88</v>
      </c>
      <c r="J514" s="5">
        <f>_xlfn.XLOOKUP(tblSales[[#This Row],[Product Code]],tblProducts[Code],tblProducts[Selling Price (excl. VAT)],0)</f>
        <v>85000</v>
      </c>
      <c r="K514" s="5">
        <f>tblSales[[#This Row],[Qty]]*tblSales[[#This Row],[Unit Price]]</f>
        <v>7480000</v>
      </c>
      <c r="L514" s="5">
        <f>ROUND(tblSales[[#This Row],[DPP (excl. VAT)]]*VATEff,0)</f>
        <v>822800</v>
      </c>
      <c r="M514" s="5">
        <f>tblSales[[#This Row],[DPP (excl. VAT)]]+tblSales[[#This Row],[Output VAT]]</f>
        <v>8302800</v>
      </c>
      <c r="N514" s="5">
        <f>tblSales[[#This Row],[Qty]]*_xlfn.XLOOKUP(tblSales[[#This Row],[Product Code]],tblProducts[Code],tblProducts[Unit Cost],0)</f>
        <v>4400000</v>
      </c>
      <c r="O514" s="4" t="s">
        <v>4867</v>
      </c>
      <c r="P514" s="4" t="s">
        <v>4860</v>
      </c>
      <c r="Q514" s="1" t="str">
        <f>_xlfn.XLOOKUP(tblSales[[#This Row],[Channel Code]],tblChannels[Channel Code],tblChannels[Channel Name],"")</f>
        <v>In-store</v>
      </c>
      <c r="R514" s="1">
        <f>MONTH(tblSales[[#This Row],[Date]])</f>
        <v>2</v>
      </c>
    </row>
    <row r="515" spans="2:18" x14ac:dyDescent="0.35">
      <c r="B515" s="113">
        <v>46056</v>
      </c>
      <c r="C515" s="4" t="s">
        <v>349</v>
      </c>
      <c r="D515" s="4" t="s">
        <v>4627</v>
      </c>
      <c r="E515" s="1" t="str">
        <f>_xlfn.XLOOKUP(tblSales[[#This Row],[Customer ID]],tblCustomers[Customer ID],tblCustomers[Customer Name],"⚠ Unknown")</f>
        <v>PT Kencana Wira Usaha</v>
      </c>
      <c r="F515" s="4" t="s">
        <v>6</v>
      </c>
      <c r="G515" s="1" t="str">
        <f>_xlfn.XLOOKUP(tblSales[[#This Row],[Product Code]],tblProducts[Code],tblProducts[Product / Service Name],"⚠ Unknown")</f>
        <v>Socks &amp; Accessories</v>
      </c>
      <c r="H515" s="1" t="str">
        <f>_xlfn.XLOOKUP(tblSales[[#This Row],[Product Code]],tblProducts[Code],tblProducts[Category],"")</f>
        <v>Accessories &amp; Basics</v>
      </c>
      <c r="I515" s="4">
        <v>64</v>
      </c>
      <c r="J515" s="5">
        <f>_xlfn.XLOOKUP(tblSales[[#This Row],[Product Code]],tblProducts[Code],tblProducts[Selling Price (excl. VAT)],0)</f>
        <v>45000</v>
      </c>
      <c r="K515" s="5">
        <f>tblSales[[#This Row],[Qty]]*tblSales[[#This Row],[Unit Price]]</f>
        <v>2880000</v>
      </c>
      <c r="L515" s="5">
        <f>ROUND(tblSales[[#This Row],[DPP (excl. VAT)]]*VATEff,0)</f>
        <v>316800</v>
      </c>
      <c r="M515" s="5">
        <f>tblSales[[#This Row],[DPP (excl. VAT)]]+tblSales[[#This Row],[Output VAT]]</f>
        <v>3196800</v>
      </c>
      <c r="N515" s="5">
        <f>tblSales[[#This Row],[Qty]]*_xlfn.XLOOKUP(tblSales[[#This Row],[Product Code]],tblProducts[Code],tblProducts[Unit Cost],0)</f>
        <v>1536000</v>
      </c>
      <c r="O515" s="4" t="s">
        <v>4867</v>
      </c>
      <c r="P515" s="4" t="s">
        <v>4860</v>
      </c>
      <c r="Q515" s="1" t="str">
        <f>_xlfn.XLOOKUP(tblSales[[#This Row],[Channel Code]],tblChannels[Channel Code],tblChannels[Channel Name],"")</f>
        <v>In-store</v>
      </c>
      <c r="R515" s="1">
        <f>MONTH(tblSales[[#This Row],[Date]])</f>
        <v>2</v>
      </c>
    </row>
    <row r="516" spans="2:18" x14ac:dyDescent="0.35">
      <c r="B516" s="113">
        <v>46056</v>
      </c>
      <c r="C516" s="4" t="s">
        <v>350</v>
      </c>
      <c r="D516" s="4" t="s">
        <v>4568</v>
      </c>
      <c r="E516" s="1" t="str">
        <f>_xlfn.XLOOKUP(tblSales[[#This Row],[Customer ID]],tblCustomers[Customer ID],tblCustomers[Customer Name],"⚠ Unknown")</f>
        <v>Walk-in Customer</v>
      </c>
      <c r="F516" s="4" t="s">
        <v>6</v>
      </c>
      <c r="G516" s="1" t="str">
        <f>_xlfn.XLOOKUP(tblSales[[#This Row],[Product Code]],tblProducts[Code],tblProducts[Product / Service Name],"⚠ Unknown")</f>
        <v>Socks &amp; Accessories</v>
      </c>
      <c r="H516" s="1" t="str">
        <f>_xlfn.XLOOKUP(tblSales[[#This Row],[Product Code]],tblProducts[Code],tblProducts[Category],"")</f>
        <v>Accessories &amp; Basics</v>
      </c>
      <c r="I516" s="4">
        <v>9</v>
      </c>
      <c r="J516" s="5">
        <f>_xlfn.XLOOKUP(tblSales[[#This Row],[Product Code]],tblProducts[Code],tblProducts[Selling Price (excl. VAT)],0)</f>
        <v>45000</v>
      </c>
      <c r="K516" s="5">
        <f>tblSales[[#This Row],[Qty]]*tblSales[[#This Row],[Unit Price]]</f>
        <v>405000</v>
      </c>
      <c r="L516" s="5">
        <f>ROUND(tblSales[[#This Row],[DPP (excl. VAT)]]*VATEff,0)</f>
        <v>44550</v>
      </c>
      <c r="M516" s="5">
        <f>tblSales[[#This Row],[DPP (excl. VAT)]]+tblSales[[#This Row],[Output VAT]]</f>
        <v>449550</v>
      </c>
      <c r="N516" s="5">
        <f>tblSales[[#This Row],[Qty]]*_xlfn.XLOOKUP(tblSales[[#This Row],[Product Code]],tblProducts[Code],tblProducts[Unit Cost],0)</f>
        <v>216000</v>
      </c>
      <c r="O516" s="4" t="s">
        <v>4866</v>
      </c>
      <c r="P516" s="4" t="s">
        <v>4862</v>
      </c>
      <c r="Q516" s="1" t="str">
        <f>_xlfn.XLOOKUP(tblSales[[#This Row],[Channel Code]],tblChannels[Channel Code],tblChannels[Channel Name],"")</f>
        <v>Website &amp; Social Media</v>
      </c>
      <c r="R516" s="1">
        <f>MONTH(tblSales[[#This Row],[Date]])</f>
        <v>2</v>
      </c>
    </row>
    <row r="517" spans="2:18" x14ac:dyDescent="0.35">
      <c r="B517" s="113">
        <v>46056</v>
      </c>
      <c r="C517" s="4" t="s">
        <v>351</v>
      </c>
      <c r="D517" s="4" t="s">
        <v>4568</v>
      </c>
      <c r="E517" s="1" t="str">
        <f>_xlfn.XLOOKUP(tblSales[[#This Row],[Customer ID]],tblCustomers[Customer ID],tblCustomers[Customer Name],"⚠ Unknown")</f>
        <v>Walk-in Customer</v>
      </c>
      <c r="F517" s="4" t="s">
        <v>6</v>
      </c>
      <c r="G517" s="1" t="str">
        <f>_xlfn.XLOOKUP(tblSales[[#This Row],[Product Code]],tblProducts[Code],tblProducts[Product / Service Name],"⚠ Unknown")</f>
        <v>Socks &amp; Accessories</v>
      </c>
      <c r="H517" s="1" t="str">
        <f>_xlfn.XLOOKUP(tblSales[[#This Row],[Product Code]],tblProducts[Code],tblProducts[Category],"")</f>
        <v>Accessories &amp; Basics</v>
      </c>
      <c r="I517" s="4">
        <v>6</v>
      </c>
      <c r="J517" s="5">
        <f>_xlfn.XLOOKUP(tblSales[[#This Row],[Product Code]],tblProducts[Code],tblProducts[Selling Price (excl. VAT)],0)</f>
        <v>45000</v>
      </c>
      <c r="K517" s="5">
        <f>tblSales[[#This Row],[Qty]]*tblSales[[#This Row],[Unit Price]]</f>
        <v>270000</v>
      </c>
      <c r="L517" s="5">
        <f>ROUND(tblSales[[#This Row],[DPP (excl. VAT)]]*VATEff,0)</f>
        <v>29700</v>
      </c>
      <c r="M517" s="5">
        <f>tblSales[[#This Row],[DPP (excl. VAT)]]+tblSales[[#This Row],[Output VAT]]</f>
        <v>299700</v>
      </c>
      <c r="N517" s="5">
        <f>tblSales[[#This Row],[Qty]]*_xlfn.XLOOKUP(tblSales[[#This Row],[Product Code]],tblProducts[Code],tblProducts[Unit Cost],0)</f>
        <v>144000</v>
      </c>
      <c r="O517" s="4" t="s">
        <v>4866</v>
      </c>
      <c r="P517" s="4" t="s">
        <v>4861</v>
      </c>
      <c r="Q517" s="1" t="str">
        <f>_xlfn.XLOOKUP(tblSales[[#This Row],[Channel Code]],tblChannels[Channel Code],tblChannels[Channel Name],"")</f>
        <v>Marketplace</v>
      </c>
      <c r="R517" s="1">
        <f>MONTH(tblSales[[#This Row],[Date]])</f>
        <v>2</v>
      </c>
    </row>
    <row r="518" spans="2:18" x14ac:dyDescent="0.35">
      <c r="B518" s="113">
        <v>46057</v>
      </c>
      <c r="C518" s="4" t="s">
        <v>352</v>
      </c>
      <c r="D518" s="4" t="s">
        <v>4568</v>
      </c>
      <c r="E518" s="1" t="str">
        <f>_xlfn.XLOOKUP(tblSales[[#This Row],[Customer ID]],tblCustomers[Customer ID],tblCustomers[Customer Name],"⚠ Unknown")</f>
        <v>Walk-in Customer</v>
      </c>
      <c r="F518" s="4" t="s">
        <v>8</v>
      </c>
      <c r="G518" s="1" t="str">
        <f>_xlfn.XLOOKUP(tblSales[[#This Row],[Product Code]],tblProducts[Code],tblProducts[Product / Service Name],"⚠ Unknown")</f>
        <v>Casual Shorts</v>
      </c>
      <c r="H518" s="1" t="str">
        <f>_xlfn.XLOOKUP(tblSales[[#This Row],[Product Code]],tblProducts[Code],tblProducts[Category],"")</f>
        <v>Accessories &amp; Basics</v>
      </c>
      <c r="I518" s="4">
        <v>3</v>
      </c>
      <c r="J518" s="5">
        <f>_xlfn.XLOOKUP(tblSales[[#This Row],[Product Code]],tblProducts[Code],tblProducts[Selling Price (excl. VAT)],0)</f>
        <v>85000</v>
      </c>
      <c r="K518" s="5">
        <f>tblSales[[#This Row],[Qty]]*tblSales[[#This Row],[Unit Price]]</f>
        <v>255000</v>
      </c>
      <c r="L518" s="5">
        <f>ROUND(tblSales[[#This Row],[DPP (excl. VAT)]]*VATEff,0)</f>
        <v>28050</v>
      </c>
      <c r="M518" s="5">
        <f>tblSales[[#This Row],[DPP (excl. VAT)]]+tblSales[[#This Row],[Output VAT]]</f>
        <v>283050</v>
      </c>
      <c r="N518" s="5">
        <f>tblSales[[#This Row],[Qty]]*_xlfn.XLOOKUP(tblSales[[#This Row],[Product Code]],tblProducts[Code],tblProducts[Unit Cost],0)</f>
        <v>150000</v>
      </c>
      <c r="O518" s="4" t="s">
        <v>4866</v>
      </c>
      <c r="P518" s="4" t="s">
        <v>4861</v>
      </c>
      <c r="Q518" s="1" t="str">
        <f>_xlfn.XLOOKUP(tblSales[[#This Row],[Channel Code]],tblChannels[Channel Code],tblChannels[Channel Name],"")</f>
        <v>Marketplace</v>
      </c>
      <c r="R518" s="1">
        <f>MONTH(tblSales[[#This Row],[Date]])</f>
        <v>2</v>
      </c>
    </row>
    <row r="519" spans="2:18" x14ac:dyDescent="0.35">
      <c r="B519" s="113">
        <v>46057</v>
      </c>
      <c r="C519" s="4" t="s">
        <v>353</v>
      </c>
      <c r="D519" s="4" t="s">
        <v>4568</v>
      </c>
      <c r="E519" s="1" t="str">
        <f>_xlfn.XLOOKUP(tblSales[[#This Row],[Customer ID]],tblCustomers[Customer ID],tblCustomers[Customer Name],"⚠ Unknown")</f>
        <v>Walk-in Customer</v>
      </c>
      <c r="F519" s="4" t="s">
        <v>9</v>
      </c>
      <c r="G519" s="1" t="str">
        <f>_xlfn.XLOOKUP(tblSales[[#This Row],[Product Code]],tblProducts[Code],tblProducts[Product / Service Name],"⚠ Unknown")</f>
        <v>Casual Shirt</v>
      </c>
      <c r="H519" s="1" t="str">
        <f>_xlfn.XLOOKUP(tblSales[[#This Row],[Product Code]],tblProducts[Code],tblProducts[Category],"")</f>
        <v>Apparel &amp; Footwear</v>
      </c>
      <c r="I519" s="4">
        <v>3</v>
      </c>
      <c r="J519" s="5">
        <f>_xlfn.XLOOKUP(tblSales[[#This Row],[Product Code]],tblProducts[Code],tblProducts[Selling Price (excl. VAT)],0)</f>
        <v>120000</v>
      </c>
      <c r="K519" s="5">
        <f>tblSales[[#This Row],[Qty]]*tblSales[[#This Row],[Unit Price]]</f>
        <v>360000</v>
      </c>
      <c r="L519" s="5">
        <f>ROUND(tblSales[[#This Row],[DPP (excl. VAT)]]*VATEff,0)</f>
        <v>39600</v>
      </c>
      <c r="M519" s="5">
        <f>tblSales[[#This Row],[DPP (excl. VAT)]]+tblSales[[#This Row],[Output VAT]]</f>
        <v>399600</v>
      </c>
      <c r="N519" s="5">
        <f>tblSales[[#This Row],[Qty]]*_xlfn.XLOOKUP(tblSales[[#This Row],[Product Code]],tblProducts[Code],tblProducts[Unit Cost],0)</f>
        <v>216000</v>
      </c>
      <c r="O519" s="4" t="s">
        <v>4866</v>
      </c>
      <c r="P519" s="4" t="s">
        <v>4861</v>
      </c>
      <c r="Q519" s="1" t="str">
        <f>_xlfn.XLOOKUP(tblSales[[#This Row],[Channel Code]],tblChannels[Channel Code],tblChannels[Channel Name],"")</f>
        <v>Marketplace</v>
      </c>
      <c r="R519" s="1">
        <f>MONTH(tblSales[[#This Row],[Date]])</f>
        <v>2</v>
      </c>
    </row>
    <row r="520" spans="2:18" x14ac:dyDescent="0.35">
      <c r="B520" s="113">
        <v>46057</v>
      </c>
      <c r="C520" s="4" t="s">
        <v>354</v>
      </c>
      <c r="D520" s="4" t="s">
        <v>4606</v>
      </c>
      <c r="E520" s="1" t="str">
        <f>_xlfn.XLOOKUP(tblSales[[#This Row],[Customer ID]],tblCustomers[Customer ID],tblCustomers[Customer Name],"⚠ Unknown")</f>
        <v>PT Arunika Digital Kreatif</v>
      </c>
      <c r="F520" s="4" t="s">
        <v>10</v>
      </c>
      <c r="G520" s="1" t="str">
        <f>_xlfn.XLOOKUP(tblSales[[#This Row],[Product Code]],tblProducts[Code],tblProducts[Product / Service Name],"⚠ Unknown")</f>
        <v>Chino Pants</v>
      </c>
      <c r="H520" s="1" t="str">
        <f>_xlfn.XLOOKUP(tblSales[[#This Row],[Product Code]],tblProducts[Code],tblProducts[Category],"")</f>
        <v>Apparel &amp; Footwear</v>
      </c>
      <c r="I520" s="4">
        <v>8</v>
      </c>
      <c r="J520" s="5">
        <f>_xlfn.XLOOKUP(tblSales[[#This Row],[Product Code]],tblProducts[Code],tblProducts[Selling Price (excl. VAT)],0)</f>
        <v>150000</v>
      </c>
      <c r="K520" s="5">
        <f>tblSales[[#This Row],[Qty]]*tblSales[[#This Row],[Unit Price]]</f>
        <v>1200000</v>
      </c>
      <c r="L520" s="5">
        <f>ROUND(tblSales[[#This Row],[DPP (excl. VAT)]]*VATEff,0)</f>
        <v>132000</v>
      </c>
      <c r="M520" s="5">
        <f>tblSales[[#This Row],[DPP (excl. VAT)]]+tblSales[[#This Row],[Output VAT]]</f>
        <v>1332000</v>
      </c>
      <c r="N520" s="5">
        <f>tblSales[[#This Row],[Qty]]*_xlfn.XLOOKUP(tblSales[[#This Row],[Product Code]],tblProducts[Code],tblProducts[Unit Cost],0)</f>
        <v>704000</v>
      </c>
      <c r="O520" s="4" t="s">
        <v>4867</v>
      </c>
      <c r="P520" s="4" t="s">
        <v>4860</v>
      </c>
      <c r="Q520" s="1" t="str">
        <f>_xlfn.XLOOKUP(tblSales[[#This Row],[Channel Code]],tblChannels[Channel Code],tblChannels[Channel Name],"")</f>
        <v>In-store</v>
      </c>
      <c r="R520" s="1">
        <f>MONTH(tblSales[[#This Row],[Date]])</f>
        <v>2</v>
      </c>
    </row>
    <row r="521" spans="2:18" x14ac:dyDescent="0.35">
      <c r="B521" s="113">
        <v>46057</v>
      </c>
      <c r="C521" s="4" t="s">
        <v>355</v>
      </c>
      <c r="D521" s="4" t="s">
        <v>4585</v>
      </c>
      <c r="E521" s="1" t="str">
        <f>_xlfn.XLOOKUP(tblSales[[#This Row],[Customer ID]],tblCustomers[Customer ID],tblCustomers[Customer Name],"⚠ Unknown")</f>
        <v>CV Mitra Karya Mandiri</v>
      </c>
      <c r="F521" s="4" t="s">
        <v>9</v>
      </c>
      <c r="G521" s="1" t="str">
        <f>_xlfn.XLOOKUP(tblSales[[#This Row],[Product Code]],tblProducts[Code],tblProducts[Product / Service Name],"⚠ Unknown")</f>
        <v>Casual Shirt</v>
      </c>
      <c r="H521" s="1" t="str">
        <f>_xlfn.XLOOKUP(tblSales[[#This Row],[Product Code]],tblProducts[Code],tblProducts[Category],"")</f>
        <v>Apparel &amp; Footwear</v>
      </c>
      <c r="I521" s="4">
        <v>56</v>
      </c>
      <c r="J521" s="5">
        <f>_xlfn.XLOOKUP(tblSales[[#This Row],[Product Code]],tblProducts[Code],tblProducts[Selling Price (excl. VAT)],0)</f>
        <v>120000</v>
      </c>
      <c r="K521" s="5">
        <f>tblSales[[#This Row],[Qty]]*tblSales[[#This Row],[Unit Price]]</f>
        <v>6720000</v>
      </c>
      <c r="L521" s="5">
        <f>ROUND(tblSales[[#This Row],[DPP (excl. VAT)]]*VATEff,0)</f>
        <v>739200</v>
      </c>
      <c r="M521" s="5">
        <f>tblSales[[#This Row],[DPP (excl. VAT)]]+tblSales[[#This Row],[Output VAT]]</f>
        <v>7459200</v>
      </c>
      <c r="N521" s="5">
        <f>tblSales[[#This Row],[Qty]]*_xlfn.XLOOKUP(tblSales[[#This Row],[Product Code]],tblProducts[Code],tblProducts[Unit Cost],0)</f>
        <v>4032000</v>
      </c>
      <c r="O521" s="4" t="s">
        <v>4867</v>
      </c>
      <c r="P521" s="4" t="s">
        <v>4860</v>
      </c>
      <c r="Q521" s="1" t="str">
        <f>_xlfn.XLOOKUP(tblSales[[#This Row],[Channel Code]],tblChannels[Channel Code],tblChannels[Channel Name],"")</f>
        <v>In-store</v>
      </c>
      <c r="R521" s="1">
        <f>MONTH(tblSales[[#This Row],[Date]])</f>
        <v>2</v>
      </c>
    </row>
    <row r="522" spans="2:18" x14ac:dyDescent="0.35">
      <c r="B522" s="113">
        <v>46057</v>
      </c>
      <c r="C522" s="4" t="s">
        <v>356</v>
      </c>
      <c r="D522" s="4" t="s">
        <v>4568</v>
      </c>
      <c r="E522" s="1" t="str">
        <f>_xlfn.XLOOKUP(tblSales[[#This Row],[Customer ID]],tblCustomers[Customer ID],tblCustomers[Customer Name],"⚠ Unknown")</f>
        <v>Walk-in Customer</v>
      </c>
      <c r="F522" s="4" t="s">
        <v>12</v>
      </c>
      <c r="G522" s="1" t="str">
        <f>_xlfn.XLOOKUP(tblSales[[#This Row],[Product Code]],tblProducts[Code],tblProducts[Product / Service Name],"⚠ Unknown")</f>
        <v>Bomber Jacket</v>
      </c>
      <c r="H522" s="1" t="str">
        <f>_xlfn.XLOOKUP(tblSales[[#This Row],[Product Code]],tblProducts[Code],tblProducts[Category],"")</f>
        <v>Apparel &amp; Footwear</v>
      </c>
      <c r="I522" s="4">
        <v>5</v>
      </c>
      <c r="J522" s="5">
        <f>_xlfn.XLOOKUP(tblSales[[#This Row],[Product Code]],tblProducts[Code],tblProducts[Selling Price (excl. VAT)],0)</f>
        <v>350000</v>
      </c>
      <c r="K522" s="5">
        <f>tblSales[[#This Row],[Qty]]*tblSales[[#This Row],[Unit Price]]</f>
        <v>1750000</v>
      </c>
      <c r="L522" s="5">
        <f>ROUND(tblSales[[#This Row],[DPP (excl. VAT)]]*VATEff,0)</f>
        <v>192500</v>
      </c>
      <c r="M522" s="5">
        <f>tblSales[[#This Row],[DPP (excl. VAT)]]+tblSales[[#This Row],[Output VAT]]</f>
        <v>1942500</v>
      </c>
      <c r="N522" s="5">
        <f>tblSales[[#This Row],[Qty]]*_xlfn.XLOOKUP(tblSales[[#This Row],[Product Code]],tblProducts[Code],tblProducts[Unit Cost],0)</f>
        <v>1050000</v>
      </c>
      <c r="O522" s="4" t="s">
        <v>4866</v>
      </c>
      <c r="P522" s="4" t="s">
        <v>4862</v>
      </c>
      <c r="Q522" s="1" t="str">
        <f>_xlfn.XLOOKUP(tblSales[[#This Row],[Channel Code]],tblChannels[Channel Code],tblChannels[Channel Name],"")</f>
        <v>Website &amp; Social Media</v>
      </c>
      <c r="R522" s="1">
        <f>MONTH(tblSales[[#This Row],[Date]])</f>
        <v>2</v>
      </c>
    </row>
    <row r="523" spans="2:18" x14ac:dyDescent="0.35">
      <c r="B523" s="113">
        <v>46057</v>
      </c>
      <c r="C523" s="4" t="s">
        <v>357</v>
      </c>
      <c r="D523" s="4" t="s">
        <v>4568</v>
      </c>
      <c r="E523" s="1" t="str">
        <f>_xlfn.XLOOKUP(tblSales[[#This Row],[Customer ID]],tblCustomers[Customer ID],tblCustomers[Customer Name],"⚠ Unknown")</f>
        <v>Walk-in Customer</v>
      </c>
      <c r="F523" s="4" t="s">
        <v>6</v>
      </c>
      <c r="G523" s="1" t="str">
        <f>_xlfn.XLOOKUP(tblSales[[#This Row],[Product Code]],tblProducts[Code],tblProducts[Product / Service Name],"⚠ Unknown")</f>
        <v>Socks &amp; Accessories</v>
      </c>
      <c r="H523" s="1" t="str">
        <f>_xlfn.XLOOKUP(tblSales[[#This Row],[Product Code]],tblProducts[Code],tblProducts[Category],"")</f>
        <v>Accessories &amp; Basics</v>
      </c>
      <c r="I523" s="4">
        <v>4</v>
      </c>
      <c r="J523" s="5">
        <f>_xlfn.XLOOKUP(tblSales[[#This Row],[Product Code]],tblProducts[Code],tblProducts[Selling Price (excl. VAT)],0)</f>
        <v>45000</v>
      </c>
      <c r="K523" s="5">
        <f>tblSales[[#This Row],[Qty]]*tblSales[[#This Row],[Unit Price]]</f>
        <v>180000</v>
      </c>
      <c r="L523" s="5">
        <f>ROUND(tblSales[[#This Row],[DPP (excl. VAT)]]*VATEff,0)</f>
        <v>19800</v>
      </c>
      <c r="M523" s="5">
        <f>tblSales[[#This Row],[DPP (excl. VAT)]]+tblSales[[#This Row],[Output VAT]]</f>
        <v>199800</v>
      </c>
      <c r="N523" s="5">
        <f>tblSales[[#This Row],[Qty]]*_xlfn.XLOOKUP(tblSales[[#This Row],[Product Code]],tblProducts[Code],tblProducts[Unit Cost],0)</f>
        <v>96000</v>
      </c>
      <c r="O523" s="4" t="s">
        <v>4865</v>
      </c>
      <c r="P523" s="4" t="s">
        <v>4860</v>
      </c>
      <c r="Q523" s="1" t="str">
        <f>_xlfn.XLOOKUP(tblSales[[#This Row],[Channel Code]],tblChannels[Channel Code],tblChannels[Channel Name],"")</f>
        <v>In-store</v>
      </c>
      <c r="R523" s="1">
        <f>MONTH(tblSales[[#This Row],[Date]])</f>
        <v>2</v>
      </c>
    </row>
    <row r="524" spans="2:18" x14ac:dyDescent="0.35">
      <c r="B524" s="113">
        <v>46057</v>
      </c>
      <c r="C524" s="4" t="s">
        <v>358</v>
      </c>
      <c r="D524" s="4" t="s">
        <v>4585</v>
      </c>
      <c r="E524" s="1" t="str">
        <f>_xlfn.XLOOKUP(tblSales[[#This Row],[Customer ID]],tblCustomers[Customer ID],tblCustomers[Customer Name],"⚠ Unknown")</f>
        <v>CV Mitra Karya Mandiri</v>
      </c>
      <c r="F524" s="4" t="s">
        <v>7</v>
      </c>
      <c r="G524" s="1" t="str">
        <f>_xlfn.XLOOKUP(tblSales[[#This Row],[Product Code]],tblProducts[Code],tblProducts[Product / Service Name],"⚠ Unknown")</f>
        <v>Premium Basic T-shirt</v>
      </c>
      <c r="H524" s="1" t="str">
        <f>_xlfn.XLOOKUP(tblSales[[#This Row],[Product Code]],tblProducts[Code],tblProducts[Category],"")</f>
        <v>Accessories &amp; Basics</v>
      </c>
      <c r="I524" s="4">
        <v>48</v>
      </c>
      <c r="J524" s="5">
        <f>_xlfn.XLOOKUP(tblSales[[#This Row],[Product Code]],tblProducts[Code],tblProducts[Selling Price (excl. VAT)],0)</f>
        <v>65000</v>
      </c>
      <c r="K524" s="5">
        <f>tblSales[[#This Row],[Qty]]*tblSales[[#This Row],[Unit Price]]</f>
        <v>3120000</v>
      </c>
      <c r="L524" s="5">
        <f>ROUND(tblSales[[#This Row],[DPP (excl. VAT)]]*VATEff,0)</f>
        <v>343200</v>
      </c>
      <c r="M524" s="5">
        <f>tblSales[[#This Row],[DPP (excl. VAT)]]+tblSales[[#This Row],[Output VAT]]</f>
        <v>3463200</v>
      </c>
      <c r="N524" s="5">
        <f>tblSales[[#This Row],[Qty]]*_xlfn.XLOOKUP(tblSales[[#This Row],[Product Code]],tblProducts[Code],tblProducts[Unit Cost],0)</f>
        <v>1776000</v>
      </c>
      <c r="O524" s="4" t="s">
        <v>4867</v>
      </c>
      <c r="P524" s="4" t="s">
        <v>4860</v>
      </c>
      <c r="Q524" s="1" t="str">
        <f>_xlfn.XLOOKUP(tblSales[[#This Row],[Channel Code]],tblChannels[Channel Code],tblChannels[Channel Name],"")</f>
        <v>In-store</v>
      </c>
      <c r="R524" s="1">
        <f>MONTH(tblSales[[#This Row],[Date]])</f>
        <v>2</v>
      </c>
    </row>
    <row r="525" spans="2:18" x14ac:dyDescent="0.35">
      <c r="B525" s="113">
        <v>46057</v>
      </c>
      <c r="C525" s="4" t="s">
        <v>359</v>
      </c>
      <c r="D525" s="4" t="s">
        <v>4568</v>
      </c>
      <c r="E525" s="1" t="str">
        <f>_xlfn.XLOOKUP(tblSales[[#This Row],[Customer ID]],tblCustomers[Customer ID],tblCustomers[Customer Name],"⚠ Unknown")</f>
        <v>Walk-in Customer</v>
      </c>
      <c r="F525" s="4" t="s">
        <v>9</v>
      </c>
      <c r="G525" s="1" t="str">
        <f>_xlfn.XLOOKUP(tblSales[[#This Row],[Product Code]],tblProducts[Code],tblProducts[Product / Service Name],"⚠ Unknown")</f>
        <v>Casual Shirt</v>
      </c>
      <c r="H525" s="1" t="str">
        <f>_xlfn.XLOOKUP(tblSales[[#This Row],[Product Code]],tblProducts[Code],tblProducts[Category],"")</f>
        <v>Apparel &amp; Footwear</v>
      </c>
      <c r="I525" s="4">
        <v>10</v>
      </c>
      <c r="J525" s="5">
        <f>_xlfn.XLOOKUP(tblSales[[#This Row],[Product Code]],tblProducts[Code],tblProducts[Selling Price (excl. VAT)],0)</f>
        <v>120000</v>
      </c>
      <c r="K525" s="5">
        <f>tblSales[[#This Row],[Qty]]*tblSales[[#This Row],[Unit Price]]</f>
        <v>1200000</v>
      </c>
      <c r="L525" s="5">
        <f>ROUND(tblSales[[#This Row],[DPP (excl. VAT)]]*VATEff,0)</f>
        <v>132000</v>
      </c>
      <c r="M525" s="5">
        <f>tblSales[[#This Row],[DPP (excl. VAT)]]+tblSales[[#This Row],[Output VAT]]</f>
        <v>1332000</v>
      </c>
      <c r="N525" s="5">
        <f>tblSales[[#This Row],[Qty]]*_xlfn.XLOOKUP(tblSales[[#This Row],[Product Code]],tblProducts[Code],tblProducts[Unit Cost],0)</f>
        <v>720000</v>
      </c>
      <c r="O525" s="4" t="s">
        <v>4865</v>
      </c>
      <c r="P525" s="4" t="s">
        <v>4860</v>
      </c>
      <c r="Q525" s="1" t="str">
        <f>_xlfn.XLOOKUP(tblSales[[#This Row],[Channel Code]],tblChannels[Channel Code],tblChannels[Channel Name],"")</f>
        <v>In-store</v>
      </c>
      <c r="R525" s="1">
        <f>MONTH(tblSales[[#This Row],[Date]])</f>
        <v>2</v>
      </c>
    </row>
    <row r="526" spans="2:18" x14ac:dyDescent="0.35">
      <c r="B526" s="113">
        <v>46057</v>
      </c>
      <c r="C526" s="4" t="s">
        <v>359</v>
      </c>
      <c r="D526" s="4" t="s">
        <v>4568</v>
      </c>
      <c r="E526" s="1" t="str">
        <f>_xlfn.XLOOKUP(tblSales[[#This Row],[Customer ID]],tblCustomers[Customer ID],tblCustomers[Customer Name],"⚠ Unknown")</f>
        <v>Walk-in Customer</v>
      </c>
      <c r="F526" s="4" t="s">
        <v>8</v>
      </c>
      <c r="G526" s="1" t="str">
        <f>_xlfn.XLOOKUP(tblSales[[#This Row],[Product Code]],tblProducts[Code],tblProducts[Product / Service Name],"⚠ Unknown")</f>
        <v>Casual Shorts</v>
      </c>
      <c r="H526" s="1" t="str">
        <f>_xlfn.XLOOKUP(tblSales[[#This Row],[Product Code]],tblProducts[Code],tblProducts[Category],"")</f>
        <v>Accessories &amp; Basics</v>
      </c>
      <c r="I526" s="4">
        <v>4</v>
      </c>
      <c r="J526" s="5">
        <f>_xlfn.XLOOKUP(tblSales[[#This Row],[Product Code]],tblProducts[Code],tblProducts[Selling Price (excl. VAT)],0)</f>
        <v>85000</v>
      </c>
      <c r="K526" s="5">
        <f>tblSales[[#This Row],[Qty]]*tblSales[[#This Row],[Unit Price]]</f>
        <v>340000</v>
      </c>
      <c r="L526" s="5">
        <f>ROUND(tblSales[[#This Row],[DPP (excl. VAT)]]*VATEff,0)</f>
        <v>37400</v>
      </c>
      <c r="M526" s="5">
        <f>tblSales[[#This Row],[DPP (excl. VAT)]]+tblSales[[#This Row],[Output VAT]]</f>
        <v>377400</v>
      </c>
      <c r="N526" s="5">
        <f>tblSales[[#This Row],[Qty]]*_xlfn.XLOOKUP(tblSales[[#This Row],[Product Code]],tblProducts[Code],tblProducts[Unit Cost],0)</f>
        <v>200000</v>
      </c>
      <c r="O526" s="4" t="s">
        <v>4865</v>
      </c>
      <c r="P526" s="4" t="s">
        <v>4860</v>
      </c>
      <c r="Q526" s="1" t="str">
        <f>_xlfn.XLOOKUP(tblSales[[#This Row],[Channel Code]],tblChannels[Channel Code],tblChannels[Channel Name],"")</f>
        <v>In-store</v>
      </c>
      <c r="R526" s="1">
        <f>MONTH(tblSales[[#This Row],[Date]])</f>
        <v>2</v>
      </c>
    </row>
    <row r="527" spans="2:18" x14ac:dyDescent="0.35">
      <c r="B527" s="113">
        <v>46057</v>
      </c>
      <c r="C527" s="4" t="s">
        <v>360</v>
      </c>
      <c r="D527" s="4" t="s">
        <v>4568</v>
      </c>
      <c r="E527" s="1" t="str">
        <f>_xlfn.XLOOKUP(tblSales[[#This Row],[Customer ID]],tblCustomers[Customer ID],tblCustomers[Customer Name],"⚠ Unknown")</f>
        <v>Walk-in Customer</v>
      </c>
      <c r="F527" s="4" t="s">
        <v>10</v>
      </c>
      <c r="G527" s="1" t="str">
        <f>_xlfn.XLOOKUP(tblSales[[#This Row],[Product Code]],tblProducts[Code],tblProducts[Product / Service Name],"⚠ Unknown")</f>
        <v>Chino Pants</v>
      </c>
      <c r="H527" s="1" t="str">
        <f>_xlfn.XLOOKUP(tblSales[[#This Row],[Product Code]],tblProducts[Code],tblProducts[Category],"")</f>
        <v>Apparel &amp; Footwear</v>
      </c>
      <c r="I527" s="4">
        <v>11</v>
      </c>
      <c r="J527" s="5">
        <f>_xlfn.XLOOKUP(tblSales[[#This Row],[Product Code]],tblProducts[Code],tblProducts[Selling Price (excl. VAT)],0)</f>
        <v>150000</v>
      </c>
      <c r="K527" s="5">
        <f>tblSales[[#This Row],[Qty]]*tblSales[[#This Row],[Unit Price]]</f>
        <v>1650000</v>
      </c>
      <c r="L527" s="5">
        <f>ROUND(tblSales[[#This Row],[DPP (excl. VAT)]]*VATEff,0)</f>
        <v>181500</v>
      </c>
      <c r="M527" s="5">
        <f>tblSales[[#This Row],[DPP (excl. VAT)]]+tblSales[[#This Row],[Output VAT]]</f>
        <v>1831500</v>
      </c>
      <c r="N527" s="5">
        <f>tblSales[[#This Row],[Qty]]*_xlfn.XLOOKUP(tblSales[[#This Row],[Product Code]],tblProducts[Code],tblProducts[Unit Cost],0)</f>
        <v>968000</v>
      </c>
      <c r="O527" s="4" t="s">
        <v>4865</v>
      </c>
      <c r="P527" s="4" t="s">
        <v>4860</v>
      </c>
      <c r="Q527" s="1" t="str">
        <f>_xlfn.XLOOKUP(tblSales[[#This Row],[Channel Code]],tblChannels[Channel Code],tblChannels[Channel Name],"")</f>
        <v>In-store</v>
      </c>
      <c r="R527" s="1">
        <f>MONTH(tblSales[[#This Row],[Date]])</f>
        <v>2</v>
      </c>
    </row>
    <row r="528" spans="2:18" x14ac:dyDescent="0.35">
      <c r="B528" s="113">
        <v>46057</v>
      </c>
      <c r="C528" s="4" t="s">
        <v>361</v>
      </c>
      <c r="D528" s="4" t="s">
        <v>4568</v>
      </c>
      <c r="E528" s="1" t="str">
        <f>_xlfn.XLOOKUP(tblSales[[#This Row],[Customer ID]],tblCustomers[Customer ID],tblCustomers[Customer Name],"⚠ Unknown")</f>
        <v>Walk-in Customer</v>
      </c>
      <c r="F528" s="4" t="s">
        <v>8</v>
      </c>
      <c r="G528" s="1" t="str">
        <f>_xlfn.XLOOKUP(tblSales[[#This Row],[Product Code]],tblProducts[Code],tblProducts[Product / Service Name],"⚠ Unknown")</f>
        <v>Casual Shorts</v>
      </c>
      <c r="H528" s="1" t="str">
        <f>_xlfn.XLOOKUP(tblSales[[#This Row],[Product Code]],tblProducts[Code],tblProducts[Category],"")</f>
        <v>Accessories &amp; Basics</v>
      </c>
      <c r="I528" s="4">
        <v>4</v>
      </c>
      <c r="J528" s="5">
        <f>_xlfn.XLOOKUP(tblSales[[#This Row],[Product Code]],tblProducts[Code],tblProducts[Selling Price (excl. VAT)],0)</f>
        <v>85000</v>
      </c>
      <c r="K528" s="5">
        <f>tblSales[[#This Row],[Qty]]*tblSales[[#This Row],[Unit Price]]</f>
        <v>340000</v>
      </c>
      <c r="L528" s="5">
        <f>ROUND(tblSales[[#This Row],[DPP (excl. VAT)]]*VATEff,0)</f>
        <v>37400</v>
      </c>
      <c r="M528" s="5">
        <f>tblSales[[#This Row],[DPP (excl. VAT)]]+tblSales[[#This Row],[Output VAT]]</f>
        <v>377400</v>
      </c>
      <c r="N528" s="5">
        <f>tblSales[[#This Row],[Qty]]*_xlfn.XLOOKUP(tblSales[[#This Row],[Product Code]],tblProducts[Code],tblProducts[Unit Cost],0)</f>
        <v>200000</v>
      </c>
      <c r="O528" s="4" t="s">
        <v>4865</v>
      </c>
      <c r="P528" s="4" t="s">
        <v>4860</v>
      </c>
      <c r="Q528" s="1" t="str">
        <f>_xlfn.XLOOKUP(tblSales[[#This Row],[Channel Code]],tblChannels[Channel Code],tblChannels[Channel Name],"")</f>
        <v>In-store</v>
      </c>
      <c r="R528" s="1">
        <f>MONTH(tblSales[[#This Row],[Date]])</f>
        <v>2</v>
      </c>
    </row>
    <row r="529" spans="2:18" x14ac:dyDescent="0.35">
      <c r="B529" s="113">
        <v>46058</v>
      </c>
      <c r="C529" s="4" t="s">
        <v>362</v>
      </c>
      <c r="D529" s="4" t="s">
        <v>4568</v>
      </c>
      <c r="E529" s="1" t="str">
        <f>_xlfn.XLOOKUP(tblSales[[#This Row],[Customer ID]],tblCustomers[Customer ID],tblCustomers[Customer Name],"⚠ Unknown")</f>
        <v>Walk-in Customer</v>
      </c>
      <c r="F529" s="4" t="s">
        <v>13</v>
      </c>
      <c r="G529" s="1" t="str">
        <f>_xlfn.XLOOKUP(tblSales[[#This Row],[Product Code]],tblProducts[Code],tblProducts[Product / Service Name],"⚠ Unknown")</f>
        <v>Backpack</v>
      </c>
      <c r="H529" s="1" t="str">
        <f>_xlfn.XLOOKUP(tblSales[[#This Row],[Product Code]],tblProducts[Code],tblProducts[Category],"")</f>
        <v>Bags &amp; Gadgets</v>
      </c>
      <c r="I529" s="4">
        <v>5</v>
      </c>
      <c r="J529" s="5">
        <f>_xlfn.XLOOKUP(tblSales[[#This Row],[Product Code]],tblProducts[Code],tblProducts[Selling Price (excl. VAT)],0)</f>
        <v>500000</v>
      </c>
      <c r="K529" s="5">
        <f>tblSales[[#This Row],[Qty]]*tblSales[[#This Row],[Unit Price]]</f>
        <v>2500000</v>
      </c>
      <c r="L529" s="5">
        <f>ROUND(tblSales[[#This Row],[DPP (excl. VAT)]]*VATEff,0)</f>
        <v>275000</v>
      </c>
      <c r="M529" s="5">
        <f>tblSales[[#This Row],[DPP (excl. VAT)]]+tblSales[[#This Row],[Output VAT]]</f>
        <v>2775000</v>
      </c>
      <c r="N529" s="5">
        <f>tblSales[[#This Row],[Qty]]*_xlfn.XLOOKUP(tblSales[[#This Row],[Product Code]],tblProducts[Code],tblProducts[Unit Cost],0)</f>
        <v>1450000</v>
      </c>
      <c r="O529" s="4" t="s">
        <v>4865</v>
      </c>
      <c r="P529" s="4" t="s">
        <v>4860</v>
      </c>
      <c r="Q529" s="1" t="str">
        <f>_xlfn.XLOOKUP(tblSales[[#This Row],[Channel Code]],tblChannels[Channel Code],tblChannels[Channel Name],"")</f>
        <v>In-store</v>
      </c>
      <c r="R529" s="1">
        <f>MONTH(tblSales[[#This Row],[Date]])</f>
        <v>2</v>
      </c>
    </row>
    <row r="530" spans="2:18" x14ac:dyDescent="0.35">
      <c r="B530" s="113">
        <v>46058</v>
      </c>
      <c r="C530" s="4" t="s">
        <v>363</v>
      </c>
      <c r="D530" s="4" t="s">
        <v>4568</v>
      </c>
      <c r="E530" s="1" t="str">
        <f>_xlfn.XLOOKUP(tblSales[[#This Row],[Customer ID]],tblCustomers[Customer ID],tblCustomers[Customer Name],"⚠ Unknown")</f>
        <v>Walk-in Customer</v>
      </c>
      <c r="F530" s="4" t="s">
        <v>11</v>
      </c>
      <c r="G530" s="1" t="str">
        <f>_xlfn.XLOOKUP(tblSales[[#This Row],[Product Code]],tblProducts[Code],tblProducts[Product / Service Name],"⚠ Unknown")</f>
        <v>Sneakers</v>
      </c>
      <c r="H530" s="1" t="str">
        <f>_xlfn.XLOOKUP(tblSales[[#This Row],[Product Code]],tblProducts[Code],tblProducts[Category],"")</f>
        <v>Apparel &amp; Footwear</v>
      </c>
      <c r="I530" s="4">
        <v>6</v>
      </c>
      <c r="J530" s="5">
        <f>_xlfn.XLOOKUP(tblSales[[#This Row],[Product Code]],tblProducts[Code],tblProducts[Selling Price (excl. VAT)],0)</f>
        <v>250000</v>
      </c>
      <c r="K530" s="5">
        <f>tblSales[[#This Row],[Qty]]*tblSales[[#This Row],[Unit Price]]</f>
        <v>1500000</v>
      </c>
      <c r="L530" s="5">
        <f>ROUND(tblSales[[#This Row],[DPP (excl. VAT)]]*VATEff,0)</f>
        <v>165000</v>
      </c>
      <c r="M530" s="5">
        <f>tblSales[[#This Row],[DPP (excl. VAT)]]+tblSales[[#This Row],[Output VAT]]</f>
        <v>1665000</v>
      </c>
      <c r="N530" s="5">
        <f>tblSales[[#This Row],[Qty]]*_xlfn.XLOOKUP(tblSales[[#This Row],[Product Code]],tblProducts[Code],tblProducts[Unit Cost],0)</f>
        <v>930000</v>
      </c>
      <c r="O530" s="4" t="s">
        <v>4865</v>
      </c>
      <c r="P530" s="4" t="s">
        <v>4860</v>
      </c>
      <c r="Q530" s="1" t="str">
        <f>_xlfn.XLOOKUP(tblSales[[#This Row],[Channel Code]],tblChannels[Channel Code],tblChannels[Channel Name],"")</f>
        <v>In-store</v>
      </c>
      <c r="R530" s="1">
        <f>MONTH(tblSales[[#This Row],[Date]])</f>
        <v>2</v>
      </c>
    </row>
    <row r="531" spans="2:18" x14ac:dyDescent="0.35">
      <c r="B531" s="113">
        <v>46058</v>
      </c>
      <c r="C531" s="4" t="s">
        <v>364</v>
      </c>
      <c r="D531" s="4" t="s">
        <v>4634</v>
      </c>
      <c r="E531" s="1" t="str">
        <f>_xlfn.XLOOKUP(tblSales[[#This Row],[Customer ID]],tblCustomers[Customer ID],tblCustomers[Customer Name],"⚠ Unknown")</f>
        <v>PT Delta Inti Selaras</v>
      </c>
      <c r="F531" s="4" t="s">
        <v>9</v>
      </c>
      <c r="G531" s="1" t="str">
        <f>_xlfn.XLOOKUP(tblSales[[#This Row],[Product Code]],tblProducts[Code],tblProducts[Product / Service Name],"⚠ Unknown")</f>
        <v>Casual Shirt</v>
      </c>
      <c r="H531" s="1" t="str">
        <f>_xlfn.XLOOKUP(tblSales[[#This Row],[Product Code]],tblProducts[Code],tblProducts[Category],"")</f>
        <v>Apparel &amp; Footwear</v>
      </c>
      <c r="I531" s="4">
        <v>48</v>
      </c>
      <c r="J531" s="5">
        <f>_xlfn.XLOOKUP(tblSales[[#This Row],[Product Code]],tblProducts[Code],tblProducts[Selling Price (excl. VAT)],0)</f>
        <v>120000</v>
      </c>
      <c r="K531" s="5">
        <f>tblSales[[#This Row],[Qty]]*tblSales[[#This Row],[Unit Price]]</f>
        <v>5760000</v>
      </c>
      <c r="L531" s="5">
        <f>ROUND(tblSales[[#This Row],[DPP (excl. VAT)]]*VATEff,0)</f>
        <v>633600</v>
      </c>
      <c r="M531" s="5">
        <f>tblSales[[#This Row],[DPP (excl. VAT)]]+tblSales[[#This Row],[Output VAT]]</f>
        <v>6393600</v>
      </c>
      <c r="N531" s="5">
        <f>tblSales[[#This Row],[Qty]]*_xlfn.XLOOKUP(tblSales[[#This Row],[Product Code]],tblProducts[Code],tblProducts[Unit Cost],0)</f>
        <v>3456000</v>
      </c>
      <c r="O531" s="4" t="s">
        <v>4867</v>
      </c>
      <c r="P531" s="4" t="s">
        <v>4860</v>
      </c>
      <c r="Q531" s="1" t="str">
        <f>_xlfn.XLOOKUP(tblSales[[#This Row],[Channel Code]],tblChannels[Channel Code],tblChannels[Channel Name],"")</f>
        <v>In-store</v>
      </c>
      <c r="R531" s="1">
        <f>MONTH(tblSales[[#This Row],[Date]])</f>
        <v>2</v>
      </c>
    </row>
    <row r="532" spans="2:18" x14ac:dyDescent="0.35">
      <c r="B532" s="113">
        <v>46058</v>
      </c>
      <c r="C532" s="4" t="s">
        <v>365</v>
      </c>
      <c r="D532" s="4" t="s">
        <v>4568</v>
      </c>
      <c r="E532" s="1" t="str">
        <f>_xlfn.XLOOKUP(tblSales[[#This Row],[Customer ID]],tblCustomers[Customer ID],tblCustomers[Customer Name],"⚠ Unknown")</f>
        <v>Walk-in Customer</v>
      </c>
      <c r="F532" s="4" t="s">
        <v>11</v>
      </c>
      <c r="G532" s="1" t="str">
        <f>_xlfn.XLOOKUP(tblSales[[#This Row],[Product Code]],tblProducts[Code],tblProducts[Product / Service Name],"⚠ Unknown")</f>
        <v>Sneakers</v>
      </c>
      <c r="H532" s="1" t="str">
        <f>_xlfn.XLOOKUP(tblSales[[#This Row],[Product Code]],tblProducts[Code],tblProducts[Category],"")</f>
        <v>Apparel &amp; Footwear</v>
      </c>
      <c r="I532" s="4">
        <v>1</v>
      </c>
      <c r="J532" s="5">
        <f>_xlfn.XLOOKUP(tblSales[[#This Row],[Product Code]],tblProducts[Code],tblProducts[Selling Price (excl. VAT)],0)</f>
        <v>250000</v>
      </c>
      <c r="K532" s="5">
        <f>tblSales[[#This Row],[Qty]]*tblSales[[#This Row],[Unit Price]]</f>
        <v>250000</v>
      </c>
      <c r="L532" s="5">
        <f>ROUND(tblSales[[#This Row],[DPP (excl. VAT)]]*VATEff,0)</f>
        <v>27500</v>
      </c>
      <c r="M532" s="5">
        <f>tblSales[[#This Row],[DPP (excl. VAT)]]+tblSales[[#This Row],[Output VAT]]</f>
        <v>277500</v>
      </c>
      <c r="N532" s="5">
        <f>tblSales[[#This Row],[Qty]]*_xlfn.XLOOKUP(tblSales[[#This Row],[Product Code]],tblProducts[Code],tblProducts[Unit Cost],0)</f>
        <v>155000</v>
      </c>
      <c r="O532" s="4" t="s">
        <v>4865</v>
      </c>
      <c r="P532" s="4" t="s">
        <v>4860</v>
      </c>
      <c r="Q532" s="1" t="str">
        <f>_xlfn.XLOOKUP(tblSales[[#This Row],[Channel Code]],tblChannels[Channel Code],tblChannels[Channel Name],"")</f>
        <v>In-store</v>
      </c>
      <c r="R532" s="1">
        <f>MONTH(tblSales[[#This Row],[Date]])</f>
        <v>2</v>
      </c>
    </row>
    <row r="533" spans="2:18" x14ac:dyDescent="0.35">
      <c r="B533" s="113">
        <v>46058</v>
      </c>
      <c r="C533" s="4" t="s">
        <v>366</v>
      </c>
      <c r="D533" s="4" t="s">
        <v>4568</v>
      </c>
      <c r="E533" s="1" t="str">
        <f>_xlfn.XLOOKUP(tblSales[[#This Row],[Customer ID]],tblCustomers[Customer ID],tblCustomers[Customer Name],"⚠ Unknown")</f>
        <v>Walk-in Customer</v>
      </c>
      <c r="F533" s="4" t="s">
        <v>11</v>
      </c>
      <c r="G533" s="1" t="str">
        <f>_xlfn.XLOOKUP(tblSales[[#This Row],[Product Code]],tblProducts[Code],tblProducts[Product / Service Name],"⚠ Unknown")</f>
        <v>Sneakers</v>
      </c>
      <c r="H533" s="1" t="str">
        <f>_xlfn.XLOOKUP(tblSales[[#This Row],[Product Code]],tblProducts[Code],tblProducts[Category],"")</f>
        <v>Apparel &amp; Footwear</v>
      </c>
      <c r="I533" s="4">
        <v>1</v>
      </c>
      <c r="J533" s="5">
        <f>_xlfn.XLOOKUP(tblSales[[#This Row],[Product Code]],tblProducts[Code],tblProducts[Selling Price (excl. VAT)],0)</f>
        <v>250000</v>
      </c>
      <c r="K533" s="5">
        <f>tblSales[[#This Row],[Qty]]*tblSales[[#This Row],[Unit Price]]</f>
        <v>250000</v>
      </c>
      <c r="L533" s="5">
        <f>ROUND(tblSales[[#This Row],[DPP (excl. VAT)]]*VATEff,0)</f>
        <v>27500</v>
      </c>
      <c r="M533" s="5">
        <f>tblSales[[#This Row],[DPP (excl. VAT)]]+tblSales[[#This Row],[Output VAT]]</f>
        <v>277500</v>
      </c>
      <c r="N533" s="5">
        <f>tblSales[[#This Row],[Qty]]*_xlfn.XLOOKUP(tblSales[[#This Row],[Product Code]],tblProducts[Code],tblProducts[Unit Cost],0)</f>
        <v>155000</v>
      </c>
      <c r="O533" s="4" t="s">
        <v>4865</v>
      </c>
      <c r="P533" s="4" t="s">
        <v>4860</v>
      </c>
      <c r="Q533" s="1" t="str">
        <f>_xlfn.XLOOKUP(tblSales[[#This Row],[Channel Code]],tblChannels[Channel Code],tblChannels[Channel Name],"")</f>
        <v>In-store</v>
      </c>
      <c r="R533" s="1">
        <f>MONTH(tblSales[[#This Row],[Date]])</f>
        <v>2</v>
      </c>
    </row>
    <row r="534" spans="2:18" x14ac:dyDescent="0.35">
      <c r="B534" s="113">
        <v>46058</v>
      </c>
      <c r="C534" s="4" t="s">
        <v>367</v>
      </c>
      <c r="D534" s="4" t="s">
        <v>4568</v>
      </c>
      <c r="E534" s="1" t="str">
        <f>_xlfn.XLOOKUP(tblSales[[#This Row],[Customer ID]],tblCustomers[Customer ID],tblCustomers[Customer Name],"⚠ Unknown")</f>
        <v>Walk-in Customer</v>
      </c>
      <c r="F534" s="4" t="s">
        <v>9</v>
      </c>
      <c r="G534" s="1" t="str">
        <f>_xlfn.XLOOKUP(tblSales[[#This Row],[Product Code]],tblProducts[Code],tblProducts[Product / Service Name],"⚠ Unknown")</f>
        <v>Casual Shirt</v>
      </c>
      <c r="H534" s="1" t="str">
        <f>_xlfn.XLOOKUP(tblSales[[#This Row],[Product Code]],tblProducts[Code],tblProducts[Category],"")</f>
        <v>Apparel &amp; Footwear</v>
      </c>
      <c r="I534" s="4">
        <v>9</v>
      </c>
      <c r="J534" s="5">
        <f>_xlfn.XLOOKUP(tblSales[[#This Row],[Product Code]],tblProducts[Code],tblProducts[Selling Price (excl. VAT)],0)</f>
        <v>120000</v>
      </c>
      <c r="K534" s="5">
        <f>tblSales[[#This Row],[Qty]]*tblSales[[#This Row],[Unit Price]]</f>
        <v>1080000</v>
      </c>
      <c r="L534" s="5">
        <f>ROUND(tblSales[[#This Row],[DPP (excl. VAT)]]*VATEff,0)</f>
        <v>118800</v>
      </c>
      <c r="M534" s="5">
        <f>tblSales[[#This Row],[DPP (excl. VAT)]]+tblSales[[#This Row],[Output VAT]]</f>
        <v>1198800</v>
      </c>
      <c r="N534" s="5">
        <f>tblSales[[#This Row],[Qty]]*_xlfn.XLOOKUP(tblSales[[#This Row],[Product Code]],tblProducts[Code],tblProducts[Unit Cost],0)</f>
        <v>648000</v>
      </c>
      <c r="O534" s="4" t="s">
        <v>4865</v>
      </c>
      <c r="P534" s="4" t="s">
        <v>4860</v>
      </c>
      <c r="Q534" s="1" t="str">
        <f>_xlfn.XLOOKUP(tblSales[[#This Row],[Channel Code]],tblChannels[Channel Code],tblChannels[Channel Name],"")</f>
        <v>In-store</v>
      </c>
      <c r="R534" s="1">
        <f>MONTH(tblSales[[#This Row],[Date]])</f>
        <v>2</v>
      </c>
    </row>
    <row r="535" spans="2:18" x14ac:dyDescent="0.35">
      <c r="B535" s="113">
        <v>46058</v>
      </c>
      <c r="C535" s="4" t="s">
        <v>368</v>
      </c>
      <c r="D535" s="4" t="s">
        <v>4578</v>
      </c>
      <c r="E535" s="1" t="str">
        <f>_xlfn.XLOOKUP(tblSales[[#This Row],[Customer ID]],tblCustomers[Customer ID],tblCustomers[Customer Name],"⚠ Unknown")</f>
        <v>PT Bintang Timur Sejahtera</v>
      </c>
      <c r="F535" s="4" t="s">
        <v>9</v>
      </c>
      <c r="G535" s="1" t="str">
        <f>_xlfn.XLOOKUP(tblSales[[#This Row],[Product Code]],tblProducts[Code],tblProducts[Product / Service Name],"⚠ Unknown")</f>
        <v>Casual Shirt</v>
      </c>
      <c r="H535" s="1" t="str">
        <f>_xlfn.XLOOKUP(tblSales[[#This Row],[Product Code]],tblProducts[Code],tblProducts[Category],"")</f>
        <v>Apparel &amp; Footwear</v>
      </c>
      <c r="I535" s="4">
        <v>80</v>
      </c>
      <c r="J535" s="5">
        <f>_xlfn.XLOOKUP(tblSales[[#This Row],[Product Code]],tblProducts[Code],tblProducts[Selling Price (excl. VAT)],0)</f>
        <v>120000</v>
      </c>
      <c r="K535" s="5">
        <f>tblSales[[#This Row],[Qty]]*tblSales[[#This Row],[Unit Price]]</f>
        <v>9600000</v>
      </c>
      <c r="L535" s="5">
        <f>ROUND(tblSales[[#This Row],[DPP (excl. VAT)]]*VATEff,0)</f>
        <v>1056000</v>
      </c>
      <c r="M535" s="5">
        <f>tblSales[[#This Row],[DPP (excl. VAT)]]+tblSales[[#This Row],[Output VAT]]</f>
        <v>10656000</v>
      </c>
      <c r="N535" s="5">
        <f>tblSales[[#This Row],[Qty]]*_xlfn.XLOOKUP(tblSales[[#This Row],[Product Code]],tblProducts[Code],tblProducts[Unit Cost],0)</f>
        <v>5760000</v>
      </c>
      <c r="O535" s="4" t="s">
        <v>4867</v>
      </c>
      <c r="P535" s="4" t="s">
        <v>4860</v>
      </c>
      <c r="Q535" s="1" t="str">
        <f>_xlfn.XLOOKUP(tblSales[[#This Row],[Channel Code]],tblChannels[Channel Code],tblChannels[Channel Name],"")</f>
        <v>In-store</v>
      </c>
      <c r="R535" s="1">
        <f>MONTH(tblSales[[#This Row],[Date]])</f>
        <v>2</v>
      </c>
    </row>
    <row r="536" spans="2:18" x14ac:dyDescent="0.35">
      <c r="B536" s="113">
        <v>46058</v>
      </c>
      <c r="C536" s="4" t="s">
        <v>369</v>
      </c>
      <c r="D536" s="4" t="s">
        <v>4620</v>
      </c>
      <c r="E536" s="1" t="str">
        <f>_xlfn.XLOOKUP(tblSales[[#This Row],[Customer ID]],tblCustomers[Customer ID],tblCustomers[Customer Name],"⚠ Unknown")</f>
        <v>CV Sumber Rejeki Utama</v>
      </c>
      <c r="F536" s="4" t="s">
        <v>6</v>
      </c>
      <c r="G536" s="1" t="str">
        <f>_xlfn.XLOOKUP(tblSales[[#This Row],[Product Code]],tblProducts[Code],tblProducts[Product / Service Name],"⚠ Unknown")</f>
        <v>Socks &amp; Accessories</v>
      </c>
      <c r="H536" s="1" t="str">
        <f>_xlfn.XLOOKUP(tblSales[[#This Row],[Product Code]],tblProducts[Code],tblProducts[Category],"")</f>
        <v>Accessories &amp; Basics</v>
      </c>
      <c r="I536" s="4">
        <v>24</v>
      </c>
      <c r="J536" s="5">
        <f>_xlfn.XLOOKUP(tblSales[[#This Row],[Product Code]],tblProducts[Code],tblProducts[Selling Price (excl. VAT)],0)</f>
        <v>45000</v>
      </c>
      <c r="K536" s="5">
        <f>tblSales[[#This Row],[Qty]]*tblSales[[#This Row],[Unit Price]]</f>
        <v>1080000</v>
      </c>
      <c r="L536" s="5">
        <f>ROUND(tblSales[[#This Row],[DPP (excl. VAT)]]*VATEff,0)</f>
        <v>118800</v>
      </c>
      <c r="M536" s="5">
        <f>tblSales[[#This Row],[DPP (excl. VAT)]]+tblSales[[#This Row],[Output VAT]]</f>
        <v>1198800</v>
      </c>
      <c r="N536" s="5">
        <f>tblSales[[#This Row],[Qty]]*_xlfn.XLOOKUP(tblSales[[#This Row],[Product Code]],tblProducts[Code],tblProducts[Unit Cost],0)</f>
        <v>576000</v>
      </c>
      <c r="O536" s="4" t="s">
        <v>4867</v>
      </c>
      <c r="P536" s="4" t="s">
        <v>4860</v>
      </c>
      <c r="Q536" s="1" t="str">
        <f>_xlfn.XLOOKUP(tblSales[[#This Row],[Channel Code]],tblChannels[Channel Code],tblChannels[Channel Name],"")</f>
        <v>In-store</v>
      </c>
      <c r="R536" s="1">
        <f>MONTH(tblSales[[#This Row],[Date]])</f>
        <v>2</v>
      </c>
    </row>
    <row r="537" spans="2:18" x14ac:dyDescent="0.35">
      <c r="B537" s="113">
        <v>46058</v>
      </c>
      <c r="C537" s="4" t="s">
        <v>369</v>
      </c>
      <c r="D537" s="4" t="s">
        <v>4620</v>
      </c>
      <c r="E537" s="1" t="str">
        <f>_xlfn.XLOOKUP(tblSales[[#This Row],[Customer ID]],tblCustomers[Customer ID],tblCustomers[Customer Name],"⚠ Unknown")</f>
        <v>CV Sumber Rejeki Utama</v>
      </c>
      <c r="F537" s="4" t="s">
        <v>14</v>
      </c>
      <c r="G537" s="1" t="str">
        <f>_xlfn.XLOOKUP(tblSales[[#This Row],[Product Code]],tblProducts[Code],tblProducts[Product / Service Name],"⚠ Unknown")</f>
        <v>Smartwatch</v>
      </c>
      <c r="H537" s="1" t="str">
        <f>_xlfn.XLOOKUP(tblSales[[#This Row],[Product Code]],tblProducts[Code],tblProducts[Category],"")</f>
        <v>Bags &amp; Gadgets</v>
      </c>
      <c r="I537" s="4">
        <v>24</v>
      </c>
      <c r="J537" s="5">
        <f>_xlfn.XLOOKUP(tblSales[[#This Row],[Product Code]],tblProducts[Code],tblProducts[Selling Price (excl. VAT)],0)</f>
        <v>850000</v>
      </c>
      <c r="K537" s="5">
        <f>tblSales[[#This Row],[Qty]]*tblSales[[#This Row],[Unit Price]]</f>
        <v>20400000</v>
      </c>
      <c r="L537" s="5">
        <f>ROUND(tblSales[[#This Row],[DPP (excl. VAT)]]*VATEff,0)</f>
        <v>2244000</v>
      </c>
      <c r="M537" s="5">
        <f>tblSales[[#This Row],[DPP (excl. VAT)]]+tblSales[[#This Row],[Output VAT]]</f>
        <v>22644000</v>
      </c>
      <c r="N537" s="5">
        <f>tblSales[[#This Row],[Qty]]*_xlfn.XLOOKUP(tblSales[[#This Row],[Product Code]],tblProducts[Code],tblProducts[Unit Cost],0)</f>
        <v>13440000</v>
      </c>
      <c r="O537" s="4" t="s">
        <v>4867</v>
      </c>
      <c r="P537" s="4" t="s">
        <v>4860</v>
      </c>
      <c r="Q537" s="1" t="str">
        <f>_xlfn.XLOOKUP(tblSales[[#This Row],[Channel Code]],tblChannels[Channel Code],tblChannels[Channel Name],"")</f>
        <v>In-store</v>
      </c>
      <c r="R537" s="1">
        <f>MONTH(tblSales[[#This Row],[Date]])</f>
        <v>2</v>
      </c>
    </row>
    <row r="538" spans="2:18" x14ac:dyDescent="0.35">
      <c r="B538" s="113">
        <v>46058</v>
      </c>
      <c r="C538" s="4" t="s">
        <v>370</v>
      </c>
      <c r="D538" s="4" t="s">
        <v>4599</v>
      </c>
      <c r="E538" s="1" t="str">
        <f>_xlfn.XLOOKUP(tblSales[[#This Row],[Customer ID]],tblCustomers[Customer ID],tblCustomers[Customer Name],"⚠ Unknown")</f>
        <v>PT Samudra Jaya Logistik</v>
      </c>
      <c r="F538" s="4" t="s">
        <v>6</v>
      </c>
      <c r="G538" s="1" t="str">
        <f>_xlfn.XLOOKUP(tblSales[[#This Row],[Product Code]],tblProducts[Code],tblProducts[Product / Service Name],"⚠ Unknown")</f>
        <v>Socks &amp; Accessories</v>
      </c>
      <c r="H538" s="1" t="str">
        <f>_xlfn.XLOOKUP(tblSales[[#This Row],[Product Code]],tblProducts[Code],tblProducts[Category],"")</f>
        <v>Accessories &amp; Basics</v>
      </c>
      <c r="I538" s="4">
        <v>16</v>
      </c>
      <c r="J538" s="5">
        <f>_xlfn.XLOOKUP(tblSales[[#This Row],[Product Code]],tblProducts[Code],tblProducts[Selling Price (excl. VAT)],0)</f>
        <v>45000</v>
      </c>
      <c r="K538" s="5">
        <f>tblSales[[#This Row],[Qty]]*tblSales[[#This Row],[Unit Price]]</f>
        <v>720000</v>
      </c>
      <c r="L538" s="5">
        <f>ROUND(tblSales[[#This Row],[DPP (excl. VAT)]]*VATEff,0)</f>
        <v>79200</v>
      </c>
      <c r="M538" s="5">
        <f>tblSales[[#This Row],[DPP (excl. VAT)]]+tblSales[[#This Row],[Output VAT]]</f>
        <v>799200</v>
      </c>
      <c r="N538" s="5">
        <f>tblSales[[#This Row],[Qty]]*_xlfn.XLOOKUP(tblSales[[#This Row],[Product Code]],tblProducts[Code],tblProducts[Unit Cost],0)</f>
        <v>384000</v>
      </c>
      <c r="O538" s="4" t="s">
        <v>4867</v>
      </c>
      <c r="P538" s="4" t="s">
        <v>4860</v>
      </c>
      <c r="Q538" s="1" t="str">
        <f>_xlfn.XLOOKUP(tblSales[[#This Row],[Channel Code]],tblChannels[Channel Code],tblChannels[Channel Name],"")</f>
        <v>In-store</v>
      </c>
      <c r="R538" s="1">
        <f>MONTH(tblSales[[#This Row],[Date]])</f>
        <v>2</v>
      </c>
    </row>
    <row r="539" spans="2:18" x14ac:dyDescent="0.35">
      <c r="B539" s="113">
        <v>46058</v>
      </c>
      <c r="C539" s="4" t="s">
        <v>371</v>
      </c>
      <c r="D539" s="4" t="s">
        <v>4568</v>
      </c>
      <c r="E539" s="1" t="str">
        <f>_xlfn.XLOOKUP(tblSales[[#This Row],[Customer ID]],tblCustomers[Customer ID],tblCustomers[Customer Name],"⚠ Unknown")</f>
        <v>Walk-in Customer</v>
      </c>
      <c r="F539" s="4" t="s">
        <v>6</v>
      </c>
      <c r="G539" s="1" t="str">
        <f>_xlfn.XLOOKUP(tblSales[[#This Row],[Product Code]],tblProducts[Code],tblProducts[Product / Service Name],"⚠ Unknown")</f>
        <v>Socks &amp; Accessories</v>
      </c>
      <c r="H539" s="1" t="str">
        <f>_xlfn.XLOOKUP(tblSales[[#This Row],[Product Code]],tblProducts[Code],tblProducts[Category],"")</f>
        <v>Accessories &amp; Basics</v>
      </c>
      <c r="I539" s="4">
        <v>6</v>
      </c>
      <c r="J539" s="5">
        <f>_xlfn.XLOOKUP(tblSales[[#This Row],[Product Code]],tblProducts[Code],tblProducts[Selling Price (excl. VAT)],0)</f>
        <v>45000</v>
      </c>
      <c r="K539" s="5">
        <f>tblSales[[#This Row],[Qty]]*tblSales[[#This Row],[Unit Price]]</f>
        <v>270000</v>
      </c>
      <c r="L539" s="5">
        <f>ROUND(tblSales[[#This Row],[DPP (excl. VAT)]]*VATEff,0)</f>
        <v>29700</v>
      </c>
      <c r="M539" s="5">
        <f>tblSales[[#This Row],[DPP (excl. VAT)]]+tblSales[[#This Row],[Output VAT]]</f>
        <v>299700</v>
      </c>
      <c r="N539" s="5">
        <f>tblSales[[#This Row],[Qty]]*_xlfn.XLOOKUP(tblSales[[#This Row],[Product Code]],tblProducts[Code],tblProducts[Unit Cost],0)</f>
        <v>144000</v>
      </c>
      <c r="O539" s="4" t="s">
        <v>4866</v>
      </c>
      <c r="P539" s="4" t="s">
        <v>4860</v>
      </c>
      <c r="Q539" s="1" t="str">
        <f>_xlfn.XLOOKUP(tblSales[[#This Row],[Channel Code]],tblChannels[Channel Code],tblChannels[Channel Name],"")</f>
        <v>In-store</v>
      </c>
      <c r="R539" s="1">
        <f>MONTH(tblSales[[#This Row],[Date]])</f>
        <v>2</v>
      </c>
    </row>
    <row r="540" spans="2:18" x14ac:dyDescent="0.35">
      <c r="B540" s="113">
        <v>46058</v>
      </c>
      <c r="C540" s="4" t="s">
        <v>372</v>
      </c>
      <c r="D540" s="4" t="s">
        <v>4568</v>
      </c>
      <c r="E540" s="1" t="str">
        <f>_xlfn.XLOOKUP(tblSales[[#This Row],[Customer ID]],tblCustomers[Customer ID],tblCustomers[Customer Name],"⚠ Unknown")</f>
        <v>Walk-in Customer</v>
      </c>
      <c r="F540" s="4" t="s">
        <v>12</v>
      </c>
      <c r="G540" s="1" t="str">
        <f>_xlfn.XLOOKUP(tblSales[[#This Row],[Product Code]],tblProducts[Code],tblProducts[Product / Service Name],"⚠ Unknown")</f>
        <v>Bomber Jacket</v>
      </c>
      <c r="H540" s="1" t="str">
        <f>_xlfn.XLOOKUP(tblSales[[#This Row],[Product Code]],tblProducts[Code],tblProducts[Category],"")</f>
        <v>Apparel &amp; Footwear</v>
      </c>
      <c r="I540" s="4">
        <v>5</v>
      </c>
      <c r="J540" s="5">
        <f>_xlfn.XLOOKUP(tblSales[[#This Row],[Product Code]],tblProducts[Code],tblProducts[Selling Price (excl. VAT)],0)</f>
        <v>350000</v>
      </c>
      <c r="K540" s="5">
        <f>tblSales[[#This Row],[Qty]]*tblSales[[#This Row],[Unit Price]]</f>
        <v>1750000</v>
      </c>
      <c r="L540" s="5">
        <f>ROUND(tblSales[[#This Row],[DPP (excl. VAT)]]*VATEff,0)</f>
        <v>192500</v>
      </c>
      <c r="M540" s="5">
        <f>tblSales[[#This Row],[DPP (excl. VAT)]]+tblSales[[#This Row],[Output VAT]]</f>
        <v>1942500</v>
      </c>
      <c r="N540" s="5">
        <f>tblSales[[#This Row],[Qty]]*_xlfn.XLOOKUP(tblSales[[#This Row],[Product Code]],tblProducts[Code],tblProducts[Unit Cost],0)</f>
        <v>1050000</v>
      </c>
      <c r="O540" s="4" t="s">
        <v>4866</v>
      </c>
      <c r="P540" s="4" t="s">
        <v>4862</v>
      </c>
      <c r="Q540" s="1" t="str">
        <f>_xlfn.XLOOKUP(tblSales[[#This Row],[Channel Code]],tblChannels[Channel Code],tblChannels[Channel Name],"")</f>
        <v>Website &amp; Social Media</v>
      </c>
      <c r="R540" s="1">
        <f>MONTH(tblSales[[#This Row],[Date]])</f>
        <v>2</v>
      </c>
    </row>
    <row r="541" spans="2:18" x14ac:dyDescent="0.35">
      <c r="B541" s="113">
        <v>46059</v>
      </c>
      <c r="C541" s="4" t="s">
        <v>373</v>
      </c>
      <c r="D541" s="4" t="s">
        <v>4568</v>
      </c>
      <c r="E541" s="1" t="str">
        <f>_xlfn.XLOOKUP(tblSales[[#This Row],[Customer ID]],tblCustomers[Customer ID],tblCustomers[Customer Name],"⚠ Unknown")</f>
        <v>Walk-in Customer</v>
      </c>
      <c r="F541" s="4" t="s">
        <v>9</v>
      </c>
      <c r="G541" s="1" t="str">
        <f>_xlfn.XLOOKUP(tblSales[[#This Row],[Product Code]],tblProducts[Code],tblProducts[Product / Service Name],"⚠ Unknown")</f>
        <v>Casual Shirt</v>
      </c>
      <c r="H541" s="1" t="str">
        <f>_xlfn.XLOOKUP(tblSales[[#This Row],[Product Code]],tblProducts[Code],tblProducts[Category],"")</f>
        <v>Apparel &amp; Footwear</v>
      </c>
      <c r="I541" s="4">
        <v>1</v>
      </c>
      <c r="J541" s="5">
        <f>_xlfn.XLOOKUP(tblSales[[#This Row],[Product Code]],tblProducts[Code],tblProducts[Selling Price (excl. VAT)],0)</f>
        <v>120000</v>
      </c>
      <c r="K541" s="5">
        <f>tblSales[[#This Row],[Qty]]*tblSales[[#This Row],[Unit Price]]</f>
        <v>120000</v>
      </c>
      <c r="L541" s="5">
        <f>ROUND(tblSales[[#This Row],[DPP (excl. VAT)]]*VATEff,0)</f>
        <v>13200</v>
      </c>
      <c r="M541" s="5">
        <f>tblSales[[#This Row],[DPP (excl. VAT)]]+tblSales[[#This Row],[Output VAT]]</f>
        <v>133200</v>
      </c>
      <c r="N541" s="5">
        <f>tblSales[[#This Row],[Qty]]*_xlfn.XLOOKUP(tblSales[[#This Row],[Product Code]],tblProducts[Code],tblProducts[Unit Cost],0)</f>
        <v>72000</v>
      </c>
      <c r="O541" s="4" t="s">
        <v>4866</v>
      </c>
      <c r="P541" s="4" t="s">
        <v>4861</v>
      </c>
      <c r="Q541" s="1" t="str">
        <f>_xlfn.XLOOKUP(tblSales[[#This Row],[Channel Code]],tblChannels[Channel Code],tblChannels[Channel Name],"")</f>
        <v>Marketplace</v>
      </c>
      <c r="R541" s="1">
        <f>MONTH(tblSales[[#This Row],[Date]])</f>
        <v>2</v>
      </c>
    </row>
    <row r="542" spans="2:18" x14ac:dyDescent="0.35">
      <c r="B542" s="113">
        <v>46059</v>
      </c>
      <c r="C542" s="4" t="s">
        <v>373</v>
      </c>
      <c r="D542" s="4" t="s">
        <v>4568</v>
      </c>
      <c r="E542" s="1" t="str">
        <f>_xlfn.XLOOKUP(tblSales[[#This Row],[Customer ID]],tblCustomers[Customer ID],tblCustomers[Customer Name],"⚠ Unknown")</f>
        <v>Walk-in Customer</v>
      </c>
      <c r="F542" s="4" t="s">
        <v>6</v>
      </c>
      <c r="G542" s="1" t="str">
        <f>_xlfn.XLOOKUP(tblSales[[#This Row],[Product Code]],tblProducts[Code],tblProducts[Product / Service Name],"⚠ Unknown")</f>
        <v>Socks &amp; Accessories</v>
      </c>
      <c r="H542" s="1" t="str">
        <f>_xlfn.XLOOKUP(tblSales[[#This Row],[Product Code]],tblProducts[Code],tblProducts[Category],"")</f>
        <v>Accessories &amp; Basics</v>
      </c>
      <c r="I542" s="4">
        <v>8</v>
      </c>
      <c r="J542" s="5">
        <f>_xlfn.XLOOKUP(tblSales[[#This Row],[Product Code]],tblProducts[Code],tblProducts[Selling Price (excl. VAT)],0)</f>
        <v>45000</v>
      </c>
      <c r="K542" s="5">
        <f>tblSales[[#This Row],[Qty]]*tblSales[[#This Row],[Unit Price]]</f>
        <v>360000</v>
      </c>
      <c r="L542" s="5">
        <f>ROUND(tblSales[[#This Row],[DPP (excl. VAT)]]*VATEff,0)</f>
        <v>39600</v>
      </c>
      <c r="M542" s="5">
        <f>tblSales[[#This Row],[DPP (excl. VAT)]]+tblSales[[#This Row],[Output VAT]]</f>
        <v>399600</v>
      </c>
      <c r="N542" s="5">
        <f>tblSales[[#This Row],[Qty]]*_xlfn.XLOOKUP(tblSales[[#This Row],[Product Code]],tblProducts[Code],tblProducts[Unit Cost],0)</f>
        <v>192000</v>
      </c>
      <c r="O542" s="4" t="s">
        <v>4866</v>
      </c>
      <c r="P542" s="4" t="s">
        <v>4861</v>
      </c>
      <c r="Q542" s="1" t="str">
        <f>_xlfn.XLOOKUP(tblSales[[#This Row],[Channel Code]],tblChannels[Channel Code],tblChannels[Channel Name],"")</f>
        <v>Marketplace</v>
      </c>
      <c r="R542" s="1">
        <f>MONTH(tblSales[[#This Row],[Date]])</f>
        <v>2</v>
      </c>
    </row>
    <row r="543" spans="2:18" x14ac:dyDescent="0.35">
      <c r="B543" s="113">
        <v>46059</v>
      </c>
      <c r="C543" s="4" t="s">
        <v>374</v>
      </c>
      <c r="D543" s="4" t="s">
        <v>4620</v>
      </c>
      <c r="E543" s="1" t="str">
        <f>_xlfn.XLOOKUP(tblSales[[#This Row],[Customer ID]],tblCustomers[Customer ID],tblCustomers[Customer Name],"⚠ Unknown")</f>
        <v>CV Sumber Rejeki Utama</v>
      </c>
      <c r="F543" s="4" t="s">
        <v>12</v>
      </c>
      <c r="G543" s="1" t="str">
        <f>_xlfn.XLOOKUP(tblSales[[#This Row],[Product Code]],tblProducts[Code],tblProducts[Product / Service Name],"⚠ Unknown")</f>
        <v>Bomber Jacket</v>
      </c>
      <c r="H543" s="1" t="str">
        <f>_xlfn.XLOOKUP(tblSales[[#This Row],[Product Code]],tblProducts[Code],tblProducts[Category],"")</f>
        <v>Apparel &amp; Footwear</v>
      </c>
      <c r="I543" s="4">
        <v>8</v>
      </c>
      <c r="J543" s="5">
        <f>_xlfn.XLOOKUP(tblSales[[#This Row],[Product Code]],tblProducts[Code],tblProducts[Selling Price (excl. VAT)],0)</f>
        <v>350000</v>
      </c>
      <c r="K543" s="5">
        <f>tblSales[[#This Row],[Qty]]*tblSales[[#This Row],[Unit Price]]</f>
        <v>2800000</v>
      </c>
      <c r="L543" s="5">
        <f>ROUND(tblSales[[#This Row],[DPP (excl. VAT)]]*VATEff,0)</f>
        <v>308000</v>
      </c>
      <c r="M543" s="5">
        <f>tblSales[[#This Row],[DPP (excl. VAT)]]+tblSales[[#This Row],[Output VAT]]</f>
        <v>3108000</v>
      </c>
      <c r="N543" s="5">
        <f>tblSales[[#This Row],[Qty]]*_xlfn.XLOOKUP(tblSales[[#This Row],[Product Code]],tblProducts[Code],tblProducts[Unit Cost],0)</f>
        <v>1680000</v>
      </c>
      <c r="O543" s="4" t="s">
        <v>4867</v>
      </c>
      <c r="P543" s="4" t="s">
        <v>4860</v>
      </c>
      <c r="Q543" s="1" t="str">
        <f>_xlfn.XLOOKUP(tblSales[[#This Row],[Channel Code]],tblChannels[Channel Code],tblChannels[Channel Name],"")</f>
        <v>In-store</v>
      </c>
      <c r="R543" s="1">
        <f>MONTH(tblSales[[#This Row],[Date]])</f>
        <v>2</v>
      </c>
    </row>
    <row r="544" spans="2:18" x14ac:dyDescent="0.35">
      <c r="B544" s="113">
        <v>46059</v>
      </c>
      <c r="C544" s="4" t="s">
        <v>374</v>
      </c>
      <c r="D544" s="4" t="s">
        <v>4620</v>
      </c>
      <c r="E544" s="1" t="str">
        <f>_xlfn.XLOOKUP(tblSales[[#This Row],[Customer ID]],tblCustomers[Customer ID],tblCustomers[Customer Name],"⚠ Unknown")</f>
        <v>CV Sumber Rejeki Utama</v>
      </c>
      <c r="F544" s="4" t="s">
        <v>11</v>
      </c>
      <c r="G544" s="1" t="str">
        <f>_xlfn.XLOOKUP(tblSales[[#This Row],[Product Code]],tblProducts[Code],tblProducts[Product / Service Name],"⚠ Unknown")</f>
        <v>Sneakers</v>
      </c>
      <c r="H544" s="1" t="str">
        <f>_xlfn.XLOOKUP(tblSales[[#This Row],[Product Code]],tblProducts[Code],tblProducts[Category],"")</f>
        <v>Apparel &amp; Footwear</v>
      </c>
      <c r="I544" s="4">
        <v>40</v>
      </c>
      <c r="J544" s="5">
        <f>_xlfn.XLOOKUP(tblSales[[#This Row],[Product Code]],tblProducts[Code],tblProducts[Selling Price (excl. VAT)],0)</f>
        <v>250000</v>
      </c>
      <c r="K544" s="5">
        <f>tblSales[[#This Row],[Qty]]*tblSales[[#This Row],[Unit Price]]</f>
        <v>10000000</v>
      </c>
      <c r="L544" s="5">
        <f>ROUND(tblSales[[#This Row],[DPP (excl. VAT)]]*VATEff,0)</f>
        <v>1100000</v>
      </c>
      <c r="M544" s="5">
        <f>tblSales[[#This Row],[DPP (excl. VAT)]]+tblSales[[#This Row],[Output VAT]]</f>
        <v>11100000</v>
      </c>
      <c r="N544" s="5">
        <f>tblSales[[#This Row],[Qty]]*_xlfn.XLOOKUP(tblSales[[#This Row],[Product Code]],tblProducts[Code],tblProducts[Unit Cost],0)</f>
        <v>6200000</v>
      </c>
      <c r="O544" s="4" t="s">
        <v>4867</v>
      </c>
      <c r="P544" s="4" t="s">
        <v>4860</v>
      </c>
      <c r="Q544" s="1" t="str">
        <f>_xlfn.XLOOKUP(tblSales[[#This Row],[Channel Code]],tblChannels[Channel Code],tblChannels[Channel Name],"")</f>
        <v>In-store</v>
      </c>
      <c r="R544" s="1">
        <f>MONTH(tblSales[[#This Row],[Date]])</f>
        <v>2</v>
      </c>
    </row>
    <row r="545" spans="2:18" x14ac:dyDescent="0.35">
      <c r="B545" s="113">
        <v>46059</v>
      </c>
      <c r="C545" s="4" t="s">
        <v>375</v>
      </c>
      <c r="D545" s="4" t="s">
        <v>4585</v>
      </c>
      <c r="E545" s="1" t="str">
        <f>_xlfn.XLOOKUP(tblSales[[#This Row],[Customer ID]],tblCustomers[Customer ID],tblCustomers[Customer Name],"⚠ Unknown")</f>
        <v>CV Mitra Karya Mandiri</v>
      </c>
      <c r="F545" s="4" t="s">
        <v>9</v>
      </c>
      <c r="G545" s="1" t="str">
        <f>_xlfn.XLOOKUP(tblSales[[#This Row],[Product Code]],tblProducts[Code],tblProducts[Product / Service Name],"⚠ Unknown")</f>
        <v>Casual Shirt</v>
      </c>
      <c r="H545" s="1" t="str">
        <f>_xlfn.XLOOKUP(tblSales[[#This Row],[Product Code]],tblProducts[Code],tblProducts[Category],"")</f>
        <v>Apparel &amp; Footwear</v>
      </c>
      <c r="I545" s="4">
        <v>16</v>
      </c>
      <c r="J545" s="5">
        <f>_xlfn.XLOOKUP(tblSales[[#This Row],[Product Code]],tblProducts[Code],tblProducts[Selling Price (excl. VAT)],0)</f>
        <v>120000</v>
      </c>
      <c r="K545" s="5">
        <f>tblSales[[#This Row],[Qty]]*tblSales[[#This Row],[Unit Price]]</f>
        <v>1920000</v>
      </c>
      <c r="L545" s="5">
        <f>ROUND(tblSales[[#This Row],[DPP (excl. VAT)]]*VATEff,0)</f>
        <v>211200</v>
      </c>
      <c r="M545" s="5">
        <f>tblSales[[#This Row],[DPP (excl. VAT)]]+tblSales[[#This Row],[Output VAT]]</f>
        <v>2131200</v>
      </c>
      <c r="N545" s="5">
        <f>tblSales[[#This Row],[Qty]]*_xlfn.XLOOKUP(tblSales[[#This Row],[Product Code]],tblProducts[Code],tblProducts[Unit Cost],0)</f>
        <v>1152000</v>
      </c>
      <c r="O545" s="4" t="s">
        <v>4867</v>
      </c>
      <c r="P545" s="4" t="s">
        <v>4862</v>
      </c>
      <c r="Q545" s="1" t="str">
        <f>_xlfn.XLOOKUP(tblSales[[#This Row],[Channel Code]],tblChannels[Channel Code],tblChannels[Channel Name],"")</f>
        <v>Website &amp; Social Media</v>
      </c>
      <c r="R545" s="1">
        <f>MONTH(tblSales[[#This Row],[Date]])</f>
        <v>2</v>
      </c>
    </row>
    <row r="546" spans="2:18" x14ac:dyDescent="0.35">
      <c r="B546" s="113">
        <v>46059</v>
      </c>
      <c r="C546" s="4" t="s">
        <v>376</v>
      </c>
      <c r="D546" s="4" t="s">
        <v>4568</v>
      </c>
      <c r="E546" s="1" t="str">
        <f>_xlfn.XLOOKUP(tblSales[[#This Row],[Customer ID]],tblCustomers[Customer ID],tblCustomers[Customer Name],"⚠ Unknown")</f>
        <v>Walk-in Customer</v>
      </c>
      <c r="F546" s="4" t="s">
        <v>15</v>
      </c>
      <c r="G546" s="1" t="str">
        <f>_xlfn.XLOOKUP(tblSales[[#This Row],[Product Code]],tblProducts[Code],tblProducts[Product / Service Name],"⚠ Unknown")</f>
        <v>Wireless Earbuds Pro</v>
      </c>
      <c r="H546" s="1" t="str">
        <f>_xlfn.XLOOKUP(tblSales[[#This Row],[Product Code]],tblProducts[Code],tblProducts[Category],"")</f>
        <v>Bags &amp; Gadgets</v>
      </c>
      <c r="I546" s="4">
        <v>3</v>
      </c>
      <c r="J546" s="5">
        <f>_xlfn.XLOOKUP(tblSales[[#This Row],[Product Code]],tblProducts[Code],tblProducts[Selling Price (excl. VAT)],0)</f>
        <v>1250000</v>
      </c>
      <c r="K546" s="5">
        <f>tblSales[[#This Row],[Qty]]*tblSales[[#This Row],[Unit Price]]</f>
        <v>3750000</v>
      </c>
      <c r="L546" s="5">
        <f>ROUND(tblSales[[#This Row],[DPP (excl. VAT)]]*VATEff,0)</f>
        <v>412500</v>
      </c>
      <c r="M546" s="5">
        <f>tblSales[[#This Row],[DPP (excl. VAT)]]+tblSales[[#This Row],[Output VAT]]</f>
        <v>4162500</v>
      </c>
      <c r="N546" s="5">
        <f>tblSales[[#This Row],[Qty]]*_xlfn.XLOOKUP(tblSales[[#This Row],[Product Code]],tblProducts[Code],tblProducts[Unit Cost],0)</f>
        <v>2460000</v>
      </c>
      <c r="O546" s="4" t="s">
        <v>4865</v>
      </c>
      <c r="P546" s="4" t="s">
        <v>4860</v>
      </c>
      <c r="Q546" s="1" t="str">
        <f>_xlfn.XLOOKUP(tblSales[[#This Row],[Channel Code]],tblChannels[Channel Code],tblChannels[Channel Name],"")</f>
        <v>In-store</v>
      </c>
      <c r="R546" s="1">
        <f>MONTH(tblSales[[#This Row],[Date]])</f>
        <v>2</v>
      </c>
    </row>
    <row r="547" spans="2:18" x14ac:dyDescent="0.35">
      <c r="B547" s="113">
        <v>46059</v>
      </c>
      <c r="C547" s="4" t="s">
        <v>377</v>
      </c>
      <c r="D547" s="4" t="s">
        <v>4568</v>
      </c>
      <c r="E547" s="1" t="str">
        <f>_xlfn.XLOOKUP(tblSales[[#This Row],[Customer ID]],tblCustomers[Customer ID],tblCustomers[Customer Name],"⚠ Unknown")</f>
        <v>Walk-in Customer</v>
      </c>
      <c r="F547" s="4" t="s">
        <v>6</v>
      </c>
      <c r="G547" s="1" t="str">
        <f>_xlfn.XLOOKUP(tblSales[[#This Row],[Product Code]],tblProducts[Code],tblProducts[Product / Service Name],"⚠ Unknown")</f>
        <v>Socks &amp; Accessories</v>
      </c>
      <c r="H547" s="1" t="str">
        <f>_xlfn.XLOOKUP(tblSales[[#This Row],[Product Code]],tblProducts[Code],tblProducts[Category],"")</f>
        <v>Accessories &amp; Basics</v>
      </c>
      <c r="I547" s="4">
        <v>4</v>
      </c>
      <c r="J547" s="5">
        <f>_xlfn.XLOOKUP(tblSales[[#This Row],[Product Code]],tblProducts[Code],tblProducts[Selling Price (excl. VAT)],0)</f>
        <v>45000</v>
      </c>
      <c r="K547" s="5">
        <f>tblSales[[#This Row],[Qty]]*tblSales[[#This Row],[Unit Price]]</f>
        <v>180000</v>
      </c>
      <c r="L547" s="5">
        <f>ROUND(tblSales[[#This Row],[DPP (excl. VAT)]]*VATEff,0)</f>
        <v>19800</v>
      </c>
      <c r="M547" s="5">
        <f>tblSales[[#This Row],[DPP (excl. VAT)]]+tblSales[[#This Row],[Output VAT]]</f>
        <v>199800</v>
      </c>
      <c r="N547" s="5">
        <f>tblSales[[#This Row],[Qty]]*_xlfn.XLOOKUP(tblSales[[#This Row],[Product Code]],tblProducts[Code],tblProducts[Unit Cost],0)</f>
        <v>96000</v>
      </c>
      <c r="O547" s="4" t="s">
        <v>4865</v>
      </c>
      <c r="P547" s="4" t="s">
        <v>4860</v>
      </c>
      <c r="Q547" s="1" t="str">
        <f>_xlfn.XLOOKUP(tblSales[[#This Row],[Channel Code]],tblChannels[Channel Code],tblChannels[Channel Name],"")</f>
        <v>In-store</v>
      </c>
      <c r="R547" s="1">
        <f>MONTH(tblSales[[#This Row],[Date]])</f>
        <v>2</v>
      </c>
    </row>
    <row r="548" spans="2:18" x14ac:dyDescent="0.35">
      <c r="B548" s="113">
        <v>46059</v>
      </c>
      <c r="C548" s="4" t="s">
        <v>378</v>
      </c>
      <c r="D548" s="4" t="s">
        <v>4568</v>
      </c>
      <c r="E548" s="1" t="str">
        <f>_xlfn.XLOOKUP(tblSales[[#This Row],[Customer ID]],tblCustomers[Customer ID],tblCustomers[Customer Name],"⚠ Unknown")</f>
        <v>Walk-in Customer</v>
      </c>
      <c r="F548" s="4" t="s">
        <v>6</v>
      </c>
      <c r="G548" s="1" t="str">
        <f>_xlfn.XLOOKUP(tblSales[[#This Row],[Product Code]],tblProducts[Code],tblProducts[Product / Service Name],"⚠ Unknown")</f>
        <v>Socks &amp; Accessories</v>
      </c>
      <c r="H548" s="1" t="str">
        <f>_xlfn.XLOOKUP(tblSales[[#This Row],[Product Code]],tblProducts[Code],tblProducts[Category],"")</f>
        <v>Accessories &amp; Basics</v>
      </c>
      <c r="I548" s="4">
        <v>8</v>
      </c>
      <c r="J548" s="5">
        <f>_xlfn.XLOOKUP(tblSales[[#This Row],[Product Code]],tblProducts[Code],tblProducts[Selling Price (excl. VAT)],0)</f>
        <v>45000</v>
      </c>
      <c r="K548" s="5">
        <f>tblSales[[#This Row],[Qty]]*tblSales[[#This Row],[Unit Price]]</f>
        <v>360000</v>
      </c>
      <c r="L548" s="5">
        <f>ROUND(tblSales[[#This Row],[DPP (excl. VAT)]]*VATEff,0)</f>
        <v>39600</v>
      </c>
      <c r="M548" s="5">
        <f>tblSales[[#This Row],[DPP (excl. VAT)]]+tblSales[[#This Row],[Output VAT]]</f>
        <v>399600</v>
      </c>
      <c r="N548" s="5">
        <f>tblSales[[#This Row],[Qty]]*_xlfn.XLOOKUP(tblSales[[#This Row],[Product Code]],tblProducts[Code],tblProducts[Unit Cost],0)</f>
        <v>192000</v>
      </c>
      <c r="O548" s="4" t="s">
        <v>4866</v>
      </c>
      <c r="P548" s="4" t="s">
        <v>4860</v>
      </c>
      <c r="Q548" s="1" t="str">
        <f>_xlfn.XLOOKUP(tblSales[[#This Row],[Channel Code]],tblChannels[Channel Code],tblChannels[Channel Name],"")</f>
        <v>In-store</v>
      </c>
      <c r="R548" s="1">
        <f>MONTH(tblSales[[#This Row],[Date]])</f>
        <v>2</v>
      </c>
    </row>
    <row r="549" spans="2:18" x14ac:dyDescent="0.35">
      <c r="B549" s="113">
        <v>46059</v>
      </c>
      <c r="C549" s="4" t="s">
        <v>378</v>
      </c>
      <c r="D549" s="4" t="s">
        <v>4568</v>
      </c>
      <c r="E549" s="1" t="str">
        <f>_xlfn.XLOOKUP(tblSales[[#This Row],[Customer ID]],tblCustomers[Customer ID],tblCustomers[Customer Name],"⚠ Unknown")</f>
        <v>Walk-in Customer</v>
      </c>
      <c r="F549" s="4" t="s">
        <v>7</v>
      </c>
      <c r="G549" s="1" t="str">
        <f>_xlfn.XLOOKUP(tblSales[[#This Row],[Product Code]],tblProducts[Code],tblProducts[Product / Service Name],"⚠ Unknown")</f>
        <v>Premium Basic T-shirt</v>
      </c>
      <c r="H549" s="1" t="str">
        <f>_xlfn.XLOOKUP(tblSales[[#This Row],[Product Code]],tblProducts[Code],tblProducts[Category],"")</f>
        <v>Accessories &amp; Basics</v>
      </c>
      <c r="I549" s="4">
        <v>4</v>
      </c>
      <c r="J549" s="5">
        <f>_xlfn.XLOOKUP(tblSales[[#This Row],[Product Code]],tblProducts[Code],tblProducts[Selling Price (excl. VAT)],0)</f>
        <v>65000</v>
      </c>
      <c r="K549" s="5">
        <f>tblSales[[#This Row],[Qty]]*tblSales[[#This Row],[Unit Price]]</f>
        <v>260000</v>
      </c>
      <c r="L549" s="5">
        <f>ROUND(tblSales[[#This Row],[DPP (excl. VAT)]]*VATEff,0)</f>
        <v>28600</v>
      </c>
      <c r="M549" s="5">
        <f>tblSales[[#This Row],[DPP (excl. VAT)]]+tblSales[[#This Row],[Output VAT]]</f>
        <v>288600</v>
      </c>
      <c r="N549" s="5">
        <f>tblSales[[#This Row],[Qty]]*_xlfn.XLOOKUP(tblSales[[#This Row],[Product Code]],tblProducts[Code],tblProducts[Unit Cost],0)</f>
        <v>148000</v>
      </c>
      <c r="O549" s="4" t="s">
        <v>4866</v>
      </c>
      <c r="P549" s="4" t="s">
        <v>4860</v>
      </c>
      <c r="Q549" s="1" t="str">
        <f>_xlfn.XLOOKUP(tblSales[[#This Row],[Channel Code]],tblChannels[Channel Code],tblChannels[Channel Name],"")</f>
        <v>In-store</v>
      </c>
      <c r="R549" s="1">
        <f>MONTH(tblSales[[#This Row],[Date]])</f>
        <v>2</v>
      </c>
    </row>
    <row r="550" spans="2:18" x14ac:dyDescent="0.35">
      <c r="B550" s="113">
        <v>46059</v>
      </c>
      <c r="C550" s="4" t="s">
        <v>379</v>
      </c>
      <c r="D550" s="4" t="s">
        <v>4568</v>
      </c>
      <c r="E550" s="1" t="str">
        <f>_xlfn.XLOOKUP(tblSales[[#This Row],[Customer ID]],tblCustomers[Customer ID],tblCustomers[Customer Name],"⚠ Unknown")</f>
        <v>Walk-in Customer</v>
      </c>
      <c r="F550" s="4" t="s">
        <v>7</v>
      </c>
      <c r="G550" s="1" t="str">
        <f>_xlfn.XLOOKUP(tblSales[[#This Row],[Product Code]],tblProducts[Code],tblProducts[Product / Service Name],"⚠ Unknown")</f>
        <v>Premium Basic T-shirt</v>
      </c>
      <c r="H550" s="1" t="str">
        <f>_xlfn.XLOOKUP(tblSales[[#This Row],[Product Code]],tblProducts[Code],tblProducts[Category],"")</f>
        <v>Accessories &amp; Basics</v>
      </c>
      <c r="I550" s="4">
        <v>8</v>
      </c>
      <c r="J550" s="5">
        <f>_xlfn.XLOOKUP(tblSales[[#This Row],[Product Code]],tblProducts[Code],tblProducts[Selling Price (excl. VAT)],0)</f>
        <v>65000</v>
      </c>
      <c r="K550" s="5">
        <f>tblSales[[#This Row],[Qty]]*tblSales[[#This Row],[Unit Price]]</f>
        <v>520000</v>
      </c>
      <c r="L550" s="5">
        <f>ROUND(tblSales[[#This Row],[DPP (excl. VAT)]]*VATEff,0)</f>
        <v>57200</v>
      </c>
      <c r="M550" s="5">
        <f>tblSales[[#This Row],[DPP (excl. VAT)]]+tblSales[[#This Row],[Output VAT]]</f>
        <v>577200</v>
      </c>
      <c r="N550" s="5">
        <f>tblSales[[#This Row],[Qty]]*_xlfn.XLOOKUP(tblSales[[#This Row],[Product Code]],tblProducts[Code],tblProducts[Unit Cost],0)</f>
        <v>296000</v>
      </c>
      <c r="O550" s="4" t="s">
        <v>4866</v>
      </c>
      <c r="P550" s="4" t="s">
        <v>4862</v>
      </c>
      <c r="Q550" s="1" t="str">
        <f>_xlfn.XLOOKUP(tblSales[[#This Row],[Channel Code]],tblChannels[Channel Code],tblChannels[Channel Name],"")</f>
        <v>Website &amp; Social Media</v>
      </c>
      <c r="R550" s="1">
        <f>MONTH(tblSales[[#This Row],[Date]])</f>
        <v>2</v>
      </c>
    </row>
    <row r="551" spans="2:18" x14ac:dyDescent="0.35">
      <c r="B551" s="113">
        <v>46059</v>
      </c>
      <c r="C551" s="4" t="s">
        <v>380</v>
      </c>
      <c r="D551" s="4" t="s">
        <v>4568</v>
      </c>
      <c r="E551" s="1" t="str">
        <f>_xlfn.XLOOKUP(tblSales[[#This Row],[Customer ID]],tblCustomers[Customer ID],tblCustomers[Customer Name],"⚠ Unknown")</f>
        <v>Walk-in Customer</v>
      </c>
      <c r="F551" s="4" t="s">
        <v>7</v>
      </c>
      <c r="G551" s="1" t="str">
        <f>_xlfn.XLOOKUP(tblSales[[#This Row],[Product Code]],tblProducts[Code],tblProducts[Product / Service Name],"⚠ Unknown")</f>
        <v>Premium Basic T-shirt</v>
      </c>
      <c r="H551" s="1" t="str">
        <f>_xlfn.XLOOKUP(tblSales[[#This Row],[Product Code]],tblProducts[Code],tblProducts[Category],"")</f>
        <v>Accessories &amp; Basics</v>
      </c>
      <c r="I551" s="4">
        <v>1</v>
      </c>
      <c r="J551" s="5">
        <f>_xlfn.XLOOKUP(tblSales[[#This Row],[Product Code]],tblProducts[Code],tblProducts[Selling Price (excl. VAT)],0)</f>
        <v>65000</v>
      </c>
      <c r="K551" s="5">
        <f>tblSales[[#This Row],[Qty]]*tblSales[[#This Row],[Unit Price]]</f>
        <v>65000</v>
      </c>
      <c r="L551" s="5">
        <f>ROUND(tblSales[[#This Row],[DPP (excl. VAT)]]*VATEff,0)</f>
        <v>7150</v>
      </c>
      <c r="M551" s="5">
        <f>tblSales[[#This Row],[DPP (excl. VAT)]]+tblSales[[#This Row],[Output VAT]]</f>
        <v>72150</v>
      </c>
      <c r="N551" s="5">
        <f>tblSales[[#This Row],[Qty]]*_xlfn.XLOOKUP(tblSales[[#This Row],[Product Code]],tblProducts[Code],tblProducts[Unit Cost],0)</f>
        <v>37000</v>
      </c>
      <c r="O551" s="4" t="s">
        <v>4866</v>
      </c>
      <c r="P551" s="4" t="s">
        <v>4861</v>
      </c>
      <c r="Q551" s="1" t="str">
        <f>_xlfn.XLOOKUP(tblSales[[#This Row],[Channel Code]],tblChannels[Channel Code],tblChannels[Channel Name],"")</f>
        <v>Marketplace</v>
      </c>
      <c r="R551" s="1">
        <f>MONTH(tblSales[[#This Row],[Date]])</f>
        <v>2</v>
      </c>
    </row>
    <row r="552" spans="2:18" x14ac:dyDescent="0.35">
      <c r="B552" s="113">
        <v>46059</v>
      </c>
      <c r="C552" s="4" t="s">
        <v>380</v>
      </c>
      <c r="D552" s="4" t="s">
        <v>4568</v>
      </c>
      <c r="E552" s="1" t="str">
        <f>_xlfn.XLOOKUP(tblSales[[#This Row],[Customer ID]],tblCustomers[Customer ID],tblCustomers[Customer Name],"⚠ Unknown")</f>
        <v>Walk-in Customer</v>
      </c>
      <c r="F552" s="4" t="s">
        <v>9</v>
      </c>
      <c r="G552" s="1" t="str">
        <f>_xlfn.XLOOKUP(tblSales[[#This Row],[Product Code]],tblProducts[Code],tblProducts[Product / Service Name],"⚠ Unknown")</f>
        <v>Casual Shirt</v>
      </c>
      <c r="H552" s="1" t="str">
        <f>_xlfn.XLOOKUP(tblSales[[#This Row],[Product Code]],tblProducts[Code],tblProducts[Category],"")</f>
        <v>Apparel &amp; Footwear</v>
      </c>
      <c r="I552" s="4">
        <v>12</v>
      </c>
      <c r="J552" s="5">
        <f>_xlfn.XLOOKUP(tblSales[[#This Row],[Product Code]],tblProducts[Code],tblProducts[Selling Price (excl. VAT)],0)</f>
        <v>120000</v>
      </c>
      <c r="K552" s="5">
        <f>tblSales[[#This Row],[Qty]]*tblSales[[#This Row],[Unit Price]]</f>
        <v>1440000</v>
      </c>
      <c r="L552" s="5">
        <f>ROUND(tblSales[[#This Row],[DPP (excl. VAT)]]*VATEff,0)</f>
        <v>158400</v>
      </c>
      <c r="M552" s="5">
        <f>tblSales[[#This Row],[DPP (excl. VAT)]]+tblSales[[#This Row],[Output VAT]]</f>
        <v>1598400</v>
      </c>
      <c r="N552" s="5">
        <f>tblSales[[#This Row],[Qty]]*_xlfn.XLOOKUP(tblSales[[#This Row],[Product Code]],tblProducts[Code],tblProducts[Unit Cost],0)</f>
        <v>864000</v>
      </c>
      <c r="O552" s="4" t="s">
        <v>4866</v>
      </c>
      <c r="P552" s="4" t="s">
        <v>4861</v>
      </c>
      <c r="Q552" s="1" t="str">
        <f>_xlfn.XLOOKUP(tblSales[[#This Row],[Channel Code]],tblChannels[Channel Code],tblChannels[Channel Name],"")</f>
        <v>Marketplace</v>
      </c>
      <c r="R552" s="1">
        <f>MONTH(tblSales[[#This Row],[Date]])</f>
        <v>2</v>
      </c>
    </row>
    <row r="553" spans="2:18" x14ac:dyDescent="0.35">
      <c r="B553" s="113">
        <v>46059</v>
      </c>
      <c r="C553" s="4" t="s">
        <v>380</v>
      </c>
      <c r="D553" s="4" t="s">
        <v>4568</v>
      </c>
      <c r="E553" s="1" t="str">
        <f>_xlfn.XLOOKUP(tblSales[[#This Row],[Customer ID]],tblCustomers[Customer ID],tblCustomers[Customer Name],"⚠ Unknown")</f>
        <v>Walk-in Customer</v>
      </c>
      <c r="F553" s="4" t="s">
        <v>6</v>
      </c>
      <c r="G553" s="1" t="str">
        <f>_xlfn.XLOOKUP(tblSales[[#This Row],[Product Code]],tblProducts[Code],tblProducts[Product / Service Name],"⚠ Unknown")</f>
        <v>Socks &amp; Accessories</v>
      </c>
      <c r="H553" s="1" t="str">
        <f>_xlfn.XLOOKUP(tblSales[[#This Row],[Product Code]],tblProducts[Code],tblProducts[Category],"")</f>
        <v>Accessories &amp; Basics</v>
      </c>
      <c r="I553" s="4">
        <v>12</v>
      </c>
      <c r="J553" s="5">
        <f>_xlfn.XLOOKUP(tblSales[[#This Row],[Product Code]],tblProducts[Code],tblProducts[Selling Price (excl. VAT)],0)</f>
        <v>45000</v>
      </c>
      <c r="K553" s="5">
        <f>tblSales[[#This Row],[Qty]]*tblSales[[#This Row],[Unit Price]]</f>
        <v>540000</v>
      </c>
      <c r="L553" s="5">
        <f>ROUND(tblSales[[#This Row],[DPP (excl. VAT)]]*VATEff,0)</f>
        <v>59400</v>
      </c>
      <c r="M553" s="5">
        <f>tblSales[[#This Row],[DPP (excl. VAT)]]+tblSales[[#This Row],[Output VAT]]</f>
        <v>599400</v>
      </c>
      <c r="N553" s="5">
        <f>tblSales[[#This Row],[Qty]]*_xlfn.XLOOKUP(tblSales[[#This Row],[Product Code]],tblProducts[Code],tblProducts[Unit Cost],0)</f>
        <v>288000</v>
      </c>
      <c r="O553" s="4" t="s">
        <v>4866</v>
      </c>
      <c r="P553" s="4" t="s">
        <v>4861</v>
      </c>
      <c r="Q553" s="1" t="str">
        <f>_xlfn.XLOOKUP(tblSales[[#This Row],[Channel Code]],tblChannels[Channel Code],tblChannels[Channel Name],"")</f>
        <v>Marketplace</v>
      </c>
      <c r="R553" s="1">
        <f>MONTH(tblSales[[#This Row],[Date]])</f>
        <v>2</v>
      </c>
    </row>
    <row r="554" spans="2:18" x14ac:dyDescent="0.35">
      <c r="B554" s="113">
        <v>46059</v>
      </c>
      <c r="C554" s="4" t="s">
        <v>381</v>
      </c>
      <c r="D554" s="4" t="s">
        <v>4568</v>
      </c>
      <c r="E554" s="1" t="str">
        <f>_xlfn.XLOOKUP(tblSales[[#This Row],[Customer ID]],tblCustomers[Customer ID],tblCustomers[Customer Name],"⚠ Unknown")</f>
        <v>Walk-in Customer</v>
      </c>
      <c r="F554" s="4" t="s">
        <v>6</v>
      </c>
      <c r="G554" s="1" t="str">
        <f>_xlfn.XLOOKUP(tblSales[[#This Row],[Product Code]],tblProducts[Code],tblProducts[Product / Service Name],"⚠ Unknown")</f>
        <v>Socks &amp; Accessories</v>
      </c>
      <c r="H554" s="1" t="str">
        <f>_xlfn.XLOOKUP(tblSales[[#This Row],[Product Code]],tblProducts[Code],tblProducts[Category],"")</f>
        <v>Accessories &amp; Basics</v>
      </c>
      <c r="I554" s="4">
        <v>9</v>
      </c>
      <c r="J554" s="5">
        <f>_xlfn.XLOOKUP(tblSales[[#This Row],[Product Code]],tblProducts[Code],tblProducts[Selling Price (excl. VAT)],0)</f>
        <v>45000</v>
      </c>
      <c r="K554" s="5">
        <f>tblSales[[#This Row],[Qty]]*tblSales[[#This Row],[Unit Price]]</f>
        <v>405000</v>
      </c>
      <c r="L554" s="5">
        <f>ROUND(tblSales[[#This Row],[DPP (excl. VAT)]]*VATEff,0)</f>
        <v>44550</v>
      </c>
      <c r="M554" s="5">
        <f>tblSales[[#This Row],[DPP (excl. VAT)]]+tblSales[[#This Row],[Output VAT]]</f>
        <v>449550</v>
      </c>
      <c r="N554" s="5">
        <f>tblSales[[#This Row],[Qty]]*_xlfn.XLOOKUP(tblSales[[#This Row],[Product Code]],tblProducts[Code],tblProducts[Unit Cost],0)</f>
        <v>216000</v>
      </c>
      <c r="O554" s="4" t="s">
        <v>4865</v>
      </c>
      <c r="P554" s="4" t="s">
        <v>4860</v>
      </c>
      <c r="Q554" s="1" t="str">
        <f>_xlfn.XLOOKUP(tblSales[[#This Row],[Channel Code]],tblChannels[Channel Code],tblChannels[Channel Name],"")</f>
        <v>In-store</v>
      </c>
      <c r="R554" s="1">
        <f>MONTH(tblSales[[#This Row],[Date]])</f>
        <v>2</v>
      </c>
    </row>
    <row r="555" spans="2:18" x14ac:dyDescent="0.35">
      <c r="B555" s="113">
        <v>46059</v>
      </c>
      <c r="C555" s="4" t="s">
        <v>381</v>
      </c>
      <c r="D555" s="4" t="s">
        <v>4568</v>
      </c>
      <c r="E555" s="1" t="str">
        <f>_xlfn.XLOOKUP(tblSales[[#This Row],[Customer ID]],tblCustomers[Customer ID],tblCustomers[Customer Name],"⚠ Unknown")</f>
        <v>Walk-in Customer</v>
      </c>
      <c r="F555" s="4" t="s">
        <v>15</v>
      </c>
      <c r="G555" s="1" t="str">
        <f>_xlfn.XLOOKUP(tblSales[[#This Row],[Product Code]],tblProducts[Code],tblProducts[Product / Service Name],"⚠ Unknown")</f>
        <v>Wireless Earbuds Pro</v>
      </c>
      <c r="H555" s="1" t="str">
        <f>_xlfn.XLOOKUP(tblSales[[#This Row],[Product Code]],tblProducts[Code],tblProducts[Category],"")</f>
        <v>Bags &amp; Gadgets</v>
      </c>
      <c r="I555" s="4">
        <v>3</v>
      </c>
      <c r="J555" s="5">
        <f>_xlfn.XLOOKUP(tblSales[[#This Row],[Product Code]],tblProducts[Code],tblProducts[Selling Price (excl. VAT)],0)</f>
        <v>1250000</v>
      </c>
      <c r="K555" s="5">
        <f>tblSales[[#This Row],[Qty]]*tblSales[[#This Row],[Unit Price]]</f>
        <v>3750000</v>
      </c>
      <c r="L555" s="5">
        <f>ROUND(tblSales[[#This Row],[DPP (excl. VAT)]]*VATEff,0)</f>
        <v>412500</v>
      </c>
      <c r="M555" s="5">
        <f>tblSales[[#This Row],[DPP (excl. VAT)]]+tblSales[[#This Row],[Output VAT]]</f>
        <v>4162500</v>
      </c>
      <c r="N555" s="5">
        <f>tblSales[[#This Row],[Qty]]*_xlfn.XLOOKUP(tblSales[[#This Row],[Product Code]],tblProducts[Code],tblProducts[Unit Cost],0)</f>
        <v>2460000</v>
      </c>
      <c r="O555" s="4" t="s">
        <v>4865</v>
      </c>
      <c r="P555" s="4" t="s">
        <v>4860</v>
      </c>
      <c r="Q555" s="1" t="str">
        <f>_xlfn.XLOOKUP(tblSales[[#This Row],[Channel Code]],tblChannels[Channel Code],tblChannels[Channel Name],"")</f>
        <v>In-store</v>
      </c>
      <c r="R555" s="1">
        <f>MONTH(tblSales[[#This Row],[Date]])</f>
        <v>2</v>
      </c>
    </row>
    <row r="556" spans="2:18" x14ac:dyDescent="0.35">
      <c r="B556" s="113">
        <v>46059</v>
      </c>
      <c r="C556" s="4" t="s">
        <v>381</v>
      </c>
      <c r="D556" s="4" t="s">
        <v>4568</v>
      </c>
      <c r="E556" s="1" t="str">
        <f>_xlfn.XLOOKUP(tblSales[[#This Row],[Customer ID]],tblCustomers[Customer ID],tblCustomers[Customer Name],"⚠ Unknown")</f>
        <v>Walk-in Customer</v>
      </c>
      <c r="F556" s="4" t="s">
        <v>9</v>
      </c>
      <c r="G556" s="1" t="str">
        <f>_xlfn.XLOOKUP(tblSales[[#This Row],[Product Code]],tblProducts[Code],tblProducts[Product / Service Name],"⚠ Unknown")</f>
        <v>Casual Shirt</v>
      </c>
      <c r="H556" s="1" t="str">
        <f>_xlfn.XLOOKUP(tblSales[[#This Row],[Product Code]],tblProducts[Code],tblProducts[Category],"")</f>
        <v>Apparel &amp; Footwear</v>
      </c>
      <c r="I556" s="4">
        <v>2</v>
      </c>
      <c r="J556" s="5">
        <f>_xlfn.XLOOKUP(tblSales[[#This Row],[Product Code]],tblProducts[Code],tblProducts[Selling Price (excl. VAT)],0)</f>
        <v>120000</v>
      </c>
      <c r="K556" s="5">
        <f>tblSales[[#This Row],[Qty]]*tblSales[[#This Row],[Unit Price]]</f>
        <v>240000</v>
      </c>
      <c r="L556" s="5">
        <f>ROUND(tblSales[[#This Row],[DPP (excl. VAT)]]*VATEff,0)</f>
        <v>26400</v>
      </c>
      <c r="M556" s="5">
        <f>tblSales[[#This Row],[DPP (excl. VAT)]]+tblSales[[#This Row],[Output VAT]]</f>
        <v>266400</v>
      </c>
      <c r="N556" s="5">
        <f>tblSales[[#This Row],[Qty]]*_xlfn.XLOOKUP(tblSales[[#This Row],[Product Code]],tblProducts[Code],tblProducts[Unit Cost],0)</f>
        <v>144000</v>
      </c>
      <c r="O556" s="4" t="s">
        <v>4865</v>
      </c>
      <c r="P556" s="4" t="s">
        <v>4860</v>
      </c>
      <c r="Q556" s="1" t="str">
        <f>_xlfn.XLOOKUP(tblSales[[#This Row],[Channel Code]],tblChannels[Channel Code],tblChannels[Channel Name],"")</f>
        <v>In-store</v>
      </c>
      <c r="R556" s="1">
        <f>MONTH(tblSales[[#This Row],[Date]])</f>
        <v>2</v>
      </c>
    </row>
    <row r="557" spans="2:18" x14ac:dyDescent="0.35">
      <c r="B557" s="113">
        <v>46059</v>
      </c>
      <c r="C557" s="4" t="s">
        <v>382</v>
      </c>
      <c r="D557" s="4" t="s">
        <v>4593</v>
      </c>
      <c r="E557" s="1" t="str">
        <f>_xlfn.XLOOKUP(tblSales[[#This Row],[Customer ID]],tblCustomers[Customer ID],tblCustomers[Customer Name],"⚠ Unknown")</f>
        <v>PT Graha Nusa Persada</v>
      </c>
      <c r="F557" s="4" t="s">
        <v>6</v>
      </c>
      <c r="G557" s="1" t="str">
        <f>_xlfn.XLOOKUP(tblSales[[#This Row],[Product Code]],tblProducts[Code],tblProducts[Product / Service Name],"⚠ Unknown")</f>
        <v>Socks &amp; Accessories</v>
      </c>
      <c r="H557" s="1" t="str">
        <f>_xlfn.XLOOKUP(tblSales[[#This Row],[Product Code]],tblProducts[Code],tblProducts[Category],"")</f>
        <v>Accessories &amp; Basics</v>
      </c>
      <c r="I557" s="4">
        <v>96</v>
      </c>
      <c r="J557" s="5">
        <f>_xlfn.XLOOKUP(tblSales[[#This Row],[Product Code]],tblProducts[Code],tblProducts[Selling Price (excl. VAT)],0)</f>
        <v>45000</v>
      </c>
      <c r="K557" s="5">
        <f>tblSales[[#This Row],[Qty]]*tblSales[[#This Row],[Unit Price]]</f>
        <v>4320000</v>
      </c>
      <c r="L557" s="5">
        <f>ROUND(tblSales[[#This Row],[DPP (excl. VAT)]]*VATEff,0)</f>
        <v>475200</v>
      </c>
      <c r="M557" s="5">
        <f>tblSales[[#This Row],[DPP (excl. VAT)]]+tblSales[[#This Row],[Output VAT]]</f>
        <v>4795200</v>
      </c>
      <c r="N557" s="5">
        <f>tblSales[[#This Row],[Qty]]*_xlfn.XLOOKUP(tblSales[[#This Row],[Product Code]],tblProducts[Code],tblProducts[Unit Cost],0)</f>
        <v>2304000</v>
      </c>
      <c r="O557" s="4" t="s">
        <v>4867</v>
      </c>
      <c r="P557" s="4" t="s">
        <v>4860</v>
      </c>
      <c r="Q557" s="1" t="str">
        <f>_xlfn.XLOOKUP(tblSales[[#This Row],[Channel Code]],tblChannels[Channel Code],tblChannels[Channel Name],"")</f>
        <v>In-store</v>
      </c>
      <c r="R557" s="1">
        <f>MONTH(tblSales[[#This Row],[Date]])</f>
        <v>2</v>
      </c>
    </row>
    <row r="558" spans="2:18" x14ac:dyDescent="0.35">
      <c r="B558" s="113">
        <v>46060</v>
      </c>
      <c r="C558" s="4" t="s">
        <v>383</v>
      </c>
      <c r="D558" s="4" t="s">
        <v>4568</v>
      </c>
      <c r="E558" s="1" t="str">
        <f>_xlfn.XLOOKUP(tblSales[[#This Row],[Customer ID]],tblCustomers[Customer ID],tblCustomers[Customer Name],"⚠ Unknown")</f>
        <v>Walk-in Customer</v>
      </c>
      <c r="F558" s="4" t="s">
        <v>7</v>
      </c>
      <c r="G558" s="1" t="str">
        <f>_xlfn.XLOOKUP(tblSales[[#This Row],[Product Code]],tblProducts[Code],tblProducts[Product / Service Name],"⚠ Unknown")</f>
        <v>Premium Basic T-shirt</v>
      </c>
      <c r="H558" s="1" t="str">
        <f>_xlfn.XLOOKUP(tblSales[[#This Row],[Product Code]],tblProducts[Code],tblProducts[Category],"")</f>
        <v>Accessories &amp; Basics</v>
      </c>
      <c r="I558" s="4">
        <v>7</v>
      </c>
      <c r="J558" s="5">
        <f>_xlfn.XLOOKUP(tblSales[[#This Row],[Product Code]],tblProducts[Code],tblProducts[Selling Price (excl. VAT)],0)</f>
        <v>65000</v>
      </c>
      <c r="K558" s="5">
        <f>tblSales[[#This Row],[Qty]]*tblSales[[#This Row],[Unit Price]]</f>
        <v>455000</v>
      </c>
      <c r="L558" s="5">
        <f>ROUND(tblSales[[#This Row],[DPP (excl. VAT)]]*VATEff,0)</f>
        <v>50050</v>
      </c>
      <c r="M558" s="5">
        <f>tblSales[[#This Row],[DPP (excl. VAT)]]+tblSales[[#This Row],[Output VAT]]</f>
        <v>505050</v>
      </c>
      <c r="N558" s="5">
        <f>tblSales[[#This Row],[Qty]]*_xlfn.XLOOKUP(tblSales[[#This Row],[Product Code]],tblProducts[Code],tblProducts[Unit Cost],0)</f>
        <v>259000</v>
      </c>
      <c r="O558" s="4" t="s">
        <v>4865</v>
      </c>
      <c r="P558" s="4" t="s">
        <v>4860</v>
      </c>
      <c r="Q558" s="1" t="str">
        <f>_xlfn.XLOOKUP(tblSales[[#This Row],[Channel Code]],tblChannels[Channel Code],tblChannels[Channel Name],"")</f>
        <v>In-store</v>
      </c>
      <c r="R558" s="1">
        <f>MONTH(tblSales[[#This Row],[Date]])</f>
        <v>2</v>
      </c>
    </row>
    <row r="559" spans="2:18" x14ac:dyDescent="0.35">
      <c r="B559" s="113">
        <v>46060</v>
      </c>
      <c r="C559" s="4" t="s">
        <v>384</v>
      </c>
      <c r="D559" s="4" t="s">
        <v>4568</v>
      </c>
      <c r="E559" s="1" t="str">
        <f>_xlfn.XLOOKUP(tblSales[[#This Row],[Customer ID]],tblCustomers[Customer ID],tblCustomers[Customer Name],"⚠ Unknown")</f>
        <v>Walk-in Customer</v>
      </c>
      <c r="F559" s="4" t="s">
        <v>7</v>
      </c>
      <c r="G559" s="1" t="str">
        <f>_xlfn.XLOOKUP(tblSales[[#This Row],[Product Code]],tblProducts[Code],tblProducts[Product / Service Name],"⚠ Unknown")</f>
        <v>Premium Basic T-shirt</v>
      </c>
      <c r="H559" s="1" t="str">
        <f>_xlfn.XLOOKUP(tblSales[[#This Row],[Product Code]],tblProducts[Code],tblProducts[Category],"")</f>
        <v>Accessories &amp; Basics</v>
      </c>
      <c r="I559" s="4">
        <v>5</v>
      </c>
      <c r="J559" s="5">
        <f>_xlfn.XLOOKUP(tblSales[[#This Row],[Product Code]],tblProducts[Code],tblProducts[Selling Price (excl. VAT)],0)</f>
        <v>65000</v>
      </c>
      <c r="K559" s="5">
        <f>tblSales[[#This Row],[Qty]]*tblSales[[#This Row],[Unit Price]]</f>
        <v>325000</v>
      </c>
      <c r="L559" s="5">
        <f>ROUND(tblSales[[#This Row],[DPP (excl. VAT)]]*VATEff,0)</f>
        <v>35750</v>
      </c>
      <c r="M559" s="5">
        <f>tblSales[[#This Row],[DPP (excl. VAT)]]+tblSales[[#This Row],[Output VAT]]</f>
        <v>360750</v>
      </c>
      <c r="N559" s="5">
        <f>tblSales[[#This Row],[Qty]]*_xlfn.XLOOKUP(tblSales[[#This Row],[Product Code]],tblProducts[Code],tblProducts[Unit Cost],0)</f>
        <v>185000</v>
      </c>
      <c r="O559" s="4" t="s">
        <v>4866</v>
      </c>
      <c r="P559" s="4" t="s">
        <v>4860</v>
      </c>
      <c r="Q559" s="1" t="str">
        <f>_xlfn.XLOOKUP(tblSales[[#This Row],[Channel Code]],tblChannels[Channel Code],tblChannels[Channel Name],"")</f>
        <v>In-store</v>
      </c>
      <c r="R559" s="1">
        <f>MONTH(tblSales[[#This Row],[Date]])</f>
        <v>2</v>
      </c>
    </row>
    <row r="560" spans="2:18" x14ac:dyDescent="0.35">
      <c r="B560" s="113">
        <v>46060</v>
      </c>
      <c r="C560" s="4" t="s">
        <v>384</v>
      </c>
      <c r="D560" s="4" t="s">
        <v>4568</v>
      </c>
      <c r="E560" s="1" t="str">
        <f>_xlfn.XLOOKUP(tblSales[[#This Row],[Customer ID]],tblCustomers[Customer ID],tblCustomers[Customer Name],"⚠ Unknown")</f>
        <v>Walk-in Customer</v>
      </c>
      <c r="F560" s="4" t="s">
        <v>6</v>
      </c>
      <c r="G560" s="1" t="str">
        <f>_xlfn.XLOOKUP(tblSales[[#This Row],[Product Code]],tblProducts[Code],tblProducts[Product / Service Name],"⚠ Unknown")</f>
        <v>Socks &amp; Accessories</v>
      </c>
      <c r="H560" s="1" t="str">
        <f>_xlfn.XLOOKUP(tblSales[[#This Row],[Product Code]],tblProducts[Code],tblProducts[Category],"")</f>
        <v>Accessories &amp; Basics</v>
      </c>
      <c r="I560" s="4">
        <v>3</v>
      </c>
      <c r="J560" s="5">
        <f>_xlfn.XLOOKUP(tblSales[[#This Row],[Product Code]],tblProducts[Code],tblProducts[Selling Price (excl. VAT)],0)</f>
        <v>45000</v>
      </c>
      <c r="K560" s="5">
        <f>tblSales[[#This Row],[Qty]]*tblSales[[#This Row],[Unit Price]]</f>
        <v>135000</v>
      </c>
      <c r="L560" s="5">
        <f>ROUND(tblSales[[#This Row],[DPP (excl. VAT)]]*VATEff,0)</f>
        <v>14850</v>
      </c>
      <c r="M560" s="5">
        <f>tblSales[[#This Row],[DPP (excl. VAT)]]+tblSales[[#This Row],[Output VAT]]</f>
        <v>149850</v>
      </c>
      <c r="N560" s="5">
        <f>tblSales[[#This Row],[Qty]]*_xlfn.XLOOKUP(tblSales[[#This Row],[Product Code]],tblProducts[Code],tblProducts[Unit Cost],0)</f>
        <v>72000</v>
      </c>
      <c r="O560" s="4" t="s">
        <v>4866</v>
      </c>
      <c r="P560" s="4" t="s">
        <v>4860</v>
      </c>
      <c r="Q560" s="1" t="str">
        <f>_xlfn.XLOOKUP(tblSales[[#This Row],[Channel Code]],tblChannels[Channel Code],tblChannels[Channel Name],"")</f>
        <v>In-store</v>
      </c>
      <c r="R560" s="1">
        <f>MONTH(tblSales[[#This Row],[Date]])</f>
        <v>2</v>
      </c>
    </row>
    <row r="561" spans="2:18" x14ac:dyDescent="0.35">
      <c r="B561" s="113">
        <v>46060</v>
      </c>
      <c r="C561" s="4" t="s">
        <v>385</v>
      </c>
      <c r="D561" s="4" t="s">
        <v>4568</v>
      </c>
      <c r="E561" s="1" t="str">
        <f>_xlfn.XLOOKUP(tblSales[[#This Row],[Customer ID]],tblCustomers[Customer ID],tblCustomers[Customer Name],"⚠ Unknown")</f>
        <v>Walk-in Customer</v>
      </c>
      <c r="F561" s="4" t="s">
        <v>15</v>
      </c>
      <c r="G561" s="1" t="str">
        <f>_xlfn.XLOOKUP(tblSales[[#This Row],[Product Code]],tblProducts[Code],tblProducts[Product / Service Name],"⚠ Unknown")</f>
        <v>Wireless Earbuds Pro</v>
      </c>
      <c r="H561" s="1" t="str">
        <f>_xlfn.XLOOKUP(tblSales[[#This Row],[Product Code]],tblProducts[Code],tblProducts[Category],"")</f>
        <v>Bags &amp; Gadgets</v>
      </c>
      <c r="I561" s="4">
        <v>3</v>
      </c>
      <c r="J561" s="5">
        <f>_xlfn.XLOOKUP(tblSales[[#This Row],[Product Code]],tblProducts[Code],tblProducts[Selling Price (excl. VAT)],0)</f>
        <v>1250000</v>
      </c>
      <c r="K561" s="5">
        <f>tblSales[[#This Row],[Qty]]*tblSales[[#This Row],[Unit Price]]</f>
        <v>3750000</v>
      </c>
      <c r="L561" s="5">
        <f>ROUND(tblSales[[#This Row],[DPP (excl. VAT)]]*VATEff,0)</f>
        <v>412500</v>
      </c>
      <c r="M561" s="5">
        <f>tblSales[[#This Row],[DPP (excl. VAT)]]+tblSales[[#This Row],[Output VAT]]</f>
        <v>4162500</v>
      </c>
      <c r="N561" s="5">
        <f>tblSales[[#This Row],[Qty]]*_xlfn.XLOOKUP(tblSales[[#This Row],[Product Code]],tblProducts[Code],tblProducts[Unit Cost],0)</f>
        <v>2460000</v>
      </c>
      <c r="O561" s="4" t="s">
        <v>4866</v>
      </c>
      <c r="P561" s="4" t="s">
        <v>4860</v>
      </c>
      <c r="Q561" s="1" t="str">
        <f>_xlfn.XLOOKUP(tblSales[[#This Row],[Channel Code]],tblChannels[Channel Code],tblChannels[Channel Name],"")</f>
        <v>In-store</v>
      </c>
      <c r="R561" s="1">
        <f>MONTH(tblSales[[#This Row],[Date]])</f>
        <v>2</v>
      </c>
    </row>
    <row r="562" spans="2:18" x14ac:dyDescent="0.35">
      <c r="B562" s="113">
        <v>46060</v>
      </c>
      <c r="C562" s="4" t="s">
        <v>386</v>
      </c>
      <c r="D562" s="4" t="s">
        <v>4568</v>
      </c>
      <c r="E562" s="1" t="str">
        <f>_xlfn.XLOOKUP(tblSales[[#This Row],[Customer ID]],tblCustomers[Customer ID],tblCustomers[Customer Name],"⚠ Unknown")</f>
        <v>Walk-in Customer</v>
      </c>
      <c r="F562" s="4" t="s">
        <v>13</v>
      </c>
      <c r="G562" s="1" t="str">
        <f>_xlfn.XLOOKUP(tblSales[[#This Row],[Product Code]],tblProducts[Code],tblProducts[Product / Service Name],"⚠ Unknown")</f>
        <v>Backpack</v>
      </c>
      <c r="H562" s="1" t="str">
        <f>_xlfn.XLOOKUP(tblSales[[#This Row],[Product Code]],tblProducts[Code],tblProducts[Category],"")</f>
        <v>Bags &amp; Gadgets</v>
      </c>
      <c r="I562" s="4">
        <v>6</v>
      </c>
      <c r="J562" s="5">
        <f>_xlfn.XLOOKUP(tblSales[[#This Row],[Product Code]],tblProducts[Code],tblProducts[Selling Price (excl. VAT)],0)</f>
        <v>500000</v>
      </c>
      <c r="K562" s="5">
        <f>tblSales[[#This Row],[Qty]]*tblSales[[#This Row],[Unit Price]]</f>
        <v>3000000</v>
      </c>
      <c r="L562" s="5">
        <f>ROUND(tblSales[[#This Row],[DPP (excl. VAT)]]*VATEff,0)</f>
        <v>330000</v>
      </c>
      <c r="M562" s="5">
        <f>tblSales[[#This Row],[DPP (excl. VAT)]]+tblSales[[#This Row],[Output VAT]]</f>
        <v>3330000</v>
      </c>
      <c r="N562" s="5">
        <f>tblSales[[#This Row],[Qty]]*_xlfn.XLOOKUP(tblSales[[#This Row],[Product Code]],tblProducts[Code],tblProducts[Unit Cost],0)</f>
        <v>1740000</v>
      </c>
      <c r="O562" s="4" t="s">
        <v>4866</v>
      </c>
      <c r="P562" s="4" t="s">
        <v>4860</v>
      </c>
      <c r="Q562" s="1" t="str">
        <f>_xlfn.XLOOKUP(tblSales[[#This Row],[Channel Code]],tblChannels[Channel Code],tblChannels[Channel Name],"")</f>
        <v>In-store</v>
      </c>
      <c r="R562" s="1">
        <f>MONTH(tblSales[[#This Row],[Date]])</f>
        <v>2</v>
      </c>
    </row>
    <row r="563" spans="2:18" x14ac:dyDescent="0.35">
      <c r="B563" s="113">
        <v>46060</v>
      </c>
      <c r="C563" s="4" t="s">
        <v>387</v>
      </c>
      <c r="D563" s="4" t="s">
        <v>4568</v>
      </c>
      <c r="E563" s="1" t="str">
        <f>_xlfn.XLOOKUP(tblSales[[#This Row],[Customer ID]],tblCustomers[Customer ID],tblCustomers[Customer Name],"⚠ Unknown")</f>
        <v>Walk-in Customer</v>
      </c>
      <c r="F563" s="4" t="s">
        <v>7</v>
      </c>
      <c r="G563" s="1" t="str">
        <f>_xlfn.XLOOKUP(tblSales[[#This Row],[Product Code]],tblProducts[Code],tblProducts[Product / Service Name],"⚠ Unknown")</f>
        <v>Premium Basic T-shirt</v>
      </c>
      <c r="H563" s="1" t="str">
        <f>_xlfn.XLOOKUP(tblSales[[#This Row],[Product Code]],tblProducts[Code],tblProducts[Category],"")</f>
        <v>Accessories &amp; Basics</v>
      </c>
      <c r="I563" s="4">
        <v>6</v>
      </c>
      <c r="J563" s="5">
        <f>_xlfn.XLOOKUP(tblSales[[#This Row],[Product Code]],tblProducts[Code],tblProducts[Selling Price (excl. VAT)],0)</f>
        <v>65000</v>
      </c>
      <c r="K563" s="5">
        <f>tblSales[[#This Row],[Qty]]*tblSales[[#This Row],[Unit Price]]</f>
        <v>390000</v>
      </c>
      <c r="L563" s="5">
        <f>ROUND(tblSales[[#This Row],[DPP (excl. VAT)]]*VATEff,0)</f>
        <v>42900</v>
      </c>
      <c r="M563" s="5">
        <f>tblSales[[#This Row],[DPP (excl. VAT)]]+tblSales[[#This Row],[Output VAT]]</f>
        <v>432900</v>
      </c>
      <c r="N563" s="5">
        <f>tblSales[[#This Row],[Qty]]*_xlfn.XLOOKUP(tblSales[[#This Row],[Product Code]],tblProducts[Code],tblProducts[Unit Cost],0)</f>
        <v>222000</v>
      </c>
      <c r="O563" s="4" t="s">
        <v>4865</v>
      </c>
      <c r="P563" s="4" t="s">
        <v>4860</v>
      </c>
      <c r="Q563" s="1" t="str">
        <f>_xlfn.XLOOKUP(tblSales[[#This Row],[Channel Code]],tblChannels[Channel Code],tblChannels[Channel Name],"")</f>
        <v>In-store</v>
      </c>
      <c r="R563" s="1">
        <f>MONTH(tblSales[[#This Row],[Date]])</f>
        <v>2</v>
      </c>
    </row>
    <row r="564" spans="2:18" x14ac:dyDescent="0.35">
      <c r="B564" s="113">
        <v>46060</v>
      </c>
      <c r="C564" s="4" t="s">
        <v>387</v>
      </c>
      <c r="D564" s="4" t="s">
        <v>4568</v>
      </c>
      <c r="E564" s="1" t="str">
        <f>_xlfn.XLOOKUP(tblSales[[#This Row],[Customer ID]],tblCustomers[Customer ID],tblCustomers[Customer Name],"⚠ Unknown")</f>
        <v>Walk-in Customer</v>
      </c>
      <c r="F564" s="4" t="s">
        <v>15</v>
      </c>
      <c r="G564" s="1" t="str">
        <f>_xlfn.XLOOKUP(tblSales[[#This Row],[Product Code]],tblProducts[Code],tblProducts[Product / Service Name],"⚠ Unknown")</f>
        <v>Wireless Earbuds Pro</v>
      </c>
      <c r="H564" s="1" t="str">
        <f>_xlfn.XLOOKUP(tblSales[[#This Row],[Product Code]],tblProducts[Code],tblProducts[Category],"")</f>
        <v>Bags &amp; Gadgets</v>
      </c>
      <c r="I564" s="4">
        <v>3</v>
      </c>
      <c r="J564" s="5">
        <f>_xlfn.XLOOKUP(tblSales[[#This Row],[Product Code]],tblProducts[Code],tblProducts[Selling Price (excl. VAT)],0)</f>
        <v>1250000</v>
      </c>
      <c r="K564" s="5">
        <f>tblSales[[#This Row],[Qty]]*tblSales[[#This Row],[Unit Price]]</f>
        <v>3750000</v>
      </c>
      <c r="L564" s="5">
        <f>ROUND(tblSales[[#This Row],[DPP (excl. VAT)]]*VATEff,0)</f>
        <v>412500</v>
      </c>
      <c r="M564" s="5">
        <f>tblSales[[#This Row],[DPP (excl. VAT)]]+tblSales[[#This Row],[Output VAT]]</f>
        <v>4162500</v>
      </c>
      <c r="N564" s="5">
        <f>tblSales[[#This Row],[Qty]]*_xlfn.XLOOKUP(tblSales[[#This Row],[Product Code]],tblProducts[Code],tblProducts[Unit Cost],0)</f>
        <v>2460000</v>
      </c>
      <c r="O564" s="4" t="s">
        <v>4865</v>
      </c>
      <c r="P564" s="4" t="s">
        <v>4860</v>
      </c>
      <c r="Q564" s="1" t="str">
        <f>_xlfn.XLOOKUP(tblSales[[#This Row],[Channel Code]],tblChannels[Channel Code],tblChannels[Channel Name],"")</f>
        <v>In-store</v>
      </c>
      <c r="R564" s="1">
        <f>MONTH(tblSales[[#This Row],[Date]])</f>
        <v>2</v>
      </c>
    </row>
    <row r="565" spans="2:18" x14ac:dyDescent="0.35">
      <c r="B565" s="113">
        <v>46060</v>
      </c>
      <c r="C565" s="4" t="s">
        <v>388</v>
      </c>
      <c r="D565" s="4" t="s">
        <v>4568</v>
      </c>
      <c r="E565" s="1" t="str">
        <f>_xlfn.XLOOKUP(tblSales[[#This Row],[Customer ID]],tblCustomers[Customer ID],tblCustomers[Customer Name],"⚠ Unknown")</f>
        <v>Walk-in Customer</v>
      </c>
      <c r="F565" s="4" t="s">
        <v>8</v>
      </c>
      <c r="G565" s="1" t="str">
        <f>_xlfn.XLOOKUP(tblSales[[#This Row],[Product Code]],tblProducts[Code],tblProducts[Product / Service Name],"⚠ Unknown")</f>
        <v>Casual Shorts</v>
      </c>
      <c r="H565" s="1" t="str">
        <f>_xlfn.XLOOKUP(tblSales[[#This Row],[Product Code]],tblProducts[Code],tblProducts[Category],"")</f>
        <v>Accessories &amp; Basics</v>
      </c>
      <c r="I565" s="4">
        <v>9</v>
      </c>
      <c r="J565" s="5">
        <f>_xlfn.XLOOKUP(tblSales[[#This Row],[Product Code]],tblProducts[Code],tblProducts[Selling Price (excl. VAT)],0)</f>
        <v>85000</v>
      </c>
      <c r="K565" s="5">
        <f>tblSales[[#This Row],[Qty]]*tblSales[[#This Row],[Unit Price]]</f>
        <v>765000</v>
      </c>
      <c r="L565" s="5">
        <f>ROUND(tblSales[[#This Row],[DPP (excl. VAT)]]*VATEff,0)</f>
        <v>84150</v>
      </c>
      <c r="M565" s="5">
        <f>tblSales[[#This Row],[DPP (excl. VAT)]]+tblSales[[#This Row],[Output VAT]]</f>
        <v>849150</v>
      </c>
      <c r="N565" s="5">
        <f>tblSales[[#This Row],[Qty]]*_xlfn.XLOOKUP(tblSales[[#This Row],[Product Code]],tblProducts[Code],tblProducts[Unit Cost],0)</f>
        <v>450000</v>
      </c>
      <c r="O565" s="4" t="s">
        <v>4866</v>
      </c>
      <c r="P565" s="4" t="s">
        <v>4861</v>
      </c>
      <c r="Q565" s="1" t="str">
        <f>_xlfn.XLOOKUP(tblSales[[#This Row],[Channel Code]],tblChannels[Channel Code],tblChannels[Channel Name],"")</f>
        <v>Marketplace</v>
      </c>
      <c r="R565" s="1">
        <f>MONTH(tblSales[[#This Row],[Date]])</f>
        <v>2</v>
      </c>
    </row>
    <row r="566" spans="2:18" x14ac:dyDescent="0.35">
      <c r="B566" s="113">
        <v>46060</v>
      </c>
      <c r="C566" s="4" t="s">
        <v>389</v>
      </c>
      <c r="D566" s="4" t="s">
        <v>4568</v>
      </c>
      <c r="E566" s="1" t="str">
        <f>_xlfn.XLOOKUP(tblSales[[#This Row],[Customer ID]],tblCustomers[Customer ID],tblCustomers[Customer Name],"⚠ Unknown")</f>
        <v>Walk-in Customer</v>
      </c>
      <c r="F566" s="4" t="s">
        <v>6</v>
      </c>
      <c r="G566" s="1" t="str">
        <f>_xlfn.XLOOKUP(tblSales[[#This Row],[Product Code]],tblProducts[Code],tblProducts[Product / Service Name],"⚠ Unknown")</f>
        <v>Socks &amp; Accessories</v>
      </c>
      <c r="H566" s="1" t="str">
        <f>_xlfn.XLOOKUP(tblSales[[#This Row],[Product Code]],tblProducts[Code],tblProducts[Category],"")</f>
        <v>Accessories &amp; Basics</v>
      </c>
      <c r="I566" s="4">
        <v>1</v>
      </c>
      <c r="J566" s="5">
        <f>_xlfn.XLOOKUP(tblSales[[#This Row],[Product Code]],tblProducts[Code],tblProducts[Selling Price (excl. VAT)],0)</f>
        <v>45000</v>
      </c>
      <c r="K566" s="5">
        <f>tblSales[[#This Row],[Qty]]*tblSales[[#This Row],[Unit Price]]</f>
        <v>45000</v>
      </c>
      <c r="L566" s="5">
        <f>ROUND(tblSales[[#This Row],[DPP (excl. VAT)]]*VATEff,0)</f>
        <v>4950</v>
      </c>
      <c r="M566" s="5">
        <f>tblSales[[#This Row],[DPP (excl. VAT)]]+tblSales[[#This Row],[Output VAT]]</f>
        <v>49950</v>
      </c>
      <c r="N566" s="5">
        <f>tblSales[[#This Row],[Qty]]*_xlfn.XLOOKUP(tblSales[[#This Row],[Product Code]],tblProducts[Code],tblProducts[Unit Cost],0)</f>
        <v>24000</v>
      </c>
      <c r="O566" s="4" t="s">
        <v>4866</v>
      </c>
      <c r="P566" s="4" t="s">
        <v>4861</v>
      </c>
      <c r="Q566" s="1" t="str">
        <f>_xlfn.XLOOKUP(tblSales[[#This Row],[Channel Code]],tblChannels[Channel Code],tblChannels[Channel Name],"")</f>
        <v>Marketplace</v>
      </c>
      <c r="R566" s="1">
        <f>MONTH(tblSales[[#This Row],[Date]])</f>
        <v>2</v>
      </c>
    </row>
    <row r="567" spans="2:18" x14ac:dyDescent="0.35">
      <c r="B567" s="113">
        <v>46060</v>
      </c>
      <c r="C567" s="4" t="s">
        <v>390</v>
      </c>
      <c r="D567" s="4" t="s">
        <v>4627</v>
      </c>
      <c r="E567" s="1" t="str">
        <f>_xlfn.XLOOKUP(tblSales[[#This Row],[Customer ID]],tblCustomers[Customer ID],tblCustomers[Customer Name],"⚠ Unknown")</f>
        <v>PT Kencana Wira Usaha</v>
      </c>
      <c r="F567" s="4" t="s">
        <v>10</v>
      </c>
      <c r="G567" s="1" t="str">
        <f>_xlfn.XLOOKUP(tblSales[[#This Row],[Product Code]],tblProducts[Code],tblProducts[Product / Service Name],"⚠ Unknown")</f>
        <v>Chino Pants</v>
      </c>
      <c r="H567" s="1" t="str">
        <f>_xlfn.XLOOKUP(tblSales[[#This Row],[Product Code]],tblProducts[Code],tblProducts[Category],"")</f>
        <v>Apparel &amp; Footwear</v>
      </c>
      <c r="I567" s="4">
        <v>88</v>
      </c>
      <c r="J567" s="5">
        <f>_xlfn.XLOOKUP(tblSales[[#This Row],[Product Code]],tblProducts[Code],tblProducts[Selling Price (excl. VAT)],0)</f>
        <v>150000</v>
      </c>
      <c r="K567" s="5">
        <f>tblSales[[#This Row],[Qty]]*tblSales[[#This Row],[Unit Price]]</f>
        <v>13200000</v>
      </c>
      <c r="L567" s="5">
        <f>ROUND(tblSales[[#This Row],[DPP (excl. VAT)]]*VATEff,0)</f>
        <v>1452000</v>
      </c>
      <c r="M567" s="5">
        <f>tblSales[[#This Row],[DPP (excl. VAT)]]+tblSales[[#This Row],[Output VAT]]</f>
        <v>14652000</v>
      </c>
      <c r="N567" s="5">
        <f>tblSales[[#This Row],[Qty]]*_xlfn.XLOOKUP(tblSales[[#This Row],[Product Code]],tblProducts[Code],tblProducts[Unit Cost],0)</f>
        <v>7744000</v>
      </c>
      <c r="O567" s="4" t="s">
        <v>4867</v>
      </c>
      <c r="P567" s="4" t="s">
        <v>4860</v>
      </c>
      <c r="Q567" s="1" t="str">
        <f>_xlfn.XLOOKUP(tblSales[[#This Row],[Channel Code]],tblChannels[Channel Code],tblChannels[Channel Name],"")</f>
        <v>In-store</v>
      </c>
      <c r="R567" s="1">
        <f>MONTH(tblSales[[#This Row],[Date]])</f>
        <v>2</v>
      </c>
    </row>
    <row r="568" spans="2:18" x14ac:dyDescent="0.35">
      <c r="B568" s="113">
        <v>46060</v>
      </c>
      <c r="C568" s="4" t="s">
        <v>391</v>
      </c>
      <c r="D568" s="4" t="s">
        <v>4568</v>
      </c>
      <c r="E568" s="1" t="str">
        <f>_xlfn.XLOOKUP(tblSales[[#This Row],[Customer ID]],tblCustomers[Customer ID],tblCustomers[Customer Name],"⚠ Unknown")</f>
        <v>Walk-in Customer</v>
      </c>
      <c r="F568" s="4" t="s">
        <v>6</v>
      </c>
      <c r="G568" s="1" t="str">
        <f>_xlfn.XLOOKUP(tblSales[[#This Row],[Product Code]],tblProducts[Code],tblProducts[Product / Service Name],"⚠ Unknown")</f>
        <v>Socks &amp; Accessories</v>
      </c>
      <c r="H568" s="1" t="str">
        <f>_xlfn.XLOOKUP(tblSales[[#This Row],[Product Code]],tblProducts[Code],tblProducts[Category],"")</f>
        <v>Accessories &amp; Basics</v>
      </c>
      <c r="I568" s="4">
        <v>9</v>
      </c>
      <c r="J568" s="5">
        <f>_xlfn.XLOOKUP(tblSales[[#This Row],[Product Code]],tblProducts[Code],tblProducts[Selling Price (excl. VAT)],0)</f>
        <v>45000</v>
      </c>
      <c r="K568" s="5">
        <f>tblSales[[#This Row],[Qty]]*tblSales[[#This Row],[Unit Price]]</f>
        <v>405000</v>
      </c>
      <c r="L568" s="5">
        <f>ROUND(tblSales[[#This Row],[DPP (excl. VAT)]]*VATEff,0)</f>
        <v>44550</v>
      </c>
      <c r="M568" s="5">
        <f>tblSales[[#This Row],[DPP (excl. VAT)]]+tblSales[[#This Row],[Output VAT]]</f>
        <v>449550</v>
      </c>
      <c r="N568" s="5">
        <f>tblSales[[#This Row],[Qty]]*_xlfn.XLOOKUP(tblSales[[#This Row],[Product Code]],tblProducts[Code],tblProducts[Unit Cost],0)</f>
        <v>216000</v>
      </c>
      <c r="O568" s="4" t="s">
        <v>4866</v>
      </c>
      <c r="P568" s="4" t="s">
        <v>4860</v>
      </c>
      <c r="Q568" s="1" t="str">
        <f>_xlfn.XLOOKUP(tblSales[[#This Row],[Channel Code]],tblChannels[Channel Code],tblChannels[Channel Name],"")</f>
        <v>In-store</v>
      </c>
      <c r="R568" s="1">
        <f>MONTH(tblSales[[#This Row],[Date]])</f>
        <v>2</v>
      </c>
    </row>
    <row r="569" spans="2:18" x14ac:dyDescent="0.35">
      <c r="B569" s="113">
        <v>46060</v>
      </c>
      <c r="C569" s="4" t="s">
        <v>391</v>
      </c>
      <c r="D569" s="4" t="s">
        <v>4568</v>
      </c>
      <c r="E569" s="1" t="str">
        <f>_xlfn.XLOOKUP(tblSales[[#This Row],[Customer ID]],tblCustomers[Customer ID],tblCustomers[Customer Name],"⚠ Unknown")</f>
        <v>Walk-in Customer</v>
      </c>
      <c r="F569" s="4" t="s">
        <v>7</v>
      </c>
      <c r="G569" s="1" t="str">
        <f>_xlfn.XLOOKUP(tblSales[[#This Row],[Product Code]],tblProducts[Code],tblProducts[Product / Service Name],"⚠ Unknown")</f>
        <v>Premium Basic T-shirt</v>
      </c>
      <c r="H569" s="1" t="str">
        <f>_xlfn.XLOOKUP(tblSales[[#This Row],[Product Code]],tblProducts[Code],tblProducts[Category],"")</f>
        <v>Accessories &amp; Basics</v>
      </c>
      <c r="I569" s="4">
        <v>12</v>
      </c>
      <c r="J569" s="5">
        <f>_xlfn.XLOOKUP(tblSales[[#This Row],[Product Code]],tblProducts[Code],tblProducts[Selling Price (excl. VAT)],0)</f>
        <v>65000</v>
      </c>
      <c r="K569" s="5">
        <f>tblSales[[#This Row],[Qty]]*tblSales[[#This Row],[Unit Price]]</f>
        <v>780000</v>
      </c>
      <c r="L569" s="5">
        <f>ROUND(tblSales[[#This Row],[DPP (excl. VAT)]]*VATEff,0)</f>
        <v>85800</v>
      </c>
      <c r="M569" s="5">
        <f>tblSales[[#This Row],[DPP (excl. VAT)]]+tblSales[[#This Row],[Output VAT]]</f>
        <v>865800</v>
      </c>
      <c r="N569" s="5">
        <f>tblSales[[#This Row],[Qty]]*_xlfn.XLOOKUP(tblSales[[#This Row],[Product Code]],tblProducts[Code],tblProducts[Unit Cost],0)</f>
        <v>444000</v>
      </c>
      <c r="O569" s="4" t="s">
        <v>4866</v>
      </c>
      <c r="P569" s="4" t="s">
        <v>4860</v>
      </c>
      <c r="Q569" s="1" t="str">
        <f>_xlfn.XLOOKUP(tblSales[[#This Row],[Channel Code]],tblChannels[Channel Code],tblChannels[Channel Name],"")</f>
        <v>In-store</v>
      </c>
      <c r="R569" s="1">
        <f>MONTH(tblSales[[#This Row],[Date]])</f>
        <v>2</v>
      </c>
    </row>
    <row r="570" spans="2:18" x14ac:dyDescent="0.35">
      <c r="B570" s="113">
        <v>46060</v>
      </c>
      <c r="C570" s="4" t="s">
        <v>392</v>
      </c>
      <c r="D570" s="4" t="s">
        <v>4585</v>
      </c>
      <c r="E570" s="1" t="str">
        <f>_xlfn.XLOOKUP(tblSales[[#This Row],[Customer ID]],tblCustomers[Customer ID],tblCustomers[Customer Name],"⚠ Unknown")</f>
        <v>CV Mitra Karya Mandiri</v>
      </c>
      <c r="F570" s="4" t="s">
        <v>8</v>
      </c>
      <c r="G570" s="1" t="str">
        <f>_xlfn.XLOOKUP(tblSales[[#This Row],[Product Code]],tblProducts[Code],tblProducts[Product / Service Name],"⚠ Unknown")</f>
        <v>Casual Shorts</v>
      </c>
      <c r="H570" s="1" t="str">
        <f>_xlfn.XLOOKUP(tblSales[[#This Row],[Product Code]],tblProducts[Code],tblProducts[Category],"")</f>
        <v>Accessories &amp; Basics</v>
      </c>
      <c r="I570" s="4">
        <v>32</v>
      </c>
      <c r="J570" s="5">
        <f>_xlfn.XLOOKUP(tblSales[[#This Row],[Product Code]],tblProducts[Code],tblProducts[Selling Price (excl. VAT)],0)</f>
        <v>85000</v>
      </c>
      <c r="K570" s="5">
        <f>tblSales[[#This Row],[Qty]]*tblSales[[#This Row],[Unit Price]]</f>
        <v>2720000</v>
      </c>
      <c r="L570" s="5">
        <f>ROUND(tblSales[[#This Row],[DPP (excl. VAT)]]*VATEff,0)</f>
        <v>299200</v>
      </c>
      <c r="M570" s="5">
        <f>tblSales[[#This Row],[DPP (excl. VAT)]]+tblSales[[#This Row],[Output VAT]]</f>
        <v>3019200</v>
      </c>
      <c r="N570" s="5">
        <f>tblSales[[#This Row],[Qty]]*_xlfn.XLOOKUP(tblSales[[#This Row],[Product Code]],tblProducts[Code],tblProducts[Unit Cost],0)</f>
        <v>1600000</v>
      </c>
      <c r="O570" s="4" t="s">
        <v>4867</v>
      </c>
      <c r="P570" s="4" t="s">
        <v>4860</v>
      </c>
      <c r="Q570" s="1" t="str">
        <f>_xlfn.XLOOKUP(tblSales[[#This Row],[Channel Code]],tblChannels[Channel Code],tblChannels[Channel Name],"")</f>
        <v>In-store</v>
      </c>
      <c r="R570" s="1">
        <f>MONTH(tblSales[[#This Row],[Date]])</f>
        <v>2</v>
      </c>
    </row>
    <row r="571" spans="2:18" x14ac:dyDescent="0.35">
      <c r="B571" s="113">
        <v>46060</v>
      </c>
      <c r="C571" s="4" t="s">
        <v>392</v>
      </c>
      <c r="D571" s="4" t="s">
        <v>4585</v>
      </c>
      <c r="E571" s="1" t="str">
        <f>_xlfn.XLOOKUP(tblSales[[#This Row],[Customer ID]],tblCustomers[Customer ID],tblCustomers[Customer Name],"⚠ Unknown")</f>
        <v>CV Mitra Karya Mandiri</v>
      </c>
      <c r="F571" s="4" t="s">
        <v>6</v>
      </c>
      <c r="G571" s="1" t="str">
        <f>_xlfn.XLOOKUP(tblSales[[#This Row],[Product Code]],tblProducts[Code],tblProducts[Product / Service Name],"⚠ Unknown")</f>
        <v>Socks &amp; Accessories</v>
      </c>
      <c r="H571" s="1" t="str">
        <f>_xlfn.XLOOKUP(tblSales[[#This Row],[Product Code]],tblProducts[Code],tblProducts[Category],"")</f>
        <v>Accessories &amp; Basics</v>
      </c>
      <c r="I571" s="4">
        <v>56</v>
      </c>
      <c r="J571" s="5">
        <f>_xlfn.XLOOKUP(tblSales[[#This Row],[Product Code]],tblProducts[Code],tblProducts[Selling Price (excl. VAT)],0)</f>
        <v>45000</v>
      </c>
      <c r="K571" s="5">
        <f>tblSales[[#This Row],[Qty]]*tblSales[[#This Row],[Unit Price]]</f>
        <v>2520000</v>
      </c>
      <c r="L571" s="5">
        <f>ROUND(tblSales[[#This Row],[DPP (excl. VAT)]]*VATEff,0)</f>
        <v>277200</v>
      </c>
      <c r="M571" s="5">
        <f>tblSales[[#This Row],[DPP (excl. VAT)]]+tblSales[[#This Row],[Output VAT]]</f>
        <v>2797200</v>
      </c>
      <c r="N571" s="5">
        <f>tblSales[[#This Row],[Qty]]*_xlfn.XLOOKUP(tblSales[[#This Row],[Product Code]],tblProducts[Code],tblProducts[Unit Cost],0)</f>
        <v>1344000</v>
      </c>
      <c r="O571" s="4" t="s">
        <v>4867</v>
      </c>
      <c r="P571" s="4" t="s">
        <v>4860</v>
      </c>
      <c r="Q571" s="1" t="str">
        <f>_xlfn.XLOOKUP(tblSales[[#This Row],[Channel Code]],tblChannels[Channel Code],tblChannels[Channel Name],"")</f>
        <v>In-store</v>
      </c>
      <c r="R571" s="1">
        <f>MONTH(tblSales[[#This Row],[Date]])</f>
        <v>2</v>
      </c>
    </row>
    <row r="572" spans="2:18" x14ac:dyDescent="0.35">
      <c r="B572" s="113">
        <v>46060</v>
      </c>
      <c r="C572" s="4" t="s">
        <v>393</v>
      </c>
      <c r="D572" s="4" t="s">
        <v>4568</v>
      </c>
      <c r="E572" s="1" t="str">
        <f>_xlfn.XLOOKUP(tblSales[[#This Row],[Customer ID]],tblCustomers[Customer ID],tblCustomers[Customer Name],"⚠ Unknown")</f>
        <v>Walk-in Customer</v>
      </c>
      <c r="F572" s="4" t="s">
        <v>6</v>
      </c>
      <c r="G572" s="1" t="str">
        <f>_xlfn.XLOOKUP(tblSales[[#This Row],[Product Code]],tblProducts[Code],tblProducts[Product / Service Name],"⚠ Unknown")</f>
        <v>Socks &amp; Accessories</v>
      </c>
      <c r="H572" s="1" t="str">
        <f>_xlfn.XLOOKUP(tblSales[[#This Row],[Product Code]],tblProducts[Code],tblProducts[Category],"")</f>
        <v>Accessories &amp; Basics</v>
      </c>
      <c r="I572" s="4">
        <v>4</v>
      </c>
      <c r="J572" s="5">
        <f>_xlfn.XLOOKUP(tblSales[[#This Row],[Product Code]],tblProducts[Code],tblProducts[Selling Price (excl. VAT)],0)</f>
        <v>45000</v>
      </c>
      <c r="K572" s="5">
        <f>tblSales[[#This Row],[Qty]]*tblSales[[#This Row],[Unit Price]]</f>
        <v>180000</v>
      </c>
      <c r="L572" s="5">
        <f>ROUND(tblSales[[#This Row],[DPP (excl. VAT)]]*VATEff,0)</f>
        <v>19800</v>
      </c>
      <c r="M572" s="5">
        <f>tblSales[[#This Row],[DPP (excl. VAT)]]+tblSales[[#This Row],[Output VAT]]</f>
        <v>199800</v>
      </c>
      <c r="N572" s="5">
        <f>tblSales[[#This Row],[Qty]]*_xlfn.XLOOKUP(tblSales[[#This Row],[Product Code]],tblProducts[Code],tblProducts[Unit Cost],0)</f>
        <v>96000</v>
      </c>
      <c r="O572" s="4" t="s">
        <v>4865</v>
      </c>
      <c r="P572" s="4" t="s">
        <v>4860</v>
      </c>
      <c r="Q572" s="1" t="str">
        <f>_xlfn.XLOOKUP(tblSales[[#This Row],[Channel Code]],tblChannels[Channel Code],tblChannels[Channel Name],"")</f>
        <v>In-store</v>
      </c>
      <c r="R572" s="1">
        <f>MONTH(tblSales[[#This Row],[Date]])</f>
        <v>2</v>
      </c>
    </row>
    <row r="573" spans="2:18" x14ac:dyDescent="0.35">
      <c r="B573" s="113">
        <v>46060</v>
      </c>
      <c r="C573" s="4" t="s">
        <v>394</v>
      </c>
      <c r="D573" s="4" t="s">
        <v>4568</v>
      </c>
      <c r="E573" s="1" t="str">
        <f>_xlfn.XLOOKUP(tblSales[[#This Row],[Customer ID]],tblCustomers[Customer ID],tblCustomers[Customer Name],"⚠ Unknown")</f>
        <v>Walk-in Customer</v>
      </c>
      <c r="F573" s="4" t="s">
        <v>9</v>
      </c>
      <c r="G573" s="1" t="str">
        <f>_xlfn.XLOOKUP(tblSales[[#This Row],[Product Code]],tblProducts[Code],tblProducts[Product / Service Name],"⚠ Unknown")</f>
        <v>Casual Shirt</v>
      </c>
      <c r="H573" s="1" t="str">
        <f>_xlfn.XLOOKUP(tblSales[[#This Row],[Product Code]],tblProducts[Code],tblProducts[Category],"")</f>
        <v>Apparel &amp; Footwear</v>
      </c>
      <c r="I573" s="4">
        <v>12</v>
      </c>
      <c r="J573" s="5">
        <f>_xlfn.XLOOKUP(tblSales[[#This Row],[Product Code]],tblProducts[Code],tblProducts[Selling Price (excl. VAT)],0)</f>
        <v>120000</v>
      </c>
      <c r="K573" s="5">
        <f>tblSales[[#This Row],[Qty]]*tblSales[[#This Row],[Unit Price]]</f>
        <v>1440000</v>
      </c>
      <c r="L573" s="5">
        <f>ROUND(tblSales[[#This Row],[DPP (excl. VAT)]]*VATEff,0)</f>
        <v>158400</v>
      </c>
      <c r="M573" s="5">
        <f>tblSales[[#This Row],[DPP (excl. VAT)]]+tblSales[[#This Row],[Output VAT]]</f>
        <v>1598400</v>
      </c>
      <c r="N573" s="5">
        <f>tblSales[[#This Row],[Qty]]*_xlfn.XLOOKUP(tblSales[[#This Row],[Product Code]],tblProducts[Code],tblProducts[Unit Cost],0)</f>
        <v>864000</v>
      </c>
      <c r="O573" s="4" t="s">
        <v>4866</v>
      </c>
      <c r="P573" s="4" t="s">
        <v>4862</v>
      </c>
      <c r="Q573" s="1" t="str">
        <f>_xlfn.XLOOKUP(tblSales[[#This Row],[Channel Code]],tblChannels[Channel Code],tblChannels[Channel Name],"")</f>
        <v>Website &amp; Social Media</v>
      </c>
      <c r="R573" s="1">
        <f>MONTH(tblSales[[#This Row],[Date]])</f>
        <v>2</v>
      </c>
    </row>
    <row r="574" spans="2:18" x14ac:dyDescent="0.35">
      <c r="B574" s="113">
        <v>46060</v>
      </c>
      <c r="C574" s="4" t="s">
        <v>394</v>
      </c>
      <c r="D574" s="4" t="s">
        <v>4568</v>
      </c>
      <c r="E574" s="1" t="str">
        <f>_xlfn.XLOOKUP(tblSales[[#This Row],[Customer ID]],tblCustomers[Customer ID],tblCustomers[Customer Name],"⚠ Unknown")</f>
        <v>Walk-in Customer</v>
      </c>
      <c r="F574" s="4" t="s">
        <v>6</v>
      </c>
      <c r="G574" s="1" t="str">
        <f>_xlfn.XLOOKUP(tblSales[[#This Row],[Product Code]],tblProducts[Code],tblProducts[Product / Service Name],"⚠ Unknown")</f>
        <v>Socks &amp; Accessories</v>
      </c>
      <c r="H574" s="1" t="str">
        <f>_xlfn.XLOOKUP(tblSales[[#This Row],[Product Code]],tblProducts[Code],tblProducts[Category],"")</f>
        <v>Accessories &amp; Basics</v>
      </c>
      <c r="I574" s="4">
        <v>9</v>
      </c>
      <c r="J574" s="5">
        <f>_xlfn.XLOOKUP(tblSales[[#This Row],[Product Code]],tblProducts[Code],tblProducts[Selling Price (excl. VAT)],0)</f>
        <v>45000</v>
      </c>
      <c r="K574" s="5">
        <f>tblSales[[#This Row],[Qty]]*tblSales[[#This Row],[Unit Price]]</f>
        <v>405000</v>
      </c>
      <c r="L574" s="5">
        <f>ROUND(tblSales[[#This Row],[DPP (excl. VAT)]]*VATEff,0)</f>
        <v>44550</v>
      </c>
      <c r="M574" s="5">
        <f>tblSales[[#This Row],[DPP (excl. VAT)]]+tblSales[[#This Row],[Output VAT]]</f>
        <v>449550</v>
      </c>
      <c r="N574" s="5">
        <f>tblSales[[#This Row],[Qty]]*_xlfn.XLOOKUP(tblSales[[#This Row],[Product Code]],tblProducts[Code],tblProducts[Unit Cost],0)</f>
        <v>216000</v>
      </c>
      <c r="O574" s="4" t="s">
        <v>4866</v>
      </c>
      <c r="P574" s="4" t="s">
        <v>4862</v>
      </c>
      <c r="Q574" s="1" t="str">
        <f>_xlfn.XLOOKUP(tblSales[[#This Row],[Channel Code]],tblChannels[Channel Code],tblChannels[Channel Name],"")</f>
        <v>Website &amp; Social Media</v>
      </c>
      <c r="R574" s="1">
        <f>MONTH(tblSales[[#This Row],[Date]])</f>
        <v>2</v>
      </c>
    </row>
    <row r="575" spans="2:18" x14ac:dyDescent="0.35">
      <c r="B575" s="113">
        <v>46061</v>
      </c>
      <c r="C575" s="4" t="s">
        <v>395</v>
      </c>
      <c r="D575" s="4" t="s">
        <v>4568</v>
      </c>
      <c r="E575" s="1" t="str">
        <f>_xlfn.XLOOKUP(tblSales[[#This Row],[Customer ID]],tblCustomers[Customer ID],tblCustomers[Customer Name],"⚠ Unknown")</f>
        <v>Walk-in Customer</v>
      </c>
      <c r="F575" s="4" t="s">
        <v>9</v>
      </c>
      <c r="G575" s="1" t="str">
        <f>_xlfn.XLOOKUP(tblSales[[#This Row],[Product Code]],tblProducts[Code],tblProducts[Product / Service Name],"⚠ Unknown")</f>
        <v>Casual Shirt</v>
      </c>
      <c r="H575" s="1" t="str">
        <f>_xlfn.XLOOKUP(tblSales[[#This Row],[Product Code]],tblProducts[Code],tblProducts[Category],"")</f>
        <v>Apparel &amp; Footwear</v>
      </c>
      <c r="I575" s="4">
        <v>2</v>
      </c>
      <c r="J575" s="5">
        <f>_xlfn.XLOOKUP(tblSales[[#This Row],[Product Code]],tblProducts[Code],tblProducts[Selling Price (excl. VAT)],0)</f>
        <v>120000</v>
      </c>
      <c r="K575" s="5">
        <f>tblSales[[#This Row],[Qty]]*tblSales[[#This Row],[Unit Price]]</f>
        <v>240000</v>
      </c>
      <c r="L575" s="5">
        <f>ROUND(tblSales[[#This Row],[DPP (excl. VAT)]]*VATEff,0)</f>
        <v>26400</v>
      </c>
      <c r="M575" s="5">
        <f>tblSales[[#This Row],[DPP (excl. VAT)]]+tblSales[[#This Row],[Output VAT]]</f>
        <v>266400</v>
      </c>
      <c r="N575" s="5">
        <f>tblSales[[#This Row],[Qty]]*_xlfn.XLOOKUP(tblSales[[#This Row],[Product Code]],tblProducts[Code],tblProducts[Unit Cost],0)</f>
        <v>144000</v>
      </c>
      <c r="O575" s="4" t="s">
        <v>4866</v>
      </c>
      <c r="P575" s="4" t="s">
        <v>4861</v>
      </c>
      <c r="Q575" s="1" t="str">
        <f>_xlfn.XLOOKUP(tblSales[[#This Row],[Channel Code]],tblChannels[Channel Code],tblChannels[Channel Name],"")</f>
        <v>Marketplace</v>
      </c>
      <c r="R575" s="1">
        <f>MONTH(tblSales[[#This Row],[Date]])</f>
        <v>2</v>
      </c>
    </row>
    <row r="576" spans="2:18" x14ac:dyDescent="0.35">
      <c r="B576" s="113">
        <v>46061</v>
      </c>
      <c r="C576" s="4" t="s">
        <v>396</v>
      </c>
      <c r="D576" s="4" t="s">
        <v>4568</v>
      </c>
      <c r="E576" s="1" t="str">
        <f>_xlfn.XLOOKUP(tblSales[[#This Row],[Customer ID]],tblCustomers[Customer ID],tblCustomers[Customer Name],"⚠ Unknown")</f>
        <v>Walk-in Customer</v>
      </c>
      <c r="F576" s="4" t="s">
        <v>10</v>
      </c>
      <c r="G576" s="1" t="str">
        <f>_xlfn.XLOOKUP(tblSales[[#This Row],[Product Code]],tblProducts[Code],tblProducts[Product / Service Name],"⚠ Unknown")</f>
        <v>Chino Pants</v>
      </c>
      <c r="H576" s="1" t="str">
        <f>_xlfn.XLOOKUP(tblSales[[#This Row],[Product Code]],tblProducts[Code],tblProducts[Category],"")</f>
        <v>Apparel &amp; Footwear</v>
      </c>
      <c r="I576" s="4">
        <v>12</v>
      </c>
      <c r="J576" s="5">
        <f>_xlfn.XLOOKUP(tblSales[[#This Row],[Product Code]],tblProducts[Code],tblProducts[Selling Price (excl. VAT)],0)</f>
        <v>150000</v>
      </c>
      <c r="K576" s="5">
        <f>tblSales[[#This Row],[Qty]]*tblSales[[#This Row],[Unit Price]]</f>
        <v>1800000</v>
      </c>
      <c r="L576" s="5">
        <f>ROUND(tblSales[[#This Row],[DPP (excl. VAT)]]*VATEff,0)</f>
        <v>198000</v>
      </c>
      <c r="M576" s="5">
        <f>tblSales[[#This Row],[DPP (excl. VAT)]]+tblSales[[#This Row],[Output VAT]]</f>
        <v>1998000</v>
      </c>
      <c r="N576" s="5">
        <f>tblSales[[#This Row],[Qty]]*_xlfn.XLOOKUP(tblSales[[#This Row],[Product Code]],tblProducts[Code],tblProducts[Unit Cost],0)</f>
        <v>1056000</v>
      </c>
      <c r="O576" s="4" t="s">
        <v>4866</v>
      </c>
      <c r="P576" s="4" t="s">
        <v>4862</v>
      </c>
      <c r="Q576" s="1" t="str">
        <f>_xlfn.XLOOKUP(tblSales[[#This Row],[Channel Code]],tblChannels[Channel Code],tblChannels[Channel Name],"")</f>
        <v>Website &amp; Social Media</v>
      </c>
      <c r="R576" s="1">
        <f>MONTH(tblSales[[#This Row],[Date]])</f>
        <v>2</v>
      </c>
    </row>
    <row r="577" spans="2:18" x14ac:dyDescent="0.35">
      <c r="B577" s="113">
        <v>46061</v>
      </c>
      <c r="C577" s="4" t="s">
        <v>397</v>
      </c>
      <c r="D577" s="4" t="s">
        <v>4568</v>
      </c>
      <c r="E577" s="1" t="str">
        <f>_xlfn.XLOOKUP(tblSales[[#This Row],[Customer ID]],tblCustomers[Customer ID],tblCustomers[Customer Name],"⚠ Unknown")</f>
        <v>Walk-in Customer</v>
      </c>
      <c r="F577" s="4" t="s">
        <v>8</v>
      </c>
      <c r="G577" s="1" t="str">
        <f>_xlfn.XLOOKUP(tblSales[[#This Row],[Product Code]],tblProducts[Code],tblProducts[Product / Service Name],"⚠ Unknown")</f>
        <v>Casual Shorts</v>
      </c>
      <c r="H577" s="1" t="str">
        <f>_xlfn.XLOOKUP(tblSales[[#This Row],[Product Code]],tblProducts[Code],tblProducts[Category],"")</f>
        <v>Accessories &amp; Basics</v>
      </c>
      <c r="I577" s="4">
        <v>11</v>
      </c>
      <c r="J577" s="5">
        <f>_xlfn.XLOOKUP(tblSales[[#This Row],[Product Code]],tblProducts[Code],tblProducts[Selling Price (excl. VAT)],0)</f>
        <v>85000</v>
      </c>
      <c r="K577" s="5">
        <f>tblSales[[#This Row],[Qty]]*tblSales[[#This Row],[Unit Price]]</f>
        <v>935000</v>
      </c>
      <c r="L577" s="5">
        <f>ROUND(tblSales[[#This Row],[DPP (excl. VAT)]]*VATEff,0)</f>
        <v>102850</v>
      </c>
      <c r="M577" s="5">
        <f>tblSales[[#This Row],[DPP (excl. VAT)]]+tblSales[[#This Row],[Output VAT]]</f>
        <v>1037850</v>
      </c>
      <c r="N577" s="5">
        <f>tblSales[[#This Row],[Qty]]*_xlfn.XLOOKUP(tblSales[[#This Row],[Product Code]],tblProducts[Code],tblProducts[Unit Cost],0)</f>
        <v>550000</v>
      </c>
      <c r="O577" s="4" t="s">
        <v>4866</v>
      </c>
      <c r="P577" s="4" t="s">
        <v>4861</v>
      </c>
      <c r="Q577" s="1" t="str">
        <f>_xlfn.XLOOKUP(tblSales[[#This Row],[Channel Code]],tblChannels[Channel Code],tblChannels[Channel Name],"")</f>
        <v>Marketplace</v>
      </c>
      <c r="R577" s="1">
        <f>MONTH(tblSales[[#This Row],[Date]])</f>
        <v>2</v>
      </c>
    </row>
    <row r="578" spans="2:18" x14ac:dyDescent="0.35">
      <c r="B578" s="113">
        <v>46061</v>
      </c>
      <c r="C578" s="4" t="s">
        <v>398</v>
      </c>
      <c r="D578" s="4" t="s">
        <v>4568</v>
      </c>
      <c r="E578" s="1" t="str">
        <f>_xlfn.XLOOKUP(tblSales[[#This Row],[Customer ID]],tblCustomers[Customer ID],tblCustomers[Customer Name],"⚠ Unknown")</f>
        <v>Walk-in Customer</v>
      </c>
      <c r="F578" s="4" t="s">
        <v>6</v>
      </c>
      <c r="G578" s="1" t="str">
        <f>_xlfn.XLOOKUP(tblSales[[#This Row],[Product Code]],tblProducts[Code],tblProducts[Product / Service Name],"⚠ Unknown")</f>
        <v>Socks &amp; Accessories</v>
      </c>
      <c r="H578" s="1" t="str">
        <f>_xlfn.XLOOKUP(tblSales[[#This Row],[Product Code]],tblProducts[Code],tblProducts[Category],"")</f>
        <v>Accessories &amp; Basics</v>
      </c>
      <c r="I578" s="4">
        <v>5</v>
      </c>
      <c r="J578" s="5">
        <f>_xlfn.XLOOKUP(tblSales[[#This Row],[Product Code]],tblProducts[Code],tblProducts[Selling Price (excl. VAT)],0)</f>
        <v>45000</v>
      </c>
      <c r="K578" s="5">
        <f>tblSales[[#This Row],[Qty]]*tblSales[[#This Row],[Unit Price]]</f>
        <v>225000</v>
      </c>
      <c r="L578" s="5">
        <f>ROUND(tblSales[[#This Row],[DPP (excl. VAT)]]*VATEff,0)</f>
        <v>24750</v>
      </c>
      <c r="M578" s="5">
        <f>tblSales[[#This Row],[DPP (excl. VAT)]]+tblSales[[#This Row],[Output VAT]]</f>
        <v>249750</v>
      </c>
      <c r="N578" s="5">
        <f>tblSales[[#This Row],[Qty]]*_xlfn.XLOOKUP(tblSales[[#This Row],[Product Code]],tblProducts[Code],tblProducts[Unit Cost],0)</f>
        <v>120000</v>
      </c>
      <c r="O578" s="4" t="s">
        <v>4866</v>
      </c>
      <c r="P578" s="4" t="s">
        <v>4861</v>
      </c>
      <c r="Q578" s="1" t="str">
        <f>_xlfn.XLOOKUP(tblSales[[#This Row],[Channel Code]],tblChannels[Channel Code],tblChannels[Channel Name],"")</f>
        <v>Marketplace</v>
      </c>
      <c r="R578" s="1">
        <f>MONTH(tblSales[[#This Row],[Date]])</f>
        <v>2</v>
      </c>
    </row>
    <row r="579" spans="2:18" x14ac:dyDescent="0.35">
      <c r="B579" s="113">
        <v>46061</v>
      </c>
      <c r="C579" s="4" t="s">
        <v>399</v>
      </c>
      <c r="D579" s="4" t="s">
        <v>4568</v>
      </c>
      <c r="E579" s="1" t="str">
        <f>_xlfn.XLOOKUP(tblSales[[#This Row],[Customer ID]],tblCustomers[Customer ID],tblCustomers[Customer Name],"⚠ Unknown")</f>
        <v>Walk-in Customer</v>
      </c>
      <c r="F579" s="4" t="s">
        <v>7</v>
      </c>
      <c r="G579" s="1" t="str">
        <f>_xlfn.XLOOKUP(tblSales[[#This Row],[Product Code]],tblProducts[Code],tblProducts[Product / Service Name],"⚠ Unknown")</f>
        <v>Premium Basic T-shirt</v>
      </c>
      <c r="H579" s="1" t="str">
        <f>_xlfn.XLOOKUP(tblSales[[#This Row],[Product Code]],tblProducts[Code],tblProducts[Category],"")</f>
        <v>Accessories &amp; Basics</v>
      </c>
      <c r="I579" s="4">
        <v>8</v>
      </c>
      <c r="J579" s="5">
        <f>_xlfn.XLOOKUP(tblSales[[#This Row],[Product Code]],tblProducts[Code],tblProducts[Selling Price (excl. VAT)],0)</f>
        <v>65000</v>
      </c>
      <c r="K579" s="5">
        <f>tblSales[[#This Row],[Qty]]*tblSales[[#This Row],[Unit Price]]</f>
        <v>520000</v>
      </c>
      <c r="L579" s="5">
        <f>ROUND(tblSales[[#This Row],[DPP (excl. VAT)]]*VATEff,0)</f>
        <v>57200</v>
      </c>
      <c r="M579" s="5">
        <f>tblSales[[#This Row],[DPP (excl. VAT)]]+tblSales[[#This Row],[Output VAT]]</f>
        <v>577200</v>
      </c>
      <c r="N579" s="5">
        <f>tblSales[[#This Row],[Qty]]*_xlfn.XLOOKUP(tblSales[[#This Row],[Product Code]],tblProducts[Code],tblProducts[Unit Cost],0)</f>
        <v>296000</v>
      </c>
      <c r="O579" s="4" t="s">
        <v>4865</v>
      </c>
      <c r="P579" s="4" t="s">
        <v>4860</v>
      </c>
      <c r="Q579" s="1" t="str">
        <f>_xlfn.XLOOKUP(tblSales[[#This Row],[Channel Code]],tblChannels[Channel Code],tblChannels[Channel Name],"")</f>
        <v>In-store</v>
      </c>
      <c r="R579" s="1">
        <f>MONTH(tblSales[[#This Row],[Date]])</f>
        <v>2</v>
      </c>
    </row>
    <row r="580" spans="2:18" x14ac:dyDescent="0.35">
      <c r="B580" s="113">
        <v>46061</v>
      </c>
      <c r="C580" s="4" t="s">
        <v>400</v>
      </c>
      <c r="D580" s="4" t="s">
        <v>4568</v>
      </c>
      <c r="E580" s="1" t="str">
        <f>_xlfn.XLOOKUP(tblSales[[#This Row],[Customer ID]],tblCustomers[Customer ID],tblCustomers[Customer Name],"⚠ Unknown")</f>
        <v>Walk-in Customer</v>
      </c>
      <c r="F580" s="4" t="s">
        <v>11</v>
      </c>
      <c r="G580" s="1" t="str">
        <f>_xlfn.XLOOKUP(tblSales[[#This Row],[Product Code]],tblProducts[Code],tblProducts[Product / Service Name],"⚠ Unknown")</f>
        <v>Sneakers</v>
      </c>
      <c r="H580" s="1" t="str">
        <f>_xlfn.XLOOKUP(tblSales[[#This Row],[Product Code]],tblProducts[Code],tblProducts[Category],"")</f>
        <v>Apparel &amp; Footwear</v>
      </c>
      <c r="I580" s="4">
        <v>3</v>
      </c>
      <c r="J580" s="5">
        <f>_xlfn.XLOOKUP(tblSales[[#This Row],[Product Code]],tblProducts[Code],tblProducts[Selling Price (excl. VAT)],0)</f>
        <v>250000</v>
      </c>
      <c r="K580" s="5">
        <f>tblSales[[#This Row],[Qty]]*tblSales[[#This Row],[Unit Price]]</f>
        <v>750000</v>
      </c>
      <c r="L580" s="5">
        <f>ROUND(tblSales[[#This Row],[DPP (excl. VAT)]]*VATEff,0)</f>
        <v>82500</v>
      </c>
      <c r="M580" s="5">
        <f>tblSales[[#This Row],[DPP (excl. VAT)]]+tblSales[[#This Row],[Output VAT]]</f>
        <v>832500</v>
      </c>
      <c r="N580" s="5">
        <f>tblSales[[#This Row],[Qty]]*_xlfn.XLOOKUP(tblSales[[#This Row],[Product Code]],tblProducts[Code],tblProducts[Unit Cost],0)</f>
        <v>465000</v>
      </c>
      <c r="O580" s="4" t="s">
        <v>4865</v>
      </c>
      <c r="P580" s="4" t="s">
        <v>4860</v>
      </c>
      <c r="Q580" s="1" t="str">
        <f>_xlfn.XLOOKUP(tblSales[[#This Row],[Channel Code]],tblChannels[Channel Code],tblChannels[Channel Name],"")</f>
        <v>In-store</v>
      </c>
      <c r="R580" s="1">
        <f>MONTH(tblSales[[#This Row],[Date]])</f>
        <v>2</v>
      </c>
    </row>
    <row r="581" spans="2:18" x14ac:dyDescent="0.35">
      <c r="B581" s="113">
        <v>46061</v>
      </c>
      <c r="C581" s="4" t="s">
        <v>401</v>
      </c>
      <c r="D581" s="4" t="s">
        <v>4568</v>
      </c>
      <c r="E581" s="1" t="str">
        <f>_xlfn.XLOOKUP(tblSales[[#This Row],[Customer ID]],tblCustomers[Customer ID],tblCustomers[Customer Name],"⚠ Unknown")</f>
        <v>Walk-in Customer</v>
      </c>
      <c r="F581" s="4" t="s">
        <v>9</v>
      </c>
      <c r="G581" s="1" t="str">
        <f>_xlfn.XLOOKUP(tblSales[[#This Row],[Product Code]],tblProducts[Code],tblProducts[Product / Service Name],"⚠ Unknown")</f>
        <v>Casual Shirt</v>
      </c>
      <c r="H581" s="1" t="str">
        <f>_xlfn.XLOOKUP(tblSales[[#This Row],[Product Code]],tblProducts[Code],tblProducts[Category],"")</f>
        <v>Apparel &amp; Footwear</v>
      </c>
      <c r="I581" s="4">
        <v>11</v>
      </c>
      <c r="J581" s="5">
        <f>_xlfn.XLOOKUP(tblSales[[#This Row],[Product Code]],tblProducts[Code],tblProducts[Selling Price (excl. VAT)],0)</f>
        <v>120000</v>
      </c>
      <c r="K581" s="5">
        <f>tblSales[[#This Row],[Qty]]*tblSales[[#This Row],[Unit Price]]</f>
        <v>1320000</v>
      </c>
      <c r="L581" s="5">
        <f>ROUND(tblSales[[#This Row],[DPP (excl. VAT)]]*VATEff,0)</f>
        <v>145200</v>
      </c>
      <c r="M581" s="5">
        <f>tblSales[[#This Row],[DPP (excl. VAT)]]+tblSales[[#This Row],[Output VAT]]</f>
        <v>1465200</v>
      </c>
      <c r="N581" s="5">
        <f>tblSales[[#This Row],[Qty]]*_xlfn.XLOOKUP(tblSales[[#This Row],[Product Code]],tblProducts[Code],tblProducts[Unit Cost],0)</f>
        <v>792000</v>
      </c>
      <c r="O581" s="4" t="s">
        <v>4866</v>
      </c>
      <c r="P581" s="4" t="s">
        <v>4860</v>
      </c>
      <c r="Q581" s="1" t="str">
        <f>_xlfn.XLOOKUP(tblSales[[#This Row],[Channel Code]],tblChannels[Channel Code],tblChannels[Channel Name],"")</f>
        <v>In-store</v>
      </c>
      <c r="R581" s="1">
        <f>MONTH(tblSales[[#This Row],[Date]])</f>
        <v>2</v>
      </c>
    </row>
    <row r="582" spans="2:18" x14ac:dyDescent="0.35">
      <c r="B582" s="113">
        <v>46061</v>
      </c>
      <c r="C582" s="4" t="s">
        <v>402</v>
      </c>
      <c r="D582" s="4" t="s">
        <v>4568</v>
      </c>
      <c r="E582" s="1" t="str">
        <f>_xlfn.XLOOKUP(tblSales[[#This Row],[Customer ID]],tblCustomers[Customer ID],tblCustomers[Customer Name],"⚠ Unknown")</f>
        <v>Walk-in Customer</v>
      </c>
      <c r="F582" s="4" t="s">
        <v>11</v>
      </c>
      <c r="G582" s="1" t="str">
        <f>_xlfn.XLOOKUP(tblSales[[#This Row],[Product Code]],tblProducts[Code],tblProducts[Product / Service Name],"⚠ Unknown")</f>
        <v>Sneakers</v>
      </c>
      <c r="H582" s="1" t="str">
        <f>_xlfn.XLOOKUP(tblSales[[#This Row],[Product Code]],tblProducts[Code],tblProducts[Category],"")</f>
        <v>Apparel &amp; Footwear</v>
      </c>
      <c r="I582" s="4">
        <v>1</v>
      </c>
      <c r="J582" s="5">
        <f>_xlfn.XLOOKUP(tblSales[[#This Row],[Product Code]],tblProducts[Code],tblProducts[Selling Price (excl. VAT)],0)</f>
        <v>250000</v>
      </c>
      <c r="K582" s="5">
        <f>tblSales[[#This Row],[Qty]]*tblSales[[#This Row],[Unit Price]]</f>
        <v>250000</v>
      </c>
      <c r="L582" s="5">
        <f>ROUND(tblSales[[#This Row],[DPP (excl. VAT)]]*VATEff,0)</f>
        <v>27500</v>
      </c>
      <c r="M582" s="5">
        <f>tblSales[[#This Row],[DPP (excl. VAT)]]+tblSales[[#This Row],[Output VAT]]</f>
        <v>277500</v>
      </c>
      <c r="N582" s="5">
        <f>tblSales[[#This Row],[Qty]]*_xlfn.XLOOKUP(tblSales[[#This Row],[Product Code]],tblProducts[Code],tblProducts[Unit Cost],0)</f>
        <v>155000</v>
      </c>
      <c r="O582" s="4" t="s">
        <v>4866</v>
      </c>
      <c r="P582" s="4" t="s">
        <v>4861</v>
      </c>
      <c r="Q582" s="1" t="str">
        <f>_xlfn.XLOOKUP(tblSales[[#This Row],[Channel Code]],tblChannels[Channel Code],tblChannels[Channel Name],"")</f>
        <v>Marketplace</v>
      </c>
      <c r="R582" s="1">
        <f>MONTH(tblSales[[#This Row],[Date]])</f>
        <v>2</v>
      </c>
    </row>
    <row r="583" spans="2:18" x14ac:dyDescent="0.35">
      <c r="B583" s="113">
        <v>46061</v>
      </c>
      <c r="C583" s="4" t="s">
        <v>403</v>
      </c>
      <c r="D583" s="4" t="s">
        <v>4568</v>
      </c>
      <c r="E583" s="1" t="str">
        <f>_xlfn.XLOOKUP(tblSales[[#This Row],[Customer ID]],tblCustomers[Customer ID],tblCustomers[Customer Name],"⚠ Unknown")</f>
        <v>Walk-in Customer</v>
      </c>
      <c r="F583" s="4" t="s">
        <v>7</v>
      </c>
      <c r="G583" s="1" t="str">
        <f>_xlfn.XLOOKUP(tblSales[[#This Row],[Product Code]],tblProducts[Code],tblProducts[Product / Service Name],"⚠ Unknown")</f>
        <v>Premium Basic T-shirt</v>
      </c>
      <c r="H583" s="1" t="str">
        <f>_xlfn.XLOOKUP(tblSales[[#This Row],[Product Code]],tblProducts[Code],tblProducts[Category],"")</f>
        <v>Accessories &amp; Basics</v>
      </c>
      <c r="I583" s="4">
        <v>1</v>
      </c>
      <c r="J583" s="5">
        <f>_xlfn.XLOOKUP(tblSales[[#This Row],[Product Code]],tblProducts[Code],tblProducts[Selling Price (excl. VAT)],0)</f>
        <v>65000</v>
      </c>
      <c r="K583" s="5">
        <f>tblSales[[#This Row],[Qty]]*tblSales[[#This Row],[Unit Price]]</f>
        <v>65000</v>
      </c>
      <c r="L583" s="5">
        <f>ROUND(tblSales[[#This Row],[DPP (excl. VAT)]]*VATEff,0)</f>
        <v>7150</v>
      </c>
      <c r="M583" s="5">
        <f>tblSales[[#This Row],[DPP (excl. VAT)]]+tblSales[[#This Row],[Output VAT]]</f>
        <v>72150</v>
      </c>
      <c r="N583" s="5">
        <f>tblSales[[#This Row],[Qty]]*_xlfn.XLOOKUP(tblSales[[#This Row],[Product Code]],tblProducts[Code],tblProducts[Unit Cost],0)</f>
        <v>37000</v>
      </c>
      <c r="O583" s="4" t="s">
        <v>4865</v>
      </c>
      <c r="P583" s="4" t="s">
        <v>4860</v>
      </c>
      <c r="Q583" s="1" t="str">
        <f>_xlfn.XLOOKUP(tblSales[[#This Row],[Channel Code]],tblChannels[Channel Code],tblChannels[Channel Name],"")</f>
        <v>In-store</v>
      </c>
      <c r="R583" s="1">
        <f>MONTH(tblSales[[#This Row],[Date]])</f>
        <v>2</v>
      </c>
    </row>
    <row r="584" spans="2:18" x14ac:dyDescent="0.35">
      <c r="B584" s="113">
        <v>46061</v>
      </c>
      <c r="C584" s="4" t="s">
        <v>403</v>
      </c>
      <c r="D584" s="4" t="s">
        <v>4568</v>
      </c>
      <c r="E584" s="1" t="str">
        <f>_xlfn.XLOOKUP(tblSales[[#This Row],[Customer ID]],tblCustomers[Customer ID],tblCustomers[Customer Name],"⚠ Unknown")</f>
        <v>Walk-in Customer</v>
      </c>
      <c r="F584" s="4" t="s">
        <v>9</v>
      </c>
      <c r="G584" s="1" t="str">
        <f>_xlfn.XLOOKUP(tblSales[[#This Row],[Product Code]],tblProducts[Code],tblProducts[Product / Service Name],"⚠ Unknown")</f>
        <v>Casual Shirt</v>
      </c>
      <c r="H584" s="1" t="str">
        <f>_xlfn.XLOOKUP(tblSales[[#This Row],[Product Code]],tblProducts[Code],tblProducts[Category],"")</f>
        <v>Apparel &amp; Footwear</v>
      </c>
      <c r="I584" s="4">
        <v>7</v>
      </c>
      <c r="J584" s="5">
        <f>_xlfn.XLOOKUP(tblSales[[#This Row],[Product Code]],tblProducts[Code],tblProducts[Selling Price (excl. VAT)],0)</f>
        <v>120000</v>
      </c>
      <c r="K584" s="5">
        <f>tblSales[[#This Row],[Qty]]*tblSales[[#This Row],[Unit Price]]</f>
        <v>840000</v>
      </c>
      <c r="L584" s="5">
        <f>ROUND(tblSales[[#This Row],[DPP (excl. VAT)]]*VATEff,0)</f>
        <v>92400</v>
      </c>
      <c r="M584" s="5">
        <f>tblSales[[#This Row],[DPP (excl. VAT)]]+tblSales[[#This Row],[Output VAT]]</f>
        <v>932400</v>
      </c>
      <c r="N584" s="5">
        <f>tblSales[[#This Row],[Qty]]*_xlfn.XLOOKUP(tblSales[[#This Row],[Product Code]],tblProducts[Code],tblProducts[Unit Cost],0)</f>
        <v>504000</v>
      </c>
      <c r="O584" s="4" t="s">
        <v>4865</v>
      </c>
      <c r="P584" s="4" t="s">
        <v>4860</v>
      </c>
      <c r="Q584" s="1" t="str">
        <f>_xlfn.XLOOKUP(tblSales[[#This Row],[Channel Code]],tblChannels[Channel Code],tblChannels[Channel Name],"")</f>
        <v>In-store</v>
      </c>
      <c r="R584" s="1">
        <f>MONTH(tblSales[[#This Row],[Date]])</f>
        <v>2</v>
      </c>
    </row>
    <row r="585" spans="2:18" x14ac:dyDescent="0.35">
      <c r="B585" s="113">
        <v>46061</v>
      </c>
      <c r="C585" s="4" t="s">
        <v>404</v>
      </c>
      <c r="D585" s="4" t="s">
        <v>4568</v>
      </c>
      <c r="E585" s="1" t="str">
        <f>_xlfn.XLOOKUP(tblSales[[#This Row],[Customer ID]],tblCustomers[Customer ID],tblCustomers[Customer Name],"⚠ Unknown")</f>
        <v>Walk-in Customer</v>
      </c>
      <c r="F585" s="4" t="s">
        <v>13</v>
      </c>
      <c r="G585" s="1" t="str">
        <f>_xlfn.XLOOKUP(tblSales[[#This Row],[Product Code]],tblProducts[Code],tblProducts[Product / Service Name],"⚠ Unknown")</f>
        <v>Backpack</v>
      </c>
      <c r="H585" s="1" t="str">
        <f>_xlfn.XLOOKUP(tblSales[[#This Row],[Product Code]],tblProducts[Code],tblProducts[Category],"")</f>
        <v>Bags &amp; Gadgets</v>
      </c>
      <c r="I585" s="4">
        <v>2</v>
      </c>
      <c r="J585" s="5">
        <f>_xlfn.XLOOKUP(tblSales[[#This Row],[Product Code]],tblProducts[Code],tblProducts[Selling Price (excl. VAT)],0)</f>
        <v>500000</v>
      </c>
      <c r="K585" s="5">
        <f>tblSales[[#This Row],[Qty]]*tblSales[[#This Row],[Unit Price]]</f>
        <v>1000000</v>
      </c>
      <c r="L585" s="5">
        <f>ROUND(tblSales[[#This Row],[DPP (excl. VAT)]]*VATEff,0)</f>
        <v>110000</v>
      </c>
      <c r="M585" s="5">
        <f>tblSales[[#This Row],[DPP (excl. VAT)]]+tblSales[[#This Row],[Output VAT]]</f>
        <v>1110000</v>
      </c>
      <c r="N585" s="5">
        <f>tblSales[[#This Row],[Qty]]*_xlfn.XLOOKUP(tblSales[[#This Row],[Product Code]],tblProducts[Code],tblProducts[Unit Cost],0)</f>
        <v>580000</v>
      </c>
      <c r="O585" s="4" t="s">
        <v>4866</v>
      </c>
      <c r="P585" s="4" t="s">
        <v>4860</v>
      </c>
      <c r="Q585" s="1" t="str">
        <f>_xlfn.XLOOKUP(tblSales[[#This Row],[Channel Code]],tblChannels[Channel Code],tblChannels[Channel Name],"")</f>
        <v>In-store</v>
      </c>
      <c r="R585" s="1">
        <f>MONTH(tblSales[[#This Row],[Date]])</f>
        <v>2</v>
      </c>
    </row>
    <row r="586" spans="2:18" x14ac:dyDescent="0.35">
      <c r="B586" s="113">
        <v>46061</v>
      </c>
      <c r="C586" s="4" t="s">
        <v>405</v>
      </c>
      <c r="D586" s="4" t="s">
        <v>4568</v>
      </c>
      <c r="E586" s="1" t="str">
        <f>_xlfn.XLOOKUP(tblSales[[#This Row],[Customer ID]],tblCustomers[Customer ID],tblCustomers[Customer Name],"⚠ Unknown")</f>
        <v>Walk-in Customer</v>
      </c>
      <c r="F586" s="4" t="s">
        <v>7</v>
      </c>
      <c r="G586" s="1" t="str">
        <f>_xlfn.XLOOKUP(tblSales[[#This Row],[Product Code]],tblProducts[Code],tblProducts[Product / Service Name],"⚠ Unknown")</f>
        <v>Premium Basic T-shirt</v>
      </c>
      <c r="H586" s="1" t="str">
        <f>_xlfn.XLOOKUP(tblSales[[#This Row],[Product Code]],tblProducts[Code],tblProducts[Category],"")</f>
        <v>Accessories &amp; Basics</v>
      </c>
      <c r="I586" s="4">
        <v>1</v>
      </c>
      <c r="J586" s="5">
        <f>_xlfn.XLOOKUP(tblSales[[#This Row],[Product Code]],tblProducts[Code],tblProducts[Selling Price (excl. VAT)],0)</f>
        <v>65000</v>
      </c>
      <c r="K586" s="5">
        <f>tblSales[[#This Row],[Qty]]*tblSales[[#This Row],[Unit Price]]</f>
        <v>65000</v>
      </c>
      <c r="L586" s="5">
        <f>ROUND(tblSales[[#This Row],[DPP (excl. VAT)]]*VATEff,0)</f>
        <v>7150</v>
      </c>
      <c r="M586" s="5">
        <f>tblSales[[#This Row],[DPP (excl. VAT)]]+tblSales[[#This Row],[Output VAT]]</f>
        <v>72150</v>
      </c>
      <c r="N586" s="5">
        <f>tblSales[[#This Row],[Qty]]*_xlfn.XLOOKUP(tblSales[[#This Row],[Product Code]],tblProducts[Code],tblProducts[Unit Cost],0)</f>
        <v>37000</v>
      </c>
      <c r="O586" s="4" t="s">
        <v>4865</v>
      </c>
      <c r="P586" s="4" t="s">
        <v>4860</v>
      </c>
      <c r="Q586" s="1" t="str">
        <f>_xlfn.XLOOKUP(tblSales[[#This Row],[Channel Code]],tblChannels[Channel Code],tblChannels[Channel Name],"")</f>
        <v>In-store</v>
      </c>
      <c r="R586" s="1">
        <f>MONTH(tblSales[[#This Row],[Date]])</f>
        <v>2</v>
      </c>
    </row>
    <row r="587" spans="2:18" x14ac:dyDescent="0.35">
      <c r="B587" s="113">
        <v>46061</v>
      </c>
      <c r="C587" s="4" t="s">
        <v>406</v>
      </c>
      <c r="D587" s="4" t="s">
        <v>4568</v>
      </c>
      <c r="E587" s="1" t="str">
        <f>_xlfn.XLOOKUP(tblSales[[#This Row],[Customer ID]],tblCustomers[Customer ID],tblCustomers[Customer Name],"⚠ Unknown")</f>
        <v>Walk-in Customer</v>
      </c>
      <c r="F587" s="4" t="s">
        <v>11</v>
      </c>
      <c r="G587" s="1" t="str">
        <f>_xlfn.XLOOKUP(tblSales[[#This Row],[Product Code]],tblProducts[Code],tblProducts[Product / Service Name],"⚠ Unknown")</f>
        <v>Sneakers</v>
      </c>
      <c r="H587" s="1" t="str">
        <f>_xlfn.XLOOKUP(tblSales[[#This Row],[Product Code]],tblProducts[Code],tblProducts[Category],"")</f>
        <v>Apparel &amp; Footwear</v>
      </c>
      <c r="I587" s="4">
        <v>4</v>
      </c>
      <c r="J587" s="5">
        <f>_xlfn.XLOOKUP(tblSales[[#This Row],[Product Code]],tblProducts[Code],tblProducts[Selling Price (excl. VAT)],0)</f>
        <v>250000</v>
      </c>
      <c r="K587" s="5">
        <f>tblSales[[#This Row],[Qty]]*tblSales[[#This Row],[Unit Price]]</f>
        <v>1000000</v>
      </c>
      <c r="L587" s="5">
        <f>ROUND(tblSales[[#This Row],[DPP (excl. VAT)]]*VATEff,0)</f>
        <v>110000</v>
      </c>
      <c r="M587" s="5">
        <f>tblSales[[#This Row],[DPP (excl. VAT)]]+tblSales[[#This Row],[Output VAT]]</f>
        <v>1110000</v>
      </c>
      <c r="N587" s="5">
        <f>tblSales[[#This Row],[Qty]]*_xlfn.XLOOKUP(tblSales[[#This Row],[Product Code]],tblProducts[Code],tblProducts[Unit Cost],0)</f>
        <v>620000</v>
      </c>
      <c r="O587" s="4" t="s">
        <v>4866</v>
      </c>
      <c r="P587" s="4" t="s">
        <v>4861</v>
      </c>
      <c r="Q587" s="1" t="str">
        <f>_xlfn.XLOOKUP(tblSales[[#This Row],[Channel Code]],tblChannels[Channel Code],tblChannels[Channel Name],"")</f>
        <v>Marketplace</v>
      </c>
      <c r="R587" s="1">
        <f>MONTH(tblSales[[#This Row],[Date]])</f>
        <v>2</v>
      </c>
    </row>
    <row r="588" spans="2:18" x14ac:dyDescent="0.35">
      <c r="B588" s="113">
        <v>46061</v>
      </c>
      <c r="C588" s="4" t="s">
        <v>407</v>
      </c>
      <c r="D588" s="4" t="s">
        <v>4568</v>
      </c>
      <c r="E588" s="1" t="str">
        <f>_xlfn.XLOOKUP(tblSales[[#This Row],[Customer ID]],tblCustomers[Customer ID],tblCustomers[Customer Name],"⚠ Unknown")</f>
        <v>Walk-in Customer</v>
      </c>
      <c r="F588" s="4" t="s">
        <v>13</v>
      </c>
      <c r="G588" s="1" t="str">
        <f>_xlfn.XLOOKUP(tblSales[[#This Row],[Product Code]],tblProducts[Code],tblProducts[Product / Service Name],"⚠ Unknown")</f>
        <v>Backpack</v>
      </c>
      <c r="H588" s="1" t="str">
        <f>_xlfn.XLOOKUP(tblSales[[#This Row],[Product Code]],tblProducts[Code],tblProducts[Category],"")</f>
        <v>Bags &amp; Gadgets</v>
      </c>
      <c r="I588" s="4">
        <v>5</v>
      </c>
      <c r="J588" s="5">
        <f>_xlfn.XLOOKUP(tblSales[[#This Row],[Product Code]],tblProducts[Code],tblProducts[Selling Price (excl. VAT)],0)</f>
        <v>500000</v>
      </c>
      <c r="K588" s="5">
        <f>tblSales[[#This Row],[Qty]]*tblSales[[#This Row],[Unit Price]]</f>
        <v>2500000</v>
      </c>
      <c r="L588" s="5">
        <f>ROUND(tblSales[[#This Row],[DPP (excl. VAT)]]*VATEff,0)</f>
        <v>275000</v>
      </c>
      <c r="M588" s="5">
        <f>tblSales[[#This Row],[DPP (excl. VAT)]]+tblSales[[#This Row],[Output VAT]]</f>
        <v>2775000</v>
      </c>
      <c r="N588" s="5">
        <f>tblSales[[#This Row],[Qty]]*_xlfn.XLOOKUP(tblSales[[#This Row],[Product Code]],tblProducts[Code],tblProducts[Unit Cost],0)</f>
        <v>1450000</v>
      </c>
      <c r="O588" s="4" t="s">
        <v>4866</v>
      </c>
      <c r="P588" s="4" t="s">
        <v>4860</v>
      </c>
      <c r="Q588" s="1" t="str">
        <f>_xlfn.XLOOKUP(tblSales[[#This Row],[Channel Code]],tblChannels[Channel Code],tblChannels[Channel Name],"")</f>
        <v>In-store</v>
      </c>
      <c r="R588" s="1">
        <f>MONTH(tblSales[[#This Row],[Date]])</f>
        <v>2</v>
      </c>
    </row>
    <row r="589" spans="2:18" x14ac:dyDescent="0.35">
      <c r="B589" s="113">
        <v>46061</v>
      </c>
      <c r="C589" s="4" t="s">
        <v>407</v>
      </c>
      <c r="D589" s="4" t="s">
        <v>4568</v>
      </c>
      <c r="E589" s="1" t="str">
        <f>_xlfn.XLOOKUP(tblSales[[#This Row],[Customer ID]],tblCustomers[Customer ID],tblCustomers[Customer Name],"⚠ Unknown")</f>
        <v>Walk-in Customer</v>
      </c>
      <c r="F589" s="4" t="s">
        <v>8</v>
      </c>
      <c r="G589" s="1" t="str">
        <f>_xlfn.XLOOKUP(tblSales[[#This Row],[Product Code]],tblProducts[Code],tblProducts[Product / Service Name],"⚠ Unknown")</f>
        <v>Casual Shorts</v>
      </c>
      <c r="H589" s="1" t="str">
        <f>_xlfn.XLOOKUP(tblSales[[#This Row],[Product Code]],tblProducts[Code],tblProducts[Category],"")</f>
        <v>Accessories &amp; Basics</v>
      </c>
      <c r="I589" s="4">
        <v>9</v>
      </c>
      <c r="J589" s="5">
        <f>_xlfn.XLOOKUP(tblSales[[#This Row],[Product Code]],tblProducts[Code],tblProducts[Selling Price (excl. VAT)],0)</f>
        <v>85000</v>
      </c>
      <c r="K589" s="5">
        <f>tblSales[[#This Row],[Qty]]*tblSales[[#This Row],[Unit Price]]</f>
        <v>765000</v>
      </c>
      <c r="L589" s="5">
        <f>ROUND(tblSales[[#This Row],[DPP (excl. VAT)]]*VATEff,0)</f>
        <v>84150</v>
      </c>
      <c r="M589" s="5">
        <f>tblSales[[#This Row],[DPP (excl. VAT)]]+tblSales[[#This Row],[Output VAT]]</f>
        <v>849150</v>
      </c>
      <c r="N589" s="5">
        <f>tblSales[[#This Row],[Qty]]*_xlfn.XLOOKUP(tblSales[[#This Row],[Product Code]],tblProducts[Code],tblProducts[Unit Cost],0)</f>
        <v>450000</v>
      </c>
      <c r="O589" s="4" t="s">
        <v>4866</v>
      </c>
      <c r="P589" s="4" t="s">
        <v>4860</v>
      </c>
      <c r="Q589" s="1" t="str">
        <f>_xlfn.XLOOKUP(tblSales[[#This Row],[Channel Code]],tblChannels[Channel Code],tblChannels[Channel Name],"")</f>
        <v>In-store</v>
      </c>
      <c r="R589" s="1">
        <f>MONTH(tblSales[[#This Row],[Date]])</f>
        <v>2</v>
      </c>
    </row>
    <row r="590" spans="2:18" x14ac:dyDescent="0.35">
      <c r="B590" s="113">
        <v>46061</v>
      </c>
      <c r="C590" s="4" t="s">
        <v>408</v>
      </c>
      <c r="D590" s="4" t="s">
        <v>4599</v>
      </c>
      <c r="E590" s="1" t="str">
        <f>_xlfn.XLOOKUP(tblSales[[#This Row],[Customer ID]],tblCustomers[Customer ID],tblCustomers[Customer Name],"⚠ Unknown")</f>
        <v>PT Samudra Jaya Logistik</v>
      </c>
      <c r="F590" s="4" t="s">
        <v>10</v>
      </c>
      <c r="G590" s="1" t="str">
        <f>_xlfn.XLOOKUP(tblSales[[#This Row],[Product Code]],tblProducts[Code],tblProducts[Product / Service Name],"⚠ Unknown")</f>
        <v>Chino Pants</v>
      </c>
      <c r="H590" s="1" t="str">
        <f>_xlfn.XLOOKUP(tblSales[[#This Row],[Product Code]],tblProducts[Code],tblProducts[Category],"")</f>
        <v>Apparel &amp; Footwear</v>
      </c>
      <c r="I590" s="4">
        <v>40</v>
      </c>
      <c r="J590" s="5">
        <f>_xlfn.XLOOKUP(tblSales[[#This Row],[Product Code]],tblProducts[Code],tblProducts[Selling Price (excl. VAT)],0)</f>
        <v>150000</v>
      </c>
      <c r="K590" s="5">
        <f>tblSales[[#This Row],[Qty]]*tblSales[[#This Row],[Unit Price]]</f>
        <v>6000000</v>
      </c>
      <c r="L590" s="5">
        <f>ROUND(tblSales[[#This Row],[DPP (excl. VAT)]]*VATEff,0)</f>
        <v>660000</v>
      </c>
      <c r="M590" s="5">
        <f>tblSales[[#This Row],[DPP (excl. VAT)]]+tblSales[[#This Row],[Output VAT]]</f>
        <v>6660000</v>
      </c>
      <c r="N590" s="5">
        <f>tblSales[[#This Row],[Qty]]*_xlfn.XLOOKUP(tblSales[[#This Row],[Product Code]],tblProducts[Code],tblProducts[Unit Cost],0)</f>
        <v>3520000</v>
      </c>
      <c r="O590" s="4" t="s">
        <v>4867</v>
      </c>
      <c r="P590" s="4" t="s">
        <v>4860</v>
      </c>
      <c r="Q590" s="1" t="str">
        <f>_xlfn.XLOOKUP(tblSales[[#This Row],[Channel Code]],tblChannels[Channel Code],tblChannels[Channel Name],"")</f>
        <v>In-store</v>
      </c>
      <c r="R590" s="1">
        <f>MONTH(tblSales[[#This Row],[Date]])</f>
        <v>2</v>
      </c>
    </row>
    <row r="591" spans="2:18" x14ac:dyDescent="0.35">
      <c r="B591" s="113">
        <v>46061</v>
      </c>
      <c r="C591" s="4" t="s">
        <v>409</v>
      </c>
      <c r="D591" s="4" t="s">
        <v>4568</v>
      </c>
      <c r="E591" s="1" t="str">
        <f>_xlfn.XLOOKUP(tblSales[[#This Row],[Customer ID]],tblCustomers[Customer ID],tblCustomers[Customer Name],"⚠ Unknown")</f>
        <v>Walk-in Customer</v>
      </c>
      <c r="F591" s="4" t="s">
        <v>9</v>
      </c>
      <c r="G591" s="1" t="str">
        <f>_xlfn.XLOOKUP(tblSales[[#This Row],[Product Code]],tblProducts[Code],tblProducts[Product / Service Name],"⚠ Unknown")</f>
        <v>Casual Shirt</v>
      </c>
      <c r="H591" s="1" t="str">
        <f>_xlfn.XLOOKUP(tblSales[[#This Row],[Product Code]],tblProducts[Code],tblProducts[Category],"")</f>
        <v>Apparel &amp; Footwear</v>
      </c>
      <c r="I591" s="4">
        <v>10</v>
      </c>
      <c r="J591" s="5">
        <f>_xlfn.XLOOKUP(tblSales[[#This Row],[Product Code]],tblProducts[Code],tblProducts[Selling Price (excl. VAT)],0)</f>
        <v>120000</v>
      </c>
      <c r="K591" s="5">
        <f>tblSales[[#This Row],[Qty]]*tblSales[[#This Row],[Unit Price]]</f>
        <v>1200000</v>
      </c>
      <c r="L591" s="5">
        <f>ROUND(tblSales[[#This Row],[DPP (excl. VAT)]]*VATEff,0)</f>
        <v>132000</v>
      </c>
      <c r="M591" s="5">
        <f>tblSales[[#This Row],[DPP (excl. VAT)]]+tblSales[[#This Row],[Output VAT]]</f>
        <v>1332000</v>
      </c>
      <c r="N591" s="5">
        <f>tblSales[[#This Row],[Qty]]*_xlfn.XLOOKUP(tblSales[[#This Row],[Product Code]],tblProducts[Code],tblProducts[Unit Cost],0)</f>
        <v>720000</v>
      </c>
      <c r="O591" s="4" t="s">
        <v>4865</v>
      </c>
      <c r="P591" s="4" t="s">
        <v>4860</v>
      </c>
      <c r="Q591" s="1" t="str">
        <f>_xlfn.XLOOKUP(tblSales[[#This Row],[Channel Code]],tblChannels[Channel Code],tblChannels[Channel Name],"")</f>
        <v>In-store</v>
      </c>
      <c r="R591" s="1">
        <f>MONTH(tblSales[[#This Row],[Date]])</f>
        <v>2</v>
      </c>
    </row>
    <row r="592" spans="2:18" x14ac:dyDescent="0.35">
      <c r="B592" s="113">
        <v>46062</v>
      </c>
      <c r="C592" s="4" t="s">
        <v>410</v>
      </c>
      <c r="D592" s="4" t="s">
        <v>4568</v>
      </c>
      <c r="E592" s="1" t="str">
        <f>_xlfn.XLOOKUP(tblSales[[#This Row],[Customer ID]],tblCustomers[Customer ID],tblCustomers[Customer Name],"⚠ Unknown")</f>
        <v>Walk-in Customer</v>
      </c>
      <c r="F592" s="4" t="s">
        <v>11</v>
      </c>
      <c r="G592" s="1" t="str">
        <f>_xlfn.XLOOKUP(tblSales[[#This Row],[Product Code]],tblProducts[Code],tblProducts[Product / Service Name],"⚠ Unknown")</f>
        <v>Sneakers</v>
      </c>
      <c r="H592" s="1" t="str">
        <f>_xlfn.XLOOKUP(tblSales[[#This Row],[Product Code]],tblProducts[Code],tblProducts[Category],"")</f>
        <v>Apparel &amp; Footwear</v>
      </c>
      <c r="I592" s="4">
        <v>1</v>
      </c>
      <c r="J592" s="5">
        <f>_xlfn.XLOOKUP(tblSales[[#This Row],[Product Code]],tblProducts[Code],tblProducts[Selling Price (excl. VAT)],0)</f>
        <v>250000</v>
      </c>
      <c r="K592" s="5">
        <f>tblSales[[#This Row],[Qty]]*tblSales[[#This Row],[Unit Price]]</f>
        <v>250000</v>
      </c>
      <c r="L592" s="5">
        <f>ROUND(tblSales[[#This Row],[DPP (excl. VAT)]]*VATEff,0)</f>
        <v>27500</v>
      </c>
      <c r="M592" s="5">
        <f>tblSales[[#This Row],[DPP (excl. VAT)]]+tblSales[[#This Row],[Output VAT]]</f>
        <v>277500</v>
      </c>
      <c r="N592" s="5">
        <f>tblSales[[#This Row],[Qty]]*_xlfn.XLOOKUP(tblSales[[#This Row],[Product Code]],tblProducts[Code],tblProducts[Unit Cost],0)</f>
        <v>155000</v>
      </c>
      <c r="O592" s="4" t="s">
        <v>4866</v>
      </c>
      <c r="P592" s="4" t="s">
        <v>4862</v>
      </c>
      <c r="Q592" s="1" t="str">
        <f>_xlfn.XLOOKUP(tblSales[[#This Row],[Channel Code]],tblChannels[Channel Code],tblChannels[Channel Name],"")</f>
        <v>Website &amp; Social Media</v>
      </c>
      <c r="R592" s="1">
        <f>MONTH(tblSales[[#This Row],[Date]])</f>
        <v>2</v>
      </c>
    </row>
    <row r="593" spans="2:18" x14ac:dyDescent="0.35">
      <c r="B593" s="113">
        <v>46062</v>
      </c>
      <c r="C593" s="4" t="s">
        <v>411</v>
      </c>
      <c r="D593" s="4" t="s">
        <v>4568</v>
      </c>
      <c r="E593" s="1" t="str">
        <f>_xlfn.XLOOKUP(tblSales[[#This Row],[Customer ID]],tblCustomers[Customer ID],tblCustomers[Customer Name],"⚠ Unknown")</f>
        <v>Walk-in Customer</v>
      </c>
      <c r="F593" s="4" t="s">
        <v>7</v>
      </c>
      <c r="G593" s="1" t="str">
        <f>_xlfn.XLOOKUP(tblSales[[#This Row],[Product Code]],tblProducts[Code],tblProducts[Product / Service Name],"⚠ Unknown")</f>
        <v>Premium Basic T-shirt</v>
      </c>
      <c r="H593" s="1" t="str">
        <f>_xlfn.XLOOKUP(tblSales[[#This Row],[Product Code]],tblProducts[Code],tblProducts[Category],"")</f>
        <v>Accessories &amp; Basics</v>
      </c>
      <c r="I593" s="4">
        <v>4</v>
      </c>
      <c r="J593" s="5">
        <f>_xlfn.XLOOKUP(tblSales[[#This Row],[Product Code]],tblProducts[Code],tblProducts[Selling Price (excl. VAT)],0)</f>
        <v>65000</v>
      </c>
      <c r="K593" s="5">
        <f>tblSales[[#This Row],[Qty]]*tblSales[[#This Row],[Unit Price]]</f>
        <v>260000</v>
      </c>
      <c r="L593" s="5">
        <f>ROUND(tblSales[[#This Row],[DPP (excl. VAT)]]*VATEff,0)</f>
        <v>28600</v>
      </c>
      <c r="M593" s="5">
        <f>tblSales[[#This Row],[DPP (excl. VAT)]]+tblSales[[#This Row],[Output VAT]]</f>
        <v>288600</v>
      </c>
      <c r="N593" s="5">
        <f>tblSales[[#This Row],[Qty]]*_xlfn.XLOOKUP(tblSales[[#This Row],[Product Code]],tblProducts[Code],tblProducts[Unit Cost],0)</f>
        <v>148000</v>
      </c>
      <c r="O593" s="4" t="s">
        <v>4866</v>
      </c>
      <c r="P593" s="4" t="s">
        <v>4860</v>
      </c>
      <c r="Q593" s="1" t="str">
        <f>_xlfn.XLOOKUP(tblSales[[#This Row],[Channel Code]],tblChannels[Channel Code],tblChannels[Channel Name],"")</f>
        <v>In-store</v>
      </c>
      <c r="R593" s="1">
        <f>MONTH(tblSales[[#This Row],[Date]])</f>
        <v>2</v>
      </c>
    </row>
    <row r="594" spans="2:18" x14ac:dyDescent="0.35">
      <c r="B594" s="113">
        <v>46062</v>
      </c>
      <c r="C594" s="4" t="s">
        <v>412</v>
      </c>
      <c r="D594" s="4" t="s">
        <v>4568</v>
      </c>
      <c r="E594" s="1" t="str">
        <f>_xlfn.XLOOKUP(tblSales[[#This Row],[Customer ID]],tblCustomers[Customer ID],tblCustomers[Customer Name],"⚠ Unknown")</f>
        <v>Walk-in Customer</v>
      </c>
      <c r="F594" s="4" t="s">
        <v>11</v>
      </c>
      <c r="G594" s="1" t="str">
        <f>_xlfn.XLOOKUP(tblSales[[#This Row],[Product Code]],tblProducts[Code],tblProducts[Product / Service Name],"⚠ Unknown")</f>
        <v>Sneakers</v>
      </c>
      <c r="H594" s="1" t="str">
        <f>_xlfn.XLOOKUP(tblSales[[#This Row],[Product Code]],tblProducts[Code],tblProducts[Category],"")</f>
        <v>Apparel &amp; Footwear</v>
      </c>
      <c r="I594" s="4">
        <v>5</v>
      </c>
      <c r="J594" s="5">
        <f>_xlfn.XLOOKUP(tblSales[[#This Row],[Product Code]],tblProducts[Code],tblProducts[Selling Price (excl. VAT)],0)</f>
        <v>250000</v>
      </c>
      <c r="K594" s="5">
        <f>tblSales[[#This Row],[Qty]]*tblSales[[#This Row],[Unit Price]]</f>
        <v>1250000</v>
      </c>
      <c r="L594" s="5">
        <f>ROUND(tblSales[[#This Row],[DPP (excl. VAT)]]*VATEff,0)</f>
        <v>137500</v>
      </c>
      <c r="M594" s="5">
        <f>tblSales[[#This Row],[DPP (excl. VAT)]]+tblSales[[#This Row],[Output VAT]]</f>
        <v>1387500</v>
      </c>
      <c r="N594" s="5">
        <f>tblSales[[#This Row],[Qty]]*_xlfn.XLOOKUP(tblSales[[#This Row],[Product Code]],tblProducts[Code],tblProducts[Unit Cost],0)</f>
        <v>775000</v>
      </c>
      <c r="O594" s="4" t="s">
        <v>4865</v>
      </c>
      <c r="P594" s="4" t="s">
        <v>4860</v>
      </c>
      <c r="Q594" s="1" t="str">
        <f>_xlfn.XLOOKUP(tblSales[[#This Row],[Channel Code]],tblChannels[Channel Code],tblChannels[Channel Name],"")</f>
        <v>In-store</v>
      </c>
      <c r="R594" s="1">
        <f>MONTH(tblSales[[#This Row],[Date]])</f>
        <v>2</v>
      </c>
    </row>
    <row r="595" spans="2:18" x14ac:dyDescent="0.35">
      <c r="B595" s="113">
        <v>46062</v>
      </c>
      <c r="C595" s="4" t="s">
        <v>413</v>
      </c>
      <c r="D595" s="4" t="s">
        <v>4568</v>
      </c>
      <c r="E595" s="1" t="str">
        <f>_xlfn.XLOOKUP(tblSales[[#This Row],[Customer ID]],tblCustomers[Customer ID],tblCustomers[Customer Name],"⚠ Unknown")</f>
        <v>Walk-in Customer</v>
      </c>
      <c r="F595" s="4" t="s">
        <v>8</v>
      </c>
      <c r="G595" s="1" t="str">
        <f>_xlfn.XLOOKUP(tblSales[[#This Row],[Product Code]],tblProducts[Code],tblProducts[Product / Service Name],"⚠ Unknown")</f>
        <v>Casual Shorts</v>
      </c>
      <c r="H595" s="1" t="str">
        <f>_xlfn.XLOOKUP(tblSales[[#This Row],[Product Code]],tblProducts[Code],tblProducts[Category],"")</f>
        <v>Accessories &amp; Basics</v>
      </c>
      <c r="I595" s="4">
        <v>6</v>
      </c>
      <c r="J595" s="5">
        <f>_xlfn.XLOOKUP(tblSales[[#This Row],[Product Code]],tblProducts[Code],tblProducts[Selling Price (excl. VAT)],0)</f>
        <v>85000</v>
      </c>
      <c r="K595" s="5">
        <f>tblSales[[#This Row],[Qty]]*tblSales[[#This Row],[Unit Price]]</f>
        <v>510000</v>
      </c>
      <c r="L595" s="5">
        <f>ROUND(tblSales[[#This Row],[DPP (excl. VAT)]]*VATEff,0)</f>
        <v>56100</v>
      </c>
      <c r="M595" s="5">
        <f>tblSales[[#This Row],[DPP (excl. VAT)]]+tblSales[[#This Row],[Output VAT]]</f>
        <v>566100</v>
      </c>
      <c r="N595" s="5">
        <f>tblSales[[#This Row],[Qty]]*_xlfn.XLOOKUP(tblSales[[#This Row],[Product Code]],tblProducts[Code],tblProducts[Unit Cost],0)</f>
        <v>300000</v>
      </c>
      <c r="O595" s="4" t="s">
        <v>4865</v>
      </c>
      <c r="P595" s="4" t="s">
        <v>4860</v>
      </c>
      <c r="Q595" s="1" t="str">
        <f>_xlfn.XLOOKUP(tblSales[[#This Row],[Channel Code]],tblChannels[Channel Code],tblChannels[Channel Name],"")</f>
        <v>In-store</v>
      </c>
      <c r="R595" s="1">
        <f>MONTH(tblSales[[#This Row],[Date]])</f>
        <v>2</v>
      </c>
    </row>
    <row r="596" spans="2:18" x14ac:dyDescent="0.35">
      <c r="B596" s="113">
        <v>46062</v>
      </c>
      <c r="C596" s="4" t="s">
        <v>414</v>
      </c>
      <c r="D596" s="4" t="s">
        <v>4568</v>
      </c>
      <c r="E596" s="1" t="str">
        <f>_xlfn.XLOOKUP(tblSales[[#This Row],[Customer ID]],tblCustomers[Customer ID],tblCustomers[Customer Name],"⚠ Unknown")</f>
        <v>Walk-in Customer</v>
      </c>
      <c r="F596" s="4" t="s">
        <v>7</v>
      </c>
      <c r="G596" s="1" t="str">
        <f>_xlfn.XLOOKUP(tblSales[[#This Row],[Product Code]],tblProducts[Code],tblProducts[Product / Service Name],"⚠ Unknown")</f>
        <v>Premium Basic T-shirt</v>
      </c>
      <c r="H596" s="1" t="str">
        <f>_xlfn.XLOOKUP(tblSales[[#This Row],[Product Code]],tblProducts[Code],tblProducts[Category],"")</f>
        <v>Accessories &amp; Basics</v>
      </c>
      <c r="I596" s="4">
        <v>2</v>
      </c>
      <c r="J596" s="5">
        <f>_xlfn.XLOOKUP(tblSales[[#This Row],[Product Code]],tblProducts[Code],tblProducts[Selling Price (excl. VAT)],0)</f>
        <v>65000</v>
      </c>
      <c r="K596" s="5">
        <f>tblSales[[#This Row],[Qty]]*tblSales[[#This Row],[Unit Price]]</f>
        <v>130000</v>
      </c>
      <c r="L596" s="5">
        <f>ROUND(tblSales[[#This Row],[DPP (excl. VAT)]]*VATEff,0)</f>
        <v>14300</v>
      </c>
      <c r="M596" s="5">
        <f>tblSales[[#This Row],[DPP (excl. VAT)]]+tblSales[[#This Row],[Output VAT]]</f>
        <v>144300</v>
      </c>
      <c r="N596" s="5">
        <f>tblSales[[#This Row],[Qty]]*_xlfn.XLOOKUP(tblSales[[#This Row],[Product Code]],tblProducts[Code],tblProducts[Unit Cost],0)</f>
        <v>74000</v>
      </c>
      <c r="O596" s="4" t="s">
        <v>4865</v>
      </c>
      <c r="P596" s="4" t="s">
        <v>4860</v>
      </c>
      <c r="Q596" s="1" t="str">
        <f>_xlfn.XLOOKUP(tblSales[[#This Row],[Channel Code]],tblChannels[Channel Code],tblChannels[Channel Name],"")</f>
        <v>In-store</v>
      </c>
      <c r="R596" s="1">
        <f>MONTH(tblSales[[#This Row],[Date]])</f>
        <v>2</v>
      </c>
    </row>
    <row r="597" spans="2:18" x14ac:dyDescent="0.35">
      <c r="B597" s="113">
        <v>46062</v>
      </c>
      <c r="C597" s="4" t="s">
        <v>414</v>
      </c>
      <c r="D597" s="4" t="s">
        <v>4568</v>
      </c>
      <c r="E597" s="1" t="str">
        <f>_xlfn.XLOOKUP(tblSales[[#This Row],[Customer ID]],tblCustomers[Customer ID],tblCustomers[Customer Name],"⚠ Unknown")</f>
        <v>Walk-in Customer</v>
      </c>
      <c r="F597" s="4" t="s">
        <v>9</v>
      </c>
      <c r="G597" s="1" t="str">
        <f>_xlfn.XLOOKUP(tblSales[[#This Row],[Product Code]],tblProducts[Code],tblProducts[Product / Service Name],"⚠ Unknown")</f>
        <v>Casual Shirt</v>
      </c>
      <c r="H597" s="1" t="str">
        <f>_xlfn.XLOOKUP(tblSales[[#This Row],[Product Code]],tblProducts[Code],tblProducts[Category],"")</f>
        <v>Apparel &amp; Footwear</v>
      </c>
      <c r="I597" s="4">
        <v>3</v>
      </c>
      <c r="J597" s="5">
        <f>_xlfn.XLOOKUP(tblSales[[#This Row],[Product Code]],tblProducts[Code],tblProducts[Selling Price (excl. VAT)],0)</f>
        <v>120000</v>
      </c>
      <c r="K597" s="5">
        <f>tblSales[[#This Row],[Qty]]*tblSales[[#This Row],[Unit Price]]</f>
        <v>360000</v>
      </c>
      <c r="L597" s="5">
        <f>ROUND(tblSales[[#This Row],[DPP (excl. VAT)]]*VATEff,0)</f>
        <v>39600</v>
      </c>
      <c r="M597" s="5">
        <f>tblSales[[#This Row],[DPP (excl. VAT)]]+tblSales[[#This Row],[Output VAT]]</f>
        <v>399600</v>
      </c>
      <c r="N597" s="5">
        <f>tblSales[[#This Row],[Qty]]*_xlfn.XLOOKUP(tblSales[[#This Row],[Product Code]],tblProducts[Code],tblProducts[Unit Cost],0)</f>
        <v>216000</v>
      </c>
      <c r="O597" s="4" t="s">
        <v>4865</v>
      </c>
      <c r="P597" s="4" t="s">
        <v>4860</v>
      </c>
      <c r="Q597" s="1" t="str">
        <f>_xlfn.XLOOKUP(tblSales[[#This Row],[Channel Code]],tblChannels[Channel Code],tblChannels[Channel Name],"")</f>
        <v>In-store</v>
      </c>
      <c r="R597" s="1">
        <f>MONTH(tblSales[[#This Row],[Date]])</f>
        <v>2</v>
      </c>
    </row>
    <row r="598" spans="2:18" x14ac:dyDescent="0.35">
      <c r="B598" s="113">
        <v>46062</v>
      </c>
      <c r="C598" s="4" t="s">
        <v>414</v>
      </c>
      <c r="D598" s="4" t="s">
        <v>4568</v>
      </c>
      <c r="E598" s="1" t="str">
        <f>_xlfn.XLOOKUP(tblSales[[#This Row],[Customer ID]],tblCustomers[Customer ID],tblCustomers[Customer Name],"⚠ Unknown")</f>
        <v>Walk-in Customer</v>
      </c>
      <c r="F598" s="4" t="s">
        <v>11</v>
      </c>
      <c r="G598" s="1" t="str">
        <f>_xlfn.XLOOKUP(tblSales[[#This Row],[Product Code]],tblProducts[Code],tblProducts[Product / Service Name],"⚠ Unknown")</f>
        <v>Sneakers</v>
      </c>
      <c r="H598" s="1" t="str">
        <f>_xlfn.XLOOKUP(tblSales[[#This Row],[Product Code]],tblProducts[Code],tblProducts[Category],"")</f>
        <v>Apparel &amp; Footwear</v>
      </c>
      <c r="I598" s="4">
        <v>6</v>
      </c>
      <c r="J598" s="5">
        <f>_xlfn.XLOOKUP(tblSales[[#This Row],[Product Code]],tblProducts[Code],tblProducts[Selling Price (excl. VAT)],0)</f>
        <v>250000</v>
      </c>
      <c r="K598" s="5">
        <f>tblSales[[#This Row],[Qty]]*tblSales[[#This Row],[Unit Price]]</f>
        <v>1500000</v>
      </c>
      <c r="L598" s="5">
        <f>ROUND(tblSales[[#This Row],[DPP (excl. VAT)]]*VATEff,0)</f>
        <v>165000</v>
      </c>
      <c r="M598" s="5">
        <f>tblSales[[#This Row],[DPP (excl. VAT)]]+tblSales[[#This Row],[Output VAT]]</f>
        <v>1665000</v>
      </c>
      <c r="N598" s="5">
        <f>tblSales[[#This Row],[Qty]]*_xlfn.XLOOKUP(tblSales[[#This Row],[Product Code]],tblProducts[Code],tblProducts[Unit Cost],0)</f>
        <v>930000</v>
      </c>
      <c r="O598" s="4" t="s">
        <v>4865</v>
      </c>
      <c r="P598" s="4" t="s">
        <v>4860</v>
      </c>
      <c r="Q598" s="1" t="str">
        <f>_xlfn.XLOOKUP(tblSales[[#This Row],[Channel Code]],tblChannels[Channel Code],tblChannels[Channel Name],"")</f>
        <v>In-store</v>
      </c>
      <c r="R598" s="1">
        <f>MONTH(tblSales[[#This Row],[Date]])</f>
        <v>2</v>
      </c>
    </row>
    <row r="599" spans="2:18" x14ac:dyDescent="0.35">
      <c r="B599" s="113">
        <v>46062</v>
      </c>
      <c r="C599" s="4" t="s">
        <v>415</v>
      </c>
      <c r="D599" s="4" t="s">
        <v>4568</v>
      </c>
      <c r="E599" s="1" t="str">
        <f>_xlfn.XLOOKUP(tblSales[[#This Row],[Customer ID]],tblCustomers[Customer ID],tblCustomers[Customer Name],"⚠ Unknown")</f>
        <v>Walk-in Customer</v>
      </c>
      <c r="F599" s="4" t="s">
        <v>8</v>
      </c>
      <c r="G599" s="1" t="str">
        <f>_xlfn.XLOOKUP(tblSales[[#This Row],[Product Code]],tblProducts[Code],tblProducts[Product / Service Name],"⚠ Unknown")</f>
        <v>Casual Shorts</v>
      </c>
      <c r="H599" s="1" t="str">
        <f>_xlfn.XLOOKUP(tblSales[[#This Row],[Product Code]],tblProducts[Code],tblProducts[Category],"")</f>
        <v>Accessories &amp; Basics</v>
      </c>
      <c r="I599" s="4">
        <v>9</v>
      </c>
      <c r="J599" s="5">
        <f>_xlfn.XLOOKUP(tblSales[[#This Row],[Product Code]],tblProducts[Code],tblProducts[Selling Price (excl. VAT)],0)</f>
        <v>85000</v>
      </c>
      <c r="K599" s="5">
        <f>tblSales[[#This Row],[Qty]]*tblSales[[#This Row],[Unit Price]]</f>
        <v>765000</v>
      </c>
      <c r="L599" s="5">
        <f>ROUND(tblSales[[#This Row],[DPP (excl. VAT)]]*VATEff,0)</f>
        <v>84150</v>
      </c>
      <c r="M599" s="5">
        <f>tblSales[[#This Row],[DPP (excl. VAT)]]+tblSales[[#This Row],[Output VAT]]</f>
        <v>849150</v>
      </c>
      <c r="N599" s="5">
        <f>tblSales[[#This Row],[Qty]]*_xlfn.XLOOKUP(tblSales[[#This Row],[Product Code]],tblProducts[Code],tblProducts[Unit Cost],0)</f>
        <v>450000</v>
      </c>
      <c r="O599" s="4" t="s">
        <v>4866</v>
      </c>
      <c r="P599" s="4" t="s">
        <v>4860</v>
      </c>
      <c r="Q599" s="1" t="str">
        <f>_xlfn.XLOOKUP(tblSales[[#This Row],[Channel Code]],tblChannels[Channel Code],tblChannels[Channel Name],"")</f>
        <v>In-store</v>
      </c>
      <c r="R599" s="1">
        <f>MONTH(tblSales[[#This Row],[Date]])</f>
        <v>2</v>
      </c>
    </row>
    <row r="600" spans="2:18" x14ac:dyDescent="0.35">
      <c r="B600" s="113">
        <v>46062</v>
      </c>
      <c r="C600" s="4" t="s">
        <v>416</v>
      </c>
      <c r="D600" s="4" t="s">
        <v>4568</v>
      </c>
      <c r="E600" s="1" t="str">
        <f>_xlfn.XLOOKUP(tblSales[[#This Row],[Customer ID]],tblCustomers[Customer ID],tblCustomers[Customer Name],"⚠ Unknown")</f>
        <v>Walk-in Customer</v>
      </c>
      <c r="F600" s="4" t="s">
        <v>8</v>
      </c>
      <c r="G600" s="1" t="str">
        <f>_xlfn.XLOOKUP(tblSales[[#This Row],[Product Code]],tblProducts[Code],tblProducts[Product / Service Name],"⚠ Unknown")</f>
        <v>Casual Shorts</v>
      </c>
      <c r="H600" s="1" t="str">
        <f>_xlfn.XLOOKUP(tblSales[[#This Row],[Product Code]],tblProducts[Code],tblProducts[Category],"")</f>
        <v>Accessories &amp; Basics</v>
      </c>
      <c r="I600" s="4">
        <v>12</v>
      </c>
      <c r="J600" s="5">
        <f>_xlfn.XLOOKUP(tblSales[[#This Row],[Product Code]],tblProducts[Code],tblProducts[Selling Price (excl. VAT)],0)</f>
        <v>85000</v>
      </c>
      <c r="K600" s="5">
        <f>tblSales[[#This Row],[Qty]]*tblSales[[#This Row],[Unit Price]]</f>
        <v>1020000</v>
      </c>
      <c r="L600" s="5">
        <f>ROUND(tblSales[[#This Row],[DPP (excl. VAT)]]*VATEff,0)</f>
        <v>112200</v>
      </c>
      <c r="M600" s="5">
        <f>tblSales[[#This Row],[DPP (excl. VAT)]]+tblSales[[#This Row],[Output VAT]]</f>
        <v>1132200</v>
      </c>
      <c r="N600" s="5">
        <f>tblSales[[#This Row],[Qty]]*_xlfn.XLOOKUP(tblSales[[#This Row],[Product Code]],tblProducts[Code],tblProducts[Unit Cost],0)</f>
        <v>600000</v>
      </c>
      <c r="O600" s="4" t="s">
        <v>4866</v>
      </c>
      <c r="P600" s="4" t="s">
        <v>4861</v>
      </c>
      <c r="Q600" s="1" t="str">
        <f>_xlfn.XLOOKUP(tblSales[[#This Row],[Channel Code]],tblChannels[Channel Code],tblChannels[Channel Name],"")</f>
        <v>Marketplace</v>
      </c>
      <c r="R600" s="1">
        <f>MONTH(tblSales[[#This Row],[Date]])</f>
        <v>2</v>
      </c>
    </row>
    <row r="601" spans="2:18" x14ac:dyDescent="0.35">
      <c r="B601" s="113">
        <v>46062</v>
      </c>
      <c r="C601" s="4" t="s">
        <v>416</v>
      </c>
      <c r="D601" s="4" t="s">
        <v>4568</v>
      </c>
      <c r="E601" s="1" t="str">
        <f>_xlfn.XLOOKUP(tblSales[[#This Row],[Customer ID]],tblCustomers[Customer ID],tblCustomers[Customer Name],"⚠ Unknown")</f>
        <v>Walk-in Customer</v>
      </c>
      <c r="F601" s="4" t="s">
        <v>15</v>
      </c>
      <c r="G601" s="1" t="str">
        <f>_xlfn.XLOOKUP(tblSales[[#This Row],[Product Code]],tblProducts[Code],tblProducts[Product / Service Name],"⚠ Unknown")</f>
        <v>Wireless Earbuds Pro</v>
      </c>
      <c r="H601" s="1" t="str">
        <f>_xlfn.XLOOKUP(tblSales[[#This Row],[Product Code]],tblProducts[Code],tblProducts[Category],"")</f>
        <v>Bags &amp; Gadgets</v>
      </c>
      <c r="I601" s="4">
        <v>2</v>
      </c>
      <c r="J601" s="5">
        <f>_xlfn.XLOOKUP(tblSales[[#This Row],[Product Code]],tblProducts[Code],tblProducts[Selling Price (excl. VAT)],0)</f>
        <v>1250000</v>
      </c>
      <c r="K601" s="5">
        <f>tblSales[[#This Row],[Qty]]*tblSales[[#This Row],[Unit Price]]</f>
        <v>2500000</v>
      </c>
      <c r="L601" s="5">
        <f>ROUND(tblSales[[#This Row],[DPP (excl. VAT)]]*VATEff,0)</f>
        <v>275000</v>
      </c>
      <c r="M601" s="5">
        <f>tblSales[[#This Row],[DPP (excl. VAT)]]+tblSales[[#This Row],[Output VAT]]</f>
        <v>2775000</v>
      </c>
      <c r="N601" s="5">
        <f>tblSales[[#This Row],[Qty]]*_xlfn.XLOOKUP(tblSales[[#This Row],[Product Code]],tblProducts[Code],tblProducts[Unit Cost],0)</f>
        <v>1640000</v>
      </c>
      <c r="O601" s="4" t="s">
        <v>4866</v>
      </c>
      <c r="P601" s="4" t="s">
        <v>4861</v>
      </c>
      <c r="Q601" s="1" t="str">
        <f>_xlfn.XLOOKUP(tblSales[[#This Row],[Channel Code]],tblChannels[Channel Code],tblChannels[Channel Name],"")</f>
        <v>Marketplace</v>
      </c>
      <c r="R601" s="1">
        <f>MONTH(tblSales[[#This Row],[Date]])</f>
        <v>2</v>
      </c>
    </row>
    <row r="602" spans="2:18" x14ac:dyDescent="0.35">
      <c r="B602" s="113">
        <v>46062</v>
      </c>
      <c r="C602" s="4" t="s">
        <v>416</v>
      </c>
      <c r="D602" s="4" t="s">
        <v>4568</v>
      </c>
      <c r="E602" s="1" t="str">
        <f>_xlfn.XLOOKUP(tblSales[[#This Row],[Customer ID]],tblCustomers[Customer ID],tblCustomers[Customer Name],"⚠ Unknown")</f>
        <v>Walk-in Customer</v>
      </c>
      <c r="F602" s="4" t="s">
        <v>9</v>
      </c>
      <c r="G602" s="1" t="str">
        <f>_xlfn.XLOOKUP(tblSales[[#This Row],[Product Code]],tblProducts[Code],tblProducts[Product / Service Name],"⚠ Unknown")</f>
        <v>Casual Shirt</v>
      </c>
      <c r="H602" s="1" t="str">
        <f>_xlfn.XLOOKUP(tblSales[[#This Row],[Product Code]],tblProducts[Code],tblProducts[Category],"")</f>
        <v>Apparel &amp; Footwear</v>
      </c>
      <c r="I602" s="4">
        <v>10</v>
      </c>
      <c r="J602" s="5">
        <f>_xlfn.XLOOKUP(tblSales[[#This Row],[Product Code]],tblProducts[Code],tblProducts[Selling Price (excl. VAT)],0)</f>
        <v>120000</v>
      </c>
      <c r="K602" s="5">
        <f>tblSales[[#This Row],[Qty]]*tblSales[[#This Row],[Unit Price]]</f>
        <v>1200000</v>
      </c>
      <c r="L602" s="5">
        <f>ROUND(tblSales[[#This Row],[DPP (excl. VAT)]]*VATEff,0)</f>
        <v>132000</v>
      </c>
      <c r="M602" s="5">
        <f>tblSales[[#This Row],[DPP (excl. VAT)]]+tblSales[[#This Row],[Output VAT]]</f>
        <v>1332000</v>
      </c>
      <c r="N602" s="5">
        <f>tblSales[[#This Row],[Qty]]*_xlfn.XLOOKUP(tblSales[[#This Row],[Product Code]],tblProducts[Code],tblProducts[Unit Cost],0)</f>
        <v>720000</v>
      </c>
      <c r="O602" s="4" t="s">
        <v>4866</v>
      </c>
      <c r="P602" s="4" t="s">
        <v>4861</v>
      </c>
      <c r="Q602" s="1" t="str">
        <f>_xlfn.XLOOKUP(tblSales[[#This Row],[Channel Code]],tblChannels[Channel Code],tblChannels[Channel Name],"")</f>
        <v>Marketplace</v>
      </c>
      <c r="R602" s="1">
        <f>MONTH(tblSales[[#This Row],[Date]])</f>
        <v>2</v>
      </c>
    </row>
    <row r="603" spans="2:18" x14ac:dyDescent="0.35">
      <c r="B603" s="113">
        <v>46062</v>
      </c>
      <c r="C603" s="4" t="s">
        <v>417</v>
      </c>
      <c r="D603" s="4" t="s">
        <v>4568</v>
      </c>
      <c r="E603" s="1" t="str">
        <f>_xlfn.XLOOKUP(tblSales[[#This Row],[Customer ID]],tblCustomers[Customer ID],tblCustomers[Customer Name],"⚠ Unknown")</f>
        <v>Walk-in Customer</v>
      </c>
      <c r="F603" s="4" t="s">
        <v>10</v>
      </c>
      <c r="G603" s="1" t="str">
        <f>_xlfn.XLOOKUP(tblSales[[#This Row],[Product Code]],tblProducts[Code],tblProducts[Product / Service Name],"⚠ Unknown")</f>
        <v>Chino Pants</v>
      </c>
      <c r="H603" s="1" t="str">
        <f>_xlfn.XLOOKUP(tblSales[[#This Row],[Product Code]],tblProducts[Code],tblProducts[Category],"")</f>
        <v>Apparel &amp; Footwear</v>
      </c>
      <c r="I603" s="4">
        <v>5</v>
      </c>
      <c r="J603" s="5">
        <f>_xlfn.XLOOKUP(tblSales[[#This Row],[Product Code]],tblProducts[Code],tblProducts[Selling Price (excl. VAT)],0)</f>
        <v>150000</v>
      </c>
      <c r="K603" s="5">
        <f>tblSales[[#This Row],[Qty]]*tblSales[[#This Row],[Unit Price]]</f>
        <v>750000</v>
      </c>
      <c r="L603" s="5">
        <f>ROUND(tblSales[[#This Row],[DPP (excl. VAT)]]*VATEff,0)</f>
        <v>82500</v>
      </c>
      <c r="M603" s="5">
        <f>tblSales[[#This Row],[DPP (excl. VAT)]]+tblSales[[#This Row],[Output VAT]]</f>
        <v>832500</v>
      </c>
      <c r="N603" s="5">
        <f>tblSales[[#This Row],[Qty]]*_xlfn.XLOOKUP(tblSales[[#This Row],[Product Code]],tblProducts[Code],tblProducts[Unit Cost],0)</f>
        <v>440000</v>
      </c>
      <c r="O603" s="4" t="s">
        <v>4865</v>
      </c>
      <c r="P603" s="4" t="s">
        <v>4860</v>
      </c>
      <c r="Q603" s="1" t="str">
        <f>_xlfn.XLOOKUP(tblSales[[#This Row],[Channel Code]],tblChannels[Channel Code],tblChannels[Channel Name],"")</f>
        <v>In-store</v>
      </c>
      <c r="R603" s="1">
        <f>MONTH(tblSales[[#This Row],[Date]])</f>
        <v>2</v>
      </c>
    </row>
    <row r="604" spans="2:18" x14ac:dyDescent="0.35">
      <c r="B604" s="113">
        <v>46062</v>
      </c>
      <c r="C604" s="4" t="s">
        <v>417</v>
      </c>
      <c r="D604" s="4" t="s">
        <v>4568</v>
      </c>
      <c r="E604" s="1" t="str">
        <f>_xlfn.XLOOKUP(tblSales[[#This Row],[Customer ID]],tblCustomers[Customer ID],tblCustomers[Customer Name],"⚠ Unknown")</f>
        <v>Walk-in Customer</v>
      </c>
      <c r="F604" s="4" t="s">
        <v>7</v>
      </c>
      <c r="G604" s="1" t="str">
        <f>_xlfn.XLOOKUP(tblSales[[#This Row],[Product Code]],tblProducts[Code],tblProducts[Product / Service Name],"⚠ Unknown")</f>
        <v>Premium Basic T-shirt</v>
      </c>
      <c r="H604" s="1" t="str">
        <f>_xlfn.XLOOKUP(tblSales[[#This Row],[Product Code]],tblProducts[Code],tblProducts[Category],"")</f>
        <v>Accessories &amp; Basics</v>
      </c>
      <c r="I604" s="4">
        <v>2</v>
      </c>
      <c r="J604" s="5">
        <f>_xlfn.XLOOKUP(tblSales[[#This Row],[Product Code]],tblProducts[Code],tblProducts[Selling Price (excl. VAT)],0)</f>
        <v>65000</v>
      </c>
      <c r="K604" s="5">
        <f>tblSales[[#This Row],[Qty]]*tblSales[[#This Row],[Unit Price]]</f>
        <v>130000</v>
      </c>
      <c r="L604" s="5">
        <f>ROUND(tblSales[[#This Row],[DPP (excl. VAT)]]*VATEff,0)</f>
        <v>14300</v>
      </c>
      <c r="M604" s="5">
        <f>tblSales[[#This Row],[DPP (excl. VAT)]]+tblSales[[#This Row],[Output VAT]]</f>
        <v>144300</v>
      </c>
      <c r="N604" s="5">
        <f>tblSales[[#This Row],[Qty]]*_xlfn.XLOOKUP(tblSales[[#This Row],[Product Code]],tblProducts[Code],tblProducts[Unit Cost],0)</f>
        <v>74000</v>
      </c>
      <c r="O604" s="4" t="s">
        <v>4865</v>
      </c>
      <c r="P604" s="4" t="s">
        <v>4860</v>
      </c>
      <c r="Q604" s="1" t="str">
        <f>_xlfn.XLOOKUP(tblSales[[#This Row],[Channel Code]],tblChannels[Channel Code],tblChannels[Channel Name],"")</f>
        <v>In-store</v>
      </c>
      <c r="R604" s="1">
        <f>MONTH(tblSales[[#This Row],[Date]])</f>
        <v>2</v>
      </c>
    </row>
    <row r="605" spans="2:18" x14ac:dyDescent="0.35">
      <c r="B605" s="113">
        <v>46062</v>
      </c>
      <c r="C605" s="4" t="s">
        <v>417</v>
      </c>
      <c r="D605" s="4" t="s">
        <v>4568</v>
      </c>
      <c r="E605" s="1" t="str">
        <f>_xlfn.XLOOKUP(tblSales[[#This Row],[Customer ID]],tblCustomers[Customer ID],tblCustomers[Customer Name],"⚠ Unknown")</f>
        <v>Walk-in Customer</v>
      </c>
      <c r="F605" s="4" t="s">
        <v>14</v>
      </c>
      <c r="G605" s="1" t="str">
        <f>_xlfn.XLOOKUP(tblSales[[#This Row],[Product Code]],tblProducts[Code],tblProducts[Product / Service Name],"⚠ Unknown")</f>
        <v>Smartwatch</v>
      </c>
      <c r="H605" s="1" t="str">
        <f>_xlfn.XLOOKUP(tblSales[[#This Row],[Product Code]],tblProducts[Code],tblProducts[Category],"")</f>
        <v>Bags &amp; Gadgets</v>
      </c>
      <c r="I605" s="4">
        <v>1</v>
      </c>
      <c r="J605" s="5">
        <f>_xlfn.XLOOKUP(tblSales[[#This Row],[Product Code]],tblProducts[Code],tblProducts[Selling Price (excl. VAT)],0)</f>
        <v>850000</v>
      </c>
      <c r="K605" s="5">
        <f>tblSales[[#This Row],[Qty]]*tblSales[[#This Row],[Unit Price]]</f>
        <v>850000</v>
      </c>
      <c r="L605" s="5">
        <f>ROUND(tblSales[[#This Row],[DPP (excl. VAT)]]*VATEff,0)</f>
        <v>93500</v>
      </c>
      <c r="M605" s="5">
        <f>tblSales[[#This Row],[DPP (excl. VAT)]]+tblSales[[#This Row],[Output VAT]]</f>
        <v>943500</v>
      </c>
      <c r="N605" s="5">
        <f>tblSales[[#This Row],[Qty]]*_xlfn.XLOOKUP(tblSales[[#This Row],[Product Code]],tblProducts[Code],tblProducts[Unit Cost],0)</f>
        <v>560000</v>
      </c>
      <c r="O605" s="4" t="s">
        <v>4865</v>
      </c>
      <c r="P605" s="4" t="s">
        <v>4860</v>
      </c>
      <c r="Q605" s="1" t="str">
        <f>_xlfn.XLOOKUP(tblSales[[#This Row],[Channel Code]],tblChannels[Channel Code],tblChannels[Channel Name],"")</f>
        <v>In-store</v>
      </c>
      <c r="R605" s="1">
        <f>MONTH(tblSales[[#This Row],[Date]])</f>
        <v>2</v>
      </c>
    </row>
    <row r="606" spans="2:18" x14ac:dyDescent="0.35">
      <c r="B606" s="113">
        <v>46062</v>
      </c>
      <c r="C606" s="4" t="s">
        <v>418</v>
      </c>
      <c r="D606" s="4" t="s">
        <v>4613</v>
      </c>
      <c r="E606" s="1" t="str">
        <f>_xlfn.XLOOKUP(tblSales[[#This Row],[Customer ID]],tblCustomers[Customer ID],tblCustomers[Customer Name],"⚠ Unknown")</f>
        <v>PT Mega Prima Distribusi</v>
      </c>
      <c r="F606" s="4" t="s">
        <v>8</v>
      </c>
      <c r="G606" s="1" t="str">
        <f>_xlfn.XLOOKUP(tblSales[[#This Row],[Product Code]],tblProducts[Code],tblProducts[Product / Service Name],"⚠ Unknown")</f>
        <v>Casual Shorts</v>
      </c>
      <c r="H606" s="1" t="str">
        <f>_xlfn.XLOOKUP(tblSales[[#This Row],[Product Code]],tblProducts[Code],tblProducts[Category],"")</f>
        <v>Accessories &amp; Basics</v>
      </c>
      <c r="I606" s="4">
        <v>64</v>
      </c>
      <c r="J606" s="5">
        <f>_xlfn.XLOOKUP(tblSales[[#This Row],[Product Code]],tblProducts[Code],tblProducts[Selling Price (excl. VAT)],0)</f>
        <v>85000</v>
      </c>
      <c r="K606" s="5">
        <f>tblSales[[#This Row],[Qty]]*tblSales[[#This Row],[Unit Price]]</f>
        <v>5440000</v>
      </c>
      <c r="L606" s="5">
        <f>ROUND(tblSales[[#This Row],[DPP (excl. VAT)]]*VATEff,0)</f>
        <v>598400</v>
      </c>
      <c r="M606" s="5">
        <f>tblSales[[#This Row],[DPP (excl. VAT)]]+tblSales[[#This Row],[Output VAT]]</f>
        <v>6038400</v>
      </c>
      <c r="N606" s="5">
        <f>tblSales[[#This Row],[Qty]]*_xlfn.XLOOKUP(tblSales[[#This Row],[Product Code]],tblProducts[Code],tblProducts[Unit Cost],0)</f>
        <v>3200000</v>
      </c>
      <c r="O606" s="4" t="s">
        <v>4867</v>
      </c>
      <c r="P606" s="4" t="s">
        <v>4860</v>
      </c>
      <c r="Q606" s="1" t="str">
        <f>_xlfn.XLOOKUP(tblSales[[#This Row],[Channel Code]],tblChannels[Channel Code],tblChannels[Channel Name],"")</f>
        <v>In-store</v>
      </c>
      <c r="R606" s="1">
        <f>MONTH(tblSales[[#This Row],[Date]])</f>
        <v>2</v>
      </c>
    </row>
    <row r="607" spans="2:18" x14ac:dyDescent="0.35">
      <c r="B607" s="113">
        <v>46062</v>
      </c>
      <c r="C607" s="4" t="s">
        <v>418</v>
      </c>
      <c r="D607" s="4" t="s">
        <v>4613</v>
      </c>
      <c r="E607" s="1" t="str">
        <f>_xlfn.XLOOKUP(tblSales[[#This Row],[Customer ID]],tblCustomers[Customer ID],tblCustomers[Customer Name],"⚠ Unknown")</f>
        <v>PT Mega Prima Distribusi</v>
      </c>
      <c r="F607" s="4" t="s">
        <v>11</v>
      </c>
      <c r="G607" s="1" t="str">
        <f>_xlfn.XLOOKUP(tblSales[[#This Row],[Product Code]],tblProducts[Code],tblProducts[Product / Service Name],"⚠ Unknown")</f>
        <v>Sneakers</v>
      </c>
      <c r="H607" s="1" t="str">
        <f>_xlfn.XLOOKUP(tblSales[[#This Row],[Product Code]],tblProducts[Code],tblProducts[Category],"")</f>
        <v>Apparel &amp; Footwear</v>
      </c>
      <c r="I607" s="4">
        <v>16</v>
      </c>
      <c r="J607" s="5">
        <f>_xlfn.XLOOKUP(tblSales[[#This Row],[Product Code]],tblProducts[Code],tblProducts[Selling Price (excl. VAT)],0)</f>
        <v>250000</v>
      </c>
      <c r="K607" s="5">
        <f>tblSales[[#This Row],[Qty]]*tblSales[[#This Row],[Unit Price]]</f>
        <v>4000000</v>
      </c>
      <c r="L607" s="5">
        <f>ROUND(tblSales[[#This Row],[DPP (excl. VAT)]]*VATEff,0)</f>
        <v>440000</v>
      </c>
      <c r="M607" s="5">
        <f>tblSales[[#This Row],[DPP (excl. VAT)]]+tblSales[[#This Row],[Output VAT]]</f>
        <v>4440000</v>
      </c>
      <c r="N607" s="5">
        <f>tblSales[[#This Row],[Qty]]*_xlfn.XLOOKUP(tblSales[[#This Row],[Product Code]],tblProducts[Code],tblProducts[Unit Cost],0)</f>
        <v>2480000</v>
      </c>
      <c r="O607" s="4" t="s">
        <v>4867</v>
      </c>
      <c r="P607" s="4" t="s">
        <v>4860</v>
      </c>
      <c r="Q607" s="1" t="str">
        <f>_xlfn.XLOOKUP(tblSales[[#This Row],[Channel Code]],tblChannels[Channel Code],tblChannels[Channel Name],"")</f>
        <v>In-store</v>
      </c>
      <c r="R607" s="1">
        <f>MONTH(tblSales[[#This Row],[Date]])</f>
        <v>2</v>
      </c>
    </row>
    <row r="608" spans="2:18" x14ac:dyDescent="0.35">
      <c r="B608" s="113">
        <v>46062</v>
      </c>
      <c r="C608" s="4" t="s">
        <v>419</v>
      </c>
      <c r="D608" s="4" t="s">
        <v>4568</v>
      </c>
      <c r="E608" s="1" t="str">
        <f>_xlfn.XLOOKUP(tblSales[[#This Row],[Customer ID]],tblCustomers[Customer ID],tblCustomers[Customer Name],"⚠ Unknown")</f>
        <v>Walk-in Customer</v>
      </c>
      <c r="F608" s="4" t="s">
        <v>11</v>
      </c>
      <c r="G608" s="1" t="str">
        <f>_xlfn.XLOOKUP(tblSales[[#This Row],[Product Code]],tblProducts[Code],tblProducts[Product / Service Name],"⚠ Unknown")</f>
        <v>Sneakers</v>
      </c>
      <c r="H608" s="1" t="str">
        <f>_xlfn.XLOOKUP(tblSales[[#This Row],[Product Code]],tblProducts[Code],tblProducts[Category],"")</f>
        <v>Apparel &amp; Footwear</v>
      </c>
      <c r="I608" s="4">
        <v>3</v>
      </c>
      <c r="J608" s="5">
        <f>_xlfn.XLOOKUP(tblSales[[#This Row],[Product Code]],tblProducts[Code],tblProducts[Selling Price (excl. VAT)],0)</f>
        <v>250000</v>
      </c>
      <c r="K608" s="5">
        <f>tblSales[[#This Row],[Qty]]*tblSales[[#This Row],[Unit Price]]</f>
        <v>750000</v>
      </c>
      <c r="L608" s="5">
        <f>ROUND(tblSales[[#This Row],[DPP (excl. VAT)]]*VATEff,0)</f>
        <v>82500</v>
      </c>
      <c r="M608" s="5">
        <f>tblSales[[#This Row],[DPP (excl. VAT)]]+tblSales[[#This Row],[Output VAT]]</f>
        <v>832500</v>
      </c>
      <c r="N608" s="5">
        <f>tblSales[[#This Row],[Qty]]*_xlfn.XLOOKUP(tblSales[[#This Row],[Product Code]],tblProducts[Code],tblProducts[Unit Cost],0)</f>
        <v>465000</v>
      </c>
      <c r="O608" s="4" t="s">
        <v>4866</v>
      </c>
      <c r="P608" s="4" t="s">
        <v>4860</v>
      </c>
      <c r="Q608" s="1" t="str">
        <f>_xlfn.XLOOKUP(tblSales[[#This Row],[Channel Code]],tblChannels[Channel Code],tblChannels[Channel Name],"")</f>
        <v>In-store</v>
      </c>
      <c r="R608" s="1">
        <f>MONTH(tblSales[[#This Row],[Date]])</f>
        <v>2</v>
      </c>
    </row>
    <row r="609" spans="2:18" x14ac:dyDescent="0.35">
      <c r="B609" s="113">
        <v>46062</v>
      </c>
      <c r="C609" s="4" t="s">
        <v>419</v>
      </c>
      <c r="D609" s="4" t="s">
        <v>4568</v>
      </c>
      <c r="E609" s="1" t="str">
        <f>_xlfn.XLOOKUP(tblSales[[#This Row],[Customer ID]],tblCustomers[Customer ID],tblCustomers[Customer Name],"⚠ Unknown")</f>
        <v>Walk-in Customer</v>
      </c>
      <c r="F609" s="4" t="s">
        <v>7</v>
      </c>
      <c r="G609" s="1" t="str">
        <f>_xlfn.XLOOKUP(tblSales[[#This Row],[Product Code]],tblProducts[Code],tblProducts[Product / Service Name],"⚠ Unknown")</f>
        <v>Premium Basic T-shirt</v>
      </c>
      <c r="H609" s="1" t="str">
        <f>_xlfn.XLOOKUP(tblSales[[#This Row],[Product Code]],tblProducts[Code],tblProducts[Category],"")</f>
        <v>Accessories &amp; Basics</v>
      </c>
      <c r="I609" s="4">
        <v>10</v>
      </c>
      <c r="J609" s="5">
        <f>_xlfn.XLOOKUP(tblSales[[#This Row],[Product Code]],tblProducts[Code],tblProducts[Selling Price (excl. VAT)],0)</f>
        <v>65000</v>
      </c>
      <c r="K609" s="5">
        <f>tblSales[[#This Row],[Qty]]*tblSales[[#This Row],[Unit Price]]</f>
        <v>650000</v>
      </c>
      <c r="L609" s="5">
        <f>ROUND(tblSales[[#This Row],[DPP (excl. VAT)]]*VATEff,0)</f>
        <v>71500</v>
      </c>
      <c r="M609" s="5">
        <f>tblSales[[#This Row],[DPP (excl. VAT)]]+tblSales[[#This Row],[Output VAT]]</f>
        <v>721500</v>
      </c>
      <c r="N609" s="5">
        <f>tblSales[[#This Row],[Qty]]*_xlfn.XLOOKUP(tblSales[[#This Row],[Product Code]],tblProducts[Code],tblProducts[Unit Cost],0)</f>
        <v>370000</v>
      </c>
      <c r="O609" s="4" t="s">
        <v>4866</v>
      </c>
      <c r="P609" s="4" t="s">
        <v>4860</v>
      </c>
      <c r="Q609" s="1" t="str">
        <f>_xlfn.XLOOKUP(tblSales[[#This Row],[Channel Code]],tblChannels[Channel Code],tblChannels[Channel Name],"")</f>
        <v>In-store</v>
      </c>
      <c r="R609" s="1">
        <f>MONTH(tblSales[[#This Row],[Date]])</f>
        <v>2</v>
      </c>
    </row>
    <row r="610" spans="2:18" x14ac:dyDescent="0.35">
      <c r="B610" s="113">
        <v>46063</v>
      </c>
      <c r="C610" s="4" t="s">
        <v>420</v>
      </c>
      <c r="D610" s="4" t="s">
        <v>4568</v>
      </c>
      <c r="E610" s="1" t="str">
        <f>_xlfn.XLOOKUP(tblSales[[#This Row],[Customer ID]],tblCustomers[Customer ID],tblCustomers[Customer Name],"⚠ Unknown")</f>
        <v>Walk-in Customer</v>
      </c>
      <c r="F610" s="4" t="s">
        <v>10</v>
      </c>
      <c r="G610" s="1" t="str">
        <f>_xlfn.XLOOKUP(tblSales[[#This Row],[Product Code]],tblProducts[Code],tblProducts[Product / Service Name],"⚠ Unknown")</f>
        <v>Chino Pants</v>
      </c>
      <c r="H610" s="1" t="str">
        <f>_xlfn.XLOOKUP(tblSales[[#This Row],[Product Code]],tblProducts[Code],tblProducts[Category],"")</f>
        <v>Apparel &amp; Footwear</v>
      </c>
      <c r="I610" s="4">
        <v>6</v>
      </c>
      <c r="J610" s="5">
        <f>_xlfn.XLOOKUP(tblSales[[#This Row],[Product Code]],tblProducts[Code],tblProducts[Selling Price (excl. VAT)],0)</f>
        <v>150000</v>
      </c>
      <c r="K610" s="5">
        <f>tblSales[[#This Row],[Qty]]*tblSales[[#This Row],[Unit Price]]</f>
        <v>900000</v>
      </c>
      <c r="L610" s="5">
        <f>ROUND(tblSales[[#This Row],[DPP (excl. VAT)]]*VATEff,0)</f>
        <v>99000</v>
      </c>
      <c r="M610" s="5">
        <f>tblSales[[#This Row],[DPP (excl. VAT)]]+tblSales[[#This Row],[Output VAT]]</f>
        <v>999000</v>
      </c>
      <c r="N610" s="5">
        <f>tblSales[[#This Row],[Qty]]*_xlfn.XLOOKUP(tblSales[[#This Row],[Product Code]],tblProducts[Code],tblProducts[Unit Cost],0)</f>
        <v>528000</v>
      </c>
      <c r="O610" s="4" t="s">
        <v>4866</v>
      </c>
      <c r="P610" s="4" t="s">
        <v>4862</v>
      </c>
      <c r="Q610" s="1" t="str">
        <f>_xlfn.XLOOKUP(tblSales[[#This Row],[Channel Code]],tblChannels[Channel Code],tblChannels[Channel Name],"")</f>
        <v>Website &amp; Social Media</v>
      </c>
      <c r="R610" s="1">
        <f>MONTH(tblSales[[#This Row],[Date]])</f>
        <v>2</v>
      </c>
    </row>
    <row r="611" spans="2:18" x14ac:dyDescent="0.35">
      <c r="B611" s="113">
        <v>46063</v>
      </c>
      <c r="C611" s="4" t="s">
        <v>421</v>
      </c>
      <c r="D611" s="4" t="s">
        <v>4568</v>
      </c>
      <c r="E611" s="1" t="str">
        <f>_xlfn.XLOOKUP(tblSales[[#This Row],[Customer ID]],tblCustomers[Customer ID],tblCustomers[Customer Name],"⚠ Unknown")</f>
        <v>Walk-in Customer</v>
      </c>
      <c r="F611" s="4" t="s">
        <v>11</v>
      </c>
      <c r="G611" s="1" t="str">
        <f>_xlfn.XLOOKUP(tblSales[[#This Row],[Product Code]],tblProducts[Code],tblProducts[Product / Service Name],"⚠ Unknown")</f>
        <v>Sneakers</v>
      </c>
      <c r="H611" s="1" t="str">
        <f>_xlfn.XLOOKUP(tblSales[[#This Row],[Product Code]],tblProducts[Code],tblProducts[Category],"")</f>
        <v>Apparel &amp; Footwear</v>
      </c>
      <c r="I611" s="4">
        <v>3</v>
      </c>
      <c r="J611" s="5">
        <f>_xlfn.XLOOKUP(tblSales[[#This Row],[Product Code]],tblProducts[Code],tblProducts[Selling Price (excl. VAT)],0)</f>
        <v>250000</v>
      </c>
      <c r="K611" s="5">
        <f>tblSales[[#This Row],[Qty]]*tblSales[[#This Row],[Unit Price]]</f>
        <v>750000</v>
      </c>
      <c r="L611" s="5">
        <f>ROUND(tblSales[[#This Row],[DPP (excl. VAT)]]*VATEff,0)</f>
        <v>82500</v>
      </c>
      <c r="M611" s="5">
        <f>tblSales[[#This Row],[DPP (excl. VAT)]]+tblSales[[#This Row],[Output VAT]]</f>
        <v>832500</v>
      </c>
      <c r="N611" s="5">
        <f>tblSales[[#This Row],[Qty]]*_xlfn.XLOOKUP(tblSales[[#This Row],[Product Code]],tblProducts[Code],tblProducts[Unit Cost],0)</f>
        <v>465000</v>
      </c>
      <c r="O611" s="4" t="s">
        <v>4866</v>
      </c>
      <c r="P611" s="4" t="s">
        <v>4861</v>
      </c>
      <c r="Q611" s="1" t="str">
        <f>_xlfn.XLOOKUP(tblSales[[#This Row],[Channel Code]],tblChannels[Channel Code],tblChannels[Channel Name],"")</f>
        <v>Marketplace</v>
      </c>
      <c r="R611" s="1">
        <f>MONTH(tblSales[[#This Row],[Date]])</f>
        <v>2</v>
      </c>
    </row>
    <row r="612" spans="2:18" x14ac:dyDescent="0.35">
      <c r="B612" s="113">
        <v>46063</v>
      </c>
      <c r="C612" s="4" t="s">
        <v>422</v>
      </c>
      <c r="D612" s="4" t="s">
        <v>4568</v>
      </c>
      <c r="E612" s="1" t="str">
        <f>_xlfn.XLOOKUP(tblSales[[#This Row],[Customer ID]],tblCustomers[Customer ID],tblCustomers[Customer Name],"⚠ Unknown")</f>
        <v>Walk-in Customer</v>
      </c>
      <c r="F612" s="4" t="s">
        <v>7</v>
      </c>
      <c r="G612" s="1" t="str">
        <f>_xlfn.XLOOKUP(tblSales[[#This Row],[Product Code]],tblProducts[Code],tblProducts[Product / Service Name],"⚠ Unknown")</f>
        <v>Premium Basic T-shirt</v>
      </c>
      <c r="H612" s="1" t="str">
        <f>_xlfn.XLOOKUP(tblSales[[#This Row],[Product Code]],tblProducts[Code],tblProducts[Category],"")</f>
        <v>Accessories &amp; Basics</v>
      </c>
      <c r="I612" s="4">
        <v>7</v>
      </c>
      <c r="J612" s="5">
        <f>_xlfn.XLOOKUP(tblSales[[#This Row],[Product Code]],tblProducts[Code],tblProducts[Selling Price (excl. VAT)],0)</f>
        <v>65000</v>
      </c>
      <c r="K612" s="5">
        <f>tblSales[[#This Row],[Qty]]*tblSales[[#This Row],[Unit Price]]</f>
        <v>455000</v>
      </c>
      <c r="L612" s="5">
        <f>ROUND(tblSales[[#This Row],[DPP (excl. VAT)]]*VATEff,0)</f>
        <v>50050</v>
      </c>
      <c r="M612" s="5">
        <f>tblSales[[#This Row],[DPP (excl. VAT)]]+tblSales[[#This Row],[Output VAT]]</f>
        <v>505050</v>
      </c>
      <c r="N612" s="5">
        <f>tblSales[[#This Row],[Qty]]*_xlfn.XLOOKUP(tblSales[[#This Row],[Product Code]],tblProducts[Code],tblProducts[Unit Cost],0)</f>
        <v>259000</v>
      </c>
      <c r="O612" s="4" t="s">
        <v>4866</v>
      </c>
      <c r="P612" s="4" t="s">
        <v>4860</v>
      </c>
      <c r="Q612" s="1" t="str">
        <f>_xlfn.XLOOKUP(tblSales[[#This Row],[Channel Code]],tblChannels[Channel Code],tblChannels[Channel Name],"")</f>
        <v>In-store</v>
      </c>
      <c r="R612" s="1">
        <f>MONTH(tblSales[[#This Row],[Date]])</f>
        <v>2</v>
      </c>
    </row>
    <row r="613" spans="2:18" x14ac:dyDescent="0.35">
      <c r="B613" s="113">
        <v>46063</v>
      </c>
      <c r="C613" s="4" t="s">
        <v>423</v>
      </c>
      <c r="D613" s="4" t="s">
        <v>4568</v>
      </c>
      <c r="E613" s="1" t="str">
        <f>_xlfn.XLOOKUP(tblSales[[#This Row],[Customer ID]],tblCustomers[Customer ID],tblCustomers[Customer Name],"⚠ Unknown")</f>
        <v>Walk-in Customer</v>
      </c>
      <c r="F613" s="4" t="s">
        <v>9</v>
      </c>
      <c r="G613" s="1" t="str">
        <f>_xlfn.XLOOKUP(tblSales[[#This Row],[Product Code]],tblProducts[Code],tblProducts[Product / Service Name],"⚠ Unknown")</f>
        <v>Casual Shirt</v>
      </c>
      <c r="H613" s="1" t="str">
        <f>_xlfn.XLOOKUP(tblSales[[#This Row],[Product Code]],tblProducts[Code],tblProducts[Category],"")</f>
        <v>Apparel &amp; Footwear</v>
      </c>
      <c r="I613" s="4">
        <v>10</v>
      </c>
      <c r="J613" s="5">
        <f>_xlfn.XLOOKUP(tblSales[[#This Row],[Product Code]],tblProducts[Code],tblProducts[Selling Price (excl. VAT)],0)</f>
        <v>120000</v>
      </c>
      <c r="K613" s="5">
        <f>tblSales[[#This Row],[Qty]]*tblSales[[#This Row],[Unit Price]]</f>
        <v>1200000</v>
      </c>
      <c r="L613" s="5">
        <f>ROUND(tblSales[[#This Row],[DPP (excl. VAT)]]*VATEff,0)</f>
        <v>132000</v>
      </c>
      <c r="M613" s="5">
        <f>tblSales[[#This Row],[DPP (excl. VAT)]]+tblSales[[#This Row],[Output VAT]]</f>
        <v>1332000</v>
      </c>
      <c r="N613" s="5">
        <f>tblSales[[#This Row],[Qty]]*_xlfn.XLOOKUP(tblSales[[#This Row],[Product Code]],tblProducts[Code],tblProducts[Unit Cost],0)</f>
        <v>720000</v>
      </c>
      <c r="O613" s="4" t="s">
        <v>4865</v>
      </c>
      <c r="P613" s="4" t="s">
        <v>4860</v>
      </c>
      <c r="Q613" s="1" t="str">
        <f>_xlfn.XLOOKUP(tblSales[[#This Row],[Channel Code]],tblChannels[Channel Code],tblChannels[Channel Name],"")</f>
        <v>In-store</v>
      </c>
      <c r="R613" s="1">
        <f>MONTH(tblSales[[#This Row],[Date]])</f>
        <v>2</v>
      </c>
    </row>
    <row r="614" spans="2:18" x14ac:dyDescent="0.35">
      <c r="B614" s="113">
        <v>46063</v>
      </c>
      <c r="C614" s="4" t="s">
        <v>424</v>
      </c>
      <c r="D614" s="4" t="s">
        <v>4568</v>
      </c>
      <c r="E614" s="1" t="str">
        <f>_xlfn.XLOOKUP(tblSales[[#This Row],[Customer ID]],tblCustomers[Customer ID],tblCustomers[Customer Name],"⚠ Unknown")</f>
        <v>Walk-in Customer</v>
      </c>
      <c r="F614" s="4" t="s">
        <v>9</v>
      </c>
      <c r="G614" s="1" t="str">
        <f>_xlfn.XLOOKUP(tblSales[[#This Row],[Product Code]],tblProducts[Code],tblProducts[Product / Service Name],"⚠ Unknown")</f>
        <v>Casual Shirt</v>
      </c>
      <c r="H614" s="1" t="str">
        <f>_xlfn.XLOOKUP(tblSales[[#This Row],[Product Code]],tblProducts[Code],tblProducts[Category],"")</f>
        <v>Apparel &amp; Footwear</v>
      </c>
      <c r="I614" s="4">
        <v>5</v>
      </c>
      <c r="J614" s="5">
        <f>_xlfn.XLOOKUP(tblSales[[#This Row],[Product Code]],tblProducts[Code],tblProducts[Selling Price (excl. VAT)],0)</f>
        <v>120000</v>
      </c>
      <c r="K614" s="5">
        <f>tblSales[[#This Row],[Qty]]*tblSales[[#This Row],[Unit Price]]</f>
        <v>600000</v>
      </c>
      <c r="L614" s="5">
        <f>ROUND(tblSales[[#This Row],[DPP (excl. VAT)]]*VATEff,0)</f>
        <v>66000</v>
      </c>
      <c r="M614" s="5">
        <f>tblSales[[#This Row],[DPP (excl. VAT)]]+tblSales[[#This Row],[Output VAT]]</f>
        <v>666000</v>
      </c>
      <c r="N614" s="5">
        <f>tblSales[[#This Row],[Qty]]*_xlfn.XLOOKUP(tblSales[[#This Row],[Product Code]],tblProducts[Code],tblProducts[Unit Cost],0)</f>
        <v>360000</v>
      </c>
      <c r="O614" s="4" t="s">
        <v>4866</v>
      </c>
      <c r="P614" s="4" t="s">
        <v>4861</v>
      </c>
      <c r="Q614" s="1" t="str">
        <f>_xlfn.XLOOKUP(tblSales[[#This Row],[Channel Code]],tblChannels[Channel Code],tblChannels[Channel Name],"")</f>
        <v>Marketplace</v>
      </c>
      <c r="R614" s="1">
        <f>MONTH(tblSales[[#This Row],[Date]])</f>
        <v>2</v>
      </c>
    </row>
    <row r="615" spans="2:18" x14ac:dyDescent="0.35">
      <c r="B615" s="113">
        <v>46063</v>
      </c>
      <c r="C615" s="4" t="s">
        <v>425</v>
      </c>
      <c r="D615" s="4" t="s">
        <v>4568</v>
      </c>
      <c r="E615" s="1" t="str">
        <f>_xlfn.XLOOKUP(tblSales[[#This Row],[Customer ID]],tblCustomers[Customer ID],tblCustomers[Customer Name],"⚠ Unknown")</f>
        <v>Walk-in Customer</v>
      </c>
      <c r="F615" s="4" t="s">
        <v>11</v>
      </c>
      <c r="G615" s="1" t="str">
        <f>_xlfn.XLOOKUP(tblSales[[#This Row],[Product Code]],tblProducts[Code],tblProducts[Product / Service Name],"⚠ Unknown")</f>
        <v>Sneakers</v>
      </c>
      <c r="H615" s="1" t="str">
        <f>_xlfn.XLOOKUP(tblSales[[#This Row],[Product Code]],tblProducts[Code],tblProducts[Category],"")</f>
        <v>Apparel &amp; Footwear</v>
      </c>
      <c r="I615" s="4">
        <v>5</v>
      </c>
      <c r="J615" s="5">
        <f>_xlfn.XLOOKUP(tblSales[[#This Row],[Product Code]],tblProducts[Code],tblProducts[Selling Price (excl. VAT)],0)</f>
        <v>250000</v>
      </c>
      <c r="K615" s="5">
        <f>tblSales[[#This Row],[Qty]]*tblSales[[#This Row],[Unit Price]]</f>
        <v>1250000</v>
      </c>
      <c r="L615" s="5">
        <f>ROUND(tblSales[[#This Row],[DPP (excl. VAT)]]*VATEff,0)</f>
        <v>137500</v>
      </c>
      <c r="M615" s="5">
        <f>tblSales[[#This Row],[DPP (excl. VAT)]]+tblSales[[#This Row],[Output VAT]]</f>
        <v>1387500</v>
      </c>
      <c r="N615" s="5">
        <f>tblSales[[#This Row],[Qty]]*_xlfn.XLOOKUP(tblSales[[#This Row],[Product Code]],tblProducts[Code],tblProducts[Unit Cost],0)</f>
        <v>775000</v>
      </c>
      <c r="O615" s="4" t="s">
        <v>4865</v>
      </c>
      <c r="P615" s="4" t="s">
        <v>4860</v>
      </c>
      <c r="Q615" s="1" t="str">
        <f>_xlfn.XLOOKUP(tblSales[[#This Row],[Channel Code]],tblChannels[Channel Code],tblChannels[Channel Name],"")</f>
        <v>In-store</v>
      </c>
      <c r="R615" s="1">
        <f>MONTH(tblSales[[#This Row],[Date]])</f>
        <v>2</v>
      </c>
    </row>
    <row r="616" spans="2:18" x14ac:dyDescent="0.35">
      <c r="B616" s="113">
        <v>46063</v>
      </c>
      <c r="C616" s="4" t="s">
        <v>426</v>
      </c>
      <c r="D616" s="4" t="s">
        <v>4572</v>
      </c>
      <c r="E616" s="1" t="str">
        <f>_xlfn.XLOOKUP(tblSales[[#This Row],[Customer ID]],tblCustomers[Customer ID],tblCustomers[Customer Name],"⚠ Unknown")</f>
        <v>PT Cahaya Abadi Makmur</v>
      </c>
      <c r="F616" s="4" t="s">
        <v>8</v>
      </c>
      <c r="G616" s="1" t="str">
        <f>_xlfn.XLOOKUP(tblSales[[#This Row],[Product Code]],tblProducts[Code],tblProducts[Product / Service Name],"⚠ Unknown")</f>
        <v>Casual Shorts</v>
      </c>
      <c r="H616" s="1" t="str">
        <f>_xlfn.XLOOKUP(tblSales[[#This Row],[Product Code]],tblProducts[Code],tblProducts[Category],"")</f>
        <v>Accessories &amp; Basics</v>
      </c>
      <c r="I616" s="4">
        <v>16</v>
      </c>
      <c r="J616" s="5">
        <f>_xlfn.XLOOKUP(tblSales[[#This Row],[Product Code]],tblProducts[Code],tblProducts[Selling Price (excl. VAT)],0)</f>
        <v>85000</v>
      </c>
      <c r="K616" s="5">
        <f>tblSales[[#This Row],[Qty]]*tblSales[[#This Row],[Unit Price]]</f>
        <v>1360000</v>
      </c>
      <c r="L616" s="5">
        <f>ROUND(tblSales[[#This Row],[DPP (excl. VAT)]]*VATEff,0)</f>
        <v>149600</v>
      </c>
      <c r="M616" s="5">
        <f>tblSales[[#This Row],[DPP (excl. VAT)]]+tblSales[[#This Row],[Output VAT]]</f>
        <v>1509600</v>
      </c>
      <c r="N616" s="5">
        <f>tblSales[[#This Row],[Qty]]*_xlfn.XLOOKUP(tblSales[[#This Row],[Product Code]],tblProducts[Code],tblProducts[Unit Cost],0)</f>
        <v>800000</v>
      </c>
      <c r="O616" s="4" t="s">
        <v>4867</v>
      </c>
      <c r="P616" s="4" t="s">
        <v>4862</v>
      </c>
      <c r="Q616" s="1" t="str">
        <f>_xlfn.XLOOKUP(tblSales[[#This Row],[Channel Code]],tblChannels[Channel Code],tblChannels[Channel Name],"")</f>
        <v>Website &amp; Social Media</v>
      </c>
      <c r="R616" s="1">
        <f>MONTH(tblSales[[#This Row],[Date]])</f>
        <v>2</v>
      </c>
    </row>
    <row r="617" spans="2:18" x14ac:dyDescent="0.35">
      <c r="B617" s="113">
        <v>46063</v>
      </c>
      <c r="C617" s="4" t="s">
        <v>427</v>
      </c>
      <c r="D617" s="4" t="s">
        <v>4568</v>
      </c>
      <c r="E617" s="1" t="str">
        <f>_xlfn.XLOOKUP(tblSales[[#This Row],[Customer ID]],tblCustomers[Customer ID],tblCustomers[Customer Name],"⚠ Unknown")</f>
        <v>Walk-in Customer</v>
      </c>
      <c r="F617" s="4" t="s">
        <v>11</v>
      </c>
      <c r="G617" s="1" t="str">
        <f>_xlfn.XLOOKUP(tblSales[[#This Row],[Product Code]],tblProducts[Code],tblProducts[Product / Service Name],"⚠ Unknown")</f>
        <v>Sneakers</v>
      </c>
      <c r="H617" s="1" t="str">
        <f>_xlfn.XLOOKUP(tblSales[[#This Row],[Product Code]],tblProducts[Code],tblProducts[Category],"")</f>
        <v>Apparel &amp; Footwear</v>
      </c>
      <c r="I617" s="4">
        <v>2</v>
      </c>
      <c r="J617" s="5">
        <f>_xlfn.XLOOKUP(tblSales[[#This Row],[Product Code]],tblProducts[Code],tblProducts[Selling Price (excl. VAT)],0)</f>
        <v>250000</v>
      </c>
      <c r="K617" s="5">
        <f>tblSales[[#This Row],[Qty]]*tblSales[[#This Row],[Unit Price]]</f>
        <v>500000</v>
      </c>
      <c r="L617" s="5">
        <f>ROUND(tblSales[[#This Row],[DPP (excl. VAT)]]*VATEff,0)</f>
        <v>55000</v>
      </c>
      <c r="M617" s="5">
        <f>tblSales[[#This Row],[DPP (excl. VAT)]]+tblSales[[#This Row],[Output VAT]]</f>
        <v>555000</v>
      </c>
      <c r="N617" s="5">
        <f>tblSales[[#This Row],[Qty]]*_xlfn.XLOOKUP(tblSales[[#This Row],[Product Code]],tblProducts[Code],tblProducts[Unit Cost],0)</f>
        <v>310000</v>
      </c>
      <c r="O617" s="4" t="s">
        <v>4865</v>
      </c>
      <c r="P617" s="4" t="s">
        <v>4860</v>
      </c>
      <c r="Q617" s="1" t="str">
        <f>_xlfn.XLOOKUP(tblSales[[#This Row],[Channel Code]],tblChannels[Channel Code],tblChannels[Channel Name],"")</f>
        <v>In-store</v>
      </c>
      <c r="R617" s="1">
        <f>MONTH(tblSales[[#This Row],[Date]])</f>
        <v>2</v>
      </c>
    </row>
    <row r="618" spans="2:18" x14ac:dyDescent="0.35">
      <c r="B618" s="113">
        <v>46063</v>
      </c>
      <c r="C618" s="4" t="s">
        <v>428</v>
      </c>
      <c r="D618" s="4" t="s">
        <v>4606</v>
      </c>
      <c r="E618" s="1" t="str">
        <f>_xlfn.XLOOKUP(tblSales[[#This Row],[Customer ID]],tblCustomers[Customer ID],tblCustomers[Customer Name],"⚠ Unknown")</f>
        <v>PT Arunika Digital Kreatif</v>
      </c>
      <c r="F618" s="4" t="s">
        <v>7</v>
      </c>
      <c r="G618" s="1" t="str">
        <f>_xlfn.XLOOKUP(tblSales[[#This Row],[Product Code]],tblProducts[Code],tblProducts[Product / Service Name],"⚠ Unknown")</f>
        <v>Premium Basic T-shirt</v>
      </c>
      <c r="H618" s="1" t="str">
        <f>_xlfn.XLOOKUP(tblSales[[#This Row],[Product Code]],tblProducts[Code],tblProducts[Category],"")</f>
        <v>Accessories &amp; Basics</v>
      </c>
      <c r="I618" s="4">
        <v>24</v>
      </c>
      <c r="J618" s="5">
        <f>_xlfn.XLOOKUP(tblSales[[#This Row],[Product Code]],tblProducts[Code],tblProducts[Selling Price (excl. VAT)],0)</f>
        <v>65000</v>
      </c>
      <c r="K618" s="5">
        <f>tblSales[[#This Row],[Qty]]*tblSales[[#This Row],[Unit Price]]</f>
        <v>1560000</v>
      </c>
      <c r="L618" s="5">
        <f>ROUND(tblSales[[#This Row],[DPP (excl. VAT)]]*VATEff,0)</f>
        <v>171600</v>
      </c>
      <c r="M618" s="5">
        <f>tblSales[[#This Row],[DPP (excl. VAT)]]+tblSales[[#This Row],[Output VAT]]</f>
        <v>1731600</v>
      </c>
      <c r="N618" s="5">
        <f>tblSales[[#This Row],[Qty]]*_xlfn.XLOOKUP(tblSales[[#This Row],[Product Code]],tblProducts[Code],tblProducts[Unit Cost],0)</f>
        <v>888000</v>
      </c>
      <c r="O618" s="4" t="s">
        <v>4867</v>
      </c>
      <c r="P618" s="4" t="s">
        <v>4860</v>
      </c>
      <c r="Q618" s="1" t="str">
        <f>_xlfn.XLOOKUP(tblSales[[#This Row],[Channel Code]],tblChannels[Channel Code],tblChannels[Channel Name],"")</f>
        <v>In-store</v>
      </c>
      <c r="R618" s="1">
        <f>MONTH(tblSales[[#This Row],[Date]])</f>
        <v>2</v>
      </c>
    </row>
    <row r="619" spans="2:18" x14ac:dyDescent="0.35">
      <c r="B619" s="113">
        <v>46064</v>
      </c>
      <c r="C619" s="4" t="s">
        <v>429</v>
      </c>
      <c r="D619" s="4" t="s">
        <v>4568</v>
      </c>
      <c r="E619" s="1" t="str">
        <f>_xlfn.XLOOKUP(tblSales[[#This Row],[Customer ID]],tblCustomers[Customer ID],tblCustomers[Customer Name],"⚠ Unknown")</f>
        <v>Walk-in Customer</v>
      </c>
      <c r="F619" s="4" t="s">
        <v>10</v>
      </c>
      <c r="G619" s="1" t="str">
        <f>_xlfn.XLOOKUP(tblSales[[#This Row],[Product Code]],tblProducts[Code],tblProducts[Product / Service Name],"⚠ Unknown")</f>
        <v>Chino Pants</v>
      </c>
      <c r="H619" s="1" t="str">
        <f>_xlfn.XLOOKUP(tblSales[[#This Row],[Product Code]],tblProducts[Code],tblProducts[Category],"")</f>
        <v>Apparel &amp; Footwear</v>
      </c>
      <c r="I619" s="4">
        <v>2</v>
      </c>
      <c r="J619" s="5">
        <f>_xlfn.XLOOKUP(tblSales[[#This Row],[Product Code]],tblProducts[Code],tblProducts[Selling Price (excl. VAT)],0)</f>
        <v>150000</v>
      </c>
      <c r="K619" s="5">
        <f>tblSales[[#This Row],[Qty]]*tblSales[[#This Row],[Unit Price]]</f>
        <v>300000</v>
      </c>
      <c r="L619" s="5">
        <f>ROUND(tblSales[[#This Row],[DPP (excl. VAT)]]*VATEff,0)</f>
        <v>33000</v>
      </c>
      <c r="M619" s="5">
        <f>tblSales[[#This Row],[DPP (excl. VAT)]]+tblSales[[#This Row],[Output VAT]]</f>
        <v>333000</v>
      </c>
      <c r="N619" s="5">
        <f>tblSales[[#This Row],[Qty]]*_xlfn.XLOOKUP(tblSales[[#This Row],[Product Code]],tblProducts[Code],tblProducts[Unit Cost],0)</f>
        <v>176000</v>
      </c>
      <c r="O619" s="4" t="s">
        <v>4866</v>
      </c>
      <c r="P619" s="4" t="s">
        <v>4860</v>
      </c>
      <c r="Q619" s="1" t="str">
        <f>_xlfn.XLOOKUP(tblSales[[#This Row],[Channel Code]],tblChannels[Channel Code],tblChannels[Channel Name],"")</f>
        <v>In-store</v>
      </c>
      <c r="R619" s="1">
        <f>MONTH(tblSales[[#This Row],[Date]])</f>
        <v>2</v>
      </c>
    </row>
    <row r="620" spans="2:18" x14ac:dyDescent="0.35">
      <c r="B620" s="113">
        <v>46064</v>
      </c>
      <c r="C620" s="4" t="s">
        <v>429</v>
      </c>
      <c r="D620" s="4" t="s">
        <v>4568</v>
      </c>
      <c r="E620" s="1" t="str">
        <f>_xlfn.XLOOKUP(tblSales[[#This Row],[Customer ID]],tblCustomers[Customer ID],tblCustomers[Customer Name],"⚠ Unknown")</f>
        <v>Walk-in Customer</v>
      </c>
      <c r="F620" s="4" t="s">
        <v>7</v>
      </c>
      <c r="G620" s="1" t="str">
        <f>_xlfn.XLOOKUP(tblSales[[#This Row],[Product Code]],tblProducts[Code],tblProducts[Product / Service Name],"⚠ Unknown")</f>
        <v>Premium Basic T-shirt</v>
      </c>
      <c r="H620" s="1" t="str">
        <f>_xlfn.XLOOKUP(tblSales[[#This Row],[Product Code]],tblProducts[Code],tblProducts[Category],"")</f>
        <v>Accessories &amp; Basics</v>
      </c>
      <c r="I620" s="4">
        <v>1</v>
      </c>
      <c r="J620" s="5">
        <f>_xlfn.XLOOKUP(tblSales[[#This Row],[Product Code]],tblProducts[Code],tblProducts[Selling Price (excl. VAT)],0)</f>
        <v>65000</v>
      </c>
      <c r="K620" s="5">
        <f>tblSales[[#This Row],[Qty]]*tblSales[[#This Row],[Unit Price]]</f>
        <v>65000</v>
      </c>
      <c r="L620" s="5">
        <f>ROUND(tblSales[[#This Row],[DPP (excl. VAT)]]*VATEff,0)</f>
        <v>7150</v>
      </c>
      <c r="M620" s="5">
        <f>tblSales[[#This Row],[DPP (excl. VAT)]]+tblSales[[#This Row],[Output VAT]]</f>
        <v>72150</v>
      </c>
      <c r="N620" s="5">
        <f>tblSales[[#This Row],[Qty]]*_xlfn.XLOOKUP(tblSales[[#This Row],[Product Code]],tblProducts[Code],tblProducts[Unit Cost],0)</f>
        <v>37000</v>
      </c>
      <c r="O620" s="4" t="s">
        <v>4866</v>
      </c>
      <c r="P620" s="4" t="s">
        <v>4860</v>
      </c>
      <c r="Q620" s="1" t="str">
        <f>_xlfn.XLOOKUP(tblSales[[#This Row],[Channel Code]],tblChannels[Channel Code],tblChannels[Channel Name],"")</f>
        <v>In-store</v>
      </c>
      <c r="R620" s="1">
        <f>MONTH(tblSales[[#This Row],[Date]])</f>
        <v>2</v>
      </c>
    </row>
    <row r="621" spans="2:18" x14ac:dyDescent="0.35">
      <c r="B621" s="113">
        <v>46064</v>
      </c>
      <c r="C621" s="4" t="s">
        <v>430</v>
      </c>
      <c r="D621" s="4" t="s">
        <v>4568</v>
      </c>
      <c r="E621" s="1" t="str">
        <f>_xlfn.XLOOKUP(tblSales[[#This Row],[Customer ID]],tblCustomers[Customer ID],tblCustomers[Customer Name],"⚠ Unknown")</f>
        <v>Walk-in Customer</v>
      </c>
      <c r="F621" s="4" t="s">
        <v>9</v>
      </c>
      <c r="G621" s="1" t="str">
        <f>_xlfn.XLOOKUP(tblSales[[#This Row],[Product Code]],tblProducts[Code],tblProducts[Product / Service Name],"⚠ Unknown")</f>
        <v>Casual Shirt</v>
      </c>
      <c r="H621" s="1" t="str">
        <f>_xlfn.XLOOKUP(tblSales[[#This Row],[Product Code]],tblProducts[Code],tblProducts[Category],"")</f>
        <v>Apparel &amp; Footwear</v>
      </c>
      <c r="I621" s="4">
        <v>7</v>
      </c>
      <c r="J621" s="5">
        <f>_xlfn.XLOOKUP(tblSales[[#This Row],[Product Code]],tblProducts[Code],tblProducts[Selling Price (excl. VAT)],0)</f>
        <v>120000</v>
      </c>
      <c r="K621" s="5">
        <f>tblSales[[#This Row],[Qty]]*tblSales[[#This Row],[Unit Price]]</f>
        <v>840000</v>
      </c>
      <c r="L621" s="5">
        <f>ROUND(tblSales[[#This Row],[DPP (excl. VAT)]]*VATEff,0)</f>
        <v>92400</v>
      </c>
      <c r="M621" s="5">
        <f>tblSales[[#This Row],[DPP (excl. VAT)]]+tblSales[[#This Row],[Output VAT]]</f>
        <v>932400</v>
      </c>
      <c r="N621" s="5">
        <f>tblSales[[#This Row],[Qty]]*_xlfn.XLOOKUP(tblSales[[#This Row],[Product Code]],tblProducts[Code],tblProducts[Unit Cost],0)</f>
        <v>504000</v>
      </c>
      <c r="O621" s="4" t="s">
        <v>4865</v>
      </c>
      <c r="P621" s="4" t="s">
        <v>4860</v>
      </c>
      <c r="Q621" s="1" t="str">
        <f>_xlfn.XLOOKUP(tblSales[[#This Row],[Channel Code]],tblChannels[Channel Code],tblChannels[Channel Name],"")</f>
        <v>In-store</v>
      </c>
      <c r="R621" s="1">
        <f>MONTH(tblSales[[#This Row],[Date]])</f>
        <v>2</v>
      </c>
    </row>
    <row r="622" spans="2:18" x14ac:dyDescent="0.35">
      <c r="B622" s="113">
        <v>46064</v>
      </c>
      <c r="C622" s="4" t="s">
        <v>430</v>
      </c>
      <c r="D622" s="4" t="s">
        <v>4568</v>
      </c>
      <c r="E622" s="1" t="str">
        <f>_xlfn.XLOOKUP(tblSales[[#This Row],[Customer ID]],tblCustomers[Customer ID],tblCustomers[Customer Name],"⚠ Unknown")</f>
        <v>Walk-in Customer</v>
      </c>
      <c r="F622" s="4" t="s">
        <v>8</v>
      </c>
      <c r="G622" s="1" t="str">
        <f>_xlfn.XLOOKUP(tblSales[[#This Row],[Product Code]],tblProducts[Code],tblProducts[Product / Service Name],"⚠ Unknown")</f>
        <v>Casual Shorts</v>
      </c>
      <c r="H622" s="1" t="str">
        <f>_xlfn.XLOOKUP(tblSales[[#This Row],[Product Code]],tblProducts[Code],tblProducts[Category],"")</f>
        <v>Accessories &amp; Basics</v>
      </c>
      <c r="I622" s="4">
        <v>10</v>
      </c>
      <c r="J622" s="5">
        <f>_xlfn.XLOOKUP(tblSales[[#This Row],[Product Code]],tblProducts[Code],tblProducts[Selling Price (excl. VAT)],0)</f>
        <v>85000</v>
      </c>
      <c r="K622" s="5">
        <f>tblSales[[#This Row],[Qty]]*tblSales[[#This Row],[Unit Price]]</f>
        <v>850000</v>
      </c>
      <c r="L622" s="5">
        <f>ROUND(tblSales[[#This Row],[DPP (excl. VAT)]]*VATEff,0)</f>
        <v>93500</v>
      </c>
      <c r="M622" s="5">
        <f>tblSales[[#This Row],[DPP (excl. VAT)]]+tblSales[[#This Row],[Output VAT]]</f>
        <v>943500</v>
      </c>
      <c r="N622" s="5">
        <f>tblSales[[#This Row],[Qty]]*_xlfn.XLOOKUP(tblSales[[#This Row],[Product Code]],tblProducts[Code],tblProducts[Unit Cost],0)</f>
        <v>500000</v>
      </c>
      <c r="O622" s="4" t="s">
        <v>4865</v>
      </c>
      <c r="P622" s="4" t="s">
        <v>4860</v>
      </c>
      <c r="Q622" s="1" t="str">
        <f>_xlfn.XLOOKUP(tblSales[[#This Row],[Channel Code]],tblChannels[Channel Code],tblChannels[Channel Name],"")</f>
        <v>In-store</v>
      </c>
      <c r="R622" s="1">
        <f>MONTH(tblSales[[#This Row],[Date]])</f>
        <v>2</v>
      </c>
    </row>
    <row r="623" spans="2:18" x14ac:dyDescent="0.35">
      <c r="B623" s="113">
        <v>46064</v>
      </c>
      <c r="C623" s="4" t="s">
        <v>431</v>
      </c>
      <c r="D623" s="4" t="s">
        <v>4568</v>
      </c>
      <c r="E623" s="1" t="str">
        <f>_xlfn.XLOOKUP(tblSales[[#This Row],[Customer ID]],tblCustomers[Customer ID],tblCustomers[Customer Name],"⚠ Unknown")</f>
        <v>Walk-in Customer</v>
      </c>
      <c r="F623" s="4" t="s">
        <v>10</v>
      </c>
      <c r="G623" s="1" t="str">
        <f>_xlfn.XLOOKUP(tblSales[[#This Row],[Product Code]],tblProducts[Code],tblProducts[Product / Service Name],"⚠ Unknown")</f>
        <v>Chino Pants</v>
      </c>
      <c r="H623" s="1" t="str">
        <f>_xlfn.XLOOKUP(tblSales[[#This Row],[Product Code]],tblProducts[Code],tblProducts[Category],"")</f>
        <v>Apparel &amp; Footwear</v>
      </c>
      <c r="I623" s="4">
        <v>2</v>
      </c>
      <c r="J623" s="5">
        <f>_xlfn.XLOOKUP(tblSales[[#This Row],[Product Code]],tblProducts[Code],tblProducts[Selling Price (excl. VAT)],0)</f>
        <v>150000</v>
      </c>
      <c r="K623" s="5">
        <f>tblSales[[#This Row],[Qty]]*tblSales[[#This Row],[Unit Price]]</f>
        <v>300000</v>
      </c>
      <c r="L623" s="5">
        <f>ROUND(tblSales[[#This Row],[DPP (excl. VAT)]]*VATEff,0)</f>
        <v>33000</v>
      </c>
      <c r="M623" s="5">
        <f>tblSales[[#This Row],[DPP (excl. VAT)]]+tblSales[[#This Row],[Output VAT]]</f>
        <v>333000</v>
      </c>
      <c r="N623" s="5">
        <f>tblSales[[#This Row],[Qty]]*_xlfn.XLOOKUP(tblSales[[#This Row],[Product Code]],tblProducts[Code],tblProducts[Unit Cost],0)</f>
        <v>176000</v>
      </c>
      <c r="O623" s="4" t="s">
        <v>4865</v>
      </c>
      <c r="P623" s="4" t="s">
        <v>4860</v>
      </c>
      <c r="Q623" s="1" t="str">
        <f>_xlfn.XLOOKUP(tblSales[[#This Row],[Channel Code]],tblChannels[Channel Code],tblChannels[Channel Name],"")</f>
        <v>In-store</v>
      </c>
      <c r="R623" s="1">
        <f>MONTH(tblSales[[#This Row],[Date]])</f>
        <v>2</v>
      </c>
    </row>
    <row r="624" spans="2:18" x14ac:dyDescent="0.35">
      <c r="B624" s="113">
        <v>46064</v>
      </c>
      <c r="C624" s="4" t="s">
        <v>431</v>
      </c>
      <c r="D624" s="4" t="s">
        <v>4568</v>
      </c>
      <c r="E624" s="1" t="str">
        <f>_xlfn.XLOOKUP(tblSales[[#This Row],[Customer ID]],tblCustomers[Customer ID],tblCustomers[Customer Name],"⚠ Unknown")</f>
        <v>Walk-in Customer</v>
      </c>
      <c r="F624" s="4" t="s">
        <v>9</v>
      </c>
      <c r="G624" s="1" t="str">
        <f>_xlfn.XLOOKUP(tblSales[[#This Row],[Product Code]],tblProducts[Code],tblProducts[Product / Service Name],"⚠ Unknown")</f>
        <v>Casual Shirt</v>
      </c>
      <c r="H624" s="1" t="str">
        <f>_xlfn.XLOOKUP(tblSales[[#This Row],[Product Code]],tblProducts[Code],tblProducts[Category],"")</f>
        <v>Apparel &amp; Footwear</v>
      </c>
      <c r="I624" s="4">
        <v>12</v>
      </c>
      <c r="J624" s="5">
        <f>_xlfn.XLOOKUP(tblSales[[#This Row],[Product Code]],tblProducts[Code],tblProducts[Selling Price (excl. VAT)],0)</f>
        <v>120000</v>
      </c>
      <c r="K624" s="5">
        <f>tblSales[[#This Row],[Qty]]*tblSales[[#This Row],[Unit Price]]</f>
        <v>1440000</v>
      </c>
      <c r="L624" s="5">
        <f>ROUND(tblSales[[#This Row],[DPP (excl. VAT)]]*VATEff,0)</f>
        <v>158400</v>
      </c>
      <c r="M624" s="5">
        <f>tblSales[[#This Row],[DPP (excl. VAT)]]+tblSales[[#This Row],[Output VAT]]</f>
        <v>1598400</v>
      </c>
      <c r="N624" s="5">
        <f>tblSales[[#This Row],[Qty]]*_xlfn.XLOOKUP(tblSales[[#This Row],[Product Code]],tblProducts[Code],tblProducts[Unit Cost],0)</f>
        <v>864000</v>
      </c>
      <c r="O624" s="4" t="s">
        <v>4865</v>
      </c>
      <c r="P624" s="4" t="s">
        <v>4860</v>
      </c>
      <c r="Q624" s="1" t="str">
        <f>_xlfn.XLOOKUP(tblSales[[#This Row],[Channel Code]],tblChannels[Channel Code],tblChannels[Channel Name],"")</f>
        <v>In-store</v>
      </c>
      <c r="R624" s="1">
        <f>MONTH(tblSales[[#This Row],[Date]])</f>
        <v>2</v>
      </c>
    </row>
    <row r="625" spans="2:18" x14ac:dyDescent="0.35">
      <c r="B625" s="113">
        <v>46064</v>
      </c>
      <c r="C625" s="4" t="s">
        <v>432</v>
      </c>
      <c r="D625" s="4" t="s">
        <v>4568</v>
      </c>
      <c r="E625" s="1" t="str">
        <f>_xlfn.XLOOKUP(tblSales[[#This Row],[Customer ID]],tblCustomers[Customer ID],tblCustomers[Customer Name],"⚠ Unknown")</f>
        <v>Walk-in Customer</v>
      </c>
      <c r="F625" s="4" t="s">
        <v>8</v>
      </c>
      <c r="G625" s="1" t="str">
        <f>_xlfn.XLOOKUP(tblSales[[#This Row],[Product Code]],tblProducts[Code],tblProducts[Product / Service Name],"⚠ Unknown")</f>
        <v>Casual Shorts</v>
      </c>
      <c r="H625" s="1" t="str">
        <f>_xlfn.XLOOKUP(tblSales[[#This Row],[Product Code]],tblProducts[Code],tblProducts[Category],"")</f>
        <v>Accessories &amp; Basics</v>
      </c>
      <c r="I625" s="4">
        <v>9</v>
      </c>
      <c r="J625" s="5">
        <f>_xlfn.XLOOKUP(tblSales[[#This Row],[Product Code]],tblProducts[Code],tblProducts[Selling Price (excl. VAT)],0)</f>
        <v>85000</v>
      </c>
      <c r="K625" s="5">
        <f>tblSales[[#This Row],[Qty]]*tblSales[[#This Row],[Unit Price]]</f>
        <v>765000</v>
      </c>
      <c r="L625" s="5">
        <f>ROUND(tblSales[[#This Row],[DPP (excl. VAT)]]*VATEff,0)</f>
        <v>84150</v>
      </c>
      <c r="M625" s="5">
        <f>tblSales[[#This Row],[DPP (excl. VAT)]]+tblSales[[#This Row],[Output VAT]]</f>
        <v>849150</v>
      </c>
      <c r="N625" s="5">
        <f>tblSales[[#This Row],[Qty]]*_xlfn.XLOOKUP(tblSales[[#This Row],[Product Code]],tblProducts[Code],tblProducts[Unit Cost],0)</f>
        <v>450000</v>
      </c>
      <c r="O625" s="4" t="s">
        <v>4866</v>
      </c>
      <c r="P625" s="4" t="s">
        <v>4860</v>
      </c>
      <c r="Q625" s="1" t="str">
        <f>_xlfn.XLOOKUP(tblSales[[#This Row],[Channel Code]],tblChannels[Channel Code],tblChannels[Channel Name],"")</f>
        <v>In-store</v>
      </c>
      <c r="R625" s="1">
        <f>MONTH(tblSales[[#This Row],[Date]])</f>
        <v>2</v>
      </c>
    </row>
    <row r="626" spans="2:18" x14ac:dyDescent="0.35">
      <c r="B626" s="113">
        <v>46064</v>
      </c>
      <c r="C626" s="4" t="s">
        <v>433</v>
      </c>
      <c r="D626" s="4" t="s">
        <v>4568</v>
      </c>
      <c r="E626" s="1" t="str">
        <f>_xlfn.XLOOKUP(tblSales[[#This Row],[Customer ID]],tblCustomers[Customer ID],tblCustomers[Customer Name],"⚠ Unknown")</f>
        <v>Walk-in Customer</v>
      </c>
      <c r="F626" s="4" t="s">
        <v>12</v>
      </c>
      <c r="G626" s="1" t="str">
        <f>_xlfn.XLOOKUP(tblSales[[#This Row],[Product Code]],tblProducts[Code],tblProducts[Product / Service Name],"⚠ Unknown")</f>
        <v>Bomber Jacket</v>
      </c>
      <c r="H626" s="1" t="str">
        <f>_xlfn.XLOOKUP(tblSales[[#This Row],[Product Code]],tblProducts[Code],tblProducts[Category],"")</f>
        <v>Apparel &amp; Footwear</v>
      </c>
      <c r="I626" s="4">
        <v>2</v>
      </c>
      <c r="J626" s="5">
        <f>_xlfn.XLOOKUP(tblSales[[#This Row],[Product Code]],tblProducts[Code],tblProducts[Selling Price (excl. VAT)],0)</f>
        <v>350000</v>
      </c>
      <c r="K626" s="5">
        <f>tblSales[[#This Row],[Qty]]*tblSales[[#This Row],[Unit Price]]</f>
        <v>700000</v>
      </c>
      <c r="L626" s="5">
        <f>ROUND(tblSales[[#This Row],[DPP (excl. VAT)]]*VATEff,0)</f>
        <v>77000</v>
      </c>
      <c r="M626" s="5">
        <f>tblSales[[#This Row],[DPP (excl. VAT)]]+tblSales[[#This Row],[Output VAT]]</f>
        <v>777000</v>
      </c>
      <c r="N626" s="5">
        <f>tblSales[[#This Row],[Qty]]*_xlfn.XLOOKUP(tblSales[[#This Row],[Product Code]],tblProducts[Code],tblProducts[Unit Cost],0)</f>
        <v>420000</v>
      </c>
      <c r="O626" s="4" t="s">
        <v>4865</v>
      </c>
      <c r="P626" s="4" t="s">
        <v>4860</v>
      </c>
      <c r="Q626" s="1" t="str">
        <f>_xlfn.XLOOKUP(tblSales[[#This Row],[Channel Code]],tblChannels[Channel Code],tblChannels[Channel Name],"")</f>
        <v>In-store</v>
      </c>
      <c r="R626" s="1">
        <f>MONTH(tblSales[[#This Row],[Date]])</f>
        <v>2</v>
      </c>
    </row>
    <row r="627" spans="2:18" x14ac:dyDescent="0.35">
      <c r="B627" s="113">
        <v>46064</v>
      </c>
      <c r="C627" s="4" t="s">
        <v>433</v>
      </c>
      <c r="D627" s="4" t="s">
        <v>4568</v>
      </c>
      <c r="E627" s="1" t="str">
        <f>_xlfn.XLOOKUP(tblSales[[#This Row],[Customer ID]],tblCustomers[Customer ID],tblCustomers[Customer Name],"⚠ Unknown")</f>
        <v>Walk-in Customer</v>
      </c>
      <c r="F627" s="4" t="s">
        <v>10</v>
      </c>
      <c r="G627" s="1" t="str">
        <f>_xlfn.XLOOKUP(tblSales[[#This Row],[Product Code]],tblProducts[Code],tblProducts[Product / Service Name],"⚠ Unknown")</f>
        <v>Chino Pants</v>
      </c>
      <c r="H627" s="1" t="str">
        <f>_xlfn.XLOOKUP(tblSales[[#This Row],[Product Code]],tblProducts[Code],tblProducts[Category],"")</f>
        <v>Apparel &amp; Footwear</v>
      </c>
      <c r="I627" s="4">
        <v>12</v>
      </c>
      <c r="J627" s="5">
        <f>_xlfn.XLOOKUP(tblSales[[#This Row],[Product Code]],tblProducts[Code],tblProducts[Selling Price (excl. VAT)],0)</f>
        <v>150000</v>
      </c>
      <c r="K627" s="5">
        <f>tblSales[[#This Row],[Qty]]*tblSales[[#This Row],[Unit Price]]</f>
        <v>1800000</v>
      </c>
      <c r="L627" s="5">
        <f>ROUND(tblSales[[#This Row],[DPP (excl. VAT)]]*VATEff,0)</f>
        <v>198000</v>
      </c>
      <c r="M627" s="5">
        <f>tblSales[[#This Row],[DPP (excl. VAT)]]+tblSales[[#This Row],[Output VAT]]</f>
        <v>1998000</v>
      </c>
      <c r="N627" s="5">
        <f>tblSales[[#This Row],[Qty]]*_xlfn.XLOOKUP(tblSales[[#This Row],[Product Code]],tblProducts[Code],tblProducts[Unit Cost],0)</f>
        <v>1056000</v>
      </c>
      <c r="O627" s="4" t="s">
        <v>4865</v>
      </c>
      <c r="P627" s="4" t="s">
        <v>4860</v>
      </c>
      <c r="Q627" s="1" t="str">
        <f>_xlfn.XLOOKUP(tblSales[[#This Row],[Channel Code]],tblChannels[Channel Code],tblChannels[Channel Name],"")</f>
        <v>In-store</v>
      </c>
      <c r="R627" s="1">
        <f>MONTH(tblSales[[#This Row],[Date]])</f>
        <v>2</v>
      </c>
    </row>
    <row r="628" spans="2:18" x14ac:dyDescent="0.35">
      <c r="B628" s="113">
        <v>46064</v>
      </c>
      <c r="C628" s="4" t="s">
        <v>433</v>
      </c>
      <c r="D628" s="4" t="s">
        <v>4568</v>
      </c>
      <c r="E628" s="1" t="str">
        <f>_xlfn.XLOOKUP(tblSales[[#This Row],[Customer ID]],tblCustomers[Customer ID],tblCustomers[Customer Name],"⚠ Unknown")</f>
        <v>Walk-in Customer</v>
      </c>
      <c r="F628" s="4" t="s">
        <v>6</v>
      </c>
      <c r="G628" s="1" t="str">
        <f>_xlfn.XLOOKUP(tblSales[[#This Row],[Product Code]],tblProducts[Code],tblProducts[Product / Service Name],"⚠ Unknown")</f>
        <v>Socks &amp; Accessories</v>
      </c>
      <c r="H628" s="1" t="str">
        <f>_xlfn.XLOOKUP(tblSales[[#This Row],[Product Code]],tblProducts[Code],tblProducts[Category],"")</f>
        <v>Accessories &amp; Basics</v>
      </c>
      <c r="I628" s="4">
        <v>2</v>
      </c>
      <c r="J628" s="5">
        <f>_xlfn.XLOOKUP(tblSales[[#This Row],[Product Code]],tblProducts[Code],tblProducts[Selling Price (excl. VAT)],0)</f>
        <v>45000</v>
      </c>
      <c r="K628" s="5">
        <f>tblSales[[#This Row],[Qty]]*tblSales[[#This Row],[Unit Price]]</f>
        <v>90000</v>
      </c>
      <c r="L628" s="5">
        <f>ROUND(tblSales[[#This Row],[DPP (excl. VAT)]]*VATEff,0)</f>
        <v>9900</v>
      </c>
      <c r="M628" s="5">
        <f>tblSales[[#This Row],[DPP (excl. VAT)]]+tblSales[[#This Row],[Output VAT]]</f>
        <v>99900</v>
      </c>
      <c r="N628" s="5">
        <f>tblSales[[#This Row],[Qty]]*_xlfn.XLOOKUP(tblSales[[#This Row],[Product Code]],tblProducts[Code],tblProducts[Unit Cost],0)</f>
        <v>48000</v>
      </c>
      <c r="O628" s="4" t="s">
        <v>4865</v>
      </c>
      <c r="P628" s="4" t="s">
        <v>4860</v>
      </c>
      <c r="Q628" s="1" t="str">
        <f>_xlfn.XLOOKUP(tblSales[[#This Row],[Channel Code]],tblChannels[Channel Code],tblChannels[Channel Name],"")</f>
        <v>In-store</v>
      </c>
      <c r="R628" s="1">
        <f>MONTH(tblSales[[#This Row],[Date]])</f>
        <v>2</v>
      </c>
    </row>
    <row r="629" spans="2:18" x14ac:dyDescent="0.35">
      <c r="B629" s="113">
        <v>46064</v>
      </c>
      <c r="C629" s="4" t="s">
        <v>434</v>
      </c>
      <c r="D629" s="4" t="s">
        <v>4568</v>
      </c>
      <c r="E629" s="1" t="str">
        <f>_xlfn.XLOOKUP(tblSales[[#This Row],[Customer ID]],tblCustomers[Customer ID],tblCustomers[Customer Name],"⚠ Unknown")</f>
        <v>Walk-in Customer</v>
      </c>
      <c r="F629" s="4" t="s">
        <v>6</v>
      </c>
      <c r="G629" s="1" t="str">
        <f>_xlfn.XLOOKUP(tblSales[[#This Row],[Product Code]],tblProducts[Code],tblProducts[Product / Service Name],"⚠ Unknown")</f>
        <v>Socks &amp; Accessories</v>
      </c>
      <c r="H629" s="1" t="str">
        <f>_xlfn.XLOOKUP(tblSales[[#This Row],[Product Code]],tblProducts[Code],tblProducts[Category],"")</f>
        <v>Accessories &amp; Basics</v>
      </c>
      <c r="I629" s="4">
        <v>12</v>
      </c>
      <c r="J629" s="5">
        <f>_xlfn.XLOOKUP(tblSales[[#This Row],[Product Code]],tblProducts[Code],tblProducts[Selling Price (excl. VAT)],0)</f>
        <v>45000</v>
      </c>
      <c r="K629" s="5">
        <f>tblSales[[#This Row],[Qty]]*tblSales[[#This Row],[Unit Price]]</f>
        <v>540000</v>
      </c>
      <c r="L629" s="5">
        <f>ROUND(tblSales[[#This Row],[DPP (excl. VAT)]]*VATEff,0)</f>
        <v>59400</v>
      </c>
      <c r="M629" s="5">
        <f>tblSales[[#This Row],[DPP (excl. VAT)]]+tblSales[[#This Row],[Output VAT]]</f>
        <v>599400</v>
      </c>
      <c r="N629" s="5">
        <f>tblSales[[#This Row],[Qty]]*_xlfn.XLOOKUP(tblSales[[#This Row],[Product Code]],tblProducts[Code],tblProducts[Unit Cost],0)</f>
        <v>288000</v>
      </c>
      <c r="O629" s="4" t="s">
        <v>4865</v>
      </c>
      <c r="P629" s="4" t="s">
        <v>4860</v>
      </c>
      <c r="Q629" s="1" t="str">
        <f>_xlfn.XLOOKUP(tblSales[[#This Row],[Channel Code]],tblChannels[Channel Code],tblChannels[Channel Name],"")</f>
        <v>In-store</v>
      </c>
      <c r="R629" s="1">
        <f>MONTH(tblSales[[#This Row],[Date]])</f>
        <v>2</v>
      </c>
    </row>
    <row r="630" spans="2:18" x14ac:dyDescent="0.35">
      <c r="B630" s="113">
        <v>46064</v>
      </c>
      <c r="C630" s="4" t="s">
        <v>435</v>
      </c>
      <c r="D630" s="4" t="s">
        <v>4568</v>
      </c>
      <c r="E630" s="1" t="str">
        <f>_xlfn.XLOOKUP(tblSales[[#This Row],[Customer ID]],tblCustomers[Customer ID],tblCustomers[Customer Name],"⚠ Unknown")</f>
        <v>Walk-in Customer</v>
      </c>
      <c r="F630" s="4" t="s">
        <v>12</v>
      </c>
      <c r="G630" s="1" t="str">
        <f>_xlfn.XLOOKUP(tblSales[[#This Row],[Product Code]],tblProducts[Code],tblProducts[Product / Service Name],"⚠ Unknown")</f>
        <v>Bomber Jacket</v>
      </c>
      <c r="H630" s="1" t="str">
        <f>_xlfn.XLOOKUP(tblSales[[#This Row],[Product Code]],tblProducts[Code],tblProducts[Category],"")</f>
        <v>Apparel &amp; Footwear</v>
      </c>
      <c r="I630" s="4">
        <v>6</v>
      </c>
      <c r="J630" s="5">
        <f>_xlfn.XLOOKUP(tblSales[[#This Row],[Product Code]],tblProducts[Code],tblProducts[Selling Price (excl. VAT)],0)</f>
        <v>350000</v>
      </c>
      <c r="K630" s="5">
        <f>tblSales[[#This Row],[Qty]]*tblSales[[#This Row],[Unit Price]]</f>
        <v>2100000</v>
      </c>
      <c r="L630" s="5">
        <f>ROUND(tblSales[[#This Row],[DPP (excl. VAT)]]*VATEff,0)</f>
        <v>231000</v>
      </c>
      <c r="M630" s="5">
        <f>tblSales[[#This Row],[DPP (excl. VAT)]]+tblSales[[#This Row],[Output VAT]]</f>
        <v>2331000</v>
      </c>
      <c r="N630" s="5">
        <f>tblSales[[#This Row],[Qty]]*_xlfn.XLOOKUP(tblSales[[#This Row],[Product Code]],tblProducts[Code],tblProducts[Unit Cost],0)</f>
        <v>1260000</v>
      </c>
      <c r="O630" s="4" t="s">
        <v>4866</v>
      </c>
      <c r="P630" s="4" t="s">
        <v>4860</v>
      </c>
      <c r="Q630" s="1" t="str">
        <f>_xlfn.XLOOKUP(tblSales[[#This Row],[Channel Code]],tblChannels[Channel Code],tblChannels[Channel Name],"")</f>
        <v>In-store</v>
      </c>
      <c r="R630" s="1">
        <f>MONTH(tblSales[[#This Row],[Date]])</f>
        <v>2</v>
      </c>
    </row>
    <row r="631" spans="2:18" x14ac:dyDescent="0.35">
      <c r="B631" s="113">
        <v>46064</v>
      </c>
      <c r="C631" s="4" t="s">
        <v>436</v>
      </c>
      <c r="D631" s="4" t="s">
        <v>4568</v>
      </c>
      <c r="E631" s="1" t="str">
        <f>_xlfn.XLOOKUP(tblSales[[#This Row],[Customer ID]],tblCustomers[Customer ID],tblCustomers[Customer Name],"⚠ Unknown")</f>
        <v>Walk-in Customer</v>
      </c>
      <c r="F631" s="4" t="s">
        <v>10</v>
      </c>
      <c r="G631" s="1" t="str">
        <f>_xlfn.XLOOKUP(tblSales[[#This Row],[Product Code]],tblProducts[Code],tblProducts[Product / Service Name],"⚠ Unknown")</f>
        <v>Chino Pants</v>
      </c>
      <c r="H631" s="1" t="str">
        <f>_xlfn.XLOOKUP(tblSales[[#This Row],[Product Code]],tblProducts[Code],tblProducts[Category],"")</f>
        <v>Apparel &amp; Footwear</v>
      </c>
      <c r="I631" s="4">
        <v>9</v>
      </c>
      <c r="J631" s="5">
        <f>_xlfn.XLOOKUP(tblSales[[#This Row],[Product Code]],tblProducts[Code],tblProducts[Selling Price (excl. VAT)],0)</f>
        <v>150000</v>
      </c>
      <c r="K631" s="5">
        <f>tblSales[[#This Row],[Qty]]*tblSales[[#This Row],[Unit Price]]</f>
        <v>1350000</v>
      </c>
      <c r="L631" s="5">
        <f>ROUND(tblSales[[#This Row],[DPP (excl. VAT)]]*VATEff,0)</f>
        <v>148500</v>
      </c>
      <c r="M631" s="5">
        <f>tblSales[[#This Row],[DPP (excl. VAT)]]+tblSales[[#This Row],[Output VAT]]</f>
        <v>1498500</v>
      </c>
      <c r="N631" s="5">
        <f>tblSales[[#This Row],[Qty]]*_xlfn.XLOOKUP(tblSales[[#This Row],[Product Code]],tblProducts[Code],tblProducts[Unit Cost],0)</f>
        <v>792000</v>
      </c>
      <c r="O631" s="4" t="s">
        <v>4866</v>
      </c>
      <c r="P631" s="4" t="s">
        <v>4860</v>
      </c>
      <c r="Q631" s="1" t="str">
        <f>_xlfn.XLOOKUP(tblSales[[#This Row],[Channel Code]],tblChannels[Channel Code],tblChannels[Channel Name],"")</f>
        <v>In-store</v>
      </c>
      <c r="R631" s="1">
        <f>MONTH(tblSales[[#This Row],[Date]])</f>
        <v>2</v>
      </c>
    </row>
    <row r="632" spans="2:18" x14ac:dyDescent="0.35">
      <c r="B632" s="113">
        <v>46064</v>
      </c>
      <c r="C632" s="4" t="s">
        <v>437</v>
      </c>
      <c r="D632" s="4" t="s">
        <v>4648</v>
      </c>
      <c r="E632" s="1" t="str">
        <f>_xlfn.XLOOKUP(tblSales[[#This Row],[Customer ID]],tblCustomers[Customer ID],tblCustomers[Customer Name],"⚠ Unknown")</f>
        <v>PT Lintas Benua Niaga</v>
      </c>
      <c r="F632" s="4" t="s">
        <v>13</v>
      </c>
      <c r="G632" s="1" t="str">
        <f>_xlfn.XLOOKUP(tblSales[[#This Row],[Product Code]],tblProducts[Code],tblProducts[Product / Service Name],"⚠ Unknown")</f>
        <v>Backpack</v>
      </c>
      <c r="H632" s="1" t="str">
        <f>_xlfn.XLOOKUP(tblSales[[#This Row],[Product Code]],tblProducts[Code],tblProducts[Category],"")</f>
        <v>Bags &amp; Gadgets</v>
      </c>
      <c r="I632" s="4">
        <v>48</v>
      </c>
      <c r="J632" s="5">
        <f>_xlfn.XLOOKUP(tblSales[[#This Row],[Product Code]],tblProducts[Code],tblProducts[Selling Price (excl. VAT)],0)</f>
        <v>500000</v>
      </c>
      <c r="K632" s="5">
        <f>tblSales[[#This Row],[Qty]]*tblSales[[#This Row],[Unit Price]]</f>
        <v>24000000</v>
      </c>
      <c r="L632" s="5">
        <f>ROUND(tblSales[[#This Row],[DPP (excl. VAT)]]*VATEff,0)</f>
        <v>2640000</v>
      </c>
      <c r="M632" s="5">
        <f>tblSales[[#This Row],[DPP (excl. VAT)]]+tblSales[[#This Row],[Output VAT]]</f>
        <v>26640000</v>
      </c>
      <c r="N632" s="5">
        <f>tblSales[[#This Row],[Qty]]*_xlfn.XLOOKUP(tblSales[[#This Row],[Product Code]],tblProducts[Code],tblProducts[Unit Cost],0)</f>
        <v>13920000</v>
      </c>
      <c r="O632" s="4" t="s">
        <v>4867</v>
      </c>
      <c r="P632" s="4" t="s">
        <v>4860</v>
      </c>
      <c r="Q632" s="1" t="str">
        <f>_xlfn.XLOOKUP(tblSales[[#This Row],[Channel Code]],tblChannels[Channel Code],tblChannels[Channel Name],"")</f>
        <v>In-store</v>
      </c>
      <c r="R632" s="1">
        <f>MONTH(tblSales[[#This Row],[Date]])</f>
        <v>2</v>
      </c>
    </row>
    <row r="633" spans="2:18" x14ac:dyDescent="0.35">
      <c r="B633" s="113">
        <v>46064</v>
      </c>
      <c r="C633" s="4" t="s">
        <v>437</v>
      </c>
      <c r="D633" s="4" t="s">
        <v>4648</v>
      </c>
      <c r="E633" s="1" t="str">
        <f>_xlfn.XLOOKUP(tblSales[[#This Row],[Customer ID]],tblCustomers[Customer ID],tblCustomers[Customer Name],"⚠ Unknown")</f>
        <v>PT Lintas Benua Niaga</v>
      </c>
      <c r="F633" s="4" t="s">
        <v>7</v>
      </c>
      <c r="G633" s="1" t="str">
        <f>_xlfn.XLOOKUP(tblSales[[#This Row],[Product Code]],tblProducts[Code],tblProducts[Product / Service Name],"⚠ Unknown")</f>
        <v>Premium Basic T-shirt</v>
      </c>
      <c r="H633" s="1" t="str">
        <f>_xlfn.XLOOKUP(tblSales[[#This Row],[Product Code]],tblProducts[Code],tblProducts[Category],"")</f>
        <v>Accessories &amp; Basics</v>
      </c>
      <c r="I633" s="4">
        <v>48</v>
      </c>
      <c r="J633" s="5">
        <f>_xlfn.XLOOKUP(tblSales[[#This Row],[Product Code]],tblProducts[Code],tblProducts[Selling Price (excl. VAT)],0)</f>
        <v>65000</v>
      </c>
      <c r="K633" s="5">
        <f>tblSales[[#This Row],[Qty]]*tblSales[[#This Row],[Unit Price]]</f>
        <v>3120000</v>
      </c>
      <c r="L633" s="5">
        <f>ROUND(tblSales[[#This Row],[DPP (excl. VAT)]]*VATEff,0)</f>
        <v>343200</v>
      </c>
      <c r="M633" s="5">
        <f>tblSales[[#This Row],[DPP (excl. VAT)]]+tblSales[[#This Row],[Output VAT]]</f>
        <v>3463200</v>
      </c>
      <c r="N633" s="5">
        <f>tblSales[[#This Row],[Qty]]*_xlfn.XLOOKUP(tblSales[[#This Row],[Product Code]],tblProducts[Code],tblProducts[Unit Cost],0)</f>
        <v>1776000</v>
      </c>
      <c r="O633" s="4" t="s">
        <v>4867</v>
      </c>
      <c r="P633" s="4" t="s">
        <v>4860</v>
      </c>
      <c r="Q633" s="1" t="str">
        <f>_xlfn.XLOOKUP(tblSales[[#This Row],[Channel Code]],tblChannels[Channel Code],tblChannels[Channel Name],"")</f>
        <v>In-store</v>
      </c>
      <c r="R633" s="1">
        <f>MONTH(tblSales[[#This Row],[Date]])</f>
        <v>2</v>
      </c>
    </row>
    <row r="634" spans="2:18" x14ac:dyDescent="0.35">
      <c r="B634" s="113">
        <v>46064</v>
      </c>
      <c r="C634" s="4" t="s">
        <v>437</v>
      </c>
      <c r="D634" s="4" t="s">
        <v>4648</v>
      </c>
      <c r="E634" s="1" t="str">
        <f>_xlfn.XLOOKUP(tblSales[[#This Row],[Customer ID]],tblCustomers[Customer ID],tblCustomers[Customer Name],"⚠ Unknown")</f>
        <v>PT Lintas Benua Niaga</v>
      </c>
      <c r="F634" s="4" t="s">
        <v>6</v>
      </c>
      <c r="G634" s="1" t="str">
        <f>_xlfn.XLOOKUP(tblSales[[#This Row],[Product Code]],tblProducts[Code],tblProducts[Product / Service Name],"⚠ Unknown")</f>
        <v>Socks &amp; Accessories</v>
      </c>
      <c r="H634" s="1" t="str">
        <f>_xlfn.XLOOKUP(tblSales[[#This Row],[Product Code]],tblProducts[Code],tblProducts[Category],"")</f>
        <v>Accessories &amp; Basics</v>
      </c>
      <c r="I634" s="4">
        <v>88</v>
      </c>
      <c r="J634" s="5">
        <f>_xlfn.XLOOKUP(tblSales[[#This Row],[Product Code]],tblProducts[Code],tblProducts[Selling Price (excl. VAT)],0)</f>
        <v>45000</v>
      </c>
      <c r="K634" s="5">
        <f>tblSales[[#This Row],[Qty]]*tblSales[[#This Row],[Unit Price]]</f>
        <v>3960000</v>
      </c>
      <c r="L634" s="5">
        <f>ROUND(tblSales[[#This Row],[DPP (excl. VAT)]]*VATEff,0)</f>
        <v>435600</v>
      </c>
      <c r="M634" s="5">
        <f>tblSales[[#This Row],[DPP (excl. VAT)]]+tblSales[[#This Row],[Output VAT]]</f>
        <v>4395600</v>
      </c>
      <c r="N634" s="5">
        <f>tblSales[[#This Row],[Qty]]*_xlfn.XLOOKUP(tblSales[[#This Row],[Product Code]],tblProducts[Code],tblProducts[Unit Cost],0)</f>
        <v>2112000</v>
      </c>
      <c r="O634" s="4" t="s">
        <v>4867</v>
      </c>
      <c r="P634" s="4" t="s">
        <v>4860</v>
      </c>
      <c r="Q634" s="1" t="str">
        <f>_xlfn.XLOOKUP(tblSales[[#This Row],[Channel Code]],tblChannels[Channel Code],tblChannels[Channel Name],"")</f>
        <v>In-store</v>
      </c>
      <c r="R634" s="1">
        <f>MONTH(tblSales[[#This Row],[Date]])</f>
        <v>2</v>
      </c>
    </row>
    <row r="635" spans="2:18" x14ac:dyDescent="0.35">
      <c r="B635" s="113">
        <v>46064</v>
      </c>
      <c r="C635" s="4" t="s">
        <v>438</v>
      </c>
      <c r="D635" s="4" t="s">
        <v>4568</v>
      </c>
      <c r="E635" s="1" t="str">
        <f>_xlfn.XLOOKUP(tblSales[[#This Row],[Customer ID]],tblCustomers[Customer ID],tblCustomers[Customer Name],"⚠ Unknown")</f>
        <v>Walk-in Customer</v>
      </c>
      <c r="F635" s="4" t="s">
        <v>6</v>
      </c>
      <c r="G635" s="1" t="str">
        <f>_xlfn.XLOOKUP(tblSales[[#This Row],[Product Code]],tblProducts[Code],tblProducts[Product / Service Name],"⚠ Unknown")</f>
        <v>Socks &amp; Accessories</v>
      </c>
      <c r="H635" s="1" t="str">
        <f>_xlfn.XLOOKUP(tblSales[[#This Row],[Product Code]],tblProducts[Code],tblProducts[Category],"")</f>
        <v>Accessories &amp; Basics</v>
      </c>
      <c r="I635" s="4">
        <v>2</v>
      </c>
      <c r="J635" s="5">
        <f>_xlfn.XLOOKUP(tblSales[[#This Row],[Product Code]],tblProducts[Code],tblProducts[Selling Price (excl. VAT)],0)</f>
        <v>45000</v>
      </c>
      <c r="K635" s="5">
        <f>tblSales[[#This Row],[Qty]]*tblSales[[#This Row],[Unit Price]]</f>
        <v>90000</v>
      </c>
      <c r="L635" s="5">
        <f>ROUND(tblSales[[#This Row],[DPP (excl. VAT)]]*VATEff,0)</f>
        <v>9900</v>
      </c>
      <c r="M635" s="5">
        <f>tblSales[[#This Row],[DPP (excl. VAT)]]+tblSales[[#This Row],[Output VAT]]</f>
        <v>99900</v>
      </c>
      <c r="N635" s="5">
        <f>tblSales[[#This Row],[Qty]]*_xlfn.XLOOKUP(tblSales[[#This Row],[Product Code]],tblProducts[Code],tblProducts[Unit Cost],0)</f>
        <v>48000</v>
      </c>
      <c r="O635" s="4" t="s">
        <v>4866</v>
      </c>
      <c r="P635" s="4" t="s">
        <v>4861</v>
      </c>
      <c r="Q635" s="1" t="str">
        <f>_xlfn.XLOOKUP(tblSales[[#This Row],[Channel Code]],tblChannels[Channel Code],tblChannels[Channel Name],"")</f>
        <v>Marketplace</v>
      </c>
      <c r="R635" s="1">
        <f>MONTH(tblSales[[#This Row],[Date]])</f>
        <v>2</v>
      </c>
    </row>
    <row r="636" spans="2:18" x14ac:dyDescent="0.35">
      <c r="B636" s="113">
        <v>46064</v>
      </c>
      <c r="C636" s="4" t="s">
        <v>438</v>
      </c>
      <c r="D636" s="4" t="s">
        <v>4568</v>
      </c>
      <c r="E636" s="1" t="str">
        <f>_xlfn.XLOOKUP(tblSales[[#This Row],[Customer ID]],tblCustomers[Customer ID],tblCustomers[Customer Name],"⚠ Unknown")</f>
        <v>Walk-in Customer</v>
      </c>
      <c r="F636" s="4" t="s">
        <v>11</v>
      </c>
      <c r="G636" s="1" t="str">
        <f>_xlfn.XLOOKUP(tblSales[[#This Row],[Product Code]],tblProducts[Code],tblProducts[Product / Service Name],"⚠ Unknown")</f>
        <v>Sneakers</v>
      </c>
      <c r="H636" s="1" t="str">
        <f>_xlfn.XLOOKUP(tblSales[[#This Row],[Product Code]],tblProducts[Code],tblProducts[Category],"")</f>
        <v>Apparel &amp; Footwear</v>
      </c>
      <c r="I636" s="4">
        <v>3</v>
      </c>
      <c r="J636" s="5">
        <f>_xlfn.XLOOKUP(tblSales[[#This Row],[Product Code]],tblProducts[Code],tblProducts[Selling Price (excl. VAT)],0)</f>
        <v>250000</v>
      </c>
      <c r="K636" s="5">
        <f>tblSales[[#This Row],[Qty]]*tblSales[[#This Row],[Unit Price]]</f>
        <v>750000</v>
      </c>
      <c r="L636" s="5">
        <f>ROUND(tblSales[[#This Row],[DPP (excl. VAT)]]*VATEff,0)</f>
        <v>82500</v>
      </c>
      <c r="M636" s="5">
        <f>tblSales[[#This Row],[DPP (excl. VAT)]]+tblSales[[#This Row],[Output VAT]]</f>
        <v>832500</v>
      </c>
      <c r="N636" s="5">
        <f>tblSales[[#This Row],[Qty]]*_xlfn.XLOOKUP(tblSales[[#This Row],[Product Code]],tblProducts[Code],tblProducts[Unit Cost],0)</f>
        <v>465000</v>
      </c>
      <c r="O636" s="4" t="s">
        <v>4866</v>
      </c>
      <c r="P636" s="4" t="s">
        <v>4861</v>
      </c>
      <c r="Q636" s="1" t="str">
        <f>_xlfn.XLOOKUP(tblSales[[#This Row],[Channel Code]],tblChannels[Channel Code],tblChannels[Channel Name],"")</f>
        <v>Marketplace</v>
      </c>
      <c r="R636" s="1">
        <f>MONTH(tblSales[[#This Row],[Date]])</f>
        <v>2</v>
      </c>
    </row>
    <row r="637" spans="2:18" x14ac:dyDescent="0.35">
      <c r="B637" s="113">
        <v>46064</v>
      </c>
      <c r="C637" s="4" t="s">
        <v>439</v>
      </c>
      <c r="D637" s="4" t="s">
        <v>4634</v>
      </c>
      <c r="E637" s="1" t="str">
        <f>_xlfn.XLOOKUP(tblSales[[#This Row],[Customer ID]],tblCustomers[Customer ID],tblCustomers[Customer Name],"⚠ Unknown")</f>
        <v>PT Delta Inti Selaras</v>
      </c>
      <c r="F637" s="4" t="s">
        <v>7</v>
      </c>
      <c r="G637" s="1" t="str">
        <f>_xlfn.XLOOKUP(tblSales[[#This Row],[Product Code]],tblProducts[Code],tblProducts[Product / Service Name],"⚠ Unknown")</f>
        <v>Premium Basic T-shirt</v>
      </c>
      <c r="H637" s="1" t="str">
        <f>_xlfn.XLOOKUP(tblSales[[#This Row],[Product Code]],tblProducts[Code],tblProducts[Category],"")</f>
        <v>Accessories &amp; Basics</v>
      </c>
      <c r="I637" s="4">
        <v>80</v>
      </c>
      <c r="J637" s="5">
        <f>_xlfn.XLOOKUP(tblSales[[#This Row],[Product Code]],tblProducts[Code],tblProducts[Selling Price (excl. VAT)],0)</f>
        <v>65000</v>
      </c>
      <c r="K637" s="5">
        <f>tblSales[[#This Row],[Qty]]*tblSales[[#This Row],[Unit Price]]</f>
        <v>5200000</v>
      </c>
      <c r="L637" s="5">
        <f>ROUND(tblSales[[#This Row],[DPP (excl. VAT)]]*VATEff,0)</f>
        <v>572000</v>
      </c>
      <c r="M637" s="5">
        <f>tblSales[[#This Row],[DPP (excl. VAT)]]+tblSales[[#This Row],[Output VAT]]</f>
        <v>5772000</v>
      </c>
      <c r="N637" s="5">
        <f>tblSales[[#This Row],[Qty]]*_xlfn.XLOOKUP(tblSales[[#This Row],[Product Code]],tblProducts[Code],tblProducts[Unit Cost],0)</f>
        <v>2960000</v>
      </c>
      <c r="O637" s="4" t="s">
        <v>4867</v>
      </c>
      <c r="P637" s="4" t="s">
        <v>4860</v>
      </c>
      <c r="Q637" s="1" t="str">
        <f>_xlfn.XLOOKUP(tblSales[[#This Row],[Channel Code]],tblChannels[Channel Code],tblChannels[Channel Name],"")</f>
        <v>In-store</v>
      </c>
      <c r="R637" s="1">
        <f>MONTH(tblSales[[#This Row],[Date]])</f>
        <v>2</v>
      </c>
    </row>
    <row r="638" spans="2:18" x14ac:dyDescent="0.35">
      <c r="B638" s="113">
        <v>46064</v>
      </c>
      <c r="C638" s="4" t="s">
        <v>440</v>
      </c>
      <c r="D638" s="4" t="s">
        <v>4568</v>
      </c>
      <c r="E638" s="1" t="str">
        <f>_xlfn.XLOOKUP(tblSales[[#This Row],[Customer ID]],tblCustomers[Customer ID],tblCustomers[Customer Name],"⚠ Unknown")</f>
        <v>Walk-in Customer</v>
      </c>
      <c r="F638" s="4" t="s">
        <v>11</v>
      </c>
      <c r="G638" s="1" t="str">
        <f>_xlfn.XLOOKUP(tblSales[[#This Row],[Product Code]],tblProducts[Code],tblProducts[Product / Service Name],"⚠ Unknown")</f>
        <v>Sneakers</v>
      </c>
      <c r="H638" s="1" t="str">
        <f>_xlfn.XLOOKUP(tblSales[[#This Row],[Product Code]],tblProducts[Code],tblProducts[Category],"")</f>
        <v>Apparel &amp; Footwear</v>
      </c>
      <c r="I638" s="4">
        <v>5</v>
      </c>
      <c r="J638" s="5">
        <f>_xlfn.XLOOKUP(tblSales[[#This Row],[Product Code]],tblProducts[Code],tblProducts[Selling Price (excl. VAT)],0)</f>
        <v>250000</v>
      </c>
      <c r="K638" s="5">
        <f>tblSales[[#This Row],[Qty]]*tblSales[[#This Row],[Unit Price]]</f>
        <v>1250000</v>
      </c>
      <c r="L638" s="5">
        <f>ROUND(tblSales[[#This Row],[DPP (excl. VAT)]]*VATEff,0)</f>
        <v>137500</v>
      </c>
      <c r="M638" s="5">
        <f>tblSales[[#This Row],[DPP (excl. VAT)]]+tblSales[[#This Row],[Output VAT]]</f>
        <v>1387500</v>
      </c>
      <c r="N638" s="5">
        <f>tblSales[[#This Row],[Qty]]*_xlfn.XLOOKUP(tblSales[[#This Row],[Product Code]],tblProducts[Code],tblProducts[Unit Cost],0)</f>
        <v>775000</v>
      </c>
      <c r="O638" s="4" t="s">
        <v>4865</v>
      </c>
      <c r="P638" s="4" t="s">
        <v>4860</v>
      </c>
      <c r="Q638" s="1" t="str">
        <f>_xlfn.XLOOKUP(tblSales[[#This Row],[Channel Code]],tblChannels[Channel Code],tblChannels[Channel Name],"")</f>
        <v>In-store</v>
      </c>
      <c r="R638" s="1">
        <f>MONTH(tblSales[[#This Row],[Date]])</f>
        <v>2</v>
      </c>
    </row>
    <row r="639" spans="2:18" x14ac:dyDescent="0.35">
      <c r="B639" s="113">
        <v>46065</v>
      </c>
      <c r="C639" s="4" t="s">
        <v>441</v>
      </c>
      <c r="D639" s="4" t="s">
        <v>4568</v>
      </c>
      <c r="E639" s="1" t="str">
        <f>_xlfn.XLOOKUP(tblSales[[#This Row],[Customer ID]],tblCustomers[Customer ID],tblCustomers[Customer Name],"⚠ Unknown")</f>
        <v>Walk-in Customer</v>
      </c>
      <c r="F639" s="4" t="s">
        <v>10</v>
      </c>
      <c r="G639" s="1" t="str">
        <f>_xlfn.XLOOKUP(tblSales[[#This Row],[Product Code]],tblProducts[Code],tblProducts[Product / Service Name],"⚠ Unknown")</f>
        <v>Chino Pants</v>
      </c>
      <c r="H639" s="1" t="str">
        <f>_xlfn.XLOOKUP(tblSales[[#This Row],[Product Code]],tblProducts[Code],tblProducts[Category],"")</f>
        <v>Apparel &amp; Footwear</v>
      </c>
      <c r="I639" s="4">
        <v>1</v>
      </c>
      <c r="J639" s="5">
        <f>_xlfn.XLOOKUP(tblSales[[#This Row],[Product Code]],tblProducts[Code],tblProducts[Selling Price (excl. VAT)],0)</f>
        <v>150000</v>
      </c>
      <c r="K639" s="5">
        <f>tblSales[[#This Row],[Qty]]*tblSales[[#This Row],[Unit Price]]</f>
        <v>150000</v>
      </c>
      <c r="L639" s="5">
        <f>ROUND(tblSales[[#This Row],[DPP (excl. VAT)]]*VATEff,0)</f>
        <v>16500</v>
      </c>
      <c r="M639" s="5">
        <f>tblSales[[#This Row],[DPP (excl. VAT)]]+tblSales[[#This Row],[Output VAT]]</f>
        <v>166500</v>
      </c>
      <c r="N639" s="5">
        <f>tblSales[[#This Row],[Qty]]*_xlfn.XLOOKUP(tblSales[[#This Row],[Product Code]],tblProducts[Code],tblProducts[Unit Cost],0)</f>
        <v>88000</v>
      </c>
      <c r="O639" s="4" t="s">
        <v>4865</v>
      </c>
      <c r="P639" s="4" t="s">
        <v>4860</v>
      </c>
      <c r="Q639" s="1" t="str">
        <f>_xlfn.XLOOKUP(tblSales[[#This Row],[Channel Code]],tblChannels[Channel Code],tblChannels[Channel Name],"")</f>
        <v>In-store</v>
      </c>
      <c r="R639" s="1">
        <f>MONTH(tblSales[[#This Row],[Date]])</f>
        <v>2</v>
      </c>
    </row>
    <row r="640" spans="2:18" x14ac:dyDescent="0.35">
      <c r="B640" s="113">
        <v>46065</v>
      </c>
      <c r="C640" s="4" t="s">
        <v>441</v>
      </c>
      <c r="D640" s="4" t="s">
        <v>4568</v>
      </c>
      <c r="E640" s="1" t="str">
        <f>_xlfn.XLOOKUP(tblSales[[#This Row],[Customer ID]],tblCustomers[Customer ID],tblCustomers[Customer Name],"⚠ Unknown")</f>
        <v>Walk-in Customer</v>
      </c>
      <c r="F640" s="4" t="s">
        <v>8</v>
      </c>
      <c r="G640" s="1" t="str">
        <f>_xlfn.XLOOKUP(tblSales[[#This Row],[Product Code]],tblProducts[Code],tblProducts[Product / Service Name],"⚠ Unknown")</f>
        <v>Casual Shorts</v>
      </c>
      <c r="H640" s="1" t="str">
        <f>_xlfn.XLOOKUP(tblSales[[#This Row],[Product Code]],tblProducts[Code],tblProducts[Category],"")</f>
        <v>Accessories &amp; Basics</v>
      </c>
      <c r="I640" s="4">
        <v>5</v>
      </c>
      <c r="J640" s="5">
        <f>_xlfn.XLOOKUP(tblSales[[#This Row],[Product Code]],tblProducts[Code],tblProducts[Selling Price (excl. VAT)],0)</f>
        <v>85000</v>
      </c>
      <c r="K640" s="5">
        <f>tblSales[[#This Row],[Qty]]*tblSales[[#This Row],[Unit Price]]</f>
        <v>425000</v>
      </c>
      <c r="L640" s="5">
        <f>ROUND(tblSales[[#This Row],[DPP (excl. VAT)]]*VATEff,0)</f>
        <v>46750</v>
      </c>
      <c r="M640" s="5">
        <f>tblSales[[#This Row],[DPP (excl. VAT)]]+tblSales[[#This Row],[Output VAT]]</f>
        <v>471750</v>
      </c>
      <c r="N640" s="5">
        <f>tblSales[[#This Row],[Qty]]*_xlfn.XLOOKUP(tblSales[[#This Row],[Product Code]],tblProducts[Code],tblProducts[Unit Cost],0)</f>
        <v>250000</v>
      </c>
      <c r="O640" s="4" t="s">
        <v>4865</v>
      </c>
      <c r="P640" s="4" t="s">
        <v>4860</v>
      </c>
      <c r="Q640" s="1" t="str">
        <f>_xlfn.XLOOKUP(tblSales[[#This Row],[Channel Code]],tblChannels[Channel Code],tblChannels[Channel Name],"")</f>
        <v>In-store</v>
      </c>
      <c r="R640" s="1">
        <f>MONTH(tblSales[[#This Row],[Date]])</f>
        <v>2</v>
      </c>
    </row>
    <row r="641" spans="2:18" x14ac:dyDescent="0.35">
      <c r="B641" s="113">
        <v>46065</v>
      </c>
      <c r="C641" s="4" t="s">
        <v>442</v>
      </c>
      <c r="D641" s="4" t="s">
        <v>4568</v>
      </c>
      <c r="E641" s="1" t="str">
        <f>_xlfn.XLOOKUP(tblSales[[#This Row],[Customer ID]],tblCustomers[Customer ID],tblCustomers[Customer Name],"⚠ Unknown")</f>
        <v>Walk-in Customer</v>
      </c>
      <c r="F641" s="4" t="s">
        <v>8</v>
      </c>
      <c r="G641" s="1" t="str">
        <f>_xlfn.XLOOKUP(tblSales[[#This Row],[Product Code]],tblProducts[Code],tblProducts[Product / Service Name],"⚠ Unknown")</f>
        <v>Casual Shorts</v>
      </c>
      <c r="H641" s="1" t="str">
        <f>_xlfn.XLOOKUP(tblSales[[#This Row],[Product Code]],tblProducts[Code],tblProducts[Category],"")</f>
        <v>Accessories &amp; Basics</v>
      </c>
      <c r="I641" s="4">
        <v>2</v>
      </c>
      <c r="J641" s="5">
        <f>_xlfn.XLOOKUP(tblSales[[#This Row],[Product Code]],tblProducts[Code],tblProducts[Selling Price (excl. VAT)],0)</f>
        <v>85000</v>
      </c>
      <c r="K641" s="5">
        <f>tblSales[[#This Row],[Qty]]*tblSales[[#This Row],[Unit Price]]</f>
        <v>170000</v>
      </c>
      <c r="L641" s="5">
        <f>ROUND(tblSales[[#This Row],[DPP (excl. VAT)]]*VATEff,0)</f>
        <v>18700</v>
      </c>
      <c r="M641" s="5">
        <f>tblSales[[#This Row],[DPP (excl. VAT)]]+tblSales[[#This Row],[Output VAT]]</f>
        <v>188700</v>
      </c>
      <c r="N641" s="5">
        <f>tblSales[[#This Row],[Qty]]*_xlfn.XLOOKUP(tblSales[[#This Row],[Product Code]],tblProducts[Code],tblProducts[Unit Cost],0)</f>
        <v>100000</v>
      </c>
      <c r="O641" s="4" t="s">
        <v>4866</v>
      </c>
      <c r="P641" s="4" t="s">
        <v>4862</v>
      </c>
      <c r="Q641" s="1" t="str">
        <f>_xlfn.XLOOKUP(tblSales[[#This Row],[Channel Code]],tblChannels[Channel Code],tblChannels[Channel Name],"")</f>
        <v>Website &amp; Social Media</v>
      </c>
      <c r="R641" s="1">
        <f>MONTH(tblSales[[#This Row],[Date]])</f>
        <v>2</v>
      </c>
    </row>
    <row r="642" spans="2:18" x14ac:dyDescent="0.35">
      <c r="B642" s="113">
        <v>46065</v>
      </c>
      <c r="C642" s="4" t="s">
        <v>443</v>
      </c>
      <c r="D642" s="4" t="s">
        <v>4568</v>
      </c>
      <c r="E642" s="1" t="str">
        <f>_xlfn.XLOOKUP(tblSales[[#This Row],[Customer ID]],tblCustomers[Customer ID],tblCustomers[Customer Name],"⚠ Unknown")</f>
        <v>Walk-in Customer</v>
      </c>
      <c r="F642" s="4" t="s">
        <v>8</v>
      </c>
      <c r="G642" s="1" t="str">
        <f>_xlfn.XLOOKUP(tblSales[[#This Row],[Product Code]],tblProducts[Code],tblProducts[Product / Service Name],"⚠ Unknown")</f>
        <v>Casual Shorts</v>
      </c>
      <c r="H642" s="1" t="str">
        <f>_xlfn.XLOOKUP(tblSales[[#This Row],[Product Code]],tblProducts[Code],tblProducts[Category],"")</f>
        <v>Accessories &amp; Basics</v>
      </c>
      <c r="I642" s="4">
        <v>11</v>
      </c>
      <c r="J642" s="5">
        <f>_xlfn.XLOOKUP(tblSales[[#This Row],[Product Code]],tblProducts[Code],tblProducts[Selling Price (excl. VAT)],0)</f>
        <v>85000</v>
      </c>
      <c r="K642" s="5">
        <f>tblSales[[#This Row],[Qty]]*tblSales[[#This Row],[Unit Price]]</f>
        <v>935000</v>
      </c>
      <c r="L642" s="5">
        <f>ROUND(tblSales[[#This Row],[DPP (excl. VAT)]]*VATEff,0)</f>
        <v>102850</v>
      </c>
      <c r="M642" s="5">
        <f>tblSales[[#This Row],[DPP (excl. VAT)]]+tblSales[[#This Row],[Output VAT]]</f>
        <v>1037850</v>
      </c>
      <c r="N642" s="5">
        <f>tblSales[[#This Row],[Qty]]*_xlfn.XLOOKUP(tblSales[[#This Row],[Product Code]],tblProducts[Code],tblProducts[Unit Cost],0)</f>
        <v>550000</v>
      </c>
      <c r="O642" s="4" t="s">
        <v>4866</v>
      </c>
      <c r="P642" s="4" t="s">
        <v>4861</v>
      </c>
      <c r="Q642" s="1" t="str">
        <f>_xlfn.XLOOKUP(tblSales[[#This Row],[Channel Code]],tblChannels[Channel Code],tblChannels[Channel Name],"")</f>
        <v>Marketplace</v>
      </c>
      <c r="R642" s="1">
        <f>MONTH(tblSales[[#This Row],[Date]])</f>
        <v>2</v>
      </c>
    </row>
    <row r="643" spans="2:18" x14ac:dyDescent="0.35">
      <c r="B643" s="113">
        <v>46065</v>
      </c>
      <c r="C643" s="4" t="s">
        <v>444</v>
      </c>
      <c r="D643" s="4" t="s">
        <v>4627</v>
      </c>
      <c r="E643" s="1" t="str">
        <f>_xlfn.XLOOKUP(tblSales[[#This Row],[Customer ID]],tblCustomers[Customer ID],tblCustomers[Customer Name],"⚠ Unknown")</f>
        <v>PT Kencana Wira Usaha</v>
      </c>
      <c r="F643" s="4" t="s">
        <v>9</v>
      </c>
      <c r="G643" s="1" t="str">
        <f>_xlfn.XLOOKUP(tblSales[[#This Row],[Product Code]],tblProducts[Code],tblProducts[Product / Service Name],"⚠ Unknown")</f>
        <v>Casual Shirt</v>
      </c>
      <c r="H643" s="1" t="str">
        <f>_xlfn.XLOOKUP(tblSales[[#This Row],[Product Code]],tblProducts[Code],tblProducts[Category],"")</f>
        <v>Apparel &amp; Footwear</v>
      </c>
      <c r="I643" s="4">
        <v>32</v>
      </c>
      <c r="J643" s="5">
        <f>_xlfn.XLOOKUP(tblSales[[#This Row],[Product Code]],tblProducts[Code],tblProducts[Selling Price (excl. VAT)],0)</f>
        <v>120000</v>
      </c>
      <c r="K643" s="5">
        <f>tblSales[[#This Row],[Qty]]*tblSales[[#This Row],[Unit Price]]</f>
        <v>3840000</v>
      </c>
      <c r="L643" s="5">
        <f>ROUND(tblSales[[#This Row],[DPP (excl. VAT)]]*VATEff,0)</f>
        <v>422400</v>
      </c>
      <c r="M643" s="5">
        <f>tblSales[[#This Row],[DPP (excl. VAT)]]+tblSales[[#This Row],[Output VAT]]</f>
        <v>4262400</v>
      </c>
      <c r="N643" s="5">
        <f>tblSales[[#This Row],[Qty]]*_xlfn.XLOOKUP(tblSales[[#This Row],[Product Code]],tblProducts[Code],tblProducts[Unit Cost],0)</f>
        <v>2304000</v>
      </c>
      <c r="O643" s="4" t="s">
        <v>4867</v>
      </c>
      <c r="P643" s="4" t="s">
        <v>4860</v>
      </c>
      <c r="Q643" s="1" t="str">
        <f>_xlfn.XLOOKUP(tblSales[[#This Row],[Channel Code]],tblChannels[Channel Code],tblChannels[Channel Name],"")</f>
        <v>In-store</v>
      </c>
      <c r="R643" s="1">
        <f>MONTH(tblSales[[#This Row],[Date]])</f>
        <v>2</v>
      </c>
    </row>
    <row r="644" spans="2:18" x14ac:dyDescent="0.35">
      <c r="B644" s="113">
        <v>46065</v>
      </c>
      <c r="C644" s="4" t="s">
        <v>445</v>
      </c>
      <c r="D644" s="4" t="s">
        <v>4634</v>
      </c>
      <c r="E644" s="1" t="str">
        <f>_xlfn.XLOOKUP(tblSales[[#This Row],[Customer ID]],tblCustomers[Customer ID],tblCustomers[Customer Name],"⚠ Unknown")</f>
        <v>PT Delta Inti Selaras</v>
      </c>
      <c r="F644" s="4" t="s">
        <v>10</v>
      </c>
      <c r="G644" s="1" t="str">
        <f>_xlfn.XLOOKUP(tblSales[[#This Row],[Product Code]],tblProducts[Code],tblProducts[Product / Service Name],"⚠ Unknown")</f>
        <v>Chino Pants</v>
      </c>
      <c r="H644" s="1" t="str">
        <f>_xlfn.XLOOKUP(tblSales[[#This Row],[Product Code]],tblProducts[Code],tblProducts[Category],"")</f>
        <v>Apparel &amp; Footwear</v>
      </c>
      <c r="I644" s="4">
        <v>24</v>
      </c>
      <c r="J644" s="5">
        <f>_xlfn.XLOOKUP(tblSales[[#This Row],[Product Code]],tblProducts[Code],tblProducts[Selling Price (excl. VAT)],0)</f>
        <v>150000</v>
      </c>
      <c r="K644" s="5">
        <f>tblSales[[#This Row],[Qty]]*tblSales[[#This Row],[Unit Price]]</f>
        <v>3600000</v>
      </c>
      <c r="L644" s="5">
        <f>ROUND(tblSales[[#This Row],[DPP (excl. VAT)]]*VATEff,0)</f>
        <v>396000</v>
      </c>
      <c r="M644" s="5">
        <f>tblSales[[#This Row],[DPP (excl. VAT)]]+tblSales[[#This Row],[Output VAT]]</f>
        <v>3996000</v>
      </c>
      <c r="N644" s="5">
        <f>tblSales[[#This Row],[Qty]]*_xlfn.XLOOKUP(tblSales[[#This Row],[Product Code]],tblProducts[Code],tblProducts[Unit Cost],0)</f>
        <v>2112000</v>
      </c>
      <c r="O644" s="4" t="s">
        <v>4867</v>
      </c>
      <c r="P644" s="4" t="s">
        <v>4860</v>
      </c>
      <c r="Q644" s="1" t="str">
        <f>_xlfn.XLOOKUP(tblSales[[#This Row],[Channel Code]],tblChannels[Channel Code],tblChannels[Channel Name],"")</f>
        <v>In-store</v>
      </c>
      <c r="R644" s="1">
        <f>MONTH(tblSales[[#This Row],[Date]])</f>
        <v>2</v>
      </c>
    </row>
    <row r="645" spans="2:18" x14ac:dyDescent="0.35">
      <c r="B645" s="113">
        <v>46065</v>
      </c>
      <c r="C645" s="4" t="s">
        <v>445</v>
      </c>
      <c r="D645" s="4" t="s">
        <v>4634</v>
      </c>
      <c r="E645" s="1" t="str">
        <f>_xlfn.XLOOKUP(tblSales[[#This Row],[Customer ID]],tblCustomers[Customer ID],tblCustomers[Customer Name],"⚠ Unknown")</f>
        <v>PT Delta Inti Selaras</v>
      </c>
      <c r="F645" s="4" t="s">
        <v>6</v>
      </c>
      <c r="G645" s="1" t="str">
        <f>_xlfn.XLOOKUP(tblSales[[#This Row],[Product Code]],tblProducts[Code],tblProducts[Product / Service Name],"⚠ Unknown")</f>
        <v>Socks &amp; Accessories</v>
      </c>
      <c r="H645" s="1" t="str">
        <f>_xlfn.XLOOKUP(tblSales[[#This Row],[Product Code]],tblProducts[Code],tblProducts[Category],"")</f>
        <v>Accessories &amp; Basics</v>
      </c>
      <c r="I645" s="4">
        <v>96</v>
      </c>
      <c r="J645" s="5">
        <f>_xlfn.XLOOKUP(tblSales[[#This Row],[Product Code]],tblProducts[Code],tblProducts[Selling Price (excl. VAT)],0)</f>
        <v>45000</v>
      </c>
      <c r="K645" s="5">
        <f>tblSales[[#This Row],[Qty]]*tblSales[[#This Row],[Unit Price]]</f>
        <v>4320000</v>
      </c>
      <c r="L645" s="5">
        <f>ROUND(tblSales[[#This Row],[DPP (excl. VAT)]]*VATEff,0)</f>
        <v>475200</v>
      </c>
      <c r="M645" s="5">
        <f>tblSales[[#This Row],[DPP (excl. VAT)]]+tblSales[[#This Row],[Output VAT]]</f>
        <v>4795200</v>
      </c>
      <c r="N645" s="5">
        <f>tblSales[[#This Row],[Qty]]*_xlfn.XLOOKUP(tblSales[[#This Row],[Product Code]],tblProducts[Code],tblProducts[Unit Cost],0)</f>
        <v>2304000</v>
      </c>
      <c r="O645" s="4" t="s">
        <v>4867</v>
      </c>
      <c r="P645" s="4" t="s">
        <v>4860</v>
      </c>
      <c r="Q645" s="1" t="str">
        <f>_xlfn.XLOOKUP(tblSales[[#This Row],[Channel Code]],tblChannels[Channel Code],tblChannels[Channel Name],"")</f>
        <v>In-store</v>
      </c>
      <c r="R645" s="1">
        <f>MONTH(tblSales[[#This Row],[Date]])</f>
        <v>2</v>
      </c>
    </row>
    <row r="646" spans="2:18" x14ac:dyDescent="0.35">
      <c r="B646" s="113">
        <v>46065</v>
      </c>
      <c r="C646" s="4" t="s">
        <v>446</v>
      </c>
      <c r="D646" s="4" t="s">
        <v>4641</v>
      </c>
      <c r="E646" s="1" t="str">
        <f>_xlfn.XLOOKUP(tblSales[[#This Row],[Customer ID]],tblCustomers[Customer ID],tblCustomers[Customer Name],"⚠ Unknown")</f>
        <v>PT Harmoni Pangan Lestari</v>
      </c>
      <c r="F646" s="4" t="s">
        <v>9</v>
      </c>
      <c r="G646" s="1" t="str">
        <f>_xlfn.XLOOKUP(tblSales[[#This Row],[Product Code]],tblProducts[Code],tblProducts[Product / Service Name],"⚠ Unknown")</f>
        <v>Casual Shirt</v>
      </c>
      <c r="H646" s="1" t="str">
        <f>_xlfn.XLOOKUP(tblSales[[#This Row],[Product Code]],tblProducts[Code],tblProducts[Category],"")</f>
        <v>Apparel &amp; Footwear</v>
      </c>
      <c r="I646" s="4">
        <v>96</v>
      </c>
      <c r="J646" s="5">
        <f>_xlfn.XLOOKUP(tblSales[[#This Row],[Product Code]],tblProducts[Code],tblProducts[Selling Price (excl. VAT)],0)</f>
        <v>120000</v>
      </c>
      <c r="K646" s="5">
        <f>tblSales[[#This Row],[Qty]]*tblSales[[#This Row],[Unit Price]]</f>
        <v>11520000</v>
      </c>
      <c r="L646" s="5">
        <f>ROUND(tblSales[[#This Row],[DPP (excl. VAT)]]*VATEff,0)</f>
        <v>1267200</v>
      </c>
      <c r="M646" s="5">
        <f>tblSales[[#This Row],[DPP (excl. VAT)]]+tblSales[[#This Row],[Output VAT]]</f>
        <v>12787200</v>
      </c>
      <c r="N646" s="5">
        <f>tblSales[[#This Row],[Qty]]*_xlfn.XLOOKUP(tblSales[[#This Row],[Product Code]],tblProducts[Code],tblProducts[Unit Cost],0)</f>
        <v>6912000</v>
      </c>
      <c r="O646" s="4" t="s">
        <v>4867</v>
      </c>
      <c r="P646" s="4" t="s">
        <v>4862</v>
      </c>
      <c r="Q646" s="1" t="str">
        <f>_xlfn.XLOOKUP(tblSales[[#This Row],[Channel Code]],tblChannels[Channel Code],tblChannels[Channel Name],"")</f>
        <v>Website &amp; Social Media</v>
      </c>
      <c r="R646" s="1">
        <f>MONTH(tblSales[[#This Row],[Date]])</f>
        <v>2</v>
      </c>
    </row>
    <row r="647" spans="2:18" x14ac:dyDescent="0.35">
      <c r="B647" s="113">
        <v>46065</v>
      </c>
      <c r="C647" s="4" t="s">
        <v>446</v>
      </c>
      <c r="D647" s="4" t="s">
        <v>4641</v>
      </c>
      <c r="E647" s="1" t="str">
        <f>_xlfn.XLOOKUP(tblSales[[#This Row],[Customer ID]],tblCustomers[Customer ID],tblCustomers[Customer Name],"⚠ Unknown")</f>
        <v>PT Harmoni Pangan Lestari</v>
      </c>
      <c r="F647" s="4" t="s">
        <v>7</v>
      </c>
      <c r="G647" s="1" t="str">
        <f>_xlfn.XLOOKUP(tblSales[[#This Row],[Product Code]],tblProducts[Code],tblProducts[Product / Service Name],"⚠ Unknown")</f>
        <v>Premium Basic T-shirt</v>
      </c>
      <c r="H647" s="1" t="str">
        <f>_xlfn.XLOOKUP(tblSales[[#This Row],[Product Code]],tblProducts[Code],tblProducts[Category],"")</f>
        <v>Accessories &amp; Basics</v>
      </c>
      <c r="I647" s="4">
        <v>8</v>
      </c>
      <c r="J647" s="5">
        <f>_xlfn.XLOOKUP(tblSales[[#This Row],[Product Code]],tblProducts[Code],tblProducts[Selling Price (excl. VAT)],0)</f>
        <v>65000</v>
      </c>
      <c r="K647" s="5">
        <f>tblSales[[#This Row],[Qty]]*tblSales[[#This Row],[Unit Price]]</f>
        <v>520000</v>
      </c>
      <c r="L647" s="5">
        <f>ROUND(tblSales[[#This Row],[DPP (excl. VAT)]]*VATEff,0)</f>
        <v>57200</v>
      </c>
      <c r="M647" s="5">
        <f>tblSales[[#This Row],[DPP (excl. VAT)]]+tblSales[[#This Row],[Output VAT]]</f>
        <v>577200</v>
      </c>
      <c r="N647" s="5">
        <f>tblSales[[#This Row],[Qty]]*_xlfn.XLOOKUP(tblSales[[#This Row],[Product Code]],tblProducts[Code],tblProducts[Unit Cost],0)</f>
        <v>296000</v>
      </c>
      <c r="O647" s="4" t="s">
        <v>4867</v>
      </c>
      <c r="P647" s="4" t="s">
        <v>4862</v>
      </c>
      <c r="Q647" s="1" t="str">
        <f>_xlfn.XLOOKUP(tblSales[[#This Row],[Channel Code]],tblChannels[Channel Code],tblChannels[Channel Name],"")</f>
        <v>Website &amp; Social Media</v>
      </c>
      <c r="R647" s="1">
        <f>MONTH(tblSales[[#This Row],[Date]])</f>
        <v>2</v>
      </c>
    </row>
    <row r="648" spans="2:18" x14ac:dyDescent="0.35">
      <c r="B648" s="113">
        <v>46065</v>
      </c>
      <c r="C648" s="4" t="s">
        <v>447</v>
      </c>
      <c r="D648" s="4" t="s">
        <v>4593</v>
      </c>
      <c r="E648" s="1" t="str">
        <f>_xlfn.XLOOKUP(tblSales[[#This Row],[Customer ID]],tblCustomers[Customer ID],tblCustomers[Customer Name],"⚠ Unknown")</f>
        <v>PT Graha Nusa Persada</v>
      </c>
      <c r="F648" s="4" t="s">
        <v>7</v>
      </c>
      <c r="G648" s="1" t="str">
        <f>_xlfn.XLOOKUP(tblSales[[#This Row],[Product Code]],tblProducts[Code],tblProducts[Product / Service Name],"⚠ Unknown")</f>
        <v>Premium Basic T-shirt</v>
      </c>
      <c r="H648" s="1" t="str">
        <f>_xlfn.XLOOKUP(tblSales[[#This Row],[Product Code]],tblProducts[Code],tblProducts[Category],"")</f>
        <v>Accessories &amp; Basics</v>
      </c>
      <c r="I648" s="4">
        <v>40</v>
      </c>
      <c r="J648" s="5">
        <f>_xlfn.XLOOKUP(tblSales[[#This Row],[Product Code]],tblProducts[Code],tblProducts[Selling Price (excl. VAT)],0)</f>
        <v>65000</v>
      </c>
      <c r="K648" s="5">
        <f>tblSales[[#This Row],[Qty]]*tblSales[[#This Row],[Unit Price]]</f>
        <v>2600000</v>
      </c>
      <c r="L648" s="5">
        <f>ROUND(tblSales[[#This Row],[DPP (excl. VAT)]]*VATEff,0)</f>
        <v>286000</v>
      </c>
      <c r="M648" s="5">
        <f>tblSales[[#This Row],[DPP (excl. VAT)]]+tblSales[[#This Row],[Output VAT]]</f>
        <v>2886000</v>
      </c>
      <c r="N648" s="5">
        <f>tblSales[[#This Row],[Qty]]*_xlfn.XLOOKUP(tblSales[[#This Row],[Product Code]],tblProducts[Code],tblProducts[Unit Cost],0)</f>
        <v>1480000</v>
      </c>
      <c r="O648" s="4" t="s">
        <v>4867</v>
      </c>
      <c r="P648" s="4" t="s">
        <v>4860</v>
      </c>
      <c r="Q648" s="1" t="str">
        <f>_xlfn.XLOOKUP(tblSales[[#This Row],[Channel Code]],tblChannels[Channel Code],tblChannels[Channel Name],"")</f>
        <v>In-store</v>
      </c>
      <c r="R648" s="1">
        <f>MONTH(tblSales[[#This Row],[Date]])</f>
        <v>2</v>
      </c>
    </row>
    <row r="649" spans="2:18" x14ac:dyDescent="0.35">
      <c r="B649" s="113">
        <v>46065</v>
      </c>
      <c r="C649" s="4" t="s">
        <v>447</v>
      </c>
      <c r="D649" s="4" t="s">
        <v>4593</v>
      </c>
      <c r="E649" s="1" t="str">
        <f>_xlfn.XLOOKUP(tblSales[[#This Row],[Customer ID]],tblCustomers[Customer ID],tblCustomers[Customer Name],"⚠ Unknown")</f>
        <v>PT Graha Nusa Persada</v>
      </c>
      <c r="F649" s="4" t="s">
        <v>11</v>
      </c>
      <c r="G649" s="1" t="str">
        <f>_xlfn.XLOOKUP(tblSales[[#This Row],[Product Code]],tblProducts[Code],tblProducts[Product / Service Name],"⚠ Unknown")</f>
        <v>Sneakers</v>
      </c>
      <c r="H649" s="1" t="str">
        <f>_xlfn.XLOOKUP(tblSales[[#This Row],[Product Code]],tblProducts[Code],tblProducts[Category],"")</f>
        <v>Apparel &amp; Footwear</v>
      </c>
      <c r="I649" s="4">
        <v>48</v>
      </c>
      <c r="J649" s="5">
        <f>_xlfn.XLOOKUP(tblSales[[#This Row],[Product Code]],tblProducts[Code],tblProducts[Selling Price (excl. VAT)],0)</f>
        <v>250000</v>
      </c>
      <c r="K649" s="5">
        <f>tblSales[[#This Row],[Qty]]*tblSales[[#This Row],[Unit Price]]</f>
        <v>12000000</v>
      </c>
      <c r="L649" s="5">
        <f>ROUND(tblSales[[#This Row],[DPP (excl. VAT)]]*VATEff,0)</f>
        <v>1320000</v>
      </c>
      <c r="M649" s="5">
        <f>tblSales[[#This Row],[DPP (excl. VAT)]]+tblSales[[#This Row],[Output VAT]]</f>
        <v>13320000</v>
      </c>
      <c r="N649" s="5">
        <f>tblSales[[#This Row],[Qty]]*_xlfn.XLOOKUP(tblSales[[#This Row],[Product Code]],tblProducts[Code],tblProducts[Unit Cost],0)</f>
        <v>7440000</v>
      </c>
      <c r="O649" s="4" t="s">
        <v>4867</v>
      </c>
      <c r="P649" s="4" t="s">
        <v>4860</v>
      </c>
      <c r="Q649" s="1" t="str">
        <f>_xlfn.XLOOKUP(tblSales[[#This Row],[Channel Code]],tblChannels[Channel Code],tblChannels[Channel Name],"")</f>
        <v>In-store</v>
      </c>
      <c r="R649" s="1">
        <f>MONTH(tblSales[[#This Row],[Date]])</f>
        <v>2</v>
      </c>
    </row>
    <row r="650" spans="2:18" x14ac:dyDescent="0.35">
      <c r="B650" s="113">
        <v>46065</v>
      </c>
      <c r="C650" s="4" t="s">
        <v>448</v>
      </c>
      <c r="D650" s="4" t="s">
        <v>4568</v>
      </c>
      <c r="E650" s="1" t="str">
        <f>_xlfn.XLOOKUP(tblSales[[#This Row],[Customer ID]],tblCustomers[Customer ID],tblCustomers[Customer Name],"⚠ Unknown")</f>
        <v>Walk-in Customer</v>
      </c>
      <c r="F650" s="4" t="s">
        <v>6</v>
      </c>
      <c r="G650" s="1" t="str">
        <f>_xlfn.XLOOKUP(tblSales[[#This Row],[Product Code]],tblProducts[Code],tblProducts[Product / Service Name],"⚠ Unknown")</f>
        <v>Socks &amp; Accessories</v>
      </c>
      <c r="H650" s="1" t="str">
        <f>_xlfn.XLOOKUP(tblSales[[#This Row],[Product Code]],tblProducts[Code],tblProducts[Category],"")</f>
        <v>Accessories &amp; Basics</v>
      </c>
      <c r="I650" s="4">
        <v>4</v>
      </c>
      <c r="J650" s="5">
        <f>_xlfn.XLOOKUP(tblSales[[#This Row],[Product Code]],tblProducts[Code],tblProducts[Selling Price (excl. VAT)],0)</f>
        <v>45000</v>
      </c>
      <c r="K650" s="5">
        <f>tblSales[[#This Row],[Qty]]*tblSales[[#This Row],[Unit Price]]</f>
        <v>180000</v>
      </c>
      <c r="L650" s="5">
        <f>ROUND(tblSales[[#This Row],[DPP (excl. VAT)]]*VATEff,0)</f>
        <v>19800</v>
      </c>
      <c r="M650" s="5">
        <f>tblSales[[#This Row],[DPP (excl. VAT)]]+tblSales[[#This Row],[Output VAT]]</f>
        <v>199800</v>
      </c>
      <c r="N650" s="5">
        <f>tblSales[[#This Row],[Qty]]*_xlfn.XLOOKUP(tblSales[[#This Row],[Product Code]],tblProducts[Code],tblProducts[Unit Cost],0)</f>
        <v>96000</v>
      </c>
      <c r="O650" s="4" t="s">
        <v>4866</v>
      </c>
      <c r="P650" s="4" t="s">
        <v>4860</v>
      </c>
      <c r="Q650" s="1" t="str">
        <f>_xlfn.XLOOKUP(tblSales[[#This Row],[Channel Code]],tblChannels[Channel Code],tblChannels[Channel Name],"")</f>
        <v>In-store</v>
      </c>
      <c r="R650" s="1">
        <f>MONTH(tblSales[[#This Row],[Date]])</f>
        <v>2</v>
      </c>
    </row>
    <row r="651" spans="2:18" x14ac:dyDescent="0.35">
      <c r="B651" s="113">
        <v>46065</v>
      </c>
      <c r="C651" s="4" t="s">
        <v>448</v>
      </c>
      <c r="D651" s="4" t="s">
        <v>4568</v>
      </c>
      <c r="E651" s="1" t="str">
        <f>_xlfn.XLOOKUP(tblSales[[#This Row],[Customer ID]],tblCustomers[Customer ID],tblCustomers[Customer Name],"⚠ Unknown")</f>
        <v>Walk-in Customer</v>
      </c>
      <c r="F651" s="4" t="s">
        <v>12</v>
      </c>
      <c r="G651" s="1" t="str">
        <f>_xlfn.XLOOKUP(tblSales[[#This Row],[Product Code]],tblProducts[Code],tblProducts[Product / Service Name],"⚠ Unknown")</f>
        <v>Bomber Jacket</v>
      </c>
      <c r="H651" s="1" t="str">
        <f>_xlfn.XLOOKUP(tblSales[[#This Row],[Product Code]],tblProducts[Code],tblProducts[Category],"")</f>
        <v>Apparel &amp; Footwear</v>
      </c>
      <c r="I651" s="4">
        <v>3</v>
      </c>
      <c r="J651" s="5">
        <f>_xlfn.XLOOKUP(tblSales[[#This Row],[Product Code]],tblProducts[Code],tblProducts[Selling Price (excl. VAT)],0)</f>
        <v>350000</v>
      </c>
      <c r="K651" s="5">
        <f>tblSales[[#This Row],[Qty]]*tblSales[[#This Row],[Unit Price]]</f>
        <v>1050000</v>
      </c>
      <c r="L651" s="5">
        <f>ROUND(tblSales[[#This Row],[DPP (excl. VAT)]]*VATEff,0)</f>
        <v>115500</v>
      </c>
      <c r="M651" s="5">
        <f>tblSales[[#This Row],[DPP (excl. VAT)]]+tblSales[[#This Row],[Output VAT]]</f>
        <v>1165500</v>
      </c>
      <c r="N651" s="5">
        <f>tblSales[[#This Row],[Qty]]*_xlfn.XLOOKUP(tblSales[[#This Row],[Product Code]],tblProducts[Code],tblProducts[Unit Cost],0)</f>
        <v>630000</v>
      </c>
      <c r="O651" s="4" t="s">
        <v>4866</v>
      </c>
      <c r="P651" s="4" t="s">
        <v>4860</v>
      </c>
      <c r="Q651" s="1" t="str">
        <f>_xlfn.XLOOKUP(tblSales[[#This Row],[Channel Code]],tblChannels[Channel Code],tblChannels[Channel Name],"")</f>
        <v>In-store</v>
      </c>
      <c r="R651" s="1">
        <f>MONTH(tblSales[[#This Row],[Date]])</f>
        <v>2</v>
      </c>
    </row>
    <row r="652" spans="2:18" x14ac:dyDescent="0.35">
      <c r="B652" s="113">
        <v>46065</v>
      </c>
      <c r="C652" s="4" t="s">
        <v>448</v>
      </c>
      <c r="D652" s="4" t="s">
        <v>4568</v>
      </c>
      <c r="E652" s="1" t="str">
        <f>_xlfn.XLOOKUP(tblSales[[#This Row],[Customer ID]],tblCustomers[Customer ID],tblCustomers[Customer Name],"⚠ Unknown")</f>
        <v>Walk-in Customer</v>
      </c>
      <c r="F652" s="4" t="s">
        <v>15</v>
      </c>
      <c r="G652" s="1" t="str">
        <f>_xlfn.XLOOKUP(tblSales[[#This Row],[Product Code]],tblProducts[Code],tblProducts[Product / Service Name],"⚠ Unknown")</f>
        <v>Wireless Earbuds Pro</v>
      </c>
      <c r="H652" s="1" t="str">
        <f>_xlfn.XLOOKUP(tblSales[[#This Row],[Product Code]],tblProducts[Code],tblProducts[Category],"")</f>
        <v>Bags &amp; Gadgets</v>
      </c>
      <c r="I652" s="4">
        <v>1</v>
      </c>
      <c r="J652" s="5">
        <f>_xlfn.XLOOKUP(tblSales[[#This Row],[Product Code]],tblProducts[Code],tblProducts[Selling Price (excl. VAT)],0)</f>
        <v>1250000</v>
      </c>
      <c r="K652" s="5">
        <f>tblSales[[#This Row],[Qty]]*tblSales[[#This Row],[Unit Price]]</f>
        <v>1250000</v>
      </c>
      <c r="L652" s="5">
        <f>ROUND(tblSales[[#This Row],[DPP (excl. VAT)]]*VATEff,0)</f>
        <v>137500</v>
      </c>
      <c r="M652" s="5">
        <f>tblSales[[#This Row],[DPP (excl. VAT)]]+tblSales[[#This Row],[Output VAT]]</f>
        <v>1387500</v>
      </c>
      <c r="N652" s="5">
        <f>tblSales[[#This Row],[Qty]]*_xlfn.XLOOKUP(tblSales[[#This Row],[Product Code]],tblProducts[Code],tblProducts[Unit Cost],0)</f>
        <v>820000</v>
      </c>
      <c r="O652" s="4" t="s">
        <v>4866</v>
      </c>
      <c r="P652" s="4" t="s">
        <v>4860</v>
      </c>
      <c r="Q652" s="1" t="str">
        <f>_xlfn.XLOOKUP(tblSales[[#This Row],[Channel Code]],tblChannels[Channel Code],tblChannels[Channel Name],"")</f>
        <v>In-store</v>
      </c>
      <c r="R652" s="1">
        <f>MONTH(tblSales[[#This Row],[Date]])</f>
        <v>2</v>
      </c>
    </row>
    <row r="653" spans="2:18" x14ac:dyDescent="0.35">
      <c r="B653" s="113">
        <v>46065</v>
      </c>
      <c r="C653" s="4" t="s">
        <v>449</v>
      </c>
      <c r="D653" s="4" t="s">
        <v>4634</v>
      </c>
      <c r="E653" s="1" t="str">
        <f>_xlfn.XLOOKUP(tblSales[[#This Row],[Customer ID]],tblCustomers[Customer ID],tblCustomers[Customer Name],"⚠ Unknown")</f>
        <v>PT Delta Inti Selaras</v>
      </c>
      <c r="F653" s="4" t="s">
        <v>7</v>
      </c>
      <c r="G653" s="1" t="str">
        <f>_xlfn.XLOOKUP(tblSales[[#This Row],[Product Code]],tblProducts[Code],tblProducts[Product / Service Name],"⚠ Unknown")</f>
        <v>Premium Basic T-shirt</v>
      </c>
      <c r="H653" s="1" t="str">
        <f>_xlfn.XLOOKUP(tblSales[[#This Row],[Product Code]],tblProducts[Code],tblProducts[Category],"")</f>
        <v>Accessories &amp; Basics</v>
      </c>
      <c r="I653" s="4">
        <v>32</v>
      </c>
      <c r="J653" s="5">
        <f>_xlfn.XLOOKUP(tblSales[[#This Row],[Product Code]],tblProducts[Code],tblProducts[Selling Price (excl. VAT)],0)</f>
        <v>65000</v>
      </c>
      <c r="K653" s="5">
        <f>tblSales[[#This Row],[Qty]]*tblSales[[#This Row],[Unit Price]]</f>
        <v>2080000</v>
      </c>
      <c r="L653" s="5">
        <f>ROUND(tblSales[[#This Row],[DPP (excl. VAT)]]*VATEff,0)</f>
        <v>228800</v>
      </c>
      <c r="M653" s="5">
        <f>tblSales[[#This Row],[DPP (excl. VAT)]]+tblSales[[#This Row],[Output VAT]]</f>
        <v>2308800</v>
      </c>
      <c r="N653" s="5">
        <f>tblSales[[#This Row],[Qty]]*_xlfn.XLOOKUP(tblSales[[#This Row],[Product Code]],tblProducts[Code],tblProducts[Unit Cost],0)</f>
        <v>1184000</v>
      </c>
      <c r="O653" s="4" t="s">
        <v>4867</v>
      </c>
      <c r="P653" s="4" t="s">
        <v>4860</v>
      </c>
      <c r="Q653" s="1" t="str">
        <f>_xlfn.XLOOKUP(tblSales[[#This Row],[Channel Code]],tblChannels[Channel Code],tblChannels[Channel Name],"")</f>
        <v>In-store</v>
      </c>
      <c r="R653" s="1">
        <f>MONTH(tblSales[[#This Row],[Date]])</f>
        <v>2</v>
      </c>
    </row>
    <row r="654" spans="2:18" x14ac:dyDescent="0.35">
      <c r="B654" s="113">
        <v>46066</v>
      </c>
      <c r="C654" s="4" t="s">
        <v>450</v>
      </c>
      <c r="D654" s="4" t="s">
        <v>4572</v>
      </c>
      <c r="E654" s="1" t="str">
        <f>_xlfn.XLOOKUP(tblSales[[#This Row],[Customer ID]],tblCustomers[Customer ID],tblCustomers[Customer Name],"⚠ Unknown")</f>
        <v>PT Cahaya Abadi Makmur</v>
      </c>
      <c r="F654" s="4" t="s">
        <v>12</v>
      </c>
      <c r="G654" s="1" t="str">
        <f>_xlfn.XLOOKUP(tblSales[[#This Row],[Product Code]],tblProducts[Code],tblProducts[Product / Service Name],"⚠ Unknown")</f>
        <v>Bomber Jacket</v>
      </c>
      <c r="H654" s="1" t="str">
        <f>_xlfn.XLOOKUP(tblSales[[#This Row],[Product Code]],tblProducts[Code],tblProducts[Category],"")</f>
        <v>Apparel &amp; Footwear</v>
      </c>
      <c r="I654" s="4">
        <v>8</v>
      </c>
      <c r="J654" s="5">
        <f>_xlfn.XLOOKUP(tblSales[[#This Row],[Product Code]],tblProducts[Code],tblProducts[Selling Price (excl. VAT)],0)</f>
        <v>350000</v>
      </c>
      <c r="K654" s="5">
        <f>tblSales[[#This Row],[Qty]]*tblSales[[#This Row],[Unit Price]]</f>
        <v>2800000</v>
      </c>
      <c r="L654" s="5">
        <f>ROUND(tblSales[[#This Row],[DPP (excl. VAT)]]*VATEff,0)</f>
        <v>308000</v>
      </c>
      <c r="M654" s="5">
        <f>tblSales[[#This Row],[DPP (excl. VAT)]]+tblSales[[#This Row],[Output VAT]]</f>
        <v>3108000</v>
      </c>
      <c r="N654" s="5">
        <f>tblSales[[#This Row],[Qty]]*_xlfn.XLOOKUP(tblSales[[#This Row],[Product Code]],tblProducts[Code],tblProducts[Unit Cost],0)</f>
        <v>1680000</v>
      </c>
      <c r="O654" s="4" t="s">
        <v>4867</v>
      </c>
      <c r="P654" s="4" t="s">
        <v>4862</v>
      </c>
      <c r="Q654" s="1" t="str">
        <f>_xlfn.XLOOKUP(tblSales[[#This Row],[Channel Code]],tblChannels[Channel Code],tblChannels[Channel Name],"")</f>
        <v>Website &amp; Social Media</v>
      </c>
      <c r="R654" s="1">
        <f>MONTH(tblSales[[#This Row],[Date]])</f>
        <v>2</v>
      </c>
    </row>
    <row r="655" spans="2:18" x14ac:dyDescent="0.35">
      <c r="B655" s="113">
        <v>46066</v>
      </c>
      <c r="C655" s="4" t="s">
        <v>450</v>
      </c>
      <c r="D655" s="4" t="s">
        <v>4572</v>
      </c>
      <c r="E655" s="1" t="str">
        <f>_xlfn.XLOOKUP(tblSales[[#This Row],[Customer ID]],tblCustomers[Customer ID],tblCustomers[Customer Name],"⚠ Unknown")</f>
        <v>PT Cahaya Abadi Makmur</v>
      </c>
      <c r="F655" s="4" t="s">
        <v>7</v>
      </c>
      <c r="G655" s="1" t="str">
        <f>_xlfn.XLOOKUP(tblSales[[#This Row],[Product Code]],tblProducts[Code],tblProducts[Product / Service Name],"⚠ Unknown")</f>
        <v>Premium Basic T-shirt</v>
      </c>
      <c r="H655" s="1" t="str">
        <f>_xlfn.XLOOKUP(tblSales[[#This Row],[Product Code]],tblProducts[Code],tblProducts[Category],"")</f>
        <v>Accessories &amp; Basics</v>
      </c>
      <c r="I655" s="4">
        <v>16</v>
      </c>
      <c r="J655" s="5">
        <f>_xlfn.XLOOKUP(tblSales[[#This Row],[Product Code]],tblProducts[Code],tblProducts[Selling Price (excl. VAT)],0)</f>
        <v>65000</v>
      </c>
      <c r="K655" s="5">
        <f>tblSales[[#This Row],[Qty]]*tblSales[[#This Row],[Unit Price]]</f>
        <v>1040000</v>
      </c>
      <c r="L655" s="5">
        <f>ROUND(tblSales[[#This Row],[DPP (excl. VAT)]]*VATEff,0)</f>
        <v>114400</v>
      </c>
      <c r="M655" s="5">
        <f>tblSales[[#This Row],[DPP (excl. VAT)]]+tblSales[[#This Row],[Output VAT]]</f>
        <v>1154400</v>
      </c>
      <c r="N655" s="5">
        <f>tblSales[[#This Row],[Qty]]*_xlfn.XLOOKUP(tblSales[[#This Row],[Product Code]],tblProducts[Code],tblProducts[Unit Cost],0)</f>
        <v>592000</v>
      </c>
      <c r="O655" s="4" t="s">
        <v>4867</v>
      </c>
      <c r="P655" s="4" t="s">
        <v>4862</v>
      </c>
      <c r="Q655" s="1" t="str">
        <f>_xlfn.XLOOKUP(tblSales[[#This Row],[Channel Code]],tblChannels[Channel Code],tblChannels[Channel Name],"")</f>
        <v>Website &amp; Social Media</v>
      </c>
      <c r="R655" s="1">
        <f>MONTH(tblSales[[#This Row],[Date]])</f>
        <v>2</v>
      </c>
    </row>
    <row r="656" spans="2:18" x14ac:dyDescent="0.35">
      <c r="B656" s="113">
        <v>46066</v>
      </c>
      <c r="C656" s="4" t="s">
        <v>451</v>
      </c>
      <c r="D656" s="4" t="s">
        <v>4568</v>
      </c>
      <c r="E656" s="1" t="str">
        <f>_xlfn.XLOOKUP(tblSales[[#This Row],[Customer ID]],tblCustomers[Customer ID],tblCustomers[Customer Name],"⚠ Unknown")</f>
        <v>Walk-in Customer</v>
      </c>
      <c r="F656" s="4" t="s">
        <v>6</v>
      </c>
      <c r="G656" s="1" t="str">
        <f>_xlfn.XLOOKUP(tblSales[[#This Row],[Product Code]],tblProducts[Code],tblProducts[Product / Service Name],"⚠ Unknown")</f>
        <v>Socks &amp; Accessories</v>
      </c>
      <c r="H656" s="1" t="str">
        <f>_xlfn.XLOOKUP(tblSales[[#This Row],[Product Code]],tblProducts[Code],tblProducts[Category],"")</f>
        <v>Accessories &amp; Basics</v>
      </c>
      <c r="I656" s="4">
        <v>6</v>
      </c>
      <c r="J656" s="5">
        <f>_xlfn.XLOOKUP(tblSales[[#This Row],[Product Code]],tblProducts[Code],tblProducts[Selling Price (excl. VAT)],0)</f>
        <v>45000</v>
      </c>
      <c r="K656" s="5">
        <f>tblSales[[#This Row],[Qty]]*tblSales[[#This Row],[Unit Price]]</f>
        <v>270000</v>
      </c>
      <c r="L656" s="5">
        <f>ROUND(tblSales[[#This Row],[DPP (excl. VAT)]]*VATEff,0)</f>
        <v>29700</v>
      </c>
      <c r="M656" s="5">
        <f>tblSales[[#This Row],[DPP (excl. VAT)]]+tblSales[[#This Row],[Output VAT]]</f>
        <v>299700</v>
      </c>
      <c r="N656" s="5">
        <f>tblSales[[#This Row],[Qty]]*_xlfn.XLOOKUP(tblSales[[#This Row],[Product Code]],tblProducts[Code],tblProducts[Unit Cost],0)</f>
        <v>144000</v>
      </c>
      <c r="O656" s="4" t="s">
        <v>4865</v>
      </c>
      <c r="P656" s="4" t="s">
        <v>4860</v>
      </c>
      <c r="Q656" s="1" t="str">
        <f>_xlfn.XLOOKUP(tblSales[[#This Row],[Channel Code]],tblChannels[Channel Code],tblChannels[Channel Name],"")</f>
        <v>In-store</v>
      </c>
      <c r="R656" s="1">
        <f>MONTH(tblSales[[#This Row],[Date]])</f>
        <v>2</v>
      </c>
    </row>
    <row r="657" spans="2:18" x14ac:dyDescent="0.35">
      <c r="B657" s="113">
        <v>46066</v>
      </c>
      <c r="C657" s="4" t="s">
        <v>452</v>
      </c>
      <c r="D657" s="4" t="s">
        <v>4568</v>
      </c>
      <c r="E657" s="1" t="str">
        <f>_xlfn.XLOOKUP(tblSales[[#This Row],[Customer ID]],tblCustomers[Customer ID],tblCustomers[Customer Name],"⚠ Unknown")</f>
        <v>Walk-in Customer</v>
      </c>
      <c r="F657" s="4" t="s">
        <v>8</v>
      </c>
      <c r="G657" s="1" t="str">
        <f>_xlfn.XLOOKUP(tblSales[[#This Row],[Product Code]],tblProducts[Code],tblProducts[Product / Service Name],"⚠ Unknown")</f>
        <v>Casual Shorts</v>
      </c>
      <c r="H657" s="1" t="str">
        <f>_xlfn.XLOOKUP(tblSales[[#This Row],[Product Code]],tblProducts[Code],tblProducts[Category],"")</f>
        <v>Accessories &amp; Basics</v>
      </c>
      <c r="I657" s="4">
        <v>10</v>
      </c>
      <c r="J657" s="5">
        <f>_xlfn.XLOOKUP(tblSales[[#This Row],[Product Code]],tblProducts[Code],tblProducts[Selling Price (excl. VAT)],0)</f>
        <v>85000</v>
      </c>
      <c r="K657" s="5">
        <f>tblSales[[#This Row],[Qty]]*tblSales[[#This Row],[Unit Price]]</f>
        <v>850000</v>
      </c>
      <c r="L657" s="5">
        <f>ROUND(tblSales[[#This Row],[DPP (excl. VAT)]]*VATEff,0)</f>
        <v>93500</v>
      </c>
      <c r="M657" s="5">
        <f>tblSales[[#This Row],[DPP (excl. VAT)]]+tblSales[[#This Row],[Output VAT]]</f>
        <v>943500</v>
      </c>
      <c r="N657" s="5">
        <f>tblSales[[#This Row],[Qty]]*_xlfn.XLOOKUP(tblSales[[#This Row],[Product Code]],tblProducts[Code],tblProducts[Unit Cost],0)</f>
        <v>500000</v>
      </c>
      <c r="O657" s="4" t="s">
        <v>4866</v>
      </c>
      <c r="P657" s="4" t="s">
        <v>4862</v>
      </c>
      <c r="Q657" s="1" t="str">
        <f>_xlfn.XLOOKUP(tblSales[[#This Row],[Channel Code]],tblChannels[Channel Code],tblChannels[Channel Name],"")</f>
        <v>Website &amp; Social Media</v>
      </c>
      <c r="R657" s="1">
        <f>MONTH(tblSales[[#This Row],[Date]])</f>
        <v>2</v>
      </c>
    </row>
    <row r="658" spans="2:18" x14ac:dyDescent="0.35">
      <c r="B658" s="113">
        <v>46066</v>
      </c>
      <c r="C658" s="4" t="s">
        <v>453</v>
      </c>
      <c r="D658" s="4" t="s">
        <v>4568</v>
      </c>
      <c r="E658" s="1" t="str">
        <f>_xlfn.XLOOKUP(tblSales[[#This Row],[Customer ID]],tblCustomers[Customer ID],tblCustomers[Customer Name],"⚠ Unknown")</f>
        <v>Walk-in Customer</v>
      </c>
      <c r="F658" s="4" t="s">
        <v>6</v>
      </c>
      <c r="G658" s="1" t="str">
        <f>_xlfn.XLOOKUP(tblSales[[#This Row],[Product Code]],tblProducts[Code],tblProducts[Product / Service Name],"⚠ Unknown")</f>
        <v>Socks &amp; Accessories</v>
      </c>
      <c r="H658" s="1" t="str">
        <f>_xlfn.XLOOKUP(tblSales[[#This Row],[Product Code]],tblProducts[Code],tblProducts[Category],"")</f>
        <v>Accessories &amp; Basics</v>
      </c>
      <c r="I658" s="4">
        <v>10</v>
      </c>
      <c r="J658" s="5">
        <f>_xlfn.XLOOKUP(tblSales[[#This Row],[Product Code]],tblProducts[Code],tblProducts[Selling Price (excl. VAT)],0)</f>
        <v>45000</v>
      </c>
      <c r="K658" s="5">
        <f>tblSales[[#This Row],[Qty]]*tblSales[[#This Row],[Unit Price]]</f>
        <v>450000</v>
      </c>
      <c r="L658" s="5">
        <f>ROUND(tblSales[[#This Row],[DPP (excl. VAT)]]*VATEff,0)</f>
        <v>49500</v>
      </c>
      <c r="M658" s="5">
        <f>tblSales[[#This Row],[DPP (excl. VAT)]]+tblSales[[#This Row],[Output VAT]]</f>
        <v>499500</v>
      </c>
      <c r="N658" s="5">
        <f>tblSales[[#This Row],[Qty]]*_xlfn.XLOOKUP(tblSales[[#This Row],[Product Code]],tblProducts[Code],tblProducts[Unit Cost],0)</f>
        <v>240000</v>
      </c>
      <c r="O658" s="4" t="s">
        <v>4866</v>
      </c>
      <c r="P658" s="4" t="s">
        <v>4860</v>
      </c>
      <c r="Q658" s="1" t="str">
        <f>_xlfn.XLOOKUP(tblSales[[#This Row],[Channel Code]],tblChannels[Channel Code],tblChannels[Channel Name],"")</f>
        <v>In-store</v>
      </c>
      <c r="R658" s="1">
        <f>MONTH(tblSales[[#This Row],[Date]])</f>
        <v>2</v>
      </c>
    </row>
    <row r="659" spans="2:18" x14ac:dyDescent="0.35">
      <c r="B659" s="113">
        <v>46066</v>
      </c>
      <c r="C659" s="4" t="s">
        <v>453</v>
      </c>
      <c r="D659" s="4" t="s">
        <v>4568</v>
      </c>
      <c r="E659" s="1" t="str">
        <f>_xlfn.XLOOKUP(tblSales[[#This Row],[Customer ID]],tblCustomers[Customer ID],tblCustomers[Customer Name],"⚠ Unknown")</f>
        <v>Walk-in Customer</v>
      </c>
      <c r="F659" s="4" t="s">
        <v>13</v>
      </c>
      <c r="G659" s="1" t="str">
        <f>_xlfn.XLOOKUP(tblSales[[#This Row],[Product Code]],tblProducts[Code],tblProducts[Product / Service Name],"⚠ Unknown")</f>
        <v>Backpack</v>
      </c>
      <c r="H659" s="1" t="str">
        <f>_xlfn.XLOOKUP(tblSales[[#This Row],[Product Code]],tblProducts[Code],tblProducts[Category],"")</f>
        <v>Bags &amp; Gadgets</v>
      </c>
      <c r="I659" s="4">
        <v>5</v>
      </c>
      <c r="J659" s="5">
        <f>_xlfn.XLOOKUP(tblSales[[#This Row],[Product Code]],tblProducts[Code],tblProducts[Selling Price (excl. VAT)],0)</f>
        <v>500000</v>
      </c>
      <c r="K659" s="5">
        <f>tblSales[[#This Row],[Qty]]*tblSales[[#This Row],[Unit Price]]</f>
        <v>2500000</v>
      </c>
      <c r="L659" s="5">
        <f>ROUND(tblSales[[#This Row],[DPP (excl. VAT)]]*VATEff,0)</f>
        <v>275000</v>
      </c>
      <c r="M659" s="5">
        <f>tblSales[[#This Row],[DPP (excl. VAT)]]+tblSales[[#This Row],[Output VAT]]</f>
        <v>2775000</v>
      </c>
      <c r="N659" s="5">
        <f>tblSales[[#This Row],[Qty]]*_xlfn.XLOOKUP(tblSales[[#This Row],[Product Code]],tblProducts[Code],tblProducts[Unit Cost],0)</f>
        <v>1450000</v>
      </c>
      <c r="O659" s="4" t="s">
        <v>4866</v>
      </c>
      <c r="P659" s="4" t="s">
        <v>4860</v>
      </c>
      <c r="Q659" s="1" t="str">
        <f>_xlfn.XLOOKUP(tblSales[[#This Row],[Channel Code]],tblChannels[Channel Code],tblChannels[Channel Name],"")</f>
        <v>In-store</v>
      </c>
      <c r="R659" s="1">
        <f>MONTH(tblSales[[#This Row],[Date]])</f>
        <v>2</v>
      </c>
    </row>
    <row r="660" spans="2:18" x14ac:dyDescent="0.35">
      <c r="B660" s="113">
        <v>46066</v>
      </c>
      <c r="C660" s="4" t="s">
        <v>453</v>
      </c>
      <c r="D660" s="4" t="s">
        <v>4568</v>
      </c>
      <c r="E660" s="1" t="str">
        <f>_xlfn.XLOOKUP(tblSales[[#This Row],[Customer ID]],tblCustomers[Customer ID],tblCustomers[Customer Name],"⚠ Unknown")</f>
        <v>Walk-in Customer</v>
      </c>
      <c r="F660" s="4" t="s">
        <v>9</v>
      </c>
      <c r="G660" s="1" t="str">
        <f>_xlfn.XLOOKUP(tblSales[[#This Row],[Product Code]],tblProducts[Code],tblProducts[Product / Service Name],"⚠ Unknown")</f>
        <v>Casual Shirt</v>
      </c>
      <c r="H660" s="1" t="str">
        <f>_xlfn.XLOOKUP(tblSales[[#This Row],[Product Code]],tblProducts[Code],tblProducts[Category],"")</f>
        <v>Apparel &amp; Footwear</v>
      </c>
      <c r="I660" s="4">
        <v>11</v>
      </c>
      <c r="J660" s="5">
        <f>_xlfn.XLOOKUP(tblSales[[#This Row],[Product Code]],tblProducts[Code],tblProducts[Selling Price (excl. VAT)],0)</f>
        <v>120000</v>
      </c>
      <c r="K660" s="5">
        <f>tblSales[[#This Row],[Qty]]*tblSales[[#This Row],[Unit Price]]</f>
        <v>1320000</v>
      </c>
      <c r="L660" s="5">
        <f>ROUND(tblSales[[#This Row],[DPP (excl. VAT)]]*VATEff,0)</f>
        <v>145200</v>
      </c>
      <c r="M660" s="5">
        <f>tblSales[[#This Row],[DPP (excl. VAT)]]+tblSales[[#This Row],[Output VAT]]</f>
        <v>1465200</v>
      </c>
      <c r="N660" s="5">
        <f>tblSales[[#This Row],[Qty]]*_xlfn.XLOOKUP(tblSales[[#This Row],[Product Code]],tblProducts[Code],tblProducts[Unit Cost],0)</f>
        <v>792000</v>
      </c>
      <c r="O660" s="4" t="s">
        <v>4866</v>
      </c>
      <c r="P660" s="4" t="s">
        <v>4860</v>
      </c>
      <c r="Q660" s="1" t="str">
        <f>_xlfn.XLOOKUP(tblSales[[#This Row],[Channel Code]],tblChannels[Channel Code],tblChannels[Channel Name],"")</f>
        <v>In-store</v>
      </c>
      <c r="R660" s="1">
        <f>MONTH(tblSales[[#This Row],[Date]])</f>
        <v>2</v>
      </c>
    </row>
    <row r="661" spans="2:18" x14ac:dyDescent="0.35">
      <c r="B661" s="113">
        <v>46066</v>
      </c>
      <c r="C661" s="4" t="s">
        <v>454</v>
      </c>
      <c r="D661" s="4" t="s">
        <v>4634</v>
      </c>
      <c r="E661" s="1" t="str">
        <f>_xlfn.XLOOKUP(tblSales[[#This Row],[Customer ID]],tblCustomers[Customer ID],tblCustomers[Customer Name],"⚠ Unknown")</f>
        <v>PT Delta Inti Selaras</v>
      </c>
      <c r="F661" s="4" t="s">
        <v>6</v>
      </c>
      <c r="G661" s="1" t="str">
        <f>_xlfn.XLOOKUP(tblSales[[#This Row],[Product Code]],tblProducts[Code],tblProducts[Product / Service Name],"⚠ Unknown")</f>
        <v>Socks &amp; Accessories</v>
      </c>
      <c r="H661" s="1" t="str">
        <f>_xlfn.XLOOKUP(tblSales[[#This Row],[Product Code]],tblProducts[Code],tblProducts[Category],"")</f>
        <v>Accessories &amp; Basics</v>
      </c>
      <c r="I661" s="4">
        <v>64</v>
      </c>
      <c r="J661" s="5">
        <f>_xlfn.XLOOKUP(tblSales[[#This Row],[Product Code]],tblProducts[Code],tblProducts[Selling Price (excl. VAT)],0)</f>
        <v>45000</v>
      </c>
      <c r="K661" s="5">
        <f>tblSales[[#This Row],[Qty]]*tblSales[[#This Row],[Unit Price]]</f>
        <v>2880000</v>
      </c>
      <c r="L661" s="5">
        <f>ROUND(tblSales[[#This Row],[DPP (excl. VAT)]]*VATEff,0)</f>
        <v>316800</v>
      </c>
      <c r="M661" s="5">
        <f>tblSales[[#This Row],[DPP (excl. VAT)]]+tblSales[[#This Row],[Output VAT]]</f>
        <v>3196800</v>
      </c>
      <c r="N661" s="5">
        <f>tblSales[[#This Row],[Qty]]*_xlfn.XLOOKUP(tblSales[[#This Row],[Product Code]],tblProducts[Code],tblProducts[Unit Cost],0)</f>
        <v>1536000</v>
      </c>
      <c r="O661" s="4" t="s">
        <v>4867</v>
      </c>
      <c r="P661" s="4" t="s">
        <v>4860</v>
      </c>
      <c r="Q661" s="1" t="str">
        <f>_xlfn.XLOOKUP(tblSales[[#This Row],[Channel Code]],tblChannels[Channel Code],tblChannels[Channel Name],"")</f>
        <v>In-store</v>
      </c>
      <c r="R661" s="1">
        <f>MONTH(tblSales[[#This Row],[Date]])</f>
        <v>2</v>
      </c>
    </row>
    <row r="662" spans="2:18" x14ac:dyDescent="0.35">
      <c r="B662" s="113">
        <v>46066</v>
      </c>
      <c r="C662" s="4" t="s">
        <v>454</v>
      </c>
      <c r="D662" s="4" t="s">
        <v>4634</v>
      </c>
      <c r="E662" s="1" t="str">
        <f>_xlfn.XLOOKUP(tblSales[[#This Row],[Customer ID]],tblCustomers[Customer ID],tblCustomers[Customer Name],"⚠ Unknown")</f>
        <v>PT Delta Inti Selaras</v>
      </c>
      <c r="F662" s="4" t="s">
        <v>10</v>
      </c>
      <c r="G662" s="1" t="str">
        <f>_xlfn.XLOOKUP(tblSales[[#This Row],[Product Code]],tblProducts[Code],tblProducts[Product / Service Name],"⚠ Unknown")</f>
        <v>Chino Pants</v>
      </c>
      <c r="H662" s="1" t="str">
        <f>_xlfn.XLOOKUP(tblSales[[#This Row],[Product Code]],tblProducts[Code],tblProducts[Category],"")</f>
        <v>Apparel &amp; Footwear</v>
      </c>
      <c r="I662" s="4">
        <v>64</v>
      </c>
      <c r="J662" s="5">
        <f>_xlfn.XLOOKUP(tblSales[[#This Row],[Product Code]],tblProducts[Code],tblProducts[Selling Price (excl. VAT)],0)</f>
        <v>150000</v>
      </c>
      <c r="K662" s="5">
        <f>tblSales[[#This Row],[Qty]]*tblSales[[#This Row],[Unit Price]]</f>
        <v>9600000</v>
      </c>
      <c r="L662" s="5">
        <f>ROUND(tblSales[[#This Row],[DPP (excl. VAT)]]*VATEff,0)</f>
        <v>1056000</v>
      </c>
      <c r="M662" s="5">
        <f>tblSales[[#This Row],[DPP (excl. VAT)]]+tblSales[[#This Row],[Output VAT]]</f>
        <v>10656000</v>
      </c>
      <c r="N662" s="5">
        <f>tblSales[[#This Row],[Qty]]*_xlfn.XLOOKUP(tblSales[[#This Row],[Product Code]],tblProducts[Code],tblProducts[Unit Cost],0)</f>
        <v>5632000</v>
      </c>
      <c r="O662" s="4" t="s">
        <v>4867</v>
      </c>
      <c r="P662" s="4" t="s">
        <v>4860</v>
      </c>
      <c r="Q662" s="1" t="str">
        <f>_xlfn.XLOOKUP(tblSales[[#This Row],[Channel Code]],tblChannels[Channel Code],tblChannels[Channel Name],"")</f>
        <v>In-store</v>
      </c>
      <c r="R662" s="1">
        <f>MONTH(tblSales[[#This Row],[Date]])</f>
        <v>2</v>
      </c>
    </row>
    <row r="663" spans="2:18" x14ac:dyDescent="0.35">
      <c r="B663" s="113">
        <v>46066</v>
      </c>
      <c r="C663" s="4" t="s">
        <v>455</v>
      </c>
      <c r="D663" s="4" t="s">
        <v>4568</v>
      </c>
      <c r="E663" s="1" t="str">
        <f>_xlfn.XLOOKUP(tblSales[[#This Row],[Customer ID]],tblCustomers[Customer ID],tblCustomers[Customer Name],"⚠ Unknown")</f>
        <v>Walk-in Customer</v>
      </c>
      <c r="F663" s="4" t="s">
        <v>13</v>
      </c>
      <c r="G663" s="1" t="str">
        <f>_xlfn.XLOOKUP(tblSales[[#This Row],[Product Code]],tblProducts[Code],tblProducts[Product / Service Name],"⚠ Unknown")</f>
        <v>Backpack</v>
      </c>
      <c r="H663" s="1" t="str">
        <f>_xlfn.XLOOKUP(tblSales[[#This Row],[Product Code]],tblProducts[Code],tblProducts[Category],"")</f>
        <v>Bags &amp; Gadgets</v>
      </c>
      <c r="I663" s="4">
        <v>1</v>
      </c>
      <c r="J663" s="5">
        <f>_xlfn.XLOOKUP(tblSales[[#This Row],[Product Code]],tblProducts[Code],tblProducts[Selling Price (excl. VAT)],0)</f>
        <v>500000</v>
      </c>
      <c r="K663" s="5">
        <f>tblSales[[#This Row],[Qty]]*tblSales[[#This Row],[Unit Price]]</f>
        <v>500000</v>
      </c>
      <c r="L663" s="5">
        <f>ROUND(tblSales[[#This Row],[DPP (excl. VAT)]]*VATEff,0)</f>
        <v>55000</v>
      </c>
      <c r="M663" s="5">
        <f>tblSales[[#This Row],[DPP (excl. VAT)]]+tblSales[[#This Row],[Output VAT]]</f>
        <v>555000</v>
      </c>
      <c r="N663" s="5">
        <f>tblSales[[#This Row],[Qty]]*_xlfn.XLOOKUP(tblSales[[#This Row],[Product Code]],tblProducts[Code],tblProducts[Unit Cost],0)</f>
        <v>290000</v>
      </c>
      <c r="O663" s="4" t="s">
        <v>4865</v>
      </c>
      <c r="P663" s="4" t="s">
        <v>4860</v>
      </c>
      <c r="Q663" s="1" t="str">
        <f>_xlfn.XLOOKUP(tblSales[[#This Row],[Channel Code]],tblChannels[Channel Code],tblChannels[Channel Name],"")</f>
        <v>In-store</v>
      </c>
      <c r="R663" s="1">
        <f>MONTH(tblSales[[#This Row],[Date]])</f>
        <v>2</v>
      </c>
    </row>
    <row r="664" spans="2:18" x14ac:dyDescent="0.35">
      <c r="B664" s="113">
        <v>46066</v>
      </c>
      <c r="C664" s="4" t="s">
        <v>455</v>
      </c>
      <c r="D664" s="4" t="s">
        <v>4568</v>
      </c>
      <c r="E664" s="1" t="str">
        <f>_xlfn.XLOOKUP(tblSales[[#This Row],[Customer ID]],tblCustomers[Customer ID],tblCustomers[Customer Name],"⚠ Unknown")</f>
        <v>Walk-in Customer</v>
      </c>
      <c r="F664" s="4" t="s">
        <v>7</v>
      </c>
      <c r="G664" s="1" t="str">
        <f>_xlfn.XLOOKUP(tblSales[[#This Row],[Product Code]],tblProducts[Code],tblProducts[Product / Service Name],"⚠ Unknown")</f>
        <v>Premium Basic T-shirt</v>
      </c>
      <c r="H664" s="1" t="str">
        <f>_xlfn.XLOOKUP(tblSales[[#This Row],[Product Code]],tblProducts[Code],tblProducts[Category],"")</f>
        <v>Accessories &amp; Basics</v>
      </c>
      <c r="I664" s="4">
        <v>9</v>
      </c>
      <c r="J664" s="5">
        <f>_xlfn.XLOOKUP(tblSales[[#This Row],[Product Code]],tblProducts[Code],tblProducts[Selling Price (excl. VAT)],0)</f>
        <v>65000</v>
      </c>
      <c r="K664" s="5">
        <f>tblSales[[#This Row],[Qty]]*tblSales[[#This Row],[Unit Price]]</f>
        <v>585000</v>
      </c>
      <c r="L664" s="5">
        <f>ROUND(tblSales[[#This Row],[DPP (excl. VAT)]]*VATEff,0)</f>
        <v>64350</v>
      </c>
      <c r="M664" s="5">
        <f>tblSales[[#This Row],[DPP (excl. VAT)]]+tblSales[[#This Row],[Output VAT]]</f>
        <v>649350</v>
      </c>
      <c r="N664" s="5">
        <f>tblSales[[#This Row],[Qty]]*_xlfn.XLOOKUP(tblSales[[#This Row],[Product Code]],tblProducts[Code],tblProducts[Unit Cost],0)</f>
        <v>333000</v>
      </c>
      <c r="O664" s="4" t="s">
        <v>4865</v>
      </c>
      <c r="P664" s="4" t="s">
        <v>4860</v>
      </c>
      <c r="Q664" s="1" t="str">
        <f>_xlfn.XLOOKUP(tblSales[[#This Row],[Channel Code]],tblChannels[Channel Code],tblChannels[Channel Name],"")</f>
        <v>In-store</v>
      </c>
      <c r="R664" s="1">
        <f>MONTH(tblSales[[#This Row],[Date]])</f>
        <v>2</v>
      </c>
    </row>
    <row r="665" spans="2:18" x14ac:dyDescent="0.35">
      <c r="B665" s="113">
        <v>46066</v>
      </c>
      <c r="C665" s="4" t="s">
        <v>455</v>
      </c>
      <c r="D665" s="4" t="s">
        <v>4568</v>
      </c>
      <c r="E665" s="1" t="str">
        <f>_xlfn.XLOOKUP(tblSales[[#This Row],[Customer ID]],tblCustomers[Customer ID],tblCustomers[Customer Name],"⚠ Unknown")</f>
        <v>Walk-in Customer</v>
      </c>
      <c r="F665" s="4" t="s">
        <v>11</v>
      </c>
      <c r="G665" s="1" t="str">
        <f>_xlfn.XLOOKUP(tblSales[[#This Row],[Product Code]],tblProducts[Code],tblProducts[Product / Service Name],"⚠ Unknown")</f>
        <v>Sneakers</v>
      </c>
      <c r="H665" s="1" t="str">
        <f>_xlfn.XLOOKUP(tblSales[[#This Row],[Product Code]],tblProducts[Code],tblProducts[Category],"")</f>
        <v>Apparel &amp; Footwear</v>
      </c>
      <c r="I665" s="4">
        <v>4</v>
      </c>
      <c r="J665" s="5">
        <f>_xlfn.XLOOKUP(tblSales[[#This Row],[Product Code]],tblProducts[Code],tblProducts[Selling Price (excl. VAT)],0)</f>
        <v>250000</v>
      </c>
      <c r="K665" s="5">
        <f>tblSales[[#This Row],[Qty]]*tblSales[[#This Row],[Unit Price]]</f>
        <v>1000000</v>
      </c>
      <c r="L665" s="5">
        <f>ROUND(tblSales[[#This Row],[DPP (excl. VAT)]]*VATEff,0)</f>
        <v>110000</v>
      </c>
      <c r="M665" s="5">
        <f>tblSales[[#This Row],[DPP (excl. VAT)]]+tblSales[[#This Row],[Output VAT]]</f>
        <v>1110000</v>
      </c>
      <c r="N665" s="5">
        <f>tblSales[[#This Row],[Qty]]*_xlfn.XLOOKUP(tblSales[[#This Row],[Product Code]],tblProducts[Code],tblProducts[Unit Cost],0)</f>
        <v>620000</v>
      </c>
      <c r="O665" s="4" t="s">
        <v>4865</v>
      </c>
      <c r="P665" s="4" t="s">
        <v>4860</v>
      </c>
      <c r="Q665" s="1" t="str">
        <f>_xlfn.XLOOKUP(tblSales[[#This Row],[Channel Code]],tblChannels[Channel Code],tblChannels[Channel Name],"")</f>
        <v>In-store</v>
      </c>
      <c r="R665" s="1">
        <f>MONTH(tblSales[[#This Row],[Date]])</f>
        <v>2</v>
      </c>
    </row>
    <row r="666" spans="2:18" x14ac:dyDescent="0.35">
      <c r="B666" s="113">
        <v>46066</v>
      </c>
      <c r="C666" s="4" t="s">
        <v>456</v>
      </c>
      <c r="D666" s="4" t="s">
        <v>4641</v>
      </c>
      <c r="E666" s="1" t="str">
        <f>_xlfn.XLOOKUP(tblSales[[#This Row],[Customer ID]],tblCustomers[Customer ID],tblCustomers[Customer Name],"⚠ Unknown")</f>
        <v>PT Harmoni Pangan Lestari</v>
      </c>
      <c r="F666" s="4" t="s">
        <v>14</v>
      </c>
      <c r="G666" s="1" t="str">
        <f>_xlfn.XLOOKUP(tblSales[[#This Row],[Product Code]],tblProducts[Code],tblProducts[Product / Service Name],"⚠ Unknown")</f>
        <v>Smartwatch</v>
      </c>
      <c r="H666" s="1" t="str">
        <f>_xlfn.XLOOKUP(tblSales[[#This Row],[Product Code]],tblProducts[Code],tblProducts[Category],"")</f>
        <v>Bags &amp; Gadgets</v>
      </c>
      <c r="I666" s="4">
        <v>8</v>
      </c>
      <c r="J666" s="5">
        <f>_xlfn.XLOOKUP(tblSales[[#This Row],[Product Code]],tblProducts[Code],tblProducts[Selling Price (excl. VAT)],0)</f>
        <v>850000</v>
      </c>
      <c r="K666" s="5">
        <f>tblSales[[#This Row],[Qty]]*tblSales[[#This Row],[Unit Price]]</f>
        <v>6800000</v>
      </c>
      <c r="L666" s="5">
        <f>ROUND(tblSales[[#This Row],[DPP (excl. VAT)]]*VATEff,0)</f>
        <v>748000</v>
      </c>
      <c r="M666" s="5">
        <f>tblSales[[#This Row],[DPP (excl. VAT)]]+tblSales[[#This Row],[Output VAT]]</f>
        <v>7548000</v>
      </c>
      <c r="N666" s="5">
        <f>tblSales[[#This Row],[Qty]]*_xlfn.XLOOKUP(tblSales[[#This Row],[Product Code]],tblProducts[Code],tblProducts[Unit Cost],0)</f>
        <v>4480000</v>
      </c>
      <c r="O666" s="4" t="s">
        <v>4867</v>
      </c>
      <c r="P666" s="4" t="s">
        <v>4860</v>
      </c>
      <c r="Q666" s="1" t="str">
        <f>_xlfn.XLOOKUP(tblSales[[#This Row],[Channel Code]],tblChannels[Channel Code],tblChannels[Channel Name],"")</f>
        <v>In-store</v>
      </c>
      <c r="R666" s="1">
        <f>MONTH(tblSales[[#This Row],[Date]])</f>
        <v>2</v>
      </c>
    </row>
    <row r="667" spans="2:18" x14ac:dyDescent="0.35">
      <c r="B667" s="113">
        <v>46066</v>
      </c>
      <c r="C667" s="4" t="s">
        <v>456</v>
      </c>
      <c r="D667" s="4" t="s">
        <v>4641</v>
      </c>
      <c r="E667" s="1" t="str">
        <f>_xlfn.XLOOKUP(tblSales[[#This Row],[Customer ID]],tblCustomers[Customer ID],tblCustomers[Customer Name],"⚠ Unknown")</f>
        <v>PT Harmoni Pangan Lestari</v>
      </c>
      <c r="F667" s="4" t="s">
        <v>12</v>
      </c>
      <c r="G667" s="1" t="str">
        <f>_xlfn.XLOOKUP(tblSales[[#This Row],[Product Code]],tblProducts[Code],tblProducts[Product / Service Name],"⚠ Unknown")</f>
        <v>Bomber Jacket</v>
      </c>
      <c r="H667" s="1" t="str">
        <f>_xlfn.XLOOKUP(tblSales[[#This Row],[Product Code]],tblProducts[Code],tblProducts[Category],"")</f>
        <v>Apparel &amp; Footwear</v>
      </c>
      <c r="I667" s="4">
        <v>8</v>
      </c>
      <c r="J667" s="5">
        <f>_xlfn.XLOOKUP(tblSales[[#This Row],[Product Code]],tblProducts[Code],tblProducts[Selling Price (excl. VAT)],0)</f>
        <v>350000</v>
      </c>
      <c r="K667" s="5">
        <f>tblSales[[#This Row],[Qty]]*tblSales[[#This Row],[Unit Price]]</f>
        <v>2800000</v>
      </c>
      <c r="L667" s="5">
        <f>ROUND(tblSales[[#This Row],[DPP (excl. VAT)]]*VATEff,0)</f>
        <v>308000</v>
      </c>
      <c r="M667" s="5">
        <f>tblSales[[#This Row],[DPP (excl. VAT)]]+tblSales[[#This Row],[Output VAT]]</f>
        <v>3108000</v>
      </c>
      <c r="N667" s="5">
        <f>tblSales[[#This Row],[Qty]]*_xlfn.XLOOKUP(tblSales[[#This Row],[Product Code]],tblProducts[Code],tblProducts[Unit Cost],0)</f>
        <v>1680000</v>
      </c>
      <c r="O667" s="4" t="s">
        <v>4867</v>
      </c>
      <c r="P667" s="4" t="s">
        <v>4860</v>
      </c>
      <c r="Q667" s="1" t="str">
        <f>_xlfn.XLOOKUP(tblSales[[#This Row],[Channel Code]],tblChannels[Channel Code],tblChannels[Channel Name],"")</f>
        <v>In-store</v>
      </c>
      <c r="R667" s="1">
        <f>MONTH(tblSales[[#This Row],[Date]])</f>
        <v>2</v>
      </c>
    </row>
    <row r="668" spans="2:18" x14ac:dyDescent="0.35">
      <c r="B668" s="113">
        <v>46066</v>
      </c>
      <c r="C668" s="4" t="s">
        <v>457</v>
      </c>
      <c r="D668" s="4" t="s">
        <v>4568</v>
      </c>
      <c r="E668" s="1" t="str">
        <f>_xlfn.XLOOKUP(tblSales[[#This Row],[Customer ID]],tblCustomers[Customer ID],tblCustomers[Customer Name],"⚠ Unknown")</f>
        <v>Walk-in Customer</v>
      </c>
      <c r="F668" s="4" t="s">
        <v>8</v>
      </c>
      <c r="G668" s="1" t="str">
        <f>_xlfn.XLOOKUP(tblSales[[#This Row],[Product Code]],tblProducts[Code],tblProducts[Product / Service Name],"⚠ Unknown")</f>
        <v>Casual Shorts</v>
      </c>
      <c r="H668" s="1" t="str">
        <f>_xlfn.XLOOKUP(tblSales[[#This Row],[Product Code]],tblProducts[Code],tblProducts[Category],"")</f>
        <v>Accessories &amp; Basics</v>
      </c>
      <c r="I668" s="4">
        <v>11</v>
      </c>
      <c r="J668" s="5">
        <f>_xlfn.XLOOKUP(tblSales[[#This Row],[Product Code]],tblProducts[Code],tblProducts[Selling Price (excl. VAT)],0)</f>
        <v>85000</v>
      </c>
      <c r="K668" s="5">
        <f>tblSales[[#This Row],[Qty]]*tblSales[[#This Row],[Unit Price]]</f>
        <v>935000</v>
      </c>
      <c r="L668" s="5">
        <f>ROUND(tblSales[[#This Row],[DPP (excl. VAT)]]*VATEff,0)</f>
        <v>102850</v>
      </c>
      <c r="M668" s="5">
        <f>tblSales[[#This Row],[DPP (excl. VAT)]]+tblSales[[#This Row],[Output VAT]]</f>
        <v>1037850</v>
      </c>
      <c r="N668" s="5">
        <f>tblSales[[#This Row],[Qty]]*_xlfn.XLOOKUP(tblSales[[#This Row],[Product Code]],tblProducts[Code],tblProducts[Unit Cost],0)</f>
        <v>550000</v>
      </c>
      <c r="O668" s="4" t="s">
        <v>4866</v>
      </c>
      <c r="P668" s="4" t="s">
        <v>4862</v>
      </c>
      <c r="Q668" s="1" t="str">
        <f>_xlfn.XLOOKUP(tblSales[[#This Row],[Channel Code]],tblChannels[Channel Code],tblChannels[Channel Name],"")</f>
        <v>Website &amp; Social Media</v>
      </c>
      <c r="R668" s="1">
        <f>MONTH(tblSales[[#This Row],[Date]])</f>
        <v>2</v>
      </c>
    </row>
    <row r="669" spans="2:18" x14ac:dyDescent="0.35">
      <c r="B669" s="113">
        <v>46066</v>
      </c>
      <c r="C669" s="4" t="s">
        <v>458</v>
      </c>
      <c r="D669" s="4" t="s">
        <v>4568</v>
      </c>
      <c r="E669" s="1" t="str">
        <f>_xlfn.XLOOKUP(tblSales[[#This Row],[Customer ID]],tblCustomers[Customer ID],tblCustomers[Customer Name],"⚠ Unknown")</f>
        <v>Walk-in Customer</v>
      </c>
      <c r="F669" s="4" t="s">
        <v>9</v>
      </c>
      <c r="G669" s="1" t="str">
        <f>_xlfn.XLOOKUP(tblSales[[#This Row],[Product Code]],tblProducts[Code],tblProducts[Product / Service Name],"⚠ Unknown")</f>
        <v>Casual Shirt</v>
      </c>
      <c r="H669" s="1" t="str">
        <f>_xlfn.XLOOKUP(tblSales[[#This Row],[Product Code]],tblProducts[Code],tblProducts[Category],"")</f>
        <v>Apparel &amp; Footwear</v>
      </c>
      <c r="I669" s="4">
        <v>12</v>
      </c>
      <c r="J669" s="5">
        <f>_xlfn.XLOOKUP(tblSales[[#This Row],[Product Code]],tblProducts[Code],tblProducts[Selling Price (excl. VAT)],0)</f>
        <v>120000</v>
      </c>
      <c r="K669" s="5">
        <f>tblSales[[#This Row],[Qty]]*tblSales[[#This Row],[Unit Price]]</f>
        <v>1440000</v>
      </c>
      <c r="L669" s="5">
        <f>ROUND(tblSales[[#This Row],[DPP (excl. VAT)]]*VATEff,0)</f>
        <v>158400</v>
      </c>
      <c r="M669" s="5">
        <f>tblSales[[#This Row],[DPP (excl. VAT)]]+tblSales[[#This Row],[Output VAT]]</f>
        <v>1598400</v>
      </c>
      <c r="N669" s="5">
        <f>tblSales[[#This Row],[Qty]]*_xlfn.XLOOKUP(tblSales[[#This Row],[Product Code]],tblProducts[Code],tblProducts[Unit Cost],0)</f>
        <v>864000</v>
      </c>
      <c r="O669" s="4" t="s">
        <v>4865</v>
      </c>
      <c r="P669" s="4" t="s">
        <v>4860</v>
      </c>
      <c r="Q669" s="1" t="str">
        <f>_xlfn.XLOOKUP(tblSales[[#This Row],[Channel Code]],tblChannels[Channel Code],tblChannels[Channel Name],"")</f>
        <v>In-store</v>
      </c>
      <c r="R669" s="1">
        <f>MONTH(tblSales[[#This Row],[Date]])</f>
        <v>2</v>
      </c>
    </row>
    <row r="670" spans="2:18" x14ac:dyDescent="0.35">
      <c r="B670" s="113">
        <v>46066</v>
      </c>
      <c r="C670" s="4" t="s">
        <v>458</v>
      </c>
      <c r="D670" s="4" t="s">
        <v>4568</v>
      </c>
      <c r="E670" s="1" t="str">
        <f>_xlfn.XLOOKUP(tblSales[[#This Row],[Customer ID]],tblCustomers[Customer ID],tblCustomers[Customer Name],"⚠ Unknown")</f>
        <v>Walk-in Customer</v>
      </c>
      <c r="F670" s="4" t="s">
        <v>7</v>
      </c>
      <c r="G670" s="1" t="str">
        <f>_xlfn.XLOOKUP(tblSales[[#This Row],[Product Code]],tblProducts[Code],tblProducts[Product / Service Name],"⚠ Unknown")</f>
        <v>Premium Basic T-shirt</v>
      </c>
      <c r="H670" s="1" t="str">
        <f>_xlfn.XLOOKUP(tblSales[[#This Row],[Product Code]],tblProducts[Code],tblProducts[Category],"")</f>
        <v>Accessories &amp; Basics</v>
      </c>
      <c r="I670" s="4">
        <v>5</v>
      </c>
      <c r="J670" s="5">
        <f>_xlfn.XLOOKUP(tblSales[[#This Row],[Product Code]],tblProducts[Code],tblProducts[Selling Price (excl. VAT)],0)</f>
        <v>65000</v>
      </c>
      <c r="K670" s="5">
        <f>tblSales[[#This Row],[Qty]]*tblSales[[#This Row],[Unit Price]]</f>
        <v>325000</v>
      </c>
      <c r="L670" s="5">
        <f>ROUND(tblSales[[#This Row],[DPP (excl. VAT)]]*VATEff,0)</f>
        <v>35750</v>
      </c>
      <c r="M670" s="5">
        <f>tblSales[[#This Row],[DPP (excl. VAT)]]+tblSales[[#This Row],[Output VAT]]</f>
        <v>360750</v>
      </c>
      <c r="N670" s="5">
        <f>tblSales[[#This Row],[Qty]]*_xlfn.XLOOKUP(tblSales[[#This Row],[Product Code]],tblProducts[Code],tblProducts[Unit Cost],0)</f>
        <v>185000</v>
      </c>
      <c r="O670" s="4" t="s">
        <v>4865</v>
      </c>
      <c r="P670" s="4" t="s">
        <v>4860</v>
      </c>
      <c r="Q670" s="1" t="str">
        <f>_xlfn.XLOOKUP(tblSales[[#This Row],[Channel Code]],tblChannels[Channel Code],tblChannels[Channel Name],"")</f>
        <v>In-store</v>
      </c>
      <c r="R670" s="1">
        <f>MONTH(tblSales[[#This Row],[Date]])</f>
        <v>2</v>
      </c>
    </row>
    <row r="671" spans="2:18" x14ac:dyDescent="0.35">
      <c r="B671" s="113">
        <v>46067</v>
      </c>
      <c r="C671" s="4" t="s">
        <v>459</v>
      </c>
      <c r="D671" s="4" t="s">
        <v>4568</v>
      </c>
      <c r="E671" s="1" t="str">
        <f>_xlfn.XLOOKUP(tblSales[[#This Row],[Customer ID]],tblCustomers[Customer ID],tblCustomers[Customer Name],"⚠ Unknown")</f>
        <v>Walk-in Customer</v>
      </c>
      <c r="F671" s="4" t="s">
        <v>12</v>
      </c>
      <c r="G671" s="1" t="str">
        <f>_xlfn.XLOOKUP(tblSales[[#This Row],[Product Code]],tblProducts[Code],tblProducts[Product / Service Name],"⚠ Unknown")</f>
        <v>Bomber Jacket</v>
      </c>
      <c r="H671" s="1" t="str">
        <f>_xlfn.XLOOKUP(tblSales[[#This Row],[Product Code]],tblProducts[Code],tblProducts[Category],"")</f>
        <v>Apparel &amp; Footwear</v>
      </c>
      <c r="I671" s="4">
        <v>4</v>
      </c>
      <c r="J671" s="5">
        <f>_xlfn.XLOOKUP(tblSales[[#This Row],[Product Code]],tblProducts[Code],tblProducts[Selling Price (excl. VAT)],0)</f>
        <v>350000</v>
      </c>
      <c r="K671" s="5">
        <f>tblSales[[#This Row],[Qty]]*tblSales[[#This Row],[Unit Price]]</f>
        <v>1400000</v>
      </c>
      <c r="L671" s="5">
        <f>ROUND(tblSales[[#This Row],[DPP (excl. VAT)]]*VATEff,0)</f>
        <v>154000</v>
      </c>
      <c r="M671" s="5">
        <f>tblSales[[#This Row],[DPP (excl. VAT)]]+tblSales[[#This Row],[Output VAT]]</f>
        <v>1554000</v>
      </c>
      <c r="N671" s="5">
        <f>tblSales[[#This Row],[Qty]]*_xlfn.XLOOKUP(tblSales[[#This Row],[Product Code]],tblProducts[Code],tblProducts[Unit Cost],0)</f>
        <v>840000</v>
      </c>
      <c r="O671" s="4" t="s">
        <v>4866</v>
      </c>
      <c r="P671" s="4" t="s">
        <v>4860</v>
      </c>
      <c r="Q671" s="1" t="str">
        <f>_xlfn.XLOOKUP(tblSales[[#This Row],[Channel Code]],tblChannels[Channel Code],tblChannels[Channel Name],"")</f>
        <v>In-store</v>
      </c>
      <c r="R671" s="1">
        <f>MONTH(tblSales[[#This Row],[Date]])</f>
        <v>2</v>
      </c>
    </row>
    <row r="672" spans="2:18" x14ac:dyDescent="0.35">
      <c r="B672" s="113">
        <v>46067</v>
      </c>
      <c r="C672" s="4" t="s">
        <v>460</v>
      </c>
      <c r="D672" s="4" t="s">
        <v>4568</v>
      </c>
      <c r="E672" s="1" t="str">
        <f>_xlfn.XLOOKUP(tblSales[[#This Row],[Customer ID]],tblCustomers[Customer ID],tblCustomers[Customer Name],"⚠ Unknown")</f>
        <v>Walk-in Customer</v>
      </c>
      <c r="F672" s="4" t="s">
        <v>9</v>
      </c>
      <c r="G672" s="1" t="str">
        <f>_xlfn.XLOOKUP(tblSales[[#This Row],[Product Code]],tblProducts[Code],tblProducts[Product / Service Name],"⚠ Unknown")</f>
        <v>Casual Shirt</v>
      </c>
      <c r="H672" s="1" t="str">
        <f>_xlfn.XLOOKUP(tblSales[[#This Row],[Product Code]],tblProducts[Code],tblProducts[Category],"")</f>
        <v>Apparel &amp; Footwear</v>
      </c>
      <c r="I672" s="4">
        <v>6</v>
      </c>
      <c r="J672" s="5">
        <f>_xlfn.XLOOKUP(tblSales[[#This Row],[Product Code]],tblProducts[Code],tblProducts[Selling Price (excl. VAT)],0)</f>
        <v>120000</v>
      </c>
      <c r="K672" s="5">
        <f>tblSales[[#This Row],[Qty]]*tblSales[[#This Row],[Unit Price]]</f>
        <v>720000</v>
      </c>
      <c r="L672" s="5">
        <f>ROUND(tblSales[[#This Row],[DPP (excl. VAT)]]*VATEff,0)</f>
        <v>79200</v>
      </c>
      <c r="M672" s="5">
        <f>tblSales[[#This Row],[DPP (excl. VAT)]]+tblSales[[#This Row],[Output VAT]]</f>
        <v>799200</v>
      </c>
      <c r="N672" s="5">
        <f>tblSales[[#This Row],[Qty]]*_xlfn.XLOOKUP(tblSales[[#This Row],[Product Code]],tblProducts[Code],tblProducts[Unit Cost],0)</f>
        <v>432000</v>
      </c>
      <c r="O672" s="4" t="s">
        <v>4866</v>
      </c>
      <c r="P672" s="4" t="s">
        <v>4860</v>
      </c>
      <c r="Q672" s="1" t="str">
        <f>_xlfn.XLOOKUP(tblSales[[#This Row],[Channel Code]],tblChannels[Channel Code],tblChannels[Channel Name],"")</f>
        <v>In-store</v>
      </c>
      <c r="R672" s="1">
        <f>MONTH(tblSales[[#This Row],[Date]])</f>
        <v>2</v>
      </c>
    </row>
    <row r="673" spans="2:18" x14ac:dyDescent="0.35">
      <c r="B673" s="113">
        <v>46067</v>
      </c>
      <c r="C673" s="4" t="s">
        <v>460</v>
      </c>
      <c r="D673" s="4" t="s">
        <v>4568</v>
      </c>
      <c r="E673" s="1" t="str">
        <f>_xlfn.XLOOKUP(tblSales[[#This Row],[Customer ID]],tblCustomers[Customer ID],tblCustomers[Customer Name],"⚠ Unknown")</f>
        <v>Walk-in Customer</v>
      </c>
      <c r="F673" s="4" t="s">
        <v>13</v>
      </c>
      <c r="G673" s="1" t="str">
        <f>_xlfn.XLOOKUP(tblSales[[#This Row],[Product Code]],tblProducts[Code],tblProducts[Product / Service Name],"⚠ Unknown")</f>
        <v>Backpack</v>
      </c>
      <c r="H673" s="1" t="str">
        <f>_xlfn.XLOOKUP(tblSales[[#This Row],[Product Code]],tblProducts[Code],tblProducts[Category],"")</f>
        <v>Bags &amp; Gadgets</v>
      </c>
      <c r="I673" s="4">
        <v>3</v>
      </c>
      <c r="J673" s="5">
        <f>_xlfn.XLOOKUP(tblSales[[#This Row],[Product Code]],tblProducts[Code],tblProducts[Selling Price (excl. VAT)],0)</f>
        <v>500000</v>
      </c>
      <c r="K673" s="5">
        <f>tblSales[[#This Row],[Qty]]*tblSales[[#This Row],[Unit Price]]</f>
        <v>1500000</v>
      </c>
      <c r="L673" s="5">
        <f>ROUND(tblSales[[#This Row],[DPP (excl. VAT)]]*VATEff,0)</f>
        <v>165000</v>
      </c>
      <c r="M673" s="5">
        <f>tblSales[[#This Row],[DPP (excl. VAT)]]+tblSales[[#This Row],[Output VAT]]</f>
        <v>1665000</v>
      </c>
      <c r="N673" s="5">
        <f>tblSales[[#This Row],[Qty]]*_xlfn.XLOOKUP(tblSales[[#This Row],[Product Code]],tblProducts[Code],tblProducts[Unit Cost],0)</f>
        <v>870000</v>
      </c>
      <c r="O673" s="4" t="s">
        <v>4866</v>
      </c>
      <c r="P673" s="4" t="s">
        <v>4860</v>
      </c>
      <c r="Q673" s="1" t="str">
        <f>_xlfn.XLOOKUP(tblSales[[#This Row],[Channel Code]],tblChannels[Channel Code],tblChannels[Channel Name],"")</f>
        <v>In-store</v>
      </c>
      <c r="R673" s="1">
        <f>MONTH(tblSales[[#This Row],[Date]])</f>
        <v>2</v>
      </c>
    </row>
    <row r="674" spans="2:18" x14ac:dyDescent="0.35">
      <c r="B674" s="113">
        <v>46067</v>
      </c>
      <c r="C674" s="4" t="s">
        <v>460</v>
      </c>
      <c r="D674" s="4" t="s">
        <v>4568</v>
      </c>
      <c r="E674" s="1" t="str">
        <f>_xlfn.XLOOKUP(tblSales[[#This Row],[Customer ID]],tblCustomers[Customer ID],tblCustomers[Customer Name],"⚠ Unknown")</f>
        <v>Walk-in Customer</v>
      </c>
      <c r="F674" s="4" t="s">
        <v>12</v>
      </c>
      <c r="G674" s="1" t="str">
        <f>_xlfn.XLOOKUP(tblSales[[#This Row],[Product Code]],tblProducts[Code],tblProducts[Product / Service Name],"⚠ Unknown")</f>
        <v>Bomber Jacket</v>
      </c>
      <c r="H674" s="1" t="str">
        <f>_xlfn.XLOOKUP(tblSales[[#This Row],[Product Code]],tblProducts[Code],tblProducts[Category],"")</f>
        <v>Apparel &amp; Footwear</v>
      </c>
      <c r="I674" s="4">
        <v>2</v>
      </c>
      <c r="J674" s="5">
        <f>_xlfn.XLOOKUP(tblSales[[#This Row],[Product Code]],tblProducts[Code],tblProducts[Selling Price (excl. VAT)],0)</f>
        <v>350000</v>
      </c>
      <c r="K674" s="5">
        <f>tblSales[[#This Row],[Qty]]*tblSales[[#This Row],[Unit Price]]</f>
        <v>700000</v>
      </c>
      <c r="L674" s="5">
        <f>ROUND(tblSales[[#This Row],[DPP (excl. VAT)]]*VATEff,0)</f>
        <v>77000</v>
      </c>
      <c r="M674" s="5">
        <f>tblSales[[#This Row],[DPP (excl. VAT)]]+tblSales[[#This Row],[Output VAT]]</f>
        <v>777000</v>
      </c>
      <c r="N674" s="5">
        <f>tblSales[[#This Row],[Qty]]*_xlfn.XLOOKUP(tblSales[[#This Row],[Product Code]],tblProducts[Code],tblProducts[Unit Cost],0)</f>
        <v>420000</v>
      </c>
      <c r="O674" s="4" t="s">
        <v>4866</v>
      </c>
      <c r="P674" s="4" t="s">
        <v>4860</v>
      </c>
      <c r="Q674" s="1" t="str">
        <f>_xlfn.XLOOKUP(tblSales[[#This Row],[Channel Code]],tblChannels[Channel Code],tblChannels[Channel Name],"")</f>
        <v>In-store</v>
      </c>
      <c r="R674" s="1">
        <f>MONTH(tblSales[[#This Row],[Date]])</f>
        <v>2</v>
      </c>
    </row>
    <row r="675" spans="2:18" x14ac:dyDescent="0.35">
      <c r="B675" s="113">
        <v>46067</v>
      </c>
      <c r="C675" s="4" t="s">
        <v>461</v>
      </c>
      <c r="D675" s="4" t="s">
        <v>4568</v>
      </c>
      <c r="E675" s="1" t="str">
        <f>_xlfn.XLOOKUP(tblSales[[#This Row],[Customer ID]],tblCustomers[Customer ID],tblCustomers[Customer Name],"⚠ Unknown")</f>
        <v>Walk-in Customer</v>
      </c>
      <c r="F675" s="4" t="s">
        <v>7</v>
      </c>
      <c r="G675" s="1" t="str">
        <f>_xlfn.XLOOKUP(tblSales[[#This Row],[Product Code]],tblProducts[Code],tblProducts[Product / Service Name],"⚠ Unknown")</f>
        <v>Premium Basic T-shirt</v>
      </c>
      <c r="H675" s="1" t="str">
        <f>_xlfn.XLOOKUP(tblSales[[#This Row],[Product Code]],tblProducts[Code],tblProducts[Category],"")</f>
        <v>Accessories &amp; Basics</v>
      </c>
      <c r="I675" s="4">
        <v>6</v>
      </c>
      <c r="J675" s="5">
        <f>_xlfn.XLOOKUP(tblSales[[#This Row],[Product Code]],tblProducts[Code],tblProducts[Selling Price (excl. VAT)],0)</f>
        <v>65000</v>
      </c>
      <c r="K675" s="5">
        <f>tblSales[[#This Row],[Qty]]*tblSales[[#This Row],[Unit Price]]</f>
        <v>390000</v>
      </c>
      <c r="L675" s="5">
        <f>ROUND(tblSales[[#This Row],[DPP (excl. VAT)]]*VATEff,0)</f>
        <v>42900</v>
      </c>
      <c r="M675" s="5">
        <f>tblSales[[#This Row],[DPP (excl. VAT)]]+tblSales[[#This Row],[Output VAT]]</f>
        <v>432900</v>
      </c>
      <c r="N675" s="5">
        <f>tblSales[[#This Row],[Qty]]*_xlfn.XLOOKUP(tblSales[[#This Row],[Product Code]],tblProducts[Code],tblProducts[Unit Cost],0)</f>
        <v>222000</v>
      </c>
      <c r="O675" s="4" t="s">
        <v>4866</v>
      </c>
      <c r="P675" s="4" t="s">
        <v>4861</v>
      </c>
      <c r="Q675" s="1" t="str">
        <f>_xlfn.XLOOKUP(tblSales[[#This Row],[Channel Code]],tblChannels[Channel Code],tblChannels[Channel Name],"")</f>
        <v>Marketplace</v>
      </c>
      <c r="R675" s="1">
        <f>MONTH(tblSales[[#This Row],[Date]])</f>
        <v>2</v>
      </c>
    </row>
    <row r="676" spans="2:18" x14ac:dyDescent="0.35">
      <c r="B676" s="113">
        <v>46067</v>
      </c>
      <c r="C676" s="4" t="s">
        <v>462</v>
      </c>
      <c r="D676" s="4" t="s">
        <v>4606</v>
      </c>
      <c r="E676" s="1" t="str">
        <f>_xlfn.XLOOKUP(tblSales[[#This Row],[Customer ID]],tblCustomers[Customer ID],tblCustomers[Customer Name],"⚠ Unknown")</f>
        <v>PT Arunika Digital Kreatif</v>
      </c>
      <c r="F676" s="4" t="s">
        <v>11</v>
      </c>
      <c r="G676" s="1" t="str">
        <f>_xlfn.XLOOKUP(tblSales[[#This Row],[Product Code]],tblProducts[Code],tblProducts[Product / Service Name],"⚠ Unknown")</f>
        <v>Sneakers</v>
      </c>
      <c r="H676" s="1" t="str">
        <f>_xlfn.XLOOKUP(tblSales[[#This Row],[Product Code]],tblProducts[Code],tblProducts[Category],"")</f>
        <v>Apparel &amp; Footwear</v>
      </c>
      <c r="I676" s="4">
        <v>40</v>
      </c>
      <c r="J676" s="5">
        <f>_xlfn.XLOOKUP(tblSales[[#This Row],[Product Code]],tblProducts[Code],tblProducts[Selling Price (excl. VAT)],0)</f>
        <v>250000</v>
      </c>
      <c r="K676" s="5">
        <f>tblSales[[#This Row],[Qty]]*tblSales[[#This Row],[Unit Price]]</f>
        <v>10000000</v>
      </c>
      <c r="L676" s="5">
        <f>ROUND(tblSales[[#This Row],[DPP (excl. VAT)]]*VATEff,0)</f>
        <v>1100000</v>
      </c>
      <c r="M676" s="5">
        <f>tblSales[[#This Row],[DPP (excl. VAT)]]+tblSales[[#This Row],[Output VAT]]</f>
        <v>11100000</v>
      </c>
      <c r="N676" s="5">
        <f>tblSales[[#This Row],[Qty]]*_xlfn.XLOOKUP(tblSales[[#This Row],[Product Code]],tblProducts[Code],tblProducts[Unit Cost],0)</f>
        <v>6200000</v>
      </c>
      <c r="O676" s="4" t="s">
        <v>4867</v>
      </c>
      <c r="P676" s="4" t="s">
        <v>4862</v>
      </c>
      <c r="Q676" s="1" t="str">
        <f>_xlfn.XLOOKUP(tblSales[[#This Row],[Channel Code]],tblChannels[Channel Code],tblChannels[Channel Name],"")</f>
        <v>Website &amp; Social Media</v>
      </c>
      <c r="R676" s="1">
        <f>MONTH(tblSales[[#This Row],[Date]])</f>
        <v>2</v>
      </c>
    </row>
    <row r="677" spans="2:18" x14ac:dyDescent="0.35">
      <c r="B677" s="113">
        <v>46067</v>
      </c>
      <c r="C677" s="4" t="s">
        <v>462</v>
      </c>
      <c r="D677" s="4" t="s">
        <v>4606</v>
      </c>
      <c r="E677" s="1" t="str">
        <f>_xlfn.XLOOKUP(tblSales[[#This Row],[Customer ID]],tblCustomers[Customer ID],tblCustomers[Customer Name],"⚠ Unknown")</f>
        <v>PT Arunika Digital Kreatif</v>
      </c>
      <c r="F677" s="4" t="s">
        <v>6</v>
      </c>
      <c r="G677" s="1" t="str">
        <f>_xlfn.XLOOKUP(tblSales[[#This Row],[Product Code]],tblProducts[Code],tblProducts[Product / Service Name],"⚠ Unknown")</f>
        <v>Socks &amp; Accessories</v>
      </c>
      <c r="H677" s="1" t="str">
        <f>_xlfn.XLOOKUP(tblSales[[#This Row],[Product Code]],tblProducts[Code],tblProducts[Category],"")</f>
        <v>Accessories &amp; Basics</v>
      </c>
      <c r="I677" s="4">
        <v>72</v>
      </c>
      <c r="J677" s="5">
        <f>_xlfn.XLOOKUP(tblSales[[#This Row],[Product Code]],tblProducts[Code],tblProducts[Selling Price (excl. VAT)],0)</f>
        <v>45000</v>
      </c>
      <c r="K677" s="5">
        <f>tblSales[[#This Row],[Qty]]*tblSales[[#This Row],[Unit Price]]</f>
        <v>3240000</v>
      </c>
      <c r="L677" s="5">
        <f>ROUND(tblSales[[#This Row],[DPP (excl. VAT)]]*VATEff,0)</f>
        <v>356400</v>
      </c>
      <c r="M677" s="5">
        <f>tblSales[[#This Row],[DPP (excl. VAT)]]+tblSales[[#This Row],[Output VAT]]</f>
        <v>3596400</v>
      </c>
      <c r="N677" s="5">
        <f>tblSales[[#This Row],[Qty]]*_xlfn.XLOOKUP(tblSales[[#This Row],[Product Code]],tblProducts[Code],tblProducts[Unit Cost],0)</f>
        <v>1728000</v>
      </c>
      <c r="O677" s="4" t="s">
        <v>4867</v>
      </c>
      <c r="P677" s="4" t="s">
        <v>4862</v>
      </c>
      <c r="Q677" s="1" t="str">
        <f>_xlfn.XLOOKUP(tblSales[[#This Row],[Channel Code]],tblChannels[Channel Code],tblChannels[Channel Name],"")</f>
        <v>Website &amp; Social Media</v>
      </c>
      <c r="R677" s="1">
        <f>MONTH(tblSales[[#This Row],[Date]])</f>
        <v>2</v>
      </c>
    </row>
    <row r="678" spans="2:18" x14ac:dyDescent="0.35">
      <c r="B678" s="113">
        <v>46067</v>
      </c>
      <c r="C678" s="4" t="s">
        <v>463</v>
      </c>
      <c r="D678" s="4" t="s">
        <v>4627</v>
      </c>
      <c r="E678" s="1" t="str">
        <f>_xlfn.XLOOKUP(tblSales[[#This Row],[Customer ID]],tblCustomers[Customer ID],tblCustomers[Customer Name],"⚠ Unknown")</f>
        <v>PT Kencana Wira Usaha</v>
      </c>
      <c r="F678" s="4" t="s">
        <v>8</v>
      </c>
      <c r="G678" s="1" t="str">
        <f>_xlfn.XLOOKUP(tblSales[[#This Row],[Product Code]],tblProducts[Code],tblProducts[Product / Service Name],"⚠ Unknown")</f>
        <v>Casual Shorts</v>
      </c>
      <c r="H678" s="1" t="str">
        <f>_xlfn.XLOOKUP(tblSales[[#This Row],[Product Code]],tblProducts[Code],tblProducts[Category],"")</f>
        <v>Accessories &amp; Basics</v>
      </c>
      <c r="I678" s="4">
        <v>16</v>
      </c>
      <c r="J678" s="5">
        <f>_xlfn.XLOOKUP(tblSales[[#This Row],[Product Code]],tblProducts[Code],tblProducts[Selling Price (excl. VAT)],0)</f>
        <v>85000</v>
      </c>
      <c r="K678" s="5">
        <f>tblSales[[#This Row],[Qty]]*tblSales[[#This Row],[Unit Price]]</f>
        <v>1360000</v>
      </c>
      <c r="L678" s="5">
        <f>ROUND(tblSales[[#This Row],[DPP (excl. VAT)]]*VATEff,0)</f>
        <v>149600</v>
      </c>
      <c r="M678" s="5">
        <f>tblSales[[#This Row],[DPP (excl. VAT)]]+tblSales[[#This Row],[Output VAT]]</f>
        <v>1509600</v>
      </c>
      <c r="N678" s="5">
        <f>tblSales[[#This Row],[Qty]]*_xlfn.XLOOKUP(tblSales[[#This Row],[Product Code]],tblProducts[Code],tblProducts[Unit Cost],0)</f>
        <v>800000</v>
      </c>
      <c r="O678" s="4" t="s">
        <v>4867</v>
      </c>
      <c r="P678" s="4" t="s">
        <v>4860</v>
      </c>
      <c r="Q678" s="1" t="str">
        <f>_xlfn.XLOOKUP(tblSales[[#This Row],[Channel Code]],tblChannels[Channel Code],tblChannels[Channel Name],"")</f>
        <v>In-store</v>
      </c>
      <c r="R678" s="1">
        <f>MONTH(tblSales[[#This Row],[Date]])</f>
        <v>2</v>
      </c>
    </row>
    <row r="679" spans="2:18" x14ac:dyDescent="0.35">
      <c r="B679" s="113">
        <v>46067</v>
      </c>
      <c r="C679" s="4" t="s">
        <v>463</v>
      </c>
      <c r="D679" s="4" t="s">
        <v>4627</v>
      </c>
      <c r="E679" s="1" t="str">
        <f>_xlfn.XLOOKUP(tblSales[[#This Row],[Customer ID]],tblCustomers[Customer ID],tblCustomers[Customer Name],"⚠ Unknown")</f>
        <v>PT Kencana Wira Usaha</v>
      </c>
      <c r="F679" s="4" t="s">
        <v>10</v>
      </c>
      <c r="G679" s="1" t="str">
        <f>_xlfn.XLOOKUP(tblSales[[#This Row],[Product Code]],tblProducts[Code],tblProducts[Product / Service Name],"⚠ Unknown")</f>
        <v>Chino Pants</v>
      </c>
      <c r="H679" s="1" t="str">
        <f>_xlfn.XLOOKUP(tblSales[[#This Row],[Product Code]],tblProducts[Code],tblProducts[Category],"")</f>
        <v>Apparel &amp; Footwear</v>
      </c>
      <c r="I679" s="4">
        <v>8</v>
      </c>
      <c r="J679" s="5">
        <f>_xlfn.XLOOKUP(tblSales[[#This Row],[Product Code]],tblProducts[Code],tblProducts[Selling Price (excl. VAT)],0)</f>
        <v>150000</v>
      </c>
      <c r="K679" s="5">
        <f>tblSales[[#This Row],[Qty]]*tblSales[[#This Row],[Unit Price]]</f>
        <v>1200000</v>
      </c>
      <c r="L679" s="5">
        <f>ROUND(tblSales[[#This Row],[DPP (excl. VAT)]]*VATEff,0)</f>
        <v>132000</v>
      </c>
      <c r="M679" s="5">
        <f>tblSales[[#This Row],[DPP (excl. VAT)]]+tblSales[[#This Row],[Output VAT]]</f>
        <v>1332000</v>
      </c>
      <c r="N679" s="5">
        <f>tblSales[[#This Row],[Qty]]*_xlfn.XLOOKUP(tblSales[[#This Row],[Product Code]],tblProducts[Code],tblProducts[Unit Cost],0)</f>
        <v>704000</v>
      </c>
      <c r="O679" s="4" t="s">
        <v>4867</v>
      </c>
      <c r="P679" s="4" t="s">
        <v>4860</v>
      </c>
      <c r="Q679" s="1" t="str">
        <f>_xlfn.XLOOKUP(tblSales[[#This Row],[Channel Code]],tblChannels[Channel Code],tblChannels[Channel Name],"")</f>
        <v>In-store</v>
      </c>
      <c r="R679" s="1">
        <f>MONTH(tblSales[[#This Row],[Date]])</f>
        <v>2</v>
      </c>
    </row>
    <row r="680" spans="2:18" x14ac:dyDescent="0.35">
      <c r="B680" s="113">
        <v>46067</v>
      </c>
      <c r="C680" s="4" t="s">
        <v>463</v>
      </c>
      <c r="D680" s="4" t="s">
        <v>4627</v>
      </c>
      <c r="E680" s="1" t="str">
        <f>_xlfn.XLOOKUP(tblSales[[#This Row],[Customer ID]],tblCustomers[Customer ID],tblCustomers[Customer Name],"⚠ Unknown")</f>
        <v>PT Kencana Wira Usaha</v>
      </c>
      <c r="F680" s="4" t="s">
        <v>7</v>
      </c>
      <c r="G680" s="1" t="str">
        <f>_xlfn.XLOOKUP(tblSales[[#This Row],[Product Code]],tblProducts[Code],tblProducts[Product / Service Name],"⚠ Unknown")</f>
        <v>Premium Basic T-shirt</v>
      </c>
      <c r="H680" s="1" t="str">
        <f>_xlfn.XLOOKUP(tblSales[[#This Row],[Product Code]],tblProducts[Code],tblProducts[Category],"")</f>
        <v>Accessories &amp; Basics</v>
      </c>
      <c r="I680" s="4">
        <v>24</v>
      </c>
      <c r="J680" s="5">
        <f>_xlfn.XLOOKUP(tblSales[[#This Row],[Product Code]],tblProducts[Code],tblProducts[Selling Price (excl. VAT)],0)</f>
        <v>65000</v>
      </c>
      <c r="K680" s="5">
        <f>tblSales[[#This Row],[Qty]]*tblSales[[#This Row],[Unit Price]]</f>
        <v>1560000</v>
      </c>
      <c r="L680" s="5">
        <f>ROUND(tblSales[[#This Row],[DPP (excl. VAT)]]*VATEff,0)</f>
        <v>171600</v>
      </c>
      <c r="M680" s="5">
        <f>tblSales[[#This Row],[DPP (excl. VAT)]]+tblSales[[#This Row],[Output VAT]]</f>
        <v>1731600</v>
      </c>
      <c r="N680" s="5">
        <f>tblSales[[#This Row],[Qty]]*_xlfn.XLOOKUP(tblSales[[#This Row],[Product Code]],tblProducts[Code],tblProducts[Unit Cost],0)</f>
        <v>888000</v>
      </c>
      <c r="O680" s="4" t="s">
        <v>4867</v>
      </c>
      <c r="P680" s="4" t="s">
        <v>4860</v>
      </c>
      <c r="Q680" s="1" t="str">
        <f>_xlfn.XLOOKUP(tblSales[[#This Row],[Channel Code]],tblChannels[Channel Code],tblChannels[Channel Name],"")</f>
        <v>In-store</v>
      </c>
      <c r="R680" s="1">
        <f>MONTH(tblSales[[#This Row],[Date]])</f>
        <v>2</v>
      </c>
    </row>
    <row r="681" spans="2:18" x14ac:dyDescent="0.35">
      <c r="B681" s="113">
        <v>46067</v>
      </c>
      <c r="C681" s="4" t="s">
        <v>464</v>
      </c>
      <c r="D681" s="4" t="s">
        <v>4568</v>
      </c>
      <c r="E681" s="1" t="str">
        <f>_xlfn.XLOOKUP(tblSales[[#This Row],[Customer ID]],tblCustomers[Customer ID],tblCustomers[Customer Name],"⚠ Unknown")</f>
        <v>Walk-in Customer</v>
      </c>
      <c r="F681" s="4" t="s">
        <v>11</v>
      </c>
      <c r="G681" s="1" t="str">
        <f>_xlfn.XLOOKUP(tblSales[[#This Row],[Product Code]],tblProducts[Code],tblProducts[Product / Service Name],"⚠ Unknown")</f>
        <v>Sneakers</v>
      </c>
      <c r="H681" s="1" t="str">
        <f>_xlfn.XLOOKUP(tblSales[[#This Row],[Product Code]],tblProducts[Code],tblProducts[Category],"")</f>
        <v>Apparel &amp; Footwear</v>
      </c>
      <c r="I681" s="4">
        <v>5</v>
      </c>
      <c r="J681" s="5">
        <f>_xlfn.XLOOKUP(tblSales[[#This Row],[Product Code]],tblProducts[Code],tblProducts[Selling Price (excl. VAT)],0)</f>
        <v>250000</v>
      </c>
      <c r="K681" s="5">
        <f>tblSales[[#This Row],[Qty]]*tblSales[[#This Row],[Unit Price]]</f>
        <v>1250000</v>
      </c>
      <c r="L681" s="5">
        <f>ROUND(tblSales[[#This Row],[DPP (excl. VAT)]]*VATEff,0)</f>
        <v>137500</v>
      </c>
      <c r="M681" s="5">
        <f>tblSales[[#This Row],[DPP (excl. VAT)]]+tblSales[[#This Row],[Output VAT]]</f>
        <v>1387500</v>
      </c>
      <c r="N681" s="5">
        <f>tblSales[[#This Row],[Qty]]*_xlfn.XLOOKUP(tblSales[[#This Row],[Product Code]],tblProducts[Code],tblProducts[Unit Cost],0)</f>
        <v>775000</v>
      </c>
      <c r="O681" s="4" t="s">
        <v>4866</v>
      </c>
      <c r="P681" s="4" t="s">
        <v>4860</v>
      </c>
      <c r="Q681" s="1" t="str">
        <f>_xlfn.XLOOKUP(tblSales[[#This Row],[Channel Code]],tblChannels[Channel Code],tblChannels[Channel Name],"")</f>
        <v>In-store</v>
      </c>
      <c r="R681" s="1">
        <f>MONTH(tblSales[[#This Row],[Date]])</f>
        <v>2</v>
      </c>
    </row>
    <row r="682" spans="2:18" x14ac:dyDescent="0.35">
      <c r="B682" s="113">
        <v>46067</v>
      </c>
      <c r="C682" s="4" t="s">
        <v>464</v>
      </c>
      <c r="D682" s="4" t="s">
        <v>4568</v>
      </c>
      <c r="E682" s="1" t="str">
        <f>_xlfn.XLOOKUP(tblSales[[#This Row],[Customer ID]],tblCustomers[Customer ID],tblCustomers[Customer Name],"⚠ Unknown")</f>
        <v>Walk-in Customer</v>
      </c>
      <c r="F682" s="4" t="s">
        <v>7</v>
      </c>
      <c r="G682" s="1" t="str">
        <f>_xlfn.XLOOKUP(tblSales[[#This Row],[Product Code]],tblProducts[Code],tblProducts[Product / Service Name],"⚠ Unknown")</f>
        <v>Premium Basic T-shirt</v>
      </c>
      <c r="H682" s="1" t="str">
        <f>_xlfn.XLOOKUP(tblSales[[#This Row],[Product Code]],tblProducts[Code],tblProducts[Category],"")</f>
        <v>Accessories &amp; Basics</v>
      </c>
      <c r="I682" s="4">
        <v>8</v>
      </c>
      <c r="J682" s="5">
        <f>_xlfn.XLOOKUP(tblSales[[#This Row],[Product Code]],tblProducts[Code],tblProducts[Selling Price (excl. VAT)],0)</f>
        <v>65000</v>
      </c>
      <c r="K682" s="5">
        <f>tblSales[[#This Row],[Qty]]*tblSales[[#This Row],[Unit Price]]</f>
        <v>520000</v>
      </c>
      <c r="L682" s="5">
        <f>ROUND(tblSales[[#This Row],[DPP (excl. VAT)]]*VATEff,0)</f>
        <v>57200</v>
      </c>
      <c r="M682" s="5">
        <f>tblSales[[#This Row],[DPP (excl. VAT)]]+tblSales[[#This Row],[Output VAT]]</f>
        <v>577200</v>
      </c>
      <c r="N682" s="5">
        <f>tblSales[[#This Row],[Qty]]*_xlfn.XLOOKUP(tblSales[[#This Row],[Product Code]],tblProducts[Code],tblProducts[Unit Cost],0)</f>
        <v>296000</v>
      </c>
      <c r="O682" s="4" t="s">
        <v>4866</v>
      </c>
      <c r="P682" s="4" t="s">
        <v>4860</v>
      </c>
      <c r="Q682" s="1" t="str">
        <f>_xlfn.XLOOKUP(tblSales[[#This Row],[Channel Code]],tblChannels[Channel Code],tblChannels[Channel Name],"")</f>
        <v>In-store</v>
      </c>
      <c r="R682" s="1">
        <f>MONTH(tblSales[[#This Row],[Date]])</f>
        <v>2</v>
      </c>
    </row>
    <row r="683" spans="2:18" x14ac:dyDescent="0.35">
      <c r="B683" s="113">
        <v>46067</v>
      </c>
      <c r="C683" s="4" t="s">
        <v>465</v>
      </c>
      <c r="D683" s="4" t="s">
        <v>4568</v>
      </c>
      <c r="E683" s="1" t="str">
        <f>_xlfn.XLOOKUP(tblSales[[#This Row],[Customer ID]],tblCustomers[Customer ID],tblCustomers[Customer Name],"⚠ Unknown")</f>
        <v>Walk-in Customer</v>
      </c>
      <c r="F683" s="4" t="s">
        <v>11</v>
      </c>
      <c r="G683" s="1" t="str">
        <f>_xlfn.XLOOKUP(tblSales[[#This Row],[Product Code]],tblProducts[Code],tblProducts[Product / Service Name],"⚠ Unknown")</f>
        <v>Sneakers</v>
      </c>
      <c r="H683" s="1" t="str">
        <f>_xlfn.XLOOKUP(tblSales[[#This Row],[Product Code]],tblProducts[Code],tblProducts[Category],"")</f>
        <v>Apparel &amp; Footwear</v>
      </c>
      <c r="I683" s="4">
        <v>5</v>
      </c>
      <c r="J683" s="5">
        <f>_xlfn.XLOOKUP(tblSales[[#This Row],[Product Code]],tblProducts[Code],tblProducts[Selling Price (excl. VAT)],0)</f>
        <v>250000</v>
      </c>
      <c r="K683" s="5">
        <f>tblSales[[#This Row],[Qty]]*tblSales[[#This Row],[Unit Price]]</f>
        <v>1250000</v>
      </c>
      <c r="L683" s="5">
        <f>ROUND(tblSales[[#This Row],[DPP (excl. VAT)]]*VATEff,0)</f>
        <v>137500</v>
      </c>
      <c r="M683" s="5">
        <f>tblSales[[#This Row],[DPP (excl. VAT)]]+tblSales[[#This Row],[Output VAT]]</f>
        <v>1387500</v>
      </c>
      <c r="N683" s="5">
        <f>tblSales[[#This Row],[Qty]]*_xlfn.XLOOKUP(tblSales[[#This Row],[Product Code]],tblProducts[Code],tblProducts[Unit Cost],0)</f>
        <v>775000</v>
      </c>
      <c r="O683" s="4" t="s">
        <v>4866</v>
      </c>
      <c r="P683" s="4" t="s">
        <v>4862</v>
      </c>
      <c r="Q683" s="1" t="str">
        <f>_xlfn.XLOOKUP(tblSales[[#This Row],[Channel Code]],tblChannels[Channel Code],tblChannels[Channel Name],"")</f>
        <v>Website &amp; Social Media</v>
      </c>
      <c r="R683" s="1">
        <f>MONTH(tblSales[[#This Row],[Date]])</f>
        <v>2</v>
      </c>
    </row>
    <row r="684" spans="2:18" x14ac:dyDescent="0.35">
      <c r="B684" s="113">
        <v>46067</v>
      </c>
      <c r="C684" s="4" t="s">
        <v>466</v>
      </c>
      <c r="D684" s="4" t="s">
        <v>4568</v>
      </c>
      <c r="E684" s="1" t="str">
        <f>_xlfn.XLOOKUP(tblSales[[#This Row],[Customer ID]],tblCustomers[Customer ID],tblCustomers[Customer Name],"⚠ Unknown")</f>
        <v>Walk-in Customer</v>
      </c>
      <c r="F684" s="4" t="s">
        <v>12</v>
      </c>
      <c r="G684" s="1" t="str">
        <f>_xlfn.XLOOKUP(tblSales[[#This Row],[Product Code]],tblProducts[Code],tblProducts[Product / Service Name],"⚠ Unknown")</f>
        <v>Bomber Jacket</v>
      </c>
      <c r="H684" s="1" t="str">
        <f>_xlfn.XLOOKUP(tblSales[[#This Row],[Product Code]],tblProducts[Code],tblProducts[Category],"")</f>
        <v>Apparel &amp; Footwear</v>
      </c>
      <c r="I684" s="4">
        <v>5</v>
      </c>
      <c r="J684" s="5">
        <f>_xlfn.XLOOKUP(tblSales[[#This Row],[Product Code]],tblProducts[Code],tblProducts[Selling Price (excl. VAT)],0)</f>
        <v>350000</v>
      </c>
      <c r="K684" s="5">
        <f>tblSales[[#This Row],[Qty]]*tblSales[[#This Row],[Unit Price]]</f>
        <v>1750000</v>
      </c>
      <c r="L684" s="5">
        <f>ROUND(tblSales[[#This Row],[DPP (excl. VAT)]]*VATEff,0)</f>
        <v>192500</v>
      </c>
      <c r="M684" s="5">
        <f>tblSales[[#This Row],[DPP (excl. VAT)]]+tblSales[[#This Row],[Output VAT]]</f>
        <v>1942500</v>
      </c>
      <c r="N684" s="5">
        <f>tblSales[[#This Row],[Qty]]*_xlfn.XLOOKUP(tblSales[[#This Row],[Product Code]],tblProducts[Code],tblProducts[Unit Cost],0)</f>
        <v>1050000</v>
      </c>
      <c r="O684" s="4" t="s">
        <v>4865</v>
      </c>
      <c r="P684" s="4" t="s">
        <v>4860</v>
      </c>
      <c r="Q684" s="1" t="str">
        <f>_xlfn.XLOOKUP(tblSales[[#This Row],[Channel Code]],tblChannels[Channel Code],tblChannels[Channel Name],"")</f>
        <v>In-store</v>
      </c>
      <c r="R684" s="1">
        <f>MONTH(tblSales[[#This Row],[Date]])</f>
        <v>2</v>
      </c>
    </row>
    <row r="685" spans="2:18" x14ac:dyDescent="0.35">
      <c r="B685" s="113">
        <v>46067</v>
      </c>
      <c r="C685" s="4" t="s">
        <v>467</v>
      </c>
      <c r="D685" s="4" t="s">
        <v>4568</v>
      </c>
      <c r="E685" s="1" t="str">
        <f>_xlfn.XLOOKUP(tblSales[[#This Row],[Customer ID]],tblCustomers[Customer ID],tblCustomers[Customer Name],"⚠ Unknown")</f>
        <v>Walk-in Customer</v>
      </c>
      <c r="F685" s="4" t="s">
        <v>12</v>
      </c>
      <c r="G685" s="1" t="str">
        <f>_xlfn.XLOOKUP(tblSales[[#This Row],[Product Code]],tblProducts[Code],tblProducts[Product / Service Name],"⚠ Unknown")</f>
        <v>Bomber Jacket</v>
      </c>
      <c r="H685" s="1" t="str">
        <f>_xlfn.XLOOKUP(tblSales[[#This Row],[Product Code]],tblProducts[Code],tblProducts[Category],"")</f>
        <v>Apparel &amp; Footwear</v>
      </c>
      <c r="I685" s="4">
        <v>4</v>
      </c>
      <c r="J685" s="5">
        <f>_xlfn.XLOOKUP(tblSales[[#This Row],[Product Code]],tblProducts[Code],tblProducts[Selling Price (excl. VAT)],0)</f>
        <v>350000</v>
      </c>
      <c r="K685" s="5">
        <f>tblSales[[#This Row],[Qty]]*tblSales[[#This Row],[Unit Price]]</f>
        <v>1400000</v>
      </c>
      <c r="L685" s="5">
        <f>ROUND(tblSales[[#This Row],[DPP (excl. VAT)]]*VATEff,0)</f>
        <v>154000</v>
      </c>
      <c r="M685" s="5">
        <f>tblSales[[#This Row],[DPP (excl. VAT)]]+tblSales[[#This Row],[Output VAT]]</f>
        <v>1554000</v>
      </c>
      <c r="N685" s="5">
        <f>tblSales[[#This Row],[Qty]]*_xlfn.XLOOKUP(tblSales[[#This Row],[Product Code]],tblProducts[Code],tblProducts[Unit Cost],0)</f>
        <v>840000</v>
      </c>
      <c r="O685" s="4" t="s">
        <v>4865</v>
      </c>
      <c r="P685" s="4" t="s">
        <v>4860</v>
      </c>
      <c r="Q685" s="1" t="str">
        <f>_xlfn.XLOOKUP(tblSales[[#This Row],[Channel Code]],tblChannels[Channel Code],tblChannels[Channel Name],"")</f>
        <v>In-store</v>
      </c>
      <c r="R685" s="1">
        <f>MONTH(tblSales[[#This Row],[Date]])</f>
        <v>2</v>
      </c>
    </row>
    <row r="686" spans="2:18" x14ac:dyDescent="0.35">
      <c r="B686" s="113">
        <v>46067</v>
      </c>
      <c r="C686" s="4" t="s">
        <v>467</v>
      </c>
      <c r="D686" s="4" t="s">
        <v>4568</v>
      </c>
      <c r="E686" s="1" t="str">
        <f>_xlfn.XLOOKUP(tblSales[[#This Row],[Customer ID]],tblCustomers[Customer ID],tblCustomers[Customer Name],"⚠ Unknown")</f>
        <v>Walk-in Customer</v>
      </c>
      <c r="F686" s="4" t="s">
        <v>8</v>
      </c>
      <c r="G686" s="1" t="str">
        <f>_xlfn.XLOOKUP(tblSales[[#This Row],[Product Code]],tblProducts[Code],tblProducts[Product / Service Name],"⚠ Unknown")</f>
        <v>Casual Shorts</v>
      </c>
      <c r="H686" s="1" t="str">
        <f>_xlfn.XLOOKUP(tblSales[[#This Row],[Product Code]],tblProducts[Code],tblProducts[Category],"")</f>
        <v>Accessories &amp; Basics</v>
      </c>
      <c r="I686" s="4">
        <v>6</v>
      </c>
      <c r="J686" s="5">
        <f>_xlfn.XLOOKUP(tblSales[[#This Row],[Product Code]],tblProducts[Code],tblProducts[Selling Price (excl. VAT)],0)</f>
        <v>85000</v>
      </c>
      <c r="K686" s="5">
        <f>tblSales[[#This Row],[Qty]]*tblSales[[#This Row],[Unit Price]]</f>
        <v>510000</v>
      </c>
      <c r="L686" s="5">
        <f>ROUND(tblSales[[#This Row],[DPP (excl. VAT)]]*VATEff,0)</f>
        <v>56100</v>
      </c>
      <c r="M686" s="5">
        <f>tblSales[[#This Row],[DPP (excl. VAT)]]+tblSales[[#This Row],[Output VAT]]</f>
        <v>566100</v>
      </c>
      <c r="N686" s="5">
        <f>tblSales[[#This Row],[Qty]]*_xlfn.XLOOKUP(tblSales[[#This Row],[Product Code]],tblProducts[Code],tblProducts[Unit Cost],0)</f>
        <v>300000</v>
      </c>
      <c r="O686" s="4" t="s">
        <v>4865</v>
      </c>
      <c r="P686" s="4" t="s">
        <v>4860</v>
      </c>
      <c r="Q686" s="1" t="str">
        <f>_xlfn.XLOOKUP(tblSales[[#This Row],[Channel Code]],tblChannels[Channel Code],tblChannels[Channel Name],"")</f>
        <v>In-store</v>
      </c>
      <c r="R686" s="1">
        <f>MONTH(tblSales[[#This Row],[Date]])</f>
        <v>2</v>
      </c>
    </row>
    <row r="687" spans="2:18" x14ac:dyDescent="0.35">
      <c r="B687" s="113">
        <v>46067</v>
      </c>
      <c r="C687" s="4" t="s">
        <v>468</v>
      </c>
      <c r="D687" s="4" t="s">
        <v>4613</v>
      </c>
      <c r="E687" s="1" t="str">
        <f>_xlfn.XLOOKUP(tblSales[[#This Row],[Customer ID]],tblCustomers[Customer ID],tblCustomers[Customer Name],"⚠ Unknown")</f>
        <v>PT Mega Prima Distribusi</v>
      </c>
      <c r="F687" s="4" t="s">
        <v>10</v>
      </c>
      <c r="G687" s="1" t="str">
        <f>_xlfn.XLOOKUP(tblSales[[#This Row],[Product Code]],tblProducts[Code],tblProducts[Product / Service Name],"⚠ Unknown")</f>
        <v>Chino Pants</v>
      </c>
      <c r="H687" s="1" t="str">
        <f>_xlfn.XLOOKUP(tblSales[[#This Row],[Product Code]],tblProducts[Code],tblProducts[Category],"")</f>
        <v>Apparel &amp; Footwear</v>
      </c>
      <c r="I687" s="4">
        <v>32</v>
      </c>
      <c r="J687" s="5">
        <f>_xlfn.XLOOKUP(tblSales[[#This Row],[Product Code]],tblProducts[Code],tblProducts[Selling Price (excl. VAT)],0)</f>
        <v>150000</v>
      </c>
      <c r="K687" s="5">
        <f>tblSales[[#This Row],[Qty]]*tblSales[[#This Row],[Unit Price]]</f>
        <v>4800000</v>
      </c>
      <c r="L687" s="5">
        <f>ROUND(tblSales[[#This Row],[DPP (excl. VAT)]]*VATEff,0)</f>
        <v>528000</v>
      </c>
      <c r="M687" s="5">
        <f>tblSales[[#This Row],[DPP (excl. VAT)]]+tblSales[[#This Row],[Output VAT]]</f>
        <v>5328000</v>
      </c>
      <c r="N687" s="5">
        <f>tblSales[[#This Row],[Qty]]*_xlfn.XLOOKUP(tblSales[[#This Row],[Product Code]],tblProducts[Code],tblProducts[Unit Cost],0)</f>
        <v>2816000</v>
      </c>
      <c r="O687" s="4" t="s">
        <v>4867</v>
      </c>
      <c r="P687" s="4" t="s">
        <v>4860</v>
      </c>
      <c r="Q687" s="1" t="str">
        <f>_xlfn.XLOOKUP(tblSales[[#This Row],[Channel Code]],tblChannels[Channel Code],tblChannels[Channel Name],"")</f>
        <v>In-store</v>
      </c>
      <c r="R687" s="1">
        <f>MONTH(tblSales[[#This Row],[Date]])</f>
        <v>2</v>
      </c>
    </row>
    <row r="688" spans="2:18" x14ac:dyDescent="0.35">
      <c r="B688" s="113">
        <v>46067</v>
      </c>
      <c r="C688" s="4" t="s">
        <v>468</v>
      </c>
      <c r="D688" s="4" t="s">
        <v>4613</v>
      </c>
      <c r="E688" s="1" t="str">
        <f>_xlfn.XLOOKUP(tblSales[[#This Row],[Customer ID]],tblCustomers[Customer ID],tblCustomers[Customer Name],"⚠ Unknown")</f>
        <v>PT Mega Prima Distribusi</v>
      </c>
      <c r="F688" s="4" t="s">
        <v>6</v>
      </c>
      <c r="G688" s="1" t="str">
        <f>_xlfn.XLOOKUP(tblSales[[#This Row],[Product Code]],tblProducts[Code],tblProducts[Product / Service Name],"⚠ Unknown")</f>
        <v>Socks &amp; Accessories</v>
      </c>
      <c r="H688" s="1" t="str">
        <f>_xlfn.XLOOKUP(tblSales[[#This Row],[Product Code]],tblProducts[Code],tblProducts[Category],"")</f>
        <v>Accessories &amp; Basics</v>
      </c>
      <c r="I688" s="4">
        <v>96</v>
      </c>
      <c r="J688" s="5">
        <f>_xlfn.XLOOKUP(tblSales[[#This Row],[Product Code]],tblProducts[Code],tblProducts[Selling Price (excl. VAT)],0)</f>
        <v>45000</v>
      </c>
      <c r="K688" s="5">
        <f>tblSales[[#This Row],[Qty]]*tblSales[[#This Row],[Unit Price]]</f>
        <v>4320000</v>
      </c>
      <c r="L688" s="5">
        <f>ROUND(tblSales[[#This Row],[DPP (excl. VAT)]]*VATEff,0)</f>
        <v>475200</v>
      </c>
      <c r="M688" s="5">
        <f>tblSales[[#This Row],[DPP (excl. VAT)]]+tblSales[[#This Row],[Output VAT]]</f>
        <v>4795200</v>
      </c>
      <c r="N688" s="5">
        <f>tblSales[[#This Row],[Qty]]*_xlfn.XLOOKUP(tblSales[[#This Row],[Product Code]],tblProducts[Code],tblProducts[Unit Cost],0)</f>
        <v>2304000</v>
      </c>
      <c r="O688" s="4" t="s">
        <v>4867</v>
      </c>
      <c r="P688" s="4" t="s">
        <v>4860</v>
      </c>
      <c r="Q688" s="1" t="str">
        <f>_xlfn.XLOOKUP(tblSales[[#This Row],[Channel Code]],tblChannels[Channel Code],tblChannels[Channel Name],"")</f>
        <v>In-store</v>
      </c>
      <c r="R688" s="1">
        <f>MONTH(tblSales[[#This Row],[Date]])</f>
        <v>2</v>
      </c>
    </row>
    <row r="689" spans="2:18" x14ac:dyDescent="0.35">
      <c r="B689" s="113">
        <v>46067</v>
      </c>
      <c r="C689" s="4" t="s">
        <v>469</v>
      </c>
      <c r="D689" s="4" t="s">
        <v>4634</v>
      </c>
      <c r="E689" s="1" t="str">
        <f>_xlfn.XLOOKUP(tblSales[[#This Row],[Customer ID]],tblCustomers[Customer ID],tblCustomers[Customer Name],"⚠ Unknown")</f>
        <v>PT Delta Inti Selaras</v>
      </c>
      <c r="F689" s="4" t="s">
        <v>9</v>
      </c>
      <c r="G689" s="1" t="str">
        <f>_xlfn.XLOOKUP(tblSales[[#This Row],[Product Code]],tblProducts[Code],tblProducts[Product / Service Name],"⚠ Unknown")</f>
        <v>Casual Shirt</v>
      </c>
      <c r="H689" s="1" t="str">
        <f>_xlfn.XLOOKUP(tblSales[[#This Row],[Product Code]],tblProducts[Code],tblProducts[Category],"")</f>
        <v>Apparel &amp; Footwear</v>
      </c>
      <c r="I689" s="4">
        <v>56</v>
      </c>
      <c r="J689" s="5">
        <f>_xlfn.XLOOKUP(tblSales[[#This Row],[Product Code]],tblProducts[Code],tblProducts[Selling Price (excl. VAT)],0)</f>
        <v>120000</v>
      </c>
      <c r="K689" s="5">
        <f>tblSales[[#This Row],[Qty]]*tblSales[[#This Row],[Unit Price]]</f>
        <v>6720000</v>
      </c>
      <c r="L689" s="5">
        <f>ROUND(tblSales[[#This Row],[DPP (excl. VAT)]]*VATEff,0)</f>
        <v>739200</v>
      </c>
      <c r="M689" s="5">
        <f>tblSales[[#This Row],[DPP (excl. VAT)]]+tblSales[[#This Row],[Output VAT]]</f>
        <v>7459200</v>
      </c>
      <c r="N689" s="5">
        <f>tblSales[[#This Row],[Qty]]*_xlfn.XLOOKUP(tblSales[[#This Row],[Product Code]],tblProducts[Code],tblProducts[Unit Cost],0)</f>
        <v>4032000</v>
      </c>
      <c r="O689" s="4" t="s">
        <v>4867</v>
      </c>
      <c r="P689" s="4" t="s">
        <v>4860</v>
      </c>
      <c r="Q689" s="1" t="str">
        <f>_xlfn.XLOOKUP(tblSales[[#This Row],[Channel Code]],tblChannels[Channel Code],tblChannels[Channel Name],"")</f>
        <v>In-store</v>
      </c>
      <c r="R689" s="1">
        <f>MONTH(tblSales[[#This Row],[Date]])</f>
        <v>2</v>
      </c>
    </row>
    <row r="690" spans="2:18" x14ac:dyDescent="0.35">
      <c r="B690" s="113">
        <v>46067</v>
      </c>
      <c r="C690" s="4" t="s">
        <v>470</v>
      </c>
      <c r="D690" s="4" t="s">
        <v>4606</v>
      </c>
      <c r="E690" s="1" t="str">
        <f>_xlfn.XLOOKUP(tblSales[[#This Row],[Customer ID]],tblCustomers[Customer ID],tblCustomers[Customer Name],"⚠ Unknown")</f>
        <v>PT Arunika Digital Kreatif</v>
      </c>
      <c r="F690" s="4" t="s">
        <v>6</v>
      </c>
      <c r="G690" s="1" t="str">
        <f>_xlfn.XLOOKUP(tblSales[[#This Row],[Product Code]],tblProducts[Code],tblProducts[Product / Service Name],"⚠ Unknown")</f>
        <v>Socks &amp; Accessories</v>
      </c>
      <c r="H690" s="1" t="str">
        <f>_xlfn.XLOOKUP(tblSales[[#This Row],[Product Code]],tblProducts[Code],tblProducts[Category],"")</f>
        <v>Accessories &amp; Basics</v>
      </c>
      <c r="I690" s="4">
        <v>40</v>
      </c>
      <c r="J690" s="5">
        <f>_xlfn.XLOOKUP(tblSales[[#This Row],[Product Code]],tblProducts[Code],tblProducts[Selling Price (excl. VAT)],0)</f>
        <v>45000</v>
      </c>
      <c r="K690" s="5">
        <f>tblSales[[#This Row],[Qty]]*tblSales[[#This Row],[Unit Price]]</f>
        <v>1800000</v>
      </c>
      <c r="L690" s="5">
        <f>ROUND(tblSales[[#This Row],[DPP (excl. VAT)]]*VATEff,0)</f>
        <v>198000</v>
      </c>
      <c r="M690" s="5">
        <f>tblSales[[#This Row],[DPP (excl. VAT)]]+tblSales[[#This Row],[Output VAT]]</f>
        <v>1998000</v>
      </c>
      <c r="N690" s="5">
        <f>tblSales[[#This Row],[Qty]]*_xlfn.XLOOKUP(tblSales[[#This Row],[Product Code]],tblProducts[Code],tblProducts[Unit Cost],0)</f>
        <v>960000</v>
      </c>
      <c r="O690" s="4" t="s">
        <v>4867</v>
      </c>
      <c r="P690" s="4" t="s">
        <v>4860</v>
      </c>
      <c r="Q690" s="1" t="str">
        <f>_xlfn.XLOOKUP(tblSales[[#This Row],[Channel Code]],tblChannels[Channel Code],tblChannels[Channel Name],"")</f>
        <v>In-store</v>
      </c>
      <c r="R690" s="1">
        <f>MONTH(tblSales[[#This Row],[Date]])</f>
        <v>2</v>
      </c>
    </row>
    <row r="691" spans="2:18" x14ac:dyDescent="0.35">
      <c r="B691" s="113">
        <v>46067</v>
      </c>
      <c r="C691" s="4" t="s">
        <v>471</v>
      </c>
      <c r="D691" s="4" t="s">
        <v>4568</v>
      </c>
      <c r="E691" s="1" t="str">
        <f>_xlfn.XLOOKUP(tblSales[[#This Row],[Customer ID]],tblCustomers[Customer ID],tblCustomers[Customer Name],"⚠ Unknown")</f>
        <v>Walk-in Customer</v>
      </c>
      <c r="F691" s="4" t="s">
        <v>7</v>
      </c>
      <c r="G691" s="1" t="str">
        <f>_xlfn.XLOOKUP(tblSales[[#This Row],[Product Code]],tblProducts[Code],tblProducts[Product / Service Name],"⚠ Unknown")</f>
        <v>Premium Basic T-shirt</v>
      </c>
      <c r="H691" s="1" t="str">
        <f>_xlfn.XLOOKUP(tblSales[[#This Row],[Product Code]],tblProducts[Code],tblProducts[Category],"")</f>
        <v>Accessories &amp; Basics</v>
      </c>
      <c r="I691" s="4">
        <v>10</v>
      </c>
      <c r="J691" s="5">
        <f>_xlfn.XLOOKUP(tblSales[[#This Row],[Product Code]],tblProducts[Code],tblProducts[Selling Price (excl. VAT)],0)</f>
        <v>65000</v>
      </c>
      <c r="K691" s="5">
        <f>tblSales[[#This Row],[Qty]]*tblSales[[#This Row],[Unit Price]]</f>
        <v>650000</v>
      </c>
      <c r="L691" s="5">
        <f>ROUND(tblSales[[#This Row],[DPP (excl. VAT)]]*VATEff,0)</f>
        <v>71500</v>
      </c>
      <c r="M691" s="5">
        <f>tblSales[[#This Row],[DPP (excl. VAT)]]+tblSales[[#This Row],[Output VAT]]</f>
        <v>721500</v>
      </c>
      <c r="N691" s="5">
        <f>tblSales[[#This Row],[Qty]]*_xlfn.XLOOKUP(tblSales[[#This Row],[Product Code]],tblProducts[Code],tblProducts[Unit Cost],0)</f>
        <v>370000</v>
      </c>
      <c r="O691" s="4" t="s">
        <v>4866</v>
      </c>
      <c r="P691" s="4" t="s">
        <v>4860</v>
      </c>
      <c r="Q691" s="1" t="str">
        <f>_xlfn.XLOOKUP(tblSales[[#This Row],[Channel Code]],tblChannels[Channel Code],tblChannels[Channel Name],"")</f>
        <v>In-store</v>
      </c>
      <c r="R691" s="1">
        <f>MONTH(tblSales[[#This Row],[Date]])</f>
        <v>2</v>
      </c>
    </row>
    <row r="692" spans="2:18" x14ac:dyDescent="0.35">
      <c r="B692" s="113">
        <v>46067</v>
      </c>
      <c r="C692" s="4" t="s">
        <v>472</v>
      </c>
      <c r="D692" s="4" t="s">
        <v>4585</v>
      </c>
      <c r="E692" s="1" t="str">
        <f>_xlfn.XLOOKUP(tblSales[[#This Row],[Customer ID]],tblCustomers[Customer ID],tblCustomers[Customer Name],"⚠ Unknown")</f>
        <v>CV Mitra Karya Mandiri</v>
      </c>
      <c r="F692" s="4" t="s">
        <v>8</v>
      </c>
      <c r="G692" s="1" t="str">
        <f>_xlfn.XLOOKUP(tblSales[[#This Row],[Product Code]],tblProducts[Code],tblProducts[Product / Service Name],"⚠ Unknown")</f>
        <v>Casual Shorts</v>
      </c>
      <c r="H692" s="1" t="str">
        <f>_xlfn.XLOOKUP(tblSales[[#This Row],[Product Code]],tblProducts[Code],tblProducts[Category],"")</f>
        <v>Accessories &amp; Basics</v>
      </c>
      <c r="I692" s="4">
        <v>40</v>
      </c>
      <c r="J692" s="5">
        <f>_xlfn.XLOOKUP(tblSales[[#This Row],[Product Code]],tblProducts[Code],tblProducts[Selling Price (excl. VAT)],0)</f>
        <v>85000</v>
      </c>
      <c r="K692" s="5">
        <f>tblSales[[#This Row],[Qty]]*tblSales[[#This Row],[Unit Price]]</f>
        <v>3400000</v>
      </c>
      <c r="L692" s="5">
        <f>ROUND(tblSales[[#This Row],[DPP (excl. VAT)]]*VATEff,0)</f>
        <v>374000</v>
      </c>
      <c r="M692" s="5">
        <f>tblSales[[#This Row],[DPP (excl. VAT)]]+tblSales[[#This Row],[Output VAT]]</f>
        <v>3774000</v>
      </c>
      <c r="N692" s="5">
        <f>tblSales[[#This Row],[Qty]]*_xlfn.XLOOKUP(tblSales[[#This Row],[Product Code]],tblProducts[Code],tblProducts[Unit Cost],0)</f>
        <v>2000000</v>
      </c>
      <c r="O692" s="4" t="s">
        <v>4867</v>
      </c>
      <c r="P692" s="4" t="s">
        <v>4862</v>
      </c>
      <c r="Q692" s="1" t="str">
        <f>_xlfn.XLOOKUP(tblSales[[#This Row],[Channel Code]],tblChannels[Channel Code],tblChannels[Channel Name],"")</f>
        <v>Website &amp; Social Media</v>
      </c>
      <c r="R692" s="1">
        <f>MONTH(tblSales[[#This Row],[Date]])</f>
        <v>2</v>
      </c>
    </row>
    <row r="693" spans="2:18" x14ac:dyDescent="0.35">
      <c r="B693" s="113">
        <v>46067</v>
      </c>
      <c r="C693" s="4" t="s">
        <v>472</v>
      </c>
      <c r="D693" s="4" t="s">
        <v>4585</v>
      </c>
      <c r="E693" s="1" t="str">
        <f>_xlfn.XLOOKUP(tblSales[[#This Row],[Customer ID]],tblCustomers[Customer ID],tblCustomers[Customer Name],"⚠ Unknown")</f>
        <v>CV Mitra Karya Mandiri</v>
      </c>
      <c r="F693" s="4" t="s">
        <v>11</v>
      </c>
      <c r="G693" s="1" t="str">
        <f>_xlfn.XLOOKUP(tblSales[[#This Row],[Product Code]],tblProducts[Code],tblProducts[Product / Service Name],"⚠ Unknown")</f>
        <v>Sneakers</v>
      </c>
      <c r="H693" s="1" t="str">
        <f>_xlfn.XLOOKUP(tblSales[[#This Row],[Product Code]],tblProducts[Code],tblProducts[Category],"")</f>
        <v>Apparel &amp; Footwear</v>
      </c>
      <c r="I693" s="4">
        <v>8</v>
      </c>
      <c r="J693" s="5">
        <f>_xlfn.XLOOKUP(tblSales[[#This Row],[Product Code]],tblProducts[Code],tblProducts[Selling Price (excl. VAT)],0)</f>
        <v>250000</v>
      </c>
      <c r="K693" s="5">
        <f>tblSales[[#This Row],[Qty]]*tblSales[[#This Row],[Unit Price]]</f>
        <v>2000000</v>
      </c>
      <c r="L693" s="5">
        <f>ROUND(tblSales[[#This Row],[DPP (excl. VAT)]]*VATEff,0)</f>
        <v>220000</v>
      </c>
      <c r="M693" s="5">
        <f>tblSales[[#This Row],[DPP (excl. VAT)]]+tblSales[[#This Row],[Output VAT]]</f>
        <v>2220000</v>
      </c>
      <c r="N693" s="5">
        <f>tblSales[[#This Row],[Qty]]*_xlfn.XLOOKUP(tblSales[[#This Row],[Product Code]],tblProducts[Code],tblProducts[Unit Cost],0)</f>
        <v>1240000</v>
      </c>
      <c r="O693" s="4" t="s">
        <v>4867</v>
      </c>
      <c r="P693" s="4" t="s">
        <v>4862</v>
      </c>
      <c r="Q693" s="1" t="str">
        <f>_xlfn.XLOOKUP(tblSales[[#This Row],[Channel Code]],tblChannels[Channel Code],tblChannels[Channel Name],"")</f>
        <v>Website &amp; Social Media</v>
      </c>
      <c r="R693" s="1">
        <f>MONTH(tblSales[[#This Row],[Date]])</f>
        <v>2</v>
      </c>
    </row>
    <row r="694" spans="2:18" x14ac:dyDescent="0.35">
      <c r="B694" s="113">
        <v>46067</v>
      </c>
      <c r="C694" s="4" t="s">
        <v>472</v>
      </c>
      <c r="D694" s="4" t="s">
        <v>4585</v>
      </c>
      <c r="E694" s="1" t="str">
        <f>_xlfn.XLOOKUP(tblSales[[#This Row],[Customer ID]],tblCustomers[Customer ID],tblCustomers[Customer Name],"⚠ Unknown")</f>
        <v>CV Mitra Karya Mandiri</v>
      </c>
      <c r="F694" s="4" t="s">
        <v>7</v>
      </c>
      <c r="G694" s="1" t="str">
        <f>_xlfn.XLOOKUP(tblSales[[#This Row],[Product Code]],tblProducts[Code],tblProducts[Product / Service Name],"⚠ Unknown")</f>
        <v>Premium Basic T-shirt</v>
      </c>
      <c r="H694" s="1" t="str">
        <f>_xlfn.XLOOKUP(tblSales[[#This Row],[Product Code]],tblProducts[Code],tblProducts[Category],"")</f>
        <v>Accessories &amp; Basics</v>
      </c>
      <c r="I694" s="4">
        <v>96</v>
      </c>
      <c r="J694" s="5">
        <f>_xlfn.XLOOKUP(tblSales[[#This Row],[Product Code]],tblProducts[Code],tblProducts[Selling Price (excl. VAT)],0)</f>
        <v>65000</v>
      </c>
      <c r="K694" s="5">
        <f>tblSales[[#This Row],[Qty]]*tblSales[[#This Row],[Unit Price]]</f>
        <v>6240000</v>
      </c>
      <c r="L694" s="5">
        <f>ROUND(tblSales[[#This Row],[DPP (excl. VAT)]]*VATEff,0)</f>
        <v>686400</v>
      </c>
      <c r="M694" s="5">
        <f>tblSales[[#This Row],[DPP (excl. VAT)]]+tblSales[[#This Row],[Output VAT]]</f>
        <v>6926400</v>
      </c>
      <c r="N694" s="5">
        <f>tblSales[[#This Row],[Qty]]*_xlfn.XLOOKUP(tblSales[[#This Row],[Product Code]],tblProducts[Code],tblProducts[Unit Cost],0)</f>
        <v>3552000</v>
      </c>
      <c r="O694" s="4" t="s">
        <v>4867</v>
      </c>
      <c r="P694" s="4" t="s">
        <v>4862</v>
      </c>
      <c r="Q694" s="1" t="str">
        <f>_xlfn.XLOOKUP(tblSales[[#This Row],[Channel Code]],tblChannels[Channel Code],tblChannels[Channel Name],"")</f>
        <v>Website &amp; Social Media</v>
      </c>
      <c r="R694" s="1">
        <f>MONTH(tblSales[[#This Row],[Date]])</f>
        <v>2</v>
      </c>
    </row>
    <row r="695" spans="2:18" x14ac:dyDescent="0.35">
      <c r="B695" s="113">
        <v>46067</v>
      </c>
      <c r="C695" s="4" t="s">
        <v>473</v>
      </c>
      <c r="D695" s="4" t="s">
        <v>4568</v>
      </c>
      <c r="E695" s="1" t="str">
        <f>_xlfn.XLOOKUP(tblSales[[#This Row],[Customer ID]],tblCustomers[Customer ID],tblCustomers[Customer Name],"⚠ Unknown")</f>
        <v>Walk-in Customer</v>
      </c>
      <c r="F695" s="4" t="s">
        <v>10</v>
      </c>
      <c r="G695" s="1" t="str">
        <f>_xlfn.XLOOKUP(tblSales[[#This Row],[Product Code]],tblProducts[Code],tblProducts[Product / Service Name],"⚠ Unknown")</f>
        <v>Chino Pants</v>
      </c>
      <c r="H695" s="1" t="str">
        <f>_xlfn.XLOOKUP(tblSales[[#This Row],[Product Code]],tblProducts[Code],tblProducts[Category],"")</f>
        <v>Apparel &amp; Footwear</v>
      </c>
      <c r="I695" s="4">
        <v>3</v>
      </c>
      <c r="J695" s="5">
        <f>_xlfn.XLOOKUP(tblSales[[#This Row],[Product Code]],tblProducts[Code],tblProducts[Selling Price (excl. VAT)],0)</f>
        <v>150000</v>
      </c>
      <c r="K695" s="5">
        <f>tblSales[[#This Row],[Qty]]*tblSales[[#This Row],[Unit Price]]</f>
        <v>450000</v>
      </c>
      <c r="L695" s="5">
        <f>ROUND(tblSales[[#This Row],[DPP (excl. VAT)]]*VATEff,0)</f>
        <v>49500</v>
      </c>
      <c r="M695" s="5">
        <f>tblSales[[#This Row],[DPP (excl. VAT)]]+tblSales[[#This Row],[Output VAT]]</f>
        <v>499500</v>
      </c>
      <c r="N695" s="5">
        <f>tblSales[[#This Row],[Qty]]*_xlfn.XLOOKUP(tblSales[[#This Row],[Product Code]],tblProducts[Code],tblProducts[Unit Cost],0)</f>
        <v>264000</v>
      </c>
      <c r="O695" s="4" t="s">
        <v>4866</v>
      </c>
      <c r="P695" s="4" t="s">
        <v>4860</v>
      </c>
      <c r="Q695" s="1" t="str">
        <f>_xlfn.XLOOKUP(tblSales[[#This Row],[Channel Code]],tblChannels[Channel Code],tblChannels[Channel Name],"")</f>
        <v>In-store</v>
      </c>
      <c r="R695" s="1">
        <f>MONTH(tblSales[[#This Row],[Date]])</f>
        <v>2</v>
      </c>
    </row>
    <row r="696" spans="2:18" x14ac:dyDescent="0.35">
      <c r="B696" s="113">
        <v>46067</v>
      </c>
      <c r="C696" s="4" t="s">
        <v>474</v>
      </c>
      <c r="D696" s="4" t="s">
        <v>4568</v>
      </c>
      <c r="E696" s="1" t="str">
        <f>_xlfn.XLOOKUP(tblSales[[#This Row],[Customer ID]],tblCustomers[Customer ID],tblCustomers[Customer Name],"⚠ Unknown")</f>
        <v>Walk-in Customer</v>
      </c>
      <c r="F696" s="4" t="s">
        <v>7</v>
      </c>
      <c r="G696" s="1" t="str">
        <f>_xlfn.XLOOKUP(tblSales[[#This Row],[Product Code]],tblProducts[Code],tblProducts[Product / Service Name],"⚠ Unknown")</f>
        <v>Premium Basic T-shirt</v>
      </c>
      <c r="H696" s="1" t="str">
        <f>_xlfn.XLOOKUP(tblSales[[#This Row],[Product Code]],tblProducts[Code],tblProducts[Category],"")</f>
        <v>Accessories &amp; Basics</v>
      </c>
      <c r="I696" s="4">
        <v>3</v>
      </c>
      <c r="J696" s="5">
        <f>_xlfn.XLOOKUP(tblSales[[#This Row],[Product Code]],tblProducts[Code],tblProducts[Selling Price (excl. VAT)],0)</f>
        <v>65000</v>
      </c>
      <c r="K696" s="5">
        <f>tblSales[[#This Row],[Qty]]*tblSales[[#This Row],[Unit Price]]</f>
        <v>195000</v>
      </c>
      <c r="L696" s="5">
        <f>ROUND(tblSales[[#This Row],[DPP (excl. VAT)]]*VATEff,0)</f>
        <v>21450</v>
      </c>
      <c r="M696" s="5">
        <f>tblSales[[#This Row],[DPP (excl. VAT)]]+tblSales[[#This Row],[Output VAT]]</f>
        <v>216450</v>
      </c>
      <c r="N696" s="5">
        <f>tblSales[[#This Row],[Qty]]*_xlfn.XLOOKUP(tblSales[[#This Row],[Product Code]],tblProducts[Code],tblProducts[Unit Cost],0)</f>
        <v>111000</v>
      </c>
      <c r="O696" s="4" t="s">
        <v>4866</v>
      </c>
      <c r="P696" s="4" t="s">
        <v>4860</v>
      </c>
      <c r="Q696" s="1" t="str">
        <f>_xlfn.XLOOKUP(tblSales[[#This Row],[Channel Code]],tblChannels[Channel Code],tblChannels[Channel Name],"")</f>
        <v>In-store</v>
      </c>
      <c r="R696" s="1">
        <f>MONTH(tblSales[[#This Row],[Date]])</f>
        <v>2</v>
      </c>
    </row>
    <row r="697" spans="2:18" x14ac:dyDescent="0.35">
      <c r="B697" s="113">
        <v>46067</v>
      </c>
      <c r="C697" s="4" t="s">
        <v>474</v>
      </c>
      <c r="D697" s="4" t="s">
        <v>4568</v>
      </c>
      <c r="E697" s="1" t="str">
        <f>_xlfn.XLOOKUP(tblSales[[#This Row],[Customer ID]],tblCustomers[Customer ID],tblCustomers[Customer Name],"⚠ Unknown")</f>
        <v>Walk-in Customer</v>
      </c>
      <c r="F697" s="4" t="s">
        <v>6</v>
      </c>
      <c r="G697" s="1" t="str">
        <f>_xlfn.XLOOKUP(tblSales[[#This Row],[Product Code]],tblProducts[Code],tblProducts[Product / Service Name],"⚠ Unknown")</f>
        <v>Socks &amp; Accessories</v>
      </c>
      <c r="H697" s="1" t="str">
        <f>_xlfn.XLOOKUP(tblSales[[#This Row],[Product Code]],tblProducts[Code],tblProducts[Category],"")</f>
        <v>Accessories &amp; Basics</v>
      </c>
      <c r="I697" s="4">
        <v>2</v>
      </c>
      <c r="J697" s="5">
        <f>_xlfn.XLOOKUP(tblSales[[#This Row],[Product Code]],tblProducts[Code],tblProducts[Selling Price (excl. VAT)],0)</f>
        <v>45000</v>
      </c>
      <c r="K697" s="5">
        <f>tblSales[[#This Row],[Qty]]*tblSales[[#This Row],[Unit Price]]</f>
        <v>90000</v>
      </c>
      <c r="L697" s="5">
        <f>ROUND(tblSales[[#This Row],[DPP (excl. VAT)]]*VATEff,0)</f>
        <v>9900</v>
      </c>
      <c r="M697" s="5">
        <f>tblSales[[#This Row],[DPP (excl. VAT)]]+tblSales[[#This Row],[Output VAT]]</f>
        <v>99900</v>
      </c>
      <c r="N697" s="5">
        <f>tblSales[[#This Row],[Qty]]*_xlfn.XLOOKUP(tblSales[[#This Row],[Product Code]],tblProducts[Code],tblProducts[Unit Cost],0)</f>
        <v>48000</v>
      </c>
      <c r="O697" s="4" t="s">
        <v>4866</v>
      </c>
      <c r="P697" s="4" t="s">
        <v>4860</v>
      </c>
      <c r="Q697" s="1" t="str">
        <f>_xlfn.XLOOKUP(tblSales[[#This Row],[Channel Code]],tblChannels[Channel Code],tblChannels[Channel Name],"")</f>
        <v>In-store</v>
      </c>
      <c r="R697" s="1">
        <f>MONTH(tblSales[[#This Row],[Date]])</f>
        <v>2</v>
      </c>
    </row>
    <row r="698" spans="2:18" x14ac:dyDescent="0.35">
      <c r="B698" s="113">
        <v>46068</v>
      </c>
      <c r="C698" s="4" t="s">
        <v>475</v>
      </c>
      <c r="D698" s="4" t="s">
        <v>4568</v>
      </c>
      <c r="E698" s="1" t="str">
        <f>_xlfn.XLOOKUP(tblSales[[#This Row],[Customer ID]],tblCustomers[Customer ID],tblCustomers[Customer Name],"⚠ Unknown")</f>
        <v>Walk-in Customer</v>
      </c>
      <c r="F698" s="4" t="s">
        <v>8</v>
      </c>
      <c r="G698" s="1" t="str">
        <f>_xlfn.XLOOKUP(tblSales[[#This Row],[Product Code]],tblProducts[Code],tblProducts[Product / Service Name],"⚠ Unknown")</f>
        <v>Casual Shorts</v>
      </c>
      <c r="H698" s="1" t="str">
        <f>_xlfn.XLOOKUP(tblSales[[#This Row],[Product Code]],tblProducts[Code],tblProducts[Category],"")</f>
        <v>Accessories &amp; Basics</v>
      </c>
      <c r="I698" s="4">
        <v>1</v>
      </c>
      <c r="J698" s="5">
        <f>_xlfn.XLOOKUP(tblSales[[#This Row],[Product Code]],tblProducts[Code],tblProducts[Selling Price (excl. VAT)],0)</f>
        <v>85000</v>
      </c>
      <c r="K698" s="5">
        <f>tblSales[[#This Row],[Qty]]*tblSales[[#This Row],[Unit Price]]</f>
        <v>85000</v>
      </c>
      <c r="L698" s="5">
        <f>ROUND(tblSales[[#This Row],[DPP (excl. VAT)]]*VATEff,0)</f>
        <v>9350</v>
      </c>
      <c r="M698" s="5">
        <f>tblSales[[#This Row],[DPP (excl. VAT)]]+tblSales[[#This Row],[Output VAT]]</f>
        <v>94350</v>
      </c>
      <c r="N698" s="5">
        <f>tblSales[[#This Row],[Qty]]*_xlfn.XLOOKUP(tblSales[[#This Row],[Product Code]],tblProducts[Code],tblProducts[Unit Cost],0)</f>
        <v>50000</v>
      </c>
      <c r="O698" s="4" t="s">
        <v>4865</v>
      </c>
      <c r="P698" s="4" t="s">
        <v>4860</v>
      </c>
      <c r="Q698" s="1" t="str">
        <f>_xlfn.XLOOKUP(tblSales[[#This Row],[Channel Code]],tblChannels[Channel Code],tblChannels[Channel Name],"")</f>
        <v>In-store</v>
      </c>
      <c r="R698" s="1">
        <f>MONTH(tblSales[[#This Row],[Date]])</f>
        <v>2</v>
      </c>
    </row>
    <row r="699" spans="2:18" x14ac:dyDescent="0.35">
      <c r="B699" s="113">
        <v>46068</v>
      </c>
      <c r="C699" s="4" t="s">
        <v>476</v>
      </c>
      <c r="D699" s="4" t="s">
        <v>4568</v>
      </c>
      <c r="E699" s="1" t="str">
        <f>_xlfn.XLOOKUP(tblSales[[#This Row],[Customer ID]],tblCustomers[Customer ID],tblCustomers[Customer Name],"⚠ Unknown")</f>
        <v>Walk-in Customer</v>
      </c>
      <c r="F699" s="4" t="s">
        <v>10</v>
      </c>
      <c r="G699" s="1" t="str">
        <f>_xlfn.XLOOKUP(tblSales[[#This Row],[Product Code]],tblProducts[Code],tblProducts[Product / Service Name],"⚠ Unknown")</f>
        <v>Chino Pants</v>
      </c>
      <c r="H699" s="1" t="str">
        <f>_xlfn.XLOOKUP(tblSales[[#This Row],[Product Code]],tblProducts[Code],tblProducts[Category],"")</f>
        <v>Apparel &amp; Footwear</v>
      </c>
      <c r="I699" s="4">
        <v>10</v>
      </c>
      <c r="J699" s="5">
        <f>_xlfn.XLOOKUP(tblSales[[#This Row],[Product Code]],tblProducts[Code],tblProducts[Selling Price (excl. VAT)],0)</f>
        <v>150000</v>
      </c>
      <c r="K699" s="5">
        <f>tblSales[[#This Row],[Qty]]*tblSales[[#This Row],[Unit Price]]</f>
        <v>1500000</v>
      </c>
      <c r="L699" s="5">
        <f>ROUND(tblSales[[#This Row],[DPP (excl. VAT)]]*VATEff,0)</f>
        <v>165000</v>
      </c>
      <c r="M699" s="5">
        <f>tblSales[[#This Row],[DPP (excl. VAT)]]+tblSales[[#This Row],[Output VAT]]</f>
        <v>1665000</v>
      </c>
      <c r="N699" s="5">
        <f>tblSales[[#This Row],[Qty]]*_xlfn.XLOOKUP(tblSales[[#This Row],[Product Code]],tblProducts[Code],tblProducts[Unit Cost],0)</f>
        <v>880000</v>
      </c>
      <c r="O699" s="4" t="s">
        <v>4866</v>
      </c>
      <c r="P699" s="4" t="s">
        <v>4861</v>
      </c>
      <c r="Q699" s="1" t="str">
        <f>_xlfn.XLOOKUP(tblSales[[#This Row],[Channel Code]],tblChannels[Channel Code],tblChannels[Channel Name],"")</f>
        <v>Marketplace</v>
      </c>
      <c r="R699" s="1">
        <f>MONTH(tblSales[[#This Row],[Date]])</f>
        <v>2</v>
      </c>
    </row>
    <row r="700" spans="2:18" x14ac:dyDescent="0.35">
      <c r="B700" s="113">
        <v>46068</v>
      </c>
      <c r="C700" s="4" t="s">
        <v>477</v>
      </c>
      <c r="D700" s="4" t="s">
        <v>4568</v>
      </c>
      <c r="E700" s="1" t="str">
        <f>_xlfn.XLOOKUP(tblSales[[#This Row],[Customer ID]],tblCustomers[Customer ID],tblCustomers[Customer Name],"⚠ Unknown")</f>
        <v>Walk-in Customer</v>
      </c>
      <c r="F700" s="4" t="s">
        <v>7</v>
      </c>
      <c r="G700" s="1" t="str">
        <f>_xlfn.XLOOKUP(tblSales[[#This Row],[Product Code]],tblProducts[Code],tblProducts[Product / Service Name],"⚠ Unknown")</f>
        <v>Premium Basic T-shirt</v>
      </c>
      <c r="H700" s="1" t="str">
        <f>_xlfn.XLOOKUP(tblSales[[#This Row],[Product Code]],tblProducts[Code],tblProducts[Category],"")</f>
        <v>Accessories &amp; Basics</v>
      </c>
      <c r="I700" s="4">
        <v>8</v>
      </c>
      <c r="J700" s="5">
        <f>_xlfn.XLOOKUP(tblSales[[#This Row],[Product Code]],tblProducts[Code],tblProducts[Selling Price (excl. VAT)],0)</f>
        <v>65000</v>
      </c>
      <c r="K700" s="5">
        <f>tblSales[[#This Row],[Qty]]*tblSales[[#This Row],[Unit Price]]</f>
        <v>520000</v>
      </c>
      <c r="L700" s="5">
        <f>ROUND(tblSales[[#This Row],[DPP (excl. VAT)]]*VATEff,0)</f>
        <v>57200</v>
      </c>
      <c r="M700" s="5">
        <f>tblSales[[#This Row],[DPP (excl. VAT)]]+tblSales[[#This Row],[Output VAT]]</f>
        <v>577200</v>
      </c>
      <c r="N700" s="5">
        <f>tblSales[[#This Row],[Qty]]*_xlfn.XLOOKUP(tblSales[[#This Row],[Product Code]],tblProducts[Code],tblProducts[Unit Cost],0)</f>
        <v>296000</v>
      </c>
      <c r="O700" s="4" t="s">
        <v>4866</v>
      </c>
      <c r="P700" s="4" t="s">
        <v>4862</v>
      </c>
      <c r="Q700" s="1" t="str">
        <f>_xlfn.XLOOKUP(tblSales[[#This Row],[Channel Code]],tblChannels[Channel Code],tblChannels[Channel Name],"")</f>
        <v>Website &amp; Social Media</v>
      </c>
      <c r="R700" s="1">
        <f>MONTH(tblSales[[#This Row],[Date]])</f>
        <v>2</v>
      </c>
    </row>
    <row r="701" spans="2:18" x14ac:dyDescent="0.35">
      <c r="B701" s="113">
        <v>46068</v>
      </c>
      <c r="C701" s="4" t="s">
        <v>478</v>
      </c>
      <c r="D701" s="4" t="s">
        <v>4568</v>
      </c>
      <c r="E701" s="1" t="str">
        <f>_xlfn.XLOOKUP(tblSales[[#This Row],[Customer ID]],tblCustomers[Customer ID],tblCustomers[Customer Name],"⚠ Unknown")</f>
        <v>Walk-in Customer</v>
      </c>
      <c r="F701" s="4" t="s">
        <v>15</v>
      </c>
      <c r="G701" s="1" t="str">
        <f>_xlfn.XLOOKUP(tblSales[[#This Row],[Product Code]],tblProducts[Code],tblProducts[Product / Service Name],"⚠ Unknown")</f>
        <v>Wireless Earbuds Pro</v>
      </c>
      <c r="H701" s="1" t="str">
        <f>_xlfn.XLOOKUP(tblSales[[#This Row],[Product Code]],tblProducts[Code],tblProducts[Category],"")</f>
        <v>Bags &amp; Gadgets</v>
      </c>
      <c r="I701" s="4">
        <v>1</v>
      </c>
      <c r="J701" s="5">
        <f>_xlfn.XLOOKUP(tblSales[[#This Row],[Product Code]],tblProducts[Code],tblProducts[Selling Price (excl. VAT)],0)</f>
        <v>1250000</v>
      </c>
      <c r="K701" s="5">
        <f>tblSales[[#This Row],[Qty]]*tblSales[[#This Row],[Unit Price]]</f>
        <v>1250000</v>
      </c>
      <c r="L701" s="5">
        <f>ROUND(tblSales[[#This Row],[DPP (excl. VAT)]]*VATEff,0)</f>
        <v>137500</v>
      </c>
      <c r="M701" s="5">
        <f>tblSales[[#This Row],[DPP (excl. VAT)]]+tblSales[[#This Row],[Output VAT]]</f>
        <v>1387500</v>
      </c>
      <c r="N701" s="5">
        <f>tblSales[[#This Row],[Qty]]*_xlfn.XLOOKUP(tblSales[[#This Row],[Product Code]],tblProducts[Code],tblProducts[Unit Cost],0)</f>
        <v>820000</v>
      </c>
      <c r="O701" s="4" t="s">
        <v>4866</v>
      </c>
      <c r="P701" s="4" t="s">
        <v>4861</v>
      </c>
      <c r="Q701" s="1" t="str">
        <f>_xlfn.XLOOKUP(tblSales[[#This Row],[Channel Code]],tblChannels[Channel Code],tblChannels[Channel Name],"")</f>
        <v>Marketplace</v>
      </c>
      <c r="R701" s="1">
        <f>MONTH(tblSales[[#This Row],[Date]])</f>
        <v>2</v>
      </c>
    </row>
    <row r="702" spans="2:18" x14ac:dyDescent="0.35">
      <c r="B702" s="113">
        <v>46068</v>
      </c>
      <c r="C702" s="4" t="s">
        <v>479</v>
      </c>
      <c r="D702" s="4" t="s">
        <v>4568</v>
      </c>
      <c r="E702" s="1" t="str">
        <f>_xlfn.XLOOKUP(tblSales[[#This Row],[Customer ID]],tblCustomers[Customer ID],tblCustomers[Customer Name],"⚠ Unknown")</f>
        <v>Walk-in Customer</v>
      </c>
      <c r="F702" s="4" t="s">
        <v>6</v>
      </c>
      <c r="G702" s="1" t="str">
        <f>_xlfn.XLOOKUP(tblSales[[#This Row],[Product Code]],tblProducts[Code],tblProducts[Product / Service Name],"⚠ Unknown")</f>
        <v>Socks &amp; Accessories</v>
      </c>
      <c r="H702" s="1" t="str">
        <f>_xlfn.XLOOKUP(tblSales[[#This Row],[Product Code]],tblProducts[Code],tblProducts[Category],"")</f>
        <v>Accessories &amp; Basics</v>
      </c>
      <c r="I702" s="4">
        <v>3</v>
      </c>
      <c r="J702" s="5">
        <f>_xlfn.XLOOKUP(tblSales[[#This Row],[Product Code]],tblProducts[Code],tblProducts[Selling Price (excl. VAT)],0)</f>
        <v>45000</v>
      </c>
      <c r="K702" s="5">
        <f>tblSales[[#This Row],[Qty]]*tblSales[[#This Row],[Unit Price]]</f>
        <v>135000</v>
      </c>
      <c r="L702" s="5">
        <f>ROUND(tblSales[[#This Row],[DPP (excl. VAT)]]*VATEff,0)</f>
        <v>14850</v>
      </c>
      <c r="M702" s="5">
        <f>tblSales[[#This Row],[DPP (excl. VAT)]]+tblSales[[#This Row],[Output VAT]]</f>
        <v>149850</v>
      </c>
      <c r="N702" s="5">
        <f>tblSales[[#This Row],[Qty]]*_xlfn.XLOOKUP(tblSales[[#This Row],[Product Code]],tblProducts[Code],tblProducts[Unit Cost],0)</f>
        <v>72000</v>
      </c>
      <c r="O702" s="4" t="s">
        <v>4866</v>
      </c>
      <c r="P702" s="4" t="s">
        <v>4862</v>
      </c>
      <c r="Q702" s="1" t="str">
        <f>_xlfn.XLOOKUP(tblSales[[#This Row],[Channel Code]],tblChannels[Channel Code],tblChannels[Channel Name],"")</f>
        <v>Website &amp; Social Media</v>
      </c>
      <c r="R702" s="1">
        <f>MONTH(tblSales[[#This Row],[Date]])</f>
        <v>2</v>
      </c>
    </row>
    <row r="703" spans="2:18" x14ac:dyDescent="0.35">
      <c r="B703" s="113">
        <v>46068</v>
      </c>
      <c r="C703" s="4" t="s">
        <v>480</v>
      </c>
      <c r="D703" s="4" t="s">
        <v>4568</v>
      </c>
      <c r="E703" s="1" t="str">
        <f>_xlfn.XLOOKUP(tblSales[[#This Row],[Customer ID]],tblCustomers[Customer ID],tblCustomers[Customer Name],"⚠ Unknown")</f>
        <v>Walk-in Customer</v>
      </c>
      <c r="F703" s="4" t="s">
        <v>6</v>
      </c>
      <c r="G703" s="1" t="str">
        <f>_xlfn.XLOOKUP(tblSales[[#This Row],[Product Code]],tblProducts[Code],tblProducts[Product / Service Name],"⚠ Unknown")</f>
        <v>Socks &amp; Accessories</v>
      </c>
      <c r="H703" s="1" t="str">
        <f>_xlfn.XLOOKUP(tblSales[[#This Row],[Product Code]],tblProducts[Code],tblProducts[Category],"")</f>
        <v>Accessories &amp; Basics</v>
      </c>
      <c r="I703" s="4">
        <v>9</v>
      </c>
      <c r="J703" s="5">
        <f>_xlfn.XLOOKUP(tblSales[[#This Row],[Product Code]],tblProducts[Code],tblProducts[Selling Price (excl. VAT)],0)</f>
        <v>45000</v>
      </c>
      <c r="K703" s="5">
        <f>tblSales[[#This Row],[Qty]]*tblSales[[#This Row],[Unit Price]]</f>
        <v>405000</v>
      </c>
      <c r="L703" s="5">
        <f>ROUND(tblSales[[#This Row],[DPP (excl. VAT)]]*VATEff,0)</f>
        <v>44550</v>
      </c>
      <c r="M703" s="5">
        <f>tblSales[[#This Row],[DPP (excl. VAT)]]+tblSales[[#This Row],[Output VAT]]</f>
        <v>449550</v>
      </c>
      <c r="N703" s="5">
        <f>tblSales[[#This Row],[Qty]]*_xlfn.XLOOKUP(tblSales[[#This Row],[Product Code]],tblProducts[Code],tblProducts[Unit Cost],0)</f>
        <v>216000</v>
      </c>
      <c r="O703" s="4" t="s">
        <v>4866</v>
      </c>
      <c r="P703" s="4" t="s">
        <v>4861</v>
      </c>
      <c r="Q703" s="1" t="str">
        <f>_xlfn.XLOOKUP(tblSales[[#This Row],[Channel Code]],tblChannels[Channel Code],tblChannels[Channel Name],"")</f>
        <v>Marketplace</v>
      </c>
      <c r="R703" s="1">
        <f>MONTH(tblSales[[#This Row],[Date]])</f>
        <v>2</v>
      </c>
    </row>
    <row r="704" spans="2:18" x14ac:dyDescent="0.35">
      <c r="B704" s="113">
        <v>46068</v>
      </c>
      <c r="C704" s="4" t="s">
        <v>480</v>
      </c>
      <c r="D704" s="4" t="s">
        <v>4568</v>
      </c>
      <c r="E704" s="1" t="str">
        <f>_xlfn.XLOOKUP(tblSales[[#This Row],[Customer ID]],tblCustomers[Customer ID],tblCustomers[Customer Name],"⚠ Unknown")</f>
        <v>Walk-in Customer</v>
      </c>
      <c r="F704" s="4" t="s">
        <v>13</v>
      </c>
      <c r="G704" s="1" t="str">
        <f>_xlfn.XLOOKUP(tblSales[[#This Row],[Product Code]],tblProducts[Code],tblProducts[Product / Service Name],"⚠ Unknown")</f>
        <v>Backpack</v>
      </c>
      <c r="H704" s="1" t="str">
        <f>_xlfn.XLOOKUP(tblSales[[#This Row],[Product Code]],tblProducts[Code],tblProducts[Category],"")</f>
        <v>Bags &amp; Gadgets</v>
      </c>
      <c r="I704" s="4">
        <v>6</v>
      </c>
      <c r="J704" s="5">
        <f>_xlfn.XLOOKUP(tblSales[[#This Row],[Product Code]],tblProducts[Code],tblProducts[Selling Price (excl. VAT)],0)</f>
        <v>500000</v>
      </c>
      <c r="K704" s="5">
        <f>tblSales[[#This Row],[Qty]]*tblSales[[#This Row],[Unit Price]]</f>
        <v>3000000</v>
      </c>
      <c r="L704" s="5">
        <f>ROUND(tblSales[[#This Row],[DPP (excl. VAT)]]*VATEff,0)</f>
        <v>330000</v>
      </c>
      <c r="M704" s="5">
        <f>tblSales[[#This Row],[DPP (excl. VAT)]]+tblSales[[#This Row],[Output VAT]]</f>
        <v>3330000</v>
      </c>
      <c r="N704" s="5">
        <f>tblSales[[#This Row],[Qty]]*_xlfn.XLOOKUP(tblSales[[#This Row],[Product Code]],tblProducts[Code],tblProducts[Unit Cost],0)</f>
        <v>1740000</v>
      </c>
      <c r="O704" s="4" t="s">
        <v>4866</v>
      </c>
      <c r="P704" s="4" t="s">
        <v>4861</v>
      </c>
      <c r="Q704" s="1" t="str">
        <f>_xlfn.XLOOKUP(tblSales[[#This Row],[Channel Code]],tblChannels[Channel Code],tblChannels[Channel Name],"")</f>
        <v>Marketplace</v>
      </c>
      <c r="R704" s="1">
        <f>MONTH(tblSales[[#This Row],[Date]])</f>
        <v>2</v>
      </c>
    </row>
    <row r="705" spans="2:18" x14ac:dyDescent="0.35">
      <c r="B705" s="113">
        <v>46068</v>
      </c>
      <c r="C705" s="4" t="s">
        <v>481</v>
      </c>
      <c r="D705" s="4" t="s">
        <v>4568</v>
      </c>
      <c r="E705" s="1" t="str">
        <f>_xlfn.XLOOKUP(tblSales[[#This Row],[Customer ID]],tblCustomers[Customer ID],tblCustomers[Customer Name],"⚠ Unknown")</f>
        <v>Walk-in Customer</v>
      </c>
      <c r="F705" s="4" t="s">
        <v>11</v>
      </c>
      <c r="G705" s="1" t="str">
        <f>_xlfn.XLOOKUP(tblSales[[#This Row],[Product Code]],tblProducts[Code],tblProducts[Product / Service Name],"⚠ Unknown")</f>
        <v>Sneakers</v>
      </c>
      <c r="H705" s="1" t="str">
        <f>_xlfn.XLOOKUP(tblSales[[#This Row],[Product Code]],tblProducts[Code],tblProducts[Category],"")</f>
        <v>Apparel &amp; Footwear</v>
      </c>
      <c r="I705" s="4">
        <v>2</v>
      </c>
      <c r="J705" s="5">
        <f>_xlfn.XLOOKUP(tblSales[[#This Row],[Product Code]],tblProducts[Code],tblProducts[Selling Price (excl. VAT)],0)</f>
        <v>250000</v>
      </c>
      <c r="K705" s="5">
        <f>tblSales[[#This Row],[Qty]]*tblSales[[#This Row],[Unit Price]]</f>
        <v>500000</v>
      </c>
      <c r="L705" s="5">
        <f>ROUND(tblSales[[#This Row],[DPP (excl. VAT)]]*VATEff,0)</f>
        <v>55000</v>
      </c>
      <c r="M705" s="5">
        <f>tblSales[[#This Row],[DPP (excl. VAT)]]+tblSales[[#This Row],[Output VAT]]</f>
        <v>555000</v>
      </c>
      <c r="N705" s="5">
        <f>tblSales[[#This Row],[Qty]]*_xlfn.XLOOKUP(tblSales[[#This Row],[Product Code]],tblProducts[Code],tblProducts[Unit Cost],0)</f>
        <v>310000</v>
      </c>
      <c r="O705" s="4" t="s">
        <v>4865</v>
      </c>
      <c r="P705" s="4" t="s">
        <v>4860</v>
      </c>
      <c r="Q705" s="1" t="str">
        <f>_xlfn.XLOOKUP(tblSales[[#This Row],[Channel Code]],tblChannels[Channel Code],tblChannels[Channel Name],"")</f>
        <v>In-store</v>
      </c>
      <c r="R705" s="1">
        <f>MONTH(tblSales[[#This Row],[Date]])</f>
        <v>2</v>
      </c>
    </row>
    <row r="706" spans="2:18" x14ac:dyDescent="0.35">
      <c r="B706" s="113">
        <v>46068</v>
      </c>
      <c r="C706" s="4" t="s">
        <v>482</v>
      </c>
      <c r="D706" s="4" t="s">
        <v>4568</v>
      </c>
      <c r="E706" s="1" t="str">
        <f>_xlfn.XLOOKUP(tblSales[[#This Row],[Customer ID]],tblCustomers[Customer ID],tblCustomers[Customer Name],"⚠ Unknown")</f>
        <v>Walk-in Customer</v>
      </c>
      <c r="F706" s="4" t="s">
        <v>12</v>
      </c>
      <c r="G706" s="1" t="str">
        <f>_xlfn.XLOOKUP(tblSales[[#This Row],[Product Code]],tblProducts[Code],tblProducts[Product / Service Name],"⚠ Unknown")</f>
        <v>Bomber Jacket</v>
      </c>
      <c r="H706" s="1" t="str">
        <f>_xlfn.XLOOKUP(tblSales[[#This Row],[Product Code]],tblProducts[Code],tblProducts[Category],"")</f>
        <v>Apparel &amp; Footwear</v>
      </c>
      <c r="I706" s="4">
        <v>3</v>
      </c>
      <c r="J706" s="5">
        <f>_xlfn.XLOOKUP(tblSales[[#This Row],[Product Code]],tblProducts[Code],tblProducts[Selling Price (excl. VAT)],0)</f>
        <v>350000</v>
      </c>
      <c r="K706" s="5">
        <f>tblSales[[#This Row],[Qty]]*tblSales[[#This Row],[Unit Price]]</f>
        <v>1050000</v>
      </c>
      <c r="L706" s="5">
        <f>ROUND(tblSales[[#This Row],[DPP (excl. VAT)]]*VATEff,0)</f>
        <v>115500</v>
      </c>
      <c r="M706" s="5">
        <f>tblSales[[#This Row],[DPP (excl. VAT)]]+tblSales[[#This Row],[Output VAT]]</f>
        <v>1165500</v>
      </c>
      <c r="N706" s="5">
        <f>tblSales[[#This Row],[Qty]]*_xlfn.XLOOKUP(tblSales[[#This Row],[Product Code]],tblProducts[Code],tblProducts[Unit Cost],0)</f>
        <v>630000</v>
      </c>
      <c r="O706" s="4" t="s">
        <v>4866</v>
      </c>
      <c r="P706" s="4" t="s">
        <v>4861</v>
      </c>
      <c r="Q706" s="1" t="str">
        <f>_xlfn.XLOOKUP(tblSales[[#This Row],[Channel Code]],tblChannels[Channel Code],tblChannels[Channel Name],"")</f>
        <v>Marketplace</v>
      </c>
      <c r="R706" s="1">
        <f>MONTH(tblSales[[#This Row],[Date]])</f>
        <v>2</v>
      </c>
    </row>
    <row r="707" spans="2:18" x14ac:dyDescent="0.35">
      <c r="B707" s="113">
        <v>46068</v>
      </c>
      <c r="C707" s="4" t="s">
        <v>482</v>
      </c>
      <c r="D707" s="4" t="s">
        <v>4568</v>
      </c>
      <c r="E707" s="1" t="str">
        <f>_xlfn.XLOOKUP(tblSales[[#This Row],[Customer ID]],tblCustomers[Customer ID],tblCustomers[Customer Name],"⚠ Unknown")</f>
        <v>Walk-in Customer</v>
      </c>
      <c r="F707" s="4" t="s">
        <v>6</v>
      </c>
      <c r="G707" s="1" t="str">
        <f>_xlfn.XLOOKUP(tblSales[[#This Row],[Product Code]],tblProducts[Code],tblProducts[Product / Service Name],"⚠ Unknown")</f>
        <v>Socks &amp; Accessories</v>
      </c>
      <c r="H707" s="1" t="str">
        <f>_xlfn.XLOOKUP(tblSales[[#This Row],[Product Code]],tblProducts[Code],tblProducts[Category],"")</f>
        <v>Accessories &amp; Basics</v>
      </c>
      <c r="I707" s="4">
        <v>4</v>
      </c>
      <c r="J707" s="5">
        <f>_xlfn.XLOOKUP(tblSales[[#This Row],[Product Code]],tblProducts[Code],tblProducts[Selling Price (excl. VAT)],0)</f>
        <v>45000</v>
      </c>
      <c r="K707" s="5">
        <f>tblSales[[#This Row],[Qty]]*tblSales[[#This Row],[Unit Price]]</f>
        <v>180000</v>
      </c>
      <c r="L707" s="5">
        <f>ROUND(tblSales[[#This Row],[DPP (excl. VAT)]]*VATEff,0)</f>
        <v>19800</v>
      </c>
      <c r="M707" s="5">
        <f>tblSales[[#This Row],[DPP (excl. VAT)]]+tblSales[[#This Row],[Output VAT]]</f>
        <v>199800</v>
      </c>
      <c r="N707" s="5">
        <f>tblSales[[#This Row],[Qty]]*_xlfn.XLOOKUP(tblSales[[#This Row],[Product Code]],tblProducts[Code],tblProducts[Unit Cost],0)</f>
        <v>96000</v>
      </c>
      <c r="O707" s="4" t="s">
        <v>4866</v>
      </c>
      <c r="P707" s="4" t="s">
        <v>4861</v>
      </c>
      <c r="Q707" s="1" t="str">
        <f>_xlfn.XLOOKUP(tblSales[[#This Row],[Channel Code]],tblChannels[Channel Code],tblChannels[Channel Name],"")</f>
        <v>Marketplace</v>
      </c>
      <c r="R707" s="1">
        <f>MONTH(tblSales[[#This Row],[Date]])</f>
        <v>2</v>
      </c>
    </row>
    <row r="708" spans="2:18" x14ac:dyDescent="0.35">
      <c r="B708" s="113">
        <v>46068</v>
      </c>
      <c r="C708" s="4" t="s">
        <v>483</v>
      </c>
      <c r="D708" s="4" t="s">
        <v>4568</v>
      </c>
      <c r="E708" s="1" t="str">
        <f>_xlfn.XLOOKUP(tblSales[[#This Row],[Customer ID]],tblCustomers[Customer ID],tblCustomers[Customer Name],"⚠ Unknown")</f>
        <v>Walk-in Customer</v>
      </c>
      <c r="F708" s="4" t="s">
        <v>15</v>
      </c>
      <c r="G708" s="1" t="str">
        <f>_xlfn.XLOOKUP(tblSales[[#This Row],[Product Code]],tblProducts[Code],tblProducts[Product / Service Name],"⚠ Unknown")</f>
        <v>Wireless Earbuds Pro</v>
      </c>
      <c r="H708" s="1" t="str">
        <f>_xlfn.XLOOKUP(tblSales[[#This Row],[Product Code]],tblProducts[Code],tblProducts[Category],"")</f>
        <v>Bags &amp; Gadgets</v>
      </c>
      <c r="I708" s="4">
        <v>2</v>
      </c>
      <c r="J708" s="5">
        <f>_xlfn.XLOOKUP(tblSales[[#This Row],[Product Code]],tblProducts[Code],tblProducts[Selling Price (excl. VAT)],0)</f>
        <v>1250000</v>
      </c>
      <c r="K708" s="5">
        <f>tblSales[[#This Row],[Qty]]*tblSales[[#This Row],[Unit Price]]</f>
        <v>2500000</v>
      </c>
      <c r="L708" s="5">
        <f>ROUND(tblSales[[#This Row],[DPP (excl. VAT)]]*VATEff,0)</f>
        <v>275000</v>
      </c>
      <c r="M708" s="5">
        <f>tblSales[[#This Row],[DPP (excl. VAT)]]+tblSales[[#This Row],[Output VAT]]</f>
        <v>2775000</v>
      </c>
      <c r="N708" s="5">
        <f>tblSales[[#This Row],[Qty]]*_xlfn.XLOOKUP(tblSales[[#This Row],[Product Code]],tblProducts[Code],tblProducts[Unit Cost],0)</f>
        <v>1640000</v>
      </c>
      <c r="O708" s="4" t="s">
        <v>4865</v>
      </c>
      <c r="P708" s="4" t="s">
        <v>4860</v>
      </c>
      <c r="Q708" s="1" t="str">
        <f>_xlfn.XLOOKUP(tblSales[[#This Row],[Channel Code]],tblChannels[Channel Code],tblChannels[Channel Name],"")</f>
        <v>In-store</v>
      </c>
      <c r="R708" s="1">
        <f>MONTH(tblSales[[#This Row],[Date]])</f>
        <v>2</v>
      </c>
    </row>
    <row r="709" spans="2:18" x14ac:dyDescent="0.35">
      <c r="B709" s="113">
        <v>46068</v>
      </c>
      <c r="C709" s="4" t="s">
        <v>484</v>
      </c>
      <c r="D709" s="4" t="s">
        <v>4568</v>
      </c>
      <c r="E709" s="1" t="str">
        <f>_xlfn.XLOOKUP(tblSales[[#This Row],[Customer ID]],tblCustomers[Customer ID],tblCustomers[Customer Name],"⚠ Unknown")</f>
        <v>Walk-in Customer</v>
      </c>
      <c r="F709" s="4" t="s">
        <v>12</v>
      </c>
      <c r="G709" s="1" t="str">
        <f>_xlfn.XLOOKUP(tblSales[[#This Row],[Product Code]],tblProducts[Code],tblProducts[Product / Service Name],"⚠ Unknown")</f>
        <v>Bomber Jacket</v>
      </c>
      <c r="H709" s="1" t="str">
        <f>_xlfn.XLOOKUP(tblSales[[#This Row],[Product Code]],tblProducts[Code],tblProducts[Category],"")</f>
        <v>Apparel &amp; Footwear</v>
      </c>
      <c r="I709" s="4">
        <v>6</v>
      </c>
      <c r="J709" s="5">
        <f>_xlfn.XLOOKUP(tblSales[[#This Row],[Product Code]],tblProducts[Code],tblProducts[Selling Price (excl. VAT)],0)</f>
        <v>350000</v>
      </c>
      <c r="K709" s="5">
        <f>tblSales[[#This Row],[Qty]]*tblSales[[#This Row],[Unit Price]]</f>
        <v>2100000</v>
      </c>
      <c r="L709" s="5">
        <f>ROUND(tblSales[[#This Row],[DPP (excl. VAT)]]*VATEff,0)</f>
        <v>231000</v>
      </c>
      <c r="M709" s="5">
        <f>tblSales[[#This Row],[DPP (excl. VAT)]]+tblSales[[#This Row],[Output VAT]]</f>
        <v>2331000</v>
      </c>
      <c r="N709" s="5">
        <f>tblSales[[#This Row],[Qty]]*_xlfn.XLOOKUP(tblSales[[#This Row],[Product Code]],tblProducts[Code],tblProducts[Unit Cost],0)</f>
        <v>1260000</v>
      </c>
      <c r="O709" s="4" t="s">
        <v>4866</v>
      </c>
      <c r="P709" s="4" t="s">
        <v>4861</v>
      </c>
      <c r="Q709" s="1" t="str">
        <f>_xlfn.XLOOKUP(tblSales[[#This Row],[Channel Code]],tblChannels[Channel Code],tblChannels[Channel Name],"")</f>
        <v>Marketplace</v>
      </c>
      <c r="R709" s="1">
        <f>MONTH(tblSales[[#This Row],[Date]])</f>
        <v>2</v>
      </c>
    </row>
    <row r="710" spans="2:18" x14ac:dyDescent="0.35">
      <c r="B710" s="113">
        <v>46068</v>
      </c>
      <c r="C710" s="4" t="s">
        <v>485</v>
      </c>
      <c r="D710" s="4" t="s">
        <v>4568</v>
      </c>
      <c r="E710" s="1" t="str">
        <f>_xlfn.XLOOKUP(tblSales[[#This Row],[Customer ID]],tblCustomers[Customer ID],tblCustomers[Customer Name],"⚠ Unknown")</f>
        <v>Walk-in Customer</v>
      </c>
      <c r="F710" s="4" t="s">
        <v>8</v>
      </c>
      <c r="G710" s="1" t="str">
        <f>_xlfn.XLOOKUP(tblSales[[#This Row],[Product Code]],tblProducts[Code],tblProducts[Product / Service Name],"⚠ Unknown")</f>
        <v>Casual Shorts</v>
      </c>
      <c r="H710" s="1" t="str">
        <f>_xlfn.XLOOKUP(tblSales[[#This Row],[Product Code]],tblProducts[Code],tblProducts[Category],"")</f>
        <v>Accessories &amp; Basics</v>
      </c>
      <c r="I710" s="4">
        <v>2</v>
      </c>
      <c r="J710" s="5">
        <f>_xlfn.XLOOKUP(tblSales[[#This Row],[Product Code]],tblProducts[Code],tblProducts[Selling Price (excl. VAT)],0)</f>
        <v>85000</v>
      </c>
      <c r="K710" s="5">
        <f>tblSales[[#This Row],[Qty]]*tblSales[[#This Row],[Unit Price]]</f>
        <v>170000</v>
      </c>
      <c r="L710" s="5">
        <f>ROUND(tblSales[[#This Row],[DPP (excl. VAT)]]*VATEff,0)</f>
        <v>18700</v>
      </c>
      <c r="M710" s="5">
        <f>tblSales[[#This Row],[DPP (excl. VAT)]]+tblSales[[#This Row],[Output VAT]]</f>
        <v>188700</v>
      </c>
      <c r="N710" s="5">
        <f>tblSales[[#This Row],[Qty]]*_xlfn.XLOOKUP(tblSales[[#This Row],[Product Code]],tblProducts[Code],tblProducts[Unit Cost],0)</f>
        <v>100000</v>
      </c>
      <c r="O710" s="4" t="s">
        <v>4865</v>
      </c>
      <c r="P710" s="4" t="s">
        <v>4860</v>
      </c>
      <c r="Q710" s="1" t="str">
        <f>_xlfn.XLOOKUP(tblSales[[#This Row],[Channel Code]],tblChannels[Channel Code],tblChannels[Channel Name],"")</f>
        <v>In-store</v>
      </c>
      <c r="R710" s="1">
        <f>MONTH(tblSales[[#This Row],[Date]])</f>
        <v>2</v>
      </c>
    </row>
    <row r="711" spans="2:18" x14ac:dyDescent="0.35">
      <c r="B711" s="113">
        <v>46068</v>
      </c>
      <c r="C711" s="4" t="s">
        <v>485</v>
      </c>
      <c r="D711" s="4" t="s">
        <v>4568</v>
      </c>
      <c r="E711" s="1" t="str">
        <f>_xlfn.XLOOKUP(tblSales[[#This Row],[Customer ID]],tblCustomers[Customer ID],tblCustomers[Customer Name],"⚠ Unknown")</f>
        <v>Walk-in Customer</v>
      </c>
      <c r="F711" s="4" t="s">
        <v>11</v>
      </c>
      <c r="G711" s="1" t="str">
        <f>_xlfn.XLOOKUP(tblSales[[#This Row],[Product Code]],tblProducts[Code],tblProducts[Product / Service Name],"⚠ Unknown")</f>
        <v>Sneakers</v>
      </c>
      <c r="H711" s="1" t="str">
        <f>_xlfn.XLOOKUP(tblSales[[#This Row],[Product Code]],tblProducts[Code],tblProducts[Category],"")</f>
        <v>Apparel &amp; Footwear</v>
      </c>
      <c r="I711" s="4">
        <v>1</v>
      </c>
      <c r="J711" s="5">
        <f>_xlfn.XLOOKUP(tblSales[[#This Row],[Product Code]],tblProducts[Code],tblProducts[Selling Price (excl. VAT)],0)</f>
        <v>250000</v>
      </c>
      <c r="K711" s="5">
        <f>tblSales[[#This Row],[Qty]]*tblSales[[#This Row],[Unit Price]]</f>
        <v>250000</v>
      </c>
      <c r="L711" s="5">
        <f>ROUND(tblSales[[#This Row],[DPP (excl. VAT)]]*VATEff,0)</f>
        <v>27500</v>
      </c>
      <c r="M711" s="5">
        <f>tblSales[[#This Row],[DPP (excl. VAT)]]+tblSales[[#This Row],[Output VAT]]</f>
        <v>277500</v>
      </c>
      <c r="N711" s="5">
        <f>tblSales[[#This Row],[Qty]]*_xlfn.XLOOKUP(tblSales[[#This Row],[Product Code]],tblProducts[Code],tblProducts[Unit Cost],0)</f>
        <v>155000</v>
      </c>
      <c r="O711" s="4" t="s">
        <v>4865</v>
      </c>
      <c r="P711" s="4" t="s">
        <v>4860</v>
      </c>
      <c r="Q711" s="1" t="str">
        <f>_xlfn.XLOOKUP(tblSales[[#This Row],[Channel Code]],tblChannels[Channel Code],tblChannels[Channel Name],"")</f>
        <v>In-store</v>
      </c>
      <c r="R711" s="1">
        <f>MONTH(tblSales[[#This Row],[Date]])</f>
        <v>2</v>
      </c>
    </row>
    <row r="712" spans="2:18" x14ac:dyDescent="0.35">
      <c r="B712" s="113">
        <v>46069</v>
      </c>
      <c r="C712" s="4" t="s">
        <v>486</v>
      </c>
      <c r="D712" s="4" t="s">
        <v>4568</v>
      </c>
      <c r="E712" s="1" t="str">
        <f>_xlfn.XLOOKUP(tblSales[[#This Row],[Customer ID]],tblCustomers[Customer ID],tblCustomers[Customer Name],"⚠ Unknown")</f>
        <v>Walk-in Customer</v>
      </c>
      <c r="F712" s="4" t="s">
        <v>8</v>
      </c>
      <c r="G712" s="1" t="str">
        <f>_xlfn.XLOOKUP(tblSales[[#This Row],[Product Code]],tblProducts[Code],tblProducts[Product / Service Name],"⚠ Unknown")</f>
        <v>Casual Shorts</v>
      </c>
      <c r="H712" s="1" t="str">
        <f>_xlfn.XLOOKUP(tblSales[[#This Row],[Product Code]],tblProducts[Code],tblProducts[Category],"")</f>
        <v>Accessories &amp; Basics</v>
      </c>
      <c r="I712" s="4">
        <v>4</v>
      </c>
      <c r="J712" s="5">
        <f>_xlfn.XLOOKUP(tblSales[[#This Row],[Product Code]],tblProducts[Code],tblProducts[Selling Price (excl. VAT)],0)</f>
        <v>85000</v>
      </c>
      <c r="K712" s="5">
        <f>tblSales[[#This Row],[Qty]]*tblSales[[#This Row],[Unit Price]]</f>
        <v>340000</v>
      </c>
      <c r="L712" s="5">
        <f>ROUND(tblSales[[#This Row],[DPP (excl. VAT)]]*VATEff,0)</f>
        <v>37400</v>
      </c>
      <c r="M712" s="5">
        <f>tblSales[[#This Row],[DPP (excl. VAT)]]+tblSales[[#This Row],[Output VAT]]</f>
        <v>377400</v>
      </c>
      <c r="N712" s="5">
        <f>tblSales[[#This Row],[Qty]]*_xlfn.XLOOKUP(tblSales[[#This Row],[Product Code]],tblProducts[Code],tblProducts[Unit Cost],0)</f>
        <v>200000</v>
      </c>
      <c r="O712" s="4" t="s">
        <v>4865</v>
      </c>
      <c r="P712" s="4" t="s">
        <v>4860</v>
      </c>
      <c r="Q712" s="1" t="str">
        <f>_xlfn.XLOOKUP(tblSales[[#This Row],[Channel Code]],tblChannels[Channel Code],tblChannels[Channel Name],"")</f>
        <v>In-store</v>
      </c>
      <c r="R712" s="1">
        <f>MONTH(tblSales[[#This Row],[Date]])</f>
        <v>2</v>
      </c>
    </row>
    <row r="713" spans="2:18" x14ac:dyDescent="0.35">
      <c r="B713" s="113">
        <v>46069</v>
      </c>
      <c r="C713" s="4" t="s">
        <v>486</v>
      </c>
      <c r="D713" s="4" t="s">
        <v>4568</v>
      </c>
      <c r="E713" s="1" t="str">
        <f>_xlfn.XLOOKUP(tblSales[[#This Row],[Customer ID]],tblCustomers[Customer ID],tblCustomers[Customer Name],"⚠ Unknown")</f>
        <v>Walk-in Customer</v>
      </c>
      <c r="F713" s="4" t="s">
        <v>15</v>
      </c>
      <c r="G713" s="1" t="str">
        <f>_xlfn.XLOOKUP(tblSales[[#This Row],[Product Code]],tblProducts[Code],tblProducts[Product / Service Name],"⚠ Unknown")</f>
        <v>Wireless Earbuds Pro</v>
      </c>
      <c r="H713" s="1" t="str">
        <f>_xlfn.XLOOKUP(tblSales[[#This Row],[Product Code]],tblProducts[Code],tblProducts[Category],"")</f>
        <v>Bags &amp; Gadgets</v>
      </c>
      <c r="I713" s="4">
        <v>2</v>
      </c>
      <c r="J713" s="5">
        <f>_xlfn.XLOOKUP(tblSales[[#This Row],[Product Code]],tblProducts[Code],tblProducts[Selling Price (excl. VAT)],0)</f>
        <v>1250000</v>
      </c>
      <c r="K713" s="5">
        <f>tblSales[[#This Row],[Qty]]*tblSales[[#This Row],[Unit Price]]</f>
        <v>2500000</v>
      </c>
      <c r="L713" s="5">
        <f>ROUND(tblSales[[#This Row],[DPP (excl. VAT)]]*VATEff,0)</f>
        <v>275000</v>
      </c>
      <c r="M713" s="5">
        <f>tblSales[[#This Row],[DPP (excl. VAT)]]+tblSales[[#This Row],[Output VAT]]</f>
        <v>2775000</v>
      </c>
      <c r="N713" s="5">
        <f>tblSales[[#This Row],[Qty]]*_xlfn.XLOOKUP(tblSales[[#This Row],[Product Code]],tblProducts[Code],tblProducts[Unit Cost],0)</f>
        <v>1640000</v>
      </c>
      <c r="O713" s="4" t="s">
        <v>4865</v>
      </c>
      <c r="P713" s="4" t="s">
        <v>4860</v>
      </c>
      <c r="Q713" s="1" t="str">
        <f>_xlfn.XLOOKUP(tblSales[[#This Row],[Channel Code]],tblChannels[Channel Code],tblChannels[Channel Name],"")</f>
        <v>In-store</v>
      </c>
      <c r="R713" s="1">
        <f>MONTH(tblSales[[#This Row],[Date]])</f>
        <v>2</v>
      </c>
    </row>
    <row r="714" spans="2:18" x14ac:dyDescent="0.35">
      <c r="B714" s="113">
        <v>46069</v>
      </c>
      <c r="C714" s="4" t="s">
        <v>487</v>
      </c>
      <c r="D714" s="4" t="s">
        <v>4568</v>
      </c>
      <c r="E714" s="1" t="str">
        <f>_xlfn.XLOOKUP(tblSales[[#This Row],[Customer ID]],tblCustomers[Customer ID],tblCustomers[Customer Name],"⚠ Unknown")</f>
        <v>Walk-in Customer</v>
      </c>
      <c r="F714" s="4" t="s">
        <v>6</v>
      </c>
      <c r="G714" s="1" t="str">
        <f>_xlfn.XLOOKUP(tblSales[[#This Row],[Product Code]],tblProducts[Code],tblProducts[Product / Service Name],"⚠ Unknown")</f>
        <v>Socks &amp; Accessories</v>
      </c>
      <c r="H714" s="1" t="str">
        <f>_xlfn.XLOOKUP(tblSales[[#This Row],[Product Code]],tblProducts[Code],tblProducts[Category],"")</f>
        <v>Accessories &amp; Basics</v>
      </c>
      <c r="I714" s="4">
        <v>5</v>
      </c>
      <c r="J714" s="5">
        <f>_xlfn.XLOOKUP(tblSales[[#This Row],[Product Code]],tblProducts[Code],tblProducts[Selling Price (excl. VAT)],0)</f>
        <v>45000</v>
      </c>
      <c r="K714" s="5">
        <f>tblSales[[#This Row],[Qty]]*tblSales[[#This Row],[Unit Price]]</f>
        <v>225000</v>
      </c>
      <c r="L714" s="5">
        <f>ROUND(tblSales[[#This Row],[DPP (excl. VAT)]]*VATEff,0)</f>
        <v>24750</v>
      </c>
      <c r="M714" s="5">
        <f>tblSales[[#This Row],[DPP (excl. VAT)]]+tblSales[[#This Row],[Output VAT]]</f>
        <v>249750</v>
      </c>
      <c r="N714" s="5">
        <f>tblSales[[#This Row],[Qty]]*_xlfn.XLOOKUP(tblSales[[#This Row],[Product Code]],tblProducts[Code],tblProducts[Unit Cost],0)</f>
        <v>120000</v>
      </c>
      <c r="O714" s="4" t="s">
        <v>4865</v>
      </c>
      <c r="P714" s="4" t="s">
        <v>4860</v>
      </c>
      <c r="Q714" s="1" t="str">
        <f>_xlfn.XLOOKUP(tblSales[[#This Row],[Channel Code]],tblChannels[Channel Code],tblChannels[Channel Name],"")</f>
        <v>In-store</v>
      </c>
      <c r="R714" s="1">
        <f>MONTH(tblSales[[#This Row],[Date]])</f>
        <v>2</v>
      </c>
    </row>
    <row r="715" spans="2:18" x14ac:dyDescent="0.35">
      <c r="B715" s="113">
        <v>46069</v>
      </c>
      <c r="C715" s="4" t="s">
        <v>488</v>
      </c>
      <c r="D715" s="4" t="s">
        <v>4568</v>
      </c>
      <c r="E715" s="1" t="str">
        <f>_xlfn.XLOOKUP(tblSales[[#This Row],[Customer ID]],tblCustomers[Customer ID],tblCustomers[Customer Name],"⚠ Unknown")</f>
        <v>Walk-in Customer</v>
      </c>
      <c r="F715" s="4" t="s">
        <v>13</v>
      </c>
      <c r="G715" s="1" t="str">
        <f>_xlfn.XLOOKUP(tblSales[[#This Row],[Product Code]],tblProducts[Code],tblProducts[Product / Service Name],"⚠ Unknown")</f>
        <v>Backpack</v>
      </c>
      <c r="H715" s="1" t="str">
        <f>_xlfn.XLOOKUP(tblSales[[#This Row],[Product Code]],tblProducts[Code],tblProducts[Category],"")</f>
        <v>Bags &amp; Gadgets</v>
      </c>
      <c r="I715" s="4">
        <v>5</v>
      </c>
      <c r="J715" s="5">
        <f>_xlfn.XLOOKUP(tblSales[[#This Row],[Product Code]],tblProducts[Code],tblProducts[Selling Price (excl. VAT)],0)</f>
        <v>500000</v>
      </c>
      <c r="K715" s="5">
        <f>tblSales[[#This Row],[Qty]]*tblSales[[#This Row],[Unit Price]]</f>
        <v>2500000</v>
      </c>
      <c r="L715" s="5">
        <f>ROUND(tblSales[[#This Row],[DPP (excl. VAT)]]*VATEff,0)</f>
        <v>275000</v>
      </c>
      <c r="M715" s="5">
        <f>tblSales[[#This Row],[DPP (excl. VAT)]]+tblSales[[#This Row],[Output VAT]]</f>
        <v>2775000</v>
      </c>
      <c r="N715" s="5">
        <f>tblSales[[#This Row],[Qty]]*_xlfn.XLOOKUP(tblSales[[#This Row],[Product Code]],tblProducts[Code],tblProducts[Unit Cost],0)</f>
        <v>1450000</v>
      </c>
      <c r="O715" s="4" t="s">
        <v>4866</v>
      </c>
      <c r="P715" s="4" t="s">
        <v>4861</v>
      </c>
      <c r="Q715" s="1" t="str">
        <f>_xlfn.XLOOKUP(tblSales[[#This Row],[Channel Code]],tblChannels[Channel Code],tblChannels[Channel Name],"")</f>
        <v>Marketplace</v>
      </c>
      <c r="R715" s="1">
        <f>MONTH(tblSales[[#This Row],[Date]])</f>
        <v>2</v>
      </c>
    </row>
    <row r="716" spans="2:18" x14ac:dyDescent="0.35">
      <c r="B716" s="113">
        <v>46069</v>
      </c>
      <c r="C716" s="4" t="s">
        <v>489</v>
      </c>
      <c r="D716" s="4" t="s">
        <v>4568</v>
      </c>
      <c r="E716" s="1" t="str">
        <f>_xlfn.XLOOKUP(tblSales[[#This Row],[Customer ID]],tblCustomers[Customer ID],tblCustomers[Customer Name],"⚠ Unknown")</f>
        <v>Walk-in Customer</v>
      </c>
      <c r="F716" s="4" t="s">
        <v>11</v>
      </c>
      <c r="G716" s="1" t="str">
        <f>_xlfn.XLOOKUP(tblSales[[#This Row],[Product Code]],tblProducts[Code],tblProducts[Product / Service Name],"⚠ Unknown")</f>
        <v>Sneakers</v>
      </c>
      <c r="H716" s="1" t="str">
        <f>_xlfn.XLOOKUP(tblSales[[#This Row],[Product Code]],tblProducts[Code],tblProducts[Category],"")</f>
        <v>Apparel &amp; Footwear</v>
      </c>
      <c r="I716" s="4">
        <v>1</v>
      </c>
      <c r="J716" s="5">
        <f>_xlfn.XLOOKUP(tblSales[[#This Row],[Product Code]],tblProducts[Code],tblProducts[Selling Price (excl. VAT)],0)</f>
        <v>250000</v>
      </c>
      <c r="K716" s="5">
        <f>tblSales[[#This Row],[Qty]]*tblSales[[#This Row],[Unit Price]]</f>
        <v>250000</v>
      </c>
      <c r="L716" s="5">
        <f>ROUND(tblSales[[#This Row],[DPP (excl. VAT)]]*VATEff,0)</f>
        <v>27500</v>
      </c>
      <c r="M716" s="5">
        <f>tblSales[[#This Row],[DPP (excl. VAT)]]+tblSales[[#This Row],[Output VAT]]</f>
        <v>277500</v>
      </c>
      <c r="N716" s="5">
        <f>tblSales[[#This Row],[Qty]]*_xlfn.XLOOKUP(tblSales[[#This Row],[Product Code]],tblProducts[Code],tblProducts[Unit Cost],0)</f>
        <v>155000</v>
      </c>
      <c r="O716" s="4" t="s">
        <v>4865</v>
      </c>
      <c r="P716" s="4" t="s">
        <v>4860</v>
      </c>
      <c r="Q716" s="1" t="str">
        <f>_xlfn.XLOOKUP(tblSales[[#This Row],[Channel Code]],tblChannels[Channel Code],tblChannels[Channel Name],"")</f>
        <v>In-store</v>
      </c>
      <c r="R716" s="1">
        <f>MONTH(tblSales[[#This Row],[Date]])</f>
        <v>2</v>
      </c>
    </row>
    <row r="717" spans="2:18" x14ac:dyDescent="0.35">
      <c r="B717" s="113">
        <v>46069</v>
      </c>
      <c r="C717" s="4" t="s">
        <v>490</v>
      </c>
      <c r="D717" s="4" t="s">
        <v>4568</v>
      </c>
      <c r="E717" s="1" t="str">
        <f>_xlfn.XLOOKUP(tblSales[[#This Row],[Customer ID]],tblCustomers[Customer ID],tblCustomers[Customer Name],"⚠ Unknown")</f>
        <v>Walk-in Customer</v>
      </c>
      <c r="F717" s="4" t="s">
        <v>11</v>
      </c>
      <c r="G717" s="1" t="str">
        <f>_xlfn.XLOOKUP(tblSales[[#This Row],[Product Code]],tblProducts[Code],tblProducts[Product / Service Name],"⚠ Unknown")</f>
        <v>Sneakers</v>
      </c>
      <c r="H717" s="1" t="str">
        <f>_xlfn.XLOOKUP(tblSales[[#This Row],[Product Code]],tblProducts[Code],tblProducts[Category],"")</f>
        <v>Apparel &amp; Footwear</v>
      </c>
      <c r="I717" s="4">
        <v>6</v>
      </c>
      <c r="J717" s="5">
        <f>_xlfn.XLOOKUP(tblSales[[#This Row],[Product Code]],tblProducts[Code],tblProducts[Selling Price (excl. VAT)],0)</f>
        <v>250000</v>
      </c>
      <c r="K717" s="5">
        <f>tblSales[[#This Row],[Qty]]*tblSales[[#This Row],[Unit Price]]</f>
        <v>1500000</v>
      </c>
      <c r="L717" s="5">
        <f>ROUND(tblSales[[#This Row],[DPP (excl. VAT)]]*VATEff,0)</f>
        <v>165000</v>
      </c>
      <c r="M717" s="5">
        <f>tblSales[[#This Row],[DPP (excl. VAT)]]+tblSales[[#This Row],[Output VAT]]</f>
        <v>1665000</v>
      </c>
      <c r="N717" s="5">
        <f>tblSales[[#This Row],[Qty]]*_xlfn.XLOOKUP(tblSales[[#This Row],[Product Code]],tblProducts[Code],tblProducts[Unit Cost],0)</f>
        <v>930000</v>
      </c>
      <c r="O717" s="4" t="s">
        <v>4866</v>
      </c>
      <c r="P717" s="4" t="s">
        <v>4861</v>
      </c>
      <c r="Q717" s="1" t="str">
        <f>_xlfn.XLOOKUP(tblSales[[#This Row],[Channel Code]],tblChannels[Channel Code],tblChannels[Channel Name],"")</f>
        <v>Marketplace</v>
      </c>
      <c r="R717" s="1">
        <f>MONTH(tblSales[[#This Row],[Date]])</f>
        <v>2</v>
      </c>
    </row>
    <row r="718" spans="2:18" x14ac:dyDescent="0.35">
      <c r="B718" s="113">
        <v>46069</v>
      </c>
      <c r="C718" s="4" t="s">
        <v>491</v>
      </c>
      <c r="D718" s="4" t="s">
        <v>4568</v>
      </c>
      <c r="E718" s="1" t="str">
        <f>_xlfn.XLOOKUP(tblSales[[#This Row],[Customer ID]],tblCustomers[Customer ID],tblCustomers[Customer Name],"⚠ Unknown")</f>
        <v>Walk-in Customer</v>
      </c>
      <c r="F718" s="4" t="s">
        <v>6</v>
      </c>
      <c r="G718" s="1" t="str">
        <f>_xlfn.XLOOKUP(tblSales[[#This Row],[Product Code]],tblProducts[Code],tblProducts[Product / Service Name],"⚠ Unknown")</f>
        <v>Socks &amp; Accessories</v>
      </c>
      <c r="H718" s="1" t="str">
        <f>_xlfn.XLOOKUP(tblSales[[#This Row],[Product Code]],tblProducts[Code],tblProducts[Category],"")</f>
        <v>Accessories &amp; Basics</v>
      </c>
      <c r="I718" s="4">
        <v>6</v>
      </c>
      <c r="J718" s="5">
        <f>_xlfn.XLOOKUP(tblSales[[#This Row],[Product Code]],tblProducts[Code],tblProducts[Selling Price (excl. VAT)],0)</f>
        <v>45000</v>
      </c>
      <c r="K718" s="5">
        <f>tblSales[[#This Row],[Qty]]*tblSales[[#This Row],[Unit Price]]</f>
        <v>270000</v>
      </c>
      <c r="L718" s="5">
        <f>ROUND(tblSales[[#This Row],[DPP (excl. VAT)]]*VATEff,0)</f>
        <v>29700</v>
      </c>
      <c r="M718" s="5">
        <f>tblSales[[#This Row],[DPP (excl. VAT)]]+tblSales[[#This Row],[Output VAT]]</f>
        <v>299700</v>
      </c>
      <c r="N718" s="5">
        <f>tblSales[[#This Row],[Qty]]*_xlfn.XLOOKUP(tblSales[[#This Row],[Product Code]],tblProducts[Code],tblProducts[Unit Cost],0)</f>
        <v>144000</v>
      </c>
      <c r="O718" s="4" t="s">
        <v>4865</v>
      </c>
      <c r="P718" s="4" t="s">
        <v>4860</v>
      </c>
      <c r="Q718" s="1" t="str">
        <f>_xlfn.XLOOKUP(tblSales[[#This Row],[Channel Code]],tblChannels[Channel Code],tblChannels[Channel Name],"")</f>
        <v>In-store</v>
      </c>
      <c r="R718" s="1">
        <f>MONTH(tblSales[[#This Row],[Date]])</f>
        <v>2</v>
      </c>
    </row>
    <row r="719" spans="2:18" x14ac:dyDescent="0.35">
      <c r="B719" s="113">
        <v>46069</v>
      </c>
      <c r="C719" s="4" t="s">
        <v>492</v>
      </c>
      <c r="D719" s="4" t="s">
        <v>4568</v>
      </c>
      <c r="E719" s="1" t="str">
        <f>_xlfn.XLOOKUP(tblSales[[#This Row],[Customer ID]],tblCustomers[Customer ID],tblCustomers[Customer Name],"⚠ Unknown")</f>
        <v>Walk-in Customer</v>
      </c>
      <c r="F719" s="4" t="s">
        <v>9</v>
      </c>
      <c r="G719" s="1" t="str">
        <f>_xlfn.XLOOKUP(tblSales[[#This Row],[Product Code]],tblProducts[Code],tblProducts[Product / Service Name],"⚠ Unknown")</f>
        <v>Casual Shirt</v>
      </c>
      <c r="H719" s="1" t="str">
        <f>_xlfn.XLOOKUP(tblSales[[#This Row],[Product Code]],tblProducts[Code],tblProducts[Category],"")</f>
        <v>Apparel &amp; Footwear</v>
      </c>
      <c r="I719" s="4">
        <v>8</v>
      </c>
      <c r="J719" s="5">
        <f>_xlfn.XLOOKUP(tblSales[[#This Row],[Product Code]],tblProducts[Code],tblProducts[Selling Price (excl. VAT)],0)</f>
        <v>120000</v>
      </c>
      <c r="K719" s="5">
        <f>tblSales[[#This Row],[Qty]]*tblSales[[#This Row],[Unit Price]]</f>
        <v>960000</v>
      </c>
      <c r="L719" s="5">
        <f>ROUND(tblSales[[#This Row],[DPP (excl. VAT)]]*VATEff,0)</f>
        <v>105600</v>
      </c>
      <c r="M719" s="5">
        <f>tblSales[[#This Row],[DPP (excl. VAT)]]+tblSales[[#This Row],[Output VAT]]</f>
        <v>1065600</v>
      </c>
      <c r="N719" s="5">
        <f>tblSales[[#This Row],[Qty]]*_xlfn.XLOOKUP(tblSales[[#This Row],[Product Code]],tblProducts[Code],tblProducts[Unit Cost],0)</f>
        <v>576000</v>
      </c>
      <c r="O719" s="4" t="s">
        <v>4866</v>
      </c>
      <c r="P719" s="4" t="s">
        <v>4861</v>
      </c>
      <c r="Q719" s="1" t="str">
        <f>_xlfn.XLOOKUP(tblSales[[#This Row],[Channel Code]],tblChannels[Channel Code],tblChannels[Channel Name],"")</f>
        <v>Marketplace</v>
      </c>
      <c r="R719" s="1">
        <f>MONTH(tblSales[[#This Row],[Date]])</f>
        <v>2</v>
      </c>
    </row>
    <row r="720" spans="2:18" x14ac:dyDescent="0.35">
      <c r="B720" s="113">
        <v>46069</v>
      </c>
      <c r="C720" s="4" t="s">
        <v>493</v>
      </c>
      <c r="D720" s="4" t="s">
        <v>4568</v>
      </c>
      <c r="E720" s="1" t="str">
        <f>_xlfn.XLOOKUP(tblSales[[#This Row],[Customer ID]],tblCustomers[Customer ID],tblCustomers[Customer Name],"⚠ Unknown")</f>
        <v>Walk-in Customer</v>
      </c>
      <c r="F720" s="4" t="s">
        <v>14</v>
      </c>
      <c r="G720" s="1" t="str">
        <f>_xlfn.XLOOKUP(tblSales[[#This Row],[Product Code]],tblProducts[Code],tblProducts[Product / Service Name],"⚠ Unknown")</f>
        <v>Smartwatch</v>
      </c>
      <c r="H720" s="1" t="str">
        <f>_xlfn.XLOOKUP(tblSales[[#This Row],[Product Code]],tblProducts[Code],tblProducts[Category],"")</f>
        <v>Bags &amp; Gadgets</v>
      </c>
      <c r="I720" s="4">
        <v>1</v>
      </c>
      <c r="J720" s="5">
        <f>_xlfn.XLOOKUP(tblSales[[#This Row],[Product Code]],tblProducts[Code],tblProducts[Selling Price (excl. VAT)],0)</f>
        <v>850000</v>
      </c>
      <c r="K720" s="5">
        <f>tblSales[[#This Row],[Qty]]*tblSales[[#This Row],[Unit Price]]</f>
        <v>850000</v>
      </c>
      <c r="L720" s="5">
        <f>ROUND(tblSales[[#This Row],[DPP (excl. VAT)]]*VATEff,0)</f>
        <v>93500</v>
      </c>
      <c r="M720" s="5">
        <f>tblSales[[#This Row],[DPP (excl. VAT)]]+tblSales[[#This Row],[Output VAT]]</f>
        <v>943500</v>
      </c>
      <c r="N720" s="5">
        <f>tblSales[[#This Row],[Qty]]*_xlfn.XLOOKUP(tblSales[[#This Row],[Product Code]],tblProducts[Code],tblProducts[Unit Cost],0)</f>
        <v>560000</v>
      </c>
      <c r="O720" s="4" t="s">
        <v>4866</v>
      </c>
      <c r="P720" s="4" t="s">
        <v>4860</v>
      </c>
      <c r="Q720" s="1" t="str">
        <f>_xlfn.XLOOKUP(tblSales[[#This Row],[Channel Code]],tblChannels[Channel Code],tblChannels[Channel Name],"")</f>
        <v>In-store</v>
      </c>
      <c r="R720" s="1">
        <f>MONTH(tblSales[[#This Row],[Date]])</f>
        <v>2</v>
      </c>
    </row>
    <row r="721" spans="2:18" x14ac:dyDescent="0.35">
      <c r="B721" s="113">
        <v>46069</v>
      </c>
      <c r="C721" s="4" t="s">
        <v>494</v>
      </c>
      <c r="D721" s="4" t="s">
        <v>4568</v>
      </c>
      <c r="E721" s="1" t="str">
        <f>_xlfn.XLOOKUP(tblSales[[#This Row],[Customer ID]],tblCustomers[Customer ID],tblCustomers[Customer Name],"⚠ Unknown")</f>
        <v>Walk-in Customer</v>
      </c>
      <c r="F721" s="4" t="s">
        <v>6</v>
      </c>
      <c r="G721" s="1" t="str">
        <f>_xlfn.XLOOKUP(tblSales[[#This Row],[Product Code]],tblProducts[Code],tblProducts[Product / Service Name],"⚠ Unknown")</f>
        <v>Socks &amp; Accessories</v>
      </c>
      <c r="H721" s="1" t="str">
        <f>_xlfn.XLOOKUP(tblSales[[#This Row],[Product Code]],tblProducts[Code],tblProducts[Category],"")</f>
        <v>Accessories &amp; Basics</v>
      </c>
      <c r="I721" s="4">
        <v>12</v>
      </c>
      <c r="J721" s="5">
        <f>_xlfn.XLOOKUP(tblSales[[#This Row],[Product Code]],tblProducts[Code],tblProducts[Selling Price (excl. VAT)],0)</f>
        <v>45000</v>
      </c>
      <c r="K721" s="5">
        <f>tblSales[[#This Row],[Qty]]*tblSales[[#This Row],[Unit Price]]</f>
        <v>540000</v>
      </c>
      <c r="L721" s="5">
        <f>ROUND(tblSales[[#This Row],[DPP (excl. VAT)]]*VATEff,0)</f>
        <v>59400</v>
      </c>
      <c r="M721" s="5">
        <f>tblSales[[#This Row],[DPP (excl. VAT)]]+tblSales[[#This Row],[Output VAT]]</f>
        <v>599400</v>
      </c>
      <c r="N721" s="5">
        <f>tblSales[[#This Row],[Qty]]*_xlfn.XLOOKUP(tblSales[[#This Row],[Product Code]],tblProducts[Code],tblProducts[Unit Cost],0)</f>
        <v>288000</v>
      </c>
      <c r="O721" s="4" t="s">
        <v>4865</v>
      </c>
      <c r="P721" s="4" t="s">
        <v>4860</v>
      </c>
      <c r="Q721" s="1" t="str">
        <f>_xlfn.XLOOKUP(tblSales[[#This Row],[Channel Code]],tblChannels[Channel Code],tblChannels[Channel Name],"")</f>
        <v>In-store</v>
      </c>
      <c r="R721" s="1">
        <f>MONTH(tblSales[[#This Row],[Date]])</f>
        <v>2</v>
      </c>
    </row>
    <row r="722" spans="2:18" x14ac:dyDescent="0.35">
      <c r="B722" s="113">
        <v>46069</v>
      </c>
      <c r="C722" s="4" t="s">
        <v>494</v>
      </c>
      <c r="D722" s="4" t="s">
        <v>4568</v>
      </c>
      <c r="E722" s="1" t="str">
        <f>_xlfn.XLOOKUP(tblSales[[#This Row],[Customer ID]],tblCustomers[Customer ID],tblCustomers[Customer Name],"⚠ Unknown")</f>
        <v>Walk-in Customer</v>
      </c>
      <c r="F722" s="4" t="s">
        <v>7</v>
      </c>
      <c r="G722" s="1" t="str">
        <f>_xlfn.XLOOKUP(tblSales[[#This Row],[Product Code]],tblProducts[Code],tblProducts[Product / Service Name],"⚠ Unknown")</f>
        <v>Premium Basic T-shirt</v>
      </c>
      <c r="H722" s="1" t="str">
        <f>_xlfn.XLOOKUP(tblSales[[#This Row],[Product Code]],tblProducts[Code],tblProducts[Category],"")</f>
        <v>Accessories &amp; Basics</v>
      </c>
      <c r="I722" s="4">
        <v>9</v>
      </c>
      <c r="J722" s="5">
        <f>_xlfn.XLOOKUP(tblSales[[#This Row],[Product Code]],tblProducts[Code],tblProducts[Selling Price (excl. VAT)],0)</f>
        <v>65000</v>
      </c>
      <c r="K722" s="5">
        <f>tblSales[[#This Row],[Qty]]*tblSales[[#This Row],[Unit Price]]</f>
        <v>585000</v>
      </c>
      <c r="L722" s="5">
        <f>ROUND(tblSales[[#This Row],[DPP (excl. VAT)]]*VATEff,0)</f>
        <v>64350</v>
      </c>
      <c r="M722" s="5">
        <f>tblSales[[#This Row],[DPP (excl. VAT)]]+tblSales[[#This Row],[Output VAT]]</f>
        <v>649350</v>
      </c>
      <c r="N722" s="5">
        <f>tblSales[[#This Row],[Qty]]*_xlfn.XLOOKUP(tblSales[[#This Row],[Product Code]],tblProducts[Code],tblProducts[Unit Cost],0)</f>
        <v>333000</v>
      </c>
      <c r="O722" s="4" t="s">
        <v>4865</v>
      </c>
      <c r="P722" s="4" t="s">
        <v>4860</v>
      </c>
      <c r="Q722" s="1" t="str">
        <f>_xlfn.XLOOKUP(tblSales[[#This Row],[Channel Code]],tblChannels[Channel Code],tblChannels[Channel Name],"")</f>
        <v>In-store</v>
      </c>
      <c r="R722" s="1">
        <f>MONTH(tblSales[[#This Row],[Date]])</f>
        <v>2</v>
      </c>
    </row>
    <row r="723" spans="2:18" x14ac:dyDescent="0.35">
      <c r="B723" s="113">
        <v>46069</v>
      </c>
      <c r="C723" s="4" t="s">
        <v>495</v>
      </c>
      <c r="D723" s="4" t="s">
        <v>4568</v>
      </c>
      <c r="E723" s="1" t="str">
        <f>_xlfn.XLOOKUP(tblSales[[#This Row],[Customer ID]],tblCustomers[Customer ID],tblCustomers[Customer Name],"⚠ Unknown")</f>
        <v>Walk-in Customer</v>
      </c>
      <c r="F723" s="4" t="s">
        <v>11</v>
      </c>
      <c r="G723" s="1" t="str">
        <f>_xlfn.XLOOKUP(tblSales[[#This Row],[Product Code]],tblProducts[Code],tblProducts[Product / Service Name],"⚠ Unknown")</f>
        <v>Sneakers</v>
      </c>
      <c r="H723" s="1" t="str">
        <f>_xlfn.XLOOKUP(tblSales[[#This Row],[Product Code]],tblProducts[Code],tblProducts[Category],"")</f>
        <v>Apparel &amp; Footwear</v>
      </c>
      <c r="I723" s="4">
        <v>1</v>
      </c>
      <c r="J723" s="5">
        <f>_xlfn.XLOOKUP(tblSales[[#This Row],[Product Code]],tblProducts[Code],tblProducts[Selling Price (excl. VAT)],0)</f>
        <v>250000</v>
      </c>
      <c r="K723" s="5">
        <f>tblSales[[#This Row],[Qty]]*tblSales[[#This Row],[Unit Price]]</f>
        <v>250000</v>
      </c>
      <c r="L723" s="5">
        <f>ROUND(tblSales[[#This Row],[DPP (excl. VAT)]]*VATEff,0)</f>
        <v>27500</v>
      </c>
      <c r="M723" s="5">
        <f>tblSales[[#This Row],[DPP (excl. VAT)]]+tblSales[[#This Row],[Output VAT]]</f>
        <v>277500</v>
      </c>
      <c r="N723" s="5">
        <f>tblSales[[#This Row],[Qty]]*_xlfn.XLOOKUP(tblSales[[#This Row],[Product Code]],tblProducts[Code],tblProducts[Unit Cost],0)</f>
        <v>155000</v>
      </c>
      <c r="O723" s="4" t="s">
        <v>4866</v>
      </c>
      <c r="P723" s="4" t="s">
        <v>4861</v>
      </c>
      <c r="Q723" s="1" t="str">
        <f>_xlfn.XLOOKUP(tblSales[[#This Row],[Channel Code]],tblChannels[Channel Code],tblChannels[Channel Name],"")</f>
        <v>Marketplace</v>
      </c>
      <c r="R723" s="1">
        <f>MONTH(tblSales[[#This Row],[Date]])</f>
        <v>2</v>
      </c>
    </row>
    <row r="724" spans="2:18" x14ac:dyDescent="0.35">
      <c r="B724" s="113">
        <v>46070</v>
      </c>
      <c r="C724" s="4" t="s">
        <v>496</v>
      </c>
      <c r="D724" s="4" t="s">
        <v>4568</v>
      </c>
      <c r="E724" s="1" t="str">
        <f>_xlfn.XLOOKUP(tblSales[[#This Row],[Customer ID]],tblCustomers[Customer ID],tblCustomers[Customer Name],"⚠ Unknown")</f>
        <v>Walk-in Customer</v>
      </c>
      <c r="F724" s="4" t="s">
        <v>9</v>
      </c>
      <c r="G724" s="1" t="str">
        <f>_xlfn.XLOOKUP(tblSales[[#This Row],[Product Code]],tblProducts[Code],tblProducts[Product / Service Name],"⚠ Unknown")</f>
        <v>Casual Shirt</v>
      </c>
      <c r="H724" s="1" t="str">
        <f>_xlfn.XLOOKUP(tblSales[[#This Row],[Product Code]],tblProducts[Code],tblProducts[Category],"")</f>
        <v>Apparel &amp; Footwear</v>
      </c>
      <c r="I724" s="4">
        <v>12</v>
      </c>
      <c r="J724" s="5">
        <f>_xlfn.XLOOKUP(tblSales[[#This Row],[Product Code]],tblProducts[Code],tblProducts[Selling Price (excl. VAT)],0)</f>
        <v>120000</v>
      </c>
      <c r="K724" s="5">
        <f>tblSales[[#This Row],[Qty]]*tblSales[[#This Row],[Unit Price]]</f>
        <v>1440000</v>
      </c>
      <c r="L724" s="5">
        <f>ROUND(tblSales[[#This Row],[DPP (excl. VAT)]]*VATEff,0)</f>
        <v>158400</v>
      </c>
      <c r="M724" s="5">
        <f>tblSales[[#This Row],[DPP (excl. VAT)]]+tblSales[[#This Row],[Output VAT]]</f>
        <v>1598400</v>
      </c>
      <c r="N724" s="5">
        <f>tblSales[[#This Row],[Qty]]*_xlfn.XLOOKUP(tblSales[[#This Row],[Product Code]],tblProducts[Code],tblProducts[Unit Cost],0)</f>
        <v>864000</v>
      </c>
      <c r="O724" s="4" t="s">
        <v>4866</v>
      </c>
      <c r="P724" s="4" t="s">
        <v>4861</v>
      </c>
      <c r="Q724" s="1" t="str">
        <f>_xlfn.XLOOKUP(tblSales[[#This Row],[Channel Code]],tblChannels[Channel Code],tblChannels[Channel Name],"")</f>
        <v>Marketplace</v>
      </c>
      <c r="R724" s="1">
        <f>MONTH(tblSales[[#This Row],[Date]])</f>
        <v>2</v>
      </c>
    </row>
    <row r="725" spans="2:18" x14ac:dyDescent="0.35">
      <c r="B725" s="113">
        <v>46070</v>
      </c>
      <c r="C725" s="4" t="s">
        <v>497</v>
      </c>
      <c r="D725" s="4" t="s">
        <v>4568</v>
      </c>
      <c r="E725" s="1" t="str">
        <f>_xlfn.XLOOKUP(tblSales[[#This Row],[Customer ID]],tblCustomers[Customer ID],tblCustomers[Customer Name],"⚠ Unknown")</f>
        <v>Walk-in Customer</v>
      </c>
      <c r="F725" s="4" t="s">
        <v>9</v>
      </c>
      <c r="G725" s="1" t="str">
        <f>_xlfn.XLOOKUP(tblSales[[#This Row],[Product Code]],tblProducts[Code],tblProducts[Product / Service Name],"⚠ Unknown")</f>
        <v>Casual Shirt</v>
      </c>
      <c r="H725" s="1" t="str">
        <f>_xlfn.XLOOKUP(tblSales[[#This Row],[Product Code]],tblProducts[Code],tblProducts[Category],"")</f>
        <v>Apparel &amp; Footwear</v>
      </c>
      <c r="I725" s="4">
        <v>4</v>
      </c>
      <c r="J725" s="5">
        <f>_xlfn.XLOOKUP(tblSales[[#This Row],[Product Code]],tblProducts[Code],tblProducts[Selling Price (excl. VAT)],0)</f>
        <v>120000</v>
      </c>
      <c r="K725" s="5">
        <f>tblSales[[#This Row],[Qty]]*tblSales[[#This Row],[Unit Price]]</f>
        <v>480000</v>
      </c>
      <c r="L725" s="5">
        <f>ROUND(tblSales[[#This Row],[DPP (excl. VAT)]]*VATEff,0)</f>
        <v>52800</v>
      </c>
      <c r="M725" s="5">
        <f>tblSales[[#This Row],[DPP (excl. VAT)]]+tblSales[[#This Row],[Output VAT]]</f>
        <v>532800</v>
      </c>
      <c r="N725" s="5">
        <f>tblSales[[#This Row],[Qty]]*_xlfn.XLOOKUP(tblSales[[#This Row],[Product Code]],tblProducts[Code],tblProducts[Unit Cost],0)</f>
        <v>288000</v>
      </c>
      <c r="O725" s="4" t="s">
        <v>4865</v>
      </c>
      <c r="P725" s="4" t="s">
        <v>4860</v>
      </c>
      <c r="Q725" s="1" t="str">
        <f>_xlfn.XLOOKUP(tblSales[[#This Row],[Channel Code]],tblChannels[Channel Code],tblChannels[Channel Name],"")</f>
        <v>In-store</v>
      </c>
      <c r="R725" s="1">
        <f>MONTH(tblSales[[#This Row],[Date]])</f>
        <v>2</v>
      </c>
    </row>
    <row r="726" spans="2:18" x14ac:dyDescent="0.35">
      <c r="B726" s="113">
        <v>46070</v>
      </c>
      <c r="C726" s="4" t="s">
        <v>497</v>
      </c>
      <c r="D726" s="4" t="s">
        <v>4568</v>
      </c>
      <c r="E726" s="1" t="str">
        <f>_xlfn.XLOOKUP(tblSales[[#This Row],[Customer ID]],tblCustomers[Customer ID],tblCustomers[Customer Name],"⚠ Unknown")</f>
        <v>Walk-in Customer</v>
      </c>
      <c r="F726" s="4" t="s">
        <v>7</v>
      </c>
      <c r="G726" s="1" t="str">
        <f>_xlfn.XLOOKUP(tblSales[[#This Row],[Product Code]],tblProducts[Code],tblProducts[Product / Service Name],"⚠ Unknown")</f>
        <v>Premium Basic T-shirt</v>
      </c>
      <c r="H726" s="1" t="str">
        <f>_xlfn.XLOOKUP(tblSales[[#This Row],[Product Code]],tblProducts[Code],tblProducts[Category],"")</f>
        <v>Accessories &amp; Basics</v>
      </c>
      <c r="I726" s="4">
        <v>3</v>
      </c>
      <c r="J726" s="5">
        <f>_xlfn.XLOOKUP(tblSales[[#This Row],[Product Code]],tblProducts[Code],tblProducts[Selling Price (excl. VAT)],0)</f>
        <v>65000</v>
      </c>
      <c r="K726" s="5">
        <f>tblSales[[#This Row],[Qty]]*tblSales[[#This Row],[Unit Price]]</f>
        <v>195000</v>
      </c>
      <c r="L726" s="5">
        <f>ROUND(tblSales[[#This Row],[DPP (excl. VAT)]]*VATEff,0)</f>
        <v>21450</v>
      </c>
      <c r="M726" s="5">
        <f>tblSales[[#This Row],[DPP (excl. VAT)]]+tblSales[[#This Row],[Output VAT]]</f>
        <v>216450</v>
      </c>
      <c r="N726" s="5">
        <f>tblSales[[#This Row],[Qty]]*_xlfn.XLOOKUP(tblSales[[#This Row],[Product Code]],tblProducts[Code],tblProducts[Unit Cost],0)</f>
        <v>111000</v>
      </c>
      <c r="O726" s="4" t="s">
        <v>4865</v>
      </c>
      <c r="P726" s="4" t="s">
        <v>4860</v>
      </c>
      <c r="Q726" s="1" t="str">
        <f>_xlfn.XLOOKUP(tblSales[[#This Row],[Channel Code]],tblChannels[Channel Code],tblChannels[Channel Name],"")</f>
        <v>In-store</v>
      </c>
      <c r="R726" s="1">
        <f>MONTH(tblSales[[#This Row],[Date]])</f>
        <v>2</v>
      </c>
    </row>
    <row r="727" spans="2:18" x14ac:dyDescent="0.35">
      <c r="B727" s="113">
        <v>46070</v>
      </c>
      <c r="C727" s="4" t="s">
        <v>498</v>
      </c>
      <c r="D727" s="4" t="s">
        <v>4593</v>
      </c>
      <c r="E727" s="1" t="str">
        <f>_xlfn.XLOOKUP(tblSales[[#This Row],[Customer ID]],tblCustomers[Customer ID],tblCustomers[Customer Name],"⚠ Unknown")</f>
        <v>PT Graha Nusa Persada</v>
      </c>
      <c r="F727" s="4" t="s">
        <v>9</v>
      </c>
      <c r="G727" s="1" t="str">
        <f>_xlfn.XLOOKUP(tblSales[[#This Row],[Product Code]],tblProducts[Code],tblProducts[Product / Service Name],"⚠ Unknown")</f>
        <v>Casual Shirt</v>
      </c>
      <c r="H727" s="1" t="str">
        <f>_xlfn.XLOOKUP(tblSales[[#This Row],[Product Code]],tblProducts[Code],tblProducts[Category],"")</f>
        <v>Apparel &amp; Footwear</v>
      </c>
      <c r="I727" s="4">
        <v>24</v>
      </c>
      <c r="J727" s="5">
        <f>_xlfn.XLOOKUP(tblSales[[#This Row],[Product Code]],tblProducts[Code],tblProducts[Selling Price (excl. VAT)],0)</f>
        <v>120000</v>
      </c>
      <c r="K727" s="5">
        <f>tblSales[[#This Row],[Qty]]*tblSales[[#This Row],[Unit Price]]</f>
        <v>2880000</v>
      </c>
      <c r="L727" s="5">
        <f>ROUND(tblSales[[#This Row],[DPP (excl. VAT)]]*VATEff,0)</f>
        <v>316800</v>
      </c>
      <c r="M727" s="5">
        <f>tblSales[[#This Row],[DPP (excl. VAT)]]+tblSales[[#This Row],[Output VAT]]</f>
        <v>3196800</v>
      </c>
      <c r="N727" s="5">
        <f>tblSales[[#This Row],[Qty]]*_xlfn.XLOOKUP(tblSales[[#This Row],[Product Code]],tblProducts[Code],tblProducts[Unit Cost],0)</f>
        <v>1728000</v>
      </c>
      <c r="O727" s="4" t="s">
        <v>4867</v>
      </c>
      <c r="P727" s="4" t="s">
        <v>4860</v>
      </c>
      <c r="Q727" s="1" t="str">
        <f>_xlfn.XLOOKUP(tblSales[[#This Row],[Channel Code]],tblChannels[Channel Code],tblChannels[Channel Name],"")</f>
        <v>In-store</v>
      </c>
      <c r="R727" s="1">
        <f>MONTH(tblSales[[#This Row],[Date]])</f>
        <v>2</v>
      </c>
    </row>
    <row r="728" spans="2:18" x14ac:dyDescent="0.35">
      <c r="B728" s="113">
        <v>46070</v>
      </c>
      <c r="C728" s="4" t="s">
        <v>499</v>
      </c>
      <c r="D728" s="4" t="s">
        <v>4648</v>
      </c>
      <c r="E728" s="1" t="str">
        <f>_xlfn.XLOOKUP(tblSales[[#This Row],[Customer ID]],tblCustomers[Customer ID],tblCustomers[Customer Name],"⚠ Unknown")</f>
        <v>PT Lintas Benua Niaga</v>
      </c>
      <c r="F728" s="4" t="s">
        <v>7</v>
      </c>
      <c r="G728" s="1" t="str">
        <f>_xlfn.XLOOKUP(tblSales[[#This Row],[Product Code]],tblProducts[Code],tblProducts[Product / Service Name],"⚠ Unknown")</f>
        <v>Premium Basic T-shirt</v>
      </c>
      <c r="H728" s="1" t="str">
        <f>_xlfn.XLOOKUP(tblSales[[#This Row],[Product Code]],tblProducts[Code],tblProducts[Category],"")</f>
        <v>Accessories &amp; Basics</v>
      </c>
      <c r="I728" s="4">
        <v>64</v>
      </c>
      <c r="J728" s="5">
        <f>_xlfn.XLOOKUP(tblSales[[#This Row],[Product Code]],tblProducts[Code],tblProducts[Selling Price (excl. VAT)],0)</f>
        <v>65000</v>
      </c>
      <c r="K728" s="5">
        <f>tblSales[[#This Row],[Qty]]*tblSales[[#This Row],[Unit Price]]</f>
        <v>4160000</v>
      </c>
      <c r="L728" s="5">
        <f>ROUND(tblSales[[#This Row],[DPP (excl. VAT)]]*VATEff,0)</f>
        <v>457600</v>
      </c>
      <c r="M728" s="5">
        <f>tblSales[[#This Row],[DPP (excl. VAT)]]+tblSales[[#This Row],[Output VAT]]</f>
        <v>4617600</v>
      </c>
      <c r="N728" s="5">
        <f>tblSales[[#This Row],[Qty]]*_xlfn.XLOOKUP(tblSales[[#This Row],[Product Code]],tblProducts[Code],tblProducts[Unit Cost],0)</f>
        <v>2368000</v>
      </c>
      <c r="O728" s="4" t="s">
        <v>4867</v>
      </c>
      <c r="P728" s="4" t="s">
        <v>4860</v>
      </c>
      <c r="Q728" s="1" t="str">
        <f>_xlfn.XLOOKUP(tblSales[[#This Row],[Channel Code]],tblChannels[Channel Code],tblChannels[Channel Name],"")</f>
        <v>In-store</v>
      </c>
      <c r="R728" s="1">
        <f>MONTH(tblSales[[#This Row],[Date]])</f>
        <v>2</v>
      </c>
    </row>
    <row r="729" spans="2:18" x14ac:dyDescent="0.35">
      <c r="B729" s="113">
        <v>46070</v>
      </c>
      <c r="C729" s="4" t="s">
        <v>500</v>
      </c>
      <c r="D729" s="4" t="s">
        <v>4613</v>
      </c>
      <c r="E729" s="1" t="str">
        <f>_xlfn.XLOOKUP(tblSales[[#This Row],[Customer ID]],tblCustomers[Customer ID],tblCustomers[Customer Name],"⚠ Unknown")</f>
        <v>PT Mega Prima Distribusi</v>
      </c>
      <c r="F729" s="4" t="s">
        <v>7</v>
      </c>
      <c r="G729" s="1" t="str">
        <f>_xlfn.XLOOKUP(tblSales[[#This Row],[Product Code]],tblProducts[Code],tblProducts[Product / Service Name],"⚠ Unknown")</f>
        <v>Premium Basic T-shirt</v>
      </c>
      <c r="H729" s="1" t="str">
        <f>_xlfn.XLOOKUP(tblSales[[#This Row],[Product Code]],tblProducts[Code],tblProducts[Category],"")</f>
        <v>Accessories &amp; Basics</v>
      </c>
      <c r="I729" s="4">
        <v>72</v>
      </c>
      <c r="J729" s="5">
        <f>_xlfn.XLOOKUP(tblSales[[#This Row],[Product Code]],tblProducts[Code],tblProducts[Selling Price (excl. VAT)],0)</f>
        <v>65000</v>
      </c>
      <c r="K729" s="5">
        <f>tblSales[[#This Row],[Qty]]*tblSales[[#This Row],[Unit Price]]</f>
        <v>4680000</v>
      </c>
      <c r="L729" s="5">
        <f>ROUND(tblSales[[#This Row],[DPP (excl. VAT)]]*VATEff,0)</f>
        <v>514800</v>
      </c>
      <c r="M729" s="5">
        <f>tblSales[[#This Row],[DPP (excl. VAT)]]+tblSales[[#This Row],[Output VAT]]</f>
        <v>5194800</v>
      </c>
      <c r="N729" s="5">
        <f>tblSales[[#This Row],[Qty]]*_xlfn.XLOOKUP(tblSales[[#This Row],[Product Code]],tblProducts[Code],tblProducts[Unit Cost],0)</f>
        <v>2664000</v>
      </c>
      <c r="O729" s="4" t="s">
        <v>4867</v>
      </c>
      <c r="P729" s="4" t="s">
        <v>4860</v>
      </c>
      <c r="Q729" s="1" t="str">
        <f>_xlfn.XLOOKUP(tblSales[[#This Row],[Channel Code]],tblChannels[Channel Code],tblChannels[Channel Name],"")</f>
        <v>In-store</v>
      </c>
      <c r="R729" s="1">
        <f>MONTH(tblSales[[#This Row],[Date]])</f>
        <v>2</v>
      </c>
    </row>
    <row r="730" spans="2:18" x14ac:dyDescent="0.35">
      <c r="B730" s="113">
        <v>46070</v>
      </c>
      <c r="C730" s="4" t="s">
        <v>501</v>
      </c>
      <c r="D730" s="4" t="s">
        <v>4634</v>
      </c>
      <c r="E730" s="1" t="str">
        <f>_xlfn.XLOOKUP(tblSales[[#This Row],[Customer ID]],tblCustomers[Customer ID],tblCustomers[Customer Name],"⚠ Unknown")</f>
        <v>PT Delta Inti Selaras</v>
      </c>
      <c r="F730" s="4" t="s">
        <v>11</v>
      </c>
      <c r="G730" s="1" t="str">
        <f>_xlfn.XLOOKUP(tblSales[[#This Row],[Product Code]],tblProducts[Code],tblProducts[Product / Service Name],"⚠ Unknown")</f>
        <v>Sneakers</v>
      </c>
      <c r="H730" s="1" t="str">
        <f>_xlfn.XLOOKUP(tblSales[[#This Row],[Product Code]],tblProducts[Code],tblProducts[Category],"")</f>
        <v>Apparel &amp; Footwear</v>
      </c>
      <c r="I730" s="4">
        <v>48</v>
      </c>
      <c r="J730" s="5">
        <f>_xlfn.XLOOKUP(tblSales[[#This Row],[Product Code]],tblProducts[Code],tblProducts[Selling Price (excl. VAT)],0)</f>
        <v>250000</v>
      </c>
      <c r="K730" s="5">
        <f>tblSales[[#This Row],[Qty]]*tblSales[[#This Row],[Unit Price]]</f>
        <v>12000000</v>
      </c>
      <c r="L730" s="5">
        <f>ROUND(tblSales[[#This Row],[DPP (excl. VAT)]]*VATEff,0)</f>
        <v>1320000</v>
      </c>
      <c r="M730" s="5">
        <f>tblSales[[#This Row],[DPP (excl. VAT)]]+tblSales[[#This Row],[Output VAT]]</f>
        <v>13320000</v>
      </c>
      <c r="N730" s="5">
        <f>tblSales[[#This Row],[Qty]]*_xlfn.XLOOKUP(tblSales[[#This Row],[Product Code]],tblProducts[Code],tblProducts[Unit Cost],0)</f>
        <v>7440000</v>
      </c>
      <c r="O730" s="4" t="s">
        <v>4867</v>
      </c>
      <c r="P730" s="4" t="s">
        <v>4860</v>
      </c>
      <c r="Q730" s="1" t="str">
        <f>_xlfn.XLOOKUP(tblSales[[#This Row],[Channel Code]],tblChannels[Channel Code],tblChannels[Channel Name],"")</f>
        <v>In-store</v>
      </c>
      <c r="R730" s="1">
        <f>MONTH(tblSales[[#This Row],[Date]])</f>
        <v>2</v>
      </c>
    </row>
    <row r="731" spans="2:18" x14ac:dyDescent="0.35">
      <c r="B731" s="113">
        <v>46070</v>
      </c>
      <c r="C731" s="4" t="s">
        <v>502</v>
      </c>
      <c r="D731" s="4" t="s">
        <v>4572</v>
      </c>
      <c r="E731" s="1" t="str">
        <f>_xlfn.XLOOKUP(tblSales[[#This Row],[Customer ID]],tblCustomers[Customer ID],tblCustomers[Customer Name],"⚠ Unknown")</f>
        <v>PT Cahaya Abadi Makmur</v>
      </c>
      <c r="F731" s="4" t="s">
        <v>8</v>
      </c>
      <c r="G731" s="1" t="str">
        <f>_xlfn.XLOOKUP(tblSales[[#This Row],[Product Code]],tblProducts[Code],tblProducts[Product / Service Name],"⚠ Unknown")</f>
        <v>Casual Shorts</v>
      </c>
      <c r="H731" s="1" t="str">
        <f>_xlfn.XLOOKUP(tblSales[[#This Row],[Product Code]],tblProducts[Code],tblProducts[Category],"")</f>
        <v>Accessories &amp; Basics</v>
      </c>
      <c r="I731" s="4">
        <v>72</v>
      </c>
      <c r="J731" s="5">
        <f>_xlfn.XLOOKUP(tblSales[[#This Row],[Product Code]],tblProducts[Code],tblProducts[Selling Price (excl. VAT)],0)</f>
        <v>85000</v>
      </c>
      <c r="K731" s="5">
        <f>tblSales[[#This Row],[Qty]]*tblSales[[#This Row],[Unit Price]]</f>
        <v>6120000</v>
      </c>
      <c r="L731" s="5">
        <f>ROUND(tblSales[[#This Row],[DPP (excl. VAT)]]*VATEff,0)</f>
        <v>673200</v>
      </c>
      <c r="M731" s="5">
        <f>tblSales[[#This Row],[DPP (excl. VAT)]]+tblSales[[#This Row],[Output VAT]]</f>
        <v>6793200</v>
      </c>
      <c r="N731" s="5">
        <f>tblSales[[#This Row],[Qty]]*_xlfn.XLOOKUP(tblSales[[#This Row],[Product Code]],tblProducts[Code],tblProducts[Unit Cost],0)</f>
        <v>3600000</v>
      </c>
      <c r="O731" s="4" t="s">
        <v>4867</v>
      </c>
      <c r="P731" s="4" t="s">
        <v>4860</v>
      </c>
      <c r="Q731" s="1" t="str">
        <f>_xlfn.XLOOKUP(tblSales[[#This Row],[Channel Code]],tblChannels[Channel Code],tblChannels[Channel Name],"")</f>
        <v>In-store</v>
      </c>
      <c r="R731" s="1">
        <f>MONTH(tblSales[[#This Row],[Date]])</f>
        <v>2</v>
      </c>
    </row>
    <row r="732" spans="2:18" x14ac:dyDescent="0.35">
      <c r="B732" s="113">
        <v>46070</v>
      </c>
      <c r="C732" s="4" t="s">
        <v>503</v>
      </c>
      <c r="D732" s="4" t="s">
        <v>4568</v>
      </c>
      <c r="E732" s="1" t="str">
        <f>_xlfn.XLOOKUP(tblSales[[#This Row],[Customer ID]],tblCustomers[Customer ID],tblCustomers[Customer Name],"⚠ Unknown")</f>
        <v>Walk-in Customer</v>
      </c>
      <c r="F732" s="4" t="s">
        <v>15</v>
      </c>
      <c r="G732" s="1" t="str">
        <f>_xlfn.XLOOKUP(tblSales[[#This Row],[Product Code]],tblProducts[Code],tblProducts[Product / Service Name],"⚠ Unknown")</f>
        <v>Wireless Earbuds Pro</v>
      </c>
      <c r="H732" s="1" t="str">
        <f>_xlfn.XLOOKUP(tblSales[[#This Row],[Product Code]],tblProducts[Code],tblProducts[Category],"")</f>
        <v>Bags &amp; Gadgets</v>
      </c>
      <c r="I732" s="4">
        <v>3</v>
      </c>
      <c r="J732" s="5">
        <f>_xlfn.XLOOKUP(tblSales[[#This Row],[Product Code]],tblProducts[Code],tblProducts[Selling Price (excl. VAT)],0)</f>
        <v>1250000</v>
      </c>
      <c r="K732" s="5">
        <f>tblSales[[#This Row],[Qty]]*tblSales[[#This Row],[Unit Price]]</f>
        <v>3750000</v>
      </c>
      <c r="L732" s="5">
        <f>ROUND(tblSales[[#This Row],[DPP (excl. VAT)]]*VATEff,0)</f>
        <v>412500</v>
      </c>
      <c r="M732" s="5">
        <f>tblSales[[#This Row],[DPP (excl. VAT)]]+tblSales[[#This Row],[Output VAT]]</f>
        <v>4162500</v>
      </c>
      <c r="N732" s="5">
        <f>tblSales[[#This Row],[Qty]]*_xlfn.XLOOKUP(tblSales[[#This Row],[Product Code]],tblProducts[Code],tblProducts[Unit Cost],0)</f>
        <v>2460000</v>
      </c>
      <c r="O732" s="4" t="s">
        <v>4866</v>
      </c>
      <c r="P732" s="4" t="s">
        <v>4861</v>
      </c>
      <c r="Q732" s="1" t="str">
        <f>_xlfn.XLOOKUP(tblSales[[#This Row],[Channel Code]],tblChannels[Channel Code],tblChannels[Channel Name],"")</f>
        <v>Marketplace</v>
      </c>
      <c r="R732" s="1">
        <f>MONTH(tblSales[[#This Row],[Date]])</f>
        <v>2</v>
      </c>
    </row>
    <row r="733" spans="2:18" x14ac:dyDescent="0.35">
      <c r="B733" s="113">
        <v>46070</v>
      </c>
      <c r="C733" s="4" t="s">
        <v>504</v>
      </c>
      <c r="D733" s="4" t="s">
        <v>4578</v>
      </c>
      <c r="E733" s="1" t="str">
        <f>_xlfn.XLOOKUP(tblSales[[#This Row],[Customer ID]],tblCustomers[Customer ID],tblCustomers[Customer Name],"⚠ Unknown")</f>
        <v>PT Bintang Timur Sejahtera</v>
      </c>
      <c r="F733" s="4" t="s">
        <v>11</v>
      </c>
      <c r="G733" s="1" t="str">
        <f>_xlfn.XLOOKUP(tblSales[[#This Row],[Product Code]],tblProducts[Code],tblProducts[Product / Service Name],"⚠ Unknown")</f>
        <v>Sneakers</v>
      </c>
      <c r="H733" s="1" t="str">
        <f>_xlfn.XLOOKUP(tblSales[[#This Row],[Product Code]],tblProducts[Code],tblProducts[Category],"")</f>
        <v>Apparel &amp; Footwear</v>
      </c>
      <c r="I733" s="4">
        <v>16</v>
      </c>
      <c r="J733" s="5">
        <f>_xlfn.XLOOKUP(tblSales[[#This Row],[Product Code]],tblProducts[Code],tblProducts[Selling Price (excl. VAT)],0)</f>
        <v>250000</v>
      </c>
      <c r="K733" s="5">
        <f>tblSales[[#This Row],[Qty]]*tblSales[[#This Row],[Unit Price]]</f>
        <v>4000000</v>
      </c>
      <c r="L733" s="5">
        <f>ROUND(tblSales[[#This Row],[DPP (excl. VAT)]]*VATEff,0)</f>
        <v>440000</v>
      </c>
      <c r="M733" s="5">
        <f>tblSales[[#This Row],[DPP (excl. VAT)]]+tblSales[[#This Row],[Output VAT]]</f>
        <v>4440000</v>
      </c>
      <c r="N733" s="5">
        <f>tblSales[[#This Row],[Qty]]*_xlfn.XLOOKUP(tblSales[[#This Row],[Product Code]],tblProducts[Code],tblProducts[Unit Cost],0)</f>
        <v>2480000</v>
      </c>
      <c r="O733" s="4" t="s">
        <v>4867</v>
      </c>
      <c r="P733" s="4" t="s">
        <v>4860</v>
      </c>
      <c r="Q733" s="1" t="str">
        <f>_xlfn.XLOOKUP(tblSales[[#This Row],[Channel Code]],tblChannels[Channel Code],tblChannels[Channel Name],"")</f>
        <v>In-store</v>
      </c>
      <c r="R733" s="1">
        <f>MONTH(tblSales[[#This Row],[Date]])</f>
        <v>2</v>
      </c>
    </row>
    <row r="734" spans="2:18" x14ac:dyDescent="0.35">
      <c r="B734" s="113">
        <v>46070</v>
      </c>
      <c r="C734" s="4" t="s">
        <v>505</v>
      </c>
      <c r="D734" s="4" t="s">
        <v>4578</v>
      </c>
      <c r="E734" s="1" t="str">
        <f>_xlfn.XLOOKUP(tblSales[[#This Row],[Customer ID]],tblCustomers[Customer ID],tblCustomers[Customer Name],"⚠ Unknown")</f>
        <v>PT Bintang Timur Sejahtera</v>
      </c>
      <c r="F734" s="4" t="s">
        <v>9</v>
      </c>
      <c r="G734" s="1" t="str">
        <f>_xlfn.XLOOKUP(tblSales[[#This Row],[Product Code]],tblProducts[Code],tblProducts[Product / Service Name],"⚠ Unknown")</f>
        <v>Casual Shirt</v>
      </c>
      <c r="H734" s="1" t="str">
        <f>_xlfn.XLOOKUP(tblSales[[#This Row],[Product Code]],tblProducts[Code],tblProducts[Category],"")</f>
        <v>Apparel &amp; Footwear</v>
      </c>
      <c r="I734" s="4">
        <v>24</v>
      </c>
      <c r="J734" s="5">
        <f>_xlfn.XLOOKUP(tblSales[[#This Row],[Product Code]],tblProducts[Code],tblProducts[Selling Price (excl. VAT)],0)</f>
        <v>120000</v>
      </c>
      <c r="K734" s="5">
        <f>tblSales[[#This Row],[Qty]]*tblSales[[#This Row],[Unit Price]]</f>
        <v>2880000</v>
      </c>
      <c r="L734" s="5">
        <f>ROUND(tblSales[[#This Row],[DPP (excl. VAT)]]*VATEff,0)</f>
        <v>316800</v>
      </c>
      <c r="M734" s="5">
        <f>tblSales[[#This Row],[DPP (excl. VAT)]]+tblSales[[#This Row],[Output VAT]]</f>
        <v>3196800</v>
      </c>
      <c r="N734" s="5">
        <f>tblSales[[#This Row],[Qty]]*_xlfn.XLOOKUP(tblSales[[#This Row],[Product Code]],tblProducts[Code],tblProducts[Unit Cost],0)</f>
        <v>1728000</v>
      </c>
      <c r="O734" s="4" t="s">
        <v>4867</v>
      </c>
      <c r="P734" s="4" t="s">
        <v>4860</v>
      </c>
      <c r="Q734" s="1" t="str">
        <f>_xlfn.XLOOKUP(tblSales[[#This Row],[Channel Code]],tblChannels[Channel Code],tblChannels[Channel Name],"")</f>
        <v>In-store</v>
      </c>
      <c r="R734" s="1">
        <f>MONTH(tblSales[[#This Row],[Date]])</f>
        <v>2</v>
      </c>
    </row>
    <row r="735" spans="2:18" x14ac:dyDescent="0.35">
      <c r="B735" s="113">
        <v>46071</v>
      </c>
      <c r="C735" s="4" t="s">
        <v>506</v>
      </c>
      <c r="D735" s="4" t="s">
        <v>4568</v>
      </c>
      <c r="E735" s="1" t="str">
        <f>_xlfn.XLOOKUP(tblSales[[#This Row],[Customer ID]],tblCustomers[Customer ID],tblCustomers[Customer Name],"⚠ Unknown")</f>
        <v>Walk-in Customer</v>
      </c>
      <c r="F735" s="4" t="s">
        <v>9</v>
      </c>
      <c r="G735" s="1" t="str">
        <f>_xlfn.XLOOKUP(tblSales[[#This Row],[Product Code]],tblProducts[Code],tblProducts[Product / Service Name],"⚠ Unknown")</f>
        <v>Casual Shirt</v>
      </c>
      <c r="H735" s="1" t="str">
        <f>_xlfn.XLOOKUP(tblSales[[#This Row],[Product Code]],tblProducts[Code],tblProducts[Category],"")</f>
        <v>Apparel &amp; Footwear</v>
      </c>
      <c r="I735" s="4">
        <v>2</v>
      </c>
      <c r="J735" s="5">
        <f>_xlfn.XLOOKUP(tblSales[[#This Row],[Product Code]],tblProducts[Code],tblProducts[Selling Price (excl. VAT)],0)</f>
        <v>120000</v>
      </c>
      <c r="K735" s="5">
        <f>tblSales[[#This Row],[Qty]]*tblSales[[#This Row],[Unit Price]]</f>
        <v>240000</v>
      </c>
      <c r="L735" s="5">
        <f>ROUND(tblSales[[#This Row],[DPP (excl. VAT)]]*VATEff,0)</f>
        <v>26400</v>
      </c>
      <c r="M735" s="5">
        <f>tblSales[[#This Row],[DPP (excl. VAT)]]+tblSales[[#This Row],[Output VAT]]</f>
        <v>266400</v>
      </c>
      <c r="N735" s="5">
        <f>tblSales[[#This Row],[Qty]]*_xlfn.XLOOKUP(tblSales[[#This Row],[Product Code]],tblProducts[Code],tblProducts[Unit Cost],0)</f>
        <v>144000</v>
      </c>
      <c r="O735" s="4" t="s">
        <v>4866</v>
      </c>
      <c r="P735" s="4" t="s">
        <v>4861</v>
      </c>
      <c r="Q735" s="1" t="str">
        <f>_xlfn.XLOOKUP(tblSales[[#This Row],[Channel Code]],tblChannels[Channel Code],tblChannels[Channel Name],"")</f>
        <v>Marketplace</v>
      </c>
      <c r="R735" s="1">
        <f>MONTH(tblSales[[#This Row],[Date]])</f>
        <v>2</v>
      </c>
    </row>
    <row r="736" spans="2:18" x14ac:dyDescent="0.35">
      <c r="B736" s="113">
        <v>46071</v>
      </c>
      <c r="C736" s="4" t="s">
        <v>506</v>
      </c>
      <c r="D736" s="4" t="s">
        <v>4568</v>
      </c>
      <c r="E736" s="1" t="str">
        <f>_xlfn.XLOOKUP(tblSales[[#This Row],[Customer ID]],tblCustomers[Customer ID],tblCustomers[Customer Name],"⚠ Unknown")</f>
        <v>Walk-in Customer</v>
      </c>
      <c r="F736" s="4" t="s">
        <v>13</v>
      </c>
      <c r="G736" s="1" t="str">
        <f>_xlfn.XLOOKUP(tblSales[[#This Row],[Product Code]],tblProducts[Code],tblProducts[Product / Service Name],"⚠ Unknown")</f>
        <v>Backpack</v>
      </c>
      <c r="H736" s="1" t="str">
        <f>_xlfn.XLOOKUP(tblSales[[#This Row],[Product Code]],tblProducts[Code],tblProducts[Category],"")</f>
        <v>Bags &amp; Gadgets</v>
      </c>
      <c r="I736" s="4">
        <v>2</v>
      </c>
      <c r="J736" s="5">
        <f>_xlfn.XLOOKUP(tblSales[[#This Row],[Product Code]],tblProducts[Code],tblProducts[Selling Price (excl. VAT)],0)</f>
        <v>500000</v>
      </c>
      <c r="K736" s="5">
        <f>tblSales[[#This Row],[Qty]]*tblSales[[#This Row],[Unit Price]]</f>
        <v>1000000</v>
      </c>
      <c r="L736" s="5">
        <f>ROUND(tblSales[[#This Row],[DPP (excl. VAT)]]*VATEff,0)</f>
        <v>110000</v>
      </c>
      <c r="M736" s="5">
        <f>tblSales[[#This Row],[DPP (excl. VAT)]]+tblSales[[#This Row],[Output VAT]]</f>
        <v>1110000</v>
      </c>
      <c r="N736" s="5">
        <f>tblSales[[#This Row],[Qty]]*_xlfn.XLOOKUP(tblSales[[#This Row],[Product Code]],tblProducts[Code],tblProducts[Unit Cost],0)</f>
        <v>580000</v>
      </c>
      <c r="O736" s="4" t="s">
        <v>4866</v>
      </c>
      <c r="P736" s="4" t="s">
        <v>4861</v>
      </c>
      <c r="Q736" s="1" t="str">
        <f>_xlfn.XLOOKUP(tblSales[[#This Row],[Channel Code]],tblChannels[Channel Code],tblChannels[Channel Name],"")</f>
        <v>Marketplace</v>
      </c>
      <c r="R736" s="1">
        <f>MONTH(tblSales[[#This Row],[Date]])</f>
        <v>2</v>
      </c>
    </row>
    <row r="737" spans="2:18" x14ac:dyDescent="0.35">
      <c r="B737" s="113">
        <v>46071</v>
      </c>
      <c r="C737" s="4" t="s">
        <v>506</v>
      </c>
      <c r="D737" s="4" t="s">
        <v>4568</v>
      </c>
      <c r="E737" s="1" t="str">
        <f>_xlfn.XLOOKUP(tblSales[[#This Row],[Customer ID]],tblCustomers[Customer ID],tblCustomers[Customer Name],"⚠ Unknown")</f>
        <v>Walk-in Customer</v>
      </c>
      <c r="F737" s="4" t="s">
        <v>10</v>
      </c>
      <c r="G737" s="1" t="str">
        <f>_xlfn.XLOOKUP(tblSales[[#This Row],[Product Code]],tblProducts[Code],tblProducts[Product / Service Name],"⚠ Unknown")</f>
        <v>Chino Pants</v>
      </c>
      <c r="H737" s="1" t="str">
        <f>_xlfn.XLOOKUP(tblSales[[#This Row],[Product Code]],tblProducts[Code],tblProducts[Category],"")</f>
        <v>Apparel &amp; Footwear</v>
      </c>
      <c r="I737" s="4">
        <v>5</v>
      </c>
      <c r="J737" s="5">
        <f>_xlfn.XLOOKUP(tblSales[[#This Row],[Product Code]],tblProducts[Code],tblProducts[Selling Price (excl. VAT)],0)</f>
        <v>150000</v>
      </c>
      <c r="K737" s="5">
        <f>tblSales[[#This Row],[Qty]]*tblSales[[#This Row],[Unit Price]]</f>
        <v>750000</v>
      </c>
      <c r="L737" s="5">
        <f>ROUND(tblSales[[#This Row],[DPP (excl. VAT)]]*VATEff,0)</f>
        <v>82500</v>
      </c>
      <c r="M737" s="5">
        <f>tblSales[[#This Row],[DPP (excl. VAT)]]+tblSales[[#This Row],[Output VAT]]</f>
        <v>832500</v>
      </c>
      <c r="N737" s="5">
        <f>tblSales[[#This Row],[Qty]]*_xlfn.XLOOKUP(tblSales[[#This Row],[Product Code]],tblProducts[Code],tblProducts[Unit Cost],0)</f>
        <v>440000</v>
      </c>
      <c r="O737" s="4" t="s">
        <v>4866</v>
      </c>
      <c r="P737" s="4" t="s">
        <v>4861</v>
      </c>
      <c r="Q737" s="1" t="str">
        <f>_xlfn.XLOOKUP(tblSales[[#This Row],[Channel Code]],tblChannels[Channel Code],tblChannels[Channel Name],"")</f>
        <v>Marketplace</v>
      </c>
      <c r="R737" s="1">
        <f>MONTH(tblSales[[#This Row],[Date]])</f>
        <v>2</v>
      </c>
    </row>
    <row r="738" spans="2:18" x14ac:dyDescent="0.35">
      <c r="B738" s="113">
        <v>46071</v>
      </c>
      <c r="C738" s="4" t="s">
        <v>507</v>
      </c>
      <c r="D738" s="4" t="s">
        <v>4568</v>
      </c>
      <c r="E738" s="1" t="str">
        <f>_xlfn.XLOOKUP(tblSales[[#This Row],[Customer ID]],tblCustomers[Customer ID],tblCustomers[Customer Name],"⚠ Unknown")</f>
        <v>Walk-in Customer</v>
      </c>
      <c r="F738" s="4" t="s">
        <v>13</v>
      </c>
      <c r="G738" s="1" t="str">
        <f>_xlfn.XLOOKUP(tblSales[[#This Row],[Product Code]],tblProducts[Code],tblProducts[Product / Service Name],"⚠ Unknown")</f>
        <v>Backpack</v>
      </c>
      <c r="H738" s="1" t="str">
        <f>_xlfn.XLOOKUP(tblSales[[#This Row],[Product Code]],tblProducts[Code],tblProducts[Category],"")</f>
        <v>Bags &amp; Gadgets</v>
      </c>
      <c r="I738" s="4">
        <v>3</v>
      </c>
      <c r="J738" s="5">
        <f>_xlfn.XLOOKUP(tblSales[[#This Row],[Product Code]],tblProducts[Code],tblProducts[Selling Price (excl. VAT)],0)</f>
        <v>500000</v>
      </c>
      <c r="K738" s="5">
        <f>tblSales[[#This Row],[Qty]]*tblSales[[#This Row],[Unit Price]]</f>
        <v>1500000</v>
      </c>
      <c r="L738" s="5">
        <f>ROUND(tblSales[[#This Row],[DPP (excl. VAT)]]*VATEff,0)</f>
        <v>165000</v>
      </c>
      <c r="M738" s="5">
        <f>tblSales[[#This Row],[DPP (excl. VAT)]]+tblSales[[#This Row],[Output VAT]]</f>
        <v>1665000</v>
      </c>
      <c r="N738" s="5">
        <f>tblSales[[#This Row],[Qty]]*_xlfn.XLOOKUP(tblSales[[#This Row],[Product Code]],tblProducts[Code],tblProducts[Unit Cost],0)</f>
        <v>870000</v>
      </c>
      <c r="O738" s="4" t="s">
        <v>4866</v>
      </c>
      <c r="P738" s="4" t="s">
        <v>4860</v>
      </c>
      <c r="Q738" s="1" t="str">
        <f>_xlfn.XLOOKUP(tblSales[[#This Row],[Channel Code]],tblChannels[Channel Code],tblChannels[Channel Name],"")</f>
        <v>In-store</v>
      </c>
      <c r="R738" s="1">
        <f>MONTH(tblSales[[#This Row],[Date]])</f>
        <v>2</v>
      </c>
    </row>
    <row r="739" spans="2:18" x14ac:dyDescent="0.35">
      <c r="B739" s="113">
        <v>46071</v>
      </c>
      <c r="C739" s="4" t="s">
        <v>508</v>
      </c>
      <c r="D739" s="4" t="s">
        <v>4627</v>
      </c>
      <c r="E739" s="1" t="str">
        <f>_xlfn.XLOOKUP(tblSales[[#This Row],[Customer ID]],tblCustomers[Customer ID],tblCustomers[Customer Name],"⚠ Unknown")</f>
        <v>PT Kencana Wira Usaha</v>
      </c>
      <c r="F739" s="4" t="s">
        <v>12</v>
      </c>
      <c r="G739" s="1" t="str">
        <f>_xlfn.XLOOKUP(tblSales[[#This Row],[Product Code]],tblProducts[Code],tblProducts[Product / Service Name],"⚠ Unknown")</f>
        <v>Bomber Jacket</v>
      </c>
      <c r="H739" s="1" t="str">
        <f>_xlfn.XLOOKUP(tblSales[[#This Row],[Product Code]],tblProducts[Code],tblProducts[Category],"")</f>
        <v>Apparel &amp; Footwear</v>
      </c>
      <c r="I739" s="4">
        <v>40</v>
      </c>
      <c r="J739" s="5">
        <f>_xlfn.XLOOKUP(tblSales[[#This Row],[Product Code]],tblProducts[Code],tblProducts[Selling Price (excl. VAT)],0)</f>
        <v>350000</v>
      </c>
      <c r="K739" s="5">
        <f>tblSales[[#This Row],[Qty]]*tblSales[[#This Row],[Unit Price]]</f>
        <v>14000000</v>
      </c>
      <c r="L739" s="5">
        <f>ROUND(tblSales[[#This Row],[DPP (excl. VAT)]]*VATEff,0)</f>
        <v>1540000</v>
      </c>
      <c r="M739" s="5">
        <f>tblSales[[#This Row],[DPP (excl. VAT)]]+tblSales[[#This Row],[Output VAT]]</f>
        <v>15540000</v>
      </c>
      <c r="N739" s="5">
        <f>tblSales[[#This Row],[Qty]]*_xlfn.XLOOKUP(tblSales[[#This Row],[Product Code]],tblProducts[Code],tblProducts[Unit Cost],0)</f>
        <v>8400000</v>
      </c>
      <c r="O739" s="4" t="s">
        <v>4867</v>
      </c>
      <c r="P739" s="4" t="s">
        <v>4862</v>
      </c>
      <c r="Q739" s="1" t="str">
        <f>_xlfn.XLOOKUP(tblSales[[#This Row],[Channel Code]],tblChannels[Channel Code],tblChannels[Channel Name],"")</f>
        <v>Website &amp; Social Media</v>
      </c>
      <c r="R739" s="1">
        <f>MONTH(tblSales[[#This Row],[Date]])</f>
        <v>2</v>
      </c>
    </row>
    <row r="740" spans="2:18" x14ac:dyDescent="0.35">
      <c r="B740" s="113">
        <v>46071</v>
      </c>
      <c r="C740" s="4" t="s">
        <v>509</v>
      </c>
      <c r="D740" s="4" t="s">
        <v>4599</v>
      </c>
      <c r="E740" s="1" t="str">
        <f>_xlfn.XLOOKUP(tblSales[[#This Row],[Customer ID]],tblCustomers[Customer ID],tblCustomers[Customer Name],"⚠ Unknown")</f>
        <v>PT Samudra Jaya Logistik</v>
      </c>
      <c r="F740" s="4" t="s">
        <v>12</v>
      </c>
      <c r="G740" s="1" t="str">
        <f>_xlfn.XLOOKUP(tblSales[[#This Row],[Product Code]],tblProducts[Code],tblProducts[Product / Service Name],"⚠ Unknown")</f>
        <v>Bomber Jacket</v>
      </c>
      <c r="H740" s="1" t="str">
        <f>_xlfn.XLOOKUP(tblSales[[#This Row],[Product Code]],tblProducts[Code],tblProducts[Category],"")</f>
        <v>Apparel &amp; Footwear</v>
      </c>
      <c r="I740" s="4">
        <v>16</v>
      </c>
      <c r="J740" s="5">
        <f>_xlfn.XLOOKUP(tblSales[[#This Row],[Product Code]],tblProducts[Code],tblProducts[Selling Price (excl. VAT)],0)</f>
        <v>350000</v>
      </c>
      <c r="K740" s="5">
        <f>tblSales[[#This Row],[Qty]]*tblSales[[#This Row],[Unit Price]]</f>
        <v>5600000</v>
      </c>
      <c r="L740" s="5">
        <f>ROUND(tblSales[[#This Row],[DPP (excl. VAT)]]*VATEff,0)</f>
        <v>616000</v>
      </c>
      <c r="M740" s="5">
        <f>tblSales[[#This Row],[DPP (excl. VAT)]]+tblSales[[#This Row],[Output VAT]]</f>
        <v>6216000</v>
      </c>
      <c r="N740" s="5">
        <f>tblSales[[#This Row],[Qty]]*_xlfn.XLOOKUP(tblSales[[#This Row],[Product Code]],tblProducts[Code],tblProducts[Unit Cost],0)</f>
        <v>3360000</v>
      </c>
      <c r="O740" s="4" t="s">
        <v>4867</v>
      </c>
      <c r="P740" s="4" t="s">
        <v>4860</v>
      </c>
      <c r="Q740" s="1" t="str">
        <f>_xlfn.XLOOKUP(tblSales[[#This Row],[Channel Code]],tblChannels[Channel Code],tblChannels[Channel Name],"")</f>
        <v>In-store</v>
      </c>
      <c r="R740" s="1">
        <f>MONTH(tblSales[[#This Row],[Date]])</f>
        <v>2</v>
      </c>
    </row>
    <row r="741" spans="2:18" x14ac:dyDescent="0.35">
      <c r="B741" s="113">
        <v>46071</v>
      </c>
      <c r="C741" s="4" t="s">
        <v>509</v>
      </c>
      <c r="D741" s="4" t="s">
        <v>4599</v>
      </c>
      <c r="E741" s="1" t="str">
        <f>_xlfn.XLOOKUP(tblSales[[#This Row],[Customer ID]],tblCustomers[Customer ID],tblCustomers[Customer Name],"⚠ Unknown")</f>
        <v>PT Samudra Jaya Logistik</v>
      </c>
      <c r="F741" s="4" t="s">
        <v>6</v>
      </c>
      <c r="G741" s="1" t="str">
        <f>_xlfn.XLOOKUP(tblSales[[#This Row],[Product Code]],tblProducts[Code],tblProducts[Product / Service Name],"⚠ Unknown")</f>
        <v>Socks &amp; Accessories</v>
      </c>
      <c r="H741" s="1" t="str">
        <f>_xlfn.XLOOKUP(tblSales[[#This Row],[Product Code]],tblProducts[Code],tblProducts[Category],"")</f>
        <v>Accessories &amp; Basics</v>
      </c>
      <c r="I741" s="4">
        <v>24</v>
      </c>
      <c r="J741" s="5">
        <f>_xlfn.XLOOKUP(tblSales[[#This Row],[Product Code]],tblProducts[Code],tblProducts[Selling Price (excl. VAT)],0)</f>
        <v>45000</v>
      </c>
      <c r="K741" s="5">
        <f>tblSales[[#This Row],[Qty]]*tblSales[[#This Row],[Unit Price]]</f>
        <v>1080000</v>
      </c>
      <c r="L741" s="5">
        <f>ROUND(tblSales[[#This Row],[DPP (excl. VAT)]]*VATEff,0)</f>
        <v>118800</v>
      </c>
      <c r="M741" s="5">
        <f>tblSales[[#This Row],[DPP (excl. VAT)]]+tblSales[[#This Row],[Output VAT]]</f>
        <v>1198800</v>
      </c>
      <c r="N741" s="5">
        <f>tblSales[[#This Row],[Qty]]*_xlfn.XLOOKUP(tblSales[[#This Row],[Product Code]],tblProducts[Code],tblProducts[Unit Cost],0)</f>
        <v>576000</v>
      </c>
      <c r="O741" s="4" t="s">
        <v>4867</v>
      </c>
      <c r="P741" s="4" t="s">
        <v>4860</v>
      </c>
      <c r="Q741" s="1" t="str">
        <f>_xlfn.XLOOKUP(tblSales[[#This Row],[Channel Code]],tblChannels[Channel Code],tblChannels[Channel Name],"")</f>
        <v>In-store</v>
      </c>
      <c r="R741" s="1">
        <f>MONTH(tblSales[[#This Row],[Date]])</f>
        <v>2</v>
      </c>
    </row>
    <row r="742" spans="2:18" x14ac:dyDescent="0.35">
      <c r="B742" s="113">
        <v>46071</v>
      </c>
      <c r="C742" s="4" t="s">
        <v>509</v>
      </c>
      <c r="D742" s="4" t="s">
        <v>4599</v>
      </c>
      <c r="E742" s="1" t="str">
        <f>_xlfn.XLOOKUP(tblSales[[#This Row],[Customer ID]],tblCustomers[Customer ID],tblCustomers[Customer Name],"⚠ Unknown")</f>
        <v>PT Samudra Jaya Logistik</v>
      </c>
      <c r="F742" s="4" t="s">
        <v>14</v>
      </c>
      <c r="G742" s="1" t="str">
        <f>_xlfn.XLOOKUP(tblSales[[#This Row],[Product Code]],tblProducts[Code],tblProducts[Product / Service Name],"⚠ Unknown")</f>
        <v>Smartwatch</v>
      </c>
      <c r="H742" s="1" t="str">
        <f>_xlfn.XLOOKUP(tblSales[[#This Row],[Product Code]],tblProducts[Code],tblProducts[Category],"")</f>
        <v>Bags &amp; Gadgets</v>
      </c>
      <c r="I742" s="4">
        <v>8</v>
      </c>
      <c r="J742" s="5">
        <f>_xlfn.XLOOKUP(tblSales[[#This Row],[Product Code]],tblProducts[Code],tblProducts[Selling Price (excl. VAT)],0)</f>
        <v>850000</v>
      </c>
      <c r="K742" s="5">
        <f>tblSales[[#This Row],[Qty]]*tblSales[[#This Row],[Unit Price]]</f>
        <v>6800000</v>
      </c>
      <c r="L742" s="5">
        <f>ROUND(tblSales[[#This Row],[DPP (excl. VAT)]]*VATEff,0)</f>
        <v>748000</v>
      </c>
      <c r="M742" s="5">
        <f>tblSales[[#This Row],[DPP (excl. VAT)]]+tblSales[[#This Row],[Output VAT]]</f>
        <v>7548000</v>
      </c>
      <c r="N742" s="5">
        <f>tblSales[[#This Row],[Qty]]*_xlfn.XLOOKUP(tblSales[[#This Row],[Product Code]],tblProducts[Code],tblProducts[Unit Cost],0)</f>
        <v>4480000</v>
      </c>
      <c r="O742" s="4" t="s">
        <v>4867</v>
      </c>
      <c r="P742" s="4" t="s">
        <v>4860</v>
      </c>
      <c r="Q742" s="1" t="str">
        <f>_xlfn.XLOOKUP(tblSales[[#This Row],[Channel Code]],tblChannels[Channel Code],tblChannels[Channel Name],"")</f>
        <v>In-store</v>
      </c>
      <c r="R742" s="1">
        <f>MONTH(tblSales[[#This Row],[Date]])</f>
        <v>2</v>
      </c>
    </row>
    <row r="743" spans="2:18" x14ac:dyDescent="0.35">
      <c r="B743" s="113">
        <v>46071</v>
      </c>
      <c r="C743" s="4" t="s">
        <v>510</v>
      </c>
      <c r="D743" s="4" t="s">
        <v>4568</v>
      </c>
      <c r="E743" s="1" t="str">
        <f>_xlfn.XLOOKUP(tblSales[[#This Row],[Customer ID]],tblCustomers[Customer ID],tblCustomers[Customer Name],"⚠ Unknown")</f>
        <v>Walk-in Customer</v>
      </c>
      <c r="F743" s="4" t="s">
        <v>6</v>
      </c>
      <c r="G743" s="1" t="str">
        <f>_xlfn.XLOOKUP(tblSales[[#This Row],[Product Code]],tblProducts[Code],tblProducts[Product / Service Name],"⚠ Unknown")</f>
        <v>Socks &amp; Accessories</v>
      </c>
      <c r="H743" s="1" t="str">
        <f>_xlfn.XLOOKUP(tblSales[[#This Row],[Product Code]],tblProducts[Code],tblProducts[Category],"")</f>
        <v>Accessories &amp; Basics</v>
      </c>
      <c r="I743" s="4">
        <v>9</v>
      </c>
      <c r="J743" s="5">
        <f>_xlfn.XLOOKUP(tblSales[[#This Row],[Product Code]],tblProducts[Code],tblProducts[Selling Price (excl. VAT)],0)</f>
        <v>45000</v>
      </c>
      <c r="K743" s="5">
        <f>tblSales[[#This Row],[Qty]]*tblSales[[#This Row],[Unit Price]]</f>
        <v>405000</v>
      </c>
      <c r="L743" s="5">
        <f>ROUND(tblSales[[#This Row],[DPP (excl. VAT)]]*VATEff,0)</f>
        <v>44550</v>
      </c>
      <c r="M743" s="5">
        <f>tblSales[[#This Row],[DPP (excl. VAT)]]+tblSales[[#This Row],[Output VAT]]</f>
        <v>449550</v>
      </c>
      <c r="N743" s="5">
        <f>tblSales[[#This Row],[Qty]]*_xlfn.XLOOKUP(tblSales[[#This Row],[Product Code]],tblProducts[Code],tblProducts[Unit Cost],0)</f>
        <v>216000</v>
      </c>
      <c r="O743" s="4" t="s">
        <v>4865</v>
      </c>
      <c r="P743" s="4" t="s">
        <v>4860</v>
      </c>
      <c r="Q743" s="1" t="str">
        <f>_xlfn.XLOOKUP(tblSales[[#This Row],[Channel Code]],tblChannels[Channel Code],tblChannels[Channel Name],"")</f>
        <v>In-store</v>
      </c>
      <c r="R743" s="1">
        <f>MONTH(tblSales[[#This Row],[Date]])</f>
        <v>2</v>
      </c>
    </row>
    <row r="744" spans="2:18" x14ac:dyDescent="0.35">
      <c r="B744" s="113">
        <v>46071</v>
      </c>
      <c r="C744" s="4" t="s">
        <v>511</v>
      </c>
      <c r="D744" s="4" t="s">
        <v>4568</v>
      </c>
      <c r="E744" s="1" t="str">
        <f>_xlfn.XLOOKUP(tblSales[[#This Row],[Customer ID]],tblCustomers[Customer ID],tblCustomers[Customer Name],"⚠ Unknown")</f>
        <v>Walk-in Customer</v>
      </c>
      <c r="F744" s="4" t="s">
        <v>14</v>
      </c>
      <c r="G744" s="1" t="str">
        <f>_xlfn.XLOOKUP(tblSales[[#This Row],[Product Code]],tblProducts[Code],tblProducts[Product / Service Name],"⚠ Unknown")</f>
        <v>Smartwatch</v>
      </c>
      <c r="H744" s="1" t="str">
        <f>_xlfn.XLOOKUP(tblSales[[#This Row],[Product Code]],tblProducts[Code],tblProducts[Category],"")</f>
        <v>Bags &amp; Gadgets</v>
      </c>
      <c r="I744" s="4">
        <v>1</v>
      </c>
      <c r="J744" s="5">
        <f>_xlfn.XLOOKUP(tblSales[[#This Row],[Product Code]],tblProducts[Code],tblProducts[Selling Price (excl. VAT)],0)</f>
        <v>850000</v>
      </c>
      <c r="K744" s="5">
        <f>tblSales[[#This Row],[Qty]]*tblSales[[#This Row],[Unit Price]]</f>
        <v>850000</v>
      </c>
      <c r="L744" s="5">
        <f>ROUND(tblSales[[#This Row],[DPP (excl. VAT)]]*VATEff,0)</f>
        <v>93500</v>
      </c>
      <c r="M744" s="5">
        <f>tblSales[[#This Row],[DPP (excl. VAT)]]+tblSales[[#This Row],[Output VAT]]</f>
        <v>943500</v>
      </c>
      <c r="N744" s="5">
        <f>tblSales[[#This Row],[Qty]]*_xlfn.XLOOKUP(tblSales[[#This Row],[Product Code]],tblProducts[Code],tblProducts[Unit Cost],0)</f>
        <v>560000</v>
      </c>
      <c r="O744" s="4" t="s">
        <v>4866</v>
      </c>
      <c r="P744" s="4" t="s">
        <v>4861</v>
      </c>
      <c r="Q744" s="1" t="str">
        <f>_xlfn.XLOOKUP(tblSales[[#This Row],[Channel Code]],tblChannels[Channel Code],tblChannels[Channel Name],"")</f>
        <v>Marketplace</v>
      </c>
      <c r="R744" s="1">
        <f>MONTH(tblSales[[#This Row],[Date]])</f>
        <v>2</v>
      </c>
    </row>
    <row r="745" spans="2:18" x14ac:dyDescent="0.35">
      <c r="B745" s="113">
        <v>46071</v>
      </c>
      <c r="C745" s="4" t="s">
        <v>511</v>
      </c>
      <c r="D745" s="4" t="s">
        <v>4568</v>
      </c>
      <c r="E745" s="1" t="str">
        <f>_xlfn.XLOOKUP(tblSales[[#This Row],[Customer ID]],tblCustomers[Customer ID],tblCustomers[Customer Name],"⚠ Unknown")</f>
        <v>Walk-in Customer</v>
      </c>
      <c r="F745" s="4" t="s">
        <v>8</v>
      </c>
      <c r="G745" s="1" t="str">
        <f>_xlfn.XLOOKUP(tblSales[[#This Row],[Product Code]],tblProducts[Code],tblProducts[Product / Service Name],"⚠ Unknown")</f>
        <v>Casual Shorts</v>
      </c>
      <c r="H745" s="1" t="str">
        <f>_xlfn.XLOOKUP(tblSales[[#This Row],[Product Code]],tblProducts[Code],tblProducts[Category],"")</f>
        <v>Accessories &amp; Basics</v>
      </c>
      <c r="I745" s="4">
        <v>6</v>
      </c>
      <c r="J745" s="5">
        <f>_xlfn.XLOOKUP(tblSales[[#This Row],[Product Code]],tblProducts[Code],tblProducts[Selling Price (excl. VAT)],0)</f>
        <v>85000</v>
      </c>
      <c r="K745" s="5">
        <f>tblSales[[#This Row],[Qty]]*tblSales[[#This Row],[Unit Price]]</f>
        <v>510000</v>
      </c>
      <c r="L745" s="5">
        <f>ROUND(tblSales[[#This Row],[DPP (excl. VAT)]]*VATEff,0)</f>
        <v>56100</v>
      </c>
      <c r="M745" s="5">
        <f>tblSales[[#This Row],[DPP (excl. VAT)]]+tblSales[[#This Row],[Output VAT]]</f>
        <v>566100</v>
      </c>
      <c r="N745" s="5">
        <f>tblSales[[#This Row],[Qty]]*_xlfn.XLOOKUP(tblSales[[#This Row],[Product Code]],tblProducts[Code],tblProducts[Unit Cost],0)</f>
        <v>300000</v>
      </c>
      <c r="O745" s="4" t="s">
        <v>4866</v>
      </c>
      <c r="P745" s="4" t="s">
        <v>4861</v>
      </c>
      <c r="Q745" s="1" t="str">
        <f>_xlfn.XLOOKUP(tblSales[[#This Row],[Channel Code]],tblChannels[Channel Code],tblChannels[Channel Name],"")</f>
        <v>Marketplace</v>
      </c>
      <c r="R745" s="1">
        <f>MONTH(tblSales[[#This Row],[Date]])</f>
        <v>2</v>
      </c>
    </row>
    <row r="746" spans="2:18" x14ac:dyDescent="0.35">
      <c r="B746" s="113">
        <v>46071</v>
      </c>
      <c r="C746" s="4" t="s">
        <v>512</v>
      </c>
      <c r="D746" s="4" t="s">
        <v>4585</v>
      </c>
      <c r="E746" s="1" t="str">
        <f>_xlfn.XLOOKUP(tblSales[[#This Row],[Customer ID]],tblCustomers[Customer ID],tblCustomers[Customer Name],"⚠ Unknown")</f>
        <v>CV Mitra Karya Mandiri</v>
      </c>
      <c r="F746" s="4" t="s">
        <v>8</v>
      </c>
      <c r="G746" s="1" t="str">
        <f>_xlfn.XLOOKUP(tblSales[[#This Row],[Product Code]],tblProducts[Code],tblProducts[Product / Service Name],"⚠ Unknown")</f>
        <v>Casual Shorts</v>
      </c>
      <c r="H746" s="1" t="str">
        <f>_xlfn.XLOOKUP(tblSales[[#This Row],[Product Code]],tblProducts[Code],tblProducts[Category],"")</f>
        <v>Accessories &amp; Basics</v>
      </c>
      <c r="I746" s="4">
        <v>48</v>
      </c>
      <c r="J746" s="5">
        <f>_xlfn.XLOOKUP(tblSales[[#This Row],[Product Code]],tblProducts[Code],tblProducts[Selling Price (excl. VAT)],0)</f>
        <v>85000</v>
      </c>
      <c r="K746" s="5">
        <f>tblSales[[#This Row],[Qty]]*tblSales[[#This Row],[Unit Price]]</f>
        <v>4080000</v>
      </c>
      <c r="L746" s="5">
        <f>ROUND(tblSales[[#This Row],[DPP (excl. VAT)]]*VATEff,0)</f>
        <v>448800</v>
      </c>
      <c r="M746" s="5">
        <f>tblSales[[#This Row],[DPP (excl. VAT)]]+tblSales[[#This Row],[Output VAT]]</f>
        <v>4528800</v>
      </c>
      <c r="N746" s="5">
        <f>tblSales[[#This Row],[Qty]]*_xlfn.XLOOKUP(tblSales[[#This Row],[Product Code]],tblProducts[Code],tblProducts[Unit Cost],0)</f>
        <v>2400000</v>
      </c>
      <c r="O746" s="4" t="s">
        <v>4867</v>
      </c>
      <c r="P746" s="4" t="s">
        <v>4860</v>
      </c>
      <c r="Q746" s="1" t="str">
        <f>_xlfn.XLOOKUP(tblSales[[#This Row],[Channel Code]],tblChannels[Channel Code],tblChannels[Channel Name],"")</f>
        <v>In-store</v>
      </c>
      <c r="R746" s="1">
        <f>MONTH(tblSales[[#This Row],[Date]])</f>
        <v>2</v>
      </c>
    </row>
    <row r="747" spans="2:18" x14ac:dyDescent="0.35">
      <c r="B747" s="113">
        <v>46071</v>
      </c>
      <c r="C747" s="4" t="s">
        <v>512</v>
      </c>
      <c r="D747" s="4" t="s">
        <v>4585</v>
      </c>
      <c r="E747" s="1" t="str">
        <f>_xlfn.XLOOKUP(tblSales[[#This Row],[Customer ID]],tblCustomers[Customer ID],tblCustomers[Customer Name],"⚠ Unknown")</f>
        <v>CV Mitra Karya Mandiri</v>
      </c>
      <c r="F747" s="4" t="s">
        <v>9</v>
      </c>
      <c r="G747" s="1" t="str">
        <f>_xlfn.XLOOKUP(tblSales[[#This Row],[Product Code]],tblProducts[Code],tblProducts[Product / Service Name],"⚠ Unknown")</f>
        <v>Casual Shirt</v>
      </c>
      <c r="H747" s="1" t="str">
        <f>_xlfn.XLOOKUP(tblSales[[#This Row],[Product Code]],tblProducts[Code],tblProducts[Category],"")</f>
        <v>Apparel &amp; Footwear</v>
      </c>
      <c r="I747" s="4">
        <v>80</v>
      </c>
      <c r="J747" s="5">
        <f>_xlfn.XLOOKUP(tblSales[[#This Row],[Product Code]],tblProducts[Code],tblProducts[Selling Price (excl. VAT)],0)</f>
        <v>120000</v>
      </c>
      <c r="K747" s="5">
        <f>tblSales[[#This Row],[Qty]]*tblSales[[#This Row],[Unit Price]]</f>
        <v>9600000</v>
      </c>
      <c r="L747" s="5">
        <f>ROUND(tblSales[[#This Row],[DPP (excl. VAT)]]*VATEff,0)</f>
        <v>1056000</v>
      </c>
      <c r="M747" s="5">
        <f>tblSales[[#This Row],[DPP (excl. VAT)]]+tblSales[[#This Row],[Output VAT]]</f>
        <v>10656000</v>
      </c>
      <c r="N747" s="5">
        <f>tblSales[[#This Row],[Qty]]*_xlfn.XLOOKUP(tblSales[[#This Row],[Product Code]],tblProducts[Code],tblProducts[Unit Cost],0)</f>
        <v>5760000</v>
      </c>
      <c r="O747" s="4" t="s">
        <v>4867</v>
      </c>
      <c r="P747" s="4" t="s">
        <v>4860</v>
      </c>
      <c r="Q747" s="1" t="str">
        <f>_xlfn.XLOOKUP(tblSales[[#This Row],[Channel Code]],tblChannels[Channel Code],tblChannels[Channel Name],"")</f>
        <v>In-store</v>
      </c>
      <c r="R747" s="1">
        <f>MONTH(tblSales[[#This Row],[Date]])</f>
        <v>2</v>
      </c>
    </row>
    <row r="748" spans="2:18" x14ac:dyDescent="0.35">
      <c r="B748" s="113">
        <v>46071</v>
      </c>
      <c r="C748" s="4" t="s">
        <v>513</v>
      </c>
      <c r="D748" s="4" t="s">
        <v>4613</v>
      </c>
      <c r="E748" s="1" t="str">
        <f>_xlfn.XLOOKUP(tblSales[[#This Row],[Customer ID]],tblCustomers[Customer ID],tblCustomers[Customer Name],"⚠ Unknown")</f>
        <v>PT Mega Prima Distribusi</v>
      </c>
      <c r="F748" s="4" t="s">
        <v>9</v>
      </c>
      <c r="G748" s="1" t="str">
        <f>_xlfn.XLOOKUP(tblSales[[#This Row],[Product Code]],tblProducts[Code],tblProducts[Product / Service Name],"⚠ Unknown")</f>
        <v>Casual Shirt</v>
      </c>
      <c r="H748" s="1" t="str">
        <f>_xlfn.XLOOKUP(tblSales[[#This Row],[Product Code]],tblProducts[Code],tblProducts[Category],"")</f>
        <v>Apparel &amp; Footwear</v>
      </c>
      <c r="I748" s="4">
        <v>16</v>
      </c>
      <c r="J748" s="5">
        <f>_xlfn.XLOOKUP(tblSales[[#This Row],[Product Code]],tblProducts[Code],tblProducts[Selling Price (excl. VAT)],0)</f>
        <v>120000</v>
      </c>
      <c r="K748" s="5">
        <f>tblSales[[#This Row],[Qty]]*tblSales[[#This Row],[Unit Price]]</f>
        <v>1920000</v>
      </c>
      <c r="L748" s="5">
        <f>ROUND(tblSales[[#This Row],[DPP (excl. VAT)]]*VATEff,0)</f>
        <v>211200</v>
      </c>
      <c r="M748" s="5">
        <f>tblSales[[#This Row],[DPP (excl. VAT)]]+tblSales[[#This Row],[Output VAT]]</f>
        <v>2131200</v>
      </c>
      <c r="N748" s="5">
        <f>tblSales[[#This Row],[Qty]]*_xlfn.XLOOKUP(tblSales[[#This Row],[Product Code]],tblProducts[Code],tblProducts[Unit Cost],0)</f>
        <v>1152000</v>
      </c>
      <c r="O748" s="4" t="s">
        <v>4867</v>
      </c>
      <c r="P748" s="4" t="s">
        <v>4860</v>
      </c>
      <c r="Q748" s="1" t="str">
        <f>_xlfn.XLOOKUP(tblSales[[#This Row],[Channel Code]],tblChannels[Channel Code],tblChannels[Channel Name],"")</f>
        <v>In-store</v>
      </c>
      <c r="R748" s="1">
        <f>MONTH(tblSales[[#This Row],[Date]])</f>
        <v>2</v>
      </c>
    </row>
    <row r="749" spans="2:18" x14ac:dyDescent="0.35">
      <c r="B749" s="113">
        <v>46071</v>
      </c>
      <c r="C749" s="4" t="s">
        <v>514</v>
      </c>
      <c r="D749" s="4" t="s">
        <v>4568</v>
      </c>
      <c r="E749" s="1" t="str">
        <f>_xlfn.XLOOKUP(tblSales[[#This Row],[Customer ID]],tblCustomers[Customer ID],tblCustomers[Customer Name],"⚠ Unknown")</f>
        <v>Walk-in Customer</v>
      </c>
      <c r="F749" s="4" t="s">
        <v>15</v>
      </c>
      <c r="G749" s="1" t="str">
        <f>_xlfn.XLOOKUP(tblSales[[#This Row],[Product Code]],tblProducts[Code],tblProducts[Product / Service Name],"⚠ Unknown")</f>
        <v>Wireless Earbuds Pro</v>
      </c>
      <c r="H749" s="1" t="str">
        <f>_xlfn.XLOOKUP(tblSales[[#This Row],[Product Code]],tblProducts[Code],tblProducts[Category],"")</f>
        <v>Bags &amp; Gadgets</v>
      </c>
      <c r="I749" s="4">
        <v>3</v>
      </c>
      <c r="J749" s="5">
        <f>_xlfn.XLOOKUP(tblSales[[#This Row],[Product Code]],tblProducts[Code],tblProducts[Selling Price (excl. VAT)],0)</f>
        <v>1250000</v>
      </c>
      <c r="K749" s="5">
        <f>tblSales[[#This Row],[Qty]]*tblSales[[#This Row],[Unit Price]]</f>
        <v>3750000</v>
      </c>
      <c r="L749" s="5">
        <f>ROUND(tblSales[[#This Row],[DPP (excl. VAT)]]*VATEff,0)</f>
        <v>412500</v>
      </c>
      <c r="M749" s="5">
        <f>tblSales[[#This Row],[DPP (excl. VAT)]]+tblSales[[#This Row],[Output VAT]]</f>
        <v>4162500</v>
      </c>
      <c r="N749" s="5">
        <f>tblSales[[#This Row],[Qty]]*_xlfn.XLOOKUP(tblSales[[#This Row],[Product Code]],tblProducts[Code],tblProducts[Unit Cost],0)</f>
        <v>2460000</v>
      </c>
      <c r="O749" s="4" t="s">
        <v>4866</v>
      </c>
      <c r="P749" s="4" t="s">
        <v>4861</v>
      </c>
      <c r="Q749" s="1" t="str">
        <f>_xlfn.XLOOKUP(tblSales[[#This Row],[Channel Code]],tblChannels[Channel Code],tblChannels[Channel Name],"")</f>
        <v>Marketplace</v>
      </c>
      <c r="R749" s="1">
        <f>MONTH(tblSales[[#This Row],[Date]])</f>
        <v>2</v>
      </c>
    </row>
    <row r="750" spans="2:18" x14ac:dyDescent="0.35">
      <c r="B750" s="113">
        <v>46072</v>
      </c>
      <c r="C750" s="4" t="s">
        <v>515</v>
      </c>
      <c r="D750" s="4" t="s">
        <v>4641</v>
      </c>
      <c r="E750" s="1" t="str">
        <f>_xlfn.XLOOKUP(tblSales[[#This Row],[Customer ID]],tblCustomers[Customer ID],tblCustomers[Customer Name],"⚠ Unknown")</f>
        <v>PT Harmoni Pangan Lestari</v>
      </c>
      <c r="F750" s="4" t="s">
        <v>12</v>
      </c>
      <c r="G750" s="1" t="str">
        <f>_xlfn.XLOOKUP(tblSales[[#This Row],[Product Code]],tblProducts[Code],tblProducts[Product / Service Name],"⚠ Unknown")</f>
        <v>Bomber Jacket</v>
      </c>
      <c r="H750" s="1" t="str">
        <f>_xlfn.XLOOKUP(tblSales[[#This Row],[Product Code]],tblProducts[Code],tblProducts[Category],"")</f>
        <v>Apparel &amp; Footwear</v>
      </c>
      <c r="I750" s="4">
        <v>48</v>
      </c>
      <c r="J750" s="5">
        <f>_xlfn.XLOOKUP(tblSales[[#This Row],[Product Code]],tblProducts[Code],tblProducts[Selling Price (excl. VAT)],0)</f>
        <v>350000</v>
      </c>
      <c r="K750" s="5">
        <f>tblSales[[#This Row],[Qty]]*tblSales[[#This Row],[Unit Price]]</f>
        <v>16800000</v>
      </c>
      <c r="L750" s="5">
        <f>ROUND(tblSales[[#This Row],[DPP (excl. VAT)]]*VATEff,0)</f>
        <v>1848000</v>
      </c>
      <c r="M750" s="5">
        <f>tblSales[[#This Row],[DPP (excl. VAT)]]+tblSales[[#This Row],[Output VAT]]</f>
        <v>18648000</v>
      </c>
      <c r="N750" s="5">
        <f>tblSales[[#This Row],[Qty]]*_xlfn.XLOOKUP(tblSales[[#This Row],[Product Code]],tblProducts[Code],tblProducts[Unit Cost],0)</f>
        <v>10080000</v>
      </c>
      <c r="O750" s="4" t="s">
        <v>4867</v>
      </c>
      <c r="P750" s="4" t="s">
        <v>4860</v>
      </c>
      <c r="Q750" s="1" t="str">
        <f>_xlfn.XLOOKUP(tblSales[[#This Row],[Channel Code]],tblChannels[Channel Code],tblChannels[Channel Name],"")</f>
        <v>In-store</v>
      </c>
      <c r="R750" s="1">
        <f>MONTH(tblSales[[#This Row],[Date]])</f>
        <v>2</v>
      </c>
    </row>
    <row r="751" spans="2:18" x14ac:dyDescent="0.35">
      <c r="B751" s="113">
        <v>46072</v>
      </c>
      <c r="C751" s="4" t="s">
        <v>516</v>
      </c>
      <c r="D751" s="4" t="s">
        <v>4585</v>
      </c>
      <c r="E751" s="1" t="str">
        <f>_xlfn.XLOOKUP(tblSales[[#This Row],[Customer ID]],tblCustomers[Customer ID],tblCustomers[Customer Name],"⚠ Unknown")</f>
        <v>CV Mitra Karya Mandiri</v>
      </c>
      <c r="F751" s="4" t="s">
        <v>15</v>
      </c>
      <c r="G751" s="1" t="str">
        <f>_xlfn.XLOOKUP(tblSales[[#This Row],[Product Code]],tblProducts[Code],tblProducts[Product / Service Name],"⚠ Unknown")</f>
        <v>Wireless Earbuds Pro</v>
      </c>
      <c r="H751" s="1" t="str">
        <f>_xlfn.XLOOKUP(tblSales[[#This Row],[Product Code]],tblProducts[Code],tblProducts[Category],"")</f>
        <v>Bags &amp; Gadgets</v>
      </c>
      <c r="I751" s="4">
        <v>8</v>
      </c>
      <c r="J751" s="5">
        <f>_xlfn.XLOOKUP(tblSales[[#This Row],[Product Code]],tblProducts[Code],tblProducts[Selling Price (excl. VAT)],0)</f>
        <v>1250000</v>
      </c>
      <c r="K751" s="5">
        <f>tblSales[[#This Row],[Qty]]*tblSales[[#This Row],[Unit Price]]</f>
        <v>10000000</v>
      </c>
      <c r="L751" s="5">
        <f>ROUND(tblSales[[#This Row],[DPP (excl. VAT)]]*VATEff,0)</f>
        <v>1100000</v>
      </c>
      <c r="M751" s="5">
        <f>tblSales[[#This Row],[DPP (excl. VAT)]]+tblSales[[#This Row],[Output VAT]]</f>
        <v>11100000</v>
      </c>
      <c r="N751" s="5">
        <f>tblSales[[#This Row],[Qty]]*_xlfn.XLOOKUP(tblSales[[#This Row],[Product Code]],tblProducts[Code],tblProducts[Unit Cost],0)</f>
        <v>6560000</v>
      </c>
      <c r="O751" s="4" t="s">
        <v>4867</v>
      </c>
      <c r="P751" s="4" t="s">
        <v>4860</v>
      </c>
      <c r="Q751" s="1" t="str">
        <f>_xlfn.XLOOKUP(tblSales[[#This Row],[Channel Code]],tblChannels[Channel Code],tblChannels[Channel Name],"")</f>
        <v>In-store</v>
      </c>
      <c r="R751" s="1">
        <f>MONTH(tblSales[[#This Row],[Date]])</f>
        <v>2</v>
      </c>
    </row>
    <row r="752" spans="2:18" x14ac:dyDescent="0.35">
      <c r="B752" s="113">
        <v>46072</v>
      </c>
      <c r="C752" s="4" t="s">
        <v>516</v>
      </c>
      <c r="D752" s="4" t="s">
        <v>4585</v>
      </c>
      <c r="E752" s="1" t="str">
        <f>_xlfn.XLOOKUP(tblSales[[#This Row],[Customer ID]],tblCustomers[Customer ID],tblCustomers[Customer Name],"⚠ Unknown")</f>
        <v>CV Mitra Karya Mandiri</v>
      </c>
      <c r="F752" s="4" t="s">
        <v>8</v>
      </c>
      <c r="G752" s="1" t="str">
        <f>_xlfn.XLOOKUP(tblSales[[#This Row],[Product Code]],tblProducts[Code],tblProducts[Product / Service Name],"⚠ Unknown")</f>
        <v>Casual Shorts</v>
      </c>
      <c r="H752" s="1" t="str">
        <f>_xlfn.XLOOKUP(tblSales[[#This Row],[Product Code]],tblProducts[Code],tblProducts[Category],"")</f>
        <v>Accessories &amp; Basics</v>
      </c>
      <c r="I752" s="4">
        <v>8</v>
      </c>
      <c r="J752" s="5">
        <f>_xlfn.XLOOKUP(tblSales[[#This Row],[Product Code]],tblProducts[Code],tblProducts[Selling Price (excl. VAT)],0)</f>
        <v>85000</v>
      </c>
      <c r="K752" s="5">
        <f>tblSales[[#This Row],[Qty]]*tblSales[[#This Row],[Unit Price]]</f>
        <v>680000</v>
      </c>
      <c r="L752" s="5">
        <f>ROUND(tblSales[[#This Row],[DPP (excl. VAT)]]*VATEff,0)</f>
        <v>74800</v>
      </c>
      <c r="M752" s="5">
        <f>tblSales[[#This Row],[DPP (excl. VAT)]]+tblSales[[#This Row],[Output VAT]]</f>
        <v>754800</v>
      </c>
      <c r="N752" s="5">
        <f>tblSales[[#This Row],[Qty]]*_xlfn.XLOOKUP(tblSales[[#This Row],[Product Code]],tblProducts[Code],tblProducts[Unit Cost],0)</f>
        <v>400000</v>
      </c>
      <c r="O752" s="4" t="s">
        <v>4867</v>
      </c>
      <c r="P752" s="4" t="s">
        <v>4860</v>
      </c>
      <c r="Q752" s="1" t="str">
        <f>_xlfn.XLOOKUP(tblSales[[#This Row],[Channel Code]],tblChannels[Channel Code],tblChannels[Channel Name],"")</f>
        <v>In-store</v>
      </c>
      <c r="R752" s="1">
        <f>MONTH(tblSales[[#This Row],[Date]])</f>
        <v>2</v>
      </c>
    </row>
    <row r="753" spans="2:18" x14ac:dyDescent="0.35">
      <c r="B753" s="113">
        <v>46072</v>
      </c>
      <c r="C753" s="4" t="s">
        <v>516</v>
      </c>
      <c r="D753" s="4" t="s">
        <v>4585</v>
      </c>
      <c r="E753" s="1" t="str">
        <f>_xlfn.XLOOKUP(tblSales[[#This Row],[Customer ID]],tblCustomers[Customer ID],tblCustomers[Customer Name],"⚠ Unknown")</f>
        <v>CV Mitra Karya Mandiri</v>
      </c>
      <c r="F753" s="4" t="s">
        <v>7</v>
      </c>
      <c r="G753" s="1" t="str">
        <f>_xlfn.XLOOKUP(tblSales[[#This Row],[Product Code]],tblProducts[Code],tblProducts[Product / Service Name],"⚠ Unknown")</f>
        <v>Premium Basic T-shirt</v>
      </c>
      <c r="H753" s="1" t="str">
        <f>_xlfn.XLOOKUP(tblSales[[#This Row],[Product Code]],tblProducts[Code],tblProducts[Category],"")</f>
        <v>Accessories &amp; Basics</v>
      </c>
      <c r="I753" s="4">
        <v>48</v>
      </c>
      <c r="J753" s="5">
        <f>_xlfn.XLOOKUP(tblSales[[#This Row],[Product Code]],tblProducts[Code],tblProducts[Selling Price (excl. VAT)],0)</f>
        <v>65000</v>
      </c>
      <c r="K753" s="5">
        <f>tblSales[[#This Row],[Qty]]*tblSales[[#This Row],[Unit Price]]</f>
        <v>3120000</v>
      </c>
      <c r="L753" s="5">
        <f>ROUND(tblSales[[#This Row],[DPP (excl. VAT)]]*VATEff,0)</f>
        <v>343200</v>
      </c>
      <c r="M753" s="5">
        <f>tblSales[[#This Row],[DPP (excl. VAT)]]+tblSales[[#This Row],[Output VAT]]</f>
        <v>3463200</v>
      </c>
      <c r="N753" s="5">
        <f>tblSales[[#This Row],[Qty]]*_xlfn.XLOOKUP(tblSales[[#This Row],[Product Code]],tblProducts[Code],tblProducts[Unit Cost],0)</f>
        <v>1776000</v>
      </c>
      <c r="O753" s="4" t="s">
        <v>4867</v>
      </c>
      <c r="P753" s="4" t="s">
        <v>4860</v>
      </c>
      <c r="Q753" s="1" t="str">
        <f>_xlfn.XLOOKUP(tblSales[[#This Row],[Channel Code]],tblChannels[Channel Code],tblChannels[Channel Name],"")</f>
        <v>In-store</v>
      </c>
      <c r="R753" s="1">
        <f>MONTH(tblSales[[#This Row],[Date]])</f>
        <v>2</v>
      </c>
    </row>
    <row r="754" spans="2:18" x14ac:dyDescent="0.35">
      <c r="B754" s="113">
        <v>46072</v>
      </c>
      <c r="C754" s="4" t="s">
        <v>517</v>
      </c>
      <c r="D754" s="4" t="s">
        <v>4627</v>
      </c>
      <c r="E754" s="1" t="str">
        <f>_xlfn.XLOOKUP(tblSales[[#This Row],[Customer ID]],tblCustomers[Customer ID],tblCustomers[Customer Name],"⚠ Unknown")</f>
        <v>PT Kencana Wira Usaha</v>
      </c>
      <c r="F754" s="4" t="s">
        <v>9</v>
      </c>
      <c r="G754" s="1" t="str">
        <f>_xlfn.XLOOKUP(tblSales[[#This Row],[Product Code]],tblProducts[Code],tblProducts[Product / Service Name],"⚠ Unknown")</f>
        <v>Casual Shirt</v>
      </c>
      <c r="H754" s="1" t="str">
        <f>_xlfn.XLOOKUP(tblSales[[#This Row],[Product Code]],tblProducts[Code],tblProducts[Category],"")</f>
        <v>Apparel &amp; Footwear</v>
      </c>
      <c r="I754" s="4">
        <v>72</v>
      </c>
      <c r="J754" s="5">
        <f>_xlfn.XLOOKUP(tblSales[[#This Row],[Product Code]],tblProducts[Code],tblProducts[Selling Price (excl. VAT)],0)</f>
        <v>120000</v>
      </c>
      <c r="K754" s="5">
        <f>tblSales[[#This Row],[Qty]]*tblSales[[#This Row],[Unit Price]]</f>
        <v>8640000</v>
      </c>
      <c r="L754" s="5">
        <f>ROUND(tblSales[[#This Row],[DPP (excl. VAT)]]*VATEff,0)</f>
        <v>950400</v>
      </c>
      <c r="M754" s="5">
        <f>tblSales[[#This Row],[DPP (excl. VAT)]]+tblSales[[#This Row],[Output VAT]]</f>
        <v>9590400</v>
      </c>
      <c r="N754" s="5">
        <f>tblSales[[#This Row],[Qty]]*_xlfn.XLOOKUP(tblSales[[#This Row],[Product Code]],tblProducts[Code],tblProducts[Unit Cost],0)</f>
        <v>5184000</v>
      </c>
      <c r="O754" s="4" t="s">
        <v>4867</v>
      </c>
      <c r="P754" s="4" t="s">
        <v>4860</v>
      </c>
      <c r="Q754" s="1" t="str">
        <f>_xlfn.XLOOKUP(tblSales[[#This Row],[Channel Code]],tblChannels[Channel Code],tblChannels[Channel Name],"")</f>
        <v>In-store</v>
      </c>
      <c r="R754" s="1">
        <f>MONTH(tblSales[[#This Row],[Date]])</f>
        <v>2</v>
      </c>
    </row>
    <row r="755" spans="2:18" x14ac:dyDescent="0.35">
      <c r="B755" s="113">
        <v>46072</v>
      </c>
      <c r="C755" s="4" t="s">
        <v>518</v>
      </c>
      <c r="D755" s="4" t="s">
        <v>4568</v>
      </c>
      <c r="E755" s="1" t="str">
        <f>_xlfn.XLOOKUP(tblSales[[#This Row],[Customer ID]],tblCustomers[Customer ID],tblCustomers[Customer Name],"⚠ Unknown")</f>
        <v>Walk-in Customer</v>
      </c>
      <c r="F755" s="4" t="s">
        <v>6</v>
      </c>
      <c r="G755" s="1" t="str">
        <f>_xlfn.XLOOKUP(tblSales[[#This Row],[Product Code]],tblProducts[Code],tblProducts[Product / Service Name],"⚠ Unknown")</f>
        <v>Socks &amp; Accessories</v>
      </c>
      <c r="H755" s="1" t="str">
        <f>_xlfn.XLOOKUP(tblSales[[#This Row],[Product Code]],tblProducts[Code],tblProducts[Category],"")</f>
        <v>Accessories &amp; Basics</v>
      </c>
      <c r="I755" s="4">
        <v>7</v>
      </c>
      <c r="J755" s="5">
        <f>_xlfn.XLOOKUP(tblSales[[#This Row],[Product Code]],tblProducts[Code],tblProducts[Selling Price (excl. VAT)],0)</f>
        <v>45000</v>
      </c>
      <c r="K755" s="5">
        <f>tblSales[[#This Row],[Qty]]*tblSales[[#This Row],[Unit Price]]</f>
        <v>315000</v>
      </c>
      <c r="L755" s="5">
        <f>ROUND(tblSales[[#This Row],[DPP (excl. VAT)]]*VATEff,0)</f>
        <v>34650</v>
      </c>
      <c r="M755" s="5">
        <f>tblSales[[#This Row],[DPP (excl. VAT)]]+tblSales[[#This Row],[Output VAT]]</f>
        <v>349650</v>
      </c>
      <c r="N755" s="5">
        <f>tblSales[[#This Row],[Qty]]*_xlfn.XLOOKUP(tblSales[[#This Row],[Product Code]],tblProducts[Code],tblProducts[Unit Cost],0)</f>
        <v>168000</v>
      </c>
      <c r="O755" s="4" t="s">
        <v>4865</v>
      </c>
      <c r="P755" s="4" t="s">
        <v>4860</v>
      </c>
      <c r="Q755" s="1" t="str">
        <f>_xlfn.XLOOKUP(tblSales[[#This Row],[Channel Code]],tblChannels[Channel Code],tblChannels[Channel Name],"")</f>
        <v>In-store</v>
      </c>
      <c r="R755" s="1">
        <f>MONTH(tblSales[[#This Row],[Date]])</f>
        <v>2</v>
      </c>
    </row>
    <row r="756" spans="2:18" x14ac:dyDescent="0.35">
      <c r="B756" s="113">
        <v>46072</v>
      </c>
      <c r="C756" s="4" t="s">
        <v>519</v>
      </c>
      <c r="D756" s="4" t="s">
        <v>4568</v>
      </c>
      <c r="E756" s="1" t="str">
        <f>_xlfn.XLOOKUP(tblSales[[#This Row],[Customer ID]],tblCustomers[Customer ID],tblCustomers[Customer Name],"⚠ Unknown")</f>
        <v>Walk-in Customer</v>
      </c>
      <c r="F756" s="4" t="s">
        <v>11</v>
      </c>
      <c r="G756" s="1" t="str">
        <f>_xlfn.XLOOKUP(tblSales[[#This Row],[Product Code]],tblProducts[Code],tblProducts[Product / Service Name],"⚠ Unknown")</f>
        <v>Sneakers</v>
      </c>
      <c r="H756" s="1" t="str">
        <f>_xlfn.XLOOKUP(tblSales[[#This Row],[Product Code]],tblProducts[Code],tblProducts[Category],"")</f>
        <v>Apparel &amp; Footwear</v>
      </c>
      <c r="I756" s="4">
        <v>6</v>
      </c>
      <c r="J756" s="5">
        <f>_xlfn.XLOOKUP(tblSales[[#This Row],[Product Code]],tblProducts[Code],tblProducts[Selling Price (excl. VAT)],0)</f>
        <v>250000</v>
      </c>
      <c r="K756" s="5">
        <f>tblSales[[#This Row],[Qty]]*tblSales[[#This Row],[Unit Price]]</f>
        <v>1500000</v>
      </c>
      <c r="L756" s="5">
        <f>ROUND(tblSales[[#This Row],[DPP (excl. VAT)]]*VATEff,0)</f>
        <v>165000</v>
      </c>
      <c r="M756" s="5">
        <f>tblSales[[#This Row],[DPP (excl. VAT)]]+tblSales[[#This Row],[Output VAT]]</f>
        <v>1665000</v>
      </c>
      <c r="N756" s="5">
        <f>tblSales[[#This Row],[Qty]]*_xlfn.XLOOKUP(tblSales[[#This Row],[Product Code]],tblProducts[Code],tblProducts[Unit Cost],0)</f>
        <v>930000</v>
      </c>
      <c r="O756" s="4" t="s">
        <v>4865</v>
      </c>
      <c r="P756" s="4" t="s">
        <v>4860</v>
      </c>
      <c r="Q756" s="1" t="str">
        <f>_xlfn.XLOOKUP(tblSales[[#This Row],[Channel Code]],tblChannels[Channel Code],tblChannels[Channel Name],"")</f>
        <v>In-store</v>
      </c>
      <c r="R756" s="1">
        <f>MONTH(tblSales[[#This Row],[Date]])</f>
        <v>2</v>
      </c>
    </row>
    <row r="757" spans="2:18" x14ac:dyDescent="0.35">
      <c r="B757" s="113">
        <v>46072</v>
      </c>
      <c r="C757" s="4" t="s">
        <v>520</v>
      </c>
      <c r="D757" s="4" t="s">
        <v>4568</v>
      </c>
      <c r="E757" s="1" t="str">
        <f>_xlfn.XLOOKUP(tblSales[[#This Row],[Customer ID]],tblCustomers[Customer ID],tblCustomers[Customer Name],"⚠ Unknown")</f>
        <v>Walk-in Customer</v>
      </c>
      <c r="F757" s="4" t="s">
        <v>6</v>
      </c>
      <c r="G757" s="1" t="str">
        <f>_xlfn.XLOOKUP(tblSales[[#This Row],[Product Code]],tblProducts[Code],tblProducts[Product / Service Name],"⚠ Unknown")</f>
        <v>Socks &amp; Accessories</v>
      </c>
      <c r="H757" s="1" t="str">
        <f>_xlfn.XLOOKUP(tblSales[[#This Row],[Product Code]],tblProducts[Code],tblProducts[Category],"")</f>
        <v>Accessories &amp; Basics</v>
      </c>
      <c r="I757" s="4">
        <v>7</v>
      </c>
      <c r="J757" s="5">
        <f>_xlfn.XLOOKUP(tblSales[[#This Row],[Product Code]],tblProducts[Code],tblProducts[Selling Price (excl. VAT)],0)</f>
        <v>45000</v>
      </c>
      <c r="K757" s="5">
        <f>tblSales[[#This Row],[Qty]]*tblSales[[#This Row],[Unit Price]]</f>
        <v>315000</v>
      </c>
      <c r="L757" s="5">
        <f>ROUND(tblSales[[#This Row],[DPP (excl. VAT)]]*VATEff,0)</f>
        <v>34650</v>
      </c>
      <c r="M757" s="5">
        <f>tblSales[[#This Row],[DPP (excl. VAT)]]+tblSales[[#This Row],[Output VAT]]</f>
        <v>349650</v>
      </c>
      <c r="N757" s="5">
        <f>tblSales[[#This Row],[Qty]]*_xlfn.XLOOKUP(tblSales[[#This Row],[Product Code]],tblProducts[Code],tblProducts[Unit Cost],0)</f>
        <v>168000</v>
      </c>
      <c r="O757" s="4" t="s">
        <v>4866</v>
      </c>
      <c r="P757" s="4" t="s">
        <v>4860</v>
      </c>
      <c r="Q757" s="1" t="str">
        <f>_xlfn.XLOOKUP(tblSales[[#This Row],[Channel Code]],tblChannels[Channel Code],tblChannels[Channel Name],"")</f>
        <v>In-store</v>
      </c>
      <c r="R757" s="1">
        <f>MONTH(tblSales[[#This Row],[Date]])</f>
        <v>2</v>
      </c>
    </row>
    <row r="758" spans="2:18" x14ac:dyDescent="0.35">
      <c r="B758" s="113">
        <v>46072</v>
      </c>
      <c r="C758" s="4" t="s">
        <v>521</v>
      </c>
      <c r="D758" s="4" t="s">
        <v>4568</v>
      </c>
      <c r="E758" s="1" t="str">
        <f>_xlfn.XLOOKUP(tblSales[[#This Row],[Customer ID]],tblCustomers[Customer ID],tblCustomers[Customer Name],"⚠ Unknown")</f>
        <v>Walk-in Customer</v>
      </c>
      <c r="F758" s="4" t="s">
        <v>12</v>
      </c>
      <c r="G758" s="1" t="str">
        <f>_xlfn.XLOOKUP(tblSales[[#This Row],[Product Code]],tblProducts[Code],tblProducts[Product / Service Name],"⚠ Unknown")</f>
        <v>Bomber Jacket</v>
      </c>
      <c r="H758" s="1" t="str">
        <f>_xlfn.XLOOKUP(tblSales[[#This Row],[Product Code]],tblProducts[Code],tblProducts[Category],"")</f>
        <v>Apparel &amp; Footwear</v>
      </c>
      <c r="I758" s="4">
        <v>3</v>
      </c>
      <c r="J758" s="5">
        <f>_xlfn.XLOOKUP(tblSales[[#This Row],[Product Code]],tblProducts[Code],tblProducts[Selling Price (excl. VAT)],0)</f>
        <v>350000</v>
      </c>
      <c r="K758" s="5">
        <f>tblSales[[#This Row],[Qty]]*tblSales[[#This Row],[Unit Price]]</f>
        <v>1050000</v>
      </c>
      <c r="L758" s="5">
        <f>ROUND(tblSales[[#This Row],[DPP (excl. VAT)]]*VATEff,0)</f>
        <v>115500</v>
      </c>
      <c r="M758" s="5">
        <f>tblSales[[#This Row],[DPP (excl. VAT)]]+tblSales[[#This Row],[Output VAT]]</f>
        <v>1165500</v>
      </c>
      <c r="N758" s="5">
        <f>tblSales[[#This Row],[Qty]]*_xlfn.XLOOKUP(tblSales[[#This Row],[Product Code]],tblProducts[Code],tblProducts[Unit Cost],0)</f>
        <v>630000</v>
      </c>
      <c r="O758" s="4" t="s">
        <v>4865</v>
      </c>
      <c r="P758" s="4" t="s">
        <v>4860</v>
      </c>
      <c r="Q758" s="1" t="str">
        <f>_xlfn.XLOOKUP(tblSales[[#This Row],[Channel Code]],tblChannels[Channel Code],tblChannels[Channel Name],"")</f>
        <v>In-store</v>
      </c>
      <c r="R758" s="1">
        <f>MONTH(tblSales[[#This Row],[Date]])</f>
        <v>2</v>
      </c>
    </row>
    <row r="759" spans="2:18" x14ac:dyDescent="0.35">
      <c r="B759" s="113">
        <v>46072</v>
      </c>
      <c r="C759" s="4" t="s">
        <v>521</v>
      </c>
      <c r="D759" s="4" t="s">
        <v>4568</v>
      </c>
      <c r="E759" s="1" t="str">
        <f>_xlfn.XLOOKUP(tblSales[[#This Row],[Customer ID]],tblCustomers[Customer ID],tblCustomers[Customer Name],"⚠ Unknown")</f>
        <v>Walk-in Customer</v>
      </c>
      <c r="F759" s="4" t="s">
        <v>6</v>
      </c>
      <c r="G759" s="1" t="str">
        <f>_xlfn.XLOOKUP(tblSales[[#This Row],[Product Code]],tblProducts[Code],tblProducts[Product / Service Name],"⚠ Unknown")</f>
        <v>Socks &amp; Accessories</v>
      </c>
      <c r="H759" s="1" t="str">
        <f>_xlfn.XLOOKUP(tblSales[[#This Row],[Product Code]],tblProducts[Code],tblProducts[Category],"")</f>
        <v>Accessories &amp; Basics</v>
      </c>
      <c r="I759" s="4">
        <v>3</v>
      </c>
      <c r="J759" s="5">
        <f>_xlfn.XLOOKUP(tblSales[[#This Row],[Product Code]],tblProducts[Code],tblProducts[Selling Price (excl. VAT)],0)</f>
        <v>45000</v>
      </c>
      <c r="K759" s="5">
        <f>tblSales[[#This Row],[Qty]]*tblSales[[#This Row],[Unit Price]]</f>
        <v>135000</v>
      </c>
      <c r="L759" s="5">
        <f>ROUND(tblSales[[#This Row],[DPP (excl. VAT)]]*VATEff,0)</f>
        <v>14850</v>
      </c>
      <c r="M759" s="5">
        <f>tblSales[[#This Row],[DPP (excl. VAT)]]+tblSales[[#This Row],[Output VAT]]</f>
        <v>149850</v>
      </c>
      <c r="N759" s="5">
        <f>tblSales[[#This Row],[Qty]]*_xlfn.XLOOKUP(tblSales[[#This Row],[Product Code]],tblProducts[Code],tblProducts[Unit Cost],0)</f>
        <v>72000</v>
      </c>
      <c r="O759" s="4" t="s">
        <v>4865</v>
      </c>
      <c r="P759" s="4" t="s">
        <v>4860</v>
      </c>
      <c r="Q759" s="1" t="str">
        <f>_xlfn.XLOOKUP(tblSales[[#This Row],[Channel Code]],tblChannels[Channel Code],tblChannels[Channel Name],"")</f>
        <v>In-store</v>
      </c>
      <c r="R759" s="1">
        <f>MONTH(tblSales[[#This Row],[Date]])</f>
        <v>2</v>
      </c>
    </row>
    <row r="760" spans="2:18" x14ac:dyDescent="0.35">
      <c r="B760" s="113">
        <v>46072</v>
      </c>
      <c r="C760" s="4" t="s">
        <v>522</v>
      </c>
      <c r="D760" s="4" t="s">
        <v>4568</v>
      </c>
      <c r="E760" s="1" t="str">
        <f>_xlfn.XLOOKUP(tblSales[[#This Row],[Customer ID]],tblCustomers[Customer ID],tblCustomers[Customer Name],"⚠ Unknown")</f>
        <v>Walk-in Customer</v>
      </c>
      <c r="F760" s="4" t="s">
        <v>15</v>
      </c>
      <c r="G760" s="1" t="str">
        <f>_xlfn.XLOOKUP(tblSales[[#This Row],[Product Code]],tblProducts[Code],tblProducts[Product / Service Name],"⚠ Unknown")</f>
        <v>Wireless Earbuds Pro</v>
      </c>
      <c r="H760" s="1" t="str">
        <f>_xlfn.XLOOKUP(tblSales[[#This Row],[Product Code]],tblProducts[Code],tblProducts[Category],"")</f>
        <v>Bags &amp; Gadgets</v>
      </c>
      <c r="I760" s="4">
        <v>2</v>
      </c>
      <c r="J760" s="5">
        <f>_xlfn.XLOOKUP(tblSales[[#This Row],[Product Code]],tblProducts[Code],tblProducts[Selling Price (excl. VAT)],0)</f>
        <v>1250000</v>
      </c>
      <c r="K760" s="5">
        <f>tblSales[[#This Row],[Qty]]*tblSales[[#This Row],[Unit Price]]</f>
        <v>2500000</v>
      </c>
      <c r="L760" s="5">
        <f>ROUND(tblSales[[#This Row],[DPP (excl. VAT)]]*VATEff,0)</f>
        <v>275000</v>
      </c>
      <c r="M760" s="5">
        <f>tblSales[[#This Row],[DPP (excl. VAT)]]+tblSales[[#This Row],[Output VAT]]</f>
        <v>2775000</v>
      </c>
      <c r="N760" s="5">
        <f>tblSales[[#This Row],[Qty]]*_xlfn.XLOOKUP(tblSales[[#This Row],[Product Code]],tblProducts[Code],tblProducts[Unit Cost],0)</f>
        <v>1640000</v>
      </c>
      <c r="O760" s="4" t="s">
        <v>4865</v>
      </c>
      <c r="P760" s="4" t="s">
        <v>4860</v>
      </c>
      <c r="Q760" s="1" t="str">
        <f>_xlfn.XLOOKUP(tblSales[[#This Row],[Channel Code]],tblChannels[Channel Code],tblChannels[Channel Name],"")</f>
        <v>In-store</v>
      </c>
      <c r="R760" s="1">
        <f>MONTH(tblSales[[#This Row],[Date]])</f>
        <v>2</v>
      </c>
    </row>
    <row r="761" spans="2:18" x14ac:dyDescent="0.35">
      <c r="B761" s="113">
        <v>46072</v>
      </c>
      <c r="C761" s="4" t="s">
        <v>523</v>
      </c>
      <c r="D761" s="4" t="s">
        <v>4568</v>
      </c>
      <c r="E761" s="1" t="str">
        <f>_xlfn.XLOOKUP(tblSales[[#This Row],[Customer ID]],tblCustomers[Customer ID],tblCustomers[Customer Name],"⚠ Unknown")</f>
        <v>Walk-in Customer</v>
      </c>
      <c r="F761" s="4" t="s">
        <v>8</v>
      </c>
      <c r="G761" s="1" t="str">
        <f>_xlfn.XLOOKUP(tblSales[[#This Row],[Product Code]],tblProducts[Code],tblProducts[Product / Service Name],"⚠ Unknown")</f>
        <v>Casual Shorts</v>
      </c>
      <c r="H761" s="1" t="str">
        <f>_xlfn.XLOOKUP(tblSales[[#This Row],[Product Code]],tblProducts[Code],tblProducts[Category],"")</f>
        <v>Accessories &amp; Basics</v>
      </c>
      <c r="I761" s="4">
        <v>12</v>
      </c>
      <c r="J761" s="5">
        <f>_xlfn.XLOOKUP(tblSales[[#This Row],[Product Code]],tblProducts[Code],tblProducts[Selling Price (excl. VAT)],0)</f>
        <v>85000</v>
      </c>
      <c r="K761" s="5">
        <f>tblSales[[#This Row],[Qty]]*tblSales[[#This Row],[Unit Price]]</f>
        <v>1020000</v>
      </c>
      <c r="L761" s="5">
        <f>ROUND(tblSales[[#This Row],[DPP (excl. VAT)]]*VATEff,0)</f>
        <v>112200</v>
      </c>
      <c r="M761" s="5">
        <f>tblSales[[#This Row],[DPP (excl. VAT)]]+tblSales[[#This Row],[Output VAT]]</f>
        <v>1132200</v>
      </c>
      <c r="N761" s="5">
        <f>tblSales[[#This Row],[Qty]]*_xlfn.XLOOKUP(tblSales[[#This Row],[Product Code]],tblProducts[Code],tblProducts[Unit Cost],0)</f>
        <v>600000</v>
      </c>
      <c r="O761" s="4" t="s">
        <v>4866</v>
      </c>
      <c r="P761" s="4" t="s">
        <v>4860</v>
      </c>
      <c r="Q761" s="1" t="str">
        <f>_xlfn.XLOOKUP(tblSales[[#This Row],[Channel Code]],tblChannels[Channel Code],tblChannels[Channel Name],"")</f>
        <v>In-store</v>
      </c>
      <c r="R761" s="1">
        <f>MONTH(tblSales[[#This Row],[Date]])</f>
        <v>2</v>
      </c>
    </row>
    <row r="762" spans="2:18" x14ac:dyDescent="0.35">
      <c r="B762" s="113">
        <v>46073</v>
      </c>
      <c r="C762" s="4" t="s">
        <v>524</v>
      </c>
      <c r="D762" s="4" t="s">
        <v>4568</v>
      </c>
      <c r="E762" s="1" t="str">
        <f>_xlfn.XLOOKUP(tblSales[[#This Row],[Customer ID]],tblCustomers[Customer ID],tblCustomers[Customer Name],"⚠ Unknown")</f>
        <v>Walk-in Customer</v>
      </c>
      <c r="F762" s="4" t="s">
        <v>15</v>
      </c>
      <c r="G762" s="1" t="str">
        <f>_xlfn.XLOOKUP(tblSales[[#This Row],[Product Code]],tblProducts[Code],tblProducts[Product / Service Name],"⚠ Unknown")</f>
        <v>Wireless Earbuds Pro</v>
      </c>
      <c r="H762" s="1" t="str">
        <f>_xlfn.XLOOKUP(tblSales[[#This Row],[Product Code]],tblProducts[Code],tblProducts[Category],"")</f>
        <v>Bags &amp; Gadgets</v>
      </c>
      <c r="I762" s="4">
        <v>1</v>
      </c>
      <c r="J762" s="5">
        <f>_xlfn.XLOOKUP(tblSales[[#This Row],[Product Code]],tblProducts[Code],tblProducts[Selling Price (excl. VAT)],0)</f>
        <v>1250000</v>
      </c>
      <c r="K762" s="5">
        <f>tblSales[[#This Row],[Qty]]*tblSales[[#This Row],[Unit Price]]</f>
        <v>1250000</v>
      </c>
      <c r="L762" s="5">
        <f>ROUND(tblSales[[#This Row],[DPP (excl. VAT)]]*VATEff,0)</f>
        <v>137500</v>
      </c>
      <c r="M762" s="5">
        <f>tblSales[[#This Row],[DPP (excl. VAT)]]+tblSales[[#This Row],[Output VAT]]</f>
        <v>1387500</v>
      </c>
      <c r="N762" s="5">
        <f>tblSales[[#This Row],[Qty]]*_xlfn.XLOOKUP(tblSales[[#This Row],[Product Code]],tblProducts[Code],tblProducts[Unit Cost],0)</f>
        <v>820000</v>
      </c>
      <c r="O762" s="4" t="s">
        <v>4865</v>
      </c>
      <c r="P762" s="4" t="s">
        <v>4860</v>
      </c>
      <c r="Q762" s="1" t="str">
        <f>_xlfn.XLOOKUP(tblSales[[#This Row],[Channel Code]],tblChannels[Channel Code],tblChannels[Channel Name],"")</f>
        <v>In-store</v>
      </c>
      <c r="R762" s="1">
        <f>MONTH(tblSales[[#This Row],[Date]])</f>
        <v>2</v>
      </c>
    </row>
    <row r="763" spans="2:18" x14ac:dyDescent="0.35">
      <c r="B763" s="113">
        <v>46073</v>
      </c>
      <c r="C763" s="4" t="s">
        <v>525</v>
      </c>
      <c r="D763" s="4" t="s">
        <v>4606</v>
      </c>
      <c r="E763" s="1" t="str">
        <f>_xlfn.XLOOKUP(tblSales[[#This Row],[Customer ID]],tblCustomers[Customer ID],tblCustomers[Customer Name],"⚠ Unknown")</f>
        <v>PT Arunika Digital Kreatif</v>
      </c>
      <c r="F763" s="4" t="s">
        <v>7</v>
      </c>
      <c r="G763" s="1" t="str">
        <f>_xlfn.XLOOKUP(tblSales[[#This Row],[Product Code]],tblProducts[Code],tblProducts[Product / Service Name],"⚠ Unknown")</f>
        <v>Premium Basic T-shirt</v>
      </c>
      <c r="H763" s="1" t="str">
        <f>_xlfn.XLOOKUP(tblSales[[#This Row],[Product Code]],tblProducts[Code],tblProducts[Category],"")</f>
        <v>Accessories &amp; Basics</v>
      </c>
      <c r="I763" s="4">
        <v>8</v>
      </c>
      <c r="J763" s="5">
        <f>_xlfn.XLOOKUP(tblSales[[#This Row],[Product Code]],tblProducts[Code],tblProducts[Selling Price (excl. VAT)],0)</f>
        <v>65000</v>
      </c>
      <c r="K763" s="5">
        <f>tblSales[[#This Row],[Qty]]*tblSales[[#This Row],[Unit Price]]</f>
        <v>520000</v>
      </c>
      <c r="L763" s="5">
        <f>ROUND(tblSales[[#This Row],[DPP (excl. VAT)]]*VATEff,0)</f>
        <v>57200</v>
      </c>
      <c r="M763" s="5">
        <f>tblSales[[#This Row],[DPP (excl. VAT)]]+tblSales[[#This Row],[Output VAT]]</f>
        <v>577200</v>
      </c>
      <c r="N763" s="5">
        <f>tblSales[[#This Row],[Qty]]*_xlfn.XLOOKUP(tblSales[[#This Row],[Product Code]],tblProducts[Code],tblProducts[Unit Cost],0)</f>
        <v>296000</v>
      </c>
      <c r="O763" s="4" t="s">
        <v>4867</v>
      </c>
      <c r="P763" s="4" t="s">
        <v>4860</v>
      </c>
      <c r="Q763" s="1" t="str">
        <f>_xlfn.XLOOKUP(tblSales[[#This Row],[Channel Code]],tblChannels[Channel Code],tblChannels[Channel Name],"")</f>
        <v>In-store</v>
      </c>
      <c r="R763" s="1">
        <f>MONTH(tblSales[[#This Row],[Date]])</f>
        <v>2</v>
      </c>
    </row>
    <row r="764" spans="2:18" x14ac:dyDescent="0.35">
      <c r="B764" s="113">
        <v>46073</v>
      </c>
      <c r="C764" s="4" t="s">
        <v>525</v>
      </c>
      <c r="D764" s="4" t="s">
        <v>4606</v>
      </c>
      <c r="E764" s="1" t="str">
        <f>_xlfn.XLOOKUP(tblSales[[#This Row],[Customer ID]],tblCustomers[Customer ID],tblCustomers[Customer Name],"⚠ Unknown")</f>
        <v>PT Arunika Digital Kreatif</v>
      </c>
      <c r="F764" s="4" t="s">
        <v>8</v>
      </c>
      <c r="G764" s="1" t="str">
        <f>_xlfn.XLOOKUP(tblSales[[#This Row],[Product Code]],tblProducts[Code],tblProducts[Product / Service Name],"⚠ Unknown")</f>
        <v>Casual Shorts</v>
      </c>
      <c r="H764" s="1" t="str">
        <f>_xlfn.XLOOKUP(tblSales[[#This Row],[Product Code]],tblProducts[Code],tblProducts[Category],"")</f>
        <v>Accessories &amp; Basics</v>
      </c>
      <c r="I764" s="4">
        <v>96</v>
      </c>
      <c r="J764" s="5">
        <f>_xlfn.XLOOKUP(tblSales[[#This Row],[Product Code]],tblProducts[Code],tblProducts[Selling Price (excl. VAT)],0)</f>
        <v>85000</v>
      </c>
      <c r="K764" s="5">
        <f>tblSales[[#This Row],[Qty]]*tblSales[[#This Row],[Unit Price]]</f>
        <v>8160000</v>
      </c>
      <c r="L764" s="5">
        <f>ROUND(tblSales[[#This Row],[DPP (excl. VAT)]]*VATEff,0)</f>
        <v>897600</v>
      </c>
      <c r="M764" s="5">
        <f>tblSales[[#This Row],[DPP (excl. VAT)]]+tblSales[[#This Row],[Output VAT]]</f>
        <v>9057600</v>
      </c>
      <c r="N764" s="5">
        <f>tblSales[[#This Row],[Qty]]*_xlfn.XLOOKUP(tblSales[[#This Row],[Product Code]],tblProducts[Code],tblProducts[Unit Cost],0)</f>
        <v>4800000</v>
      </c>
      <c r="O764" s="4" t="s">
        <v>4867</v>
      </c>
      <c r="P764" s="4" t="s">
        <v>4860</v>
      </c>
      <c r="Q764" s="1" t="str">
        <f>_xlfn.XLOOKUP(tblSales[[#This Row],[Channel Code]],tblChannels[Channel Code],tblChannels[Channel Name],"")</f>
        <v>In-store</v>
      </c>
      <c r="R764" s="1">
        <f>MONTH(tblSales[[#This Row],[Date]])</f>
        <v>2</v>
      </c>
    </row>
    <row r="765" spans="2:18" x14ac:dyDescent="0.35">
      <c r="B765" s="113">
        <v>46073</v>
      </c>
      <c r="C765" s="4" t="s">
        <v>526</v>
      </c>
      <c r="D765" s="4" t="s">
        <v>4568</v>
      </c>
      <c r="E765" s="1" t="str">
        <f>_xlfn.XLOOKUP(tblSales[[#This Row],[Customer ID]],tblCustomers[Customer ID],tblCustomers[Customer Name],"⚠ Unknown")</f>
        <v>Walk-in Customer</v>
      </c>
      <c r="F765" s="4" t="s">
        <v>6</v>
      </c>
      <c r="G765" s="1" t="str">
        <f>_xlfn.XLOOKUP(tblSales[[#This Row],[Product Code]],tblProducts[Code],tblProducts[Product / Service Name],"⚠ Unknown")</f>
        <v>Socks &amp; Accessories</v>
      </c>
      <c r="H765" s="1" t="str">
        <f>_xlfn.XLOOKUP(tblSales[[#This Row],[Product Code]],tblProducts[Code],tblProducts[Category],"")</f>
        <v>Accessories &amp; Basics</v>
      </c>
      <c r="I765" s="4">
        <v>3</v>
      </c>
      <c r="J765" s="5">
        <f>_xlfn.XLOOKUP(tblSales[[#This Row],[Product Code]],tblProducts[Code],tblProducts[Selling Price (excl. VAT)],0)</f>
        <v>45000</v>
      </c>
      <c r="K765" s="5">
        <f>tblSales[[#This Row],[Qty]]*tblSales[[#This Row],[Unit Price]]</f>
        <v>135000</v>
      </c>
      <c r="L765" s="5">
        <f>ROUND(tblSales[[#This Row],[DPP (excl. VAT)]]*VATEff,0)</f>
        <v>14850</v>
      </c>
      <c r="M765" s="5">
        <f>tblSales[[#This Row],[DPP (excl. VAT)]]+tblSales[[#This Row],[Output VAT]]</f>
        <v>149850</v>
      </c>
      <c r="N765" s="5">
        <f>tblSales[[#This Row],[Qty]]*_xlfn.XLOOKUP(tblSales[[#This Row],[Product Code]],tblProducts[Code],tblProducts[Unit Cost],0)</f>
        <v>72000</v>
      </c>
      <c r="O765" s="4" t="s">
        <v>4866</v>
      </c>
      <c r="P765" s="4" t="s">
        <v>4860</v>
      </c>
      <c r="Q765" s="1" t="str">
        <f>_xlfn.XLOOKUP(tblSales[[#This Row],[Channel Code]],tblChannels[Channel Code],tblChannels[Channel Name],"")</f>
        <v>In-store</v>
      </c>
      <c r="R765" s="1">
        <f>MONTH(tblSales[[#This Row],[Date]])</f>
        <v>2</v>
      </c>
    </row>
    <row r="766" spans="2:18" x14ac:dyDescent="0.35">
      <c r="B766" s="113">
        <v>46073</v>
      </c>
      <c r="C766" s="4" t="s">
        <v>526</v>
      </c>
      <c r="D766" s="4" t="s">
        <v>4568</v>
      </c>
      <c r="E766" s="1" t="str">
        <f>_xlfn.XLOOKUP(tblSales[[#This Row],[Customer ID]],tblCustomers[Customer ID],tblCustomers[Customer Name],"⚠ Unknown")</f>
        <v>Walk-in Customer</v>
      </c>
      <c r="F766" s="4" t="s">
        <v>7</v>
      </c>
      <c r="G766" s="1" t="str">
        <f>_xlfn.XLOOKUP(tblSales[[#This Row],[Product Code]],tblProducts[Code],tblProducts[Product / Service Name],"⚠ Unknown")</f>
        <v>Premium Basic T-shirt</v>
      </c>
      <c r="H766" s="1" t="str">
        <f>_xlfn.XLOOKUP(tblSales[[#This Row],[Product Code]],tblProducts[Code],tblProducts[Category],"")</f>
        <v>Accessories &amp; Basics</v>
      </c>
      <c r="I766" s="4">
        <v>2</v>
      </c>
      <c r="J766" s="5">
        <f>_xlfn.XLOOKUP(tblSales[[#This Row],[Product Code]],tblProducts[Code],tblProducts[Selling Price (excl. VAT)],0)</f>
        <v>65000</v>
      </c>
      <c r="K766" s="5">
        <f>tblSales[[#This Row],[Qty]]*tblSales[[#This Row],[Unit Price]]</f>
        <v>130000</v>
      </c>
      <c r="L766" s="5">
        <f>ROUND(tblSales[[#This Row],[DPP (excl. VAT)]]*VATEff,0)</f>
        <v>14300</v>
      </c>
      <c r="M766" s="5">
        <f>tblSales[[#This Row],[DPP (excl. VAT)]]+tblSales[[#This Row],[Output VAT]]</f>
        <v>144300</v>
      </c>
      <c r="N766" s="5">
        <f>tblSales[[#This Row],[Qty]]*_xlfn.XLOOKUP(tblSales[[#This Row],[Product Code]],tblProducts[Code],tblProducts[Unit Cost],0)</f>
        <v>74000</v>
      </c>
      <c r="O766" s="4" t="s">
        <v>4866</v>
      </c>
      <c r="P766" s="4" t="s">
        <v>4860</v>
      </c>
      <c r="Q766" s="1" t="str">
        <f>_xlfn.XLOOKUP(tblSales[[#This Row],[Channel Code]],tblChannels[Channel Code],tblChannels[Channel Name],"")</f>
        <v>In-store</v>
      </c>
      <c r="R766" s="1">
        <f>MONTH(tblSales[[#This Row],[Date]])</f>
        <v>2</v>
      </c>
    </row>
    <row r="767" spans="2:18" x14ac:dyDescent="0.35">
      <c r="B767" s="113">
        <v>46073</v>
      </c>
      <c r="C767" s="4" t="s">
        <v>527</v>
      </c>
      <c r="D767" s="4" t="s">
        <v>4568</v>
      </c>
      <c r="E767" s="1" t="str">
        <f>_xlfn.XLOOKUP(tblSales[[#This Row],[Customer ID]],tblCustomers[Customer ID],tblCustomers[Customer Name],"⚠ Unknown")</f>
        <v>Walk-in Customer</v>
      </c>
      <c r="F767" s="4" t="s">
        <v>9</v>
      </c>
      <c r="G767" s="1" t="str">
        <f>_xlfn.XLOOKUP(tblSales[[#This Row],[Product Code]],tblProducts[Code],tblProducts[Product / Service Name],"⚠ Unknown")</f>
        <v>Casual Shirt</v>
      </c>
      <c r="H767" s="1" t="str">
        <f>_xlfn.XLOOKUP(tblSales[[#This Row],[Product Code]],tblProducts[Code],tblProducts[Category],"")</f>
        <v>Apparel &amp; Footwear</v>
      </c>
      <c r="I767" s="4">
        <v>9</v>
      </c>
      <c r="J767" s="5">
        <f>_xlfn.XLOOKUP(tblSales[[#This Row],[Product Code]],tblProducts[Code],tblProducts[Selling Price (excl. VAT)],0)</f>
        <v>120000</v>
      </c>
      <c r="K767" s="5">
        <f>tblSales[[#This Row],[Qty]]*tblSales[[#This Row],[Unit Price]]</f>
        <v>1080000</v>
      </c>
      <c r="L767" s="5">
        <f>ROUND(tblSales[[#This Row],[DPP (excl. VAT)]]*VATEff,0)</f>
        <v>118800</v>
      </c>
      <c r="M767" s="5">
        <f>tblSales[[#This Row],[DPP (excl. VAT)]]+tblSales[[#This Row],[Output VAT]]</f>
        <v>1198800</v>
      </c>
      <c r="N767" s="5">
        <f>tblSales[[#This Row],[Qty]]*_xlfn.XLOOKUP(tblSales[[#This Row],[Product Code]],tblProducts[Code],tblProducts[Unit Cost],0)</f>
        <v>648000</v>
      </c>
      <c r="O767" s="4" t="s">
        <v>4865</v>
      </c>
      <c r="P767" s="4" t="s">
        <v>4860</v>
      </c>
      <c r="Q767" s="1" t="str">
        <f>_xlfn.XLOOKUP(tblSales[[#This Row],[Channel Code]],tblChannels[Channel Code],tblChannels[Channel Name],"")</f>
        <v>In-store</v>
      </c>
      <c r="R767" s="1">
        <f>MONTH(tblSales[[#This Row],[Date]])</f>
        <v>2</v>
      </c>
    </row>
    <row r="768" spans="2:18" x14ac:dyDescent="0.35">
      <c r="B768" s="113">
        <v>46073</v>
      </c>
      <c r="C768" s="4" t="s">
        <v>528</v>
      </c>
      <c r="D768" s="4" t="s">
        <v>4568</v>
      </c>
      <c r="E768" s="1" t="str">
        <f>_xlfn.XLOOKUP(tblSales[[#This Row],[Customer ID]],tblCustomers[Customer ID],tblCustomers[Customer Name],"⚠ Unknown")</f>
        <v>Walk-in Customer</v>
      </c>
      <c r="F768" s="4" t="s">
        <v>7</v>
      </c>
      <c r="G768" s="1" t="str">
        <f>_xlfn.XLOOKUP(tblSales[[#This Row],[Product Code]],tblProducts[Code],tblProducts[Product / Service Name],"⚠ Unknown")</f>
        <v>Premium Basic T-shirt</v>
      </c>
      <c r="H768" s="1" t="str">
        <f>_xlfn.XLOOKUP(tblSales[[#This Row],[Product Code]],tblProducts[Code],tblProducts[Category],"")</f>
        <v>Accessories &amp; Basics</v>
      </c>
      <c r="I768" s="4">
        <v>6</v>
      </c>
      <c r="J768" s="5">
        <f>_xlfn.XLOOKUP(tblSales[[#This Row],[Product Code]],tblProducts[Code],tblProducts[Selling Price (excl. VAT)],0)</f>
        <v>65000</v>
      </c>
      <c r="K768" s="5">
        <f>tblSales[[#This Row],[Qty]]*tblSales[[#This Row],[Unit Price]]</f>
        <v>390000</v>
      </c>
      <c r="L768" s="5">
        <f>ROUND(tblSales[[#This Row],[DPP (excl. VAT)]]*VATEff,0)</f>
        <v>42900</v>
      </c>
      <c r="M768" s="5">
        <f>tblSales[[#This Row],[DPP (excl. VAT)]]+tblSales[[#This Row],[Output VAT]]</f>
        <v>432900</v>
      </c>
      <c r="N768" s="5">
        <f>tblSales[[#This Row],[Qty]]*_xlfn.XLOOKUP(tblSales[[#This Row],[Product Code]],tblProducts[Code],tblProducts[Unit Cost],0)</f>
        <v>222000</v>
      </c>
      <c r="O768" s="4" t="s">
        <v>4866</v>
      </c>
      <c r="P768" s="4" t="s">
        <v>4860</v>
      </c>
      <c r="Q768" s="1" t="str">
        <f>_xlfn.XLOOKUP(tblSales[[#This Row],[Channel Code]],tblChannels[Channel Code],tblChannels[Channel Name],"")</f>
        <v>In-store</v>
      </c>
      <c r="R768" s="1">
        <f>MONTH(tblSales[[#This Row],[Date]])</f>
        <v>2</v>
      </c>
    </row>
    <row r="769" spans="2:18" x14ac:dyDescent="0.35">
      <c r="B769" s="113">
        <v>46073</v>
      </c>
      <c r="C769" s="4" t="s">
        <v>529</v>
      </c>
      <c r="D769" s="4" t="s">
        <v>4568</v>
      </c>
      <c r="E769" s="1" t="str">
        <f>_xlfn.XLOOKUP(tblSales[[#This Row],[Customer ID]],tblCustomers[Customer ID],tblCustomers[Customer Name],"⚠ Unknown")</f>
        <v>Walk-in Customer</v>
      </c>
      <c r="F769" s="4" t="s">
        <v>6</v>
      </c>
      <c r="G769" s="1" t="str">
        <f>_xlfn.XLOOKUP(tblSales[[#This Row],[Product Code]],tblProducts[Code],tblProducts[Product / Service Name],"⚠ Unknown")</f>
        <v>Socks &amp; Accessories</v>
      </c>
      <c r="H769" s="1" t="str">
        <f>_xlfn.XLOOKUP(tblSales[[#This Row],[Product Code]],tblProducts[Code],tblProducts[Category],"")</f>
        <v>Accessories &amp; Basics</v>
      </c>
      <c r="I769" s="4">
        <v>2</v>
      </c>
      <c r="J769" s="5">
        <f>_xlfn.XLOOKUP(tblSales[[#This Row],[Product Code]],tblProducts[Code],tblProducts[Selling Price (excl. VAT)],0)</f>
        <v>45000</v>
      </c>
      <c r="K769" s="5">
        <f>tblSales[[#This Row],[Qty]]*tblSales[[#This Row],[Unit Price]]</f>
        <v>90000</v>
      </c>
      <c r="L769" s="5">
        <f>ROUND(tblSales[[#This Row],[DPP (excl. VAT)]]*VATEff,0)</f>
        <v>9900</v>
      </c>
      <c r="M769" s="5">
        <f>tblSales[[#This Row],[DPP (excl. VAT)]]+tblSales[[#This Row],[Output VAT]]</f>
        <v>99900</v>
      </c>
      <c r="N769" s="5">
        <f>tblSales[[#This Row],[Qty]]*_xlfn.XLOOKUP(tblSales[[#This Row],[Product Code]],tblProducts[Code],tblProducts[Unit Cost],0)</f>
        <v>48000</v>
      </c>
      <c r="O769" s="4" t="s">
        <v>4866</v>
      </c>
      <c r="P769" s="4" t="s">
        <v>4861</v>
      </c>
      <c r="Q769" s="1" t="str">
        <f>_xlfn.XLOOKUP(tblSales[[#This Row],[Channel Code]],tblChannels[Channel Code],tblChannels[Channel Name],"")</f>
        <v>Marketplace</v>
      </c>
      <c r="R769" s="1">
        <f>MONTH(tblSales[[#This Row],[Date]])</f>
        <v>2</v>
      </c>
    </row>
    <row r="770" spans="2:18" x14ac:dyDescent="0.35">
      <c r="B770" s="113">
        <v>46073</v>
      </c>
      <c r="C770" s="4" t="s">
        <v>529</v>
      </c>
      <c r="D770" s="4" t="s">
        <v>4568</v>
      </c>
      <c r="E770" s="1" t="str">
        <f>_xlfn.XLOOKUP(tblSales[[#This Row],[Customer ID]],tblCustomers[Customer ID],tblCustomers[Customer Name],"⚠ Unknown")</f>
        <v>Walk-in Customer</v>
      </c>
      <c r="F770" s="4" t="s">
        <v>13</v>
      </c>
      <c r="G770" s="1" t="str">
        <f>_xlfn.XLOOKUP(tblSales[[#This Row],[Product Code]],tblProducts[Code],tblProducts[Product / Service Name],"⚠ Unknown")</f>
        <v>Backpack</v>
      </c>
      <c r="H770" s="1" t="str">
        <f>_xlfn.XLOOKUP(tblSales[[#This Row],[Product Code]],tblProducts[Code],tblProducts[Category],"")</f>
        <v>Bags &amp; Gadgets</v>
      </c>
      <c r="I770" s="4">
        <v>5</v>
      </c>
      <c r="J770" s="5">
        <f>_xlfn.XLOOKUP(tblSales[[#This Row],[Product Code]],tblProducts[Code],tblProducts[Selling Price (excl. VAT)],0)</f>
        <v>500000</v>
      </c>
      <c r="K770" s="5">
        <f>tblSales[[#This Row],[Qty]]*tblSales[[#This Row],[Unit Price]]</f>
        <v>2500000</v>
      </c>
      <c r="L770" s="5">
        <f>ROUND(tblSales[[#This Row],[DPP (excl. VAT)]]*VATEff,0)</f>
        <v>275000</v>
      </c>
      <c r="M770" s="5">
        <f>tblSales[[#This Row],[DPP (excl. VAT)]]+tblSales[[#This Row],[Output VAT]]</f>
        <v>2775000</v>
      </c>
      <c r="N770" s="5">
        <f>tblSales[[#This Row],[Qty]]*_xlfn.XLOOKUP(tblSales[[#This Row],[Product Code]],tblProducts[Code],tblProducts[Unit Cost],0)</f>
        <v>1450000</v>
      </c>
      <c r="O770" s="4" t="s">
        <v>4866</v>
      </c>
      <c r="P770" s="4" t="s">
        <v>4861</v>
      </c>
      <c r="Q770" s="1" t="str">
        <f>_xlfn.XLOOKUP(tblSales[[#This Row],[Channel Code]],tblChannels[Channel Code],tblChannels[Channel Name],"")</f>
        <v>Marketplace</v>
      </c>
      <c r="R770" s="1">
        <f>MONTH(tblSales[[#This Row],[Date]])</f>
        <v>2</v>
      </c>
    </row>
    <row r="771" spans="2:18" x14ac:dyDescent="0.35">
      <c r="B771" s="113">
        <v>46073</v>
      </c>
      <c r="C771" s="4" t="s">
        <v>530</v>
      </c>
      <c r="D771" s="4" t="s">
        <v>4593</v>
      </c>
      <c r="E771" s="1" t="str">
        <f>_xlfn.XLOOKUP(tblSales[[#This Row],[Customer ID]],tblCustomers[Customer ID],tblCustomers[Customer Name],"⚠ Unknown")</f>
        <v>PT Graha Nusa Persada</v>
      </c>
      <c r="F771" s="4" t="s">
        <v>9</v>
      </c>
      <c r="G771" s="1" t="str">
        <f>_xlfn.XLOOKUP(tblSales[[#This Row],[Product Code]],tblProducts[Code],tblProducts[Product / Service Name],"⚠ Unknown")</f>
        <v>Casual Shirt</v>
      </c>
      <c r="H771" s="1" t="str">
        <f>_xlfn.XLOOKUP(tblSales[[#This Row],[Product Code]],tblProducts[Code],tblProducts[Category],"")</f>
        <v>Apparel &amp; Footwear</v>
      </c>
      <c r="I771" s="4">
        <v>56</v>
      </c>
      <c r="J771" s="5">
        <f>_xlfn.XLOOKUP(tblSales[[#This Row],[Product Code]],tblProducts[Code],tblProducts[Selling Price (excl. VAT)],0)</f>
        <v>120000</v>
      </c>
      <c r="K771" s="5">
        <f>tblSales[[#This Row],[Qty]]*tblSales[[#This Row],[Unit Price]]</f>
        <v>6720000</v>
      </c>
      <c r="L771" s="5">
        <f>ROUND(tblSales[[#This Row],[DPP (excl. VAT)]]*VATEff,0)</f>
        <v>739200</v>
      </c>
      <c r="M771" s="5">
        <f>tblSales[[#This Row],[DPP (excl. VAT)]]+tblSales[[#This Row],[Output VAT]]</f>
        <v>7459200</v>
      </c>
      <c r="N771" s="5">
        <f>tblSales[[#This Row],[Qty]]*_xlfn.XLOOKUP(tblSales[[#This Row],[Product Code]],tblProducts[Code],tblProducts[Unit Cost],0)</f>
        <v>4032000</v>
      </c>
      <c r="O771" s="4" t="s">
        <v>4867</v>
      </c>
      <c r="P771" s="4" t="s">
        <v>4860</v>
      </c>
      <c r="Q771" s="1" t="str">
        <f>_xlfn.XLOOKUP(tblSales[[#This Row],[Channel Code]],tblChannels[Channel Code],tblChannels[Channel Name],"")</f>
        <v>In-store</v>
      </c>
      <c r="R771" s="1">
        <f>MONTH(tblSales[[#This Row],[Date]])</f>
        <v>2</v>
      </c>
    </row>
    <row r="772" spans="2:18" x14ac:dyDescent="0.35">
      <c r="B772" s="113">
        <v>46073</v>
      </c>
      <c r="C772" s="4" t="s">
        <v>530</v>
      </c>
      <c r="D772" s="4" t="s">
        <v>4593</v>
      </c>
      <c r="E772" s="1" t="str">
        <f>_xlfn.XLOOKUP(tblSales[[#This Row],[Customer ID]],tblCustomers[Customer ID],tblCustomers[Customer Name],"⚠ Unknown")</f>
        <v>PT Graha Nusa Persada</v>
      </c>
      <c r="F772" s="4" t="s">
        <v>12</v>
      </c>
      <c r="G772" s="1" t="str">
        <f>_xlfn.XLOOKUP(tblSales[[#This Row],[Product Code]],tblProducts[Code],tblProducts[Product / Service Name],"⚠ Unknown")</f>
        <v>Bomber Jacket</v>
      </c>
      <c r="H772" s="1" t="str">
        <f>_xlfn.XLOOKUP(tblSales[[#This Row],[Product Code]],tblProducts[Code],tblProducts[Category],"")</f>
        <v>Apparel &amp; Footwear</v>
      </c>
      <c r="I772" s="4">
        <v>16</v>
      </c>
      <c r="J772" s="5">
        <f>_xlfn.XLOOKUP(tblSales[[#This Row],[Product Code]],tblProducts[Code],tblProducts[Selling Price (excl. VAT)],0)</f>
        <v>350000</v>
      </c>
      <c r="K772" s="5">
        <f>tblSales[[#This Row],[Qty]]*tblSales[[#This Row],[Unit Price]]</f>
        <v>5600000</v>
      </c>
      <c r="L772" s="5">
        <f>ROUND(tblSales[[#This Row],[DPP (excl. VAT)]]*VATEff,0)</f>
        <v>616000</v>
      </c>
      <c r="M772" s="5">
        <f>tblSales[[#This Row],[DPP (excl. VAT)]]+tblSales[[#This Row],[Output VAT]]</f>
        <v>6216000</v>
      </c>
      <c r="N772" s="5">
        <f>tblSales[[#This Row],[Qty]]*_xlfn.XLOOKUP(tblSales[[#This Row],[Product Code]],tblProducts[Code],tblProducts[Unit Cost],0)</f>
        <v>3360000</v>
      </c>
      <c r="O772" s="4" t="s">
        <v>4867</v>
      </c>
      <c r="P772" s="4" t="s">
        <v>4860</v>
      </c>
      <c r="Q772" s="1" t="str">
        <f>_xlfn.XLOOKUP(tblSales[[#This Row],[Channel Code]],tblChannels[Channel Code],tblChannels[Channel Name],"")</f>
        <v>In-store</v>
      </c>
      <c r="R772" s="1">
        <f>MONTH(tblSales[[#This Row],[Date]])</f>
        <v>2</v>
      </c>
    </row>
    <row r="773" spans="2:18" x14ac:dyDescent="0.35">
      <c r="B773" s="113">
        <v>46073</v>
      </c>
      <c r="C773" s="4" t="s">
        <v>531</v>
      </c>
      <c r="D773" s="4" t="s">
        <v>4568</v>
      </c>
      <c r="E773" s="1" t="str">
        <f>_xlfn.XLOOKUP(tblSales[[#This Row],[Customer ID]],tblCustomers[Customer ID],tblCustomers[Customer Name],"⚠ Unknown")</f>
        <v>Walk-in Customer</v>
      </c>
      <c r="F773" s="4" t="s">
        <v>9</v>
      </c>
      <c r="G773" s="1" t="str">
        <f>_xlfn.XLOOKUP(tblSales[[#This Row],[Product Code]],tblProducts[Code],tblProducts[Product / Service Name],"⚠ Unknown")</f>
        <v>Casual Shirt</v>
      </c>
      <c r="H773" s="1" t="str">
        <f>_xlfn.XLOOKUP(tblSales[[#This Row],[Product Code]],tblProducts[Code],tblProducts[Category],"")</f>
        <v>Apparel &amp; Footwear</v>
      </c>
      <c r="I773" s="4">
        <v>10</v>
      </c>
      <c r="J773" s="5">
        <f>_xlfn.XLOOKUP(tblSales[[#This Row],[Product Code]],tblProducts[Code],tblProducts[Selling Price (excl. VAT)],0)</f>
        <v>120000</v>
      </c>
      <c r="K773" s="5">
        <f>tblSales[[#This Row],[Qty]]*tblSales[[#This Row],[Unit Price]]</f>
        <v>1200000</v>
      </c>
      <c r="L773" s="5">
        <f>ROUND(tblSales[[#This Row],[DPP (excl. VAT)]]*VATEff,0)</f>
        <v>132000</v>
      </c>
      <c r="M773" s="5">
        <f>tblSales[[#This Row],[DPP (excl. VAT)]]+tblSales[[#This Row],[Output VAT]]</f>
        <v>1332000</v>
      </c>
      <c r="N773" s="5">
        <f>tblSales[[#This Row],[Qty]]*_xlfn.XLOOKUP(tblSales[[#This Row],[Product Code]],tblProducts[Code],tblProducts[Unit Cost],0)</f>
        <v>720000</v>
      </c>
      <c r="O773" s="4" t="s">
        <v>4865</v>
      </c>
      <c r="P773" s="4" t="s">
        <v>4860</v>
      </c>
      <c r="Q773" s="1" t="str">
        <f>_xlfn.XLOOKUP(tblSales[[#This Row],[Channel Code]],tblChannels[Channel Code],tblChannels[Channel Name],"")</f>
        <v>In-store</v>
      </c>
      <c r="R773" s="1">
        <f>MONTH(tblSales[[#This Row],[Date]])</f>
        <v>2</v>
      </c>
    </row>
    <row r="774" spans="2:18" x14ac:dyDescent="0.35">
      <c r="B774" s="113">
        <v>46073</v>
      </c>
      <c r="C774" s="4" t="s">
        <v>532</v>
      </c>
      <c r="D774" s="4" t="s">
        <v>4599</v>
      </c>
      <c r="E774" s="1" t="str">
        <f>_xlfn.XLOOKUP(tblSales[[#This Row],[Customer ID]],tblCustomers[Customer ID],tblCustomers[Customer Name],"⚠ Unknown")</f>
        <v>PT Samudra Jaya Logistik</v>
      </c>
      <c r="F774" s="4" t="s">
        <v>8</v>
      </c>
      <c r="G774" s="1" t="str">
        <f>_xlfn.XLOOKUP(tblSales[[#This Row],[Product Code]],tblProducts[Code],tblProducts[Product / Service Name],"⚠ Unknown")</f>
        <v>Casual Shorts</v>
      </c>
      <c r="H774" s="1" t="str">
        <f>_xlfn.XLOOKUP(tblSales[[#This Row],[Product Code]],tblProducts[Code],tblProducts[Category],"")</f>
        <v>Accessories &amp; Basics</v>
      </c>
      <c r="I774" s="4">
        <v>56</v>
      </c>
      <c r="J774" s="5">
        <f>_xlfn.XLOOKUP(tblSales[[#This Row],[Product Code]],tblProducts[Code],tblProducts[Selling Price (excl. VAT)],0)</f>
        <v>85000</v>
      </c>
      <c r="K774" s="5">
        <f>tblSales[[#This Row],[Qty]]*tblSales[[#This Row],[Unit Price]]</f>
        <v>4760000</v>
      </c>
      <c r="L774" s="5">
        <f>ROUND(tblSales[[#This Row],[DPP (excl. VAT)]]*VATEff,0)</f>
        <v>523600</v>
      </c>
      <c r="M774" s="5">
        <f>tblSales[[#This Row],[DPP (excl. VAT)]]+tblSales[[#This Row],[Output VAT]]</f>
        <v>5283600</v>
      </c>
      <c r="N774" s="5">
        <f>tblSales[[#This Row],[Qty]]*_xlfn.XLOOKUP(tblSales[[#This Row],[Product Code]],tblProducts[Code],tblProducts[Unit Cost],0)</f>
        <v>2800000</v>
      </c>
      <c r="O774" s="4" t="s">
        <v>4867</v>
      </c>
      <c r="P774" s="4" t="s">
        <v>4860</v>
      </c>
      <c r="Q774" s="1" t="str">
        <f>_xlfn.XLOOKUP(tblSales[[#This Row],[Channel Code]],tblChannels[Channel Code],tblChannels[Channel Name],"")</f>
        <v>In-store</v>
      </c>
      <c r="R774" s="1">
        <f>MONTH(tblSales[[#This Row],[Date]])</f>
        <v>2</v>
      </c>
    </row>
    <row r="775" spans="2:18" x14ac:dyDescent="0.35">
      <c r="B775" s="113">
        <v>46073</v>
      </c>
      <c r="C775" s="4" t="s">
        <v>532</v>
      </c>
      <c r="D775" s="4" t="s">
        <v>4599</v>
      </c>
      <c r="E775" s="1" t="str">
        <f>_xlfn.XLOOKUP(tblSales[[#This Row],[Customer ID]],tblCustomers[Customer ID],tblCustomers[Customer Name],"⚠ Unknown")</f>
        <v>PT Samudra Jaya Logistik</v>
      </c>
      <c r="F775" s="4" t="s">
        <v>10</v>
      </c>
      <c r="G775" s="1" t="str">
        <f>_xlfn.XLOOKUP(tblSales[[#This Row],[Product Code]],tblProducts[Code],tblProducts[Product / Service Name],"⚠ Unknown")</f>
        <v>Chino Pants</v>
      </c>
      <c r="H775" s="1" t="str">
        <f>_xlfn.XLOOKUP(tblSales[[#This Row],[Product Code]],tblProducts[Code],tblProducts[Category],"")</f>
        <v>Apparel &amp; Footwear</v>
      </c>
      <c r="I775" s="4">
        <v>8</v>
      </c>
      <c r="J775" s="5">
        <f>_xlfn.XLOOKUP(tblSales[[#This Row],[Product Code]],tblProducts[Code],tblProducts[Selling Price (excl. VAT)],0)</f>
        <v>150000</v>
      </c>
      <c r="K775" s="5">
        <f>tblSales[[#This Row],[Qty]]*tblSales[[#This Row],[Unit Price]]</f>
        <v>1200000</v>
      </c>
      <c r="L775" s="5">
        <f>ROUND(tblSales[[#This Row],[DPP (excl. VAT)]]*VATEff,0)</f>
        <v>132000</v>
      </c>
      <c r="M775" s="5">
        <f>tblSales[[#This Row],[DPP (excl. VAT)]]+tblSales[[#This Row],[Output VAT]]</f>
        <v>1332000</v>
      </c>
      <c r="N775" s="5">
        <f>tblSales[[#This Row],[Qty]]*_xlfn.XLOOKUP(tblSales[[#This Row],[Product Code]],tblProducts[Code],tblProducts[Unit Cost],0)</f>
        <v>704000</v>
      </c>
      <c r="O775" s="4" t="s">
        <v>4867</v>
      </c>
      <c r="P775" s="4" t="s">
        <v>4860</v>
      </c>
      <c r="Q775" s="1" t="str">
        <f>_xlfn.XLOOKUP(tblSales[[#This Row],[Channel Code]],tblChannels[Channel Code],tblChannels[Channel Name],"")</f>
        <v>In-store</v>
      </c>
      <c r="R775" s="1">
        <f>MONTH(tblSales[[#This Row],[Date]])</f>
        <v>2</v>
      </c>
    </row>
    <row r="776" spans="2:18" x14ac:dyDescent="0.35">
      <c r="B776" s="113">
        <v>46074</v>
      </c>
      <c r="C776" s="4" t="s">
        <v>533</v>
      </c>
      <c r="D776" s="4" t="s">
        <v>4568</v>
      </c>
      <c r="E776" s="1" t="str">
        <f>_xlfn.XLOOKUP(tblSales[[#This Row],[Customer ID]],tblCustomers[Customer ID],tblCustomers[Customer Name],"⚠ Unknown")</f>
        <v>Walk-in Customer</v>
      </c>
      <c r="F776" s="4" t="s">
        <v>13</v>
      </c>
      <c r="G776" s="1" t="str">
        <f>_xlfn.XLOOKUP(tblSales[[#This Row],[Product Code]],tblProducts[Code],tblProducts[Product / Service Name],"⚠ Unknown")</f>
        <v>Backpack</v>
      </c>
      <c r="H776" s="1" t="str">
        <f>_xlfn.XLOOKUP(tblSales[[#This Row],[Product Code]],tblProducts[Code],tblProducts[Category],"")</f>
        <v>Bags &amp; Gadgets</v>
      </c>
      <c r="I776" s="4">
        <v>1</v>
      </c>
      <c r="J776" s="5">
        <f>_xlfn.XLOOKUP(tblSales[[#This Row],[Product Code]],tblProducts[Code],tblProducts[Selling Price (excl. VAT)],0)</f>
        <v>500000</v>
      </c>
      <c r="K776" s="5">
        <f>tblSales[[#This Row],[Qty]]*tblSales[[#This Row],[Unit Price]]</f>
        <v>500000</v>
      </c>
      <c r="L776" s="5">
        <f>ROUND(tblSales[[#This Row],[DPP (excl. VAT)]]*VATEff,0)</f>
        <v>55000</v>
      </c>
      <c r="M776" s="5">
        <f>tblSales[[#This Row],[DPP (excl. VAT)]]+tblSales[[#This Row],[Output VAT]]</f>
        <v>555000</v>
      </c>
      <c r="N776" s="5">
        <f>tblSales[[#This Row],[Qty]]*_xlfn.XLOOKUP(tblSales[[#This Row],[Product Code]],tblProducts[Code],tblProducts[Unit Cost],0)</f>
        <v>290000</v>
      </c>
      <c r="O776" s="4" t="s">
        <v>4866</v>
      </c>
      <c r="P776" s="4" t="s">
        <v>4860</v>
      </c>
      <c r="Q776" s="1" t="str">
        <f>_xlfn.XLOOKUP(tblSales[[#This Row],[Channel Code]],tblChannels[Channel Code],tblChannels[Channel Name],"")</f>
        <v>In-store</v>
      </c>
      <c r="R776" s="1">
        <f>MONTH(tblSales[[#This Row],[Date]])</f>
        <v>2</v>
      </c>
    </row>
    <row r="777" spans="2:18" x14ac:dyDescent="0.35">
      <c r="B777" s="113">
        <v>46074</v>
      </c>
      <c r="C777" s="4" t="s">
        <v>534</v>
      </c>
      <c r="D777" s="4" t="s">
        <v>4568</v>
      </c>
      <c r="E777" s="1" t="str">
        <f>_xlfn.XLOOKUP(tblSales[[#This Row],[Customer ID]],tblCustomers[Customer ID],tblCustomers[Customer Name],"⚠ Unknown")</f>
        <v>Walk-in Customer</v>
      </c>
      <c r="F777" s="4" t="s">
        <v>6</v>
      </c>
      <c r="G777" s="1" t="str">
        <f>_xlfn.XLOOKUP(tblSales[[#This Row],[Product Code]],tblProducts[Code],tblProducts[Product / Service Name],"⚠ Unknown")</f>
        <v>Socks &amp; Accessories</v>
      </c>
      <c r="H777" s="1" t="str">
        <f>_xlfn.XLOOKUP(tblSales[[#This Row],[Product Code]],tblProducts[Code],tblProducts[Category],"")</f>
        <v>Accessories &amp; Basics</v>
      </c>
      <c r="I777" s="4">
        <v>10</v>
      </c>
      <c r="J777" s="5">
        <f>_xlfn.XLOOKUP(tblSales[[#This Row],[Product Code]],tblProducts[Code],tblProducts[Selling Price (excl. VAT)],0)</f>
        <v>45000</v>
      </c>
      <c r="K777" s="5">
        <f>tblSales[[#This Row],[Qty]]*tblSales[[#This Row],[Unit Price]]</f>
        <v>450000</v>
      </c>
      <c r="L777" s="5">
        <f>ROUND(tblSales[[#This Row],[DPP (excl. VAT)]]*VATEff,0)</f>
        <v>49500</v>
      </c>
      <c r="M777" s="5">
        <f>tblSales[[#This Row],[DPP (excl. VAT)]]+tblSales[[#This Row],[Output VAT]]</f>
        <v>499500</v>
      </c>
      <c r="N777" s="5">
        <f>tblSales[[#This Row],[Qty]]*_xlfn.XLOOKUP(tblSales[[#This Row],[Product Code]],tblProducts[Code],tblProducts[Unit Cost],0)</f>
        <v>240000</v>
      </c>
      <c r="O777" s="4" t="s">
        <v>4866</v>
      </c>
      <c r="P777" s="4" t="s">
        <v>4861</v>
      </c>
      <c r="Q777" s="1" t="str">
        <f>_xlfn.XLOOKUP(tblSales[[#This Row],[Channel Code]],tblChannels[Channel Code],tblChannels[Channel Name],"")</f>
        <v>Marketplace</v>
      </c>
      <c r="R777" s="1">
        <f>MONTH(tblSales[[#This Row],[Date]])</f>
        <v>2</v>
      </c>
    </row>
    <row r="778" spans="2:18" x14ac:dyDescent="0.35">
      <c r="B778" s="113">
        <v>46074</v>
      </c>
      <c r="C778" s="4" t="s">
        <v>535</v>
      </c>
      <c r="D778" s="4" t="s">
        <v>4585</v>
      </c>
      <c r="E778" s="1" t="str">
        <f>_xlfn.XLOOKUP(tblSales[[#This Row],[Customer ID]],tblCustomers[Customer ID],tblCustomers[Customer Name],"⚠ Unknown")</f>
        <v>CV Mitra Karya Mandiri</v>
      </c>
      <c r="F778" s="4" t="s">
        <v>10</v>
      </c>
      <c r="G778" s="1" t="str">
        <f>_xlfn.XLOOKUP(tblSales[[#This Row],[Product Code]],tblProducts[Code],tblProducts[Product / Service Name],"⚠ Unknown")</f>
        <v>Chino Pants</v>
      </c>
      <c r="H778" s="1" t="str">
        <f>_xlfn.XLOOKUP(tblSales[[#This Row],[Product Code]],tblProducts[Code],tblProducts[Category],"")</f>
        <v>Apparel &amp; Footwear</v>
      </c>
      <c r="I778" s="4">
        <v>8</v>
      </c>
      <c r="J778" s="5">
        <f>_xlfn.XLOOKUP(tblSales[[#This Row],[Product Code]],tblProducts[Code],tblProducts[Selling Price (excl. VAT)],0)</f>
        <v>150000</v>
      </c>
      <c r="K778" s="5">
        <f>tblSales[[#This Row],[Qty]]*tblSales[[#This Row],[Unit Price]]</f>
        <v>1200000</v>
      </c>
      <c r="L778" s="5">
        <f>ROUND(tblSales[[#This Row],[DPP (excl. VAT)]]*VATEff,0)</f>
        <v>132000</v>
      </c>
      <c r="M778" s="5">
        <f>tblSales[[#This Row],[DPP (excl. VAT)]]+tblSales[[#This Row],[Output VAT]]</f>
        <v>1332000</v>
      </c>
      <c r="N778" s="5">
        <f>tblSales[[#This Row],[Qty]]*_xlfn.XLOOKUP(tblSales[[#This Row],[Product Code]],tblProducts[Code],tblProducts[Unit Cost],0)</f>
        <v>704000</v>
      </c>
      <c r="O778" s="4" t="s">
        <v>4867</v>
      </c>
      <c r="P778" s="4" t="s">
        <v>4862</v>
      </c>
      <c r="Q778" s="1" t="str">
        <f>_xlfn.XLOOKUP(tblSales[[#This Row],[Channel Code]],tblChannels[Channel Code],tblChannels[Channel Name],"")</f>
        <v>Website &amp; Social Media</v>
      </c>
      <c r="R778" s="1">
        <f>MONTH(tblSales[[#This Row],[Date]])</f>
        <v>2</v>
      </c>
    </row>
    <row r="779" spans="2:18" x14ac:dyDescent="0.35">
      <c r="B779" s="113">
        <v>46074</v>
      </c>
      <c r="C779" s="4" t="s">
        <v>536</v>
      </c>
      <c r="D779" s="4" t="s">
        <v>4568</v>
      </c>
      <c r="E779" s="1" t="str">
        <f>_xlfn.XLOOKUP(tblSales[[#This Row],[Customer ID]],tblCustomers[Customer ID],tblCustomers[Customer Name],"⚠ Unknown")</f>
        <v>Walk-in Customer</v>
      </c>
      <c r="F779" s="4" t="s">
        <v>13</v>
      </c>
      <c r="G779" s="1" t="str">
        <f>_xlfn.XLOOKUP(tblSales[[#This Row],[Product Code]],tblProducts[Code],tblProducts[Product / Service Name],"⚠ Unknown")</f>
        <v>Backpack</v>
      </c>
      <c r="H779" s="1" t="str">
        <f>_xlfn.XLOOKUP(tblSales[[#This Row],[Product Code]],tblProducts[Code],tblProducts[Category],"")</f>
        <v>Bags &amp; Gadgets</v>
      </c>
      <c r="I779" s="4">
        <v>4</v>
      </c>
      <c r="J779" s="5">
        <f>_xlfn.XLOOKUP(tblSales[[#This Row],[Product Code]],tblProducts[Code],tblProducts[Selling Price (excl. VAT)],0)</f>
        <v>500000</v>
      </c>
      <c r="K779" s="5">
        <f>tblSales[[#This Row],[Qty]]*tblSales[[#This Row],[Unit Price]]</f>
        <v>2000000</v>
      </c>
      <c r="L779" s="5">
        <f>ROUND(tblSales[[#This Row],[DPP (excl. VAT)]]*VATEff,0)</f>
        <v>220000</v>
      </c>
      <c r="M779" s="5">
        <f>tblSales[[#This Row],[DPP (excl. VAT)]]+tblSales[[#This Row],[Output VAT]]</f>
        <v>2220000</v>
      </c>
      <c r="N779" s="5">
        <f>tblSales[[#This Row],[Qty]]*_xlfn.XLOOKUP(tblSales[[#This Row],[Product Code]],tblProducts[Code],tblProducts[Unit Cost],0)</f>
        <v>1160000</v>
      </c>
      <c r="O779" s="4" t="s">
        <v>4865</v>
      </c>
      <c r="P779" s="4" t="s">
        <v>4860</v>
      </c>
      <c r="Q779" s="1" t="str">
        <f>_xlfn.XLOOKUP(tblSales[[#This Row],[Channel Code]],tblChannels[Channel Code],tblChannels[Channel Name],"")</f>
        <v>In-store</v>
      </c>
      <c r="R779" s="1">
        <f>MONTH(tblSales[[#This Row],[Date]])</f>
        <v>2</v>
      </c>
    </row>
    <row r="780" spans="2:18" x14ac:dyDescent="0.35">
      <c r="B780" s="113">
        <v>46074</v>
      </c>
      <c r="C780" s="4" t="s">
        <v>537</v>
      </c>
      <c r="D780" s="4" t="s">
        <v>4568</v>
      </c>
      <c r="E780" s="1" t="str">
        <f>_xlfn.XLOOKUP(tblSales[[#This Row],[Customer ID]],tblCustomers[Customer ID],tblCustomers[Customer Name],"⚠ Unknown")</f>
        <v>Walk-in Customer</v>
      </c>
      <c r="F780" s="4" t="s">
        <v>13</v>
      </c>
      <c r="G780" s="1" t="str">
        <f>_xlfn.XLOOKUP(tblSales[[#This Row],[Product Code]],tblProducts[Code],tblProducts[Product / Service Name],"⚠ Unknown")</f>
        <v>Backpack</v>
      </c>
      <c r="H780" s="1" t="str">
        <f>_xlfn.XLOOKUP(tblSales[[#This Row],[Product Code]],tblProducts[Code],tblProducts[Category],"")</f>
        <v>Bags &amp; Gadgets</v>
      </c>
      <c r="I780" s="4">
        <v>5</v>
      </c>
      <c r="J780" s="5">
        <f>_xlfn.XLOOKUP(tblSales[[#This Row],[Product Code]],tblProducts[Code],tblProducts[Selling Price (excl. VAT)],0)</f>
        <v>500000</v>
      </c>
      <c r="K780" s="5">
        <f>tblSales[[#This Row],[Qty]]*tblSales[[#This Row],[Unit Price]]</f>
        <v>2500000</v>
      </c>
      <c r="L780" s="5">
        <f>ROUND(tblSales[[#This Row],[DPP (excl. VAT)]]*VATEff,0)</f>
        <v>275000</v>
      </c>
      <c r="M780" s="5">
        <f>tblSales[[#This Row],[DPP (excl. VAT)]]+tblSales[[#This Row],[Output VAT]]</f>
        <v>2775000</v>
      </c>
      <c r="N780" s="5">
        <f>tblSales[[#This Row],[Qty]]*_xlfn.XLOOKUP(tblSales[[#This Row],[Product Code]],tblProducts[Code],tblProducts[Unit Cost],0)</f>
        <v>1450000</v>
      </c>
      <c r="O780" s="4" t="s">
        <v>4865</v>
      </c>
      <c r="P780" s="4" t="s">
        <v>4860</v>
      </c>
      <c r="Q780" s="1" t="str">
        <f>_xlfn.XLOOKUP(tblSales[[#This Row],[Channel Code]],tblChannels[Channel Code],tblChannels[Channel Name],"")</f>
        <v>In-store</v>
      </c>
      <c r="R780" s="1">
        <f>MONTH(tblSales[[#This Row],[Date]])</f>
        <v>2</v>
      </c>
    </row>
    <row r="781" spans="2:18" x14ac:dyDescent="0.35">
      <c r="B781" s="113">
        <v>46074</v>
      </c>
      <c r="C781" s="4" t="s">
        <v>537</v>
      </c>
      <c r="D781" s="4" t="s">
        <v>4568</v>
      </c>
      <c r="E781" s="1" t="str">
        <f>_xlfn.XLOOKUP(tblSales[[#This Row],[Customer ID]],tblCustomers[Customer ID],tblCustomers[Customer Name],"⚠ Unknown")</f>
        <v>Walk-in Customer</v>
      </c>
      <c r="F781" s="4" t="s">
        <v>11</v>
      </c>
      <c r="G781" s="1" t="str">
        <f>_xlfn.XLOOKUP(tblSales[[#This Row],[Product Code]],tblProducts[Code],tblProducts[Product / Service Name],"⚠ Unknown")</f>
        <v>Sneakers</v>
      </c>
      <c r="H781" s="1" t="str">
        <f>_xlfn.XLOOKUP(tblSales[[#This Row],[Product Code]],tblProducts[Code],tblProducts[Category],"")</f>
        <v>Apparel &amp; Footwear</v>
      </c>
      <c r="I781" s="4">
        <v>5</v>
      </c>
      <c r="J781" s="5">
        <f>_xlfn.XLOOKUP(tblSales[[#This Row],[Product Code]],tblProducts[Code],tblProducts[Selling Price (excl. VAT)],0)</f>
        <v>250000</v>
      </c>
      <c r="K781" s="5">
        <f>tblSales[[#This Row],[Qty]]*tblSales[[#This Row],[Unit Price]]</f>
        <v>1250000</v>
      </c>
      <c r="L781" s="5">
        <f>ROUND(tblSales[[#This Row],[DPP (excl. VAT)]]*VATEff,0)</f>
        <v>137500</v>
      </c>
      <c r="M781" s="5">
        <f>tblSales[[#This Row],[DPP (excl. VAT)]]+tblSales[[#This Row],[Output VAT]]</f>
        <v>1387500</v>
      </c>
      <c r="N781" s="5">
        <f>tblSales[[#This Row],[Qty]]*_xlfn.XLOOKUP(tblSales[[#This Row],[Product Code]],tblProducts[Code],tblProducts[Unit Cost],0)</f>
        <v>775000</v>
      </c>
      <c r="O781" s="4" t="s">
        <v>4865</v>
      </c>
      <c r="P781" s="4" t="s">
        <v>4860</v>
      </c>
      <c r="Q781" s="1" t="str">
        <f>_xlfn.XLOOKUP(tblSales[[#This Row],[Channel Code]],tblChannels[Channel Code],tblChannels[Channel Name],"")</f>
        <v>In-store</v>
      </c>
      <c r="R781" s="1">
        <f>MONTH(tblSales[[#This Row],[Date]])</f>
        <v>2</v>
      </c>
    </row>
    <row r="782" spans="2:18" x14ac:dyDescent="0.35">
      <c r="B782" s="113">
        <v>46074</v>
      </c>
      <c r="C782" s="4" t="s">
        <v>538</v>
      </c>
      <c r="D782" s="4" t="s">
        <v>4568</v>
      </c>
      <c r="E782" s="1" t="str">
        <f>_xlfn.XLOOKUP(tblSales[[#This Row],[Customer ID]],tblCustomers[Customer ID],tblCustomers[Customer Name],"⚠ Unknown")</f>
        <v>Walk-in Customer</v>
      </c>
      <c r="F782" s="4" t="s">
        <v>12</v>
      </c>
      <c r="G782" s="1" t="str">
        <f>_xlfn.XLOOKUP(tblSales[[#This Row],[Product Code]],tblProducts[Code],tblProducts[Product / Service Name],"⚠ Unknown")</f>
        <v>Bomber Jacket</v>
      </c>
      <c r="H782" s="1" t="str">
        <f>_xlfn.XLOOKUP(tblSales[[#This Row],[Product Code]],tblProducts[Code],tblProducts[Category],"")</f>
        <v>Apparel &amp; Footwear</v>
      </c>
      <c r="I782" s="4">
        <v>3</v>
      </c>
      <c r="J782" s="5">
        <f>_xlfn.XLOOKUP(tblSales[[#This Row],[Product Code]],tblProducts[Code],tblProducts[Selling Price (excl. VAT)],0)</f>
        <v>350000</v>
      </c>
      <c r="K782" s="5">
        <f>tblSales[[#This Row],[Qty]]*tblSales[[#This Row],[Unit Price]]</f>
        <v>1050000</v>
      </c>
      <c r="L782" s="5">
        <f>ROUND(tblSales[[#This Row],[DPP (excl. VAT)]]*VATEff,0)</f>
        <v>115500</v>
      </c>
      <c r="M782" s="5">
        <f>tblSales[[#This Row],[DPP (excl. VAT)]]+tblSales[[#This Row],[Output VAT]]</f>
        <v>1165500</v>
      </c>
      <c r="N782" s="5">
        <f>tblSales[[#This Row],[Qty]]*_xlfn.XLOOKUP(tblSales[[#This Row],[Product Code]],tblProducts[Code],tblProducts[Unit Cost],0)</f>
        <v>630000</v>
      </c>
      <c r="O782" s="4" t="s">
        <v>4866</v>
      </c>
      <c r="P782" s="4" t="s">
        <v>4862</v>
      </c>
      <c r="Q782" s="1" t="str">
        <f>_xlfn.XLOOKUP(tblSales[[#This Row],[Channel Code]],tblChannels[Channel Code],tblChannels[Channel Name],"")</f>
        <v>Website &amp; Social Media</v>
      </c>
      <c r="R782" s="1">
        <f>MONTH(tblSales[[#This Row],[Date]])</f>
        <v>2</v>
      </c>
    </row>
    <row r="783" spans="2:18" x14ac:dyDescent="0.35">
      <c r="B783" s="113">
        <v>46074</v>
      </c>
      <c r="C783" s="4" t="s">
        <v>539</v>
      </c>
      <c r="D783" s="4" t="s">
        <v>4568</v>
      </c>
      <c r="E783" s="1" t="str">
        <f>_xlfn.XLOOKUP(tblSales[[#This Row],[Customer ID]],tblCustomers[Customer ID],tblCustomers[Customer Name],"⚠ Unknown")</f>
        <v>Walk-in Customer</v>
      </c>
      <c r="F783" s="4" t="s">
        <v>14</v>
      </c>
      <c r="G783" s="1" t="str">
        <f>_xlfn.XLOOKUP(tblSales[[#This Row],[Product Code]],tblProducts[Code],tblProducts[Product / Service Name],"⚠ Unknown")</f>
        <v>Smartwatch</v>
      </c>
      <c r="H783" s="1" t="str">
        <f>_xlfn.XLOOKUP(tblSales[[#This Row],[Product Code]],tblProducts[Code],tblProducts[Category],"")</f>
        <v>Bags &amp; Gadgets</v>
      </c>
      <c r="I783" s="4">
        <v>2</v>
      </c>
      <c r="J783" s="5">
        <f>_xlfn.XLOOKUP(tblSales[[#This Row],[Product Code]],tblProducts[Code],tblProducts[Selling Price (excl. VAT)],0)</f>
        <v>850000</v>
      </c>
      <c r="K783" s="5">
        <f>tblSales[[#This Row],[Qty]]*tblSales[[#This Row],[Unit Price]]</f>
        <v>1700000</v>
      </c>
      <c r="L783" s="5">
        <f>ROUND(tblSales[[#This Row],[DPP (excl. VAT)]]*VATEff,0)</f>
        <v>187000</v>
      </c>
      <c r="M783" s="5">
        <f>tblSales[[#This Row],[DPP (excl. VAT)]]+tblSales[[#This Row],[Output VAT]]</f>
        <v>1887000</v>
      </c>
      <c r="N783" s="5">
        <f>tblSales[[#This Row],[Qty]]*_xlfn.XLOOKUP(tblSales[[#This Row],[Product Code]],tblProducts[Code],tblProducts[Unit Cost],0)</f>
        <v>1120000</v>
      </c>
      <c r="O783" s="4" t="s">
        <v>4865</v>
      </c>
      <c r="P783" s="4" t="s">
        <v>4860</v>
      </c>
      <c r="Q783" s="1" t="str">
        <f>_xlfn.XLOOKUP(tblSales[[#This Row],[Channel Code]],tblChannels[Channel Code],tblChannels[Channel Name],"")</f>
        <v>In-store</v>
      </c>
      <c r="R783" s="1">
        <f>MONTH(tblSales[[#This Row],[Date]])</f>
        <v>2</v>
      </c>
    </row>
    <row r="784" spans="2:18" x14ac:dyDescent="0.35">
      <c r="B784" s="113">
        <v>46074</v>
      </c>
      <c r="C784" s="4" t="s">
        <v>540</v>
      </c>
      <c r="D784" s="4" t="s">
        <v>4627</v>
      </c>
      <c r="E784" s="1" t="str">
        <f>_xlfn.XLOOKUP(tblSales[[#This Row],[Customer ID]],tblCustomers[Customer ID],tblCustomers[Customer Name],"⚠ Unknown")</f>
        <v>PT Kencana Wira Usaha</v>
      </c>
      <c r="F784" s="4" t="s">
        <v>9</v>
      </c>
      <c r="G784" s="1" t="str">
        <f>_xlfn.XLOOKUP(tblSales[[#This Row],[Product Code]],tblProducts[Code],tblProducts[Product / Service Name],"⚠ Unknown")</f>
        <v>Casual Shirt</v>
      </c>
      <c r="H784" s="1" t="str">
        <f>_xlfn.XLOOKUP(tblSales[[#This Row],[Product Code]],tblProducts[Code],tblProducts[Category],"")</f>
        <v>Apparel &amp; Footwear</v>
      </c>
      <c r="I784" s="4">
        <v>88</v>
      </c>
      <c r="J784" s="5">
        <f>_xlfn.XLOOKUP(tblSales[[#This Row],[Product Code]],tblProducts[Code],tblProducts[Selling Price (excl. VAT)],0)</f>
        <v>120000</v>
      </c>
      <c r="K784" s="5">
        <f>tblSales[[#This Row],[Qty]]*tblSales[[#This Row],[Unit Price]]</f>
        <v>10560000</v>
      </c>
      <c r="L784" s="5">
        <f>ROUND(tblSales[[#This Row],[DPP (excl. VAT)]]*VATEff,0)</f>
        <v>1161600</v>
      </c>
      <c r="M784" s="5">
        <f>tblSales[[#This Row],[DPP (excl. VAT)]]+tblSales[[#This Row],[Output VAT]]</f>
        <v>11721600</v>
      </c>
      <c r="N784" s="5">
        <f>tblSales[[#This Row],[Qty]]*_xlfn.XLOOKUP(tblSales[[#This Row],[Product Code]],tblProducts[Code],tblProducts[Unit Cost],0)</f>
        <v>6336000</v>
      </c>
      <c r="O784" s="4" t="s">
        <v>4867</v>
      </c>
      <c r="P784" s="4" t="s">
        <v>4860</v>
      </c>
      <c r="Q784" s="1" t="str">
        <f>_xlfn.XLOOKUP(tblSales[[#This Row],[Channel Code]],tblChannels[Channel Code],tblChannels[Channel Name],"")</f>
        <v>In-store</v>
      </c>
      <c r="R784" s="1">
        <f>MONTH(tblSales[[#This Row],[Date]])</f>
        <v>2</v>
      </c>
    </row>
    <row r="785" spans="2:18" x14ac:dyDescent="0.35">
      <c r="B785" s="113">
        <v>46074</v>
      </c>
      <c r="C785" s="4" t="s">
        <v>540</v>
      </c>
      <c r="D785" s="4" t="s">
        <v>4627</v>
      </c>
      <c r="E785" s="1" t="str">
        <f>_xlfn.XLOOKUP(tblSales[[#This Row],[Customer ID]],tblCustomers[Customer ID],tblCustomers[Customer Name],"⚠ Unknown")</f>
        <v>PT Kencana Wira Usaha</v>
      </c>
      <c r="F785" s="4" t="s">
        <v>14</v>
      </c>
      <c r="G785" s="1" t="str">
        <f>_xlfn.XLOOKUP(tblSales[[#This Row],[Product Code]],tblProducts[Code],tblProducts[Product / Service Name],"⚠ Unknown")</f>
        <v>Smartwatch</v>
      </c>
      <c r="H785" s="1" t="str">
        <f>_xlfn.XLOOKUP(tblSales[[#This Row],[Product Code]],tblProducts[Code],tblProducts[Category],"")</f>
        <v>Bags &amp; Gadgets</v>
      </c>
      <c r="I785" s="4">
        <v>8</v>
      </c>
      <c r="J785" s="5">
        <f>_xlfn.XLOOKUP(tblSales[[#This Row],[Product Code]],tblProducts[Code],tblProducts[Selling Price (excl. VAT)],0)</f>
        <v>850000</v>
      </c>
      <c r="K785" s="5">
        <f>tblSales[[#This Row],[Qty]]*tblSales[[#This Row],[Unit Price]]</f>
        <v>6800000</v>
      </c>
      <c r="L785" s="5">
        <f>ROUND(tblSales[[#This Row],[DPP (excl. VAT)]]*VATEff,0)</f>
        <v>748000</v>
      </c>
      <c r="M785" s="5">
        <f>tblSales[[#This Row],[DPP (excl. VAT)]]+tblSales[[#This Row],[Output VAT]]</f>
        <v>7548000</v>
      </c>
      <c r="N785" s="5">
        <f>tblSales[[#This Row],[Qty]]*_xlfn.XLOOKUP(tblSales[[#This Row],[Product Code]],tblProducts[Code],tblProducts[Unit Cost],0)</f>
        <v>4480000</v>
      </c>
      <c r="O785" s="4" t="s">
        <v>4867</v>
      </c>
      <c r="P785" s="4" t="s">
        <v>4860</v>
      </c>
      <c r="Q785" s="1" t="str">
        <f>_xlfn.XLOOKUP(tblSales[[#This Row],[Channel Code]],tblChannels[Channel Code],tblChannels[Channel Name],"")</f>
        <v>In-store</v>
      </c>
      <c r="R785" s="1">
        <f>MONTH(tblSales[[#This Row],[Date]])</f>
        <v>2</v>
      </c>
    </row>
    <row r="786" spans="2:18" x14ac:dyDescent="0.35">
      <c r="B786" s="113">
        <v>46074</v>
      </c>
      <c r="C786" s="4" t="s">
        <v>541</v>
      </c>
      <c r="D786" s="4" t="s">
        <v>4568</v>
      </c>
      <c r="E786" s="1" t="str">
        <f>_xlfn.XLOOKUP(tblSales[[#This Row],[Customer ID]],tblCustomers[Customer ID],tblCustomers[Customer Name],"⚠ Unknown")</f>
        <v>Walk-in Customer</v>
      </c>
      <c r="F786" s="4" t="s">
        <v>6</v>
      </c>
      <c r="G786" s="1" t="str">
        <f>_xlfn.XLOOKUP(tblSales[[#This Row],[Product Code]],tblProducts[Code],tblProducts[Product / Service Name],"⚠ Unknown")</f>
        <v>Socks &amp; Accessories</v>
      </c>
      <c r="H786" s="1" t="str">
        <f>_xlfn.XLOOKUP(tblSales[[#This Row],[Product Code]],tblProducts[Code],tblProducts[Category],"")</f>
        <v>Accessories &amp; Basics</v>
      </c>
      <c r="I786" s="4">
        <v>3</v>
      </c>
      <c r="J786" s="5">
        <f>_xlfn.XLOOKUP(tblSales[[#This Row],[Product Code]],tblProducts[Code],tblProducts[Selling Price (excl. VAT)],0)</f>
        <v>45000</v>
      </c>
      <c r="K786" s="5">
        <f>tblSales[[#This Row],[Qty]]*tblSales[[#This Row],[Unit Price]]</f>
        <v>135000</v>
      </c>
      <c r="L786" s="5">
        <f>ROUND(tblSales[[#This Row],[DPP (excl. VAT)]]*VATEff,0)</f>
        <v>14850</v>
      </c>
      <c r="M786" s="5">
        <f>tblSales[[#This Row],[DPP (excl. VAT)]]+tblSales[[#This Row],[Output VAT]]</f>
        <v>149850</v>
      </c>
      <c r="N786" s="5">
        <f>tblSales[[#This Row],[Qty]]*_xlfn.XLOOKUP(tblSales[[#This Row],[Product Code]],tblProducts[Code],tblProducts[Unit Cost],0)</f>
        <v>72000</v>
      </c>
      <c r="O786" s="4" t="s">
        <v>4865</v>
      </c>
      <c r="P786" s="4" t="s">
        <v>4860</v>
      </c>
      <c r="Q786" s="1" t="str">
        <f>_xlfn.XLOOKUP(tblSales[[#This Row],[Channel Code]],tblChannels[Channel Code],tblChannels[Channel Name],"")</f>
        <v>In-store</v>
      </c>
      <c r="R786" s="1">
        <f>MONTH(tblSales[[#This Row],[Date]])</f>
        <v>2</v>
      </c>
    </row>
    <row r="787" spans="2:18" x14ac:dyDescent="0.35">
      <c r="B787" s="113">
        <v>46074</v>
      </c>
      <c r="C787" s="4" t="s">
        <v>541</v>
      </c>
      <c r="D787" s="4" t="s">
        <v>4568</v>
      </c>
      <c r="E787" s="1" t="str">
        <f>_xlfn.XLOOKUP(tblSales[[#This Row],[Customer ID]],tblCustomers[Customer ID],tblCustomers[Customer Name],"⚠ Unknown")</f>
        <v>Walk-in Customer</v>
      </c>
      <c r="F787" s="4" t="s">
        <v>9</v>
      </c>
      <c r="G787" s="1" t="str">
        <f>_xlfn.XLOOKUP(tblSales[[#This Row],[Product Code]],tblProducts[Code],tblProducts[Product / Service Name],"⚠ Unknown")</f>
        <v>Casual Shirt</v>
      </c>
      <c r="H787" s="1" t="str">
        <f>_xlfn.XLOOKUP(tblSales[[#This Row],[Product Code]],tblProducts[Code],tblProducts[Category],"")</f>
        <v>Apparel &amp; Footwear</v>
      </c>
      <c r="I787" s="4">
        <v>9</v>
      </c>
      <c r="J787" s="5">
        <f>_xlfn.XLOOKUP(tblSales[[#This Row],[Product Code]],tblProducts[Code],tblProducts[Selling Price (excl. VAT)],0)</f>
        <v>120000</v>
      </c>
      <c r="K787" s="5">
        <f>tblSales[[#This Row],[Qty]]*tblSales[[#This Row],[Unit Price]]</f>
        <v>1080000</v>
      </c>
      <c r="L787" s="5">
        <f>ROUND(tblSales[[#This Row],[DPP (excl. VAT)]]*VATEff,0)</f>
        <v>118800</v>
      </c>
      <c r="M787" s="5">
        <f>tblSales[[#This Row],[DPP (excl. VAT)]]+tblSales[[#This Row],[Output VAT]]</f>
        <v>1198800</v>
      </c>
      <c r="N787" s="5">
        <f>tblSales[[#This Row],[Qty]]*_xlfn.XLOOKUP(tblSales[[#This Row],[Product Code]],tblProducts[Code],tblProducts[Unit Cost],0)</f>
        <v>648000</v>
      </c>
      <c r="O787" s="4" t="s">
        <v>4865</v>
      </c>
      <c r="P787" s="4" t="s">
        <v>4860</v>
      </c>
      <c r="Q787" s="1" t="str">
        <f>_xlfn.XLOOKUP(tblSales[[#This Row],[Channel Code]],tblChannels[Channel Code],tblChannels[Channel Name],"")</f>
        <v>In-store</v>
      </c>
      <c r="R787" s="1">
        <f>MONTH(tblSales[[#This Row],[Date]])</f>
        <v>2</v>
      </c>
    </row>
    <row r="788" spans="2:18" x14ac:dyDescent="0.35">
      <c r="B788" s="113">
        <v>46074</v>
      </c>
      <c r="C788" s="4" t="s">
        <v>542</v>
      </c>
      <c r="D788" s="4" t="s">
        <v>4568</v>
      </c>
      <c r="E788" s="1" t="str">
        <f>_xlfn.XLOOKUP(tblSales[[#This Row],[Customer ID]],tblCustomers[Customer ID],tblCustomers[Customer Name],"⚠ Unknown")</f>
        <v>Walk-in Customer</v>
      </c>
      <c r="F788" s="4" t="s">
        <v>6</v>
      </c>
      <c r="G788" s="1" t="str">
        <f>_xlfn.XLOOKUP(tblSales[[#This Row],[Product Code]],tblProducts[Code],tblProducts[Product / Service Name],"⚠ Unknown")</f>
        <v>Socks &amp; Accessories</v>
      </c>
      <c r="H788" s="1" t="str">
        <f>_xlfn.XLOOKUP(tblSales[[#This Row],[Product Code]],tblProducts[Code],tblProducts[Category],"")</f>
        <v>Accessories &amp; Basics</v>
      </c>
      <c r="I788" s="4">
        <v>10</v>
      </c>
      <c r="J788" s="5">
        <f>_xlfn.XLOOKUP(tblSales[[#This Row],[Product Code]],tblProducts[Code],tblProducts[Selling Price (excl. VAT)],0)</f>
        <v>45000</v>
      </c>
      <c r="K788" s="5">
        <f>tblSales[[#This Row],[Qty]]*tblSales[[#This Row],[Unit Price]]</f>
        <v>450000</v>
      </c>
      <c r="L788" s="5">
        <f>ROUND(tblSales[[#This Row],[DPP (excl. VAT)]]*VATEff,0)</f>
        <v>49500</v>
      </c>
      <c r="M788" s="5">
        <f>tblSales[[#This Row],[DPP (excl. VAT)]]+tblSales[[#This Row],[Output VAT]]</f>
        <v>499500</v>
      </c>
      <c r="N788" s="5">
        <f>tblSales[[#This Row],[Qty]]*_xlfn.XLOOKUP(tblSales[[#This Row],[Product Code]],tblProducts[Code],tblProducts[Unit Cost],0)</f>
        <v>240000</v>
      </c>
      <c r="O788" s="4" t="s">
        <v>4865</v>
      </c>
      <c r="P788" s="4" t="s">
        <v>4860</v>
      </c>
      <c r="Q788" s="1" t="str">
        <f>_xlfn.XLOOKUP(tblSales[[#This Row],[Channel Code]],tblChannels[Channel Code],tblChannels[Channel Name],"")</f>
        <v>In-store</v>
      </c>
      <c r="R788" s="1">
        <f>MONTH(tblSales[[#This Row],[Date]])</f>
        <v>2</v>
      </c>
    </row>
    <row r="789" spans="2:18" x14ac:dyDescent="0.35">
      <c r="B789" s="113">
        <v>46074</v>
      </c>
      <c r="C789" s="4" t="s">
        <v>543</v>
      </c>
      <c r="D789" s="4" t="s">
        <v>4568</v>
      </c>
      <c r="E789" s="1" t="str">
        <f>_xlfn.XLOOKUP(tblSales[[#This Row],[Customer ID]],tblCustomers[Customer ID],tblCustomers[Customer Name],"⚠ Unknown")</f>
        <v>Walk-in Customer</v>
      </c>
      <c r="F789" s="4" t="s">
        <v>10</v>
      </c>
      <c r="G789" s="1" t="str">
        <f>_xlfn.XLOOKUP(tblSales[[#This Row],[Product Code]],tblProducts[Code],tblProducts[Product / Service Name],"⚠ Unknown")</f>
        <v>Chino Pants</v>
      </c>
      <c r="H789" s="1" t="str">
        <f>_xlfn.XLOOKUP(tblSales[[#This Row],[Product Code]],tblProducts[Code],tblProducts[Category],"")</f>
        <v>Apparel &amp; Footwear</v>
      </c>
      <c r="I789" s="4">
        <v>6</v>
      </c>
      <c r="J789" s="5">
        <f>_xlfn.XLOOKUP(tblSales[[#This Row],[Product Code]],tblProducts[Code],tblProducts[Selling Price (excl. VAT)],0)</f>
        <v>150000</v>
      </c>
      <c r="K789" s="5">
        <f>tblSales[[#This Row],[Qty]]*tblSales[[#This Row],[Unit Price]]</f>
        <v>900000</v>
      </c>
      <c r="L789" s="5">
        <f>ROUND(tblSales[[#This Row],[DPP (excl. VAT)]]*VATEff,0)</f>
        <v>99000</v>
      </c>
      <c r="M789" s="5">
        <f>tblSales[[#This Row],[DPP (excl. VAT)]]+tblSales[[#This Row],[Output VAT]]</f>
        <v>999000</v>
      </c>
      <c r="N789" s="5">
        <f>tblSales[[#This Row],[Qty]]*_xlfn.XLOOKUP(tblSales[[#This Row],[Product Code]],tblProducts[Code],tblProducts[Unit Cost],0)</f>
        <v>528000</v>
      </c>
      <c r="O789" s="4" t="s">
        <v>4866</v>
      </c>
      <c r="P789" s="4" t="s">
        <v>4860</v>
      </c>
      <c r="Q789" s="1" t="str">
        <f>_xlfn.XLOOKUP(tblSales[[#This Row],[Channel Code]],tblChannels[Channel Code],tblChannels[Channel Name],"")</f>
        <v>In-store</v>
      </c>
      <c r="R789" s="1">
        <f>MONTH(tblSales[[#This Row],[Date]])</f>
        <v>2</v>
      </c>
    </row>
    <row r="790" spans="2:18" x14ac:dyDescent="0.35">
      <c r="B790" s="113">
        <v>46074</v>
      </c>
      <c r="C790" s="4" t="s">
        <v>544</v>
      </c>
      <c r="D790" s="4" t="s">
        <v>4568</v>
      </c>
      <c r="E790" s="1" t="str">
        <f>_xlfn.XLOOKUP(tblSales[[#This Row],[Customer ID]],tblCustomers[Customer ID],tblCustomers[Customer Name],"⚠ Unknown")</f>
        <v>Walk-in Customer</v>
      </c>
      <c r="F790" s="4" t="s">
        <v>8</v>
      </c>
      <c r="G790" s="1" t="str">
        <f>_xlfn.XLOOKUP(tblSales[[#This Row],[Product Code]],tblProducts[Code],tblProducts[Product / Service Name],"⚠ Unknown")</f>
        <v>Casual Shorts</v>
      </c>
      <c r="H790" s="1" t="str">
        <f>_xlfn.XLOOKUP(tblSales[[#This Row],[Product Code]],tblProducts[Code],tblProducts[Category],"")</f>
        <v>Accessories &amp; Basics</v>
      </c>
      <c r="I790" s="4">
        <v>7</v>
      </c>
      <c r="J790" s="5">
        <f>_xlfn.XLOOKUP(tblSales[[#This Row],[Product Code]],tblProducts[Code],tblProducts[Selling Price (excl. VAT)],0)</f>
        <v>85000</v>
      </c>
      <c r="K790" s="5">
        <f>tblSales[[#This Row],[Qty]]*tblSales[[#This Row],[Unit Price]]</f>
        <v>595000</v>
      </c>
      <c r="L790" s="5">
        <f>ROUND(tblSales[[#This Row],[DPP (excl. VAT)]]*VATEff,0)</f>
        <v>65450</v>
      </c>
      <c r="M790" s="5">
        <f>tblSales[[#This Row],[DPP (excl. VAT)]]+tblSales[[#This Row],[Output VAT]]</f>
        <v>660450</v>
      </c>
      <c r="N790" s="5">
        <f>tblSales[[#This Row],[Qty]]*_xlfn.XLOOKUP(tblSales[[#This Row],[Product Code]],tblProducts[Code],tblProducts[Unit Cost],0)</f>
        <v>350000</v>
      </c>
      <c r="O790" s="4" t="s">
        <v>4866</v>
      </c>
      <c r="P790" s="4" t="s">
        <v>4862</v>
      </c>
      <c r="Q790" s="1" t="str">
        <f>_xlfn.XLOOKUP(tblSales[[#This Row],[Channel Code]],tblChannels[Channel Code],tblChannels[Channel Name],"")</f>
        <v>Website &amp; Social Media</v>
      </c>
      <c r="R790" s="1">
        <f>MONTH(tblSales[[#This Row],[Date]])</f>
        <v>2</v>
      </c>
    </row>
    <row r="791" spans="2:18" x14ac:dyDescent="0.35">
      <c r="B791" s="113">
        <v>46074</v>
      </c>
      <c r="C791" s="4" t="s">
        <v>545</v>
      </c>
      <c r="D791" s="4" t="s">
        <v>4578</v>
      </c>
      <c r="E791" s="1" t="str">
        <f>_xlfn.XLOOKUP(tblSales[[#This Row],[Customer ID]],tblCustomers[Customer ID],tblCustomers[Customer Name],"⚠ Unknown")</f>
        <v>PT Bintang Timur Sejahtera</v>
      </c>
      <c r="F791" s="4" t="s">
        <v>6</v>
      </c>
      <c r="G791" s="1" t="str">
        <f>_xlfn.XLOOKUP(tblSales[[#This Row],[Product Code]],tblProducts[Code],tblProducts[Product / Service Name],"⚠ Unknown")</f>
        <v>Socks &amp; Accessories</v>
      </c>
      <c r="H791" s="1" t="str">
        <f>_xlfn.XLOOKUP(tblSales[[#This Row],[Product Code]],tblProducts[Code],tblProducts[Category],"")</f>
        <v>Accessories &amp; Basics</v>
      </c>
      <c r="I791" s="4">
        <v>64</v>
      </c>
      <c r="J791" s="5">
        <f>_xlfn.XLOOKUP(tblSales[[#This Row],[Product Code]],tblProducts[Code],tblProducts[Selling Price (excl. VAT)],0)</f>
        <v>45000</v>
      </c>
      <c r="K791" s="5">
        <f>tblSales[[#This Row],[Qty]]*tblSales[[#This Row],[Unit Price]]</f>
        <v>2880000</v>
      </c>
      <c r="L791" s="5">
        <f>ROUND(tblSales[[#This Row],[DPP (excl. VAT)]]*VATEff,0)</f>
        <v>316800</v>
      </c>
      <c r="M791" s="5">
        <f>tblSales[[#This Row],[DPP (excl. VAT)]]+tblSales[[#This Row],[Output VAT]]</f>
        <v>3196800</v>
      </c>
      <c r="N791" s="5">
        <f>tblSales[[#This Row],[Qty]]*_xlfn.XLOOKUP(tblSales[[#This Row],[Product Code]],tblProducts[Code],tblProducts[Unit Cost],0)</f>
        <v>1536000</v>
      </c>
      <c r="O791" s="4" t="s">
        <v>4867</v>
      </c>
      <c r="P791" s="4" t="s">
        <v>4860</v>
      </c>
      <c r="Q791" s="1" t="str">
        <f>_xlfn.XLOOKUP(tblSales[[#This Row],[Channel Code]],tblChannels[Channel Code],tblChannels[Channel Name],"")</f>
        <v>In-store</v>
      </c>
      <c r="R791" s="1">
        <f>MONTH(tblSales[[#This Row],[Date]])</f>
        <v>2</v>
      </c>
    </row>
    <row r="792" spans="2:18" x14ac:dyDescent="0.35">
      <c r="B792" s="113">
        <v>46074</v>
      </c>
      <c r="C792" s="4" t="s">
        <v>546</v>
      </c>
      <c r="D792" s="4" t="s">
        <v>4568</v>
      </c>
      <c r="E792" s="1" t="str">
        <f>_xlfn.XLOOKUP(tblSales[[#This Row],[Customer ID]],tblCustomers[Customer ID],tblCustomers[Customer Name],"⚠ Unknown")</f>
        <v>Walk-in Customer</v>
      </c>
      <c r="F792" s="4" t="s">
        <v>15</v>
      </c>
      <c r="G792" s="1" t="str">
        <f>_xlfn.XLOOKUP(tblSales[[#This Row],[Product Code]],tblProducts[Code],tblProducts[Product / Service Name],"⚠ Unknown")</f>
        <v>Wireless Earbuds Pro</v>
      </c>
      <c r="H792" s="1" t="str">
        <f>_xlfn.XLOOKUP(tblSales[[#This Row],[Product Code]],tblProducts[Code],tblProducts[Category],"")</f>
        <v>Bags &amp; Gadgets</v>
      </c>
      <c r="I792" s="4">
        <v>2</v>
      </c>
      <c r="J792" s="5">
        <f>_xlfn.XLOOKUP(tblSales[[#This Row],[Product Code]],tblProducts[Code],tblProducts[Selling Price (excl. VAT)],0)</f>
        <v>1250000</v>
      </c>
      <c r="K792" s="5">
        <f>tblSales[[#This Row],[Qty]]*tblSales[[#This Row],[Unit Price]]</f>
        <v>2500000</v>
      </c>
      <c r="L792" s="5">
        <f>ROUND(tblSales[[#This Row],[DPP (excl. VAT)]]*VATEff,0)</f>
        <v>275000</v>
      </c>
      <c r="M792" s="5">
        <f>tblSales[[#This Row],[DPP (excl. VAT)]]+tblSales[[#This Row],[Output VAT]]</f>
        <v>2775000</v>
      </c>
      <c r="N792" s="5">
        <f>tblSales[[#This Row],[Qty]]*_xlfn.XLOOKUP(tblSales[[#This Row],[Product Code]],tblProducts[Code],tblProducts[Unit Cost],0)</f>
        <v>1640000</v>
      </c>
      <c r="O792" s="4" t="s">
        <v>4866</v>
      </c>
      <c r="P792" s="4" t="s">
        <v>4862</v>
      </c>
      <c r="Q792" s="1" t="str">
        <f>_xlfn.XLOOKUP(tblSales[[#This Row],[Channel Code]],tblChannels[Channel Code],tblChannels[Channel Name],"")</f>
        <v>Website &amp; Social Media</v>
      </c>
      <c r="R792" s="1">
        <f>MONTH(tblSales[[#This Row],[Date]])</f>
        <v>2</v>
      </c>
    </row>
    <row r="793" spans="2:18" x14ac:dyDescent="0.35">
      <c r="B793" s="113">
        <v>46074</v>
      </c>
      <c r="C793" s="4" t="s">
        <v>546</v>
      </c>
      <c r="D793" s="4" t="s">
        <v>4568</v>
      </c>
      <c r="E793" s="1" t="str">
        <f>_xlfn.XLOOKUP(tblSales[[#This Row],[Customer ID]],tblCustomers[Customer ID],tblCustomers[Customer Name],"⚠ Unknown")</f>
        <v>Walk-in Customer</v>
      </c>
      <c r="F793" s="4" t="s">
        <v>6</v>
      </c>
      <c r="G793" s="1" t="str">
        <f>_xlfn.XLOOKUP(tblSales[[#This Row],[Product Code]],tblProducts[Code],tblProducts[Product / Service Name],"⚠ Unknown")</f>
        <v>Socks &amp; Accessories</v>
      </c>
      <c r="H793" s="1" t="str">
        <f>_xlfn.XLOOKUP(tblSales[[#This Row],[Product Code]],tblProducts[Code],tblProducts[Category],"")</f>
        <v>Accessories &amp; Basics</v>
      </c>
      <c r="I793" s="4">
        <v>6</v>
      </c>
      <c r="J793" s="5">
        <f>_xlfn.XLOOKUP(tblSales[[#This Row],[Product Code]],tblProducts[Code],tblProducts[Selling Price (excl. VAT)],0)</f>
        <v>45000</v>
      </c>
      <c r="K793" s="5">
        <f>tblSales[[#This Row],[Qty]]*tblSales[[#This Row],[Unit Price]]</f>
        <v>270000</v>
      </c>
      <c r="L793" s="5">
        <f>ROUND(tblSales[[#This Row],[DPP (excl. VAT)]]*VATEff,0)</f>
        <v>29700</v>
      </c>
      <c r="M793" s="5">
        <f>tblSales[[#This Row],[DPP (excl. VAT)]]+tblSales[[#This Row],[Output VAT]]</f>
        <v>299700</v>
      </c>
      <c r="N793" s="5">
        <f>tblSales[[#This Row],[Qty]]*_xlfn.XLOOKUP(tblSales[[#This Row],[Product Code]],tblProducts[Code],tblProducts[Unit Cost],0)</f>
        <v>144000</v>
      </c>
      <c r="O793" s="4" t="s">
        <v>4866</v>
      </c>
      <c r="P793" s="4" t="s">
        <v>4862</v>
      </c>
      <c r="Q793" s="1" t="str">
        <f>_xlfn.XLOOKUP(tblSales[[#This Row],[Channel Code]],tblChannels[Channel Code],tblChannels[Channel Name],"")</f>
        <v>Website &amp; Social Media</v>
      </c>
      <c r="R793" s="1">
        <f>MONTH(tblSales[[#This Row],[Date]])</f>
        <v>2</v>
      </c>
    </row>
    <row r="794" spans="2:18" x14ac:dyDescent="0.35">
      <c r="B794" s="113">
        <v>46074</v>
      </c>
      <c r="C794" s="4" t="s">
        <v>547</v>
      </c>
      <c r="D794" s="4" t="s">
        <v>4572</v>
      </c>
      <c r="E794" s="1" t="str">
        <f>_xlfn.XLOOKUP(tblSales[[#This Row],[Customer ID]],tblCustomers[Customer ID],tblCustomers[Customer Name],"⚠ Unknown")</f>
        <v>PT Cahaya Abadi Makmur</v>
      </c>
      <c r="F794" s="4" t="s">
        <v>10</v>
      </c>
      <c r="G794" s="1" t="str">
        <f>_xlfn.XLOOKUP(tblSales[[#This Row],[Product Code]],tblProducts[Code],tblProducts[Product / Service Name],"⚠ Unknown")</f>
        <v>Chino Pants</v>
      </c>
      <c r="H794" s="1" t="str">
        <f>_xlfn.XLOOKUP(tblSales[[#This Row],[Product Code]],tblProducts[Code],tblProducts[Category],"")</f>
        <v>Apparel &amp; Footwear</v>
      </c>
      <c r="I794" s="4">
        <v>72</v>
      </c>
      <c r="J794" s="5">
        <f>_xlfn.XLOOKUP(tblSales[[#This Row],[Product Code]],tblProducts[Code],tblProducts[Selling Price (excl. VAT)],0)</f>
        <v>150000</v>
      </c>
      <c r="K794" s="5">
        <f>tblSales[[#This Row],[Qty]]*tblSales[[#This Row],[Unit Price]]</f>
        <v>10800000</v>
      </c>
      <c r="L794" s="5">
        <f>ROUND(tblSales[[#This Row],[DPP (excl. VAT)]]*VATEff,0)</f>
        <v>1188000</v>
      </c>
      <c r="M794" s="5">
        <f>tblSales[[#This Row],[DPP (excl. VAT)]]+tblSales[[#This Row],[Output VAT]]</f>
        <v>11988000</v>
      </c>
      <c r="N794" s="5">
        <f>tblSales[[#This Row],[Qty]]*_xlfn.XLOOKUP(tblSales[[#This Row],[Product Code]],tblProducts[Code],tblProducts[Unit Cost],0)</f>
        <v>6336000</v>
      </c>
      <c r="O794" s="4" t="s">
        <v>4867</v>
      </c>
      <c r="P794" s="4" t="s">
        <v>4862</v>
      </c>
      <c r="Q794" s="1" t="str">
        <f>_xlfn.XLOOKUP(tblSales[[#This Row],[Channel Code]],tblChannels[Channel Code],tblChannels[Channel Name],"")</f>
        <v>Website &amp; Social Media</v>
      </c>
      <c r="R794" s="1">
        <f>MONTH(tblSales[[#This Row],[Date]])</f>
        <v>2</v>
      </c>
    </row>
    <row r="795" spans="2:18" x14ac:dyDescent="0.35">
      <c r="B795" s="113">
        <v>46074</v>
      </c>
      <c r="C795" s="4" t="s">
        <v>548</v>
      </c>
      <c r="D795" s="4" t="s">
        <v>4568</v>
      </c>
      <c r="E795" s="1" t="str">
        <f>_xlfn.XLOOKUP(tblSales[[#This Row],[Customer ID]],tblCustomers[Customer ID],tblCustomers[Customer Name],"⚠ Unknown")</f>
        <v>Walk-in Customer</v>
      </c>
      <c r="F795" s="4" t="s">
        <v>8</v>
      </c>
      <c r="G795" s="1" t="str">
        <f>_xlfn.XLOOKUP(tblSales[[#This Row],[Product Code]],tblProducts[Code],tblProducts[Product / Service Name],"⚠ Unknown")</f>
        <v>Casual Shorts</v>
      </c>
      <c r="H795" s="1" t="str">
        <f>_xlfn.XLOOKUP(tblSales[[#This Row],[Product Code]],tblProducts[Code],tblProducts[Category],"")</f>
        <v>Accessories &amp; Basics</v>
      </c>
      <c r="I795" s="4">
        <v>2</v>
      </c>
      <c r="J795" s="5">
        <f>_xlfn.XLOOKUP(tblSales[[#This Row],[Product Code]],tblProducts[Code],tblProducts[Selling Price (excl. VAT)],0)</f>
        <v>85000</v>
      </c>
      <c r="K795" s="5">
        <f>tblSales[[#This Row],[Qty]]*tblSales[[#This Row],[Unit Price]]</f>
        <v>170000</v>
      </c>
      <c r="L795" s="5">
        <f>ROUND(tblSales[[#This Row],[DPP (excl. VAT)]]*VATEff,0)</f>
        <v>18700</v>
      </c>
      <c r="M795" s="5">
        <f>tblSales[[#This Row],[DPP (excl. VAT)]]+tblSales[[#This Row],[Output VAT]]</f>
        <v>188700</v>
      </c>
      <c r="N795" s="5">
        <f>tblSales[[#This Row],[Qty]]*_xlfn.XLOOKUP(tblSales[[#This Row],[Product Code]],tblProducts[Code],tblProducts[Unit Cost],0)</f>
        <v>100000</v>
      </c>
      <c r="O795" s="4" t="s">
        <v>4865</v>
      </c>
      <c r="P795" s="4" t="s">
        <v>4860</v>
      </c>
      <c r="Q795" s="1" t="str">
        <f>_xlfn.XLOOKUP(tblSales[[#This Row],[Channel Code]],tblChannels[Channel Code],tblChannels[Channel Name],"")</f>
        <v>In-store</v>
      </c>
      <c r="R795" s="1">
        <f>MONTH(tblSales[[#This Row],[Date]])</f>
        <v>2</v>
      </c>
    </row>
    <row r="796" spans="2:18" x14ac:dyDescent="0.35">
      <c r="B796" s="113">
        <v>46075</v>
      </c>
      <c r="C796" s="4" t="s">
        <v>549</v>
      </c>
      <c r="D796" s="4" t="s">
        <v>4568</v>
      </c>
      <c r="E796" s="1" t="str">
        <f>_xlfn.XLOOKUP(tblSales[[#This Row],[Customer ID]],tblCustomers[Customer ID],tblCustomers[Customer Name],"⚠ Unknown")</f>
        <v>Walk-in Customer</v>
      </c>
      <c r="F796" s="4" t="s">
        <v>14</v>
      </c>
      <c r="G796" s="1" t="str">
        <f>_xlfn.XLOOKUP(tblSales[[#This Row],[Product Code]],tblProducts[Code],tblProducts[Product / Service Name],"⚠ Unknown")</f>
        <v>Smartwatch</v>
      </c>
      <c r="H796" s="1" t="str">
        <f>_xlfn.XLOOKUP(tblSales[[#This Row],[Product Code]],tblProducts[Code],tblProducts[Category],"")</f>
        <v>Bags &amp; Gadgets</v>
      </c>
      <c r="I796" s="4">
        <v>3</v>
      </c>
      <c r="J796" s="5">
        <f>_xlfn.XLOOKUP(tblSales[[#This Row],[Product Code]],tblProducts[Code],tblProducts[Selling Price (excl. VAT)],0)</f>
        <v>850000</v>
      </c>
      <c r="K796" s="5">
        <f>tblSales[[#This Row],[Qty]]*tblSales[[#This Row],[Unit Price]]</f>
        <v>2550000</v>
      </c>
      <c r="L796" s="5">
        <f>ROUND(tblSales[[#This Row],[DPP (excl. VAT)]]*VATEff,0)</f>
        <v>280500</v>
      </c>
      <c r="M796" s="5">
        <f>tblSales[[#This Row],[DPP (excl. VAT)]]+tblSales[[#This Row],[Output VAT]]</f>
        <v>2830500</v>
      </c>
      <c r="N796" s="5">
        <f>tblSales[[#This Row],[Qty]]*_xlfn.XLOOKUP(tblSales[[#This Row],[Product Code]],tblProducts[Code],tblProducts[Unit Cost],0)</f>
        <v>1680000</v>
      </c>
      <c r="O796" s="4" t="s">
        <v>4865</v>
      </c>
      <c r="P796" s="4" t="s">
        <v>4860</v>
      </c>
      <c r="Q796" s="1" t="str">
        <f>_xlfn.XLOOKUP(tblSales[[#This Row],[Channel Code]],tblChannels[Channel Code],tblChannels[Channel Name],"")</f>
        <v>In-store</v>
      </c>
      <c r="R796" s="1">
        <f>MONTH(tblSales[[#This Row],[Date]])</f>
        <v>2</v>
      </c>
    </row>
    <row r="797" spans="2:18" x14ac:dyDescent="0.35">
      <c r="B797" s="113">
        <v>46075</v>
      </c>
      <c r="C797" s="4" t="s">
        <v>549</v>
      </c>
      <c r="D797" s="4" t="s">
        <v>4568</v>
      </c>
      <c r="E797" s="1" t="str">
        <f>_xlfn.XLOOKUP(tblSales[[#This Row],[Customer ID]],tblCustomers[Customer ID],tblCustomers[Customer Name],"⚠ Unknown")</f>
        <v>Walk-in Customer</v>
      </c>
      <c r="F797" s="4" t="s">
        <v>7</v>
      </c>
      <c r="G797" s="1" t="str">
        <f>_xlfn.XLOOKUP(tblSales[[#This Row],[Product Code]],tblProducts[Code],tblProducts[Product / Service Name],"⚠ Unknown")</f>
        <v>Premium Basic T-shirt</v>
      </c>
      <c r="H797" s="1" t="str">
        <f>_xlfn.XLOOKUP(tblSales[[#This Row],[Product Code]],tblProducts[Code],tblProducts[Category],"")</f>
        <v>Accessories &amp; Basics</v>
      </c>
      <c r="I797" s="4">
        <v>8</v>
      </c>
      <c r="J797" s="5">
        <f>_xlfn.XLOOKUP(tblSales[[#This Row],[Product Code]],tblProducts[Code],tblProducts[Selling Price (excl. VAT)],0)</f>
        <v>65000</v>
      </c>
      <c r="K797" s="5">
        <f>tblSales[[#This Row],[Qty]]*tblSales[[#This Row],[Unit Price]]</f>
        <v>520000</v>
      </c>
      <c r="L797" s="5">
        <f>ROUND(tblSales[[#This Row],[DPP (excl. VAT)]]*VATEff,0)</f>
        <v>57200</v>
      </c>
      <c r="M797" s="5">
        <f>tblSales[[#This Row],[DPP (excl. VAT)]]+tblSales[[#This Row],[Output VAT]]</f>
        <v>577200</v>
      </c>
      <c r="N797" s="5">
        <f>tblSales[[#This Row],[Qty]]*_xlfn.XLOOKUP(tblSales[[#This Row],[Product Code]],tblProducts[Code],tblProducts[Unit Cost],0)</f>
        <v>296000</v>
      </c>
      <c r="O797" s="4" t="s">
        <v>4865</v>
      </c>
      <c r="P797" s="4" t="s">
        <v>4860</v>
      </c>
      <c r="Q797" s="1" t="str">
        <f>_xlfn.XLOOKUP(tblSales[[#This Row],[Channel Code]],tblChannels[Channel Code],tblChannels[Channel Name],"")</f>
        <v>In-store</v>
      </c>
      <c r="R797" s="1">
        <f>MONTH(tblSales[[#This Row],[Date]])</f>
        <v>2</v>
      </c>
    </row>
    <row r="798" spans="2:18" x14ac:dyDescent="0.35">
      <c r="B798" s="113">
        <v>46075</v>
      </c>
      <c r="C798" s="4" t="s">
        <v>550</v>
      </c>
      <c r="D798" s="4" t="s">
        <v>4585</v>
      </c>
      <c r="E798" s="1" t="str">
        <f>_xlfn.XLOOKUP(tblSales[[#This Row],[Customer ID]],tblCustomers[Customer ID],tblCustomers[Customer Name],"⚠ Unknown")</f>
        <v>CV Mitra Karya Mandiri</v>
      </c>
      <c r="F798" s="4" t="s">
        <v>10</v>
      </c>
      <c r="G798" s="1" t="str">
        <f>_xlfn.XLOOKUP(tblSales[[#This Row],[Product Code]],tblProducts[Code],tblProducts[Product / Service Name],"⚠ Unknown")</f>
        <v>Chino Pants</v>
      </c>
      <c r="H798" s="1" t="str">
        <f>_xlfn.XLOOKUP(tblSales[[#This Row],[Product Code]],tblProducts[Code],tblProducts[Category],"")</f>
        <v>Apparel &amp; Footwear</v>
      </c>
      <c r="I798" s="4">
        <v>80</v>
      </c>
      <c r="J798" s="5">
        <f>_xlfn.XLOOKUP(tblSales[[#This Row],[Product Code]],tblProducts[Code],tblProducts[Selling Price (excl. VAT)],0)</f>
        <v>150000</v>
      </c>
      <c r="K798" s="5">
        <f>tblSales[[#This Row],[Qty]]*tblSales[[#This Row],[Unit Price]]</f>
        <v>12000000</v>
      </c>
      <c r="L798" s="5">
        <f>ROUND(tblSales[[#This Row],[DPP (excl. VAT)]]*VATEff,0)</f>
        <v>1320000</v>
      </c>
      <c r="M798" s="5">
        <f>tblSales[[#This Row],[DPP (excl. VAT)]]+tblSales[[#This Row],[Output VAT]]</f>
        <v>13320000</v>
      </c>
      <c r="N798" s="5">
        <f>tblSales[[#This Row],[Qty]]*_xlfn.XLOOKUP(tblSales[[#This Row],[Product Code]],tblProducts[Code],tblProducts[Unit Cost],0)</f>
        <v>7040000</v>
      </c>
      <c r="O798" s="4" t="s">
        <v>4867</v>
      </c>
      <c r="P798" s="4" t="s">
        <v>4860</v>
      </c>
      <c r="Q798" s="1" t="str">
        <f>_xlfn.XLOOKUP(tblSales[[#This Row],[Channel Code]],tblChannels[Channel Code],tblChannels[Channel Name],"")</f>
        <v>In-store</v>
      </c>
      <c r="R798" s="1">
        <f>MONTH(tblSales[[#This Row],[Date]])</f>
        <v>2</v>
      </c>
    </row>
    <row r="799" spans="2:18" x14ac:dyDescent="0.35">
      <c r="B799" s="113">
        <v>46075</v>
      </c>
      <c r="C799" s="4" t="s">
        <v>551</v>
      </c>
      <c r="D799" s="4" t="s">
        <v>4568</v>
      </c>
      <c r="E799" s="1" t="str">
        <f>_xlfn.XLOOKUP(tblSales[[#This Row],[Customer ID]],tblCustomers[Customer ID],tblCustomers[Customer Name],"⚠ Unknown")</f>
        <v>Walk-in Customer</v>
      </c>
      <c r="F799" s="4" t="s">
        <v>8</v>
      </c>
      <c r="G799" s="1" t="str">
        <f>_xlfn.XLOOKUP(tblSales[[#This Row],[Product Code]],tblProducts[Code],tblProducts[Product / Service Name],"⚠ Unknown")</f>
        <v>Casual Shorts</v>
      </c>
      <c r="H799" s="1" t="str">
        <f>_xlfn.XLOOKUP(tblSales[[#This Row],[Product Code]],tblProducts[Code],tblProducts[Category],"")</f>
        <v>Accessories &amp; Basics</v>
      </c>
      <c r="I799" s="4">
        <v>9</v>
      </c>
      <c r="J799" s="5">
        <f>_xlfn.XLOOKUP(tblSales[[#This Row],[Product Code]],tblProducts[Code],tblProducts[Selling Price (excl. VAT)],0)</f>
        <v>85000</v>
      </c>
      <c r="K799" s="5">
        <f>tblSales[[#This Row],[Qty]]*tblSales[[#This Row],[Unit Price]]</f>
        <v>765000</v>
      </c>
      <c r="L799" s="5">
        <f>ROUND(tblSales[[#This Row],[DPP (excl. VAT)]]*VATEff,0)</f>
        <v>84150</v>
      </c>
      <c r="M799" s="5">
        <f>tblSales[[#This Row],[DPP (excl. VAT)]]+tblSales[[#This Row],[Output VAT]]</f>
        <v>849150</v>
      </c>
      <c r="N799" s="5">
        <f>tblSales[[#This Row],[Qty]]*_xlfn.XLOOKUP(tblSales[[#This Row],[Product Code]],tblProducts[Code],tblProducts[Unit Cost],0)</f>
        <v>450000</v>
      </c>
      <c r="O799" s="4" t="s">
        <v>4865</v>
      </c>
      <c r="P799" s="4" t="s">
        <v>4860</v>
      </c>
      <c r="Q799" s="1" t="str">
        <f>_xlfn.XLOOKUP(tblSales[[#This Row],[Channel Code]],tblChannels[Channel Code],tblChannels[Channel Name],"")</f>
        <v>In-store</v>
      </c>
      <c r="R799" s="1">
        <f>MONTH(tblSales[[#This Row],[Date]])</f>
        <v>2</v>
      </c>
    </row>
    <row r="800" spans="2:18" x14ac:dyDescent="0.35">
      <c r="B800" s="113">
        <v>46075</v>
      </c>
      <c r="C800" s="4" t="s">
        <v>552</v>
      </c>
      <c r="D800" s="4" t="s">
        <v>4568</v>
      </c>
      <c r="E800" s="1" t="str">
        <f>_xlfn.XLOOKUP(tblSales[[#This Row],[Customer ID]],tblCustomers[Customer ID],tblCustomers[Customer Name],"⚠ Unknown")</f>
        <v>Walk-in Customer</v>
      </c>
      <c r="F800" s="4" t="s">
        <v>13</v>
      </c>
      <c r="G800" s="1" t="str">
        <f>_xlfn.XLOOKUP(tblSales[[#This Row],[Product Code]],tblProducts[Code],tblProducts[Product / Service Name],"⚠ Unknown")</f>
        <v>Backpack</v>
      </c>
      <c r="H800" s="1" t="str">
        <f>_xlfn.XLOOKUP(tblSales[[#This Row],[Product Code]],tblProducts[Code],tblProducts[Category],"")</f>
        <v>Bags &amp; Gadgets</v>
      </c>
      <c r="I800" s="4">
        <v>2</v>
      </c>
      <c r="J800" s="5">
        <f>_xlfn.XLOOKUP(tblSales[[#This Row],[Product Code]],tblProducts[Code],tblProducts[Selling Price (excl. VAT)],0)</f>
        <v>500000</v>
      </c>
      <c r="K800" s="5">
        <f>tblSales[[#This Row],[Qty]]*tblSales[[#This Row],[Unit Price]]</f>
        <v>1000000</v>
      </c>
      <c r="L800" s="5">
        <f>ROUND(tblSales[[#This Row],[DPP (excl. VAT)]]*VATEff,0)</f>
        <v>110000</v>
      </c>
      <c r="M800" s="5">
        <f>tblSales[[#This Row],[DPP (excl. VAT)]]+tblSales[[#This Row],[Output VAT]]</f>
        <v>1110000</v>
      </c>
      <c r="N800" s="5">
        <f>tblSales[[#This Row],[Qty]]*_xlfn.XLOOKUP(tblSales[[#This Row],[Product Code]],tblProducts[Code],tblProducts[Unit Cost],0)</f>
        <v>580000</v>
      </c>
      <c r="O800" s="4" t="s">
        <v>4866</v>
      </c>
      <c r="P800" s="4" t="s">
        <v>4861</v>
      </c>
      <c r="Q800" s="1" t="str">
        <f>_xlfn.XLOOKUP(tblSales[[#This Row],[Channel Code]],tblChannels[Channel Code],tblChannels[Channel Name],"")</f>
        <v>Marketplace</v>
      </c>
      <c r="R800" s="1">
        <f>MONTH(tblSales[[#This Row],[Date]])</f>
        <v>2</v>
      </c>
    </row>
    <row r="801" spans="2:18" x14ac:dyDescent="0.35">
      <c r="B801" s="113">
        <v>46075</v>
      </c>
      <c r="C801" s="4" t="s">
        <v>553</v>
      </c>
      <c r="D801" s="4" t="s">
        <v>4568</v>
      </c>
      <c r="E801" s="1" t="str">
        <f>_xlfn.XLOOKUP(tblSales[[#This Row],[Customer ID]],tblCustomers[Customer ID],tblCustomers[Customer Name],"⚠ Unknown")</f>
        <v>Walk-in Customer</v>
      </c>
      <c r="F801" s="4" t="s">
        <v>9</v>
      </c>
      <c r="G801" s="1" t="str">
        <f>_xlfn.XLOOKUP(tblSales[[#This Row],[Product Code]],tblProducts[Code],tblProducts[Product / Service Name],"⚠ Unknown")</f>
        <v>Casual Shirt</v>
      </c>
      <c r="H801" s="1" t="str">
        <f>_xlfn.XLOOKUP(tblSales[[#This Row],[Product Code]],tblProducts[Code],tblProducts[Category],"")</f>
        <v>Apparel &amp; Footwear</v>
      </c>
      <c r="I801" s="4">
        <v>9</v>
      </c>
      <c r="J801" s="5">
        <f>_xlfn.XLOOKUP(tblSales[[#This Row],[Product Code]],tblProducts[Code],tblProducts[Selling Price (excl. VAT)],0)</f>
        <v>120000</v>
      </c>
      <c r="K801" s="5">
        <f>tblSales[[#This Row],[Qty]]*tblSales[[#This Row],[Unit Price]]</f>
        <v>1080000</v>
      </c>
      <c r="L801" s="5">
        <f>ROUND(tblSales[[#This Row],[DPP (excl. VAT)]]*VATEff,0)</f>
        <v>118800</v>
      </c>
      <c r="M801" s="5">
        <f>tblSales[[#This Row],[DPP (excl. VAT)]]+tblSales[[#This Row],[Output VAT]]</f>
        <v>1198800</v>
      </c>
      <c r="N801" s="5">
        <f>tblSales[[#This Row],[Qty]]*_xlfn.XLOOKUP(tblSales[[#This Row],[Product Code]],tblProducts[Code],tblProducts[Unit Cost],0)</f>
        <v>648000</v>
      </c>
      <c r="O801" s="4" t="s">
        <v>4866</v>
      </c>
      <c r="P801" s="4" t="s">
        <v>4861</v>
      </c>
      <c r="Q801" s="1" t="str">
        <f>_xlfn.XLOOKUP(tblSales[[#This Row],[Channel Code]],tblChannels[Channel Code],tblChannels[Channel Name],"")</f>
        <v>Marketplace</v>
      </c>
      <c r="R801" s="1">
        <f>MONTH(tblSales[[#This Row],[Date]])</f>
        <v>2</v>
      </c>
    </row>
    <row r="802" spans="2:18" x14ac:dyDescent="0.35">
      <c r="B802" s="113">
        <v>46075</v>
      </c>
      <c r="C802" s="4" t="s">
        <v>553</v>
      </c>
      <c r="D802" s="4" t="s">
        <v>4568</v>
      </c>
      <c r="E802" s="1" t="str">
        <f>_xlfn.XLOOKUP(tblSales[[#This Row],[Customer ID]],tblCustomers[Customer ID],tblCustomers[Customer Name],"⚠ Unknown")</f>
        <v>Walk-in Customer</v>
      </c>
      <c r="F802" s="4" t="s">
        <v>6</v>
      </c>
      <c r="G802" s="1" t="str">
        <f>_xlfn.XLOOKUP(tblSales[[#This Row],[Product Code]],tblProducts[Code],tblProducts[Product / Service Name],"⚠ Unknown")</f>
        <v>Socks &amp; Accessories</v>
      </c>
      <c r="H802" s="1" t="str">
        <f>_xlfn.XLOOKUP(tblSales[[#This Row],[Product Code]],tblProducts[Code],tblProducts[Category],"")</f>
        <v>Accessories &amp; Basics</v>
      </c>
      <c r="I802" s="4">
        <v>2</v>
      </c>
      <c r="J802" s="5">
        <f>_xlfn.XLOOKUP(tblSales[[#This Row],[Product Code]],tblProducts[Code],tblProducts[Selling Price (excl. VAT)],0)</f>
        <v>45000</v>
      </c>
      <c r="K802" s="5">
        <f>tblSales[[#This Row],[Qty]]*tblSales[[#This Row],[Unit Price]]</f>
        <v>90000</v>
      </c>
      <c r="L802" s="5">
        <f>ROUND(tblSales[[#This Row],[DPP (excl. VAT)]]*VATEff,0)</f>
        <v>9900</v>
      </c>
      <c r="M802" s="5">
        <f>tblSales[[#This Row],[DPP (excl. VAT)]]+tblSales[[#This Row],[Output VAT]]</f>
        <v>99900</v>
      </c>
      <c r="N802" s="5">
        <f>tblSales[[#This Row],[Qty]]*_xlfn.XLOOKUP(tblSales[[#This Row],[Product Code]],tblProducts[Code],tblProducts[Unit Cost],0)</f>
        <v>48000</v>
      </c>
      <c r="O802" s="4" t="s">
        <v>4866</v>
      </c>
      <c r="P802" s="4" t="s">
        <v>4861</v>
      </c>
      <c r="Q802" s="1" t="str">
        <f>_xlfn.XLOOKUP(tblSales[[#This Row],[Channel Code]],tblChannels[Channel Code],tblChannels[Channel Name],"")</f>
        <v>Marketplace</v>
      </c>
      <c r="R802" s="1">
        <f>MONTH(tblSales[[#This Row],[Date]])</f>
        <v>2</v>
      </c>
    </row>
    <row r="803" spans="2:18" x14ac:dyDescent="0.35">
      <c r="B803" s="113">
        <v>46075</v>
      </c>
      <c r="C803" s="4" t="s">
        <v>553</v>
      </c>
      <c r="D803" s="4" t="s">
        <v>4568</v>
      </c>
      <c r="E803" s="1" t="str">
        <f>_xlfn.XLOOKUP(tblSales[[#This Row],[Customer ID]],tblCustomers[Customer ID],tblCustomers[Customer Name],"⚠ Unknown")</f>
        <v>Walk-in Customer</v>
      </c>
      <c r="F803" s="4" t="s">
        <v>14</v>
      </c>
      <c r="G803" s="1" t="str">
        <f>_xlfn.XLOOKUP(tblSales[[#This Row],[Product Code]],tblProducts[Code],tblProducts[Product / Service Name],"⚠ Unknown")</f>
        <v>Smartwatch</v>
      </c>
      <c r="H803" s="1" t="str">
        <f>_xlfn.XLOOKUP(tblSales[[#This Row],[Product Code]],tblProducts[Code],tblProducts[Category],"")</f>
        <v>Bags &amp; Gadgets</v>
      </c>
      <c r="I803" s="4">
        <v>1</v>
      </c>
      <c r="J803" s="5">
        <f>_xlfn.XLOOKUP(tblSales[[#This Row],[Product Code]],tblProducts[Code],tblProducts[Selling Price (excl. VAT)],0)</f>
        <v>850000</v>
      </c>
      <c r="K803" s="5">
        <f>tblSales[[#This Row],[Qty]]*tblSales[[#This Row],[Unit Price]]</f>
        <v>850000</v>
      </c>
      <c r="L803" s="5">
        <f>ROUND(tblSales[[#This Row],[DPP (excl. VAT)]]*VATEff,0)</f>
        <v>93500</v>
      </c>
      <c r="M803" s="5">
        <f>tblSales[[#This Row],[DPP (excl. VAT)]]+tblSales[[#This Row],[Output VAT]]</f>
        <v>943500</v>
      </c>
      <c r="N803" s="5">
        <f>tblSales[[#This Row],[Qty]]*_xlfn.XLOOKUP(tblSales[[#This Row],[Product Code]],tblProducts[Code],tblProducts[Unit Cost],0)</f>
        <v>560000</v>
      </c>
      <c r="O803" s="4" t="s">
        <v>4866</v>
      </c>
      <c r="P803" s="4" t="s">
        <v>4861</v>
      </c>
      <c r="Q803" s="1" t="str">
        <f>_xlfn.XLOOKUP(tblSales[[#This Row],[Channel Code]],tblChannels[Channel Code],tblChannels[Channel Name],"")</f>
        <v>Marketplace</v>
      </c>
      <c r="R803" s="1">
        <f>MONTH(tblSales[[#This Row],[Date]])</f>
        <v>2</v>
      </c>
    </row>
    <row r="804" spans="2:18" x14ac:dyDescent="0.35">
      <c r="B804" s="113">
        <v>46075</v>
      </c>
      <c r="C804" s="4" t="s">
        <v>554</v>
      </c>
      <c r="D804" s="4" t="s">
        <v>4568</v>
      </c>
      <c r="E804" s="1" t="str">
        <f>_xlfn.XLOOKUP(tblSales[[#This Row],[Customer ID]],tblCustomers[Customer ID],tblCustomers[Customer Name],"⚠ Unknown")</f>
        <v>Walk-in Customer</v>
      </c>
      <c r="F804" s="4" t="s">
        <v>14</v>
      </c>
      <c r="G804" s="1" t="str">
        <f>_xlfn.XLOOKUP(tblSales[[#This Row],[Product Code]],tblProducts[Code],tblProducts[Product / Service Name],"⚠ Unknown")</f>
        <v>Smartwatch</v>
      </c>
      <c r="H804" s="1" t="str">
        <f>_xlfn.XLOOKUP(tblSales[[#This Row],[Product Code]],tblProducts[Code],tblProducts[Category],"")</f>
        <v>Bags &amp; Gadgets</v>
      </c>
      <c r="I804" s="4">
        <v>2</v>
      </c>
      <c r="J804" s="5">
        <f>_xlfn.XLOOKUP(tblSales[[#This Row],[Product Code]],tblProducts[Code],tblProducts[Selling Price (excl. VAT)],0)</f>
        <v>850000</v>
      </c>
      <c r="K804" s="5">
        <f>tblSales[[#This Row],[Qty]]*tblSales[[#This Row],[Unit Price]]</f>
        <v>1700000</v>
      </c>
      <c r="L804" s="5">
        <f>ROUND(tblSales[[#This Row],[DPP (excl. VAT)]]*VATEff,0)</f>
        <v>187000</v>
      </c>
      <c r="M804" s="5">
        <f>tblSales[[#This Row],[DPP (excl. VAT)]]+tblSales[[#This Row],[Output VAT]]</f>
        <v>1887000</v>
      </c>
      <c r="N804" s="5">
        <f>tblSales[[#This Row],[Qty]]*_xlfn.XLOOKUP(tblSales[[#This Row],[Product Code]],tblProducts[Code],tblProducts[Unit Cost],0)</f>
        <v>1120000</v>
      </c>
      <c r="O804" s="4" t="s">
        <v>4866</v>
      </c>
      <c r="P804" s="4" t="s">
        <v>4860</v>
      </c>
      <c r="Q804" s="1" t="str">
        <f>_xlfn.XLOOKUP(tblSales[[#This Row],[Channel Code]],tblChannels[Channel Code],tblChannels[Channel Name],"")</f>
        <v>In-store</v>
      </c>
      <c r="R804" s="1">
        <f>MONTH(tblSales[[#This Row],[Date]])</f>
        <v>2</v>
      </c>
    </row>
    <row r="805" spans="2:18" x14ac:dyDescent="0.35">
      <c r="B805" s="113">
        <v>46075</v>
      </c>
      <c r="C805" s="4" t="s">
        <v>555</v>
      </c>
      <c r="D805" s="4" t="s">
        <v>4593</v>
      </c>
      <c r="E805" s="1" t="str">
        <f>_xlfn.XLOOKUP(tblSales[[#This Row],[Customer ID]],tblCustomers[Customer ID],tblCustomers[Customer Name],"⚠ Unknown")</f>
        <v>PT Graha Nusa Persada</v>
      </c>
      <c r="F805" s="4" t="s">
        <v>12</v>
      </c>
      <c r="G805" s="1" t="str">
        <f>_xlfn.XLOOKUP(tblSales[[#This Row],[Product Code]],tblProducts[Code],tblProducts[Product / Service Name],"⚠ Unknown")</f>
        <v>Bomber Jacket</v>
      </c>
      <c r="H805" s="1" t="str">
        <f>_xlfn.XLOOKUP(tblSales[[#This Row],[Product Code]],tblProducts[Code],tblProducts[Category],"")</f>
        <v>Apparel &amp; Footwear</v>
      </c>
      <c r="I805" s="4">
        <v>32</v>
      </c>
      <c r="J805" s="5">
        <f>_xlfn.XLOOKUP(tblSales[[#This Row],[Product Code]],tblProducts[Code],tblProducts[Selling Price (excl. VAT)],0)</f>
        <v>350000</v>
      </c>
      <c r="K805" s="5">
        <f>tblSales[[#This Row],[Qty]]*tblSales[[#This Row],[Unit Price]]</f>
        <v>11200000</v>
      </c>
      <c r="L805" s="5">
        <f>ROUND(tblSales[[#This Row],[DPP (excl. VAT)]]*VATEff,0)</f>
        <v>1232000</v>
      </c>
      <c r="M805" s="5">
        <f>tblSales[[#This Row],[DPP (excl. VAT)]]+tblSales[[#This Row],[Output VAT]]</f>
        <v>12432000</v>
      </c>
      <c r="N805" s="5">
        <f>tblSales[[#This Row],[Qty]]*_xlfn.XLOOKUP(tblSales[[#This Row],[Product Code]],tblProducts[Code],tblProducts[Unit Cost],0)</f>
        <v>6720000</v>
      </c>
      <c r="O805" s="4" t="s">
        <v>4867</v>
      </c>
      <c r="P805" s="4" t="s">
        <v>4860</v>
      </c>
      <c r="Q805" s="1" t="str">
        <f>_xlfn.XLOOKUP(tblSales[[#This Row],[Channel Code]],tblChannels[Channel Code],tblChannels[Channel Name],"")</f>
        <v>In-store</v>
      </c>
      <c r="R805" s="1">
        <f>MONTH(tblSales[[#This Row],[Date]])</f>
        <v>2</v>
      </c>
    </row>
    <row r="806" spans="2:18" x14ac:dyDescent="0.35">
      <c r="B806" s="113">
        <v>46075</v>
      </c>
      <c r="C806" s="4" t="s">
        <v>556</v>
      </c>
      <c r="D806" s="4" t="s">
        <v>4593</v>
      </c>
      <c r="E806" s="1" t="str">
        <f>_xlfn.XLOOKUP(tblSales[[#This Row],[Customer ID]],tblCustomers[Customer ID],tblCustomers[Customer Name],"⚠ Unknown")</f>
        <v>PT Graha Nusa Persada</v>
      </c>
      <c r="F806" s="4" t="s">
        <v>12</v>
      </c>
      <c r="G806" s="1" t="str">
        <f>_xlfn.XLOOKUP(tblSales[[#This Row],[Product Code]],tblProducts[Code],tblProducts[Product / Service Name],"⚠ Unknown")</f>
        <v>Bomber Jacket</v>
      </c>
      <c r="H806" s="1" t="str">
        <f>_xlfn.XLOOKUP(tblSales[[#This Row],[Product Code]],tblProducts[Code],tblProducts[Category],"")</f>
        <v>Apparel &amp; Footwear</v>
      </c>
      <c r="I806" s="4">
        <v>32</v>
      </c>
      <c r="J806" s="5">
        <f>_xlfn.XLOOKUP(tblSales[[#This Row],[Product Code]],tblProducts[Code],tblProducts[Selling Price (excl. VAT)],0)</f>
        <v>350000</v>
      </c>
      <c r="K806" s="5">
        <f>tblSales[[#This Row],[Qty]]*tblSales[[#This Row],[Unit Price]]</f>
        <v>11200000</v>
      </c>
      <c r="L806" s="5">
        <f>ROUND(tblSales[[#This Row],[DPP (excl. VAT)]]*VATEff,0)</f>
        <v>1232000</v>
      </c>
      <c r="M806" s="5">
        <f>tblSales[[#This Row],[DPP (excl. VAT)]]+tblSales[[#This Row],[Output VAT]]</f>
        <v>12432000</v>
      </c>
      <c r="N806" s="5">
        <f>tblSales[[#This Row],[Qty]]*_xlfn.XLOOKUP(tblSales[[#This Row],[Product Code]],tblProducts[Code],tblProducts[Unit Cost],0)</f>
        <v>6720000</v>
      </c>
      <c r="O806" s="4" t="s">
        <v>4867</v>
      </c>
      <c r="P806" s="4" t="s">
        <v>4860</v>
      </c>
      <c r="Q806" s="1" t="str">
        <f>_xlfn.XLOOKUP(tblSales[[#This Row],[Channel Code]],tblChannels[Channel Code],tblChannels[Channel Name],"")</f>
        <v>In-store</v>
      </c>
      <c r="R806" s="1">
        <f>MONTH(tblSales[[#This Row],[Date]])</f>
        <v>2</v>
      </c>
    </row>
    <row r="807" spans="2:18" x14ac:dyDescent="0.35">
      <c r="B807" s="113">
        <v>46075</v>
      </c>
      <c r="C807" s="4" t="s">
        <v>557</v>
      </c>
      <c r="D807" s="4" t="s">
        <v>4599</v>
      </c>
      <c r="E807" s="1" t="str">
        <f>_xlfn.XLOOKUP(tblSales[[#This Row],[Customer ID]],tblCustomers[Customer ID],tblCustomers[Customer Name],"⚠ Unknown")</f>
        <v>PT Samudra Jaya Logistik</v>
      </c>
      <c r="F807" s="4" t="s">
        <v>6</v>
      </c>
      <c r="G807" s="1" t="str">
        <f>_xlfn.XLOOKUP(tblSales[[#This Row],[Product Code]],tblProducts[Code],tblProducts[Product / Service Name],"⚠ Unknown")</f>
        <v>Socks &amp; Accessories</v>
      </c>
      <c r="H807" s="1" t="str">
        <f>_xlfn.XLOOKUP(tblSales[[#This Row],[Product Code]],tblProducts[Code],tblProducts[Category],"")</f>
        <v>Accessories &amp; Basics</v>
      </c>
      <c r="I807" s="4">
        <v>56</v>
      </c>
      <c r="J807" s="5">
        <f>_xlfn.XLOOKUP(tblSales[[#This Row],[Product Code]],tblProducts[Code],tblProducts[Selling Price (excl. VAT)],0)</f>
        <v>45000</v>
      </c>
      <c r="K807" s="5">
        <f>tblSales[[#This Row],[Qty]]*tblSales[[#This Row],[Unit Price]]</f>
        <v>2520000</v>
      </c>
      <c r="L807" s="5">
        <f>ROUND(tblSales[[#This Row],[DPP (excl. VAT)]]*VATEff,0)</f>
        <v>277200</v>
      </c>
      <c r="M807" s="5">
        <f>tblSales[[#This Row],[DPP (excl. VAT)]]+tblSales[[#This Row],[Output VAT]]</f>
        <v>2797200</v>
      </c>
      <c r="N807" s="5">
        <f>tblSales[[#This Row],[Qty]]*_xlfn.XLOOKUP(tblSales[[#This Row],[Product Code]],tblProducts[Code],tblProducts[Unit Cost],0)</f>
        <v>1344000</v>
      </c>
      <c r="O807" s="4" t="s">
        <v>4867</v>
      </c>
      <c r="P807" s="4" t="s">
        <v>4860</v>
      </c>
      <c r="Q807" s="1" t="str">
        <f>_xlfn.XLOOKUP(tblSales[[#This Row],[Channel Code]],tblChannels[Channel Code],tblChannels[Channel Name],"")</f>
        <v>In-store</v>
      </c>
      <c r="R807" s="1">
        <f>MONTH(tblSales[[#This Row],[Date]])</f>
        <v>2</v>
      </c>
    </row>
    <row r="808" spans="2:18" x14ac:dyDescent="0.35">
      <c r="B808" s="113">
        <v>46075</v>
      </c>
      <c r="C808" s="4" t="s">
        <v>558</v>
      </c>
      <c r="D808" s="4" t="s">
        <v>4568</v>
      </c>
      <c r="E808" s="1" t="str">
        <f>_xlfn.XLOOKUP(tblSales[[#This Row],[Customer ID]],tblCustomers[Customer ID],tblCustomers[Customer Name],"⚠ Unknown")</f>
        <v>Walk-in Customer</v>
      </c>
      <c r="F808" s="4" t="s">
        <v>9</v>
      </c>
      <c r="G808" s="1" t="str">
        <f>_xlfn.XLOOKUP(tblSales[[#This Row],[Product Code]],tblProducts[Code],tblProducts[Product / Service Name],"⚠ Unknown")</f>
        <v>Casual Shirt</v>
      </c>
      <c r="H808" s="1" t="str">
        <f>_xlfn.XLOOKUP(tblSales[[#This Row],[Product Code]],tblProducts[Code],tblProducts[Category],"")</f>
        <v>Apparel &amp; Footwear</v>
      </c>
      <c r="I808" s="4">
        <v>3</v>
      </c>
      <c r="J808" s="5">
        <f>_xlfn.XLOOKUP(tblSales[[#This Row],[Product Code]],tblProducts[Code],tblProducts[Selling Price (excl. VAT)],0)</f>
        <v>120000</v>
      </c>
      <c r="K808" s="5">
        <f>tblSales[[#This Row],[Qty]]*tblSales[[#This Row],[Unit Price]]</f>
        <v>360000</v>
      </c>
      <c r="L808" s="5">
        <f>ROUND(tblSales[[#This Row],[DPP (excl. VAT)]]*VATEff,0)</f>
        <v>39600</v>
      </c>
      <c r="M808" s="5">
        <f>tblSales[[#This Row],[DPP (excl. VAT)]]+tblSales[[#This Row],[Output VAT]]</f>
        <v>399600</v>
      </c>
      <c r="N808" s="5">
        <f>tblSales[[#This Row],[Qty]]*_xlfn.XLOOKUP(tblSales[[#This Row],[Product Code]],tblProducts[Code],tblProducts[Unit Cost],0)</f>
        <v>216000</v>
      </c>
      <c r="O808" s="4" t="s">
        <v>4865</v>
      </c>
      <c r="P808" s="4" t="s">
        <v>4860</v>
      </c>
      <c r="Q808" s="1" t="str">
        <f>_xlfn.XLOOKUP(tblSales[[#This Row],[Channel Code]],tblChannels[Channel Code],tblChannels[Channel Name],"")</f>
        <v>In-store</v>
      </c>
      <c r="R808" s="1">
        <f>MONTH(tblSales[[#This Row],[Date]])</f>
        <v>2</v>
      </c>
    </row>
    <row r="809" spans="2:18" x14ac:dyDescent="0.35">
      <c r="B809" s="113">
        <v>46075</v>
      </c>
      <c r="C809" s="4" t="s">
        <v>558</v>
      </c>
      <c r="D809" s="4" t="s">
        <v>4568</v>
      </c>
      <c r="E809" s="1" t="str">
        <f>_xlfn.XLOOKUP(tblSales[[#This Row],[Customer ID]],tblCustomers[Customer ID],tblCustomers[Customer Name],"⚠ Unknown")</f>
        <v>Walk-in Customer</v>
      </c>
      <c r="F809" s="4" t="s">
        <v>7</v>
      </c>
      <c r="G809" s="1" t="str">
        <f>_xlfn.XLOOKUP(tblSales[[#This Row],[Product Code]],tblProducts[Code],tblProducts[Product / Service Name],"⚠ Unknown")</f>
        <v>Premium Basic T-shirt</v>
      </c>
      <c r="H809" s="1" t="str">
        <f>_xlfn.XLOOKUP(tblSales[[#This Row],[Product Code]],tblProducts[Code],tblProducts[Category],"")</f>
        <v>Accessories &amp; Basics</v>
      </c>
      <c r="I809" s="4">
        <v>10</v>
      </c>
      <c r="J809" s="5">
        <f>_xlfn.XLOOKUP(tblSales[[#This Row],[Product Code]],tblProducts[Code],tblProducts[Selling Price (excl. VAT)],0)</f>
        <v>65000</v>
      </c>
      <c r="K809" s="5">
        <f>tblSales[[#This Row],[Qty]]*tblSales[[#This Row],[Unit Price]]</f>
        <v>650000</v>
      </c>
      <c r="L809" s="5">
        <f>ROUND(tblSales[[#This Row],[DPP (excl. VAT)]]*VATEff,0)</f>
        <v>71500</v>
      </c>
      <c r="M809" s="5">
        <f>tblSales[[#This Row],[DPP (excl. VAT)]]+tblSales[[#This Row],[Output VAT]]</f>
        <v>721500</v>
      </c>
      <c r="N809" s="5">
        <f>tblSales[[#This Row],[Qty]]*_xlfn.XLOOKUP(tblSales[[#This Row],[Product Code]],tblProducts[Code],tblProducts[Unit Cost],0)</f>
        <v>370000</v>
      </c>
      <c r="O809" s="4" t="s">
        <v>4865</v>
      </c>
      <c r="P809" s="4" t="s">
        <v>4860</v>
      </c>
      <c r="Q809" s="1" t="str">
        <f>_xlfn.XLOOKUP(tblSales[[#This Row],[Channel Code]],tblChannels[Channel Code],tblChannels[Channel Name],"")</f>
        <v>In-store</v>
      </c>
      <c r="R809" s="1">
        <f>MONTH(tblSales[[#This Row],[Date]])</f>
        <v>2</v>
      </c>
    </row>
    <row r="810" spans="2:18" x14ac:dyDescent="0.35">
      <c r="B810" s="113">
        <v>46075</v>
      </c>
      <c r="C810" s="4" t="s">
        <v>558</v>
      </c>
      <c r="D810" s="4" t="s">
        <v>4568</v>
      </c>
      <c r="E810" s="1" t="str">
        <f>_xlfn.XLOOKUP(tblSales[[#This Row],[Customer ID]],tblCustomers[Customer ID],tblCustomers[Customer Name],"⚠ Unknown")</f>
        <v>Walk-in Customer</v>
      </c>
      <c r="F810" s="4" t="s">
        <v>6</v>
      </c>
      <c r="G810" s="1" t="str">
        <f>_xlfn.XLOOKUP(tblSales[[#This Row],[Product Code]],tblProducts[Code],tblProducts[Product / Service Name],"⚠ Unknown")</f>
        <v>Socks &amp; Accessories</v>
      </c>
      <c r="H810" s="1" t="str">
        <f>_xlfn.XLOOKUP(tblSales[[#This Row],[Product Code]],tblProducts[Code],tblProducts[Category],"")</f>
        <v>Accessories &amp; Basics</v>
      </c>
      <c r="I810" s="4">
        <v>8</v>
      </c>
      <c r="J810" s="5">
        <f>_xlfn.XLOOKUP(tblSales[[#This Row],[Product Code]],tblProducts[Code],tblProducts[Selling Price (excl. VAT)],0)</f>
        <v>45000</v>
      </c>
      <c r="K810" s="5">
        <f>tblSales[[#This Row],[Qty]]*tblSales[[#This Row],[Unit Price]]</f>
        <v>360000</v>
      </c>
      <c r="L810" s="5">
        <f>ROUND(tblSales[[#This Row],[DPP (excl. VAT)]]*VATEff,0)</f>
        <v>39600</v>
      </c>
      <c r="M810" s="5">
        <f>tblSales[[#This Row],[DPP (excl. VAT)]]+tblSales[[#This Row],[Output VAT]]</f>
        <v>399600</v>
      </c>
      <c r="N810" s="5">
        <f>tblSales[[#This Row],[Qty]]*_xlfn.XLOOKUP(tblSales[[#This Row],[Product Code]],tblProducts[Code],tblProducts[Unit Cost],0)</f>
        <v>192000</v>
      </c>
      <c r="O810" s="4" t="s">
        <v>4865</v>
      </c>
      <c r="P810" s="4" t="s">
        <v>4860</v>
      </c>
      <c r="Q810" s="1" t="str">
        <f>_xlfn.XLOOKUP(tblSales[[#This Row],[Channel Code]],tblChannels[Channel Code],tblChannels[Channel Name],"")</f>
        <v>In-store</v>
      </c>
      <c r="R810" s="1">
        <f>MONTH(tblSales[[#This Row],[Date]])</f>
        <v>2</v>
      </c>
    </row>
    <row r="811" spans="2:18" x14ac:dyDescent="0.35">
      <c r="B811" s="113">
        <v>46075</v>
      </c>
      <c r="C811" s="4" t="s">
        <v>559</v>
      </c>
      <c r="D811" s="4" t="s">
        <v>4568</v>
      </c>
      <c r="E811" s="1" t="str">
        <f>_xlfn.XLOOKUP(tblSales[[#This Row],[Customer ID]],tblCustomers[Customer ID],tblCustomers[Customer Name],"⚠ Unknown")</f>
        <v>Walk-in Customer</v>
      </c>
      <c r="F811" s="4" t="s">
        <v>10</v>
      </c>
      <c r="G811" s="1" t="str">
        <f>_xlfn.XLOOKUP(tblSales[[#This Row],[Product Code]],tblProducts[Code],tblProducts[Product / Service Name],"⚠ Unknown")</f>
        <v>Chino Pants</v>
      </c>
      <c r="H811" s="1" t="str">
        <f>_xlfn.XLOOKUP(tblSales[[#This Row],[Product Code]],tblProducts[Code],tblProducts[Category],"")</f>
        <v>Apparel &amp; Footwear</v>
      </c>
      <c r="I811" s="4">
        <v>4</v>
      </c>
      <c r="J811" s="5">
        <f>_xlfn.XLOOKUP(tblSales[[#This Row],[Product Code]],tblProducts[Code],tblProducts[Selling Price (excl. VAT)],0)</f>
        <v>150000</v>
      </c>
      <c r="K811" s="5">
        <f>tblSales[[#This Row],[Qty]]*tblSales[[#This Row],[Unit Price]]</f>
        <v>600000</v>
      </c>
      <c r="L811" s="5">
        <f>ROUND(tblSales[[#This Row],[DPP (excl. VAT)]]*VATEff,0)</f>
        <v>66000</v>
      </c>
      <c r="M811" s="5">
        <f>tblSales[[#This Row],[DPP (excl. VAT)]]+tblSales[[#This Row],[Output VAT]]</f>
        <v>666000</v>
      </c>
      <c r="N811" s="5">
        <f>tblSales[[#This Row],[Qty]]*_xlfn.XLOOKUP(tblSales[[#This Row],[Product Code]],tblProducts[Code],tblProducts[Unit Cost],0)</f>
        <v>352000</v>
      </c>
      <c r="O811" s="4" t="s">
        <v>4866</v>
      </c>
      <c r="P811" s="4" t="s">
        <v>4861</v>
      </c>
      <c r="Q811" s="1" t="str">
        <f>_xlfn.XLOOKUP(tblSales[[#This Row],[Channel Code]],tblChannels[Channel Code],tblChannels[Channel Name],"")</f>
        <v>Marketplace</v>
      </c>
      <c r="R811" s="1">
        <f>MONTH(tblSales[[#This Row],[Date]])</f>
        <v>2</v>
      </c>
    </row>
    <row r="812" spans="2:18" x14ac:dyDescent="0.35">
      <c r="B812" s="113">
        <v>46075</v>
      </c>
      <c r="C812" s="4" t="s">
        <v>559</v>
      </c>
      <c r="D812" s="4" t="s">
        <v>4568</v>
      </c>
      <c r="E812" s="1" t="str">
        <f>_xlfn.XLOOKUP(tblSales[[#This Row],[Customer ID]],tblCustomers[Customer ID],tblCustomers[Customer Name],"⚠ Unknown")</f>
        <v>Walk-in Customer</v>
      </c>
      <c r="F812" s="4" t="s">
        <v>13</v>
      </c>
      <c r="G812" s="1" t="str">
        <f>_xlfn.XLOOKUP(tblSales[[#This Row],[Product Code]],tblProducts[Code],tblProducts[Product / Service Name],"⚠ Unknown")</f>
        <v>Backpack</v>
      </c>
      <c r="H812" s="1" t="str">
        <f>_xlfn.XLOOKUP(tblSales[[#This Row],[Product Code]],tblProducts[Code],tblProducts[Category],"")</f>
        <v>Bags &amp; Gadgets</v>
      </c>
      <c r="I812" s="4">
        <v>6</v>
      </c>
      <c r="J812" s="5">
        <f>_xlfn.XLOOKUP(tblSales[[#This Row],[Product Code]],tblProducts[Code],tblProducts[Selling Price (excl. VAT)],0)</f>
        <v>500000</v>
      </c>
      <c r="K812" s="5">
        <f>tblSales[[#This Row],[Qty]]*tblSales[[#This Row],[Unit Price]]</f>
        <v>3000000</v>
      </c>
      <c r="L812" s="5">
        <f>ROUND(tblSales[[#This Row],[DPP (excl. VAT)]]*VATEff,0)</f>
        <v>330000</v>
      </c>
      <c r="M812" s="5">
        <f>tblSales[[#This Row],[DPP (excl. VAT)]]+tblSales[[#This Row],[Output VAT]]</f>
        <v>3330000</v>
      </c>
      <c r="N812" s="5">
        <f>tblSales[[#This Row],[Qty]]*_xlfn.XLOOKUP(tblSales[[#This Row],[Product Code]],tblProducts[Code],tblProducts[Unit Cost],0)</f>
        <v>1740000</v>
      </c>
      <c r="O812" s="4" t="s">
        <v>4866</v>
      </c>
      <c r="P812" s="4" t="s">
        <v>4861</v>
      </c>
      <c r="Q812" s="1" t="str">
        <f>_xlfn.XLOOKUP(tblSales[[#This Row],[Channel Code]],tblChannels[Channel Code],tblChannels[Channel Name],"")</f>
        <v>Marketplace</v>
      </c>
      <c r="R812" s="1">
        <f>MONTH(tblSales[[#This Row],[Date]])</f>
        <v>2</v>
      </c>
    </row>
    <row r="813" spans="2:18" x14ac:dyDescent="0.35">
      <c r="B813" s="113">
        <v>46075</v>
      </c>
      <c r="C813" s="4" t="s">
        <v>560</v>
      </c>
      <c r="D813" s="4" t="s">
        <v>4568</v>
      </c>
      <c r="E813" s="1" t="str">
        <f>_xlfn.XLOOKUP(tblSales[[#This Row],[Customer ID]],tblCustomers[Customer ID],tblCustomers[Customer Name],"⚠ Unknown")</f>
        <v>Walk-in Customer</v>
      </c>
      <c r="F813" s="4" t="s">
        <v>8</v>
      </c>
      <c r="G813" s="1" t="str">
        <f>_xlfn.XLOOKUP(tblSales[[#This Row],[Product Code]],tblProducts[Code],tblProducts[Product / Service Name],"⚠ Unknown")</f>
        <v>Casual Shorts</v>
      </c>
      <c r="H813" s="1" t="str">
        <f>_xlfn.XLOOKUP(tblSales[[#This Row],[Product Code]],tblProducts[Code],tblProducts[Category],"")</f>
        <v>Accessories &amp; Basics</v>
      </c>
      <c r="I813" s="4">
        <v>8</v>
      </c>
      <c r="J813" s="5">
        <f>_xlfn.XLOOKUP(tblSales[[#This Row],[Product Code]],tblProducts[Code],tblProducts[Selling Price (excl. VAT)],0)</f>
        <v>85000</v>
      </c>
      <c r="K813" s="5">
        <f>tblSales[[#This Row],[Qty]]*tblSales[[#This Row],[Unit Price]]</f>
        <v>680000</v>
      </c>
      <c r="L813" s="5">
        <f>ROUND(tblSales[[#This Row],[DPP (excl. VAT)]]*VATEff,0)</f>
        <v>74800</v>
      </c>
      <c r="M813" s="5">
        <f>tblSales[[#This Row],[DPP (excl. VAT)]]+tblSales[[#This Row],[Output VAT]]</f>
        <v>754800</v>
      </c>
      <c r="N813" s="5">
        <f>tblSales[[#This Row],[Qty]]*_xlfn.XLOOKUP(tblSales[[#This Row],[Product Code]],tblProducts[Code],tblProducts[Unit Cost],0)</f>
        <v>400000</v>
      </c>
      <c r="O813" s="4" t="s">
        <v>4866</v>
      </c>
      <c r="P813" s="4" t="s">
        <v>4861</v>
      </c>
      <c r="Q813" s="1" t="str">
        <f>_xlfn.XLOOKUP(tblSales[[#This Row],[Channel Code]],tblChannels[Channel Code],tblChannels[Channel Name],"")</f>
        <v>Marketplace</v>
      </c>
      <c r="R813" s="1">
        <f>MONTH(tblSales[[#This Row],[Date]])</f>
        <v>2</v>
      </c>
    </row>
    <row r="814" spans="2:18" x14ac:dyDescent="0.35">
      <c r="B814" s="113">
        <v>46075</v>
      </c>
      <c r="C814" s="4" t="s">
        <v>561</v>
      </c>
      <c r="D814" s="4" t="s">
        <v>4568</v>
      </c>
      <c r="E814" s="1" t="str">
        <f>_xlfn.XLOOKUP(tblSales[[#This Row],[Customer ID]],tblCustomers[Customer ID],tblCustomers[Customer Name],"⚠ Unknown")</f>
        <v>Walk-in Customer</v>
      </c>
      <c r="F814" s="4" t="s">
        <v>6</v>
      </c>
      <c r="G814" s="1" t="str">
        <f>_xlfn.XLOOKUP(tblSales[[#This Row],[Product Code]],tblProducts[Code],tblProducts[Product / Service Name],"⚠ Unknown")</f>
        <v>Socks &amp; Accessories</v>
      </c>
      <c r="H814" s="1" t="str">
        <f>_xlfn.XLOOKUP(tblSales[[#This Row],[Product Code]],tblProducts[Code],tblProducts[Category],"")</f>
        <v>Accessories &amp; Basics</v>
      </c>
      <c r="I814" s="4">
        <v>9</v>
      </c>
      <c r="J814" s="5">
        <f>_xlfn.XLOOKUP(tblSales[[#This Row],[Product Code]],tblProducts[Code],tblProducts[Selling Price (excl. VAT)],0)</f>
        <v>45000</v>
      </c>
      <c r="K814" s="5">
        <f>tblSales[[#This Row],[Qty]]*tblSales[[#This Row],[Unit Price]]</f>
        <v>405000</v>
      </c>
      <c r="L814" s="5">
        <f>ROUND(tblSales[[#This Row],[DPP (excl. VAT)]]*VATEff,0)</f>
        <v>44550</v>
      </c>
      <c r="M814" s="5">
        <f>tblSales[[#This Row],[DPP (excl. VAT)]]+tblSales[[#This Row],[Output VAT]]</f>
        <v>449550</v>
      </c>
      <c r="N814" s="5">
        <f>tblSales[[#This Row],[Qty]]*_xlfn.XLOOKUP(tblSales[[#This Row],[Product Code]],tblProducts[Code],tblProducts[Unit Cost],0)</f>
        <v>216000</v>
      </c>
      <c r="O814" s="4" t="s">
        <v>4866</v>
      </c>
      <c r="P814" s="4" t="s">
        <v>4860</v>
      </c>
      <c r="Q814" s="1" t="str">
        <f>_xlfn.XLOOKUP(tblSales[[#This Row],[Channel Code]],tblChannels[Channel Code],tblChannels[Channel Name],"")</f>
        <v>In-store</v>
      </c>
      <c r="R814" s="1">
        <f>MONTH(tblSales[[#This Row],[Date]])</f>
        <v>2</v>
      </c>
    </row>
    <row r="815" spans="2:18" x14ac:dyDescent="0.35">
      <c r="B815" s="113">
        <v>46075</v>
      </c>
      <c r="C815" s="4" t="s">
        <v>562</v>
      </c>
      <c r="D815" s="4" t="s">
        <v>4568</v>
      </c>
      <c r="E815" s="1" t="str">
        <f>_xlfn.XLOOKUP(tblSales[[#This Row],[Customer ID]],tblCustomers[Customer ID],tblCustomers[Customer Name],"⚠ Unknown")</f>
        <v>Walk-in Customer</v>
      </c>
      <c r="F815" s="4" t="s">
        <v>11</v>
      </c>
      <c r="G815" s="1" t="str">
        <f>_xlfn.XLOOKUP(tblSales[[#This Row],[Product Code]],tblProducts[Code],tblProducts[Product / Service Name],"⚠ Unknown")</f>
        <v>Sneakers</v>
      </c>
      <c r="H815" s="1" t="str">
        <f>_xlfn.XLOOKUP(tblSales[[#This Row],[Product Code]],tblProducts[Code],tblProducts[Category],"")</f>
        <v>Apparel &amp; Footwear</v>
      </c>
      <c r="I815" s="4">
        <v>2</v>
      </c>
      <c r="J815" s="5">
        <f>_xlfn.XLOOKUP(tblSales[[#This Row],[Product Code]],tblProducts[Code],tblProducts[Selling Price (excl. VAT)],0)</f>
        <v>250000</v>
      </c>
      <c r="K815" s="5">
        <f>tblSales[[#This Row],[Qty]]*tblSales[[#This Row],[Unit Price]]</f>
        <v>500000</v>
      </c>
      <c r="L815" s="5">
        <f>ROUND(tblSales[[#This Row],[DPP (excl. VAT)]]*VATEff,0)</f>
        <v>55000</v>
      </c>
      <c r="M815" s="5">
        <f>tblSales[[#This Row],[DPP (excl. VAT)]]+tblSales[[#This Row],[Output VAT]]</f>
        <v>555000</v>
      </c>
      <c r="N815" s="5">
        <f>tblSales[[#This Row],[Qty]]*_xlfn.XLOOKUP(tblSales[[#This Row],[Product Code]],tblProducts[Code],tblProducts[Unit Cost],0)</f>
        <v>310000</v>
      </c>
      <c r="O815" s="4" t="s">
        <v>4865</v>
      </c>
      <c r="P815" s="4" t="s">
        <v>4860</v>
      </c>
      <c r="Q815" s="1" t="str">
        <f>_xlfn.XLOOKUP(tblSales[[#This Row],[Channel Code]],tblChannels[Channel Code],tblChannels[Channel Name],"")</f>
        <v>In-store</v>
      </c>
      <c r="R815" s="1">
        <f>MONTH(tblSales[[#This Row],[Date]])</f>
        <v>2</v>
      </c>
    </row>
    <row r="816" spans="2:18" x14ac:dyDescent="0.35">
      <c r="B816" s="113">
        <v>46075</v>
      </c>
      <c r="C816" s="4" t="s">
        <v>563</v>
      </c>
      <c r="D816" s="4" t="s">
        <v>4568</v>
      </c>
      <c r="E816" s="1" t="str">
        <f>_xlfn.XLOOKUP(tblSales[[#This Row],[Customer ID]],tblCustomers[Customer ID],tblCustomers[Customer Name],"⚠ Unknown")</f>
        <v>Walk-in Customer</v>
      </c>
      <c r="F816" s="4" t="s">
        <v>13</v>
      </c>
      <c r="G816" s="1" t="str">
        <f>_xlfn.XLOOKUP(tblSales[[#This Row],[Product Code]],tblProducts[Code],tblProducts[Product / Service Name],"⚠ Unknown")</f>
        <v>Backpack</v>
      </c>
      <c r="H816" s="1" t="str">
        <f>_xlfn.XLOOKUP(tblSales[[#This Row],[Product Code]],tblProducts[Code],tblProducts[Category],"")</f>
        <v>Bags &amp; Gadgets</v>
      </c>
      <c r="I816" s="4">
        <v>3</v>
      </c>
      <c r="J816" s="5">
        <f>_xlfn.XLOOKUP(tblSales[[#This Row],[Product Code]],tblProducts[Code],tblProducts[Selling Price (excl. VAT)],0)</f>
        <v>500000</v>
      </c>
      <c r="K816" s="5">
        <f>tblSales[[#This Row],[Qty]]*tblSales[[#This Row],[Unit Price]]</f>
        <v>1500000</v>
      </c>
      <c r="L816" s="5">
        <f>ROUND(tblSales[[#This Row],[DPP (excl. VAT)]]*VATEff,0)</f>
        <v>165000</v>
      </c>
      <c r="M816" s="5">
        <f>tblSales[[#This Row],[DPP (excl. VAT)]]+tblSales[[#This Row],[Output VAT]]</f>
        <v>1665000</v>
      </c>
      <c r="N816" s="5">
        <f>tblSales[[#This Row],[Qty]]*_xlfn.XLOOKUP(tblSales[[#This Row],[Product Code]],tblProducts[Code],tblProducts[Unit Cost],0)</f>
        <v>870000</v>
      </c>
      <c r="O816" s="4" t="s">
        <v>4865</v>
      </c>
      <c r="P816" s="4" t="s">
        <v>4860</v>
      </c>
      <c r="Q816" s="1" t="str">
        <f>_xlfn.XLOOKUP(tblSales[[#This Row],[Channel Code]],tblChannels[Channel Code],tblChannels[Channel Name],"")</f>
        <v>In-store</v>
      </c>
      <c r="R816" s="1">
        <f>MONTH(tblSales[[#This Row],[Date]])</f>
        <v>2</v>
      </c>
    </row>
    <row r="817" spans="2:18" x14ac:dyDescent="0.35">
      <c r="B817" s="113">
        <v>46076</v>
      </c>
      <c r="C817" s="4" t="s">
        <v>564</v>
      </c>
      <c r="D817" s="4" t="s">
        <v>4568</v>
      </c>
      <c r="E817" s="1" t="str">
        <f>_xlfn.XLOOKUP(tblSales[[#This Row],[Customer ID]],tblCustomers[Customer ID],tblCustomers[Customer Name],"⚠ Unknown")</f>
        <v>Walk-in Customer</v>
      </c>
      <c r="F817" s="4" t="s">
        <v>13</v>
      </c>
      <c r="G817" s="1" t="str">
        <f>_xlfn.XLOOKUP(tblSales[[#This Row],[Product Code]],tblProducts[Code],tblProducts[Product / Service Name],"⚠ Unknown")</f>
        <v>Backpack</v>
      </c>
      <c r="H817" s="1" t="str">
        <f>_xlfn.XLOOKUP(tblSales[[#This Row],[Product Code]],tblProducts[Code],tblProducts[Category],"")</f>
        <v>Bags &amp; Gadgets</v>
      </c>
      <c r="I817" s="4">
        <v>1</v>
      </c>
      <c r="J817" s="5">
        <f>_xlfn.XLOOKUP(tblSales[[#This Row],[Product Code]],tblProducts[Code],tblProducts[Selling Price (excl. VAT)],0)</f>
        <v>500000</v>
      </c>
      <c r="K817" s="5">
        <f>tblSales[[#This Row],[Qty]]*tblSales[[#This Row],[Unit Price]]</f>
        <v>500000</v>
      </c>
      <c r="L817" s="5">
        <f>ROUND(tblSales[[#This Row],[DPP (excl. VAT)]]*VATEff,0)</f>
        <v>55000</v>
      </c>
      <c r="M817" s="5">
        <f>tblSales[[#This Row],[DPP (excl. VAT)]]+tblSales[[#This Row],[Output VAT]]</f>
        <v>555000</v>
      </c>
      <c r="N817" s="5">
        <f>tblSales[[#This Row],[Qty]]*_xlfn.XLOOKUP(tblSales[[#This Row],[Product Code]],tblProducts[Code],tblProducts[Unit Cost],0)</f>
        <v>290000</v>
      </c>
      <c r="O817" s="4" t="s">
        <v>4865</v>
      </c>
      <c r="P817" s="4" t="s">
        <v>4860</v>
      </c>
      <c r="Q817" s="1" t="str">
        <f>_xlfn.XLOOKUP(tblSales[[#This Row],[Channel Code]],tblChannels[Channel Code],tblChannels[Channel Name],"")</f>
        <v>In-store</v>
      </c>
      <c r="R817" s="1">
        <f>MONTH(tblSales[[#This Row],[Date]])</f>
        <v>2</v>
      </c>
    </row>
    <row r="818" spans="2:18" x14ac:dyDescent="0.35">
      <c r="B818" s="113">
        <v>46076</v>
      </c>
      <c r="C818" s="4" t="s">
        <v>564</v>
      </c>
      <c r="D818" s="4" t="s">
        <v>4568</v>
      </c>
      <c r="E818" s="1" t="str">
        <f>_xlfn.XLOOKUP(tblSales[[#This Row],[Customer ID]],tblCustomers[Customer ID],tblCustomers[Customer Name],"⚠ Unknown")</f>
        <v>Walk-in Customer</v>
      </c>
      <c r="F818" s="4" t="s">
        <v>15</v>
      </c>
      <c r="G818" s="1" t="str">
        <f>_xlfn.XLOOKUP(tblSales[[#This Row],[Product Code]],tblProducts[Code],tblProducts[Product / Service Name],"⚠ Unknown")</f>
        <v>Wireless Earbuds Pro</v>
      </c>
      <c r="H818" s="1" t="str">
        <f>_xlfn.XLOOKUP(tblSales[[#This Row],[Product Code]],tblProducts[Code],tblProducts[Category],"")</f>
        <v>Bags &amp; Gadgets</v>
      </c>
      <c r="I818" s="4">
        <v>1</v>
      </c>
      <c r="J818" s="5">
        <f>_xlfn.XLOOKUP(tblSales[[#This Row],[Product Code]],tblProducts[Code],tblProducts[Selling Price (excl. VAT)],0)</f>
        <v>1250000</v>
      </c>
      <c r="K818" s="5">
        <f>tblSales[[#This Row],[Qty]]*tblSales[[#This Row],[Unit Price]]</f>
        <v>1250000</v>
      </c>
      <c r="L818" s="5">
        <f>ROUND(tblSales[[#This Row],[DPP (excl. VAT)]]*VATEff,0)</f>
        <v>137500</v>
      </c>
      <c r="M818" s="5">
        <f>tblSales[[#This Row],[DPP (excl. VAT)]]+tblSales[[#This Row],[Output VAT]]</f>
        <v>1387500</v>
      </c>
      <c r="N818" s="5">
        <f>tblSales[[#This Row],[Qty]]*_xlfn.XLOOKUP(tblSales[[#This Row],[Product Code]],tblProducts[Code],tblProducts[Unit Cost],0)</f>
        <v>820000</v>
      </c>
      <c r="O818" s="4" t="s">
        <v>4865</v>
      </c>
      <c r="P818" s="4" t="s">
        <v>4860</v>
      </c>
      <c r="Q818" s="1" t="str">
        <f>_xlfn.XLOOKUP(tblSales[[#This Row],[Channel Code]],tblChannels[Channel Code],tblChannels[Channel Name],"")</f>
        <v>In-store</v>
      </c>
      <c r="R818" s="1">
        <f>MONTH(tblSales[[#This Row],[Date]])</f>
        <v>2</v>
      </c>
    </row>
    <row r="819" spans="2:18" x14ac:dyDescent="0.35">
      <c r="B819" s="113">
        <v>46076</v>
      </c>
      <c r="C819" s="4" t="s">
        <v>565</v>
      </c>
      <c r="D819" s="4" t="s">
        <v>4568</v>
      </c>
      <c r="E819" s="1" t="str">
        <f>_xlfn.XLOOKUP(tblSales[[#This Row],[Customer ID]],tblCustomers[Customer ID],tblCustomers[Customer Name],"⚠ Unknown")</f>
        <v>Walk-in Customer</v>
      </c>
      <c r="F819" s="4" t="s">
        <v>15</v>
      </c>
      <c r="G819" s="1" t="str">
        <f>_xlfn.XLOOKUP(tblSales[[#This Row],[Product Code]],tblProducts[Code],tblProducts[Product / Service Name],"⚠ Unknown")</f>
        <v>Wireless Earbuds Pro</v>
      </c>
      <c r="H819" s="1" t="str">
        <f>_xlfn.XLOOKUP(tblSales[[#This Row],[Product Code]],tblProducts[Code],tblProducts[Category],"")</f>
        <v>Bags &amp; Gadgets</v>
      </c>
      <c r="I819" s="4">
        <v>3</v>
      </c>
      <c r="J819" s="5">
        <f>_xlfn.XLOOKUP(tblSales[[#This Row],[Product Code]],tblProducts[Code],tblProducts[Selling Price (excl. VAT)],0)</f>
        <v>1250000</v>
      </c>
      <c r="K819" s="5">
        <f>tblSales[[#This Row],[Qty]]*tblSales[[#This Row],[Unit Price]]</f>
        <v>3750000</v>
      </c>
      <c r="L819" s="5">
        <f>ROUND(tblSales[[#This Row],[DPP (excl. VAT)]]*VATEff,0)</f>
        <v>412500</v>
      </c>
      <c r="M819" s="5">
        <f>tblSales[[#This Row],[DPP (excl. VAT)]]+tblSales[[#This Row],[Output VAT]]</f>
        <v>4162500</v>
      </c>
      <c r="N819" s="5">
        <f>tblSales[[#This Row],[Qty]]*_xlfn.XLOOKUP(tblSales[[#This Row],[Product Code]],tblProducts[Code],tblProducts[Unit Cost],0)</f>
        <v>2460000</v>
      </c>
      <c r="O819" s="4" t="s">
        <v>4865</v>
      </c>
      <c r="P819" s="4" t="s">
        <v>4860</v>
      </c>
      <c r="Q819" s="1" t="str">
        <f>_xlfn.XLOOKUP(tblSales[[#This Row],[Channel Code]],tblChannels[Channel Code],tblChannels[Channel Name],"")</f>
        <v>In-store</v>
      </c>
      <c r="R819" s="1">
        <f>MONTH(tblSales[[#This Row],[Date]])</f>
        <v>2</v>
      </c>
    </row>
    <row r="820" spans="2:18" x14ac:dyDescent="0.35">
      <c r="B820" s="113">
        <v>46076</v>
      </c>
      <c r="C820" s="4" t="s">
        <v>566</v>
      </c>
      <c r="D820" s="4" t="s">
        <v>4627</v>
      </c>
      <c r="E820" s="1" t="str">
        <f>_xlfn.XLOOKUP(tblSales[[#This Row],[Customer ID]],tblCustomers[Customer ID],tblCustomers[Customer Name],"⚠ Unknown")</f>
        <v>PT Kencana Wira Usaha</v>
      </c>
      <c r="F820" s="4" t="s">
        <v>6</v>
      </c>
      <c r="G820" s="1" t="str">
        <f>_xlfn.XLOOKUP(tblSales[[#This Row],[Product Code]],tblProducts[Code],tblProducts[Product / Service Name],"⚠ Unknown")</f>
        <v>Socks &amp; Accessories</v>
      </c>
      <c r="H820" s="1" t="str">
        <f>_xlfn.XLOOKUP(tblSales[[#This Row],[Product Code]],tblProducts[Code],tblProducts[Category],"")</f>
        <v>Accessories &amp; Basics</v>
      </c>
      <c r="I820" s="4">
        <v>40</v>
      </c>
      <c r="J820" s="5">
        <f>_xlfn.XLOOKUP(tblSales[[#This Row],[Product Code]],tblProducts[Code],tblProducts[Selling Price (excl. VAT)],0)</f>
        <v>45000</v>
      </c>
      <c r="K820" s="5">
        <f>tblSales[[#This Row],[Qty]]*tblSales[[#This Row],[Unit Price]]</f>
        <v>1800000</v>
      </c>
      <c r="L820" s="5">
        <f>ROUND(tblSales[[#This Row],[DPP (excl. VAT)]]*VATEff,0)</f>
        <v>198000</v>
      </c>
      <c r="M820" s="5">
        <f>tblSales[[#This Row],[DPP (excl. VAT)]]+tblSales[[#This Row],[Output VAT]]</f>
        <v>1998000</v>
      </c>
      <c r="N820" s="5">
        <f>tblSales[[#This Row],[Qty]]*_xlfn.XLOOKUP(tblSales[[#This Row],[Product Code]],tblProducts[Code],tblProducts[Unit Cost],0)</f>
        <v>960000</v>
      </c>
      <c r="O820" s="4" t="s">
        <v>4867</v>
      </c>
      <c r="P820" s="4" t="s">
        <v>4862</v>
      </c>
      <c r="Q820" s="1" t="str">
        <f>_xlfn.XLOOKUP(tblSales[[#This Row],[Channel Code]],tblChannels[Channel Code],tblChannels[Channel Name],"")</f>
        <v>Website &amp; Social Media</v>
      </c>
      <c r="R820" s="1">
        <f>MONTH(tblSales[[#This Row],[Date]])</f>
        <v>2</v>
      </c>
    </row>
    <row r="821" spans="2:18" x14ac:dyDescent="0.35">
      <c r="B821" s="113">
        <v>46076</v>
      </c>
      <c r="C821" s="4" t="s">
        <v>567</v>
      </c>
      <c r="D821" s="4" t="s">
        <v>4568</v>
      </c>
      <c r="E821" s="1" t="str">
        <f>_xlfn.XLOOKUP(tblSales[[#This Row],[Customer ID]],tblCustomers[Customer ID],tblCustomers[Customer Name],"⚠ Unknown")</f>
        <v>Walk-in Customer</v>
      </c>
      <c r="F821" s="4" t="s">
        <v>6</v>
      </c>
      <c r="G821" s="1" t="str">
        <f>_xlfn.XLOOKUP(tblSales[[#This Row],[Product Code]],tblProducts[Code],tblProducts[Product / Service Name],"⚠ Unknown")</f>
        <v>Socks &amp; Accessories</v>
      </c>
      <c r="H821" s="1" t="str">
        <f>_xlfn.XLOOKUP(tblSales[[#This Row],[Product Code]],tblProducts[Code],tblProducts[Category],"")</f>
        <v>Accessories &amp; Basics</v>
      </c>
      <c r="I821" s="4">
        <v>9</v>
      </c>
      <c r="J821" s="5">
        <f>_xlfn.XLOOKUP(tblSales[[#This Row],[Product Code]],tblProducts[Code],tblProducts[Selling Price (excl. VAT)],0)</f>
        <v>45000</v>
      </c>
      <c r="K821" s="5">
        <f>tblSales[[#This Row],[Qty]]*tblSales[[#This Row],[Unit Price]]</f>
        <v>405000</v>
      </c>
      <c r="L821" s="5">
        <f>ROUND(tblSales[[#This Row],[DPP (excl. VAT)]]*VATEff,0)</f>
        <v>44550</v>
      </c>
      <c r="M821" s="5">
        <f>tblSales[[#This Row],[DPP (excl. VAT)]]+tblSales[[#This Row],[Output VAT]]</f>
        <v>449550</v>
      </c>
      <c r="N821" s="5">
        <f>tblSales[[#This Row],[Qty]]*_xlfn.XLOOKUP(tblSales[[#This Row],[Product Code]],tblProducts[Code],tblProducts[Unit Cost],0)</f>
        <v>216000</v>
      </c>
      <c r="O821" s="4" t="s">
        <v>4865</v>
      </c>
      <c r="P821" s="4" t="s">
        <v>4860</v>
      </c>
      <c r="Q821" s="1" t="str">
        <f>_xlfn.XLOOKUP(tblSales[[#This Row],[Channel Code]],tblChannels[Channel Code],tblChannels[Channel Name],"")</f>
        <v>In-store</v>
      </c>
      <c r="R821" s="1">
        <f>MONTH(tblSales[[#This Row],[Date]])</f>
        <v>2</v>
      </c>
    </row>
    <row r="822" spans="2:18" x14ac:dyDescent="0.35">
      <c r="B822" s="113">
        <v>46076</v>
      </c>
      <c r="C822" s="4" t="s">
        <v>568</v>
      </c>
      <c r="D822" s="4" t="s">
        <v>4568</v>
      </c>
      <c r="E822" s="1" t="str">
        <f>_xlfn.XLOOKUP(tblSales[[#This Row],[Customer ID]],tblCustomers[Customer ID],tblCustomers[Customer Name],"⚠ Unknown")</f>
        <v>Walk-in Customer</v>
      </c>
      <c r="F822" s="4" t="s">
        <v>7</v>
      </c>
      <c r="G822" s="1" t="str">
        <f>_xlfn.XLOOKUP(tblSales[[#This Row],[Product Code]],tblProducts[Code],tblProducts[Product / Service Name],"⚠ Unknown")</f>
        <v>Premium Basic T-shirt</v>
      </c>
      <c r="H822" s="1" t="str">
        <f>_xlfn.XLOOKUP(tblSales[[#This Row],[Product Code]],tblProducts[Code],tblProducts[Category],"")</f>
        <v>Accessories &amp; Basics</v>
      </c>
      <c r="I822" s="4">
        <v>3</v>
      </c>
      <c r="J822" s="5">
        <f>_xlfn.XLOOKUP(tblSales[[#This Row],[Product Code]],tblProducts[Code],tblProducts[Selling Price (excl. VAT)],0)</f>
        <v>65000</v>
      </c>
      <c r="K822" s="5">
        <f>tblSales[[#This Row],[Qty]]*tblSales[[#This Row],[Unit Price]]</f>
        <v>195000</v>
      </c>
      <c r="L822" s="5">
        <f>ROUND(tblSales[[#This Row],[DPP (excl. VAT)]]*VATEff,0)</f>
        <v>21450</v>
      </c>
      <c r="M822" s="5">
        <f>tblSales[[#This Row],[DPP (excl. VAT)]]+tblSales[[#This Row],[Output VAT]]</f>
        <v>216450</v>
      </c>
      <c r="N822" s="5">
        <f>tblSales[[#This Row],[Qty]]*_xlfn.XLOOKUP(tblSales[[#This Row],[Product Code]],tblProducts[Code],tblProducts[Unit Cost],0)</f>
        <v>111000</v>
      </c>
      <c r="O822" s="4" t="s">
        <v>4866</v>
      </c>
      <c r="P822" s="4" t="s">
        <v>4861</v>
      </c>
      <c r="Q822" s="1" t="str">
        <f>_xlfn.XLOOKUP(tblSales[[#This Row],[Channel Code]],tblChannels[Channel Code],tblChannels[Channel Name],"")</f>
        <v>Marketplace</v>
      </c>
      <c r="R822" s="1">
        <f>MONTH(tblSales[[#This Row],[Date]])</f>
        <v>2</v>
      </c>
    </row>
    <row r="823" spans="2:18" x14ac:dyDescent="0.35">
      <c r="B823" s="113">
        <v>46076</v>
      </c>
      <c r="C823" s="4" t="s">
        <v>569</v>
      </c>
      <c r="D823" s="4" t="s">
        <v>4578</v>
      </c>
      <c r="E823" s="1" t="str">
        <f>_xlfn.XLOOKUP(tblSales[[#This Row],[Customer ID]],tblCustomers[Customer ID],tblCustomers[Customer Name],"⚠ Unknown")</f>
        <v>PT Bintang Timur Sejahtera</v>
      </c>
      <c r="F823" s="4" t="s">
        <v>9</v>
      </c>
      <c r="G823" s="1" t="str">
        <f>_xlfn.XLOOKUP(tblSales[[#This Row],[Product Code]],tblProducts[Code],tblProducts[Product / Service Name],"⚠ Unknown")</f>
        <v>Casual Shirt</v>
      </c>
      <c r="H823" s="1" t="str">
        <f>_xlfn.XLOOKUP(tblSales[[#This Row],[Product Code]],tblProducts[Code],tblProducts[Category],"")</f>
        <v>Apparel &amp; Footwear</v>
      </c>
      <c r="I823" s="4">
        <v>16</v>
      </c>
      <c r="J823" s="5">
        <f>_xlfn.XLOOKUP(tblSales[[#This Row],[Product Code]],tblProducts[Code],tblProducts[Selling Price (excl. VAT)],0)</f>
        <v>120000</v>
      </c>
      <c r="K823" s="5">
        <f>tblSales[[#This Row],[Qty]]*tblSales[[#This Row],[Unit Price]]</f>
        <v>1920000</v>
      </c>
      <c r="L823" s="5">
        <f>ROUND(tblSales[[#This Row],[DPP (excl. VAT)]]*VATEff,0)</f>
        <v>211200</v>
      </c>
      <c r="M823" s="5">
        <f>tblSales[[#This Row],[DPP (excl. VAT)]]+tblSales[[#This Row],[Output VAT]]</f>
        <v>2131200</v>
      </c>
      <c r="N823" s="5">
        <f>tblSales[[#This Row],[Qty]]*_xlfn.XLOOKUP(tblSales[[#This Row],[Product Code]],tblProducts[Code],tblProducts[Unit Cost],0)</f>
        <v>1152000</v>
      </c>
      <c r="O823" s="4" t="s">
        <v>4867</v>
      </c>
      <c r="P823" s="4" t="s">
        <v>4860</v>
      </c>
      <c r="Q823" s="1" t="str">
        <f>_xlfn.XLOOKUP(tblSales[[#This Row],[Channel Code]],tblChannels[Channel Code],tblChannels[Channel Name],"")</f>
        <v>In-store</v>
      </c>
      <c r="R823" s="1">
        <f>MONTH(tblSales[[#This Row],[Date]])</f>
        <v>2</v>
      </c>
    </row>
    <row r="824" spans="2:18" x14ac:dyDescent="0.35">
      <c r="B824" s="113">
        <v>46076</v>
      </c>
      <c r="C824" s="4" t="s">
        <v>570</v>
      </c>
      <c r="D824" s="4" t="s">
        <v>4568</v>
      </c>
      <c r="E824" s="1" t="str">
        <f>_xlfn.XLOOKUP(tblSales[[#This Row],[Customer ID]],tblCustomers[Customer ID],tblCustomers[Customer Name],"⚠ Unknown")</f>
        <v>Walk-in Customer</v>
      </c>
      <c r="F824" s="4" t="s">
        <v>11</v>
      </c>
      <c r="G824" s="1" t="str">
        <f>_xlfn.XLOOKUP(tblSales[[#This Row],[Product Code]],tblProducts[Code],tblProducts[Product / Service Name],"⚠ Unknown")</f>
        <v>Sneakers</v>
      </c>
      <c r="H824" s="1" t="str">
        <f>_xlfn.XLOOKUP(tblSales[[#This Row],[Product Code]],tblProducts[Code],tblProducts[Category],"")</f>
        <v>Apparel &amp; Footwear</v>
      </c>
      <c r="I824" s="4">
        <v>1</v>
      </c>
      <c r="J824" s="5">
        <f>_xlfn.XLOOKUP(tblSales[[#This Row],[Product Code]],tblProducts[Code],tblProducts[Selling Price (excl. VAT)],0)</f>
        <v>250000</v>
      </c>
      <c r="K824" s="5">
        <f>tblSales[[#This Row],[Qty]]*tblSales[[#This Row],[Unit Price]]</f>
        <v>250000</v>
      </c>
      <c r="L824" s="5">
        <f>ROUND(tblSales[[#This Row],[DPP (excl. VAT)]]*VATEff,0)</f>
        <v>27500</v>
      </c>
      <c r="M824" s="5">
        <f>tblSales[[#This Row],[DPP (excl. VAT)]]+tblSales[[#This Row],[Output VAT]]</f>
        <v>277500</v>
      </c>
      <c r="N824" s="5">
        <f>tblSales[[#This Row],[Qty]]*_xlfn.XLOOKUP(tblSales[[#This Row],[Product Code]],tblProducts[Code],tblProducts[Unit Cost],0)</f>
        <v>155000</v>
      </c>
      <c r="O824" s="4" t="s">
        <v>4865</v>
      </c>
      <c r="P824" s="4" t="s">
        <v>4860</v>
      </c>
      <c r="Q824" s="1" t="str">
        <f>_xlfn.XLOOKUP(tblSales[[#This Row],[Channel Code]],tblChannels[Channel Code],tblChannels[Channel Name],"")</f>
        <v>In-store</v>
      </c>
      <c r="R824" s="1">
        <f>MONTH(tblSales[[#This Row],[Date]])</f>
        <v>2</v>
      </c>
    </row>
    <row r="825" spans="2:18" x14ac:dyDescent="0.35">
      <c r="B825" s="113">
        <v>46076</v>
      </c>
      <c r="C825" s="4" t="s">
        <v>571</v>
      </c>
      <c r="D825" s="4" t="s">
        <v>4568</v>
      </c>
      <c r="E825" s="1" t="str">
        <f>_xlfn.XLOOKUP(tblSales[[#This Row],[Customer ID]],tblCustomers[Customer ID],tblCustomers[Customer Name],"⚠ Unknown")</f>
        <v>Walk-in Customer</v>
      </c>
      <c r="F825" s="4" t="s">
        <v>7</v>
      </c>
      <c r="G825" s="1" t="str">
        <f>_xlfn.XLOOKUP(tblSales[[#This Row],[Product Code]],tblProducts[Code],tblProducts[Product / Service Name],"⚠ Unknown")</f>
        <v>Premium Basic T-shirt</v>
      </c>
      <c r="H825" s="1" t="str">
        <f>_xlfn.XLOOKUP(tblSales[[#This Row],[Product Code]],tblProducts[Code],tblProducts[Category],"")</f>
        <v>Accessories &amp; Basics</v>
      </c>
      <c r="I825" s="4">
        <v>8</v>
      </c>
      <c r="J825" s="5">
        <f>_xlfn.XLOOKUP(tblSales[[#This Row],[Product Code]],tblProducts[Code],tblProducts[Selling Price (excl. VAT)],0)</f>
        <v>65000</v>
      </c>
      <c r="K825" s="5">
        <f>tblSales[[#This Row],[Qty]]*tblSales[[#This Row],[Unit Price]]</f>
        <v>520000</v>
      </c>
      <c r="L825" s="5">
        <f>ROUND(tblSales[[#This Row],[DPP (excl. VAT)]]*VATEff,0)</f>
        <v>57200</v>
      </c>
      <c r="M825" s="5">
        <f>tblSales[[#This Row],[DPP (excl. VAT)]]+tblSales[[#This Row],[Output VAT]]</f>
        <v>577200</v>
      </c>
      <c r="N825" s="5">
        <f>tblSales[[#This Row],[Qty]]*_xlfn.XLOOKUP(tblSales[[#This Row],[Product Code]],tblProducts[Code],tblProducts[Unit Cost],0)</f>
        <v>296000</v>
      </c>
      <c r="O825" s="4" t="s">
        <v>4866</v>
      </c>
      <c r="P825" s="4" t="s">
        <v>4860</v>
      </c>
      <c r="Q825" s="1" t="str">
        <f>_xlfn.XLOOKUP(tblSales[[#This Row],[Channel Code]],tblChannels[Channel Code],tblChannels[Channel Name],"")</f>
        <v>In-store</v>
      </c>
      <c r="R825" s="1">
        <f>MONTH(tblSales[[#This Row],[Date]])</f>
        <v>2</v>
      </c>
    </row>
    <row r="826" spans="2:18" x14ac:dyDescent="0.35">
      <c r="B826" s="113">
        <v>46076</v>
      </c>
      <c r="C826" s="4" t="s">
        <v>572</v>
      </c>
      <c r="D826" s="4" t="s">
        <v>4578</v>
      </c>
      <c r="E826" s="1" t="str">
        <f>_xlfn.XLOOKUP(tblSales[[#This Row],[Customer ID]],tblCustomers[Customer ID],tblCustomers[Customer Name],"⚠ Unknown")</f>
        <v>PT Bintang Timur Sejahtera</v>
      </c>
      <c r="F826" s="4" t="s">
        <v>9</v>
      </c>
      <c r="G826" s="1" t="str">
        <f>_xlfn.XLOOKUP(tblSales[[#This Row],[Product Code]],tblProducts[Code],tblProducts[Product / Service Name],"⚠ Unknown")</f>
        <v>Casual Shirt</v>
      </c>
      <c r="H826" s="1" t="str">
        <f>_xlfn.XLOOKUP(tblSales[[#This Row],[Product Code]],tblProducts[Code],tblProducts[Category],"")</f>
        <v>Apparel &amp; Footwear</v>
      </c>
      <c r="I826" s="4">
        <v>24</v>
      </c>
      <c r="J826" s="5">
        <f>_xlfn.XLOOKUP(tblSales[[#This Row],[Product Code]],tblProducts[Code],tblProducts[Selling Price (excl. VAT)],0)</f>
        <v>120000</v>
      </c>
      <c r="K826" s="5">
        <f>tblSales[[#This Row],[Qty]]*tblSales[[#This Row],[Unit Price]]</f>
        <v>2880000</v>
      </c>
      <c r="L826" s="5">
        <f>ROUND(tblSales[[#This Row],[DPP (excl. VAT)]]*VATEff,0)</f>
        <v>316800</v>
      </c>
      <c r="M826" s="5">
        <f>tblSales[[#This Row],[DPP (excl. VAT)]]+tblSales[[#This Row],[Output VAT]]</f>
        <v>3196800</v>
      </c>
      <c r="N826" s="5">
        <f>tblSales[[#This Row],[Qty]]*_xlfn.XLOOKUP(tblSales[[#This Row],[Product Code]],tblProducts[Code],tblProducts[Unit Cost],0)</f>
        <v>1728000</v>
      </c>
      <c r="O826" s="4" t="s">
        <v>4867</v>
      </c>
      <c r="P826" s="4" t="s">
        <v>4860</v>
      </c>
      <c r="Q826" s="1" t="str">
        <f>_xlfn.XLOOKUP(tblSales[[#This Row],[Channel Code]],tblChannels[Channel Code],tblChannels[Channel Name],"")</f>
        <v>In-store</v>
      </c>
      <c r="R826" s="1">
        <f>MONTH(tblSales[[#This Row],[Date]])</f>
        <v>2</v>
      </c>
    </row>
    <row r="827" spans="2:18" x14ac:dyDescent="0.35">
      <c r="B827" s="113">
        <v>46076</v>
      </c>
      <c r="C827" s="4" t="s">
        <v>573</v>
      </c>
      <c r="D827" s="4" t="s">
        <v>4578</v>
      </c>
      <c r="E827" s="1" t="str">
        <f>_xlfn.XLOOKUP(tblSales[[#This Row],[Customer ID]],tblCustomers[Customer ID],tblCustomers[Customer Name],"⚠ Unknown")</f>
        <v>PT Bintang Timur Sejahtera</v>
      </c>
      <c r="F827" s="4" t="s">
        <v>9</v>
      </c>
      <c r="G827" s="1" t="str">
        <f>_xlfn.XLOOKUP(tblSales[[#This Row],[Product Code]],tblProducts[Code],tblProducts[Product / Service Name],"⚠ Unknown")</f>
        <v>Casual Shirt</v>
      </c>
      <c r="H827" s="1" t="str">
        <f>_xlfn.XLOOKUP(tblSales[[#This Row],[Product Code]],tblProducts[Code],tblProducts[Category],"")</f>
        <v>Apparel &amp; Footwear</v>
      </c>
      <c r="I827" s="4">
        <v>64</v>
      </c>
      <c r="J827" s="5">
        <f>_xlfn.XLOOKUP(tblSales[[#This Row],[Product Code]],tblProducts[Code],tblProducts[Selling Price (excl. VAT)],0)</f>
        <v>120000</v>
      </c>
      <c r="K827" s="5">
        <f>tblSales[[#This Row],[Qty]]*tblSales[[#This Row],[Unit Price]]</f>
        <v>7680000</v>
      </c>
      <c r="L827" s="5">
        <f>ROUND(tblSales[[#This Row],[DPP (excl. VAT)]]*VATEff,0)</f>
        <v>844800</v>
      </c>
      <c r="M827" s="5">
        <f>tblSales[[#This Row],[DPP (excl. VAT)]]+tblSales[[#This Row],[Output VAT]]</f>
        <v>8524800</v>
      </c>
      <c r="N827" s="5">
        <f>tblSales[[#This Row],[Qty]]*_xlfn.XLOOKUP(tblSales[[#This Row],[Product Code]],tblProducts[Code],tblProducts[Unit Cost],0)</f>
        <v>4608000</v>
      </c>
      <c r="O827" s="4" t="s">
        <v>4867</v>
      </c>
      <c r="P827" s="4" t="s">
        <v>4860</v>
      </c>
      <c r="Q827" s="1" t="str">
        <f>_xlfn.XLOOKUP(tblSales[[#This Row],[Channel Code]],tblChannels[Channel Code],tblChannels[Channel Name],"")</f>
        <v>In-store</v>
      </c>
      <c r="R827" s="1">
        <f>MONTH(tblSales[[#This Row],[Date]])</f>
        <v>2</v>
      </c>
    </row>
    <row r="828" spans="2:18" x14ac:dyDescent="0.35">
      <c r="B828" s="113">
        <v>46076</v>
      </c>
      <c r="C828" s="4" t="s">
        <v>574</v>
      </c>
      <c r="D828" s="4" t="s">
        <v>4568</v>
      </c>
      <c r="E828" s="1" t="str">
        <f>_xlfn.XLOOKUP(tblSales[[#This Row],[Customer ID]],tblCustomers[Customer ID],tblCustomers[Customer Name],"⚠ Unknown")</f>
        <v>Walk-in Customer</v>
      </c>
      <c r="F828" s="4" t="s">
        <v>14</v>
      </c>
      <c r="G828" s="1" t="str">
        <f>_xlfn.XLOOKUP(tblSales[[#This Row],[Product Code]],tblProducts[Code],tblProducts[Product / Service Name],"⚠ Unknown")</f>
        <v>Smartwatch</v>
      </c>
      <c r="H828" s="1" t="str">
        <f>_xlfn.XLOOKUP(tblSales[[#This Row],[Product Code]],tblProducts[Code],tblProducts[Category],"")</f>
        <v>Bags &amp; Gadgets</v>
      </c>
      <c r="I828" s="4">
        <v>2</v>
      </c>
      <c r="J828" s="5">
        <f>_xlfn.XLOOKUP(tblSales[[#This Row],[Product Code]],tblProducts[Code],tblProducts[Selling Price (excl. VAT)],0)</f>
        <v>850000</v>
      </c>
      <c r="K828" s="5">
        <f>tblSales[[#This Row],[Qty]]*tblSales[[#This Row],[Unit Price]]</f>
        <v>1700000</v>
      </c>
      <c r="L828" s="5">
        <f>ROUND(tblSales[[#This Row],[DPP (excl. VAT)]]*VATEff,0)</f>
        <v>187000</v>
      </c>
      <c r="M828" s="5">
        <f>tblSales[[#This Row],[DPP (excl. VAT)]]+tblSales[[#This Row],[Output VAT]]</f>
        <v>1887000</v>
      </c>
      <c r="N828" s="5">
        <f>tblSales[[#This Row],[Qty]]*_xlfn.XLOOKUP(tblSales[[#This Row],[Product Code]],tblProducts[Code],tblProducts[Unit Cost],0)</f>
        <v>1120000</v>
      </c>
      <c r="O828" s="4" t="s">
        <v>4866</v>
      </c>
      <c r="P828" s="4" t="s">
        <v>4862</v>
      </c>
      <c r="Q828" s="1" t="str">
        <f>_xlfn.XLOOKUP(tblSales[[#This Row],[Channel Code]],tblChannels[Channel Code],tblChannels[Channel Name],"")</f>
        <v>Website &amp; Social Media</v>
      </c>
      <c r="R828" s="1">
        <f>MONTH(tblSales[[#This Row],[Date]])</f>
        <v>2</v>
      </c>
    </row>
    <row r="829" spans="2:18" x14ac:dyDescent="0.35">
      <c r="B829" s="113">
        <v>46077</v>
      </c>
      <c r="C829" s="4" t="s">
        <v>575</v>
      </c>
      <c r="D829" s="4" t="s">
        <v>4627</v>
      </c>
      <c r="E829" s="1" t="str">
        <f>_xlfn.XLOOKUP(tblSales[[#This Row],[Customer ID]],tblCustomers[Customer ID],tblCustomers[Customer Name],"⚠ Unknown")</f>
        <v>PT Kencana Wira Usaha</v>
      </c>
      <c r="F829" s="4" t="s">
        <v>10</v>
      </c>
      <c r="G829" s="1" t="str">
        <f>_xlfn.XLOOKUP(tblSales[[#This Row],[Product Code]],tblProducts[Code],tblProducts[Product / Service Name],"⚠ Unknown")</f>
        <v>Chino Pants</v>
      </c>
      <c r="H829" s="1" t="str">
        <f>_xlfn.XLOOKUP(tblSales[[#This Row],[Product Code]],tblProducts[Code],tblProducts[Category],"")</f>
        <v>Apparel &amp; Footwear</v>
      </c>
      <c r="I829" s="4">
        <v>96</v>
      </c>
      <c r="J829" s="5">
        <f>_xlfn.XLOOKUP(tblSales[[#This Row],[Product Code]],tblProducts[Code],tblProducts[Selling Price (excl. VAT)],0)</f>
        <v>150000</v>
      </c>
      <c r="K829" s="5">
        <f>tblSales[[#This Row],[Qty]]*tblSales[[#This Row],[Unit Price]]</f>
        <v>14400000</v>
      </c>
      <c r="L829" s="5">
        <f>ROUND(tblSales[[#This Row],[DPP (excl. VAT)]]*VATEff,0)</f>
        <v>1584000</v>
      </c>
      <c r="M829" s="5">
        <f>tblSales[[#This Row],[DPP (excl. VAT)]]+tblSales[[#This Row],[Output VAT]]</f>
        <v>15984000</v>
      </c>
      <c r="N829" s="5">
        <f>tblSales[[#This Row],[Qty]]*_xlfn.XLOOKUP(tblSales[[#This Row],[Product Code]],tblProducts[Code],tblProducts[Unit Cost],0)</f>
        <v>8448000</v>
      </c>
      <c r="O829" s="4" t="s">
        <v>4867</v>
      </c>
      <c r="P829" s="4" t="s">
        <v>4860</v>
      </c>
      <c r="Q829" s="1" t="str">
        <f>_xlfn.XLOOKUP(tblSales[[#This Row],[Channel Code]],tblChannels[Channel Code],tblChannels[Channel Name],"")</f>
        <v>In-store</v>
      </c>
      <c r="R829" s="1">
        <f>MONTH(tblSales[[#This Row],[Date]])</f>
        <v>2</v>
      </c>
    </row>
    <row r="830" spans="2:18" x14ac:dyDescent="0.35">
      <c r="B830" s="113">
        <v>46077</v>
      </c>
      <c r="C830" s="4" t="s">
        <v>575</v>
      </c>
      <c r="D830" s="4" t="s">
        <v>4627</v>
      </c>
      <c r="E830" s="1" t="str">
        <f>_xlfn.XLOOKUP(tblSales[[#This Row],[Customer ID]],tblCustomers[Customer ID],tblCustomers[Customer Name],"⚠ Unknown")</f>
        <v>PT Kencana Wira Usaha</v>
      </c>
      <c r="F830" s="4" t="s">
        <v>6</v>
      </c>
      <c r="G830" s="1" t="str">
        <f>_xlfn.XLOOKUP(tblSales[[#This Row],[Product Code]],tblProducts[Code],tblProducts[Product / Service Name],"⚠ Unknown")</f>
        <v>Socks &amp; Accessories</v>
      </c>
      <c r="H830" s="1" t="str">
        <f>_xlfn.XLOOKUP(tblSales[[#This Row],[Product Code]],tblProducts[Code],tblProducts[Category],"")</f>
        <v>Accessories &amp; Basics</v>
      </c>
      <c r="I830" s="4">
        <v>32</v>
      </c>
      <c r="J830" s="5">
        <f>_xlfn.XLOOKUP(tblSales[[#This Row],[Product Code]],tblProducts[Code],tblProducts[Selling Price (excl. VAT)],0)</f>
        <v>45000</v>
      </c>
      <c r="K830" s="5">
        <f>tblSales[[#This Row],[Qty]]*tblSales[[#This Row],[Unit Price]]</f>
        <v>1440000</v>
      </c>
      <c r="L830" s="5">
        <f>ROUND(tblSales[[#This Row],[DPP (excl. VAT)]]*VATEff,0)</f>
        <v>158400</v>
      </c>
      <c r="M830" s="5">
        <f>tblSales[[#This Row],[DPP (excl. VAT)]]+tblSales[[#This Row],[Output VAT]]</f>
        <v>1598400</v>
      </c>
      <c r="N830" s="5">
        <f>tblSales[[#This Row],[Qty]]*_xlfn.XLOOKUP(tblSales[[#This Row],[Product Code]],tblProducts[Code],tblProducts[Unit Cost],0)</f>
        <v>768000</v>
      </c>
      <c r="O830" s="4" t="s">
        <v>4867</v>
      </c>
      <c r="P830" s="4" t="s">
        <v>4860</v>
      </c>
      <c r="Q830" s="1" t="str">
        <f>_xlfn.XLOOKUP(tblSales[[#This Row],[Channel Code]],tblChannels[Channel Code],tblChannels[Channel Name],"")</f>
        <v>In-store</v>
      </c>
      <c r="R830" s="1">
        <f>MONTH(tblSales[[#This Row],[Date]])</f>
        <v>2</v>
      </c>
    </row>
    <row r="831" spans="2:18" x14ac:dyDescent="0.35">
      <c r="B831" s="113">
        <v>46077</v>
      </c>
      <c r="C831" s="4" t="s">
        <v>576</v>
      </c>
      <c r="D831" s="4" t="s">
        <v>4568</v>
      </c>
      <c r="E831" s="1" t="str">
        <f>_xlfn.XLOOKUP(tblSales[[#This Row],[Customer ID]],tblCustomers[Customer ID],tblCustomers[Customer Name],"⚠ Unknown")</f>
        <v>Walk-in Customer</v>
      </c>
      <c r="F831" s="4" t="s">
        <v>7</v>
      </c>
      <c r="G831" s="1" t="str">
        <f>_xlfn.XLOOKUP(tblSales[[#This Row],[Product Code]],tblProducts[Code],tblProducts[Product / Service Name],"⚠ Unknown")</f>
        <v>Premium Basic T-shirt</v>
      </c>
      <c r="H831" s="1" t="str">
        <f>_xlfn.XLOOKUP(tblSales[[#This Row],[Product Code]],tblProducts[Code],tblProducts[Category],"")</f>
        <v>Accessories &amp; Basics</v>
      </c>
      <c r="I831" s="4">
        <v>10</v>
      </c>
      <c r="J831" s="5">
        <f>_xlfn.XLOOKUP(tblSales[[#This Row],[Product Code]],tblProducts[Code],tblProducts[Selling Price (excl. VAT)],0)</f>
        <v>65000</v>
      </c>
      <c r="K831" s="5">
        <f>tblSales[[#This Row],[Qty]]*tblSales[[#This Row],[Unit Price]]</f>
        <v>650000</v>
      </c>
      <c r="L831" s="5">
        <f>ROUND(tblSales[[#This Row],[DPP (excl. VAT)]]*VATEff,0)</f>
        <v>71500</v>
      </c>
      <c r="M831" s="5">
        <f>tblSales[[#This Row],[DPP (excl. VAT)]]+tblSales[[#This Row],[Output VAT]]</f>
        <v>721500</v>
      </c>
      <c r="N831" s="5">
        <f>tblSales[[#This Row],[Qty]]*_xlfn.XLOOKUP(tblSales[[#This Row],[Product Code]],tblProducts[Code],tblProducts[Unit Cost],0)</f>
        <v>370000</v>
      </c>
      <c r="O831" s="4" t="s">
        <v>4866</v>
      </c>
      <c r="P831" s="4" t="s">
        <v>4860</v>
      </c>
      <c r="Q831" s="1" t="str">
        <f>_xlfn.XLOOKUP(tblSales[[#This Row],[Channel Code]],tblChannels[Channel Code],tblChannels[Channel Name],"")</f>
        <v>In-store</v>
      </c>
      <c r="R831" s="1">
        <f>MONTH(tblSales[[#This Row],[Date]])</f>
        <v>2</v>
      </c>
    </row>
    <row r="832" spans="2:18" x14ac:dyDescent="0.35">
      <c r="B832" s="113">
        <v>46077</v>
      </c>
      <c r="C832" s="4" t="s">
        <v>577</v>
      </c>
      <c r="D832" s="4" t="s">
        <v>4568</v>
      </c>
      <c r="E832" s="1" t="str">
        <f>_xlfn.XLOOKUP(tblSales[[#This Row],[Customer ID]],tblCustomers[Customer ID],tblCustomers[Customer Name],"⚠ Unknown")</f>
        <v>Walk-in Customer</v>
      </c>
      <c r="F832" s="4" t="s">
        <v>8</v>
      </c>
      <c r="G832" s="1" t="str">
        <f>_xlfn.XLOOKUP(tblSales[[#This Row],[Product Code]],tblProducts[Code],tblProducts[Product / Service Name],"⚠ Unknown")</f>
        <v>Casual Shorts</v>
      </c>
      <c r="H832" s="1" t="str">
        <f>_xlfn.XLOOKUP(tblSales[[#This Row],[Product Code]],tblProducts[Code],tblProducts[Category],"")</f>
        <v>Accessories &amp; Basics</v>
      </c>
      <c r="I832" s="4">
        <v>1</v>
      </c>
      <c r="J832" s="5">
        <f>_xlfn.XLOOKUP(tblSales[[#This Row],[Product Code]],tblProducts[Code],tblProducts[Selling Price (excl. VAT)],0)</f>
        <v>85000</v>
      </c>
      <c r="K832" s="5">
        <f>tblSales[[#This Row],[Qty]]*tblSales[[#This Row],[Unit Price]]</f>
        <v>85000</v>
      </c>
      <c r="L832" s="5">
        <f>ROUND(tblSales[[#This Row],[DPP (excl. VAT)]]*VATEff,0)</f>
        <v>9350</v>
      </c>
      <c r="M832" s="5">
        <f>tblSales[[#This Row],[DPP (excl. VAT)]]+tblSales[[#This Row],[Output VAT]]</f>
        <v>94350</v>
      </c>
      <c r="N832" s="5">
        <f>tblSales[[#This Row],[Qty]]*_xlfn.XLOOKUP(tblSales[[#This Row],[Product Code]],tblProducts[Code],tblProducts[Unit Cost],0)</f>
        <v>50000</v>
      </c>
      <c r="O832" s="4" t="s">
        <v>4866</v>
      </c>
      <c r="P832" s="4" t="s">
        <v>4862</v>
      </c>
      <c r="Q832" s="1" t="str">
        <f>_xlfn.XLOOKUP(tblSales[[#This Row],[Channel Code]],tblChannels[Channel Code],tblChannels[Channel Name],"")</f>
        <v>Website &amp; Social Media</v>
      </c>
      <c r="R832" s="1">
        <f>MONTH(tblSales[[#This Row],[Date]])</f>
        <v>2</v>
      </c>
    </row>
    <row r="833" spans="2:18" x14ac:dyDescent="0.35">
      <c r="B833" s="113">
        <v>46077</v>
      </c>
      <c r="C833" s="4" t="s">
        <v>578</v>
      </c>
      <c r="D833" s="4" t="s">
        <v>4572</v>
      </c>
      <c r="E833" s="1" t="str">
        <f>_xlfn.XLOOKUP(tblSales[[#This Row],[Customer ID]],tblCustomers[Customer ID],tblCustomers[Customer Name],"⚠ Unknown")</f>
        <v>PT Cahaya Abadi Makmur</v>
      </c>
      <c r="F833" s="4" t="s">
        <v>9</v>
      </c>
      <c r="G833" s="1" t="str">
        <f>_xlfn.XLOOKUP(tblSales[[#This Row],[Product Code]],tblProducts[Code],tblProducts[Product / Service Name],"⚠ Unknown")</f>
        <v>Casual Shirt</v>
      </c>
      <c r="H833" s="1" t="str">
        <f>_xlfn.XLOOKUP(tblSales[[#This Row],[Product Code]],tblProducts[Code],tblProducts[Category],"")</f>
        <v>Apparel &amp; Footwear</v>
      </c>
      <c r="I833" s="4">
        <v>32</v>
      </c>
      <c r="J833" s="5">
        <f>_xlfn.XLOOKUP(tblSales[[#This Row],[Product Code]],tblProducts[Code],tblProducts[Selling Price (excl. VAT)],0)</f>
        <v>120000</v>
      </c>
      <c r="K833" s="5">
        <f>tblSales[[#This Row],[Qty]]*tblSales[[#This Row],[Unit Price]]</f>
        <v>3840000</v>
      </c>
      <c r="L833" s="5">
        <f>ROUND(tblSales[[#This Row],[DPP (excl. VAT)]]*VATEff,0)</f>
        <v>422400</v>
      </c>
      <c r="M833" s="5">
        <f>tblSales[[#This Row],[DPP (excl. VAT)]]+tblSales[[#This Row],[Output VAT]]</f>
        <v>4262400</v>
      </c>
      <c r="N833" s="5">
        <f>tblSales[[#This Row],[Qty]]*_xlfn.XLOOKUP(tblSales[[#This Row],[Product Code]],tblProducts[Code],tblProducts[Unit Cost],0)</f>
        <v>2304000</v>
      </c>
      <c r="O833" s="4" t="s">
        <v>4867</v>
      </c>
      <c r="P833" s="4" t="s">
        <v>4860</v>
      </c>
      <c r="Q833" s="1" t="str">
        <f>_xlfn.XLOOKUP(tblSales[[#This Row],[Channel Code]],tblChannels[Channel Code],tblChannels[Channel Name],"")</f>
        <v>In-store</v>
      </c>
      <c r="R833" s="1">
        <f>MONTH(tblSales[[#This Row],[Date]])</f>
        <v>2</v>
      </c>
    </row>
    <row r="834" spans="2:18" x14ac:dyDescent="0.35">
      <c r="B834" s="113">
        <v>46077</v>
      </c>
      <c r="C834" s="4" t="s">
        <v>579</v>
      </c>
      <c r="D834" s="4" t="s">
        <v>4568</v>
      </c>
      <c r="E834" s="1" t="str">
        <f>_xlfn.XLOOKUP(tblSales[[#This Row],[Customer ID]],tblCustomers[Customer ID],tblCustomers[Customer Name],"⚠ Unknown")</f>
        <v>Walk-in Customer</v>
      </c>
      <c r="F834" s="4" t="s">
        <v>8</v>
      </c>
      <c r="G834" s="1" t="str">
        <f>_xlfn.XLOOKUP(tblSales[[#This Row],[Product Code]],tblProducts[Code],tblProducts[Product / Service Name],"⚠ Unknown")</f>
        <v>Casual Shorts</v>
      </c>
      <c r="H834" s="1" t="str">
        <f>_xlfn.XLOOKUP(tblSales[[#This Row],[Product Code]],tblProducts[Code],tblProducts[Category],"")</f>
        <v>Accessories &amp; Basics</v>
      </c>
      <c r="I834" s="4">
        <v>10</v>
      </c>
      <c r="J834" s="5">
        <f>_xlfn.XLOOKUP(tblSales[[#This Row],[Product Code]],tblProducts[Code],tblProducts[Selling Price (excl. VAT)],0)</f>
        <v>85000</v>
      </c>
      <c r="K834" s="5">
        <f>tblSales[[#This Row],[Qty]]*tblSales[[#This Row],[Unit Price]]</f>
        <v>850000</v>
      </c>
      <c r="L834" s="5">
        <f>ROUND(tblSales[[#This Row],[DPP (excl. VAT)]]*VATEff,0)</f>
        <v>93500</v>
      </c>
      <c r="M834" s="5">
        <f>tblSales[[#This Row],[DPP (excl. VAT)]]+tblSales[[#This Row],[Output VAT]]</f>
        <v>943500</v>
      </c>
      <c r="N834" s="5">
        <f>tblSales[[#This Row],[Qty]]*_xlfn.XLOOKUP(tblSales[[#This Row],[Product Code]],tblProducts[Code],tblProducts[Unit Cost],0)</f>
        <v>500000</v>
      </c>
      <c r="O834" s="4" t="s">
        <v>4866</v>
      </c>
      <c r="P834" s="4" t="s">
        <v>4862</v>
      </c>
      <c r="Q834" s="1" t="str">
        <f>_xlfn.XLOOKUP(tblSales[[#This Row],[Channel Code]],tblChannels[Channel Code],tblChannels[Channel Name],"")</f>
        <v>Website &amp; Social Media</v>
      </c>
      <c r="R834" s="1">
        <f>MONTH(tblSales[[#This Row],[Date]])</f>
        <v>2</v>
      </c>
    </row>
    <row r="835" spans="2:18" x14ac:dyDescent="0.35">
      <c r="B835" s="113">
        <v>46077</v>
      </c>
      <c r="C835" s="4" t="s">
        <v>579</v>
      </c>
      <c r="D835" s="4" t="s">
        <v>4568</v>
      </c>
      <c r="E835" s="1" t="str">
        <f>_xlfn.XLOOKUP(tblSales[[#This Row],[Customer ID]],tblCustomers[Customer ID],tblCustomers[Customer Name],"⚠ Unknown")</f>
        <v>Walk-in Customer</v>
      </c>
      <c r="F835" s="4" t="s">
        <v>7</v>
      </c>
      <c r="G835" s="1" t="str">
        <f>_xlfn.XLOOKUP(tblSales[[#This Row],[Product Code]],tblProducts[Code],tblProducts[Product / Service Name],"⚠ Unknown")</f>
        <v>Premium Basic T-shirt</v>
      </c>
      <c r="H835" s="1" t="str">
        <f>_xlfn.XLOOKUP(tblSales[[#This Row],[Product Code]],tblProducts[Code],tblProducts[Category],"")</f>
        <v>Accessories &amp; Basics</v>
      </c>
      <c r="I835" s="4">
        <v>4</v>
      </c>
      <c r="J835" s="5">
        <f>_xlfn.XLOOKUP(tblSales[[#This Row],[Product Code]],tblProducts[Code],tblProducts[Selling Price (excl. VAT)],0)</f>
        <v>65000</v>
      </c>
      <c r="K835" s="5">
        <f>tblSales[[#This Row],[Qty]]*tblSales[[#This Row],[Unit Price]]</f>
        <v>260000</v>
      </c>
      <c r="L835" s="5">
        <f>ROUND(tblSales[[#This Row],[DPP (excl. VAT)]]*VATEff,0)</f>
        <v>28600</v>
      </c>
      <c r="M835" s="5">
        <f>tblSales[[#This Row],[DPP (excl. VAT)]]+tblSales[[#This Row],[Output VAT]]</f>
        <v>288600</v>
      </c>
      <c r="N835" s="5">
        <f>tblSales[[#This Row],[Qty]]*_xlfn.XLOOKUP(tblSales[[#This Row],[Product Code]],tblProducts[Code],tblProducts[Unit Cost],0)</f>
        <v>148000</v>
      </c>
      <c r="O835" s="4" t="s">
        <v>4866</v>
      </c>
      <c r="P835" s="4" t="s">
        <v>4862</v>
      </c>
      <c r="Q835" s="1" t="str">
        <f>_xlfn.XLOOKUP(tblSales[[#This Row],[Channel Code]],tblChannels[Channel Code],tblChannels[Channel Name],"")</f>
        <v>Website &amp; Social Media</v>
      </c>
      <c r="R835" s="1">
        <f>MONTH(tblSales[[#This Row],[Date]])</f>
        <v>2</v>
      </c>
    </row>
    <row r="836" spans="2:18" x14ac:dyDescent="0.35">
      <c r="B836" s="113">
        <v>46077</v>
      </c>
      <c r="C836" s="4" t="s">
        <v>580</v>
      </c>
      <c r="D836" s="4" t="s">
        <v>4568</v>
      </c>
      <c r="E836" s="1" t="str">
        <f>_xlfn.XLOOKUP(tblSales[[#This Row],[Customer ID]],tblCustomers[Customer ID],tblCustomers[Customer Name],"⚠ Unknown")</f>
        <v>Walk-in Customer</v>
      </c>
      <c r="F836" s="4" t="s">
        <v>6</v>
      </c>
      <c r="G836" s="1" t="str">
        <f>_xlfn.XLOOKUP(tblSales[[#This Row],[Product Code]],tblProducts[Code],tblProducts[Product / Service Name],"⚠ Unknown")</f>
        <v>Socks &amp; Accessories</v>
      </c>
      <c r="H836" s="1" t="str">
        <f>_xlfn.XLOOKUP(tblSales[[#This Row],[Product Code]],tblProducts[Code],tblProducts[Category],"")</f>
        <v>Accessories &amp; Basics</v>
      </c>
      <c r="I836" s="4">
        <v>2</v>
      </c>
      <c r="J836" s="5">
        <f>_xlfn.XLOOKUP(tblSales[[#This Row],[Product Code]],tblProducts[Code],tblProducts[Selling Price (excl. VAT)],0)</f>
        <v>45000</v>
      </c>
      <c r="K836" s="5">
        <f>tblSales[[#This Row],[Qty]]*tblSales[[#This Row],[Unit Price]]</f>
        <v>90000</v>
      </c>
      <c r="L836" s="5">
        <f>ROUND(tblSales[[#This Row],[DPP (excl. VAT)]]*VATEff,0)</f>
        <v>9900</v>
      </c>
      <c r="M836" s="5">
        <f>tblSales[[#This Row],[DPP (excl. VAT)]]+tblSales[[#This Row],[Output VAT]]</f>
        <v>99900</v>
      </c>
      <c r="N836" s="5">
        <f>tblSales[[#This Row],[Qty]]*_xlfn.XLOOKUP(tblSales[[#This Row],[Product Code]],tblProducts[Code],tblProducts[Unit Cost],0)</f>
        <v>48000</v>
      </c>
      <c r="O836" s="4" t="s">
        <v>4865</v>
      </c>
      <c r="P836" s="4" t="s">
        <v>4860</v>
      </c>
      <c r="Q836" s="1" t="str">
        <f>_xlfn.XLOOKUP(tblSales[[#This Row],[Channel Code]],tblChannels[Channel Code],tblChannels[Channel Name],"")</f>
        <v>In-store</v>
      </c>
      <c r="R836" s="1">
        <f>MONTH(tblSales[[#This Row],[Date]])</f>
        <v>2</v>
      </c>
    </row>
    <row r="837" spans="2:18" x14ac:dyDescent="0.35">
      <c r="B837" s="113">
        <v>46077</v>
      </c>
      <c r="C837" s="4" t="s">
        <v>581</v>
      </c>
      <c r="D837" s="4" t="s">
        <v>4572</v>
      </c>
      <c r="E837" s="1" t="str">
        <f>_xlfn.XLOOKUP(tblSales[[#This Row],[Customer ID]],tblCustomers[Customer ID],tblCustomers[Customer Name],"⚠ Unknown")</f>
        <v>PT Cahaya Abadi Makmur</v>
      </c>
      <c r="F837" s="4" t="s">
        <v>11</v>
      </c>
      <c r="G837" s="1" t="str">
        <f>_xlfn.XLOOKUP(tblSales[[#This Row],[Product Code]],tblProducts[Code],tblProducts[Product / Service Name],"⚠ Unknown")</f>
        <v>Sneakers</v>
      </c>
      <c r="H837" s="1" t="str">
        <f>_xlfn.XLOOKUP(tblSales[[#This Row],[Product Code]],tblProducts[Code],tblProducts[Category],"")</f>
        <v>Apparel &amp; Footwear</v>
      </c>
      <c r="I837" s="4">
        <v>48</v>
      </c>
      <c r="J837" s="5">
        <f>_xlfn.XLOOKUP(tblSales[[#This Row],[Product Code]],tblProducts[Code],tblProducts[Selling Price (excl. VAT)],0)</f>
        <v>250000</v>
      </c>
      <c r="K837" s="5">
        <f>tblSales[[#This Row],[Qty]]*tblSales[[#This Row],[Unit Price]]</f>
        <v>12000000</v>
      </c>
      <c r="L837" s="5">
        <f>ROUND(tblSales[[#This Row],[DPP (excl. VAT)]]*VATEff,0)</f>
        <v>1320000</v>
      </c>
      <c r="M837" s="5">
        <f>tblSales[[#This Row],[DPP (excl. VAT)]]+tblSales[[#This Row],[Output VAT]]</f>
        <v>13320000</v>
      </c>
      <c r="N837" s="5">
        <f>tblSales[[#This Row],[Qty]]*_xlfn.XLOOKUP(tblSales[[#This Row],[Product Code]],tblProducts[Code],tblProducts[Unit Cost],0)</f>
        <v>7440000</v>
      </c>
      <c r="O837" s="4" t="s">
        <v>4867</v>
      </c>
      <c r="P837" s="4" t="s">
        <v>4860</v>
      </c>
      <c r="Q837" s="1" t="str">
        <f>_xlfn.XLOOKUP(tblSales[[#This Row],[Channel Code]],tblChannels[Channel Code],tblChannels[Channel Name],"")</f>
        <v>In-store</v>
      </c>
      <c r="R837" s="1">
        <f>MONTH(tblSales[[#This Row],[Date]])</f>
        <v>2</v>
      </c>
    </row>
    <row r="838" spans="2:18" x14ac:dyDescent="0.35">
      <c r="B838" s="113">
        <v>46077</v>
      </c>
      <c r="C838" s="4" t="s">
        <v>581</v>
      </c>
      <c r="D838" s="4" t="s">
        <v>4572</v>
      </c>
      <c r="E838" s="1" t="str">
        <f>_xlfn.XLOOKUP(tblSales[[#This Row],[Customer ID]],tblCustomers[Customer ID],tblCustomers[Customer Name],"⚠ Unknown")</f>
        <v>PT Cahaya Abadi Makmur</v>
      </c>
      <c r="F838" s="4" t="s">
        <v>8</v>
      </c>
      <c r="G838" s="1" t="str">
        <f>_xlfn.XLOOKUP(tblSales[[#This Row],[Product Code]],tblProducts[Code],tblProducts[Product / Service Name],"⚠ Unknown")</f>
        <v>Casual Shorts</v>
      </c>
      <c r="H838" s="1" t="str">
        <f>_xlfn.XLOOKUP(tblSales[[#This Row],[Product Code]],tblProducts[Code],tblProducts[Category],"")</f>
        <v>Accessories &amp; Basics</v>
      </c>
      <c r="I838" s="4">
        <v>24</v>
      </c>
      <c r="J838" s="5">
        <f>_xlfn.XLOOKUP(tblSales[[#This Row],[Product Code]],tblProducts[Code],tblProducts[Selling Price (excl. VAT)],0)</f>
        <v>85000</v>
      </c>
      <c r="K838" s="5">
        <f>tblSales[[#This Row],[Qty]]*tblSales[[#This Row],[Unit Price]]</f>
        <v>2040000</v>
      </c>
      <c r="L838" s="5">
        <f>ROUND(tblSales[[#This Row],[DPP (excl. VAT)]]*VATEff,0)</f>
        <v>224400</v>
      </c>
      <c r="M838" s="5">
        <f>tblSales[[#This Row],[DPP (excl. VAT)]]+tblSales[[#This Row],[Output VAT]]</f>
        <v>2264400</v>
      </c>
      <c r="N838" s="5">
        <f>tblSales[[#This Row],[Qty]]*_xlfn.XLOOKUP(tblSales[[#This Row],[Product Code]],tblProducts[Code],tblProducts[Unit Cost],0)</f>
        <v>1200000</v>
      </c>
      <c r="O838" s="4" t="s">
        <v>4867</v>
      </c>
      <c r="P838" s="4" t="s">
        <v>4860</v>
      </c>
      <c r="Q838" s="1" t="str">
        <f>_xlfn.XLOOKUP(tblSales[[#This Row],[Channel Code]],tblChannels[Channel Code],tblChannels[Channel Name],"")</f>
        <v>In-store</v>
      </c>
      <c r="R838" s="1">
        <f>MONTH(tblSales[[#This Row],[Date]])</f>
        <v>2</v>
      </c>
    </row>
    <row r="839" spans="2:18" x14ac:dyDescent="0.35">
      <c r="B839" s="113">
        <v>46077</v>
      </c>
      <c r="C839" s="4" t="s">
        <v>581</v>
      </c>
      <c r="D839" s="4" t="s">
        <v>4572</v>
      </c>
      <c r="E839" s="1" t="str">
        <f>_xlfn.XLOOKUP(tblSales[[#This Row],[Customer ID]],tblCustomers[Customer ID],tblCustomers[Customer Name],"⚠ Unknown")</f>
        <v>PT Cahaya Abadi Makmur</v>
      </c>
      <c r="F839" s="4" t="s">
        <v>9</v>
      </c>
      <c r="G839" s="1" t="str">
        <f>_xlfn.XLOOKUP(tblSales[[#This Row],[Product Code]],tblProducts[Code],tblProducts[Product / Service Name],"⚠ Unknown")</f>
        <v>Casual Shirt</v>
      </c>
      <c r="H839" s="1" t="str">
        <f>_xlfn.XLOOKUP(tblSales[[#This Row],[Product Code]],tblProducts[Code],tblProducts[Category],"")</f>
        <v>Apparel &amp; Footwear</v>
      </c>
      <c r="I839" s="4">
        <v>88</v>
      </c>
      <c r="J839" s="5">
        <f>_xlfn.XLOOKUP(tblSales[[#This Row],[Product Code]],tblProducts[Code],tblProducts[Selling Price (excl. VAT)],0)</f>
        <v>120000</v>
      </c>
      <c r="K839" s="5">
        <f>tblSales[[#This Row],[Qty]]*tblSales[[#This Row],[Unit Price]]</f>
        <v>10560000</v>
      </c>
      <c r="L839" s="5">
        <f>ROUND(tblSales[[#This Row],[DPP (excl. VAT)]]*VATEff,0)</f>
        <v>1161600</v>
      </c>
      <c r="M839" s="5">
        <f>tblSales[[#This Row],[DPP (excl. VAT)]]+tblSales[[#This Row],[Output VAT]]</f>
        <v>11721600</v>
      </c>
      <c r="N839" s="5">
        <f>tblSales[[#This Row],[Qty]]*_xlfn.XLOOKUP(tblSales[[#This Row],[Product Code]],tblProducts[Code],tblProducts[Unit Cost],0)</f>
        <v>6336000</v>
      </c>
      <c r="O839" s="4" t="s">
        <v>4867</v>
      </c>
      <c r="P839" s="4" t="s">
        <v>4860</v>
      </c>
      <c r="Q839" s="1" t="str">
        <f>_xlfn.XLOOKUP(tblSales[[#This Row],[Channel Code]],tblChannels[Channel Code],tblChannels[Channel Name],"")</f>
        <v>In-store</v>
      </c>
      <c r="R839" s="1">
        <f>MONTH(tblSales[[#This Row],[Date]])</f>
        <v>2</v>
      </c>
    </row>
    <row r="840" spans="2:18" x14ac:dyDescent="0.35">
      <c r="B840" s="113">
        <v>46077</v>
      </c>
      <c r="C840" s="4" t="s">
        <v>582</v>
      </c>
      <c r="D840" s="4" t="s">
        <v>4568</v>
      </c>
      <c r="E840" s="1" t="str">
        <f>_xlfn.XLOOKUP(tblSales[[#This Row],[Customer ID]],tblCustomers[Customer ID],tblCustomers[Customer Name],"⚠ Unknown")</f>
        <v>Walk-in Customer</v>
      </c>
      <c r="F840" s="4" t="s">
        <v>11</v>
      </c>
      <c r="G840" s="1" t="str">
        <f>_xlfn.XLOOKUP(tblSales[[#This Row],[Product Code]],tblProducts[Code],tblProducts[Product / Service Name],"⚠ Unknown")</f>
        <v>Sneakers</v>
      </c>
      <c r="H840" s="1" t="str">
        <f>_xlfn.XLOOKUP(tblSales[[#This Row],[Product Code]],tblProducts[Code],tblProducts[Category],"")</f>
        <v>Apparel &amp; Footwear</v>
      </c>
      <c r="I840" s="4">
        <v>2</v>
      </c>
      <c r="J840" s="5">
        <f>_xlfn.XLOOKUP(tblSales[[#This Row],[Product Code]],tblProducts[Code],tblProducts[Selling Price (excl. VAT)],0)</f>
        <v>250000</v>
      </c>
      <c r="K840" s="5">
        <f>tblSales[[#This Row],[Qty]]*tblSales[[#This Row],[Unit Price]]</f>
        <v>500000</v>
      </c>
      <c r="L840" s="5">
        <f>ROUND(tblSales[[#This Row],[DPP (excl. VAT)]]*VATEff,0)</f>
        <v>55000</v>
      </c>
      <c r="M840" s="5">
        <f>tblSales[[#This Row],[DPP (excl. VAT)]]+tblSales[[#This Row],[Output VAT]]</f>
        <v>555000</v>
      </c>
      <c r="N840" s="5">
        <f>tblSales[[#This Row],[Qty]]*_xlfn.XLOOKUP(tblSales[[#This Row],[Product Code]],tblProducts[Code],tblProducts[Unit Cost],0)</f>
        <v>310000</v>
      </c>
      <c r="O840" s="4" t="s">
        <v>4866</v>
      </c>
      <c r="P840" s="4" t="s">
        <v>4862</v>
      </c>
      <c r="Q840" s="1" t="str">
        <f>_xlfn.XLOOKUP(tblSales[[#This Row],[Channel Code]],tblChannels[Channel Code],tblChannels[Channel Name],"")</f>
        <v>Website &amp; Social Media</v>
      </c>
      <c r="R840" s="1">
        <f>MONTH(tblSales[[#This Row],[Date]])</f>
        <v>2</v>
      </c>
    </row>
    <row r="841" spans="2:18" x14ac:dyDescent="0.35">
      <c r="B841" s="113">
        <v>46077</v>
      </c>
      <c r="C841" s="4" t="s">
        <v>583</v>
      </c>
      <c r="D841" s="4" t="s">
        <v>4568</v>
      </c>
      <c r="E841" s="1" t="str">
        <f>_xlfn.XLOOKUP(tblSales[[#This Row],[Customer ID]],tblCustomers[Customer ID],tblCustomers[Customer Name],"⚠ Unknown")</f>
        <v>Walk-in Customer</v>
      </c>
      <c r="F841" s="4" t="s">
        <v>8</v>
      </c>
      <c r="G841" s="1" t="str">
        <f>_xlfn.XLOOKUP(tblSales[[#This Row],[Product Code]],tblProducts[Code],tblProducts[Product / Service Name],"⚠ Unknown")</f>
        <v>Casual Shorts</v>
      </c>
      <c r="H841" s="1" t="str">
        <f>_xlfn.XLOOKUP(tblSales[[#This Row],[Product Code]],tblProducts[Code],tblProducts[Category],"")</f>
        <v>Accessories &amp; Basics</v>
      </c>
      <c r="I841" s="4">
        <v>9</v>
      </c>
      <c r="J841" s="5">
        <f>_xlfn.XLOOKUP(tblSales[[#This Row],[Product Code]],tblProducts[Code],tblProducts[Selling Price (excl. VAT)],0)</f>
        <v>85000</v>
      </c>
      <c r="K841" s="5">
        <f>tblSales[[#This Row],[Qty]]*tblSales[[#This Row],[Unit Price]]</f>
        <v>765000</v>
      </c>
      <c r="L841" s="5">
        <f>ROUND(tblSales[[#This Row],[DPP (excl. VAT)]]*VATEff,0)</f>
        <v>84150</v>
      </c>
      <c r="M841" s="5">
        <f>tblSales[[#This Row],[DPP (excl. VAT)]]+tblSales[[#This Row],[Output VAT]]</f>
        <v>849150</v>
      </c>
      <c r="N841" s="5">
        <f>tblSales[[#This Row],[Qty]]*_xlfn.XLOOKUP(tblSales[[#This Row],[Product Code]],tblProducts[Code],tblProducts[Unit Cost],0)</f>
        <v>450000</v>
      </c>
      <c r="O841" s="4" t="s">
        <v>4865</v>
      </c>
      <c r="P841" s="4" t="s">
        <v>4860</v>
      </c>
      <c r="Q841" s="1" t="str">
        <f>_xlfn.XLOOKUP(tblSales[[#This Row],[Channel Code]],tblChannels[Channel Code],tblChannels[Channel Name],"")</f>
        <v>In-store</v>
      </c>
      <c r="R841" s="1">
        <f>MONTH(tblSales[[#This Row],[Date]])</f>
        <v>2</v>
      </c>
    </row>
    <row r="842" spans="2:18" x14ac:dyDescent="0.35">
      <c r="B842" s="113">
        <v>46077</v>
      </c>
      <c r="C842" s="4" t="s">
        <v>584</v>
      </c>
      <c r="D842" s="4" t="s">
        <v>4568</v>
      </c>
      <c r="E842" s="1" t="str">
        <f>_xlfn.XLOOKUP(tblSales[[#This Row],[Customer ID]],tblCustomers[Customer ID],tblCustomers[Customer Name],"⚠ Unknown")</f>
        <v>Walk-in Customer</v>
      </c>
      <c r="F842" s="4" t="s">
        <v>6</v>
      </c>
      <c r="G842" s="1" t="str">
        <f>_xlfn.XLOOKUP(tblSales[[#This Row],[Product Code]],tblProducts[Code],tblProducts[Product / Service Name],"⚠ Unknown")</f>
        <v>Socks &amp; Accessories</v>
      </c>
      <c r="H842" s="1" t="str">
        <f>_xlfn.XLOOKUP(tblSales[[#This Row],[Product Code]],tblProducts[Code],tblProducts[Category],"")</f>
        <v>Accessories &amp; Basics</v>
      </c>
      <c r="I842" s="4">
        <v>5</v>
      </c>
      <c r="J842" s="5">
        <f>_xlfn.XLOOKUP(tblSales[[#This Row],[Product Code]],tblProducts[Code],tblProducts[Selling Price (excl. VAT)],0)</f>
        <v>45000</v>
      </c>
      <c r="K842" s="5">
        <f>tblSales[[#This Row],[Qty]]*tblSales[[#This Row],[Unit Price]]</f>
        <v>225000</v>
      </c>
      <c r="L842" s="5">
        <f>ROUND(tblSales[[#This Row],[DPP (excl. VAT)]]*VATEff,0)</f>
        <v>24750</v>
      </c>
      <c r="M842" s="5">
        <f>tblSales[[#This Row],[DPP (excl. VAT)]]+tblSales[[#This Row],[Output VAT]]</f>
        <v>249750</v>
      </c>
      <c r="N842" s="5">
        <f>tblSales[[#This Row],[Qty]]*_xlfn.XLOOKUP(tblSales[[#This Row],[Product Code]],tblProducts[Code],tblProducts[Unit Cost],0)</f>
        <v>120000</v>
      </c>
      <c r="O842" s="4" t="s">
        <v>4866</v>
      </c>
      <c r="P842" s="4" t="s">
        <v>4861</v>
      </c>
      <c r="Q842" s="1" t="str">
        <f>_xlfn.XLOOKUP(tblSales[[#This Row],[Channel Code]],tblChannels[Channel Code],tblChannels[Channel Name],"")</f>
        <v>Marketplace</v>
      </c>
      <c r="R842" s="1">
        <f>MONTH(tblSales[[#This Row],[Date]])</f>
        <v>2</v>
      </c>
    </row>
    <row r="843" spans="2:18" x14ac:dyDescent="0.35">
      <c r="B843" s="113">
        <v>46078</v>
      </c>
      <c r="C843" s="4" t="s">
        <v>585</v>
      </c>
      <c r="D843" s="4" t="s">
        <v>4599</v>
      </c>
      <c r="E843" s="1" t="str">
        <f>_xlfn.XLOOKUP(tblSales[[#This Row],[Customer ID]],tblCustomers[Customer ID],tblCustomers[Customer Name],"⚠ Unknown")</f>
        <v>PT Samudra Jaya Logistik</v>
      </c>
      <c r="F843" s="4" t="s">
        <v>8</v>
      </c>
      <c r="G843" s="1" t="str">
        <f>_xlfn.XLOOKUP(tblSales[[#This Row],[Product Code]],tblProducts[Code],tblProducts[Product / Service Name],"⚠ Unknown")</f>
        <v>Casual Shorts</v>
      </c>
      <c r="H843" s="1" t="str">
        <f>_xlfn.XLOOKUP(tblSales[[#This Row],[Product Code]],tblProducts[Code],tblProducts[Category],"")</f>
        <v>Accessories &amp; Basics</v>
      </c>
      <c r="I843" s="4">
        <v>72</v>
      </c>
      <c r="J843" s="5">
        <f>_xlfn.XLOOKUP(tblSales[[#This Row],[Product Code]],tblProducts[Code],tblProducts[Selling Price (excl. VAT)],0)</f>
        <v>85000</v>
      </c>
      <c r="K843" s="5">
        <f>tblSales[[#This Row],[Qty]]*tblSales[[#This Row],[Unit Price]]</f>
        <v>6120000</v>
      </c>
      <c r="L843" s="5">
        <f>ROUND(tblSales[[#This Row],[DPP (excl. VAT)]]*VATEff,0)</f>
        <v>673200</v>
      </c>
      <c r="M843" s="5">
        <f>tblSales[[#This Row],[DPP (excl. VAT)]]+tblSales[[#This Row],[Output VAT]]</f>
        <v>6793200</v>
      </c>
      <c r="N843" s="5">
        <f>tblSales[[#This Row],[Qty]]*_xlfn.XLOOKUP(tblSales[[#This Row],[Product Code]],tblProducts[Code],tblProducts[Unit Cost],0)</f>
        <v>3600000</v>
      </c>
      <c r="O843" s="4" t="s">
        <v>4867</v>
      </c>
      <c r="P843" s="4" t="s">
        <v>4860</v>
      </c>
      <c r="Q843" s="1" t="str">
        <f>_xlfn.XLOOKUP(tblSales[[#This Row],[Channel Code]],tblChannels[Channel Code],tblChannels[Channel Name],"")</f>
        <v>In-store</v>
      </c>
      <c r="R843" s="1">
        <f>MONTH(tblSales[[#This Row],[Date]])</f>
        <v>2</v>
      </c>
    </row>
    <row r="844" spans="2:18" x14ac:dyDescent="0.35">
      <c r="B844" s="113">
        <v>46078</v>
      </c>
      <c r="C844" s="4" t="s">
        <v>586</v>
      </c>
      <c r="D844" s="4" t="s">
        <v>4599</v>
      </c>
      <c r="E844" s="1" t="str">
        <f>_xlfn.XLOOKUP(tblSales[[#This Row],[Customer ID]],tblCustomers[Customer ID],tblCustomers[Customer Name],"⚠ Unknown")</f>
        <v>PT Samudra Jaya Logistik</v>
      </c>
      <c r="F844" s="4" t="s">
        <v>14</v>
      </c>
      <c r="G844" s="1" t="str">
        <f>_xlfn.XLOOKUP(tblSales[[#This Row],[Product Code]],tblProducts[Code],tblProducts[Product / Service Name],"⚠ Unknown")</f>
        <v>Smartwatch</v>
      </c>
      <c r="H844" s="1" t="str">
        <f>_xlfn.XLOOKUP(tblSales[[#This Row],[Product Code]],tblProducts[Code],tblProducts[Category],"")</f>
        <v>Bags &amp; Gadgets</v>
      </c>
      <c r="I844" s="4">
        <v>8</v>
      </c>
      <c r="J844" s="5">
        <f>_xlfn.XLOOKUP(tblSales[[#This Row],[Product Code]],tblProducts[Code],tblProducts[Selling Price (excl. VAT)],0)</f>
        <v>850000</v>
      </c>
      <c r="K844" s="5">
        <f>tblSales[[#This Row],[Qty]]*tblSales[[#This Row],[Unit Price]]</f>
        <v>6800000</v>
      </c>
      <c r="L844" s="5">
        <f>ROUND(tblSales[[#This Row],[DPP (excl. VAT)]]*VATEff,0)</f>
        <v>748000</v>
      </c>
      <c r="M844" s="5">
        <f>tblSales[[#This Row],[DPP (excl. VAT)]]+tblSales[[#This Row],[Output VAT]]</f>
        <v>7548000</v>
      </c>
      <c r="N844" s="5">
        <f>tblSales[[#This Row],[Qty]]*_xlfn.XLOOKUP(tblSales[[#This Row],[Product Code]],tblProducts[Code],tblProducts[Unit Cost],0)</f>
        <v>4480000</v>
      </c>
      <c r="O844" s="4" t="s">
        <v>4867</v>
      </c>
      <c r="P844" s="4" t="s">
        <v>4862</v>
      </c>
      <c r="Q844" s="1" t="str">
        <f>_xlfn.XLOOKUP(tblSales[[#This Row],[Channel Code]],tblChannels[Channel Code],tblChannels[Channel Name],"")</f>
        <v>Website &amp; Social Media</v>
      </c>
      <c r="R844" s="1">
        <f>MONTH(tblSales[[#This Row],[Date]])</f>
        <v>2</v>
      </c>
    </row>
    <row r="845" spans="2:18" x14ac:dyDescent="0.35">
      <c r="B845" s="113">
        <v>46078</v>
      </c>
      <c r="C845" s="4" t="s">
        <v>587</v>
      </c>
      <c r="D845" s="4" t="s">
        <v>4568</v>
      </c>
      <c r="E845" s="1" t="str">
        <f>_xlfn.XLOOKUP(tblSales[[#This Row],[Customer ID]],tblCustomers[Customer ID],tblCustomers[Customer Name],"⚠ Unknown")</f>
        <v>Walk-in Customer</v>
      </c>
      <c r="F845" s="4" t="s">
        <v>11</v>
      </c>
      <c r="G845" s="1" t="str">
        <f>_xlfn.XLOOKUP(tblSales[[#This Row],[Product Code]],tblProducts[Code],tblProducts[Product / Service Name],"⚠ Unknown")</f>
        <v>Sneakers</v>
      </c>
      <c r="H845" s="1" t="str">
        <f>_xlfn.XLOOKUP(tblSales[[#This Row],[Product Code]],tblProducts[Code],tblProducts[Category],"")</f>
        <v>Apparel &amp; Footwear</v>
      </c>
      <c r="I845" s="4">
        <v>4</v>
      </c>
      <c r="J845" s="5">
        <f>_xlfn.XLOOKUP(tblSales[[#This Row],[Product Code]],tblProducts[Code],tblProducts[Selling Price (excl. VAT)],0)</f>
        <v>250000</v>
      </c>
      <c r="K845" s="5">
        <f>tblSales[[#This Row],[Qty]]*tblSales[[#This Row],[Unit Price]]</f>
        <v>1000000</v>
      </c>
      <c r="L845" s="5">
        <f>ROUND(tblSales[[#This Row],[DPP (excl. VAT)]]*VATEff,0)</f>
        <v>110000</v>
      </c>
      <c r="M845" s="5">
        <f>tblSales[[#This Row],[DPP (excl. VAT)]]+tblSales[[#This Row],[Output VAT]]</f>
        <v>1110000</v>
      </c>
      <c r="N845" s="5">
        <f>tblSales[[#This Row],[Qty]]*_xlfn.XLOOKUP(tblSales[[#This Row],[Product Code]],tblProducts[Code],tblProducts[Unit Cost],0)</f>
        <v>620000</v>
      </c>
      <c r="O845" s="4" t="s">
        <v>4866</v>
      </c>
      <c r="P845" s="4" t="s">
        <v>4862</v>
      </c>
      <c r="Q845" s="1" t="str">
        <f>_xlfn.XLOOKUP(tblSales[[#This Row],[Channel Code]],tblChannels[Channel Code],tblChannels[Channel Name],"")</f>
        <v>Website &amp; Social Media</v>
      </c>
      <c r="R845" s="1">
        <f>MONTH(tblSales[[#This Row],[Date]])</f>
        <v>2</v>
      </c>
    </row>
    <row r="846" spans="2:18" x14ac:dyDescent="0.35">
      <c r="B846" s="113">
        <v>46078</v>
      </c>
      <c r="C846" s="4" t="s">
        <v>588</v>
      </c>
      <c r="D846" s="4" t="s">
        <v>4568</v>
      </c>
      <c r="E846" s="1" t="str">
        <f>_xlfn.XLOOKUP(tblSales[[#This Row],[Customer ID]],tblCustomers[Customer ID],tblCustomers[Customer Name],"⚠ Unknown")</f>
        <v>Walk-in Customer</v>
      </c>
      <c r="F846" s="4" t="s">
        <v>13</v>
      </c>
      <c r="G846" s="1" t="str">
        <f>_xlfn.XLOOKUP(tblSales[[#This Row],[Product Code]],tblProducts[Code],tblProducts[Product / Service Name],"⚠ Unknown")</f>
        <v>Backpack</v>
      </c>
      <c r="H846" s="1" t="str">
        <f>_xlfn.XLOOKUP(tblSales[[#This Row],[Product Code]],tblProducts[Code],tblProducts[Category],"")</f>
        <v>Bags &amp; Gadgets</v>
      </c>
      <c r="I846" s="4">
        <v>5</v>
      </c>
      <c r="J846" s="5">
        <f>_xlfn.XLOOKUP(tblSales[[#This Row],[Product Code]],tblProducts[Code],tblProducts[Selling Price (excl. VAT)],0)</f>
        <v>500000</v>
      </c>
      <c r="K846" s="5">
        <f>tblSales[[#This Row],[Qty]]*tblSales[[#This Row],[Unit Price]]</f>
        <v>2500000</v>
      </c>
      <c r="L846" s="5">
        <f>ROUND(tblSales[[#This Row],[DPP (excl. VAT)]]*VATEff,0)</f>
        <v>275000</v>
      </c>
      <c r="M846" s="5">
        <f>tblSales[[#This Row],[DPP (excl. VAT)]]+tblSales[[#This Row],[Output VAT]]</f>
        <v>2775000</v>
      </c>
      <c r="N846" s="5">
        <f>tblSales[[#This Row],[Qty]]*_xlfn.XLOOKUP(tblSales[[#This Row],[Product Code]],tblProducts[Code],tblProducts[Unit Cost],0)</f>
        <v>1450000</v>
      </c>
      <c r="O846" s="4" t="s">
        <v>4865</v>
      </c>
      <c r="P846" s="4" t="s">
        <v>4860</v>
      </c>
      <c r="Q846" s="1" t="str">
        <f>_xlfn.XLOOKUP(tblSales[[#This Row],[Channel Code]],tblChannels[Channel Code],tblChannels[Channel Name],"")</f>
        <v>In-store</v>
      </c>
      <c r="R846" s="1">
        <f>MONTH(tblSales[[#This Row],[Date]])</f>
        <v>2</v>
      </c>
    </row>
    <row r="847" spans="2:18" x14ac:dyDescent="0.35">
      <c r="B847" s="113">
        <v>46078</v>
      </c>
      <c r="C847" s="4" t="s">
        <v>589</v>
      </c>
      <c r="D847" s="4" t="s">
        <v>4634</v>
      </c>
      <c r="E847" s="1" t="str">
        <f>_xlfn.XLOOKUP(tblSales[[#This Row],[Customer ID]],tblCustomers[Customer ID],tblCustomers[Customer Name],"⚠ Unknown")</f>
        <v>PT Delta Inti Selaras</v>
      </c>
      <c r="F847" s="4" t="s">
        <v>9</v>
      </c>
      <c r="G847" s="1" t="str">
        <f>_xlfn.XLOOKUP(tblSales[[#This Row],[Product Code]],tblProducts[Code],tblProducts[Product / Service Name],"⚠ Unknown")</f>
        <v>Casual Shirt</v>
      </c>
      <c r="H847" s="1" t="str">
        <f>_xlfn.XLOOKUP(tblSales[[#This Row],[Product Code]],tblProducts[Code],tblProducts[Category],"")</f>
        <v>Apparel &amp; Footwear</v>
      </c>
      <c r="I847" s="4">
        <v>72</v>
      </c>
      <c r="J847" s="5">
        <f>_xlfn.XLOOKUP(tblSales[[#This Row],[Product Code]],tblProducts[Code],tblProducts[Selling Price (excl. VAT)],0)</f>
        <v>120000</v>
      </c>
      <c r="K847" s="5">
        <f>tblSales[[#This Row],[Qty]]*tblSales[[#This Row],[Unit Price]]</f>
        <v>8640000</v>
      </c>
      <c r="L847" s="5">
        <f>ROUND(tblSales[[#This Row],[DPP (excl. VAT)]]*VATEff,0)</f>
        <v>950400</v>
      </c>
      <c r="M847" s="5">
        <f>tblSales[[#This Row],[DPP (excl. VAT)]]+tblSales[[#This Row],[Output VAT]]</f>
        <v>9590400</v>
      </c>
      <c r="N847" s="5">
        <f>tblSales[[#This Row],[Qty]]*_xlfn.XLOOKUP(tblSales[[#This Row],[Product Code]],tblProducts[Code],tblProducts[Unit Cost],0)</f>
        <v>5184000</v>
      </c>
      <c r="O847" s="4" t="s">
        <v>4867</v>
      </c>
      <c r="P847" s="4" t="s">
        <v>4860</v>
      </c>
      <c r="Q847" s="1" t="str">
        <f>_xlfn.XLOOKUP(tblSales[[#This Row],[Channel Code]],tblChannels[Channel Code],tblChannels[Channel Name],"")</f>
        <v>In-store</v>
      </c>
      <c r="R847" s="1">
        <f>MONTH(tblSales[[#This Row],[Date]])</f>
        <v>2</v>
      </c>
    </row>
    <row r="848" spans="2:18" x14ac:dyDescent="0.35">
      <c r="B848" s="113">
        <v>46078</v>
      </c>
      <c r="C848" s="4" t="s">
        <v>590</v>
      </c>
      <c r="D848" s="4" t="s">
        <v>4568</v>
      </c>
      <c r="E848" s="1" t="str">
        <f>_xlfn.XLOOKUP(tblSales[[#This Row],[Customer ID]],tblCustomers[Customer ID],tblCustomers[Customer Name],"⚠ Unknown")</f>
        <v>Walk-in Customer</v>
      </c>
      <c r="F848" s="4" t="s">
        <v>8</v>
      </c>
      <c r="G848" s="1" t="str">
        <f>_xlfn.XLOOKUP(tblSales[[#This Row],[Product Code]],tblProducts[Code],tblProducts[Product / Service Name],"⚠ Unknown")</f>
        <v>Casual Shorts</v>
      </c>
      <c r="H848" s="1" t="str">
        <f>_xlfn.XLOOKUP(tblSales[[#This Row],[Product Code]],tblProducts[Code],tblProducts[Category],"")</f>
        <v>Accessories &amp; Basics</v>
      </c>
      <c r="I848" s="4">
        <v>5</v>
      </c>
      <c r="J848" s="5">
        <f>_xlfn.XLOOKUP(tblSales[[#This Row],[Product Code]],tblProducts[Code],tblProducts[Selling Price (excl. VAT)],0)</f>
        <v>85000</v>
      </c>
      <c r="K848" s="5">
        <f>tblSales[[#This Row],[Qty]]*tblSales[[#This Row],[Unit Price]]</f>
        <v>425000</v>
      </c>
      <c r="L848" s="5">
        <f>ROUND(tblSales[[#This Row],[DPP (excl. VAT)]]*VATEff,0)</f>
        <v>46750</v>
      </c>
      <c r="M848" s="5">
        <f>tblSales[[#This Row],[DPP (excl. VAT)]]+tblSales[[#This Row],[Output VAT]]</f>
        <v>471750</v>
      </c>
      <c r="N848" s="5">
        <f>tblSales[[#This Row],[Qty]]*_xlfn.XLOOKUP(tblSales[[#This Row],[Product Code]],tblProducts[Code],tblProducts[Unit Cost],0)</f>
        <v>250000</v>
      </c>
      <c r="O848" s="4" t="s">
        <v>4865</v>
      </c>
      <c r="P848" s="4" t="s">
        <v>4860</v>
      </c>
      <c r="Q848" s="1" t="str">
        <f>_xlfn.XLOOKUP(tblSales[[#This Row],[Channel Code]],tblChannels[Channel Code],tblChannels[Channel Name],"")</f>
        <v>In-store</v>
      </c>
      <c r="R848" s="1">
        <f>MONTH(tblSales[[#This Row],[Date]])</f>
        <v>2</v>
      </c>
    </row>
    <row r="849" spans="2:18" x14ac:dyDescent="0.35">
      <c r="B849" s="113">
        <v>46078</v>
      </c>
      <c r="C849" s="4" t="s">
        <v>591</v>
      </c>
      <c r="D849" s="4" t="s">
        <v>4568</v>
      </c>
      <c r="E849" s="1" t="str">
        <f>_xlfn.XLOOKUP(tblSales[[#This Row],[Customer ID]],tblCustomers[Customer ID],tblCustomers[Customer Name],"⚠ Unknown")</f>
        <v>Walk-in Customer</v>
      </c>
      <c r="F849" s="4" t="s">
        <v>13</v>
      </c>
      <c r="G849" s="1" t="str">
        <f>_xlfn.XLOOKUP(tblSales[[#This Row],[Product Code]],tblProducts[Code],tblProducts[Product / Service Name],"⚠ Unknown")</f>
        <v>Backpack</v>
      </c>
      <c r="H849" s="1" t="str">
        <f>_xlfn.XLOOKUP(tblSales[[#This Row],[Product Code]],tblProducts[Code],tblProducts[Category],"")</f>
        <v>Bags &amp; Gadgets</v>
      </c>
      <c r="I849" s="4">
        <v>1</v>
      </c>
      <c r="J849" s="5">
        <f>_xlfn.XLOOKUP(tblSales[[#This Row],[Product Code]],tblProducts[Code],tblProducts[Selling Price (excl. VAT)],0)</f>
        <v>500000</v>
      </c>
      <c r="K849" s="5">
        <f>tblSales[[#This Row],[Qty]]*tblSales[[#This Row],[Unit Price]]</f>
        <v>500000</v>
      </c>
      <c r="L849" s="5">
        <f>ROUND(tblSales[[#This Row],[DPP (excl. VAT)]]*VATEff,0)</f>
        <v>55000</v>
      </c>
      <c r="M849" s="5">
        <f>tblSales[[#This Row],[DPP (excl. VAT)]]+tblSales[[#This Row],[Output VAT]]</f>
        <v>555000</v>
      </c>
      <c r="N849" s="5">
        <f>tblSales[[#This Row],[Qty]]*_xlfn.XLOOKUP(tblSales[[#This Row],[Product Code]],tblProducts[Code],tblProducts[Unit Cost],0)</f>
        <v>290000</v>
      </c>
      <c r="O849" s="4" t="s">
        <v>4866</v>
      </c>
      <c r="P849" s="4" t="s">
        <v>4861</v>
      </c>
      <c r="Q849" s="1" t="str">
        <f>_xlfn.XLOOKUP(tblSales[[#This Row],[Channel Code]],tblChannels[Channel Code],tblChannels[Channel Name],"")</f>
        <v>Marketplace</v>
      </c>
      <c r="R849" s="1">
        <f>MONTH(tblSales[[#This Row],[Date]])</f>
        <v>2</v>
      </c>
    </row>
    <row r="850" spans="2:18" x14ac:dyDescent="0.35">
      <c r="B850" s="113">
        <v>46078</v>
      </c>
      <c r="C850" s="4" t="s">
        <v>591</v>
      </c>
      <c r="D850" s="4" t="s">
        <v>4568</v>
      </c>
      <c r="E850" s="1" t="str">
        <f>_xlfn.XLOOKUP(tblSales[[#This Row],[Customer ID]],tblCustomers[Customer ID],tblCustomers[Customer Name],"⚠ Unknown")</f>
        <v>Walk-in Customer</v>
      </c>
      <c r="F850" s="4" t="s">
        <v>14</v>
      </c>
      <c r="G850" s="1" t="str">
        <f>_xlfn.XLOOKUP(tblSales[[#This Row],[Product Code]],tblProducts[Code],tblProducts[Product / Service Name],"⚠ Unknown")</f>
        <v>Smartwatch</v>
      </c>
      <c r="H850" s="1" t="str">
        <f>_xlfn.XLOOKUP(tblSales[[#This Row],[Product Code]],tblProducts[Code],tblProducts[Category],"")</f>
        <v>Bags &amp; Gadgets</v>
      </c>
      <c r="I850" s="4">
        <v>1</v>
      </c>
      <c r="J850" s="5">
        <f>_xlfn.XLOOKUP(tblSales[[#This Row],[Product Code]],tblProducts[Code],tblProducts[Selling Price (excl. VAT)],0)</f>
        <v>850000</v>
      </c>
      <c r="K850" s="5">
        <f>tblSales[[#This Row],[Qty]]*tblSales[[#This Row],[Unit Price]]</f>
        <v>850000</v>
      </c>
      <c r="L850" s="5">
        <f>ROUND(tblSales[[#This Row],[DPP (excl. VAT)]]*VATEff,0)</f>
        <v>93500</v>
      </c>
      <c r="M850" s="5">
        <f>tblSales[[#This Row],[DPP (excl. VAT)]]+tblSales[[#This Row],[Output VAT]]</f>
        <v>943500</v>
      </c>
      <c r="N850" s="5">
        <f>tblSales[[#This Row],[Qty]]*_xlfn.XLOOKUP(tblSales[[#This Row],[Product Code]],tblProducts[Code],tblProducts[Unit Cost],0)</f>
        <v>560000</v>
      </c>
      <c r="O850" s="4" t="s">
        <v>4866</v>
      </c>
      <c r="P850" s="4" t="s">
        <v>4861</v>
      </c>
      <c r="Q850" s="1" t="str">
        <f>_xlfn.XLOOKUP(tblSales[[#This Row],[Channel Code]],tblChannels[Channel Code],tblChannels[Channel Name],"")</f>
        <v>Marketplace</v>
      </c>
      <c r="R850" s="1">
        <f>MONTH(tblSales[[#This Row],[Date]])</f>
        <v>2</v>
      </c>
    </row>
    <row r="851" spans="2:18" x14ac:dyDescent="0.35">
      <c r="B851" s="113">
        <v>46078</v>
      </c>
      <c r="C851" s="4" t="s">
        <v>592</v>
      </c>
      <c r="D851" s="4" t="s">
        <v>4585</v>
      </c>
      <c r="E851" s="1" t="str">
        <f>_xlfn.XLOOKUP(tblSales[[#This Row],[Customer ID]],tblCustomers[Customer ID],tblCustomers[Customer Name],"⚠ Unknown")</f>
        <v>CV Mitra Karya Mandiri</v>
      </c>
      <c r="F851" s="4" t="s">
        <v>9</v>
      </c>
      <c r="G851" s="1" t="str">
        <f>_xlfn.XLOOKUP(tblSales[[#This Row],[Product Code]],tblProducts[Code],tblProducts[Product / Service Name],"⚠ Unknown")</f>
        <v>Casual Shirt</v>
      </c>
      <c r="H851" s="1" t="str">
        <f>_xlfn.XLOOKUP(tblSales[[#This Row],[Product Code]],tblProducts[Code],tblProducts[Category],"")</f>
        <v>Apparel &amp; Footwear</v>
      </c>
      <c r="I851" s="4">
        <v>96</v>
      </c>
      <c r="J851" s="5">
        <f>_xlfn.XLOOKUP(tblSales[[#This Row],[Product Code]],tblProducts[Code],tblProducts[Selling Price (excl. VAT)],0)</f>
        <v>120000</v>
      </c>
      <c r="K851" s="5">
        <f>tblSales[[#This Row],[Qty]]*tblSales[[#This Row],[Unit Price]]</f>
        <v>11520000</v>
      </c>
      <c r="L851" s="5">
        <f>ROUND(tblSales[[#This Row],[DPP (excl. VAT)]]*VATEff,0)</f>
        <v>1267200</v>
      </c>
      <c r="M851" s="5">
        <f>tblSales[[#This Row],[DPP (excl. VAT)]]+tblSales[[#This Row],[Output VAT]]</f>
        <v>12787200</v>
      </c>
      <c r="N851" s="5">
        <f>tblSales[[#This Row],[Qty]]*_xlfn.XLOOKUP(tblSales[[#This Row],[Product Code]],tblProducts[Code],tblProducts[Unit Cost],0)</f>
        <v>6912000</v>
      </c>
      <c r="O851" s="4" t="s">
        <v>4867</v>
      </c>
      <c r="P851" s="4" t="s">
        <v>4860</v>
      </c>
      <c r="Q851" s="1" t="str">
        <f>_xlfn.XLOOKUP(tblSales[[#This Row],[Channel Code]],tblChannels[Channel Code],tblChannels[Channel Name],"")</f>
        <v>In-store</v>
      </c>
      <c r="R851" s="1">
        <f>MONTH(tblSales[[#This Row],[Date]])</f>
        <v>2</v>
      </c>
    </row>
    <row r="852" spans="2:18" x14ac:dyDescent="0.35">
      <c r="B852" s="113">
        <v>46078</v>
      </c>
      <c r="C852" s="4" t="s">
        <v>593</v>
      </c>
      <c r="D852" s="4" t="s">
        <v>4634</v>
      </c>
      <c r="E852" s="1" t="str">
        <f>_xlfn.XLOOKUP(tblSales[[#This Row],[Customer ID]],tblCustomers[Customer ID],tblCustomers[Customer Name],"⚠ Unknown")</f>
        <v>PT Delta Inti Selaras</v>
      </c>
      <c r="F852" s="4" t="s">
        <v>10</v>
      </c>
      <c r="G852" s="1" t="str">
        <f>_xlfn.XLOOKUP(tblSales[[#This Row],[Product Code]],tblProducts[Code],tblProducts[Product / Service Name],"⚠ Unknown")</f>
        <v>Chino Pants</v>
      </c>
      <c r="H852" s="1" t="str">
        <f>_xlfn.XLOOKUP(tblSales[[#This Row],[Product Code]],tblProducts[Code],tblProducts[Category],"")</f>
        <v>Apparel &amp; Footwear</v>
      </c>
      <c r="I852" s="4">
        <v>64</v>
      </c>
      <c r="J852" s="5">
        <f>_xlfn.XLOOKUP(tblSales[[#This Row],[Product Code]],tblProducts[Code],tblProducts[Selling Price (excl. VAT)],0)</f>
        <v>150000</v>
      </c>
      <c r="K852" s="5">
        <f>tblSales[[#This Row],[Qty]]*tblSales[[#This Row],[Unit Price]]</f>
        <v>9600000</v>
      </c>
      <c r="L852" s="5">
        <f>ROUND(tblSales[[#This Row],[DPP (excl. VAT)]]*VATEff,0)</f>
        <v>1056000</v>
      </c>
      <c r="M852" s="5">
        <f>tblSales[[#This Row],[DPP (excl. VAT)]]+tblSales[[#This Row],[Output VAT]]</f>
        <v>10656000</v>
      </c>
      <c r="N852" s="5">
        <f>tblSales[[#This Row],[Qty]]*_xlfn.XLOOKUP(tblSales[[#This Row],[Product Code]],tblProducts[Code],tblProducts[Unit Cost],0)</f>
        <v>5632000</v>
      </c>
      <c r="O852" s="4" t="s">
        <v>4867</v>
      </c>
      <c r="P852" s="4" t="s">
        <v>4860</v>
      </c>
      <c r="Q852" s="1" t="str">
        <f>_xlfn.XLOOKUP(tblSales[[#This Row],[Channel Code]],tblChannels[Channel Code],tblChannels[Channel Name],"")</f>
        <v>In-store</v>
      </c>
      <c r="R852" s="1">
        <f>MONTH(tblSales[[#This Row],[Date]])</f>
        <v>2</v>
      </c>
    </row>
    <row r="853" spans="2:18" x14ac:dyDescent="0.35">
      <c r="B853" s="113">
        <v>46078</v>
      </c>
      <c r="C853" s="4" t="s">
        <v>593</v>
      </c>
      <c r="D853" s="4" t="s">
        <v>4634</v>
      </c>
      <c r="E853" s="1" t="str">
        <f>_xlfn.XLOOKUP(tblSales[[#This Row],[Customer ID]],tblCustomers[Customer ID],tblCustomers[Customer Name],"⚠ Unknown")</f>
        <v>PT Delta Inti Selaras</v>
      </c>
      <c r="F853" s="4" t="s">
        <v>13</v>
      </c>
      <c r="G853" s="1" t="str">
        <f>_xlfn.XLOOKUP(tblSales[[#This Row],[Product Code]],tblProducts[Code],tblProducts[Product / Service Name],"⚠ Unknown")</f>
        <v>Backpack</v>
      </c>
      <c r="H853" s="1" t="str">
        <f>_xlfn.XLOOKUP(tblSales[[#This Row],[Product Code]],tblProducts[Code],tblProducts[Category],"")</f>
        <v>Bags &amp; Gadgets</v>
      </c>
      <c r="I853" s="4">
        <v>24</v>
      </c>
      <c r="J853" s="5">
        <f>_xlfn.XLOOKUP(tblSales[[#This Row],[Product Code]],tblProducts[Code],tblProducts[Selling Price (excl. VAT)],0)</f>
        <v>500000</v>
      </c>
      <c r="K853" s="5">
        <f>tblSales[[#This Row],[Qty]]*tblSales[[#This Row],[Unit Price]]</f>
        <v>12000000</v>
      </c>
      <c r="L853" s="5">
        <f>ROUND(tblSales[[#This Row],[DPP (excl. VAT)]]*VATEff,0)</f>
        <v>1320000</v>
      </c>
      <c r="M853" s="5">
        <f>tblSales[[#This Row],[DPP (excl. VAT)]]+tblSales[[#This Row],[Output VAT]]</f>
        <v>13320000</v>
      </c>
      <c r="N853" s="5">
        <f>tblSales[[#This Row],[Qty]]*_xlfn.XLOOKUP(tblSales[[#This Row],[Product Code]],tblProducts[Code],tblProducts[Unit Cost],0)</f>
        <v>6960000</v>
      </c>
      <c r="O853" s="4" t="s">
        <v>4867</v>
      </c>
      <c r="P853" s="4" t="s">
        <v>4860</v>
      </c>
      <c r="Q853" s="1" t="str">
        <f>_xlfn.XLOOKUP(tblSales[[#This Row],[Channel Code]],tblChannels[Channel Code],tblChannels[Channel Name],"")</f>
        <v>In-store</v>
      </c>
      <c r="R853" s="1">
        <f>MONTH(tblSales[[#This Row],[Date]])</f>
        <v>2</v>
      </c>
    </row>
    <row r="854" spans="2:18" x14ac:dyDescent="0.35">
      <c r="B854" s="113">
        <v>46078</v>
      </c>
      <c r="C854" s="4" t="s">
        <v>594</v>
      </c>
      <c r="D854" s="4" t="s">
        <v>4568</v>
      </c>
      <c r="E854" s="1" t="str">
        <f>_xlfn.XLOOKUP(tblSales[[#This Row],[Customer ID]],tblCustomers[Customer ID],tblCustomers[Customer Name],"⚠ Unknown")</f>
        <v>Walk-in Customer</v>
      </c>
      <c r="F854" s="4" t="s">
        <v>9</v>
      </c>
      <c r="G854" s="1" t="str">
        <f>_xlfn.XLOOKUP(tblSales[[#This Row],[Product Code]],tblProducts[Code],tblProducts[Product / Service Name],"⚠ Unknown")</f>
        <v>Casual Shirt</v>
      </c>
      <c r="H854" s="1" t="str">
        <f>_xlfn.XLOOKUP(tblSales[[#This Row],[Product Code]],tblProducts[Code],tblProducts[Category],"")</f>
        <v>Apparel &amp; Footwear</v>
      </c>
      <c r="I854" s="4">
        <v>5</v>
      </c>
      <c r="J854" s="5">
        <f>_xlfn.XLOOKUP(tblSales[[#This Row],[Product Code]],tblProducts[Code],tblProducts[Selling Price (excl. VAT)],0)</f>
        <v>120000</v>
      </c>
      <c r="K854" s="5">
        <f>tblSales[[#This Row],[Qty]]*tblSales[[#This Row],[Unit Price]]</f>
        <v>600000</v>
      </c>
      <c r="L854" s="5">
        <f>ROUND(tblSales[[#This Row],[DPP (excl. VAT)]]*VATEff,0)</f>
        <v>66000</v>
      </c>
      <c r="M854" s="5">
        <f>tblSales[[#This Row],[DPP (excl. VAT)]]+tblSales[[#This Row],[Output VAT]]</f>
        <v>666000</v>
      </c>
      <c r="N854" s="5">
        <f>tblSales[[#This Row],[Qty]]*_xlfn.XLOOKUP(tblSales[[#This Row],[Product Code]],tblProducts[Code],tblProducts[Unit Cost],0)</f>
        <v>360000</v>
      </c>
      <c r="O854" s="4" t="s">
        <v>4865</v>
      </c>
      <c r="P854" s="4" t="s">
        <v>4860</v>
      </c>
      <c r="Q854" s="1" t="str">
        <f>_xlfn.XLOOKUP(tblSales[[#This Row],[Channel Code]],tblChannels[Channel Code],tblChannels[Channel Name],"")</f>
        <v>In-store</v>
      </c>
      <c r="R854" s="1">
        <f>MONTH(tblSales[[#This Row],[Date]])</f>
        <v>2</v>
      </c>
    </row>
    <row r="855" spans="2:18" x14ac:dyDescent="0.35">
      <c r="B855" s="113">
        <v>46078</v>
      </c>
      <c r="C855" s="4" t="s">
        <v>594</v>
      </c>
      <c r="D855" s="4" t="s">
        <v>4568</v>
      </c>
      <c r="E855" s="1" t="str">
        <f>_xlfn.XLOOKUP(tblSales[[#This Row],[Customer ID]],tblCustomers[Customer ID],tblCustomers[Customer Name],"⚠ Unknown")</f>
        <v>Walk-in Customer</v>
      </c>
      <c r="F855" s="4" t="s">
        <v>6</v>
      </c>
      <c r="G855" s="1" t="str">
        <f>_xlfn.XLOOKUP(tblSales[[#This Row],[Product Code]],tblProducts[Code],tblProducts[Product / Service Name],"⚠ Unknown")</f>
        <v>Socks &amp; Accessories</v>
      </c>
      <c r="H855" s="1" t="str">
        <f>_xlfn.XLOOKUP(tblSales[[#This Row],[Product Code]],tblProducts[Code],tblProducts[Category],"")</f>
        <v>Accessories &amp; Basics</v>
      </c>
      <c r="I855" s="4">
        <v>7</v>
      </c>
      <c r="J855" s="5">
        <f>_xlfn.XLOOKUP(tblSales[[#This Row],[Product Code]],tblProducts[Code],tblProducts[Selling Price (excl. VAT)],0)</f>
        <v>45000</v>
      </c>
      <c r="K855" s="5">
        <f>tblSales[[#This Row],[Qty]]*tblSales[[#This Row],[Unit Price]]</f>
        <v>315000</v>
      </c>
      <c r="L855" s="5">
        <f>ROUND(tblSales[[#This Row],[DPP (excl. VAT)]]*VATEff,0)</f>
        <v>34650</v>
      </c>
      <c r="M855" s="5">
        <f>tblSales[[#This Row],[DPP (excl. VAT)]]+tblSales[[#This Row],[Output VAT]]</f>
        <v>349650</v>
      </c>
      <c r="N855" s="5">
        <f>tblSales[[#This Row],[Qty]]*_xlfn.XLOOKUP(tblSales[[#This Row],[Product Code]],tblProducts[Code],tblProducts[Unit Cost],0)</f>
        <v>168000</v>
      </c>
      <c r="O855" s="4" t="s">
        <v>4865</v>
      </c>
      <c r="P855" s="4" t="s">
        <v>4860</v>
      </c>
      <c r="Q855" s="1" t="str">
        <f>_xlfn.XLOOKUP(tblSales[[#This Row],[Channel Code]],tblChannels[Channel Code],tblChannels[Channel Name],"")</f>
        <v>In-store</v>
      </c>
      <c r="R855" s="1">
        <f>MONTH(tblSales[[#This Row],[Date]])</f>
        <v>2</v>
      </c>
    </row>
    <row r="856" spans="2:18" x14ac:dyDescent="0.35">
      <c r="B856" s="113">
        <v>46078</v>
      </c>
      <c r="C856" s="4" t="s">
        <v>594</v>
      </c>
      <c r="D856" s="4" t="s">
        <v>4568</v>
      </c>
      <c r="E856" s="1" t="str">
        <f>_xlfn.XLOOKUP(tblSales[[#This Row],[Customer ID]],tblCustomers[Customer ID],tblCustomers[Customer Name],"⚠ Unknown")</f>
        <v>Walk-in Customer</v>
      </c>
      <c r="F856" s="4" t="s">
        <v>10</v>
      </c>
      <c r="G856" s="1" t="str">
        <f>_xlfn.XLOOKUP(tblSales[[#This Row],[Product Code]],tblProducts[Code],tblProducts[Product / Service Name],"⚠ Unknown")</f>
        <v>Chino Pants</v>
      </c>
      <c r="H856" s="1" t="str">
        <f>_xlfn.XLOOKUP(tblSales[[#This Row],[Product Code]],tblProducts[Code],tblProducts[Category],"")</f>
        <v>Apparel &amp; Footwear</v>
      </c>
      <c r="I856" s="4">
        <v>1</v>
      </c>
      <c r="J856" s="5">
        <f>_xlfn.XLOOKUP(tblSales[[#This Row],[Product Code]],tblProducts[Code],tblProducts[Selling Price (excl. VAT)],0)</f>
        <v>150000</v>
      </c>
      <c r="K856" s="5">
        <f>tblSales[[#This Row],[Qty]]*tblSales[[#This Row],[Unit Price]]</f>
        <v>150000</v>
      </c>
      <c r="L856" s="5">
        <f>ROUND(tblSales[[#This Row],[DPP (excl. VAT)]]*VATEff,0)</f>
        <v>16500</v>
      </c>
      <c r="M856" s="5">
        <f>tblSales[[#This Row],[DPP (excl. VAT)]]+tblSales[[#This Row],[Output VAT]]</f>
        <v>166500</v>
      </c>
      <c r="N856" s="5">
        <f>tblSales[[#This Row],[Qty]]*_xlfn.XLOOKUP(tblSales[[#This Row],[Product Code]],tblProducts[Code],tblProducts[Unit Cost],0)</f>
        <v>88000</v>
      </c>
      <c r="O856" s="4" t="s">
        <v>4865</v>
      </c>
      <c r="P856" s="4" t="s">
        <v>4860</v>
      </c>
      <c r="Q856" s="1" t="str">
        <f>_xlfn.XLOOKUP(tblSales[[#This Row],[Channel Code]],tblChannels[Channel Code],tblChannels[Channel Name],"")</f>
        <v>In-store</v>
      </c>
      <c r="R856" s="1">
        <f>MONTH(tblSales[[#This Row],[Date]])</f>
        <v>2</v>
      </c>
    </row>
    <row r="857" spans="2:18" x14ac:dyDescent="0.35">
      <c r="B857" s="113">
        <v>46078</v>
      </c>
      <c r="C857" s="4" t="s">
        <v>595</v>
      </c>
      <c r="D857" s="4" t="s">
        <v>4613</v>
      </c>
      <c r="E857" s="1" t="str">
        <f>_xlfn.XLOOKUP(tblSales[[#This Row],[Customer ID]],tblCustomers[Customer ID],tblCustomers[Customer Name],"⚠ Unknown")</f>
        <v>PT Mega Prima Distribusi</v>
      </c>
      <c r="F857" s="4" t="s">
        <v>11</v>
      </c>
      <c r="G857" s="1" t="str">
        <f>_xlfn.XLOOKUP(tblSales[[#This Row],[Product Code]],tblProducts[Code],tblProducts[Product / Service Name],"⚠ Unknown")</f>
        <v>Sneakers</v>
      </c>
      <c r="H857" s="1" t="str">
        <f>_xlfn.XLOOKUP(tblSales[[#This Row],[Product Code]],tblProducts[Code],tblProducts[Category],"")</f>
        <v>Apparel &amp; Footwear</v>
      </c>
      <c r="I857" s="4">
        <v>8</v>
      </c>
      <c r="J857" s="5">
        <f>_xlfn.XLOOKUP(tblSales[[#This Row],[Product Code]],tblProducts[Code],tblProducts[Selling Price (excl. VAT)],0)</f>
        <v>250000</v>
      </c>
      <c r="K857" s="5">
        <f>tblSales[[#This Row],[Qty]]*tblSales[[#This Row],[Unit Price]]</f>
        <v>2000000</v>
      </c>
      <c r="L857" s="5">
        <f>ROUND(tblSales[[#This Row],[DPP (excl. VAT)]]*VATEff,0)</f>
        <v>220000</v>
      </c>
      <c r="M857" s="5">
        <f>tblSales[[#This Row],[DPP (excl. VAT)]]+tblSales[[#This Row],[Output VAT]]</f>
        <v>2220000</v>
      </c>
      <c r="N857" s="5">
        <f>tblSales[[#This Row],[Qty]]*_xlfn.XLOOKUP(tblSales[[#This Row],[Product Code]],tblProducts[Code],tblProducts[Unit Cost],0)</f>
        <v>1240000</v>
      </c>
      <c r="O857" s="4" t="s">
        <v>4867</v>
      </c>
      <c r="P857" s="4" t="s">
        <v>4862</v>
      </c>
      <c r="Q857" s="1" t="str">
        <f>_xlfn.XLOOKUP(tblSales[[#This Row],[Channel Code]],tblChannels[Channel Code],tblChannels[Channel Name],"")</f>
        <v>Website &amp; Social Media</v>
      </c>
      <c r="R857" s="1">
        <f>MONTH(tblSales[[#This Row],[Date]])</f>
        <v>2</v>
      </c>
    </row>
    <row r="858" spans="2:18" x14ac:dyDescent="0.35">
      <c r="B858" s="113">
        <v>46079</v>
      </c>
      <c r="C858" s="4" t="s">
        <v>596</v>
      </c>
      <c r="D858" s="4" t="s">
        <v>4568</v>
      </c>
      <c r="E858" s="1" t="str">
        <f>_xlfn.XLOOKUP(tblSales[[#This Row],[Customer ID]],tblCustomers[Customer ID],tblCustomers[Customer Name],"⚠ Unknown")</f>
        <v>Walk-in Customer</v>
      </c>
      <c r="F858" s="4" t="s">
        <v>7</v>
      </c>
      <c r="G858" s="1" t="str">
        <f>_xlfn.XLOOKUP(tblSales[[#This Row],[Product Code]],tblProducts[Code],tblProducts[Product / Service Name],"⚠ Unknown")</f>
        <v>Premium Basic T-shirt</v>
      </c>
      <c r="H858" s="1" t="str">
        <f>_xlfn.XLOOKUP(tblSales[[#This Row],[Product Code]],tblProducts[Code],tblProducts[Category],"")</f>
        <v>Accessories &amp; Basics</v>
      </c>
      <c r="I858" s="4">
        <v>8</v>
      </c>
      <c r="J858" s="5">
        <f>_xlfn.XLOOKUP(tblSales[[#This Row],[Product Code]],tblProducts[Code],tblProducts[Selling Price (excl. VAT)],0)</f>
        <v>65000</v>
      </c>
      <c r="K858" s="5">
        <f>tblSales[[#This Row],[Qty]]*tblSales[[#This Row],[Unit Price]]</f>
        <v>520000</v>
      </c>
      <c r="L858" s="5">
        <f>ROUND(tblSales[[#This Row],[DPP (excl. VAT)]]*VATEff,0)</f>
        <v>57200</v>
      </c>
      <c r="M858" s="5">
        <f>tblSales[[#This Row],[DPP (excl. VAT)]]+tblSales[[#This Row],[Output VAT]]</f>
        <v>577200</v>
      </c>
      <c r="N858" s="5">
        <f>tblSales[[#This Row],[Qty]]*_xlfn.XLOOKUP(tblSales[[#This Row],[Product Code]],tblProducts[Code],tblProducts[Unit Cost],0)</f>
        <v>296000</v>
      </c>
      <c r="O858" s="4" t="s">
        <v>4865</v>
      </c>
      <c r="P858" s="4" t="s">
        <v>4860</v>
      </c>
      <c r="Q858" s="1" t="str">
        <f>_xlfn.XLOOKUP(tblSales[[#This Row],[Channel Code]],tblChannels[Channel Code],tblChannels[Channel Name],"")</f>
        <v>In-store</v>
      </c>
      <c r="R858" s="1">
        <f>MONTH(tblSales[[#This Row],[Date]])</f>
        <v>2</v>
      </c>
    </row>
    <row r="859" spans="2:18" x14ac:dyDescent="0.35">
      <c r="B859" s="113">
        <v>46079</v>
      </c>
      <c r="C859" s="4" t="s">
        <v>597</v>
      </c>
      <c r="D859" s="4" t="s">
        <v>4568</v>
      </c>
      <c r="E859" s="1" t="str">
        <f>_xlfn.XLOOKUP(tblSales[[#This Row],[Customer ID]],tblCustomers[Customer ID],tblCustomers[Customer Name],"⚠ Unknown")</f>
        <v>Walk-in Customer</v>
      </c>
      <c r="F859" s="4" t="s">
        <v>6</v>
      </c>
      <c r="G859" s="1" t="str">
        <f>_xlfn.XLOOKUP(tblSales[[#This Row],[Product Code]],tblProducts[Code],tblProducts[Product / Service Name],"⚠ Unknown")</f>
        <v>Socks &amp; Accessories</v>
      </c>
      <c r="H859" s="1" t="str">
        <f>_xlfn.XLOOKUP(tblSales[[#This Row],[Product Code]],tblProducts[Code],tblProducts[Category],"")</f>
        <v>Accessories &amp; Basics</v>
      </c>
      <c r="I859" s="4">
        <v>11</v>
      </c>
      <c r="J859" s="5">
        <f>_xlfn.XLOOKUP(tblSales[[#This Row],[Product Code]],tblProducts[Code],tblProducts[Selling Price (excl. VAT)],0)</f>
        <v>45000</v>
      </c>
      <c r="K859" s="5">
        <f>tblSales[[#This Row],[Qty]]*tblSales[[#This Row],[Unit Price]]</f>
        <v>495000</v>
      </c>
      <c r="L859" s="5">
        <f>ROUND(tblSales[[#This Row],[DPP (excl. VAT)]]*VATEff,0)</f>
        <v>54450</v>
      </c>
      <c r="M859" s="5">
        <f>tblSales[[#This Row],[DPP (excl. VAT)]]+tblSales[[#This Row],[Output VAT]]</f>
        <v>549450</v>
      </c>
      <c r="N859" s="5">
        <f>tblSales[[#This Row],[Qty]]*_xlfn.XLOOKUP(tblSales[[#This Row],[Product Code]],tblProducts[Code],tblProducts[Unit Cost],0)</f>
        <v>264000</v>
      </c>
      <c r="O859" s="4" t="s">
        <v>4866</v>
      </c>
      <c r="P859" s="4" t="s">
        <v>4860</v>
      </c>
      <c r="Q859" s="1" t="str">
        <f>_xlfn.XLOOKUP(tblSales[[#This Row],[Channel Code]],tblChannels[Channel Code],tblChannels[Channel Name],"")</f>
        <v>In-store</v>
      </c>
      <c r="R859" s="1">
        <f>MONTH(tblSales[[#This Row],[Date]])</f>
        <v>2</v>
      </c>
    </row>
    <row r="860" spans="2:18" x14ac:dyDescent="0.35">
      <c r="B860" s="113">
        <v>46079</v>
      </c>
      <c r="C860" s="4" t="s">
        <v>598</v>
      </c>
      <c r="D860" s="4" t="s">
        <v>4568</v>
      </c>
      <c r="E860" s="1" t="str">
        <f>_xlfn.XLOOKUP(tblSales[[#This Row],[Customer ID]],tblCustomers[Customer ID],tblCustomers[Customer Name],"⚠ Unknown")</f>
        <v>Walk-in Customer</v>
      </c>
      <c r="F860" s="4" t="s">
        <v>12</v>
      </c>
      <c r="G860" s="1" t="str">
        <f>_xlfn.XLOOKUP(tblSales[[#This Row],[Product Code]],tblProducts[Code],tblProducts[Product / Service Name],"⚠ Unknown")</f>
        <v>Bomber Jacket</v>
      </c>
      <c r="H860" s="1" t="str">
        <f>_xlfn.XLOOKUP(tblSales[[#This Row],[Product Code]],tblProducts[Code],tblProducts[Category],"")</f>
        <v>Apparel &amp; Footwear</v>
      </c>
      <c r="I860" s="4">
        <v>2</v>
      </c>
      <c r="J860" s="5">
        <f>_xlfn.XLOOKUP(tblSales[[#This Row],[Product Code]],tblProducts[Code],tblProducts[Selling Price (excl. VAT)],0)</f>
        <v>350000</v>
      </c>
      <c r="K860" s="5">
        <f>tblSales[[#This Row],[Qty]]*tblSales[[#This Row],[Unit Price]]</f>
        <v>700000</v>
      </c>
      <c r="L860" s="5">
        <f>ROUND(tblSales[[#This Row],[DPP (excl. VAT)]]*VATEff,0)</f>
        <v>77000</v>
      </c>
      <c r="M860" s="5">
        <f>tblSales[[#This Row],[DPP (excl. VAT)]]+tblSales[[#This Row],[Output VAT]]</f>
        <v>777000</v>
      </c>
      <c r="N860" s="5">
        <f>tblSales[[#This Row],[Qty]]*_xlfn.XLOOKUP(tblSales[[#This Row],[Product Code]],tblProducts[Code],tblProducts[Unit Cost],0)</f>
        <v>420000</v>
      </c>
      <c r="O860" s="4" t="s">
        <v>4865</v>
      </c>
      <c r="P860" s="4" t="s">
        <v>4860</v>
      </c>
      <c r="Q860" s="1" t="str">
        <f>_xlfn.XLOOKUP(tblSales[[#This Row],[Channel Code]],tblChannels[Channel Code],tblChannels[Channel Name],"")</f>
        <v>In-store</v>
      </c>
      <c r="R860" s="1">
        <f>MONTH(tblSales[[#This Row],[Date]])</f>
        <v>2</v>
      </c>
    </row>
    <row r="861" spans="2:18" x14ac:dyDescent="0.35">
      <c r="B861" s="113">
        <v>46079</v>
      </c>
      <c r="C861" s="4" t="s">
        <v>598</v>
      </c>
      <c r="D861" s="4" t="s">
        <v>4568</v>
      </c>
      <c r="E861" s="1" t="str">
        <f>_xlfn.XLOOKUP(tblSales[[#This Row],[Customer ID]],tblCustomers[Customer ID],tblCustomers[Customer Name],"⚠ Unknown")</f>
        <v>Walk-in Customer</v>
      </c>
      <c r="F861" s="4" t="s">
        <v>14</v>
      </c>
      <c r="G861" s="1" t="str">
        <f>_xlfn.XLOOKUP(tblSales[[#This Row],[Product Code]],tblProducts[Code],tblProducts[Product / Service Name],"⚠ Unknown")</f>
        <v>Smartwatch</v>
      </c>
      <c r="H861" s="1" t="str">
        <f>_xlfn.XLOOKUP(tblSales[[#This Row],[Product Code]],tblProducts[Code],tblProducts[Category],"")</f>
        <v>Bags &amp; Gadgets</v>
      </c>
      <c r="I861" s="4">
        <v>2</v>
      </c>
      <c r="J861" s="5">
        <f>_xlfn.XLOOKUP(tblSales[[#This Row],[Product Code]],tblProducts[Code],tblProducts[Selling Price (excl. VAT)],0)</f>
        <v>850000</v>
      </c>
      <c r="K861" s="5">
        <f>tblSales[[#This Row],[Qty]]*tblSales[[#This Row],[Unit Price]]</f>
        <v>1700000</v>
      </c>
      <c r="L861" s="5">
        <f>ROUND(tblSales[[#This Row],[DPP (excl. VAT)]]*VATEff,0)</f>
        <v>187000</v>
      </c>
      <c r="M861" s="5">
        <f>tblSales[[#This Row],[DPP (excl. VAT)]]+tblSales[[#This Row],[Output VAT]]</f>
        <v>1887000</v>
      </c>
      <c r="N861" s="5">
        <f>tblSales[[#This Row],[Qty]]*_xlfn.XLOOKUP(tblSales[[#This Row],[Product Code]],tblProducts[Code],tblProducts[Unit Cost],0)</f>
        <v>1120000</v>
      </c>
      <c r="O861" s="4" t="s">
        <v>4865</v>
      </c>
      <c r="P861" s="4" t="s">
        <v>4860</v>
      </c>
      <c r="Q861" s="1" t="str">
        <f>_xlfn.XLOOKUP(tblSales[[#This Row],[Channel Code]],tblChannels[Channel Code],tblChannels[Channel Name],"")</f>
        <v>In-store</v>
      </c>
      <c r="R861" s="1">
        <f>MONTH(tblSales[[#This Row],[Date]])</f>
        <v>2</v>
      </c>
    </row>
    <row r="862" spans="2:18" x14ac:dyDescent="0.35">
      <c r="B862" s="113">
        <v>46079</v>
      </c>
      <c r="C862" s="4" t="s">
        <v>599</v>
      </c>
      <c r="D862" s="4" t="s">
        <v>4641</v>
      </c>
      <c r="E862" s="1" t="str">
        <f>_xlfn.XLOOKUP(tblSales[[#This Row],[Customer ID]],tblCustomers[Customer ID],tblCustomers[Customer Name],"⚠ Unknown")</f>
        <v>PT Harmoni Pangan Lestari</v>
      </c>
      <c r="F862" s="4" t="s">
        <v>7</v>
      </c>
      <c r="G862" s="1" t="str">
        <f>_xlfn.XLOOKUP(tblSales[[#This Row],[Product Code]],tblProducts[Code],tblProducts[Product / Service Name],"⚠ Unknown")</f>
        <v>Premium Basic T-shirt</v>
      </c>
      <c r="H862" s="1" t="str">
        <f>_xlfn.XLOOKUP(tblSales[[#This Row],[Product Code]],tblProducts[Code],tblProducts[Category],"")</f>
        <v>Accessories &amp; Basics</v>
      </c>
      <c r="I862" s="4">
        <v>80</v>
      </c>
      <c r="J862" s="5">
        <f>_xlfn.XLOOKUP(tblSales[[#This Row],[Product Code]],tblProducts[Code],tblProducts[Selling Price (excl. VAT)],0)</f>
        <v>65000</v>
      </c>
      <c r="K862" s="5">
        <f>tblSales[[#This Row],[Qty]]*tblSales[[#This Row],[Unit Price]]</f>
        <v>5200000</v>
      </c>
      <c r="L862" s="5">
        <f>ROUND(tblSales[[#This Row],[DPP (excl. VAT)]]*VATEff,0)</f>
        <v>572000</v>
      </c>
      <c r="M862" s="5">
        <f>tblSales[[#This Row],[DPP (excl. VAT)]]+tblSales[[#This Row],[Output VAT]]</f>
        <v>5772000</v>
      </c>
      <c r="N862" s="5">
        <f>tblSales[[#This Row],[Qty]]*_xlfn.XLOOKUP(tblSales[[#This Row],[Product Code]],tblProducts[Code],tblProducts[Unit Cost],0)</f>
        <v>2960000</v>
      </c>
      <c r="O862" s="4" t="s">
        <v>4867</v>
      </c>
      <c r="P862" s="4" t="s">
        <v>4860</v>
      </c>
      <c r="Q862" s="1" t="str">
        <f>_xlfn.XLOOKUP(tblSales[[#This Row],[Channel Code]],tblChannels[Channel Code],tblChannels[Channel Name],"")</f>
        <v>In-store</v>
      </c>
      <c r="R862" s="1">
        <f>MONTH(tblSales[[#This Row],[Date]])</f>
        <v>2</v>
      </c>
    </row>
    <row r="863" spans="2:18" x14ac:dyDescent="0.35">
      <c r="B863" s="113">
        <v>46079</v>
      </c>
      <c r="C863" s="4" t="s">
        <v>600</v>
      </c>
      <c r="D863" s="4" t="s">
        <v>4568</v>
      </c>
      <c r="E863" s="1" t="str">
        <f>_xlfn.XLOOKUP(tblSales[[#This Row],[Customer ID]],tblCustomers[Customer ID],tblCustomers[Customer Name],"⚠ Unknown")</f>
        <v>Walk-in Customer</v>
      </c>
      <c r="F863" s="4" t="s">
        <v>6</v>
      </c>
      <c r="G863" s="1" t="str">
        <f>_xlfn.XLOOKUP(tblSales[[#This Row],[Product Code]],tblProducts[Code],tblProducts[Product / Service Name],"⚠ Unknown")</f>
        <v>Socks &amp; Accessories</v>
      </c>
      <c r="H863" s="1" t="str">
        <f>_xlfn.XLOOKUP(tblSales[[#This Row],[Product Code]],tblProducts[Code],tblProducts[Category],"")</f>
        <v>Accessories &amp; Basics</v>
      </c>
      <c r="I863" s="4">
        <v>7</v>
      </c>
      <c r="J863" s="5">
        <f>_xlfn.XLOOKUP(tblSales[[#This Row],[Product Code]],tblProducts[Code],tblProducts[Selling Price (excl. VAT)],0)</f>
        <v>45000</v>
      </c>
      <c r="K863" s="5">
        <f>tblSales[[#This Row],[Qty]]*tblSales[[#This Row],[Unit Price]]</f>
        <v>315000</v>
      </c>
      <c r="L863" s="5">
        <f>ROUND(tblSales[[#This Row],[DPP (excl. VAT)]]*VATEff,0)</f>
        <v>34650</v>
      </c>
      <c r="M863" s="5">
        <f>tblSales[[#This Row],[DPP (excl. VAT)]]+tblSales[[#This Row],[Output VAT]]</f>
        <v>349650</v>
      </c>
      <c r="N863" s="5">
        <f>tblSales[[#This Row],[Qty]]*_xlfn.XLOOKUP(tblSales[[#This Row],[Product Code]],tblProducts[Code],tblProducts[Unit Cost],0)</f>
        <v>168000</v>
      </c>
      <c r="O863" s="4" t="s">
        <v>4865</v>
      </c>
      <c r="P863" s="4" t="s">
        <v>4860</v>
      </c>
      <c r="Q863" s="1" t="str">
        <f>_xlfn.XLOOKUP(tblSales[[#This Row],[Channel Code]],tblChannels[Channel Code],tblChannels[Channel Name],"")</f>
        <v>In-store</v>
      </c>
      <c r="R863" s="1">
        <f>MONTH(tblSales[[#This Row],[Date]])</f>
        <v>2</v>
      </c>
    </row>
    <row r="864" spans="2:18" x14ac:dyDescent="0.35">
      <c r="B864" s="113">
        <v>46079</v>
      </c>
      <c r="C864" s="4" t="s">
        <v>600</v>
      </c>
      <c r="D864" s="4" t="s">
        <v>4568</v>
      </c>
      <c r="E864" s="1" t="str">
        <f>_xlfn.XLOOKUP(tblSales[[#This Row],[Customer ID]],tblCustomers[Customer ID],tblCustomers[Customer Name],"⚠ Unknown")</f>
        <v>Walk-in Customer</v>
      </c>
      <c r="F864" s="4" t="s">
        <v>13</v>
      </c>
      <c r="G864" s="1" t="str">
        <f>_xlfn.XLOOKUP(tblSales[[#This Row],[Product Code]],tblProducts[Code],tblProducts[Product / Service Name],"⚠ Unknown")</f>
        <v>Backpack</v>
      </c>
      <c r="H864" s="1" t="str">
        <f>_xlfn.XLOOKUP(tblSales[[#This Row],[Product Code]],tblProducts[Code],tblProducts[Category],"")</f>
        <v>Bags &amp; Gadgets</v>
      </c>
      <c r="I864" s="4">
        <v>4</v>
      </c>
      <c r="J864" s="5">
        <f>_xlfn.XLOOKUP(tblSales[[#This Row],[Product Code]],tblProducts[Code],tblProducts[Selling Price (excl. VAT)],0)</f>
        <v>500000</v>
      </c>
      <c r="K864" s="5">
        <f>tblSales[[#This Row],[Qty]]*tblSales[[#This Row],[Unit Price]]</f>
        <v>2000000</v>
      </c>
      <c r="L864" s="5">
        <f>ROUND(tblSales[[#This Row],[DPP (excl. VAT)]]*VATEff,0)</f>
        <v>220000</v>
      </c>
      <c r="M864" s="5">
        <f>tblSales[[#This Row],[DPP (excl. VAT)]]+tblSales[[#This Row],[Output VAT]]</f>
        <v>2220000</v>
      </c>
      <c r="N864" s="5">
        <f>tblSales[[#This Row],[Qty]]*_xlfn.XLOOKUP(tblSales[[#This Row],[Product Code]],tblProducts[Code],tblProducts[Unit Cost],0)</f>
        <v>1160000</v>
      </c>
      <c r="O864" s="4" t="s">
        <v>4865</v>
      </c>
      <c r="P864" s="4" t="s">
        <v>4860</v>
      </c>
      <c r="Q864" s="1" t="str">
        <f>_xlfn.XLOOKUP(tblSales[[#This Row],[Channel Code]],tblChannels[Channel Code],tblChannels[Channel Name],"")</f>
        <v>In-store</v>
      </c>
      <c r="R864" s="1">
        <f>MONTH(tblSales[[#This Row],[Date]])</f>
        <v>2</v>
      </c>
    </row>
    <row r="865" spans="2:18" x14ac:dyDescent="0.35">
      <c r="B865" s="113">
        <v>46079</v>
      </c>
      <c r="C865" s="4" t="s">
        <v>601</v>
      </c>
      <c r="D865" s="4" t="s">
        <v>4568</v>
      </c>
      <c r="E865" s="1" t="str">
        <f>_xlfn.XLOOKUP(tblSales[[#This Row],[Customer ID]],tblCustomers[Customer ID],tblCustomers[Customer Name],"⚠ Unknown")</f>
        <v>Walk-in Customer</v>
      </c>
      <c r="F865" s="4" t="s">
        <v>8</v>
      </c>
      <c r="G865" s="1" t="str">
        <f>_xlfn.XLOOKUP(tblSales[[#This Row],[Product Code]],tblProducts[Code],tblProducts[Product / Service Name],"⚠ Unknown")</f>
        <v>Casual Shorts</v>
      </c>
      <c r="H865" s="1" t="str">
        <f>_xlfn.XLOOKUP(tblSales[[#This Row],[Product Code]],tblProducts[Code],tblProducts[Category],"")</f>
        <v>Accessories &amp; Basics</v>
      </c>
      <c r="I865" s="4">
        <v>10</v>
      </c>
      <c r="J865" s="5">
        <f>_xlfn.XLOOKUP(tblSales[[#This Row],[Product Code]],tblProducts[Code],tblProducts[Selling Price (excl. VAT)],0)</f>
        <v>85000</v>
      </c>
      <c r="K865" s="5">
        <f>tblSales[[#This Row],[Qty]]*tblSales[[#This Row],[Unit Price]]</f>
        <v>850000</v>
      </c>
      <c r="L865" s="5">
        <f>ROUND(tblSales[[#This Row],[DPP (excl. VAT)]]*VATEff,0)</f>
        <v>93500</v>
      </c>
      <c r="M865" s="5">
        <f>tblSales[[#This Row],[DPP (excl. VAT)]]+tblSales[[#This Row],[Output VAT]]</f>
        <v>943500</v>
      </c>
      <c r="N865" s="5">
        <f>tblSales[[#This Row],[Qty]]*_xlfn.XLOOKUP(tblSales[[#This Row],[Product Code]],tblProducts[Code],tblProducts[Unit Cost],0)</f>
        <v>500000</v>
      </c>
      <c r="O865" s="4" t="s">
        <v>4866</v>
      </c>
      <c r="P865" s="4" t="s">
        <v>4860</v>
      </c>
      <c r="Q865" s="1" t="str">
        <f>_xlfn.XLOOKUP(tblSales[[#This Row],[Channel Code]],tblChannels[Channel Code],tblChannels[Channel Name],"")</f>
        <v>In-store</v>
      </c>
      <c r="R865" s="1">
        <f>MONTH(tblSales[[#This Row],[Date]])</f>
        <v>2</v>
      </c>
    </row>
    <row r="866" spans="2:18" x14ac:dyDescent="0.35">
      <c r="B866" s="113">
        <v>46079</v>
      </c>
      <c r="C866" s="4" t="s">
        <v>602</v>
      </c>
      <c r="D866" s="4" t="s">
        <v>4568</v>
      </c>
      <c r="E866" s="1" t="str">
        <f>_xlfn.XLOOKUP(tblSales[[#This Row],[Customer ID]],tblCustomers[Customer ID],tblCustomers[Customer Name],"⚠ Unknown")</f>
        <v>Walk-in Customer</v>
      </c>
      <c r="F866" s="4" t="s">
        <v>6</v>
      </c>
      <c r="G866" s="1" t="str">
        <f>_xlfn.XLOOKUP(tblSales[[#This Row],[Product Code]],tblProducts[Code],tblProducts[Product / Service Name],"⚠ Unknown")</f>
        <v>Socks &amp; Accessories</v>
      </c>
      <c r="H866" s="1" t="str">
        <f>_xlfn.XLOOKUP(tblSales[[#This Row],[Product Code]],tblProducts[Code],tblProducts[Category],"")</f>
        <v>Accessories &amp; Basics</v>
      </c>
      <c r="I866" s="4">
        <v>5</v>
      </c>
      <c r="J866" s="5">
        <f>_xlfn.XLOOKUP(tblSales[[#This Row],[Product Code]],tblProducts[Code],tblProducts[Selling Price (excl. VAT)],0)</f>
        <v>45000</v>
      </c>
      <c r="K866" s="5">
        <f>tblSales[[#This Row],[Qty]]*tblSales[[#This Row],[Unit Price]]</f>
        <v>225000</v>
      </c>
      <c r="L866" s="5">
        <f>ROUND(tblSales[[#This Row],[DPP (excl. VAT)]]*VATEff,0)</f>
        <v>24750</v>
      </c>
      <c r="M866" s="5">
        <f>tblSales[[#This Row],[DPP (excl. VAT)]]+tblSales[[#This Row],[Output VAT]]</f>
        <v>249750</v>
      </c>
      <c r="N866" s="5">
        <f>tblSales[[#This Row],[Qty]]*_xlfn.XLOOKUP(tblSales[[#This Row],[Product Code]],tblProducts[Code],tblProducts[Unit Cost],0)</f>
        <v>120000</v>
      </c>
      <c r="O866" s="4" t="s">
        <v>4866</v>
      </c>
      <c r="P866" s="4" t="s">
        <v>4861</v>
      </c>
      <c r="Q866" s="1" t="str">
        <f>_xlfn.XLOOKUP(tblSales[[#This Row],[Channel Code]],tblChannels[Channel Code],tblChannels[Channel Name],"")</f>
        <v>Marketplace</v>
      </c>
      <c r="R866" s="1">
        <f>MONTH(tblSales[[#This Row],[Date]])</f>
        <v>2</v>
      </c>
    </row>
    <row r="867" spans="2:18" x14ac:dyDescent="0.35">
      <c r="B867" s="113">
        <v>46079</v>
      </c>
      <c r="C867" s="4" t="s">
        <v>602</v>
      </c>
      <c r="D867" s="4" t="s">
        <v>4568</v>
      </c>
      <c r="E867" s="1" t="str">
        <f>_xlfn.XLOOKUP(tblSales[[#This Row],[Customer ID]],tblCustomers[Customer ID],tblCustomers[Customer Name],"⚠ Unknown")</f>
        <v>Walk-in Customer</v>
      </c>
      <c r="F867" s="4" t="s">
        <v>9</v>
      </c>
      <c r="G867" s="1" t="str">
        <f>_xlfn.XLOOKUP(tblSales[[#This Row],[Product Code]],tblProducts[Code],tblProducts[Product / Service Name],"⚠ Unknown")</f>
        <v>Casual Shirt</v>
      </c>
      <c r="H867" s="1" t="str">
        <f>_xlfn.XLOOKUP(tblSales[[#This Row],[Product Code]],tblProducts[Code],tblProducts[Category],"")</f>
        <v>Apparel &amp; Footwear</v>
      </c>
      <c r="I867" s="4">
        <v>4</v>
      </c>
      <c r="J867" s="5">
        <f>_xlfn.XLOOKUP(tblSales[[#This Row],[Product Code]],tblProducts[Code],tblProducts[Selling Price (excl. VAT)],0)</f>
        <v>120000</v>
      </c>
      <c r="K867" s="5">
        <f>tblSales[[#This Row],[Qty]]*tblSales[[#This Row],[Unit Price]]</f>
        <v>480000</v>
      </c>
      <c r="L867" s="5">
        <f>ROUND(tblSales[[#This Row],[DPP (excl. VAT)]]*VATEff,0)</f>
        <v>52800</v>
      </c>
      <c r="M867" s="5">
        <f>tblSales[[#This Row],[DPP (excl. VAT)]]+tblSales[[#This Row],[Output VAT]]</f>
        <v>532800</v>
      </c>
      <c r="N867" s="5">
        <f>tblSales[[#This Row],[Qty]]*_xlfn.XLOOKUP(tblSales[[#This Row],[Product Code]],tblProducts[Code],tblProducts[Unit Cost],0)</f>
        <v>288000</v>
      </c>
      <c r="O867" s="4" t="s">
        <v>4866</v>
      </c>
      <c r="P867" s="4" t="s">
        <v>4861</v>
      </c>
      <c r="Q867" s="1" t="str">
        <f>_xlfn.XLOOKUP(tblSales[[#This Row],[Channel Code]],tblChannels[Channel Code],tblChannels[Channel Name],"")</f>
        <v>Marketplace</v>
      </c>
      <c r="R867" s="1">
        <f>MONTH(tblSales[[#This Row],[Date]])</f>
        <v>2</v>
      </c>
    </row>
    <row r="868" spans="2:18" x14ac:dyDescent="0.35">
      <c r="B868" s="113">
        <v>46079</v>
      </c>
      <c r="C868" s="4" t="s">
        <v>602</v>
      </c>
      <c r="D868" s="4" t="s">
        <v>4568</v>
      </c>
      <c r="E868" s="1" t="str">
        <f>_xlfn.XLOOKUP(tblSales[[#This Row],[Customer ID]],tblCustomers[Customer ID],tblCustomers[Customer Name],"⚠ Unknown")</f>
        <v>Walk-in Customer</v>
      </c>
      <c r="F868" s="4" t="s">
        <v>8</v>
      </c>
      <c r="G868" s="1" t="str">
        <f>_xlfn.XLOOKUP(tblSales[[#This Row],[Product Code]],tblProducts[Code],tblProducts[Product / Service Name],"⚠ Unknown")</f>
        <v>Casual Shorts</v>
      </c>
      <c r="H868" s="1" t="str">
        <f>_xlfn.XLOOKUP(tblSales[[#This Row],[Product Code]],tblProducts[Code],tblProducts[Category],"")</f>
        <v>Accessories &amp; Basics</v>
      </c>
      <c r="I868" s="4">
        <v>8</v>
      </c>
      <c r="J868" s="5">
        <f>_xlfn.XLOOKUP(tblSales[[#This Row],[Product Code]],tblProducts[Code],tblProducts[Selling Price (excl. VAT)],0)</f>
        <v>85000</v>
      </c>
      <c r="K868" s="5">
        <f>tblSales[[#This Row],[Qty]]*tblSales[[#This Row],[Unit Price]]</f>
        <v>680000</v>
      </c>
      <c r="L868" s="5">
        <f>ROUND(tblSales[[#This Row],[DPP (excl. VAT)]]*VATEff,0)</f>
        <v>74800</v>
      </c>
      <c r="M868" s="5">
        <f>tblSales[[#This Row],[DPP (excl. VAT)]]+tblSales[[#This Row],[Output VAT]]</f>
        <v>754800</v>
      </c>
      <c r="N868" s="5">
        <f>tblSales[[#This Row],[Qty]]*_xlfn.XLOOKUP(tblSales[[#This Row],[Product Code]],tblProducts[Code],tblProducts[Unit Cost],0)</f>
        <v>400000</v>
      </c>
      <c r="O868" s="4" t="s">
        <v>4866</v>
      </c>
      <c r="P868" s="4" t="s">
        <v>4861</v>
      </c>
      <c r="Q868" s="1" t="str">
        <f>_xlfn.XLOOKUP(tblSales[[#This Row],[Channel Code]],tblChannels[Channel Code],tblChannels[Channel Name],"")</f>
        <v>Marketplace</v>
      </c>
      <c r="R868" s="1">
        <f>MONTH(tblSales[[#This Row],[Date]])</f>
        <v>2</v>
      </c>
    </row>
    <row r="869" spans="2:18" x14ac:dyDescent="0.35">
      <c r="B869" s="113">
        <v>46079</v>
      </c>
      <c r="C869" s="4" t="s">
        <v>603</v>
      </c>
      <c r="D869" s="4" t="s">
        <v>4568</v>
      </c>
      <c r="E869" s="1" t="str">
        <f>_xlfn.XLOOKUP(tblSales[[#This Row],[Customer ID]],tblCustomers[Customer ID],tblCustomers[Customer Name],"⚠ Unknown")</f>
        <v>Walk-in Customer</v>
      </c>
      <c r="F869" s="4" t="s">
        <v>7</v>
      </c>
      <c r="G869" s="1" t="str">
        <f>_xlfn.XLOOKUP(tblSales[[#This Row],[Product Code]],tblProducts[Code],tblProducts[Product / Service Name],"⚠ Unknown")</f>
        <v>Premium Basic T-shirt</v>
      </c>
      <c r="H869" s="1" t="str">
        <f>_xlfn.XLOOKUP(tblSales[[#This Row],[Product Code]],tblProducts[Code],tblProducts[Category],"")</f>
        <v>Accessories &amp; Basics</v>
      </c>
      <c r="I869" s="4">
        <v>12</v>
      </c>
      <c r="J869" s="5">
        <f>_xlfn.XLOOKUP(tblSales[[#This Row],[Product Code]],tblProducts[Code],tblProducts[Selling Price (excl. VAT)],0)</f>
        <v>65000</v>
      </c>
      <c r="K869" s="5">
        <f>tblSales[[#This Row],[Qty]]*tblSales[[#This Row],[Unit Price]]</f>
        <v>780000</v>
      </c>
      <c r="L869" s="5">
        <f>ROUND(tblSales[[#This Row],[DPP (excl. VAT)]]*VATEff,0)</f>
        <v>85800</v>
      </c>
      <c r="M869" s="5">
        <f>tblSales[[#This Row],[DPP (excl. VAT)]]+tblSales[[#This Row],[Output VAT]]</f>
        <v>865800</v>
      </c>
      <c r="N869" s="5">
        <f>tblSales[[#This Row],[Qty]]*_xlfn.XLOOKUP(tblSales[[#This Row],[Product Code]],tblProducts[Code],tblProducts[Unit Cost],0)</f>
        <v>444000</v>
      </c>
      <c r="O869" s="4" t="s">
        <v>4866</v>
      </c>
      <c r="P869" s="4" t="s">
        <v>4862</v>
      </c>
      <c r="Q869" s="1" t="str">
        <f>_xlfn.XLOOKUP(tblSales[[#This Row],[Channel Code]],tblChannels[Channel Code],tblChannels[Channel Name],"")</f>
        <v>Website &amp; Social Media</v>
      </c>
      <c r="R869" s="1">
        <f>MONTH(tblSales[[#This Row],[Date]])</f>
        <v>2</v>
      </c>
    </row>
    <row r="870" spans="2:18" x14ac:dyDescent="0.35">
      <c r="B870" s="113">
        <v>46079</v>
      </c>
      <c r="C870" s="4" t="s">
        <v>604</v>
      </c>
      <c r="D870" s="4" t="s">
        <v>4568</v>
      </c>
      <c r="E870" s="1" t="str">
        <f>_xlfn.XLOOKUP(tblSales[[#This Row],[Customer ID]],tblCustomers[Customer ID],tblCustomers[Customer Name],"⚠ Unknown")</f>
        <v>Walk-in Customer</v>
      </c>
      <c r="F870" s="4" t="s">
        <v>10</v>
      </c>
      <c r="G870" s="1" t="str">
        <f>_xlfn.XLOOKUP(tblSales[[#This Row],[Product Code]],tblProducts[Code],tblProducts[Product / Service Name],"⚠ Unknown")</f>
        <v>Chino Pants</v>
      </c>
      <c r="H870" s="1" t="str">
        <f>_xlfn.XLOOKUP(tblSales[[#This Row],[Product Code]],tblProducts[Code],tblProducts[Category],"")</f>
        <v>Apparel &amp; Footwear</v>
      </c>
      <c r="I870" s="4">
        <v>11</v>
      </c>
      <c r="J870" s="5">
        <f>_xlfn.XLOOKUP(tblSales[[#This Row],[Product Code]],tblProducts[Code],tblProducts[Selling Price (excl. VAT)],0)</f>
        <v>150000</v>
      </c>
      <c r="K870" s="5">
        <f>tblSales[[#This Row],[Qty]]*tblSales[[#This Row],[Unit Price]]</f>
        <v>1650000</v>
      </c>
      <c r="L870" s="5">
        <f>ROUND(tblSales[[#This Row],[DPP (excl. VAT)]]*VATEff,0)</f>
        <v>181500</v>
      </c>
      <c r="M870" s="5">
        <f>tblSales[[#This Row],[DPP (excl. VAT)]]+tblSales[[#This Row],[Output VAT]]</f>
        <v>1831500</v>
      </c>
      <c r="N870" s="5">
        <f>tblSales[[#This Row],[Qty]]*_xlfn.XLOOKUP(tblSales[[#This Row],[Product Code]],tblProducts[Code],tblProducts[Unit Cost],0)</f>
        <v>968000</v>
      </c>
      <c r="O870" s="4" t="s">
        <v>4865</v>
      </c>
      <c r="P870" s="4" t="s">
        <v>4860</v>
      </c>
      <c r="Q870" s="1" t="str">
        <f>_xlfn.XLOOKUP(tblSales[[#This Row],[Channel Code]],tblChannels[Channel Code],tblChannels[Channel Name],"")</f>
        <v>In-store</v>
      </c>
      <c r="R870" s="1">
        <f>MONTH(tblSales[[#This Row],[Date]])</f>
        <v>2</v>
      </c>
    </row>
    <row r="871" spans="2:18" x14ac:dyDescent="0.35">
      <c r="B871" s="113">
        <v>46079</v>
      </c>
      <c r="C871" s="4" t="s">
        <v>605</v>
      </c>
      <c r="D871" s="4" t="s">
        <v>4568</v>
      </c>
      <c r="E871" s="1" t="str">
        <f>_xlfn.XLOOKUP(tblSales[[#This Row],[Customer ID]],tblCustomers[Customer ID],tblCustomers[Customer Name],"⚠ Unknown")</f>
        <v>Walk-in Customer</v>
      </c>
      <c r="F871" s="4" t="s">
        <v>9</v>
      </c>
      <c r="G871" s="1" t="str">
        <f>_xlfn.XLOOKUP(tblSales[[#This Row],[Product Code]],tblProducts[Code],tblProducts[Product / Service Name],"⚠ Unknown")</f>
        <v>Casual Shirt</v>
      </c>
      <c r="H871" s="1" t="str">
        <f>_xlfn.XLOOKUP(tblSales[[#This Row],[Product Code]],tblProducts[Code],tblProducts[Category],"")</f>
        <v>Apparel &amp; Footwear</v>
      </c>
      <c r="I871" s="4">
        <v>12</v>
      </c>
      <c r="J871" s="5">
        <f>_xlfn.XLOOKUP(tblSales[[#This Row],[Product Code]],tblProducts[Code],tblProducts[Selling Price (excl. VAT)],0)</f>
        <v>120000</v>
      </c>
      <c r="K871" s="5">
        <f>tblSales[[#This Row],[Qty]]*tblSales[[#This Row],[Unit Price]]</f>
        <v>1440000</v>
      </c>
      <c r="L871" s="5">
        <f>ROUND(tblSales[[#This Row],[DPP (excl. VAT)]]*VATEff,0)</f>
        <v>158400</v>
      </c>
      <c r="M871" s="5">
        <f>tblSales[[#This Row],[DPP (excl. VAT)]]+tblSales[[#This Row],[Output VAT]]</f>
        <v>1598400</v>
      </c>
      <c r="N871" s="5">
        <f>tblSales[[#This Row],[Qty]]*_xlfn.XLOOKUP(tblSales[[#This Row],[Product Code]],tblProducts[Code],tblProducts[Unit Cost],0)</f>
        <v>864000</v>
      </c>
      <c r="O871" s="4" t="s">
        <v>4866</v>
      </c>
      <c r="P871" s="4" t="s">
        <v>4862</v>
      </c>
      <c r="Q871" s="1" t="str">
        <f>_xlfn.XLOOKUP(tblSales[[#This Row],[Channel Code]],tblChannels[Channel Code],tblChannels[Channel Name],"")</f>
        <v>Website &amp; Social Media</v>
      </c>
      <c r="R871" s="1">
        <f>MONTH(tblSales[[#This Row],[Date]])</f>
        <v>2</v>
      </c>
    </row>
    <row r="872" spans="2:18" x14ac:dyDescent="0.35">
      <c r="B872" s="113">
        <v>46079</v>
      </c>
      <c r="C872" s="4" t="s">
        <v>606</v>
      </c>
      <c r="D872" s="4" t="s">
        <v>4568</v>
      </c>
      <c r="E872" s="1" t="str">
        <f>_xlfn.XLOOKUP(tblSales[[#This Row],[Customer ID]],tblCustomers[Customer ID],tblCustomers[Customer Name],"⚠ Unknown")</f>
        <v>Walk-in Customer</v>
      </c>
      <c r="F872" s="4" t="s">
        <v>14</v>
      </c>
      <c r="G872" s="1" t="str">
        <f>_xlfn.XLOOKUP(tblSales[[#This Row],[Product Code]],tblProducts[Code],tblProducts[Product / Service Name],"⚠ Unknown")</f>
        <v>Smartwatch</v>
      </c>
      <c r="H872" s="1" t="str">
        <f>_xlfn.XLOOKUP(tblSales[[#This Row],[Product Code]],tblProducts[Code],tblProducts[Category],"")</f>
        <v>Bags &amp; Gadgets</v>
      </c>
      <c r="I872" s="4">
        <v>2</v>
      </c>
      <c r="J872" s="5">
        <f>_xlfn.XLOOKUP(tblSales[[#This Row],[Product Code]],tblProducts[Code],tblProducts[Selling Price (excl. VAT)],0)</f>
        <v>850000</v>
      </c>
      <c r="K872" s="5">
        <f>tblSales[[#This Row],[Qty]]*tblSales[[#This Row],[Unit Price]]</f>
        <v>1700000</v>
      </c>
      <c r="L872" s="5">
        <f>ROUND(tblSales[[#This Row],[DPP (excl. VAT)]]*VATEff,0)</f>
        <v>187000</v>
      </c>
      <c r="M872" s="5">
        <f>tblSales[[#This Row],[DPP (excl. VAT)]]+tblSales[[#This Row],[Output VAT]]</f>
        <v>1887000</v>
      </c>
      <c r="N872" s="5">
        <f>tblSales[[#This Row],[Qty]]*_xlfn.XLOOKUP(tblSales[[#This Row],[Product Code]],tblProducts[Code],tblProducts[Unit Cost],0)</f>
        <v>1120000</v>
      </c>
      <c r="O872" s="4" t="s">
        <v>4866</v>
      </c>
      <c r="P872" s="4" t="s">
        <v>4861</v>
      </c>
      <c r="Q872" s="1" t="str">
        <f>_xlfn.XLOOKUP(tblSales[[#This Row],[Channel Code]],tblChannels[Channel Code],tblChannels[Channel Name],"")</f>
        <v>Marketplace</v>
      </c>
      <c r="R872" s="1">
        <f>MONTH(tblSales[[#This Row],[Date]])</f>
        <v>2</v>
      </c>
    </row>
    <row r="873" spans="2:18" x14ac:dyDescent="0.35">
      <c r="B873" s="113">
        <v>46079</v>
      </c>
      <c r="C873" s="4" t="s">
        <v>607</v>
      </c>
      <c r="D873" s="4" t="s">
        <v>4568</v>
      </c>
      <c r="E873" s="1" t="str">
        <f>_xlfn.XLOOKUP(tblSales[[#This Row],[Customer ID]],tblCustomers[Customer ID],tblCustomers[Customer Name],"⚠ Unknown")</f>
        <v>Walk-in Customer</v>
      </c>
      <c r="F873" s="4" t="s">
        <v>9</v>
      </c>
      <c r="G873" s="1" t="str">
        <f>_xlfn.XLOOKUP(tblSales[[#This Row],[Product Code]],tblProducts[Code],tblProducts[Product / Service Name],"⚠ Unknown")</f>
        <v>Casual Shirt</v>
      </c>
      <c r="H873" s="1" t="str">
        <f>_xlfn.XLOOKUP(tblSales[[#This Row],[Product Code]],tblProducts[Code],tblProducts[Category],"")</f>
        <v>Apparel &amp; Footwear</v>
      </c>
      <c r="I873" s="4">
        <v>5</v>
      </c>
      <c r="J873" s="5">
        <f>_xlfn.XLOOKUP(tblSales[[#This Row],[Product Code]],tblProducts[Code],tblProducts[Selling Price (excl. VAT)],0)</f>
        <v>120000</v>
      </c>
      <c r="K873" s="5">
        <f>tblSales[[#This Row],[Qty]]*tblSales[[#This Row],[Unit Price]]</f>
        <v>600000</v>
      </c>
      <c r="L873" s="5">
        <f>ROUND(tblSales[[#This Row],[DPP (excl. VAT)]]*VATEff,0)</f>
        <v>66000</v>
      </c>
      <c r="M873" s="5">
        <f>tblSales[[#This Row],[DPP (excl. VAT)]]+tblSales[[#This Row],[Output VAT]]</f>
        <v>666000</v>
      </c>
      <c r="N873" s="5">
        <f>tblSales[[#This Row],[Qty]]*_xlfn.XLOOKUP(tblSales[[#This Row],[Product Code]],tblProducts[Code],tblProducts[Unit Cost],0)</f>
        <v>360000</v>
      </c>
      <c r="O873" s="4" t="s">
        <v>4866</v>
      </c>
      <c r="P873" s="4" t="s">
        <v>4860</v>
      </c>
      <c r="Q873" s="1" t="str">
        <f>_xlfn.XLOOKUP(tblSales[[#This Row],[Channel Code]],tblChannels[Channel Code],tblChannels[Channel Name],"")</f>
        <v>In-store</v>
      </c>
      <c r="R873" s="1">
        <f>MONTH(tblSales[[#This Row],[Date]])</f>
        <v>2</v>
      </c>
    </row>
    <row r="874" spans="2:18" x14ac:dyDescent="0.35">
      <c r="B874" s="113">
        <v>46080</v>
      </c>
      <c r="C874" s="4" t="s">
        <v>608</v>
      </c>
      <c r="D874" s="4" t="s">
        <v>4572</v>
      </c>
      <c r="E874" s="1" t="str">
        <f>_xlfn.XLOOKUP(tblSales[[#This Row],[Customer ID]],tblCustomers[Customer ID],tblCustomers[Customer Name],"⚠ Unknown")</f>
        <v>PT Cahaya Abadi Makmur</v>
      </c>
      <c r="F874" s="4" t="s">
        <v>10</v>
      </c>
      <c r="G874" s="1" t="str">
        <f>_xlfn.XLOOKUP(tblSales[[#This Row],[Product Code]],tblProducts[Code],tblProducts[Product / Service Name],"⚠ Unknown")</f>
        <v>Chino Pants</v>
      </c>
      <c r="H874" s="1" t="str">
        <f>_xlfn.XLOOKUP(tblSales[[#This Row],[Product Code]],tblProducts[Code],tblProducts[Category],"")</f>
        <v>Apparel &amp; Footwear</v>
      </c>
      <c r="I874" s="4">
        <v>56</v>
      </c>
      <c r="J874" s="5">
        <f>_xlfn.XLOOKUP(tblSales[[#This Row],[Product Code]],tblProducts[Code],tblProducts[Selling Price (excl. VAT)],0)</f>
        <v>150000</v>
      </c>
      <c r="K874" s="5">
        <f>tblSales[[#This Row],[Qty]]*tblSales[[#This Row],[Unit Price]]</f>
        <v>8400000</v>
      </c>
      <c r="L874" s="5">
        <f>ROUND(tblSales[[#This Row],[DPP (excl. VAT)]]*VATEff,0)</f>
        <v>924000</v>
      </c>
      <c r="M874" s="5">
        <f>tblSales[[#This Row],[DPP (excl. VAT)]]+tblSales[[#This Row],[Output VAT]]</f>
        <v>9324000</v>
      </c>
      <c r="N874" s="5">
        <f>tblSales[[#This Row],[Qty]]*_xlfn.XLOOKUP(tblSales[[#This Row],[Product Code]],tblProducts[Code],tblProducts[Unit Cost],0)</f>
        <v>4928000</v>
      </c>
      <c r="O874" s="4" t="s">
        <v>4867</v>
      </c>
      <c r="P874" s="4" t="s">
        <v>4860</v>
      </c>
      <c r="Q874" s="1" t="str">
        <f>_xlfn.XLOOKUP(tblSales[[#This Row],[Channel Code]],tblChannels[Channel Code],tblChannels[Channel Name],"")</f>
        <v>In-store</v>
      </c>
      <c r="R874" s="1">
        <f>MONTH(tblSales[[#This Row],[Date]])</f>
        <v>2</v>
      </c>
    </row>
    <row r="875" spans="2:18" x14ac:dyDescent="0.35">
      <c r="B875" s="113">
        <v>46080</v>
      </c>
      <c r="C875" s="4" t="s">
        <v>608</v>
      </c>
      <c r="D875" s="4" t="s">
        <v>4572</v>
      </c>
      <c r="E875" s="1" t="str">
        <f>_xlfn.XLOOKUP(tblSales[[#This Row],[Customer ID]],tblCustomers[Customer ID],tblCustomers[Customer Name],"⚠ Unknown")</f>
        <v>PT Cahaya Abadi Makmur</v>
      </c>
      <c r="F875" s="4" t="s">
        <v>8</v>
      </c>
      <c r="G875" s="1" t="str">
        <f>_xlfn.XLOOKUP(tblSales[[#This Row],[Product Code]],tblProducts[Code],tblProducts[Product / Service Name],"⚠ Unknown")</f>
        <v>Casual Shorts</v>
      </c>
      <c r="H875" s="1" t="str">
        <f>_xlfn.XLOOKUP(tblSales[[#This Row],[Product Code]],tblProducts[Code],tblProducts[Category],"")</f>
        <v>Accessories &amp; Basics</v>
      </c>
      <c r="I875" s="4">
        <v>40</v>
      </c>
      <c r="J875" s="5">
        <f>_xlfn.XLOOKUP(tblSales[[#This Row],[Product Code]],tblProducts[Code],tblProducts[Selling Price (excl. VAT)],0)</f>
        <v>85000</v>
      </c>
      <c r="K875" s="5">
        <f>tblSales[[#This Row],[Qty]]*tblSales[[#This Row],[Unit Price]]</f>
        <v>3400000</v>
      </c>
      <c r="L875" s="5">
        <f>ROUND(tblSales[[#This Row],[DPP (excl. VAT)]]*VATEff,0)</f>
        <v>374000</v>
      </c>
      <c r="M875" s="5">
        <f>tblSales[[#This Row],[DPP (excl. VAT)]]+tblSales[[#This Row],[Output VAT]]</f>
        <v>3774000</v>
      </c>
      <c r="N875" s="5">
        <f>tblSales[[#This Row],[Qty]]*_xlfn.XLOOKUP(tblSales[[#This Row],[Product Code]],tblProducts[Code],tblProducts[Unit Cost],0)</f>
        <v>2000000</v>
      </c>
      <c r="O875" s="4" t="s">
        <v>4867</v>
      </c>
      <c r="P875" s="4" t="s">
        <v>4860</v>
      </c>
      <c r="Q875" s="1" t="str">
        <f>_xlfn.XLOOKUP(tblSales[[#This Row],[Channel Code]],tblChannels[Channel Code],tblChannels[Channel Name],"")</f>
        <v>In-store</v>
      </c>
      <c r="R875" s="1">
        <f>MONTH(tblSales[[#This Row],[Date]])</f>
        <v>2</v>
      </c>
    </row>
    <row r="876" spans="2:18" x14ac:dyDescent="0.35">
      <c r="B876" s="113">
        <v>46080</v>
      </c>
      <c r="C876" s="4" t="s">
        <v>608</v>
      </c>
      <c r="D876" s="4" t="s">
        <v>4572</v>
      </c>
      <c r="E876" s="1" t="str">
        <f>_xlfn.XLOOKUP(tblSales[[#This Row],[Customer ID]],tblCustomers[Customer ID],tblCustomers[Customer Name],"⚠ Unknown")</f>
        <v>PT Cahaya Abadi Makmur</v>
      </c>
      <c r="F876" s="4" t="s">
        <v>6</v>
      </c>
      <c r="G876" s="1" t="str">
        <f>_xlfn.XLOOKUP(tblSales[[#This Row],[Product Code]],tblProducts[Code],tblProducts[Product / Service Name],"⚠ Unknown")</f>
        <v>Socks &amp; Accessories</v>
      </c>
      <c r="H876" s="1" t="str">
        <f>_xlfn.XLOOKUP(tblSales[[#This Row],[Product Code]],tblProducts[Code],tblProducts[Category],"")</f>
        <v>Accessories &amp; Basics</v>
      </c>
      <c r="I876" s="4">
        <v>24</v>
      </c>
      <c r="J876" s="5">
        <f>_xlfn.XLOOKUP(tblSales[[#This Row],[Product Code]],tblProducts[Code],tblProducts[Selling Price (excl. VAT)],0)</f>
        <v>45000</v>
      </c>
      <c r="K876" s="5">
        <f>tblSales[[#This Row],[Qty]]*tblSales[[#This Row],[Unit Price]]</f>
        <v>1080000</v>
      </c>
      <c r="L876" s="5">
        <f>ROUND(tblSales[[#This Row],[DPP (excl. VAT)]]*VATEff,0)</f>
        <v>118800</v>
      </c>
      <c r="M876" s="5">
        <f>tblSales[[#This Row],[DPP (excl. VAT)]]+tblSales[[#This Row],[Output VAT]]</f>
        <v>1198800</v>
      </c>
      <c r="N876" s="5">
        <f>tblSales[[#This Row],[Qty]]*_xlfn.XLOOKUP(tblSales[[#This Row],[Product Code]],tblProducts[Code],tblProducts[Unit Cost],0)</f>
        <v>576000</v>
      </c>
      <c r="O876" s="4" t="s">
        <v>4867</v>
      </c>
      <c r="P876" s="4" t="s">
        <v>4860</v>
      </c>
      <c r="Q876" s="1" t="str">
        <f>_xlfn.XLOOKUP(tblSales[[#This Row],[Channel Code]],tblChannels[Channel Code],tblChannels[Channel Name],"")</f>
        <v>In-store</v>
      </c>
      <c r="R876" s="1">
        <f>MONTH(tblSales[[#This Row],[Date]])</f>
        <v>2</v>
      </c>
    </row>
    <row r="877" spans="2:18" x14ac:dyDescent="0.35">
      <c r="B877" s="113">
        <v>46080</v>
      </c>
      <c r="C877" s="4" t="s">
        <v>609</v>
      </c>
      <c r="D877" s="4" t="s">
        <v>4568</v>
      </c>
      <c r="E877" s="1" t="str">
        <f>_xlfn.XLOOKUP(tblSales[[#This Row],[Customer ID]],tblCustomers[Customer ID],tblCustomers[Customer Name],"⚠ Unknown")</f>
        <v>Walk-in Customer</v>
      </c>
      <c r="F877" s="4" t="s">
        <v>7</v>
      </c>
      <c r="G877" s="1" t="str">
        <f>_xlfn.XLOOKUP(tblSales[[#This Row],[Product Code]],tblProducts[Code],tblProducts[Product / Service Name],"⚠ Unknown")</f>
        <v>Premium Basic T-shirt</v>
      </c>
      <c r="H877" s="1" t="str">
        <f>_xlfn.XLOOKUP(tblSales[[#This Row],[Product Code]],tblProducts[Code],tblProducts[Category],"")</f>
        <v>Accessories &amp; Basics</v>
      </c>
      <c r="I877" s="4">
        <v>12</v>
      </c>
      <c r="J877" s="5">
        <f>_xlfn.XLOOKUP(tblSales[[#This Row],[Product Code]],tblProducts[Code],tblProducts[Selling Price (excl. VAT)],0)</f>
        <v>65000</v>
      </c>
      <c r="K877" s="5">
        <f>tblSales[[#This Row],[Qty]]*tblSales[[#This Row],[Unit Price]]</f>
        <v>780000</v>
      </c>
      <c r="L877" s="5">
        <f>ROUND(tblSales[[#This Row],[DPP (excl. VAT)]]*VATEff,0)</f>
        <v>85800</v>
      </c>
      <c r="M877" s="5">
        <f>tblSales[[#This Row],[DPP (excl. VAT)]]+tblSales[[#This Row],[Output VAT]]</f>
        <v>865800</v>
      </c>
      <c r="N877" s="5">
        <f>tblSales[[#This Row],[Qty]]*_xlfn.XLOOKUP(tblSales[[#This Row],[Product Code]],tblProducts[Code],tblProducts[Unit Cost],0)</f>
        <v>444000</v>
      </c>
      <c r="O877" s="4" t="s">
        <v>4866</v>
      </c>
      <c r="P877" s="4" t="s">
        <v>4861</v>
      </c>
      <c r="Q877" s="1" t="str">
        <f>_xlfn.XLOOKUP(tblSales[[#This Row],[Channel Code]],tblChannels[Channel Code],tblChannels[Channel Name],"")</f>
        <v>Marketplace</v>
      </c>
      <c r="R877" s="1">
        <f>MONTH(tblSales[[#This Row],[Date]])</f>
        <v>2</v>
      </c>
    </row>
    <row r="878" spans="2:18" x14ac:dyDescent="0.35">
      <c r="B878" s="113">
        <v>46080</v>
      </c>
      <c r="C878" s="4" t="s">
        <v>610</v>
      </c>
      <c r="D878" s="4" t="s">
        <v>4568</v>
      </c>
      <c r="E878" s="1" t="str">
        <f>_xlfn.XLOOKUP(tblSales[[#This Row],[Customer ID]],tblCustomers[Customer ID],tblCustomers[Customer Name],"⚠ Unknown")</f>
        <v>Walk-in Customer</v>
      </c>
      <c r="F878" s="4" t="s">
        <v>12</v>
      </c>
      <c r="G878" s="1" t="str">
        <f>_xlfn.XLOOKUP(tblSales[[#This Row],[Product Code]],tblProducts[Code],tblProducts[Product / Service Name],"⚠ Unknown")</f>
        <v>Bomber Jacket</v>
      </c>
      <c r="H878" s="1" t="str">
        <f>_xlfn.XLOOKUP(tblSales[[#This Row],[Product Code]],tblProducts[Code],tblProducts[Category],"")</f>
        <v>Apparel &amp; Footwear</v>
      </c>
      <c r="I878" s="4">
        <v>4</v>
      </c>
      <c r="J878" s="5">
        <f>_xlfn.XLOOKUP(tblSales[[#This Row],[Product Code]],tblProducts[Code],tblProducts[Selling Price (excl. VAT)],0)</f>
        <v>350000</v>
      </c>
      <c r="K878" s="5">
        <f>tblSales[[#This Row],[Qty]]*tblSales[[#This Row],[Unit Price]]</f>
        <v>1400000</v>
      </c>
      <c r="L878" s="5">
        <f>ROUND(tblSales[[#This Row],[DPP (excl. VAT)]]*VATEff,0)</f>
        <v>154000</v>
      </c>
      <c r="M878" s="5">
        <f>tblSales[[#This Row],[DPP (excl. VAT)]]+tblSales[[#This Row],[Output VAT]]</f>
        <v>1554000</v>
      </c>
      <c r="N878" s="5">
        <f>tblSales[[#This Row],[Qty]]*_xlfn.XLOOKUP(tblSales[[#This Row],[Product Code]],tblProducts[Code],tblProducts[Unit Cost],0)</f>
        <v>840000</v>
      </c>
      <c r="O878" s="4" t="s">
        <v>4866</v>
      </c>
      <c r="P878" s="4" t="s">
        <v>4860</v>
      </c>
      <c r="Q878" s="1" t="str">
        <f>_xlfn.XLOOKUP(tblSales[[#This Row],[Channel Code]],tblChannels[Channel Code],tblChannels[Channel Name],"")</f>
        <v>In-store</v>
      </c>
      <c r="R878" s="1">
        <f>MONTH(tblSales[[#This Row],[Date]])</f>
        <v>2</v>
      </c>
    </row>
    <row r="879" spans="2:18" x14ac:dyDescent="0.35">
      <c r="B879" s="113">
        <v>46080</v>
      </c>
      <c r="C879" s="4" t="s">
        <v>610</v>
      </c>
      <c r="D879" s="4" t="s">
        <v>4568</v>
      </c>
      <c r="E879" s="1" t="str">
        <f>_xlfn.XLOOKUP(tblSales[[#This Row],[Customer ID]],tblCustomers[Customer ID],tblCustomers[Customer Name],"⚠ Unknown")</f>
        <v>Walk-in Customer</v>
      </c>
      <c r="F879" s="4" t="s">
        <v>14</v>
      </c>
      <c r="G879" s="1" t="str">
        <f>_xlfn.XLOOKUP(tblSales[[#This Row],[Product Code]],tblProducts[Code],tblProducts[Product / Service Name],"⚠ Unknown")</f>
        <v>Smartwatch</v>
      </c>
      <c r="H879" s="1" t="str">
        <f>_xlfn.XLOOKUP(tblSales[[#This Row],[Product Code]],tblProducts[Code],tblProducts[Category],"")</f>
        <v>Bags &amp; Gadgets</v>
      </c>
      <c r="I879" s="4">
        <v>3</v>
      </c>
      <c r="J879" s="5">
        <f>_xlfn.XLOOKUP(tblSales[[#This Row],[Product Code]],tblProducts[Code],tblProducts[Selling Price (excl. VAT)],0)</f>
        <v>850000</v>
      </c>
      <c r="K879" s="5">
        <f>tblSales[[#This Row],[Qty]]*tblSales[[#This Row],[Unit Price]]</f>
        <v>2550000</v>
      </c>
      <c r="L879" s="5">
        <f>ROUND(tblSales[[#This Row],[DPP (excl. VAT)]]*VATEff,0)</f>
        <v>280500</v>
      </c>
      <c r="M879" s="5">
        <f>tblSales[[#This Row],[DPP (excl. VAT)]]+tblSales[[#This Row],[Output VAT]]</f>
        <v>2830500</v>
      </c>
      <c r="N879" s="5">
        <f>tblSales[[#This Row],[Qty]]*_xlfn.XLOOKUP(tblSales[[#This Row],[Product Code]],tblProducts[Code],tblProducts[Unit Cost],0)</f>
        <v>1680000</v>
      </c>
      <c r="O879" s="4" t="s">
        <v>4866</v>
      </c>
      <c r="P879" s="4" t="s">
        <v>4860</v>
      </c>
      <c r="Q879" s="1" t="str">
        <f>_xlfn.XLOOKUP(tblSales[[#This Row],[Channel Code]],tblChannels[Channel Code],tblChannels[Channel Name],"")</f>
        <v>In-store</v>
      </c>
      <c r="R879" s="1">
        <f>MONTH(tblSales[[#This Row],[Date]])</f>
        <v>2</v>
      </c>
    </row>
    <row r="880" spans="2:18" x14ac:dyDescent="0.35">
      <c r="B880" s="113">
        <v>46080</v>
      </c>
      <c r="C880" s="4" t="s">
        <v>611</v>
      </c>
      <c r="D880" s="4" t="s">
        <v>4568</v>
      </c>
      <c r="E880" s="1" t="str">
        <f>_xlfn.XLOOKUP(tblSales[[#This Row],[Customer ID]],tblCustomers[Customer ID],tblCustomers[Customer Name],"⚠ Unknown")</f>
        <v>Walk-in Customer</v>
      </c>
      <c r="F880" s="4" t="s">
        <v>15</v>
      </c>
      <c r="G880" s="1" t="str">
        <f>_xlfn.XLOOKUP(tblSales[[#This Row],[Product Code]],tblProducts[Code],tblProducts[Product / Service Name],"⚠ Unknown")</f>
        <v>Wireless Earbuds Pro</v>
      </c>
      <c r="H880" s="1" t="str">
        <f>_xlfn.XLOOKUP(tblSales[[#This Row],[Product Code]],tblProducts[Code],tblProducts[Category],"")</f>
        <v>Bags &amp; Gadgets</v>
      </c>
      <c r="I880" s="4">
        <v>1</v>
      </c>
      <c r="J880" s="5">
        <f>_xlfn.XLOOKUP(tblSales[[#This Row],[Product Code]],tblProducts[Code],tblProducts[Selling Price (excl. VAT)],0)</f>
        <v>1250000</v>
      </c>
      <c r="K880" s="5">
        <f>tblSales[[#This Row],[Qty]]*tblSales[[#This Row],[Unit Price]]</f>
        <v>1250000</v>
      </c>
      <c r="L880" s="5">
        <f>ROUND(tblSales[[#This Row],[DPP (excl. VAT)]]*VATEff,0)</f>
        <v>137500</v>
      </c>
      <c r="M880" s="5">
        <f>tblSales[[#This Row],[DPP (excl. VAT)]]+tblSales[[#This Row],[Output VAT]]</f>
        <v>1387500</v>
      </c>
      <c r="N880" s="5">
        <f>tblSales[[#This Row],[Qty]]*_xlfn.XLOOKUP(tblSales[[#This Row],[Product Code]],tblProducts[Code],tblProducts[Unit Cost],0)</f>
        <v>820000</v>
      </c>
      <c r="O880" s="4" t="s">
        <v>4866</v>
      </c>
      <c r="P880" s="4" t="s">
        <v>4860</v>
      </c>
      <c r="Q880" s="1" t="str">
        <f>_xlfn.XLOOKUP(tblSales[[#This Row],[Channel Code]],tblChannels[Channel Code],tblChannels[Channel Name],"")</f>
        <v>In-store</v>
      </c>
      <c r="R880" s="1">
        <f>MONTH(tblSales[[#This Row],[Date]])</f>
        <v>2</v>
      </c>
    </row>
    <row r="881" spans="2:18" x14ac:dyDescent="0.35">
      <c r="B881" s="113">
        <v>46080</v>
      </c>
      <c r="C881" s="4" t="s">
        <v>612</v>
      </c>
      <c r="D881" s="4" t="s">
        <v>4568</v>
      </c>
      <c r="E881" s="1" t="str">
        <f>_xlfn.XLOOKUP(tblSales[[#This Row],[Customer ID]],tblCustomers[Customer ID],tblCustomers[Customer Name],"⚠ Unknown")</f>
        <v>Walk-in Customer</v>
      </c>
      <c r="F881" s="4" t="s">
        <v>10</v>
      </c>
      <c r="G881" s="1" t="str">
        <f>_xlfn.XLOOKUP(tblSales[[#This Row],[Product Code]],tblProducts[Code],tblProducts[Product / Service Name],"⚠ Unknown")</f>
        <v>Chino Pants</v>
      </c>
      <c r="H881" s="1" t="str">
        <f>_xlfn.XLOOKUP(tblSales[[#This Row],[Product Code]],tblProducts[Code],tblProducts[Category],"")</f>
        <v>Apparel &amp; Footwear</v>
      </c>
      <c r="I881" s="4">
        <v>1</v>
      </c>
      <c r="J881" s="5">
        <f>_xlfn.XLOOKUP(tblSales[[#This Row],[Product Code]],tblProducts[Code],tblProducts[Selling Price (excl. VAT)],0)</f>
        <v>150000</v>
      </c>
      <c r="K881" s="5">
        <f>tblSales[[#This Row],[Qty]]*tblSales[[#This Row],[Unit Price]]</f>
        <v>150000</v>
      </c>
      <c r="L881" s="5">
        <f>ROUND(tblSales[[#This Row],[DPP (excl. VAT)]]*VATEff,0)</f>
        <v>16500</v>
      </c>
      <c r="M881" s="5">
        <f>tblSales[[#This Row],[DPP (excl. VAT)]]+tblSales[[#This Row],[Output VAT]]</f>
        <v>166500</v>
      </c>
      <c r="N881" s="5">
        <f>tblSales[[#This Row],[Qty]]*_xlfn.XLOOKUP(tblSales[[#This Row],[Product Code]],tblProducts[Code],tblProducts[Unit Cost],0)</f>
        <v>88000</v>
      </c>
      <c r="O881" s="4" t="s">
        <v>4865</v>
      </c>
      <c r="P881" s="4" t="s">
        <v>4860</v>
      </c>
      <c r="Q881" s="1" t="str">
        <f>_xlfn.XLOOKUP(tblSales[[#This Row],[Channel Code]],tblChannels[Channel Code],tblChannels[Channel Name],"")</f>
        <v>In-store</v>
      </c>
      <c r="R881" s="1">
        <f>MONTH(tblSales[[#This Row],[Date]])</f>
        <v>2</v>
      </c>
    </row>
    <row r="882" spans="2:18" x14ac:dyDescent="0.35">
      <c r="B882" s="113">
        <v>46080</v>
      </c>
      <c r="C882" s="4" t="s">
        <v>612</v>
      </c>
      <c r="D882" s="4" t="s">
        <v>4568</v>
      </c>
      <c r="E882" s="1" t="str">
        <f>_xlfn.XLOOKUP(tblSales[[#This Row],[Customer ID]],tblCustomers[Customer ID],tblCustomers[Customer Name],"⚠ Unknown")</f>
        <v>Walk-in Customer</v>
      </c>
      <c r="F882" s="4" t="s">
        <v>8</v>
      </c>
      <c r="G882" s="1" t="str">
        <f>_xlfn.XLOOKUP(tblSales[[#This Row],[Product Code]],tblProducts[Code],tblProducts[Product / Service Name],"⚠ Unknown")</f>
        <v>Casual Shorts</v>
      </c>
      <c r="H882" s="1" t="str">
        <f>_xlfn.XLOOKUP(tblSales[[#This Row],[Product Code]],tblProducts[Code],tblProducts[Category],"")</f>
        <v>Accessories &amp; Basics</v>
      </c>
      <c r="I882" s="4">
        <v>11</v>
      </c>
      <c r="J882" s="5">
        <f>_xlfn.XLOOKUP(tblSales[[#This Row],[Product Code]],tblProducts[Code],tblProducts[Selling Price (excl. VAT)],0)</f>
        <v>85000</v>
      </c>
      <c r="K882" s="5">
        <f>tblSales[[#This Row],[Qty]]*tblSales[[#This Row],[Unit Price]]</f>
        <v>935000</v>
      </c>
      <c r="L882" s="5">
        <f>ROUND(tblSales[[#This Row],[DPP (excl. VAT)]]*VATEff,0)</f>
        <v>102850</v>
      </c>
      <c r="M882" s="5">
        <f>tblSales[[#This Row],[DPP (excl. VAT)]]+tblSales[[#This Row],[Output VAT]]</f>
        <v>1037850</v>
      </c>
      <c r="N882" s="5">
        <f>tblSales[[#This Row],[Qty]]*_xlfn.XLOOKUP(tblSales[[#This Row],[Product Code]],tblProducts[Code],tblProducts[Unit Cost],0)</f>
        <v>550000</v>
      </c>
      <c r="O882" s="4" t="s">
        <v>4865</v>
      </c>
      <c r="P882" s="4" t="s">
        <v>4860</v>
      </c>
      <c r="Q882" s="1" t="str">
        <f>_xlfn.XLOOKUP(tblSales[[#This Row],[Channel Code]],tblChannels[Channel Code],tblChannels[Channel Name],"")</f>
        <v>In-store</v>
      </c>
      <c r="R882" s="1">
        <f>MONTH(tblSales[[#This Row],[Date]])</f>
        <v>2</v>
      </c>
    </row>
    <row r="883" spans="2:18" x14ac:dyDescent="0.35">
      <c r="B883" s="113">
        <v>46080</v>
      </c>
      <c r="C883" s="4" t="s">
        <v>613</v>
      </c>
      <c r="D883" s="4" t="s">
        <v>4568</v>
      </c>
      <c r="E883" s="1" t="str">
        <f>_xlfn.XLOOKUP(tblSales[[#This Row],[Customer ID]],tblCustomers[Customer ID],tblCustomers[Customer Name],"⚠ Unknown")</f>
        <v>Walk-in Customer</v>
      </c>
      <c r="F883" s="4" t="s">
        <v>10</v>
      </c>
      <c r="G883" s="1" t="str">
        <f>_xlfn.XLOOKUP(tblSales[[#This Row],[Product Code]],tblProducts[Code],tblProducts[Product / Service Name],"⚠ Unknown")</f>
        <v>Chino Pants</v>
      </c>
      <c r="H883" s="1" t="str">
        <f>_xlfn.XLOOKUP(tblSales[[#This Row],[Product Code]],tblProducts[Code],tblProducts[Category],"")</f>
        <v>Apparel &amp; Footwear</v>
      </c>
      <c r="I883" s="4">
        <v>6</v>
      </c>
      <c r="J883" s="5">
        <f>_xlfn.XLOOKUP(tblSales[[#This Row],[Product Code]],tblProducts[Code],tblProducts[Selling Price (excl. VAT)],0)</f>
        <v>150000</v>
      </c>
      <c r="K883" s="5">
        <f>tblSales[[#This Row],[Qty]]*tblSales[[#This Row],[Unit Price]]</f>
        <v>900000</v>
      </c>
      <c r="L883" s="5">
        <f>ROUND(tblSales[[#This Row],[DPP (excl. VAT)]]*VATEff,0)</f>
        <v>99000</v>
      </c>
      <c r="M883" s="5">
        <f>tblSales[[#This Row],[DPP (excl. VAT)]]+tblSales[[#This Row],[Output VAT]]</f>
        <v>999000</v>
      </c>
      <c r="N883" s="5">
        <f>tblSales[[#This Row],[Qty]]*_xlfn.XLOOKUP(tblSales[[#This Row],[Product Code]],tblProducts[Code],tblProducts[Unit Cost],0)</f>
        <v>528000</v>
      </c>
      <c r="O883" s="4" t="s">
        <v>4866</v>
      </c>
      <c r="P883" s="4" t="s">
        <v>4861</v>
      </c>
      <c r="Q883" s="1" t="str">
        <f>_xlfn.XLOOKUP(tblSales[[#This Row],[Channel Code]],tblChannels[Channel Code],tblChannels[Channel Name],"")</f>
        <v>Marketplace</v>
      </c>
      <c r="R883" s="1">
        <f>MONTH(tblSales[[#This Row],[Date]])</f>
        <v>2</v>
      </c>
    </row>
    <row r="884" spans="2:18" x14ac:dyDescent="0.35">
      <c r="B884" s="113">
        <v>46080</v>
      </c>
      <c r="C884" s="4" t="s">
        <v>614</v>
      </c>
      <c r="D884" s="4" t="s">
        <v>4568</v>
      </c>
      <c r="E884" s="1" t="str">
        <f>_xlfn.XLOOKUP(tblSales[[#This Row],[Customer ID]],tblCustomers[Customer ID],tblCustomers[Customer Name],"⚠ Unknown")</f>
        <v>Walk-in Customer</v>
      </c>
      <c r="F884" s="4" t="s">
        <v>7</v>
      </c>
      <c r="G884" s="1" t="str">
        <f>_xlfn.XLOOKUP(tblSales[[#This Row],[Product Code]],tblProducts[Code],tblProducts[Product / Service Name],"⚠ Unknown")</f>
        <v>Premium Basic T-shirt</v>
      </c>
      <c r="H884" s="1" t="str">
        <f>_xlfn.XLOOKUP(tblSales[[#This Row],[Product Code]],tblProducts[Code],tblProducts[Category],"")</f>
        <v>Accessories &amp; Basics</v>
      </c>
      <c r="I884" s="4">
        <v>2</v>
      </c>
      <c r="J884" s="5">
        <f>_xlfn.XLOOKUP(tblSales[[#This Row],[Product Code]],tblProducts[Code],tblProducts[Selling Price (excl. VAT)],0)</f>
        <v>65000</v>
      </c>
      <c r="K884" s="5">
        <f>tblSales[[#This Row],[Qty]]*tblSales[[#This Row],[Unit Price]]</f>
        <v>130000</v>
      </c>
      <c r="L884" s="5">
        <f>ROUND(tblSales[[#This Row],[DPP (excl. VAT)]]*VATEff,0)</f>
        <v>14300</v>
      </c>
      <c r="M884" s="5">
        <f>tblSales[[#This Row],[DPP (excl. VAT)]]+tblSales[[#This Row],[Output VAT]]</f>
        <v>144300</v>
      </c>
      <c r="N884" s="5">
        <f>tblSales[[#This Row],[Qty]]*_xlfn.XLOOKUP(tblSales[[#This Row],[Product Code]],tblProducts[Code],tblProducts[Unit Cost],0)</f>
        <v>74000</v>
      </c>
      <c r="O884" s="4" t="s">
        <v>4866</v>
      </c>
      <c r="P884" s="4" t="s">
        <v>4861</v>
      </c>
      <c r="Q884" s="1" t="str">
        <f>_xlfn.XLOOKUP(tblSales[[#This Row],[Channel Code]],tblChannels[Channel Code],tblChannels[Channel Name],"")</f>
        <v>Marketplace</v>
      </c>
      <c r="R884" s="1">
        <f>MONTH(tblSales[[#This Row],[Date]])</f>
        <v>2</v>
      </c>
    </row>
    <row r="885" spans="2:18" x14ac:dyDescent="0.35">
      <c r="B885" s="113">
        <v>46080</v>
      </c>
      <c r="C885" s="4" t="s">
        <v>615</v>
      </c>
      <c r="D885" s="4" t="s">
        <v>4568</v>
      </c>
      <c r="E885" s="1" t="str">
        <f>_xlfn.XLOOKUP(tblSales[[#This Row],[Customer ID]],tblCustomers[Customer ID],tblCustomers[Customer Name],"⚠ Unknown")</f>
        <v>Walk-in Customer</v>
      </c>
      <c r="F885" s="4" t="s">
        <v>8</v>
      </c>
      <c r="G885" s="1" t="str">
        <f>_xlfn.XLOOKUP(tblSales[[#This Row],[Product Code]],tblProducts[Code],tblProducts[Product / Service Name],"⚠ Unknown")</f>
        <v>Casual Shorts</v>
      </c>
      <c r="H885" s="1" t="str">
        <f>_xlfn.XLOOKUP(tblSales[[#This Row],[Product Code]],tblProducts[Code],tblProducts[Category],"")</f>
        <v>Accessories &amp; Basics</v>
      </c>
      <c r="I885" s="4">
        <v>1</v>
      </c>
      <c r="J885" s="5">
        <f>_xlfn.XLOOKUP(tblSales[[#This Row],[Product Code]],tblProducts[Code],tblProducts[Selling Price (excl. VAT)],0)</f>
        <v>85000</v>
      </c>
      <c r="K885" s="5">
        <f>tblSales[[#This Row],[Qty]]*tblSales[[#This Row],[Unit Price]]</f>
        <v>85000</v>
      </c>
      <c r="L885" s="5">
        <f>ROUND(tblSales[[#This Row],[DPP (excl. VAT)]]*VATEff,0)</f>
        <v>9350</v>
      </c>
      <c r="M885" s="5">
        <f>tblSales[[#This Row],[DPP (excl. VAT)]]+tblSales[[#This Row],[Output VAT]]</f>
        <v>94350</v>
      </c>
      <c r="N885" s="5">
        <f>tblSales[[#This Row],[Qty]]*_xlfn.XLOOKUP(tblSales[[#This Row],[Product Code]],tblProducts[Code],tblProducts[Unit Cost],0)</f>
        <v>50000</v>
      </c>
      <c r="O885" s="4" t="s">
        <v>4866</v>
      </c>
      <c r="P885" s="4" t="s">
        <v>4862</v>
      </c>
      <c r="Q885" s="1" t="str">
        <f>_xlfn.XLOOKUP(tblSales[[#This Row],[Channel Code]],tblChannels[Channel Code],tblChannels[Channel Name],"")</f>
        <v>Website &amp; Social Media</v>
      </c>
      <c r="R885" s="1">
        <f>MONTH(tblSales[[#This Row],[Date]])</f>
        <v>2</v>
      </c>
    </row>
    <row r="886" spans="2:18" x14ac:dyDescent="0.35">
      <c r="B886" s="113">
        <v>46080</v>
      </c>
      <c r="C886" s="4" t="s">
        <v>616</v>
      </c>
      <c r="D886" s="4" t="s">
        <v>4568</v>
      </c>
      <c r="E886" s="1" t="str">
        <f>_xlfn.XLOOKUP(tblSales[[#This Row],[Customer ID]],tblCustomers[Customer ID],tblCustomers[Customer Name],"⚠ Unknown")</f>
        <v>Walk-in Customer</v>
      </c>
      <c r="F886" s="4" t="s">
        <v>15</v>
      </c>
      <c r="G886" s="1" t="str">
        <f>_xlfn.XLOOKUP(tblSales[[#This Row],[Product Code]],tblProducts[Code],tblProducts[Product / Service Name],"⚠ Unknown")</f>
        <v>Wireless Earbuds Pro</v>
      </c>
      <c r="H886" s="1" t="str">
        <f>_xlfn.XLOOKUP(tblSales[[#This Row],[Product Code]],tblProducts[Code],tblProducts[Category],"")</f>
        <v>Bags &amp; Gadgets</v>
      </c>
      <c r="I886" s="4">
        <v>2</v>
      </c>
      <c r="J886" s="5">
        <f>_xlfn.XLOOKUP(tblSales[[#This Row],[Product Code]],tblProducts[Code],tblProducts[Selling Price (excl. VAT)],0)</f>
        <v>1250000</v>
      </c>
      <c r="K886" s="5">
        <f>tblSales[[#This Row],[Qty]]*tblSales[[#This Row],[Unit Price]]</f>
        <v>2500000</v>
      </c>
      <c r="L886" s="5">
        <f>ROUND(tblSales[[#This Row],[DPP (excl. VAT)]]*VATEff,0)</f>
        <v>275000</v>
      </c>
      <c r="M886" s="5">
        <f>tblSales[[#This Row],[DPP (excl. VAT)]]+tblSales[[#This Row],[Output VAT]]</f>
        <v>2775000</v>
      </c>
      <c r="N886" s="5">
        <f>tblSales[[#This Row],[Qty]]*_xlfn.XLOOKUP(tblSales[[#This Row],[Product Code]],tblProducts[Code],tblProducts[Unit Cost],0)</f>
        <v>1640000</v>
      </c>
      <c r="O886" s="4" t="s">
        <v>4865</v>
      </c>
      <c r="P886" s="4" t="s">
        <v>4860</v>
      </c>
      <c r="Q886" s="1" t="str">
        <f>_xlfn.XLOOKUP(tblSales[[#This Row],[Channel Code]],tblChannels[Channel Code],tblChannels[Channel Name],"")</f>
        <v>In-store</v>
      </c>
      <c r="R886" s="1">
        <f>MONTH(tblSales[[#This Row],[Date]])</f>
        <v>2</v>
      </c>
    </row>
    <row r="887" spans="2:18" x14ac:dyDescent="0.35">
      <c r="B887" s="113">
        <v>46081</v>
      </c>
      <c r="C887" s="4" t="s">
        <v>617</v>
      </c>
      <c r="D887" s="4" t="s">
        <v>4568</v>
      </c>
      <c r="E887" s="1" t="str">
        <f>_xlfn.XLOOKUP(tblSales[[#This Row],[Customer ID]],tblCustomers[Customer ID],tblCustomers[Customer Name],"⚠ Unknown")</f>
        <v>Walk-in Customer</v>
      </c>
      <c r="F887" s="4" t="s">
        <v>6</v>
      </c>
      <c r="G887" s="1" t="str">
        <f>_xlfn.XLOOKUP(tblSales[[#This Row],[Product Code]],tblProducts[Code],tblProducts[Product / Service Name],"⚠ Unknown")</f>
        <v>Socks &amp; Accessories</v>
      </c>
      <c r="H887" s="1" t="str">
        <f>_xlfn.XLOOKUP(tblSales[[#This Row],[Product Code]],tblProducts[Code],tblProducts[Category],"")</f>
        <v>Accessories &amp; Basics</v>
      </c>
      <c r="I887" s="4">
        <v>12</v>
      </c>
      <c r="J887" s="5">
        <f>_xlfn.XLOOKUP(tblSales[[#This Row],[Product Code]],tblProducts[Code],tblProducts[Selling Price (excl. VAT)],0)</f>
        <v>45000</v>
      </c>
      <c r="K887" s="5">
        <f>tblSales[[#This Row],[Qty]]*tblSales[[#This Row],[Unit Price]]</f>
        <v>540000</v>
      </c>
      <c r="L887" s="5">
        <f>ROUND(tblSales[[#This Row],[DPP (excl. VAT)]]*VATEff,0)</f>
        <v>59400</v>
      </c>
      <c r="M887" s="5">
        <f>tblSales[[#This Row],[DPP (excl. VAT)]]+tblSales[[#This Row],[Output VAT]]</f>
        <v>599400</v>
      </c>
      <c r="N887" s="5">
        <f>tblSales[[#This Row],[Qty]]*_xlfn.XLOOKUP(tblSales[[#This Row],[Product Code]],tblProducts[Code],tblProducts[Unit Cost],0)</f>
        <v>288000</v>
      </c>
      <c r="O887" s="4" t="s">
        <v>4866</v>
      </c>
      <c r="P887" s="4" t="s">
        <v>4860</v>
      </c>
      <c r="Q887" s="1" t="str">
        <f>_xlfn.XLOOKUP(tblSales[[#This Row],[Channel Code]],tblChannels[Channel Code],tblChannels[Channel Name],"")</f>
        <v>In-store</v>
      </c>
      <c r="R887" s="1">
        <f>MONTH(tblSales[[#This Row],[Date]])</f>
        <v>2</v>
      </c>
    </row>
    <row r="888" spans="2:18" x14ac:dyDescent="0.35">
      <c r="B888" s="113">
        <v>46081</v>
      </c>
      <c r="C888" s="4" t="s">
        <v>618</v>
      </c>
      <c r="D888" s="4" t="s">
        <v>4568</v>
      </c>
      <c r="E888" s="1" t="str">
        <f>_xlfn.XLOOKUP(tblSales[[#This Row],[Customer ID]],tblCustomers[Customer ID],tblCustomers[Customer Name],"⚠ Unknown")</f>
        <v>Walk-in Customer</v>
      </c>
      <c r="F888" s="4" t="s">
        <v>12</v>
      </c>
      <c r="G888" s="1" t="str">
        <f>_xlfn.XLOOKUP(tblSales[[#This Row],[Product Code]],tblProducts[Code],tblProducts[Product / Service Name],"⚠ Unknown")</f>
        <v>Bomber Jacket</v>
      </c>
      <c r="H888" s="1" t="str">
        <f>_xlfn.XLOOKUP(tblSales[[#This Row],[Product Code]],tblProducts[Code],tblProducts[Category],"")</f>
        <v>Apparel &amp; Footwear</v>
      </c>
      <c r="I888" s="4">
        <v>4</v>
      </c>
      <c r="J888" s="5">
        <f>_xlfn.XLOOKUP(tblSales[[#This Row],[Product Code]],tblProducts[Code],tblProducts[Selling Price (excl. VAT)],0)</f>
        <v>350000</v>
      </c>
      <c r="K888" s="5">
        <f>tblSales[[#This Row],[Qty]]*tblSales[[#This Row],[Unit Price]]</f>
        <v>1400000</v>
      </c>
      <c r="L888" s="5">
        <f>ROUND(tblSales[[#This Row],[DPP (excl. VAT)]]*VATEff,0)</f>
        <v>154000</v>
      </c>
      <c r="M888" s="5">
        <f>tblSales[[#This Row],[DPP (excl. VAT)]]+tblSales[[#This Row],[Output VAT]]</f>
        <v>1554000</v>
      </c>
      <c r="N888" s="5">
        <f>tblSales[[#This Row],[Qty]]*_xlfn.XLOOKUP(tblSales[[#This Row],[Product Code]],tblProducts[Code],tblProducts[Unit Cost],0)</f>
        <v>840000</v>
      </c>
      <c r="O888" s="4" t="s">
        <v>4866</v>
      </c>
      <c r="P888" s="4" t="s">
        <v>4860</v>
      </c>
      <c r="Q888" s="1" t="str">
        <f>_xlfn.XLOOKUP(tblSales[[#This Row],[Channel Code]],tblChannels[Channel Code],tblChannels[Channel Name],"")</f>
        <v>In-store</v>
      </c>
      <c r="R888" s="1">
        <f>MONTH(tblSales[[#This Row],[Date]])</f>
        <v>2</v>
      </c>
    </row>
    <row r="889" spans="2:18" x14ac:dyDescent="0.35">
      <c r="B889" s="113">
        <v>46081</v>
      </c>
      <c r="C889" s="4" t="s">
        <v>619</v>
      </c>
      <c r="D889" s="4" t="s">
        <v>4568</v>
      </c>
      <c r="E889" s="1" t="str">
        <f>_xlfn.XLOOKUP(tblSales[[#This Row],[Customer ID]],tblCustomers[Customer ID],tblCustomers[Customer Name],"⚠ Unknown")</f>
        <v>Walk-in Customer</v>
      </c>
      <c r="F889" s="4" t="s">
        <v>13</v>
      </c>
      <c r="G889" s="1" t="str">
        <f>_xlfn.XLOOKUP(tblSales[[#This Row],[Product Code]],tblProducts[Code],tblProducts[Product / Service Name],"⚠ Unknown")</f>
        <v>Backpack</v>
      </c>
      <c r="H889" s="1" t="str">
        <f>_xlfn.XLOOKUP(tblSales[[#This Row],[Product Code]],tblProducts[Code],tblProducts[Category],"")</f>
        <v>Bags &amp; Gadgets</v>
      </c>
      <c r="I889" s="4">
        <v>2</v>
      </c>
      <c r="J889" s="5">
        <f>_xlfn.XLOOKUP(tblSales[[#This Row],[Product Code]],tblProducts[Code],tblProducts[Selling Price (excl. VAT)],0)</f>
        <v>500000</v>
      </c>
      <c r="K889" s="5">
        <f>tblSales[[#This Row],[Qty]]*tblSales[[#This Row],[Unit Price]]</f>
        <v>1000000</v>
      </c>
      <c r="L889" s="5">
        <f>ROUND(tblSales[[#This Row],[DPP (excl. VAT)]]*VATEff,0)</f>
        <v>110000</v>
      </c>
      <c r="M889" s="5">
        <f>tblSales[[#This Row],[DPP (excl. VAT)]]+tblSales[[#This Row],[Output VAT]]</f>
        <v>1110000</v>
      </c>
      <c r="N889" s="5">
        <f>tblSales[[#This Row],[Qty]]*_xlfn.XLOOKUP(tblSales[[#This Row],[Product Code]],tblProducts[Code],tblProducts[Unit Cost],0)</f>
        <v>580000</v>
      </c>
      <c r="O889" s="4" t="s">
        <v>4865</v>
      </c>
      <c r="P889" s="4" t="s">
        <v>4860</v>
      </c>
      <c r="Q889" s="1" t="str">
        <f>_xlfn.XLOOKUP(tblSales[[#This Row],[Channel Code]],tblChannels[Channel Code],tblChannels[Channel Name],"")</f>
        <v>In-store</v>
      </c>
      <c r="R889" s="1">
        <f>MONTH(tblSales[[#This Row],[Date]])</f>
        <v>2</v>
      </c>
    </row>
    <row r="890" spans="2:18" x14ac:dyDescent="0.35">
      <c r="B890" s="113">
        <v>46081</v>
      </c>
      <c r="C890" s="4" t="s">
        <v>620</v>
      </c>
      <c r="D890" s="4" t="s">
        <v>4568</v>
      </c>
      <c r="E890" s="1" t="str">
        <f>_xlfn.XLOOKUP(tblSales[[#This Row],[Customer ID]],tblCustomers[Customer ID],tblCustomers[Customer Name],"⚠ Unknown")</f>
        <v>Walk-in Customer</v>
      </c>
      <c r="F890" s="4" t="s">
        <v>6</v>
      </c>
      <c r="G890" s="1" t="str">
        <f>_xlfn.XLOOKUP(tblSales[[#This Row],[Product Code]],tblProducts[Code],tblProducts[Product / Service Name],"⚠ Unknown")</f>
        <v>Socks &amp; Accessories</v>
      </c>
      <c r="H890" s="1" t="str">
        <f>_xlfn.XLOOKUP(tblSales[[#This Row],[Product Code]],tblProducts[Code],tblProducts[Category],"")</f>
        <v>Accessories &amp; Basics</v>
      </c>
      <c r="I890" s="4">
        <v>7</v>
      </c>
      <c r="J890" s="5">
        <f>_xlfn.XLOOKUP(tblSales[[#This Row],[Product Code]],tblProducts[Code],tblProducts[Selling Price (excl. VAT)],0)</f>
        <v>45000</v>
      </c>
      <c r="K890" s="5">
        <f>tblSales[[#This Row],[Qty]]*tblSales[[#This Row],[Unit Price]]</f>
        <v>315000</v>
      </c>
      <c r="L890" s="5">
        <f>ROUND(tblSales[[#This Row],[DPP (excl. VAT)]]*VATEff,0)</f>
        <v>34650</v>
      </c>
      <c r="M890" s="5">
        <f>tblSales[[#This Row],[DPP (excl. VAT)]]+tblSales[[#This Row],[Output VAT]]</f>
        <v>349650</v>
      </c>
      <c r="N890" s="5">
        <f>tblSales[[#This Row],[Qty]]*_xlfn.XLOOKUP(tblSales[[#This Row],[Product Code]],tblProducts[Code],tblProducts[Unit Cost],0)</f>
        <v>168000</v>
      </c>
      <c r="O890" s="4" t="s">
        <v>4865</v>
      </c>
      <c r="P890" s="4" t="s">
        <v>4860</v>
      </c>
      <c r="Q890" s="1" t="str">
        <f>_xlfn.XLOOKUP(tblSales[[#This Row],[Channel Code]],tblChannels[Channel Code],tblChannels[Channel Name],"")</f>
        <v>In-store</v>
      </c>
      <c r="R890" s="1">
        <f>MONTH(tblSales[[#This Row],[Date]])</f>
        <v>2</v>
      </c>
    </row>
    <row r="891" spans="2:18" x14ac:dyDescent="0.35">
      <c r="B891" s="113">
        <v>46081</v>
      </c>
      <c r="C891" s="4" t="s">
        <v>621</v>
      </c>
      <c r="D891" s="4" t="s">
        <v>4568</v>
      </c>
      <c r="E891" s="1" t="str">
        <f>_xlfn.XLOOKUP(tblSales[[#This Row],[Customer ID]],tblCustomers[Customer ID],tblCustomers[Customer Name],"⚠ Unknown")</f>
        <v>Walk-in Customer</v>
      </c>
      <c r="F891" s="4" t="s">
        <v>13</v>
      </c>
      <c r="G891" s="1" t="str">
        <f>_xlfn.XLOOKUP(tblSales[[#This Row],[Product Code]],tblProducts[Code],tblProducts[Product / Service Name],"⚠ Unknown")</f>
        <v>Backpack</v>
      </c>
      <c r="H891" s="1" t="str">
        <f>_xlfn.XLOOKUP(tblSales[[#This Row],[Product Code]],tblProducts[Code],tblProducts[Category],"")</f>
        <v>Bags &amp; Gadgets</v>
      </c>
      <c r="I891" s="4">
        <v>2</v>
      </c>
      <c r="J891" s="5">
        <f>_xlfn.XLOOKUP(tblSales[[#This Row],[Product Code]],tblProducts[Code],tblProducts[Selling Price (excl. VAT)],0)</f>
        <v>500000</v>
      </c>
      <c r="K891" s="5">
        <f>tblSales[[#This Row],[Qty]]*tblSales[[#This Row],[Unit Price]]</f>
        <v>1000000</v>
      </c>
      <c r="L891" s="5">
        <f>ROUND(tblSales[[#This Row],[DPP (excl. VAT)]]*VATEff,0)</f>
        <v>110000</v>
      </c>
      <c r="M891" s="5">
        <f>tblSales[[#This Row],[DPP (excl. VAT)]]+tblSales[[#This Row],[Output VAT]]</f>
        <v>1110000</v>
      </c>
      <c r="N891" s="5">
        <f>tblSales[[#This Row],[Qty]]*_xlfn.XLOOKUP(tblSales[[#This Row],[Product Code]],tblProducts[Code],tblProducts[Unit Cost],0)</f>
        <v>580000</v>
      </c>
      <c r="O891" s="4" t="s">
        <v>4865</v>
      </c>
      <c r="P891" s="4" t="s">
        <v>4860</v>
      </c>
      <c r="Q891" s="1" t="str">
        <f>_xlfn.XLOOKUP(tblSales[[#This Row],[Channel Code]],tblChannels[Channel Code],tblChannels[Channel Name],"")</f>
        <v>In-store</v>
      </c>
      <c r="R891" s="1">
        <f>MONTH(tblSales[[#This Row],[Date]])</f>
        <v>2</v>
      </c>
    </row>
    <row r="892" spans="2:18" x14ac:dyDescent="0.35">
      <c r="B892" s="113">
        <v>46081</v>
      </c>
      <c r="C892" s="4" t="s">
        <v>622</v>
      </c>
      <c r="D892" s="4" t="s">
        <v>4568</v>
      </c>
      <c r="E892" s="1" t="str">
        <f>_xlfn.XLOOKUP(tblSales[[#This Row],[Customer ID]],tblCustomers[Customer ID],tblCustomers[Customer Name],"⚠ Unknown")</f>
        <v>Walk-in Customer</v>
      </c>
      <c r="F892" s="4" t="s">
        <v>6</v>
      </c>
      <c r="G892" s="1" t="str">
        <f>_xlfn.XLOOKUP(tblSales[[#This Row],[Product Code]],tblProducts[Code],tblProducts[Product / Service Name],"⚠ Unknown")</f>
        <v>Socks &amp; Accessories</v>
      </c>
      <c r="H892" s="1" t="str">
        <f>_xlfn.XLOOKUP(tblSales[[#This Row],[Product Code]],tblProducts[Code],tblProducts[Category],"")</f>
        <v>Accessories &amp; Basics</v>
      </c>
      <c r="I892" s="4">
        <v>2</v>
      </c>
      <c r="J892" s="5">
        <f>_xlfn.XLOOKUP(tblSales[[#This Row],[Product Code]],tblProducts[Code],tblProducts[Selling Price (excl. VAT)],0)</f>
        <v>45000</v>
      </c>
      <c r="K892" s="5">
        <f>tblSales[[#This Row],[Qty]]*tblSales[[#This Row],[Unit Price]]</f>
        <v>90000</v>
      </c>
      <c r="L892" s="5">
        <f>ROUND(tblSales[[#This Row],[DPP (excl. VAT)]]*VATEff,0)</f>
        <v>9900</v>
      </c>
      <c r="M892" s="5">
        <f>tblSales[[#This Row],[DPP (excl. VAT)]]+tblSales[[#This Row],[Output VAT]]</f>
        <v>99900</v>
      </c>
      <c r="N892" s="5">
        <f>tblSales[[#This Row],[Qty]]*_xlfn.XLOOKUP(tblSales[[#This Row],[Product Code]],tblProducts[Code],tblProducts[Unit Cost],0)</f>
        <v>48000</v>
      </c>
      <c r="O892" s="4" t="s">
        <v>4866</v>
      </c>
      <c r="P892" s="4" t="s">
        <v>4861</v>
      </c>
      <c r="Q892" s="1" t="str">
        <f>_xlfn.XLOOKUP(tblSales[[#This Row],[Channel Code]],tblChannels[Channel Code],tblChannels[Channel Name],"")</f>
        <v>Marketplace</v>
      </c>
      <c r="R892" s="1">
        <f>MONTH(tblSales[[#This Row],[Date]])</f>
        <v>2</v>
      </c>
    </row>
    <row r="893" spans="2:18" x14ac:dyDescent="0.35">
      <c r="B893" s="113">
        <v>46081</v>
      </c>
      <c r="C893" s="4" t="s">
        <v>623</v>
      </c>
      <c r="D893" s="4" t="s">
        <v>4568</v>
      </c>
      <c r="E893" s="1" t="str">
        <f>_xlfn.XLOOKUP(tblSales[[#This Row],[Customer ID]],tblCustomers[Customer ID],tblCustomers[Customer Name],"⚠ Unknown")</f>
        <v>Walk-in Customer</v>
      </c>
      <c r="F893" s="4" t="s">
        <v>8</v>
      </c>
      <c r="G893" s="1" t="str">
        <f>_xlfn.XLOOKUP(tblSales[[#This Row],[Product Code]],tblProducts[Code],tblProducts[Product / Service Name],"⚠ Unknown")</f>
        <v>Casual Shorts</v>
      </c>
      <c r="H893" s="1" t="str">
        <f>_xlfn.XLOOKUP(tblSales[[#This Row],[Product Code]],tblProducts[Code],tblProducts[Category],"")</f>
        <v>Accessories &amp; Basics</v>
      </c>
      <c r="I893" s="4">
        <v>1</v>
      </c>
      <c r="J893" s="5">
        <f>_xlfn.XLOOKUP(tblSales[[#This Row],[Product Code]],tblProducts[Code],tblProducts[Selling Price (excl. VAT)],0)</f>
        <v>85000</v>
      </c>
      <c r="K893" s="5">
        <f>tblSales[[#This Row],[Qty]]*tblSales[[#This Row],[Unit Price]]</f>
        <v>85000</v>
      </c>
      <c r="L893" s="5">
        <f>ROUND(tblSales[[#This Row],[DPP (excl. VAT)]]*VATEff,0)</f>
        <v>9350</v>
      </c>
      <c r="M893" s="5">
        <f>tblSales[[#This Row],[DPP (excl. VAT)]]+tblSales[[#This Row],[Output VAT]]</f>
        <v>94350</v>
      </c>
      <c r="N893" s="5">
        <f>tblSales[[#This Row],[Qty]]*_xlfn.XLOOKUP(tblSales[[#This Row],[Product Code]],tblProducts[Code],tblProducts[Unit Cost],0)</f>
        <v>50000</v>
      </c>
      <c r="O893" s="4" t="s">
        <v>4865</v>
      </c>
      <c r="P893" s="4" t="s">
        <v>4860</v>
      </c>
      <c r="Q893" s="1" t="str">
        <f>_xlfn.XLOOKUP(tblSales[[#This Row],[Channel Code]],tblChannels[Channel Code],tblChannels[Channel Name],"")</f>
        <v>In-store</v>
      </c>
      <c r="R893" s="1">
        <f>MONTH(tblSales[[#This Row],[Date]])</f>
        <v>2</v>
      </c>
    </row>
    <row r="894" spans="2:18" x14ac:dyDescent="0.35">
      <c r="B894" s="113">
        <v>46081</v>
      </c>
      <c r="C894" s="4" t="s">
        <v>623</v>
      </c>
      <c r="D894" s="4" t="s">
        <v>4568</v>
      </c>
      <c r="E894" s="1" t="str">
        <f>_xlfn.XLOOKUP(tblSales[[#This Row],[Customer ID]],tblCustomers[Customer ID],tblCustomers[Customer Name],"⚠ Unknown")</f>
        <v>Walk-in Customer</v>
      </c>
      <c r="F894" s="4" t="s">
        <v>11</v>
      </c>
      <c r="G894" s="1" t="str">
        <f>_xlfn.XLOOKUP(tblSales[[#This Row],[Product Code]],tblProducts[Code],tblProducts[Product / Service Name],"⚠ Unknown")</f>
        <v>Sneakers</v>
      </c>
      <c r="H894" s="1" t="str">
        <f>_xlfn.XLOOKUP(tblSales[[#This Row],[Product Code]],tblProducts[Code],tblProducts[Category],"")</f>
        <v>Apparel &amp; Footwear</v>
      </c>
      <c r="I894" s="4">
        <v>1</v>
      </c>
      <c r="J894" s="5">
        <f>_xlfn.XLOOKUP(tblSales[[#This Row],[Product Code]],tblProducts[Code],tblProducts[Selling Price (excl. VAT)],0)</f>
        <v>250000</v>
      </c>
      <c r="K894" s="5">
        <f>tblSales[[#This Row],[Qty]]*tblSales[[#This Row],[Unit Price]]</f>
        <v>250000</v>
      </c>
      <c r="L894" s="5">
        <f>ROUND(tblSales[[#This Row],[DPP (excl. VAT)]]*VATEff,0)</f>
        <v>27500</v>
      </c>
      <c r="M894" s="5">
        <f>tblSales[[#This Row],[DPP (excl. VAT)]]+tblSales[[#This Row],[Output VAT]]</f>
        <v>277500</v>
      </c>
      <c r="N894" s="5">
        <f>tblSales[[#This Row],[Qty]]*_xlfn.XLOOKUP(tblSales[[#This Row],[Product Code]],tblProducts[Code],tblProducts[Unit Cost],0)</f>
        <v>155000</v>
      </c>
      <c r="O894" s="4" t="s">
        <v>4865</v>
      </c>
      <c r="P894" s="4" t="s">
        <v>4860</v>
      </c>
      <c r="Q894" s="1" t="str">
        <f>_xlfn.XLOOKUP(tblSales[[#This Row],[Channel Code]],tblChannels[Channel Code],tblChannels[Channel Name],"")</f>
        <v>In-store</v>
      </c>
      <c r="R894" s="1">
        <f>MONTH(tblSales[[#This Row],[Date]])</f>
        <v>2</v>
      </c>
    </row>
    <row r="895" spans="2:18" x14ac:dyDescent="0.35">
      <c r="B895" s="113">
        <v>46081</v>
      </c>
      <c r="C895" s="4" t="s">
        <v>624</v>
      </c>
      <c r="D895" s="4" t="s">
        <v>4568</v>
      </c>
      <c r="E895" s="1" t="str">
        <f>_xlfn.XLOOKUP(tblSales[[#This Row],[Customer ID]],tblCustomers[Customer ID],tblCustomers[Customer Name],"⚠ Unknown")</f>
        <v>Walk-in Customer</v>
      </c>
      <c r="F895" s="4" t="s">
        <v>14</v>
      </c>
      <c r="G895" s="1" t="str">
        <f>_xlfn.XLOOKUP(tblSales[[#This Row],[Product Code]],tblProducts[Code],tblProducts[Product / Service Name],"⚠ Unknown")</f>
        <v>Smartwatch</v>
      </c>
      <c r="H895" s="1" t="str">
        <f>_xlfn.XLOOKUP(tblSales[[#This Row],[Product Code]],tblProducts[Code],tblProducts[Category],"")</f>
        <v>Bags &amp; Gadgets</v>
      </c>
      <c r="I895" s="4">
        <v>1</v>
      </c>
      <c r="J895" s="5">
        <f>_xlfn.XLOOKUP(tblSales[[#This Row],[Product Code]],tblProducts[Code],tblProducts[Selling Price (excl. VAT)],0)</f>
        <v>850000</v>
      </c>
      <c r="K895" s="5">
        <f>tblSales[[#This Row],[Qty]]*tblSales[[#This Row],[Unit Price]]</f>
        <v>850000</v>
      </c>
      <c r="L895" s="5">
        <f>ROUND(tblSales[[#This Row],[DPP (excl. VAT)]]*VATEff,0)</f>
        <v>93500</v>
      </c>
      <c r="M895" s="5">
        <f>tblSales[[#This Row],[DPP (excl. VAT)]]+tblSales[[#This Row],[Output VAT]]</f>
        <v>943500</v>
      </c>
      <c r="N895" s="5">
        <f>tblSales[[#This Row],[Qty]]*_xlfn.XLOOKUP(tblSales[[#This Row],[Product Code]],tblProducts[Code],tblProducts[Unit Cost],0)</f>
        <v>560000</v>
      </c>
      <c r="O895" s="4" t="s">
        <v>4866</v>
      </c>
      <c r="P895" s="4" t="s">
        <v>4861</v>
      </c>
      <c r="Q895" s="1" t="str">
        <f>_xlfn.XLOOKUP(tblSales[[#This Row],[Channel Code]],tblChannels[Channel Code],tblChannels[Channel Name],"")</f>
        <v>Marketplace</v>
      </c>
      <c r="R895" s="1">
        <f>MONTH(tblSales[[#This Row],[Date]])</f>
        <v>2</v>
      </c>
    </row>
    <row r="896" spans="2:18" x14ac:dyDescent="0.35">
      <c r="B896" s="113">
        <v>46081</v>
      </c>
      <c r="C896" s="4" t="s">
        <v>624</v>
      </c>
      <c r="D896" s="4" t="s">
        <v>4568</v>
      </c>
      <c r="E896" s="1" t="str">
        <f>_xlfn.XLOOKUP(tblSales[[#This Row],[Customer ID]],tblCustomers[Customer ID],tblCustomers[Customer Name],"⚠ Unknown")</f>
        <v>Walk-in Customer</v>
      </c>
      <c r="F896" s="4" t="s">
        <v>10</v>
      </c>
      <c r="G896" s="1" t="str">
        <f>_xlfn.XLOOKUP(tblSales[[#This Row],[Product Code]],tblProducts[Code],tblProducts[Product / Service Name],"⚠ Unknown")</f>
        <v>Chino Pants</v>
      </c>
      <c r="H896" s="1" t="str">
        <f>_xlfn.XLOOKUP(tblSales[[#This Row],[Product Code]],tblProducts[Code],tblProducts[Category],"")</f>
        <v>Apparel &amp; Footwear</v>
      </c>
      <c r="I896" s="4">
        <v>10</v>
      </c>
      <c r="J896" s="5">
        <f>_xlfn.XLOOKUP(tblSales[[#This Row],[Product Code]],tblProducts[Code],tblProducts[Selling Price (excl. VAT)],0)</f>
        <v>150000</v>
      </c>
      <c r="K896" s="5">
        <f>tblSales[[#This Row],[Qty]]*tblSales[[#This Row],[Unit Price]]</f>
        <v>1500000</v>
      </c>
      <c r="L896" s="5">
        <f>ROUND(tblSales[[#This Row],[DPP (excl. VAT)]]*VATEff,0)</f>
        <v>165000</v>
      </c>
      <c r="M896" s="5">
        <f>tblSales[[#This Row],[DPP (excl. VAT)]]+tblSales[[#This Row],[Output VAT]]</f>
        <v>1665000</v>
      </c>
      <c r="N896" s="5">
        <f>tblSales[[#This Row],[Qty]]*_xlfn.XLOOKUP(tblSales[[#This Row],[Product Code]],tblProducts[Code],tblProducts[Unit Cost],0)</f>
        <v>880000</v>
      </c>
      <c r="O896" s="4" t="s">
        <v>4866</v>
      </c>
      <c r="P896" s="4" t="s">
        <v>4861</v>
      </c>
      <c r="Q896" s="1" t="str">
        <f>_xlfn.XLOOKUP(tblSales[[#This Row],[Channel Code]],tblChannels[Channel Code],tblChannels[Channel Name],"")</f>
        <v>Marketplace</v>
      </c>
      <c r="R896" s="1">
        <f>MONTH(tblSales[[#This Row],[Date]])</f>
        <v>2</v>
      </c>
    </row>
    <row r="897" spans="2:18" x14ac:dyDescent="0.35">
      <c r="B897" s="113">
        <v>46081</v>
      </c>
      <c r="C897" s="4" t="s">
        <v>625</v>
      </c>
      <c r="D897" s="4" t="s">
        <v>4568</v>
      </c>
      <c r="E897" s="1" t="str">
        <f>_xlfn.XLOOKUP(tblSales[[#This Row],[Customer ID]],tblCustomers[Customer ID],tblCustomers[Customer Name],"⚠ Unknown")</f>
        <v>Walk-in Customer</v>
      </c>
      <c r="F897" s="4" t="s">
        <v>6</v>
      </c>
      <c r="G897" s="1" t="str">
        <f>_xlfn.XLOOKUP(tblSales[[#This Row],[Product Code]],tblProducts[Code],tblProducts[Product / Service Name],"⚠ Unknown")</f>
        <v>Socks &amp; Accessories</v>
      </c>
      <c r="H897" s="1" t="str">
        <f>_xlfn.XLOOKUP(tblSales[[#This Row],[Product Code]],tblProducts[Code],tblProducts[Category],"")</f>
        <v>Accessories &amp; Basics</v>
      </c>
      <c r="I897" s="4">
        <v>10</v>
      </c>
      <c r="J897" s="5">
        <f>_xlfn.XLOOKUP(tblSales[[#This Row],[Product Code]],tblProducts[Code],tblProducts[Selling Price (excl. VAT)],0)</f>
        <v>45000</v>
      </c>
      <c r="K897" s="5">
        <f>tblSales[[#This Row],[Qty]]*tblSales[[#This Row],[Unit Price]]</f>
        <v>450000</v>
      </c>
      <c r="L897" s="5">
        <f>ROUND(tblSales[[#This Row],[DPP (excl. VAT)]]*VATEff,0)</f>
        <v>49500</v>
      </c>
      <c r="M897" s="5">
        <f>tblSales[[#This Row],[DPP (excl. VAT)]]+tblSales[[#This Row],[Output VAT]]</f>
        <v>499500</v>
      </c>
      <c r="N897" s="5">
        <f>tblSales[[#This Row],[Qty]]*_xlfn.XLOOKUP(tblSales[[#This Row],[Product Code]],tblProducts[Code],tblProducts[Unit Cost],0)</f>
        <v>240000</v>
      </c>
      <c r="O897" s="4" t="s">
        <v>4865</v>
      </c>
      <c r="P897" s="4" t="s">
        <v>4860</v>
      </c>
      <c r="Q897" s="1" t="str">
        <f>_xlfn.XLOOKUP(tblSales[[#This Row],[Channel Code]],tblChannels[Channel Code],tblChannels[Channel Name],"")</f>
        <v>In-store</v>
      </c>
      <c r="R897" s="1">
        <f>MONTH(tblSales[[#This Row],[Date]])</f>
        <v>2</v>
      </c>
    </row>
    <row r="898" spans="2:18" x14ac:dyDescent="0.35">
      <c r="B898" s="113">
        <v>46081</v>
      </c>
      <c r="C898" s="4" t="s">
        <v>5147</v>
      </c>
      <c r="D898" s="4" t="s">
        <v>4568</v>
      </c>
      <c r="E898" s="1" t="str">
        <f>_xlfn.XLOOKUP(tblSales[[#This Row],[Customer ID]],tblCustomers[Customer ID],tblCustomers[Customer Name],"⚠ Unknown")</f>
        <v>Walk-in Customer</v>
      </c>
      <c r="F898" s="4" t="s">
        <v>11</v>
      </c>
      <c r="G898" s="1" t="str">
        <f>_xlfn.XLOOKUP(tblSales[[#This Row],[Product Code]],tblProducts[Code],tblProducts[Product / Service Name],"⚠ Unknown")</f>
        <v>Sneakers</v>
      </c>
      <c r="H898" s="1" t="str">
        <f>_xlfn.XLOOKUP(tblSales[[#This Row],[Product Code]],tblProducts[Code],tblProducts[Category],"")</f>
        <v>Apparel &amp; Footwear</v>
      </c>
      <c r="I898" s="4">
        <v>4</v>
      </c>
      <c r="J898" s="5">
        <f>_xlfn.XLOOKUP(tblSales[[#This Row],[Product Code]],tblProducts[Code],tblProducts[Selling Price (excl. VAT)],0)</f>
        <v>250000</v>
      </c>
      <c r="K898" s="5">
        <f>tblSales[[#This Row],[Qty]]*tblSales[[#This Row],[Unit Price]]</f>
        <v>1000000</v>
      </c>
      <c r="L898" s="5">
        <f>ROUND(tblSales[[#This Row],[DPP (excl. VAT)]]*VATEff,0)</f>
        <v>110000</v>
      </c>
      <c r="M898" s="5">
        <f>tblSales[[#This Row],[DPP (excl. VAT)]]+tblSales[[#This Row],[Output VAT]]</f>
        <v>1110000</v>
      </c>
      <c r="N898" s="5">
        <f>tblSales[[#This Row],[Qty]]*_xlfn.XLOOKUP(tblSales[[#This Row],[Product Code]],tblProducts[Code],tblProducts[Unit Cost],0)</f>
        <v>620000</v>
      </c>
      <c r="O898" s="4" t="s">
        <v>4866</v>
      </c>
      <c r="P898" s="4" t="s">
        <v>4860</v>
      </c>
      <c r="Q898" s="1" t="str">
        <f>_xlfn.XLOOKUP(tblSales[[#This Row],[Channel Code]],tblChannels[Channel Code],tblChannels[Channel Name],"")</f>
        <v>In-store</v>
      </c>
      <c r="R898" s="1">
        <f>MONTH(tblSales[[#This Row],[Date]])</f>
        <v>2</v>
      </c>
    </row>
    <row r="899" spans="2:18" x14ac:dyDescent="0.35">
      <c r="B899" s="113">
        <v>46081</v>
      </c>
      <c r="C899" s="4" t="s">
        <v>5148</v>
      </c>
      <c r="D899" s="4" t="s">
        <v>4585</v>
      </c>
      <c r="E899" s="1" t="str">
        <f>_xlfn.XLOOKUP(tblSales[[#This Row],[Customer ID]],tblCustomers[Customer ID],tblCustomers[Customer Name],"⚠ Unknown")</f>
        <v>CV Mitra Karya Mandiri</v>
      </c>
      <c r="F899" s="4" t="s">
        <v>8</v>
      </c>
      <c r="G899" s="1" t="str">
        <f>_xlfn.XLOOKUP(tblSales[[#This Row],[Product Code]],tblProducts[Code],tblProducts[Product / Service Name],"⚠ Unknown")</f>
        <v>Casual Shorts</v>
      </c>
      <c r="H899" s="1" t="str">
        <f>_xlfn.XLOOKUP(tblSales[[#This Row],[Product Code]],tblProducts[Code],tblProducts[Category],"")</f>
        <v>Accessories &amp; Basics</v>
      </c>
      <c r="I899" s="4">
        <v>64</v>
      </c>
      <c r="J899" s="5">
        <f>_xlfn.XLOOKUP(tblSales[[#This Row],[Product Code]],tblProducts[Code],tblProducts[Selling Price (excl. VAT)],0)</f>
        <v>85000</v>
      </c>
      <c r="K899" s="5">
        <f>tblSales[[#This Row],[Qty]]*tblSales[[#This Row],[Unit Price]]</f>
        <v>5440000</v>
      </c>
      <c r="L899" s="5">
        <f>ROUND(tblSales[[#This Row],[DPP (excl. VAT)]]*VATEff,0)</f>
        <v>598400</v>
      </c>
      <c r="M899" s="5">
        <f>tblSales[[#This Row],[DPP (excl. VAT)]]+tblSales[[#This Row],[Output VAT]]</f>
        <v>6038400</v>
      </c>
      <c r="N899" s="5">
        <f>tblSales[[#This Row],[Qty]]*_xlfn.XLOOKUP(tblSales[[#This Row],[Product Code]],tblProducts[Code],tblProducts[Unit Cost],0)</f>
        <v>3200000</v>
      </c>
      <c r="O899" s="4" t="s">
        <v>4867</v>
      </c>
      <c r="P899" s="4" t="s">
        <v>4862</v>
      </c>
      <c r="Q899" s="1" t="str">
        <f>_xlfn.XLOOKUP(tblSales[[#This Row],[Channel Code]],tblChannels[Channel Code],tblChannels[Channel Name],"")</f>
        <v>Website &amp; Social Media</v>
      </c>
      <c r="R899" s="1">
        <f>MONTH(tblSales[[#This Row],[Date]])</f>
        <v>2</v>
      </c>
    </row>
    <row r="900" spans="2:18" x14ac:dyDescent="0.35">
      <c r="B900" s="113">
        <v>46082</v>
      </c>
      <c r="C900" s="4" t="s">
        <v>626</v>
      </c>
      <c r="D900" s="4" t="s">
        <v>4568</v>
      </c>
      <c r="E900" s="1" t="str">
        <f>_xlfn.XLOOKUP(tblSales[[#This Row],[Customer ID]],tblCustomers[Customer ID],tblCustomers[Customer Name],"⚠ Unknown")</f>
        <v>Walk-in Customer</v>
      </c>
      <c r="F900" s="4" t="s">
        <v>12</v>
      </c>
      <c r="G900" s="1" t="str">
        <f>_xlfn.XLOOKUP(tblSales[[#This Row],[Product Code]],tblProducts[Code],tblProducts[Product / Service Name],"⚠ Unknown")</f>
        <v>Bomber Jacket</v>
      </c>
      <c r="H900" s="1" t="str">
        <f>_xlfn.XLOOKUP(tblSales[[#This Row],[Product Code]],tblProducts[Code],tblProducts[Category],"")</f>
        <v>Apparel &amp; Footwear</v>
      </c>
      <c r="I900" s="4">
        <v>1</v>
      </c>
      <c r="J900" s="5">
        <f>_xlfn.XLOOKUP(tblSales[[#This Row],[Product Code]],tblProducts[Code],tblProducts[Selling Price (excl. VAT)],0)</f>
        <v>350000</v>
      </c>
      <c r="K900" s="5">
        <f>tblSales[[#This Row],[Qty]]*tblSales[[#This Row],[Unit Price]]</f>
        <v>350000</v>
      </c>
      <c r="L900" s="5">
        <f>ROUND(tblSales[[#This Row],[DPP (excl. VAT)]]*VATEff,0)</f>
        <v>38500</v>
      </c>
      <c r="M900" s="5">
        <f>tblSales[[#This Row],[DPP (excl. VAT)]]+tblSales[[#This Row],[Output VAT]]</f>
        <v>388500</v>
      </c>
      <c r="N900" s="5">
        <f>tblSales[[#This Row],[Qty]]*_xlfn.XLOOKUP(tblSales[[#This Row],[Product Code]],tblProducts[Code],tblProducts[Unit Cost],0)</f>
        <v>210000</v>
      </c>
      <c r="O900" s="4" t="s">
        <v>4866</v>
      </c>
      <c r="P900" s="4" t="s">
        <v>4862</v>
      </c>
      <c r="Q900" s="1" t="str">
        <f>_xlfn.XLOOKUP(tblSales[[#This Row],[Channel Code]],tblChannels[Channel Code],tblChannels[Channel Name],"")</f>
        <v>Website &amp; Social Media</v>
      </c>
      <c r="R900" s="1">
        <f>MONTH(tblSales[[#This Row],[Date]])</f>
        <v>3</v>
      </c>
    </row>
    <row r="901" spans="2:18" x14ac:dyDescent="0.35">
      <c r="B901" s="113">
        <v>46082</v>
      </c>
      <c r="C901" s="4" t="s">
        <v>627</v>
      </c>
      <c r="D901" s="4" t="s">
        <v>4568</v>
      </c>
      <c r="E901" s="1" t="str">
        <f>_xlfn.XLOOKUP(tblSales[[#This Row],[Customer ID]],tblCustomers[Customer ID],tblCustomers[Customer Name],"⚠ Unknown")</f>
        <v>Walk-in Customer</v>
      </c>
      <c r="F901" s="4" t="s">
        <v>15</v>
      </c>
      <c r="G901" s="1" t="str">
        <f>_xlfn.XLOOKUP(tblSales[[#This Row],[Product Code]],tblProducts[Code],tblProducts[Product / Service Name],"⚠ Unknown")</f>
        <v>Wireless Earbuds Pro</v>
      </c>
      <c r="H901" s="1" t="str">
        <f>_xlfn.XLOOKUP(tblSales[[#This Row],[Product Code]],tblProducts[Code],tblProducts[Category],"")</f>
        <v>Bags &amp; Gadgets</v>
      </c>
      <c r="I901" s="4">
        <v>2</v>
      </c>
      <c r="J901" s="5">
        <f>_xlfn.XLOOKUP(tblSales[[#This Row],[Product Code]],tblProducts[Code],tblProducts[Selling Price (excl. VAT)],0)</f>
        <v>1250000</v>
      </c>
      <c r="K901" s="5">
        <f>tblSales[[#This Row],[Qty]]*tblSales[[#This Row],[Unit Price]]</f>
        <v>2500000</v>
      </c>
      <c r="L901" s="5">
        <f>ROUND(tblSales[[#This Row],[DPP (excl. VAT)]]*VATEff,0)</f>
        <v>275000</v>
      </c>
      <c r="M901" s="5">
        <f>tblSales[[#This Row],[DPP (excl. VAT)]]+tblSales[[#This Row],[Output VAT]]</f>
        <v>2775000</v>
      </c>
      <c r="N901" s="5">
        <f>tblSales[[#This Row],[Qty]]*_xlfn.XLOOKUP(tblSales[[#This Row],[Product Code]],tblProducts[Code],tblProducts[Unit Cost],0)</f>
        <v>1640000</v>
      </c>
      <c r="O901" s="4" t="s">
        <v>4865</v>
      </c>
      <c r="P901" s="4" t="s">
        <v>4860</v>
      </c>
      <c r="Q901" s="1" t="str">
        <f>_xlfn.XLOOKUP(tblSales[[#This Row],[Channel Code]],tblChannels[Channel Code],tblChannels[Channel Name],"")</f>
        <v>In-store</v>
      </c>
      <c r="R901" s="1">
        <f>MONTH(tblSales[[#This Row],[Date]])</f>
        <v>3</v>
      </c>
    </row>
    <row r="902" spans="2:18" x14ac:dyDescent="0.35">
      <c r="B902" s="113">
        <v>46082</v>
      </c>
      <c r="C902" s="4" t="s">
        <v>628</v>
      </c>
      <c r="D902" s="4" t="s">
        <v>4568</v>
      </c>
      <c r="E902" s="1" t="str">
        <f>_xlfn.XLOOKUP(tblSales[[#This Row],[Customer ID]],tblCustomers[Customer ID],tblCustomers[Customer Name],"⚠ Unknown")</f>
        <v>Walk-in Customer</v>
      </c>
      <c r="F902" s="4" t="s">
        <v>11</v>
      </c>
      <c r="G902" s="1" t="str">
        <f>_xlfn.XLOOKUP(tblSales[[#This Row],[Product Code]],tblProducts[Code],tblProducts[Product / Service Name],"⚠ Unknown")</f>
        <v>Sneakers</v>
      </c>
      <c r="H902" s="1" t="str">
        <f>_xlfn.XLOOKUP(tblSales[[#This Row],[Product Code]],tblProducts[Code],tblProducts[Category],"")</f>
        <v>Apparel &amp; Footwear</v>
      </c>
      <c r="I902" s="4">
        <v>2</v>
      </c>
      <c r="J902" s="5">
        <f>_xlfn.XLOOKUP(tblSales[[#This Row],[Product Code]],tblProducts[Code],tblProducts[Selling Price (excl. VAT)],0)</f>
        <v>250000</v>
      </c>
      <c r="K902" s="5">
        <f>tblSales[[#This Row],[Qty]]*tblSales[[#This Row],[Unit Price]]</f>
        <v>500000</v>
      </c>
      <c r="L902" s="5">
        <f>ROUND(tblSales[[#This Row],[DPP (excl. VAT)]]*VATEff,0)</f>
        <v>55000</v>
      </c>
      <c r="M902" s="5">
        <f>tblSales[[#This Row],[DPP (excl. VAT)]]+tblSales[[#This Row],[Output VAT]]</f>
        <v>555000</v>
      </c>
      <c r="N902" s="5">
        <f>tblSales[[#This Row],[Qty]]*_xlfn.XLOOKUP(tblSales[[#This Row],[Product Code]],tblProducts[Code],tblProducts[Unit Cost],0)</f>
        <v>310000</v>
      </c>
      <c r="O902" s="4" t="s">
        <v>4865</v>
      </c>
      <c r="P902" s="4" t="s">
        <v>4860</v>
      </c>
      <c r="Q902" s="1" t="str">
        <f>_xlfn.XLOOKUP(tblSales[[#This Row],[Channel Code]],tblChannels[Channel Code],tblChannels[Channel Name],"")</f>
        <v>In-store</v>
      </c>
      <c r="R902" s="1">
        <f>MONTH(tblSales[[#This Row],[Date]])</f>
        <v>3</v>
      </c>
    </row>
    <row r="903" spans="2:18" x14ac:dyDescent="0.35">
      <c r="B903" s="113">
        <v>46082</v>
      </c>
      <c r="C903" s="4" t="s">
        <v>629</v>
      </c>
      <c r="D903" s="4" t="s">
        <v>4568</v>
      </c>
      <c r="E903" s="1" t="str">
        <f>_xlfn.XLOOKUP(tblSales[[#This Row],[Customer ID]],tblCustomers[Customer ID],tblCustomers[Customer Name],"⚠ Unknown")</f>
        <v>Walk-in Customer</v>
      </c>
      <c r="F903" s="4" t="s">
        <v>11</v>
      </c>
      <c r="G903" s="1" t="str">
        <f>_xlfn.XLOOKUP(tblSales[[#This Row],[Product Code]],tblProducts[Code],tblProducts[Product / Service Name],"⚠ Unknown")</f>
        <v>Sneakers</v>
      </c>
      <c r="H903" s="1" t="str">
        <f>_xlfn.XLOOKUP(tblSales[[#This Row],[Product Code]],tblProducts[Code],tblProducts[Category],"")</f>
        <v>Apparel &amp; Footwear</v>
      </c>
      <c r="I903" s="4">
        <v>3</v>
      </c>
      <c r="J903" s="5">
        <f>_xlfn.XLOOKUP(tblSales[[#This Row],[Product Code]],tblProducts[Code],tblProducts[Selling Price (excl. VAT)],0)</f>
        <v>250000</v>
      </c>
      <c r="K903" s="5">
        <f>tblSales[[#This Row],[Qty]]*tblSales[[#This Row],[Unit Price]]</f>
        <v>750000</v>
      </c>
      <c r="L903" s="5">
        <f>ROUND(tblSales[[#This Row],[DPP (excl. VAT)]]*VATEff,0)</f>
        <v>82500</v>
      </c>
      <c r="M903" s="5">
        <f>tblSales[[#This Row],[DPP (excl. VAT)]]+tblSales[[#This Row],[Output VAT]]</f>
        <v>832500</v>
      </c>
      <c r="N903" s="5">
        <f>tblSales[[#This Row],[Qty]]*_xlfn.XLOOKUP(tblSales[[#This Row],[Product Code]],tblProducts[Code],tblProducts[Unit Cost],0)</f>
        <v>465000</v>
      </c>
      <c r="O903" s="4" t="s">
        <v>4865</v>
      </c>
      <c r="P903" s="4" t="s">
        <v>4860</v>
      </c>
      <c r="Q903" s="1" t="str">
        <f>_xlfn.XLOOKUP(tblSales[[#This Row],[Channel Code]],tblChannels[Channel Code],tblChannels[Channel Name],"")</f>
        <v>In-store</v>
      </c>
      <c r="R903" s="1">
        <f>MONTH(tblSales[[#This Row],[Date]])</f>
        <v>3</v>
      </c>
    </row>
    <row r="904" spans="2:18" x14ac:dyDescent="0.35">
      <c r="B904" s="113">
        <v>46082</v>
      </c>
      <c r="C904" s="4" t="s">
        <v>629</v>
      </c>
      <c r="D904" s="4" t="s">
        <v>4568</v>
      </c>
      <c r="E904" s="1" t="str">
        <f>_xlfn.XLOOKUP(tblSales[[#This Row],[Customer ID]],tblCustomers[Customer ID],tblCustomers[Customer Name],"⚠ Unknown")</f>
        <v>Walk-in Customer</v>
      </c>
      <c r="F904" s="4" t="s">
        <v>6</v>
      </c>
      <c r="G904" s="1" t="str">
        <f>_xlfn.XLOOKUP(tblSales[[#This Row],[Product Code]],tblProducts[Code],tblProducts[Product / Service Name],"⚠ Unknown")</f>
        <v>Socks &amp; Accessories</v>
      </c>
      <c r="H904" s="1" t="str">
        <f>_xlfn.XLOOKUP(tblSales[[#This Row],[Product Code]],tblProducts[Code],tblProducts[Category],"")</f>
        <v>Accessories &amp; Basics</v>
      </c>
      <c r="I904" s="4">
        <v>10</v>
      </c>
      <c r="J904" s="5">
        <f>_xlfn.XLOOKUP(tblSales[[#This Row],[Product Code]],tblProducts[Code],tblProducts[Selling Price (excl. VAT)],0)</f>
        <v>45000</v>
      </c>
      <c r="K904" s="5">
        <f>tblSales[[#This Row],[Qty]]*tblSales[[#This Row],[Unit Price]]</f>
        <v>450000</v>
      </c>
      <c r="L904" s="5">
        <f>ROUND(tblSales[[#This Row],[DPP (excl. VAT)]]*VATEff,0)</f>
        <v>49500</v>
      </c>
      <c r="M904" s="5">
        <f>tblSales[[#This Row],[DPP (excl. VAT)]]+tblSales[[#This Row],[Output VAT]]</f>
        <v>499500</v>
      </c>
      <c r="N904" s="5">
        <f>tblSales[[#This Row],[Qty]]*_xlfn.XLOOKUP(tblSales[[#This Row],[Product Code]],tblProducts[Code],tblProducts[Unit Cost],0)</f>
        <v>240000</v>
      </c>
      <c r="O904" s="4" t="s">
        <v>4865</v>
      </c>
      <c r="P904" s="4" t="s">
        <v>4860</v>
      </c>
      <c r="Q904" s="1" t="str">
        <f>_xlfn.XLOOKUP(tblSales[[#This Row],[Channel Code]],tblChannels[Channel Code],tblChannels[Channel Name],"")</f>
        <v>In-store</v>
      </c>
      <c r="R904" s="1">
        <f>MONTH(tblSales[[#This Row],[Date]])</f>
        <v>3</v>
      </c>
    </row>
    <row r="905" spans="2:18" x14ac:dyDescent="0.35">
      <c r="B905" s="113">
        <v>46082</v>
      </c>
      <c r="C905" s="4" t="s">
        <v>630</v>
      </c>
      <c r="D905" s="4" t="s">
        <v>4568</v>
      </c>
      <c r="E905" s="1" t="str">
        <f>_xlfn.XLOOKUP(tblSales[[#This Row],[Customer ID]],tblCustomers[Customer ID],tblCustomers[Customer Name],"⚠ Unknown")</f>
        <v>Walk-in Customer</v>
      </c>
      <c r="F905" s="4" t="s">
        <v>11</v>
      </c>
      <c r="G905" s="1" t="str">
        <f>_xlfn.XLOOKUP(tblSales[[#This Row],[Product Code]],tblProducts[Code],tblProducts[Product / Service Name],"⚠ Unknown")</f>
        <v>Sneakers</v>
      </c>
      <c r="H905" s="1" t="str">
        <f>_xlfn.XLOOKUP(tblSales[[#This Row],[Product Code]],tblProducts[Code],tblProducts[Category],"")</f>
        <v>Apparel &amp; Footwear</v>
      </c>
      <c r="I905" s="4">
        <v>2</v>
      </c>
      <c r="J905" s="5">
        <f>_xlfn.XLOOKUP(tblSales[[#This Row],[Product Code]],tblProducts[Code],tblProducts[Selling Price (excl. VAT)],0)</f>
        <v>250000</v>
      </c>
      <c r="K905" s="5">
        <f>tblSales[[#This Row],[Qty]]*tblSales[[#This Row],[Unit Price]]</f>
        <v>500000</v>
      </c>
      <c r="L905" s="5">
        <f>ROUND(tblSales[[#This Row],[DPP (excl. VAT)]]*VATEff,0)</f>
        <v>55000</v>
      </c>
      <c r="M905" s="5">
        <f>tblSales[[#This Row],[DPP (excl. VAT)]]+tblSales[[#This Row],[Output VAT]]</f>
        <v>555000</v>
      </c>
      <c r="N905" s="5">
        <f>tblSales[[#This Row],[Qty]]*_xlfn.XLOOKUP(tblSales[[#This Row],[Product Code]],tblProducts[Code],tblProducts[Unit Cost],0)</f>
        <v>310000</v>
      </c>
      <c r="O905" s="4" t="s">
        <v>4866</v>
      </c>
      <c r="P905" s="4" t="s">
        <v>4861</v>
      </c>
      <c r="Q905" s="1" t="str">
        <f>_xlfn.XLOOKUP(tblSales[[#This Row],[Channel Code]],tblChannels[Channel Code],tblChannels[Channel Name],"")</f>
        <v>Marketplace</v>
      </c>
      <c r="R905" s="1">
        <f>MONTH(tblSales[[#This Row],[Date]])</f>
        <v>3</v>
      </c>
    </row>
    <row r="906" spans="2:18" x14ac:dyDescent="0.35">
      <c r="B906" s="113">
        <v>46082</v>
      </c>
      <c r="C906" s="4" t="s">
        <v>631</v>
      </c>
      <c r="D906" s="4" t="s">
        <v>4568</v>
      </c>
      <c r="E906" s="1" t="str">
        <f>_xlfn.XLOOKUP(tblSales[[#This Row],[Customer ID]],tblCustomers[Customer ID],tblCustomers[Customer Name],"⚠ Unknown")</f>
        <v>Walk-in Customer</v>
      </c>
      <c r="F906" s="4" t="s">
        <v>7</v>
      </c>
      <c r="G906" s="1" t="str">
        <f>_xlfn.XLOOKUP(tblSales[[#This Row],[Product Code]],tblProducts[Code],tblProducts[Product / Service Name],"⚠ Unknown")</f>
        <v>Premium Basic T-shirt</v>
      </c>
      <c r="H906" s="1" t="str">
        <f>_xlfn.XLOOKUP(tblSales[[#This Row],[Product Code]],tblProducts[Code],tblProducts[Category],"")</f>
        <v>Accessories &amp; Basics</v>
      </c>
      <c r="I906" s="4">
        <v>10</v>
      </c>
      <c r="J906" s="5">
        <f>_xlfn.XLOOKUP(tblSales[[#This Row],[Product Code]],tblProducts[Code],tblProducts[Selling Price (excl. VAT)],0)</f>
        <v>65000</v>
      </c>
      <c r="K906" s="5">
        <f>tblSales[[#This Row],[Qty]]*tblSales[[#This Row],[Unit Price]]</f>
        <v>650000</v>
      </c>
      <c r="L906" s="5">
        <f>ROUND(tblSales[[#This Row],[DPP (excl. VAT)]]*VATEff,0)</f>
        <v>71500</v>
      </c>
      <c r="M906" s="5">
        <f>tblSales[[#This Row],[DPP (excl. VAT)]]+tblSales[[#This Row],[Output VAT]]</f>
        <v>721500</v>
      </c>
      <c r="N906" s="5">
        <f>tblSales[[#This Row],[Qty]]*_xlfn.XLOOKUP(tblSales[[#This Row],[Product Code]],tblProducts[Code],tblProducts[Unit Cost],0)</f>
        <v>370000</v>
      </c>
      <c r="O906" s="4" t="s">
        <v>4865</v>
      </c>
      <c r="P906" s="4" t="s">
        <v>4860</v>
      </c>
      <c r="Q906" s="1" t="str">
        <f>_xlfn.XLOOKUP(tblSales[[#This Row],[Channel Code]],tblChannels[Channel Code],tblChannels[Channel Name],"")</f>
        <v>In-store</v>
      </c>
      <c r="R906" s="1">
        <f>MONTH(tblSales[[#This Row],[Date]])</f>
        <v>3</v>
      </c>
    </row>
    <row r="907" spans="2:18" x14ac:dyDescent="0.35">
      <c r="B907" s="113">
        <v>46082</v>
      </c>
      <c r="C907" s="4" t="s">
        <v>631</v>
      </c>
      <c r="D907" s="4" t="s">
        <v>4568</v>
      </c>
      <c r="E907" s="1" t="str">
        <f>_xlfn.XLOOKUP(tblSales[[#This Row],[Customer ID]],tblCustomers[Customer ID],tblCustomers[Customer Name],"⚠ Unknown")</f>
        <v>Walk-in Customer</v>
      </c>
      <c r="F907" s="4" t="s">
        <v>9</v>
      </c>
      <c r="G907" s="1" t="str">
        <f>_xlfn.XLOOKUP(tblSales[[#This Row],[Product Code]],tblProducts[Code],tblProducts[Product / Service Name],"⚠ Unknown")</f>
        <v>Casual Shirt</v>
      </c>
      <c r="H907" s="1" t="str">
        <f>_xlfn.XLOOKUP(tblSales[[#This Row],[Product Code]],tblProducts[Code],tblProducts[Category],"")</f>
        <v>Apparel &amp; Footwear</v>
      </c>
      <c r="I907" s="4">
        <v>12</v>
      </c>
      <c r="J907" s="5">
        <f>_xlfn.XLOOKUP(tblSales[[#This Row],[Product Code]],tblProducts[Code],tblProducts[Selling Price (excl. VAT)],0)</f>
        <v>120000</v>
      </c>
      <c r="K907" s="5">
        <f>tblSales[[#This Row],[Qty]]*tblSales[[#This Row],[Unit Price]]</f>
        <v>1440000</v>
      </c>
      <c r="L907" s="5">
        <f>ROUND(tblSales[[#This Row],[DPP (excl. VAT)]]*VATEff,0)</f>
        <v>158400</v>
      </c>
      <c r="M907" s="5">
        <f>tblSales[[#This Row],[DPP (excl. VAT)]]+tblSales[[#This Row],[Output VAT]]</f>
        <v>1598400</v>
      </c>
      <c r="N907" s="5">
        <f>tblSales[[#This Row],[Qty]]*_xlfn.XLOOKUP(tblSales[[#This Row],[Product Code]],tblProducts[Code],tblProducts[Unit Cost],0)</f>
        <v>864000</v>
      </c>
      <c r="O907" s="4" t="s">
        <v>4865</v>
      </c>
      <c r="P907" s="4" t="s">
        <v>4860</v>
      </c>
      <c r="Q907" s="1" t="str">
        <f>_xlfn.XLOOKUP(tblSales[[#This Row],[Channel Code]],tblChannels[Channel Code],tblChannels[Channel Name],"")</f>
        <v>In-store</v>
      </c>
      <c r="R907" s="1">
        <f>MONTH(tblSales[[#This Row],[Date]])</f>
        <v>3</v>
      </c>
    </row>
    <row r="908" spans="2:18" x14ac:dyDescent="0.35">
      <c r="B908" s="113">
        <v>46082</v>
      </c>
      <c r="C908" s="4" t="s">
        <v>632</v>
      </c>
      <c r="D908" s="4" t="s">
        <v>4568</v>
      </c>
      <c r="E908" s="1" t="str">
        <f>_xlfn.XLOOKUP(tblSales[[#This Row],[Customer ID]],tblCustomers[Customer ID],tblCustomers[Customer Name],"⚠ Unknown")</f>
        <v>Walk-in Customer</v>
      </c>
      <c r="F908" s="4" t="s">
        <v>12</v>
      </c>
      <c r="G908" s="1" t="str">
        <f>_xlfn.XLOOKUP(tblSales[[#This Row],[Product Code]],tblProducts[Code],tblProducts[Product / Service Name],"⚠ Unknown")</f>
        <v>Bomber Jacket</v>
      </c>
      <c r="H908" s="1" t="str">
        <f>_xlfn.XLOOKUP(tblSales[[#This Row],[Product Code]],tblProducts[Code],tblProducts[Category],"")</f>
        <v>Apparel &amp; Footwear</v>
      </c>
      <c r="I908" s="4">
        <v>5</v>
      </c>
      <c r="J908" s="5">
        <f>_xlfn.XLOOKUP(tblSales[[#This Row],[Product Code]],tblProducts[Code],tblProducts[Selling Price (excl. VAT)],0)</f>
        <v>350000</v>
      </c>
      <c r="K908" s="5">
        <f>tblSales[[#This Row],[Qty]]*tblSales[[#This Row],[Unit Price]]</f>
        <v>1750000</v>
      </c>
      <c r="L908" s="5">
        <f>ROUND(tblSales[[#This Row],[DPP (excl. VAT)]]*VATEff,0)</f>
        <v>192500</v>
      </c>
      <c r="M908" s="5">
        <f>tblSales[[#This Row],[DPP (excl. VAT)]]+tblSales[[#This Row],[Output VAT]]</f>
        <v>1942500</v>
      </c>
      <c r="N908" s="5">
        <f>tblSales[[#This Row],[Qty]]*_xlfn.XLOOKUP(tblSales[[#This Row],[Product Code]],tblProducts[Code],tblProducts[Unit Cost],0)</f>
        <v>1050000</v>
      </c>
      <c r="O908" s="4" t="s">
        <v>4865</v>
      </c>
      <c r="P908" s="4" t="s">
        <v>4860</v>
      </c>
      <c r="Q908" s="1" t="str">
        <f>_xlfn.XLOOKUP(tblSales[[#This Row],[Channel Code]],tblChannels[Channel Code],tblChannels[Channel Name],"")</f>
        <v>In-store</v>
      </c>
      <c r="R908" s="1">
        <f>MONTH(tblSales[[#This Row],[Date]])</f>
        <v>3</v>
      </c>
    </row>
    <row r="909" spans="2:18" x14ac:dyDescent="0.35">
      <c r="B909" s="113">
        <v>46082</v>
      </c>
      <c r="C909" s="4" t="s">
        <v>632</v>
      </c>
      <c r="D909" s="4" t="s">
        <v>4568</v>
      </c>
      <c r="E909" s="1" t="str">
        <f>_xlfn.XLOOKUP(tblSales[[#This Row],[Customer ID]],tblCustomers[Customer ID],tblCustomers[Customer Name],"⚠ Unknown")</f>
        <v>Walk-in Customer</v>
      </c>
      <c r="F909" s="4" t="s">
        <v>8</v>
      </c>
      <c r="G909" s="1" t="str">
        <f>_xlfn.XLOOKUP(tblSales[[#This Row],[Product Code]],tblProducts[Code],tblProducts[Product / Service Name],"⚠ Unknown")</f>
        <v>Casual Shorts</v>
      </c>
      <c r="H909" s="1" t="str">
        <f>_xlfn.XLOOKUP(tblSales[[#This Row],[Product Code]],tblProducts[Code],tblProducts[Category],"")</f>
        <v>Accessories &amp; Basics</v>
      </c>
      <c r="I909" s="4">
        <v>4</v>
      </c>
      <c r="J909" s="5">
        <f>_xlfn.XLOOKUP(tblSales[[#This Row],[Product Code]],tblProducts[Code],tblProducts[Selling Price (excl. VAT)],0)</f>
        <v>85000</v>
      </c>
      <c r="K909" s="5">
        <f>tblSales[[#This Row],[Qty]]*tblSales[[#This Row],[Unit Price]]</f>
        <v>340000</v>
      </c>
      <c r="L909" s="5">
        <f>ROUND(tblSales[[#This Row],[DPP (excl. VAT)]]*VATEff,0)</f>
        <v>37400</v>
      </c>
      <c r="M909" s="5">
        <f>tblSales[[#This Row],[DPP (excl. VAT)]]+tblSales[[#This Row],[Output VAT]]</f>
        <v>377400</v>
      </c>
      <c r="N909" s="5">
        <f>tblSales[[#This Row],[Qty]]*_xlfn.XLOOKUP(tblSales[[#This Row],[Product Code]],tblProducts[Code],tblProducts[Unit Cost],0)</f>
        <v>200000</v>
      </c>
      <c r="O909" s="4" t="s">
        <v>4865</v>
      </c>
      <c r="P909" s="4" t="s">
        <v>4860</v>
      </c>
      <c r="Q909" s="1" t="str">
        <f>_xlfn.XLOOKUP(tblSales[[#This Row],[Channel Code]],tblChannels[Channel Code],tblChannels[Channel Name],"")</f>
        <v>In-store</v>
      </c>
      <c r="R909" s="1">
        <f>MONTH(tblSales[[#This Row],[Date]])</f>
        <v>3</v>
      </c>
    </row>
    <row r="910" spans="2:18" x14ac:dyDescent="0.35">
      <c r="B910" s="113">
        <v>46082</v>
      </c>
      <c r="C910" s="4" t="s">
        <v>632</v>
      </c>
      <c r="D910" s="4" t="s">
        <v>4568</v>
      </c>
      <c r="E910" s="1" t="str">
        <f>_xlfn.XLOOKUP(tblSales[[#This Row],[Customer ID]],tblCustomers[Customer ID],tblCustomers[Customer Name],"⚠ Unknown")</f>
        <v>Walk-in Customer</v>
      </c>
      <c r="F910" s="4" t="s">
        <v>9</v>
      </c>
      <c r="G910" s="1" t="str">
        <f>_xlfn.XLOOKUP(tblSales[[#This Row],[Product Code]],tblProducts[Code],tblProducts[Product / Service Name],"⚠ Unknown")</f>
        <v>Casual Shirt</v>
      </c>
      <c r="H910" s="1" t="str">
        <f>_xlfn.XLOOKUP(tblSales[[#This Row],[Product Code]],tblProducts[Code],tblProducts[Category],"")</f>
        <v>Apparel &amp; Footwear</v>
      </c>
      <c r="I910" s="4">
        <v>2</v>
      </c>
      <c r="J910" s="5">
        <f>_xlfn.XLOOKUP(tblSales[[#This Row],[Product Code]],tblProducts[Code],tblProducts[Selling Price (excl. VAT)],0)</f>
        <v>120000</v>
      </c>
      <c r="K910" s="5">
        <f>tblSales[[#This Row],[Qty]]*tblSales[[#This Row],[Unit Price]]</f>
        <v>240000</v>
      </c>
      <c r="L910" s="5">
        <f>ROUND(tblSales[[#This Row],[DPP (excl. VAT)]]*VATEff,0)</f>
        <v>26400</v>
      </c>
      <c r="M910" s="5">
        <f>tblSales[[#This Row],[DPP (excl. VAT)]]+tblSales[[#This Row],[Output VAT]]</f>
        <v>266400</v>
      </c>
      <c r="N910" s="5">
        <f>tblSales[[#This Row],[Qty]]*_xlfn.XLOOKUP(tblSales[[#This Row],[Product Code]],tblProducts[Code],tblProducts[Unit Cost],0)</f>
        <v>144000</v>
      </c>
      <c r="O910" s="4" t="s">
        <v>4865</v>
      </c>
      <c r="P910" s="4" t="s">
        <v>4860</v>
      </c>
      <c r="Q910" s="1" t="str">
        <f>_xlfn.XLOOKUP(tblSales[[#This Row],[Channel Code]],tblChannels[Channel Code],tblChannels[Channel Name],"")</f>
        <v>In-store</v>
      </c>
      <c r="R910" s="1">
        <f>MONTH(tblSales[[#This Row],[Date]])</f>
        <v>3</v>
      </c>
    </row>
    <row r="911" spans="2:18" x14ac:dyDescent="0.35">
      <c r="B911" s="113">
        <v>46082</v>
      </c>
      <c r="C911" s="4" t="s">
        <v>633</v>
      </c>
      <c r="D911" s="4" t="s">
        <v>4568</v>
      </c>
      <c r="E911" s="1" t="str">
        <f>_xlfn.XLOOKUP(tblSales[[#This Row],[Customer ID]],tblCustomers[Customer ID],tblCustomers[Customer Name],"⚠ Unknown")</f>
        <v>Walk-in Customer</v>
      </c>
      <c r="F911" s="4" t="s">
        <v>6</v>
      </c>
      <c r="G911" s="1" t="str">
        <f>_xlfn.XLOOKUP(tblSales[[#This Row],[Product Code]],tblProducts[Code],tblProducts[Product / Service Name],"⚠ Unknown")</f>
        <v>Socks &amp; Accessories</v>
      </c>
      <c r="H911" s="1" t="str">
        <f>_xlfn.XLOOKUP(tblSales[[#This Row],[Product Code]],tblProducts[Code],tblProducts[Category],"")</f>
        <v>Accessories &amp; Basics</v>
      </c>
      <c r="I911" s="4">
        <v>3</v>
      </c>
      <c r="J911" s="5">
        <f>_xlfn.XLOOKUP(tblSales[[#This Row],[Product Code]],tblProducts[Code],tblProducts[Selling Price (excl. VAT)],0)</f>
        <v>45000</v>
      </c>
      <c r="K911" s="5">
        <f>tblSales[[#This Row],[Qty]]*tblSales[[#This Row],[Unit Price]]</f>
        <v>135000</v>
      </c>
      <c r="L911" s="5">
        <f>ROUND(tblSales[[#This Row],[DPP (excl. VAT)]]*VATEff,0)</f>
        <v>14850</v>
      </c>
      <c r="M911" s="5">
        <f>tblSales[[#This Row],[DPP (excl. VAT)]]+tblSales[[#This Row],[Output VAT]]</f>
        <v>149850</v>
      </c>
      <c r="N911" s="5">
        <f>tblSales[[#This Row],[Qty]]*_xlfn.XLOOKUP(tblSales[[#This Row],[Product Code]],tblProducts[Code],tblProducts[Unit Cost],0)</f>
        <v>72000</v>
      </c>
      <c r="O911" s="4" t="s">
        <v>4866</v>
      </c>
      <c r="P911" s="4" t="s">
        <v>4862</v>
      </c>
      <c r="Q911" s="1" t="str">
        <f>_xlfn.XLOOKUP(tblSales[[#This Row],[Channel Code]],tblChannels[Channel Code],tblChannels[Channel Name],"")</f>
        <v>Website &amp; Social Media</v>
      </c>
      <c r="R911" s="1">
        <f>MONTH(tblSales[[#This Row],[Date]])</f>
        <v>3</v>
      </c>
    </row>
    <row r="912" spans="2:18" x14ac:dyDescent="0.35">
      <c r="B912" s="113">
        <v>46082</v>
      </c>
      <c r="C912" s="4" t="s">
        <v>634</v>
      </c>
      <c r="D912" s="4" t="s">
        <v>4568</v>
      </c>
      <c r="E912" s="1" t="str">
        <f>_xlfn.XLOOKUP(tblSales[[#This Row],[Customer ID]],tblCustomers[Customer ID],tblCustomers[Customer Name],"⚠ Unknown")</f>
        <v>Walk-in Customer</v>
      </c>
      <c r="F912" s="4" t="s">
        <v>8</v>
      </c>
      <c r="G912" s="1" t="str">
        <f>_xlfn.XLOOKUP(tblSales[[#This Row],[Product Code]],tblProducts[Code],tblProducts[Product / Service Name],"⚠ Unknown")</f>
        <v>Casual Shorts</v>
      </c>
      <c r="H912" s="1" t="str">
        <f>_xlfn.XLOOKUP(tblSales[[#This Row],[Product Code]],tblProducts[Code],tblProducts[Category],"")</f>
        <v>Accessories &amp; Basics</v>
      </c>
      <c r="I912" s="4">
        <v>10</v>
      </c>
      <c r="J912" s="5">
        <f>_xlfn.XLOOKUP(tblSales[[#This Row],[Product Code]],tblProducts[Code],tblProducts[Selling Price (excl. VAT)],0)</f>
        <v>85000</v>
      </c>
      <c r="K912" s="5">
        <f>tblSales[[#This Row],[Qty]]*tblSales[[#This Row],[Unit Price]]</f>
        <v>850000</v>
      </c>
      <c r="L912" s="5">
        <f>ROUND(tblSales[[#This Row],[DPP (excl. VAT)]]*VATEff,0)</f>
        <v>93500</v>
      </c>
      <c r="M912" s="5">
        <f>tblSales[[#This Row],[DPP (excl. VAT)]]+tblSales[[#This Row],[Output VAT]]</f>
        <v>943500</v>
      </c>
      <c r="N912" s="5">
        <f>tblSales[[#This Row],[Qty]]*_xlfn.XLOOKUP(tblSales[[#This Row],[Product Code]],tblProducts[Code],tblProducts[Unit Cost],0)</f>
        <v>500000</v>
      </c>
      <c r="O912" s="4" t="s">
        <v>4865</v>
      </c>
      <c r="P912" s="4" t="s">
        <v>4860</v>
      </c>
      <c r="Q912" s="1" t="str">
        <f>_xlfn.XLOOKUP(tblSales[[#This Row],[Channel Code]],tblChannels[Channel Code],tblChannels[Channel Name],"")</f>
        <v>In-store</v>
      </c>
      <c r="R912" s="1">
        <f>MONTH(tblSales[[#This Row],[Date]])</f>
        <v>3</v>
      </c>
    </row>
    <row r="913" spans="2:18" x14ac:dyDescent="0.35">
      <c r="B913" s="113">
        <v>46082</v>
      </c>
      <c r="C913" s="4" t="s">
        <v>635</v>
      </c>
      <c r="D913" s="4" t="s">
        <v>4568</v>
      </c>
      <c r="E913" s="1" t="str">
        <f>_xlfn.XLOOKUP(tblSales[[#This Row],[Customer ID]],tblCustomers[Customer ID],tblCustomers[Customer Name],"⚠ Unknown")</f>
        <v>Walk-in Customer</v>
      </c>
      <c r="F913" s="4" t="s">
        <v>7</v>
      </c>
      <c r="G913" s="1" t="str">
        <f>_xlfn.XLOOKUP(tblSales[[#This Row],[Product Code]],tblProducts[Code],tblProducts[Product / Service Name],"⚠ Unknown")</f>
        <v>Premium Basic T-shirt</v>
      </c>
      <c r="H913" s="1" t="str">
        <f>_xlfn.XLOOKUP(tblSales[[#This Row],[Product Code]],tblProducts[Code],tblProducts[Category],"")</f>
        <v>Accessories &amp; Basics</v>
      </c>
      <c r="I913" s="4">
        <v>7</v>
      </c>
      <c r="J913" s="5">
        <f>_xlfn.XLOOKUP(tblSales[[#This Row],[Product Code]],tblProducts[Code],tblProducts[Selling Price (excl. VAT)],0)</f>
        <v>65000</v>
      </c>
      <c r="K913" s="5">
        <f>tblSales[[#This Row],[Qty]]*tblSales[[#This Row],[Unit Price]]</f>
        <v>455000</v>
      </c>
      <c r="L913" s="5">
        <f>ROUND(tblSales[[#This Row],[DPP (excl. VAT)]]*VATEff,0)</f>
        <v>50050</v>
      </c>
      <c r="M913" s="5">
        <f>tblSales[[#This Row],[DPP (excl. VAT)]]+tblSales[[#This Row],[Output VAT]]</f>
        <v>505050</v>
      </c>
      <c r="N913" s="5">
        <f>tblSales[[#This Row],[Qty]]*_xlfn.XLOOKUP(tblSales[[#This Row],[Product Code]],tblProducts[Code],tblProducts[Unit Cost],0)</f>
        <v>259000</v>
      </c>
      <c r="O913" s="4" t="s">
        <v>4865</v>
      </c>
      <c r="P913" s="4" t="s">
        <v>4860</v>
      </c>
      <c r="Q913" s="1" t="str">
        <f>_xlfn.XLOOKUP(tblSales[[#This Row],[Channel Code]],tblChannels[Channel Code],tblChannels[Channel Name],"")</f>
        <v>In-store</v>
      </c>
      <c r="R913" s="1">
        <f>MONTH(tblSales[[#This Row],[Date]])</f>
        <v>3</v>
      </c>
    </row>
    <row r="914" spans="2:18" x14ac:dyDescent="0.35">
      <c r="B914" s="113">
        <v>46082</v>
      </c>
      <c r="C914" s="4" t="s">
        <v>636</v>
      </c>
      <c r="D914" s="4" t="s">
        <v>4599</v>
      </c>
      <c r="E914" s="1" t="str">
        <f>_xlfn.XLOOKUP(tblSales[[#This Row],[Customer ID]],tblCustomers[Customer ID],tblCustomers[Customer Name],"⚠ Unknown")</f>
        <v>PT Samudra Jaya Logistik</v>
      </c>
      <c r="F914" s="4" t="s">
        <v>9</v>
      </c>
      <c r="G914" s="1" t="str">
        <f>_xlfn.XLOOKUP(tblSales[[#This Row],[Product Code]],tblProducts[Code],tblProducts[Product / Service Name],"⚠ Unknown")</f>
        <v>Casual Shirt</v>
      </c>
      <c r="H914" s="1" t="str">
        <f>_xlfn.XLOOKUP(tblSales[[#This Row],[Product Code]],tblProducts[Code],tblProducts[Category],"")</f>
        <v>Apparel &amp; Footwear</v>
      </c>
      <c r="I914" s="4">
        <v>80</v>
      </c>
      <c r="J914" s="5">
        <f>_xlfn.XLOOKUP(tblSales[[#This Row],[Product Code]],tblProducts[Code],tblProducts[Selling Price (excl. VAT)],0)</f>
        <v>120000</v>
      </c>
      <c r="K914" s="5">
        <f>tblSales[[#This Row],[Qty]]*tblSales[[#This Row],[Unit Price]]</f>
        <v>9600000</v>
      </c>
      <c r="L914" s="5">
        <f>ROUND(tblSales[[#This Row],[DPP (excl. VAT)]]*VATEff,0)</f>
        <v>1056000</v>
      </c>
      <c r="M914" s="5">
        <f>tblSales[[#This Row],[DPP (excl. VAT)]]+tblSales[[#This Row],[Output VAT]]</f>
        <v>10656000</v>
      </c>
      <c r="N914" s="5">
        <f>tblSales[[#This Row],[Qty]]*_xlfn.XLOOKUP(tblSales[[#This Row],[Product Code]],tblProducts[Code],tblProducts[Unit Cost],0)</f>
        <v>5760000</v>
      </c>
      <c r="O914" s="4" t="s">
        <v>4867</v>
      </c>
      <c r="P914" s="4" t="s">
        <v>4862</v>
      </c>
      <c r="Q914" s="1" t="str">
        <f>_xlfn.XLOOKUP(tblSales[[#This Row],[Channel Code]],tblChannels[Channel Code],tblChannels[Channel Name],"")</f>
        <v>Website &amp; Social Media</v>
      </c>
      <c r="R914" s="1">
        <f>MONTH(tblSales[[#This Row],[Date]])</f>
        <v>3</v>
      </c>
    </row>
    <row r="915" spans="2:18" x14ac:dyDescent="0.35">
      <c r="B915" s="113">
        <v>46082</v>
      </c>
      <c r="C915" s="4" t="s">
        <v>637</v>
      </c>
      <c r="D915" s="4" t="s">
        <v>4599</v>
      </c>
      <c r="E915" s="1" t="str">
        <f>_xlfn.XLOOKUP(tblSales[[#This Row],[Customer ID]],tblCustomers[Customer ID],tblCustomers[Customer Name],"⚠ Unknown")</f>
        <v>PT Samudra Jaya Logistik</v>
      </c>
      <c r="F915" s="4" t="s">
        <v>8</v>
      </c>
      <c r="G915" s="1" t="str">
        <f>_xlfn.XLOOKUP(tblSales[[#This Row],[Product Code]],tblProducts[Code],tblProducts[Product / Service Name],"⚠ Unknown")</f>
        <v>Casual Shorts</v>
      </c>
      <c r="H915" s="1" t="str">
        <f>_xlfn.XLOOKUP(tblSales[[#This Row],[Product Code]],tblProducts[Code],tblProducts[Category],"")</f>
        <v>Accessories &amp; Basics</v>
      </c>
      <c r="I915" s="4">
        <v>40</v>
      </c>
      <c r="J915" s="5">
        <f>_xlfn.XLOOKUP(tblSales[[#This Row],[Product Code]],tblProducts[Code],tblProducts[Selling Price (excl. VAT)],0)</f>
        <v>85000</v>
      </c>
      <c r="K915" s="5">
        <f>tblSales[[#This Row],[Qty]]*tblSales[[#This Row],[Unit Price]]</f>
        <v>3400000</v>
      </c>
      <c r="L915" s="5">
        <f>ROUND(tblSales[[#This Row],[DPP (excl. VAT)]]*VATEff,0)</f>
        <v>374000</v>
      </c>
      <c r="M915" s="5">
        <f>tblSales[[#This Row],[DPP (excl. VAT)]]+tblSales[[#This Row],[Output VAT]]</f>
        <v>3774000</v>
      </c>
      <c r="N915" s="5">
        <f>tblSales[[#This Row],[Qty]]*_xlfn.XLOOKUP(tblSales[[#This Row],[Product Code]],tblProducts[Code],tblProducts[Unit Cost],0)</f>
        <v>2000000</v>
      </c>
      <c r="O915" s="4" t="s">
        <v>4867</v>
      </c>
      <c r="P915" s="4" t="s">
        <v>4860</v>
      </c>
      <c r="Q915" s="1" t="str">
        <f>_xlfn.XLOOKUP(tblSales[[#This Row],[Channel Code]],tblChannels[Channel Code],tblChannels[Channel Name],"")</f>
        <v>In-store</v>
      </c>
      <c r="R915" s="1">
        <f>MONTH(tblSales[[#This Row],[Date]])</f>
        <v>3</v>
      </c>
    </row>
    <row r="916" spans="2:18" x14ac:dyDescent="0.35">
      <c r="B916" s="113">
        <v>46082</v>
      </c>
      <c r="C916" s="4" t="s">
        <v>638</v>
      </c>
      <c r="D916" s="4" t="s">
        <v>4568</v>
      </c>
      <c r="E916" s="1" t="str">
        <f>_xlfn.XLOOKUP(tblSales[[#This Row],[Customer ID]],tblCustomers[Customer ID],tblCustomers[Customer Name],"⚠ Unknown")</f>
        <v>Walk-in Customer</v>
      </c>
      <c r="F916" s="4" t="s">
        <v>13</v>
      </c>
      <c r="G916" s="1" t="str">
        <f>_xlfn.XLOOKUP(tblSales[[#This Row],[Product Code]],tblProducts[Code],tblProducts[Product / Service Name],"⚠ Unknown")</f>
        <v>Backpack</v>
      </c>
      <c r="H916" s="1" t="str">
        <f>_xlfn.XLOOKUP(tblSales[[#This Row],[Product Code]],tblProducts[Code],tblProducts[Category],"")</f>
        <v>Bags &amp; Gadgets</v>
      </c>
      <c r="I916" s="4">
        <v>2</v>
      </c>
      <c r="J916" s="5">
        <f>_xlfn.XLOOKUP(tblSales[[#This Row],[Product Code]],tblProducts[Code],tblProducts[Selling Price (excl. VAT)],0)</f>
        <v>500000</v>
      </c>
      <c r="K916" s="5">
        <f>tblSales[[#This Row],[Qty]]*tblSales[[#This Row],[Unit Price]]</f>
        <v>1000000</v>
      </c>
      <c r="L916" s="5">
        <f>ROUND(tblSales[[#This Row],[DPP (excl. VAT)]]*VATEff,0)</f>
        <v>110000</v>
      </c>
      <c r="M916" s="5">
        <f>tblSales[[#This Row],[DPP (excl. VAT)]]+tblSales[[#This Row],[Output VAT]]</f>
        <v>1110000</v>
      </c>
      <c r="N916" s="5">
        <f>tblSales[[#This Row],[Qty]]*_xlfn.XLOOKUP(tblSales[[#This Row],[Product Code]],tblProducts[Code],tblProducts[Unit Cost],0)</f>
        <v>580000</v>
      </c>
      <c r="O916" s="4" t="s">
        <v>4865</v>
      </c>
      <c r="P916" s="4" t="s">
        <v>4860</v>
      </c>
      <c r="Q916" s="1" t="str">
        <f>_xlfn.XLOOKUP(tblSales[[#This Row],[Channel Code]],tblChannels[Channel Code],tblChannels[Channel Name],"")</f>
        <v>In-store</v>
      </c>
      <c r="R916" s="1">
        <f>MONTH(tblSales[[#This Row],[Date]])</f>
        <v>3</v>
      </c>
    </row>
    <row r="917" spans="2:18" x14ac:dyDescent="0.35">
      <c r="B917" s="113">
        <v>46082</v>
      </c>
      <c r="C917" s="4" t="s">
        <v>639</v>
      </c>
      <c r="D917" s="4" t="s">
        <v>4568</v>
      </c>
      <c r="E917" s="1" t="str">
        <f>_xlfn.XLOOKUP(tblSales[[#This Row],[Customer ID]],tblCustomers[Customer ID],tblCustomers[Customer Name],"⚠ Unknown")</f>
        <v>Walk-in Customer</v>
      </c>
      <c r="F917" s="4" t="s">
        <v>8</v>
      </c>
      <c r="G917" s="1" t="str">
        <f>_xlfn.XLOOKUP(tblSales[[#This Row],[Product Code]],tblProducts[Code],tblProducts[Product / Service Name],"⚠ Unknown")</f>
        <v>Casual Shorts</v>
      </c>
      <c r="H917" s="1" t="str">
        <f>_xlfn.XLOOKUP(tblSales[[#This Row],[Product Code]],tblProducts[Code],tblProducts[Category],"")</f>
        <v>Accessories &amp; Basics</v>
      </c>
      <c r="I917" s="4">
        <v>2</v>
      </c>
      <c r="J917" s="5">
        <f>_xlfn.XLOOKUP(tblSales[[#This Row],[Product Code]],tblProducts[Code],tblProducts[Selling Price (excl. VAT)],0)</f>
        <v>85000</v>
      </c>
      <c r="K917" s="5">
        <f>tblSales[[#This Row],[Qty]]*tblSales[[#This Row],[Unit Price]]</f>
        <v>170000</v>
      </c>
      <c r="L917" s="5">
        <f>ROUND(tblSales[[#This Row],[DPP (excl. VAT)]]*VATEff,0)</f>
        <v>18700</v>
      </c>
      <c r="M917" s="5">
        <f>tblSales[[#This Row],[DPP (excl. VAT)]]+tblSales[[#This Row],[Output VAT]]</f>
        <v>188700</v>
      </c>
      <c r="N917" s="5">
        <f>tblSales[[#This Row],[Qty]]*_xlfn.XLOOKUP(tblSales[[#This Row],[Product Code]],tblProducts[Code],tblProducts[Unit Cost],0)</f>
        <v>100000</v>
      </c>
      <c r="O917" s="4" t="s">
        <v>4865</v>
      </c>
      <c r="P917" s="4" t="s">
        <v>4860</v>
      </c>
      <c r="Q917" s="1" t="str">
        <f>_xlfn.XLOOKUP(tblSales[[#This Row],[Channel Code]],tblChannels[Channel Code],tblChannels[Channel Name],"")</f>
        <v>In-store</v>
      </c>
      <c r="R917" s="1">
        <f>MONTH(tblSales[[#This Row],[Date]])</f>
        <v>3</v>
      </c>
    </row>
    <row r="918" spans="2:18" x14ac:dyDescent="0.35">
      <c r="B918" s="113">
        <v>46082</v>
      </c>
      <c r="C918" s="4" t="s">
        <v>640</v>
      </c>
      <c r="D918" s="4" t="s">
        <v>4568</v>
      </c>
      <c r="E918" s="1" t="str">
        <f>_xlfn.XLOOKUP(tblSales[[#This Row],[Customer ID]],tblCustomers[Customer ID],tblCustomers[Customer Name],"⚠ Unknown")</f>
        <v>Walk-in Customer</v>
      </c>
      <c r="F918" s="4" t="s">
        <v>7</v>
      </c>
      <c r="G918" s="1" t="str">
        <f>_xlfn.XLOOKUP(tblSales[[#This Row],[Product Code]],tblProducts[Code],tblProducts[Product / Service Name],"⚠ Unknown")</f>
        <v>Premium Basic T-shirt</v>
      </c>
      <c r="H918" s="1" t="str">
        <f>_xlfn.XLOOKUP(tblSales[[#This Row],[Product Code]],tblProducts[Code],tblProducts[Category],"")</f>
        <v>Accessories &amp; Basics</v>
      </c>
      <c r="I918" s="4">
        <v>5</v>
      </c>
      <c r="J918" s="5">
        <f>_xlfn.XLOOKUP(tblSales[[#This Row],[Product Code]],tblProducts[Code],tblProducts[Selling Price (excl. VAT)],0)</f>
        <v>65000</v>
      </c>
      <c r="K918" s="5">
        <f>tblSales[[#This Row],[Qty]]*tblSales[[#This Row],[Unit Price]]</f>
        <v>325000</v>
      </c>
      <c r="L918" s="5">
        <f>ROUND(tblSales[[#This Row],[DPP (excl. VAT)]]*VATEff,0)</f>
        <v>35750</v>
      </c>
      <c r="M918" s="5">
        <f>tblSales[[#This Row],[DPP (excl. VAT)]]+tblSales[[#This Row],[Output VAT]]</f>
        <v>360750</v>
      </c>
      <c r="N918" s="5">
        <f>tblSales[[#This Row],[Qty]]*_xlfn.XLOOKUP(tblSales[[#This Row],[Product Code]],tblProducts[Code],tblProducts[Unit Cost],0)</f>
        <v>185000</v>
      </c>
      <c r="O918" s="4" t="s">
        <v>4865</v>
      </c>
      <c r="P918" s="4" t="s">
        <v>4860</v>
      </c>
      <c r="Q918" s="1" t="str">
        <f>_xlfn.XLOOKUP(tblSales[[#This Row],[Channel Code]],tblChannels[Channel Code],tblChannels[Channel Name],"")</f>
        <v>In-store</v>
      </c>
      <c r="R918" s="1">
        <f>MONTH(tblSales[[#This Row],[Date]])</f>
        <v>3</v>
      </c>
    </row>
    <row r="919" spans="2:18" x14ac:dyDescent="0.35">
      <c r="B919" s="113">
        <v>46082</v>
      </c>
      <c r="C919" s="4" t="s">
        <v>640</v>
      </c>
      <c r="D919" s="4" t="s">
        <v>4568</v>
      </c>
      <c r="E919" s="1" t="str">
        <f>_xlfn.XLOOKUP(tblSales[[#This Row],[Customer ID]],tblCustomers[Customer ID],tblCustomers[Customer Name],"⚠ Unknown")</f>
        <v>Walk-in Customer</v>
      </c>
      <c r="F919" s="4" t="s">
        <v>10</v>
      </c>
      <c r="G919" s="1" t="str">
        <f>_xlfn.XLOOKUP(tblSales[[#This Row],[Product Code]],tblProducts[Code],tblProducts[Product / Service Name],"⚠ Unknown")</f>
        <v>Chino Pants</v>
      </c>
      <c r="H919" s="1" t="str">
        <f>_xlfn.XLOOKUP(tblSales[[#This Row],[Product Code]],tblProducts[Code],tblProducts[Category],"")</f>
        <v>Apparel &amp; Footwear</v>
      </c>
      <c r="I919" s="4">
        <v>1</v>
      </c>
      <c r="J919" s="5">
        <f>_xlfn.XLOOKUP(tblSales[[#This Row],[Product Code]],tblProducts[Code],tblProducts[Selling Price (excl. VAT)],0)</f>
        <v>150000</v>
      </c>
      <c r="K919" s="5">
        <f>tblSales[[#This Row],[Qty]]*tblSales[[#This Row],[Unit Price]]</f>
        <v>150000</v>
      </c>
      <c r="L919" s="5">
        <f>ROUND(tblSales[[#This Row],[DPP (excl. VAT)]]*VATEff,0)</f>
        <v>16500</v>
      </c>
      <c r="M919" s="5">
        <f>tblSales[[#This Row],[DPP (excl. VAT)]]+tblSales[[#This Row],[Output VAT]]</f>
        <v>166500</v>
      </c>
      <c r="N919" s="5">
        <f>tblSales[[#This Row],[Qty]]*_xlfn.XLOOKUP(tblSales[[#This Row],[Product Code]],tblProducts[Code],tblProducts[Unit Cost],0)</f>
        <v>88000</v>
      </c>
      <c r="O919" s="4" t="s">
        <v>4865</v>
      </c>
      <c r="P919" s="4" t="s">
        <v>4860</v>
      </c>
      <c r="Q919" s="1" t="str">
        <f>_xlfn.XLOOKUP(tblSales[[#This Row],[Channel Code]],tblChannels[Channel Code],tblChannels[Channel Name],"")</f>
        <v>In-store</v>
      </c>
      <c r="R919" s="1">
        <f>MONTH(tblSales[[#This Row],[Date]])</f>
        <v>3</v>
      </c>
    </row>
    <row r="920" spans="2:18" x14ac:dyDescent="0.35">
      <c r="B920" s="113">
        <v>46082</v>
      </c>
      <c r="C920" s="4" t="s">
        <v>640</v>
      </c>
      <c r="D920" s="4" t="s">
        <v>4568</v>
      </c>
      <c r="E920" s="1" t="str">
        <f>_xlfn.XLOOKUP(tblSales[[#This Row],[Customer ID]],tblCustomers[Customer ID],tblCustomers[Customer Name],"⚠ Unknown")</f>
        <v>Walk-in Customer</v>
      </c>
      <c r="F920" s="4" t="s">
        <v>12</v>
      </c>
      <c r="G920" s="1" t="str">
        <f>_xlfn.XLOOKUP(tblSales[[#This Row],[Product Code]],tblProducts[Code],tblProducts[Product / Service Name],"⚠ Unknown")</f>
        <v>Bomber Jacket</v>
      </c>
      <c r="H920" s="1" t="str">
        <f>_xlfn.XLOOKUP(tblSales[[#This Row],[Product Code]],tblProducts[Code],tblProducts[Category],"")</f>
        <v>Apparel &amp; Footwear</v>
      </c>
      <c r="I920" s="4">
        <v>3</v>
      </c>
      <c r="J920" s="5">
        <f>_xlfn.XLOOKUP(tblSales[[#This Row],[Product Code]],tblProducts[Code],tblProducts[Selling Price (excl. VAT)],0)</f>
        <v>350000</v>
      </c>
      <c r="K920" s="5">
        <f>tblSales[[#This Row],[Qty]]*tblSales[[#This Row],[Unit Price]]</f>
        <v>1050000</v>
      </c>
      <c r="L920" s="5">
        <f>ROUND(tblSales[[#This Row],[DPP (excl. VAT)]]*VATEff,0)</f>
        <v>115500</v>
      </c>
      <c r="M920" s="5">
        <f>tblSales[[#This Row],[DPP (excl. VAT)]]+tblSales[[#This Row],[Output VAT]]</f>
        <v>1165500</v>
      </c>
      <c r="N920" s="5">
        <f>tblSales[[#This Row],[Qty]]*_xlfn.XLOOKUP(tblSales[[#This Row],[Product Code]],tblProducts[Code],tblProducts[Unit Cost],0)</f>
        <v>630000</v>
      </c>
      <c r="O920" s="4" t="s">
        <v>4865</v>
      </c>
      <c r="P920" s="4" t="s">
        <v>4860</v>
      </c>
      <c r="Q920" s="1" t="str">
        <f>_xlfn.XLOOKUP(tblSales[[#This Row],[Channel Code]],tblChannels[Channel Code],tblChannels[Channel Name],"")</f>
        <v>In-store</v>
      </c>
      <c r="R920" s="1">
        <f>MONTH(tblSales[[#This Row],[Date]])</f>
        <v>3</v>
      </c>
    </row>
    <row r="921" spans="2:18" x14ac:dyDescent="0.35">
      <c r="B921" s="113">
        <v>46083</v>
      </c>
      <c r="C921" s="4" t="s">
        <v>641</v>
      </c>
      <c r="D921" s="4" t="s">
        <v>4568</v>
      </c>
      <c r="E921" s="1" t="str">
        <f>_xlfn.XLOOKUP(tblSales[[#This Row],[Customer ID]],tblCustomers[Customer ID],tblCustomers[Customer Name],"⚠ Unknown")</f>
        <v>Walk-in Customer</v>
      </c>
      <c r="F921" s="4" t="s">
        <v>8</v>
      </c>
      <c r="G921" s="1" t="str">
        <f>_xlfn.XLOOKUP(tblSales[[#This Row],[Product Code]],tblProducts[Code],tblProducts[Product / Service Name],"⚠ Unknown")</f>
        <v>Casual Shorts</v>
      </c>
      <c r="H921" s="1" t="str">
        <f>_xlfn.XLOOKUP(tblSales[[#This Row],[Product Code]],tblProducts[Code],tblProducts[Category],"")</f>
        <v>Accessories &amp; Basics</v>
      </c>
      <c r="I921" s="4">
        <v>2</v>
      </c>
      <c r="J921" s="5">
        <f>_xlfn.XLOOKUP(tblSales[[#This Row],[Product Code]],tblProducts[Code],tblProducts[Selling Price (excl. VAT)],0)</f>
        <v>85000</v>
      </c>
      <c r="K921" s="5">
        <f>tblSales[[#This Row],[Qty]]*tblSales[[#This Row],[Unit Price]]</f>
        <v>170000</v>
      </c>
      <c r="L921" s="5">
        <f>ROUND(tblSales[[#This Row],[DPP (excl. VAT)]]*VATEff,0)</f>
        <v>18700</v>
      </c>
      <c r="M921" s="5">
        <f>tblSales[[#This Row],[DPP (excl. VAT)]]+tblSales[[#This Row],[Output VAT]]</f>
        <v>188700</v>
      </c>
      <c r="N921" s="5">
        <f>tblSales[[#This Row],[Qty]]*_xlfn.XLOOKUP(tblSales[[#This Row],[Product Code]],tblProducts[Code],tblProducts[Unit Cost],0)</f>
        <v>100000</v>
      </c>
      <c r="O921" s="4" t="s">
        <v>4866</v>
      </c>
      <c r="P921" s="4" t="s">
        <v>4860</v>
      </c>
      <c r="Q921" s="1" t="str">
        <f>_xlfn.XLOOKUP(tblSales[[#This Row],[Channel Code]],tblChannels[Channel Code],tblChannels[Channel Name],"")</f>
        <v>In-store</v>
      </c>
      <c r="R921" s="1">
        <f>MONTH(tblSales[[#This Row],[Date]])</f>
        <v>3</v>
      </c>
    </row>
    <row r="922" spans="2:18" x14ac:dyDescent="0.35">
      <c r="B922" s="113">
        <v>46083</v>
      </c>
      <c r="C922" s="4" t="s">
        <v>642</v>
      </c>
      <c r="D922" s="4" t="s">
        <v>4568</v>
      </c>
      <c r="E922" s="1" t="str">
        <f>_xlfn.XLOOKUP(tblSales[[#This Row],[Customer ID]],tblCustomers[Customer ID],tblCustomers[Customer Name],"⚠ Unknown")</f>
        <v>Walk-in Customer</v>
      </c>
      <c r="F922" s="4" t="s">
        <v>8</v>
      </c>
      <c r="G922" s="1" t="str">
        <f>_xlfn.XLOOKUP(tblSales[[#This Row],[Product Code]],tblProducts[Code],tblProducts[Product / Service Name],"⚠ Unknown")</f>
        <v>Casual Shorts</v>
      </c>
      <c r="H922" s="1" t="str">
        <f>_xlfn.XLOOKUP(tblSales[[#This Row],[Product Code]],tblProducts[Code],tblProducts[Category],"")</f>
        <v>Accessories &amp; Basics</v>
      </c>
      <c r="I922" s="4">
        <v>2</v>
      </c>
      <c r="J922" s="5">
        <f>_xlfn.XLOOKUP(tblSales[[#This Row],[Product Code]],tblProducts[Code],tblProducts[Selling Price (excl. VAT)],0)</f>
        <v>85000</v>
      </c>
      <c r="K922" s="5">
        <f>tblSales[[#This Row],[Qty]]*tblSales[[#This Row],[Unit Price]]</f>
        <v>170000</v>
      </c>
      <c r="L922" s="5">
        <f>ROUND(tblSales[[#This Row],[DPP (excl. VAT)]]*VATEff,0)</f>
        <v>18700</v>
      </c>
      <c r="M922" s="5">
        <f>tblSales[[#This Row],[DPP (excl. VAT)]]+tblSales[[#This Row],[Output VAT]]</f>
        <v>188700</v>
      </c>
      <c r="N922" s="5">
        <f>tblSales[[#This Row],[Qty]]*_xlfn.XLOOKUP(tblSales[[#This Row],[Product Code]],tblProducts[Code],tblProducts[Unit Cost],0)</f>
        <v>100000</v>
      </c>
      <c r="O922" s="4" t="s">
        <v>4866</v>
      </c>
      <c r="P922" s="4" t="s">
        <v>4861</v>
      </c>
      <c r="Q922" s="1" t="str">
        <f>_xlfn.XLOOKUP(tblSales[[#This Row],[Channel Code]],tblChannels[Channel Code],tblChannels[Channel Name],"")</f>
        <v>Marketplace</v>
      </c>
      <c r="R922" s="1">
        <f>MONTH(tblSales[[#This Row],[Date]])</f>
        <v>3</v>
      </c>
    </row>
    <row r="923" spans="2:18" x14ac:dyDescent="0.35">
      <c r="B923" s="113">
        <v>46083</v>
      </c>
      <c r="C923" s="4" t="s">
        <v>643</v>
      </c>
      <c r="D923" s="4" t="s">
        <v>4568</v>
      </c>
      <c r="E923" s="1" t="str">
        <f>_xlfn.XLOOKUP(tblSales[[#This Row],[Customer ID]],tblCustomers[Customer ID],tblCustomers[Customer Name],"⚠ Unknown")</f>
        <v>Walk-in Customer</v>
      </c>
      <c r="F923" s="4" t="s">
        <v>12</v>
      </c>
      <c r="G923" s="1" t="str">
        <f>_xlfn.XLOOKUP(tblSales[[#This Row],[Product Code]],tblProducts[Code],tblProducts[Product / Service Name],"⚠ Unknown")</f>
        <v>Bomber Jacket</v>
      </c>
      <c r="H923" s="1" t="str">
        <f>_xlfn.XLOOKUP(tblSales[[#This Row],[Product Code]],tblProducts[Code],tblProducts[Category],"")</f>
        <v>Apparel &amp; Footwear</v>
      </c>
      <c r="I923" s="4">
        <v>1</v>
      </c>
      <c r="J923" s="5">
        <f>_xlfn.XLOOKUP(tblSales[[#This Row],[Product Code]],tblProducts[Code],tblProducts[Selling Price (excl. VAT)],0)</f>
        <v>350000</v>
      </c>
      <c r="K923" s="5">
        <f>tblSales[[#This Row],[Qty]]*tblSales[[#This Row],[Unit Price]]</f>
        <v>350000</v>
      </c>
      <c r="L923" s="5">
        <f>ROUND(tblSales[[#This Row],[DPP (excl. VAT)]]*VATEff,0)</f>
        <v>38500</v>
      </c>
      <c r="M923" s="5">
        <f>tblSales[[#This Row],[DPP (excl. VAT)]]+tblSales[[#This Row],[Output VAT]]</f>
        <v>388500</v>
      </c>
      <c r="N923" s="5">
        <f>tblSales[[#This Row],[Qty]]*_xlfn.XLOOKUP(tblSales[[#This Row],[Product Code]],tblProducts[Code],tblProducts[Unit Cost],0)</f>
        <v>210000</v>
      </c>
      <c r="O923" s="4" t="s">
        <v>4866</v>
      </c>
      <c r="P923" s="4" t="s">
        <v>4862</v>
      </c>
      <c r="Q923" s="1" t="str">
        <f>_xlfn.XLOOKUP(tblSales[[#This Row],[Channel Code]],tblChannels[Channel Code],tblChannels[Channel Name],"")</f>
        <v>Website &amp; Social Media</v>
      </c>
      <c r="R923" s="1">
        <f>MONTH(tblSales[[#This Row],[Date]])</f>
        <v>3</v>
      </c>
    </row>
    <row r="924" spans="2:18" x14ac:dyDescent="0.35">
      <c r="B924" s="113">
        <v>46083</v>
      </c>
      <c r="C924" s="4" t="s">
        <v>644</v>
      </c>
      <c r="D924" s="4" t="s">
        <v>4568</v>
      </c>
      <c r="E924" s="1" t="str">
        <f>_xlfn.XLOOKUP(tblSales[[#This Row],[Customer ID]],tblCustomers[Customer ID],tblCustomers[Customer Name],"⚠ Unknown")</f>
        <v>Walk-in Customer</v>
      </c>
      <c r="F924" s="4" t="s">
        <v>6</v>
      </c>
      <c r="G924" s="1" t="str">
        <f>_xlfn.XLOOKUP(tblSales[[#This Row],[Product Code]],tblProducts[Code],tblProducts[Product / Service Name],"⚠ Unknown")</f>
        <v>Socks &amp; Accessories</v>
      </c>
      <c r="H924" s="1" t="str">
        <f>_xlfn.XLOOKUP(tblSales[[#This Row],[Product Code]],tblProducts[Code],tblProducts[Category],"")</f>
        <v>Accessories &amp; Basics</v>
      </c>
      <c r="I924" s="4">
        <v>9</v>
      </c>
      <c r="J924" s="5">
        <f>_xlfn.XLOOKUP(tblSales[[#This Row],[Product Code]],tblProducts[Code],tblProducts[Selling Price (excl. VAT)],0)</f>
        <v>45000</v>
      </c>
      <c r="K924" s="5">
        <f>tblSales[[#This Row],[Qty]]*tblSales[[#This Row],[Unit Price]]</f>
        <v>405000</v>
      </c>
      <c r="L924" s="5">
        <f>ROUND(tblSales[[#This Row],[DPP (excl. VAT)]]*VATEff,0)</f>
        <v>44550</v>
      </c>
      <c r="M924" s="5">
        <f>tblSales[[#This Row],[DPP (excl. VAT)]]+tblSales[[#This Row],[Output VAT]]</f>
        <v>449550</v>
      </c>
      <c r="N924" s="5">
        <f>tblSales[[#This Row],[Qty]]*_xlfn.XLOOKUP(tblSales[[#This Row],[Product Code]],tblProducts[Code],tblProducts[Unit Cost],0)</f>
        <v>216000</v>
      </c>
      <c r="O924" s="4" t="s">
        <v>4866</v>
      </c>
      <c r="P924" s="4" t="s">
        <v>4862</v>
      </c>
      <c r="Q924" s="1" t="str">
        <f>_xlfn.XLOOKUP(tblSales[[#This Row],[Channel Code]],tblChannels[Channel Code],tblChannels[Channel Name],"")</f>
        <v>Website &amp; Social Media</v>
      </c>
      <c r="R924" s="1">
        <f>MONTH(tblSales[[#This Row],[Date]])</f>
        <v>3</v>
      </c>
    </row>
    <row r="925" spans="2:18" x14ac:dyDescent="0.35">
      <c r="B925" s="113">
        <v>46083</v>
      </c>
      <c r="C925" s="4" t="s">
        <v>645</v>
      </c>
      <c r="D925" s="4" t="s">
        <v>4568</v>
      </c>
      <c r="E925" s="1" t="str">
        <f>_xlfn.XLOOKUP(tblSales[[#This Row],[Customer ID]],tblCustomers[Customer ID],tblCustomers[Customer Name],"⚠ Unknown")</f>
        <v>Walk-in Customer</v>
      </c>
      <c r="F925" s="4" t="s">
        <v>13</v>
      </c>
      <c r="G925" s="1" t="str">
        <f>_xlfn.XLOOKUP(tblSales[[#This Row],[Product Code]],tblProducts[Code],tblProducts[Product / Service Name],"⚠ Unknown")</f>
        <v>Backpack</v>
      </c>
      <c r="H925" s="1" t="str">
        <f>_xlfn.XLOOKUP(tblSales[[#This Row],[Product Code]],tblProducts[Code],tblProducts[Category],"")</f>
        <v>Bags &amp; Gadgets</v>
      </c>
      <c r="I925" s="4">
        <v>6</v>
      </c>
      <c r="J925" s="5">
        <f>_xlfn.XLOOKUP(tblSales[[#This Row],[Product Code]],tblProducts[Code],tblProducts[Selling Price (excl. VAT)],0)</f>
        <v>500000</v>
      </c>
      <c r="K925" s="5">
        <f>tblSales[[#This Row],[Qty]]*tblSales[[#This Row],[Unit Price]]</f>
        <v>3000000</v>
      </c>
      <c r="L925" s="5">
        <f>ROUND(tblSales[[#This Row],[DPP (excl. VAT)]]*VATEff,0)</f>
        <v>330000</v>
      </c>
      <c r="M925" s="5">
        <f>tblSales[[#This Row],[DPP (excl. VAT)]]+tblSales[[#This Row],[Output VAT]]</f>
        <v>3330000</v>
      </c>
      <c r="N925" s="5">
        <f>tblSales[[#This Row],[Qty]]*_xlfn.XLOOKUP(tblSales[[#This Row],[Product Code]],tblProducts[Code],tblProducts[Unit Cost],0)</f>
        <v>1740000</v>
      </c>
      <c r="O925" s="4" t="s">
        <v>4865</v>
      </c>
      <c r="P925" s="4" t="s">
        <v>4860</v>
      </c>
      <c r="Q925" s="1" t="str">
        <f>_xlfn.XLOOKUP(tblSales[[#This Row],[Channel Code]],tblChannels[Channel Code],tblChannels[Channel Name],"")</f>
        <v>In-store</v>
      </c>
      <c r="R925" s="1">
        <f>MONTH(tblSales[[#This Row],[Date]])</f>
        <v>3</v>
      </c>
    </row>
    <row r="926" spans="2:18" x14ac:dyDescent="0.35">
      <c r="B926" s="113">
        <v>46083</v>
      </c>
      <c r="C926" s="4" t="s">
        <v>646</v>
      </c>
      <c r="D926" s="4" t="s">
        <v>4568</v>
      </c>
      <c r="E926" s="1" t="str">
        <f>_xlfn.XLOOKUP(tblSales[[#This Row],[Customer ID]],tblCustomers[Customer ID],tblCustomers[Customer Name],"⚠ Unknown")</f>
        <v>Walk-in Customer</v>
      </c>
      <c r="F926" s="4" t="s">
        <v>13</v>
      </c>
      <c r="G926" s="1" t="str">
        <f>_xlfn.XLOOKUP(tblSales[[#This Row],[Product Code]],tblProducts[Code],tblProducts[Product / Service Name],"⚠ Unknown")</f>
        <v>Backpack</v>
      </c>
      <c r="H926" s="1" t="str">
        <f>_xlfn.XLOOKUP(tblSales[[#This Row],[Product Code]],tblProducts[Code],tblProducts[Category],"")</f>
        <v>Bags &amp; Gadgets</v>
      </c>
      <c r="I926" s="4">
        <v>6</v>
      </c>
      <c r="J926" s="5">
        <f>_xlfn.XLOOKUP(tblSales[[#This Row],[Product Code]],tblProducts[Code],tblProducts[Selling Price (excl. VAT)],0)</f>
        <v>500000</v>
      </c>
      <c r="K926" s="5">
        <f>tblSales[[#This Row],[Qty]]*tblSales[[#This Row],[Unit Price]]</f>
        <v>3000000</v>
      </c>
      <c r="L926" s="5">
        <f>ROUND(tblSales[[#This Row],[DPP (excl. VAT)]]*VATEff,0)</f>
        <v>330000</v>
      </c>
      <c r="M926" s="5">
        <f>tblSales[[#This Row],[DPP (excl. VAT)]]+tblSales[[#This Row],[Output VAT]]</f>
        <v>3330000</v>
      </c>
      <c r="N926" s="5">
        <f>tblSales[[#This Row],[Qty]]*_xlfn.XLOOKUP(tblSales[[#This Row],[Product Code]],tblProducts[Code],tblProducts[Unit Cost],0)</f>
        <v>1740000</v>
      </c>
      <c r="O926" s="4" t="s">
        <v>4866</v>
      </c>
      <c r="P926" s="4" t="s">
        <v>4861</v>
      </c>
      <c r="Q926" s="1" t="str">
        <f>_xlfn.XLOOKUP(tblSales[[#This Row],[Channel Code]],tblChannels[Channel Code],tblChannels[Channel Name],"")</f>
        <v>Marketplace</v>
      </c>
      <c r="R926" s="1">
        <f>MONTH(tblSales[[#This Row],[Date]])</f>
        <v>3</v>
      </c>
    </row>
    <row r="927" spans="2:18" x14ac:dyDescent="0.35">
      <c r="B927" s="113">
        <v>46083</v>
      </c>
      <c r="C927" s="4" t="s">
        <v>647</v>
      </c>
      <c r="D927" s="4" t="s">
        <v>4568</v>
      </c>
      <c r="E927" s="1" t="str">
        <f>_xlfn.XLOOKUP(tblSales[[#This Row],[Customer ID]],tblCustomers[Customer ID],tblCustomers[Customer Name],"⚠ Unknown")</f>
        <v>Walk-in Customer</v>
      </c>
      <c r="F927" s="4" t="s">
        <v>10</v>
      </c>
      <c r="G927" s="1" t="str">
        <f>_xlfn.XLOOKUP(tblSales[[#This Row],[Product Code]],tblProducts[Code],tblProducts[Product / Service Name],"⚠ Unknown")</f>
        <v>Chino Pants</v>
      </c>
      <c r="H927" s="1" t="str">
        <f>_xlfn.XLOOKUP(tblSales[[#This Row],[Product Code]],tblProducts[Code],tblProducts[Category],"")</f>
        <v>Apparel &amp; Footwear</v>
      </c>
      <c r="I927" s="4">
        <v>5</v>
      </c>
      <c r="J927" s="5">
        <f>_xlfn.XLOOKUP(tblSales[[#This Row],[Product Code]],tblProducts[Code],tblProducts[Selling Price (excl. VAT)],0)</f>
        <v>150000</v>
      </c>
      <c r="K927" s="5">
        <f>tblSales[[#This Row],[Qty]]*tblSales[[#This Row],[Unit Price]]</f>
        <v>750000</v>
      </c>
      <c r="L927" s="5">
        <f>ROUND(tblSales[[#This Row],[DPP (excl. VAT)]]*VATEff,0)</f>
        <v>82500</v>
      </c>
      <c r="M927" s="5">
        <f>tblSales[[#This Row],[DPP (excl. VAT)]]+tblSales[[#This Row],[Output VAT]]</f>
        <v>832500</v>
      </c>
      <c r="N927" s="5">
        <f>tblSales[[#This Row],[Qty]]*_xlfn.XLOOKUP(tblSales[[#This Row],[Product Code]],tblProducts[Code],tblProducts[Unit Cost],0)</f>
        <v>440000</v>
      </c>
      <c r="O927" s="4" t="s">
        <v>4866</v>
      </c>
      <c r="P927" s="4" t="s">
        <v>4862</v>
      </c>
      <c r="Q927" s="1" t="str">
        <f>_xlfn.XLOOKUP(tblSales[[#This Row],[Channel Code]],tblChannels[Channel Code],tblChannels[Channel Name],"")</f>
        <v>Website &amp; Social Media</v>
      </c>
      <c r="R927" s="1">
        <f>MONTH(tblSales[[#This Row],[Date]])</f>
        <v>3</v>
      </c>
    </row>
    <row r="928" spans="2:18" x14ac:dyDescent="0.35">
      <c r="B928" s="113">
        <v>46083</v>
      </c>
      <c r="C928" s="4" t="s">
        <v>648</v>
      </c>
      <c r="D928" s="4" t="s">
        <v>4634</v>
      </c>
      <c r="E928" s="1" t="str">
        <f>_xlfn.XLOOKUP(tblSales[[#This Row],[Customer ID]],tblCustomers[Customer ID],tblCustomers[Customer Name],"⚠ Unknown")</f>
        <v>PT Delta Inti Selaras</v>
      </c>
      <c r="F928" s="4" t="s">
        <v>8</v>
      </c>
      <c r="G928" s="1" t="str">
        <f>_xlfn.XLOOKUP(tblSales[[#This Row],[Product Code]],tblProducts[Code],tblProducts[Product / Service Name],"⚠ Unknown")</f>
        <v>Casual Shorts</v>
      </c>
      <c r="H928" s="1" t="str">
        <f>_xlfn.XLOOKUP(tblSales[[#This Row],[Product Code]],tblProducts[Code],tblProducts[Category],"")</f>
        <v>Accessories &amp; Basics</v>
      </c>
      <c r="I928" s="4">
        <v>96</v>
      </c>
      <c r="J928" s="5">
        <f>_xlfn.XLOOKUP(tblSales[[#This Row],[Product Code]],tblProducts[Code],tblProducts[Selling Price (excl. VAT)],0)</f>
        <v>85000</v>
      </c>
      <c r="K928" s="5">
        <f>tblSales[[#This Row],[Qty]]*tblSales[[#This Row],[Unit Price]]</f>
        <v>8160000</v>
      </c>
      <c r="L928" s="5">
        <f>ROUND(tblSales[[#This Row],[DPP (excl. VAT)]]*VATEff,0)</f>
        <v>897600</v>
      </c>
      <c r="M928" s="5">
        <f>tblSales[[#This Row],[DPP (excl. VAT)]]+tblSales[[#This Row],[Output VAT]]</f>
        <v>9057600</v>
      </c>
      <c r="N928" s="5">
        <f>tblSales[[#This Row],[Qty]]*_xlfn.XLOOKUP(tblSales[[#This Row],[Product Code]],tblProducts[Code],tblProducts[Unit Cost],0)</f>
        <v>4800000</v>
      </c>
      <c r="O928" s="4" t="s">
        <v>4867</v>
      </c>
      <c r="P928" s="4" t="s">
        <v>4860</v>
      </c>
      <c r="Q928" s="1" t="str">
        <f>_xlfn.XLOOKUP(tblSales[[#This Row],[Channel Code]],tblChannels[Channel Code],tblChannels[Channel Name],"")</f>
        <v>In-store</v>
      </c>
      <c r="R928" s="1">
        <f>MONTH(tblSales[[#This Row],[Date]])</f>
        <v>3</v>
      </c>
    </row>
    <row r="929" spans="2:18" x14ac:dyDescent="0.35">
      <c r="B929" s="113">
        <v>46083</v>
      </c>
      <c r="C929" s="4" t="s">
        <v>649</v>
      </c>
      <c r="D929" s="4" t="s">
        <v>4599</v>
      </c>
      <c r="E929" s="1" t="str">
        <f>_xlfn.XLOOKUP(tblSales[[#This Row],[Customer ID]],tblCustomers[Customer ID],tblCustomers[Customer Name],"⚠ Unknown")</f>
        <v>PT Samudra Jaya Logistik</v>
      </c>
      <c r="F929" s="4" t="s">
        <v>6</v>
      </c>
      <c r="G929" s="1" t="str">
        <f>_xlfn.XLOOKUP(tblSales[[#This Row],[Product Code]],tblProducts[Code],tblProducts[Product / Service Name],"⚠ Unknown")</f>
        <v>Socks &amp; Accessories</v>
      </c>
      <c r="H929" s="1" t="str">
        <f>_xlfn.XLOOKUP(tblSales[[#This Row],[Product Code]],tblProducts[Code],tblProducts[Category],"")</f>
        <v>Accessories &amp; Basics</v>
      </c>
      <c r="I929" s="4">
        <v>80</v>
      </c>
      <c r="J929" s="5">
        <f>_xlfn.XLOOKUP(tblSales[[#This Row],[Product Code]],tblProducts[Code],tblProducts[Selling Price (excl. VAT)],0)</f>
        <v>45000</v>
      </c>
      <c r="K929" s="5">
        <f>tblSales[[#This Row],[Qty]]*tblSales[[#This Row],[Unit Price]]</f>
        <v>3600000</v>
      </c>
      <c r="L929" s="5">
        <f>ROUND(tblSales[[#This Row],[DPP (excl. VAT)]]*VATEff,0)</f>
        <v>396000</v>
      </c>
      <c r="M929" s="5">
        <f>tblSales[[#This Row],[DPP (excl. VAT)]]+tblSales[[#This Row],[Output VAT]]</f>
        <v>3996000</v>
      </c>
      <c r="N929" s="5">
        <f>tblSales[[#This Row],[Qty]]*_xlfn.XLOOKUP(tblSales[[#This Row],[Product Code]],tblProducts[Code],tblProducts[Unit Cost],0)</f>
        <v>1920000</v>
      </c>
      <c r="O929" s="4" t="s">
        <v>4867</v>
      </c>
      <c r="P929" s="4" t="s">
        <v>4860</v>
      </c>
      <c r="Q929" s="1" t="str">
        <f>_xlfn.XLOOKUP(tblSales[[#This Row],[Channel Code]],tblChannels[Channel Code],tblChannels[Channel Name],"")</f>
        <v>In-store</v>
      </c>
      <c r="R929" s="1">
        <f>MONTH(tblSales[[#This Row],[Date]])</f>
        <v>3</v>
      </c>
    </row>
    <row r="930" spans="2:18" x14ac:dyDescent="0.35">
      <c r="B930" s="113">
        <v>46083</v>
      </c>
      <c r="C930" s="4" t="s">
        <v>650</v>
      </c>
      <c r="D930" s="4" t="s">
        <v>4568</v>
      </c>
      <c r="E930" s="1" t="str">
        <f>_xlfn.XLOOKUP(tblSales[[#This Row],[Customer ID]],tblCustomers[Customer ID],tblCustomers[Customer Name],"⚠ Unknown")</f>
        <v>Walk-in Customer</v>
      </c>
      <c r="F930" s="4" t="s">
        <v>12</v>
      </c>
      <c r="G930" s="1" t="str">
        <f>_xlfn.XLOOKUP(tblSales[[#This Row],[Product Code]],tblProducts[Code],tblProducts[Product / Service Name],"⚠ Unknown")</f>
        <v>Bomber Jacket</v>
      </c>
      <c r="H930" s="1" t="str">
        <f>_xlfn.XLOOKUP(tblSales[[#This Row],[Product Code]],tblProducts[Code],tblProducts[Category],"")</f>
        <v>Apparel &amp; Footwear</v>
      </c>
      <c r="I930" s="4">
        <v>6</v>
      </c>
      <c r="J930" s="5">
        <f>_xlfn.XLOOKUP(tblSales[[#This Row],[Product Code]],tblProducts[Code],tblProducts[Selling Price (excl. VAT)],0)</f>
        <v>350000</v>
      </c>
      <c r="K930" s="5">
        <f>tblSales[[#This Row],[Qty]]*tblSales[[#This Row],[Unit Price]]</f>
        <v>2100000</v>
      </c>
      <c r="L930" s="5">
        <f>ROUND(tblSales[[#This Row],[DPP (excl. VAT)]]*VATEff,0)</f>
        <v>231000</v>
      </c>
      <c r="M930" s="5">
        <f>tblSales[[#This Row],[DPP (excl. VAT)]]+tblSales[[#This Row],[Output VAT]]</f>
        <v>2331000</v>
      </c>
      <c r="N930" s="5">
        <f>tblSales[[#This Row],[Qty]]*_xlfn.XLOOKUP(tblSales[[#This Row],[Product Code]],tblProducts[Code],tblProducts[Unit Cost],0)</f>
        <v>1260000</v>
      </c>
      <c r="O930" s="4" t="s">
        <v>4866</v>
      </c>
      <c r="P930" s="4" t="s">
        <v>4860</v>
      </c>
      <c r="Q930" s="1" t="str">
        <f>_xlfn.XLOOKUP(tblSales[[#This Row],[Channel Code]],tblChannels[Channel Code],tblChannels[Channel Name],"")</f>
        <v>In-store</v>
      </c>
      <c r="R930" s="1">
        <f>MONTH(tblSales[[#This Row],[Date]])</f>
        <v>3</v>
      </c>
    </row>
    <row r="931" spans="2:18" x14ac:dyDescent="0.35">
      <c r="B931" s="113">
        <v>46083</v>
      </c>
      <c r="C931" s="4" t="s">
        <v>651</v>
      </c>
      <c r="D931" s="4" t="s">
        <v>4568</v>
      </c>
      <c r="E931" s="1" t="str">
        <f>_xlfn.XLOOKUP(tblSales[[#This Row],[Customer ID]],tblCustomers[Customer ID],tblCustomers[Customer Name],"⚠ Unknown")</f>
        <v>Walk-in Customer</v>
      </c>
      <c r="F931" s="4" t="s">
        <v>10</v>
      </c>
      <c r="G931" s="1" t="str">
        <f>_xlfn.XLOOKUP(tblSales[[#This Row],[Product Code]],tblProducts[Code],tblProducts[Product / Service Name],"⚠ Unknown")</f>
        <v>Chino Pants</v>
      </c>
      <c r="H931" s="1" t="str">
        <f>_xlfn.XLOOKUP(tblSales[[#This Row],[Product Code]],tblProducts[Code],tblProducts[Category],"")</f>
        <v>Apparel &amp; Footwear</v>
      </c>
      <c r="I931" s="4">
        <v>1</v>
      </c>
      <c r="J931" s="5">
        <f>_xlfn.XLOOKUP(tblSales[[#This Row],[Product Code]],tblProducts[Code],tblProducts[Selling Price (excl. VAT)],0)</f>
        <v>150000</v>
      </c>
      <c r="K931" s="5">
        <f>tblSales[[#This Row],[Qty]]*tblSales[[#This Row],[Unit Price]]</f>
        <v>150000</v>
      </c>
      <c r="L931" s="5">
        <f>ROUND(tblSales[[#This Row],[DPP (excl. VAT)]]*VATEff,0)</f>
        <v>16500</v>
      </c>
      <c r="M931" s="5">
        <f>tblSales[[#This Row],[DPP (excl. VAT)]]+tblSales[[#This Row],[Output VAT]]</f>
        <v>166500</v>
      </c>
      <c r="N931" s="5">
        <f>tblSales[[#This Row],[Qty]]*_xlfn.XLOOKUP(tblSales[[#This Row],[Product Code]],tblProducts[Code],tblProducts[Unit Cost],0)</f>
        <v>88000</v>
      </c>
      <c r="O931" s="4" t="s">
        <v>4866</v>
      </c>
      <c r="P931" s="4" t="s">
        <v>4862</v>
      </c>
      <c r="Q931" s="1" t="str">
        <f>_xlfn.XLOOKUP(tblSales[[#This Row],[Channel Code]],tblChannels[Channel Code],tblChannels[Channel Name],"")</f>
        <v>Website &amp; Social Media</v>
      </c>
      <c r="R931" s="1">
        <f>MONTH(tblSales[[#This Row],[Date]])</f>
        <v>3</v>
      </c>
    </row>
    <row r="932" spans="2:18" x14ac:dyDescent="0.35">
      <c r="B932" s="113">
        <v>46083</v>
      </c>
      <c r="C932" s="4" t="s">
        <v>651</v>
      </c>
      <c r="D932" s="4" t="s">
        <v>4568</v>
      </c>
      <c r="E932" s="1" t="str">
        <f>_xlfn.XLOOKUP(tblSales[[#This Row],[Customer ID]],tblCustomers[Customer ID],tblCustomers[Customer Name],"⚠ Unknown")</f>
        <v>Walk-in Customer</v>
      </c>
      <c r="F932" s="4" t="s">
        <v>12</v>
      </c>
      <c r="G932" s="1" t="str">
        <f>_xlfn.XLOOKUP(tblSales[[#This Row],[Product Code]],tblProducts[Code],tblProducts[Product / Service Name],"⚠ Unknown")</f>
        <v>Bomber Jacket</v>
      </c>
      <c r="H932" s="1" t="str">
        <f>_xlfn.XLOOKUP(tblSales[[#This Row],[Product Code]],tblProducts[Code],tblProducts[Category],"")</f>
        <v>Apparel &amp; Footwear</v>
      </c>
      <c r="I932" s="4">
        <v>1</v>
      </c>
      <c r="J932" s="5">
        <f>_xlfn.XLOOKUP(tblSales[[#This Row],[Product Code]],tblProducts[Code],tblProducts[Selling Price (excl. VAT)],0)</f>
        <v>350000</v>
      </c>
      <c r="K932" s="5">
        <f>tblSales[[#This Row],[Qty]]*tblSales[[#This Row],[Unit Price]]</f>
        <v>350000</v>
      </c>
      <c r="L932" s="5">
        <f>ROUND(tblSales[[#This Row],[DPP (excl. VAT)]]*VATEff,0)</f>
        <v>38500</v>
      </c>
      <c r="M932" s="5">
        <f>tblSales[[#This Row],[DPP (excl. VAT)]]+tblSales[[#This Row],[Output VAT]]</f>
        <v>388500</v>
      </c>
      <c r="N932" s="5">
        <f>tblSales[[#This Row],[Qty]]*_xlfn.XLOOKUP(tblSales[[#This Row],[Product Code]],tblProducts[Code],tblProducts[Unit Cost],0)</f>
        <v>210000</v>
      </c>
      <c r="O932" s="4" t="s">
        <v>4866</v>
      </c>
      <c r="P932" s="4" t="s">
        <v>4862</v>
      </c>
      <c r="Q932" s="1" t="str">
        <f>_xlfn.XLOOKUP(tblSales[[#This Row],[Channel Code]],tblChannels[Channel Code],tblChannels[Channel Name],"")</f>
        <v>Website &amp; Social Media</v>
      </c>
      <c r="R932" s="1">
        <f>MONTH(tblSales[[#This Row],[Date]])</f>
        <v>3</v>
      </c>
    </row>
    <row r="933" spans="2:18" x14ac:dyDescent="0.35">
      <c r="B933" s="113">
        <v>46083</v>
      </c>
      <c r="C933" s="4" t="s">
        <v>652</v>
      </c>
      <c r="D933" s="4" t="s">
        <v>4568</v>
      </c>
      <c r="E933" s="1" t="str">
        <f>_xlfn.XLOOKUP(tblSales[[#This Row],[Customer ID]],tblCustomers[Customer ID],tblCustomers[Customer Name],"⚠ Unknown")</f>
        <v>Walk-in Customer</v>
      </c>
      <c r="F933" s="4" t="s">
        <v>8</v>
      </c>
      <c r="G933" s="1" t="str">
        <f>_xlfn.XLOOKUP(tblSales[[#This Row],[Product Code]],tblProducts[Code],tblProducts[Product / Service Name],"⚠ Unknown")</f>
        <v>Casual Shorts</v>
      </c>
      <c r="H933" s="1" t="str">
        <f>_xlfn.XLOOKUP(tblSales[[#This Row],[Product Code]],tblProducts[Code],tblProducts[Category],"")</f>
        <v>Accessories &amp; Basics</v>
      </c>
      <c r="I933" s="4">
        <v>5</v>
      </c>
      <c r="J933" s="5">
        <f>_xlfn.XLOOKUP(tblSales[[#This Row],[Product Code]],tblProducts[Code],tblProducts[Selling Price (excl. VAT)],0)</f>
        <v>85000</v>
      </c>
      <c r="K933" s="5">
        <f>tblSales[[#This Row],[Qty]]*tblSales[[#This Row],[Unit Price]]</f>
        <v>425000</v>
      </c>
      <c r="L933" s="5">
        <f>ROUND(tblSales[[#This Row],[DPP (excl. VAT)]]*VATEff,0)</f>
        <v>46750</v>
      </c>
      <c r="M933" s="5">
        <f>tblSales[[#This Row],[DPP (excl. VAT)]]+tblSales[[#This Row],[Output VAT]]</f>
        <v>471750</v>
      </c>
      <c r="N933" s="5">
        <f>tblSales[[#This Row],[Qty]]*_xlfn.XLOOKUP(tblSales[[#This Row],[Product Code]],tblProducts[Code],tblProducts[Unit Cost],0)</f>
        <v>250000</v>
      </c>
      <c r="O933" s="4" t="s">
        <v>4865</v>
      </c>
      <c r="P933" s="4" t="s">
        <v>4860</v>
      </c>
      <c r="Q933" s="1" t="str">
        <f>_xlfn.XLOOKUP(tblSales[[#This Row],[Channel Code]],tblChannels[Channel Code],tblChannels[Channel Name],"")</f>
        <v>In-store</v>
      </c>
      <c r="R933" s="1">
        <f>MONTH(tblSales[[#This Row],[Date]])</f>
        <v>3</v>
      </c>
    </row>
    <row r="934" spans="2:18" x14ac:dyDescent="0.35">
      <c r="B934" s="113">
        <v>46083</v>
      </c>
      <c r="C934" s="4" t="s">
        <v>653</v>
      </c>
      <c r="D934" s="4" t="s">
        <v>4568</v>
      </c>
      <c r="E934" s="1" t="str">
        <f>_xlfn.XLOOKUP(tblSales[[#This Row],[Customer ID]],tblCustomers[Customer ID],tblCustomers[Customer Name],"⚠ Unknown")</f>
        <v>Walk-in Customer</v>
      </c>
      <c r="F934" s="4" t="s">
        <v>8</v>
      </c>
      <c r="G934" s="1" t="str">
        <f>_xlfn.XLOOKUP(tblSales[[#This Row],[Product Code]],tblProducts[Code],tblProducts[Product / Service Name],"⚠ Unknown")</f>
        <v>Casual Shorts</v>
      </c>
      <c r="H934" s="1" t="str">
        <f>_xlfn.XLOOKUP(tblSales[[#This Row],[Product Code]],tblProducts[Code],tblProducts[Category],"")</f>
        <v>Accessories &amp; Basics</v>
      </c>
      <c r="I934" s="4">
        <v>1</v>
      </c>
      <c r="J934" s="5">
        <f>_xlfn.XLOOKUP(tblSales[[#This Row],[Product Code]],tblProducts[Code],tblProducts[Selling Price (excl. VAT)],0)</f>
        <v>85000</v>
      </c>
      <c r="K934" s="5">
        <f>tblSales[[#This Row],[Qty]]*tblSales[[#This Row],[Unit Price]]</f>
        <v>85000</v>
      </c>
      <c r="L934" s="5">
        <f>ROUND(tblSales[[#This Row],[DPP (excl. VAT)]]*VATEff,0)</f>
        <v>9350</v>
      </c>
      <c r="M934" s="5">
        <f>tblSales[[#This Row],[DPP (excl. VAT)]]+tblSales[[#This Row],[Output VAT]]</f>
        <v>94350</v>
      </c>
      <c r="N934" s="5">
        <f>tblSales[[#This Row],[Qty]]*_xlfn.XLOOKUP(tblSales[[#This Row],[Product Code]],tblProducts[Code],tblProducts[Unit Cost],0)</f>
        <v>50000</v>
      </c>
      <c r="O934" s="4" t="s">
        <v>4865</v>
      </c>
      <c r="P934" s="4" t="s">
        <v>4860</v>
      </c>
      <c r="Q934" s="1" t="str">
        <f>_xlfn.XLOOKUP(tblSales[[#This Row],[Channel Code]],tblChannels[Channel Code],tblChannels[Channel Name],"")</f>
        <v>In-store</v>
      </c>
      <c r="R934" s="1">
        <f>MONTH(tblSales[[#This Row],[Date]])</f>
        <v>3</v>
      </c>
    </row>
    <row r="935" spans="2:18" x14ac:dyDescent="0.35">
      <c r="B935" s="113">
        <v>46084</v>
      </c>
      <c r="C935" s="4" t="s">
        <v>654</v>
      </c>
      <c r="D935" s="4" t="s">
        <v>4568</v>
      </c>
      <c r="E935" s="1" t="str">
        <f>_xlfn.XLOOKUP(tblSales[[#This Row],[Customer ID]],tblCustomers[Customer ID],tblCustomers[Customer Name],"⚠ Unknown")</f>
        <v>Walk-in Customer</v>
      </c>
      <c r="F935" s="4" t="s">
        <v>6</v>
      </c>
      <c r="G935" s="1" t="str">
        <f>_xlfn.XLOOKUP(tblSales[[#This Row],[Product Code]],tblProducts[Code],tblProducts[Product / Service Name],"⚠ Unknown")</f>
        <v>Socks &amp; Accessories</v>
      </c>
      <c r="H935" s="1" t="str">
        <f>_xlfn.XLOOKUP(tblSales[[#This Row],[Product Code]],tblProducts[Code],tblProducts[Category],"")</f>
        <v>Accessories &amp; Basics</v>
      </c>
      <c r="I935" s="4">
        <v>2</v>
      </c>
      <c r="J935" s="5">
        <f>_xlfn.XLOOKUP(tblSales[[#This Row],[Product Code]],tblProducts[Code],tblProducts[Selling Price (excl. VAT)],0)</f>
        <v>45000</v>
      </c>
      <c r="K935" s="5">
        <f>tblSales[[#This Row],[Qty]]*tblSales[[#This Row],[Unit Price]]</f>
        <v>90000</v>
      </c>
      <c r="L935" s="5">
        <f>ROUND(tblSales[[#This Row],[DPP (excl. VAT)]]*VATEff,0)</f>
        <v>9900</v>
      </c>
      <c r="M935" s="5">
        <f>tblSales[[#This Row],[DPP (excl. VAT)]]+tblSales[[#This Row],[Output VAT]]</f>
        <v>99900</v>
      </c>
      <c r="N935" s="5">
        <f>tblSales[[#This Row],[Qty]]*_xlfn.XLOOKUP(tblSales[[#This Row],[Product Code]],tblProducts[Code],tblProducts[Unit Cost],0)</f>
        <v>48000</v>
      </c>
      <c r="O935" s="4" t="s">
        <v>4865</v>
      </c>
      <c r="P935" s="4" t="s">
        <v>4860</v>
      </c>
      <c r="Q935" s="1" t="str">
        <f>_xlfn.XLOOKUP(tblSales[[#This Row],[Channel Code]],tblChannels[Channel Code],tblChannels[Channel Name],"")</f>
        <v>In-store</v>
      </c>
      <c r="R935" s="1">
        <f>MONTH(tblSales[[#This Row],[Date]])</f>
        <v>3</v>
      </c>
    </row>
    <row r="936" spans="2:18" x14ac:dyDescent="0.35">
      <c r="B936" s="113">
        <v>46084</v>
      </c>
      <c r="C936" s="4" t="s">
        <v>655</v>
      </c>
      <c r="D936" s="4" t="s">
        <v>4568</v>
      </c>
      <c r="E936" s="1" t="str">
        <f>_xlfn.XLOOKUP(tblSales[[#This Row],[Customer ID]],tblCustomers[Customer ID],tblCustomers[Customer Name],"⚠ Unknown")</f>
        <v>Walk-in Customer</v>
      </c>
      <c r="F936" s="4" t="s">
        <v>13</v>
      </c>
      <c r="G936" s="1" t="str">
        <f>_xlfn.XLOOKUP(tblSales[[#This Row],[Product Code]],tblProducts[Code],tblProducts[Product / Service Name],"⚠ Unknown")</f>
        <v>Backpack</v>
      </c>
      <c r="H936" s="1" t="str">
        <f>_xlfn.XLOOKUP(tblSales[[#This Row],[Product Code]],tblProducts[Code],tblProducts[Category],"")</f>
        <v>Bags &amp; Gadgets</v>
      </c>
      <c r="I936" s="4">
        <v>1</v>
      </c>
      <c r="J936" s="5">
        <f>_xlfn.XLOOKUP(tblSales[[#This Row],[Product Code]],tblProducts[Code],tblProducts[Selling Price (excl. VAT)],0)</f>
        <v>500000</v>
      </c>
      <c r="K936" s="5">
        <f>tblSales[[#This Row],[Qty]]*tblSales[[#This Row],[Unit Price]]</f>
        <v>500000</v>
      </c>
      <c r="L936" s="5">
        <f>ROUND(tblSales[[#This Row],[DPP (excl. VAT)]]*VATEff,0)</f>
        <v>55000</v>
      </c>
      <c r="M936" s="5">
        <f>tblSales[[#This Row],[DPP (excl. VAT)]]+tblSales[[#This Row],[Output VAT]]</f>
        <v>555000</v>
      </c>
      <c r="N936" s="5">
        <f>tblSales[[#This Row],[Qty]]*_xlfn.XLOOKUP(tblSales[[#This Row],[Product Code]],tblProducts[Code],tblProducts[Unit Cost],0)</f>
        <v>290000</v>
      </c>
      <c r="O936" s="4" t="s">
        <v>4866</v>
      </c>
      <c r="P936" s="4" t="s">
        <v>4862</v>
      </c>
      <c r="Q936" s="1" t="str">
        <f>_xlfn.XLOOKUP(tblSales[[#This Row],[Channel Code]],tblChannels[Channel Code],tblChannels[Channel Name],"")</f>
        <v>Website &amp; Social Media</v>
      </c>
      <c r="R936" s="1">
        <f>MONTH(tblSales[[#This Row],[Date]])</f>
        <v>3</v>
      </c>
    </row>
    <row r="937" spans="2:18" x14ac:dyDescent="0.35">
      <c r="B937" s="113">
        <v>46084</v>
      </c>
      <c r="C937" s="4" t="s">
        <v>655</v>
      </c>
      <c r="D937" s="4" t="s">
        <v>4568</v>
      </c>
      <c r="E937" s="1" t="str">
        <f>_xlfn.XLOOKUP(tblSales[[#This Row],[Customer ID]],tblCustomers[Customer ID],tblCustomers[Customer Name],"⚠ Unknown")</f>
        <v>Walk-in Customer</v>
      </c>
      <c r="F937" s="4" t="s">
        <v>10</v>
      </c>
      <c r="G937" s="1" t="str">
        <f>_xlfn.XLOOKUP(tblSales[[#This Row],[Product Code]],tblProducts[Code],tblProducts[Product / Service Name],"⚠ Unknown")</f>
        <v>Chino Pants</v>
      </c>
      <c r="H937" s="1" t="str">
        <f>_xlfn.XLOOKUP(tblSales[[#This Row],[Product Code]],tblProducts[Code],tblProducts[Category],"")</f>
        <v>Apparel &amp; Footwear</v>
      </c>
      <c r="I937" s="4">
        <v>6</v>
      </c>
      <c r="J937" s="5">
        <f>_xlfn.XLOOKUP(tblSales[[#This Row],[Product Code]],tblProducts[Code],tblProducts[Selling Price (excl. VAT)],0)</f>
        <v>150000</v>
      </c>
      <c r="K937" s="5">
        <f>tblSales[[#This Row],[Qty]]*tblSales[[#This Row],[Unit Price]]</f>
        <v>900000</v>
      </c>
      <c r="L937" s="5">
        <f>ROUND(tblSales[[#This Row],[DPP (excl. VAT)]]*VATEff,0)</f>
        <v>99000</v>
      </c>
      <c r="M937" s="5">
        <f>tblSales[[#This Row],[DPP (excl. VAT)]]+tblSales[[#This Row],[Output VAT]]</f>
        <v>999000</v>
      </c>
      <c r="N937" s="5">
        <f>tblSales[[#This Row],[Qty]]*_xlfn.XLOOKUP(tblSales[[#This Row],[Product Code]],tblProducts[Code],tblProducts[Unit Cost],0)</f>
        <v>528000</v>
      </c>
      <c r="O937" s="4" t="s">
        <v>4866</v>
      </c>
      <c r="P937" s="4" t="s">
        <v>4862</v>
      </c>
      <c r="Q937" s="1" t="str">
        <f>_xlfn.XLOOKUP(tblSales[[#This Row],[Channel Code]],tblChannels[Channel Code],tblChannels[Channel Name],"")</f>
        <v>Website &amp; Social Media</v>
      </c>
      <c r="R937" s="1">
        <f>MONTH(tblSales[[#This Row],[Date]])</f>
        <v>3</v>
      </c>
    </row>
    <row r="938" spans="2:18" x14ac:dyDescent="0.35">
      <c r="B938" s="113">
        <v>46084</v>
      </c>
      <c r="C938" s="4" t="s">
        <v>655</v>
      </c>
      <c r="D938" s="4" t="s">
        <v>4568</v>
      </c>
      <c r="E938" s="1" t="str">
        <f>_xlfn.XLOOKUP(tblSales[[#This Row],[Customer ID]],tblCustomers[Customer ID],tblCustomers[Customer Name],"⚠ Unknown")</f>
        <v>Walk-in Customer</v>
      </c>
      <c r="F938" s="4" t="s">
        <v>6</v>
      </c>
      <c r="G938" s="1" t="str">
        <f>_xlfn.XLOOKUP(tblSales[[#This Row],[Product Code]],tblProducts[Code],tblProducts[Product / Service Name],"⚠ Unknown")</f>
        <v>Socks &amp; Accessories</v>
      </c>
      <c r="H938" s="1" t="str">
        <f>_xlfn.XLOOKUP(tblSales[[#This Row],[Product Code]],tblProducts[Code],tblProducts[Category],"")</f>
        <v>Accessories &amp; Basics</v>
      </c>
      <c r="I938" s="4">
        <v>7</v>
      </c>
      <c r="J938" s="5">
        <f>_xlfn.XLOOKUP(tblSales[[#This Row],[Product Code]],tblProducts[Code],tblProducts[Selling Price (excl. VAT)],0)</f>
        <v>45000</v>
      </c>
      <c r="K938" s="5">
        <f>tblSales[[#This Row],[Qty]]*tblSales[[#This Row],[Unit Price]]</f>
        <v>315000</v>
      </c>
      <c r="L938" s="5">
        <f>ROUND(tblSales[[#This Row],[DPP (excl. VAT)]]*VATEff,0)</f>
        <v>34650</v>
      </c>
      <c r="M938" s="5">
        <f>tblSales[[#This Row],[DPP (excl. VAT)]]+tblSales[[#This Row],[Output VAT]]</f>
        <v>349650</v>
      </c>
      <c r="N938" s="5">
        <f>tblSales[[#This Row],[Qty]]*_xlfn.XLOOKUP(tblSales[[#This Row],[Product Code]],tblProducts[Code],tblProducts[Unit Cost],0)</f>
        <v>168000</v>
      </c>
      <c r="O938" s="4" t="s">
        <v>4866</v>
      </c>
      <c r="P938" s="4" t="s">
        <v>4862</v>
      </c>
      <c r="Q938" s="1" t="str">
        <f>_xlfn.XLOOKUP(tblSales[[#This Row],[Channel Code]],tblChannels[Channel Code],tblChannels[Channel Name],"")</f>
        <v>Website &amp; Social Media</v>
      </c>
      <c r="R938" s="1">
        <f>MONTH(tblSales[[#This Row],[Date]])</f>
        <v>3</v>
      </c>
    </row>
    <row r="939" spans="2:18" x14ac:dyDescent="0.35">
      <c r="B939" s="113">
        <v>46084</v>
      </c>
      <c r="C939" s="4" t="s">
        <v>656</v>
      </c>
      <c r="D939" s="4" t="s">
        <v>4568</v>
      </c>
      <c r="E939" s="1" t="str">
        <f>_xlfn.XLOOKUP(tblSales[[#This Row],[Customer ID]],tblCustomers[Customer ID],tblCustomers[Customer Name],"⚠ Unknown")</f>
        <v>Walk-in Customer</v>
      </c>
      <c r="F939" s="4" t="s">
        <v>12</v>
      </c>
      <c r="G939" s="1" t="str">
        <f>_xlfn.XLOOKUP(tblSales[[#This Row],[Product Code]],tblProducts[Code],tblProducts[Product / Service Name],"⚠ Unknown")</f>
        <v>Bomber Jacket</v>
      </c>
      <c r="H939" s="1" t="str">
        <f>_xlfn.XLOOKUP(tblSales[[#This Row],[Product Code]],tblProducts[Code],tblProducts[Category],"")</f>
        <v>Apparel &amp; Footwear</v>
      </c>
      <c r="I939" s="4">
        <v>2</v>
      </c>
      <c r="J939" s="5">
        <f>_xlfn.XLOOKUP(tblSales[[#This Row],[Product Code]],tblProducts[Code],tblProducts[Selling Price (excl. VAT)],0)</f>
        <v>350000</v>
      </c>
      <c r="K939" s="5">
        <f>tblSales[[#This Row],[Qty]]*tblSales[[#This Row],[Unit Price]]</f>
        <v>700000</v>
      </c>
      <c r="L939" s="5">
        <f>ROUND(tblSales[[#This Row],[DPP (excl. VAT)]]*VATEff,0)</f>
        <v>77000</v>
      </c>
      <c r="M939" s="5">
        <f>tblSales[[#This Row],[DPP (excl. VAT)]]+tblSales[[#This Row],[Output VAT]]</f>
        <v>777000</v>
      </c>
      <c r="N939" s="5">
        <f>tblSales[[#This Row],[Qty]]*_xlfn.XLOOKUP(tblSales[[#This Row],[Product Code]],tblProducts[Code],tblProducts[Unit Cost],0)</f>
        <v>420000</v>
      </c>
      <c r="O939" s="4" t="s">
        <v>4866</v>
      </c>
      <c r="P939" s="4" t="s">
        <v>4861</v>
      </c>
      <c r="Q939" s="1" t="str">
        <f>_xlfn.XLOOKUP(tblSales[[#This Row],[Channel Code]],tblChannels[Channel Code],tblChannels[Channel Name],"")</f>
        <v>Marketplace</v>
      </c>
      <c r="R939" s="1">
        <f>MONTH(tblSales[[#This Row],[Date]])</f>
        <v>3</v>
      </c>
    </row>
    <row r="940" spans="2:18" x14ac:dyDescent="0.35">
      <c r="B940" s="113">
        <v>46084</v>
      </c>
      <c r="C940" s="4" t="s">
        <v>657</v>
      </c>
      <c r="D940" s="4" t="s">
        <v>4568</v>
      </c>
      <c r="E940" s="1" t="str">
        <f>_xlfn.XLOOKUP(tblSales[[#This Row],[Customer ID]],tblCustomers[Customer ID],tblCustomers[Customer Name],"⚠ Unknown")</f>
        <v>Walk-in Customer</v>
      </c>
      <c r="F940" s="4" t="s">
        <v>10</v>
      </c>
      <c r="G940" s="1" t="str">
        <f>_xlfn.XLOOKUP(tblSales[[#This Row],[Product Code]],tblProducts[Code],tblProducts[Product / Service Name],"⚠ Unknown")</f>
        <v>Chino Pants</v>
      </c>
      <c r="H940" s="1" t="str">
        <f>_xlfn.XLOOKUP(tblSales[[#This Row],[Product Code]],tblProducts[Code],tblProducts[Category],"")</f>
        <v>Apparel &amp; Footwear</v>
      </c>
      <c r="I940" s="4">
        <v>11</v>
      </c>
      <c r="J940" s="5">
        <f>_xlfn.XLOOKUP(tblSales[[#This Row],[Product Code]],tblProducts[Code],tblProducts[Selling Price (excl. VAT)],0)</f>
        <v>150000</v>
      </c>
      <c r="K940" s="5">
        <f>tblSales[[#This Row],[Qty]]*tblSales[[#This Row],[Unit Price]]</f>
        <v>1650000</v>
      </c>
      <c r="L940" s="5">
        <f>ROUND(tblSales[[#This Row],[DPP (excl. VAT)]]*VATEff,0)</f>
        <v>181500</v>
      </c>
      <c r="M940" s="5">
        <f>tblSales[[#This Row],[DPP (excl. VAT)]]+tblSales[[#This Row],[Output VAT]]</f>
        <v>1831500</v>
      </c>
      <c r="N940" s="5">
        <f>tblSales[[#This Row],[Qty]]*_xlfn.XLOOKUP(tblSales[[#This Row],[Product Code]],tblProducts[Code],tblProducts[Unit Cost],0)</f>
        <v>968000</v>
      </c>
      <c r="O940" s="4" t="s">
        <v>4865</v>
      </c>
      <c r="P940" s="4" t="s">
        <v>4860</v>
      </c>
      <c r="Q940" s="1" t="str">
        <f>_xlfn.XLOOKUP(tblSales[[#This Row],[Channel Code]],tblChannels[Channel Code],tblChannels[Channel Name],"")</f>
        <v>In-store</v>
      </c>
      <c r="R940" s="1">
        <f>MONTH(tblSales[[#This Row],[Date]])</f>
        <v>3</v>
      </c>
    </row>
    <row r="941" spans="2:18" x14ac:dyDescent="0.35">
      <c r="B941" s="113">
        <v>46084</v>
      </c>
      <c r="C941" s="4" t="s">
        <v>658</v>
      </c>
      <c r="D941" s="4" t="s">
        <v>4568</v>
      </c>
      <c r="E941" s="1" t="str">
        <f>_xlfn.XLOOKUP(tblSales[[#This Row],[Customer ID]],tblCustomers[Customer ID],tblCustomers[Customer Name],"⚠ Unknown")</f>
        <v>Walk-in Customer</v>
      </c>
      <c r="F941" s="4" t="s">
        <v>12</v>
      </c>
      <c r="G941" s="1" t="str">
        <f>_xlfn.XLOOKUP(tblSales[[#This Row],[Product Code]],tblProducts[Code],tblProducts[Product / Service Name],"⚠ Unknown")</f>
        <v>Bomber Jacket</v>
      </c>
      <c r="H941" s="1" t="str">
        <f>_xlfn.XLOOKUP(tblSales[[#This Row],[Product Code]],tblProducts[Code],tblProducts[Category],"")</f>
        <v>Apparel &amp; Footwear</v>
      </c>
      <c r="I941" s="4">
        <v>3</v>
      </c>
      <c r="J941" s="5">
        <f>_xlfn.XLOOKUP(tblSales[[#This Row],[Product Code]],tblProducts[Code],tblProducts[Selling Price (excl. VAT)],0)</f>
        <v>350000</v>
      </c>
      <c r="K941" s="5">
        <f>tblSales[[#This Row],[Qty]]*tblSales[[#This Row],[Unit Price]]</f>
        <v>1050000</v>
      </c>
      <c r="L941" s="5">
        <f>ROUND(tblSales[[#This Row],[DPP (excl. VAT)]]*VATEff,0)</f>
        <v>115500</v>
      </c>
      <c r="M941" s="5">
        <f>tblSales[[#This Row],[DPP (excl. VAT)]]+tblSales[[#This Row],[Output VAT]]</f>
        <v>1165500</v>
      </c>
      <c r="N941" s="5">
        <f>tblSales[[#This Row],[Qty]]*_xlfn.XLOOKUP(tblSales[[#This Row],[Product Code]],tblProducts[Code],tblProducts[Unit Cost],0)</f>
        <v>630000</v>
      </c>
      <c r="O941" s="4" t="s">
        <v>4866</v>
      </c>
      <c r="P941" s="4" t="s">
        <v>4860</v>
      </c>
      <c r="Q941" s="1" t="str">
        <f>_xlfn.XLOOKUP(tblSales[[#This Row],[Channel Code]],tblChannels[Channel Code],tblChannels[Channel Name],"")</f>
        <v>In-store</v>
      </c>
      <c r="R941" s="1">
        <f>MONTH(tblSales[[#This Row],[Date]])</f>
        <v>3</v>
      </c>
    </row>
    <row r="942" spans="2:18" x14ac:dyDescent="0.35">
      <c r="B942" s="113">
        <v>46084</v>
      </c>
      <c r="C942" s="4" t="s">
        <v>659</v>
      </c>
      <c r="D942" s="4" t="s">
        <v>4568</v>
      </c>
      <c r="E942" s="1" t="str">
        <f>_xlfn.XLOOKUP(tblSales[[#This Row],[Customer ID]],tblCustomers[Customer ID],tblCustomers[Customer Name],"⚠ Unknown")</f>
        <v>Walk-in Customer</v>
      </c>
      <c r="F942" s="4" t="s">
        <v>6</v>
      </c>
      <c r="G942" s="1" t="str">
        <f>_xlfn.XLOOKUP(tblSales[[#This Row],[Product Code]],tblProducts[Code],tblProducts[Product / Service Name],"⚠ Unknown")</f>
        <v>Socks &amp; Accessories</v>
      </c>
      <c r="H942" s="1" t="str">
        <f>_xlfn.XLOOKUP(tblSales[[#This Row],[Product Code]],tblProducts[Code],tblProducts[Category],"")</f>
        <v>Accessories &amp; Basics</v>
      </c>
      <c r="I942" s="4">
        <v>6</v>
      </c>
      <c r="J942" s="5">
        <f>_xlfn.XLOOKUP(tblSales[[#This Row],[Product Code]],tblProducts[Code],tblProducts[Selling Price (excl. VAT)],0)</f>
        <v>45000</v>
      </c>
      <c r="K942" s="5">
        <f>tblSales[[#This Row],[Qty]]*tblSales[[#This Row],[Unit Price]]</f>
        <v>270000</v>
      </c>
      <c r="L942" s="5">
        <f>ROUND(tblSales[[#This Row],[DPP (excl. VAT)]]*VATEff,0)</f>
        <v>29700</v>
      </c>
      <c r="M942" s="5">
        <f>tblSales[[#This Row],[DPP (excl. VAT)]]+tblSales[[#This Row],[Output VAT]]</f>
        <v>299700</v>
      </c>
      <c r="N942" s="5">
        <f>tblSales[[#This Row],[Qty]]*_xlfn.XLOOKUP(tblSales[[#This Row],[Product Code]],tblProducts[Code],tblProducts[Unit Cost],0)</f>
        <v>144000</v>
      </c>
      <c r="O942" s="4" t="s">
        <v>4865</v>
      </c>
      <c r="P942" s="4" t="s">
        <v>4860</v>
      </c>
      <c r="Q942" s="1" t="str">
        <f>_xlfn.XLOOKUP(tblSales[[#This Row],[Channel Code]],tblChannels[Channel Code],tblChannels[Channel Name],"")</f>
        <v>In-store</v>
      </c>
      <c r="R942" s="1">
        <f>MONTH(tblSales[[#This Row],[Date]])</f>
        <v>3</v>
      </c>
    </row>
    <row r="943" spans="2:18" x14ac:dyDescent="0.35">
      <c r="B943" s="113">
        <v>46084</v>
      </c>
      <c r="C943" s="4" t="s">
        <v>659</v>
      </c>
      <c r="D943" s="4" t="s">
        <v>4568</v>
      </c>
      <c r="E943" s="1" t="str">
        <f>_xlfn.XLOOKUP(tblSales[[#This Row],[Customer ID]],tblCustomers[Customer ID],tblCustomers[Customer Name],"⚠ Unknown")</f>
        <v>Walk-in Customer</v>
      </c>
      <c r="F943" s="4" t="s">
        <v>12</v>
      </c>
      <c r="G943" s="1" t="str">
        <f>_xlfn.XLOOKUP(tblSales[[#This Row],[Product Code]],tblProducts[Code],tblProducts[Product / Service Name],"⚠ Unknown")</f>
        <v>Bomber Jacket</v>
      </c>
      <c r="H943" s="1" t="str">
        <f>_xlfn.XLOOKUP(tblSales[[#This Row],[Product Code]],tblProducts[Code],tblProducts[Category],"")</f>
        <v>Apparel &amp; Footwear</v>
      </c>
      <c r="I943" s="4">
        <v>2</v>
      </c>
      <c r="J943" s="5">
        <f>_xlfn.XLOOKUP(tblSales[[#This Row],[Product Code]],tblProducts[Code],tblProducts[Selling Price (excl. VAT)],0)</f>
        <v>350000</v>
      </c>
      <c r="K943" s="5">
        <f>tblSales[[#This Row],[Qty]]*tblSales[[#This Row],[Unit Price]]</f>
        <v>700000</v>
      </c>
      <c r="L943" s="5">
        <f>ROUND(tblSales[[#This Row],[DPP (excl. VAT)]]*VATEff,0)</f>
        <v>77000</v>
      </c>
      <c r="M943" s="5">
        <f>tblSales[[#This Row],[DPP (excl. VAT)]]+tblSales[[#This Row],[Output VAT]]</f>
        <v>777000</v>
      </c>
      <c r="N943" s="5">
        <f>tblSales[[#This Row],[Qty]]*_xlfn.XLOOKUP(tblSales[[#This Row],[Product Code]],tblProducts[Code],tblProducts[Unit Cost],0)</f>
        <v>420000</v>
      </c>
      <c r="O943" s="4" t="s">
        <v>4865</v>
      </c>
      <c r="P943" s="4" t="s">
        <v>4860</v>
      </c>
      <c r="Q943" s="1" t="str">
        <f>_xlfn.XLOOKUP(tblSales[[#This Row],[Channel Code]],tblChannels[Channel Code],tblChannels[Channel Name],"")</f>
        <v>In-store</v>
      </c>
      <c r="R943" s="1">
        <f>MONTH(tblSales[[#This Row],[Date]])</f>
        <v>3</v>
      </c>
    </row>
    <row r="944" spans="2:18" x14ac:dyDescent="0.35">
      <c r="B944" s="113">
        <v>46084</v>
      </c>
      <c r="C944" s="4" t="s">
        <v>660</v>
      </c>
      <c r="D944" s="4" t="s">
        <v>4568</v>
      </c>
      <c r="E944" s="1" t="str">
        <f>_xlfn.XLOOKUP(tblSales[[#This Row],[Customer ID]],tblCustomers[Customer ID],tblCustomers[Customer Name],"⚠ Unknown")</f>
        <v>Walk-in Customer</v>
      </c>
      <c r="F944" s="4" t="s">
        <v>9</v>
      </c>
      <c r="G944" s="1" t="str">
        <f>_xlfn.XLOOKUP(tblSales[[#This Row],[Product Code]],tblProducts[Code],tblProducts[Product / Service Name],"⚠ Unknown")</f>
        <v>Casual Shirt</v>
      </c>
      <c r="H944" s="1" t="str">
        <f>_xlfn.XLOOKUP(tblSales[[#This Row],[Product Code]],tblProducts[Code],tblProducts[Category],"")</f>
        <v>Apparel &amp; Footwear</v>
      </c>
      <c r="I944" s="4">
        <v>11</v>
      </c>
      <c r="J944" s="5">
        <f>_xlfn.XLOOKUP(tblSales[[#This Row],[Product Code]],tblProducts[Code],tblProducts[Selling Price (excl. VAT)],0)</f>
        <v>120000</v>
      </c>
      <c r="K944" s="5">
        <f>tblSales[[#This Row],[Qty]]*tblSales[[#This Row],[Unit Price]]</f>
        <v>1320000</v>
      </c>
      <c r="L944" s="5">
        <f>ROUND(tblSales[[#This Row],[DPP (excl. VAT)]]*VATEff,0)</f>
        <v>145200</v>
      </c>
      <c r="M944" s="5">
        <f>tblSales[[#This Row],[DPP (excl. VAT)]]+tblSales[[#This Row],[Output VAT]]</f>
        <v>1465200</v>
      </c>
      <c r="N944" s="5">
        <f>tblSales[[#This Row],[Qty]]*_xlfn.XLOOKUP(tblSales[[#This Row],[Product Code]],tblProducts[Code],tblProducts[Unit Cost],0)</f>
        <v>792000</v>
      </c>
      <c r="O944" s="4" t="s">
        <v>4865</v>
      </c>
      <c r="P944" s="4" t="s">
        <v>4860</v>
      </c>
      <c r="Q944" s="1" t="str">
        <f>_xlfn.XLOOKUP(tblSales[[#This Row],[Channel Code]],tblChannels[Channel Code],tblChannels[Channel Name],"")</f>
        <v>In-store</v>
      </c>
      <c r="R944" s="1">
        <f>MONTH(tblSales[[#This Row],[Date]])</f>
        <v>3</v>
      </c>
    </row>
    <row r="945" spans="2:18" x14ac:dyDescent="0.35">
      <c r="B945" s="113">
        <v>46084</v>
      </c>
      <c r="C945" s="4" t="s">
        <v>660</v>
      </c>
      <c r="D945" s="4" t="s">
        <v>4568</v>
      </c>
      <c r="E945" s="1" t="str">
        <f>_xlfn.XLOOKUP(tblSales[[#This Row],[Customer ID]],tblCustomers[Customer ID],tblCustomers[Customer Name],"⚠ Unknown")</f>
        <v>Walk-in Customer</v>
      </c>
      <c r="F945" s="4" t="s">
        <v>6</v>
      </c>
      <c r="G945" s="1" t="str">
        <f>_xlfn.XLOOKUP(tblSales[[#This Row],[Product Code]],tblProducts[Code],tblProducts[Product / Service Name],"⚠ Unknown")</f>
        <v>Socks &amp; Accessories</v>
      </c>
      <c r="H945" s="1" t="str">
        <f>_xlfn.XLOOKUP(tblSales[[#This Row],[Product Code]],tblProducts[Code],tblProducts[Category],"")</f>
        <v>Accessories &amp; Basics</v>
      </c>
      <c r="I945" s="4">
        <v>2</v>
      </c>
      <c r="J945" s="5">
        <f>_xlfn.XLOOKUP(tblSales[[#This Row],[Product Code]],tblProducts[Code],tblProducts[Selling Price (excl. VAT)],0)</f>
        <v>45000</v>
      </c>
      <c r="K945" s="5">
        <f>tblSales[[#This Row],[Qty]]*tblSales[[#This Row],[Unit Price]]</f>
        <v>90000</v>
      </c>
      <c r="L945" s="5">
        <f>ROUND(tblSales[[#This Row],[DPP (excl. VAT)]]*VATEff,0)</f>
        <v>9900</v>
      </c>
      <c r="M945" s="5">
        <f>tblSales[[#This Row],[DPP (excl. VAT)]]+tblSales[[#This Row],[Output VAT]]</f>
        <v>99900</v>
      </c>
      <c r="N945" s="5">
        <f>tblSales[[#This Row],[Qty]]*_xlfn.XLOOKUP(tblSales[[#This Row],[Product Code]],tblProducts[Code],tblProducts[Unit Cost],0)</f>
        <v>48000</v>
      </c>
      <c r="O945" s="4" t="s">
        <v>4865</v>
      </c>
      <c r="P945" s="4" t="s">
        <v>4860</v>
      </c>
      <c r="Q945" s="1" t="str">
        <f>_xlfn.XLOOKUP(tblSales[[#This Row],[Channel Code]],tblChannels[Channel Code],tblChannels[Channel Name],"")</f>
        <v>In-store</v>
      </c>
      <c r="R945" s="1">
        <f>MONTH(tblSales[[#This Row],[Date]])</f>
        <v>3</v>
      </c>
    </row>
    <row r="946" spans="2:18" x14ac:dyDescent="0.35">
      <c r="B946" s="113">
        <v>46084</v>
      </c>
      <c r="C946" s="4" t="s">
        <v>661</v>
      </c>
      <c r="D946" s="4" t="s">
        <v>4568</v>
      </c>
      <c r="E946" s="1" t="str">
        <f>_xlfn.XLOOKUP(tblSales[[#This Row],[Customer ID]],tblCustomers[Customer ID],tblCustomers[Customer Name],"⚠ Unknown")</f>
        <v>Walk-in Customer</v>
      </c>
      <c r="F946" s="4" t="s">
        <v>10</v>
      </c>
      <c r="G946" s="1" t="str">
        <f>_xlfn.XLOOKUP(tblSales[[#This Row],[Product Code]],tblProducts[Code],tblProducts[Product / Service Name],"⚠ Unknown")</f>
        <v>Chino Pants</v>
      </c>
      <c r="H946" s="1" t="str">
        <f>_xlfn.XLOOKUP(tblSales[[#This Row],[Product Code]],tblProducts[Code],tblProducts[Category],"")</f>
        <v>Apparel &amp; Footwear</v>
      </c>
      <c r="I946" s="4">
        <v>9</v>
      </c>
      <c r="J946" s="5">
        <f>_xlfn.XLOOKUP(tblSales[[#This Row],[Product Code]],tblProducts[Code],tblProducts[Selling Price (excl. VAT)],0)</f>
        <v>150000</v>
      </c>
      <c r="K946" s="5">
        <f>tblSales[[#This Row],[Qty]]*tblSales[[#This Row],[Unit Price]]</f>
        <v>1350000</v>
      </c>
      <c r="L946" s="5">
        <f>ROUND(tblSales[[#This Row],[DPP (excl. VAT)]]*VATEff,0)</f>
        <v>148500</v>
      </c>
      <c r="M946" s="5">
        <f>tblSales[[#This Row],[DPP (excl. VAT)]]+tblSales[[#This Row],[Output VAT]]</f>
        <v>1498500</v>
      </c>
      <c r="N946" s="5">
        <f>tblSales[[#This Row],[Qty]]*_xlfn.XLOOKUP(tblSales[[#This Row],[Product Code]],tblProducts[Code],tblProducts[Unit Cost],0)</f>
        <v>792000</v>
      </c>
      <c r="O946" s="4" t="s">
        <v>4865</v>
      </c>
      <c r="P946" s="4" t="s">
        <v>4860</v>
      </c>
      <c r="Q946" s="1" t="str">
        <f>_xlfn.XLOOKUP(tblSales[[#This Row],[Channel Code]],tblChannels[Channel Code],tblChannels[Channel Name],"")</f>
        <v>In-store</v>
      </c>
      <c r="R946" s="1">
        <f>MONTH(tblSales[[#This Row],[Date]])</f>
        <v>3</v>
      </c>
    </row>
    <row r="947" spans="2:18" x14ac:dyDescent="0.35">
      <c r="B947" s="113">
        <v>46084</v>
      </c>
      <c r="C947" s="4" t="s">
        <v>662</v>
      </c>
      <c r="D947" s="4" t="s">
        <v>4568</v>
      </c>
      <c r="E947" s="1" t="str">
        <f>_xlfn.XLOOKUP(tblSales[[#This Row],[Customer ID]],tblCustomers[Customer ID],tblCustomers[Customer Name],"⚠ Unknown")</f>
        <v>Walk-in Customer</v>
      </c>
      <c r="F947" s="4" t="s">
        <v>7</v>
      </c>
      <c r="G947" s="1" t="str">
        <f>_xlfn.XLOOKUP(tblSales[[#This Row],[Product Code]],tblProducts[Code],tblProducts[Product / Service Name],"⚠ Unknown")</f>
        <v>Premium Basic T-shirt</v>
      </c>
      <c r="H947" s="1" t="str">
        <f>_xlfn.XLOOKUP(tblSales[[#This Row],[Product Code]],tblProducts[Code],tblProducts[Category],"")</f>
        <v>Accessories &amp; Basics</v>
      </c>
      <c r="I947" s="4">
        <v>9</v>
      </c>
      <c r="J947" s="5">
        <f>_xlfn.XLOOKUP(tblSales[[#This Row],[Product Code]],tblProducts[Code],tblProducts[Selling Price (excl. VAT)],0)</f>
        <v>65000</v>
      </c>
      <c r="K947" s="5">
        <f>tblSales[[#This Row],[Qty]]*tblSales[[#This Row],[Unit Price]]</f>
        <v>585000</v>
      </c>
      <c r="L947" s="5">
        <f>ROUND(tblSales[[#This Row],[DPP (excl. VAT)]]*VATEff,0)</f>
        <v>64350</v>
      </c>
      <c r="M947" s="5">
        <f>tblSales[[#This Row],[DPP (excl. VAT)]]+tblSales[[#This Row],[Output VAT]]</f>
        <v>649350</v>
      </c>
      <c r="N947" s="5">
        <f>tblSales[[#This Row],[Qty]]*_xlfn.XLOOKUP(tblSales[[#This Row],[Product Code]],tblProducts[Code],tblProducts[Unit Cost],0)</f>
        <v>333000</v>
      </c>
      <c r="O947" s="4" t="s">
        <v>4866</v>
      </c>
      <c r="P947" s="4" t="s">
        <v>4860</v>
      </c>
      <c r="Q947" s="1" t="str">
        <f>_xlfn.XLOOKUP(tblSales[[#This Row],[Channel Code]],tblChannels[Channel Code],tblChannels[Channel Name],"")</f>
        <v>In-store</v>
      </c>
      <c r="R947" s="1">
        <f>MONTH(tblSales[[#This Row],[Date]])</f>
        <v>3</v>
      </c>
    </row>
    <row r="948" spans="2:18" x14ac:dyDescent="0.35">
      <c r="B948" s="113">
        <v>46084</v>
      </c>
      <c r="C948" s="4" t="s">
        <v>662</v>
      </c>
      <c r="D948" s="4" t="s">
        <v>4568</v>
      </c>
      <c r="E948" s="1" t="str">
        <f>_xlfn.XLOOKUP(tblSales[[#This Row],[Customer ID]],tblCustomers[Customer ID],tblCustomers[Customer Name],"⚠ Unknown")</f>
        <v>Walk-in Customer</v>
      </c>
      <c r="F948" s="4" t="s">
        <v>11</v>
      </c>
      <c r="G948" s="1" t="str">
        <f>_xlfn.XLOOKUP(tblSales[[#This Row],[Product Code]],tblProducts[Code],tblProducts[Product / Service Name],"⚠ Unknown")</f>
        <v>Sneakers</v>
      </c>
      <c r="H948" s="1" t="str">
        <f>_xlfn.XLOOKUP(tblSales[[#This Row],[Product Code]],tblProducts[Code],tblProducts[Category],"")</f>
        <v>Apparel &amp; Footwear</v>
      </c>
      <c r="I948" s="4">
        <v>5</v>
      </c>
      <c r="J948" s="5">
        <f>_xlfn.XLOOKUP(tblSales[[#This Row],[Product Code]],tblProducts[Code],tblProducts[Selling Price (excl. VAT)],0)</f>
        <v>250000</v>
      </c>
      <c r="K948" s="5">
        <f>tblSales[[#This Row],[Qty]]*tblSales[[#This Row],[Unit Price]]</f>
        <v>1250000</v>
      </c>
      <c r="L948" s="5">
        <f>ROUND(tblSales[[#This Row],[DPP (excl. VAT)]]*VATEff,0)</f>
        <v>137500</v>
      </c>
      <c r="M948" s="5">
        <f>tblSales[[#This Row],[DPP (excl. VAT)]]+tblSales[[#This Row],[Output VAT]]</f>
        <v>1387500</v>
      </c>
      <c r="N948" s="5">
        <f>tblSales[[#This Row],[Qty]]*_xlfn.XLOOKUP(tblSales[[#This Row],[Product Code]],tblProducts[Code],tblProducts[Unit Cost],0)</f>
        <v>775000</v>
      </c>
      <c r="O948" s="4" t="s">
        <v>4866</v>
      </c>
      <c r="P948" s="4" t="s">
        <v>4860</v>
      </c>
      <c r="Q948" s="1" t="str">
        <f>_xlfn.XLOOKUP(tblSales[[#This Row],[Channel Code]],tblChannels[Channel Code],tblChannels[Channel Name],"")</f>
        <v>In-store</v>
      </c>
      <c r="R948" s="1">
        <f>MONTH(tblSales[[#This Row],[Date]])</f>
        <v>3</v>
      </c>
    </row>
    <row r="949" spans="2:18" x14ac:dyDescent="0.35">
      <c r="B949" s="113">
        <v>46084</v>
      </c>
      <c r="C949" s="4" t="s">
        <v>662</v>
      </c>
      <c r="D949" s="4" t="s">
        <v>4568</v>
      </c>
      <c r="E949" s="1" t="str">
        <f>_xlfn.XLOOKUP(tblSales[[#This Row],[Customer ID]],tblCustomers[Customer ID],tblCustomers[Customer Name],"⚠ Unknown")</f>
        <v>Walk-in Customer</v>
      </c>
      <c r="F949" s="4" t="s">
        <v>8</v>
      </c>
      <c r="G949" s="1" t="str">
        <f>_xlfn.XLOOKUP(tblSales[[#This Row],[Product Code]],tblProducts[Code],tblProducts[Product / Service Name],"⚠ Unknown")</f>
        <v>Casual Shorts</v>
      </c>
      <c r="H949" s="1" t="str">
        <f>_xlfn.XLOOKUP(tblSales[[#This Row],[Product Code]],tblProducts[Code],tblProducts[Category],"")</f>
        <v>Accessories &amp; Basics</v>
      </c>
      <c r="I949" s="4">
        <v>5</v>
      </c>
      <c r="J949" s="5">
        <f>_xlfn.XLOOKUP(tblSales[[#This Row],[Product Code]],tblProducts[Code],tblProducts[Selling Price (excl. VAT)],0)</f>
        <v>85000</v>
      </c>
      <c r="K949" s="5">
        <f>tblSales[[#This Row],[Qty]]*tblSales[[#This Row],[Unit Price]]</f>
        <v>425000</v>
      </c>
      <c r="L949" s="5">
        <f>ROUND(tblSales[[#This Row],[DPP (excl. VAT)]]*VATEff,0)</f>
        <v>46750</v>
      </c>
      <c r="M949" s="5">
        <f>tblSales[[#This Row],[DPP (excl. VAT)]]+tblSales[[#This Row],[Output VAT]]</f>
        <v>471750</v>
      </c>
      <c r="N949" s="5">
        <f>tblSales[[#This Row],[Qty]]*_xlfn.XLOOKUP(tblSales[[#This Row],[Product Code]],tblProducts[Code],tblProducts[Unit Cost],0)</f>
        <v>250000</v>
      </c>
      <c r="O949" s="4" t="s">
        <v>4866</v>
      </c>
      <c r="P949" s="4" t="s">
        <v>4860</v>
      </c>
      <c r="Q949" s="1" t="str">
        <f>_xlfn.XLOOKUP(tblSales[[#This Row],[Channel Code]],tblChannels[Channel Code],tblChannels[Channel Name],"")</f>
        <v>In-store</v>
      </c>
      <c r="R949" s="1">
        <f>MONTH(tblSales[[#This Row],[Date]])</f>
        <v>3</v>
      </c>
    </row>
    <row r="950" spans="2:18" x14ac:dyDescent="0.35">
      <c r="B950" s="113">
        <v>46084</v>
      </c>
      <c r="C950" s="4" t="s">
        <v>663</v>
      </c>
      <c r="D950" s="4" t="s">
        <v>4634</v>
      </c>
      <c r="E950" s="1" t="str">
        <f>_xlfn.XLOOKUP(tblSales[[#This Row],[Customer ID]],tblCustomers[Customer ID],tblCustomers[Customer Name],"⚠ Unknown")</f>
        <v>PT Delta Inti Selaras</v>
      </c>
      <c r="F950" s="4" t="s">
        <v>8</v>
      </c>
      <c r="G950" s="1" t="str">
        <f>_xlfn.XLOOKUP(tblSales[[#This Row],[Product Code]],tblProducts[Code],tblProducts[Product / Service Name],"⚠ Unknown")</f>
        <v>Casual Shorts</v>
      </c>
      <c r="H950" s="1" t="str">
        <f>_xlfn.XLOOKUP(tblSales[[#This Row],[Product Code]],tblProducts[Code],tblProducts[Category],"")</f>
        <v>Accessories &amp; Basics</v>
      </c>
      <c r="I950" s="4">
        <v>56</v>
      </c>
      <c r="J950" s="5">
        <f>_xlfn.XLOOKUP(tblSales[[#This Row],[Product Code]],tblProducts[Code],tblProducts[Selling Price (excl. VAT)],0)</f>
        <v>85000</v>
      </c>
      <c r="K950" s="5">
        <f>tblSales[[#This Row],[Qty]]*tblSales[[#This Row],[Unit Price]]</f>
        <v>4760000</v>
      </c>
      <c r="L950" s="5">
        <f>ROUND(tblSales[[#This Row],[DPP (excl. VAT)]]*VATEff,0)</f>
        <v>523600</v>
      </c>
      <c r="M950" s="5">
        <f>tblSales[[#This Row],[DPP (excl. VAT)]]+tblSales[[#This Row],[Output VAT]]</f>
        <v>5283600</v>
      </c>
      <c r="N950" s="5">
        <f>tblSales[[#This Row],[Qty]]*_xlfn.XLOOKUP(tblSales[[#This Row],[Product Code]],tblProducts[Code],tblProducts[Unit Cost],0)</f>
        <v>2800000</v>
      </c>
      <c r="O950" s="4" t="s">
        <v>4867</v>
      </c>
      <c r="P950" s="4" t="s">
        <v>4860</v>
      </c>
      <c r="Q950" s="1" t="str">
        <f>_xlfn.XLOOKUP(tblSales[[#This Row],[Channel Code]],tblChannels[Channel Code],tblChannels[Channel Name],"")</f>
        <v>In-store</v>
      </c>
      <c r="R950" s="1">
        <f>MONTH(tblSales[[#This Row],[Date]])</f>
        <v>3</v>
      </c>
    </row>
    <row r="951" spans="2:18" x14ac:dyDescent="0.35">
      <c r="B951" s="113">
        <v>46084</v>
      </c>
      <c r="C951" s="4" t="s">
        <v>664</v>
      </c>
      <c r="D951" s="4" t="s">
        <v>4568</v>
      </c>
      <c r="E951" s="1" t="str">
        <f>_xlfn.XLOOKUP(tblSales[[#This Row],[Customer ID]],tblCustomers[Customer ID],tblCustomers[Customer Name],"⚠ Unknown")</f>
        <v>Walk-in Customer</v>
      </c>
      <c r="F951" s="4" t="s">
        <v>10</v>
      </c>
      <c r="G951" s="1" t="str">
        <f>_xlfn.XLOOKUP(tblSales[[#This Row],[Product Code]],tblProducts[Code],tblProducts[Product / Service Name],"⚠ Unknown")</f>
        <v>Chino Pants</v>
      </c>
      <c r="H951" s="1" t="str">
        <f>_xlfn.XLOOKUP(tblSales[[#This Row],[Product Code]],tblProducts[Code],tblProducts[Category],"")</f>
        <v>Apparel &amp; Footwear</v>
      </c>
      <c r="I951" s="4">
        <v>11</v>
      </c>
      <c r="J951" s="5">
        <f>_xlfn.XLOOKUP(tblSales[[#This Row],[Product Code]],tblProducts[Code],tblProducts[Selling Price (excl. VAT)],0)</f>
        <v>150000</v>
      </c>
      <c r="K951" s="5">
        <f>tblSales[[#This Row],[Qty]]*tblSales[[#This Row],[Unit Price]]</f>
        <v>1650000</v>
      </c>
      <c r="L951" s="5">
        <f>ROUND(tblSales[[#This Row],[DPP (excl. VAT)]]*VATEff,0)</f>
        <v>181500</v>
      </c>
      <c r="M951" s="5">
        <f>tblSales[[#This Row],[DPP (excl. VAT)]]+tblSales[[#This Row],[Output VAT]]</f>
        <v>1831500</v>
      </c>
      <c r="N951" s="5">
        <f>tblSales[[#This Row],[Qty]]*_xlfn.XLOOKUP(tblSales[[#This Row],[Product Code]],tblProducts[Code],tblProducts[Unit Cost],0)</f>
        <v>968000</v>
      </c>
      <c r="O951" s="4" t="s">
        <v>4865</v>
      </c>
      <c r="P951" s="4" t="s">
        <v>4860</v>
      </c>
      <c r="Q951" s="1" t="str">
        <f>_xlfn.XLOOKUP(tblSales[[#This Row],[Channel Code]],tblChannels[Channel Code],tblChannels[Channel Name],"")</f>
        <v>In-store</v>
      </c>
      <c r="R951" s="1">
        <f>MONTH(tblSales[[#This Row],[Date]])</f>
        <v>3</v>
      </c>
    </row>
    <row r="952" spans="2:18" x14ac:dyDescent="0.35">
      <c r="B952" s="113">
        <v>46084</v>
      </c>
      <c r="C952" s="4" t="s">
        <v>665</v>
      </c>
      <c r="D952" s="4" t="s">
        <v>4568</v>
      </c>
      <c r="E952" s="1" t="str">
        <f>_xlfn.XLOOKUP(tblSales[[#This Row],[Customer ID]],tblCustomers[Customer ID],tblCustomers[Customer Name],"⚠ Unknown")</f>
        <v>Walk-in Customer</v>
      </c>
      <c r="F952" s="4" t="s">
        <v>7</v>
      </c>
      <c r="G952" s="1" t="str">
        <f>_xlfn.XLOOKUP(tblSales[[#This Row],[Product Code]],tblProducts[Code],tblProducts[Product / Service Name],"⚠ Unknown")</f>
        <v>Premium Basic T-shirt</v>
      </c>
      <c r="H952" s="1" t="str">
        <f>_xlfn.XLOOKUP(tblSales[[#This Row],[Product Code]],tblProducts[Code],tblProducts[Category],"")</f>
        <v>Accessories &amp; Basics</v>
      </c>
      <c r="I952" s="4">
        <v>9</v>
      </c>
      <c r="J952" s="5">
        <f>_xlfn.XLOOKUP(tblSales[[#This Row],[Product Code]],tblProducts[Code],tblProducts[Selling Price (excl. VAT)],0)</f>
        <v>65000</v>
      </c>
      <c r="K952" s="5">
        <f>tblSales[[#This Row],[Qty]]*tblSales[[#This Row],[Unit Price]]</f>
        <v>585000</v>
      </c>
      <c r="L952" s="5">
        <f>ROUND(tblSales[[#This Row],[DPP (excl. VAT)]]*VATEff,0)</f>
        <v>64350</v>
      </c>
      <c r="M952" s="5">
        <f>tblSales[[#This Row],[DPP (excl. VAT)]]+tblSales[[#This Row],[Output VAT]]</f>
        <v>649350</v>
      </c>
      <c r="N952" s="5">
        <f>tblSales[[#This Row],[Qty]]*_xlfn.XLOOKUP(tblSales[[#This Row],[Product Code]],tblProducts[Code],tblProducts[Unit Cost],0)</f>
        <v>333000</v>
      </c>
      <c r="O952" s="4" t="s">
        <v>4866</v>
      </c>
      <c r="P952" s="4" t="s">
        <v>4860</v>
      </c>
      <c r="Q952" s="1" t="str">
        <f>_xlfn.XLOOKUP(tblSales[[#This Row],[Channel Code]],tblChannels[Channel Code],tblChannels[Channel Name],"")</f>
        <v>In-store</v>
      </c>
      <c r="R952" s="1">
        <f>MONTH(tblSales[[#This Row],[Date]])</f>
        <v>3</v>
      </c>
    </row>
    <row r="953" spans="2:18" x14ac:dyDescent="0.35">
      <c r="B953" s="113">
        <v>46084</v>
      </c>
      <c r="C953" s="4" t="s">
        <v>666</v>
      </c>
      <c r="D953" s="4" t="s">
        <v>4568</v>
      </c>
      <c r="E953" s="1" t="str">
        <f>_xlfn.XLOOKUP(tblSales[[#This Row],[Customer ID]],tblCustomers[Customer ID],tblCustomers[Customer Name],"⚠ Unknown")</f>
        <v>Walk-in Customer</v>
      </c>
      <c r="F953" s="4" t="s">
        <v>9</v>
      </c>
      <c r="G953" s="1" t="str">
        <f>_xlfn.XLOOKUP(tblSales[[#This Row],[Product Code]],tblProducts[Code],tblProducts[Product / Service Name],"⚠ Unknown")</f>
        <v>Casual Shirt</v>
      </c>
      <c r="H953" s="1" t="str">
        <f>_xlfn.XLOOKUP(tblSales[[#This Row],[Product Code]],tblProducts[Code],tblProducts[Category],"")</f>
        <v>Apparel &amp; Footwear</v>
      </c>
      <c r="I953" s="4">
        <v>10</v>
      </c>
      <c r="J953" s="5">
        <f>_xlfn.XLOOKUP(tblSales[[#This Row],[Product Code]],tblProducts[Code],tblProducts[Selling Price (excl. VAT)],0)</f>
        <v>120000</v>
      </c>
      <c r="K953" s="5">
        <f>tblSales[[#This Row],[Qty]]*tblSales[[#This Row],[Unit Price]]</f>
        <v>1200000</v>
      </c>
      <c r="L953" s="5">
        <f>ROUND(tblSales[[#This Row],[DPP (excl. VAT)]]*VATEff,0)</f>
        <v>132000</v>
      </c>
      <c r="M953" s="5">
        <f>tblSales[[#This Row],[DPP (excl. VAT)]]+tblSales[[#This Row],[Output VAT]]</f>
        <v>1332000</v>
      </c>
      <c r="N953" s="5">
        <f>tblSales[[#This Row],[Qty]]*_xlfn.XLOOKUP(tblSales[[#This Row],[Product Code]],tblProducts[Code],tblProducts[Unit Cost],0)</f>
        <v>720000</v>
      </c>
      <c r="O953" s="4" t="s">
        <v>4866</v>
      </c>
      <c r="P953" s="4" t="s">
        <v>4861</v>
      </c>
      <c r="Q953" s="1" t="str">
        <f>_xlfn.XLOOKUP(tblSales[[#This Row],[Channel Code]],tblChannels[Channel Code],tblChannels[Channel Name],"")</f>
        <v>Marketplace</v>
      </c>
      <c r="R953" s="1">
        <f>MONTH(tblSales[[#This Row],[Date]])</f>
        <v>3</v>
      </c>
    </row>
    <row r="954" spans="2:18" x14ac:dyDescent="0.35">
      <c r="B954" s="113">
        <v>46084</v>
      </c>
      <c r="C954" s="4" t="s">
        <v>667</v>
      </c>
      <c r="D954" s="4" t="s">
        <v>4568</v>
      </c>
      <c r="E954" s="1" t="str">
        <f>_xlfn.XLOOKUP(tblSales[[#This Row],[Customer ID]],tblCustomers[Customer ID],tblCustomers[Customer Name],"⚠ Unknown")</f>
        <v>Walk-in Customer</v>
      </c>
      <c r="F954" s="4" t="s">
        <v>13</v>
      </c>
      <c r="G954" s="1" t="str">
        <f>_xlfn.XLOOKUP(tblSales[[#This Row],[Product Code]],tblProducts[Code],tblProducts[Product / Service Name],"⚠ Unknown")</f>
        <v>Backpack</v>
      </c>
      <c r="H954" s="1" t="str">
        <f>_xlfn.XLOOKUP(tblSales[[#This Row],[Product Code]],tblProducts[Code],tblProducts[Category],"")</f>
        <v>Bags &amp; Gadgets</v>
      </c>
      <c r="I954" s="4">
        <v>2</v>
      </c>
      <c r="J954" s="5">
        <f>_xlfn.XLOOKUP(tblSales[[#This Row],[Product Code]],tblProducts[Code],tblProducts[Selling Price (excl. VAT)],0)</f>
        <v>500000</v>
      </c>
      <c r="K954" s="5">
        <f>tblSales[[#This Row],[Qty]]*tblSales[[#This Row],[Unit Price]]</f>
        <v>1000000</v>
      </c>
      <c r="L954" s="5">
        <f>ROUND(tblSales[[#This Row],[DPP (excl. VAT)]]*VATEff,0)</f>
        <v>110000</v>
      </c>
      <c r="M954" s="5">
        <f>tblSales[[#This Row],[DPP (excl. VAT)]]+tblSales[[#This Row],[Output VAT]]</f>
        <v>1110000</v>
      </c>
      <c r="N954" s="5">
        <f>tblSales[[#This Row],[Qty]]*_xlfn.XLOOKUP(tblSales[[#This Row],[Product Code]],tblProducts[Code],tblProducts[Unit Cost],0)</f>
        <v>580000</v>
      </c>
      <c r="O954" s="4" t="s">
        <v>4866</v>
      </c>
      <c r="P954" s="4" t="s">
        <v>4860</v>
      </c>
      <c r="Q954" s="1" t="str">
        <f>_xlfn.XLOOKUP(tblSales[[#This Row],[Channel Code]],tblChannels[Channel Code],tblChannels[Channel Name],"")</f>
        <v>In-store</v>
      </c>
      <c r="R954" s="1">
        <f>MONTH(tblSales[[#This Row],[Date]])</f>
        <v>3</v>
      </c>
    </row>
    <row r="955" spans="2:18" x14ac:dyDescent="0.35">
      <c r="B955" s="113">
        <v>46085</v>
      </c>
      <c r="C955" s="4" t="s">
        <v>668</v>
      </c>
      <c r="D955" s="4" t="s">
        <v>4568</v>
      </c>
      <c r="E955" s="1" t="str">
        <f>_xlfn.XLOOKUP(tblSales[[#This Row],[Customer ID]],tblCustomers[Customer ID],tblCustomers[Customer Name],"⚠ Unknown")</f>
        <v>Walk-in Customer</v>
      </c>
      <c r="F955" s="4" t="s">
        <v>10</v>
      </c>
      <c r="G955" s="1" t="str">
        <f>_xlfn.XLOOKUP(tblSales[[#This Row],[Product Code]],tblProducts[Code],tblProducts[Product / Service Name],"⚠ Unknown")</f>
        <v>Chino Pants</v>
      </c>
      <c r="H955" s="1" t="str">
        <f>_xlfn.XLOOKUP(tblSales[[#This Row],[Product Code]],tblProducts[Code],tblProducts[Category],"")</f>
        <v>Apparel &amp; Footwear</v>
      </c>
      <c r="I955" s="4">
        <v>2</v>
      </c>
      <c r="J955" s="5">
        <f>_xlfn.XLOOKUP(tblSales[[#This Row],[Product Code]],tblProducts[Code],tblProducts[Selling Price (excl. VAT)],0)</f>
        <v>150000</v>
      </c>
      <c r="K955" s="5">
        <f>tblSales[[#This Row],[Qty]]*tblSales[[#This Row],[Unit Price]]</f>
        <v>300000</v>
      </c>
      <c r="L955" s="5">
        <f>ROUND(tblSales[[#This Row],[DPP (excl. VAT)]]*VATEff,0)</f>
        <v>33000</v>
      </c>
      <c r="M955" s="5">
        <f>tblSales[[#This Row],[DPP (excl. VAT)]]+tblSales[[#This Row],[Output VAT]]</f>
        <v>333000</v>
      </c>
      <c r="N955" s="5">
        <f>tblSales[[#This Row],[Qty]]*_xlfn.XLOOKUP(tblSales[[#This Row],[Product Code]],tblProducts[Code],tblProducts[Unit Cost],0)</f>
        <v>176000</v>
      </c>
      <c r="O955" s="4" t="s">
        <v>4865</v>
      </c>
      <c r="P955" s="4" t="s">
        <v>4860</v>
      </c>
      <c r="Q955" s="1" t="str">
        <f>_xlfn.XLOOKUP(tblSales[[#This Row],[Channel Code]],tblChannels[Channel Code],tblChannels[Channel Name],"")</f>
        <v>In-store</v>
      </c>
      <c r="R955" s="1">
        <f>MONTH(tblSales[[#This Row],[Date]])</f>
        <v>3</v>
      </c>
    </row>
    <row r="956" spans="2:18" x14ac:dyDescent="0.35">
      <c r="B956" s="113">
        <v>46085</v>
      </c>
      <c r="C956" s="4" t="s">
        <v>669</v>
      </c>
      <c r="D956" s="4" t="s">
        <v>4634</v>
      </c>
      <c r="E956" s="1" t="str">
        <f>_xlfn.XLOOKUP(tblSales[[#This Row],[Customer ID]],tblCustomers[Customer ID],tblCustomers[Customer Name],"⚠ Unknown")</f>
        <v>PT Delta Inti Selaras</v>
      </c>
      <c r="F956" s="4" t="s">
        <v>13</v>
      </c>
      <c r="G956" s="1" t="str">
        <f>_xlfn.XLOOKUP(tblSales[[#This Row],[Product Code]],tblProducts[Code],tblProducts[Product / Service Name],"⚠ Unknown")</f>
        <v>Backpack</v>
      </c>
      <c r="H956" s="1" t="str">
        <f>_xlfn.XLOOKUP(tblSales[[#This Row],[Product Code]],tblProducts[Code],tblProducts[Category],"")</f>
        <v>Bags &amp; Gadgets</v>
      </c>
      <c r="I956" s="4">
        <v>48</v>
      </c>
      <c r="J956" s="5">
        <f>_xlfn.XLOOKUP(tblSales[[#This Row],[Product Code]],tblProducts[Code],tblProducts[Selling Price (excl. VAT)],0)</f>
        <v>500000</v>
      </c>
      <c r="K956" s="5">
        <f>tblSales[[#This Row],[Qty]]*tblSales[[#This Row],[Unit Price]]</f>
        <v>24000000</v>
      </c>
      <c r="L956" s="5">
        <f>ROUND(tblSales[[#This Row],[DPP (excl. VAT)]]*VATEff,0)</f>
        <v>2640000</v>
      </c>
      <c r="M956" s="5">
        <f>tblSales[[#This Row],[DPP (excl. VAT)]]+tblSales[[#This Row],[Output VAT]]</f>
        <v>26640000</v>
      </c>
      <c r="N956" s="5">
        <f>tblSales[[#This Row],[Qty]]*_xlfn.XLOOKUP(tblSales[[#This Row],[Product Code]],tblProducts[Code],tblProducts[Unit Cost],0)</f>
        <v>13920000</v>
      </c>
      <c r="O956" s="4" t="s">
        <v>4867</v>
      </c>
      <c r="P956" s="4" t="s">
        <v>4860</v>
      </c>
      <c r="Q956" s="1" t="str">
        <f>_xlfn.XLOOKUP(tblSales[[#This Row],[Channel Code]],tblChannels[Channel Code],tblChannels[Channel Name],"")</f>
        <v>In-store</v>
      </c>
      <c r="R956" s="1">
        <f>MONTH(tblSales[[#This Row],[Date]])</f>
        <v>3</v>
      </c>
    </row>
    <row r="957" spans="2:18" x14ac:dyDescent="0.35">
      <c r="B957" s="113">
        <v>46085</v>
      </c>
      <c r="C957" s="4" t="s">
        <v>670</v>
      </c>
      <c r="D957" s="4" t="s">
        <v>4568</v>
      </c>
      <c r="E957" s="1" t="str">
        <f>_xlfn.XLOOKUP(tblSales[[#This Row],[Customer ID]],tblCustomers[Customer ID],tblCustomers[Customer Name],"⚠ Unknown")</f>
        <v>Walk-in Customer</v>
      </c>
      <c r="F957" s="4" t="s">
        <v>7</v>
      </c>
      <c r="G957" s="1" t="str">
        <f>_xlfn.XLOOKUP(tblSales[[#This Row],[Product Code]],tblProducts[Code],tblProducts[Product / Service Name],"⚠ Unknown")</f>
        <v>Premium Basic T-shirt</v>
      </c>
      <c r="H957" s="1" t="str">
        <f>_xlfn.XLOOKUP(tblSales[[#This Row],[Product Code]],tblProducts[Code],tblProducts[Category],"")</f>
        <v>Accessories &amp; Basics</v>
      </c>
      <c r="I957" s="4">
        <v>9</v>
      </c>
      <c r="J957" s="5">
        <f>_xlfn.XLOOKUP(tblSales[[#This Row],[Product Code]],tblProducts[Code],tblProducts[Selling Price (excl. VAT)],0)</f>
        <v>65000</v>
      </c>
      <c r="K957" s="5">
        <f>tblSales[[#This Row],[Qty]]*tblSales[[#This Row],[Unit Price]]</f>
        <v>585000</v>
      </c>
      <c r="L957" s="5">
        <f>ROUND(tblSales[[#This Row],[DPP (excl. VAT)]]*VATEff,0)</f>
        <v>64350</v>
      </c>
      <c r="M957" s="5">
        <f>tblSales[[#This Row],[DPP (excl. VAT)]]+tblSales[[#This Row],[Output VAT]]</f>
        <v>649350</v>
      </c>
      <c r="N957" s="5">
        <f>tblSales[[#This Row],[Qty]]*_xlfn.XLOOKUP(tblSales[[#This Row],[Product Code]],tblProducts[Code],tblProducts[Unit Cost],0)</f>
        <v>333000</v>
      </c>
      <c r="O957" s="4" t="s">
        <v>4866</v>
      </c>
      <c r="P957" s="4" t="s">
        <v>4861</v>
      </c>
      <c r="Q957" s="1" t="str">
        <f>_xlfn.XLOOKUP(tblSales[[#This Row],[Channel Code]],tblChannels[Channel Code],tblChannels[Channel Name],"")</f>
        <v>Marketplace</v>
      </c>
      <c r="R957" s="1">
        <f>MONTH(tblSales[[#This Row],[Date]])</f>
        <v>3</v>
      </c>
    </row>
    <row r="958" spans="2:18" x14ac:dyDescent="0.35">
      <c r="B958" s="113">
        <v>46085</v>
      </c>
      <c r="C958" s="4" t="s">
        <v>671</v>
      </c>
      <c r="D958" s="4" t="s">
        <v>4593</v>
      </c>
      <c r="E958" s="1" t="str">
        <f>_xlfn.XLOOKUP(tblSales[[#This Row],[Customer ID]],tblCustomers[Customer ID],tblCustomers[Customer Name],"⚠ Unknown")</f>
        <v>PT Graha Nusa Persada</v>
      </c>
      <c r="F958" s="4" t="s">
        <v>10</v>
      </c>
      <c r="G958" s="1" t="str">
        <f>_xlfn.XLOOKUP(tblSales[[#This Row],[Product Code]],tblProducts[Code],tblProducts[Product / Service Name],"⚠ Unknown")</f>
        <v>Chino Pants</v>
      </c>
      <c r="H958" s="1" t="str">
        <f>_xlfn.XLOOKUP(tblSales[[#This Row],[Product Code]],tblProducts[Code],tblProducts[Category],"")</f>
        <v>Apparel &amp; Footwear</v>
      </c>
      <c r="I958" s="4">
        <v>80</v>
      </c>
      <c r="J958" s="5">
        <f>_xlfn.XLOOKUP(tblSales[[#This Row],[Product Code]],tblProducts[Code],tblProducts[Selling Price (excl. VAT)],0)</f>
        <v>150000</v>
      </c>
      <c r="K958" s="5">
        <f>tblSales[[#This Row],[Qty]]*tblSales[[#This Row],[Unit Price]]</f>
        <v>12000000</v>
      </c>
      <c r="L958" s="5">
        <f>ROUND(tblSales[[#This Row],[DPP (excl. VAT)]]*VATEff,0)</f>
        <v>1320000</v>
      </c>
      <c r="M958" s="5">
        <f>tblSales[[#This Row],[DPP (excl. VAT)]]+tblSales[[#This Row],[Output VAT]]</f>
        <v>13320000</v>
      </c>
      <c r="N958" s="5">
        <f>tblSales[[#This Row],[Qty]]*_xlfn.XLOOKUP(tblSales[[#This Row],[Product Code]],tblProducts[Code],tblProducts[Unit Cost],0)</f>
        <v>7040000</v>
      </c>
      <c r="O958" s="4" t="s">
        <v>4867</v>
      </c>
      <c r="P958" s="4" t="s">
        <v>4860</v>
      </c>
      <c r="Q958" s="1" t="str">
        <f>_xlfn.XLOOKUP(tblSales[[#This Row],[Channel Code]],tblChannels[Channel Code],tblChannels[Channel Name],"")</f>
        <v>In-store</v>
      </c>
      <c r="R958" s="1">
        <f>MONTH(tblSales[[#This Row],[Date]])</f>
        <v>3</v>
      </c>
    </row>
    <row r="959" spans="2:18" x14ac:dyDescent="0.35">
      <c r="B959" s="113">
        <v>46085</v>
      </c>
      <c r="C959" s="4" t="s">
        <v>672</v>
      </c>
      <c r="D959" s="4" t="s">
        <v>4568</v>
      </c>
      <c r="E959" s="1" t="str">
        <f>_xlfn.XLOOKUP(tblSales[[#This Row],[Customer ID]],tblCustomers[Customer ID],tblCustomers[Customer Name],"⚠ Unknown")</f>
        <v>Walk-in Customer</v>
      </c>
      <c r="F959" s="4" t="s">
        <v>6</v>
      </c>
      <c r="G959" s="1" t="str">
        <f>_xlfn.XLOOKUP(tblSales[[#This Row],[Product Code]],tblProducts[Code],tblProducts[Product / Service Name],"⚠ Unknown")</f>
        <v>Socks &amp; Accessories</v>
      </c>
      <c r="H959" s="1" t="str">
        <f>_xlfn.XLOOKUP(tblSales[[#This Row],[Product Code]],tblProducts[Code],tblProducts[Category],"")</f>
        <v>Accessories &amp; Basics</v>
      </c>
      <c r="I959" s="4">
        <v>12</v>
      </c>
      <c r="J959" s="5">
        <f>_xlfn.XLOOKUP(tblSales[[#This Row],[Product Code]],tblProducts[Code],tblProducts[Selling Price (excl. VAT)],0)</f>
        <v>45000</v>
      </c>
      <c r="K959" s="5">
        <f>tblSales[[#This Row],[Qty]]*tblSales[[#This Row],[Unit Price]]</f>
        <v>540000</v>
      </c>
      <c r="L959" s="5">
        <f>ROUND(tblSales[[#This Row],[DPP (excl. VAT)]]*VATEff,0)</f>
        <v>59400</v>
      </c>
      <c r="M959" s="5">
        <f>tblSales[[#This Row],[DPP (excl. VAT)]]+tblSales[[#This Row],[Output VAT]]</f>
        <v>599400</v>
      </c>
      <c r="N959" s="5">
        <f>tblSales[[#This Row],[Qty]]*_xlfn.XLOOKUP(tblSales[[#This Row],[Product Code]],tblProducts[Code],tblProducts[Unit Cost],0)</f>
        <v>288000</v>
      </c>
      <c r="O959" s="4" t="s">
        <v>4865</v>
      </c>
      <c r="P959" s="4" t="s">
        <v>4860</v>
      </c>
      <c r="Q959" s="1" t="str">
        <f>_xlfn.XLOOKUP(tblSales[[#This Row],[Channel Code]],tblChannels[Channel Code],tblChannels[Channel Name],"")</f>
        <v>In-store</v>
      </c>
      <c r="R959" s="1">
        <f>MONTH(tblSales[[#This Row],[Date]])</f>
        <v>3</v>
      </c>
    </row>
    <row r="960" spans="2:18" x14ac:dyDescent="0.35">
      <c r="B960" s="113">
        <v>46085</v>
      </c>
      <c r="C960" s="4" t="s">
        <v>672</v>
      </c>
      <c r="D960" s="4" t="s">
        <v>4568</v>
      </c>
      <c r="E960" s="1" t="str">
        <f>_xlfn.XLOOKUP(tblSales[[#This Row],[Customer ID]],tblCustomers[Customer ID],tblCustomers[Customer Name],"⚠ Unknown")</f>
        <v>Walk-in Customer</v>
      </c>
      <c r="F960" s="4" t="s">
        <v>11</v>
      </c>
      <c r="G960" s="1" t="str">
        <f>_xlfn.XLOOKUP(tblSales[[#This Row],[Product Code]],tblProducts[Code],tblProducts[Product / Service Name],"⚠ Unknown")</f>
        <v>Sneakers</v>
      </c>
      <c r="H960" s="1" t="str">
        <f>_xlfn.XLOOKUP(tblSales[[#This Row],[Product Code]],tblProducts[Code],tblProducts[Category],"")</f>
        <v>Apparel &amp; Footwear</v>
      </c>
      <c r="I960" s="4">
        <v>6</v>
      </c>
      <c r="J960" s="5">
        <f>_xlfn.XLOOKUP(tblSales[[#This Row],[Product Code]],tblProducts[Code],tblProducts[Selling Price (excl. VAT)],0)</f>
        <v>250000</v>
      </c>
      <c r="K960" s="5">
        <f>tblSales[[#This Row],[Qty]]*tblSales[[#This Row],[Unit Price]]</f>
        <v>1500000</v>
      </c>
      <c r="L960" s="5">
        <f>ROUND(tblSales[[#This Row],[DPP (excl. VAT)]]*VATEff,0)</f>
        <v>165000</v>
      </c>
      <c r="M960" s="5">
        <f>tblSales[[#This Row],[DPP (excl. VAT)]]+tblSales[[#This Row],[Output VAT]]</f>
        <v>1665000</v>
      </c>
      <c r="N960" s="5">
        <f>tblSales[[#This Row],[Qty]]*_xlfn.XLOOKUP(tblSales[[#This Row],[Product Code]],tblProducts[Code],tblProducts[Unit Cost],0)</f>
        <v>930000</v>
      </c>
      <c r="O960" s="4" t="s">
        <v>4865</v>
      </c>
      <c r="P960" s="4" t="s">
        <v>4860</v>
      </c>
      <c r="Q960" s="1" t="str">
        <f>_xlfn.XLOOKUP(tblSales[[#This Row],[Channel Code]],tblChannels[Channel Code],tblChannels[Channel Name],"")</f>
        <v>In-store</v>
      </c>
      <c r="R960" s="1">
        <f>MONTH(tblSales[[#This Row],[Date]])</f>
        <v>3</v>
      </c>
    </row>
    <row r="961" spans="2:18" x14ac:dyDescent="0.35">
      <c r="B961" s="113">
        <v>46085</v>
      </c>
      <c r="C961" s="4" t="s">
        <v>672</v>
      </c>
      <c r="D961" s="4" t="s">
        <v>4568</v>
      </c>
      <c r="E961" s="1" t="str">
        <f>_xlfn.XLOOKUP(tblSales[[#This Row],[Customer ID]],tblCustomers[Customer ID],tblCustomers[Customer Name],"⚠ Unknown")</f>
        <v>Walk-in Customer</v>
      </c>
      <c r="F961" s="4" t="s">
        <v>7</v>
      </c>
      <c r="G961" s="1" t="str">
        <f>_xlfn.XLOOKUP(tblSales[[#This Row],[Product Code]],tblProducts[Code],tblProducts[Product / Service Name],"⚠ Unknown")</f>
        <v>Premium Basic T-shirt</v>
      </c>
      <c r="H961" s="1" t="str">
        <f>_xlfn.XLOOKUP(tblSales[[#This Row],[Product Code]],tblProducts[Code],tblProducts[Category],"")</f>
        <v>Accessories &amp; Basics</v>
      </c>
      <c r="I961" s="4">
        <v>9</v>
      </c>
      <c r="J961" s="5">
        <f>_xlfn.XLOOKUP(tblSales[[#This Row],[Product Code]],tblProducts[Code],tblProducts[Selling Price (excl. VAT)],0)</f>
        <v>65000</v>
      </c>
      <c r="K961" s="5">
        <f>tblSales[[#This Row],[Qty]]*tblSales[[#This Row],[Unit Price]]</f>
        <v>585000</v>
      </c>
      <c r="L961" s="5">
        <f>ROUND(tblSales[[#This Row],[DPP (excl. VAT)]]*VATEff,0)</f>
        <v>64350</v>
      </c>
      <c r="M961" s="5">
        <f>tblSales[[#This Row],[DPP (excl. VAT)]]+tblSales[[#This Row],[Output VAT]]</f>
        <v>649350</v>
      </c>
      <c r="N961" s="5">
        <f>tblSales[[#This Row],[Qty]]*_xlfn.XLOOKUP(tblSales[[#This Row],[Product Code]],tblProducts[Code],tblProducts[Unit Cost],0)</f>
        <v>333000</v>
      </c>
      <c r="O961" s="4" t="s">
        <v>4865</v>
      </c>
      <c r="P961" s="4" t="s">
        <v>4860</v>
      </c>
      <c r="Q961" s="1" t="str">
        <f>_xlfn.XLOOKUP(tblSales[[#This Row],[Channel Code]],tblChannels[Channel Code],tblChannels[Channel Name],"")</f>
        <v>In-store</v>
      </c>
      <c r="R961" s="1">
        <f>MONTH(tblSales[[#This Row],[Date]])</f>
        <v>3</v>
      </c>
    </row>
    <row r="962" spans="2:18" x14ac:dyDescent="0.35">
      <c r="B962" s="113">
        <v>46085</v>
      </c>
      <c r="C962" s="4" t="s">
        <v>673</v>
      </c>
      <c r="D962" s="4" t="s">
        <v>4568</v>
      </c>
      <c r="E962" s="1" t="str">
        <f>_xlfn.XLOOKUP(tblSales[[#This Row],[Customer ID]],tblCustomers[Customer ID],tblCustomers[Customer Name],"⚠ Unknown")</f>
        <v>Walk-in Customer</v>
      </c>
      <c r="F962" s="4" t="s">
        <v>6</v>
      </c>
      <c r="G962" s="1" t="str">
        <f>_xlfn.XLOOKUP(tblSales[[#This Row],[Product Code]],tblProducts[Code],tblProducts[Product / Service Name],"⚠ Unknown")</f>
        <v>Socks &amp; Accessories</v>
      </c>
      <c r="H962" s="1" t="str">
        <f>_xlfn.XLOOKUP(tblSales[[#This Row],[Product Code]],tblProducts[Code],tblProducts[Category],"")</f>
        <v>Accessories &amp; Basics</v>
      </c>
      <c r="I962" s="4">
        <v>8</v>
      </c>
      <c r="J962" s="5">
        <f>_xlfn.XLOOKUP(tblSales[[#This Row],[Product Code]],tblProducts[Code],tblProducts[Selling Price (excl. VAT)],0)</f>
        <v>45000</v>
      </c>
      <c r="K962" s="5">
        <f>tblSales[[#This Row],[Qty]]*tblSales[[#This Row],[Unit Price]]</f>
        <v>360000</v>
      </c>
      <c r="L962" s="5">
        <f>ROUND(tblSales[[#This Row],[DPP (excl. VAT)]]*VATEff,0)</f>
        <v>39600</v>
      </c>
      <c r="M962" s="5">
        <f>tblSales[[#This Row],[DPP (excl. VAT)]]+tblSales[[#This Row],[Output VAT]]</f>
        <v>399600</v>
      </c>
      <c r="N962" s="5">
        <f>tblSales[[#This Row],[Qty]]*_xlfn.XLOOKUP(tblSales[[#This Row],[Product Code]],tblProducts[Code],tblProducts[Unit Cost],0)</f>
        <v>192000</v>
      </c>
      <c r="O962" s="4" t="s">
        <v>4866</v>
      </c>
      <c r="P962" s="4" t="s">
        <v>4861</v>
      </c>
      <c r="Q962" s="1" t="str">
        <f>_xlfn.XLOOKUP(tblSales[[#This Row],[Channel Code]],tblChannels[Channel Code],tblChannels[Channel Name],"")</f>
        <v>Marketplace</v>
      </c>
      <c r="R962" s="1">
        <f>MONTH(tblSales[[#This Row],[Date]])</f>
        <v>3</v>
      </c>
    </row>
    <row r="963" spans="2:18" x14ac:dyDescent="0.35">
      <c r="B963" s="113">
        <v>46085</v>
      </c>
      <c r="C963" s="4" t="s">
        <v>674</v>
      </c>
      <c r="D963" s="4" t="s">
        <v>4568</v>
      </c>
      <c r="E963" s="1" t="str">
        <f>_xlfn.XLOOKUP(tblSales[[#This Row],[Customer ID]],tblCustomers[Customer ID],tblCustomers[Customer Name],"⚠ Unknown")</f>
        <v>Walk-in Customer</v>
      </c>
      <c r="F963" s="4" t="s">
        <v>7</v>
      </c>
      <c r="G963" s="1" t="str">
        <f>_xlfn.XLOOKUP(tblSales[[#This Row],[Product Code]],tblProducts[Code],tblProducts[Product / Service Name],"⚠ Unknown")</f>
        <v>Premium Basic T-shirt</v>
      </c>
      <c r="H963" s="1" t="str">
        <f>_xlfn.XLOOKUP(tblSales[[#This Row],[Product Code]],tblProducts[Code],tblProducts[Category],"")</f>
        <v>Accessories &amp; Basics</v>
      </c>
      <c r="I963" s="4">
        <v>2</v>
      </c>
      <c r="J963" s="5">
        <f>_xlfn.XLOOKUP(tblSales[[#This Row],[Product Code]],tblProducts[Code],tblProducts[Selling Price (excl. VAT)],0)</f>
        <v>65000</v>
      </c>
      <c r="K963" s="5">
        <f>tblSales[[#This Row],[Qty]]*tblSales[[#This Row],[Unit Price]]</f>
        <v>130000</v>
      </c>
      <c r="L963" s="5">
        <f>ROUND(tblSales[[#This Row],[DPP (excl. VAT)]]*VATEff,0)</f>
        <v>14300</v>
      </c>
      <c r="M963" s="5">
        <f>tblSales[[#This Row],[DPP (excl. VAT)]]+tblSales[[#This Row],[Output VAT]]</f>
        <v>144300</v>
      </c>
      <c r="N963" s="5">
        <f>tblSales[[#This Row],[Qty]]*_xlfn.XLOOKUP(tblSales[[#This Row],[Product Code]],tblProducts[Code],tblProducts[Unit Cost],0)</f>
        <v>74000</v>
      </c>
      <c r="O963" s="4" t="s">
        <v>4866</v>
      </c>
      <c r="P963" s="4" t="s">
        <v>4860</v>
      </c>
      <c r="Q963" s="1" t="str">
        <f>_xlfn.XLOOKUP(tblSales[[#This Row],[Channel Code]],tblChannels[Channel Code],tblChannels[Channel Name],"")</f>
        <v>In-store</v>
      </c>
      <c r="R963" s="1">
        <f>MONTH(tblSales[[#This Row],[Date]])</f>
        <v>3</v>
      </c>
    </row>
    <row r="964" spans="2:18" x14ac:dyDescent="0.35">
      <c r="B964" s="113">
        <v>46085</v>
      </c>
      <c r="C964" s="4" t="s">
        <v>674</v>
      </c>
      <c r="D964" s="4" t="s">
        <v>4568</v>
      </c>
      <c r="E964" s="1" t="str">
        <f>_xlfn.XLOOKUP(tblSales[[#This Row],[Customer ID]],tblCustomers[Customer ID],tblCustomers[Customer Name],"⚠ Unknown")</f>
        <v>Walk-in Customer</v>
      </c>
      <c r="F964" s="4" t="s">
        <v>10</v>
      </c>
      <c r="G964" s="1" t="str">
        <f>_xlfn.XLOOKUP(tblSales[[#This Row],[Product Code]],tblProducts[Code],tblProducts[Product / Service Name],"⚠ Unknown")</f>
        <v>Chino Pants</v>
      </c>
      <c r="H964" s="1" t="str">
        <f>_xlfn.XLOOKUP(tblSales[[#This Row],[Product Code]],tblProducts[Code],tblProducts[Category],"")</f>
        <v>Apparel &amp; Footwear</v>
      </c>
      <c r="I964" s="4">
        <v>8</v>
      </c>
      <c r="J964" s="5">
        <f>_xlfn.XLOOKUP(tblSales[[#This Row],[Product Code]],tblProducts[Code],tblProducts[Selling Price (excl. VAT)],0)</f>
        <v>150000</v>
      </c>
      <c r="K964" s="5">
        <f>tblSales[[#This Row],[Qty]]*tblSales[[#This Row],[Unit Price]]</f>
        <v>1200000</v>
      </c>
      <c r="L964" s="5">
        <f>ROUND(tblSales[[#This Row],[DPP (excl. VAT)]]*VATEff,0)</f>
        <v>132000</v>
      </c>
      <c r="M964" s="5">
        <f>tblSales[[#This Row],[DPP (excl. VAT)]]+tblSales[[#This Row],[Output VAT]]</f>
        <v>1332000</v>
      </c>
      <c r="N964" s="5">
        <f>tblSales[[#This Row],[Qty]]*_xlfn.XLOOKUP(tblSales[[#This Row],[Product Code]],tblProducts[Code],tblProducts[Unit Cost],0)</f>
        <v>704000</v>
      </c>
      <c r="O964" s="4" t="s">
        <v>4866</v>
      </c>
      <c r="P964" s="4" t="s">
        <v>4860</v>
      </c>
      <c r="Q964" s="1" t="str">
        <f>_xlfn.XLOOKUP(tblSales[[#This Row],[Channel Code]],tblChannels[Channel Code],tblChannels[Channel Name],"")</f>
        <v>In-store</v>
      </c>
      <c r="R964" s="1">
        <f>MONTH(tblSales[[#This Row],[Date]])</f>
        <v>3</v>
      </c>
    </row>
    <row r="965" spans="2:18" x14ac:dyDescent="0.35">
      <c r="B965" s="113">
        <v>46085</v>
      </c>
      <c r="C965" s="4" t="s">
        <v>675</v>
      </c>
      <c r="D965" s="4" t="s">
        <v>4568</v>
      </c>
      <c r="E965" s="1" t="str">
        <f>_xlfn.XLOOKUP(tblSales[[#This Row],[Customer ID]],tblCustomers[Customer ID],tblCustomers[Customer Name],"⚠ Unknown")</f>
        <v>Walk-in Customer</v>
      </c>
      <c r="F965" s="4" t="s">
        <v>13</v>
      </c>
      <c r="G965" s="1" t="str">
        <f>_xlfn.XLOOKUP(tblSales[[#This Row],[Product Code]],tblProducts[Code],tblProducts[Product / Service Name],"⚠ Unknown")</f>
        <v>Backpack</v>
      </c>
      <c r="H965" s="1" t="str">
        <f>_xlfn.XLOOKUP(tblSales[[#This Row],[Product Code]],tblProducts[Code],tblProducts[Category],"")</f>
        <v>Bags &amp; Gadgets</v>
      </c>
      <c r="I965" s="4">
        <v>3</v>
      </c>
      <c r="J965" s="5">
        <f>_xlfn.XLOOKUP(tblSales[[#This Row],[Product Code]],tblProducts[Code],tblProducts[Selling Price (excl. VAT)],0)</f>
        <v>500000</v>
      </c>
      <c r="K965" s="5">
        <f>tblSales[[#This Row],[Qty]]*tblSales[[#This Row],[Unit Price]]</f>
        <v>1500000</v>
      </c>
      <c r="L965" s="5">
        <f>ROUND(tblSales[[#This Row],[DPP (excl. VAT)]]*VATEff,0)</f>
        <v>165000</v>
      </c>
      <c r="M965" s="5">
        <f>tblSales[[#This Row],[DPP (excl. VAT)]]+tblSales[[#This Row],[Output VAT]]</f>
        <v>1665000</v>
      </c>
      <c r="N965" s="5">
        <f>tblSales[[#This Row],[Qty]]*_xlfn.XLOOKUP(tblSales[[#This Row],[Product Code]],tblProducts[Code],tblProducts[Unit Cost],0)</f>
        <v>870000</v>
      </c>
      <c r="O965" s="4" t="s">
        <v>4865</v>
      </c>
      <c r="P965" s="4" t="s">
        <v>4860</v>
      </c>
      <c r="Q965" s="1" t="str">
        <f>_xlfn.XLOOKUP(tblSales[[#This Row],[Channel Code]],tblChannels[Channel Code],tblChannels[Channel Name],"")</f>
        <v>In-store</v>
      </c>
      <c r="R965" s="1">
        <f>MONTH(tblSales[[#This Row],[Date]])</f>
        <v>3</v>
      </c>
    </row>
    <row r="966" spans="2:18" x14ac:dyDescent="0.35">
      <c r="B966" s="113">
        <v>46085</v>
      </c>
      <c r="C966" s="4" t="s">
        <v>676</v>
      </c>
      <c r="D966" s="4" t="s">
        <v>4568</v>
      </c>
      <c r="E966" s="1" t="str">
        <f>_xlfn.XLOOKUP(tblSales[[#This Row],[Customer ID]],tblCustomers[Customer ID],tblCustomers[Customer Name],"⚠ Unknown")</f>
        <v>Walk-in Customer</v>
      </c>
      <c r="F966" s="4" t="s">
        <v>6</v>
      </c>
      <c r="G966" s="1" t="str">
        <f>_xlfn.XLOOKUP(tblSales[[#This Row],[Product Code]],tblProducts[Code],tblProducts[Product / Service Name],"⚠ Unknown")</f>
        <v>Socks &amp; Accessories</v>
      </c>
      <c r="H966" s="1" t="str">
        <f>_xlfn.XLOOKUP(tblSales[[#This Row],[Product Code]],tblProducts[Code],tblProducts[Category],"")</f>
        <v>Accessories &amp; Basics</v>
      </c>
      <c r="I966" s="4">
        <v>2</v>
      </c>
      <c r="J966" s="5">
        <f>_xlfn.XLOOKUP(tblSales[[#This Row],[Product Code]],tblProducts[Code],tblProducts[Selling Price (excl. VAT)],0)</f>
        <v>45000</v>
      </c>
      <c r="K966" s="5">
        <f>tblSales[[#This Row],[Qty]]*tblSales[[#This Row],[Unit Price]]</f>
        <v>90000</v>
      </c>
      <c r="L966" s="5">
        <f>ROUND(tblSales[[#This Row],[DPP (excl. VAT)]]*VATEff,0)</f>
        <v>9900</v>
      </c>
      <c r="M966" s="5">
        <f>tblSales[[#This Row],[DPP (excl. VAT)]]+tblSales[[#This Row],[Output VAT]]</f>
        <v>99900</v>
      </c>
      <c r="N966" s="5">
        <f>tblSales[[#This Row],[Qty]]*_xlfn.XLOOKUP(tblSales[[#This Row],[Product Code]],tblProducts[Code],tblProducts[Unit Cost],0)</f>
        <v>48000</v>
      </c>
      <c r="O966" s="4" t="s">
        <v>4866</v>
      </c>
      <c r="P966" s="4" t="s">
        <v>4862</v>
      </c>
      <c r="Q966" s="1" t="str">
        <f>_xlfn.XLOOKUP(tblSales[[#This Row],[Channel Code]],tblChannels[Channel Code],tblChannels[Channel Name],"")</f>
        <v>Website &amp; Social Media</v>
      </c>
      <c r="R966" s="1">
        <f>MONTH(tblSales[[#This Row],[Date]])</f>
        <v>3</v>
      </c>
    </row>
    <row r="967" spans="2:18" x14ac:dyDescent="0.35">
      <c r="B967" s="113">
        <v>46085</v>
      </c>
      <c r="C967" s="4" t="s">
        <v>676</v>
      </c>
      <c r="D967" s="4" t="s">
        <v>4568</v>
      </c>
      <c r="E967" s="1" t="str">
        <f>_xlfn.XLOOKUP(tblSales[[#This Row],[Customer ID]],tblCustomers[Customer ID],tblCustomers[Customer Name],"⚠ Unknown")</f>
        <v>Walk-in Customer</v>
      </c>
      <c r="F967" s="4" t="s">
        <v>15</v>
      </c>
      <c r="G967" s="1" t="str">
        <f>_xlfn.XLOOKUP(tblSales[[#This Row],[Product Code]],tblProducts[Code],tblProducts[Product / Service Name],"⚠ Unknown")</f>
        <v>Wireless Earbuds Pro</v>
      </c>
      <c r="H967" s="1" t="str">
        <f>_xlfn.XLOOKUP(tblSales[[#This Row],[Product Code]],tblProducts[Code],tblProducts[Category],"")</f>
        <v>Bags &amp; Gadgets</v>
      </c>
      <c r="I967" s="4">
        <v>2</v>
      </c>
      <c r="J967" s="5">
        <f>_xlfn.XLOOKUP(tblSales[[#This Row],[Product Code]],tblProducts[Code],tblProducts[Selling Price (excl. VAT)],0)</f>
        <v>1250000</v>
      </c>
      <c r="K967" s="5">
        <f>tblSales[[#This Row],[Qty]]*tblSales[[#This Row],[Unit Price]]</f>
        <v>2500000</v>
      </c>
      <c r="L967" s="5">
        <f>ROUND(tblSales[[#This Row],[DPP (excl. VAT)]]*VATEff,0)</f>
        <v>275000</v>
      </c>
      <c r="M967" s="5">
        <f>tblSales[[#This Row],[DPP (excl. VAT)]]+tblSales[[#This Row],[Output VAT]]</f>
        <v>2775000</v>
      </c>
      <c r="N967" s="5">
        <f>tblSales[[#This Row],[Qty]]*_xlfn.XLOOKUP(tblSales[[#This Row],[Product Code]],tblProducts[Code],tblProducts[Unit Cost],0)</f>
        <v>1640000</v>
      </c>
      <c r="O967" s="4" t="s">
        <v>4866</v>
      </c>
      <c r="P967" s="4" t="s">
        <v>4862</v>
      </c>
      <c r="Q967" s="1" t="str">
        <f>_xlfn.XLOOKUP(tblSales[[#This Row],[Channel Code]],tblChannels[Channel Code],tblChannels[Channel Name],"")</f>
        <v>Website &amp; Social Media</v>
      </c>
      <c r="R967" s="1">
        <f>MONTH(tblSales[[#This Row],[Date]])</f>
        <v>3</v>
      </c>
    </row>
    <row r="968" spans="2:18" x14ac:dyDescent="0.35">
      <c r="B968" s="113">
        <v>46085</v>
      </c>
      <c r="C968" s="4" t="s">
        <v>676</v>
      </c>
      <c r="D968" s="4" t="s">
        <v>4568</v>
      </c>
      <c r="E968" s="1" t="str">
        <f>_xlfn.XLOOKUP(tblSales[[#This Row],[Customer ID]],tblCustomers[Customer ID],tblCustomers[Customer Name],"⚠ Unknown")</f>
        <v>Walk-in Customer</v>
      </c>
      <c r="F968" s="4" t="s">
        <v>14</v>
      </c>
      <c r="G968" s="1" t="str">
        <f>_xlfn.XLOOKUP(tblSales[[#This Row],[Product Code]],tblProducts[Code],tblProducts[Product / Service Name],"⚠ Unknown")</f>
        <v>Smartwatch</v>
      </c>
      <c r="H968" s="1" t="str">
        <f>_xlfn.XLOOKUP(tblSales[[#This Row],[Product Code]],tblProducts[Code],tblProducts[Category],"")</f>
        <v>Bags &amp; Gadgets</v>
      </c>
      <c r="I968" s="4">
        <v>2</v>
      </c>
      <c r="J968" s="5">
        <f>_xlfn.XLOOKUP(tblSales[[#This Row],[Product Code]],tblProducts[Code],tblProducts[Selling Price (excl. VAT)],0)</f>
        <v>850000</v>
      </c>
      <c r="K968" s="5">
        <f>tblSales[[#This Row],[Qty]]*tblSales[[#This Row],[Unit Price]]</f>
        <v>1700000</v>
      </c>
      <c r="L968" s="5">
        <f>ROUND(tblSales[[#This Row],[DPP (excl. VAT)]]*VATEff,0)</f>
        <v>187000</v>
      </c>
      <c r="M968" s="5">
        <f>tblSales[[#This Row],[DPP (excl. VAT)]]+tblSales[[#This Row],[Output VAT]]</f>
        <v>1887000</v>
      </c>
      <c r="N968" s="5">
        <f>tblSales[[#This Row],[Qty]]*_xlfn.XLOOKUP(tblSales[[#This Row],[Product Code]],tblProducts[Code],tblProducts[Unit Cost],0)</f>
        <v>1120000</v>
      </c>
      <c r="O968" s="4" t="s">
        <v>4866</v>
      </c>
      <c r="P968" s="4" t="s">
        <v>4862</v>
      </c>
      <c r="Q968" s="1" t="str">
        <f>_xlfn.XLOOKUP(tblSales[[#This Row],[Channel Code]],tblChannels[Channel Code],tblChannels[Channel Name],"")</f>
        <v>Website &amp; Social Media</v>
      </c>
      <c r="R968" s="1">
        <f>MONTH(tblSales[[#This Row],[Date]])</f>
        <v>3</v>
      </c>
    </row>
    <row r="969" spans="2:18" x14ac:dyDescent="0.35">
      <c r="B969" s="113">
        <v>46085</v>
      </c>
      <c r="C969" s="4" t="s">
        <v>677</v>
      </c>
      <c r="D969" s="4" t="s">
        <v>4568</v>
      </c>
      <c r="E969" s="1" t="str">
        <f>_xlfn.XLOOKUP(tblSales[[#This Row],[Customer ID]],tblCustomers[Customer ID],tblCustomers[Customer Name],"⚠ Unknown")</f>
        <v>Walk-in Customer</v>
      </c>
      <c r="F969" s="4" t="s">
        <v>10</v>
      </c>
      <c r="G969" s="1" t="str">
        <f>_xlfn.XLOOKUP(tblSales[[#This Row],[Product Code]],tblProducts[Code],tblProducts[Product / Service Name],"⚠ Unknown")</f>
        <v>Chino Pants</v>
      </c>
      <c r="H969" s="1" t="str">
        <f>_xlfn.XLOOKUP(tblSales[[#This Row],[Product Code]],tblProducts[Code],tblProducts[Category],"")</f>
        <v>Apparel &amp; Footwear</v>
      </c>
      <c r="I969" s="4">
        <v>5</v>
      </c>
      <c r="J969" s="5">
        <f>_xlfn.XLOOKUP(tblSales[[#This Row],[Product Code]],tblProducts[Code],tblProducts[Selling Price (excl. VAT)],0)</f>
        <v>150000</v>
      </c>
      <c r="K969" s="5">
        <f>tblSales[[#This Row],[Qty]]*tblSales[[#This Row],[Unit Price]]</f>
        <v>750000</v>
      </c>
      <c r="L969" s="5">
        <f>ROUND(tblSales[[#This Row],[DPP (excl. VAT)]]*VATEff,0)</f>
        <v>82500</v>
      </c>
      <c r="M969" s="5">
        <f>tblSales[[#This Row],[DPP (excl. VAT)]]+tblSales[[#This Row],[Output VAT]]</f>
        <v>832500</v>
      </c>
      <c r="N969" s="5">
        <f>tblSales[[#This Row],[Qty]]*_xlfn.XLOOKUP(tblSales[[#This Row],[Product Code]],tblProducts[Code],tblProducts[Unit Cost],0)</f>
        <v>440000</v>
      </c>
      <c r="O969" s="4" t="s">
        <v>4866</v>
      </c>
      <c r="P969" s="4" t="s">
        <v>4861</v>
      </c>
      <c r="Q969" s="1" t="str">
        <f>_xlfn.XLOOKUP(tblSales[[#This Row],[Channel Code]],tblChannels[Channel Code],tblChannels[Channel Name],"")</f>
        <v>Marketplace</v>
      </c>
      <c r="R969" s="1">
        <f>MONTH(tblSales[[#This Row],[Date]])</f>
        <v>3</v>
      </c>
    </row>
    <row r="970" spans="2:18" x14ac:dyDescent="0.35">
      <c r="B970" s="113">
        <v>46085</v>
      </c>
      <c r="C970" s="4" t="s">
        <v>677</v>
      </c>
      <c r="D970" s="4" t="s">
        <v>4568</v>
      </c>
      <c r="E970" s="1" t="str">
        <f>_xlfn.XLOOKUP(tblSales[[#This Row],[Customer ID]],tblCustomers[Customer ID],tblCustomers[Customer Name],"⚠ Unknown")</f>
        <v>Walk-in Customer</v>
      </c>
      <c r="F970" s="4" t="s">
        <v>6</v>
      </c>
      <c r="G970" s="1" t="str">
        <f>_xlfn.XLOOKUP(tblSales[[#This Row],[Product Code]],tblProducts[Code],tblProducts[Product / Service Name],"⚠ Unknown")</f>
        <v>Socks &amp; Accessories</v>
      </c>
      <c r="H970" s="1" t="str">
        <f>_xlfn.XLOOKUP(tblSales[[#This Row],[Product Code]],tblProducts[Code],tblProducts[Category],"")</f>
        <v>Accessories &amp; Basics</v>
      </c>
      <c r="I970" s="4">
        <v>8</v>
      </c>
      <c r="J970" s="5">
        <f>_xlfn.XLOOKUP(tblSales[[#This Row],[Product Code]],tblProducts[Code],tblProducts[Selling Price (excl. VAT)],0)</f>
        <v>45000</v>
      </c>
      <c r="K970" s="5">
        <f>tblSales[[#This Row],[Qty]]*tblSales[[#This Row],[Unit Price]]</f>
        <v>360000</v>
      </c>
      <c r="L970" s="5">
        <f>ROUND(tblSales[[#This Row],[DPP (excl. VAT)]]*VATEff,0)</f>
        <v>39600</v>
      </c>
      <c r="M970" s="5">
        <f>tblSales[[#This Row],[DPP (excl. VAT)]]+tblSales[[#This Row],[Output VAT]]</f>
        <v>399600</v>
      </c>
      <c r="N970" s="5">
        <f>tblSales[[#This Row],[Qty]]*_xlfn.XLOOKUP(tblSales[[#This Row],[Product Code]],tblProducts[Code],tblProducts[Unit Cost],0)</f>
        <v>192000</v>
      </c>
      <c r="O970" s="4" t="s">
        <v>4866</v>
      </c>
      <c r="P970" s="4" t="s">
        <v>4861</v>
      </c>
      <c r="Q970" s="1" t="str">
        <f>_xlfn.XLOOKUP(tblSales[[#This Row],[Channel Code]],tblChannels[Channel Code],tblChannels[Channel Name],"")</f>
        <v>Marketplace</v>
      </c>
      <c r="R970" s="1">
        <f>MONTH(tblSales[[#This Row],[Date]])</f>
        <v>3</v>
      </c>
    </row>
    <row r="971" spans="2:18" x14ac:dyDescent="0.35">
      <c r="B971" s="113">
        <v>46085</v>
      </c>
      <c r="C971" s="4" t="s">
        <v>678</v>
      </c>
      <c r="D971" s="4" t="s">
        <v>4568</v>
      </c>
      <c r="E971" s="1" t="str">
        <f>_xlfn.XLOOKUP(tblSales[[#This Row],[Customer ID]],tblCustomers[Customer ID],tblCustomers[Customer Name],"⚠ Unknown")</f>
        <v>Walk-in Customer</v>
      </c>
      <c r="F971" s="4" t="s">
        <v>6</v>
      </c>
      <c r="G971" s="1" t="str">
        <f>_xlfn.XLOOKUP(tblSales[[#This Row],[Product Code]],tblProducts[Code],tblProducts[Product / Service Name],"⚠ Unknown")</f>
        <v>Socks &amp; Accessories</v>
      </c>
      <c r="H971" s="1" t="str">
        <f>_xlfn.XLOOKUP(tblSales[[#This Row],[Product Code]],tblProducts[Code],tblProducts[Category],"")</f>
        <v>Accessories &amp; Basics</v>
      </c>
      <c r="I971" s="4">
        <v>11</v>
      </c>
      <c r="J971" s="5">
        <f>_xlfn.XLOOKUP(tblSales[[#This Row],[Product Code]],tblProducts[Code],tblProducts[Selling Price (excl. VAT)],0)</f>
        <v>45000</v>
      </c>
      <c r="K971" s="5">
        <f>tblSales[[#This Row],[Qty]]*tblSales[[#This Row],[Unit Price]]</f>
        <v>495000</v>
      </c>
      <c r="L971" s="5">
        <f>ROUND(tblSales[[#This Row],[DPP (excl. VAT)]]*VATEff,0)</f>
        <v>54450</v>
      </c>
      <c r="M971" s="5">
        <f>tblSales[[#This Row],[DPP (excl. VAT)]]+tblSales[[#This Row],[Output VAT]]</f>
        <v>549450</v>
      </c>
      <c r="N971" s="5">
        <f>tblSales[[#This Row],[Qty]]*_xlfn.XLOOKUP(tblSales[[#This Row],[Product Code]],tblProducts[Code],tblProducts[Unit Cost],0)</f>
        <v>264000</v>
      </c>
      <c r="O971" s="4" t="s">
        <v>4866</v>
      </c>
      <c r="P971" s="4" t="s">
        <v>4861</v>
      </c>
      <c r="Q971" s="1" t="str">
        <f>_xlfn.XLOOKUP(tblSales[[#This Row],[Channel Code]],tblChannels[Channel Code],tblChannels[Channel Name],"")</f>
        <v>Marketplace</v>
      </c>
      <c r="R971" s="1">
        <f>MONTH(tblSales[[#This Row],[Date]])</f>
        <v>3</v>
      </c>
    </row>
    <row r="972" spans="2:18" x14ac:dyDescent="0.35">
      <c r="B972" s="113">
        <v>46085</v>
      </c>
      <c r="C972" s="4" t="s">
        <v>679</v>
      </c>
      <c r="D972" s="4" t="s">
        <v>4627</v>
      </c>
      <c r="E972" s="1" t="str">
        <f>_xlfn.XLOOKUP(tblSales[[#This Row],[Customer ID]],tblCustomers[Customer ID],tblCustomers[Customer Name],"⚠ Unknown")</f>
        <v>PT Kencana Wira Usaha</v>
      </c>
      <c r="F972" s="4" t="s">
        <v>8</v>
      </c>
      <c r="G972" s="1" t="str">
        <f>_xlfn.XLOOKUP(tblSales[[#This Row],[Product Code]],tblProducts[Code],tblProducts[Product / Service Name],"⚠ Unknown")</f>
        <v>Casual Shorts</v>
      </c>
      <c r="H972" s="1" t="str">
        <f>_xlfn.XLOOKUP(tblSales[[#This Row],[Product Code]],tblProducts[Code],tblProducts[Category],"")</f>
        <v>Accessories &amp; Basics</v>
      </c>
      <c r="I972" s="4">
        <v>56</v>
      </c>
      <c r="J972" s="5">
        <f>_xlfn.XLOOKUP(tblSales[[#This Row],[Product Code]],tblProducts[Code],tblProducts[Selling Price (excl. VAT)],0)</f>
        <v>85000</v>
      </c>
      <c r="K972" s="5">
        <f>tblSales[[#This Row],[Qty]]*tblSales[[#This Row],[Unit Price]]</f>
        <v>4760000</v>
      </c>
      <c r="L972" s="5">
        <f>ROUND(tblSales[[#This Row],[DPP (excl. VAT)]]*VATEff,0)</f>
        <v>523600</v>
      </c>
      <c r="M972" s="5">
        <f>tblSales[[#This Row],[DPP (excl. VAT)]]+tblSales[[#This Row],[Output VAT]]</f>
        <v>5283600</v>
      </c>
      <c r="N972" s="5">
        <f>tblSales[[#This Row],[Qty]]*_xlfn.XLOOKUP(tblSales[[#This Row],[Product Code]],tblProducts[Code],tblProducts[Unit Cost],0)</f>
        <v>2800000</v>
      </c>
      <c r="O972" s="4" t="s">
        <v>4867</v>
      </c>
      <c r="P972" s="4" t="s">
        <v>4860</v>
      </c>
      <c r="Q972" s="1" t="str">
        <f>_xlfn.XLOOKUP(tblSales[[#This Row],[Channel Code]],tblChannels[Channel Code],tblChannels[Channel Name],"")</f>
        <v>In-store</v>
      </c>
      <c r="R972" s="1">
        <f>MONTH(tblSales[[#This Row],[Date]])</f>
        <v>3</v>
      </c>
    </row>
    <row r="973" spans="2:18" x14ac:dyDescent="0.35">
      <c r="B973" s="113">
        <v>46085</v>
      </c>
      <c r="C973" s="4" t="s">
        <v>680</v>
      </c>
      <c r="D973" s="4" t="s">
        <v>4568</v>
      </c>
      <c r="E973" s="1" t="str">
        <f>_xlfn.XLOOKUP(tblSales[[#This Row],[Customer ID]],tblCustomers[Customer ID],tblCustomers[Customer Name],"⚠ Unknown")</f>
        <v>Walk-in Customer</v>
      </c>
      <c r="F973" s="4" t="s">
        <v>6</v>
      </c>
      <c r="G973" s="1" t="str">
        <f>_xlfn.XLOOKUP(tblSales[[#This Row],[Product Code]],tblProducts[Code],tblProducts[Product / Service Name],"⚠ Unknown")</f>
        <v>Socks &amp; Accessories</v>
      </c>
      <c r="H973" s="1" t="str">
        <f>_xlfn.XLOOKUP(tblSales[[#This Row],[Product Code]],tblProducts[Code],tblProducts[Category],"")</f>
        <v>Accessories &amp; Basics</v>
      </c>
      <c r="I973" s="4">
        <v>6</v>
      </c>
      <c r="J973" s="5">
        <f>_xlfn.XLOOKUP(tblSales[[#This Row],[Product Code]],tblProducts[Code],tblProducts[Selling Price (excl. VAT)],0)</f>
        <v>45000</v>
      </c>
      <c r="K973" s="5">
        <f>tblSales[[#This Row],[Qty]]*tblSales[[#This Row],[Unit Price]]</f>
        <v>270000</v>
      </c>
      <c r="L973" s="5">
        <f>ROUND(tblSales[[#This Row],[DPP (excl. VAT)]]*VATEff,0)</f>
        <v>29700</v>
      </c>
      <c r="M973" s="5">
        <f>tblSales[[#This Row],[DPP (excl. VAT)]]+tblSales[[#This Row],[Output VAT]]</f>
        <v>299700</v>
      </c>
      <c r="N973" s="5">
        <f>tblSales[[#This Row],[Qty]]*_xlfn.XLOOKUP(tblSales[[#This Row],[Product Code]],tblProducts[Code],tblProducts[Unit Cost],0)</f>
        <v>144000</v>
      </c>
      <c r="O973" s="4" t="s">
        <v>4866</v>
      </c>
      <c r="P973" s="4" t="s">
        <v>4862</v>
      </c>
      <c r="Q973" s="1" t="str">
        <f>_xlfn.XLOOKUP(tblSales[[#This Row],[Channel Code]],tblChannels[Channel Code],tblChannels[Channel Name],"")</f>
        <v>Website &amp; Social Media</v>
      </c>
      <c r="R973" s="1">
        <f>MONTH(tblSales[[#This Row],[Date]])</f>
        <v>3</v>
      </c>
    </row>
    <row r="974" spans="2:18" x14ac:dyDescent="0.35">
      <c r="B974" s="113">
        <v>46085</v>
      </c>
      <c r="C974" s="4" t="s">
        <v>680</v>
      </c>
      <c r="D974" s="4" t="s">
        <v>4568</v>
      </c>
      <c r="E974" s="1" t="str">
        <f>_xlfn.XLOOKUP(tblSales[[#This Row],[Customer ID]],tblCustomers[Customer ID],tblCustomers[Customer Name],"⚠ Unknown")</f>
        <v>Walk-in Customer</v>
      </c>
      <c r="F974" s="4" t="s">
        <v>11</v>
      </c>
      <c r="G974" s="1" t="str">
        <f>_xlfn.XLOOKUP(tblSales[[#This Row],[Product Code]],tblProducts[Code],tblProducts[Product / Service Name],"⚠ Unknown")</f>
        <v>Sneakers</v>
      </c>
      <c r="H974" s="1" t="str">
        <f>_xlfn.XLOOKUP(tblSales[[#This Row],[Product Code]],tblProducts[Code],tblProducts[Category],"")</f>
        <v>Apparel &amp; Footwear</v>
      </c>
      <c r="I974" s="4">
        <v>6</v>
      </c>
      <c r="J974" s="5">
        <f>_xlfn.XLOOKUP(tblSales[[#This Row],[Product Code]],tblProducts[Code],tblProducts[Selling Price (excl. VAT)],0)</f>
        <v>250000</v>
      </c>
      <c r="K974" s="5">
        <f>tblSales[[#This Row],[Qty]]*tblSales[[#This Row],[Unit Price]]</f>
        <v>1500000</v>
      </c>
      <c r="L974" s="5">
        <f>ROUND(tblSales[[#This Row],[DPP (excl. VAT)]]*VATEff,0)</f>
        <v>165000</v>
      </c>
      <c r="M974" s="5">
        <f>tblSales[[#This Row],[DPP (excl. VAT)]]+tblSales[[#This Row],[Output VAT]]</f>
        <v>1665000</v>
      </c>
      <c r="N974" s="5">
        <f>tblSales[[#This Row],[Qty]]*_xlfn.XLOOKUP(tblSales[[#This Row],[Product Code]],tblProducts[Code],tblProducts[Unit Cost],0)</f>
        <v>930000</v>
      </c>
      <c r="O974" s="4" t="s">
        <v>4866</v>
      </c>
      <c r="P974" s="4" t="s">
        <v>4862</v>
      </c>
      <c r="Q974" s="1" t="str">
        <f>_xlfn.XLOOKUP(tblSales[[#This Row],[Channel Code]],tblChannels[Channel Code],tblChannels[Channel Name],"")</f>
        <v>Website &amp; Social Media</v>
      </c>
      <c r="R974" s="1">
        <f>MONTH(tblSales[[#This Row],[Date]])</f>
        <v>3</v>
      </c>
    </row>
    <row r="975" spans="2:18" x14ac:dyDescent="0.35">
      <c r="B975" s="113">
        <v>46085</v>
      </c>
      <c r="C975" s="4" t="s">
        <v>681</v>
      </c>
      <c r="D975" s="4" t="s">
        <v>4634</v>
      </c>
      <c r="E975" s="1" t="str">
        <f>_xlfn.XLOOKUP(tblSales[[#This Row],[Customer ID]],tblCustomers[Customer ID],tblCustomers[Customer Name],"⚠ Unknown")</f>
        <v>PT Delta Inti Selaras</v>
      </c>
      <c r="F975" s="4" t="s">
        <v>9</v>
      </c>
      <c r="G975" s="1" t="str">
        <f>_xlfn.XLOOKUP(tblSales[[#This Row],[Product Code]],tblProducts[Code],tblProducts[Product / Service Name],"⚠ Unknown")</f>
        <v>Casual Shirt</v>
      </c>
      <c r="H975" s="1" t="str">
        <f>_xlfn.XLOOKUP(tblSales[[#This Row],[Product Code]],tblProducts[Code],tblProducts[Category],"")</f>
        <v>Apparel &amp; Footwear</v>
      </c>
      <c r="I975" s="4">
        <v>56</v>
      </c>
      <c r="J975" s="5">
        <f>_xlfn.XLOOKUP(tblSales[[#This Row],[Product Code]],tblProducts[Code],tblProducts[Selling Price (excl. VAT)],0)</f>
        <v>120000</v>
      </c>
      <c r="K975" s="5">
        <f>tblSales[[#This Row],[Qty]]*tblSales[[#This Row],[Unit Price]]</f>
        <v>6720000</v>
      </c>
      <c r="L975" s="5">
        <f>ROUND(tblSales[[#This Row],[DPP (excl. VAT)]]*VATEff,0)</f>
        <v>739200</v>
      </c>
      <c r="M975" s="5">
        <f>tblSales[[#This Row],[DPP (excl. VAT)]]+tblSales[[#This Row],[Output VAT]]</f>
        <v>7459200</v>
      </c>
      <c r="N975" s="5">
        <f>tblSales[[#This Row],[Qty]]*_xlfn.XLOOKUP(tblSales[[#This Row],[Product Code]],tblProducts[Code],tblProducts[Unit Cost],0)</f>
        <v>4032000</v>
      </c>
      <c r="O975" s="4" t="s">
        <v>4867</v>
      </c>
      <c r="P975" s="4" t="s">
        <v>4860</v>
      </c>
      <c r="Q975" s="1" t="str">
        <f>_xlfn.XLOOKUP(tblSales[[#This Row],[Channel Code]],tblChannels[Channel Code],tblChannels[Channel Name],"")</f>
        <v>In-store</v>
      </c>
      <c r="R975" s="1">
        <f>MONTH(tblSales[[#This Row],[Date]])</f>
        <v>3</v>
      </c>
    </row>
    <row r="976" spans="2:18" x14ac:dyDescent="0.35">
      <c r="B976" s="113">
        <v>46085</v>
      </c>
      <c r="C976" s="4" t="s">
        <v>681</v>
      </c>
      <c r="D976" s="4" t="s">
        <v>4634</v>
      </c>
      <c r="E976" s="1" t="str">
        <f>_xlfn.XLOOKUP(tblSales[[#This Row],[Customer ID]],tblCustomers[Customer ID],tblCustomers[Customer Name],"⚠ Unknown")</f>
        <v>PT Delta Inti Selaras</v>
      </c>
      <c r="F976" s="4" t="s">
        <v>7</v>
      </c>
      <c r="G976" s="1" t="str">
        <f>_xlfn.XLOOKUP(tblSales[[#This Row],[Product Code]],tblProducts[Code],tblProducts[Product / Service Name],"⚠ Unknown")</f>
        <v>Premium Basic T-shirt</v>
      </c>
      <c r="H976" s="1" t="str">
        <f>_xlfn.XLOOKUP(tblSales[[#This Row],[Product Code]],tblProducts[Code],tblProducts[Category],"")</f>
        <v>Accessories &amp; Basics</v>
      </c>
      <c r="I976" s="4">
        <v>64</v>
      </c>
      <c r="J976" s="5">
        <f>_xlfn.XLOOKUP(tblSales[[#This Row],[Product Code]],tblProducts[Code],tblProducts[Selling Price (excl. VAT)],0)</f>
        <v>65000</v>
      </c>
      <c r="K976" s="5">
        <f>tblSales[[#This Row],[Qty]]*tblSales[[#This Row],[Unit Price]]</f>
        <v>4160000</v>
      </c>
      <c r="L976" s="5">
        <f>ROUND(tblSales[[#This Row],[DPP (excl. VAT)]]*VATEff,0)</f>
        <v>457600</v>
      </c>
      <c r="M976" s="5">
        <f>tblSales[[#This Row],[DPP (excl. VAT)]]+tblSales[[#This Row],[Output VAT]]</f>
        <v>4617600</v>
      </c>
      <c r="N976" s="5">
        <f>tblSales[[#This Row],[Qty]]*_xlfn.XLOOKUP(tblSales[[#This Row],[Product Code]],tblProducts[Code],tblProducts[Unit Cost],0)</f>
        <v>2368000</v>
      </c>
      <c r="O976" s="4" t="s">
        <v>4867</v>
      </c>
      <c r="P976" s="4" t="s">
        <v>4860</v>
      </c>
      <c r="Q976" s="1" t="str">
        <f>_xlfn.XLOOKUP(tblSales[[#This Row],[Channel Code]],tblChannels[Channel Code],tblChannels[Channel Name],"")</f>
        <v>In-store</v>
      </c>
      <c r="R976" s="1">
        <f>MONTH(tblSales[[#This Row],[Date]])</f>
        <v>3</v>
      </c>
    </row>
    <row r="977" spans="2:18" x14ac:dyDescent="0.35">
      <c r="B977" s="113">
        <v>46085</v>
      </c>
      <c r="C977" s="4" t="s">
        <v>682</v>
      </c>
      <c r="D977" s="4" t="s">
        <v>4568</v>
      </c>
      <c r="E977" s="1" t="str">
        <f>_xlfn.XLOOKUP(tblSales[[#This Row],[Customer ID]],tblCustomers[Customer ID],tblCustomers[Customer Name],"⚠ Unknown")</f>
        <v>Walk-in Customer</v>
      </c>
      <c r="F977" s="4" t="s">
        <v>13</v>
      </c>
      <c r="G977" s="1" t="str">
        <f>_xlfn.XLOOKUP(tblSales[[#This Row],[Product Code]],tblProducts[Code],tblProducts[Product / Service Name],"⚠ Unknown")</f>
        <v>Backpack</v>
      </c>
      <c r="H977" s="1" t="str">
        <f>_xlfn.XLOOKUP(tblSales[[#This Row],[Product Code]],tblProducts[Code],tblProducts[Category],"")</f>
        <v>Bags &amp; Gadgets</v>
      </c>
      <c r="I977" s="4">
        <v>3</v>
      </c>
      <c r="J977" s="5">
        <f>_xlfn.XLOOKUP(tblSales[[#This Row],[Product Code]],tblProducts[Code],tblProducts[Selling Price (excl. VAT)],0)</f>
        <v>500000</v>
      </c>
      <c r="K977" s="5">
        <f>tblSales[[#This Row],[Qty]]*tblSales[[#This Row],[Unit Price]]</f>
        <v>1500000</v>
      </c>
      <c r="L977" s="5">
        <f>ROUND(tblSales[[#This Row],[DPP (excl. VAT)]]*VATEff,0)</f>
        <v>165000</v>
      </c>
      <c r="M977" s="5">
        <f>tblSales[[#This Row],[DPP (excl. VAT)]]+tblSales[[#This Row],[Output VAT]]</f>
        <v>1665000</v>
      </c>
      <c r="N977" s="5">
        <f>tblSales[[#This Row],[Qty]]*_xlfn.XLOOKUP(tblSales[[#This Row],[Product Code]],tblProducts[Code],tblProducts[Unit Cost],0)</f>
        <v>870000</v>
      </c>
      <c r="O977" s="4" t="s">
        <v>4865</v>
      </c>
      <c r="P977" s="4" t="s">
        <v>4860</v>
      </c>
      <c r="Q977" s="1" t="str">
        <f>_xlfn.XLOOKUP(tblSales[[#This Row],[Channel Code]],tblChannels[Channel Code],tblChannels[Channel Name],"")</f>
        <v>In-store</v>
      </c>
      <c r="R977" s="1">
        <f>MONTH(tblSales[[#This Row],[Date]])</f>
        <v>3</v>
      </c>
    </row>
    <row r="978" spans="2:18" x14ac:dyDescent="0.35">
      <c r="B978" s="113">
        <v>46085</v>
      </c>
      <c r="C978" s="4" t="s">
        <v>682</v>
      </c>
      <c r="D978" s="4" t="s">
        <v>4568</v>
      </c>
      <c r="E978" s="1" t="str">
        <f>_xlfn.XLOOKUP(tblSales[[#This Row],[Customer ID]],tblCustomers[Customer ID],tblCustomers[Customer Name],"⚠ Unknown")</f>
        <v>Walk-in Customer</v>
      </c>
      <c r="F978" s="4" t="s">
        <v>9</v>
      </c>
      <c r="G978" s="1" t="str">
        <f>_xlfn.XLOOKUP(tblSales[[#This Row],[Product Code]],tblProducts[Code],tblProducts[Product / Service Name],"⚠ Unknown")</f>
        <v>Casual Shirt</v>
      </c>
      <c r="H978" s="1" t="str">
        <f>_xlfn.XLOOKUP(tblSales[[#This Row],[Product Code]],tblProducts[Code],tblProducts[Category],"")</f>
        <v>Apparel &amp; Footwear</v>
      </c>
      <c r="I978" s="4">
        <v>12</v>
      </c>
      <c r="J978" s="5">
        <f>_xlfn.XLOOKUP(tblSales[[#This Row],[Product Code]],tblProducts[Code],tblProducts[Selling Price (excl. VAT)],0)</f>
        <v>120000</v>
      </c>
      <c r="K978" s="5">
        <f>tblSales[[#This Row],[Qty]]*tblSales[[#This Row],[Unit Price]]</f>
        <v>1440000</v>
      </c>
      <c r="L978" s="5">
        <f>ROUND(tblSales[[#This Row],[DPP (excl. VAT)]]*VATEff,0)</f>
        <v>158400</v>
      </c>
      <c r="M978" s="5">
        <f>tblSales[[#This Row],[DPP (excl. VAT)]]+tblSales[[#This Row],[Output VAT]]</f>
        <v>1598400</v>
      </c>
      <c r="N978" s="5">
        <f>tblSales[[#This Row],[Qty]]*_xlfn.XLOOKUP(tblSales[[#This Row],[Product Code]],tblProducts[Code],tblProducts[Unit Cost],0)</f>
        <v>864000</v>
      </c>
      <c r="O978" s="4" t="s">
        <v>4865</v>
      </c>
      <c r="P978" s="4" t="s">
        <v>4860</v>
      </c>
      <c r="Q978" s="1" t="str">
        <f>_xlfn.XLOOKUP(tblSales[[#This Row],[Channel Code]],tblChannels[Channel Code],tblChannels[Channel Name],"")</f>
        <v>In-store</v>
      </c>
      <c r="R978" s="1">
        <f>MONTH(tblSales[[#This Row],[Date]])</f>
        <v>3</v>
      </c>
    </row>
    <row r="979" spans="2:18" x14ac:dyDescent="0.35">
      <c r="B979" s="113">
        <v>46085</v>
      </c>
      <c r="C979" s="4" t="s">
        <v>682</v>
      </c>
      <c r="D979" s="4" t="s">
        <v>4568</v>
      </c>
      <c r="E979" s="1" t="str">
        <f>_xlfn.XLOOKUP(tblSales[[#This Row],[Customer ID]],tblCustomers[Customer ID],tblCustomers[Customer Name],"⚠ Unknown")</f>
        <v>Walk-in Customer</v>
      </c>
      <c r="F979" s="4" t="s">
        <v>11</v>
      </c>
      <c r="G979" s="1" t="str">
        <f>_xlfn.XLOOKUP(tblSales[[#This Row],[Product Code]],tblProducts[Code],tblProducts[Product / Service Name],"⚠ Unknown")</f>
        <v>Sneakers</v>
      </c>
      <c r="H979" s="1" t="str">
        <f>_xlfn.XLOOKUP(tblSales[[#This Row],[Product Code]],tblProducts[Code],tblProducts[Category],"")</f>
        <v>Apparel &amp; Footwear</v>
      </c>
      <c r="I979" s="4">
        <v>1</v>
      </c>
      <c r="J979" s="5">
        <f>_xlfn.XLOOKUP(tblSales[[#This Row],[Product Code]],tblProducts[Code],tblProducts[Selling Price (excl. VAT)],0)</f>
        <v>250000</v>
      </c>
      <c r="K979" s="5">
        <f>tblSales[[#This Row],[Qty]]*tblSales[[#This Row],[Unit Price]]</f>
        <v>250000</v>
      </c>
      <c r="L979" s="5">
        <f>ROUND(tblSales[[#This Row],[DPP (excl. VAT)]]*VATEff,0)</f>
        <v>27500</v>
      </c>
      <c r="M979" s="5">
        <f>tblSales[[#This Row],[DPP (excl. VAT)]]+tblSales[[#This Row],[Output VAT]]</f>
        <v>277500</v>
      </c>
      <c r="N979" s="5">
        <f>tblSales[[#This Row],[Qty]]*_xlfn.XLOOKUP(tblSales[[#This Row],[Product Code]],tblProducts[Code],tblProducts[Unit Cost],0)</f>
        <v>155000</v>
      </c>
      <c r="O979" s="4" t="s">
        <v>4865</v>
      </c>
      <c r="P979" s="4" t="s">
        <v>4860</v>
      </c>
      <c r="Q979" s="1" t="str">
        <f>_xlfn.XLOOKUP(tblSales[[#This Row],[Channel Code]],tblChannels[Channel Code],tblChannels[Channel Name],"")</f>
        <v>In-store</v>
      </c>
      <c r="R979" s="1">
        <f>MONTH(tblSales[[#This Row],[Date]])</f>
        <v>3</v>
      </c>
    </row>
    <row r="980" spans="2:18" x14ac:dyDescent="0.35">
      <c r="B980" s="113">
        <v>46086</v>
      </c>
      <c r="C980" s="4" t="s">
        <v>683</v>
      </c>
      <c r="D980" s="4" t="s">
        <v>4585</v>
      </c>
      <c r="E980" s="1" t="str">
        <f>_xlfn.XLOOKUP(tblSales[[#This Row],[Customer ID]],tblCustomers[Customer ID],tblCustomers[Customer Name],"⚠ Unknown")</f>
        <v>CV Mitra Karya Mandiri</v>
      </c>
      <c r="F980" s="4" t="s">
        <v>8</v>
      </c>
      <c r="G980" s="1" t="str">
        <f>_xlfn.XLOOKUP(tblSales[[#This Row],[Product Code]],tblProducts[Code],tblProducts[Product / Service Name],"⚠ Unknown")</f>
        <v>Casual Shorts</v>
      </c>
      <c r="H980" s="1" t="str">
        <f>_xlfn.XLOOKUP(tblSales[[#This Row],[Product Code]],tblProducts[Code],tblProducts[Category],"")</f>
        <v>Accessories &amp; Basics</v>
      </c>
      <c r="I980" s="4">
        <v>56</v>
      </c>
      <c r="J980" s="5">
        <f>_xlfn.XLOOKUP(tblSales[[#This Row],[Product Code]],tblProducts[Code],tblProducts[Selling Price (excl. VAT)],0)</f>
        <v>85000</v>
      </c>
      <c r="K980" s="5">
        <f>tblSales[[#This Row],[Qty]]*tblSales[[#This Row],[Unit Price]]</f>
        <v>4760000</v>
      </c>
      <c r="L980" s="5">
        <f>ROUND(tblSales[[#This Row],[DPP (excl. VAT)]]*VATEff,0)</f>
        <v>523600</v>
      </c>
      <c r="M980" s="5">
        <f>tblSales[[#This Row],[DPP (excl. VAT)]]+tblSales[[#This Row],[Output VAT]]</f>
        <v>5283600</v>
      </c>
      <c r="N980" s="5">
        <f>tblSales[[#This Row],[Qty]]*_xlfn.XLOOKUP(tblSales[[#This Row],[Product Code]],tblProducts[Code],tblProducts[Unit Cost],0)</f>
        <v>2800000</v>
      </c>
      <c r="O980" s="4" t="s">
        <v>4867</v>
      </c>
      <c r="P980" s="4" t="s">
        <v>4860</v>
      </c>
      <c r="Q980" s="1" t="str">
        <f>_xlfn.XLOOKUP(tblSales[[#This Row],[Channel Code]],tblChannels[Channel Code],tblChannels[Channel Name],"")</f>
        <v>In-store</v>
      </c>
      <c r="R980" s="1">
        <f>MONTH(tblSales[[#This Row],[Date]])</f>
        <v>3</v>
      </c>
    </row>
    <row r="981" spans="2:18" x14ac:dyDescent="0.35">
      <c r="B981" s="113">
        <v>46086</v>
      </c>
      <c r="C981" s="4" t="s">
        <v>684</v>
      </c>
      <c r="D981" s="4" t="s">
        <v>4568</v>
      </c>
      <c r="E981" s="1" t="str">
        <f>_xlfn.XLOOKUP(tblSales[[#This Row],[Customer ID]],tblCustomers[Customer ID],tblCustomers[Customer Name],"⚠ Unknown")</f>
        <v>Walk-in Customer</v>
      </c>
      <c r="F981" s="4" t="s">
        <v>10</v>
      </c>
      <c r="G981" s="1" t="str">
        <f>_xlfn.XLOOKUP(tblSales[[#This Row],[Product Code]],tblProducts[Code],tblProducts[Product / Service Name],"⚠ Unknown")</f>
        <v>Chino Pants</v>
      </c>
      <c r="H981" s="1" t="str">
        <f>_xlfn.XLOOKUP(tblSales[[#This Row],[Product Code]],tblProducts[Code],tblProducts[Category],"")</f>
        <v>Apparel &amp; Footwear</v>
      </c>
      <c r="I981" s="4">
        <v>2</v>
      </c>
      <c r="J981" s="5">
        <f>_xlfn.XLOOKUP(tblSales[[#This Row],[Product Code]],tblProducts[Code],tblProducts[Selling Price (excl. VAT)],0)</f>
        <v>150000</v>
      </c>
      <c r="K981" s="5">
        <f>tblSales[[#This Row],[Qty]]*tblSales[[#This Row],[Unit Price]]</f>
        <v>300000</v>
      </c>
      <c r="L981" s="5">
        <f>ROUND(tblSales[[#This Row],[DPP (excl. VAT)]]*VATEff,0)</f>
        <v>33000</v>
      </c>
      <c r="M981" s="5">
        <f>tblSales[[#This Row],[DPP (excl. VAT)]]+tblSales[[#This Row],[Output VAT]]</f>
        <v>333000</v>
      </c>
      <c r="N981" s="5">
        <f>tblSales[[#This Row],[Qty]]*_xlfn.XLOOKUP(tblSales[[#This Row],[Product Code]],tblProducts[Code],tblProducts[Unit Cost],0)</f>
        <v>176000</v>
      </c>
      <c r="O981" s="4" t="s">
        <v>4865</v>
      </c>
      <c r="P981" s="4" t="s">
        <v>4860</v>
      </c>
      <c r="Q981" s="1" t="str">
        <f>_xlfn.XLOOKUP(tblSales[[#This Row],[Channel Code]],tblChannels[Channel Code],tblChannels[Channel Name],"")</f>
        <v>In-store</v>
      </c>
      <c r="R981" s="1">
        <f>MONTH(tblSales[[#This Row],[Date]])</f>
        <v>3</v>
      </c>
    </row>
    <row r="982" spans="2:18" x14ac:dyDescent="0.35">
      <c r="B982" s="113">
        <v>46086</v>
      </c>
      <c r="C982" s="4" t="s">
        <v>685</v>
      </c>
      <c r="D982" s="4" t="s">
        <v>4568</v>
      </c>
      <c r="E982" s="1" t="str">
        <f>_xlfn.XLOOKUP(tblSales[[#This Row],[Customer ID]],tblCustomers[Customer ID],tblCustomers[Customer Name],"⚠ Unknown")</f>
        <v>Walk-in Customer</v>
      </c>
      <c r="F982" s="4" t="s">
        <v>14</v>
      </c>
      <c r="G982" s="1" t="str">
        <f>_xlfn.XLOOKUP(tblSales[[#This Row],[Product Code]],tblProducts[Code],tblProducts[Product / Service Name],"⚠ Unknown")</f>
        <v>Smartwatch</v>
      </c>
      <c r="H982" s="1" t="str">
        <f>_xlfn.XLOOKUP(tblSales[[#This Row],[Product Code]],tblProducts[Code],tblProducts[Category],"")</f>
        <v>Bags &amp; Gadgets</v>
      </c>
      <c r="I982" s="4">
        <v>2</v>
      </c>
      <c r="J982" s="5">
        <f>_xlfn.XLOOKUP(tblSales[[#This Row],[Product Code]],tblProducts[Code],tblProducts[Selling Price (excl. VAT)],0)</f>
        <v>850000</v>
      </c>
      <c r="K982" s="5">
        <f>tblSales[[#This Row],[Qty]]*tblSales[[#This Row],[Unit Price]]</f>
        <v>1700000</v>
      </c>
      <c r="L982" s="5">
        <f>ROUND(tblSales[[#This Row],[DPP (excl. VAT)]]*VATEff,0)</f>
        <v>187000</v>
      </c>
      <c r="M982" s="5">
        <f>tblSales[[#This Row],[DPP (excl. VAT)]]+tblSales[[#This Row],[Output VAT]]</f>
        <v>1887000</v>
      </c>
      <c r="N982" s="5">
        <f>tblSales[[#This Row],[Qty]]*_xlfn.XLOOKUP(tblSales[[#This Row],[Product Code]],tblProducts[Code],tblProducts[Unit Cost],0)</f>
        <v>1120000</v>
      </c>
      <c r="O982" s="4" t="s">
        <v>4866</v>
      </c>
      <c r="P982" s="4" t="s">
        <v>4860</v>
      </c>
      <c r="Q982" s="1" t="str">
        <f>_xlfn.XLOOKUP(tblSales[[#This Row],[Channel Code]],tblChannels[Channel Code],tblChannels[Channel Name],"")</f>
        <v>In-store</v>
      </c>
      <c r="R982" s="1">
        <f>MONTH(tblSales[[#This Row],[Date]])</f>
        <v>3</v>
      </c>
    </row>
    <row r="983" spans="2:18" x14ac:dyDescent="0.35">
      <c r="B983" s="113">
        <v>46086</v>
      </c>
      <c r="C983" s="4" t="s">
        <v>686</v>
      </c>
      <c r="D983" s="4" t="s">
        <v>4599</v>
      </c>
      <c r="E983" s="1" t="str">
        <f>_xlfn.XLOOKUP(tblSales[[#This Row],[Customer ID]],tblCustomers[Customer ID],tblCustomers[Customer Name],"⚠ Unknown")</f>
        <v>PT Samudra Jaya Logistik</v>
      </c>
      <c r="F983" s="4" t="s">
        <v>6</v>
      </c>
      <c r="G983" s="1" t="str">
        <f>_xlfn.XLOOKUP(tblSales[[#This Row],[Product Code]],tblProducts[Code],tblProducts[Product / Service Name],"⚠ Unknown")</f>
        <v>Socks &amp; Accessories</v>
      </c>
      <c r="H983" s="1" t="str">
        <f>_xlfn.XLOOKUP(tblSales[[#This Row],[Product Code]],tblProducts[Code],tblProducts[Category],"")</f>
        <v>Accessories &amp; Basics</v>
      </c>
      <c r="I983" s="4">
        <v>48</v>
      </c>
      <c r="J983" s="5">
        <f>_xlfn.XLOOKUP(tblSales[[#This Row],[Product Code]],tblProducts[Code],tblProducts[Selling Price (excl. VAT)],0)</f>
        <v>45000</v>
      </c>
      <c r="K983" s="5">
        <f>tblSales[[#This Row],[Qty]]*tblSales[[#This Row],[Unit Price]]</f>
        <v>2160000</v>
      </c>
      <c r="L983" s="5">
        <f>ROUND(tblSales[[#This Row],[DPP (excl. VAT)]]*VATEff,0)</f>
        <v>237600</v>
      </c>
      <c r="M983" s="5">
        <f>tblSales[[#This Row],[DPP (excl. VAT)]]+tblSales[[#This Row],[Output VAT]]</f>
        <v>2397600</v>
      </c>
      <c r="N983" s="5">
        <f>tblSales[[#This Row],[Qty]]*_xlfn.XLOOKUP(tblSales[[#This Row],[Product Code]],tblProducts[Code],tblProducts[Unit Cost],0)</f>
        <v>1152000</v>
      </c>
      <c r="O983" s="4" t="s">
        <v>4867</v>
      </c>
      <c r="P983" s="4" t="s">
        <v>4860</v>
      </c>
      <c r="Q983" s="1" t="str">
        <f>_xlfn.XLOOKUP(tblSales[[#This Row],[Channel Code]],tblChannels[Channel Code],tblChannels[Channel Name],"")</f>
        <v>In-store</v>
      </c>
      <c r="R983" s="1">
        <f>MONTH(tblSales[[#This Row],[Date]])</f>
        <v>3</v>
      </c>
    </row>
    <row r="984" spans="2:18" x14ac:dyDescent="0.35">
      <c r="B984" s="113">
        <v>46086</v>
      </c>
      <c r="C984" s="4" t="s">
        <v>687</v>
      </c>
      <c r="D984" s="4" t="s">
        <v>4568</v>
      </c>
      <c r="E984" s="1" t="str">
        <f>_xlfn.XLOOKUP(tblSales[[#This Row],[Customer ID]],tblCustomers[Customer ID],tblCustomers[Customer Name],"⚠ Unknown")</f>
        <v>Walk-in Customer</v>
      </c>
      <c r="F984" s="4" t="s">
        <v>12</v>
      </c>
      <c r="G984" s="1" t="str">
        <f>_xlfn.XLOOKUP(tblSales[[#This Row],[Product Code]],tblProducts[Code],tblProducts[Product / Service Name],"⚠ Unknown")</f>
        <v>Bomber Jacket</v>
      </c>
      <c r="H984" s="1" t="str">
        <f>_xlfn.XLOOKUP(tblSales[[#This Row],[Product Code]],tblProducts[Code],tblProducts[Category],"")</f>
        <v>Apparel &amp; Footwear</v>
      </c>
      <c r="I984" s="4">
        <v>4</v>
      </c>
      <c r="J984" s="5">
        <f>_xlfn.XLOOKUP(tblSales[[#This Row],[Product Code]],tblProducts[Code],tblProducts[Selling Price (excl. VAT)],0)</f>
        <v>350000</v>
      </c>
      <c r="K984" s="5">
        <f>tblSales[[#This Row],[Qty]]*tblSales[[#This Row],[Unit Price]]</f>
        <v>1400000</v>
      </c>
      <c r="L984" s="5">
        <f>ROUND(tblSales[[#This Row],[DPP (excl. VAT)]]*VATEff,0)</f>
        <v>154000</v>
      </c>
      <c r="M984" s="5">
        <f>tblSales[[#This Row],[DPP (excl. VAT)]]+tblSales[[#This Row],[Output VAT]]</f>
        <v>1554000</v>
      </c>
      <c r="N984" s="5">
        <f>tblSales[[#This Row],[Qty]]*_xlfn.XLOOKUP(tblSales[[#This Row],[Product Code]],tblProducts[Code],tblProducts[Unit Cost],0)</f>
        <v>840000</v>
      </c>
      <c r="O984" s="4" t="s">
        <v>4866</v>
      </c>
      <c r="P984" s="4" t="s">
        <v>4860</v>
      </c>
      <c r="Q984" s="1" t="str">
        <f>_xlfn.XLOOKUP(tblSales[[#This Row],[Channel Code]],tblChannels[Channel Code],tblChannels[Channel Name],"")</f>
        <v>In-store</v>
      </c>
      <c r="R984" s="1">
        <f>MONTH(tblSales[[#This Row],[Date]])</f>
        <v>3</v>
      </c>
    </row>
    <row r="985" spans="2:18" x14ac:dyDescent="0.35">
      <c r="B985" s="113">
        <v>46086</v>
      </c>
      <c r="C985" s="4" t="s">
        <v>688</v>
      </c>
      <c r="D985" s="4" t="s">
        <v>4568</v>
      </c>
      <c r="E985" s="1" t="str">
        <f>_xlfn.XLOOKUP(tblSales[[#This Row],[Customer ID]],tblCustomers[Customer ID],tblCustomers[Customer Name],"⚠ Unknown")</f>
        <v>Walk-in Customer</v>
      </c>
      <c r="F985" s="4" t="s">
        <v>9</v>
      </c>
      <c r="G985" s="1" t="str">
        <f>_xlfn.XLOOKUP(tblSales[[#This Row],[Product Code]],tblProducts[Code],tblProducts[Product / Service Name],"⚠ Unknown")</f>
        <v>Casual Shirt</v>
      </c>
      <c r="H985" s="1" t="str">
        <f>_xlfn.XLOOKUP(tblSales[[#This Row],[Product Code]],tblProducts[Code],tblProducts[Category],"")</f>
        <v>Apparel &amp; Footwear</v>
      </c>
      <c r="I985" s="4">
        <v>5</v>
      </c>
      <c r="J985" s="5">
        <f>_xlfn.XLOOKUP(tblSales[[#This Row],[Product Code]],tblProducts[Code],tblProducts[Selling Price (excl. VAT)],0)</f>
        <v>120000</v>
      </c>
      <c r="K985" s="5">
        <f>tblSales[[#This Row],[Qty]]*tblSales[[#This Row],[Unit Price]]</f>
        <v>600000</v>
      </c>
      <c r="L985" s="5">
        <f>ROUND(tblSales[[#This Row],[DPP (excl. VAT)]]*VATEff,0)</f>
        <v>66000</v>
      </c>
      <c r="M985" s="5">
        <f>tblSales[[#This Row],[DPP (excl. VAT)]]+tblSales[[#This Row],[Output VAT]]</f>
        <v>666000</v>
      </c>
      <c r="N985" s="5">
        <f>tblSales[[#This Row],[Qty]]*_xlfn.XLOOKUP(tblSales[[#This Row],[Product Code]],tblProducts[Code],tblProducts[Unit Cost],0)</f>
        <v>360000</v>
      </c>
      <c r="O985" s="4" t="s">
        <v>4866</v>
      </c>
      <c r="P985" s="4" t="s">
        <v>4861</v>
      </c>
      <c r="Q985" s="1" t="str">
        <f>_xlfn.XLOOKUP(tblSales[[#This Row],[Channel Code]],tblChannels[Channel Code],tblChannels[Channel Name],"")</f>
        <v>Marketplace</v>
      </c>
      <c r="R985" s="1">
        <f>MONTH(tblSales[[#This Row],[Date]])</f>
        <v>3</v>
      </c>
    </row>
    <row r="986" spans="2:18" x14ac:dyDescent="0.35">
      <c r="B986" s="113">
        <v>46086</v>
      </c>
      <c r="C986" s="4" t="s">
        <v>689</v>
      </c>
      <c r="D986" s="4" t="s">
        <v>4568</v>
      </c>
      <c r="E986" s="1" t="str">
        <f>_xlfn.XLOOKUP(tblSales[[#This Row],[Customer ID]],tblCustomers[Customer ID],tblCustomers[Customer Name],"⚠ Unknown")</f>
        <v>Walk-in Customer</v>
      </c>
      <c r="F986" s="4" t="s">
        <v>6</v>
      </c>
      <c r="G986" s="1" t="str">
        <f>_xlfn.XLOOKUP(tblSales[[#This Row],[Product Code]],tblProducts[Code],tblProducts[Product / Service Name],"⚠ Unknown")</f>
        <v>Socks &amp; Accessories</v>
      </c>
      <c r="H986" s="1" t="str">
        <f>_xlfn.XLOOKUP(tblSales[[#This Row],[Product Code]],tblProducts[Code],tblProducts[Category],"")</f>
        <v>Accessories &amp; Basics</v>
      </c>
      <c r="I986" s="4">
        <v>5</v>
      </c>
      <c r="J986" s="5">
        <f>_xlfn.XLOOKUP(tblSales[[#This Row],[Product Code]],tblProducts[Code],tblProducts[Selling Price (excl. VAT)],0)</f>
        <v>45000</v>
      </c>
      <c r="K986" s="5">
        <f>tblSales[[#This Row],[Qty]]*tblSales[[#This Row],[Unit Price]]</f>
        <v>225000</v>
      </c>
      <c r="L986" s="5">
        <f>ROUND(tblSales[[#This Row],[DPP (excl. VAT)]]*VATEff,0)</f>
        <v>24750</v>
      </c>
      <c r="M986" s="5">
        <f>tblSales[[#This Row],[DPP (excl. VAT)]]+tblSales[[#This Row],[Output VAT]]</f>
        <v>249750</v>
      </c>
      <c r="N986" s="5">
        <f>tblSales[[#This Row],[Qty]]*_xlfn.XLOOKUP(tblSales[[#This Row],[Product Code]],tblProducts[Code],tblProducts[Unit Cost],0)</f>
        <v>120000</v>
      </c>
      <c r="O986" s="4" t="s">
        <v>4866</v>
      </c>
      <c r="P986" s="4" t="s">
        <v>4861</v>
      </c>
      <c r="Q986" s="1" t="str">
        <f>_xlfn.XLOOKUP(tblSales[[#This Row],[Channel Code]],tblChannels[Channel Code],tblChannels[Channel Name],"")</f>
        <v>Marketplace</v>
      </c>
      <c r="R986" s="1">
        <f>MONTH(tblSales[[#This Row],[Date]])</f>
        <v>3</v>
      </c>
    </row>
    <row r="987" spans="2:18" x14ac:dyDescent="0.35">
      <c r="B987" s="113">
        <v>46086</v>
      </c>
      <c r="C987" s="4" t="s">
        <v>689</v>
      </c>
      <c r="D987" s="4" t="s">
        <v>4568</v>
      </c>
      <c r="E987" s="1" t="str">
        <f>_xlfn.XLOOKUP(tblSales[[#This Row],[Customer ID]],tblCustomers[Customer ID],tblCustomers[Customer Name],"⚠ Unknown")</f>
        <v>Walk-in Customer</v>
      </c>
      <c r="F987" s="4" t="s">
        <v>8</v>
      </c>
      <c r="G987" s="1" t="str">
        <f>_xlfn.XLOOKUP(tblSales[[#This Row],[Product Code]],tblProducts[Code],tblProducts[Product / Service Name],"⚠ Unknown")</f>
        <v>Casual Shorts</v>
      </c>
      <c r="H987" s="1" t="str">
        <f>_xlfn.XLOOKUP(tblSales[[#This Row],[Product Code]],tblProducts[Code],tblProducts[Category],"")</f>
        <v>Accessories &amp; Basics</v>
      </c>
      <c r="I987" s="4">
        <v>11</v>
      </c>
      <c r="J987" s="5">
        <f>_xlfn.XLOOKUP(tblSales[[#This Row],[Product Code]],tblProducts[Code],tblProducts[Selling Price (excl. VAT)],0)</f>
        <v>85000</v>
      </c>
      <c r="K987" s="5">
        <f>tblSales[[#This Row],[Qty]]*tblSales[[#This Row],[Unit Price]]</f>
        <v>935000</v>
      </c>
      <c r="L987" s="5">
        <f>ROUND(tblSales[[#This Row],[DPP (excl. VAT)]]*VATEff,0)</f>
        <v>102850</v>
      </c>
      <c r="M987" s="5">
        <f>tblSales[[#This Row],[DPP (excl. VAT)]]+tblSales[[#This Row],[Output VAT]]</f>
        <v>1037850</v>
      </c>
      <c r="N987" s="5">
        <f>tblSales[[#This Row],[Qty]]*_xlfn.XLOOKUP(tblSales[[#This Row],[Product Code]],tblProducts[Code],tblProducts[Unit Cost],0)</f>
        <v>550000</v>
      </c>
      <c r="O987" s="4" t="s">
        <v>4866</v>
      </c>
      <c r="P987" s="4" t="s">
        <v>4861</v>
      </c>
      <c r="Q987" s="1" t="str">
        <f>_xlfn.XLOOKUP(tblSales[[#This Row],[Channel Code]],tblChannels[Channel Code],tblChannels[Channel Name],"")</f>
        <v>Marketplace</v>
      </c>
      <c r="R987" s="1">
        <f>MONTH(tblSales[[#This Row],[Date]])</f>
        <v>3</v>
      </c>
    </row>
    <row r="988" spans="2:18" x14ac:dyDescent="0.35">
      <c r="B988" s="113">
        <v>46086</v>
      </c>
      <c r="C988" s="4" t="s">
        <v>690</v>
      </c>
      <c r="D988" s="4" t="s">
        <v>4568</v>
      </c>
      <c r="E988" s="1" t="str">
        <f>_xlfn.XLOOKUP(tblSales[[#This Row],[Customer ID]],tblCustomers[Customer ID],tblCustomers[Customer Name],"⚠ Unknown")</f>
        <v>Walk-in Customer</v>
      </c>
      <c r="F988" s="4" t="s">
        <v>13</v>
      </c>
      <c r="G988" s="1" t="str">
        <f>_xlfn.XLOOKUP(tblSales[[#This Row],[Product Code]],tblProducts[Code],tblProducts[Product / Service Name],"⚠ Unknown")</f>
        <v>Backpack</v>
      </c>
      <c r="H988" s="1" t="str">
        <f>_xlfn.XLOOKUP(tblSales[[#This Row],[Product Code]],tblProducts[Code],tblProducts[Category],"")</f>
        <v>Bags &amp; Gadgets</v>
      </c>
      <c r="I988" s="4">
        <v>1</v>
      </c>
      <c r="J988" s="5">
        <f>_xlfn.XLOOKUP(tblSales[[#This Row],[Product Code]],tblProducts[Code],tblProducts[Selling Price (excl. VAT)],0)</f>
        <v>500000</v>
      </c>
      <c r="K988" s="5">
        <f>tblSales[[#This Row],[Qty]]*tblSales[[#This Row],[Unit Price]]</f>
        <v>500000</v>
      </c>
      <c r="L988" s="5">
        <f>ROUND(tblSales[[#This Row],[DPP (excl. VAT)]]*VATEff,0)</f>
        <v>55000</v>
      </c>
      <c r="M988" s="5">
        <f>tblSales[[#This Row],[DPP (excl. VAT)]]+tblSales[[#This Row],[Output VAT]]</f>
        <v>555000</v>
      </c>
      <c r="N988" s="5">
        <f>tblSales[[#This Row],[Qty]]*_xlfn.XLOOKUP(tblSales[[#This Row],[Product Code]],tblProducts[Code],tblProducts[Unit Cost],0)</f>
        <v>290000</v>
      </c>
      <c r="O988" s="4" t="s">
        <v>4865</v>
      </c>
      <c r="P988" s="4" t="s">
        <v>4860</v>
      </c>
      <c r="Q988" s="1" t="str">
        <f>_xlfn.XLOOKUP(tblSales[[#This Row],[Channel Code]],tblChannels[Channel Code],tblChannels[Channel Name],"")</f>
        <v>In-store</v>
      </c>
      <c r="R988" s="1">
        <f>MONTH(tblSales[[#This Row],[Date]])</f>
        <v>3</v>
      </c>
    </row>
    <row r="989" spans="2:18" x14ac:dyDescent="0.35">
      <c r="B989" s="113">
        <v>46086</v>
      </c>
      <c r="C989" s="4" t="s">
        <v>691</v>
      </c>
      <c r="D989" s="4" t="s">
        <v>4568</v>
      </c>
      <c r="E989" s="1" t="str">
        <f>_xlfn.XLOOKUP(tblSales[[#This Row],[Customer ID]],tblCustomers[Customer ID],tblCustomers[Customer Name],"⚠ Unknown")</f>
        <v>Walk-in Customer</v>
      </c>
      <c r="F989" s="4" t="s">
        <v>7</v>
      </c>
      <c r="G989" s="1" t="str">
        <f>_xlfn.XLOOKUP(tblSales[[#This Row],[Product Code]],tblProducts[Code],tblProducts[Product / Service Name],"⚠ Unknown")</f>
        <v>Premium Basic T-shirt</v>
      </c>
      <c r="H989" s="1" t="str">
        <f>_xlfn.XLOOKUP(tblSales[[#This Row],[Product Code]],tblProducts[Code],tblProducts[Category],"")</f>
        <v>Accessories &amp; Basics</v>
      </c>
      <c r="I989" s="4">
        <v>7</v>
      </c>
      <c r="J989" s="5">
        <f>_xlfn.XLOOKUP(tblSales[[#This Row],[Product Code]],tblProducts[Code],tblProducts[Selling Price (excl. VAT)],0)</f>
        <v>65000</v>
      </c>
      <c r="K989" s="5">
        <f>tblSales[[#This Row],[Qty]]*tblSales[[#This Row],[Unit Price]]</f>
        <v>455000</v>
      </c>
      <c r="L989" s="5">
        <f>ROUND(tblSales[[#This Row],[DPP (excl. VAT)]]*VATEff,0)</f>
        <v>50050</v>
      </c>
      <c r="M989" s="5">
        <f>tblSales[[#This Row],[DPP (excl. VAT)]]+tblSales[[#This Row],[Output VAT]]</f>
        <v>505050</v>
      </c>
      <c r="N989" s="5">
        <f>tblSales[[#This Row],[Qty]]*_xlfn.XLOOKUP(tblSales[[#This Row],[Product Code]],tblProducts[Code],tblProducts[Unit Cost],0)</f>
        <v>259000</v>
      </c>
      <c r="O989" s="4" t="s">
        <v>4866</v>
      </c>
      <c r="P989" s="4" t="s">
        <v>4861</v>
      </c>
      <c r="Q989" s="1" t="str">
        <f>_xlfn.XLOOKUP(tblSales[[#This Row],[Channel Code]],tblChannels[Channel Code],tblChannels[Channel Name],"")</f>
        <v>Marketplace</v>
      </c>
      <c r="R989" s="1">
        <f>MONTH(tblSales[[#This Row],[Date]])</f>
        <v>3</v>
      </c>
    </row>
    <row r="990" spans="2:18" x14ac:dyDescent="0.35">
      <c r="B990" s="113">
        <v>46086</v>
      </c>
      <c r="C990" s="4" t="s">
        <v>692</v>
      </c>
      <c r="D990" s="4" t="s">
        <v>4568</v>
      </c>
      <c r="E990" s="1" t="str">
        <f>_xlfn.XLOOKUP(tblSales[[#This Row],[Customer ID]],tblCustomers[Customer ID],tblCustomers[Customer Name],"⚠ Unknown")</f>
        <v>Walk-in Customer</v>
      </c>
      <c r="F990" s="4" t="s">
        <v>9</v>
      </c>
      <c r="G990" s="1" t="str">
        <f>_xlfn.XLOOKUP(tblSales[[#This Row],[Product Code]],tblProducts[Code],tblProducts[Product / Service Name],"⚠ Unknown")</f>
        <v>Casual Shirt</v>
      </c>
      <c r="H990" s="1" t="str">
        <f>_xlfn.XLOOKUP(tblSales[[#This Row],[Product Code]],tblProducts[Code],tblProducts[Category],"")</f>
        <v>Apparel &amp; Footwear</v>
      </c>
      <c r="I990" s="4">
        <v>3</v>
      </c>
      <c r="J990" s="5">
        <f>_xlfn.XLOOKUP(tblSales[[#This Row],[Product Code]],tblProducts[Code],tblProducts[Selling Price (excl. VAT)],0)</f>
        <v>120000</v>
      </c>
      <c r="K990" s="5">
        <f>tblSales[[#This Row],[Qty]]*tblSales[[#This Row],[Unit Price]]</f>
        <v>360000</v>
      </c>
      <c r="L990" s="5">
        <f>ROUND(tblSales[[#This Row],[DPP (excl. VAT)]]*VATEff,0)</f>
        <v>39600</v>
      </c>
      <c r="M990" s="5">
        <f>tblSales[[#This Row],[DPP (excl. VAT)]]+tblSales[[#This Row],[Output VAT]]</f>
        <v>399600</v>
      </c>
      <c r="N990" s="5">
        <f>tblSales[[#This Row],[Qty]]*_xlfn.XLOOKUP(tblSales[[#This Row],[Product Code]],tblProducts[Code],tblProducts[Unit Cost],0)</f>
        <v>216000</v>
      </c>
      <c r="O990" s="4" t="s">
        <v>4865</v>
      </c>
      <c r="P990" s="4" t="s">
        <v>4860</v>
      </c>
      <c r="Q990" s="1" t="str">
        <f>_xlfn.XLOOKUP(tblSales[[#This Row],[Channel Code]],tblChannels[Channel Code],tblChannels[Channel Name],"")</f>
        <v>In-store</v>
      </c>
      <c r="R990" s="1">
        <f>MONTH(tblSales[[#This Row],[Date]])</f>
        <v>3</v>
      </c>
    </row>
    <row r="991" spans="2:18" x14ac:dyDescent="0.35">
      <c r="B991" s="113">
        <v>46086</v>
      </c>
      <c r="C991" s="4" t="s">
        <v>693</v>
      </c>
      <c r="D991" s="4" t="s">
        <v>4568</v>
      </c>
      <c r="E991" s="1" t="str">
        <f>_xlfn.XLOOKUP(tblSales[[#This Row],[Customer ID]],tblCustomers[Customer ID],tblCustomers[Customer Name],"⚠ Unknown")</f>
        <v>Walk-in Customer</v>
      </c>
      <c r="F991" s="4" t="s">
        <v>15</v>
      </c>
      <c r="G991" s="1" t="str">
        <f>_xlfn.XLOOKUP(tblSales[[#This Row],[Product Code]],tblProducts[Code],tblProducts[Product / Service Name],"⚠ Unknown")</f>
        <v>Wireless Earbuds Pro</v>
      </c>
      <c r="H991" s="1" t="str">
        <f>_xlfn.XLOOKUP(tblSales[[#This Row],[Product Code]],tblProducts[Code],tblProducts[Category],"")</f>
        <v>Bags &amp; Gadgets</v>
      </c>
      <c r="I991" s="4">
        <v>1</v>
      </c>
      <c r="J991" s="5">
        <f>_xlfn.XLOOKUP(tblSales[[#This Row],[Product Code]],tblProducts[Code],tblProducts[Selling Price (excl. VAT)],0)</f>
        <v>1250000</v>
      </c>
      <c r="K991" s="5">
        <f>tblSales[[#This Row],[Qty]]*tblSales[[#This Row],[Unit Price]]</f>
        <v>1250000</v>
      </c>
      <c r="L991" s="5">
        <f>ROUND(tblSales[[#This Row],[DPP (excl. VAT)]]*VATEff,0)</f>
        <v>137500</v>
      </c>
      <c r="M991" s="5">
        <f>tblSales[[#This Row],[DPP (excl. VAT)]]+tblSales[[#This Row],[Output VAT]]</f>
        <v>1387500</v>
      </c>
      <c r="N991" s="5">
        <f>tblSales[[#This Row],[Qty]]*_xlfn.XLOOKUP(tblSales[[#This Row],[Product Code]],tblProducts[Code],tblProducts[Unit Cost],0)</f>
        <v>820000</v>
      </c>
      <c r="O991" s="4" t="s">
        <v>4865</v>
      </c>
      <c r="P991" s="4" t="s">
        <v>4860</v>
      </c>
      <c r="Q991" s="1" t="str">
        <f>_xlfn.XLOOKUP(tblSales[[#This Row],[Channel Code]],tblChannels[Channel Code],tblChannels[Channel Name],"")</f>
        <v>In-store</v>
      </c>
      <c r="R991" s="1">
        <f>MONTH(tblSales[[#This Row],[Date]])</f>
        <v>3</v>
      </c>
    </row>
    <row r="992" spans="2:18" x14ac:dyDescent="0.35">
      <c r="B992" s="113">
        <v>46086</v>
      </c>
      <c r="C992" s="4" t="s">
        <v>694</v>
      </c>
      <c r="D992" s="4" t="s">
        <v>4568</v>
      </c>
      <c r="E992" s="1" t="str">
        <f>_xlfn.XLOOKUP(tblSales[[#This Row],[Customer ID]],tblCustomers[Customer ID],tblCustomers[Customer Name],"⚠ Unknown")</f>
        <v>Walk-in Customer</v>
      </c>
      <c r="F992" s="4" t="s">
        <v>11</v>
      </c>
      <c r="G992" s="1" t="str">
        <f>_xlfn.XLOOKUP(tblSales[[#This Row],[Product Code]],tblProducts[Code],tblProducts[Product / Service Name],"⚠ Unknown")</f>
        <v>Sneakers</v>
      </c>
      <c r="H992" s="1" t="str">
        <f>_xlfn.XLOOKUP(tblSales[[#This Row],[Product Code]],tblProducts[Code],tblProducts[Category],"")</f>
        <v>Apparel &amp; Footwear</v>
      </c>
      <c r="I992" s="4">
        <v>6</v>
      </c>
      <c r="J992" s="5">
        <f>_xlfn.XLOOKUP(tblSales[[#This Row],[Product Code]],tblProducts[Code],tblProducts[Selling Price (excl. VAT)],0)</f>
        <v>250000</v>
      </c>
      <c r="K992" s="5">
        <f>tblSales[[#This Row],[Qty]]*tblSales[[#This Row],[Unit Price]]</f>
        <v>1500000</v>
      </c>
      <c r="L992" s="5">
        <f>ROUND(tblSales[[#This Row],[DPP (excl. VAT)]]*VATEff,0)</f>
        <v>165000</v>
      </c>
      <c r="M992" s="5">
        <f>tblSales[[#This Row],[DPP (excl. VAT)]]+tblSales[[#This Row],[Output VAT]]</f>
        <v>1665000</v>
      </c>
      <c r="N992" s="5">
        <f>tblSales[[#This Row],[Qty]]*_xlfn.XLOOKUP(tblSales[[#This Row],[Product Code]],tblProducts[Code],tblProducts[Unit Cost],0)</f>
        <v>930000</v>
      </c>
      <c r="O992" s="4" t="s">
        <v>4866</v>
      </c>
      <c r="P992" s="4" t="s">
        <v>4861</v>
      </c>
      <c r="Q992" s="1" t="str">
        <f>_xlfn.XLOOKUP(tblSales[[#This Row],[Channel Code]],tblChannels[Channel Code],tblChannels[Channel Name],"")</f>
        <v>Marketplace</v>
      </c>
      <c r="R992" s="1">
        <f>MONTH(tblSales[[#This Row],[Date]])</f>
        <v>3</v>
      </c>
    </row>
    <row r="993" spans="2:18" x14ac:dyDescent="0.35">
      <c r="B993" s="113">
        <v>46086</v>
      </c>
      <c r="C993" s="4" t="s">
        <v>695</v>
      </c>
      <c r="D993" s="4" t="s">
        <v>4613</v>
      </c>
      <c r="E993" s="1" t="str">
        <f>_xlfn.XLOOKUP(tblSales[[#This Row],[Customer ID]],tblCustomers[Customer ID],tblCustomers[Customer Name],"⚠ Unknown")</f>
        <v>PT Mega Prima Distribusi</v>
      </c>
      <c r="F993" s="4" t="s">
        <v>8</v>
      </c>
      <c r="G993" s="1" t="str">
        <f>_xlfn.XLOOKUP(tblSales[[#This Row],[Product Code]],tblProducts[Code],tblProducts[Product / Service Name],"⚠ Unknown")</f>
        <v>Casual Shorts</v>
      </c>
      <c r="H993" s="1" t="str">
        <f>_xlfn.XLOOKUP(tblSales[[#This Row],[Product Code]],tblProducts[Code],tblProducts[Category],"")</f>
        <v>Accessories &amp; Basics</v>
      </c>
      <c r="I993" s="4">
        <v>96</v>
      </c>
      <c r="J993" s="5">
        <f>_xlfn.XLOOKUP(tblSales[[#This Row],[Product Code]],tblProducts[Code],tblProducts[Selling Price (excl. VAT)],0)</f>
        <v>85000</v>
      </c>
      <c r="K993" s="5">
        <f>tblSales[[#This Row],[Qty]]*tblSales[[#This Row],[Unit Price]]</f>
        <v>8160000</v>
      </c>
      <c r="L993" s="5">
        <f>ROUND(tblSales[[#This Row],[DPP (excl. VAT)]]*VATEff,0)</f>
        <v>897600</v>
      </c>
      <c r="M993" s="5">
        <f>tblSales[[#This Row],[DPP (excl. VAT)]]+tblSales[[#This Row],[Output VAT]]</f>
        <v>9057600</v>
      </c>
      <c r="N993" s="5">
        <f>tblSales[[#This Row],[Qty]]*_xlfn.XLOOKUP(tblSales[[#This Row],[Product Code]],tblProducts[Code],tblProducts[Unit Cost],0)</f>
        <v>4800000</v>
      </c>
      <c r="O993" s="4" t="s">
        <v>4867</v>
      </c>
      <c r="P993" s="4" t="s">
        <v>4860</v>
      </c>
      <c r="Q993" s="1" t="str">
        <f>_xlfn.XLOOKUP(tblSales[[#This Row],[Channel Code]],tblChannels[Channel Code],tblChannels[Channel Name],"")</f>
        <v>In-store</v>
      </c>
      <c r="R993" s="1">
        <f>MONTH(tblSales[[#This Row],[Date]])</f>
        <v>3</v>
      </c>
    </row>
    <row r="994" spans="2:18" x14ac:dyDescent="0.35">
      <c r="B994" s="113">
        <v>46086</v>
      </c>
      <c r="C994" s="4" t="s">
        <v>695</v>
      </c>
      <c r="D994" s="4" t="s">
        <v>4613</v>
      </c>
      <c r="E994" s="1" t="str">
        <f>_xlfn.XLOOKUP(tblSales[[#This Row],[Customer ID]],tblCustomers[Customer ID],tblCustomers[Customer Name],"⚠ Unknown")</f>
        <v>PT Mega Prima Distribusi</v>
      </c>
      <c r="F994" s="4" t="s">
        <v>7</v>
      </c>
      <c r="G994" s="1" t="str">
        <f>_xlfn.XLOOKUP(tblSales[[#This Row],[Product Code]],tblProducts[Code],tblProducts[Product / Service Name],"⚠ Unknown")</f>
        <v>Premium Basic T-shirt</v>
      </c>
      <c r="H994" s="1" t="str">
        <f>_xlfn.XLOOKUP(tblSales[[#This Row],[Product Code]],tblProducts[Code],tblProducts[Category],"")</f>
        <v>Accessories &amp; Basics</v>
      </c>
      <c r="I994" s="4">
        <v>96</v>
      </c>
      <c r="J994" s="5">
        <f>_xlfn.XLOOKUP(tblSales[[#This Row],[Product Code]],tblProducts[Code],tblProducts[Selling Price (excl. VAT)],0)</f>
        <v>65000</v>
      </c>
      <c r="K994" s="5">
        <f>tblSales[[#This Row],[Qty]]*tblSales[[#This Row],[Unit Price]]</f>
        <v>6240000</v>
      </c>
      <c r="L994" s="5">
        <f>ROUND(tblSales[[#This Row],[DPP (excl. VAT)]]*VATEff,0)</f>
        <v>686400</v>
      </c>
      <c r="M994" s="5">
        <f>tblSales[[#This Row],[DPP (excl. VAT)]]+tblSales[[#This Row],[Output VAT]]</f>
        <v>6926400</v>
      </c>
      <c r="N994" s="5">
        <f>tblSales[[#This Row],[Qty]]*_xlfn.XLOOKUP(tblSales[[#This Row],[Product Code]],tblProducts[Code],tblProducts[Unit Cost],0)</f>
        <v>3552000</v>
      </c>
      <c r="O994" s="4" t="s">
        <v>4867</v>
      </c>
      <c r="P994" s="4" t="s">
        <v>4860</v>
      </c>
      <c r="Q994" s="1" t="str">
        <f>_xlfn.XLOOKUP(tblSales[[#This Row],[Channel Code]],tblChannels[Channel Code],tblChannels[Channel Name],"")</f>
        <v>In-store</v>
      </c>
      <c r="R994" s="1">
        <f>MONTH(tblSales[[#This Row],[Date]])</f>
        <v>3</v>
      </c>
    </row>
    <row r="995" spans="2:18" x14ac:dyDescent="0.35">
      <c r="B995" s="113">
        <v>46086</v>
      </c>
      <c r="C995" s="4" t="s">
        <v>695</v>
      </c>
      <c r="D995" s="4" t="s">
        <v>4613</v>
      </c>
      <c r="E995" s="1" t="str">
        <f>_xlfn.XLOOKUP(tblSales[[#This Row],[Customer ID]],tblCustomers[Customer ID],tblCustomers[Customer Name],"⚠ Unknown")</f>
        <v>PT Mega Prima Distribusi</v>
      </c>
      <c r="F995" s="4" t="s">
        <v>6</v>
      </c>
      <c r="G995" s="1" t="str">
        <f>_xlfn.XLOOKUP(tblSales[[#This Row],[Product Code]],tblProducts[Code],tblProducts[Product / Service Name],"⚠ Unknown")</f>
        <v>Socks &amp; Accessories</v>
      </c>
      <c r="H995" s="1" t="str">
        <f>_xlfn.XLOOKUP(tblSales[[#This Row],[Product Code]],tblProducts[Code],tblProducts[Category],"")</f>
        <v>Accessories &amp; Basics</v>
      </c>
      <c r="I995" s="4">
        <v>40</v>
      </c>
      <c r="J995" s="5">
        <f>_xlfn.XLOOKUP(tblSales[[#This Row],[Product Code]],tblProducts[Code],tblProducts[Selling Price (excl. VAT)],0)</f>
        <v>45000</v>
      </c>
      <c r="K995" s="5">
        <f>tblSales[[#This Row],[Qty]]*tblSales[[#This Row],[Unit Price]]</f>
        <v>1800000</v>
      </c>
      <c r="L995" s="5">
        <f>ROUND(tblSales[[#This Row],[DPP (excl. VAT)]]*VATEff,0)</f>
        <v>198000</v>
      </c>
      <c r="M995" s="5">
        <f>tblSales[[#This Row],[DPP (excl. VAT)]]+tblSales[[#This Row],[Output VAT]]</f>
        <v>1998000</v>
      </c>
      <c r="N995" s="5">
        <f>tblSales[[#This Row],[Qty]]*_xlfn.XLOOKUP(tblSales[[#This Row],[Product Code]],tblProducts[Code],tblProducts[Unit Cost],0)</f>
        <v>960000</v>
      </c>
      <c r="O995" s="4" t="s">
        <v>4867</v>
      </c>
      <c r="P995" s="4" t="s">
        <v>4860</v>
      </c>
      <c r="Q995" s="1" t="str">
        <f>_xlfn.XLOOKUP(tblSales[[#This Row],[Channel Code]],tblChannels[Channel Code],tblChannels[Channel Name],"")</f>
        <v>In-store</v>
      </c>
      <c r="R995" s="1">
        <f>MONTH(tblSales[[#This Row],[Date]])</f>
        <v>3</v>
      </c>
    </row>
    <row r="996" spans="2:18" x14ac:dyDescent="0.35">
      <c r="B996" s="113">
        <v>46086</v>
      </c>
      <c r="C996" s="4" t="s">
        <v>696</v>
      </c>
      <c r="D996" s="4" t="s">
        <v>4568</v>
      </c>
      <c r="E996" s="1" t="str">
        <f>_xlfn.XLOOKUP(tblSales[[#This Row],[Customer ID]],tblCustomers[Customer ID],tblCustomers[Customer Name],"⚠ Unknown")</f>
        <v>Walk-in Customer</v>
      </c>
      <c r="F996" s="4" t="s">
        <v>9</v>
      </c>
      <c r="G996" s="1" t="str">
        <f>_xlfn.XLOOKUP(tblSales[[#This Row],[Product Code]],tblProducts[Code],tblProducts[Product / Service Name],"⚠ Unknown")</f>
        <v>Casual Shirt</v>
      </c>
      <c r="H996" s="1" t="str">
        <f>_xlfn.XLOOKUP(tblSales[[#This Row],[Product Code]],tblProducts[Code],tblProducts[Category],"")</f>
        <v>Apparel &amp; Footwear</v>
      </c>
      <c r="I996" s="4">
        <v>1</v>
      </c>
      <c r="J996" s="5">
        <f>_xlfn.XLOOKUP(tblSales[[#This Row],[Product Code]],tblProducts[Code],tblProducts[Selling Price (excl. VAT)],0)</f>
        <v>120000</v>
      </c>
      <c r="K996" s="5">
        <f>tblSales[[#This Row],[Qty]]*tblSales[[#This Row],[Unit Price]]</f>
        <v>120000</v>
      </c>
      <c r="L996" s="5">
        <f>ROUND(tblSales[[#This Row],[DPP (excl. VAT)]]*VATEff,0)</f>
        <v>13200</v>
      </c>
      <c r="M996" s="5">
        <f>tblSales[[#This Row],[DPP (excl. VAT)]]+tblSales[[#This Row],[Output VAT]]</f>
        <v>133200</v>
      </c>
      <c r="N996" s="5">
        <f>tblSales[[#This Row],[Qty]]*_xlfn.XLOOKUP(tblSales[[#This Row],[Product Code]],tblProducts[Code],tblProducts[Unit Cost],0)</f>
        <v>72000</v>
      </c>
      <c r="O996" s="4" t="s">
        <v>4866</v>
      </c>
      <c r="P996" s="4" t="s">
        <v>4861</v>
      </c>
      <c r="Q996" s="1" t="str">
        <f>_xlfn.XLOOKUP(tblSales[[#This Row],[Channel Code]],tblChannels[Channel Code],tblChannels[Channel Name],"")</f>
        <v>Marketplace</v>
      </c>
      <c r="R996" s="1">
        <f>MONTH(tblSales[[#This Row],[Date]])</f>
        <v>3</v>
      </c>
    </row>
    <row r="997" spans="2:18" x14ac:dyDescent="0.35">
      <c r="B997" s="113">
        <v>46087</v>
      </c>
      <c r="C997" s="4" t="s">
        <v>697</v>
      </c>
      <c r="D997" s="4" t="s">
        <v>4568</v>
      </c>
      <c r="E997" s="1" t="str">
        <f>_xlfn.XLOOKUP(tblSales[[#This Row],[Customer ID]],tblCustomers[Customer ID],tblCustomers[Customer Name],"⚠ Unknown")</f>
        <v>Walk-in Customer</v>
      </c>
      <c r="F997" s="4" t="s">
        <v>11</v>
      </c>
      <c r="G997" s="1" t="str">
        <f>_xlfn.XLOOKUP(tblSales[[#This Row],[Product Code]],tblProducts[Code],tblProducts[Product / Service Name],"⚠ Unknown")</f>
        <v>Sneakers</v>
      </c>
      <c r="H997" s="1" t="str">
        <f>_xlfn.XLOOKUP(tblSales[[#This Row],[Product Code]],tblProducts[Code],tblProducts[Category],"")</f>
        <v>Apparel &amp; Footwear</v>
      </c>
      <c r="I997" s="4">
        <v>6</v>
      </c>
      <c r="J997" s="5">
        <f>_xlfn.XLOOKUP(tblSales[[#This Row],[Product Code]],tblProducts[Code],tblProducts[Selling Price (excl. VAT)],0)</f>
        <v>250000</v>
      </c>
      <c r="K997" s="5">
        <f>tblSales[[#This Row],[Qty]]*tblSales[[#This Row],[Unit Price]]</f>
        <v>1500000</v>
      </c>
      <c r="L997" s="5">
        <f>ROUND(tblSales[[#This Row],[DPP (excl. VAT)]]*VATEff,0)</f>
        <v>165000</v>
      </c>
      <c r="M997" s="5">
        <f>tblSales[[#This Row],[DPP (excl. VAT)]]+tblSales[[#This Row],[Output VAT]]</f>
        <v>1665000</v>
      </c>
      <c r="N997" s="5">
        <f>tblSales[[#This Row],[Qty]]*_xlfn.XLOOKUP(tblSales[[#This Row],[Product Code]],tblProducts[Code],tblProducts[Unit Cost],0)</f>
        <v>930000</v>
      </c>
      <c r="O997" s="4" t="s">
        <v>4865</v>
      </c>
      <c r="P997" s="4" t="s">
        <v>4860</v>
      </c>
      <c r="Q997" s="1" t="str">
        <f>_xlfn.XLOOKUP(tblSales[[#This Row],[Channel Code]],tblChannels[Channel Code],tblChannels[Channel Name],"")</f>
        <v>In-store</v>
      </c>
      <c r="R997" s="1">
        <f>MONTH(tblSales[[#This Row],[Date]])</f>
        <v>3</v>
      </c>
    </row>
    <row r="998" spans="2:18" x14ac:dyDescent="0.35">
      <c r="B998" s="113">
        <v>46087</v>
      </c>
      <c r="C998" s="4" t="s">
        <v>698</v>
      </c>
      <c r="D998" s="4" t="s">
        <v>4568</v>
      </c>
      <c r="E998" s="1" t="str">
        <f>_xlfn.XLOOKUP(tblSales[[#This Row],[Customer ID]],tblCustomers[Customer ID],tblCustomers[Customer Name],"⚠ Unknown")</f>
        <v>Walk-in Customer</v>
      </c>
      <c r="F998" s="4" t="s">
        <v>11</v>
      </c>
      <c r="G998" s="1" t="str">
        <f>_xlfn.XLOOKUP(tblSales[[#This Row],[Product Code]],tblProducts[Code],tblProducts[Product / Service Name],"⚠ Unknown")</f>
        <v>Sneakers</v>
      </c>
      <c r="H998" s="1" t="str">
        <f>_xlfn.XLOOKUP(tblSales[[#This Row],[Product Code]],tblProducts[Code],tblProducts[Category],"")</f>
        <v>Apparel &amp; Footwear</v>
      </c>
      <c r="I998" s="4">
        <v>1</v>
      </c>
      <c r="J998" s="5">
        <f>_xlfn.XLOOKUP(tblSales[[#This Row],[Product Code]],tblProducts[Code],tblProducts[Selling Price (excl. VAT)],0)</f>
        <v>250000</v>
      </c>
      <c r="K998" s="5">
        <f>tblSales[[#This Row],[Qty]]*tblSales[[#This Row],[Unit Price]]</f>
        <v>250000</v>
      </c>
      <c r="L998" s="5">
        <f>ROUND(tblSales[[#This Row],[DPP (excl. VAT)]]*VATEff,0)</f>
        <v>27500</v>
      </c>
      <c r="M998" s="5">
        <f>tblSales[[#This Row],[DPP (excl. VAT)]]+tblSales[[#This Row],[Output VAT]]</f>
        <v>277500</v>
      </c>
      <c r="N998" s="5">
        <f>tblSales[[#This Row],[Qty]]*_xlfn.XLOOKUP(tblSales[[#This Row],[Product Code]],tblProducts[Code],tblProducts[Unit Cost],0)</f>
        <v>155000</v>
      </c>
      <c r="O998" s="4" t="s">
        <v>4865</v>
      </c>
      <c r="P998" s="4" t="s">
        <v>4860</v>
      </c>
      <c r="Q998" s="1" t="str">
        <f>_xlfn.XLOOKUP(tblSales[[#This Row],[Channel Code]],tblChannels[Channel Code],tblChannels[Channel Name],"")</f>
        <v>In-store</v>
      </c>
      <c r="R998" s="1">
        <f>MONTH(tblSales[[#This Row],[Date]])</f>
        <v>3</v>
      </c>
    </row>
    <row r="999" spans="2:18" x14ac:dyDescent="0.35">
      <c r="B999" s="113">
        <v>46087</v>
      </c>
      <c r="C999" s="4" t="s">
        <v>699</v>
      </c>
      <c r="D999" s="4" t="s">
        <v>4568</v>
      </c>
      <c r="E999" s="1" t="str">
        <f>_xlfn.XLOOKUP(tblSales[[#This Row],[Customer ID]],tblCustomers[Customer ID],tblCustomers[Customer Name],"⚠ Unknown")</f>
        <v>Walk-in Customer</v>
      </c>
      <c r="F999" s="4" t="s">
        <v>10</v>
      </c>
      <c r="G999" s="1" t="str">
        <f>_xlfn.XLOOKUP(tblSales[[#This Row],[Product Code]],tblProducts[Code],tblProducts[Product / Service Name],"⚠ Unknown")</f>
        <v>Chino Pants</v>
      </c>
      <c r="H999" s="1" t="str">
        <f>_xlfn.XLOOKUP(tblSales[[#This Row],[Product Code]],tblProducts[Code],tblProducts[Category],"")</f>
        <v>Apparel &amp; Footwear</v>
      </c>
      <c r="I999" s="4">
        <v>6</v>
      </c>
      <c r="J999" s="5">
        <f>_xlfn.XLOOKUP(tblSales[[#This Row],[Product Code]],tblProducts[Code],tblProducts[Selling Price (excl. VAT)],0)</f>
        <v>150000</v>
      </c>
      <c r="K999" s="5">
        <f>tblSales[[#This Row],[Qty]]*tblSales[[#This Row],[Unit Price]]</f>
        <v>900000</v>
      </c>
      <c r="L999" s="5">
        <f>ROUND(tblSales[[#This Row],[DPP (excl. VAT)]]*VATEff,0)</f>
        <v>99000</v>
      </c>
      <c r="M999" s="5">
        <f>tblSales[[#This Row],[DPP (excl. VAT)]]+tblSales[[#This Row],[Output VAT]]</f>
        <v>999000</v>
      </c>
      <c r="N999" s="5">
        <f>tblSales[[#This Row],[Qty]]*_xlfn.XLOOKUP(tblSales[[#This Row],[Product Code]],tblProducts[Code],tblProducts[Unit Cost],0)</f>
        <v>528000</v>
      </c>
      <c r="O999" s="4" t="s">
        <v>4866</v>
      </c>
      <c r="P999" s="4" t="s">
        <v>4861</v>
      </c>
      <c r="Q999" s="1" t="str">
        <f>_xlfn.XLOOKUP(tblSales[[#This Row],[Channel Code]],tblChannels[Channel Code],tblChannels[Channel Name],"")</f>
        <v>Marketplace</v>
      </c>
      <c r="R999" s="1">
        <f>MONTH(tblSales[[#This Row],[Date]])</f>
        <v>3</v>
      </c>
    </row>
    <row r="1000" spans="2:18" x14ac:dyDescent="0.35">
      <c r="B1000" s="113">
        <v>46087</v>
      </c>
      <c r="C1000" s="4" t="s">
        <v>700</v>
      </c>
      <c r="D1000" s="4" t="s">
        <v>4568</v>
      </c>
      <c r="E1000" s="1" t="str">
        <f>_xlfn.XLOOKUP(tblSales[[#This Row],[Customer ID]],tblCustomers[Customer ID],tblCustomers[Customer Name],"⚠ Unknown")</f>
        <v>Walk-in Customer</v>
      </c>
      <c r="F1000" s="4" t="s">
        <v>13</v>
      </c>
      <c r="G1000" s="1" t="str">
        <f>_xlfn.XLOOKUP(tblSales[[#This Row],[Product Code]],tblProducts[Code],tblProducts[Product / Service Name],"⚠ Unknown")</f>
        <v>Backpack</v>
      </c>
      <c r="H1000" s="1" t="str">
        <f>_xlfn.XLOOKUP(tblSales[[#This Row],[Product Code]],tblProducts[Code],tblProducts[Category],"")</f>
        <v>Bags &amp; Gadgets</v>
      </c>
      <c r="I1000" s="4">
        <v>5</v>
      </c>
      <c r="J1000" s="5">
        <f>_xlfn.XLOOKUP(tblSales[[#This Row],[Product Code]],tblProducts[Code],tblProducts[Selling Price (excl. VAT)],0)</f>
        <v>500000</v>
      </c>
      <c r="K1000" s="5">
        <f>tblSales[[#This Row],[Qty]]*tblSales[[#This Row],[Unit Price]]</f>
        <v>2500000</v>
      </c>
      <c r="L1000" s="5">
        <f>ROUND(tblSales[[#This Row],[DPP (excl. VAT)]]*VATEff,0)</f>
        <v>275000</v>
      </c>
      <c r="M1000" s="5">
        <f>tblSales[[#This Row],[DPP (excl. VAT)]]+tblSales[[#This Row],[Output VAT]]</f>
        <v>2775000</v>
      </c>
      <c r="N1000" s="5">
        <f>tblSales[[#This Row],[Qty]]*_xlfn.XLOOKUP(tblSales[[#This Row],[Product Code]],tblProducts[Code],tblProducts[Unit Cost],0)</f>
        <v>1450000</v>
      </c>
      <c r="O1000" s="4" t="s">
        <v>4866</v>
      </c>
      <c r="P1000" s="4" t="s">
        <v>4861</v>
      </c>
      <c r="Q1000" s="1" t="str">
        <f>_xlfn.XLOOKUP(tblSales[[#This Row],[Channel Code]],tblChannels[Channel Code],tblChannels[Channel Name],"")</f>
        <v>Marketplace</v>
      </c>
      <c r="R1000" s="1">
        <f>MONTH(tblSales[[#This Row],[Date]])</f>
        <v>3</v>
      </c>
    </row>
    <row r="1001" spans="2:18" x14ac:dyDescent="0.35">
      <c r="B1001" s="113">
        <v>46087</v>
      </c>
      <c r="C1001" s="4" t="s">
        <v>701</v>
      </c>
      <c r="D1001" s="4" t="s">
        <v>4568</v>
      </c>
      <c r="E1001" s="1" t="str">
        <f>_xlfn.XLOOKUP(tblSales[[#This Row],[Customer ID]],tblCustomers[Customer ID],tblCustomers[Customer Name],"⚠ Unknown")</f>
        <v>Walk-in Customer</v>
      </c>
      <c r="F1001" s="4" t="s">
        <v>11</v>
      </c>
      <c r="G1001" s="1" t="str">
        <f>_xlfn.XLOOKUP(tblSales[[#This Row],[Product Code]],tblProducts[Code],tblProducts[Product / Service Name],"⚠ Unknown")</f>
        <v>Sneakers</v>
      </c>
      <c r="H1001" s="1" t="str">
        <f>_xlfn.XLOOKUP(tblSales[[#This Row],[Product Code]],tblProducts[Code],tblProducts[Category],"")</f>
        <v>Apparel &amp; Footwear</v>
      </c>
      <c r="I1001" s="4">
        <v>2</v>
      </c>
      <c r="J1001" s="5">
        <f>_xlfn.XLOOKUP(tblSales[[#This Row],[Product Code]],tblProducts[Code],tblProducts[Selling Price (excl. VAT)],0)</f>
        <v>250000</v>
      </c>
      <c r="K1001" s="5">
        <f>tblSales[[#This Row],[Qty]]*tblSales[[#This Row],[Unit Price]]</f>
        <v>500000</v>
      </c>
      <c r="L1001" s="5">
        <f>ROUND(tblSales[[#This Row],[DPP (excl. VAT)]]*VATEff,0)</f>
        <v>55000</v>
      </c>
      <c r="M1001" s="5">
        <f>tblSales[[#This Row],[DPP (excl. VAT)]]+tblSales[[#This Row],[Output VAT]]</f>
        <v>555000</v>
      </c>
      <c r="N1001" s="5">
        <f>tblSales[[#This Row],[Qty]]*_xlfn.XLOOKUP(tblSales[[#This Row],[Product Code]],tblProducts[Code],tblProducts[Unit Cost],0)</f>
        <v>310000</v>
      </c>
      <c r="O1001" s="4" t="s">
        <v>4866</v>
      </c>
      <c r="P1001" s="4" t="s">
        <v>4861</v>
      </c>
      <c r="Q1001" s="1" t="str">
        <f>_xlfn.XLOOKUP(tblSales[[#This Row],[Channel Code]],tblChannels[Channel Code],tblChannels[Channel Name],"")</f>
        <v>Marketplace</v>
      </c>
      <c r="R1001" s="1">
        <f>MONTH(tblSales[[#This Row],[Date]])</f>
        <v>3</v>
      </c>
    </row>
    <row r="1002" spans="2:18" x14ac:dyDescent="0.35">
      <c r="B1002" s="113">
        <v>46087</v>
      </c>
      <c r="C1002" s="4" t="s">
        <v>701</v>
      </c>
      <c r="D1002" s="4" t="s">
        <v>4568</v>
      </c>
      <c r="E1002" s="1" t="str">
        <f>_xlfn.XLOOKUP(tblSales[[#This Row],[Customer ID]],tblCustomers[Customer ID],tblCustomers[Customer Name],"⚠ Unknown")</f>
        <v>Walk-in Customer</v>
      </c>
      <c r="F1002" s="4" t="s">
        <v>8</v>
      </c>
      <c r="G1002" s="1" t="str">
        <f>_xlfn.XLOOKUP(tblSales[[#This Row],[Product Code]],tblProducts[Code],tblProducts[Product / Service Name],"⚠ Unknown")</f>
        <v>Casual Shorts</v>
      </c>
      <c r="H1002" s="1" t="str">
        <f>_xlfn.XLOOKUP(tblSales[[#This Row],[Product Code]],tblProducts[Code],tblProducts[Category],"")</f>
        <v>Accessories &amp; Basics</v>
      </c>
      <c r="I1002" s="4">
        <v>5</v>
      </c>
      <c r="J1002" s="5">
        <f>_xlfn.XLOOKUP(tblSales[[#This Row],[Product Code]],tblProducts[Code],tblProducts[Selling Price (excl. VAT)],0)</f>
        <v>85000</v>
      </c>
      <c r="K1002" s="5">
        <f>tblSales[[#This Row],[Qty]]*tblSales[[#This Row],[Unit Price]]</f>
        <v>425000</v>
      </c>
      <c r="L1002" s="5">
        <f>ROUND(tblSales[[#This Row],[DPP (excl. VAT)]]*VATEff,0)</f>
        <v>46750</v>
      </c>
      <c r="M1002" s="5">
        <f>tblSales[[#This Row],[DPP (excl. VAT)]]+tblSales[[#This Row],[Output VAT]]</f>
        <v>471750</v>
      </c>
      <c r="N1002" s="5">
        <f>tblSales[[#This Row],[Qty]]*_xlfn.XLOOKUP(tblSales[[#This Row],[Product Code]],tblProducts[Code],tblProducts[Unit Cost],0)</f>
        <v>250000</v>
      </c>
      <c r="O1002" s="4" t="s">
        <v>4866</v>
      </c>
      <c r="P1002" s="4" t="s">
        <v>4861</v>
      </c>
      <c r="Q1002" s="1" t="str">
        <f>_xlfn.XLOOKUP(tblSales[[#This Row],[Channel Code]],tblChannels[Channel Code],tblChannels[Channel Name],"")</f>
        <v>Marketplace</v>
      </c>
      <c r="R1002" s="1">
        <f>MONTH(tblSales[[#This Row],[Date]])</f>
        <v>3</v>
      </c>
    </row>
    <row r="1003" spans="2:18" x14ac:dyDescent="0.35">
      <c r="B1003" s="113">
        <v>46087</v>
      </c>
      <c r="C1003" s="4" t="s">
        <v>701</v>
      </c>
      <c r="D1003" s="4" t="s">
        <v>4568</v>
      </c>
      <c r="E1003" s="1" t="str">
        <f>_xlfn.XLOOKUP(tblSales[[#This Row],[Customer ID]],tblCustomers[Customer ID],tblCustomers[Customer Name],"⚠ Unknown")</f>
        <v>Walk-in Customer</v>
      </c>
      <c r="F1003" s="4" t="s">
        <v>6</v>
      </c>
      <c r="G1003" s="1" t="str">
        <f>_xlfn.XLOOKUP(tblSales[[#This Row],[Product Code]],tblProducts[Code],tblProducts[Product / Service Name],"⚠ Unknown")</f>
        <v>Socks &amp; Accessories</v>
      </c>
      <c r="H1003" s="1" t="str">
        <f>_xlfn.XLOOKUP(tblSales[[#This Row],[Product Code]],tblProducts[Code],tblProducts[Category],"")</f>
        <v>Accessories &amp; Basics</v>
      </c>
      <c r="I1003" s="4">
        <v>2</v>
      </c>
      <c r="J1003" s="5">
        <f>_xlfn.XLOOKUP(tblSales[[#This Row],[Product Code]],tblProducts[Code],tblProducts[Selling Price (excl. VAT)],0)</f>
        <v>45000</v>
      </c>
      <c r="K1003" s="5">
        <f>tblSales[[#This Row],[Qty]]*tblSales[[#This Row],[Unit Price]]</f>
        <v>90000</v>
      </c>
      <c r="L1003" s="5">
        <f>ROUND(tblSales[[#This Row],[DPP (excl. VAT)]]*VATEff,0)</f>
        <v>9900</v>
      </c>
      <c r="M1003" s="5">
        <f>tblSales[[#This Row],[DPP (excl. VAT)]]+tblSales[[#This Row],[Output VAT]]</f>
        <v>99900</v>
      </c>
      <c r="N1003" s="5">
        <f>tblSales[[#This Row],[Qty]]*_xlfn.XLOOKUP(tblSales[[#This Row],[Product Code]],tblProducts[Code],tblProducts[Unit Cost],0)</f>
        <v>48000</v>
      </c>
      <c r="O1003" s="4" t="s">
        <v>4866</v>
      </c>
      <c r="P1003" s="4" t="s">
        <v>4861</v>
      </c>
      <c r="Q1003" s="1" t="str">
        <f>_xlfn.XLOOKUP(tblSales[[#This Row],[Channel Code]],tblChannels[Channel Code],tblChannels[Channel Name],"")</f>
        <v>Marketplace</v>
      </c>
      <c r="R1003" s="1">
        <f>MONTH(tblSales[[#This Row],[Date]])</f>
        <v>3</v>
      </c>
    </row>
    <row r="1004" spans="2:18" x14ac:dyDescent="0.35">
      <c r="B1004" s="113">
        <v>46087</v>
      </c>
      <c r="C1004" s="4" t="s">
        <v>702</v>
      </c>
      <c r="D1004" s="4" t="s">
        <v>4568</v>
      </c>
      <c r="E1004" s="1" t="str">
        <f>_xlfn.XLOOKUP(tblSales[[#This Row],[Customer ID]],tblCustomers[Customer ID],tblCustomers[Customer Name],"⚠ Unknown")</f>
        <v>Walk-in Customer</v>
      </c>
      <c r="F1004" s="4" t="s">
        <v>15</v>
      </c>
      <c r="G1004" s="1" t="str">
        <f>_xlfn.XLOOKUP(tblSales[[#This Row],[Product Code]],tblProducts[Code],tblProducts[Product / Service Name],"⚠ Unknown")</f>
        <v>Wireless Earbuds Pro</v>
      </c>
      <c r="H1004" s="1" t="str">
        <f>_xlfn.XLOOKUP(tblSales[[#This Row],[Product Code]],tblProducts[Code],tblProducts[Category],"")</f>
        <v>Bags &amp; Gadgets</v>
      </c>
      <c r="I1004" s="4">
        <v>1</v>
      </c>
      <c r="J1004" s="5">
        <f>_xlfn.XLOOKUP(tblSales[[#This Row],[Product Code]],tblProducts[Code],tblProducts[Selling Price (excl. VAT)],0)</f>
        <v>1250000</v>
      </c>
      <c r="K1004" s="5">
        <f>tblSales[[#This Row],[Qty]]*tblSales[[#This Row],[Unit Price]]</f>
        <v>1250000</v>
      </c>
      <c r="L1004" s="5">
        <f>ROUND(tblSales[[#This Row],[DPP (excl. VAT)]]*VATEff,0)</f>
        <v>137500</v>
      </c>
      <c r="M1004" s="5">
        <f>tblSales[[#This Row],[DPP (excl. VAT)]]+tblSales[[#This Row],[Output VAT]]</f>
        <v>1387500</v>
      </c>
      <c r="N1004" s="5">
        <f>tblSales[[#This Row],[Qty]]*_xlfn.XLOOKUP(tblSales[[#This Row],[Product Code]],tblProducts[Code],tblProducts[Unit Cost],0)</f>
        <v>820000</v>
      </c>
      <c r="O1004" s="4" t="s">
        <v>4865</v>
      </c>
      <c r="P1004" s="4" t="s">
        <v>4860</v>
      </c>
      <c r="Q1004" s="1" t="str">
        <f>_xlfn.XLOOKUP(tblSales[[#This Row],[Channel Code]],tblChannels[Channel Code],tblChannels[Channel Name],"")</f>
        <v>In-store</v>
      </c>
      <c r="R1004" s="1">
        <f>MONTH(tblSales[[#This Row],[Date]])</f>
        <v>3</v>
      </c>
    </row>
    <row r="1005" spans="2:18" x14ac:dyDescent="0.35">
      <c r="B1005" s="113">
        <v>46087</v>
      </c>
      <c r="C1005" s="4" t="s">
        <v>702</v>
      </c>
      <c r="D1005" s="4" t="s">
        <v>4568</v>
      </c>
      <c r="E1005" s="1" t="str">
        <f>_xlfn.XLOOKUP(tblSales[[#This Row],[Customer ID]],tblCustomers[Customer ID],tblCustomers[Customer Name],"⚠ Unknown")</f>
        <v>Walk-in Customer</v>
      </c>
      <c r="F1005" s="4" t="s">
        <v>8</v>
      </c>
      <c r="G1005" s="1" t="str">
        <f>_xlfn.XLOOKUP(tblSales[[#This Row],[Product Code]],tblProducts[Code],tblProducts[Product / Service Name],"⚠ Unknown")</f>
        <v>Casual Shorts</v>
      </c>
      <c r="H1005" s="1" t="str">
        <f>_xlfn.XLOOKUP(tblSales[[#This Row],[Product Code]],tblProducts[Code],tblProducts[Category],"")</f>
        <v>Accessories &amp; Basics</v>
      </c>
      <c r="I1005" s="4">
        <v>6</v>
      </c>
      <c r="J1005" s="5">
        <f>_xlfn.XLOOKUP(tblSales[[#This Row],[Product Code]],tblProducts[Code],tblProducts[Selling Price (excl. VAT)],0)</f>
        <v>85000</v>
      </c>
      <c r="K1005" s="5">
        <f>tblSales[[#This Row],[Qty]]*tblSales[[#This Row],[Unit Price]]</f>
        <v>510000</v>
      </c>
      <c r="L1005" s="5">
        <f>ROUND(tblSales[[#This Row],[DPP (excl. VAT)]]*VATEff,0)</f>
        <v>56100</v>
      </c>
      <c r="M1005" s="5">
        <f>tblSales[[#This Row],[DPP (excl. VAT)]]+tblSales[[#This Row],[Output VAT]]</f>
        <v>566100</v>
      </c>
      <c r="N1005" s="5">
        <f>tblSales[[#This Row],[Qty]]*_xlfn.XLOOKUP(tblSales[[#This Row],[Product Code]],tblProducts[Code],tblProducts[Unit Cost],0)</f>
        <v>300000</v>
      </c>
      <c r="O1005" s="4" t="s">
        <v>4865</v>
      </c>
      <c r="P1005" s="4" t="s">
        <v>4860</v>
      </c>
      <c r="Q1005" s="1" t="str">
        <f>_xlfn.XLOOKUP(tblSales[[#This Row],[Channel Code]],tblChannels[Channel Code],tblChannels[Channel Name],"")</f>
        <v>In-store</v>
      </c>
      <c r="R1005" s="1">
        <f>MONTH(tblSales[[#This Row],[Date]])</f>
        <v>3</v>
      </c>
    </row>
    <row r="1006" spans="2:18" x14ac:dyDescent="0.35">
      <c r="B1006" s="113">
        <v>46087</v>
      </c>
      <c r="C1006" s="4" t="s">
        <v>703</v>
      </c>
      <c r="D1006" s="4" t="s">
        <v>4613</v>
      </c>
      <c r="E1006" s="1" t="str">
        <f>_xlfn.XLOOKUP(tblSales[[#This Row],[Customer ID]],tblCustomers[Customer ID],tblCustomers[Customer Name],"⚠ Unknown")</f>
        <v>PT Mega Prima Distribusi</v>
      </c>
      <c r="F1006" s="4" t="s">
        <v>6</v>
      </c>
      <c r="G1006" s="1" t="str">
        <f>_xlfn.XLOOKUP(tblSales[[#This Row],[Product Code]],tblProducts[Code],tblProducts[Product / Service Name],"⚠ Unknown")</f>
        <v>Socks &amp; Accessories</v>
      </c>
      <c r="H1006" s="1" t="str">
        <f>_xlfn.XLOOKUP(tblSales[[#This Row],[Product Code]],tblProducts[Code],tblProducts[Category],"")</f>
        <v>Accessories &amp; Basics</v>
      </c>
      <c r="I1006" s="4">
        <v>8</v>
      </c>
      <c r="J1006" s="5">
        <f>_xlfn.XLOOKUP(tblSales[[#This Row],[Product Code]],tblProducts[Code],tblProducts[Selling Price (excl. VAT)],0)</f>
        <v>45000</v>
      </c>
      <c r="K1006" s="5">
        <f>tblSales[[#This Row],[Qty]]*tblSales[[#This Row],[Unit Price]]</f>
        <v>360000</v>
      </c>
      <c r="L1006" s="5">
        <f>ROUND(tblSales[[#This Row],[DPP (excl. VAT)]]*VATEff,0)</f>
        <v>39600</v>
      </c>
      <c r="M1006" s="5">
        <f>tblSales[[#This Row],[DPP (excl. VAT)]]+tblSales[[#This Row],[Output VAT]]</f>
        <v>399600</v>
      </c>
      <c r="N1006" s="5">
        <f>tblSales[[#This Row],[Qty]]*_xlfn.XLOOKUP(tblSales[[#This Row],[Product Code]],tblProducts[Code],tblProducts[Unit Cost],0)</f>
        <v>192000</v>
      </c>
      <c r="O1006" s="4" t="s">
        <v>4867</v>
      </c>
      <c r="P1006" s="4" t="s">
        <v>4860</v>
      </c>
      <c r="Q1006" s="1" t="str">
        <f>_xlfn.XLOOKUP(tblSales[[#This Row],[Channel Code]],tblChannels[Channel Code],tblChannels[Channel Name],"")</f>
        <v>In-store</v>
      </c>
      <c r="R1006" s="1">
        <f>MONTH(tblSales[[#This Row],[Date]])</f>
        <v>3</v>
      </c>
    </row>
    <row r="1007" spans="2:18" x14ac:dyDescent="0.35">
      <c r="B1007" s="113">
        <v>46087</v>
      </c>
      <c r="C1007" s="4" t="s">
        <v>704</v>
      </c>
      <c r="D1007" s="4" t="s">
        <v>4599</v>
      </c>
      <c r="E1007" s="1" t="str">
        <f>_xlfn.XLOOKUP(tblSales[[#This Row],[Customer ID]],tblCustomers[Customer ID],tblCustomers[Customer Name],"⚠ Unknown")</f>
        <v>PT Samudra Jaya Logistik</v>
      </c>
      <c r="F1007" s="4" t="s">
        <v>6</v>
      </c>
      <c r="G1007" s="1" t="str">
        <f>_xlfn.XLOOKUP(tblSales[[#This Row],[Product Code]],tblProducts[Code],tblProducts[Product / Service Name],"⚠ Unknown")</f>
        <v>Socks &amp; Accessories</v>
      </c>
      <c r="H1007" s="1" t="str">
        <f>_xlfn.XLOOKUP(tblSales[[#This Row],[Product Code]],tblProducts[Code],tblProducts[Category],"")</f>
        <v>Accessories &amp; Basics</v>
      </c>
      <c r="I1007" s="4">
        <v>56</v>
      </c>
      <c r="J1007" s="5">
        <f>_xlfn.XLOOKUP(tblSales[[#This Row],[Product Code]],tblProducts[Code],tblProducts[Selling Price (excl. VAT)],0)</f>
        <v>45000</v>
      </c>
      <c r="K1007" s="5">
        <f>tblSales[[#This Row],[Qty]]*tblSales[[#This Row],[Unit Price]]</f>
        <v>2520000</v>
      </c>
      <c r="L1007" s="5">
        <f>ROUND(tblSales[[#This Row],[DPP (excl. VAT)]]*VATEff,0)</f>
        <v>277200</v>
      </c>
      <c r="M1007" s="5">
        <f>tblSales[[#This Row],[DPP (excl. VAT)]]+tblSales[[#This Row],[Output VAT]]</f>
        <v>2797200</v>
      </c>
      <c r="N1007" s="5">
        <f>tblSales[[#This Row],[Qty]]*_xlfn.XLOOKUP(tblSales[[#This Row],[Product Code]],tblProducts[Code],tblProducts[Unit Cost],0)</f>
        <v>1344000</v>
      </c>
      <c r="O1007" s="4" t="s">
        <v>4867</v>
      </c>
      <c r="P1007" s="4" t="s">
        <v>4860</v>
      </c>
      <c r="Q1007" s="1" t="str">
        <f>_xlfn.XLOOKUP(tblSales[[#This Row],[Channel Code]],tblChannels[Channel Code],tblChannels[Channel Name],"")</f>
        <v>In-store</v>
      </c>
      <c r="R1007" s="1">
        <f>MONTH(tblSales[[#This Row],[Date]])</f>
        <v>3</v>
      </c>
    </row>
    <row r="1008" spans="2:18" x14ac:dyDescent="0.35">
      <c r="B1008" s="113">
        <v>46087</v>
      </c>
      <c r="C1008" s="4" t="s">
        <v>705</v>
      </c>
      <c r="D1008" s="4" t="s">
        <v>4568</v>
      </c>
      <c r="E1008" s="1" t="str">
        <f>_xlfn.XLOOKUP(tblSales[[#This Row],[Customer ID]],tblCustomers[Customer ID],tblCustomers[Customer Name],"⚠ Unknown")</f>
        <v>Walk-in Customer</v>
      </c>
      <c r="F1008" s="4" t="s">
        <v>10</v>
      </c>
      <c r="G1008" s="1" t="str">
        <f>_xlfn.XLOOKUP(tblSales[[#This Row],[Product Code]],tblProducts[Code],tblProducts[Product / Service Name],"⚠ Unknown")</f>
        <v>Chino Pants</v>
      </c>
      <c r="H1008" s="1" t="str">
        <f>_xlfn.XLOOKUP(tblSales[[#This Row],[Product Code]],tblProducts[Code],tblProducts[Category],"")</f>
        <v>Apparel &amp; Footwear</v>
      </c>
      <c r="I1008" s="4">
        <v>7</v>
      </c>
      <c r="J1008" s="5">
        <f>_xlfn.XLOOKUP(tblSales[[#This Row],[Product Code]],tblProducts[Code],tblProducts[Selling Price (excl. VAT)],0)</f>
        <v>150000</v>
      </c>
      <c r="K1008" s="5">
        <f>tblSales[[#This Row],[Qty]]*tblSales[[#This Row],[Unit Price]]</f>
        <v>1050000</v>
      </c>
      <c r="L1008" s="5">
        <f>ROUND(tblSales[[#This Row],[DPP (excl. VAT)]]*VATEff,0)</f>
        <v>115500</v>
      </c>
      <c r="M1008" s="5">
        <f>tblSales[[#This Row],[DPP (excl. VAT)]]+tblSales[[#This Row],[Output VAT]]</f>
        <v>1165500</v>
      </c>
      <c r="N1008" s="5">
        <f>tblSales[[#This Row],[Qty]]*_xlfn.XLOOKUP(tblSales[[#This Row],[Product Code]],tblProducts[Code],tblProducts[Unit Cost],0)</f>
        <v>616000</v>
      </c>
      <c r="O1008" s="4" t="s">
        <v>4866</v>
      </c>
      <c r="P1008" s="4" t="s">
        <v>4860</v>
      </c>
      <c r="Q1008" s="1" t="str">
        <f>_xlfn.XLOOKUP(tblSales[[#This Row],[Channel Code]],tblChannels[Channel Code],tblChannels[Channel Name],"")</f>
        <v>In-store</v>
      </c>
      <c r="R1008" s="1">
        <f>MONTH(tblSales[[#This Row],[Date]])</f>
        <v>3</v>
      </c>
    </row>
    <row r="1009" spans="2:18" x14ac:dyDescent="0.35">
      <c r="B1009" s="113">
        <v>46087</v>
      </c>
      <c r="C1009" s="4" t="s">
        <v>706</v>
      </c>
      <c r="D1009" s="4" t="s">
        <v>4568</v>
      </c>
      <c r="E1009" s="1" t="str">
        <f>_xlfn.XLOOKUP(tblSales[[#This Row],[Customer ID]],tblCustomers[Customer ID],tblCustomers[Customer Name],"⚠ Unknown")</f>
        <v>Walk-in Customer</v>
      </c>
      <c r="F1009" s="4" t="s">
        <v>15</v>
      </c>
      <c r="G1009" s="1" t="str">
        <f>_xlfn.XLOOKUP(tblSales[[#This Row],[Product Code]],tblProducts[Code],tblProducts[Product / Service Name],"⚠ Unknown")</f>
        <v>Wireless Earbuds Pro</v>
      </c>
      <c r="H1009" s="1" t="str">
        <f>_xlfn.XLOOKUP(tblSales[[#This Row],[Product Code]],tblProducts[Code],tblProducts[Category],"")</f>
        <v>Bags &amp; Gadgets</v>
      </c>
      <c r="I1009" s="4">
        <v>1</v>
      </c>
      <c r="J1009" s="5">
        <f>_xlfn.XLOOKUP(tblSales[[#This Row],[Product Code]],tblProducts[Code],tblProducts[Selling Price (excl. VAT)],0)</f>
        <v>1250000</v>
      </c>
      <c r="K1009" s="5">
        <f>tblSales[[#This Row],[Qty]]*tblSales[[#This Row],[Unit Price]]</f>
        <v>1250000</v>
      </c>
      <c r="L1009" s="5">
        <f>ROUND(tblSales[[#This Row],[DPP (excl. VAT)]]*VATEff,0)</f>
        <v>137500</v>
      </c>
      <c r="M1009" s="5">
        <f>tblSales[[#This Row],[DPP (excl. VAT)]]+tblSales[[#This Row],[Output VAT]]</f>
        <v>1387500</v>
      </c>
      <c r="N1009" s="5">
        <f>tblSales[[#This Row],[Qty]]*_xlfn.XLOOKUP(tblSales[[#This Row],[Product Code]],tblProducts[Code],tblProducts[Unit Cost],0)</f>
        <v>820000</v>
      </c>
      <c r="O1009" s="4" t="s">
        <v>4866</v>
      </c>
      <c r="P1009" s="4" t="s">
        <v>4861</v>
      </c>
      <c r="Q1009" s="1" t="str">
        <f>_xlfn.XLOOKUP(tblSales[[#This Row],[Channel Code]],tblChannels[Channel Code],tblChannels[Channel Name],"")</f>
        <v>Marketplace</v>
      </c>
      <c r="R1009" s="1">
        <f>MONTH(tblSales[[#This Row],[Date]])</f>
        <v>3</v>
      </c>
    </row>
    <row r="1010" spans="2:18" x14ac:dyDescent="0.35">
      <c r="B1010" s="113">
        <v>46087</v>
      </c>
      <c r="C1010" s="4" t="s">
        <v>707</v>
      </c>
      <c r="D1010" s="4" t="s">
        <v>4606</v>
      </c>
      <c r="E1010" s="1" t="str">
        <f>_xlfn.XLOOKUP(tblSales[[#This Row],[Customer ID]],tblCustomers[Customer ID],tblCustomers[Customer Name],"⚠ Unknown")</f>
        <v>PT Arunika Digital Kreatif</v>
      </c>
      <c r="F1010" s="4" t="s">
        <v>6</v>
      </c>
      <c r="G1010" s="1" t="str">
        <f>_xlfn.XLOOKUP(tblSales[[#This Row],[Product Code]],tblProducts[Code],tblProducts[Product / Service Name],"⚠ Unknown")</f>
        <v>Socks &amp; Accessories</v>
      </c>
      <c r="H1010" s="1" t="str">
        <f>_xlfn.XLOOKUP(tblSales[[#This Row],[Product Code]],tblProducts[Code],tblProducts[Category],"")</f>
        <v>Accessories &amp; Basics</v>
      </c>
      <c r="I1010" s="4">
        <v>64</v>
      </c>
      <c r="J1010" s="5">
        <f>_xlfn.XLOOKUP(tblSales[[#This Row],[Product Code]],tblProducts[Code],tblProducts[Selling Price (excl. VAT)],0)</f>
        <v>45000</v>
      </c>
      <c r="K1010" s="5">
        <f>tblSales[[#This Row],[Qty]]*tblSales[[#This Row],[Unit Price]]</f>
        <v>2880000</v>
      </c>
      <c r="L1010" s="5">
        <f>ROUND(tblSales[[#This Row],[DPP (excl. VAT)]]*VATEff,0)</f>
        <v>316800</v>
      </c>
      <c r="M1010" s="5">
        <f>tblSales[[#This Row],[DPP (excl. VAT)]]+tblSales[[#This Row],[Output VAT]]</f>
        <v>3196800</v>
      </c>
      <c r="N1010" s="5">
        <f>tblSales[[#This Row],[Qty]]*_xlfn.XLOOKUP(tblSales[[#This Row],[Product Code]],tblProducts[Code],tblProducts[Unit Cost],0)</f>
        <v>1536000</v>
      </c>
      <c r="O1010" s="4" t="s">
        <v>4867</v>
      </c>
      <c r="P1010" s="4" t="s">
        <v>4860</v>
      </c>
      <c r="Q1010" s="1" t="str">
        <f>_xlfn.XLOOKUP(tblSales[[#This Row],[Channel Code]],tblChannels[Channel Code],tblChannels[Channel Name],"")</f>
        <v>In-store</v>
      </c>
      <c r="R1010" s="1">
        <f>MONTH(tblSales[[#This Row],[Date]])</f>
        <v>3</v>
      </c>
    </row>
    <row r="1011" spans="2:18" x14ac:dyDescent="0.35">
      <c r="B1011" s="113">
        <v>46087</v>
      </c>
      <c r="C1011" s="4" t="s">
        <v>708</v>
      </c>
      <c r="D1011" s="4" t="s">
        <v>4568</v>
      </c>
      <c r="E1011" s="1" t="str">
        <f>_xlfn.XLOOKUP(tblSales[[#This Row],[Customer ID]],tblCustomers[Customer ID],tblCustomers[Customer Name],"⚠ Unknown")</f>
        <v>Walk-in Customer</v>
      </c>
      <c r="F1011" s="4" t="s">
        <v>7</v>
      </c>
      <c r="G1011" s="1" t="str">
        <f>_xlfn.XLOOKUP(tblSales[[#This Row],[Product Code]],tblProducts[Code],tblProducts[Product / Service Name],"⚠ Unknown")</f>
        <v>Premium Basic T-shirt</v>
      </c>
      <c r="H1011" s="1" t="str">
        <f>_xlfn.XLOOKUP(tblSales[[#This Row],[Product Code]],tblProducts[Code],tblProducts[Category],"")</f>
        <v>Accessories &amp; Basics</v>
      </c>
      <c r="I1011" s="4">
        <v>6</v>
      </c>
      <c r="J1011" s="5">
        <f>_xlfn.XLOOKUP(tblSales[[#This Row],[Product Code]],tblProducts[Code],tblProducts[Selling Price (excl. VAT)],0)</f>
        <v>65000</v>
      </c>
      <c r="K1011" s="5">
        <f>tblSales[[#This Row],[Qty]]*tblSales[[#This Row],[Unit Price]]</f>
        <v>390000</v>
      </c>
      <c r="L1011" s="5">
        <f>ROUND(tblSales[[#This Row],[DPP (excl. VAT)]]*VATEff,0)</f>
        <v>42900</v>
      </c>
      <c r="M1011" s="5">
        <f>tblSales[[#This Row],[DPP (excl. VAT)]]+tblSales[[#This Row],[Output VAT]]</f>
        <v>432900</v>
      </c>
      <c r="N1011" s="5">
        <f>tblSales[[#This Row],[Qty]]*_xlfn.XLOOKUP(tblSales[[#This Row],[Product Code]],tblProducts[Code],tblProducts[Unit Cost],0)</f>
        <v>222000</v>
      </c>
      <c r="O1011" s="4" t="s">
        <v>4866</v>
      </c>
      <c r="P1011" s="4" t="s">
        <v>4861</v>
      </c>
      <c r="Q1011" s="1" t="str">
        <f>_xlfn.XLOOKUP(tblSales[[#This Row],[Channel Code]],tblChannels[Channel Code],tblChannels[Channel Name],"")</f>
        <v>Marketplace</v>
      </c>
      <c r="R1011" s="1">
        <f>MONTH(tblSales[[#This Row],[Date]])</f>
        <v>3</v>
      </c>
    </row>
    <row r="1012" spans="2:18" x14ac:dyDescent="0.35">
      <c r="B1012" s="113">
        <v>46087</v>
      </c>
      <c r="C1012" s="4" t="s">
        <v>708</v>
      </c>
      <c r="D1012" s="4" t="s">
        <v>4568</v>
      </c>
      <c r="E1012" s="1" t="str">
        <f>_xlfn.XLOOKUP(tblSales[[#This Row],[Customer ID]],tblCustomers[Customer ID],tblCustomers[Customer Name],"⚠ Unknown")</f>
        <v>Walk-in Customer</v>
      </c>
      <c r="F1012" s="4" t="s">
        <v>13</v>
      </c>
      <c r="G1012" s="1" t="str">
        <f>_xlfn.XLOOKUP(tblSales[[#This Row],[Product Code]],tblProducts[Code],tblProducts[Product / Service Name],"⚠ Unknown")</f>
        <v>Backpack</v>
      </c>
      <c r="H1012" s="1" t="str">
        <f>_xlfn.XLOOKUP(tblSales[[#This Row],[Product Code]],tblProducts[Code],tblProducts[Category],"")</f>
        <v>Bags &amp; Gadgets</v>
      </c>
      <c r="I1012" s="4">
        <v>3</v>
      </c>
      <c r="J1012" s="5">
        <f>_xlfn.XLOOKUP(tblSales[[#This Row],[Product Code]],tblProducts[Code],tblProducts[Selling Price (excl. VAT)],0)</f>
        <v>500000</v>
      </c>
      <c r="K1012" s="5">
        <f>tblSales[[#This Row],[Qty]]*tblSales[[#This Row],[Unit Price]]</f>
        <v>1500000</v>
      </c>
      <c r="L1012" s="5">
        <f>ROUND(tblSales[[#This Row],[DPP (excl. VAT)]]*VATEff,0)</f>
        <v>165000</v>
      </c>
      <c r="M1012" s="5">
        <f>tblSales[[#This Row],[DPP (excl. VAT)]]+tblSales[[#This Row],[Output VAT]]</f>
        <v>1665000</v>
      </c>
      <c r="N1012" s="5">
        <f>tblSales[[#This Row],[Qty]]*_xlfn.XLOOKUP(tblSales[[#This Row],[Product Code]],tblProducts[Code],tblProducts[Unit Cost],0)</f>
        <v>870000</v>
      </c>
      <c r="O1012" s="4" t="s">
        <v>4866</v>
      </c>
      <c r="P1012" s="4" t="s">
        <v>4861</v>
      </c>
      <c r="Q1012" s="1" t="str">
        <f>_xlfn.XLOOKUP(tblSales[[#This Row],[Channel Code]],tblChannels[Channel Code],tblChannels[Channel Name],"")</f>
        <v>Marketplace</v>
      </c>
      <c r="R1012" s="1">
        <f>MONTH(tblSales[[#This Row],[Date]])</f>
        <v>3</v>
      </c>
    </row>
    <row r="1013" spans="2:18" x14ac:dyDescent="0.35">
      <c r="B1013" s="113">
        <v>46087</v>
      </c>
      <c r="C1013" s="4" t="s">
        <v>709</v>
      </c>
      <c r="D1013" s="4" t="s">
        <v>4568</v>
      </c>
      <c r="E1013" s="1" t="str">
        <f>_xlfn.XLOOKUP(tblSales[[#This Row],[Customer ID]],tblCustomers[Customer ID],tblCustomers[Customer Name],"⚠ Unknown")</f>
        <v>Walk-in Customer</v>
      </c>
      <c r="F1013" s="4" t="s">
        <v>9</v>
      </c>
      <c r="G1013" s="1" t="str">
        <f>_xlfn.XLOOKUP(tblSales[[#This Row],[Product Code]],tblProducts[Code],tblProducts[Product / Service Name],"⚠ Unknown")</f>
        <v>Casual Shirt</v>
      </c>
      <c r="H1013" s="1" t="str">
        <f>_xlfn.XLOOKUP(tblSales[[#This Row],[Product Code]],tblProducts[Code],tblProducts[Category],"")</f>
        <v>Apparel &amp; Footwear</v>
      </c>
      <c r="I1013" s="4">
        <v>5</v>
      </c>
      <c r="J1013" s="5">
        <f>_xlfn.XLOOKUP(tblSales[[#This Row],[Product Code]],tblProducts[Code],tblProducts[Selling Price (excl. VAT)],0)</f>
        <v>120000</v>
      </c>
      <c r="K1013" s="5">
        <f>tblSales[[#This Row],[Qty]]*tblSales[[#This Row],[Unit Price]]</f>
        <v>600000</v>
      </c>
      <c r="L1013" s="5">
        <f>ROUND(tblSales[[#This Row],[DPP (excl. VAT)]]*VATEff,0)</f>
        <v>66000</v>
      </c>
      <c r="M1013" s="5">
        <f>tblSales[[#This Row],[DPP (excl. VAT)]]+tblSales[[#This Row],[Output VAT]]</f>
        <v>666000</v>
      </c>
      <c r="N1013" s="5">
        <f>tblSales[[#This Row],[Qty]]*_xlfn.XLOOKUP(tblSales[[#This Row],[Product Code]],tblProducts[Code],tblProducts[Unit Cost],0)</f>
        <v>360000</v>
      </c>
      <c r="O1013" s="4" t="s">
        <v>4866</v>
      </c>
      <c r="P1013" s="4" t="s">
        <v>4861</v>
      </c>
      <c r="Q1013" s="1" t="str">
        <f>_xlfn.XLOOKUP(tblSales[[#This Row],[Channel Code]],tblChannels[Channel Code],tblChannels[Channel Name],"")</f>
        <v>Marketplace</v>
      </c>
      <c r="R1013" s="1">
        <f>MONTH(tblSales[[#This Row],[Date]])</f>
        <v>3</v>
      </c>
    </row>
    <row r="1014" spans="2:18" x14ac:dyDescent="0.35">
      <c r="B1014" s="113">
        <v>46087</v>
      </c>
      <c r="C1014" s="4" t="s">
        <v>710</v>
      </c>
      <c r="D1014" s="4" t="s">
        <v>4627</v>
      </c>
      <c r="E1014" s="1" t="str">
        <f>_xlfn.XLOOKUP(tblSales[[#This Row],[Customer ID]],tblCustomers[Customer ID],tblCustomers[Customer Name],"⚠ Unknown")</f>
        <v>PT Kencana Wira Usaha</v>
      </c>
      <c r="F1014" s="4" t="s">
        <v>14</v>
      </c>
      <c r="G1014" s="1" t="str">
        <f>_xlfn.XLOOKUP(tblSales[[#This Row],[Product Code]],tblProducts[Code],tblProducts[Product / Service Name],"⚠ Unknown")</f>
        <v>Smartwatch</v>
      </c>
      <c r="H1014" s="1" t="str">
        <f>_xlfn.XLOOKUP(tblSales[[#This Row],[Product Code]],tblProducts[Code],tblProducts[Category],"")</f>
        <v>Bags &amp; Gadgets</v>
      </c>
      <c r="I1014" s="4">
        <v>8</v>
      </c>
      <c r="J1014" s="5">
        <f>_xlfn.XLOOKUP(tblSales[[#This Row],[Product Code]],tblProducts[Code],tblProducts[Selling Price (excl. VAT)],0)</f>
        <v>850000</v>
      </c>
      <c r="K1014" s="5">
        <f>tblSales[[#This Row],[Qty]]*tblSales[[#This Row],[Unit Price]]</f>
        <v>6800000</v>
      </c>
      <c r="L1014" s="5">
        <f>ROUND(tblSales[[#This Row],[DPP (excl. VAT)]]*VATEff,0)</f>
        <v>748000</v>
      </c>
      <c r="M1014" s="5">
        <f>tblSales[[#This Row],[DPP (excl. VAT)]]+tblSales[[#This Row],[Output VAT]]</f>
        <v>7548000</v>
      </c>
      <c r="N1014" s="5">
        <f>tblSales[[#This Row],[Qty]]*_xlfn.XLOOKUP(tblSales[[#This Row],[Product Code]],tblProducts[Code],tblProducts[Unit Cost],0)</f>
        <v>4480000</v>
      </c>
      <c r="O1014" s="4" t="s">
        <v>4867</v>
      </c>
      <c r="P1014" s="4" t="s">
        <v>4860</v>
      </c>
      <c r="Q1014" s="1" t="str">
        <f>_xlfn.XLOOKUP(tblSales[[#This Row],[Channel Code]],tblChannels[Channel Code],tblChannels[Channel Name],"")</f>
        <v>In-store</v>
      </c>
      <c r="R1014" s="1">
        <f>MONTH(tblSales[[#This Row],[Date]])</f>
        <v>3</v>
      </c>
    </row>
    <row r="1015" spans="2:18" x14ac:dyDescent="0.35">
      <c r="B1015" s="113">
        <v>46087</v>
      </c>
      <c r="C1015" s="4" t="s">
        <v>711</v>
      </c>
      <c r="D1015" s="4" t="s">
        <v>4568</v>
      </c>
      <c r="E1015" s="1" t="str">
        <f>_xlfn.XLOOKUP(tblSales[[#This Row],[Customer ID]],tblCustomers[Customer ID],tblCustomers[Customer Name],"⚠ Unknown")</f>
        <v>Walk-in Customer</v>
      </c>
      <c r="F1015" s="4" t="s">
        <v>12</v>
      </c>
      <c r="G1015" s="1" t="str">
        <f>_xlfn.XLOOKUP(tblSales[[#This Row],[Product Code]],tblProducts[Code],tblProducts[Product / Service Name],"⚠ Unknown")</f>
        <v>Bomber Jacket</v>
      </c>
      <c r="H1015" s="1" t="str">
        <f>_xlfn.XLOOKUP(tblSales[[#This Row],[Product Code]],tblProducts[Code],tblProducts[Category],"")</f>
        <v>Apparel &amp; Footwear</v>
      </c>
      <c r="I1015" s="4">
        <v>3</v>
      </c>
      <c r="J1015" s="5">
        <f>_xlfn.XLOOKUP(tblSales[[#This Row],[Product Code]],tblProducts[Code],tblProducts[Selling Price (excl. VAT)],0)</f>
        <v>350000</v>
      </c>
      <c r="K1015" s="5">
        <f>tblSales[[#This Row],[Qty]]*tblSales[[#This Row],[Unit Price]]</f>
        <v>1050000</v>
      </c>
      <c r="L1015" s="5">
        <f>ROUND(tblSales[[#This Row],[DPP (excl. VAT)]]*VATEff,0)</f>
        <v>115500</v>
      </c>
      <c r="M1015" s="5">
        <f>tblSales[[#This Row],[DPP (excl. VAT)]]+tblSales[[#This Row],[Output VAT]]</f>
        <v>1165500</v>
      </c>
      <c r="N1015" s="5">
        <f>tblSales[[#This Row],[Qty]]*_xlfn.XLOOKUP(tblSales[[#This Row],[Product Code]],tblProducts[Code],tblProducts[Unit Cost],0)</f>
        <v>630000</v>
      </c>
      <c r="O1015" s="4" t="s">
        <v>4866</v>
      </c>
      <c r="P1015" s="4" t="s">
        <v>4860</v>
      </c>
      <c r="Q1015" s="1" t="str">
        <f>_xlfn.XLOOKUP(tblSales[[#This Row],[Channel Code]],tblChannels[Channel Code],tblChannels[Channel Name],"")</f>
        <v>In-store</v>
      </c>
      <c r="R1015" s="1">
        <f>MONTH(tblSales[[#This Row],[Date]])</f>
        <v>3</v>
      </c>
    </row>
    <row r="1016" spans="2:18" x14ac:dyDescent="0.35">
      <c r="B1016" s="113">
        <v>46087</v>
      </c>
      <c r="C1016" s="4" t="s">
        <v>712</v>
      </c>
      <c r="D1016" s="4" t="s">
        <v>4568</v>
      </c>
      <c r="E1016" s="1" t="str">
        <f>_xlfn.XLOOKUP(tblSales[[#This Row],[Customer ID]],tblCustomers[Customer ID],tblCustomers[Customer Name],"⚠ Unknown")</f>
        <v>Walk-in Customer</v>
      </c>
      <c r="F1016" s="4" t="s">
        <v>10</v>
      </c>
      <c r="G1016" s="1" t="str">
        <f>_xlfn.XLOOKUP(tblSales[[#This Row],[Product Code]],tblProducts[Code],tblProducts[Product / Service Name],"⚠ Unknown")</f>
        <v>Chino Pants</v>
      </c>
      <c r="H1016" s="1" t="str">
        <f>_xlfn.XLOOKUP(tblSales[[#This Row],[Product Code]],tblProducts[Code],tblProducts[Category],"")</f>
        <v>Apparel &amp; Footwear</v>
      </c>
      <c r="I1016" s="4">
        <v>9</v>
      </c>
      <c r="J1016" s="5">
        <f>_xlfn.XLOOKUP(tblSales[[#This Row],[Product Code]],tblProducts[Code],tblProducts[Selling Price (excl. VAT)],0)</f>
        <v>150000</v>
      </c>
      <c r="K1016" s="5">
        <f>tblSales[[#This Row],[Qty]]*tblSales[[#This Row],[Unit Price]]</f>
        <v>1350000</v>
      </c>
      <c r="L1016" s="5">
        <f>ROUND(tblSales[[#This Row],[DPP (excl. VAT)]]*VATEff,0)</f>
        <v>148500</v>
      </c>
      <c r="M1016" s="5">
        <f>tblSales[[#This Row],[DPP (excl. VAT)]]+tblSales[[#This Row],[Output VAT]]</f>
        <v>1498500</v>
      </c>
      <c r="N1016" s="5">
        <f>tblSales[[#This Row],[Qty]]*_xlfn.XLOOKUP(tblSales[[#This Row],[Product Code]],tblProducts[Code],tblProducts[Unit Cost],0)</f>
        <v>792000</v>
      </c>
      <c r="O1016" s="4" t="s">
        <v>4866</v>
      </c>
      <c r="P1016" s="4" t="s">
        <v>4861</v>
      </c>
      <c r="Q1016" s="1" t="str">
        <f>_xlfn.XLOOKUP(tblSales[[#This Row],[Channel Code]],tblChannels[Channel Code],tblChannels[Channel Name],"")</f>
        <v>Marketplace</v>
      </c>
      <c r="R1016" s="1">
        <f>MONTH(tblSales[[#This Row],[Date]])</f>
        <v>3</v>
      </c>
    </row>
    <row r="1017" spans="2:18" x14ac:dyDescent="0.35">
      <c r="B1017" s="113">
        <v>46087</v>
      </c>
      <c r="C1017" s="4" t="s">
        <v>713</v>
      </c>
      <c r="D1017" s="4" t="s">
        <v>4568</v>
      </c>
      <c r="E1017" s="1" t="str">
        <f>_xlfn.XLOOKUP(tblSales[[#This Row],[Customer ID]],tblCustomers[Customer ID],tblCustomers[Customer Name],"⚠ Unknown")</f>
        <v>Walk-in Customer</v>
      </c>
      <c r="F1017" s="4" t="s">
        <v>13</v>
      </c>
      <c r="G1017" s="1" t="str">
        <f>_xlfn.XLOOKUP(tblSales[[#This Row],[Product Code]],tblProducts[Code],tblProducts[Product / Service Name],"⚠ Unknown")</f>
        <v>Backpack</v>
      </c>
      <c r="H1017" s="1" t="str">
        <f>_xlfn.XLOOKUP(tblSales[[#This Row],[Product Code]],tblProducts[Code],tblProducts[Category],"")</f>
        <v>Bags &amp; Gadgets</v>
      </c>
      <c r="I1017" s="4">
        <v>3</v>
      </c>
      <c r="J1017" s="5">
        <f>_xlfn.XLOOKUP(tblSales[[#This Row],[Product Code]],tblProducts[Code],tblProducts[Selling Price (excl. VAT)],0)</f>
        <v>500000</v>
      </c>
      <c r="K1017" s="5">
        <f>tblSales[[#This Row],[Qty]]*tblSales[[#This Row],[Unit Price]]</f>
        <v>1500000</v>
      </c>
      <c r="L1017" s="5">
        <f>ROUND(tblSales[[#This Row],[DPP (excl. VAT)]]*VATEff,0)</f>
        <v>165000</v>
      </c>
      <c r="M1017" s="5">
        <f>tblSales[[#This Row],[DPP (excl. VAT)]]+tblSales[[#This Row],[Output VAT]]</f>
        <v>1665000</v>
      </c>
      <c r="N1017" s="5">
        <f>tblSales[[#This Row],[Qty]]*_xlfn.XLOOKUP(tblSales[[#This Row],[Product Code]],tblProducts[Code],tblProducts[Unit Cost],0)</f>
        <v>870000</v>
      </c>
      <c r="O1017" s="4" t="s">
        <v>4866</v>
      </c>
      <c r="P1017" s="4" t="s">
        <v>4861</v>
      </c>
      <c r="Q1017" s="1" t="str">
        <f>_xlfn.XLOOKUP(tblSales[[#This Row],[Channel Code]],tblChannels[Channel Code],tblChannels[Channel Name],"")</f>
        <v>Marketplace</v>
      </c>
      <c r="R1017" s="1">
        <f>MONTH(tblSales[[#This Row],[Date]])</f>
        <v>3</v>
      </c>
    </row>
    <row r="1018" spans="2:18" x14ac:dyDescent="0.35">
      <c r="B1018" s="113">
        <v>46088</v>
      </c>
      <c r="C1018" s="4" t="s">
        <v>714</v>
      </c>
      <c r="D1018" s="4" t="s">
        <v>4568</v>
      </c>
      <c r="E1018" s="1" t="str">
        <f>_xlfn.XLOOKUP(tblSales[[#This Row],[Customer ID]],tblCustomers[Customer ID],tblCustomers[Customer Name],"⚠ Unknown")</f>
        <v>Walk-in Customer</v>
      </c>
      <c r="F1018" s="4" t="s">
        <v>6</v>
      </c>
      <c r="G1018" s="1" t="str">
        <f>_xlfn.XLOOKUP(tblSales[[#This Row],[Product Code]],tblProducts[Code],tblProducts[Product / Service Name],"⚠ Unknown")</f>
        <v>Socks &amp; Accessories</v>
      </c>
      <c r="H1018" s="1" t="str">
        <f>_xlfn.XLOOKUP(tblSales[[#This Row],[Product Code]],tblProducts[Code],tblProducts[Category],"")</f>
        <v>Accessories &amp; Basics</v>
      </c>
      <c r="I1018" s="4">
        <v>10</v>
      </c>
      <c r="J1018" s="5">
        <f>_xlfn.XLOOKUP(tblSales[[#This Row],[Product Code]],tblProducts[Code],tblProducts[Selling Price (excl. VAT)],0)</f>
        <v>45000</v>
      </c>
      <c r="K1018" s="5">
        <f>tblSales[[#This Row],[Qty]]*tblSales[[#This Row],[Unit Price]]</f>
        <v>450000</v>
      </c>
      <c r="L1018" s="5">
        <f>ROUND(tblSales[[#This Row],[DPP (excl. VAT)]]*VATEff,0)</f>
        <v>49500</v>
      </c>
      <c r="M1018" s="5">
        <f>tblSales[[#This Row],[DPP (excl. VAT)]]+tblSales[[#This Row],[Output VAT]]</f>
        <v>499500</v>
      </c>
      <c r="N1018" s="5">
        <f>tblSales[[#This Row],[Qty]]*_xlfn.XLOOKUP(tblSales[[#This Row],[Product Code]],tblProducts[Code],tblProducts[Unit Cost],0)</f>
        <v>240000</v>
      </c>
      <c r="O1018" s="4" t="s">
        <v>4866</v>
      </c>
      <c r="P1018" s="4" t="s">
        <v>4861</v>
      </c>
      <c r="Q1018" s="1" t="str">
        <f>_xlfn.XLOOKUP(tblSales[[#This Row],[Channel Code]],tblChannels[Channel Code],tblChannels[Channel Name],"")</f>
        <v>Marketplace</v>
      </c>
      <c r="R1018" s="1">
        <f>MONTH(tblSales[[#This Row],[Date]])</f>
        <v>3</v>
      </c>
    </row>
    <row r="1019" spans="2:18" x14ac:dyDescent="0.35">
      <c r="B1019" s="113">
        <v>46088</v>
      </c>
      <c r="C1019" s="4" t="s">
        <v>714</v>
      </c>
      <c r="D1019" s="4" t="s">
        <v>4568</v>
      </c>
      <c r="E1019" s="1" t="str">
        <f>_xlfn.XLOOKUP(tblSales[[#This Row],[Customer ID]],tblCustomers[Customer ID],tblCustomers[Customer Name],"⚠ Unknown")</f>
        <v>Walk-in Customer</v>
      </c>
      <c r="F1019" s="4" t="s">
        <v>9</v>
      </c>
      <c r="G1019" s="1" t="str">
        <f>_xlfn.XLOOKUP(tblSales[[#This Row],[Product Code]],tblProducts[Code],tblProducts[Product / Service Name],"⚠ Unknown")</f>
        <v>Casual Shirt</v>
      </c>
      <c r="H1019" s="1" t="str">
        <f>_xlfn.XLOOKUP(tblSales[[#This Row],[Product Code]],tblProducts[Code],tblProducts[Category],"")</f>
        <v>Apparel &amp; Footwear</v>
      </c>
      <c r="I1019" s="4">
        <v>12</v>
      </c>
      <c r="J1019" s="5">
        <f>_xlfn.XLOOKUP(tblSales[[#This Row],[Product Code]],tblProducts[Code],tblProducts[Selling Price (excl. VAT)],0)</f>
        <v>120000</v>
      </c>
      <c r="K1019" s="5">
        <f>tblSales[[#This Row],[Qty]]*tblSales[[#This Row],[Unit Price]]</f>
        <v>1440000</v>
      </c>
      <c r="L1019" s="5">
        <f>ROUND(tblSales[[#This Row],[DPP (excl. VAT)]]*VATEff,0)</f>
        <v>158400</v>
      </c>
      <c r="M1019" s="5">
        <f>tblSales[[#This Row],[DPP (excl. VAT)]]+tblSales[[#This Row],[Output VAT]]</f>
        <v>1598400</v>
      </c>
      <c r="N1019" s="5">
        <f>tblSales[[#This Row],[Qty]]*_xlfn.XLOOKUP(tblSales[[#This Row],[Product Code]],tblProducts[Code],tblProducts[Unit Cost],0)</f>
        <v>864000</v>
      </c>
      <c r="O1019" s="4" t="s">
        <v>4866</v>
      </c>
      <c r="P1019" s="4" t="s">
        <v>4861</v>
      </c>
      <c r="Q1019" s="1" t="str">
        <f>_xlfn.XLOOKUP(tblSales[[#This Row],[Channel Code]],tblChannels[Channel Code],tblChannels[Channel Name],"")</f>
        <v>Marketplace</v>
      </c>
      <c r="R1019" s="1">
        <f>MONTH(tblSales[[#This Row],[Date]])</f>
        <v>3</v>
      </c>
    </row>
    <row r="1020" spans="2:18" x14ac:dyDescent="0.35">
      <c r="B1020" s="113">
        <v>46088</v>
      </c>
      <c r="C1020" s="4" t="s">
        <v>715</v>
      </c>
      <c r="D1020" s="4" t="s">
        <v>4568</v>
      </c>
      <c r="E1020" s="1" t="str">
        <f>_xlfn.XLOOKUP(tblSales[[#This Row],[Customer ID]],tblCustomers[Customer ID],tblCustomers[Customer Name],"⚠ Unknown")</f>
        <v>Walk-in Customer</v>
      </c>
      <c r="F1020" s="4" t="s">
        <v>15</v>
      </c>
      <c r="G1020" s="1" t="str">
        <f>_xlfn.XLOOKUP(tblSales[[#This Row],[Product Code]],tblProducts[Code],tblProducts[Product / Service Name],"⚠ Unknown")</f>
        <v>Wireless Earbuds Pro</v>
      </c>
      <c r="H1020" s="1" t="str">
        <f>_xlfn.XLOOKUP(tblSales[[#This Row],[Product Code]],tblProducts[Code],tblProducts[Category],"")</f>
        <v>Bags &amp; Gadgets</v>
      </c>
      <c r="I1020" s="4">
        <v>3</v>
      </c>
      <c r="J1020" s="5">
        <f>_xlfn.XLOOKUP(tblSales[[#This Row],[Product Code]],tblProducts[Code],tblProducts[Selling Price (excl. VAT)],0)</f>
        <v>1250000</v>
      </c>
      <c r="K1020" s="5">
        <f>tblSales[[#This Row],[Qty]]*tblSales[[#This Row],[Unit Price]]</f>
        <v>3750000</v>
      </c>
      <c r="L1020" s="5">
        <f>ROUND(tblSales[[#This Row],[DPP (excl. VAT)]]*VATEff,0)</f>
        <v>412500</v>
      </c>
      <c r="M1020" s="5">
        <f>tblSales[[#This Row],[DPP (excl. VAT)]]+tblSales[[#This Row],[Output VAT]]</f>
        <v>4162500</v>
      </c>
      <c r="N1020" s="5">
        <f>tblSales[[#This Row],[Qty]]*_xlfn.XLOOKUP(tblSales[[#This Row],[Product Code]],tblProducts[Code],tblProducts[Unit Cost],0)</f>
        <v>2460000</v>
      </c>
      <c r="O1020" s="4" t="s">
        <v>4865</v>
      </c>
      <c r="P1020" s="4" t="s">
        <v>4860</v>
      </c>
      <c r="Q1020" s="1" t="str">
        <f>_xlfn.XLOOKUP(tblSales[[#This Row],[Channel Code]],tblChannels[Channel Code],tblChannels[Channel Name],"")</f>
        <v>In-store</v>
      </c>
      <c r="R1020" s="1">
        <f>MONTH(tblSales[[#This Row],[Date]])</f>
        <v>3</v>
      </c>
    </row>
    <row r="1021" spans="2:18" x14ac:dyDescent="0.35">
      <c r="B1021" s="113">
        <v>46088</v>
      </c>
      <c r="C1021" s="4" t="s">
        <v>716</v>
      </c>
      <c r="D1021" s="4" t="s">
        <v>4568</v>
      </c>
      <c r="E1021" s="1" t="str">
        <f>_xlfn.XLOOKUP(tblSales[[#This Row],[Customer ID]],tblCustomers[Customer ID],tblCustomers[Customer Name],"⚠ Unknown")</f>
        <v>Walk-in Customer</v>
      </c>
      <c r="F1021" s="4" t="s">
        <v>8</v>
      </c>
      <c r="G1021" s="1" t="str">
        <f>_xlfn.XLOOKUP(tblSales[[#This Row],[Product Code]],tblProducts[Code],tblProducts[Product / Service Name],"⚠ Unknown")</f>
        <v>Casual Shorts</v>
      </c>
      <c r="H1021" s="1" t="str">
        <f>_xlfn.XLOOKUP(tblSales[[#This Row],[Product Code]],tblProducts[Code],tblProducts[Category],"")</f>
        <v>Accessories &amp; Basics</v>
      </c>
      <c r="I1021" s="4">
        <v>1</v>
      </c>
      <c r="J1021" s="5">
        <f>_xlfn.XLOOKUP(tblSales[[#This Row],[Product Code]],tblProducts[Code],tblProducts[Selling Price (excl. VAT)],0)</f>
        <v>85000</v>
      </c>
      <c r="K1021" s="5">
        <f>tblSales[[#This Row],[Qty]]*tblSales[[#This Row],[Unit Price]]</f>
        <v>85000</v>
      </c>
      <c r="L1021" s="5">
        <f>ROUND(tblSales[[#This Row],[DPP (excl. VAT)]]*VATEff,0)</f>
        <v>9350</v>
      </c>
      <c r="M1021" s="5">
        <f>tblSales[[#This Row],[DPP (excl. VAT)]]+tblSales[[#This Row],[Output VAT]]</f>
        <v>94350</v>
      </c>
      <c r="N1021" s="5">
        <f>tblSales[[#This Row],[Qty]]*_xlfn.XLOOKUP(tblSales[[#This Row],[Product Code]],tblProducts[Code],tblProducts[Unit Cost],0)</f>
        <v>50000</v>
      </c>
      <c r="O1021" s="4" t="s">
        <v>4866</v>
      </c>
      <c r="P1021" s="4" t="s">
        <v>4862</v>
      </c>
      <c r="Q1021" s="1" t="str">
        <f>_xlfn.XLOOKUP(tblSales[[#This Row],[Channel Code]],tblChannels[Channel Code],tblChannels[Channel Name],"")</f>
        <v>Website &amp; Social Media</v>
      </c>
      <c r="R1021" s="1">
        <f>MONTH(tblSales[[#This Row],[Date]])</f>
        <v>3</v>
      </c>
    </row>
    <row r="1022" spans="2:18" x14ac:dyDescent="0.35">
      <c r="B1022" s="113">
        <v>46088</v>
      </c>
      <c r="C1022" s="4" t="s">
        <v>716</v>
      </c>
      <c r="D1022" s="4" t="s">
        <v>4568</v>
      </c>
      <c r="E1022" s="1" t="str">
        <f>_xlfn.XLOOKUP(tblSales[[#This Row],[Customer ID]],tblCustomers[Customer ID],tblCustomers[Customer Name],"⚠ Unknown")</f>
        <v>Walk-in Customer</v>
      </c>
      <c r="F1022" s="4" t="s">
        <v>10</v>
      </c>
      <c r="G1022" s="1" t="str">
        <f>_xlfn.XLOOKUP(tblSales[[#This Row],[Product Code]],tblProducts[Code],tblProducts[Product / Service Name],"⚠ Unknown")</f>
        <v>Chino Pants</v>
      </c>
      <c r="H1022" s="1" t="str">
        <f>_xlfn.XLOOKUP(tblSales[[#This Row],[Product Code]],tblProducts[Code],tblProducts[Category],"")</f>
        <v>Apparel &amp; Footwear</v>
      </c>
      <c r="I1022" s="4">
        <v>7</v>
      </c>
      <c r="J1022" s="5">
        <f>_xlfn.XLOOKUP(tblSales[[#This Row],[Product Code]],tblProducts[Code],tblProducts[Selling Price (excl. VAT)],0)</f>
        <v>150000</v>
      </c>
      <c r="K1022" s="5">
        <f>tblSales[[#This Row],[Qty]]*tblSales[[#This Row],[Unit Price]]</f>
        <v>1050000</v>
      </c>
      <c r="L1022" s="5">
        <f>ROUND(tblSales[[#This Row],[DPP (excl. VAT)]]*VATEff,0)</f>
        <v>115500</v>
      </c>
      <c r="M1022" s="5">
        <f>tblSales[[#This Row],[DPP (excl. VAT)]]+tblSales[[#This Row],[Output VAT]]</f>
        <v>1165500</v>
      </c>
      <c r="N1022" s="5">
        <f>tblSales[[#This Row],[Qty]]*_xlfn.XLOOKUP(tblSales[[#This Row],[Product Code]],tblProducts[Code],tblProducts[Unit Cost],0)</f>
        <v>616000</v>
      </c>
      <c r="O1022" s="4" t="s">
        <v>4866</v>
      </c>
      <c r="P1022" s="4" t="s">
        <v>4862</v>
      </c>
      <c r="Q1022" s="1" t="str">
        <f>_xlfn.XLOOKUP(tblSales[[#This Row],[Channel Code]],tblChannels[Channel Code],tblChannels[Channel Name],"")</f>
        <v>Website &amp; Social Media</v>
      </c>
      <c r="R1022" s="1">
        <f>MONTH(tblSales[[#This Row],[Date]])</f>
        <v>3</v>
      </c>
    </row>
    <row r="1023" spans="2:18" x14ac:dyDescent="0.35">
      <c r="B1023" s="113">
        <v>46088</v>
      </c>
      <c r="C1023" s="4" t="s">
        <v>717</v>
      </c>
      <c r="D1023" s="4" t="s">
        <v>4568</v>
      </c>
      <c r="E1023" s="1" t="str">
        <f>_xlfn.XLOOKUP(tblSales[[#This Row],[Customer ID]],tblCustomers[Customer ID],tblCustomers[Customer Name],"⚠ Unknown")</f>
        <v>Walk-in Customer</v>
      </c>
      <c r="F1023" s="4" t="s">
        <v>13</v>
      </c>
      <c r="G1023" s="1" t="str">
        <f>_xlfn.XLOOKUP(tblSales[[#This Row],[Product Code]],tblProducts[Code],tblProducts[Product / Service Name],"⚠ Unknown")</f>
        <v>Backpack</v>
      </c>
      <c r="H1023" s="1" t="str">
        <f>_xlfn.XLOOKUP(tblSales[[#This Row],[Product Code]],tblProducts[Code],tblProducts[Category],"")</f>
        <v>Bags &amp; Gadgets</v>
      </c>
      <c r="I1023" s="4">
        <v>2</v>
      </c>
      <c r="J1023" s="5">
        <f>_xlfn.XLOOKUP(tblSales[[#This Row],[Product Code]],tblProducts[Code],tblProducts[Selling Price (excl. VAT)],0)</f>
        <v>500000</v>
      </c>
      <c r="K1023" s="5">
        <f>tblSales[[#This Row],[Qty]]*tblSales[[#This Row],[Unit Price]]</f>
        <v>1000000</v>
      </c>
      <c r="L1023" s="5">
        <f>ROUND(tblSales[[#This Row],[DPP (excl. VAT)]]*VATEff,0)</f>
        <v>110000</v>
      </c>
      <c r="M1023" s="5">
        <f>tblSales[[#This Row],[DPP (excl. VAT)]]+tblSales[[#This Row],[Output VAT]]</f>
        <v>1110000</v>
      </c>
      <c r="N1023" s="5">
        <f>tblSales[[#This Row],[Qty]]*_xlfn.XLOOKUP(tblSales[[#This Row],[Product Code]],tblProducts[Code],tblProducts[Unit Cost],0)</f>
        <v>580000</v>
      </c>
      <c r="O1023" s="4" t="s">
        <v>4865</v>
      </c>
      <c r="P1023" s="4" t="s">
        <v>4860</v>
      </c>
      <c r="Q1023" s="1" t="str">
        <f>_xlfn.XLOOKUP(tblSales[[#This Row],[Channel Code]],tblChannels[Channel Code],tblChannels[Channel Name],"")</f>
        <v>In-store</v>
      </c>
      <c r="R1023" s="1">
        <f>MONTH(tblSales[[#This Row],[Date]])</f>
        <v>3</v>
      </c>
    </row>
    <row r="1024" spans="2:18" x14ac:dyDescent="0.35">
      <c r="B1024" s="113">
        <v>46088</v>
      </c>
      <c r="C1024" s="4" t="s">
        <v>718</v>
      </c>
      <c r="D1024" s="4" t="s">
        <v>4568</v>
      </c>
      <c r="E1024" s="1" t="str">
        <f>_xlfn.XLOOKUP(tblSales[[#This Row],[Customer ID]],tblCustomers[Customer ID],tblCustomers[Customer Name],"⚠ Unknown")</f>
        <v>Walk-in Customer</v>
      </c>
      <c r="F1024" s="4" t="s">
        <v>13</v>
      </c>
      <c r="G1024" s="1" t="str">
        <f>_xlfn.XLOOKUP(tblSales[[#This Row],[Product Code]],tblProducts[Code],tblProducts[Product / Service Name],"⚠ Unknown")</f>
        <v>Backpack</v>
      </c>
      <c r="H1024" s="1" t="str">
        <f>_xlfn.XLOOKUP(tblSales[[#This Row],[Product Code]],tblProducts[Code],tblProducts[Category],"")</f>
        <v>Bags &amp; Gadgets</v>
      </c>
      <c r="I1024" s="4">
        <v>2</v>
      </c>
      <c r="J1024" s="5">
        <f>_xlfn.XLOOKUP(tblSales[[#This Row],[Product Code]],tblProducts[Code],tblProducts[Selling Price (excl. VAT)],0)</f>
        <v>500000</v>
      </c>
      <c r="K1024" s="5">
        <f>tblSales[[#This Row],[Qty]]*tblSales[[#This Row],[Unit Price]]</f>
        <v>1000000</v>
      </c>
      <c r="L1024" s="5">
        <f>ROUND(tblSales[[#This Row],[DPP (excl. VAT)]]*VATEff,0)</f>
        <v>110000</v>
      </c>
      <c r="M1024" s="5">
        <f>tblSales[[#This Row],[DPP (excl. VAT)]]+tblSales[[#This Row],[Output VAT]]</f>
        <v>1110000</v>
      </c>
      <c r="N1024" s="5">
        <f>tblSales[[#This Row],[Qty]]*_xlfn.XLOOKUP(tblSales[[#This Row],[Product Code]],tblProducts[Code],tblProducts[Unit Cost],0)</f>
        <v>580000</v>
      </c>
      <c r="O1024" s="4" t="s">
        <v>4866</v>
      </c>
      <c r="P1024" s="4" t="s">
        <v>4862</v>
      </c>
      <c r="Q1024" s="1" t="str">
        <f>_xlfn.XLOOKUP(tblSales[[#This Row],[Channel Code]],tblChannels[Channel Code],tblChannels[Channel Name],"")</f>
        <v>Website &amp; Social Media</v>
      </c>
      <c r="R1024" s="1">
        <f>MONTH(tblSales[[#This Row],[Date]])</f>
        <v>3</v>
      </c>
    </row>
    <row r="1025" spans="2:18" x14ac:dyDescent="0.35">
      <c r="B1025" s="113">
        <v>46088</v>
      </c>
      <c r="C1025" s="4" t="s">
        <v>719</v>
      </c>
      <c r="D1025" s="4" t="s">
        <v>4568</v>
      </c>
      <c r="E1025" s="1" t="str">
        <f>_xlfn.XLOOKUP(tblSales[[#This Row],[Customer ID]],tblCustomers[Customer ID],tblCustomers[Customer Name],"⚠ Unknown")</f>
        <v>Walk-in Customer</v>
      </c>
      <c r="F1025" s="4" t="s">
        <v>11</v>
      </c>
      <c r="G1025" s="1" t="str">
        <f>_xlfn.XLOOKUP(tblSales[[#This Row],[Product Code]],tblProducts[Code],tblProducts[Product / Service Name],"⚠ Unknown")</f>
        <v>Sneakers</v>
      </c>
      <c r="H1025" s="1" t="str">
        <f>_xlfn.XLOOKUP(tblSales[[#This Row],[Product Code]],tblProducts[Code],tblProducts[Category],"")</f>
        <v>Apparel &amp; Footwear</v>
      </c>
      <c r="I1025" s="4">
        <v>5</v>
      </c>
      <c r="J1025" s="5">
        <f>_xlfn.XLOOKUP(tblSales[[#This Row],[Product Code]],tblProducts[Code],tblProducts[Selling Price (excl. VAT)],0)</f>
        <v>250000</v>
      </c>
      <c r="K1025" s="5">
        <f>tblSales[[#This Row],[Qty]]*tblSales[[#This Row],[Unit Price]]</f>
        <v>1250000</v>
      </c>
      <c r="L1025" s="5">
        <f>ROUND(tblSales[[#This Row],[DPP (excl. VAT)]]*VATEff,0)</f>
        <v>137500</v>
      </c>
      <c r="M1025" s="5">
        <f>tblSales[[#This Row],[DPP (excl. VAT)]]+tblSales[[#This Row],[Output VAT]]</f>
        <v>1387500</v>
      </c>
      <c r="N1025" s="5">
        <f>tblSales[[#This Row],[Qty]]*_xlfn.XLOOKUP(tblSales[[#This Row],[Product Code]],tblProducts[Code],tblProducts[Unit Cost],0)</f>
        <v>775000</v>
      </c>
      <c r="O1025" s="4" t="s">
        <v>4865</v>
      </c>
      <c r="P1025" s="4" t="s">
        <v>4860</v>
      </c>
      <c r="Q1025" s="1" t="str">
        <f>_xlfn.XLOOKUP(tblSales[[#This Row],[Channel Code]],tblChannels[Channel Code],tblChannels[Channel Name],"")</f>
        <v>In-store</v>
      </c>
      <c r="R1025" s="1">
        <f>MONTH(tblSales[[#This Row],[Date]])</f>
        <v>3</v>
      </c>
    </row>
    <row r="1026" spans="2:18" x14ac:dyDescent="0.35">
      <c r="B1026" s="113">
        <v>46088</v>
      </c>
      <c r="C1026" s="4" t="s">
        <v>720</v>
      </c>
      <c r="D1026" s="4" t="s">
        <v>4568</v>
      </c>
      <c r="E1026" s="1" t="str">
        <f>_xlfn.XLOOKUP(tblSales[[#This Row],[Customer ID]],tblCustomers[Customer ID],tblCustomers[Customer Name],"⚠ Unknown")</f>
        <v>Walk-in Customer</v>
      </c>
      <c r="F1026" s="4" t="s">
        <v>14</v>
      </c>
      <c r="G1026" s="1" t="str">
        <f>_xlfn.XLOOKUP(tblSales[[#This Row],[Product Code]],tblProducts[Code],tblProducts[Product / Service Name],"⚠ Unknown")</f>
        <v>Smartwatch</v>
      </c>
      <c r="H1026" s="1" t="str">
        <f>_xlfn.XLOOKUP(tblSales[[#This Row],[Product Code]],tblProducts[Code],tblProducts[Category],"")</f>
        <v>Bags &amp; Gadgets</v>
      </c>
      <c r="I1026" s="4">
        <v>2</v>
      </c>
      <c r="J1026" s="5">
        <f>_xlfn.XLOOKUP(tblSales[[#This Row],[Product Code]],tblProducts[Code],tblProducts[Selling Price (excl. VAT)],0)</f>
        <v>850000</v>
      </c>
      <c r="K1026" s="5">
        <f>tblSales[[#This Row],[Qty]]*tblSales[[#This Row],[Unit Price]]</f>
        <v>1700000</v>
      </c>
      <c r="L1026" s="5">
        <f>ROUND(tblSales[[#This Row],[DPP (excl. VAT)]]*VATEff,0)</f>
        <v>187000</v>
      </c>
      <c r="M1026" s="5">
        <f>tblSales[[#This Row],[DPP (excl. VAT)]]+tblSales[[#This Row],[Output VAT]]</f>
        <v>1887000</v>
      </c>
      <c r="N1026" s="5">
        <f>tblSales[[#This Row],[Qty]]*_xlfn.XLOOKUP(tblSales[[#This Row],[Product Code]],tblProducts[Code],tblProducts[Unit Cost],0)</f>
        <v>1120000</v>
      </c>
      <c r="O1026" s="4" t="s">
        <v>4866</v>
      </c>
      <c r="P1026" s="4" t="s">
        <v>4862</v>
      </c>
      <c r="Q1026" s="1" t="str">
        <f>_xlfn.XLOOKUP(tblSales[[#This Row],[Channel Code]],tblChannels[Channel Code],tblChannels[Channel Name],"")</f>
        <v>Website &amp; Social Media</v>
      </c>
      <c r="R1026" s="1">
        <f>MONTH(tblSales[[#This Row],[Date]])</f>
        <v>3</v>
      </c>
    </row>
    <row r="1027" spans="2:18" x14ac:dyDescent="0.35">
      <c r="B1027" s="113">
        <v>46088</v>
      </c>
      <c r="C1027" s="4" t="s">
        <v>721</v>
      </c>
      <c r="D1027" s="4" t="s">
        <v>4568</v>
      </c>
      <c r="E1027" s="1" t="str">
        <f>_xlfn.XLOOKUP(tblSales[[#This Row],[Customer ID]],tblCustomers[Customer ID],tblCustomers[Customer Name],"⚠ Unknown")</f>
        <v>Walk-in Customer</v>
      </c>
      <c r="F1027" s="4" t="s">
        <v>8</v>
      </c>
      <c r="G1027" s="1" t="str">
        <f>_xlfn.XLOOKUP(tblSales[[#This Row],[Product Code]],tblProducts[Code],tblProducts[Product / Service Name],"⚠ Unknown")</f>
        <v>Casual Shorts</v>
      </c>
      <c r="H1027" s="1" t="str">
        <f>_xlfn.XLOOKUP(tblSales[[#This Row],[Product Code]],tblProducts[Code],tblProducts[Category],"")</f>
        <v>Accessories &amp; Basics</v>
      </c>
      <c r="I1027" s="4">
        <v>6</v>
      </c>
      <c r="J1027" s="5">
        <f>_xlfn.XLOOKUP(tblSales[[#This Row],[Product Code]],tblProducts[Code],tblProducts[Selling Price (excl. VAT)],0)</f>
        <v>85000</v>
      </c>
      <c r="K1027" s="5">
        <f>tblSales[[#This Row],[Qty]]*tblSales[[#This Row],[Unit Price]]</f>
        <v>510000</v>
      </c>
      <c r="L1027" s="5">
        <f>ROUND(tblSales[[#This Row],[DPP (excl. VAT)]]*VATEff,0)</f>
        <v>56100</v>
      </c>
      <c r="M1027" s="5">
        <f>tblSales[[#This Row],[DPP (excl. VAT)]]+tblSales[[#This Row],[Output VAT]]</f>
        <v>566100</v>
      </c>
      <c r="N1027" s="5">
        <f>tblSales[[#This Row],[Qty]]*_xlfn.XLOOKUP(tblSales[[#This Row],[Product Code]],tblProducts[Code],tblProducts[Unit Cost],0)</f>
        <v>300000</v>
      </c>
      <c r="O1027" s="4" t="s">
        <v>4866</v>
      </c>
      <c r="P1027" s="4" t="s">
        <v>4862</v>
      </c>
      <c r="Q1027" s="1" t="str">
        <f>_xlfn.XLOOKUP(tblSales[[#This Row],[Channel Code]],tblChannels[Channel Code],tblChannels[Channel Name],"")</f>
        <v>Website &amp; Social Media</v>
      </c>
      <c r="R1027" s="1">
        <f>MONTH(tblSales[[#This Row],[Date]])</f>
        <v>3</v>
      </c>
    </row>
    <row r="1028" spans="2:18" x14ac:dyDescent="0.35">
      <c r="B1028" s="113">
        <v>46088</v>
      </c>
      <c r="C1028" s="4" t="s">
        <v>721</v>
      </c>
      <c r="D1028" s="4" t="s">
        <v>4568</v>
      </c>
      <c r="E1028" s="1" t="str">
        <f>_xlfn.XLOOKUP(tblSales[[#This Row],[Customer ID]],tblCustomers[Customer ID],tblCustomers[Customer Name],"⚠ Unknown")</f>
        <v>Walk-in Customer</v>
      </c>
      <c r="F1028" s="4" t="s">
        <v>15</v>
      </c>
      <c r="G1028" s="1" t="str">
        <f>_xlfn.XLOOKUP(tblSales[[#This Row],[Product Code]],tblProducts[Code],tblProducts[Product / Service Name],"⚠ Unknown")</f>
        <v>Wireless Earbuds Pro</v>
      </c>
      <c r="H1028" s="1" t="str">
        <f>_xlfn.XLOOKUP(tblSales[[#This Row],[Product Code]],tblProducts[Code],tblProducts[Category],"")</f>
        <v>Bags &amp; Gadgets</v>
      </c>
      <c r="I1028" s="4">
        <v>1</v>
      </c>
      <c r="J1028" s="5">
        <f>_xlfn.XLOOKUP(tblSales[[#This Row],[Product Code]],tblProducts[Code],tblProducts[Selling Price (excl. VAT)],0)</f>
        <v>1250000</v>
      </c>
      <c r="K1028" s="5">
        <f>tblSales[[#This Row],[Qty]]*tblSales[[#This Row],[Unit Price]]</f>
        <v>1250000</v>
      </c>
      <c r="L1028" s="5">
        <f>ROUND(tblSales[[#This Row],[DPP (excl. VAT)]]*VATEff,0)</f>
        <v>137500</v>
      </c>
      <c r="M1028" s="5">
        <f>tblSales[[#This Row],[DPP (excl. VAT)]]+tblSales[[#This Row],[Output VAT]]</f>
        <v>1387500</v>
      </c>
      <c r="N1028" s="5">
        <f>tblSales[[#This Row],[Qty]]*_xlfn.XLOOKUP(tblSales[[#This Row],[Product Code]],tblProducts[Code],tblProducts[Unit Cost],0)</f>
        <v>820000</v>
      </c>
      <c r="O1028" s="4" t="s">
        <v>4866</v>
      </c>
      <c r="P1028" s="4" t="s">
        <v>4862</v>
      </c>
      <c r="Q1028" s="1" t="str">
        <f>_xlfn.XLOOKUP(tblSales[[#This Row],[Channel Code]],tblChannels[Channel Code],tblChannels[Channel Name],"")</f>
        <v>Website &amp; Social Media</v>
      </c>
      <c r="R1028" s="1">
        <f>MONTH(tblSales[[#This Row],[Date]])</f>
        <v>3</v>
      </c>
    </row>
    <row r="1029" spans="2:18" x14ac:dyDescent="0.35">
      <c r="B1029" s="113">
        <v>46088</v>
      </c>
      <c r="C1029" s="4" t="s">
        <v>722</v>
      </c>
      <c r="D1029" s="4" t="s">
        <v>4568</v>
      </c>
      <c r="E1029" s="1" t="str">
        <f>_xlfn.XLOOKUP(tblSales[[#This Row],[Customer ID]],tblCustomers[Customer ID],tblCustomers[Customer Name],"⚠ Unknown")</f>
        <v>Walk-in Customer</v>
      </c>
      <c r="F1029" s="4" t="s">
        <v>6</v>
      </c>
      <c r="G1029" s="1" t="str">
        <f>_xlfn.XLOOKUP(tblSales[[#This Row],[Product Code]],tblProducts[Code],tblProducts[Product / Service Name],"⚠ Unknown")</f>
        <v>Socks &amp; Accessories</v>
      </c>
      <c r="H1029" s="1" t="str">
        <f>_xlfn.XLOOKUP(tblSales[[#This Row],[Product Code]],tblProducts[Code],tblProducts[Category],"")</f>
        <v>Accessories &amp; Basics</v>
      </c>
      <c r="I1029" s="4">
        <v>2</v>
      </c>
      <c r="J1029" s="5">
        <f>_xlfn.XLOOKUP(tblSales[[#This Row],[Product Code]],tblProducts[Code],tblProducts[Selling Price (excl. VAT)],0)</f>
        <v>45000</v>
      </c>
      <c r="K1029" s="5">
        <f>tblSales[[#This Row],[Qty]]*tblSales[[#This Row],[Unit Price]]</f>
        <v>90000</v>
      </c>
      <c r="L1029" s="5">
        <f>ROUND(tblSales[[#This Row],[DPP (excl. VAT)]]*VATEff,0)</f>
        <v>9900</v>
      </c>
      <c r="M1029" s="5">
        <f>tblSales[[#This Row],[DPP (excl. VAT)]]+tblSales[[#This Row],[Output VAT]]</f>
        <v>99900</v>
      </c>
      <c r="N1029" s="5">
        <f>tblSales[[#This Row],[Qty]]*_xlfn.XLOOKUP(tblSales[[#This Row],[Product Code]],tblProducts[Code],tblProducts[Unit Cost],0)</f>
        <v>48000</v>
      </c>
      <c r="O1029" s="4" t="s">
        <v>4865</v>
      </c>
      <c r="P1029" s="4" t="s">
        <v>4860</v>
      </c>
      <c r="Q1029" s="1" t="str">
        <f>_xlfn.XLOOKUP(tblSales[[#This Row],[Channel Code]],tblChannels[Channel Code],tblChannels[Channel Name],"")</f>
        <v>In-store</v>
      </c>
      <c r="R1029" s="1">
        <f>MONTH(tblSales[[#This Row],[Date]])</f>
        <v>3</v>
      </c>
    </row>
    <row r="1030" spans="2:18" x14ac:dyDescent="0.35">
      <c r="B1030" s="113">
        <v>46088</v>
      </c>
      <c r="C1030" s="4" t="s">
        <v>723</v>
      </c>
      <c r="D1030" s="4" t="s">
        <v>4568</v>
      </c>
      <c r="E1030" s="1" t="str">
        <f>_xlfn.XLOOKUP(tblSales[[#This Row],[Customer ID]],tblCustomers[Customer ID],tblCustomers[Customer Name],"⚠ Unknown")</f>
        <v>Walk-in Customer</v>
      </c>
      <c r="F1030" s="4" t="s">
        <v>14</v>
      </c>
      <c r="G1030" s="1" t="str">
        <f>_xlfn.XLOOKUP(tblSales[[#This Row],[Product Code]],tblProducts[Code],tblProducts[Product / Service Name],"⚠ Unknown")</f>
        <v>Smartwatch</v>
      </c>
      <c r="H1030" s="1" t="str">
        <f>_xlfn.XLOOKUP(tblSales[[#This Row],[Product Code]],tblProducts[Code],tblProducts[Category],"")</f>
        <v>Bags &amp; Gadgets</v>
      </c>
      <c r="I1030" s="4">
        <v>3</v>
      </c>
      <c r="J1030" s="5">
        <f>_xlfn.XLOOKUP(tblSales[[#This Row],[Product Code]],tblProducts[Code],tblProducts[Selling Price (excl. VAT)],0)</f>
        <v>850000</v>
      </c>
      <c r="K1030" s="5">
        <f>tblSales[[#This Row],[Qty]]*tblSales[[#This Row],[Unit Price]]</f>
        <v>2550000</v>
      </c>
      <c r="L1030" s="5">
        <f>ROUND(tblSales[[#This Row],[DPP (excl. VAT)]]*VATEff,0)</f>
        <v>280500</v>
      </c>
      <c r="M1030" s="5">
        <f>tblSales[[#This Row],[DPP (excl. VAT)]]+tblSales[[#This Row],[Output VAT]]</f>
        <v>2830500</v>
      </c>
      <c r="N1030" s="5">
        <f>tblSales[[#This Row],[Qty]]*_xlfn.XLOOKUP(tblSales[[#This Row],[Product Code]],tblProducts[Code],tblProducts[Unit Cost],0)</f>
        <v>1680000</v>
      </c>
      <c r="O1030" s="4" t="s">
        <v>4866</v>
      </c>
      <c r="P1030" s="4" t="s">
        <v>4862</v>
      </c>
      <c r="Q1030" s="1" t="str">
        <f>_xlfn.XLOOKUP(tblSales[[#This Row],[Channel Code]],tblChannels[Channel Code],tblChannels[Channel Name],"")</f>
        <v>Website &amp; Social Media</v>
      </c>
      <c r="R1030" s="1">
        <f>MONTH(tblSales[[#This Row],[Date]])</f>
        <v>3</v>
      </c>
    </row>
    <row r="1031" spans="2:18" x14ac:dyDescent="0.35">
      <c r="B1031" s="113">
        <v>46088</v>
      </c>
      <c r="C1031" s="4" t="s">
        <v>724</v>
      </c>
      <c r="D1031" s="4" t="s">
        <v>4568</v>
      </c>
      <c r="E1031" s="1" t="str">
        <f>_xlfn.XLOOKUP(tblSales[[#This Row],[Customer ID]],tblCustomers[Customer ID],tblCustomers[Customer Name],"⚠ Unknown")</f>
        <v>Walk-in Customer</v>
      </c>
      <c r="F1031" s="4" t="s">
        <v>9</v>
      </c>
      <c r="G1031" s="1" t="str">
        <f>_xlfn.XLOOKUP(tblSales[[#This Row],[Product Code]],tblProducts[Code],tblProducts[Product / Service Name],"⚠ Unknown")</f>
        <v>Casual Shirt</v>
      </c>
      <c r="H1031" s="1" t="str">
        <f>_xlfn.XLOOKUP(tblSales[[#This Row],[Product Code]],tblProducts[Code],tblProducts[Category],"")</f>
        <v>Apparel &amp; Footwear</v>
      </c>
      <c r="I1031" s="4">
        <v>4</v>
      </c>
      <c r="J1031" s="5">
        <f>_xlfn.XLOOKUP(tblSales[[#This Row],[Product Code]],tblProducts[Code],tblProducts[Selling Price (excl. VAT)],0)</f>
        <v>120000</v>
      </c>
      <c r="K1031" s="5">
        <f>tblSales[[#This Row],[Qty]]*tblSales[[#This Row],[Unit Price]]</f>
        <v>480000</v>
      </c>
      <c r="L1031" s="5">
        <f>ROUND(tblSales[[#This Row],[DPP (excl. VAT)]]*VATEff,0)</f>
        <v>52800</v>
      </c>
      <c r="M1031" s="5">
        <f>tblSales[[#This Row],[DPP (excl. VAT)]]+tblSales[[#This Row],[Output VAT]]</f>
        <v>532800</v>
      </c>
      <c r="N1031" s="5">
        <f>tblSales[[#This Row],[Qty]]*_xlfn.XLOOKUP(tblSales[[#This Row],[Product Code]],tblProducts[Code],tblProducts[Unit Cost],0)</f>
        <v>288000</v>
      </c>
      <c r="O1031" s="4" t="s">
        <v>4866</v>
      </c>
      <c r="P1031" s="4" t="s">
        <v>4860</v>
      </c>
      <c r="Q1031" s="1" t="str">
        <f>_xlfn.XLOOKUP(tblSales[[#This Row],[Channel Code]],tblChannels[Channel Code],tblChannels[Channel Name],"")</f>
        <v>In-store</v>
      </c>
      <c r="R1031" s="1">
        <f>MONTH(tblSales[[#This Row],[Date]])</f>
        <v>3</v>
      </c>
    </row>
    <row r="1032" spans="2:18" x14ac:dyDescent="0.35">
      <c r="B1032" s="113">
        <v>46088</v>
      </c>
      <c r="C1032" s="4" t="s">
        <v>725</v>
      </c>
      <c r="D1032" s="4" t="s">
        <v>4641</v>
      </c>
      <c r="E1032" s="1" t="str">
        <f>_xlfn.XLOOKUP(tblSales[[#This Row],[Customer ID]],tblCustomers[Customer ID],tblCustomers[Customer Name],"⚠ Unknown")</f>
        <v>PT Harmoni Pangan Lestari</v>
      </c>
      <c r="F1032" s="4" t="s">
        <v>9</v>
      </c>
      <c r="G1032" s="1" t="str">
        <f>_xlfn.XLOOKUP(tblSales[[#This Row],[Product Code]],tblProducts[Code],tblProducts[Product / Service Name],"⚠ Unknown")</f>
        <v>Casual Shirt</v>
      </c>
      <c r="H1032" s="1" t="str">
        <f>_xlfn.XLOOKUP(tblSales[[#This Row],[Product Code]],tblProducts[Code],tblProducts[Category],"")</f>
        <v>Apparel &amp; Footwear</v>
      </c>
      <c r="I1032" s="4">
        <v>8</v>
      </c>
      <c r="J1032" s="5">
        <f>_xlfn.XLOOKUP(tblSales[[#This Row],[Product Code]],tblProducts[Code],tblProducts[Selling Price (excl. VAT)],0)</f>
        <v>120000</v>
      </c>
      <c r="K1032" s="5">
        <f>tblSales[[#This Row],[Qty]]*tblSales[[#This Row],[Unit Price]]</f>
        <v>960000</v>
      </c>
      <c r="L1032" s="5">
        <f>ROUND(tblSales[[#This Row],[DPP (excl. VAT)]]*VATEff,0)</f>
        <v>105600</v>
      </c>
      <c r="M1032" s="5">
        <f>tblSales[[#This Row],[DPP (excl. VAT)]]+tblSales[[#This Row],[Output VAT]]</f>
        <v>1065600</v>
      </c>
      <c r="N1032" s="5">
        <f>tblSales[[#This Row],[Qty]]*_xlfn.XLOOKUP(tblSales[[#This Row],[Product Code]],tblProducts[Code],tblProducts[Unit Cost],0)</f>
        <v>576000</v>
      </c>
      <c r="O1032" s="4" t="s">
        <v>4867</v>
      </c>
      <c r="P1032" s="4" t="s">
        <v>4860</v>
      </c>
      <c r="Q1032" s="1" t="str">
        <f>_xlfn.XLOOKUP(tblSales[[#This Row],[Channel Code]],tblChannels[Channel Code],tblChannels[Channel Name],"")</f>
        <v>In-store</v>
      </c>
      <c r="R1032" s="1">
        <f>MONTH(tblSales[[#This Row],[Date]])</f>
        <v>3</v>
      </c>
    </row>
    <row r="1033" spans="2:18" x14ac:dyDescent="0.35">
      <c r="B1033" s="113">
        <v>46088</v>
      </c>
      <c r="C1033" s="4" t="s">
        <v>725</v>
      </c>
      <c r="D1033" s="4" t="s">
        <v>4641</v>
      </c>
      <c r="E1033" s="1" t="str">
        <f>_xlfn.XLOOKUP(tblSales[[#This Row],[Customer ID]],tblCustomers[Customer ID],tblCustomers[Customer Name],"⚠ Unknown")</f>
        <v>PT Harmoni Pangan Lestari</v>
      </c>
      <c r="F1033" s="4" t="s">
        <v>8</v>
      </c>
      <c r="G1033" s="1" t="str">
        <f>_xlfn.XLOOKUP(tblSales[[#This Row],[Product Code]],tblProducts[Code],tblProducts[Product / Service Name],"⚠ Unknown")</f>
        <v>Casual Shorts</v>
      </c>
      <c r="H1033" s="1" t="str">
        <f>_xlfn.XLOOKUP(tblSales[[#This Row],[Product Code]],tblProducts[Code],tblProducts[Category],"")</f>
        <v>Accessories &amp; Basics</v>
      </c>
      <c r="I1033" s="4">
        <v>96</v>
      </c>
      <c r="J1033" s="5">
        <f>_xlfn.XLOOKUP(tblSales[[#This Row],[Product Code]],tblProducts[Code],tblProducts[Selling Price (excl. VAT)],0)</f>
        <v>85000</v>
      </c>
      <c r="K1033" s="5">
        <f>tblSales[[#This Row],[Qty]]*tblSales[[#This Row],[Unit Price]]</f>
        <v>8160000</v>
      </c>
      <c r="L1033" s="5">
        <f>ROUND(tblSales[[#This Row],[DPP (excl. VAT)]]*VATEff,0)</f>
        <v>897600</v>
      </c>
      <c r="M1033" s="5">
        <f>tblSales[[#This Row],[DPP (excl. VAT)]]+tblSales[[#This Row],[Output VAT]]</f>
        <v>9057600</v>
      </c>
      <c r="N1033" s="5">
        <f>tblSales[[#This Row],[Qty]]*_xlfn.XLOOKUP(tblSales[[#This Row],[Product Code]],tblProducts[Code],tblProducts[Unit Cost],0)</f>
        <v>4800000</v>
      </c>
      <c r="O1033" s="4" t="s">
        <v>4867</v>
      </c>
      <c r="P1033" s="4" t="s">
        <v>4860</v>
      </c>
      <c r="Q1033" s="1" t="str">
        <f>_xlfn.XLOOKUP(tblSales[[#This Row],[Channel Code]],tblChannels[Channel Code],tblChannels[Channel Name],"")</f>
        <v>In-store</v>
      </c>
      <c r="R1033" s="1">
        <f>MONTH(tblSales[[#This Row],[Date]])</f>
        <v>3</v>
      </c>
    </row>
    <row r="1034" spans="2:18" x14ac:dyDescent="0.35">
      <c r="B1034" s="113">
        <v>46088</v>
      </c>
      <c r="C1034" s="4" t="s">
        <v>726</v>
      </c>
      <c r="D1034" s="4" t="s">
        <v>4568</v>
      </c>
      <c r="E1034" s="1" t="str">
        <f>_xlfn.XLOOKUP(tblSales[[#This Row],[Customer ID]],tblCustomers[Customer ID],tblCustomers[Customer Name],"⚠ Unknown")</f>
        <v>Walk-in Customer</v>
      </c>
      <c r="F1034" s="4" t="s">
        <v>8</v>
      </c>
      <c r="G1034" s="1" t="str">
        <f>_xlfn.XLOOKUP(tblSales[[#This Row],[Product Code]],tblProducts[Code],tblProducts[Product / Service Name],"⚠ Unknown")</f>
        <v>Casual Shorts</v>
      </c>
      <c r="H1034" s="1" t="str">
        <f>_xlfn.XLOOKUP(tblSales[[#This Row],[Product Code]],tblProducts[Code],tblProducts[Category],"")</f>
        <v>Accessories &amp; Basics</v>
      </c>
      <c r="I1034" s="4">
        <v>2</v>
      </c>
      <c r="J1034" s="5">
        <f>_xlfn.XLOOKUP(tblSales[[#This Row],[Product Code]],tblProducts[Code],tblProducts[Selling Price (excl. VAT)],0)</f>
        <v>85000</v>
      </c>
      <c r="K1034" s="5">
        <f>tblSales[[#This Row],[Qty]]*tblSales[[#This Row],[Unit Price]]</f>
        <v>170000</v>
      </c>
      <c r="L1034" s="5">
        <f>ROUND(tblSales[[#This Row],[DPP (excl. VAT)]]*VATEff,0)</f>
        <v>18700</v>
      </c>
      <c r="M1034" s="5">
        <f>tblSales[[#This Row],[DPP (excl. VAT)]]+tblSales[[#This Row],[Output VAT]]</f>
        <v>188700</v>
      </c>
      <c r="N1034" s="5">
        <f>tblSales[[#This Row],[Qty]]*_xlfn.XLOOKUP(tblSales[[#This Row],[Product Code]],tblProducts[Code],tblProducts[Unit Cost],0)</f>
        <v>100000</v>
      </c>
      <c r="O1034" s="4" t="s">
        <v>4865</v>
      </c>
      <c r="P1034" s="4" t="s">
        <v>4860</v>
      </c>
      <c r="Q1034" s="1" t="str">
        <f>_xlfn.XLOOKUP(tblSales[[#This Row],[Channel Code]],tblChannels[Channel Code],tblChannels[Channel Name],"")</f>
        <v>In-store</v>
      </c>
      <c r="R1034" s="1">
        <f>MONTH(tblSales[[#This Row],[Date]])</f>
        <v>3</v>
      </c>
    </row>
    <row r="1035" spans="2:18" x14ac:dyDescent="0.35">
      <c r="B1035" s="113">
        <v>46088</v>
      </c>
      <c r="C1035" s="4" t="s">
        <v>727</v>
      </c>
      <c r="D1035" s="4" t="s">
        <v>4568</v>
      </c>
      <c r="E1035" s="1" t="str">
        <f>_xlfn.XLOOKUP(tblSales[[#This Row],[Customer ID]],tblCustomers[Customer ID],tblCustomers[Customer Name],"⚠ Unknown")</f>
        <v>Walk-in Customer</v>
      </c>
      <c r="F1035" s="4" t="s">
        <v>8</v>
      </c>
      <c r="G1035" s="1" t="str">
        <f>_xlfn.XLOOKUP(tblSales[[#This Row],[Product Code]],tblProducts[Code],tblProducts[Product / Service Name],"⚠ Unknown")</f>
        <v>Casual Shorts</v>
      </c>
      <c r="H1035" s="1" t="str">
        <f>_xlfn.XLOOKUP(tblSales[[#This Row],[Product Code]],tblProducts[Code],tblProducts[Category],"")</f>
        <v>Accessories &amp; Basics</v>
      </c>
      <c r="I1035" s="4">
        <v>8</v>
      </c>
      <c r="J1035" s="5">
        <f>_xlfn.XLOOKUP(tblSales[[#This Row],[Product Code]],tblProducts[Code],tblProducts[Selling Price (excl. VAT)],0)</f>
        <v>85000</v>
      </c>
      <c r="K1035" s="5">
        <f>tblSales[[#This Row],[Qty]]*tblSales[[#This Row],[Unit Price]]</f>
        <v>680000</v>
      </c>
      <c r="L1035" s="5">
        <f>ROUND(tblSales[[#This Row],[DPP (excl. VAT)]]*VATEff,0)</f>
        <v>74800</v>
      </c>
      <c r="M1035" s="5">
        <f>tblSales[[#This Row],[DPP (excl. VAT)]]+tblSales[[#This Row],[Output VAT]]</f>
        <v>754800</v>
      </c>
      <c r="N1035" s="5">
        <f>tblSales[[#This Row],[Qty]]*_xlfn.XLOOKUP(tblSales[[#This Row],[Product Code]],tblProducts[Code],tblProducts[Unit Cost],0)</f>
        <v>400000</v>
      </c>
      <c r="O1035" s="4" t="s">
        <v>4865</v>
      </c>
      <c r="P1035" s="4" t="s">
        <v>4860</v>
      </c>
      <c r="Q1035" s="1" t="str">
        <f>_xlfn.XLOOKUP(tblSales[[#This Row],[Channel Code]],tblChannels[Channel Code],tblChannels[Channel Name],"")</f>
        <v>In-store</v>
      </c>
      <c r="R1035" s="1">
        <f>MONTH(tblSales[[#This Row],[Date]])</f>
        <v>3</v>
      </c>
    </row>
    <row r="1036" spans="2:18" x14ac:dyDescent="0.35">
      <c r="B1036" s="113">
        <v>46088</v>
      </c>
      <c r="C1036" s="4" t="s">
        <v>728</v>
      </c>
      <c r="D1036" s="4" t="s">
        <v>4568</v>
      </c>
      <c r="E1036" s="1" t="str">
        <f>_xlfn.XLOOKUP(tblSales[[#This Row],[Customer ID]],tblCustomers[Customer ID],tblCustomers[Customer Name],"⚠ Unknown")</f>
        <v>Walk-in Customer</v>
      </c>
      <c r="F1036" s="4" t="s">
        <v>6</v>
      </c>
      <c r="G1036" s="1" t="str">
        <f>_xlfn.XLOOKUP(tblSales[[#This Row],[Product Code]],tblProducts[Code],tblProducts[Product / Service Name],"⚠ Unknown")</f>
        <v>Socks &amp; Accessories</v>
      </c>
      <c r="H1036" s="1" t="str">
        <f>_xlfn.XLOOKUP(tblSales[[#This Row],[Product Code]],tblProducts[Code],tblProducts[Category],"")</f>
        <v>Accessories &amp; Basics</v>
      </c>
      <c r="I1036" s="4">
        <v>5</v>
      </c>
      <c r="J1036" s="5">
        <f>_xlfn.XLOOKUP(tblSales[[#This Row],[Product Code]],tblProducts[Code],tblProducts[Selling Price (excl. VAT)],0)</f>
        <v>45000</v>
      </c>
      <c r="K1036" s="5">
        <f>tblSales[[#This Row],[Qty]]*tblSales[[#This Row],[Unit Price]]</f>
        <v>225000</v>
      </c>
      <c r="L1036" s="5">
        <f>ROUND(tblSales[[#This Row],[DPP (excl. VAT)]]*VATEff,0)</f>
        <v>24750</v>
      </c>
      <c r="M1036" s="5">
        <f>tblSales[[#This Row],[DPP (excl. VAT)]]+tblSales[[#This Row],[Output VAT]]</f>
        <v>249750</v>
      </c>
      <c r="N1036" s="5">
        <f>tblSales[[#This Row],[Qty]]*_xlfn.XLOOKUP(tblSales[[#This Row],[Product Code]],tblProducts[Code],tblProducts[Unit Cost],0)</f>
        <v>120000</v>
      </c>
      <c r="O1036" s="4" t="s">
        <v>4866</v>
      </c>
      <c r="P1036" s="4" t="s">
        <v>4862</v>
      </c>
      <c r="Q1036" s="1" t="str">
        <f>_xlfn.XLOOKUP(tblSales[[#This Row],[Channel Code]],tblChannels[Channel Code],tblChannels[Channel Name],"")</f>
        <v>Website &amp; Social Media</v>
      </c>
      <c r="R1036" s="1">
        <f>MONTH(tblSales[[#This Row],[Date]])</f>
        <v>3</v>
      </c>
    </row>
    <row r="1037" spans="2:18" x14ac:dyDescent="0.35">
      <c r="B1037" s="113">
        <v>46088</v>
      </c>
      <c r="C1037" s="4" t="s">
        <v>728</v>
      </c>
      <c r="D1037" s="4" t="s">
        <v>4568</v>
      </c>
      <c r="E1037" s="1" t="str">
        <f>_xlfn.XLOOKUP(tblSales[[#This Row],[Customer ID]],tblCustomers[Customer ID],tblCustomers[Customer Name],"⚠ Unknown")</f>
        <v>Walk-in Customer</v>
      </c>
      <c r="F1037" s="4" t="s">
        <v>8</v>
      </c>
      <c r="G1037" s="1" t="str">
        <f>_xlfn.XLOOKUP(tblSales[[#This Row],[Product Code]],tblProducts[Code],tblProducts[Product / Service Name],"⚠ Unknown")</f>
        <v>Casual Shorts</v>
      </c>
      <c r="H1037" s="1" t="str">
        <f>_xlfn.XLOOKUP(tblSales[[#This Row],[Product Code]],tblProducts[Code],tblProducts[Category],"")</f>
        <v>Accessories &amp; Basics</v>
      </c>
      <c r="I1037" s="4">
        <v>7</v>
      </c>
      <c r="J1037" s="5">
        <f>_xlfn.XLOOKUP(tblSales[[#This Row],[Product Code]],tblProducts[Code],tblProducts[Selling Price (excl. VAT)],0)</f>
        <v>85000</v>
      </c>
      <c r="K1037" s="5">
        <f>tblSales[[#This Row],[Qty]]*tblSales[[#This Row],[Unit Price]]</f>
        <v>595000</v>
      </c>
      <c r="L1037" s="5">
        <f>ROUND(tblSales[[#This Row],[DPP (excl. VAT)]]*VATEff,0)</f>
        <v>65450</v>
      </c>
      <c r="M1037" s="5">
        <f>tblSales[[#This Row],[DPP (excl. VAT)]]+tblSales[[#This Row],[Output VAT]]</f>
        <v>660450</v>
      </c>
      <c r="N1037" s="5">
        <f>tblSales[[#This Row],[Qty]]*_xlfn.XLOOKUP(tblSales[[#This Row],[Product Code]],tblProducts[Code],tblProducts[Unit Cost],0)</f>
        <v>350000</v>
      </c>
      <c r="O1037" s="4" t="s">
        <v>4866</v>
      </c>
      <c r="P1037" s="4" t="s">
        <v>4862</v>
      </c>
      <c r="Q1037" s="1" t="str">
        <f>_xlfn.XLOOKUP(tblSales[[#This Row],[Channel Code]],tblChannels[Channel Code],tblChannels[Channel Name],"")</f>
        <v>Website &amp; Social Media</v>
      </c>
      <c r="R1037" s="1">
        <f>MONTH(tblSales[[#This Row],[Date]])</f>
        <v>3</v>
      </c>
    </row>
    <row r="1038" spans="2:18" x14ac:dyDescent="0.35">
      <c r="B1038" s="113">
        <v>46088</v>
      </c>
      <c r="C1038" s="4" t="s">
        <v>729</v>
      </c>
      <c r="D1038" s="4" t="s">
        <v>4568</v>
      </c>
      <c r="E1038" s="1" t="str">
        <f>_xlfn.XLOOKUP(tblSales[[#This Row],[Customer ID]],tblCustomers[Customer ID],tblCustomers[Customer Name],"⚠ Unknown")</f>
        <v>Walk-in Customer</v>
      </c>
      <c r="F1038" s="4" t="s">
        <v>9</v>
      </c>
      <c r="G1038" s="1" t="str">
        <f>_xlfn.XLOOKUP(tblSales[[#This Row],[Product Code]],tblProducts[Code],tblProducts[Product / Service Name],"⚠ Unknown")</f>
        <v>Casual Shirt</v>
      </c>
      <c r="H1038" s="1" t="str">
        <f>_xlfn.XLOOKUP(tblSales[[#This Row],[Product Code]],tblProducts[Code],tblProducts[Category],"")</f>
        <v>Apparel &amp; Footwear</v>
      </c>
      <c r="I1038" s="4">
        <v>6</v>
      </c>
      <c r="J1038" s="5">
        <f>_xlfn.XLOOKUP(tblSales[[#This Row],[Product Code]],tblProducts[Code],tblProducts[Selling Price (excl. VAT)],0)</f>
        <v>120000</v>
      </c>
      <c r="K1038" s="5">
        <f>tblSales[[#This Row],[Qty]]*tblSales[[#This Row],[Unit Price]]</f>
        <v>720000</v>
      </c>
      <c r="L1038" s="5">
        <f>ROUND(tblSales[[#This Row],[DPP (excl. VAT)]]*VATEff,0)</f>
        <v>79200</v>
      </c>
      <c r="M1038" s="5">
        <f>tblSales[[#This Row],[DPP (excl. VAT)]]+tblSales[[#This Row],[Output VAT]]</f>
        <v>799200</v>
      </c>
      <c r="N1038" s="5">
        <f>tblSales[[#This Row],[Qty]]*_xlfn.XLOOKUP(tblSales[[#This Row],[Product Code]],tblProducts[Code],tblProducts[Unit Cost],0)</f>
        <v>432000</v>
      </c>
      <c r="O1038" s="4" t="s">
        <v>4866</v>
      </c>
      <c r="P1038" s="4" t="s">
        <v>4862</v>
      </c>
      <c r="Q1038" s="1" t="str">
        <f>_xlfn.XLOOKUP(tblSales[[#This Row],[Channel Code]],tblChannels[Channel Code],tblChannels[Channel Name],"")</f>
        <v>Website &amp; Social Media</v>
      </c>
      <c r="R1038" s="1">
        <f>MONTH(tblSales[[#This Row],[Date]])</f>
        <v>3</v>
      </c>
    </row>
    <row r="1039" spans="2:18" x14ac:dyDescent="0.35">
      <c r="B1039" s="113">
        <v>46088</v>
      </c>
      <c r="C1039" s="4" t="s">
        <v>730</v>
      </c>
      <c r="D1039" s="4" t="s">
        <v>4568</v>
      </c>
      <c r="E1039" s="1" t="str">
        <f>_xlfn.XLOOKUP(tblSales[[#This Row],[Customer ID]],tblCustomers[Customer ID],tblCustomers[Customer Name],"⚠ Unknown")</f>
        <v>Walk-in Customer</v>
      </c>
      <c r="F1039" s="4" t="s">
        <v>7</v>
      </c>
      <c r="G1039" s="1" t="str">
        <f>_xlfn.XLOOKUP(tblSales[[#This Row],[Product Code]],tblProducts[Code],tblProducts[Product / Service Name],"⚠ Unknown")</f>
        <v>Premium Basic T-shirt</v>
      </c>
      <c r="H1039" s="1" t="str">
        <f>_xlfn.XLOOKUP(tblSales[[#This Row],[Product Code]],tblProducts[Code],tblProducts[Category],"")</f>
        <v>Accessories &amp; Basics</v>
      </c>
      <c r="I1039" s="4">
        <v>6</v>
      </c>
      <c r="J1039" s="5">
        <f>_xlfn.XLOOKUP(tblSales[[#This Row],[Product Code]],tblProducts[Code],tblProducts[Selling Price (excl. VAT)],0)</f>
        <v>65000</v>
      </c>
      <c r="K1039" s="5">
        <f>tblSales[[#This Row],[Qty]]*tblSales[[#This Row],[Unit Price]]</f>
        <v>390000</v>
      </c>
      <c r="L1039" s="5">
        <f>ROUND(tblSales[[#This Row],[DPP (excl. VAT)]]*VATEff,0)</f>
        <v>42900</v>
      </c>
      <c r="M1039" s="5">
        <f>tblSales[[#This Row],[DPP (excl. VAT)]]+tblSales[[#This Row],[Output VAT]]</f>
        <v>432900</v>
      </c>
      <c r="N1039" s="5">
        <f>tblSales[[#This Row],[Qty]]*_xlfn.XLOOKUP(tblSales[[#This Row],[Product Code]],tblProducts[Code],tblProducts[Unit Cost],0)</f>
        <v>222000</v>
      </c>
      <c r="O1039" s="4" t="s">
        <v>4865</v>
      </c>
      <c r="P1039" s="4" t="s">
        <v>4860</v>
      </c>
      <c r="Q1039" s="1" t="str">
        <f>_xlfn.XLOOKUP(tblSales[[#This Row],[Channel Code]],tblChannels[Channel Code],tblChannels[Channel Name],"")</f>
        <v>In-store</v>
      </c>
      <c r="R1039" s="1">
        <f>MONTH(tblSales[[#This Row],[Date]])</f>
        <v>3</v>
      </c>
    </row>
    <row r="1040" spans="2:18" x14ac:dyDescent="0.35">
      <c r="B1040" s="113">
        <v>46088</v>
      </c>
      <c r="C1040" s="4" t="s">
        <v>731</v>
      </c>
      <c r="D1040" s="4" t="s">
        <v>4568</v>
      </c>
      <c r="E1040" s="1" t="str">
        <f>_xlfn.XLOOKUP(tblSales[[#This Row],[Customer ID]],tblCustomers[Customer ID],tblCustomers[Customer Name],"⚠ Unknown")</f>
        <v>Walk-in Customer</v>
      </c>
      <c r="F1040" s="4" t="s">
        <v>6</v>
      </c>
      <c r="G1040" s="1" t="str">
        <f>_xlfn.XLOOKUP(tblSales[[#This Row],[Product Code]],tblProducts[Code],tblProducts[Product / Service Name],"⚠ Unknown")</f>
        <v>Socks &amp; Accessories</v>
      </c>
      <c r="H1040" s="1" t="str">
        <f>_xlfn.XLOOKUP(tblSales[[#This Row],[Product Code]],tblProducts[Code],tblProducts[Category],"")</f>
        <v>Accessories &amp; Basics</v>
      </c>
      <c r="I1040" s="4">
        <v>4</v>
      </c>
      <c r="J1040" s="5">
        <f>_xlfn.XLOOKUP(tblSales[[#This Row],[Product Code]],tblProducts[Code],tblProducts[Selling Price (excl. VAT)],0)</f>
        <v>45000</v>
      </c>
      <c r="K1040" s="5">
        <f>tblSales[[#This Row],[Qty]]*tblSales[[#This Row],[Unit Price]]</f>
        <v>180000</v>
      </c>
      <c r="L1040" s="5">
        <f>ROUND(tblSales[[#This Row],[DPP (excl. VAT)]]*VATEff,0)</f>
        <v>19800</v>
      </c>
      <c r="M1040" s="5">
        <f>tblSales[[#This Row],[DPP (excl. VAT)]]+tblSales[[#This Row],[Output VAT]]</f>
        <v>199800</v>
      </c>
      <c r="N1040" s="5">
        <f>tblSales[[#This Row],[Qty]]*_xlfn.XLOOKUP(tblSales[[#This Row],[Product Code]],tblProducts[Code],tblProducts[Unit Cost],0)</f>
        <v>96000</v>
      </c>
      <c r="O1040" s="4" t="s">
        <v>4865</v>
      </c>
      <c r="P1040" s="4" t="s">
        <v>4860</v>
      </c>
      <c r="Q1040" s="1" t="str">
        <f>_xlfn.XLOOKUP(tblSales[[#This Row],[Channel Code]],tblChannels[Channel Code],tblChannels[Channel Name],"")</f>
        <v>In-store</v>
      </c>
      <c r="R1040" s="1">
        <f>MONTH(tblSales[[#This Row],[Date]])</f>
        <v>3</v>
      </c>
    </row>
    <row r="1041" spans="2:18" x14ac:dyDescent="0.35">
      <c r="B1041" s="113">
        <v>46089</v>
      </c>
      <c r="C1041" s="4" t="s">
        <v>732</v>
      </c>
      <c r="D1041" s="4" t="s">
        <v>4578</v>
      </c>
      <c r="E1041" s="1" t="str">
        <f>_xlfn.XLOOKUP(tblSales[[#This Row],[Customer ID]],tblCustomers[Customer ID],tblCustomers[Customer Name],"⚠ Unknown")</f>
        <v>PT Bintang Timur Sejahtera</v>
      </c>
      <c r="F1041" s="4" t="s">
        <v>11</v>
      </c>
      <c r="G1041" s="1" t="str">
        <f>_xlfn.XLOOKUP(tblSales[[#This Row],[Product Code]],tblProducts[Code],tblProducts[Product / Service Name],"⚠ Unknown")</f>
        <v>Sneakers</v>
      </c>
      <c r="H1041" s="1" t="str">
        <f>_xlfn.XLOOKUP(tblSales[[#This Row],[Product Code]],tblProducts[Code],tblProducts[Category],"")</f>
        <v>Apparel &amp; Footwear</v>
      </c>
      <c r="I1041" s="4">
        <v>48</v>
      </c>
      <c r="J1041" s="5">
        <f>_xlfn.XLOOKUP(tblSales[[#This Row],[Product Code]],tblProducts[Code],tblProducts[Selling Price (excl. VAT)],0)</f>
        <v>250000</v>
      </c>
      <c r="K1041" s="5">
        <f>tblSales[[#This Row],[Qty]]*tblSales[[#This Row],[Unit Price]]</f>
        <v>12000000</v>
      </c>
      <c r="L1041" s="5">
        <f>ROUND(tblSales[[#This Row],[DPP (excl. VAT)]]*VATEff,0)</f>
        <v>1320000</v>
      </c>
      <c r="M1041" s="5">
        <f>tblSales[[#This Row],[DPP (excl. VAT)]]+tblSales[[#This Row],[Output VAT]]</f>
        <v>13320000</v>
      </c>
      <c r="N1041" s="5">
        <f>tblSales[[#This Row],[Qty]]*_xlfn.XLOOKUP(tblSales[[#This Row],[Product Code]],tblProducts[Code],tblProducts[Unit Cost],0)</f>
        <v>7440000</v>
      </c>
      <c r="O1041" s="4" t="s">
        <v>4867</v>
      </c>
      <c r="P1041" s="4" t="s">
        <v>4860</v>
      </c>
      <c r="Q1041" s="1" t="str">
        <f>_xlfn.XLOOKUP(tblSales[[#This Row],[Channel Code]],tblChannels[Channel Code],tblChannels[Channel Name],"")</f>
        <v>In-store</v>
      </c>
      <c r="R1041" s="1">
        <f>MONTH(tblSales[[#This Row],[Date]])</f>
        <v>3</v>
      </c>
    </row>
    <row r="1042" spans="2:18" x14ac:dyDescent="0.35">
      <c r="B1042" s="113">
        <v>46089</v>
      </c>
      <c r="C1042" s="4" t="s">
        <v>733</v>
      </c>
      <c r="D1042" s="4" t="s">
        <v>4568</v>
      </c>
      <c r="E1042" s="1" t="str">
        <f>_xlfn.XLOOKUP(tblSales[[#This Row],[Customer ID]],tblCustomers[Customer ID],tblCustomers[Customer Name],"⚠ Unknown")</f>
        <v>Walk-in Customer</v>
      </c>
      <c r="F1042" s="4" t="s">
        <v>6</v>
      </c>
      <c r="G1042" s="1" t="str">
        <f>_xlfn.XLOOKUP(tblSales[[#This Row],[Product Code]],tblProducts[Code],tblProducts[Product / Service Name],"⚠ Unknown")</f>
        <v>Socks &amp; Accessories</v>
      </c>
      <c r="H1042" s="1" t="str">
        <f>_xlfn.XLOOKUP(tblSales[[#This Row],[Product Code]],tblProducts[Code],tblProducts[Category],"")</f>
        <v>Accessories &amp; Basics</v>
      </c>
      <c r="I1042" s="4">
        <v>8</v>
      </c>
      <c r="J1042" s="5">
        <f>_xlfn.XLOOKUP(tblSales[[#This Row],[Product Code]],tblProducts[Code],tblProducts[Selling Price (excl. VAT)],0)</f>
        <v>45000</v>
      </c>
      <c r="K1042" s="5">
        <f>tblSales[[#This Row],[Qty]]*tblSales[[#This Row],[Unit Price]]</f>
        <v>360000</v>
      </c>
      <c r="L1042" s="5">
        <f>ROUND(tblSales[[#This Row],[DPP (excl. VAT)]]*VATEff,0)</f>
        <v>39600</v>
      </c>
      <c r="M1042" s="5">
        <f>tblSales[[#This Row],[DPP (excl. VAT)]]+tblSales[[#This Row],[Output VAT]]</f>
        <v>399600</v>
      </c>
      <c r="N1042" s="5">
        <f>tblSales[[#This Row],[Qty]]*_xlfn.XLOOKUP(tblSales[[#This Row],[Product Code]],tblProducts[Code],tblProducts[Unit Cost],0)</f>
        <v>192000</v>
      </c>
      <c r="O1042" s="4" t="s">
        <v>4866</v>
      </c>
      <c r="P1042" s="4" t="s">
        <v>4861</v>
      </c>
      <c r="Q1042" s="1" t="str">
        <f>_xlfn.XLOOKUP(tblSales[[#This Row],[Channel Code]],tblChannels[Channel Code],tblChannels[Channel Name],"")</f>
        <v>Marketplace</v>
      </c>
      <c r="R1042" s="1">
        <f>MONTH(tblSales[[#This Row],[Date]])</f>
        <v>3</v>
      </c>
    </row>
    <row r="1043" spans="2:18" x14ac:dyDescent="0.35">
      <c r="B1043" s="113">
        <v>46089</v>
      </c>
      <c r="C1043" s="4" t="s">
        <v>734</v>
      </c>
      <c r="D1043" s="4" t="s">
        <v>4568</v>
      </c>
      <c r="E1043" s="1" t="str">
        <f>_xlfn.XLOOKUP(tblSales[[#This Row],[Customer ID]],tblCustomers[Customer ID],tblCustomers[Customer Name],"⚠ Unknown")</f>
        <v>Walk-in Customer</v>
      </c>
      <c r="F1043" s="4" t="s">
        <v>6</v>
      </c>
      <c r="G1043" s="1" t="str">
        <f>_xlfn.XLOOKUP(tblSales[[#This Row],[Product Code]],tblProducts[Code],tblProducts[Product / Service Name],"⚠ Unknown")</f>
        <v>Socks &amp; Accessories</v>
      </c>
      <c r="H1043" s="1" t="str">
        <f>_xlfn.XLOOKUP(tblSales[[#This Row],[Product Code]],tblProducts[Code],tblProducts[Category],"")</f>
        <v>Accessories &amp; Basics</v>
      </c>
      <c r="I1043" s="4">
        <v>12</v>
      </c>
      <c r="J1043" s="5">
        <f>_xlfn.XLOOKUP(tblSales[[#This Row],[Product Code]],tblProducts[Code],tblProducts[Selling Price (excl. VAT)],0)</f>
        <v>45000</v>
      </c>
      <c r="K1043" s="5">
        <f>tblSales[[#This Row],[Qty]]*tblSales[[#This Row],[Unit Price]]</f>
        <v>540000</v>
      </c>
      <c r="L1043" s="5">
        <f>ROUND(tblSales[[#This Row],[DPP (excl. VAT)]]*VATEff,0)</f>
        <v>59400</v>
      </c>
      <c r="M1043" s="5">
        <f>tblSales[[#This Row],[DPP (excl. VAT)]]+tblSales[[#This Row],[Output VAT]]</f>
        <v>599400</v>
      </c>
      <c r="N1043" s="5">
        <f>tblSales[[#This Row],[Qty]]*_xlfn.XLOOKUP(tblSales[[#This Row],[Product Code]],tblProducts[Code],tblProducts[Unit Cost],0)</f>
        <v>288000</v>
      </c>
      <c r="O1043" s="4" t="s">
        <v>4866</v>
      </c>
      <c r="P1043" s="4" t="s">
        <v>4861</v>
      </c>
      <c r="Q1043" s="1" t="str">
        <f>_xlfn.XLOOKUP(tblSales[[#This Row],[Channel Code]],tblChannels[Channel Code],tblChannels[Channel Name],"")</f>
        <v>Marketplace</v>
      </c>
      <c r="R1043" s="1">
        <f>MONTH(tblSales[[#This Row],[Date]])</f>
        <v>3</v>
      </c>
    </row>
    <row r="1044" spans="2:18" x14ac:dyDescent="0.35">
      <c r="B1044" s="113">
        <v>46089</v>
      </c>
      <c r="C1044" s="4" t="s">
        <v>735</v>
      </c>
      <c r="D1044" s="4" t="s">
        <v>4568</v>
      </c>
      <c r="E1044" s="1" t="str">
        <f>_xlfn.XLOOKUP(tblSales[[#This Row],[Customer ID]],tblCustomers[Customer ID],tblCustomers[Customer Name],"⚠ Unknown")</f>
        <v>Walk-in Customer</v>
      </c>
      <c r="F1044" s="4" t="s">
        <v>10</v>
      </c>
      <c r="G1044" s="1" t="str">
        <f>_xlfn.XLOOKUP(tblSales[[#This Row],[Product Code]],tblProducts[Code],tblProducts[Product / Service Name],"⚠ Unknown")</f>
        <v>Chino Pants</v>
      </c>
      <c r="H1044" s="1" t="str">
        <f>_xlfn.XLOOKUP(tblSales[[#This Row],[Product Code]],tblProducts[Code],tblProducts[Category],"")</f>
        <v>Apparel &amp; Footwear</v>
      </c>
      <c r="I1044" s="4">
        <v>7</v>
      </c>
      <c r="J1044" s="5">
        <f>_xlfn.XLOOKUP(tblSales[[#This Row],[Product Code]],tblProducts[Code],tblProducts[Selling Price (excl. VAT)],0)</f>
        <v>150000</v>
      </c>
      <c r="K1044" s="5">
        <f>tblSales[[#This Row],[Qty]]*tblSales[[#This Row],[Unit Price]]</f>
        <v>1050000</v>
      </c>
      <c r="L1044" s="5">
        <f>ROUND(tblSales[[#This Row],[DPP (excl. VAT)]]*VATEff,0)</f>
        <v>115500</v>
      </c>
      <c r="M1044" s="5">
        <f>tblSales[[#This Row],[DPP (excl. VAT)]]+tblSales[[#This Row],[Output VAT]]</f>
        <v>1165500</v>
      </c>
      <c r="N1044" s="5">
        <f>tblSales[[#This Row],[Qty]]*_xlfn.XLOOKUP(tblSales[[#This Row],[Product Code]],tblProducts[Code],tblProducts[Unit Cost],0)</f>
        <v>616000</v>
      </c>
      <c r="O1044" s="4" t="s">
        <v>4865</v>
      </c>
      <c r="P1044" s="4" t="s">
        <v>4860</v>
      </c>
      <c r="Q1044" s="1" t="str">
        <f>_xlfn.XLOOKUP(tblSales[[#This Row],[Channel Code]],tblChannels[Channel Code],tblChannels[Channel Name],"")</f>
        <v>In-store</v>
      </c>
      <c r="R1044" s="1">
        <f>MONTH(tblSales[[#This Row],[Date]])</f>
        <v>3</v>
      </c>
    </row>
    <row r="1045" spans="2:18" x14ac:dyDescent="0.35">
      <c r="B1045" s="113">
        <v>46089</v>
      </c>
      <c r="C1045" s="4" t="s">
        <v>736</v>
      </c>
      <c r="D1045" s="4" t="s">
        <v>4599</v>
      </c>
      <c r="E1045" s="1" t="str">
        <f>_xlfn.XLOOKUP(tblSales[[#This Row],[Customer ID]],tblCustomers[Customer ID],tblCustomers[Customer Name],"⚠ Unknown")</f>
        <v>PT Samudra Jaya Logistik</v>
      </c>
      <c r="F1045" s="4" t="s">
        <v>9</v>
      </c>
      <c r="G1045" s="1" t="str">
        <f>_xlfn.XLOOKUP(tblSales[[#This Row],[Product Code]],tblProducts[Code],tblProducts[Product / Service Name],"⚠ Unknown")</f>
        <v>Casual Shirt</v>
      </c>
      <c r="H1045" s="1" t="str">
        <f>_xlfn.XLOOKUP(tblSales[[#This Row],[Product Code]],tblProducts[Code],tblProducts[Category],"")</f>
        <v>Apparel &amp; Footwear</v>
      </c>
      <c r="I1045" s="4">
        <v>48</v>
      </c>
      <c r="J1045" s="5">
        <f>_xlfn.XLOOKUP(tblSales[[#This Row],[Product Code]],tblProducts[Code],tblProducts[Selling Price (excl. VAT)],0)</f>
        <v>120000</v>
      </c>
      <c r="K1045" s="5">
        <f>tblSales[[#This Row],[Qty]]*tblSales[[#This Row],[Unit Price]]</f>
        <v>5760000</v>
      </c>
      <c r="L1045" s="5">
        <f>ROUND(tblSales[[#This Row],[DPP (excl. VAT)]]*VATEff,0)</f>
        <v>633600</v>
      </c>
      <c r="M1045" s="5">
        <f>tblSales[[#This Row],[DPP (excl. VAT)]]+tblSales[[#This Row],[Output VAT]]</f>
        <v>6393600</v>
      </c>
      <c r="N1045" s="5">
        <f>tblSales[[#This Row],[Qty]]*_xlfn.XLOOKUP(tblSales[[#This Row],[Product Code]],tblProducts[Code],tblProducts[Unit Cost],0)</f>
        <v>3456000</v>
      </c>
      <c r="O1045" s="4" t="s">
        <v>4867</v>
      </c>
      <c r="P1045" s="4" t="s">
        <v>4860</v>
      </c>
      <c r="Q1045" s="1" t="str">
        <f>_xlfn.XLOOKUP(tblSales[[#This Row],[Channel Code]],tblChannels[Channel Code],tblChannels[Channel Name],"")</f>
        <v>In-store</v>
      </c>
      <c r="R1045" s="1">
        <f>MONTH(tblSales[[#This Row],[Date]])</f>
        <v>3</v>
      </c>
    </row>
    <row r="1046" spans="2:18" x14ac:dyDescent="0.35">
      <c r="B1046" s="113">
        <v>46089</v>
      </c>
      <c r="C1046" s="4" t="s">
        <v>737</v>
      </c>
      <c r="D1046" s="4" t="s">
        <v>4568</v>
      </c>
      <c r="E1046" s="1" t="str">
        <f>_xlfn.XLOOKUP(tblSales[[#This Row],[Customer ID]],tblCustomers[Customer ID],tblCustomers[Customer Name],"⚠ Unknown")</f>
        <v>Walk-in Customer</v>
      </c>
      <c r="F1046" s="4" t="s">
        <v>6</v>
      </c>
      <c r="G1046" s="1" t="str">
        <f>_xlfn.XLOOKUP(tblSales[[#This Row],[Product Code]],tblProducts[Code],tblProducts[Product / Service Name],"⚠ Unknown")</f>
        <v>Socks &amp; Accessories</v>
      </c>
      <c r="H1046" s="1" t="str">
        <f>_xlfn.XLOOKUP(tblSales[[#This Row],[Product Code]],tblProducts[Code],tblProducts[Category],"")</f>
        <v>Accessories &amp; Basics</v>
      </c>
      <c r="I1046" s="4">
        <v>10</v>
      </c>
      <c r="J1046" s="5">
        <f>_xlfn.XLOOKUP(tblSales[[#This Row],[Product Code]],tblProducts[Code],tblProducts[Selling Price (excl. VAT)],0)</f>
        <v>45000</v>
      </c>
      <c r="K1046" s="5">
        <f>tblSales[[#This Row],[Qty]]*tblSales[[#This Row],[Unit Price]]</f>
        <v>450000</v>
      </c>
      <c r="L1046" s="5">
        <f>ROUND(tblSales[[#This Row],[DPP (excl. VAT)]]*VATEff,0)</f>
        <v>49500</v>
      </c>
      <c r="M1046" s="5">
        <f>tblSales[[#This Row],[DPP (excl. VAT)]]+tblSales[[#This Row],[Output VAT]]</f>
        <v>499500</v>
      </c>
      <c r="N1046" s="5">
        <f>tblSales[[#This Row],[Qty]]*_xlfn.XLOOKUP(tblSales[[#This Row],[Product Code]],tblProducts[Code],tblProducts[Unit Cost],0)</f>
        <v>240000</v>
      </c>
      <c r="O1046" s="4" t="s">
        <v>4865</v>
      </c>
      <c r="P1046" s="4" t="s">
        <v>4860</v>
      </c>
      <c r="Q1046" s="1" t="str">
        <f>_xlfn.XLOOKUP(tblSales[[#This Row],[Channel Code]],tblChannels[Channel Code],tblChannels[Channel Name],"")</f>
        <v>In-store</v>
      </c>
      <c r="R1046" s="1">
        <f>MONTH(tblSales[[#This Row],[Date]])</f>
        <v>3</v>
      </c>
    </row>
    <row r="1047" spans="2:18" x14ac:dyDescent="0.35">
      <c r="B1047" s="113">
        <v>46089</v>
      </c>
      <c r="C1047" s="4" t="s">
        <v>738</v>
      </c>
      <c r="D1047" s="4" t="s">
        <v>4568</v>
      </c>
      <c r="E1047" s="1" t="str">
        <f>_xlfn.XLOOKUP(tblSales[[#This Row],[Customer ID]],tblCustomers[Customer ID],tblCustomers[Customer Name],"⚠ Unknown")</f>
        <v>Walk-in Customer</v>
      </c>
      <c r="F1047" s="4" t="s">
        <v>11</v>
      </c>
      <c r="G1047" s="1" t="str">
        <f>_xlfn.XLOOKUP(tblSales[[#This Row],[Product Code]],tblProducts[Code],tblProducts[Product / Service Name],"⚠ Unknown")</f>
        <v>Sneakers</v>
      </c>
      <c r="H1047" s="1" t="str">
        <f>_xlfn.XLOOKUP(tblSales[[#This Row],[Product Code]],tblProducts[Code],tblProducts[Category],"")</f>
        <v>Apparel &amp; Footwear</v>
      </c>
      <c r="I1047" s="4">
        <v>5</v>
      </c>
      <c r="J1047" s="5">
        <f>_xlfn.XLOOKUP(tblSales[[#This Row],[Product Code]],tblProducts[Code],tblProducts[Selling Price (excl. VAT)],0)</f>
        <v>250000</v>
      </c>
      <c r="K1047" s="5">
        <f>tblSales[[#This Row],[Qty]]*tblSales[[#This Row],[Unit Price]]</f>
        <v>1250000</v>
      </c>
      <c r="L1047" s="5">
        <f>ROUND(tblSales[[#This Row],[DPP (excl. VAT)]]*VATEff,0)</f>
        <v>137500</v>
      </c>
      <c r="M1047" s="5">
        <f>tblSales[[#This Row],[DPP (excl. VAT)]]+tblSales[[#This Row],[Output VAT]]</f>
        <v>1387500</v>
      </c>
      <c r="N1047" s="5">
        <f>tblSales[[#This Row],[Qty]]*_xlfn.XLOOKUP(tblSales[[#This Row],[Product Code]],tblProducts[Code],tblProducts[Unit Cost],0)</f>
        <v>775000</v>
      </c>
      <c r="O1047" s="4" t="s">
        <v>4866</v>
      </c>
      <c r="P1047" s="4" t="s">
        <v>4861</v>
      </c>
      <c r="Q1047" s="1" t="str">
        <f>_xlfn.XLOOKUP(tblSales[[#This Row],[Channel Code]],tblChannels[Channel Code],tblChannels[Channel Name],"")</f>
        <v>Marketplace</v>
      </c>
      <c r="R1047" s="1">
        <f>MONTH(tblSales[[#This Row],[Date]])</f>
        <v>3</v>
      </c>
    </row>
    <row r="1048" spans="2:18" x14ac:dyDescent="0.35">
      <c r="B1048" s="113">
        <v>46089</v>
      </c>
      <c r="C1048" s="4" t="s">
        <v>738</v>
      </c>
      <c r="D1048" s="4" t="s">
        <v>4568</v>
      </c>
      <c r="E1048" s="1" t="str">
        <f>_xlfn.XLOOKUP(tblSales[[#This Row],[Customer ID]],tblCustomers[Customer ID],tblCustomers[Customer Name],"⚠ Unknown")</f>
        <v>Walk-in Customer</v>
      </c>
      <c r="F1048" s="4" t="s">
        <v>12</v>
      </c>
      <c r="G1048" s="1" t="str">
        <f>_xlfn.XLOOKUP(tblSales[[#This Row],[Product Code]],tblProducts[Code],tblProducts[Product / Service Name],"⚠ Unknown")</f>
        <v>Bomber Jacket</v>
      </c>
      <c r="H1048" s="1" t="str">
        <f>_xlfn.XLOOKUP(tblSales[[#This Row],[Product Code]],tblProducts[Code],tblProducts[Category],"")</f>
        <v>Apparel &amp; Footwear</v>
      </c>
      <c r="I1048" s="4">
        <v>1</v>
      </c>
      <c r="J1048" s="5">
        <f>_xlfn.XLOOKUP(tblSales[[#This Row],[Product Code]],tblProducts[Code],tblProducts[Selling Price (excl. VAT)],0)</f>
        <v>350000</v>
      </c>
      <c r="K1048" s="5">
        <f>tblSales[[#This Row],[Qty]]*tblSales[[#This Row],[Unit Price]]</f>
        <v>350000</v>
      </c>
      <c r="L1048" s="5">
        <f>ROUND(tblSales[[#This Row],[DPP (excl. VAT)]]*VATEff,0)</f>
        <v>38500</v>
      </c>
      <c r="M1048" s="5">
        <f>tblSales[[#This Row],[DPP (excl. VAT)]]+tblSales[[#This Row],[Output VAT]]</f>
        <v>388500</v>
      </c>
      <c r="N1048" s="5">
        <f>tblSales[[#This Row],[Qty]]*_xlfn.XLOOKUP(tblSales[[#This Row],[Product Code]],tblProducts[Code],tblProducts[Unit Cost],0)</f>
        <v>210000</v>
      </c>
      <c r="O1048" s="4" t="s">
        <v>4866</v>
      </c>
      <c r="P1048" s="4" t="s">
        <v>4861</v>
      </c>
      <c r="Q1048" s="1" t="str">
        <f>_xlfn.XLOOKUP(tblSales[[#This Row],[Channel Code]],tblChannels[Channel Code],tblChannels[Channel Name],"")</f>
        <v>Marketplace</v>
      </c>
      <c r="R1048" s="1">
        <f>MONTH(tblSales[[#This Row],[Date]])</f>
        <v>3</v>
      </c>
    </row>
    <row r="1049" spans="2:18" x14ac:dyDescent="0.35">
      <c r="B1049" s="113">
        <v>46089</v>
      </c>
      <c r="C1049" s="4" t="s">
        <v>738</v>
      </c>
      <c r="D1049" s="4" t="s">
        <v>4568</v>
      </c>
      <c r="E1049" s="1" t="str">
        <f>_xlfn.XLOOKUP(tblSales[[#This Row],[Customer ID]],tblCustomers[Customer ID],tblCustomers[Customer Name],"⚠ Unknown")</f>
        <v>Walk-in Customer</v>
      </c>
      <c r="F1049" s="4" t="s">
        <v>9</v>
      </c>
      <c r="G1049" s="1" t="str">
        <f>_xlfn.XLOOKUP(tblSales[[#This Row],[Product Code]],tblProducts[Code],tblProducts[Product / Service Name],"⚠ Unknown")</f>
        <v>Casual Shirt</v>
      </c>
      <c r="H1049" s="1" t="str">
        <f>_xlfn.XLOOKUP(tblSales[[#This Row],[Product Code]],tblProducts[Code],tblProducts[Category],"")</f>
        <v>Apparel &amp; Footwear</v>
      </c>
      <c r="I1049" s="4">
        <v>1</v>
      </c>
      <c r="J1049" s="5">
        <f>_xlfn.XLOOKUP(tblSales[[#This Row],[Product Code]],tblProducts[Code],tblProducts[Selling Price (excl. VAT)],0)</f>
        <v>120000</v>
      </c>
      <c r="K1049" s="5">
        <f>tblSales[[#This Row],[Qty]]*tblSales[[#This Row],[Unit Price]]</f>
        <v>120000</v>
      </c>
      <c r="L1049" s="5">
        <f>ROUND(tblSales[[#This Row],[DPP (excl. VAT)]]*VATEff,0)</f>
        <v>13200</v>
      </c>
      <c r="M1049" s="5">
        <f>tblSales[[#This Row],[DPP (excl. VAT)]]+tblSales[[#This Row],[Output VAT]]</f>
        <v>133200</v>
      </c>
      <c r="N1049" s="5">
        <f>tblSales[[#This Row],[Qty]]*_xlfn.XLOOKUP(tblSales[[#This Row],[Product Code]],tblProducts[Code],tblProducts[Unit Cost],0)</f>
        <v>72000</v>
      </c>
      <c r="O1049" s="4" t="s">
        <v>4866</v>
      </c>
      <c r="P1049" s="4" t="s">
        <v>4861</v>
      </c>
      <c r="Q1049" s="1" t="str">
        <f>_xlfn.XLOOKUP(tblSales[[#This Row],[Channel Code]],tblChannels[Channel Code],tblChannels[Channel Name],"")</f>
        <v>Marketplace</v>
      </c>
      <c r="R1049" s="1">
        <f>MONTH(tblSales[[#This Row],[Date]])</f>
        <v>3</v>
      </c>
    </row>
    <row r="1050" spans="2:18" x14ac:dyDescent="0.35">
      <c r="B1050" s="113">
        <v>46089</v>
      </c>
      <c r="C1050" s="4" t="s">
        <v>739</v>
      </c>
      <c r="D1050" s="4" t="s">
        <v>4568</v>
      </c>
      <c r="E1050" s="1" t="str">
        <f>_xlfn.XLOOKUP(tblSales[[#This Row],[Customer ID]],tblCustomers[Customer ID],tblCustomers[Customer Name],"⚠ Unknown")</f>
        <v>Walk-in Customer</v>
      </c>
      <c r="F1050" s="4" t="s">
        <v>13</v>
      </c>
      <c r="G1050" s="1" t="str">
        <f>_xlfn.XLOOKUP(tblSales[[#This Row],[Product Code]],tblProducts[Code],tblProducts[Product / Service Name],"⚠ Unknown")</f>
        <v>Backpack</v>
      </c>
      <c r="H1050" s="1" t="str">
        <f>_xlfn.XLOOKUP(tblSales[[#This Row],[Product Code]],tblProducts[Code],tblProducts[Category],"")</f>
        <v>Bags &amp; Gadgets</v>
      </c>
      <c r="I1050" s="4">
        <v>3</v>
      </c>
      <c r="J1050" s="5">
        <f>_xlfn.XLOOKUP(tblSales[[#This Row],[Product Code]],tblProducts[Code],tblProducts[Selling Price (excl. VAT)],0)</f>
        <v>500000</v>
      </c>
      <c r="K1050" s="5">
        <f>tblSales[[#This Row],[Qty]]*tblSales[[#This Row],[Unit Price]]</f>
        <v>1500000</v>
      </c>
      <c r="L1050" s="5">
        <f>ROUND(tblSales[[#This Row],[DPP (excl. VAT)]]*VATEff,0)</f>
        <v>165000</v>
      </c>
      <c r="M1050" s="5">
        <f>tblSales[[#This Row],[DPP (excl. VAT)]]+tblSales[[#This Row],[Output VAT]]</f>
        <v>1665000</v>
      </c>
      <c r="N1050" s="5">
        <f>tblSales[[#This Row],[Qty]]*_xlfn.XLOOKUP(tblSales[[#This Row],[Product Code]],tblProducts[Code],tblProducts[Unit Cost],0)</f>
        <v>870000</v>
      </c>
      <c r="O1050" s="4" t="s">
        <v>4866</v>
      </c>
      <c r="P1050" s="4" t="s">
        <v>4862</v>
      </c>
      <c r="Q1050" s="1" t="str">
        <f>_xlfn.XLOOKUP(tblSales[[#This Row],[Channel Code]],tblChannels[Channel Code],tblChannels[Channel Name],"")</f>
        <v>Website &amp; Social Media</v>
      </c>
      <c r="R1050" s="1">
        <f>MONTH(tblSales[[#This Row],[Date]])</f>
        <v>3</v>
      </c>
    </row>
    <row r="1051" spans="2:18" x14ac:dyDescent="0.35">
      <c r="B1051" s="113">
        <v>46089</v>
      </c>
      <c r="C1051" s="4" t="s">
        <v>740</v>
      </c>
      <c r="D1051" s="4" t="s">
        <v>4568</v>
      </c>
      <c r="E1051" s="1" t="str">
        <f>_xlfn.XLOOKUP(tblSales[[#This Row],[Customer ID]],tblCustomers[Customer ID],tblCustomers[Customer Name],"⚠ Unknown")</f>
        <v>Walk-in Customer</v>
      </c>
      <c r="F1051" s="4" t="s">
        <v>7</v>
      </c>
      <c r="G1051" s="1" t="str">
        <f>_xlfn.XLOOKUP(tblSales[[#This Row],[Product Code]],tblProducts[Code],tblProducts[Product / Service Name],"⚠ Unknown")</f>
        <v>Premium Basic T-shirt</v>
      </c>
      <c r="H1051" s="1" t="str">
        <f>_xlfn.XLOOKUP(tblSales[[#This Row],[Product Code]],tblProducts[Code],tblProducts[Category],"")</f>
        <v>Accessories &amp; Basics</v>
      </c>
      <c r="I1051" s="4">
        <v>1</v>
      </c>
      <c r="J1051" s="5">
        <f>_xlfn.XLOOKUP(tblSales[[#This Row],[Product Code]],tblProducts[Code],tblProducts[Selling Price (excl. VAT)],0)</f>
        <v>65000</v>
      </c>
      <c r="K1051" s="5">
        <f>tblSales[[#This Row],[Qty]]*tblSales[[#This Row],[Unit Price]]</f>
        <v>65000</v>
      </c>
      <c r="L1051" s="5">
        <f>ROUND(tblSales[[#This Row],[DPP (excl. VAT)]]*VATEff,0)</f>
        <v>7150</v>
      </c>
      <c r="M1051" s="5">
        <f>tblSales[[#This Row],[DPP (excl. VAT)]]+tblSales[[#This Row],[Output VAT]]</f>
        <v>72150</v>
      </c>
      <c r="N1051" s="5">
        <f>tblSales[[#This Row],[Qty]]*_xlfn.XLOOKUP(tblSales[[#This Row],[Product Code]],tblProducts[Code],tblProducts[Unit Cost],0)</f>
        <v>37000</v>
      </c>
      <c r="O1051" s="4" t="s">
        <v>4866</v>
      </c>
      <c r="P1051" s="4" t="s">
        <v>4861</v>
      </c>
      <c r="Q1051" s="1" t="str">
        <f>_xlfn.XLOOKUP(tblSales[[#This Row],[Channel Code]],tblChannels[Channel Code],tblChannels[Channel Name],"")</f>
        <v>Marketplace</v>
      </c>
      <c r="R1051" s="1">
        <f>MONTH(tblSales[[#This Row],[Date]])</f>
        <v>3</v>
      </c>
    </row>
    <row r="1052" spans="2:18" x14ac:dyDescent="0.35">
      <c r="B1052" s="113">
        <v>46089</v>
      </c>
      <c r="C1052" s="4" t="s">
        <v>741</v>
      </c>
      <c r="D1052" s="4" t="s">
        <v>4568</v>
      </c>
      <c r="E1052" s="1" t="str">
        <f>_xlfn.XLOOKUP(tblSales[[#This Row],[Customer ID]],tblCustomers[Customer ID],tblCustomers[Customer Name],"⚠ Unknown")</f>
        <v>Walk-in Customer</v>
      </c>
      <c r="F1052" s="4" t="s">
        <v>13</v>
      </c>
      <c r="G1052" s="1" t="str">
        <f>_xlfn.XLOOKUP(tblSales[[#This Row],[Product Code]],tblProducts[Code],tblProducts[Product / Service Name],"⚠ Unknown")</f>
        <v>Backpack</v>
      </c>
      <c r="H1052" s="1" t="str">
        <f>_xlfn.XLOOKUP(tblSales[[#This Row],[Product Code]],tblProducts[Code],tblProducts[Category],"")</f>
        <v>Bags &amp; Gadgets</v>
      </c>
      <c r="I1052" s="4">
        <v>3</v>
      </c>
      <c r="J1052" s="5">
        <f>_xlfn.XLOOKUP(tblSales[[#This Row],[Product Code]],tblProducts[Code],tblProducts[Selling Price (excl. VAT)],0)</f>
        <v>500000</v>
      </c>
      <c r="K1052" s="5">
        <f>tblSales[[#This Row],[Qty]]*tblSales[[#This Row],[Unit Price]]</f>
        <v>1500000</v>
      </c>
      <c r="L1052" s="5">
        <f>ROUND(tblSales[[#This Row],[DPP (excl. VAT)]]*VATEff,0)</f>
        <v>165000</v>
      </c>
      <c r="M1052" s="5">
        <f>tblSales[[#This Row],[DPP (excl. VAT)]]+tblSales[[#This Row],[Output VAT]]</f>
        <v>1665000</v>
      </c>
      <c r="N1052" s="5">
        <f>tblSales[[#This Row],[Qty]]*_xlfn.XLOOKUP(tblSales[[#This Row],[Product Code]],tblProducts[Code],tblProducts[Unit Cost],0)</f>
        <v>870000</v>
      </c>
      <c r="O1052" s="4" t="s">
        <v>4866</v>
      </c>
      <c r="P1052" s="4" t="s">
        <v>4861</v>
      </c>
      <c r="Q1052" s="1" t="str">
        <f>_xlfn.XLOOKUP(tblSales[[#This Row],[Channel Code]],tblChannels[Channel Code],tblChannels[Channel Name],"")</f>
        <v>Marketplace</v>
      </c>
      <c r="R1052" s="1">
        <f>MONTH(tblSales[[#This Row],[Date]])</f>
        <v>3</v>
      </c>
    </row>
    <row r="1053" spans="2:18" x14ac:dyDescent="0.35">
      <c r="B1053" s="113">
        <v>46089</v>
      </c>
      <c r="C1053" s="4" t="s">
        <v>741</v>
      </c>
      <c r="D1053" s="4" t="s">
        <v>4568</v>
      </c>
      <c r="E1053" s="1" t="str">
        <f>_xlfn.XLOOKUP(tblSales[[#This Row],[Customer ID]],tblCustomers[Customer ID],tblCustomers[Customer Name],"⚠ Unknown")</f>
        <v>Walk-in Customer</v>
      </c>
      <c r="F1053" s="4" t="s">
        <v>7</v>
      </c>
      <c r="G1053" s="1" t="str">
        <f>_xlfn.XLOOKUP(tblSales[[#This Row],[Product Code]],tblProducts[Code],tblProducts[Product / Service Name],"⚠ Unknown")</f>
        <v>Premium Basic T-shirt</v>
      </c>
      <c r="H1053" s="1" t="str">
        <f>_xlfn.XLOOKUP(tblSales[[#This Row],[Product Code]],tblProducts[Code],tblProducts[Category],"")</f>
        <v>Accessories &amp; Basics</v>
      </c>
      <c r="I1053" s="4">
        <v>1</v>
      </c>
      <c r="J1053" s="5">
        <f>_xlfn.XLOOKUP(tblSales[[#This Row],[Product Code]],tblProducts[Code],tblProducts[Selling Price (excl. VAT)],0)</f>
        <v>65000</v>
      </c>
      <c r="K1053" s="5">
        <f>tblSales[[#This Row],[Qty]]*tblSales[[#This Row],[Unit Price]]</f>
        <v>65000</v>
      </c>
      <c r="L1053" s="5">
        <f>ROUND(tblSales[[#This Row],[DPP (excl. VAT)]]*VATEff,0)</f>
        <v>7150</v>
      </c>
      <c r="M1053" s="5">
        <f>tblSales[[#This Row],[DPP (excl. VAT)]]+tblSales[[#This Row],[Output VAT]]</f>
        <v>72150</v>
      </c>
      <c r="N1053" s="5">
        <f>tblSales[[#This Row],[Qty]]*_xlfn.XLOOKUP(tblSales[[#This Row],[Product Code]],tblProducts[Code],tblProducts[Unit Cost],0)</f>
        <v>37000</v>
      </c>
      <c r="O1053" s="4" t="s">
        <v>4866</v>
      </c>
      <c r="P1053" s="4" t="s">
        <v>4861</v>
      </c>
      <c r="Q1053" s="1" t="str">
        <f>_xlfn.XLOOKUP(tblSales[[#This Row],[Channel Code]],tblChannels[Channel Code],tblChannels[Channel Name],"")</f>
        <v>Marketplace</v>
      </c>
      <c r="R1053" s="1">
        <f>MONTH(tblSales[[#This Row],[Date]])</f>
        <v>3</v>
      </c>
    </row>
    <row r="1054" spans="2:18" x14ac:dyDescent="0.35">
      <c r="B1054" s="113">
        <v>46089</v>
      </c>
      <c r="C1054" s="4" t="s">
        <v>741</v>
      </c>
      <c r="D1054" s="4" t="s">
        <v>4568</v>
      </c>
      <c r="E1054" s="1" t="str">
        <f>_xlfn.XLOOKUP(tblSales[[#This Row],[Customer ID]],tblCustomers[Customer ID],tblCustomers[Customer Name],"⚠ Unknown")</f>
        <v>Walk-in Customer</v>
      </c>
      <c r="F1054" s="4" t="s">
        <v>6</v>
      </c>
      <c r="G1054" s="1" t="str">
        <f>_xlfn.XLOOKUP(tblSales[[#This Row],[Product Code]],tblProducts[Code],tblProducts[Product / Service Name],"⚠ Unknown")</f>
        <v>Socks &amp; Accessories</v>
      </c>
      <c r="H1054" s="1" t="str">
        <f>_xlfn.XLOOKUP(tblSales[[#This Row],[Product Code]],tblProducts[Code],tblProducts[Category],"")</f>
        <v>Accessories &amp; Basics</v>
      </c>
      <c r="I1054" s="4">
        <v>7</v>
      </c>
      <c r="J1054" s="5">
        <f>_xlfn.XLOOKUP(tblSales[[#This Row],[Product Code]],tblProducts[Code],tblProducts[Selling Price (excl. VAT)],0)</f>
        <v>45000</v>
      </c>
      <c r="K1054" s="5">
        <f>tblSales[[#This Row],[Qty]]*tblSales[[#This Row],[Unit Price]]</f>
        <v>315000</v>
      </c>
      <c r="L1054" s="5">
        <f>ROUND(tblSales[[#This Row],[DPP (excl. VAT)]]*VATEff,0)</f>
        <v>34650</v>
      </c>
      <c r="M1054" s="5">
        <f>tblSales[[#This Row],[DPP (excl. VAT)]]+tblSales[[#This Row],[Output VAT]]</f>
        <v>349650</v>
      </c>
      <c r="N1054" s="5">
        <f>tblSales[[#This Row],[Qty]]*_xlfn.XLOOKUP(tblSales[[#This Row],[Product Code]],tblProducts[Code],tblProducts[Unit Cost],0)</f>
        <v>168000</v>
      </c>
      <c r="O1054" s="4" t="s">
        <v>4866</v>
      </c>
      <c r="P1054" s="4" t="s">
        <v>4861</v>
      </c>
      <c r="Q1054" s="1" t="str">
        <f>_xlfn.XLOOKUP(tblSales[[#This Row],[Channel Code]],tblChannels[Channel Code],tblChannels[Channel Name],"")</f>
        <v>Marketplace</v>
      </c>
      <c r="R1054" s="1">
        <f>MONTH(tblSales[[#This Row],[Date]])</f>
        <v>3</v>
      </c>
    </row>
    <row r="1055" spans="2:18" x14ac:dyDescent="0.35">
      <c r="B1055" s="113">
        <v>46089</v>
      </c>
      <c r="C1055" s="4" t="s">
        <v>742</v>
      </c>
      <c r="D1055" s="4" t="s">
        <v>4568</v>
      </c>
      <c r="E1055" s="1" t="str">
        <f>_xlfn.XLOOKUP(tblSales[[#This Row],[Customer ID]],tblCustomers[Customer ID],tblCustomers[Customer Name],"⚠ Unknown")</f>
        <v>Walk-in Customer</v>
      </c>
      <c r="F1055" s="4" t="s">
        <v>11</v>
      </c>
      <c r="G1055" s="1" t="str">
        <f>_xlfn.XLOOKUP(tblSales[[#This Row],[Product Code]],tblProducts[Code],tblProducts[Product / Service Name],"⚠ Unknown")</f>
        <v>Sneakers</v>
      </c>
      <c r="H1055" s="1" t="str">
        <f>_xlfn.XLOOKUP(tblSales[[#This Row],[Product Code]],tblProducts[Code],tblProducts[Category],"")</f>
        <v>Apparel &amp; Footwear</v>
      </c>
      <c r="I1055" s="4">
        <v>6</v>
      </c>
      <c r="J1055" s="5">
        <f>_xlfn.XLOOKUP(tblSales[[#This Row],[Product Code]],tblProducts[Code],tblProducts[Selling Price (excl. VAT)],0)</f>
        <v>250000</v>
      </c>
      <c r="K1055" s="5">
        <f>tblSales[[#This Row],[Qty]]*tblSales[[#This Row],[Unit Price]]</f>
        <v>1500000</v>
      </c>
      <c r="L1055" s="5">
        <f>ROUND(tblSales[[#This Row],[DPP (excl. VAT)]]*VATEff,0)</f>
        <v>165000</v>
      </c>
      <c r="M1055" s="5">
        <f>tblSales[[#This Row],[DPP (excl. VAT)]]+tblSales[[#This Row],[Output VAT]]</f>
        <v>1665000</v>
      </c>
      <c r="N1055" s="5">
        <f>tblSales[[#This Row],[Qty]]*_xlfn.XLOOKUP(tblSales[[#This Row],[Product Code]],tblProducts[Code],tblProducts[Unit Cost],0)</f>
        <v>930000</v>
      </c>
      <c r="O1055" s="4" t="s">
        <v>4866</v>
      </c>
      <c r="P1055" s="4" t="s">
        <v>4860</v>
      </c>
      <c r="Q1055" s="1" t="str">
        <f>_xlfn.XLOOKUP(tblSales[[#This Row],[Channel Code]],tblChannels[Channel Code],tblChannels[Channel Name],"")</f>
        <v>In-store</v>
      </c>
      <c r="R1055" s="1">
        <f>MONTH(tblSales[[#This Row],[Date]])</f>
        <v>3</v>
      </c>
    </row>
    <row r="1056" spans="2:18" x14ac:dyDescent="0.35">
      <c r="B1056" s="113">
        <v>46089</v>
      </c>
      <c r="C1056" s="4" t="s">
        <v>743</v>
      </c>
      <c r="D1056" s="4" t="s">
        <v>4568</v>
      </c>
      <c r="E1056" s="1" t="str">
        <f>_xlfn.XLOOKUP(tblSales[[#This Row],[Customer ID]],tblCustomers[Customer ID],tblCustomers[Customer Name],"⚠ Unknown")</f>
        <v>Walk-in Customer</v>
      </c>
      <c r="F1056" s="4" t="s">
        <v>13</v>
      </c>
      <c r="G1056" s="1" t="str">
        <f>_xlfn.XLOOKUP(tblSales[[#This Row],[Product Code]],tblProducts[Code],tblProducts[Product / Service Name],"⚠ Unknown")</f>
        <v>Backpack</v>
      </c>
      <c r="H1056" s="1" t="str">
        <f>_xlfn.XLOOKUP(tblSales[[#This Row],[Product Code]],tblProducts[Code],tblProducts[Category],"")</f>
        <v>Bags &amp; Gadgets</v>
      </c>
      <c r="I1056" s="4">
        <v>4</v>
      </c>
      <c r="J1056" s="5">
        <f>_xlfn.XLOOKUP(tblSales[[#This Row],[Product Code]],tblProducts[Code],tblProducts[Selling Price (excl. VAT)],0)</f>
        <v>500000</v>
      </c>
      <c r="K1056" s="5">
        <f>tblSales[[#This Row],[Qty]]*tblSales[[#This Row],[Unit Price]]</f>
        <v>2000000</v>
      </c>
      <c r="L1056" s="5">
        <f>ROUND(tblSales[[#This Row],[DPP (excl. VAT)]]*VATEff,0)</f>
        <v>220000</v>
      </c>
      <c r="M1056" s="5">
        <f>tblSales[[#This Row],[DPP (excl. VAT)]]+tblSales[[#This Row],[Output VAT]]</f>
        <v>2220000</v>
      </c>
      <c r="N1056" s="5">
        <f>tblSales[[#This Row],[Qty]]*_xlfn.XLOOKUP(tblSales[[#This Row],[Product Code]],tblProducts[Code],tblProducts[Unit Cost],0)</f>
        <v>1160000</v>
      </c>
      <c r="O1056" s="4" t="s">
        <v>4865</v>
      </c>
      <c r="P1056" s="4" t="s">
        <v>4860</v>
      </c>
      <c r="Q1056" s="1" t="str">
        <f>_xlfn.XLOOKUP(tblSales[[#This Row],[Channel Code]],tblChannels[Channel Code],tblChannels[Channel Name],"")</f>
        <v>In-store</v>
      </c>
      <c r="R1056" s="1">
        <f>MONTH(tblSales[[#This Row],[Date]])</f>
        <v>3</v>
      </c>
    </row>
    <row r="1057" spans="2:18" x14ac:dyDescent="0.35">
      <c r="B1057" s="113">
        <v>46089</v>
      </c>
      <c r="C1057" s="4" t="s">
        <v>744</v>
      </c>
      <c r="D1057" s="4" t="s">
        <v>4641</v>
      </c>
      <c r="E1057" s="1" t="str">
        <f>_xlfn.XLOOKUP(tblSales[[#This Row],[Customer ID]],tblCustomers[Customer ID],tblCustomers[Customer Name],"⚠ Unknown")</f>
        <v>PT Harmoni Pangan Lestari</v>
      </c>
      <c r="F1057" s="4" t="s">
        <v>13</v>
      </c>
      <c r="G1057" s="1" t="str">
        <f>_xlfn.XLOOKUP(tblSales[[#This Row],[Product Code]],tblProducts[Code],tblProducts[Product / Service Name],"⚠ Unknown")</f>
        <v>Backpack</v>
      </c>
      <c r="H1057" s="1" t="str">
        <f>_xlfn.XLOOKUP(tblSales[[#This Row],[Product Code]],tblProducts[Code],tblProducts[Category],"")</f>
        <v>Bags &amp; Gadgets</v>
      </c>
      <c r="I1057" s="4">
        <v>24</v>
      </c>
      <c r="J1057" s="5">
        <f>_xlfn.XLOOKUP(tblSales[[#This Row],[Product Code]],tblProducts[Code],tblProducts[Selling Price (excl. VAT)],0)</f>
        <v>500000</v>
      </c>
      <c r="K1057" s="5">
        <f>tblSales[[#This Row],[Qty]]*tblSales[[#This Row],[Unit Price]]</f>
        <v>12000000</v>
      </c>
      <c r="L1057" s="5">
        <f>ROUND(tblSales[[#This Row],[DPP (excl. VAT)]]*VATEff,0)</f>
        <v>1320000</v>
      </c>
      <c r="M1057" s="5">
        <f>tblSales[[#This Row],[DPP (excl. VAT)]]+tblSales[[#This Row],[Output VAT]]</f>
        <v>13320000</v>
      </c>
      <c r="N1057" s="5">
        <f>tblSales[[#This Row],[Qty]]*_xlfn.XLOOKUP(tblSales[[#This Row],[Product Code]],tblProducts[Code],tblProducts[Unit Cost],0)</f>
        <v>6960000</v>
      </c>
      <c r="O1057" s="4" t="s">
        <v>4867</v>
      </c>
      <c r="P1057" s="4" t="s">
        <v>4862</v>
      </c>
      <c r="Q1057" s="1" t="str">
        <f>_xlfn.XLOOKUP(tblSales[[#This Row],[Channel Code]],tblChannels[Channel Code],tblChannels[Channel Name],"")</f>
        <v>Website &amp; Social Media</v>
      </c>
      <c r="R1057" s="1">
        <f>MONTH(tblSales[[#This Row],[Date]])</f>
        <v>3</v>
      </c>
    </row>
    <row r="1058" spans="2:18" x14ac:dyDescent="0.35">
      <c r="B1058" s="113">
        <v>46089</v>
      </c>
      <c r="C1058" s="4" t="s">
        <v>745</v>
      </c>
      <c r="D1058" s="4" t="s">
        <v>4568</v>
      </c>
      <c r="E1058" s="1" t="str">
        <f>_xlfn.XLOOKUP(tblSales[[#This Row],[Customer ID]],tblCustomers[Customer ID],tblCustomers[Customer Name],"⚠ Unknown")</f>
        <v>Walk-in Customer</v>
      </c>
      <c r="F1058" s="4" t="s">
        <v>15</v>
      </c>
      <c r="G1058" s="1" t="str">
        <f>_xlfn.XLOOKUP(tblSales[[#This Row],[Product Code]],tblProducts[Code],tblProducts[Product / Service Name],"⚠ Unknown")</f>
        <v>Wireless Earbuds Pro</v>
      </c>
      <c r="H1058" s="1" t="str">
        <f>_xlfn.XLOOKUP(tblSales[[#This Row],[Product Code]],tblProducts[Code],tblProducts[Category],"")</f>
        <v>Bags &amp; Gadgets</v>
      </c>
      <c r="I1058" s="4">
        <v>2</v>
      </c>
      <c r="J1058" s="5">
        <f>_xlfn.XLOOKUP(tblSales[[#This Row],[Product Code]],tblProducts[Code],tblProducts[Selling Price (excl. VAT)],0)</f>
        <v>1250000</v>
      </c>
      <c r="K1058" s="5">
        <f>tblSales[[#This Row],[Qty]]*tblSales[[#This Row],[Unit Price]]</f>
        <v>2500000</v>
      </c>
      <c r="L1058" s="5">
        <f>ROUND(tblSales[[#This Row],[DPP (excl. VAT)]]*VATEff,0)</f>
        <v>275000</v>
      </c>
      <c r="M1058" s="5">
        <f>tblSales[[#This Row],[DPP (excl. VAT)]]+tblSales[[#This Row],[Output VAT]]</f>
        <v>2775000</v>
      </c>
      <c r="N1058" s="5">
        <f>tblSales[[#This Row],[Qty]]*_xlfn.XLOOKUP(tblSales[[#This Row],[Product Code]],tblProducts[Code],tblProducts[Unit Cost],0)</f>
        <v>1640000</v>
      </c>
      <c r="O1058" s="4" t="s">
        <v>4866</v>
      </c>
      <c r="P1058" s="4" t="s">
        <v>4861</v>
      </c>
      <c r="Q1058" s="1" t="str">
        <f>_xlfn.XLOOKUP(tblSales[[#This Row],[Channel Code]],tblChannels[Channel Code],tblChannels[Channel Name],"")</f>
        <v>Marketplace</v>
      </c>
      <c r="R1058" s="1">
        <f>MONTH(tblSales[[#This Row],[Date]])</f>
        <v>3</v>
      </c>
    </row>
    <row r="1059" spans="2:18" x14ac:dyDescent="0.35">
      <c r="B1059" s="113">
        <v>46089</v>
      </c>
      <c r="C1059" s="4" t="s">
        <v>746</v>
      </c>
      <c r="D1059" s="4" t="s">
        <v>4568</v>
      </c>
      <c r="E1059" s="1" t="str">
        <f>_xlfn.XLOOKUP(tblSales[[#This Row],[Customer ID]],tblCustomers[Customer ID],tblCustomers[Customer Name],"⚠ Unknown")</f>
        <v>Walk-in Customer</v>
      </c>
      <c r="F1059" s="4" t="s">
        <v>13</v>
      </c>
      <c r="G1059" s="1" t="str">
        <f>_xlfn.XLOOKUP(tblSales[[#This Row],[Product Code]],tblProducts[Code],tblProducts[Product / Service Name],"⚠ Unknown")</f>
        <v>Backpack</v>
      </c>
      <c r="H1059" s="1" t="str">
        <f>_xlfn.XLOOKUP(tblSales[[#This Row],[Product Code]],tblProducts[Code],tblProducts[Category],"")</f>
        <v>Bags &amp; Gadgets</v>
      </c>
      <c r="I1059" s="4">
        <v>1</v>
      </c>
      <c r="J1059" s="5">
        <f>_xlfn.XLOOKUP(tblSales[[#This Row],[Product Code]],tblProducts[Code],tblProducts[Selling Price (excl. VAT)],0)</f>
        <v>500000</v>
      </c>
      <c r="K1059" s="5">
        <f>tblSales[[#This Row],[Qty]]*tblSales[[#This Row],[Unit Price]]</f>
        <v>500000</v>
      </c>
      <c r="L1059" s="5">
        <f>ROUND(tblSales[[#This Row],[DPP (excl. VAT)]]*VATEff,0)</f>
        <v>55000</v>
      </c>
      <c r="M1059" s="5">
        <f>tblSales[[#This Row],[DPP (excl. VAT)]]+tblSales[[#This Row],[Output VAT]]</f>
        <v>555000</v>
      </c>
      <c r="N1059" s="5">
        <f>tblSales[[#This Row],[Qty]]*_xlfn.XLOOKUP(tblSales[[#This Row],[Product Code]],tblProducts[Code],tblProducts[Unit Cost],0)</f>
        <v>290000</v>
      </c>
      <c r="O1059" s="4" t="s">
        <v>4865</v>
      </c>
      <c r="P1059" s="4" t="s">
        <v>4860</v>
      </c>
      <c r="Q1059" s="1" t="str">
        <f>_xlfn.XLOOKUP(tblSales[[#This Row],[Channel Code]],tblChannels[Channel Code],tblChannels[Channel Name],"")</f>
        <v>In-store</v>
      </c>
      <c r="R1059" s="1">
        <f>MONTH(tblSales[[#This Row],[Date]])</f>
        <v>3</v>
      </c>
    </row>
    <row r="1060" spans="2:18" x14ac:dyDescent="0.35">
      <c r="B1060" s="113">
        <v>46090</v>
      </c>
      <c r="C1060" s="4" t="s">
        <v>747</v>
      </c>
      <c r="D1060" s="4" t="s">
        <v>4568</v>
      </c>
      <c r="E1060" s="1" t="str">
        <f>_xlfn.XLOOKUP(tblSales[[#This Row],[Customer ID]],tblCustomers[Customer ID],tblCustomers[Customer Name],"⚠ Unknown")</f>
        <v>Walk-in Customer</v>
      </c>
      <c r="F1060" s="4" t="s">
        <v>6</v>
      </c>
      <c r="G1060" s="1" t="str">
        <f>_xlfn.XLOOKUP(tblSales[[#This Row],[Product Code]],tblProducts[Code],tblProducts[Product / Service Name],"⚠ Unknown")</f>
        <v>Socks &amp; Accessories</v>
      </c>
      <c r="H1060" s="1" t="str">
        <f>_xlfn.XLOOKUP(tblSales[[#This Row],[Product Code]],tblProducts[Code],tblProducts[Category],"")</f>
        <v>Accessories &amp; Basics</v>
      </c>
      <c r="I1060" s="4">
        <v>10</v>
      </c>
      <c r="J1060" s="5">
        <f>_xlfn.XLOOKUP(tblSales[[#This Row],[Product Code]],tblProducts[Code],tblProducts[Selling Price (excl. VAT)],0)</f>
        <v>45000</v>
      </c>
      <c r="K1060" s="5">
        <f>tblSales[[#This Row],[Qty]]*tblSales[[#This Row],[Unit Price]]</f>
        <v>450000</v>
      </c>
      <c r="L1060" s="5">
        <f>ROUND(tblSales[[#This Row],[DPP (excl. VAT)]]*VATEff,0)</f>
        <v>49500</v>
      </c>
      <c r="M1060" s="5">
        <f>tblSales[[#This Row],[DPP (excl. VAT)]]+tblSales[[#This Row],[Output VAT]]</f>
        <v>499500</v>
      </c>
      <c r="N1060" s="5">
        <f>tblSales[[#This Row],[Qty]]*_xlfn.XLOOKUP(tblSales[[#This Row],[Product Code]],tblProducts[Code],tblProducts[Unit Cost],0)</f>
        <v>240000</v>
      </c>
      <c r="O1060" s="4" t="s">
        <v>4865</v>
      </c>
      <c r="P1060" s="4" t="s">
        <v>4860</v>
      </c>
      <c r="Q1060" s="1" t="str">
        <f>_xlfn.XLOOKUP(tblSales[[#This Row],[Channel Code]],tblChannels[Channel Code],tblChannels[Channel Name],"")</f>
        <v>In-store</v>
      </c>
      <c r="R1060" s="1">
        <f>MONTH(tblSales[[#This Row],[Date]])</f>
        <v>3</v>
      </c>
    </row>
    <row r="1061" spans="2:18" x14ac:dyDescent="0.35">
      <c r="B1061" s="113">
        <v>46090</v>
      </c>
      <c r="C1061" s="4" t="s">
        <v>747</v>
      </c>
      <c r="D1061" s="4" t="s">
        <v>4568</v>
      </c>
      <c r="E1061" s="1" t="str">
        <f>_xlfn.XLOOKUP(tblSales[[#This Row],[Customer ID]],tblCustomers[Customer ID],tblCustomers[Customer Name],"⚠ Unknown")</f>
        <v>Walk-in Customer</v>
      </c>
      <c r="F1061" s="4" t="s">
        <v>7</v>
      </c>
      <c r="G1061" s="1" t="str">
        <f>_xlfn.XLOOKUP(tblSales[[#This Row],[Product Code]],tblProducts[Code],tblProducts[Product / Service Name],"⚠ Unknown")</f>
        <v>Premium Basic T-shirt</v>
      </c>
      <c r="H1061" s="1" t="str">
        <f>_xlfn.XLOOKUP(tblSales[[#This Row],[Product Code]],tblProducts[Code],tblProducts[Category],"")</f>
        <v>Accessories &amp; Basics</v>
      </c>
      <c r="I1061" s="4">
        <v>11</v>
      </c>
      <c r="J1061" s="5">
        <f>_xlfn.XLOOKUP(tblSales[[#This Row],[Product Code]],tblProducts[Code],tblProducts[Selling Price (excl. VAT)],0)</f>
        <v>65000</v>
      </c>
      <c r="K1061" s="5">
        <f>tblSales[[#This Row],[Qty]]*tblSales[[#This Row],[Unit Price]]</f>
        <v>715000</v>
      </c>
      <c r="L1061" s="5">
        <f>ROUND(tblSales[[#This Row],[DPP (excl. VAT)]]*VATEff,0)</f>
        <v>78650</v>
      </c>
      <c r="M1061" s="5">
        <f>tblSales[[#This Row],[DPP (excl. VAT)]]+tblSales[[#This Row],[Output VAT]]</f>
        <v>793650</v>
      </c>
      <c r="N1061" s="5">
        <f>tblSales[[#This Row],[Qty]]*_xlfn.XLOOKUP(tblSales[[#This Row],[Product Code]],tblProducts[Code],tblProducts[Unit Cost],0)</f>
        <v>407000</v>
      </c>
      <c r="O1061" s="4" t="s">
        <v>4865</v>
      </c>
      <c r="P1061" s="4" t="s">
        <v>4860</v>
      </c>
      <c r="Q1061" s="1" t="str">
        <f>_xlfn.XLOOKUP(tblSales[[#This Row],[Channel Code]],tblChannels[Channel Code],tblChannels[Channel Name],"")</f>
        <v>In-store</v>
      </c>
      <c r="R1061" s="1">
        <f>MONTH(tblSales[[#This Row],[Date]])</f>
        <v>3</v>
      </c>
    </row>
    <row r="1062" spans="2:18" x14ac:dyDescent="0.35">
      <c r="B1062" s="113">
        <v>46090</v>
      </c>
      <c r="C1062" s="4" t="s">
        <v>748</v>
      </c>
      <c r="D1062" s="4" t="s">
        <v>4568</v>
      </c>
      <c r="E1062" s="1" t="str">
        <f>_xlfn.XLOOKUP(tblSales[[#This Row],[Customer ID]],tblCustomers[Customer ID],tblCustomers[Customer Name],"⚠ Unknown")</f>
        <v>Walk-in Customer</v>
      </c>
      <c r="F1062" s="4" t="s">
        <v>7</v>
      </c>
      <c r="G1062" s="1" t="str">
        <f>_xlfn.XLOOKUP(tblSales[[#This Row],[Product Code]],tblProducts[Code],tblProducts[Product / Service Name],"⚠ Unknown")</f>
        <v>Premium Basic T-shirt</v>
      </c>
      <c r="H1062" s="1" t="str">
        <f>_xlfn.XLOOKUP(tblSales[[#This Row],[Product Code]],tblProducts[Code],tblProducts[Category],"")</f>
        <v>Accessories &amp; Basics</v>
      </c>
      <c r="I1062" s="4">
        <v>7</v>
      </c>
      <c r="J1062" s="5">
        <f>_xlfn.XLOOKUP(tblSales[[#This Row],[Product Code]],tblProducts[Code],tblProducts[Selling Price (excl. VAT)],0)</f>
        <v>65000</v>
      </c>
      <c r="K1062" s="5">
        <f>tblSales[[#This Row],[Qty]]*tblSales[[#This Row],[Unit Price]]</f>
        <v>455000</v>
      </c>
      <c r="L1062" s="5">
        <f>ROUND(tblSales[[#This Row],[DPP (excl. VAT)]]*VATEff,0)</f>
        <v>50050</v>
      </c>
      <c r="M1062" s="5">
        <f>tblSales[[#This Row],[DPP (excl. VAT)]]+tblSales[[#This Row],[Output VAT]]</f>
        <v>505050</v>
      </c>
      <c r="N1062" s="5">
        <f>tblSales[[#This Row],[Qty]]*_xlfn.XLOOKUP(tblSales[[#This Row],[Product Code]],tblProducts[Code],tblProducts[Unit Cost],0)</f>
        <v>259000</v>
      </c>
      <c r="O1062" s="4" t="s">
        <v>4866</v>
      </c>
      <c r="P1062" s="4" t="s">
        <v>4861</v>
      </c>
      <c r="Q1062" s="1" t="str">
        <f>_xlfn.XLOOKUP(tblSales[[#This Row],[Channel Code]],tblChannels[Channel Code],tblChannels[Channel Name],"")</f>
        <v>Marketplace</v>
      </c>
      <c r="R1062" s="1">
        <f>MONTH(tblSales[[#This Row],[Date]])</f>
        <v>3</v>
      </c>
    </row>
    <row r="1063" spans="2:18" x14ac:dyDescent="0.35">
      <c r="B1063" s="113">
        <v>46090</v>
      </c>
      <c r="C1063" s="4" t="s">
        <v>749</v>
      </c>
      <c r="D1063" s="4" t="s">
        <v>4568</v>
      </c>
      <c r="E1063" s="1" t="str">
        <f>_xlfn.XLOOKUP(tblSales[[#This Row],[Customer ID]],tblCustomers[Customer ID],tblCustomers[Customer Name],"⚠ Unknown")</f>
        <v>Walk-in Customer</v>
      </c>
      <c r="F1063" s="4" t="s">
        <v>13</v>
      </c>
      <c r="G1063" s="1" t="str">
        <f>_xlfn.XLOOKUP(tblSales[[#This Row],[Product Code]],tblProducts[Code],tblProducts[Product / Service Name],"⚠ Unknown")</f>
        <v>Backpack</v>
      </c>
      <c r="H1063" s="1" t="str">
        <f>_xlfn.XLOOKUP(tblSales[[#This Row],[Product Code]],tblProducts[Code],tblProducts[Category],"")</f>
        <v>Bags &amp; Gadgets</v>
      </c>
      <c r="I1063" s="4">
        <v>3</v>
      </c>
      <c r="J1063" s="5">
        <f>_xlfn.XLOOKUP(tblSales[[#This Row],[Product Code]],tblProducts[Code],tblProducts[Selling Price (excl. VAT)],0)</f>
        <v>500000</v>
      </c>
      <c r="K1063" s="5">
        <f>tblSales[[#This Row],[Qty]]*tblSales[[#This Row],[Unit Price]]</f>
        <v>1500000</v>
      </c>
      <c r="L1063" s="5">
        <f>ROUND(tblSales[[#This Row],[DPP (excl. VAT)]]*VATEff,0)</f>
        <v>165000</v>
      </c>
      <c r="M1063" s="5">
        <f>tblSales[[#This Row],[DPP (excl. VAT)]]+tblSales[[#This Row],[Output VAT]]</f>
        <v>1665000</v>
      </c>
      <c r="N1063" s="5">
        <f>tblSales[[#This Row],[Qty]]*_xlfn.XLOOKUP(tblSales[[#This Row],[Product Code]],tblProducts[Code],tblProducts[Unit Cost],0)</f>
        <v>870000</v>
      </c>
      <c r="O1063" s="4" t="s">
        <v>4865</v>
      </c>
      <c r="P1063" s="4" t="s">
        <v>4860</v>
      </c>
      <c r="Q1063" s="1" t="str">
        <f>_xlfn.XLOOKUP(tblSales[[#This Row],[Channel Code]],tblChannels[Channel Code],tblChannels[Channel Name],"")</f>
        <v>In-store</v>
      </c>
      <c r="R1063" s="1">
        <f>MONTH(tblSales[[#This Row],[Date]])</f>
        <v>3</v>
      </c>
    </row>
    <row r="1064" spans="2:18" x14ac:dyDescent="0.35">
      <c r="B1064" s="113">
        <v>46090</v>
      </c>
      <c r="C1064" s="4" t="s">
        <v>750</v>
      </c>
      <c r="D1064" s="4" t="s">
        <v>4634</v>
      </c>
      <c r="E1064" s="1" t="str">
        <f>_xlfn.XLOOKUP(tblSales[[#This Row],[Customer ID]],tblCustomers[Customer ID],tblCustomers[Customer Name],"⚠ Unknown")</f>
        <v>PT Delta Inti Selaras</v>
      </c>
      <c r="F1064" s="4" t="s">
        <v>8</v>
      </c>
      <c r="G1064" s="1" t="str">
        <f>_xlfn.XLOOKUP(tblSales[[#This Row],[Product Code]],tblProducts[Code],tblProducts[Product / Service Name],"⚠ Unknown")</f>
        <v>Casual Shorts</v>
      </c>
      <c r="H1064" s="1" t="str">
        <f>_xlfn.XLOOKUP(tblSales[[#This Row],[Product Code]],tblProducts[Code],tblProducts[Category],"")</f>
        <v>Accessories &amp; Basics</v>
      </c>
      <c r="I1064" s="4">
        <v>88</v>
      </c>
      <c r="J1064" s="5">
        <f>_xlfn.XLOOKUP(tblSales[[#This Row],[Product Code]],tblProducts[Code],tblProducts[Selling Price (excl. VAT)],0)</f>
        <v>85000</v>
      </c>
      <c r="K1064" s="5">
        <f>tblSales[[#This Row],[Qty]]*tblSales[[#This Row],[Unit Price]]</f>
        <v>7480000</v>
      </c>
      <c r="L1064" s="5">
        <f>ROUND(tblSales[[#This Row],[DPP (excl. VAT)]]*VATEff,0)</f>
        <v>822800</v>
      </c>
      <c r="M1064" s="5">
        <f>tblSales[[#This Row],[DPP (excl. VAT)]]+tblSales[[#This Row],[Output VAT]]</f>
        <v>8302800</v>
      </c>
      <c r="N1064" s="5">
        <f>tblSales[[#This Row],[Qty]]*_xlfn.XLOOKUP(tblSales[[#This Row],[Product Code]],tblProducts[Code],tblProducts[Unit Cost],0)</f>
        <v>4400000</v>
      </c>
      <c r="O1064" s="4" t="s">
        <v>4867</v>
      </c>
      <c r="P1064" s="4" t="s">
        <v>4862</v>
      </c>
      <c r="Q1064" s="1" t="str">
        <f>_xlfn.XLOOKUP(tblSales[[#This Row],[Channel Code]],tblChannels[Channel Code],tblChannels[Channel Name],"")</f>
        <v>Website &amp; Social Media</v>
      </c>
      <c r="R1064" s="1">
        <f>MONTH(tblSales[[#This Row],[Date]])</f>
        <v>3</v>
      </c>
    </row>
    <row r="1065" spans="2:18" x14ac:dyDescent="0.35">
      <c r="B1065" s="113">
        <v>46090</v>
      </c>
      <c r="C1065" s="4" t="s">
        <v>751</v>
      </c>
      <c r="D1065" s="4" t="s">
        <v>4568</v>
      </c>
      <c r="E1065" s="1" t="str">
        <f>_xlfn.XLOOKUP(tblSales[[#This Row],[Customer ID]],tblCustomers[Customer ID],tblCustomers[Customer Name],"⚠ Unknown")</f>
        <v>Walk-in Customer</v>
      </c>
      <c r="F1065" s="4" t="s">
        <v>13</v>
      </c>
      <c r="G1065" s="1" t="str">
        <f>_xlfn.XLOOKUP(tblSales[[#This Row],[Product Code]],tblProducts[Code],tblProducts[Product / Service Name],"⚠ Unknown")</f>
        <v>Backpack</v>
      </c>
      <c r="H1065" s="1" t="str">
        <f>_xlfn.XLOOKUP(tblSales[[#This Row],[Product Code]],tblProducts[Code],tblProducts[Category],"")</f>
        <v>Bags &amp; Gadgets</v>
      </c>
      <c r="I1065" s="4">
        <v>2</v>
      </c>
      <c r="J1065" s="5">
        <f>_xlfn.XLOOKUP(tblSales[[#This Row],[Product Code]],tblProducts[Code],tblProducts[Selling Price (excl. VAT)],0)</f>
        <v>500000</v>
      </c>
      <c r="K1065" s="5">
        <f>tblSales[[#This Row],[Qty]]*tblSales[[#This Row],[Unit Price]]</f>
        <v>1000000</v>
      </c>
      <c r="L1065" s="5">
        <f>ROUND(tblSales[[#This Row],[DPP (excl. VAT)]]*VATEff,0)</f>
        <v>110000</v>
      </c>
      <c r="M1065" s="5">
        <f>tblSales[[#This Row],[DPP (excl. VAT)]]+tblSales[[#This Row],[Output VAT]]</f>
        <v>1110000</v>
      </c>
      <c r="N1065" s="5">
        <f>tblSales[[#This Row],[Qty]]*_xlfn.XLOOKUP(tblSales[[#This Row],[Product Code]],tblProducts[Code],tblProducts[Unit Cost],0)</f>
        <v>580000</v>
      </c>
      <c r="O1065" s="4" t="s">
        <v>4865</v>
      </c>
      <c r="P1065" s="4" t="s">
        <v>4860</v>
      </c>
      <c r="Q1065" s="1" t="str">
        <f>_xlfn.XLOOKUP(tblSales[[#This Row],[Channel Code]],tblChannels[Channel Code],tblChannels[Channel Name],"")</f>
        <v>In-store</v>
      </c>
      <c r="R1065" s="1">
        <f>MONTH(tblSales[[#This Row],[Date]])</f>
        <v>3</v>
      </c>
    </row>
    <row r="1066" spans="2:18" x14ac:dyDescent="0.35">
      <c r="B1066" s="113">
        <v>46090</v>
      </c>
      <c r="C1066" s="4" t="s">
        <v>752</v>
      </c>
      <c r="D1066" s="4" t="s">
        <v>4568</v>
      </c>
      <c r="E1066" s="1" t="str">
        <f>_xlfn.XLOOKUP(tblSales[[#This Row],[Customer ID]],tblCustomers[Customer ID],tblCustomers[Customer Name],"⚠ Unknown")</f>
        <v>Walk-in Customer</v>
      </c>
      <c r="F1066" s="4" t="s">
        <v>6</v>
      </c>
      <c r="G1066" s="1" t="str">
        <f>_xlfn.XLOOKUP(tblSales[[#This Row],[Product Code]],tblProducts[Code],tblProducts[Product / Service Name],"⚠ Unknown")</f>
        <v>Socks &amp; Accessories</v>
      </c>
      <c r="H1066" s="1" t="str">
        <f>_xlfn.XLOOKUP(tblSales[[#This Row],[Product Code]],tblProducts[Code],tblProducts[Category],"")</f>
        <v>Accessories &amp; Basics</v>
      </c>
      <c r="I1066" s="4">
        <v>8</v>
      </c>
      <c r="J1066" s="5">
        <f>_xlfn.XLOOKUP(tblSales[[#This Row],[Product Code]],tblProducts[Code],tblProducts[Selling Price (excl. VAT)],0)</f>
        <v>45000</v>
      </c>
      <c r="K1066" s="5">
        <f>tblSales[[#This Row],[Qty]]*tblSales[[#This Row],[Unit Price]]</f>
        <v>360000</v>
      </c>
      <c r="L1066" s="5">
        <f>ROUND(tblSales[[#This Row],[DPP (excl. VAT)]]*VATEff,0)</f>
        <v>39600</v>
      </c>
      <c r="M1066" s="5">
        <f>tblSales[[#This Row],[DPP (excl. VAT)]]+tblSales[[#This Row],[Output VAT]]</f>
        <v>399600</v>
      </c>
      <c r="N1066" s="5">
        <f>tblSales[[#This Row],[Qty]]*_xlfn.XLOOKUP(tblSales[[#This Row],[Product Code]],tblProducts[Code],tblProducts[Unit Cost],0)</f>
        <v>192000</v>
      </c>
      <c r="O1066" s="4" t="s">
        <v>4866</v>
      </c>
      <c r="P1066" s="4" t="s">
        <v>4861</v>
      </c>
      <c r="Q1066" s="1" t="str">
        <f>_xlfn.XLOOKUP(tblSales[[#This Row],[Channel Code]],tblChannels[Channel Code],tblChannels[Channel Name],"")</f>
        <v>Marketplace</v>
      </c>
      <c r="R1066" s="1">
        <f>MONTH(tblSales[[#This Row],[Date]])</f>
        <v>3</v>
      </c>
    </row>
    <row r="1067" spans="2:18" x14ac:dyDescent="0.35">
      <c r="B1067" s="113">
        <v>46090</v>
      </c>
      <c r="C1067" s="4" t="s">
        <v>753</v>
      </c>
      <c r="D1067" s="4" t="s">
        <v>4568</v>
      </c>
      <c r="E1067" s="1" t="str">
        <f>_xlfn.XLOOKUP(tblSales[[#This Row],[Customer ID]],tblCustomers[Customer ID],tblCustomers[Customer Name],"⚠ Unknown")</f>
        <v>Walk-in Customer</v>
      </c>
      <c r="F1067" s="4" t="s">
        <v>13</v>
      </c>
      <c r="G1067" s="1" t="str">
        <f>_xlfn.XLOOKUP(tblSales[[#This Row],[Product Code]],tblProducts[Code],tblProducts[Product / Service Name],"⚠ Unknown")</f>
        <v>Backpack</v>
      </c>
      <c r="H1067" s="1" t="str">
        <f>_xlfn.XLOOKUP(tblSales[[#This Row],[Product Code]],tblProducts[Code],tblProducts[Category],"")</f>
        <v>Bags &amp; Gadgets</v>
      </c>
      <c r="I1067" s="4">
        <v>5</v>
      </c>
      <c r="J1067" s="5">
        <f>_xlfn.XLOOKUP(tblSales[[#This Row],[Product Code]],tblProducts[Code],tblProducts[Selling Price (excl. VAT)],0)</f>
        <v>500000</v>
      </c>
      <c r="K1067" s="5">
        <f>tblSales[[#This Row],[Qty]]*tblSales[[#This Row],[Unit Price]]</f>
        <v>2500000</v>
      </c>
      <c r="L1067" s="5">
        <f>ROUND(tblSales[[#This Row],[DPP (excl. VAT)]]*VATEff,0)</f>
        <v>275000</v>
      </c>
      <c r="M1067" s="5">
        <f>tblSales[[#This Row],[DPP (excl. VAT)]]+tblSales[[#This Row],[Output VAT]]</f>
        <v>2775000</v>
      </c>
      <c r="N1067" s="5">
        <f>tblSales[[#This Row],[Qty]]*_xlfn.XLOOKUP(tblSales[[#This Row],[Product Code]],tblProducts[Code],tblProducts[Unit Cost],0)</f>
        <v>1450000</v>
      </c>
      <c r="O1067" s="4" t="s">
        <v>4866</v>
      </c>
      <c r="P1067" s="4" t="s">
        <v>4860</v>
      </c>
      <c r="Q1067" s="1" t="str">
        <f>_xlfn.XLOOKUP(tblSales[[#This Row],[Channel Code]],tblChannels[Channel Code],tblChannels[Channel Name],"")</f>
        <v>In-store</v>
      </c>
      <c r="R1067" s="1">
        <f>MONTH(tblSales[[#This Row],[Date]])</f>
        <v>3</v>
      </c>
    </row>
    <row r="1068" spans="2:18" x14ac:dyDescent="0.35">
      <c r="B1068" s="113">
        <v>46090</v>
      </c>
      <c r="C1068" s="4" t="s">
        <v>754</v>
      </c>
      <c r="D1068" s="4" t="s">
        <v>4568</v>
      </c>
      <c r="E1068" s="1" t="str">
        <f>_xlfn.XLOOKUP(tblSales[[#This Row],[Customer ID]],tblCustomers[Customer ID],tblCustomers[Customer Name],"⚠ Unknown")</f>
        <v>Walk-in Customer</v>
      </c>
      <c r="F1068" s="4" t="s">
        <v>9</v>
      </c>
      <c r="G1068" s="1" t="str">
        <f>_xlfn.XLOOKUP(tblSales[[#This Row],[Product Code]],tblProducts[Code],tblProducts[Product / Service Name],"⚠ Unknown")</f>
        <v>Casual Shirt</v>
      </c>
      <c r="H1068" s="1" t="str">
        <f>_xlfn.XLOOKUP(tblSales[[#This Row],[Product Code]],tblProducts[Code],tblProducts[Category],"")</f>
        <v>Apparel &amp; Footwear</v>
      </c>
      <c r="I1068" s="4">
        <v>10</v>
      </c>
      <c r="J1068" s="5">
        <f>_xlfn.XLOOKUP(tblSales[[#This Row],[Product Code]],tblProducts[Code],tblProducts[Selling Price (excl. VAT)],0)</f>
        <v>120000</v>
      </c>
      <c r="K1068" s="5">
        <f>tblSales[[#This Row],[Qty]]*tblSales[[#This Row],[Unit Price]]</f>
        <v>1200000</v>
      </c>
      <c r="L1068" s="5">
        <f>ROUND(tblSales[[#This Row],[DPP (excl. VAT)]]*VATEff,0)</f>
        <v>132000</v>
      </c>
      <c r="M1068" s="5">
        <f>tblSales[[#This Row],[DPP (excl. VAT)]]+tblSales[[#This Row],[Output VAT]]</f>
        <v>1332000</v>
      </c>
      <c r="N1068" s="5">
        <f>tblSales[[#This Row],[Qty]]*_xlfn.XLOOKUP(tblSales[[#This Row],[Product Code]],tblProducts[Code],tblProducts[Unit Cost],0)</f>
        <v>720000</v>
      </c>
      <c r="O1068" s="4" t="s">
        <v>4866</v>
      </c>
      <c r="P1068" s="4" t="s">
        <v>4861</v>
      </c>
      <c r="Q1068" s="1" t="str">
        <f>_xlfn.XLOOKUP(tblSales[[#This Row],[Channel Code]],tblChannels[Channel Code],tblChannels[Channel Name],"")</f>
        <v>Marketplace</v>
      </c>
      <c r="R1068" s="1">
        <f>MONTH(tblSales[[#This Row],[Date]])</f>
        <v>3</v>
      </c>
    </row>
    <row r="1069" spans="2:18" x14ac:dyDescent="0.35">
      <c r="B1069" s="113">
        <v>46090</v>
      </c>
      <c r="C1069" s="4" t="s">
        <v>754</v>
      </c>
      <c r="D1069" s="4" t="s">
        <v>4568</v>
      </c>
      <c r="E1069" s="1" t="str">
        <f>_xlfn.XLOOKUP(tblSales[[#This Row],[Customer ID]],tblCustomers[Customer ID],tblCustomers[Customer Name],"⚠ Unknown")</f>
        <v>Walk-in Customer</v>
      </c>
      <c r="F1069" s="4" t="s">
        <v>8</v>
      </c>
      <c r="G1069" s="1" t="str">
        <f>_xlfn.XLOOKUP(tblSales[[#This Row],[Product Code]],tblProducts[Code],tblProducts[Product / Service Name],"⚠ Unknown")</f>
        <v>Casual Shorts</v>
      </c>
      <c r="H1069" s="1" t="str">
        <f>_xlfn.XLOOKUP(tblSales[[#This Row],[Product Code]],tblProducts[Code],tblProducts[Category],"")</f>
        <v>Accessories &amp; Basics</v>
      </c>
      <c r="I1069" s="4">
        <v>7</v>
      </c>
      <c r="J1069" s="5">
        <f>_xlfn.XLOOKUP(tblSales[[#This Row],[Product Code]],tblProducts[Code],tblProducts[Selling Price (excl. VAT)],0)</f>
        <v>85000</v>
      </c>
      <c r="K1069" s="5">
        <f>tblSales[[#This Row],[Qty]]*tblSales[[#This Row],[Unit Price]]</f>
        <v>595000</v>
      </c>
      <c r="L1069" s="5">
        <f>ROUND(tblSales[[#This Row],[DPP (excl. VAT)]]*VATEff,0)</f>
        <v>65450</v>
      </c>
      <c r="M1069" s="5">
        <f>tblSales[[#This Row],[DPP (excl. VAT)]]+tblSales[[#This Row],[Output VAT]]</f>
        <v>660450</v>
      </c>
      <c r="N1069" s="5">
        <f>tblSales[[#This Row],[Qty]]*_xlfn.XLOOKUP(tblSales[[#This Row],[Product Code]],tblProducts[Code],tblProducts[Unit Cost],0)</f>
        <v>350000</v>
      </c>
      <c r="O1069" s="4" t="s">
        <v>4866</v>
      </c>
      <c r="P1069" s="4" t="s">
        <v>4861</v>
      </c>
      <c r="Q1069" s="1" t="str">
        <f>_xlfn.XLOOKUP(tblSales[[#This Row],[Channel Code]],tblChannels[Channel Code],tblChannels[Channel Name],"")</f>
        <v>Marketplace</v>
      </c>
      <c r="R1069" s="1">
        <f>MONTH(tblSales[[#This Row],[Date]])</f>
        <v>3</v>
      </c>
    </row>
    <row r="1070" spans="2:18" x14ac:dyDescent="0.35">
      <c r="B1070" s="113">
        <v>46090</v>
      </c>
      <c r="C1070" s="4" t="s">
        <v>755</v>
      </c>
      <c r="D1070" s="4" t="s">
        <v>4568</v>
      </c>
      <c r="E1070" s="1" t="str">
        <f>_xlfn.XLOOKUP(tblSales[[#This Row],[Customer ID]],tblCustomers[Customer ID],tblCustomers[Customer Name],"⚠ Unknown")</f>
        <v>Walk-in Customer</v>
      </c>
      <c r="F1070" s="4" t="s">
        <v>14</v>
      </c>
      <c r="G1070" s="1" t="str">
        <f>_xlfn.XLOOKUP(tblSales[[#This Row],[Product Code]],tblProducts[Code],tblProducts[Product / Service Name],"⚠ Unknown")</f>
        <v>Smartwatch</v>
      </c>
      <c r="H1070" s="1" t="str">
        <f>_xlfn.XLOOKUP(tblSales[[#This Row],[Product Code]],tblProducts[Code],tblProducts[Category],"")</f>
        <v>Bags &amp; Gadgets</v>
      </c>
      <c r="I1070" s="4">
        <v>1</v>
      </c>
      <c r="J1070" s="5">
        <f>_xlfn.XLOOKUP(tblSales[[#This Row],[Product Code]],tblProducts[Code],tblProducts[Selling Price (excl. VAT)],0)</f>
        <v>850000</v>
      </c>
      <c r="K1070" s="5">
        <f>tblSales[[#This Row],[Qty]]*tblSales[[#This Row],[Unit Price]]</f>
        <v>850000</v>
      </c>
      <c r="L1070" s="5">
        <f>ROUND(tblSales[[#This Row],[DPP (excl. VAT)]]*VATEff,0)</f>
        <v>93500</v>
      </c>
      <c r="M1070" s="5">
        <f>tblSales[[#This Row],[DPP (excl. VAT)]]+tblSales[[#This Row],[Output VAT]]</f>
        <v>943500</v>
      </c>
      <c r="N1070" s="5">
        <f>tblSales[[#This Row],[Qty]]*_xlfn.XLOOKUP(tblSales[[#This Row],[Product Code]],tblProducts[Code],tblProducts[Unit Cost],0)</f>
        <v>560000</v>
      </c>
      <c r="O1070" s="4" t="s">
        <v>4866</v>
      </c>
      <c r="P1070" s="4" t="s">
        <v>4861</v>
      </c>
      <c r="Q1070" s="1" t="str">
        <f>_xlfn.XLOOKUP(tblSales[[#This Row],[Channel Code]],tblChannels[Channel Code],tblChannels[Channel Name],"")</f>
        <v>Marketplace</v>
      </c>
      <c r="R1070" s="1">
        <f>MONTH(tblSales[[#This Row],[Date]])</f>
        <v>3</v>
      </c>
    </row>
    <row r="1071" spans="2:18" x14ac:dyDescent="0.35">
      <c r="B1071" s="113">
        <v>46090</v>
      </c>
      <c r="C1071" s="4" t="s">
        <v>755</v>
      </c>
      <c r="D1071" s="4" t="s">
        <v>4568</v>
      </c>
      <c r="E1071" s="1" t="str">
        <f>_xlfn.XLOOKUP(tblSales[[#This Row],[Customer ID]],tblCustomers[Customer ID],tblCustomers[Customer Name],"⚠ Unknown")</f>
        <v>Walk-in Customer</v>
      </c>
      <c r="F1071" s="4" t="s">
        <v>12</v>
      </c>
      <c r="G1071" s="1" t="str">
        <f>_xlfn.XLOOKUP(tblSales[[#This Row],[Product Code]],tblProducts[Code],tblProducts[Product / Service Name],"⚠ Unknown")</f>
        <v>Bomber Jacket</v>
      </c>
      <c r="H1071" s="1" t="str">
        <f>_xlfn.XLOOKUP(tblSales[[#This Row],[Product Code]],tblProducts[Code],tblProducts[Category],"")</f>
        <v>Apparel &amp; Footwear</v>
      </c>
      <c r="I1071" s="4">
        <v>3</v>
      </c>
      <c r="J1071" s="5">
        <f>_xlfn.XLOOKUP(tblSales[[#This Row],[Product Code]],tblProducts[Code],tblProducts[Selling Price (excl. VAT)],0)</f>
        <v>350000</v>
      </c>
      <c r="K1071" s="5">
        <f>tblSales[[#This Row],[Qty]]*tblSales[[#This Row],[Unit Price]]</f>
        <v>1050000</v>
      </c>
      <c r="L1071" s="5">
        <f>ROUND(tblSales[[#This Row],[DPP (excl. VAT)]]*VATEff,0)</f>
        <v>115500</v>
      </c>
      <c r="M1071" s="5">
        <f>tblSales[[#This Row],[DPP (excl. VAT)]]+tblSales[[#This Row],[Output VAT]]</f>
        <v>1165500</v>
      </c>
      <c r="N1071" s="5">
        <f>tblSales[[#This Row],[Qty]]*_xlfn.XLOOKUP(tblSales[[#This Row],[Product Code]],tblProducts[Code],tblProducts[Unit Cost],0)</f>
        <v>630000</v>
      </c>
      <c r="O1071" s="4" t="s">
        <v>4866</v>
      </c>
      <c r="P1071" s="4" t="s">
        <v>4861</v>
      </c>
      <c r="Q1071" s="1" t="str">
        <f>_xlfn.XLOOKUP(tblSales[[#This Row],[Channel Code]],tblChannels[Channel Code],tblChannels[Channel Name],"")</f>
        <v>Marketplace</v>
      </c>
      <c r="R1071" s="1">
        <f>MONTH(tblSales[[#This Row],[Date]])</f>
        <v>3</v>
      </c>
    </row>
    <row r="1072" spans="2:18" x14ac:dyDescent="0.35">
      <c r="B1072" s="113">
        <v>46090</v>
      </c>
      <c r="C1072" s="4" t="s">
        <v>756</v>
      </c>
      <c r="D1072" s="4" t="s">
        <v>4572</v>
      </c>
      <c r="E1072" s="1" t="str">
        <f>_xlfn.XLOOKUP(tblSales[[#This Row],[Customer ID]],tblCustomers[Customer ID],tblCustomers[Customer Name],"⚠ Unknown")</f>
        <v>PT Cahaya Abadi Makmur</v>
      </c>
      <c r="F1072" s="4" t="s">
        <v>6</v>
      </c>
      <c r="G1072" s="1" t="str">
        <f>_xlfn.XLOOKUP(tblSales[[#This Row],[Product Code]],tblProducts[Code],tblProducts[Product / Service Name],"⚠ Unknown")</f>
        <v>Socks &amp; Accessories</v>
      </c>
      <c r="H1072" s="1" t="str">
        <f>_xlfn.XLOOKUP(tblSales[[#This Row],[Product Code]],tblProducts[Code],tblProducts[Category],"")</f>
        <v>Accessories &amp; Basics</v>
      </c>
      <c r="I1072" s="4">
        <v>80</v>
      </c>
      <c r="J1072" s="5">
        <f>_xlfn.XLOOKUP(tblSales[[#This Row],[Product Code]],tblProducts[Code],tblProducts[Selling Price (excl. VAT)],0)</f>
        <v>45000</v>
      </c>
      <c r="K1072" s="5">
        <f>tblSales[[#This Row],[Qty]]*tblSales[[#This Row],[Unit Price]]</f>
        <v>3600000</v>
      </c>
      <c r="L1072" s="5">
        <f>ROUND(tblSales[[#This Row],[DPP (excl. VAT)]]*VATEff,0)</f>
        <v>396000</v>
      </c>
      <c r="M1072" s="5">
        <f>tblSales[[#This Row],[DPP (excl. VAT)]]+tblSales[[#This Row],[Output VAT]]</f>
        <v>3996000</v>
      </c>
      <c r="N1072" s="5">
        <f>tblSales[[#This Row],[Qty]]*_xlfn.XLOOKUP(tblSales[[#This Row],[Product Code]],tblProducts[Code],tblProducts[Unit Cost],0)</f>
        <v>1920000</v>
      </c>
      <c r="O1072" s="4" t="s">
        <v>4867</v>
      </c>
      <c r="P1072" s="4" t="s">
        <v>4860</v>
      </c>
      <c r="Q1072" s="1" t="str">
        <f>_xlfn.XLOOKUP(tblSales[[#This Row],[Channel Code]],tblChannels[Channel Code],tblChannels[Channel Name],"")</f>
        <v>In-store</v>
      </c>
      <c r="R1072" s="1">
        <f>MONTH(tblSales[[#This Row],[Date]])</f>
        <v>3</v>
      </c>
    </row>
    <row r="1073" spans="2:18" x14ac:dyDescent="0.35">
      <c r="B1073" s="113">
        <v>46090</v>
      </c>
      <c r="C1073" s="4" t="s">
        <v>757</v>
      </c>
      <c r="D1073" s="4" t="s">
        <v>4568</v>
      </c>
      <c r="E1073" s="1" t="str">
        <f>_xlfn.XLOOKUP(tblSales[[#This Row],[Customer ID]],tblCustomers[Customer ID],tblCustomers[Customer Name],"⚠ Unknown")</f>
        <v>Walk-in Customer</v>
      </c>
      <c r="F1073" s="4" t="s">
        <v>6</v>
      </c>
      <c r="G1073" s="1" t="str">
        <f>_xlfn.XLOOKUP(tblSales[[#This Row],[Product Code]],tblProducts[Code],tblProducts[Product / Service Name],"⚠ Unknown")</f>
        <v>Socks &amp; Accessories</v>
      </c>
      <c r="H1073" s="1" t="str">
        <f>_xlfn.XLOOKUP(tblSales[[#This Row],[Product Code]],tblProducts[Code],tblProducts[Category],"")</f>
        <v>Accessories &amp; Basics</v>
      </c>
      <c r="I1073" s="4">
        <v>3</v>
      </c>
      <c r="J1073" s="5">
        <f>_xlfn.XLOOKUP(tblSales[[#This Row],[Product Code]],tblProducts[Code],tblProducts[Selling Price (excl. VAT)],0)</f>
        <v>45000</v>
      </c>
      <c r="K1073" s="5">
        <f>tblSales[[#This Row],[Qty]]*tblSales[[#This Row],[Unit Price]]</f>
        <v>135000</v>
      </c>
      <c r="L1073" s="5">
        <f>ROUND(tblSales[[#This Row],[DPP (excl. VAT)]]*VATEff,0)</f>
        <v>14850</v>
      </c>
      <c r="M1073" s="5">
        <f>tblSales[[#This Row],[DPP (excl. VAT)]]+tblSales[[#This Row],[Output VAT]]</f>
        <v>149850</v>
      </c>
      <c r="N1073" s="5">
        <f>tblSales[[#This Row],[Qty]]*_xlfn.XLOOKUP(tblSales[[#This Row],[Product Code]],tblProducts[Code],tblProducts[Unit Cost],0)</f>
        <v>72000</v>
      </c>
      <c r="O1073" s="4" t="s">
        <v>4865</v>
      </c>
      <c r="P1073" s="4" t="s">
        <v>4860</v>
      </c>
      <c r="Q1073" s="1" t="str">
        <f>_xlfn.XLOOKUP(tblSales[[#This Row],[Channel Code]],tblChannels[Channel Code],tblChannels[Channel Name],"")</f>
        <v>In-store</v>
      </c>
      <c r="R1073" s="1">
        <f>MONTH(tblSales[[#This Row],[Date]])</f>
        <v>3</v>
      </c>
    </row>
    <row r="1074" spans="2:18" x14ac:dyDescent="0.35">
      <c r="B1074" s="113">
        <v>46091</v>
      </c>
      <c r="C1074" s="4" t="s">
        <v>758</v>
      </c>
      <c r="D1074" s="4" t="s">
        <v>4634</v>
      </c>
      <c r="E1074" s="1" t="str">
        <f>_xlfn.XLOOKUP(tblSales[[#This Row],[Customer ID]],tblCustomers[Customer ID],tblCustomers[Customer Name],"⚠ Unknown")</f>
        <v>PT Delta Inti Selaras</v>
      </c>
      <c r="F1074" s="4" t="s">
        <v>8</v>
      </c>
      <c r="G1074" s="1" t="str">
        <f>_xlfn.XLOOKUP(tblSales[[#This Row],[Product Code]],tblProducts[Code],tblProducts[Product / Service Name],"⚠ Unknown")</f>
        <v>Casual Shorts</v>
      </c>
      <c r="H1074" s="1" t="str">
        <f>_xlfn.XLOOKUP(tblSales[[#This Row],[Product Code]],tblProducts[Code],tblProducts[Category],"")</f>
        <v>Accessories &amp; Basics</v>
      </c>
      <c r="I1074" s="4">
        <v>72</v>
      </c>
      <c r="J1074" s="5">
        <f>_xlfn.XLOOKUP(tblSales[[#This Row],[Product Code]],tblProducts[Code],tblProducts[Selling Price (excl. VAT)],0)</f>
        <v>85000</v>
      </c>
      <c r="K1074" s="5">
        <f>tblSales[[#This Row],[Qty]]*tblSales[[#This Row],[Unit Price]]</f>
        <v>6120000</v>
      </c>
      <c r="L1074" s="5">
        <f>ROUND(tblSales[[#This Row],[DPP (excl. VAT)]]*VATEff,0)</f>
        <v>673200</v>
      </c>
      <c r="M1074" s="5">
        <f>tblSales[[#This Row],[DPP (excl. VAT)]]+tblSales[[#This Row],[Output VAT]]</f>
        <v>6793200</v>
      </c>
      <c r="N1074" s="5">
        <f>tblSales[[#This Row],[Qty]]*_xlfn.XLOOKUP(tblSales[[#This Row],[Product Code]],tblProducts[Code],tblProducts[Unit Cost],0)</f>
        <v>3600000</v>
      </c>
      <c r="O1074" s="4" t="s">
        <v>4867</v>
      </c>
      <c r="P1074" s="4" t="s">
        <v>4860</v>
      </c>
      <c r="Q1074" s="1" t="str">
        <f>_xlfn.XLOOKUP(tblSales[[#This Row],[Channel Code]],tblChannels[Channel Code],tblChannels[Channel Name],"")</f>
        <v>In-store</v>
      </c>
      <c r="R1074" s="1">
        <f>MONTH(tblSales[[#This Row],[Date]])</f>
        <v>3</v>
      </c>
    </row>
    <row r="1075" spans="2:18" x14ac:dyDescent="0.35">
      <c r="B1075" s="113">
        <v>46091</v>
      </c>
      <c r="C1075" s="4" t="s">
        <v>758</v>
      </c>
      <c r="D1075" s="4" t="s">
        <v>4634</v>
      </c>
      <c r="E1075" s="1" t="str">
        <f>_xlfn.XLOOKUP(tblSales[[#This Row],[Customer ID]],tblCustomers[Customer ID],tblCustomers[Customer Name],"⚠ Unknown")</f>
        <v>PT Delta Inti Selaras</v>
      </c>
      <c r="F1075" s="4" t="s">
        <v>15</v>
      </c>
      <c r="G1075" s="1" t="str">
        <f>_xlfn.XLOOKUP(tblSales[[#This Row],[Product Code]],tblProducts[Code],tblProducts[Product / Service Name],"⚠ Unknown")</f>
        <v>Wireless Earbuds Pro</v>
      </c>
      <c r="H1075" s="1" t="str">
        <f>_xlfn.XLOOKUP(tblSales[[#This Row],[Product Code]],tblProducts[Code],tblProducts[Category],"")</f>
        <v>Bags &amp; Gadgets</v>
      </c>
      <c r="I1075" s="4">
        <v>24</v>
      </c>
      <c r="J1075" s="5">
        <f>_xlfn.XLOOKUP(tblSales[[#This Row],[Product Code]],tblProducts[Code],tblProducts[Selling Price (excl. VAT)],0)</f>
        <v>1250000</v>
      </c>
      <c r="K1075" s="5">
        <f>tblSales[[#This Row],[Qty]]*tblSales[[#This Row],[Unit Price]]</f>
        <v>30000000</v>
      </c>
      <c r="L1075" s="5">
        <f>ROUND(tblSales[[#This Row],[DPP (excl. VAT)]]*VATEff,0)</f>
        <v>3300000</v>
      </c>
      <c r="M1075" s="5">
        <f>tblSales[[#This Row],[DPP (excl. VAT)]]+tblSales[[#This Row],[Output VAT]]</f>
        <v>33300000</v>
      </c>
      <c r="N1075" s="5">
        <f>tblSales[[#This Row],[Qty]]*_xlfn.XLOOKUP(tblSales[[#This Row],[Product Code]],tblProducts[Code],tblProducts[Unit Cost],0)</f>
        <v>19680000</v>
      </c>
      <c r="O1075" s="4" t="s">
        <v>4867</v>
      </c>
      <c r="P1075" s="4" t="s">
        <v>4860</v>
      </c>
      <c r="Q1075" s="1" t="str">
        <f>_xlfn.XLOOKUP(tblSales[[#This Row],[Channel Code]],tblChannels[Channel Code],tblChannels[Channel Name],"")</f>
        <v>In-store</v>
      </c>
      <c r="R1075" s="1">
        <f>MONTH(tblSales[[#This Row],[Date]])</f>
        <v>3</v>
      </c>
    </row>
    <row r="1076" spans="2:18" x14ac:dyDescent="0.35">
      <c r="B1076" s="113">
        <v>46091</v>
      </c>
      <c r="C1076" s="4" t="s">
        <v>759</v>
      </c>
      <c r="D1076" s="4" t="s">
        <v>4568</v>
      </c>
      <c r="E1076" s="1" t="str">
        <f>_xlfn.XLOOKUP(tblSales[[#This Row],[Customer ID]],tblCustomers[Customer ID],tblCustomers[Customer Name],"⚠ Unknown")</f>
        <v>Walk-in Customer</v>
      </c>
      <c r="F1076" s="4" t="s">
        <v>8</v>
      </c>
      <c r="G1076" s="1" t="str">
        <f>_xlfn.XLOOKUP(tblSales[[#This Row],[Product Code]],tblProducts[Code],tblProducts[Product / Service Name],"⚠ Unknown")</f>
        <v>Casual Shorts</v>
      </c>
      <c r="H1076" s="1" t="str">
        <f>_xlfn.XLOOKUP(tblSales[[#This Row],[Product Code]],tblProducts[Code],tblProducts[Category],"")</f>
        <v>Accessories &amp; Basics</v>
      </c>
      <c r="I1076" s="4">
        <v>9</v>
      </c>
      <c r="J1076" s="5">
        <f>_xlfn.XLOOKUP(tblSales[[#This Row],[Product Code]],tblProducts[Code],tblProducts[Selling Price (excl. VAT)],0)</f>
        <v>85000</v>
      </c>
      <c r="K1076" s="5">
        <f>tblSales[[#This Row],[Qty]]*tblSales[[#This Row],[Unit Price]]</f>
        <v>765000</v>
      </c>
      <c r="L1076" s="5">
        <f>ROUND(tblSales[[#This Row],[DPP (excl. VAT)]]*VATEff,0)</f>
        <v>84150</v>
      </c>
      <c r="M1076" s="5">
        <f>tblSales[[#This Row],[DPP (excl. VAT)]]+tblSales[[#This Row],[Output VAT]]</f>
        <v>849150</v>
      </c>
      <c r="N1076" s="5">
        <f>tblSales[[#This Row],[Qty]]*_xlfn.XLOOKUP(tblSales[[#This Row],[Product Code]],tblProducts[Code],tblProducts[Unit Cost],0)</f>
        <v>450000</v>
      </c>
      <c r="O1076" s="4" t="s">
        <v>4865</v>
      </c>
      <c r="P1076" s="4" t="s">
        <v>4860</v>
      </c>
      <c r="Q1076" s="1" t="str">
        <f>_xlfn.XLOOKUP(tblSales[[#This Row],[Channel Code]],tblChannels[Channel Code],tblChannels[Channel Name],"")</f>
        <v>In-store</v>
      </c>
      <c r="R1076" s="1">
        <f>MONTH(tblSales[[#This Row],[Date]])</f>
        <v>3</v>
      </c>
    </row>
    <row r="1077" spans="2:18" x14ac:dyDescent="0.35">
      <c r="B1077" s="113">
        <v>46091</v>
      </c>
      <c r="C1077" s="4" t="s">
        <v>760</v>
      </c>
      <c r="D1077" s="4" t="s">
        <v>4568</v>
      </c>
      <c r="E1077" s="1" t="str">
        <f>_xlfn.XLOOKUP(tblSales[[#This Row],[Customer ID]],tblCustomers[Customer ID],tblCustomers[Customer Name],"⚠ Unknown")</f>
        <v>Walk-in Customer</v>
      </c>
      <c r="F1077" s="4" t="s">
        <v>9</v>
      </c>
      <c r="G1077" s="1" t="str">
        <f>_xlfn.XLOOKUP(tblSales[[#This Row],[Product Code]],tblProducts[Code],tblProducts[Product / Service Name],"⚠ Unknown")</f>
        <v>Casual Shirt</v>
      </c>
      <c r="H1077" s="1" t="str">
        <f>_xlfn.XLOOKUP(tblSales[[#This Row],[Product Code]],tblProducts[Code],tblProducts[Category],"")</f>
        <v>Apparel &amp; Footwear</v>
      </c>
      <c r="I1077" s="4">
        <v>6</v>
      </c>
      <c r="J1077" s="5">
        <f>_xlfn.XLOOKUP(tblSales[[#This Row],[Product Code]],tblProducts[Code],tblProducts[Selling Price (excl. VAT)],0)</f>
        <v>120000</v>
      </c>
      <c r="K1077" s="5">
        <f>tblSales[[#This Row],[Qty]]*tblSales[[#This Row],[Unit Price]]</f>
        <v>720000</v>
      </c>
      <c r="L1077" s="5">
        <f>ROUND(tblSales[[#This Row],[DPP (excl. VAT)]]*VATEff,0)</f>
        <v>79200</v>
      </c>
      <c r="M1077" s="5">
        <f>tblSales[[#This Row],[DPP (excl. VAT)]]+tblSales[[#This Row],[Output VAT]]</f>
        <v>799200</v>
      </c>
      <c r="N1077" s="5">
        <f>tblSales[[#This Row],[Qty]]*_xlfn.XLOOKUP(tblSales[[#This Row],[Product Code]],tblProducts[Code],tblProducts[Unit Cost],0)</f>
        <v>432000</v>
      </c>
      <c r="O1077" s="4" t="s">
        <v>4866</v>
      </c>
      <c r="P1077" s="4" t="s">
        <v>4860</v>
      </c>
      <c r="Q1077" s="1" t="str">
        <f>_xlfn.XLOOKUP(tblSales[[#This Row],[Channel Code]],tblChannels[Channel Code],tblChannels[Channel Name],"")</f>
        <v>In-store</v>
      </c>
      <c r="R1077" s="1">
        <f>MONTH(tblSales[[#This Row],[Date]])</f>
        <v>3</v>
      </c>
    </row>
    <row r="1078" spans="2:18" x14ac:dyDescent="0.35">
      <c r="B1078" s="113">
        <v>46091</v>
      </c>
      <c r="C1078" s="4" t="s">
        <v>761</v>
      </c>
      <c r="D1078" s="4" t="s">
        <v>4568</v>
      </c>
      <c r="E1078" s="1" t="str">
        <f>_xlfn.XLOOKUP(tblSales[[#This Row],[Customer ID]],tblCustomers[Customer ID],tblCustomers[Customer Name],"⚠ Unknown")</f>
        <v>Walk-in Customer</v>
      </c>
      <c r="F1078" s="4" t="s">
        <v>14</v>
      </c>
      <c r="G1078" s="1" t="str">
        <f>_xlfn.XLOOKUP(tblSales[[#This Row],[Product Code]],tblProducts[Code],tblProducts[Product / Service Name],"⚠ Unknown")</f>
        <v>Smartwatch</v>
      </c>
      <c r="H1078" s="1" t="str">
        <f>_xlfn.XLOOKUP(tblSales[[#This Row],[Product Code]],tblProducts[Code],tblProducts[Category],"")</f>
        <v>Bags &amp; Gadgets</v>
      </c>
      <c r="I1078" s="4">
        <v>1</v>
      </c>
      <c r="J1078" s="5">
        <f>_xlfn.XLOOKUP(tblSales[[#This Row],[Product Code]],tblProducts[Code],tblProducts[Selling Price (excl. VAT)],0)</f>
        <v>850000</v>
      </c>
      <c r="K1078" s="5">
        <f>tblSales[[#This Row],[Qty]]*tblSales[[#This Row],[Unit Price]]</f>
        <v>850000</v>
      </c>
      <c r="L1078" s="5">
        <f>ROUND(tblSales[[#This Row],[DPP (excl. VAT)]]*VATEff,0)</f>
        <v>93500</v>
      </c>
      <c r="M1078" s="5">
        <f>tblSales[[#This Row],[DPP (excl. VAT)]]+tblSales[[#This Row],[Output VAT]]</f>
        <v>943500</v>
      </c>
      <c r="N1078" s="5">
        <f>tblSales[[#This Row],[Qty]]*_xlfn.XLOOKUP(tblSales[[#This Row],[Product Code]],tblProducts[Code],tblProducts[Unit Cost],0)</f>
        <v>560000</v>
      </c>
      <c r="O1078" s="4" t="s">
        <v>4866</v>
      </c>
      <c r="P1078" s="4" t="s">
        <v>4860</v>
      </c>
      <c r="Q1078" s="1" t="str">
        <f>_xlfn.XLOOKUP(tblSales[[#This Row],[Channel Code]],tblChannels[Channel Code],tblChannels[Channel Name],"")</f>
        <v>In-store</v>
      </c>
      <c r="R1078" s="1">
        <f>MONTH(tblSales[[#This Row],[Date]])</f>
        <v>3</v>
      </c>
    </row>
    <row r="1079" spans="2:18" x14ac:dyDescent="0.35">
      <c r="B1079" s="113">
        <v>46091</v>
      </c>
      <c r="C1079" s="4" t="s">
        <v>762</v>
      </c>
      <c r="D1079" s="4" t="s">
        <v>4606</v>
      </c>
      <c r="E1079" s="1" t="str">
        <f>_xlfn.XLOOKUP(tblSales[[#This Row],[Customer ID]],tblCustomers[Customer ID],tblCustomers[Customer Name],"⚠ Unknown")</f>
        <v>PT Arunika Digital Kreatif</v>
      </c>
      <c r="F1079" s="4" t="s">
        <v>8</v>
      </c>
      <c r="G1079" s="1" t="str">
        <f>_xlfn.XLOOKUP(tblSales[[#This Row],[Product Code]],tblProducts[Code],tblProducts[Product / Service Name],"⚠ Unknown")</f>
        <v>Casual Shorts</v>
      </c>
      <c r="H1079" s="1" t="str">
        <f>_xlfn.XLOOKUP(tblSales[[#This Row],[Product Code]],tblProducts[Code],tblProducts[Category],"")</f>
        <v>Accessories &amp; Basics</v>
      </c>
      <c r="I1079" s="4">
        <v>32</v>
      </c>
      <c r="J1079" s="5">
        <f>_xlfn.XLOOKUP(tblSales[[#This Row],[Product Code]],tblProducts[Code],tblProducts[Selling Price (excl. VAT)],0)</f>
        <v>85000</v>
      </c>
      <c r="K1079" s="5">
        <f>tblSales[[#This Row],[Qty]]*tblSales[[#This Row],[Unit Price]]</f>
        <v>2720000</v>
      </c>
      <c r="L1079" s="5">
        <f>ROUND(tblSales[[#This Row],[DPP (excl. VAT)]]*VATEff,0)</f>
        <v>299200</v>
      </c>
      <c r="M1079" s="5">
        <f>tblSales[[#This Row],[DPP (excl. VAT)]]+tblSales[[#This Row],[Output VAT]]</f>
        <v>3019200</v>
      </c>
      <c r="N1079" s="5">
        <f>tblSales[[#This Row],[Qty]]*_xlfn.XLOOKUP(tblSales[[#This Row],[Product Code]],tblProducts[Code],tblProducts[Unit Cost],0)</f>
        <v>1600000</v>
      </c>
      <c r="O1079" s="4" t="s">
        <v>4867</v>
      </c>
      <c r="P1079" s="4" t="s">
        <v>4860</v>
      </c>
      <c r="Q1079" s="1" t="str">
        <f>_xlfn.XLOOKUP(tblSales[[#This Row],[Channel Code]],tblChannels[Channel Code],tblChannels[Channel Name],"")</f>
        <v>In-store</v>
      </c>
      <c r="R1079" s="1">
        <f>MONTH(tblSales[[#This Row],[Date]])</f>
        <v>3</v>
      </c>
    </row>
    <row r="1080" spans="2:18" x14ac:dyDescent="0.35">
      <c r="B1080" s="113">
        <v>46091</v>
      </c>
      <c r="C1080" s="4" t="s">
        <v>763</v>
      </c>
      <c r="D1080" s="4" t="s">
        <v>4568</v>
      </c>
      <c r="E1080" s="1" t="str">
        <f>_xlfn.XLOOKUP(tblSales[[#This Row],[Customer ID]],tblCustomers[Customer ID],tblCustomers[Customer Name],"⚠ Unknown")</f>
        <v>Walk-in Customer</v>
      </c>
      <c r="F1080" s="4" t="s">
        <v>12</v>
      </c>
      <c r="G1080" s="1" t="str">
        <f>_xlfn.XLOOKUP(tblSales[[#This Row],[Product Code]],tblProducts[Code],tblProducts[Product / Service Name],"⚠ Unknown")</f>
        <v>Bomber Jacket</v>
      </c>
      <c r="H1080" s="1" t="str">
        <f>_xlfn.XLOOKUP(tblSales[[#This Row],[Product Code]],tblProducts[Code],tblProducts[Category],"")</f>
        <v>Apparel &amp; Footwear</v>
      </c>
      <c r="I1080" s="4">
        <v>6</v>
      </c>
      <c r="J1080" s="5">
        <f>_xlfn.XLOOKUP(tblSales[[#This Row],[Product Code]],tblProducts[Code],tblProducts[Selling Price (excl. VAT)],0)</f>
        <v>350000</v>
      </c>
      <c r="K1080" s="5">
        <f>tblSales[[#This Row],[Qty]]*tblSales[[#This Row],[Unit Price]]</f>
        <v>2100000</v>
      </c>
      <c r="L1080" s="5">
        <f>ROUND(tblSales[[#This Row],[DPP (excl. VAT)]]*VATEff,0)</f>
        <v>231000</v>
      </c>
      <c r="M1080" s="5">
        <f>tblSales[[#This Row],[DPP (excl. VAT)]]+tblSales[[#This Row],[Output VAT]]</f>
        <v>2331000</v>
      </c>
      <c r="N1080" s="5">
        <f>tblSales[[#This Row],[Qty]]*_xlfn.XLOOKUP(tblSales[[#This Row],[Product Code]],tblProducts[Code],tblProducts[Unit Cost],0)</f>
        <v>1260000</v>
      </c>
      <c r="O1080" s="4" t="s">
        <v>4866</v>
      </c>
      <c r="P1080" s="4" t="s">
        <v>4860</v>
      </c>
      <c r="Q1080" s="1" t="str">
        <f>_xlfn.XLOOKUP(tblSales[[#This Row],[Channel Code]],tblChannels[Channel Code],tblChannels[Channel Name],"")</f>
        <v>In-store</v>
      </c>
      <c r="R1080" s="1">
        <f>MONTH(tblSales[[#This Row],[Date]])</f>
        <v>3</v>
      </c>
    </row>
    <row r="1081" spans="2:18" x14ac:dyDescent="0.35">
      <c r="B1081" s="113">
        <v>46091</v>
      </c>
      <c r="C1081" s="4" t="s">
        <v>763</v>
      </c>
      <c r="D1081" s="4" t="s">
        <v>4568</v>
      </c>
      <c r="E1081" s="1" t="str">
        <f>_xlfn.XLOOKUP(tblSales[[#This Row],[Customer ID]],tblCustomers[Customer ID],tblCustomers[Customer Name],"⚠ Unknown")</f>
        <v>Walk-in Customer</v>
      </c>
      <c r="F1081" s="4" t="s">
        <v>10</v>
      </c>
      <c r="G1081" s="1" t="str">
        <f>_xlfn.XLOOKUP(tblSales[[#This Row],[Product Code]],tblProducts[Code],tblProducts[Product / Service Name],"⚠ Unknown")</f>
        <v>Chino Pants</v>
      </c>
      <c r="H1081" s="1" t="str">
        <f>_xlfn.XLOOKUP(tblSales[[#This Row],[Product Code]],tblProducts[Code],tblProducts[Category],"")</f>
        <v>Apparel &amp; Footwear</v>
      </c>
      <c r="I1081" s="4">
        <v>1</v>
      </c>
      <c r="J1081" s="5">
        <f>_xlfn.XLOOKUP(tblSales[[#This Row],[Product Code]],tblProducts[Code],tblProducts[Selling Price (excl. VAT)],0)</f>
        <v>150000</v>
      </c>
      <c r="K1081" s="5">
        <f>tblSales[[#This Row],[Qty]]*tblSales[[#This Row],[Unit Price]]</f>
        <v>150000</v>
      </c>
      <c r="L1081" s="5">
        <f>ROUND(tblSales[[#This Row],[DPP (excl. VAT)]]*VATEff,0)</f>
        <v>16500</v>
      </c>
      <c r="M1081" s="5">
        <f>tblSales[[#This Row],[DPP (excl. VAT)]]+tblSales[[#This Row],[Output VAT]]</f>
        <v>166500</v>
      </c>
      <c r="N1081" s="5">
        <f>tblSales[[#This Row],[Qty]]*_xlfn.XLOOKUP(tblSales[[#This Row],[Product Code]],tblProducts[Code],tblProducts[Unit Cost],0)</f>
        <v>88000</v>
      </c>
      <c r="O1081" s="4" t="s">
        <v>4866</v>
      </c>
      <c r="P1081" s="4" t="s">
        <v>4860</v>
      </c>
      <c r="Q1081" s="1" t="str">
        <f>_xlfn.XLOOKUP(tblSales[[#This Row],[Channel Code]],tblChannels[Channel Code],tblChannels[Channel Name],"")</f>
        <v>In-store</v>
      </c>
      <c r="R1081" s="1">
        <f>MONTH(tblSales[[#This Row],[Date]])</f>
        <v>3</v>
      </c>
    </row>
    <row r="1082" spans="2:18" x14ac:dyDescent="0.35">
      <c r="B1082" s="113">
        <v>46091</v>
      </c>
      <c r="C1082" s="4" t="s">
        <v>764</v>
      </c>
      <c r="D1082" s="4" t="s">
        <v>4568</v>
      </c>
      <c r="E1082" s="1" t="str">
        <f>_xlfn.XLOOKUP(tblSales[[#This Row],[Customer ID]],tblCustomers[Customer ID],tblCustomers[Customer Name],"⚠ Unknown")</f>
        <v>Walk-in Customer</v>
      </c>
      <c r="F1082" s="4" t="s">
        <v>10</v>
      </c>
      <c r="G1082" s="1" t="str">
        <f>_xlfn.XLOOKUP(tblSales[[#This Row],[Product Code]],tblProducts[Code],tblProducts[Product / Service Name],"⚠ Unknown")</f>
        <v>Chino Pants</v>
      </c>
      <c r="H1082" s="1" t="str">
        <f>_xlfn.XLOOKUP(tblSales[[#This Row],[Product Code]],tblProducts[Code],tblProducts[Category],"")</f>
        <v>Apparel &amp; Footwear</v>
      </c>
      <c r="I1082" s="4">
        <v>12</v>
      </c>
      <c r="J1082" s="5">
        <f>_xlfn.XLOOKUP(tblSales[[#This Row],[Product Code]],tblProducts[Code],tblProducts[Selling Price (excl. VAT)],0)</f>
        <v>150000</v>
      </c>
      <c r="K1082" s="5">
        <f>tblSales[[#This Row],[Qty]]*tblSales[[#This Row],[Unit Price]]</f>
        <v>1800000</v>
      </c>
      <c r="L1082" s="5">
        <f>ROUND(tblSales[[#This Row],[DPP (excl. VAT)]]*VATEff,0)</f>
        <v>198000</v>
      </c>
      <c r="M1082" s="5">
        <f>tblSales[[#This Row],[DPP (excl. VAT)]]+tblSales[[#This Row],[Output VAT]]</f>
        <v>1998000</v>
      </c>
      <c r="N1082" s="5">
        <f>tblSales[[#This Row],[Qty]]*_xlfn.XLOOKUP(tblSales[[#This Row],[Product Code]],tblProducts[Code],tblProducts[Unit Cost],0)</f>
        <v>1056000</v>
      </c>
      <c r="O1082" s="4" t="s">
        <v>4865</v>
      </c>
      <c r="P1082" s="4" t="s">
        <v>4860</v>
      </c>
      <c r="Q1082" s="1" t="str">
        <f>_xlfn.XLOOKUP(tblSales[[#This Row],[Channel Code]],tblChannels[Channel Code],tblChannels[Channel Name],"")</f>
        <v>In-store</v>
      </c>
      <c r="R1082" s="1">
        <f>MONTH(tblSales[[#This Row],[Date]])</f>
        <v>3</v>
      </c>
    </row>
    <row r="1083" spans="2:18" x14ac:dyDescent="0.35">
      <c r="B1083" s="113">
        <v>46091</v>
      </c>
      <c r="C1083" s="4" t="s">
        <v>764</v>
      </c>
      <c r="D1083" s="4" t="s">
        <v>4568</v>
      </c>
      <c r="E1083" s="1" t="str">
        <f>_xlfn.XLOOKUP(tblSales[[#This Row],[Customer ID]],tblCustomers[Customer ID],tblCustomers[Customer Name],"⚠ Unknown")</f>
        <v>Walk-in Customer</v>
      </c>
      <c r="F1083" s="4" t="s">
        <v>12</v>
      </c>
      <c r="G1083" s="1" t="str">
        <f>_xlfn.XLOOKUP(tblSales[[#This Row],[Product Code]],tblProducts[Code],tblProducts[Product / Service Name],"⚠ Unknown")</f>
        <v>Bomber Jacket</v>
      </c>
      <c r="H1083" s="1" t="str">
        <f>_xlfn.XLOOKUP(tblSales[[#This Row],[Product Code]],tblProducts[Code],tblProducts[Category],"")</f>
        <v>Apparel &amp; Footwear</v>
      </c>
      <c r="I1083" s="4">
        <v>6</v>
      </c>
      <c r="J1083" s="5">
        <f>_xlfn.XLOOKUP(tblSales[[#This Row],[Product Code]],tblProducts[Code],tblProducts[Selling Price (excl. VAT)],0)</f>
        <v>350000</v>
      </c>
      <c r="K1083" s="5">
        <f>tblSales[[#This Row],[Qty]]*tblSales[[#This Row],[Unit Price]]</f>
        <v>2100000</v>
      </c>
      <c r="L1083" s="5">
        <f>ROUND(tblSales[[#This Row],[DPP (excl. VAT)]]*VATEff,0)</f>
        <v>231000</v>
      </c>
      <c r="M1083" s="5">
        <f>tblSales[[#This Row],[DPP (excl. VAT)]]+tblSales[[#This Row],[Output VAT]]</f>
        <v>2331000</v>
      </c>
      <c r="N1083" s="5">
        <f>tblSales[[#This Row],[Qty]]*_xlfn.XLOOKUP(tblSales[[#This Row],[Product Code]],tblProducts[Code],tblProducts[Unit Cost],0)</f>
        <v>1260000</v>
      </c>
      <c r="O1083" s="4" t="s">
        <v>4865</v>
      </c>
      <c r="P1083" s="4" t="s">
        <v>4860</v>
      </c>
      <c r="Q1083" s="1" t="str">
        <f>_xlfn.XLOOKUP(tblSales[[#This Row],[Channel Code]],tblChannels[Channel Code],tblChannels[Channel Name],"")</f>
        <v>In-store</v>
      </c>
      <c r="R1083" s="1">
        <f>MONTH(tblSales[[#This Row],[Date]])</f>
        <v>3</v>
      </c>
    </row>
    <row r="1084" spans="2:18" x14ac:dyDescent="0.35">
      <c r="B1084" s="113">
        <v>46091</v>
      </c>
      <c r="C1084" s="4" t="s">
        <v>765</v>
      </c>
      <c r="D1084" s="4" t="s">
        <v>4568</v>
      </c>
      <c r="E1084" s="1" t="str">
        <f>_xlfn.XLOOKUP(tblSales[[#This Row],[Customer ID]],tblCustomers[Customer ID],tblCustomers[Customer Name],"⚠ Unknown")</f>
        <v>Walk-in Customer</v>
      </c>
      <c r="F1084" s="4" t="s">
        <v>9</v>
      </c>
      <c r="G1084" s="1" t="str">
        <f>_xlfn.XLOOKUP(tblSales[[#This Row],[Product Code]],tblProducts[Code],tblProducts[Product / Service Name],"⚠ Unknown")</f>
        <v>Casual Shirt</v>
      </c>
      <c r="H1084" s="1" t="str">
        <f>_xlfn.XLOOKUP(tblSales[[#This Row],[Product Code]],tblProducts[Code],tblProducts[Category],"")</f>
        <v>Apparel &amp; Footwear</v>
      </c>
      <c r="I1084" s="4">
        <v>10</v>
      </c>
      <c r="J1084" s="5">
        <f>_xlfn.XLOOKUP(tblSales[[#This Row],[Product Code]],tblProducts[Code],tblProducts[Selling Price (excl. VAT)],0)</f>
        <v>120000</v>
      </c>
      <c r="K1084" s="5">
        <f>tblSales[[#This Row],[Qty]]*tblSales[[#This Row],[Unit Price]]</f>
        <v>1200000</v>
      </c>
      <c r="L1084" s="5">
        <f>ROUND(tblSales[[#This Row],[DPP (excl. VAT)]]*VATEff,0)</f>
        <v>132000</v>
      </c>
      <c r="M1084" s="5">
        <f>tblSales[[#This Row],[DPP (excl. VAT)]]+tblSales[[#This Row],[Output VAT]]</f>
        <v>1332000</v>
      </c>
      <c r="N1084" s="5">
        <f>tblSales[[#This Row],[Qty]]*_xlfn.XLOOKUP(tblSales[[#This Row],[Product Code]],tblProducts[Code],tblProducts[Unit Cost],0)</f>
        <v>720000</v>
      </c>
      <c r="O1084" s="4" t="s">
        <v>4865</v>
      </c>
      <c r="P1084" s="4" t="s">
        <v>4860</v>
      </c>
      <c r="Q1084" s="1" t="str">
        <f>_xlfn.XLOOKUP(tblSales[[#This Row],[Channel Code]],tblChannels[Channel Code],tblChannels[Channel Name],"")</f>
        <v>In-store</v>
      </c>
      <c r="R1084" s="1">
        <f>MONTH(tblSales[[#This Row],[Date]])</f>
        <v>3</v>
      </c>
    </row>
    <row r="1085" spans="2:18" x14ac:dyDescent="0.35">
      <c r="B1085" s="113">
        <v>46091</v>
      </c>
      <c r="C1085" s="4" t="s">
        <v>765</v>
      </c>
      <c r="D1085" s="4" t="s">
        <v>4568</v>
      </c>
      <c r="E1085" s="1" t="str">
        <f>_xlfn.XLOOKUP(tblSales[[#This Row],[Customer ID]],tblCustomers[Customer ID],tblCustomers[Customer Name],"⚠ Unknown")</f>
        <v>Walk-in Customer</v>
      </c>
      <c r="F1085" s="4" t="s">
        <v>6</v>
      </c>
      <c r="G1085" s="1" t="str">
        <f>_xlfn.XLOOKUP(tblSales[[#This Row],[Product Code]],tblProducts[Code],tblProducts[Product / Service Name],"⚠ Unknown")</f>
        <v>Socks &amp; Accessories</v>
      </c>
      <c r="H1085" s="1" t="str">
        <f>_xlfn.XLOOKUP(tblSales[[#This Row],[Product Code]],tblProducts[Code],tblProducts[Category],"")</f>
        <v>Accessories &amp; Basics</v>
      </c>
      <c r="I1085" s="4">
        <v>11</v>
      </c>
      <c r="J1085" s="5">
        <f>_xlfn.XLOOKUP(tblSales[[#This Row],[Product Code]],tblProducts[Code],tblProducts[Selling Price (excl. VAT)],0)</f>
        <v>45000</v>
      </c>
      <c r="K1085" s="5">
        <f>tblSales[[#This Row],[Qty]]*tblSales[[#This Row],[Unit Price]]</f>
        <v>495000</v>
      </c>
      <c r="L1085" s="5">
        <f>ROUND(tblSales[[#This Row],[DPP (excl. VAT)]]*VATEff,0)</f>
        <v>54450</v>
      </c>
      <c r="M1085" s="5">
        <f>tblSales[[#This Row],[DPP (excl. VAT)]]+tblSales[[#This Row],[Output VAT]]</f>
        <v>549450</v>
      </c>
      <c r="N1085" s="5">
        <f>tblSales[[#This Row],[Qty]]*_xlfn.XLOOKUP(tblSales[[#This Row],[Product Code]],tblProducts[Code],tblProducts[Unit Cost],0)</f>
        <v>264000</v>
      </c>
      <c r="O1085" s="4" t="s">
        <v>4865</v>
      </c>
      <c r="P1085" s="4" t="s">
        <v>4860</v>
      </c>
      <c r="Q1085" s="1" t="str">
        <f>_xlfn.XLOOKUP(tblSales[[#This Row],[Channel Code]],tblChannels[Channel Code],tblChannels[Channel Name],"")</f>
        <v>In-store</v>
      </c>
      <c r="R1085" s="1">
        <f>MONTH(tblSales[[#This Row],[Date]])</f>
        <v>3</v>
      </c>
    </row>
    <row r="1086" spans="2:18" x14ac:dyDescent="0.35">
      <c r="B1086" s="113">
        <v>46091</v>
      </c>
      <c r="C1086" s="4" t="s">
        <v>766</v>
      </c>
      <c r="D1086" s="4" t="s">
        <v>4572</v>
      </c>
      <c r="E1086" s="1" t="str">
        <f>_xlfn.XLOOKUP(tblSales[[#This Row],[Customer ID]],tblCustomers[Customer ID],tblCustomers[Customer Name],"⚠ Unknown")</f>
        <v>PT Cahaya Abadi Makmur</v>
      </c>
      <c r="F1086" s="4" t="s">
        <v>6</v>
      </c>
      <c r="G1086" s="1" t="str">
        <f>_xlfn.XLOOKUP(tblSales[[#This Row],[Product Code]],tblProducts[Code],tblProducts[Product / Service Name],"⚠ Unknown")</f>
        <v>Socks &amp; Accessories</v>
      </c>
      <c r="H1086" s="1" t="str">
        <f>_xlfn.XLOOKUP(tblSales[[#This Row],[Product Code]],tblProducts[Code],tblProducts[Category],"")</f>
        <v>Accessories &amp; Basics</v>
      </c>
      <c r="I1086" s="4">
        <v>96</v>
      </c>
      <c r="J1086" s="5">
        <f>_xlfn.XLOOKUP(tblSales[[#This Row],[Product Code]],tblProducts[Code],tblProducts[Selling Price (excl. VAT)],0)</f>
        <v>45000</v>
      </c>
      <c r="K1086" s="5">
        <f>tblSales[[#This Row],[Qty]]*tblSales[[#This Row],[Unit Price]]</f>
        <v>4320000</v>
      </c>
      <c r="L1086" s="5">
        <f>ROUND(tblSales[[#This Row],[DPP (excl. VAT)]]*VATEff,0)</f>
        <v>475200</v>
      </c>
      <c r="M1086" s="5">
        <f>tblSales[[#This Row],[DPP (excl. VAT)]]+tblSales[[#This Row],[Output VAT]]</f>
        <v>4795200</v>
      </c>
      <c r="N1086" s="5">
        <f>tblSales[[#This Row],[Qty]]*_xlfn.XLOOKUP(tblSales[[#This Row],[Product Code]],tblProducts[Code],tblProducts[Unit Cost],0)</f>
        <v>2304000</v>
      </c>
      <c r="O1086" s="4" t="s">
        <v>4867</v>
      </c>
      <c r="P1086" s="4" t="s">
        <v>4860</v>
      </c>
      <c r="Q1086" s="1" t="str">
        <f>_xlfn.XLOOKUP(tblSales[[#This Row],[Channel Code]],tblChannels[Channel Code],tblChannels[Channel Name],"")</f>
        <v>In-store</v>
      </c>
      <c r="R1086" s="1">
        <f>MONTH(tblSales[[#This Row],[Date]])</f>
        <v>3</v>
      </c>
    </row>
    <row r="1087" spans="2:18" x14ac:dyDescent="0.35">
      <c r="B1087" s="113">
        <v>46091</v>
      </c>
      <c r="C1087" s="4" t="s">
        <v>767</v>
      </c>
      <c r="D1087" s="4" t="s">
        <v>4634</v>
      </c>
      <c r="E1087" s="1" t="str">
        <f>_xlfn.XLOOKUP(tblSales[[#This Row],[Customer ID]],tblCustomers[Customer ID],tblCustomers[Customer Name],"⚠ Unknown")</f>
        <v>PT Delta Inti Selaras</v>
      </c>
      <c r="F1087" s="4" t="s">
        <v>9</v>
      </c>
      <c r="G1087" s="1" t="str">
        <f>_xlfn.XLOOKUP(tblSales[[#This Row],[Product Code]],tblProducts[Code],tblProducts[Product / Service Name],"⚠ Unknown")</f>
        <v>Casual Shirt</v>
      </c>
      <c r="H1087" s="1" t="str">
        <f>_xlfn.XLOOKUP(tblSales[[#This Row],[Product Code]],tblProducts[Code],tblProducts[Category],"")</f>
        <v>Apparel &amp; Footwear</v>
      </c>
      <c r="I1087" s="4">
        <v>8</v>
      </c>
      <c r="J1087" s="5">
        <f>_xlfn.XLOOKUP(tblSales[[#This Row],[Product Code]],tblProducts[Code],tblProducts[Selling Price (excl. VAT)],0)</f>
        <v>120000</v>
      </c>
      <c r="K1087" s="5">
        <f>tblSales[[#This Row],[Qty]]*tblSales[[#This Row],[Unit Price]]</f>
        <v>960000</v>
      </c>
      <c r="L1087" s="5">
        <f>ROUND(tblSales[[#This Row],[DPP (excl. VAT)]]*VATEff,0)</f>
        <v>105600</v>
      </c>
      <c r="M1087" s="5">
        <f>tblSales[[#This Row],[DPP (excl. VAT)]]+tblSales[[#This Row],[Output VAT]]</f>
        <v>1065600</v>
      </c>
      <c r="N1087" s="5">
        <f>tblSales[[#This Row],[Qty]]*_xlfn.XLOOKUP(tblSales[[#This Row],[Product Code]],tblProducts[Code],tblProducts[Unit Cost],0)</f>
        <v>576000</v>
      </c>
      <c r="O1087" s="4" t="s">
        <v>4867</v>
      </c>
      <c r="P1087" s="4" t="s">
        <v>4860</v>
      </c>
      <c r="Q1087" s="1" t="str">
        <f>_xlfn.XLOOKUP(tblSales[[#This Row],[Channel Code]],tblChannels[Channel Code],tblChannels[Channel Name],"")</f>
        <v>In-store</v>
      </c>
      <c r="R1087" s="1">
        <f>MONTH(tblSales[[#This Row],[Date]])</f>
        <v>3</v>
      </c>
    </row>
    <row r="1088" spans="2:18" x14ac:dyDescent="0.35">
      <c r="B1088" s="113">
        <v>46091</v>
      </c>
      <c r="C1088" s="4" t="s">
        <v>767</v>
      </c>
      <c r="D1088" s="4" t="s">
        <v>4634</v>
      </c>
      <c r="E1088" s="1" t="str">
        <f>_xlfn.XLOOKUP(tblSales[[#This Row],[Customer ID]],tblCustomers[Customer ID],tblCustomers[Customer Name],"⚠ Unknown")</f>
        <v>PT Delta Inti Selaras</v>
      </c>
      <c r="F1088" s="4" t="s">
        <v>8</v>
      </c>
      <c r="G1088" s="1" t="str">
        <f>_xlfn.XLOOKUP(tblSales[[#This Row],[Product Code]],tblProducts[Code],tblProducts[Product / Service Name],"⚠ Unknown")</f>
        <v>Casual Shorts</v>
      </c>
      <c r="H1088" s="1" t="str">
        <f>_xlfn.XLOOKUP(tblSales[[#This Row],[Product Code]],tblProducts[Code],tblProducts[Category],"")</f>
        <v>Accessories &amp; Basics</v>
      </c>
      <c r="I1088" s="4">
        <v>96</v>
      </c>
      <c r="J1088" s="5">
        <f>_xlfn.XLOOKUP(tblSales[[#This Row],[Product Code]],tblProducts[Code],tblProducts[Selling Price (excl. VAT)],0)</f>
        <v>85000</v>
      </c>
      <c r="K1088" s="5">
        <f>tblSales[[#This Row],[Qty]]*tblSales[[#This Row],[Unit Price]]</f>
        <v>8160000</v>
      </c>
      <c r="L1088" s="5">
        <f>ROUND(tblSales[[#This Row],[DPP (excl. VAT)]]*VATEff,0)</f>
        <v>897600</v>
      </c>
      <c r="M1088" s="5">
        <f>tblSales[[#This Row],[DPP (excl. VAT)]]+tblSales[[#This Row],[Output VAT]]</f>
        <v>9057600</v>
      </c>
      <c r="N1088" s="5">
        <f>tblSales[[#This Row],[Qty]]*_xlfn.XLOOKUP(tblSales[[#This Row],[Product Code]],tblProducts[Code],tblProducts[Unit Cost],0)</f>
        <v>4800000</v>
      </c>
      <c r="O1088" s="4" t="s">
        <v>4867</v>
      </c>
      <c r="P1088" s="4" t="s">
        <v>4860</v>
      </c>
      <c r="Q1088" s="1" t="str">
        <f>_xlfn.XLOOKUP(tblSales[[#This Row],[Channel Code]],tblChannels[Channel Code],tblChannels[Channel Name],"")</f>
        <v>In-store</v>
      </c>
      <c r="R1088" s="1">
        <f>MONTH(tblSales[[#This Row],[Date]])</f>
        <v>3</v>
      </c>
    </row>
    <row r="1089" spans="2:18" x14ac:dyDescent="0.35">
      <c r="B1089" s="113">
        <v>46091</v>
      </c>
      <c r="C1089" s="4" t="s">
        <v>768</v>
      </c>
      <c r="D1089" s="4" t="s">
        <v>4568</v>
      </c>
      <c r="E1089" s="1" t="str">
        <f>_xlfn.XLOOKUP(tblSales[[#This Row],[Customer ID]],tblCustomers[Customer ID],tblCustomers[Customer Name],"⚠ Unknown")</f>
        <v>Walk-in Customer</v>
      </c>
      <c r="F1089" s="4" t="s">
        <v>10</v>
      </c>
      <c r="G1089" s="1" t="str">
        <f>_xlfn.XLOOKUP(tblSales[[#This Row],[Product Code]],tblProducts[Code],tblProducts[Product / Service Name],"⚠ Unknown")</f>
        <v>Chino Pants</v>
      </c>
      <c r="H1089" s="1" t="str">
        <f>_xlfn.XLOOKUP(tblSales[[#This Row],[Product Code]],tblProducts[Code],tblProducts[Category],"")</f>
        <v>Apparel &amp; Footwear</v>
      </c>
      <c r="I1089" s="4">
        <v>2</v>
      </c>
      <c r="J1089" s="5">
        <f>_xlfn.XLOOKUP(tblSales[[#This Row],[Product Code]],tblProducts[Code],tblProducts[Selling Price (excl. VAT)],0)</f>
        <v>150000</v>
      </c>
      <c r="K1089" s="5">
        <f>tblSales[[#This Row],[Qty]]*tblSales[[#This Row],[Unit Price]]</f>
        <v>300000</v>
      </c>
      <c r="L1089" s="5">
        <f>ROUND(tblSales[[#This Row],[DPP (excl. VAT)]]*VATEff,0)</f>
        <v>33000</v>
      </c>
      <c r="M1089" s="5">
        <f>tblSales[[#This Row],[DPP (excl. VAT)]]+tblSales[[#This Row],[Output VAT]]</f>
        <v>333000</v>
      </c>
      <c r="N1089" s="5">
        <f>tblSales[[#This Row],[Qty]]*_xlfn.XLOOKUP(tblSales[[#This Row],[Product Code]],tblProducts[Code],tblProducts[Unit Cost],0)</f>
        <v>176000</v>
      </c>
      <c r="O1089" s="4" t="s">
        <v>4865</v>
      </c>
      <c r="P1089" s="4" t="s">
        <v>4860</v>
      </c>
      <c r="Q1089" s="1" t="str">
        <f>_xlfn.XLOOKUP(tblSales[[#This Row],[Channel Code]],tblChannels[Channel Code],tblChannels[Channel Name],"")</f>
        <v>In-store</v>
      </c>
      <c r="R1089" s="1">
        <f>MONTH(tblSales[[#This Row],[Date]])</f>
        <v>3</v>
      </c>
    </row>
    <row r="1090" spans="2:18" x14ac:dyDescent="0.35">
      <c r="B1090" s="113">
        <v>46091</v>
      </c>
      <c r="C1090" s="4" t="s">
        <v>769</v>
      </c>
      <c r="D1090" s="4" t="s">
        <v>4568</v>
      </c>
      <c r="E1090" s="1" t="str">
        <f>_xlfn.XLOOKUP(tblSales[[#This Row],[Customer ID]],tblCustomers[Customer ID],tblCustomers[Customer Name],"⚠ Unknown")</f>
        <v>Walk-in Customer</v>
      </c>
      <c r="F1090" s="4" t="s">
        <v>10</v>
      </c>
      <c r="G1090" s="1" t="str">
        <f>_xlfn.XLOOKUP(tblSales[[#This Row],[Product Code]],tblProducts[Code],tblProducts[Product / Service Name],"⚠ Unknown")</f>
        <v>Chino Pants</v>
      </c>
      <c r="H1090" s="1" t="str">
        <f>_xlfn.XLOOKUP(tblSales[[#This Row],[Product Code]],tblProducts[Code],tblProducts[Category],"")</f>
        <v>Apparel &amp; Footwear</v>
      </c>
      <c r="I1090" s="4">
        <v>6</v>
      </c>
      <c r="J1090" s="5">
        <f>_xlfn.XLOOKUP(tblSales[[#This Row],[Product Code]],tblProducts[Code],tblProducts[Selling Price (excl. VAT)],0)</f>
        <v>150000</v>
      </c>
      <c r="K1090" s="5">
        <f>tblSales[[#This Row],[Qty]]*tblSales[[#This Row],[Unit Price]]</f>
        <v>900000</v>
      </c>
      <c r="L1090" s="5">
        <f>ROUND(tblSales[[#This Row],[DPP (excl. VAT)]]*VATEff,0)</f>
        <v>99000</v>
      </c>
      <c r="M1090" s="5">
        <f>tblSales[[#This Row],[DPP (excl. VAT)]]+tblSales[[#This Row],[Output VAT]]</f>
        <v>999000</v>
      </c>
      <c r="N1090" s="5">
        <f>tblSales[[#This Row],[Qty]]*_xlfn.XLOOKUP(tblSales[[#This Row],[Product Code]],tblProducts[Code],tblProducts[Unit Cost],0)</f>
        <v>528000</v>
      </c>
      <c r="O1090" s="4" t="s">
        <v>4865</v>
      </c>
      <c r="P1090" s="4" t="s">
        <v>4860</v>
      </c>
      <c r="Q1090" s="1" t="str">
        <f>_xlfn.XLOOKUP(tblSales[[#This Row],[Channel Code]],tblChannels[Channel Code],tblChannels[Channel Name],"")</f>
        <v>In-store</v>
      </c>
      <c r="R1090" s="1">
        <f>MONTH(tblSales[[#This Row],[Date]])</f>
        <v>3</v>
      </c>
    </row>
    <row r="1091" spans="2:18" x14ac:dyDescent="0.35">
      <c r="B1091" s="113">
        <v>46091</v>
      </c>
      <c r="C1091" s="4" t="s">
        <v>769</v>
      </c>
      <c r="D1091" s="4" t="s">
        <v>4568</v>
      </c>
      <c r="E1091" s="1" t="str">
        <f>_xlfn.XLOOKUP(tblSales[[#This Row],[Customer ID]],tblCustomers[Customer ID],tblCustomers[Customer Name],"⚠ Unknown")</f>
        <v>Walk-in Customer</v>
      </c>
      <c r="F1091" s="4" t="s">
        <v>12</v>
      </c>
      <c r="G1091" s="1" t="str">
        <f>_xlfn.XLOOKUP(tblSales[[#This Row],[Product Code]],tblProducts[Code],tblProducts[Product / Service Name],"⚠ Unknown")</f>
        <v>Bomber Jacket</v>
      </c>
      <c r="H1091" s="1" t="str">
        <f>_xlfn.XLOOKUP(tblSales[[#This Row],[Product Code]],tblProducts[Code],tblProducts[Category],"")</f>
        <v>Apparel &amp; Footwear</v>
      </c>
      <c r="I1091" s="4">
        <v>1</v>
      </c>
      <c r="J1091" s="5">
        <f>_xlfn.XLOOKUP(tblSales[[#This Row],[Product Code]],tblProducts[Code],tblProducts[Selling Price (excl. VAT)],0)</f>
        <v>350000</v>
      </c>
      <c r="K1091" s="5">
        <f>tblSales[[#This Row],[Qty]]*tblSales[[#This Row],[Unit Price]]</f>
        <v>350000</v>
      </c>
      <c r="L1091" s="5">
        <f>ROUND(tblSales[[#This Row],[DPP (excl. VAT)]]*VATEff,0)</f>
        <v>38500</v>
      </c>
      <c r="M1091" s="5">
        <f>tblSales[[#This Row],[DPP (excl. VAT)]]+tblSales[[#This Row],[Output VAT]]</f>
        <v>388500</v>
      </c>
      <c r="N1091" s="5">
        <f>tblSales[[#This Row],[Qty]]*_xlfn.XLOOKUP(tblSales[[#This Row],[Product Code]],tblProducts[Code],tblProducts[Unit Cost],0)</f>
        <v>210000</v>
      </c>
      <c r="O1091" s="4" t="s">
        <v>4865</v>
      </c>
      <c r="P1091" s="4" t="s">
        <v>4860</v>
      </c>
      <c r="Q1091" s="1" t="str">
        <f>_xlfn.XLOOKUP(tblSales[[#This Row],[Channel Code]],tblChannels[Channel Code],tblChannels[Channel Name],"")</f>
        <v>In-store</v>
      </c>
      <c r="R1091" s="1">
        <f>MONTH(tblSales[[#This Row],[Date]])</f>
        <v>3</v>
      </c>
    </row>
    <row r="1092" spans="2:18" x14ac:dyDescent="0.35">
      <c r="B1092" s="113">
        <v>46091</v>
      </c>
      <c r="C1092" s="4" t="s">
        <v>770</v>
      </c>
      <c r="D1092" s="4" t="s">
        <v>4568</v>
      </c>
      <c r="E1092" s="1" t="str">
        <f>_xlfn.XLOOKUP(tblSales[[#This Row],[Customer ID]],tblCustomers[Customer ID],tblCustomers[Customer Name],"⚠ Unknown")</f>
        <v>Walk-in Customer</v>
      </c>
      <c r="F1092" s="4" t="s">
        <v>11</v>
      </c>
      <c r="G1092" s="1" t="str">
        <f>_xlfn.XLOOKUP(tblSales[[#This Row],[Product Code]],tblProducts[Code],tblProducts[Product / Service Name],"⚠ Unknown")</f>
        <v>Sneakers</v>
      </c>
      <c r="H1092" s="1" t="str">
        <f>_xlfn.XLOOKUP(tblSales[[#This Row],[Product Code]],tblProducts[Code],tblProducts[Category],"")</f>
        <v>Apparel &amp; Footwear</v>
      </c>
      <c r="I1092" s="4">
        <v>3</v>
      </c>
      <c r="J1092" s="5">
        <f>_xlfn.XLOOKUP(tblSales[[#This Row],[Product Code]],tblProducts[Code],tblProducts[Selling Price (excl. VAT)],0)</f>
        <v>250000</v>
      </c>
      <c r="K1092" s="5">
        <f>tblSales[[#This Row],[Qty]]*tblSales[[#This Row],[Unit Price]]</f>
        <v>750000</v>
      </c>
      <c r="L1092" s="5">
        <f>ROUND(tblSales[[#This Row],[DPP (excl. VAT)]]*VATEff,0)</f>
        <v>82500</v>
      </c>
      <c r="M1092" s="5">
        <f>tblSales[[#This Row],[DPP (excl. VAT)]]+tblSales[[#This Row],[Output VAT]]</f>
        <v>832500</v>
      </c>
      <c r="N1092" s="5">
        <f>tblSales[[#This Row],[Qty]]*_xlfn.XLOOKUP(tblSales[[#This Row],[Product Code]],tblProducts[Code],tblProducts[Unit Cost],0)</f>
        <v>465000</v>
      </c>
      <c r="O1092" s="4" t="s">
        <v>4866</v>
      </c>
      <c r="P1092" s="4" t="s">
        <v>4862</v>
      </c>
      <c r="Q1092" s="1" t="str">
        <f>_xlfn.XLOOKUP(tblSales[[#This Row],[Channel Code]],tblChannels[Channel Code],tblChannels[Channel Name],"")</f>
        <v>Website &amp; Social Media</v>
      </c>
      <c r="R1092" s="1">
        <f>MONTH(tblSales[[#This Row],[Date]])</f>
        <v>3</v>
      </c>
    </row>
    <row r="1093" spans="2:18" x14ac:dyDescent="0.35">
      <c r="B1093" s="113">
        <v>46091</v>
      </c>
      <c r="C1093" s="4" t="s">
        <v>771</v>
      </c>
      <c r="D1093" s="4" t="s">
        <v>4568</v>
      </c>
      <c r="E1093" s="1" t="str">
        <f>_xlfn.XLOOKUP(tblSales[[#This Row],[Customer ID]],tblCustomers[Customer ID],tblCustomers[Customer Name],"⚠ Unknown")</f>
        <v>Walk-in Customer</v>
      </c>
      <c r="F1093" s="4" t="s">
        <v>9</v>
      </c>
      <c r="G1093" s="1" t="str">
        <f>_xlfn.XLOOKUP(tblSales[[#This Row],[Product Code]],tblProducts[Code],tblProducts[Product / Service Name],"⚠ Unknown")</f>
        <v>Casual Shirt</v>
      </c>
      <c r="H1093" s="1" t="str">
        <f>_xlfn.XLOOKUP(tblSales[[#This Row],[Product Code]],tblProducts[Code],tblProducts[Category],"")</f>
        <v>Apparel &amp; Footwear</v>
      </c>
      <c r="I1093" s="4">
        <v>6</v>
      </c>
      <c r="J1093" s="5">
        <f>_xlfn.XLOOKUP(tblSales[[#This Row],[Product Code]],tblProducts[Code],tblProducts[Selling Price (excl. VAT)],0)</f>
        <v>120000</v>
      </c>
      <c r="K1093" s="5">
        <f>tblSales[[#This Row],[Qty]]*tblSales[[#This Row],[Unit Price]]</f>
        <v>720000</v>
      </c>
      <c r="L1093" s="5">
        <f>ROUND(tblSales[[#This Row],[DPP (excl. VAT)]]*VATEff,0)</f>
        <v>79200</v>
      </c>
      <c r="M1093" s="5">
        <f>tblSales[[#This Row],[DPP (excl. VAT)]]+tblSales[[#This Row],[Output VAT]]</f>
        <v>799200</v>
      </c>
      <c r="N1093" s="5">
        <f>tblSales[[#This Row],[Qty]]*_xlfn.XLOOKUP(tblSales[[#This Row],[Product Code]],tblProducts[Code],tblProducts[Unit Cost],0)</f>
        <v>432000</v>
      </c>
      <c r="O1093" s="4" t="s">
        <v>4866</v>
      </c>
      <c r="P1093" s="4" t="s">
        <v>4862</v>
      </c>
      <c r="Q1093" s="1" t="str">
        <f>_xlfn.XLOOKUP(tblSales[[#This Row],[Channel Code]],tblChannels[Channel Code],tblChannels[Channel Name],"")</f>
        <v>Website &amp; Social Media</v>
      </c>
      <c r="R1093" s="1">
        <f>MONTH(tblSales[[#This Row],[Date]])</f>
        <v>3</v>
      </c>
    </row>
    <row r="1094" spans="2:18" x14ac:dyDescent="0.35">
      <c r="B1094" s="113">
        <v>46091</v>
      </c>
      <c r="C1094" s="4" t="s">
        <v>771</v>
      </c>
      <c r="D1094" s="4" t="s">
        <v>4568</v>
      </c>
      <c r="E1094" s="1" t="str">
        <f>_xlfn.XLOOKUP(tblSales[[#This Row],[Customer ID]],tblCustomers[Customer ID],tblCustomers[Customer Name],"⚠ Unknown")</f>
        <v>Walk-in Customer</v>
      </c>
      <c r="F1094" s="4" t="s">
        <v>7</v>
      </c>
      <c r="G1094" s="1" t="str">
        <f>_xlfn.XLOOKUP(tblSales[[#This Row],[Product Code]],tblProducts[Code],tblProducts[Product / Service Name],"⚠ Unknown")</f>
        <v>Premium Basic T-shirt</v>
      </c>
      <c r="H1094" s="1" t="str">
        <f>_xlfn.XLOOKUP(tblSales[[#This Row],[Product Code]],tblProducts[Code],tblProducts[Category],"")</f>
        <v>Accessories &amp; Basics</v>
      </c>
      <c r="I1094" s="4">
        <v>7</v>
      </c>
      <c r="J1094" s="5">
        <f>_xlfn.XLOOKUP(tblSales[[#This Row],[Product Code]],tblProducts[Code],tblProducts[Selling Price (excl. VAT)],0)</f>
        <v>65000</v>
      </c>
      <c r="K1094" s="5">
        <f>tblSales[[#This Row],[Qty]]*tblSales[[#This Row],[Unit Price]]</f>
        <v>455000</v>
      </c>
      <c r="L1094" s="5">
        <f>ROUND(tblSales[[#This Row],[DPP (excl. VAT)]]*VATEff,0)</f>
        <v>50050</v>
      </c>
      <c r="M1094" s="5">
        <f>tblSales[[#This Row],[DPP (excl. VAT)]]+tblSales[[#This Row],[Output VAT]]</f>
        <v>505050</v>
      </c>
      <c r="N1094" s="5">
        <f>tblSales[[#This Row],[Qty]]*_xlfn.XLOOKUP(tblSales[[#This Row],[Product Code]],tblProducts[Code],tblProducts[Unit Cost],0)</f>
        <v>259000</v>
      </c>
      <c r="O1094" s="4" t="s">
        <v>4866</v>
      </c>
      <c r="P1094" s="4" t="s">
        <v>4862</v>
      </c>
      <c r="Q1094" s="1" t="str">
        <f>_xlfn.XLOOKUP(tblSales[[#This Row],[Channel Code]],tblChannels[Channel Code],tblChannels[Channel Name],"")</f>
        <v>Website &amp; Social Media</v>
      </c>
      <c r="R1094" s="1">
        <f>MONTH(tblSales[[#This Row],[Date]])</f>
        <v>3</v>
      </c>
    </row>
    <row r="1095" spans="2:18" x14ac:dyDescent="0.35">
      <c r="B1095" s="113">
        <v>46091</v>
      </c>
      <c r="C1095" s="4" t="s">
        <v>771</v>
      </c>
      <c r="D1095" s="4" t="s">
        <v>4568</v>
      </c>
      <c r="E1095" s="1" t="str">
        <f>_xlfn.XLOOKUP(tblSales[[#This Row],[Customer ID]],tblCustomers[Customer ID],tblCustomers[Customer Name],"⚠ Unknown")</f>
        <v>Walk-in Customer</v>
      </c>
      <c r="F1095" s="4" t="s">
        <v>13</v>
      </c>
      <c r="G1095" s="1" t="str">
        <f>_xlfn.XLOOKUP(tblSales[[#This Row],[Product Code]],tblProducts[Code],tblProducts[Product / Service Name],"⚠ Unknown")</f>
        <v>Backpack</v>
      </c>
      <c r="H1095" s="1" t="str">
        <f>_xlfn.XLOOKUP(tblSales[[#This Row],[Product Code]],tblProducts[Code],tblProducts[Category],"")</f>
        <v>Bags &amp; Gadgets</v>
      </c>
      <c r="I1095" s="4">
        <v>1</v>
      </c>
      <c r="J1095" s="5">
        <f>_xlfn.XLOOKUP(tblSales[[#This Row],[Product Code]],tblProducts[Code],tblProducts[Selling Price (excl. VAT)],0)</f>
        <v>500000</v>
      </c>
      <c r="K1095" s="5">
        <f>tblSales[[#This Row],[Qty]]*tblSales[[#This Row],[Unit Price]]</f>
        <v>500000</v>
      </c>
      <c r="L1095" s="5">
        <f>ROUND(tblSales[[#This Row],[DPP (excl. VAT)]]*VATEff,0)</f>
        <v>55000</v>
      </c>
      <c r="M1095" s="5">
        <f>tblSales[[#This Row],[DPP (excl. VAT)]]+tblSales[[#This Row],[Output VAT]]</f>
        <v>555000</v>
      </c>
      <c r="N1095" s="5">
        <f>tblSales[[#This Row],[Qty]]*_xlfn.XLOOKUP(tblSales[[#This Row],[Product Code]],tblProducts[Code],tblProducts[Unit Cost],0)</f>
        <v>290000</v>
      </c>
      <c r="O1095" s="4" t="s">
        <v>4866</v>
      </c>
      <c r="P1095" s="4" t="s">
        <v>4862</v>
      </c>
      <c r="Q1095" s="1" t="str">
        <f>_xlfn.XLOOKUP(tblSales[[#This Row],[Channel Code]],tblChannels[Channel Code],tblChannels[Channel Name],"")</f>
        <v>Website &amp; Social Media</v>
      </c>
      <c r="R1095" s="1">
        <f>MONTH(tblSales[[#This Row],[Date]])</f>
        <v>3</v>
      </c>
    </row>
    <row r="1096" spans="2:18" x14ac:dyDescent="0.35">
      <c r="B1096" s="113">
        <v>46092</v>
      </c>
      <c r="C1096" s="4" t="s">
        <v>772</v>
      </c>
      <c r="D1096" s="4" t="s">
        <v>4599</v>
      </c>
      <c r="E1096" s="1" t="str">
        <f>_xlfn.XLOOKUP(tblSales[[#This Row],[Customer ID]],tblCustomers[Customer ID],tblCustomers[Customer Name],"⚠ Unknown")</f>
        <v>PT Samudra Jaya Logistik</v>
      </c>
      <c r="F1096" s="4" t="s">
        <v>11</v>
      </c>
      <c r="G1096" s="1" t="str">
        <f>_xlfn.XLOOKUP(tblSales[[#This Row],[Product Code]],tblProducts[Code],tblProducts[Product / Service Name],"⚠ Unknown")</f>
        <v>Sneakers</v>
      </c>
      <c r="H1096" s="1" t="str">
        <f>_xlfn.XLOOKUP(tblSales[[#This Row],[Product Code]],tblProducts[Code],tblProducts[Category],"")</f>
        <v>Apparel &amp; Footwear</v>
      </c>
      <c r="I1096" s="4">
        <v>40</v>
      </c>
      <c r="J1096" s="5">
        <f>_xlfn.XLOOKUP(tblSales[[#This Row],[Product Code]],tblProducts[Code],tblProducts[Selling Price (excl. VAT)],0)</f>
        <v>250000</v>
      </c>
      <c r="K1096" s="5">
        <f>tblSales[[#This Row],[Qty]]*tblSales[[#This Row],[Unit Price]]</f>
        <v>10000000</v>
      </c>
      <c r="L1096" s="5">
        <f>ROUND(tblSales[[#This Row],[DPP (excl. VAT)]]*VATEff,0)</f>
        <v>1100000</v>
      </c>
      <c r="M1096" s="5">
        <f>tblSales[[#This Row],[DPP (excl. VAT)]]+tblSales[[#This Row],[Output VAT]]</f>
        <v>11100000</v>
      </c>
      <c r="N1096" s="5">
        <f>tblSales[[#This Row],[Qty]]*_xlfn.XLOOKUP(tblSales[[#This Row],[Product Code]],tblProducts[Code],tblProducts[Unit Cost],0)</f>
        <v>6200000</v>
      </c>
      <c r="O1096" s="4" t="s">
        <v>4867</v>
      </c>
      <c r="P1096" s="4" t="s">
        <v>4860</v>
      </c>
      <c r="Q1096" s="1" t="str">
        <f>_xlfn.XLOOKUP(tblSales[[#This Row],[Channel Code]],tblChannels[Channel Code],tblChannels[Channel Name],"")</f>
        <v>In-store</v>
      </c>
      <c r="R1096" s="1">
        <f>MONTH(tblSales[[#This Row],[Date]])</f>
        <v>3</v>
      </c>
    </row>
    <row r="1097" spans="2:18" x14ac:dyDescent="0.35">
      <c r="B1097" s="113">
        <v>46092</v>
      </c>
      <c r="C1097" s="4" t="s">
        <v>773</v>
      </c>
      <c r="D1097" s="4" t="s">
        <v>4568</v>
      </c>
      <c r="E1097" s="1" t="str">
        <f>_xlfn.XLOOKUP(tblSales[[#This Row],[Customer ID]],tblCustomers[Customer ID],tblCustomers[Customer Name],"⚠ Unknown")</f>
        <v>Walk-in Customer</v>
      </c>
      <c r="F1097" s="4" t="s">
        <v>11</v>
      </c>
      <c r="G1097" s="1" t="str">
        <f>_xlfn.XLOOKUP(tblSales[[#This Row],[Product Code]],tblProducts[Code],tblProducts[Product / Service Name],"⚠ Unknown")</f>
        <v>Sneakers</v>
      </c>
      <c r="H1097" s="1" t="str">
        <f>_xlfn.XLOOKUP(tblSales[[#This Row],[Product Code]],tblProducts[Code],tblProducts[Category],"")</f>
        <v>Apparel &amp; Footwear</v>
      </c>
      <c r="I1097" s="4">
        <v>6</v>
      </c>
      <c r="J1097" s="5">
        <f>_xlfn.XLOOKUP(tblSales[[#This Row],[Product Code]],tblProducts[Code],tblProducts[Selling Price (excl. VAT)],0)</f>
        <v>250000</v>
      </c>
      <c r="K1097" s="5">
        <f>tblSales[[#This Row],[Qty]]*tblSales[[#This Row],[Unit Price]]</f>
        <v>1500000</v>
      </c>
      <c r="L1097" s="5">
        <f>ROUND(tblSales[[#This Row],[DPP (excl. VAT)]]*VATEff,0)</f>
        <v>165000</v>
      </c>
      <c r="M1097" s="5">
        <f>tblSales[[#This Row],[DPP (excl. VAT)]]+tblSales[[#This Row],[Output VAT]]</f>
        <v>1665000</v>
      </c>
      <c r="N1097" s="5">
        <f>tblSales[[#This Row],[Qty]]*_xlfn.XLOOKUP(tblSales[[#This Row],[Product Code]],tblProducts[Code],tblProducts[Unit Cost],0)</f>
        <v>930000</v>
      </c>
      <c r="O1097" s="4" t="s">
        <v>4865</v>
      </c>
      <c r="P1097" s="4" t="s">
        <v>4860</v>
      </c>
      <c r="Q1097" s="1" t="str">
        <f>_xlfn.XLOOKUP(tblSales[[#This Row],[Channel Code]],tblChannels[Channel Code],tblChannels[Channel Name],"")</f>
        <v>In-store</v>
      </c>
      <c r="R1097" s="1">
        <f>MONTH(tblSales[[#This Row],[Date]])</f>
        <v>3</v>
      </c>
    </row>
    <row r="1098" spans="2:18" x14ac:dyDescent="0.35">
      <c r="B1098" s="113">
        <v>46092</v>
      </c>
      <c r="C1098" s="4" t="s">
        <v>773</v>
      </c>
      <c r="D1098" s="4" t="s">
        <v>4568</v>
      </c>
      <c r="E1098" s="1" t="str">
        <f>_xlfn.XLOOKUP(tblSales[[#This Row],[Customer ID]],tblCustomers[Customer ID],tblCustomers[Customer Name],"⚠ Unknown")</f>
        <v>Walk-in Customer</v>
      </c>
      <c r="F1098" s="4" t="s">
        <v>7</v>
      </c>
      <c r="G1098" s="1" t="str">
        <f>_xlfn.XLOOKUP(tblSales[[#This Row],[Product Code]],tblProducts[Code],tblProducts[Product / Service Name],"⚠ Unknown")</f>
        <v>Premium Basic T-shirt</v>
      </c>
      <c r="H1098" s="1" t="str">
        <f>_xlfn.XLOOKUP(tblSales[[#This Row],[Product Code]],tblProducts[Code],tblProducts[Category],"")</f>
        <v>Accessories &amp; Basics</v>
      </c>
      <c r="I1098" s="4">
        <v>5</v>
      </c>
      <c r="J1098" s="5">
        <f>_xlfn.XLOOKUP(tblSales[[#This Row],[Product Code]],tblProducts[Code],tblProducts[Selling Price (excl. VAT)],0)</f>
        <v>65000</v>
      </c>
      <c r="K1098" s="5">
        <f>tblSales[[#This Row],[Qty]]*tblSales[[#This Row],[Unit Price]]</f>
        <v>325000</v>
      </c>
      <c r="L1098" s="5">
        <f>ROUND(tblSales[[#This Row],[DPP (excl. VAT)]]*VATEff,0)</f>
        <v>35750</v>
      </c>
      <c r="M1098" s="5">
        <f>tblSales[[#This Row],[DPP (excl. VAT)]]+tblSales[[#This Row],[Output VAT]]</f>
        <v>360750</v>
      </c>
      <c r="N1098" s="5">
        <f>tblSales[[#This Row],[Qty]]*_xlfn.XLOOKUP(tblSales[[#This Row],[Product Code]],tblProducts[Code],tblProducts[Unit Cost],0)</f>
        <v>185000</v>
      </c>
      <c r="O1098" s="4" t="s">
        <v>4865</v>
      </c>
      <c r="P1098" s="4" t="s">
        <v>4860</v>
      </c>
      <c r="Q1098" s="1" t="str">
        <f>_xlfn.XLOOKUP(tblSales[[#This Row],[Channel Code]],tblChannels[Channel Code],tblChannels[Channel Name],"")</f>
        <v>In-store</v>
      </c>
      <c r="R1098" s="1">
        <f>MONTH(tblSales[[#This Row],[Date]])</f>
        <v>3</v>
      </c>
    </row>
    <row r="1099" spans="2:18" x14ac:dyDescent="0.35">
      <c r="B1099" s="113">
        <v>46092</v>
      </c>
      <c r="C1099" s="4" t="s">
        <v>774</v>
      </c>
      <c r="D1099" s="4" t="s">
        <v>4568</v>
      </c>
      <c r="E1099" s="1" t="str">
        <f>_xlfn.XLOOKUP(tblSales[[#This Row],[Customer ID]],tblCustomers[Customer ID],tblCustomers[Customer Name],"⚠ Unknown")</f>
        <v>Walk-in Customer</v>
      </c>
      <c r="F1099" s="4" t="s">
        <v>9</v>
      </c>
      <c r="G1099" s="1" t="str">
        <f>_xlfn.XLOOKUP(tblSales[[#This Row],[Product Code]],tblProducts[Code],tblProducts[Product / Service Name],"⚠ Unknown")</f>
        <v>Casual Shirt</v>
      </c>
      <c r="H1099" s="1" t="str">
        <f>_xlfn.XLOOKUP(tblSales[[#This Row],[Product Code]],tblProducts[Code],tblProducts[Category],"")</f>
        <v>Apparel &amp; Footwear</v>
      </c>
      <c r="I1099" s="4">
        <v>11</v>
      </c>
      <c r="J1099" s="5">
        <f>_xlfn.XLOOKUP(tblSales[[#This Row],[Product Code]],tblProducts[Code],tblProducts[Selling Price (excl. VAT)],0)</f>
        <v>120000</v>
      </c>
      <c r="K1099" s="5">
        <f>tblSales[[#This Row],[Qty]]*tblSales[[#This Row],[Unit Price]]</f>
        <v>1320000</v>
      </c>
      <c r="L1099" s="5">
        <f>ROUND(tblSales[[#This Row],[DPP (excl. VAT)]]*VATEff,0)</f>
        <v>145200</v>
      </c>
      <c r="M1099" s="5">
        <f>tblSales[[#This Row],[DPP (excl. VAT)]]+tblSales[[#This Row],[Output VAT]]</f>
        <v>1465200</v>
      </c>
      <c r="N1099" s="5">
        <f>tblSales[[#This Row],[Qty]]*_xlfn.XLOOKUP(tblSales[[#This Row],[Product Code]],tblProducts[Code],tblProducts[Unit Cost],0)</f>
        <v>792000</v>
      </c>
      <c r="O1099" s="4" t="s">
        <v>4865</v>
      </c>
      <c r="P1099" s="4" t="s">
        <v>4860</v>
      </c>
      <c r="Q1099" s="1" t="str">
        <f>_xlfn.XLOOKUP(tblSales[[#This Row],[Channel Code]],tblChannels[Channel Code],tblChannels[Channel Name],"")</f>
        <v>In-store</v>
      </c>
      <c r="R1099" s="1">
        <f>MONTH(tblSales[[#This Row],[Date]])</f>
        <v>3</v>
      </c>
    </row>
    <row r="1100" spans="2:18" x14ac:dyDescent="0.35">
      <c r="B1100" s="113">
        <v>46092</v>
      </c>
      <c r="C1100" s="4" t="s">
        <v>775</v>
      </c>
      <c r="D1100" s="4" t="s">
        <v>4568</v>
      </c>
      <c r="E1100" s="1" t="str">
        <f>_xlfn.XLOOKUP(tblSales[[#This Row],[Customer ID]],tblCustomers[Customer ID],tblCustomers[Customer Name],"⚠ Unknown")</f>
        <v>Walk-in Customer</v>
      </c>
      <c r="F1100" s="4" t="s">
        <v>8</v>
      </c>
      <c r="G1100" s="1" t="str">
        <f>_xlfn.XLOOKUP(tblSales[[#This Row],[Product Code]],tblProducts[Code],tblProducts[Product / Service Name],"⚠ Unknown")</f>
        <v>Casual Shorts</v>
      </c>
      <c r="H1100" s="1" t="str">
        <f>_xlfn.XLOOKUP(tblSales[[#This Row],[Product Code]],tblProducts[Code],tblProducts[Category],"")</f>
        <v>Accessories &amp; Basics</v>
      </c>
      <c r="I1100" s="4">
        <v>7</v>
      </c>
      <c r="J1100" s="5">
        <f>_xlfn.XLOOKUP(tblSales[[#This Row],[Product Code]],tblProducts[Code],tblProducts[Selling Price (excl. VAT)],0)</f>
        <v>85000</v>
      </c>
      <c r="K1100" s="5">
        <f>tblSales[[#This Row],[Qty]]*tblSales[[#This Row],[Unit Price]]</f>
        <v>595000</v>
      </c>
      <c r="L1100" s="5">
        <f>ROUND(tblSales[[#This Row],[DPP (excl. VAT)]]*VATEff,0)</f>
        <v>65450</v>
      </c>
      <c r="M1100" s="5">
        <f>tblSales[[#This Row],[DPP (excl. VAT)]]+tblSales[[#This Row],[Output VAT]]</f>
        <v>660450</v>
      </c>
      <c r="N1100" s="5">
        <f>tblSales[[#This Row],[Qty]]*_xlfn.XLOOKUP(tblSales[[#This Row],[Product Code]],tblProducts[Code],tblProducts[Unit Cost],0)</f>
        <v>350000</v>
      </c>
      <c r="O1100" s="4" t="s">
        <v>4865</v>
      </c>
      <c r="P1100" s="4" t="s">
        <v>4860</v>
      </c>
      <c r="Q1100" s="1" t="str">
        <f>_xlfn.XLOOKUP(tblSales[[#This Row],[Channel Code]],tblChannels[Channel Code],tblChannels[Channel Name],"")</f>
        <v>In-store</v>
      </c>
      <c r="R1100" s="1">
        <f>MONTH(tblSales[[#This Row],[Date]])</f>
        <v>3</v>
      </c>
    </row>
    <row r="1101" spans="2:18" x14ac:dyDescent="0.35">
      <c r="B1101" s="113">
        <v>46092</v>
      </c>
      <c r="C1101" s="4" t="s">
        <v>776</v>
      </c>
      <c r="D1101" s="4" t="s">
        <v>4634</v>
      </c>
      <c r="E1101" s="1" t="str">
        <f>_xlfn.XLOOKUP(tblSales[[#This Row],[Customer ID]],tblCustomers[Customer ID],tblCustomers[Customer Name],"⚠ Unknown")</f>
        <v>PT Delta Inti Selaras</v>
      </c>
      <c r="F1101" s="4" t="s">
        <v>10</v>
      </c>
      <c r="G1101" s="1" t="str">
        <f>_xlfn.XLOOKUP(tblSales[[#This Row],[Product Code]],tblProducts[Code],tblProducts[Product / Service Name],"⚠ Unknown")</f>
        <v>Chino Pants</v>
      </c>
      <c r="H1101" s="1" t="str">
        <f>_xlfn.XLOOKUP(tblSales[[#This Row],[Product Code]],tblProducts[Code],tblProducts[Category],"")</f>
        <v>Apparel &amp; Footwear</v>
      </c>
      <c r="I1101" s="4">
        <v>24</v>
      </c>
      <c r="J1101" s="5">
        <f>_xlfn.XLOOKUP(tblSales[[#This Row],[Product Code]],tblProducts[Code],tblProducts[Selling Price (excl. VAT)],0)</f>
        <v>150000</v>
      </c>
      <c r="K1101" s="5">
        <f>tblSales[[#This Row],[Qty]]*tblSales[[#This Row],[Unit Price]]</f>
        <v>3600000</v>
      </c>
      <c r="L1101" s="5">
        <f>ROUND(tblSales[[#This Row],[DPP (excl. VAT)]]*VATEff,0)</f>
        <v>396000</v>
      </c>
      <c r="M1101" s="5">
        <f>tblSales[[#This Row],[DPP (excl. VAT)]]+tblSales[[#This Row],[Output VAT]]</f>
        <v>3996000</v>
      </c>
      <c r="N1101" s="5">
        <f>tblSales[[#This Row],[Qty]]*_xlfn.XLOOKUP(tblSales[[#This Row],[Product Code]],tblProducts[Code],tblProducts[Unit Cost],0)</f>
        <v>2112000</v>
      </c>
      <c r="O1101" s="4" t="s">
        <v>4867</v>
      </c>
      <c r="P1101" s="4" t="s">
        <v>4860</v>
      </c>
      <c r="Q1101" s="1" t="str">
        <f>_xlfn.XLOOKUP(tblSales[[#This Row],[Channel Code]],tblChannels[Channel Code],tblChannels[Channel Name],"")</f>
        <v>In-store</v>
      </c>
      <c r="R1101" s="1">
        <f>MONTH(tblSales[[#This Row],[Date]])</f>
        <v>3</v>
      </c>
    </row>
    <row r="1102" spans="2:18" x14ac:dyDescent="0.35">
      <c r="B1102" s="113">
        <v>46092</v>
      </c>
      <c r="C1102" s="4" t="s">
        <v>777</v>
      </c>
      <c r="D1102" s="4" t="s">
        <v>4568</v>
      </c>
      <c r="E1102" s="1" t="str">
        <f>_xlfn.XLOOKUP(tblSales[[#This Row],[Customer ID]],tblCustomers[Customer ID],tblCustomers[Customer Name],"⚠ Unknown")</f>
        <v>Walk-in Customer</v>
      </c>
      <c r="F1102" s="4" t="s">
        <v>6</v>
      </c>
      <c r="G1102" s="1" t="str">
        <f>_xlfn.XLOOKUP(tblSales[[#This Row],[Product Code]],tblProducts[Code],tblProducts[Product / Service Name],"⚠ Unknown")</f>
        <v>Socks &amp; Accessories</v>
      </c>
      <c r="H1102" s="1" t="str">
        <f>_xlfn.XLOOKUP(tblSales[[#This Row],[Product Code]],tblProducts[Code],tblProducts[Category],"")</f>
        <v>Accessories &amp; Basics</v>
      </c>
      <c r="I1102" s="4">
        <v>11</v>
      </c>
      <c r="J1102" s="5">
        <f>_xlfn.XLOOKUP(tblSales[[#This Row],[Product Code]],tblProducts[Code],tblProducts[Selling Price (excl. VAT)],0)</f>
        <v>45000</v>
      </c>
      <c r="K1102" s="5">
        <f>tblSales[[#This Row],[Qty]]*tblSales[[#This Row],[Unit Price]]</f>
        <v>495000</v>
      </c>
      <c r="L1102" s="5">
        <f>ROUND(tblSales[[#This Row],[DPP (excl. VAT)]]*VATEff,0)</f>
        <v>54450</v>
      </c>
      <c r="M1102" s="5">
        <f>tblSales[[#This Row],[DPP (excl. VAT)]]+tblSales[[#This Row],[Output VAT]]</f>
        <v>549450</v>
      </c>
      <c r="N1102" s="5">
        <f>tblSales[[#This Row],[Qty]]*_xlfn.XLOOKUP(tblSales[[#This Row],[Product Code]],tblProducts[Code],tblProducts[Unit Cost],0)</f>
        <v>264000</v>
      </c>
      <c r="O1102" s="4" t="s">
        <v>4866</v>
      </c>
      <c r="P1102" s="4" t="s">
        <v>4861</v>
      </c>
      <c r="Q1102" s="1" t="str">
        <f>_xlfn.XLOOKUP(tblSales[[#This Row],[Channel Code]],tblChannels[Channel Code],tblChannels[Channel Name],"")</f>
        <v>Marketplace</v>
      </c>
      <c r="R1102" s="1">
        <f>MONTH(tblSales[[#This Row],[Date]])</f>
        <v>3</v>
      </c>
    </row>
    <row r="1103" spans="2:18" x14ac:dyDescent="0.35">
      <c r="B1103" s="113">
        <v>46092</v>
      </c>
      <c r="C1103" s="4" t="s">
        <v>778</v>
      </c>
      <c r="D1103" s="4" t="s">
        <v>4634</v>
      </c>
      <c r="E1103" s="1" t="str">
        <f>_xlfn.XLOOKUP(tblSales[[#This Row],[Customer ID]],tblCustomers[Customer ID],tblCustomers[Customer Name],"⚠ Unknown")</f>
        <v>PT Delta Inti Selaras</v>
      </c>
      <c r="F1103" s="4" t="s">
        <v>10</v>
      </c>
      <c r="G1103" s="1" t="str">
        <f>_xlfn.XLOOKUP(tblSales[[#This Row],[Product Code]],tblProducts[Code],tblProducts[Product / Service Name],"⚠ Unknown")</f>
        <v>Chino Pants</v>
      </c>
      <c r="H1103" s="1" t="str">
        <f>_xlfn.XLOOKUP(tblSales[[#This Row],[Product Code]],tblProducts[Code],tblProducts[Category],"")</f>
        <v>Apparel &amp; Footwear</v>
      </c>
      <c r="I1103" s="4">
        <v>88</v>
      </c>
      <c r="J1103" s="5">
        <f>_xlfn.XLOOKUP(tblSales[[#This Row],[Product Code]],tblProducts[Code],tblProducts[Selling Price (excl. VAT)],0)</f>
        <v>150000</v>
      </c>
      <c r="K1103" s="5">
        <f>tblSales[[#This Row],[Qty]]*tblSales[[#This Row],[Unit Price]]</f>
        <v>13200000</v>
      </c>
      <c r="L1103" s="5">
        <f>ROUND(tblSales[[#This Row],[DPP (excl. VAT)]]*VATEff,0)</f>
        <v>1452000</v>
      </c>
      <c r="M1103" s="5">
        <f>tblSales[[#This Row],[DPP (excl. VAT)]]+tblSales[[#This Row],[Output VAT]]</f>
        <v>14652000</v>
      </c>
      <c r="N1103" s="5">
        <f>tblSales[[#This Row],[Qty]]*_xlfn.XLOOKUP(tblSales[[#This Row],[Product Code]],tblProducts[Code],tblProducts[Unit Cost],0)</f>
        <v>7744000</v>
      </c>
      <c r="O1103" s="4" t="s">
        <v>4867</v>
      </c>
      <c r="P1103" s="4" t="s">
        <v>4860</v>
      </c>
      <c r="Q1103" s="1" t="str">
        <f>_xlfn.XLOOKUP(tblSales[[#This Row],[Channel Code]],tblChannels[Channel Code],tblChannels[Channel Name],"")</f>
        <v>In-store</v>
      </c>
      <c r="R1103" s="1">
        <f>MONTH(tblSales[[#This Row],[Date]])</f>
        <v>3</v>
      </c>
    </row>
    <row r="1104" spans="2:18" x14ac:dyDescent="0.35">
      <c r="B1104" s="113">
        <v>46092</v>
      </c>
      <c r="C1104" s="4" t="s">
        <v>779</v>
      </c>
      <c r="D1104" s="4" t="s">
        <v>4568</v>
      </c>
      <c r="E1104" s="1" t="str">
        <f>_xlfn.XLOOKUP(tblSales[[#This Row],[Customer ID]],tblCustomers[Customer ID],tblCustomers[Customer Name],"⚠ Unknown")</f>
        <v>Walk-in Customer</v>
      </c>
      <c r="F1104" s="4" t="s">
        <v>7</v>
      </c>
      <c r="G1104" s="1" t="str">
        <f>_xlfn.XLOOKUP(tblSales[[#This Row],[Product Code]],tblProducts[Code],tblProducts[Product / Service Name],"⚠ Unknown")</f>
        <v>Premium Basic T-shirt</v>
      </c>
      <c r="H1104" s="1" t="str">
        <f>_xlfn.XLOOKUP(tblSales[[#This Row],[Product Code]],tblProducts[Code],tblProducts[Category],"")</f>
        <v>Accessories &amp; Basics</v>
      </c>
      <c r="I1104" s="4">
        <v>2</v>
      </c>
      <c r="J1104" s="5">
        <f>_xlfn.XLOOKUP(tblSales[[#This Row],[Product Code]],tblProducts[Code],tblProducts[Selling Price (excl. VAT)],0)</f>
        <v>65000</v>
      </c>
      <c r="K1104" s="5">
        <f>tblSales[[#This Row],[Qty]]*tblSales[[#This Row],[Unit Price]]</f>
        <v>130000</v>
      </c>
      <c r="L1104" s="5">
        <f>ROUND(tblSales[[#This Row],[DPP (excl. VAT)]]*VATEff,0)</f>
        <v>14300</v>
      </c>
      <c r="M1104" s="5">
        <f>tblSales[[#This Row],[DPP (excl. VAT)]]+tblSales[[#This Row],[Output VAT]]</f>
        <v>144300</v>
      </c>
      <c r="N1104" s="5">
        <f>tblSales[[#This Row],[Qty]]*_xlfn.XLOOKUP(tblSales[[#This Row],[Product Code]],tblProducts[Code],tblProducts[Unit Cost],0)</f>
        <v>74000</v>
      </c>
      <c r="O1104" s="4" t="s">
        <v>4865</v>
      </c>
      <c r="P1104" s="4" t="s">
        <v>4860</v>
      </c>
      <c r="Q1104" s="1" t="str">
        <f>_xlfn.XLOOKUP(tblSales[[#This Row],[Channel Code]],tblChannels[Channel Code],tblChannels[Channel Name],"")</f>
        <v>In-store</v>
      </c>
      <c r="R1104" s="1">
        <f>MONTH(tblSales[[#This Row],[Date]])</f>
        <v>3</v>
      </c>
    </row>
    <row r="1105" spans="2:18" x14ac:dyDescent="0.35">
      <c r="B1105" s="113">
        <v>46092</v>
      </c>
      <c r="C1105" s="4" t="s">
        <v>779</v>
      </c>
      <c r="D1105" s="4" t="s">
        <v>4568</v>
      </c>
      <c r="E1105" s="1" t="str">
        <f>_xlfn.XLOOKUP(tblSales[[#This Row],[Customer ID]],tblCustomers[Customer ID],tblCustomers[Customer Name],"⚠ Unknown")</f>
        <v>Walk-in Customer</v>
      </c>
      <c r="F1105" s="4" t="s">
        <v>13</v>
      </c>
      <c r="G1105" s="1" t="str">
        <f>_xlfn.XLOOKUP(tblSales[[#This Row],[Product Code]],tblProducts[Code],tblProducts[Product / Service Name],"⚠ Unknown")</f>
        <v>Backpack</v>
      </c>
      <c r="H1105" s="1" t="str">
        <f>_xlfn.XLOOKUP(tblSales[[#This Row],[Product Code]],tblProducts[Code],tblProducts[Category],"")</f>
        <v>Bags &amp; Gadgets</v>
      </c>
      <c r="I1105" s="4">
        <v>1</v>
      </c>
      <c r="J1105" s="5">
        <f>_xlfn.XLOOKUP(tblSales[[#This Row],[Product Code]],tblProducts[Code],tblProducts[Selling Price (excl. VAT)],0)</f>
        <v>500000</v>
      </c>
      <c r="K1105" s="5">
        <f>tblSales[[#This Row],[Qty]]*tblSales[[#This Row],[Unit Price]]</f>
        <v>500000</v>
      </c>
      <c r="L1105" s="5">
        <f>ROUND(tblSales[[#This Row],[DPP (excl. VAT)]]*VATEff,0)</f>
        <v>55000</v>
      </c>
      <c r="M1105" s="5">
        <f>tblSales[[#This Row],[DPP (excl. VAT)]]+tblSales[[#This Row],[Output VAT]]</f>
        <v>555000</v>
      </c>
      <c r="N1105" s="5">
        <f>tblSales[[#This Row],[Qty]]*_xlfn.XLOOKUP(tblSales[[#This Row],[Product Code]],tblProducts[Code],tblProducts[Unit Cost],0)</f>
        <v>290000</v>
      </c>
      <c r="O1105" s="4" t="s">
        <v>4865</v>
      </c>
      <c r="P1105" s="4" t="s">
        <v>4860</v>
      </c>
      <c r="Q1105" s="1" t="str">
        <f>_xlfn.XLOOKUP(tblSales[[#This Row],[Channel Code]],tblChannels[Channel Code],tblChannels[Channel Name],"")</f>
        <v>In-store</v>
      </c>
      <c r="R1105" s="1">
        <f>MONTH(tblSales[[#This Row],[Date]])</f>
        <v>3</v>
      </c>
    </row>
    <row r="1106" spans="2:18" x14ac:dyDescent="0.35">
      <c r="B1106" s="113">
        <v>46092</v>
      </c>
      <c r="C1106" s="4" t="s">
        <v>780</v>
      </c>
      <c r="D1106" s="4" t="s">
        <v>4568</v>
      </c>
      <c r="E1106" s="1" t="str">
        <f>_xlfn.XLOOKUP(tblSales[[#This Row],[Customer ID]],tblCustomers[Customer ID],tblCustomers[Customer Name],"⚠ Unknown")</f>
        <v>Walk-in Customer</v>
      </c>
      <c r="F1106" s="4" t="s">
        <v>7</v>
      </c>
      <c r="G1106" s="1" t="str">
        <f>_xlfn.XLOOKUP(tblSales[[#This Row],[Product Code]],tblProducts[Code],tblProducts[Product / Service Name],"⚠ Unknown")</f>
        <v>Premium Basic T-shirt</v>
      </c>
      <c r="H1106" s="1" t="str">
        <f>_xlfn.XLOOKUP(tblSales[[#This Row],[Product Code]],tblProducts[Code],tblProducts[Category],"")</f>
        <v>Accessories &amp; Basics</v>
      </c>
      <c r="I1106" s="4">
        <v>10</v>
      </c>
      <c r="J1106" s="5">
        <f>_xlfn.XLOOKUP(tblSales[[#This Row],[Product Code]],tblProducts[Code],tblProducts[Selling Price (excl. VAT)],0)</f>
        <v>65000</v>
      </c>
      <c r="K1106" s="5">
        <f>tblSales[[#This Row],[Qty]]*tblSales[[#This Row],[Unit Price]]</f>
        <v>650000</v>
      </c>
      <c r="L1106" s="5">
        <f>ROUND(tblSales[[#This Row],[DPP (excl. VAT)]]*VATEff,0)</f>
        <v>71500</v>
      </c>
      <c r="M1106" s="5">
        <f>tblSales[[#This Row],[DPP (excl. VAT)]]+tblSales[[#This Row],[Output VAT]]</f>
        <v>721500</v>
      </c>
      <c r="N1106" s="5">
        <f>tblSales[[#This Row],[Qty]]*_xlfn.XLOOKUP(tblSales[[#This Row],[Product Code]],tblProducts[Code],tblProducts[Unit Cost],0)</f>
        <v>370000</v>
      </c>
      <c r="O1106" s="4" t="s">
        <v>4865</v>
      </c>
      <c r="P1106" s="4" t="s">
        <v>4860</v>
      </c>
      <c r="Q1106" s="1" t="str">
        <f>_xlfn.XLOOKUP(tblSales[[#This Row],[Channel Code]],tblChannels[Channel Code],tblChannels[Channel Name],"")</f>
        <v>In-store</v>
      </c>
      <c r="R1106" s="1">
        <f>MONTH(tblSales[[#This Row],[Date]])</f>
        <v>3</v>
      </c>
    </row>
    <row r="1107" spans="2:18" x14ac:dyDescent="0.35">
      <c r="B1107" s="113">
        <v>46092</v>
      </c>
      <c r="C1107" s="4" t="s">
        <v>781</v>
      </c>
      <c r="D1107" s="4" t="s">
        <v>4568</v>
      </c>
      <c r="E1107" s="1" t="str">
        <f>_xlfn.XLOOKUP(tblSales[[#This Row],[Customer ID]],tblCustomers[Customer ID],tblCustomers[Customer Name],"⚠ Unknown")</f>
        <v>Walk-in Customer</v>
      </c>
      <c r="F1107" s="4" t="s">
        <v>13</v>
      </c>
      <c r="G1107" s="1" t="str">
        <f>_xlfn.XLOOKUP(tblSales[[#This Row],[Product Code]],tblProducts[Code],tblProducts[Product / Service Name],"⚠ Unknown")</f>
        <v>Backpack</v>
      </c>
      <c r="H1107" s="1" t="str">
        <f>_xlfn.XLOOKUP(tblSales[[#This Row],[Product Code]],tblProducts[Code],tblProducts[Category],"")</f>
        <v>Bags &amp; Gadgets</v>
      </c>
      <c r="I1107" s="4">
        <v>2</v>
      </c>
      <c r="J1107" s="5">
        <f>_xlfn.XLOOKUP(tblSales[[#This Row],[Product Code]],tblProducts[Code],tblProducts[Selling Price (excl. VAT)],0)</f>
        <v>500000</v>
      </c>
      <c r="K1107" s="5">
        <f>tblSales[[#This Row],[Qty]]*tblSales[[#This Row],[Unit Price]]</f>
        <v>1000000</v>
      </c>
      <c r="L1107" s="5">
        <f>ROUND(tblSales[[#This Row],[DPP (excl. VAT)]]*VATEff,0)</f>
        <v>110000</v>
      </c>
      <c r="M1107" s="5">
        <f>tblSales[[#This Row],[DPP (excl. VAT)]]+tblSales[[#This Row],[Output VAT]]</f>
        <v>1110000</v>
      </c>
      <c r="N1107" s="5">
        <f>tblSales[[#This Row],[Qty]]*_xlfn.XLOOKUP(tblSales[[#This Row],[Product Code]],tblProducts[Code],tblProducts[Unit Cost],0)</f>
        <v>580000</v>
      </c>
      <c r="O1107" s="4" t="s">
        <v>4866</v>
      </c>
      <c r="P1107" s="4" t="s">
        <v>4861</v>
      </c>
      <c r="Q1107" s="1" t="str">
        <f>_xlfn.XLOOKUP(tblSales[[#This Row],[Channel Code]],tblChannels[Channel Code],tblChannels[Channel Name],"")</f>
        <v>Marketplace</v>
      </c>
      <c r="R1107" s="1">
        <f>MONTH(tblSales[[#This Row],[Date]])</f>
        <v>3</v>
      </c>
    </row>
    <row r="1108" spans="2:18" x14ac:dyDescent="0.35">
      <c r="B1108" s="113">
        <v>46092</v>
      </c>
      <c r="C1108" s="4" t="s">
        <v>782</v>
      </c>
      <c r="D1108" s="4" t="s">
        <v>4627</v>
      </c>
      <c r="E1108" s="1" t="str">
        <f>_xlfn.XLOOKUP(tblSales[[#This Row],[Customer ID]],tblCustomers[Customer ID],tblCustomers[Customer Name],"⚠ Unknown")</f>
        <v>PT Kencana Wira Usaha</v>
      </c>
      <c r="F1108" s="4" t="s">
        <v>11</v>
      </c>
      <c r="G1108" s="1" t="str">
        <f>_xlfn.XLOOKUP(tblSales[[#This Row],[Product Code]],tblProducts[Code],tblProducts[Product / Service Name],"⚠ Unknown")</f>
        <v>Sneakers</v>
      </c>
      <c r="H1108" s="1" t="str">
        <f>_xlfn.XLOOKUP(tblSales[[#This Row],[Product Code]],tblProducts[Code],tblProducts[Category],"")</f>
        <v>Apparel &amp; Footwear</v>
      </c>
      <c r="I1108" s="4">
        <v>40</v>
      </c>
      <c r="J1108" s="5">
        <f>_xlfn.XLOOKUP(tblSales[[#This Row],[Product Code]],tblProducts[Code],tblProducts[Selling Price (excl. VAT)],0)</f>
        <v>250000</v>
      </c>
      <c r="K1108" s="5">
        <f>tblSales[[#This Row],[Qty]]*tblSales[[#This Row],[Unit Price]]</f>
        <v>10000000</v>
      </c>
      <c r="L1108" s="5">
        <f>ROUND(tblSales[[#This Row],[DPP (excl. VAT)]]*VATEff,0)</f>
        <v>1100000</v>
      </c>
      <c r="M1108" s="5">
        <f>tblSales[[#This Row],[DPP (excl. VAT)]]+tblSales[[#This Row],[Output VAT]]</f>
        <v>11100000</v>
      </c>
      <c r="N1108" s="5">
        <f>tblSales[[#This Row],[Qty]]*_xlfn.XLOOKUP(tblSales[[#This Row],[Product Code]],tblProducts[Code],tblProducts[Unit Cost],0)</f>
        <v>6200000</v>
      </c>
      <c r="O1108" s="4" t="s">
        <v>4867</v>
      </c>
      <c r="P1108" s="4" t="s">
        <v>4860</v>
      </c>
      <c r="Q1108" s="1" t="str">
        <f>_xlfn.XLOOKUP(tblSales[[#This Row],[Channel Code]],tblChannels[Channel Code],tblChannels[Channel Name],"")</f>
        <v>In-store</v>
      </c>
      <c r="R1108" s="1">
        <f>MONTH(tblSales[[#This Row],[Date]])</f>
        <v>3</v>
      </c>
    </row>
    <row r="1109" spans="2:18" x14ac:dyDescent="0.35">
      <c r="B1109" s="113">
        <v>46092</v>
      </c>
      <c r="C1109" s="4" t="s">
        <v>782</v>
      </c>
      <c r="D1109" s="4" t="s">
        <v>4627</v>
      </c>
      <c r="E1109" s="1" t="str">
        <f>_xlfn.XLOOKUP(tblSales[[#This Row],[Customer ID]],tblCustomers[Customer ID],tblCustomers[Customer Name],"⚠ Unknown")</f>
        <v>PT Kencana Wira Usaha</v>
      </c>
      <c r="F1109" s="4" t="s">
        <v>9</v>
      </c>
      <c r="G1109" s="1" t="str">
        <f>_xlfn.XLOOKUP(tblSales[[#This Row],[Product Code]],tblProducts[Code],tblProducts[Product / Service Name],"⚠ Unknown")</f>
        <v>Casual Shirt</v>
      </c>
      <c r="H1109" s="1" t="str">
        <f>_xlfn.XLOOKUP(tblSales[[#This Row],[Product Code]],tblProducts[Code],tblProducts[Category],"")</f>
        <v>Apparel &amp; Footwear</v>
      </c>
      <c r="I1109" s="4">
        <v>40</v>
      </c>
      <c r="J1109" s="5">
        <f>_xlfn.XLOOKUP(tblSales[[#This Row],[Product Code]],tblProducts[Code],tblProducts[Selling Price (excl. VAT)],0)</f>
        <v>120000</v>
      </c>
      <c r="K1109" s="5">
        <f>tblSales[[#This Row],[Qty]]*tblSales[[#This Row],[Unit Price]]</f>
        <v>4800000</v>
      </c>
      <c r="L1109" s="5">
        <f>ROUND(tblSales[[#This Row],[DPP (excl. VAT)]]*VATEff,0)</f>
        <v>528000</v>
      </c>
      <c r="M1109" s="5">
        <f>tblSales[[#This Row],[DPP (excl. VAT)]]+tblSales[[#This Row],[Output VAT]]</f>
        <v>5328000</v>
      </c>
      <c r="N1109" s="5">
        <f>tblSales[[#This Row],[Qty]]*_xlfn.XLOOKUP(tblSales[[#This Row],[Product Code]],tblProducts[Code],tblProducts[Unit Cost],0)</f>
        <v>2880000</v>
      </c>
      <c r="O1109" s="4" t="s">
        <v>4867</v>
      </c>
      <c r="P1109" s="4" t="s">
        <v>4860</v>
      </c>
      <c r="Q1109" s="1" t="str">
        <f>_xlfn.XLOOKUP(tblSales[[#This Row],[Channel Code]],tblChannels[Channel Code],tblChannels[Channel Name],"")</f>
        <v>In-store</v>
      </c>
      <c r="R1109" s="1">
        <f>MONTH(tblSales[[#This Row],[Date]])</f>
        <v>3</v>
      </c>
    </row>
    <row r="1110" spans="2:18" x14ac:dyDescent="0.35">
      <c r="B1110" s="113">
        <v>46092</v>
      </c>
      <c r="C1110" s="4" t="s">
        <v>783</v>
      </c>
      <c r="D1110" s="4" t="s">
        <v>4568</v>
      </c>
      <c r="E1110" s="1" t="str">
        <f>_xlfn.XLOOKUP(tblSales[[#This Row],[Customer ID]],tblCustomers[Customer ID],tblCustomers[Customer Name],"⚠ Unknown")</f>
        <v>Walk-in Customer</v>
      </c>
      <c r="F1110" s="4" t="s">
        <v>6</v>
      </c>
      <c r="G1110" s="1" t="str">
        <f>_xlfn.XLOOKUP(tblSales[[#This Row],[Product Code]],tblProducts[Code],tblProducts[Product / Service Name],"⚠ Unknown")</f>
        <v>Socks &amp; Accessories</v>
      </c>
      <c r="H1110" s="1" t="str">
        <f>_xlfn.XLOOKUP(tblSales[[#This Row],[Product Code]],tblProducts[Code],tblProducts[Category],"")</f>
        <v>Accessories &amp; Basics</v>
      </c>
      <c r="I1110" s="4">
        <v>12</v>
      </c>
      <c r="J1110" s="5">
        <f>_xlfn.XLOOKUP(tblSales[[#This Row],[Product Code]],tblProducts[Code],tblProducts[Selling Price (excl. VAT)],0)</f>
        <v>45000</v>
      </c>
      <c r="K1110" s="5">
        <f>tblSales[[#This Row],[Qty]]*tblSales[[#This Row],[Unit Price]]</f>
        <v>540000</v>
      </c>
      <c r="L1110" s="5">
        <f>ROUND(tblSales[[#This Row],[DPP (excl. VAT)]]*VATEff,0)</f>
        <v>59400</v>
      </c>
      <c r="M1110" s="5">
        <f>tblSales[[#This Row],[DPP (excl. VAT)]]+tblSales[[#This Row],[Output VAT]]</f>
        <v>599400</v>
      </c>
      <c r="N1110" s="5">
        <f>tblSales[[#This Row],[Qty]]*_xlfn.XLOOKUP(tblSales[[#This Row],[Product Code]],tblProducts[Code],tblProducts[Unit Cost],0)</f>
        <v>288000</v>
      </c>
      <c r="O1110" s="4" t="s">
        <v>4866</v>
      </c>
      <c r="P1110" s="4" t="s">
        <v>4861</v>
      </c>
      <c r="Q1110" s="1" t="str">
        <f>_xlfn.XLOOKUP(tblSales[[#This Row],[Channel Code]],tblChannels[Channel Code],tblChannels[Channel Name],"")</f>
        <v>Marketplace</v>
      </c>
      <c r="R1110" s="1">
        <f>MONTH(tblSales[[#This Row],[Date]])</f>
        <v>3</v>
      </c>
    </row>
    <row r="1111" spans="2:18" x14ac:dyDescent="0.35">
      <c r="B1111" s="113">
        <v>46092</v>
      </c>
      <c r="C1111" s="4" t="s">
        <v>784</v>
      </c>
      <c r="D1111" s="4" t="s">
        <v>4568</v>
      </c>
      <c r="E1111" s="1" t="str">
        <f>_xlfn.XLOOKUP(tblSales[[#This Row],[Customer ID]],tblCustomers[Customer ID],tblCustomers[Customer Name],"⚠ Unknown")</f>
        <v>Walk-in Customer</v>
      </c>
      <c r="F1111" s="4" t="s">
        <v>14</v>
      </c>
      <c r="G1111" s="1" t="str">
        <f>_xlfn.XLOOKUP(tblSales[[#This Row],[Product Code]],tblProducts[Code],tblProducts[Product / Service Name],"⚠ Unknown")</f>
        <v>Smartwatch</v>
      </c>
      <c r="H1111" s="1" t="str">
        <f>_xlfn.XLOOKUP(tblSales[[#This Row],[Product Code]],tblProducts[Code],tblProducts[Category],"")</f>
        <v>Bags &amp; Gadgets</v>
      </c>
      <c r="I1111" s="4">
        <v>1</v>
      </c>
      <c r="J1111" s="5">
        <f>_xlfn.XLOOKUP(tblSales[[#This Row],[Product Code]],tblProducts[Code],tblProducts[Selling Price (excl. VAT)],0)</f>
        <v>850000</v>
      </c>
      <c r="K1111" s="5">
        <f>tblSales[[#This Row],[Qty]]*tblSales[[#This Row],[Unit Price]]</f>
        <v>850000</v>
      </c>
      <c r="L1111" s="5">
        <f>ROUND(tblSales[[#This Row],[DPP (excl. VAT)]]*VATEff,0)</f>
        <v>93500</v>
      </c>
      <c r="M1111" s="5">
        <f>tblSales[[#This Row],[DPP (excl. VAT)]]+tblSales[[#This Row],[Output VAT]]</f>
        <v>943500</v>
      </c>
      <c r="N1111" s="5">
        <f>tblSales[[#This Row],[Qty]]*_xlfn.XLOOKUP(tblSales[[#This Row],[Product Code]],tblProducts[Code],tblProducts[Unit Cost],0)</f>
        <v>560000</v>
      </c>
      <c r="O1111" s="4" t="s">
        <v>4866</v>
      </c>
      <c r="P1111" s="4" t="s">
        <v>4861</v>
      </c>
      <c r="Q1111" s="1" t="str">
        <f>_xlfn.XLOOKUP(tblSales[[#This Row],[Channel Code]],tblChannels[Channel Code],tblChannels[Channel Name],"")</f>
        <v>Marketplace</v>
      </c>
      <c r="R1111" s="1">
        <f>MONTH(tblSales[[#This Row],[Date]])</f>
        <v>3</v>
      </c>
    </row>
    <row r="1112" spans="2:18" x14ac:dyDescent="0.35">
      <c r="B1112" s="113">
        <v>46092</v>
      </c>
      <c r="C1112" s="4" t="s">
        <v>784</v>
      </c>
      <c r="D1112" s="4" t="s">
        <v>4568</v>
      </c>
      <c r="E1112" s="1" t="str">
        <f>_xlfn.XLOOKUP(tblSales[[#This Row],[Customer ID]],tblCustomers[Customer ID],tblCustomers[Customer Name],"⚠ Unknown")</f>
        <v>Walk-in Customer</v>
      </c>
      <c r="F1112" s="4" t="s">
        <v>8</v>
      </c>
      <c r="G1112" s="1" t="str">
        <f>_xlfn.XLOOKUP(tblSales[[#This Row],[Product Code]],tblProducts[Code],tblProducts[Product / Service Name],"⚠ Unknown")</f>
        <v>Casual Shorts</v>
      </c>
      <c r="H1112" s="1" t="str">
        <f>_xlfn.XLOOKUP(tblSales[[#This Row],[Product Code]],tblProducts[Code],tblProducts[Category],"")</f>
        <v>Accessories &amp; Basics</v>
      </c>
      <c r="I1112" s="4">
        <v>9</v>
      </c>
      <c r="J1112" s="5">
        <f>_xlfn.XLOOKUP(tblSales[[#This Row],[Product Code]],tblProducts[Code],tblProducts[Selling Price (excl. VAT)],0)</f>
        <v>85000</v>
      </c>
      <c r="K1112" s="5">
        <f>tblSales[[#This Row],[Qty]]*tblSales[[#This Row],[Unit Price]]</f>
        <v>765000</v>
      </c>
      <c r="L1112" s="5">
        <f>ROUND(tblSales[[#This Row],[DPP (excl. VAT)]]*VATEff,0)</f>
        <v>84150</v>
      </c>
      <c r="M1112" s="5">
        <f>tblSales[[#This Row],[DPP (excl. VAT)]]+tblSales[[#This Row],[Output VAT]]</f>
        <v>849150</v>
      </c>
      <c r="N1112" s="5">
        <f>tblSales[[#This Row],[Qty]]*_xlfn.XLOOKUP(tblSales[[#This Row],[Product Code]],tblProducts[Code],tblProducts[Unit Cost],0)</f>
        <v>450000</v>
      </c>
      <c r="O1112" s="4" t="s">
        <v>4866</v>
      </c>
      <c r="P1112" s="4" t="s">
        <v>4861</v>
      </c>
      <c r="Q1112" s="1" t="str">
        <f>_xlfn.XLOOKUP(tblSales[[#This Row],[Channel Code]],tblChannels[Channel Code],tblChannels[Channel Name],"")</f>
        <v>Marketplace</v>
      </c>
      <c r="R1112" s="1">
        <f>MONTH(tblSales[[#This Row],[Date]])</f>
        <v>3</v>
      </c>
    </row>
    <row r="1113" spans="2:18" x14ac:dyDescent="0.35">
      <c r="B1113" s="113">
        <v>46092</v>
      </c>
      <c r="C1113" s="4" t="s">
        <v>785</v>
      </c>
      <c r="D1113" s="4" t="s">
        <v>4568</v>
      </c>
      <c r="E1113" s="1" t="str">
        <f>_xlfn.XLOOKUP(tblSales[[#This Row],[Customer ID]],tblCustomers[Customer ID],tblCustomers[Customer Name],"⚠ Unknown")</f>
        <v>Walk-in Customer</v>
      </c>
      <c r="F1113" s="4" t="s">
        <v>12</v>
      </c>
      <c r="G1113" s="1" t="str">
        <f>_xlfn.XLOOKUP(tblSales[[#This Row],[Product Code]],tblProducts[Code],tblProducts[Product / Service Name],"⚠ Unknown")</f>
        <v>Bomber Jacket</v>
      </c>
      <c r="H1113" s="1" t="str">
        <f>_xlfn.XLOOKUP(tblSales[[#This Row],[Product Code]],tblProducts[Code],tblProducts[Category],"")</f>
        <v>Apparel &amp; Footwear</v>
      </c>
      <c r="I1113" s="4">
        <v>1</v>
      </c>
      <c r="J1113" s="5">
        <f>_xlfn.XLOOKUP(tblSales[[#This Row],[Product Code]],tblProducts[Code],tblProducts[Selling Price (excl. VAT)],0)</f>
        <v>350000</v>
      </c>
      <c r="K1113" s="5">
        <f>tblSales[[#This Row],[Qty]]*tblSales[[#This Row],[Unit Price]]</f>
        <v>350000</v>
      </c>
      <c r="L1113" s="5">
        <f>ROUND(tblSales[[#This Row],[DPP (excl. VAT)]]*VATEff,0)</f>
        <v>38500</v>
      </c>
      <c r="M1113" s="5">
        <f>tblSales[[#This Row],[DPP (excl. VAT)]]+tblSales[[#This Row],[Output VAT]]</f>
        <v>388500</v>
      </c>
      <c r="N1113" s="5">
        <f>tblSales[[#This Row],[Qty]]*_xlfn.XLOOKUP(tblSales[[#This Row],[Product Code]],tblProducts[Code],tblProducts[Unit Cost],0)</f>
        <v>210000</v>
      </c>
      <c r="O1113" s="4" t="s">
        <v>4865</v>
      </c>
      <c r="P1113" s="4" t="s">
        <v>4860</v>
      </c>
      <c r="Q1113" s="1" t="str">
        <f>_xlfn.XLOOKUP(tblSales[[#This Row],[Channel Code]],tblChannels[Channel Code],tblChannels[Channel Name],"")</f>
        <v>In-store</v>
      </c>
      <c r="R1113" s="1">
        <f>MONTH(tblSales[[#This Row],[Date]])</f>
        <v>3</v>
      </c>
    </row>
    <row r="1114" spans="2:18" x14ac:dyDescent="0.35">
      <c r="B1114" s="113">
        <v>46092</v>
      </c>
      <c r="C1114" s="4" t="s">
        <v>786</v>
      </c>
      <c r="D1114" s="4" t="s">
        <v>4568</v>
      </c>
      <c r="E1114" s="1" t="str">
        <f>_xlfn.XLOOKUP(tblSales[[#This Row],[Customer ID]],tblCustomers[Customer ID],tblCustomers[Customer Name],"⚠ Unknown")</f>
        <v>Walk-in Customer</v>
      </c>
      <c r="F1114" s="4" t="s">
        <v>8</v>
      </c>
      <c r="G1114" s="1" t="str">
        <f>_xlfn.XLOOKUP(tblSales[[#This Row],[Product Code]],tblProducts[Code],tblProducts[Product / Service Name],"⚠ Unknown")</f>
        <v>Casual Shorts</v>
      </c>
      <c r="H1114" s="1" t="str">
        <f>_xlfn.XLOOKUP(tblSales[[#This Row],[Product Code]],tblProducts[Code],tblProducts[Category],"")</f>
        <v>Accessories &amp; Basics</v>
      </c>
      <c r="I1114" s="4">
        <v>5</v>
      </c>
      <c r="J1114" s="5">
        <f>_xlfn.XLOOKUP(tblSales[[#This Row],[Product Code]],tblProducts[Code],tblProducts[Selling Price (excl. VAT)],0)</f>
        <v>85000</v>
      </c>
      <c r="K1114" s="5">
        <f>tblSales[[#This Row],[Qty]]*tblSales[[#This Row],[Unit Price]]</f>
        <v>425000</v>
      </c>
      <c r="L1114" s="5">
        <f>ROUND(tblSales[[#This Row],[DPP (excl. VAT)]]*VATEff,0)</f>
        <v>46750</v>
      </c>
      <c r="M1114" s="5">
        <f>tblSales[[#This Row],[DPP (excl. VAT)]]+tblSales[[#This Row],[Output VAT]]</f>
        <v>471750</v>
      </c>
      <c r="N1114" s="5">
        <f>tblSales[[#This Row],[Qty]]*_xlfn.XLOOKUP(tblSales[[#This Row],[Product Code]],tblProducts[Code],tblProducts[Unit Cost],0)</f>
        <v>250000</v>
      </c>
      <c r="O1114" s="4" t="s">
        <v>4866</v>
      </c>
      <c r="P1114" s="4" t="s">
        <v>4861</v>
      </c>
      <c r="Q1114" s="1" t="str">
        <f>_xlfn.XLOOKUP(tblSales[[#This Row],[Channel Code]],tblChannels[Channel Code],tblChannels[Channel Name],"")</f>
        <v>Marketplace</v>
      </c>
      <c r="R1114" s="1">
        <f>MONTH(tblSales[[#This Row],[Date]])</f>
        <v>3</v>
      </c>
    </row>
    <row r="1115" spans="2:18" x14ac:dyDescent="0.35">
      <c r="B1115" s="113">
        <v>46092</v>
      </c>
      <c r="C1115" s="4" t="s">
        <v>786</v>
      </c>
      <c r="D1115" s="4" t="s">
        <v>4568</v>
      </c>
      <c r="E1115" s="1" t="str">
        <f>_xlfn.XLOOKUP(tblSales[[#This Row],[Customer ID]],tblCustomers[Customer ID],tblCustomers[Customer Name],"⚠ Unknown")</f>
        <v>Walk-in Customer</v>
      </c>
      <c r="F1115" s="4" t="s">
        <v>7</v>
      </c>
      <c r="G1115" s="1" t="str">
        <f>_xlfn.XLOOKUP(tblSales[[#This Row],[Product Code]],tblProducts[Code],tblProducts[Product / Service Name],"⚠ Unknown")</f>
        <v>Premium Basic T-shirt</v>
      </c>
      <c r="H1115" s="1" t="str">
        <f>_xlfn.XLOOKUP(tblSales[[#This Row],[Product Code]],tblProducts[Code],tblProducts[Category],"")</f>
        <v>Accessories &amp; Basics</v>
      </c>
      <c r="I1115" s="4">
        <v>4</v>
      </c>
      <c r="J1115" s="5">
        <f>_xlfn.XLOOKUP(tblSales[[#This Row],[Product Code]],tblProducts[Code],tblProducts[Selling Price (excl. VAT)],0)</f>
        <v>65000</v>
      </c>
      <c r="K1115" s="5">
        <f>tblSales[[#This Row],[Qty]]*tblSales[[#This Row],[Unit Price]]</f>
        <v>260000</v>
      </c>
      <c r="L1115" s="5">
        <f>ROUND(tblSales[[#This Row],[DPP (excl. VAT)]]*VATEff,0)</f>
        <v>28600</v>
      </c>
      <c r="M1115" s="5">
        <f>tblSales[[#This Row],[DPP (excl. VAT)]]+tblSales[[#This Row],[Output VAT]]</f>
        <v>288600</v>
      </c>
      <c r="N1115" s="5">
        <f>tblSales[[#This Row],[Qty]]*_xlfn.XLOOKUP(tblSales[[#This Row],[Product Code]],tblProducts[Code],tblProducts[Unit Cost],0)</f>
        <v>148000</v>
      </c>
      <c r="O1115" s="4" t="s">
        <v>4866</v>
      </c>
      <c r="P1115" s="4" t="s">
        <v>4861</v>
      </c>
      <c r="Q1115" s="1" t="str">
        <f>_xlfn.XLOOKUP(tblSales[[#This Row],[Channel Code]],tblChannels[Channel Code],tblChannels[Channel Name],"")</f>
        <v>Marketplace</v>
      </c>
      <c r="R1115" s="1">
        <f>MONTH(tblSales[[#This Row],[Date]])</f>
        <v>3</v>
      </c>
    </row>
    <row r="1116" spans="2:18" x14ac:dyDescent="0.35">
      <c r="B1116" s="113">
        <v>46092</v>
      </c>
      <c r="C1116" s="4" t="s">
        <v>787</v>
      </c>
      <c r="D1116" s="4" t="s">
        <v>4568</v>
      </c>
      <c r="E1116" s="1" t="str">
        <f>_xlfn.XLOOKUP(tblSales[[#This Row],[Customer ID]],tblCustomers[Customer ID],tblCustomers[Customer Name],"⚠ Unknown")</f>
        <v>Walk-in Customer</v>
      </c>
      <c r="F1116" s="4" t="s">
        <v>8</v>
      </c>
      <c r="G1116" s="1" t="str">
        <f>_xlfn.XLOOKUP(tblSales[[#This Row],[Product Code]],tblProducts[Code],tblProducts[Product / Service Name],"⚠ Unknown")</f>
        <v>Casual Shorts</v>
      </c>
      <c r="H1116" s="1" t="str">
        <f>_xlfn.XLOOKUP(tblSales[[#This Row],[Product Code]],tblProducts[Code],tblProducts[Category],"")</f>
        <v>Accessories &amp; Basics</v>
      </c>
      <c r="I1116" s="4">
        <v>7</v>
      </c>
      <c r="J1116" s="5">
        <f>_xlfn.XLOOKUP(tblSales[[#This Row],[Product Code]],tblProducts[Code],tblProducts[Selling Price (excl. VAT)],0)</f>
        <v>85000</v>
      </c>
      <c r="K1116" s="5">
        <f>tblSales[[#This Row],[Qty]]*tblSales[[#This Row],[Unit Price]]</f>
        <v>595000</v>
      </c>
      <c r="L1116" s="5">
        <f>ROUND(tblSales[[#This Row],[DPP (excl. VAT)]]*VATEff,0)</f>
        <v>65450</v>
      </c>
      <c r="M1116" s="5">
        <f>tblSales[[#This Row],[DPP (excl. VAT)]]+tblSales[[#This Row],[Output VAT]]</f>
        <v>660450</v>
      </c>
      <c r="N1116" s="5">
        <f>tblSales[[#This Row],[Qty]]*_xlfn.XLOOKUP(tblSales[[#This Row],[Product Code]],tblProducts[Code],tblProducts[Unit Cost],0)</f>
        <v>350000</v>
      </c>
      <c r="O1116" s="4" t="s">
        <v>4865</v>
      </c>
      <c r="P1116" s="4" t="s">
        <v>4860</v>
      </c>
      <c r="Q1116" s="1" t="str">
        <f>_xlfn.XLOOKUP(tblSales[[#This Row],[Channel Code]],tblChannels[Channel Code],tblChannels[Channel Name],"")</f>
        <v>In-store</v>
      </c>
      <c r="R1116" s="1">
        <f>MONTH(tblSales[[#This Row],[Date]])</f>
        <v>3</v>
      </c>
    </row>
    <row r="1117" spans="2:18" x14ac:dyDescent="0.35">
      <c r="B1117" s="113">
        <v>46092</v>
      </c>
      <c r="C1117" s="4" t="s">
        <v>787</v>
      </c>
      <c r="D1117" s="4" t="s">
        <v>4568</v>
      </c>
      <c r="E1117" s="1" t="str">
        <f>_xlfn.XLOOKUP(tblSales[[#This Row],[Customer ID]],tblCustomers[Customer ID],tblCustomers[Customer Name],"⚠ Unknown")</f>
        <v>Walk-in Customer</v>
      </c>
      <c r="F1117" s="4" t="s">
        <v>7</v>
      </c>
      <c r="G1117" s="1" t="str">
        <f>_xlfn.XLOOKUP(tblSales[[#This Row],[Product Code]],tblProducts[Code],tblProducts[Product / Service Name],"⚠ Unknown")</f>
        <v>Premium Basic T-shirt</v>
      </c>
      <c r="H1117" s="1" t="str">
        <f>_xlfn.XLOOKUP(tblSales[[#This Row],[Product Code]],tblProducts[Code],tblProducts[Category],"")</f>
        <v>Accessories &amp; Basics</v>
      </c>
      <c r="I1117" s="4">
        <v>1</v>
      </c>
      <c r="J1117" s="5">
        <f>_xlfn.XLOOKUP(tblSales[[#This Row],[Product Code]],tblProducts[Code],tblProducts[Selling Price (excl. VAT)],0)</f>
        <v>65000</v>
      </c>
      <c r="K1117" s="5">
        <f>tblSales[[#This Row],[Qty]]*tblSales[[#This Row],[Unit Price]]</f>
        <v>65000</v>
      </c>
      <c r="L1117" s="5">
        <f>ROUND(tblSales[[#This Row],[DPP (excl. VAT)]]*VATEff,0)</f>
        <v>7150</v>
      </c>
      <c r="M1117" s="5">
        <f>tblSales[[#This Row],[DPP (excl. VAT)]]+tblSales[[#This Row],[Output VAT]]</f>
        <v>72150</v>
      </c>
      <c r="N1117" s="5">
        <f>tblSales[[#This Row],[Qty]]*_xlfn.XLOOKUP(tblSales[[#This Row],[Product Code]],tblProducts[Code],tblProducts[Unit Cost],0)</f>
        <v>37000</v>
      </c>
      <c r="O1117" s="4" t="s">
        <v>4865</v>
      </c>
      <c r="P1117" s="4" t="s">
        <v>4860</v>
      </c>
      <c r="Q1117" s="1" t="str">
        <f>_xlfn.XLOOKUP(tblSales[[#This Row],[Channel Code]],tblChannels[Channel Code],tblChannels[Channel Name],"")</f>
        <v>In-store</v>
      </c>
      <c r="R1117" s="1">
        <f>MONTH(tblSales[[#This Row],[Date]])</f>
        <v>3</v>
      </c>
    </row>
    <row r="1118" spans="2:18" x14ac:dyDescent="0.35">
      <c r="B1118" s="113">
        <v>46093</v>
      </c>
      <c r="C1118" s="4" t="s">
        <v>788</v>
      </c>
      <c r="D1118" s="4" t="s">
        <v>4568</v>
      </c>
      <c r="E1118" s="1" t="str">
        <f>_xlfn.XLOOKUP(tblSales[[#This Row],[Customer ID]],tblCustomers[Customer ID],tblCustomers[Customer Name],"⚠ Unknown")</f>
        <v>Walk-in Customer</v>
      </c>
      <c r="F1118" s="4" t="s">
        <v>10</v>
      </c>
      <c r="G1118" s="1" t="str">
        <f>_xlfn.XLOOKUP(tblSales[[#This Row],[Product Code]],tblProducts[Code],tblProducts[Product / Service Name],"⚠ Unknown")</f>
        <v>Chino Pants</v>
      </c>
      <c r="H1118" s="1" t="str">
        <f>_xlfn.XLOOKUP(tblSales[[#This Row],[Product Code]],tblProducts[Code],tblProducts[Category],"")</f>
        <v>Apparel &amp; Footwear</v>
      </c>
      <c r="I1118" s="4">
        <v>7</v>
      </c>
      <c r="J1118" s="5">
        <f>_xlfn.XLOOKUP(tblSales[[#This Row],[Product Code]],tblProducts[Code],tblProducts[Selling Price (excl. VAT)],0)</f>
        <v>150000</v>
      </c>
      <c r="K1118" s="5">
        <f>tblSales[[#This Row],[Qty]]*tblSales[[#This Row],[Unit Price]]</f>
        <v>1050000</v>
      </c>
      <c r="L1118" s="5">
        <f>ROUND(tblSales[[#This Row],[DPP (excl. VAT)]]*VATEff,0)</f>
        <v>115500</v>
      </c>
      <c r="M1118" s="5">
        <f>tblSales[[#This Row],[DPP (excl. VAT)]]+tblSales[[#This Row],[Output VAT]]</f>
        <v>1165500</v>
      </c>
      <c r="N1118" s="5">
        <f>tblSales[[#This Row],[Qty]]*_xlfn.XLOOKUP(tblSales[[#This Row],[Product Code]],tblProducts[Code],tblProducts[Unit Cost],0)</f>
        <v>616000</v>
      </c>
      <c r="O1118" s="4" t="s">
        <v>4866</v>
      </c>
      <c r="P1118" s="4" t="s">
        <v>4861</v>
      </c>
      <c r="Q1118" s="1" t="str">
        <f>_xlfn.XLOOKUP(tblSales[[#This Row],[Channel Code]],tblChannels[Channel Code],tblChannels[Channel Name],"")</f>
        <v>Marketplace</v>
      </c>
      <c r="R1118" s="1">
        <f>MONTH(tblSales[[#This Row],[Date]])</f>
        <v>3</v>
      </c>
    </row>
    <row r="1119" spans="2:18" x14ac:dyDescent="0.35">
      <c r="B1119" s="113">
        <v>46093</v>
      </c>
      <c r="C1119" s="4" t="s">
        <v>789</v>
      </c>
      <c r="D1119" s="4" t="s">
        <v>4568</v>
      </c>
      <c r="E1119" s="1" t="str">
        <f>_xlfn.XLOOKUP(tblSales[[#This Row],[Customer ID]],tblCustomers[Customer ID],tblCustomers[Customer Name],"⚠ Unknown")</f>
        <v>Walk-in Customer</v>
      </c>
      <c r="F1119" s="4" t="s">
        <v>13</v>
      </c>
      <c r="G1119" s="1" t="str">
        <f>_xlfn.XLOOKUP(tblSales[[#This Row],[Product Code]],tblProducts[Code],tblProducts[Product / Service Name],"⚠ Unknown")</f>
        <v>Backpack</v>
      </c>
      <c r="H1119" s="1" t="str">
        <f>_xlfn.XLOOKUP(tblSales[[#This Row],[Product Code]],tblProducts[Code],tblProducts[Category],"")</f>
        <v>Bags &amp; Gadgets</v>
      </c>
      <c r="I1119" s="4">
        <v>1</v>
      </c>
      <c r="J1119" s="5">
        <f>_xlfn.XLOOKUP(tblSales[[#This Row],[Product Code]],tblProducts[Code],tblProducts[Selling Price (excl. VAT)],0)</f>
        <v>500000</v>
      </c>
      <c r="K1119" s="5">
        <f>tblSales[[#This Row],[Qty]]*tblSales[[#This Row],[Unit Price]]</f>
        <v>500000</v>
      </c>
      <c r="L1119" s="5">
        <f>ROUND(tblSales[[#This Row],[DPP (excl. VAT)]]*VATEff,0)</f>
        <v>55000</v>
      </c>
      <c r="M1119" s="5">
        <f>tblSales[[#This Row],[DPP (excl. VAT)]]+tblSales[[#This Row],[Output VAT]]</f>
        <v>555000</v>
      </c>
      <c r="N1119" s="5">
        <f>tblSales[[#This Row],[Qty]]*_xlfn.XLOOKUP(tblSales[[#This Row],[Product Code]],tblProducts[Code],tblProducts[Unit Cost],0)</f>
        <v>290000</v>
      </c>
      <c r="O1119" s="4" t="s">
        <v>4865</v>
      </c>
      <c r="P1119" s="4" t="s">
        <v>4860</v>
      </c>
      <c r="Q1119" s="1" t="str">
        <f>_xlfn.XLOOKUP(tblSales[[#This Row],[Channel Code]],tblChannels[Channel Code],tblChannels[Channel Name],"")</f>
        <v>In-store</v>
      </c>
      <c r="R1119" s="1">
        <f>MONTH(tblSales[[#This Row],[Date]])</f>
        <v>3</v>
      </c>
    </row>
    <row r="1120" spans="2:18" x14ac:dyDescent="0.35">
      <c r="B1120" s="113">
        <v>46093</v>
      </c>
      <c r="C1120" s="4" t="s">
        <v>790</v>
      </c>
      <c r="D1120" s="4" t="s">
        <v>4593</v>
      </c>
      <c r="E1120" s="1" t="str">
        <f>_xlfn.XLOOKUP(tblSales[[#This Row],[Customer ID]],tblCustomers[Customer ID],tblCustomers[Customer Name],"⚠ Unknown")</f>
        <v>PT Graha Nusa Persada</v>
      </c>
      <c r="F1120" s="4" t="s">
        <v>10</v>
      </c>
      <c r="G1120" s="1" t="str">
        <f>_xlfn.XLOOKUP(tblSales[[#This Row],[Product Code]],tblProducts[Code],tblProducts[Product / Service Name],"⚠ Unknown")</f>
        <v>Chino Pants</v>
      </c>
      <c r="H1120" s="1" t="str">
        <f>_xlfn.XLOOKUP(tblSales[[#This Row],[Product Code]],tblProducts[Code],tblProducts[Category],"")</f>
        <v>Apparel &amp; Footwear</v>
      </c>
      <c r="I1120" s="4">
        <v>88</v>
      </c>
      <c r="J1120" s="5">
        <f>_xlfn.XLOOKUP(tblSales[[#This Row],[Product Code]],tblProducts[Code],tblProducts[Selling Price (excl. VAT)],0)</f>
        <v>150000</v>
      </c>
      <c r="K1120" s="5">
        <f>tblSales[[#This Row],[Qty]]*tblSales[[#This Row],[Unit Price]]</f>
        <v>13200000</v>
      </c>
      <c r="L1120" s="5">
        <f>ROUND(tblSales[[#This Row],[DPP (excl. VAT)]]*VATEff,0)</f>
        <v>1452000</v>
      </c>
      <c r="M1120" s="5">
        <f>tblSales[[#This Row],[DPP (excl. VAT)]]+tblSales[[#This Row],[Output VAT]]</f>
        <v>14652000</v>
      </c>
      <c r="N1120" s="5">
        <f>tblSales[[#This Row],[Qty]]*_xlfn.XLOOKUP(tblSales[[#This Row],[Product Code]],tblProducts[Code],tblProducts[Unit Cost],0)</f>
        <v>7744000</v>
      </c>
      <c r="O1120" s="4" t="s">
        <v>4867</v>
      </c>
      <c r="P1120" s="4" t="s">
        <v>4860</v>
      </c>
      <c r="Q1120" s="1" t="str">
        <f>_xlfn.XLOOKUP(tblSales[[#This Row],[Channel Code]],tblChannels[Channel Code],tblChannels[Channel Name],"")</f>
        <v>In-store</v>
      </c>
      <c r="R1120" s="1">
        <f>MONTH(tblSales[[#This Row],[Date]])</f>
        <v>3</v>
      </c>
    </row>
    <row r="1121" spans="2:18" x14ac:dyDescent="0.35">
      <c r="B1121" s="113">
        <v>46093</v>
      </c>
      <c r="C1121" s="4" t="s">
        <v>791</v>
      </c>
      <c r="D1121" s="4" t="s">
        <v>4568</v>
      </c>
      <c r="E1121" s="1" t="str">
        <f>_xlfn.XLOOKUP(tblSales[[#This Row],[Customer ID]],tblCustomers[Customer ID],tblCustomers[Customer Name],"⚠ Unknown")</f>
        <v>Walk-in Customer</v>
      </c>
      <c r="F1121" s="4" t="s">
        <v>13</v>
      </c>
      <c r="G1121" s="1" t="str">
        <f>_xlfn.XLOOKUP(tblSales[[#This Row],[Product Code]],tblProducts[Code],tblProducts[Product / Service Name],"⚠ Unknown")</f>
        <v>Backpack</v>
      </c>
      <c r="H1121" s="1" t="str">
        <f>_xlfn.XLOOKUP(tblSales[[#This Row],[Product Code]],tblProducts[Code],tblProducts[Category],"")</f>
        <v>Bags &amp; Gadgets</v>
      </c>
      <c r="I1121" s="4">
        <v>3</v>
      </c>
      <c r="J1121" s="5">
        <f>_xlfn.XLOOKUP(tblSales[[#This Row],[Product Code]],tblProducts[Code],tblProducts[Selling Price (excl. VAT)],0)</f>
        <v>500000</v>
      </c>
      <c r="K1121" s="5">
        <f>tblSales[[#This Row],[Qty]]*tblSales[[#This Row],[Unit Price]]</f>
        <v>1500000</v>
      </c>
      <c r="L1121" s="5">
        <f>ROUND(tblSales[[#This Row],[DPP (excl. VAT)]]*VATEff,0)</f>
        <v>165000</v>
      </c>
      <c r="M1121" s="5">
        <f>tblSales[[#This Row],[DPP (excl. VAT)]]+tblSales[[#This Row],[Output VAT]]</f>
        <v>1665000</v>
      </c>
      <c r="N1121" s="5">
        <f>tblSales[[#This Row],[Qty]]*_xlfn.XLOOKUP(tblSales[[#This Row],[Product Code]],tblProducts[Code],tblProducts[Unit Cost],0)</f>
        <v>870000</v>
      </c>
      <c r="O1121" s="4" t="s">
        <v>4865</v>
      </c>
      <c r="P1121" s="4" t="s">
        <v>4860</v>
      </c>
      <c r="Q1121" s="1" t="str">
        <f>_xlfn.XLOOKUP(tblSales[[#This Row],[Channel Code]],tblChannels[Channel Code],tblChannels[Channel Name],"")</f>
        <v>In-store</v>
      </c>
      <c r="R1121" s="1">
        <f>MONTH(tblSales[[#This Row],[Date]])</f>
        <v>3</v>
      </c>
    </row>
    <row r="1122" spans="2:18" x14ac:dyDescent="0.35">
      <c r="B1122" s="113">
        <v>46093</v>
      </c>
      <c r="C1122" s="4" t="s">
        <v>792</v>
      </c>
      <c r="D1122" s="4" t="s">
        <v>4648</v>
      </c>
      <c r="E1122" s="1" t="str">
        <f>_xlfn.XLOOKUP(tblSales[[#This Row],[Customer ID]],tblCustomers[Customer ID],tblCustomers[Customer Name],"⚠ Unknown")</f>
        <v>PT Lintas Benua Niaga</v>
      </c>
      <c r="F1122" s="4" t="s">
        <v>10</v>
      </c>
      <c r="G1122" s="1" t="str">
        <f>_xlfn.XLOOKUP(tblSales[[#This Row],[Product Code]],tblProducts[Code],tblProducts[Product / Service Name],"⚠ Unknown")</f>
        <v>Chino Pants</v>
      </c>
      <c r="H1122" s="1" t="str">
        <f>_xlfn.XLOOKUP(tblSales[[#This Row],[Product Code]],tblProducts[Code],tblProducts[Category],"")</f>
        <v>Apparel &amp; Footwear</v>
      </c>
      <c r="I1122" s="4">
        <v>88</v>
      </c>
      <c r="J1122" s="5">
        <f>_xlfn.XLOOKUP(tblSales[[#This Row],[Product Code]],tblProducts[Code],tblProducts[Selling Price (excl. VAT)],0)</f>
        <v>150000</v>
      </c>
      <c r="K1122" s="5">
        <f>tblSales[[#This Row],[Qty]]*tblSales[[#This Row],[Unit Price]]</f>
        <v>13200000</v>
      </c>
      <c r="L1122" s="5">
        <f>ROUND(tblSales[[#This Row],[DPP (excl. VAT)]]*VATEff,0)</f>
        <v>1452000</v>
      </c>
      <c r="M1122" s="5">
        <f>tblSales[[#This Row],[DPP (excl. VAT)]]+tblSales[[#This Row],[Output VAT]]</f>
        <v>14652000</v>
      </c>
      <c r="N1122" s="5">
        <f>tblSales[[#This Row],[Qty]]*_xlfn.XLOOKUP(tblSales[[#This Row],[Product Code]],tblProducts[Code],tblProducts[Unit Cost],0)</f>
        <v>7744000</v>
      </c>
      <c r="O1122" s="4" t="s">
        <v>4867</v>
      </c>
      <c r="P1122" s="4" t="s">
        <v>4860</v>
      </c>
      <c r="Q1122" s="1" t="str">
        <f>_xlfn.XLOOKUP(tblSales[[#This Row],[Channel Code]],tblChannels[Channel Code],tblChannels[Channel Name],"")</f>
        <v>In-store</v>
      </c>
      <c r="R1122" s="1">
        <f>MONTH(tblSales[[#This Row],[Date]])</f>
        <v>3</v>
      </c>
    </row>
    <row r="1123" spans="2:18" x14ac:dyDescent="0.35">
      <c r="B1123" s="113">
        <v>46093</v>
      </c>
      <c r="C1123" s="4" t="s">
        <v>793</v>
      </c>
      <c r="D1123" s="4" t="s">
        <v>4568</v>
      </c>
      <c r="E1123" s="1" t="str">
        <f>_xlfn.XLOOKUP(tblSales[[#This Row],[Customer ID]],tblCustomers[Customer ID],tblCustomers[Customer Name],"⚠ Unknown")</f>
        <v>Walk-in Customer</v>
      </c>
      <c r="F1123" s="4" t="s">
        <v>8</v>
      </c>
      <c r="G1123" s="1" t="str">
        <f>_xlfn.XLOOKUP(tblSales[[#This Row],[Product Code]],tblProducts[Code],tblProducts[Product / Service Name],"⚠ Unknown")</f>
        <v>Casual Shorts</v>
      </c>
      <c r="H1123" s="1" t="str">
        <f>_xlfn.XLOOKUP(tblSales[[#This Row],[Product Code]],tblProducts[Code],tblProducts[Category],"")</f>
        <v>Accessories &amp; Basics</v>
      </c>
      <c r="I1123" s="4">
        <v>11</v>
      </c>
      <c r="J1123" s="5">
        <f>_xlfn.XLOOKUP(tblSales[[#This Row],[Product Code]],tblProducts[Code],tblProducts[Selling Price (excl. VAT)],0)</f>
        <v>85000</v>
      </c>
      <c r="K1123" s="5">
        <f>tblSales[[#This Row],[Qty]]*tblSales[[#This Row],[Unit Price]]</f>
        <v>935000</v>
      </c>
      <c r="L1123" s="5">
        <f>ROUND(tblSales[[#This Row],[DPP (excl. VAT)]]*VATEff,0)</f>
        <v>102850</v>
      </c>
      <c r="M1123" s="5">
        <f>tblSales[[#This Row],[DPP (excl. VAT)]]+tblSales[[#This Row],[Output VAT]]</f>
        <v>1037850</v>
      </c>
      <c r="N1123" s="5">
        <f>tblSales[[#This Row],[Qty]]*_xlfn.XLOOKUP(tblSales[[#This Row],[Product Code]],tblProducts[Code],tblProducts[Unit Cost],0)</f>
        <v>550000</v>
      </c>
      <c r="O1123" s="4" t="s">
        <v>4866</v>
      </c>
      <c r="P1123" s="4" t="s">
        <v>4861</v>
      </c>
      <c r="Q1123" s="1" t="str">
        <f>_xlfn.XLOOKUP(tblSales[[#This Row],[Channel Code]],tblChannels[Channel Code],tblChannels[Channel Name],"")</f>
        <v>Marketplace</v>
      </c>
      <c r="R1123" s="1">
        <f>MONTH(tblSales[[#This Row],[Date]])</f>
        <v>3</v>
      </c>
    </row>
    <row r="1124" spans="2:18" x14ac:dyDescent="0.35">
      <c r="B1124" s="113">
        <v>46093</v>
      </c>
      <c r="C1124" s="4" t="s">
        <v>794</v>
      </c>
      <c r="D1124" s="4" t="s">
        <v>4568</v>
      </c>
      <c r="E1124" s="1" t="str">
        <f>_xlfn.XLOOKUP(tblSales[[#This Row],[Customer ID]],tblCustomers[Customer ID],tblCustomers[Customer Name],"⚠ Unknown")</f>
        <v>Walk-in Customer</v>
      </c>
      <c r="F1124" s="4" t="s">
        <v>9</v>
      </c>
      <c r="G1124" s="1" t="str">
        <f>_xlfn.XLOOKUP(tblSales[[#This Row],[Product Code]],tblProducts[Code],tblProducts[Product / Service Name],"⚠ Unknown")</f>
        <v>Casual Shirt</v>
      </c>
      <c r="H1124" s="1" t="str">
        <f>_xlfn.XLOOKUP(tblSales[[#This Row],[Product Code]],tblProducts[Code],tblProducts[Category],"")</f>
        <v>Apparel &amp; Footwear</v>
      </c>
      <c r="I1124" s="4">
        <v>11</v>
      </c>
      <c r="J1124" s="5">
        <f>_xlfn.XLOOKUP(tblSales[[#This Row],[Product Code]],tblProducts[Code],tblProducts[Selling Price (excl. VAT)],0)</f>
        <v>120000</v>
      </c>
      <c r="K1124" s="5">
        <f>tblSales[[#This Row],[Qty]]*tblSales[[#This Row],[Unit Price]]</f>
        <v>1320000</v>
      </c>
      <c r="L1124" s="5">
        <f>ROUND(tblSales[[#This Row],[DPP (excl. VAT)]]*VATEff,0)</f>
        <v>145200</v>
      </c>
      <c r="M1124" s="5">
        <f>tblSales[[#This Row],[DPP (excl. VAT)]]+tblSales[[#This Row],[Output VAT]]</f>
        <v>1465200</v>
      </c>
      <c r="N1124" s="5">
        <f>tblSales[[#This Row],[Qty]]*_xlfn.XLOOKUP(tblSales[[#This Row],[Product Code]],tblProducts[Code],tblProducts[Unit Cost],0)</f>
        <v>792000</v>
      </c>
      <c r="O1124" s="4" t="s">
        <v>4866</v>
      </c>
      <c r="P1124" s="4" t="s">
        <v>4861</v>
      </c>
      <c r="Q1124" s="1" t="str">
        <f>_xlfn.XLOOKUP(tblSales[[#This Row],[Channel Code]],tblChannels[Channel Code],tblChannels[Channel Name],"")</f>
        <v>Marketplace</v>
      </c>
      <c r="R1124" s="1">
        <f>MONTH(tblSales[[#This Row],[Date]])</f>
        <v>3</v>
      </c>
    </row>
    <row r="1125" spans="2:18" x14ac:dyDescent="0.35">
      <c r="B1125" s="113">
        <v>46093</v>
      </c>
      <c r="C1125" s="4" t="s">
        <v>795</v>
      </c>
      <c r="D1125" s="4" t="s">
        <v>4634</v>
      </c>
      <c r="E1125" s="1" t="str">
        <f>_xlfn.XLOOKUP(tblSales[[#This Row],[Customer ID]],tblCustomers[Customer ID],tblCustomers[Customer Name],"⚠ Unknown")</f>
        <v>PT Delta Inti Selaras</v>
      </c>
      <c r="F1125" s="4" t="s">
        <v>7</v>
      </c>
      <c r="G1125" s="1" t="str">
        <f>_xlfn.XLOOKUP(tblSales[[#This Row],[Product Code]],tblProducts[Code],tblProducts[Product / Service Name],"⚠ Unknown")</f>
        <v>Premium Basic T-shirt</v>
      </c>
      <c r="H1125" s="1" t="str">
        <f>_xlfn.XLOOKUP(tblSales[[#This Row],[Product Code]],tblProducts[Code],tblProducts[Category],"")</f>
        <v>Accessories &amp; Basics</v>
      </c>
      <c r="I1125" s="4">
        <v>32</v>
      </c>
      <c r="J1125" s="5">
        <f>_xlfn.XLOOKUP(tblSales[[#This Row],[Product Code]],tblProducts[Code],tblProducts[Selling Price (excl. VAT)],0)</f>
        <v>65000</v>
      </c>
      <c r="K1125" s="5">
        <f>tblSales[[#This Row],[Qty]]*tblSales[[#This Row],[Unit Price]]</f>
        <v>2080000</v>
      </c>
      <c r="L1125" s="5">
        <f>ROUND(tblSales[[#This Row],[DPP (excl. VAT)]]*VATEff,0)</f>
        <v>228800</v>
      </c>
      <c r="M1125" s="5">
        <f>tblSales[[#This Row],[DPP (excl. VAT)]]+tblSales[[#This Row],[Output VAT]]</f>
        <v>2308800</v>
      </c>
      <c r="N1125" s="5">
        <f>tblSales[[#This Row],[Qty]]*_xlfn.XLOOKUP(tblSales[[#This Row],[Product Code]],tblProducts[Code],tblProducts[Unit Cost],0)</f>
        <v>1184000</v>
      </c>
      <c r="O1125" s="4" t="s">
        <v>4867</v>
      </c>
      <c r="P1125" s="4" t="s">
        <v>4860</v>
      </c>
      <c r="Q1125" s="1" t="str">
        <f>_xlfn.XLOOKUP(tblSales[[#This Row],[Channel Code]],tblChannels[Channel Code],tblChannels[Channel Name],"")</f>
        <v>In-store</v>
      </c>
      <c r="R1125" s="1">
        <f>MONTH(tblSales[[#This Row],[Date]])</f>
        <v>3</v>
      </c>
    </row>
    <row r="1126" spans="2:18" x14ac:dyDescent="0.35">
      <c r="B1126" s="113">
        <v>46093</v>
      </c>
      <c r="C1126" s="4" t="s">
        <v>795</v>
      </c>
      <c r="D1126" s="4" t="s">
        <v>4634</v>
      </c>
      <c r="E1126" s="1" t="str">
        <f>_xlfn.XLOOKUP(tblSales[[#This Row],[Customer ID]],tblCustomers[Customer ID],tblCustomers[Customer Name],"⚠ Unknown")</f>
        <v>PT Delta Inti Selaras</v>
      </c>
      <c r="F1126" s="4" t="s">
        <v>9</v>
      </c>
      <c r="G1126" s="1" t="str">
        <f>_xlfn.XLOOKUP(tblSales[[#This Row],[Product Code]],tblProducts[Code],tblProducts[Product / Service Name],"⚠ Unknown")</f>
        <v>Casual Shirt</v>
      </c>
      <c r="H1126" s="1" t="str">
        <f>_xlfn.XLOOKUP(tblSales[[#This Row],[Product Code]],tblProducts[Code],tblProducts[Category],"")</f>
        <v>Apparel &amp; Footwear</v>
      </c>
      <c r="I1126" s="4">
        <v>8</v>
      </c>
      <c r="J1126" s="5">
        <f>_xlfn.XLOOKUP(tblSales[[#This Row],[Product Code]],tblProducts[Code],tblProducts[Selling Price (excl. VAT)],0)</f>
        <v>120000</v>
      </c>
      <c r="K1126" s="5">
        <f>tblSales[[#This Row],[Qty]]*tblSales[[#This Row],[Unit Price]]</f>
        <v>960000</v>
      </c>
      <c r="L1126" s="5">
        <f>ROUND(tblSales[[#This Row],[DPP (excl. VAT)]]*VATEff,0)</f>
        <v>105600</v>
      </c>
      <c r="M1126" s="5">
        <f>tblSales[[#This Row],[DPP (excl. VAT)]]+tblSales[[#This Row],[Output VAT]]</f>
        <v>1065600</v>
      </c>
      <c r="N1126" s="5">
        <f>tblSales[[#This Row],[Qty]]*_xlfn.XLOOKUP(tblSales[[#This Row],[Product Code]],tblProducts[Code],tblProducts[Unit Cost],0)</f>
        <v>576000</v>
      </c>
      <c r="O1126" s="4" t="s">
        <v>4867</v>
      </c>
      <c r="P1126" s="4" t="s">
        <v>4860</v>
      </c>
      <c r="Q1126" s="1" t="str">
        <f>_xlfn.XLOOKUP(tblSales[[#This Row],[Channel Code]],tblChannels[Channel Code],tblChannels[Channel Name],"")</f>
        <v>In-store</v>
      </c>
      <c r="R1126" s="1">
        <f>MONTH(tblSales[[#This Row],[Date]])</f>
        <v>3</v>
      </c>
    </row>
    <row r="1127" spans="2:18" x14ac:dyDescent="0.35">
      <c r="B1127" s="113">
        <v>46093</v>
      </c>
      <c r="C1127" s="4" t="s">
        <v>796</v>
      </c>
      <c r="D1127" s="4" t="s">
        <v>4568</v>
      </c>
      <c r="E1127" s="1" t="str">
        <f>_xlfn.XLOOKUP(tblSales[[#This Row],[Customer ID]],tblCustomers[Customer ID],tblCustomers[Customer Name],"⚠ Unknown")</f>
        <v>Walk-in Customer</v>
      </c>
      <c r="F1127" s="4" t="s">
        <v>11</v>
      </c>
      <c r="G1127" s="1" t="str">
        <f>_xlfn.XLOOKUP(tblSales[[#This Row],[Product Code]],tblProducts[Code],tblProducts[Product / Service Name],"⚠ Unknown")</f>
        <v>Sneakers</v>
      </c>
      <c r="H1127" s="1" t="str">
        <f>_xlfn.XLOOKUP(tblSales[[#This Row],[Product Code]],tblProducts[Code],tblProducts[Category],"")</f>
        <v>Apparel &amp; Footwear</v>
      </c>
      <c r="I1127" s="4">
        <v>1</v>
      </c>
      <c r="J1127" s="5">
        <f>_xlfn.XLOOKUP(tblSales[[#This Row],[Product Code]],tblProducts[Code],tblProducts[Selling Price (excl. VAT)],0)</f>
        <v>250000</v>
      </c>
      <c r="K1127" s="5">
        <f>tblSales[[#This Row],[Qty]]*tblSales[[#This Row],[Unit Price]]</f>
        <v>250000</v>
      </c>
      <c r="L1127" s="5">
        <f>ROUND(tblSales[[#This Row],[DPP (excl. VAT)]]*VATEff,0)</f>
        <v>27500</v>
      </c>
      <c r="M1127" s="5">
        <f>tblSales[[#This Row],[DPP (excl. VAT)]]+tblSales[[#This Row],[Output VAT]]</f>
        <v>277500</v>
      </c>
      <c r="N1127" s="5">
        <f>tblSales[[#This Row],[Qty]]*_xlfn.XLOOKUP(tblSales[[#This Row],[Product Code]],tblProducts[Code],tblProducts[Unit Cost],0)</f>
        <v>155000</v>
      </c>
      <c r="O1127" s="4" t="s">
        <v>4866</v>
      </c>
      <c r="P1127" s="4" t="s">
        <v>4860</v>
      </c>
      <c r="Q1127" s="1" t="str">
        <f>_xlfn.XLOOKUP(tblSales[[#This Row],[Channel Code]],tblChannels[Channel Code],tblChannels[Channel Name],"")</f>
        <v>In-store</v>
      </c>
      <c r="R1127" s="1">
        <f>MONTH(tblSales[[#This Row],[Date]])</f>
        <v>3</v>
      </c>
    </row>
    <row r="1128" spans="2:18" x14ac:dyDescent="0.35">
      <c r="B1128" s="113">
        <v>46093</v>
      </c>
      <c r="C1128" s="4" t="s">
        <v>797</v>
      </c>
      <c r="D1128" s="4" t="s">
        <v>4568</v>
      </c>
      <c r="E1128" s="1" t="str">
        <f>_xlfn.XLOOKUP(tblSales[[#This Row],[Customer ID]],tblCustomers[Customer ID],tblCustomers[Customer Name],"⚠ Unknown")</f>
        <v>Walk-in Customer</v>
      </c>
      <c r="F1128" s="4" t="s">
        <v>9</v>
      </c>
      <c r="G1128" s="1" t="str">
        <f>_xlfn.XLOOKUP(tblSales[[#This Row],[Product Code]],tblProducts[Code],tblProducts[Product / Service Name],"⚠ Unknown")</f>
        <v>Casual Shirt</v>
      </c>
      <c r="H1128" s="1" t="str">
        <f>_xlfn.XLOOKUP(tblSales[[#This Row],[Product Code]],tblProducts[Code],tblProducts[Category],"")</f>
        <v>Apparel &amp; Footwear</v>
      </c>
      <c r="I1128" s="4">
        <v>7</v>
      </c>
      <c r="J1128" s="5">
        <f>_xlfn.XLOOKUP(tblSales[[#This Row],[Product Code]],tblProducts[Code],tblProducts[Selling Price (excl. VAT)],0)</f>
        <v>120000</v>
      </c>
      <c r="K1128" s="5">
        <f>tblSales[[#This Row],[Qty]]*tblSales[[#This Row],[Unit Price]]</f>
        <v>840000</v>
      </c>
      <c r="L1128" s="5">
        <f>ROUND(tblSales[[#This Row],[DPP (excl. VAT)]]*VATEff,0)</f>
        <v>92400</v>
      </c>
      <c r="M1128" s="5">
        <f>tblSales[[#This Row],[DPP (excl. VAT)]]+tblSales[[#This Row],[Output VAT]]</f>
        <v>932400</v>
      </c>
      <c r="N1128" s="5">
        <f>tblSales[[#This Row],[Qty]]*_xlfn.XLOOKUP(tblSales[[#This Row],[Product Code]],tblProducts[Code],tblProducts[Unit Cost],0)</f>
        <v>504000</v>
      </c>
      <c r="O1128" s="4" t="s">
        <v>4865</v>
      </c>
      <c r="P1128" s="4" t="s">
        <v>4860</v>
      </c>
      <c r="Q1128" s="1" t="str">
        <f>_xlfn.XLOOKUP(tblSales[[#This Row],[Channel Code]],tblChannels[Channel Code],tblChannels[Channel Name],"")</f>
        <v>In-store</v>
      </c>
      <c r="R1128" s="1">
        <f>MONTH(tblSales[[#This Row],[Date]])</f>
        <v>3</v>
      </c>
    </row>
    <row r="1129" spans="2:18" x14ac:dyDescent="0.35">
      <c r="B1129" s="113">
        <v>46093</v>
      </c>
      <c r="C1129" s="4" t="s">
        <v>798</v>
      </c>
      <c r="D1129" s="4" t="s">
        <v>4568</v>
      </c>
      <c r="E1129" s="1" t="str">
        <f>_xlfn.XLOOKUP(tblSales[[#This Row],[Customer ID]],tblCustomers[Customer ID],tblCustomers[Customer Name],"⚠ Unknown")</f>
        <v>Walk-in Customer</v>
      </c>
      <c r="F1129" s="4" t="s">
        <v>13</v>
      </c>
      <c r="G1129" s="1" t="str">
        <f>_xlfn.XLOOKUP(tblSales[[#This Row],[Product Code]],tblProducts[Code],tblProducts[Product / Service Name],"⚠ Unknown")</f>
        <v>Backpack</v>
      </c>
      <c r="H1129" s="1" t="str">
        <f>_xlfn.XLOOKUP(tblSales[[#This Row],[Product Code]],tblProducts[Code],tblProducts[Category],"")</f>
        <v>Bags &amp; Gadgets</v>
      </c>
      <c r="I1129" s="4">
        <v>4</v>
      </c>
      <c r="J1129" s="5">
        <f>_xlfn.XLOOKUP(tblSales[[#This Row],[Product Code]],tblProducts[Code],tblProducts[Selling Price (excl. VAT)],0)</f>
        <v>500000</v>
      </c>
      <c r="K1129" s="5">
        <f>tblSales[[#This Row],[Qty]]*tblSales[[#This Row],[Unit Price]]</f>
        <v>2000000</v>
      </c>
      <c r="L1129" s="5">
        <f>ROUND(tblSales[[#This Row],[DPP (excl. VAT)]]*VATEff,0)</f>
        <v>220000</v>
      </c>
      <c r="M1129" s="5">
        <f>tblSales[[#This Row],[DPP (excl. VAT)]]+tblSales[[#This Row],[Output VAT]]</f>
        <v>2220000</v>
      </c>
      <c r="N1129" s="5">
        <f>tblSales[[#This Row],[Qty]]*_xlfn.XLOOKUP(tblSales[[#This Row],[Product Code]],tblProducts[Code],tblProducts[Unit Cost],0)</f>
        <v>1160000</v>
      </c>
      <c r="O1129" s="4" t="s">
        <v>4866</v>
      </c>
      <c r="P1129" s="4" t="s">
        <v>4862</v>
      </c>
      <c r="Q1129" s="1" t="str">
        <f>_xlfn.XLOOKUP(tblSales[[#This Row],[Channel Code]],tblChannels[Channel Code],tblChannels[Channel Name],"")</f>
        <v>Website &amp; Social Media</v>
      </c>
      <c r="R1129" s="1">
        <f>MONTH(tblSales[[#This Row],[Date]])</f>
        <v>3</v>
      </c>
    </row>
    <row r="1130" spans="2:18" x14ac:dyDescent="0.35">
      <c r="B1130" s="113">
        <v>46093</v>
      </c>
      <c r="C1130" s="4" t="s">
        <v>799</v>
      </c>
      <c r="D1130" s="4" t="s">
        <v>4568</v>
      </c>
      <c r="E1130" s="1" t="str">
        <f>_xlfn.XLOOKUP(tblSales[[#This Row],[Customer ID]],tblCustomers[Customer ID],tblCustomers[Customer Name],"⚠ Unknown")</f>
        <v>Walk-in Customer</v>
      </c>
      <c r="F1130" s="4" t="s">
        <v>6</v>
      </c>
      <c r="G1130" s="1" t="str">
        <f>_xlfn.XLOOKUP(tblSales[[#This Row],[Product Code]],tblProducts[Code],tblProducts[Product / Service Name],"⚠ Unknown")</f>
        <v>Socks &amp; Accessories</v>
      </c>
      <c r="H1130" s="1" t="str">
        <f>_xlfn.XLOOKUP(tblSales[[#This Row],[Product Code]],tblProducts[Code],tblProducts[Category],"")</f>
        <v>Accessories &amp; Basics</v>
      </c>
      <c r="I1130" s="4">
        <v>2</v>
      </c>
      <c r="J1130" s="5">
        <f>_xlfn.XLOOKUP(tblSales[[#This Row],[Product Code]],tblProducts[Code],tblProducts[Selling Price (excl. VAT)],0)</f>
        <v>45000</v>
      </c>
      <c r="K1130" s="5">
        <f>tblSales[[#This Row],[Qty]]*tblSales[[#This Row],[Unit Price]]</f>
        <v>90000</v>
      </c>
      <c r="L1130" s="5">
        <f>ROUND(tblSales[[#This Row],[DPP (excl. VAT)]]*VATEff,0)</f>
        <v>9900</v>
      </c>
      <c r="M1130" s="5">
        <f>tblSales[[#This Row],[DPP (excl. VAT)]]+tblSales[[#This Row],[Output VAT]]</f>
        <v>99900</v>
      </c>
      <c r="N1130" s="5">
        <f>tblSales[[#This Row],[Qty]]*_xlfn.XLOOKUP(tblSales[[#This Row],[Product Code]],tblProducts[Code],tblProducts[Unit Cost],0)</f>
        <v>48000</v>
      </c>
      <c r="O1130" s="4" t="s">
        <v>4866</v>
      </c>
      <c r="P1130" s="4" t="s">
        <v>4861</v>
      </c>
      <c r="Q1130" s="1" t="str">
        <f>_xlfn.XLOOKUP(tblSales[[#This Row],[Channel Code]],tblChannels[Channel Code],tblChannels[Channel Name],"")</f>
        <v>Marketplace</v>
      </c>
      <c r="R1130" s="1">
        <f>MONTH(tblSales[[#This Row],[Date]])</f>
        <v>3</v>
      </c>
    </row>
    <row r="1131" spans="2:18" x14ac:dyDescent="0.35">
      <c r="B1131" s="113">
        <v>46093</v>
      </c>
      <c r="C1131" s="4" t="s">
        <v>799</v>
      </c>
      <c r="D1131" s="4" t="s">
        <v>4568</v>
      </c>
      <c r="E1131" s="1" t="str">
        <f>_xlfn.XLOOKUP(tblSales[[#This Row],[Customer ID]],tblCustomers[Customer ID],tblCustomers[Customer Name],"⚠ Unknown")</f>
        <v>Walk-in Customer</v>
      </c>
      <c r="F1131" s="4" t="s">
        <v>12</v>
      </c>
      <c r="G1131" s="1" t="str">
        <f>_xlfn.XLOOKUP(tblSales[[#This Row],[Product Code]],tblProducts[Code],tblProducts[Product / Service Name],"⚠ Unknown")</f>
        <v>Bomber Jacket</v>
      </c>
      <c r="H1131" s="1" t="str">
        <f>_xlfn.XLOOKUP(tblSales[[#This Row],[Product Code]],tblProducts[Code],tblProducts[Category],"")</f>
        <v>Apparel &amp; Footwear</v>
      </c>
      <c r="I1131" s="4">
        <v>1</v>
      </c>
      <c r="J1131" s="5">
        <f>_xlfn.XLOOKUP(tblSales[[#This Row],[Product Code]],tblProducts[Code],tblProducts[Selling Price (excl. VAT)],0)</f>
        <v>350000</v>
      </c>
      <c r="K1131" s="5">
        <f>tblSales[[#This Row],[Qty]]*tblSales[[#This Row],[Unit Price]]</f>
        <v>350000</v>
      </c>
      <c r="L1131" s="5">
        <f>ROUND(tblSales[[#This Row],[DPP (excl. VAT)]]*VATEff,0)</f>
        <v>38500</v>
      </c>
      <c r="M1131" s="5">
        <f>tblSales[[#This Row],[DPP (excl. VAT)]]+tblSales[[#This Row],[Output VAT]]</f>
        <v>388500</v>
      </c>
      <c r="N1131" s="5">
        <f>tblSales[[#This Row],[Qty]]*_xlfn.XLOOKUP(tblSales[[#This Row],[Product Code]],tblProducts[Code],tblProducts[Unit Cost],0)</f>
        <v>210000</v>
      </c>
      <c r="O1131" s="4" t="s">
        <v>4866</v>
      </c>
      <c r="P1131" s="4" t="s">
        <v>4861</v>
      </c>
      <c r="Q1131" s="1" t="str">
        <f>_xlfn.XLOOKUP(tblSales[[#This Row],[Channel Code]],tblChannels[Channel Code],tblChannels[Channel Name],"")</f>
        <v>Marketplace</v>
      </c>
      <c r="R1131" s="1">
        <f>MONTH(tblSales[[#This Row],[Date]])</f>
        <v>3</v>
      </c>
    </row>
    <row r="1132" spans="2:18" x14ac:dyDescent="0.35">
      <c r="B1132" s="113">
        <v>46093</v>
      </c>
      <c r="C1132" s="4" t="s">
        <v>800</v>
      </c>
      <c r="D1132" s="4" t="s">
        <v>4568</v>
      </c>
      <c r="E1132" s="1" t="str">
        <f>_xlfn.XLOOKUP(tblSales[[#This Row],[Customer ID]],tblCustomers[Customer ID],tblCustomers[Customer Name],"⚠ Unknown")</f>
        <v>Walk-in Customer</v>
      </c>
      <c r="F1132" s="4" t="s">
        <v>12</v>
      </c>
      <c r="G1132" s="1" t="str">
        <f>_xlfn.XLOOKUP(tblSales[[#This Row],[Product Code]],tblProducts[Code],tblProducts[Product / Service Name],"⚠ Unknown")</f>
        <v>Bomber Jacket</v>
      </c>
      <c r="H1132" s="1" t="str">
        <f>_xlfn.XLOOKUP(tblSales[[#This Row],[Product Code]],tblProducts[Code],tblProducts[Category],"")</f>
        <v>Apparel &amp; Footwear</v>
      </c>
      <c r="I1132" s="4">
        <v>2</v>
      </c>
      <c r="J1132" s="5">
        <f>_xlfn.XLOOKUP(tblSales[[#This Row],[Product Code]],tblProducts[Code],tblProducts[Selling Price (excl. VAT)],0)</f>
        <v>350000</v>
      </c>
      <c r="K1132" s="5">
        <f>tblSales[[#This Row],[Qty]]*tblSales[[#This Row],[Unit Price]]</f>
        <v>700000</v>
      </c>
      <c r="L1132" s="5">
        <f>ROUND(tblSales[[#This Row],[DPP (excl. VAT)]]*VATEff,0)</f>
        <v>77000</v>
      </c>
      <c r="M1132" s="5">
        <f>tblSales[[#This Row],[DPP (excl. VAT)]]+tblSales[[#This Row],[Output VAT]]</f>
        <v>777000</v>
      </c>
      <c r="N1132" s="5">
        <f>tblSales[[#This Row],[Qty]]*_xlfn.XLOOKUP(tblSales[[#This Row],[Product Code]],tblProducts[Code],tblProducts[Unit Cost],0)</f>
        <v>420000</v>
      </c>
      <c r="O1132" s="4" t="s">
        <v>4866</v>
      </c>
      <c r="P1132" s="4" t="s">
        <v>4860</v>
      </c>
      <c r="Q1132" s="1" t="str">
        <f>_xlfn.XLOOKUP(tblSales[[#This Row],[Channel Code]],tblChannels[Channel Code],tblChannels[Channel Name],"")</f>
        <v>In-store</v>
      </c>
      <c r="R1132" s="1">
        <f>MONTH(tblSales[[#This Row],[Date]])</f>
        <v>3</v>
      </c>
    </row>
    <row r="1133" spans="2:18" x14ac:dyDescent="0.35">
      <c r="B1133" s="113">
        <v>46093</v>
      </c>
      <c r="C1133" s="4" t="s">
        <v>800</v>
      </c>
      <c r="D1133" s="4" t="s">
        <v>4568</v>
      </c>
      <c r="E1133" s="1" t="str">
        <f>_xlfn.XLOOKUP(tblSales[[#This Row],[Customer ID]],tblCustomers[Customer ID],tblCustomers[Customer Name],"⚠ Unknown")</f>
        <v>Walk-in Customer</v>
      </c>
      <c r="F1133" s="4" t="s">
        <v>8</v>
      </c>
      <c r="G1133" s="1" t="str">
        <f>_xlfn.XLOOKUP(tblSales[[#This Row],[Product Code]],tblProducts[Code],tblProducts[Product / Service Name],"⚠ Unknown")</f>
        <v>Casual Shorts</v>
      </c>
      <c r="H1133" s="1" t="str">
        <f>_xlfn.XLOOKUP(tblSales[[#This Row],[Product Code]],tblProducts[Code],tblProducts[Category],"")</f>
        <v>Accessories &amp; Basics</v>
      </c>
      <c r="I1133" s="4">
        <v>1</v>
      </c>
      <c r="J1133" s="5">
        <f>_xlfn.XLOOKUP(tblSales[[#This Row],[Product Code]],tblProducts[Code],tblProducts[Selling Price (excl. VAT)],0)</f>
        <v>85000</v>
      </c>
      <c r="K1133" s="5">
        <f>tblSales[[#This Row],[Qty]]*tblSales[[#This Row],[Unit Price]]</f>
        <v>85000</v>
      </c>
      <c r="L1133" s="5">
        <f>ROUND(tblSales[[#This Row],[DPP (excl. VAT)]]*VATEff,0)</f>
        <v>9350</v>
      </c>
      <c r="M1133" s="5">
        <f>tblSales[[#This Row],[DPP (excl. VAT)]]+tblSales[[#This Row],[Output VAT]]</f>
        <v>94350</v>
      </c>
      <c r="N1133" s="5">
        <f>tblSales[[#This Row],[Qty]]*_xlfn.XLOOKUP(tblSales[[#This Row],[Product Code]],tblProducts[Code],tblProducts[Unit Cost],0)</f>
        <v>50000</v>
      </c>
      <c r="O1133" s="4" t="s">
        <v>4866</v>
      </c>
      <c r="P1133" s="4" t="s">
        <v>4860</v>
      </c>
      <c r="Q1133" s="1" t="str">
        <f>_xlfn.XLOOKUP(tblSales[[#This Row],[Channel Code]],tblChannels[Channel Code],tblChannels[Channel Name],"")</f>
        <v>In-store</v>
      </c>
      <c r="R1133" s="1">
        <f>MONTH(tblSales[[#This Row],[Date]])</f>
        <v>3</v>
      </c>
    </row>
    <row r="1134" spans="2:18" x14ac:dyDescent="0.35">
      <c r="B1134" s="113">
        <v>46094</v>
      </c>
      <c r="C1134" s="4" t="s">
        <v>801</v>
      </c>
      <c r="D1134" s="4" t="s">
        <v>4568</v>
      </c>
      <c r="E1134" s="1" t="str">
        <f>_xlfn.XLOOKUP(tblSales[[#This Row],[Customer ID]],tblCustomers[Customer ID],tblCustomers[Customer Name],"⚠ Unknown")</f>
        <v>Walk-in Customer</v>
      </c>
      <c r="F1134" s="4" t="s">
        <v>8</v>
      </c>
      <c r="G1134" s="1" t="str">
        <f>_xlfn.XLOOKUP(tblSales[[#This Row],[Product Code]],tblProducts[Code],tblProducts[Product / Service Name],"⚠ Unknown")</f>
        <v>Casual Shorts</v>
      </c>
      <c r="H1134" s="1" t="str">
        <f>_xlfn.XLOOKUP(tblSales[[#This Row],[Product Code]],tblProducts[Code],tblProducts[Category],"")</f>
        <v>Accessories &amp; Basics</v>
      </c>
      <c r="I1134" s="4">
        <v>11</v>
      </c>
      <c r="J1134" s="5">
        <f>_xlfn.XLOOKUP(tblSales[[#This Row],[Product Code]],tblProducts[Code],tblProducts[Selling Price (excl. VAT)],0)</f>
        <v>85000</v>
      </c>
      <c r="K1134" s="5">
        <f>tblSales[[#This Row],[Qty]]*tblSales[[#This Row],[Unit Price]]</f>
        <v>935000</v>
      </c>
      <c r="L1134" s="5">
        <f>ROUND(tblSales[[#This Row],[DPP (excl. VAT)]]*VATEff,0)</f>
        <v>102850</v>
      </c>
      <c r="M1134" s="5">
        <f>tblSales[[#This Row],[DPP (excl. VAT)]]+tblSales[[#This Row],[Output VAT]]</f>
        <v>1037850</v>
      </c>
      <c r="N1134" s="5">
        <f>tblSales[[#This Row],[Qty]]*_xlfn.XLOOKUP(tblSales[[#This Row],[Product Code]],tblProducts[Code],tblProducts[Unit Cost],0)</f>
        <v>550000</v>
      </c>
      <c r="O1134" s="4" t="s">
        <v>4865</v>
      </c>
      <c r="P1134" s="4" t="s">
        <v>4860</v>
      </c>
      <c r="Q1134" s="1" t="str">
        <f>_xlfn.XLOOKUP(tblSales[[#This Row],[Channel Code]],tblChannels[Channel Code],tblChannels[Channel Name],"")</f>
        <v>In-store</v>
      </c>
      <c r="R1134" s="1">
        <f>MONTH(tblSales[[#This Row],[Date]])</f>
        <v>3</v>
      </c>
    </row>
    <row r="1135" spans="2:18" x14ac:dyDescent="0.35">
      <c r="B1135" s="113">
        <v>46094</v>
      </c>
      <c r="C1135" s="4" t="s">
        <v>802</v>
      </c>
      <c r="D1135" s="4" t="s">
        <v>4593</v>
      </c>
      <c r="E1135" s="1" t="str">
        <f>_xlfn.XLOOKUP(tblSales[[#This Row],[Customer ID]],tblCustomers[Customer ID],tblCustomers[Customer Name],"⚠ Unknown")</f>
        <v>PT Graha Nusa Persada</v>
      </c>
      <c r="F1135" s="4" t="s">
        <v>10</v>
      </c>
      <c r="G1135" s="1" t="str">
        <f>_xlfn.XLOOKUP(tblSales[[#This Row],[Product Code]],tblProducts[Code],tblProducts[Product / Service Name],"⚠ Unknown")</f>
        <v>Chino Pants</v>
      </c>
      <c r="H1135" s="1" t="str">
        <f>_xlfn.XLOOKUP(tblSales[[#This Row],[Product Code]],tblProducts[Code],tblProducts[Category],"")</f>
        <v>Apparel &amp; Footwear</v>
      </c>
      <c r="I1135" s="4">
        <v>24</v>
      </c>
      <c r="J1135" s="5">
        <f>_xlfn.XLOOKUP(tblSales[[#This Row],[Product Code]],tblProducts[Code],tblProducts[Selling Price (excl. VAT)],0)</f>
        <v>150000</v>
      </c>
      <c r="K1135" s="5">
        <f>tblSales[[#This Row],[Qty]]*tblSales[[#This Row],[Unit Price]]</f>
        <v>3600000</v>
      </c>
      <c r="L1135" s="5">
        <f>ROUND(tblSales[[#This Row],[DPP (excl. VAT)]]*VATEff,0)</f>
        <v>396000</v>
      </c>
      <c r="M1135" s="5">
        <f>tblSales[[#This Row],[DPP (excl. VAT)]]+tblSales[[#This Row],[Output VAT]]</f>
        <v>3996000</v>
      </c>
      <c r="N1135" s="5">
        <f>tblSales[[#This Row],[Qty]]*_xlfn.XLOOKUP(tblSales[[#This Row],[Product Code]],tblProducts[Code],tblProducts[Unit Cost],0)</f>
        <v>2112000</v>
      </c>
      <c r="O1135" s="4" t="s">
        <v>4867</v>
      </c>
      <c r="P1135" s="4" t="s">
        <v>4860</v>
      </c>
      <c r="Q1135" s="1" t="str">
        <f>_xlfn.XLOOKUP(tblSales[[#This Row],[Channel Code]],tblChannels[Channel Code],tblChannels[Channel Name],"")</f>
        <v>In-store</v>
      </c>
      <c r="R1135" s="1">
        <f>MONTH(tblSales[[#This Row],[Date]])</f>
        <v>3</v>
      </c>
    </row>
    <row r="1136" spans="2:18" x14ac:dyDescent="0.35">
      <c r="B1136" s="113">
        <v>46094</v>
      </c>
      <c r="C1136" s="4" t="s">
        <v>803</v>
      </c>
      <c r="D1136" s="4" t="s">
        <v>4568</v>
      </c>
      <c r="E1136" s="1" t="str">
        <f>_xlfn.XLOOKUP(tblSales[[#This Row],[Customer ID]],tblCustomers[Customer ID],tblCustomers[Customer Name],"⚠ Unknown")</f>
        <v>Walk-in Customer</v>
      </c>
      <c r="F1136" s="4" t="s">
        <v>9</v>
      </c>
      <c r="G1136" s="1" t="str">
        <f>_xlfn.XLOOKUP(tblSales[[#This Row],[Product Code]],tblProducts[Code],tblProducts[Product / Service Name],"⚠ Unknown")</f>
        <v>Casual Shirt</v>
      </c>
      <c r="H1136" s="1" t="str">
        <f>_xlfn.XLOOKUP(tblSales[[#This Row],[Product Code]],tblProducts[Code],tblProducts[Category],"")</f>
        <v>Apparel &amp; Footwear</v>
      </c>
      <c r="I1136" s="4">
        <v>1</v>
      </c>
      <c r="J1136" s="5">
        <f>_xlfn.XLOOKUP(tblSales[[#This Row],[Product Code]],tblProducts[Code],tblProducts[Selling Price (excl. VAT)],0)</f>
        <v>120000</v>
      </c>
      <c r="K1136" s="5">
        <f>tblSales[[#This Row],[Qty]]*tblSales[[#This Row],[Unit Price]]</f>
        <v>120000</v>
      </c>
      <c r="L1136" s="5">
        <f>ROUND(tblSales[[#This Row],[DPP (excl. VAT)]]*VATEff,0)</f>
        <v>13200</v>
      </c>
      <c r="M1136" s="5">
        <f>tblSales[[#This Row],[DPP (excl. VAT)]]+tblSales[[#This Row],[Output VAT]]</f>
        <v>133200</v>
      </c>
      <c r="N1136" s="5">
        <f>tblSales[[#This Row],[Qty]]*_xlfn.XLOOKUP(tblSales[[#This Row],[Product Code]],tblProducts[Code],tblProducts[Unit Cost],0)</f>
        <v>72000</v>
      </c>
      <c r="O1136" s="4" t="s">
        <v>4866</v>
      </c>
      <c r="P1136" s="4" t="s">
        <v>4862</v>
      </c>
      <c r="Q1136" s="1" t="str">
        <f>_xlfn.XLOOKUP(tblSales[[#This Row],[Channel Code]],tblChannels[Channel Code],tblChannels[Channel Name],"")</f>
        <v>Website &amp; Social Media</v>
      </c>
      <c r="R1136" s="1">
        <f>MONTH(tblSales[[#This Row],[Date]])</f>
        <v>3</v>
      </c>
    </row>
    <row r="1137" spans="2:18" x14ac:dyDescent="0.35">
      <c r="B1137" s="113">
        <v>46094</v>
      </c>
      <c r="C1137" s="4" t="s">
        <v>804</v>
      </c>
      <c r="D1137" s="4" t="s">
        <v>4568</v>
      </c>
      <c r="E1137" s="1" t="str">
        <f>_xlfn.XLOOKUP(tblSales[[#This Row],[Customer ID]],tblCustomers[Customer ID],tblCustomers[Customer Name],"⚠ Unknown")</f>
        <v>Walk-in Customer</v>
      </c>
      <c r="F1137" s="4" t="s">
        <v>13</v>
      </c>
      <c r="G1137" s="1" t="str">
        <f>_xlfn.XLOOKUP(tblSales[[#This Row],[Product Code]],tblProducts[Code],tblProducts[Product / Service Name],"⚠ Unknown")</f>
        <v>Backpack</v>
      </c>
      <c r="H1137" s="1" t="str">
        <f>_xlfn.XLOOKUP(tblSales[[#This Row],[Product Code]],tblProducts[Code],tblProducts[Category],"")</f>
        <v>Bags &amp; Gadgets</v>
      </c>
      <c r="I1137" s="4">
        <v>5</v>
      </c>
      <c r="J1137" s="5">
        <f>_xlfn.XLOOKUP(tblSales[[#This Row],[Product Code]],tblProducts[Code],tblProducts[Selling Price (excl. VAT)],0)</f>
        <v>500000</v>
      </c>
      <c r="K1137" s="5">
        <f>tblSales[[#This Row],[Qty]]*tblSales[[#This Row],[Unit Price]]</f>
        <v>2500000</v>
      </c>
      <c r="L1137" s="5">
        <f>ROUND(tblSales[[#This Row],[DPP (excl. VAT)]]*VATEff,0)</f>
        <v>275000</v>
      </c>
      <c r="M1137" s="5">
        <f>tblSales[[#This Row],[DPP (excl. VAT)]]+tblSales[[#This Row],[Output VAT]]</f>
        <v>2775000</v>
      </c>
      <c r="N1137" s="5">
        <f>tblSales[[#This Row],[Qty]]*_xlfn.XLOOKUP(tblSales[[#This Row],[Product Code]],tblProducts[Code],tblProducts[Unit Cost],0)</f>
        <v>1450000</v>
      </c>
      <c r="O1137" s="4" t="s">
        <v>4866</v>
      </c>
      <c r="P1137" s="4" t="s">
        <v>4861</v>
      </c>
      <c r="Q1137" s="1" t="str">
        <f>_xlfn.XLOOKUP(tblSales[[#This Row],[Channel Code]],tblChannels[Channel Code],tblChannels[Channel Name],"")</f>
        <v>Marketplace</v>
      </c>
      <c r="R1137" s="1">
        <f>MONTH(tblSales[[#This Row],[Date]])</f>
        <v>3</v>
      </c>
    </row>
    <row r="1138" spans="2:18" x14ac:dyDescent="0.35">
      <c r="B1138" s="113">
        <v>46094</v>
      </c>
      <c r="C1138" s="4" t="s">
        <v>805</v>
      </c>
      <c r="D1138" s="4" t="s">
        <v>4568</v>
      </c>
      <c r="E1138" s="1" t="str">
        <f>_xlfn.XLOOKUP(tblSales[[#This Row],[Customer ID]],tblCustomers[Customer ID],tblCustomers[Customer Name],"⚠ Unknown")</f>
        <v>Walk-in Customer</v>
      </c>
      <c r="F1138" s="4" t="s">
        <v>7</v>
      </c>
      <c r="G1138" s="1" t="str">
        <f>_xlfn.XLOOKUP(tblSales[[#This Row],[Product Code]],tblProducts[Code],tblProducts[Product / Service Name],"⚠ Unknown")</f>
        <v>Premium Basic T-shirt</v>
      </c>
      <c r="H1138" s="1" t="str">
        <f>_xlfn.XLOOKUP(tblSales[[#This Row],[Product Code]],tblProducts[Code],tblProducts[Category],"")</f>
        <v>Accessories &amp; Basics</v>
      </c>
      <c r="I1138" s="4">
        <v>6</v>
      </c>
      <c r="J1138" s="5">
        <f>_xlfn.XLOOKUP(tblSales[[#This Row],[Product Code]],tblProducts[Code],tblProducts[Selling Price (excl. VAT)],0)</f>
        <v>65000</v>
      </c>
      <c r="K1138" s="5">
        <f>tblSales[[#This Row],[Qty]]*tblSales[[#This Row],[Unit Price]]</f>
        <v>390000</v>
      </c>
      <c r="L1138" s="5">
        <f>ROUND(tblSales[[#This Row],[DPP (excl. VAT)]]*VATEff,0)</f>
        <v>42900</v>
      </c>
      <c r="M1138" s="5">
        <f>tblSales[[#This Row],[DPP (excl. VAT)]]+tblSales[[#This Row],[Output VAT]]</f>
        <v>432900</v>
      </c>
      <c r="N1138" s="5">
        <f>tblSales[[#This Row],[Qty]]*_xlfn.XLOOKUP(tblSales[[#This Row],[Product Code]],tblProducts[Code],tblProducts[Unit Cost],0)</f>
        <v>222000</v>
      </c>
      <c r="O1138" s="4" t="s">
        <v>4866</v>
      </c>
      <c r="P1138" s="4" t="s">
        <v>4861</v>
      </c>
      <c r="Q1138" s="1" t="str">
        <f>_xlfn.XLOOKUP(tblSales[[#This Row],[Channel Code]],tblChannels[Channel Code],tblChannels[Channel Name],"")</f>
        <v>Marketplace</v>
      </c>
      <c r="R1138" s="1">
        <f>MONTH(tblSales[[#This Row],[Date]])</f>
        <v>3</v>
      </c>
    </row>
    <row r="1139" spans="2:18" x14ac:dyDescent="0.35">
      <c r="B1139" s="113">
        <v>46094</v>
      </c>
      <c r="C1139" s="4" t="s">
        <v>806</v>
      </c>
      <c r="D1139" s="4" t="s">
        <v>4568</v>
      </c>
      <c r="E1139" s="1" t="str">
        <f>_xlfn.XLOOKUP(tblSales[[#This Row],[Customer ID]],tblCustomers[Customer ID],tblCustomers[Customer Name],"⚠ Unknown")</f>
        <v>Walk-in Customer</v>
      </c>
      <c r="F1139" s="4" t="s">
        <v>7</v>
      </c>
      <c r="G1139" s="1" t="str">
        <f>_xlfn.XLOOKUP(tblSales[[#This Row],[Product Code]],tblProducts[Code],tblProducts[Product / Service Name],"⚠ Unknown")</f>
        <v>Premium Basic T-shirt</v>
      </c>
      <c r="H1139" s="1" t="str">
        <f>_xlfn.XLOOKUP(tblSales[[#This Row],[Product Code]],tblProducts[Code],tblProducts[Category],"")</f>
        <v>Accessories &amp; Basics</v>
      </c>
      <c r="I1139" s="4">
        <v>5</v>
      </c>
      <c r="J1139" s="5">
        <f>_xlfn.XLOOKUP(tblSales[[#This Row],[Product Code]],tblProducts[Code],tblProducts[Selling Price (excl. VAT)],0)</f>
        <v>65000</v>
      </c>
      <c r="K1139" s="5">
        <f>tblSales[[#This Row],[Qty]]*tblSales[[#This Row],[Unit Price]]</f>
        <v>325000</v>
      </c>
      <c r="L1139" s="5">
        <f>ROUND(tblSales[[#This Row],[DPP (excl. VAT)]]*VATEff,0)</f>
        <v>35750</v>
      </c>
      <c r="M1139" s="5">
        <f>tblSales[[#This Row],[DPP (excl. VAT)]]+tblSales[[#This Row],[Output VAT]]</f>
        <v>360750</v>
      </c>
      <c r="N1139" s="5">
        <f>tblSales[[#This Row],[Qty]]*_xlfn.XLOOKUP(tblSales[[#This Row],[Product Code]],tblProducts[Code],tblProducts[Unit Cost],0)</f>
        <v>185000</v>
      </c>
      <c r="O1139" s="4" t="s">
        <v>4865</v>
      </c>
      <c r="P1139" s="4" t="s">
        <v>4860</v>
      </c>
      <c r="Q1139" s="1" t="str">
        <f>_xlfn.XLOOKUP(tblSales[[#This Row],[Channel Code]],tblChannels[Channel Code],tblChannels[Channel Name],"")</f>
        <v>In-store</v>
      </c>
      <c r="R1139" s="1">
        <f>MONTH(tblSales[[#This Row],[Date]])</f>
        <v>3</v>
      </c>
    </row>
    <row r="1140" spans="2:18" x14ac:dyDescent="0.35">
      <c r="B1140" s="113">
        <v>46094</v>
      </c>
      <c r="C1140" s="4" t="s">
        <v>806</v>
      </c>
      <c r="D1140" s="4" t="s">
        <v>4568</v>
      </c>
      <c r="E1140" s="1" t="str">
        <f>_xlfn.XLOOKUP(tblSales[[#This Row],[Customer ID]],tblCustomers[Customer ID],tblCustomers[Customer Name],"⚠ Unknown")</f>
        <v>Walk-in Customer</v>
      </c>
      <c r="F1140" s="4" t="s">
        <v>10</v>
      </c>
      <c r="G1140" s="1" t="str">
        <f>_xlfn.XLOOKUP(tblSales[[#This Row],[Product Code]],tblProducts[Code],tblProducts[Product / Service Name],"⚠ Unknown")</f>
        <v>Chino Pants</v>
      </c>
      <c r="H1140" s="1" t="str">
        <f>_xlfn.XLOOKUP(tblSales[[#This Row],[Product Code]],tblProducts[Code],tblProducts[Category],"")</f>
        <v>Apparel &amp; Footwear</v>
      </c>
      <c r="I1140" s="4">
        <v>12</v>
      </c>
      <c r="J1140" s="5">
        <f>_xlfn.XLOOKUP(tblSales[[#This Row],[Product Code]],tblProducts[Code],tblProducts[Selling Price (excl. VAT)],0)</f>
        <v>150000</v>
      </c>
      <c r="K1140" s="5">
        <f>tblSales[[#This Row],[Qty]]*tblSales[[#This Row],[Unit Price]]</f>
        <v>1800000</v>
      </c>
      <c r="L1140" s="5">
        <f>ROUND(tblSales[[#This Row],[DPP (excl. VAT)]]*VATEff,0)</f>
        <v>198000</v>
      </c>
      <c r="M1140" s="5">
        <f>tblSales[[#This Row],[DPP (excl. VAT)]]+tblSales[[#This Row],[Output VAT]]</f>
        <v>1998000</v>
      </c>
      <c r="N1140" s="5">
        <f>tblSales[[#This Row],[Qty]]*_xlfn.XLOOKUP(tblSales[[#This Row],[Product Code]],tblProducts[Code],tblProducts[Unit Cost],0)</f>
        <v>1056000</v>
      </c>
      <c r="O1140" s="4" t="s">
        <v>4865</v>
      </c>
      <c r="P1140" s="4" t="s">
        <v>4860</v>
      </c>
      <c r="Q1140" s="1" t="str">
        <f>_xlfn.XLOOKUP(tblSales[[#This Row],[Channel Code]],tblChannels[Channel Code],tblChannels[Channel Name],"")</f>
        <v>In-store</v>
      </c>
      <c r="R1140" s="1">
        <f>MONTH(tblSales[[#This Row],[Date]])</f>
        <v>3</v>
      </c>
    </row>
    <row r="1141" spans="2:18" x14ac:dyDescent="0.35">
      <c r="B1141" s="113">
        <v>46094</v>
      </c>
      <c r="C1141" s="4" t="s">
        <v>807</v>
      </c>
      <c r="D1141" s="4" t="s">
        <v>4568</v>
      </c>
      <c r="E1141" s="1" t="str">
        <f>_xlfn.XLOOKUP(tblSales[[#This Row],[Customer ID]],tblCustomers[Customer ID],tblCustomers[Customer Name],"⚠ Unknown")</f>
        <v>Walk-in Customer</v>
      </c>
      <c r="F1141" s="4" t="s">
        <v>11</v>
      </c>
      <c r="G1141" s="1" t="str">
        <f>_xlfn.XLOOKUP(tblSales[[#This Row],[Product Code]],tblProducts[Code],tblProducts[Product / Service Name],"⚠ Unknown")</f>
        <v>Sneakers</v>
      </c>
      <c r="H1141" s="1" t="str">
        <f>_xlfn.XLOOKUP(tblSales[[#This Row],[Product Code]],tblProducts[Code],tblProducts[Category],"")</f>
        <v>Apparel &amp; Footwear</v>
      </c>
      <c r="I1141" s="4">
        <v>6</v>
      </c>
      <c r="J1141" s="5">
        <f>_xlfn.XLOOKUP(tblSales[[#This Row],[Product Code]],tblProducts[Code],tblProducts[Selling Price (excl. VAT)],0)</f>
        <v>250000</v>
      </c>
      <c r="K1141" s="5">
        <f>tblSales[[#This Row],[Qty]]*tblSales[[#This Row],[Unit Price]]</f>
        <v>1500000</v>
      </c>
      <c r="L1141" s="5">
        <f>ROUND(tblSales[[#This Row],[DPP (excl. VAT)]]*VATEff,0)</f>
        <v>165000</v>
      </c>
      <c r="M1141" s="5">
        <f>tblSales[[#This Row],[DPP (excl. VAT)]]+tblSales[[#This Row],[Output VAT]]</f>
        <v>1665000</v>
      </c>
      <c r="N1141" s="5">
        <f>tblSales[[#This Row],[Qty]]*_xlfn.XLOOKUP(tblSales[[#This Row],[Product Code]],tblProducts[Code],tblProducts[Unit Cost],0)</f>
        <v>930000</v>
      </c>
      <c r="O1141" s="4" t="s">
        <v>4865</v>
      </c>
      <c r="P1141" s="4" t="s">
        <v>4860</v>
      </c>
      <c r="Q1141" s="1" t="str">
        <f>_xlfn.XLOOKUP(tblSales[[#This Row],[Channel Code]],tblChannels[Channel Code],tblChannels[Channel Name],"")</f>
        <v>In-store</v>
      </c>
      <c r="R1141" s="1">
        <f>MONTH(tblSales[[#This Row],[Date]])</f>
        <v>3</v>
      </c>
    </row>
    <row r="1142" spans="2:18" x14ac:dyDescent="0.35">
      <c r="B1142" s="113">
        <v>46094</v>
      </c>
      <c r="C1142" s="4" t="s">
        <v>808</v>
      </c>
      <c r="D1142" s="4" t="s">
        <v>4568</v>
      </c>
      <c r="E1142" s="1" t="str">
        <f>_xlfn.XLOOKUP(tblSales[[#This Row],[Customer ID]],tblCustomers[Customer ID],tblCustomers[Customer Name],"⚠ Unknown")</f>
        <v>Walk-in Customer</v>
      </c>
      <c r="F1142" s="4" t="s">
        <v>7</v>
      </c>
      <c r="G1142" s="1" t="str">
        <f>_xlfn.XLOOKUP(tblSales[[#This Row],[Product Code]],tblProducts[Code],tblProducts[Product / Service Name],"⚠ Unknown")</f>
        <v>Premium Basic T-shirt</v>
      </c>
      <c r="H1142" s="1" t="str">
        <f>_xlfn.XLOOKUP(tblSales[[#This Row],[Product Code]],tblProducts[Code],tblProducts[Category],"")</f>
        <v>Accessories &amp; Basics</v>
      </c>
      <c r="I1142" s="4">
        <v>2</v>
      </c>
      <c r="J1142" s="5">
        <f>_xlfn.XLOOKUP(tblSales[[#This Row],[Product Code]],tblProducts[Code],tblProducts[Selling Price (excl. VAT)],0)</f>
        <v>65000</v>
      </c>
      <c r="K1142" s="5">
        <f>tblSales[[#This Row],[Qty]]*tblSales[[#This Row],[Unit Price]]</f>
        <v>130000</v>
      </c>
      <c r="L1142" s="5">
        <f>ROUND(tblSales[[#This Row],[DPP (excl. VAT)]]*VATEff,0)</f>
        <v>14300</v>
      </c>
      <c r="M1142" s="5">
        <f>tblSales[[#This Row],[DPP (excl. VAT)]]+tblSales[[#This Row],[Output VAT]]</f>
        <v>144300</v>
      </c>
      <c r="N1142" s="5">
        <f>tblSales[[#This Row],[Qty]]*_xlfn.XLOOKUP(tblSales[[#This Row],[Product Code]],tblProducts[Code],tblProducts[Unit Cost],0)</f>
        <v>74000</v>
      </c>
      <c r="O1142" s="4" t="s">
        <v>4866</v>
      </c>
      <c r="P1142" s="4" t="s">
        <v>4861</v>
      </c>
      <c r="Q1142" s="1" t="str">
        <f>_xlfn.XLOOKUP(tblSales[[#This Row],[Channel Code]],tblChannels[Channel Code],tblChannels[Channel Name],"")</f>
        <v>Marketplace</v>
      </c>
      <c r="R1142" s="1">
        <f>MONTH(tblSales[[#This Row],[Date]])</f>
        <v>3</v>
      </c>
    </row>
    <row r="1143" spans="2:18" x14ac:dyDescent="0.35">
      <c r="B1143" s="113">
        <v>46094</v>
      </c>
      <c r="C1143" s="4" t="s">
        <v>809</v>
      </c>
      <c r="D1143" s="4" t="s">
        <v>4606</v>
      </c>
      <c r="E1143" s="1" t="str">
        <f>_xlfn.XLOOKUP(tblSales[[#This Row],[Customer ID]],tblCustomers[Customer ID],tblCustomers[Customer Name],"⚠ Unknown")</f>
        <v>PT Arunika Digital Kreatif</v>
      </c>
      <c r="F1143" s="4" t="s">
        <v>12</v>
      </c>
      <c r="G1143" s="1" t="str">
        <f>_xlfn.XLOOKUP(tblSales[[#This Row],[Product Code]],tblProducts[Code],tblProducts[Product / Service Name],"⚠ Unknown")</f>
        <v>Bomber Jacket</v>
      </c>
      <c r="H1143" s="1" t="str">
        <f>_xlfn.XLOOKUP(tblSales[[#This Row],[Product Code]],tblProducts[Code],tblProducts[Category],"")</f>
        <v>Apparel &amp; Footwear</v>
      </c>
      <c r="I1143" s="4">
        <v>16</v>
      </c>
      <c r="J1143" s="5">
        <f>_xlfn.XLOOKUP(tblSales[[#This Row],[Product Code]],tblProducts[Code],tblProducts[Selling Price (excl. VAT)],0)</f>
        <v>350000</v>
      </c>
      <c r="K1143" s="5">
        <f>tblSales[[#This Row],[Qty]]*tblSales[[#This Row],[Unit Price]]</f>
        <v>5600000</v>
      </c>
      <c r="L1143" s="5">
        <f>ROUND(tblSales[[#This Row],[DPP (excl. VAT)]]*VATEff,0)</f>
        <v>616000</v>
      </c>
      <c r="M1143" s="5">
        <f>tblSales[[#This Row],[DPP (excl. VAT)]]+tblSales[[#This Row],[Output VAT]]</f>
        <v>6216000</v>
      </c>
      <c r="N1143" s="5">
        <f>tblSales[[#This Row],[Qty]]*_xlfn.XLOOKUP(tblSales[[#This Row],[Product Code]],tblProducts[Code],tblProducts[Unit Cost],0)</f>
        <v>3360000</v>
      </c>
      <c r="O1143" s="4" t="s">
        <v>4867</v>
      </c>
      <c r="P1143" s="4" t="s">
        <v>4860</v>
      </c>
      <c r="Q1143" s="1" t="str">
        <f>_xlfn.XLOOKUP(tblSales[[#This Row],[Channel Code]],tblChannels[Channel Code],tblChannels[Channel Name],"")</f>
        <v>In-store</v>
      </c>
      <c r="R1143" s="1">
        <f>MONTH(tblSales[[#This Row],[Date]])</f>
        <v>3</v>
      </c>
    </row>
    <row r="1144" spans="2:18" x14ac:dyDescent="0.35">
      <c r="B1144" s="113">
        <v>46094</v>
      </c>
      <c r="C1144" s="4" t="s">
        <v>810</v>
      </c>
      <c r="D1144" s="4" t="s">
        <v>4568</v>
      </c>
      <c r="E1144" s="1" t="str">
        <f>_xlfn.XLOOKUP(tblSales[[#This Row],[Customer ID]],tblCustomers[Customer ID],tblCustomers[Customer Name],"⚠ Unknown")</f>
        <v>Walk-in Customer</v>
      </c>
      <c r="F1144" s="4" t="s">
        <v>10</v>
      </c>
      <c r="G1144" s="1" t="str">
        <f>_xlfn.XLOOKUP(tblSales[[#This Row],[Product Code]],tblProducts[Code],tblProducts[Product / Service Name],"⚠ Unknown")</f>
        <v>Chino Pants</v>
      </c>
      <c r="H1144" s="1" t="str">
        <f>_xlfn.XLOOKUP(tblSales[[#This Row],[Product Code]],tblProducts[Code],tblProducts[Category],"")</f>
        <v>Apparel &amp; Footwear</v>
      </c>
      <c r="I1144" s="4">
        <v>11</v>
      </c>
      <c r="J1144" s="5">
        <f>_xlfn.XLOOKUP(tblSales[[#This Row],[Product Code]],tblProducts[Code],tblProducts[Selling Price (excl. VAT)],0)</f>
        <v>150000</v>
      </c>
      <c r="K1144" s="5">
        <f>tblSales[[#This Row],[Qty]]*tblSales[[#This Row],[Unit Price]]</f>
        <v>1650000</v>
      </c>
      <c r="L1144" s="5">
        <f>ROUND(tblSales[[#This Row],[DPP (excl. VAT)]]*VATEff,0)</f>
        <v>181500</v>
      </c>
      <c r="M1144" s="5">
        <f>tblSales[[#This Row],[DPP (excl. VAT)]]+tblSales[[#This Row],[Output VAT]]</f>
        <v>1831500</v>
      </c>
      <c r="N1144" s="5">
        <f>tblSales[[#This Row],[Qty]]*_xlfn.XLOOKUP(tblSales[[#This Row],[Product Code]],tblProducts[Code],tblProducts[Unit Cost],0)</f>
        <v>968000</v>
      </c>
      <c r="O1144" s="4" t="s">
        <v>4866</v>
      </c>
      <c r="P1144" s="4" t="s">
        <v>4861</v>
      </c>
      <c r="Q1144" s="1" t="str">
        <f>_xlfn.XLOOKUP(tblSales[[#This Row],[Channel Code]],tblChannels[Channel Code],tblChannels[Channel Name],"")</f>
        <v>Marketplace</v>
      </c>
      <c r="R1144" s="1">
        <f>MONTH(tblSales[[#This Row],[Date]])</f>
        <v>3</v>
      </c>
    </row>
    <row r="1145" spans="2:18" x14ac:dyDescent="0.35">
      <c r="B1145" s="113">
        <v>46094</v>
      </c>
      <c r="C1145" s="4" t="s">
        <v>811</v>
      </c>
      <c r="D1145" s="4" t="s">
        <v>4568</v>
      </c>
      <c r="E1145" s="1" t="str">
        <f>_xlfn.XLOOKUP(tblSales[[#This Row],[Customer ID]],tblCustomers[Customer ID],tblCustomers[Customer Name],"⚠ Unknown")</f>
        <v>Walk-in Customer</v>
      </c>
      <c r="F1145" s="4" t="s">
        <v>11</v>
      </c>
      <c r="G1145" s="1" t="str">
        <f>_xlfn.XLOOKUP(tblSales[[#This Row],[Product Code]],tblProducts[Code],tblProducts[Product / Service Name],"⚠ Unknown")</f>
        <v>Sneakers</v>
      </c>
      <c r="H1145" s="1" t="str">
        <f>_xlfn.XLOOKUP(tblSales[[#This Row],[Product Code]],tblProducts[Code],tblProducts[Category],"")</f>
        <v>Apparel &amp; Footwear</v>
      </c>
      <c r="I1145" s="4">
        <v>4</v>
      </c>
      <c r="J1145" s="5">
        <f>_xlfn.XLOOKUP(tblSales[[#This Row],[Product Code]],tblProducts[Code],tblProducts[Selling Price (excl. VAT)],0)</f>
        <v>250000</v>
      </c>
      <c r="K1145" s="5">
        <f>tblSales[[#This Row],[Qty]]*tblSales[[#This Row],[Unit Price]]</f>
        <v>1000000</v>
      </c>
      <c r="L1145" s="5">
        <f>ROUND(tblSales[[#This Row],[DPP (excl. VAT)]]*VATEff,0)</f>
        <v>110000</v>
      </c>
      <c r="M1145" s="5">
        <f>tblSales[[#This Row],[DPP (excl. VAT)]]+tblSales[[#This Row],[Output VAT]]</f>
        <v>1110000</v>
      </c>
      <c r="N1145" s="5">
        <f>tblSales[[#This Row],[Qty]]*_xlfn.XLOOKUP(tblSales[[#This Row],[Product Code]],tblProducts[Code],tblProducts[Unit Cost],0)</f>
        <v>620000</v>
      </c>
      <c r="O1145" s="4" t="s">
        <v>4865</v>
      </c>
      <c r="P1145" s="4" t="s">
        <v>4860</v>
      </c>
      <c r="Q1145" s="1" t="str">
        <f>_xlfn.XLOOKUP(tblSales[[#This Row],[Channel Code]],tblChannels[Channel Code],tblChannels[Channel Name],"")</f>
        <v>In-store</v>
      </c>
      <c r="R1145" s="1">
        <f>MONTH(tblSales[[#This Row],[Date]])</f>
        <v>3</v>
      </c>
    </row>
    <row r="1146" spans="2:18" x14ac:dyDescent="0.35">
      <c r="B1146" s="113">
        <v>46094</v>
      </c>
      <c r="C1146" s="4" t="s">
        <v>812</v>
      </c>
      <c r="D1146" s="4" t="s">
        <v>4568</v>
      </c>
      <c r="E1146" s="1" t="str">
        <f>_xlfn.XLOOKUP(tblSales[[#This Row],[Customer ID]],tblCustomers[Customer ID],tblCustomers[Customer Name],"⚠ Unknown")</f>
        <v>Walk-in Customer</v>
      </c>
      <c r="F1146" s="4" t="s">
        <v>8</v>
      </c>
      <c r="G1146" s="1" t="str">
        <f>_xlfn.XLOOKUP(tblSales[[#This Row],[Product Code]],tblProducts[Code],tblProducts[Product / Service Name],"⚠ Unknown")</f>
        <v>Casual Shorts</v>
      </c>
      <c r="H1146" s="1" t="str">
        <f>_xlfn.XLOOKUP(tblSales[[#This Row],[Product Code]],tblProducts[Code],tblProducts[Category],"")</f>
        <v>Accessories &amp; Basics</v>
      </c>
      <c r="I1146" s="4">
        <v>5</v>
      </c>
      <c r="J1146" s="5">
        <f>_xlfn.XLOOKUP(tblSales[[#This Row],[Product Code]],tblProducts[Code],tblProducts[Selling Price (excl. VAT)],0)</f>
        <v>85000</v>
      </c>
      <c r="K1146" s="5">
        <f>tblSales[[#This Row],[Qty]]*tblSales[[#This Row],[Unit Price]]</f>
        <v>425000</v>
      </c>
      <c r="L1146" s="5">
        <f>ROUND(tblSales[[#This Row],[DPP (excl. VAT)]]*VATEff,0)</f>
        <v>46750</v>
      </c>
      <c r="M1146" s="5">
        <f>tblSales[[#This Row],[DPP (excl. VAT)]]+tblSales[[#This Row],[Output VAT]]</f>
        <v>471750</v>
      </c>
      <c r="N1146" s="5">
        <f>tblSales[[#This Row],[Qty]]*_xlfn.XLOOKUP(tblSales[[#This Row],[Product Code]],tblProducts[Code],tblProducts[Unit Cost],0)</f>
        <v>250000</v>
      </c>
      <c r="O1146" s="4" t="s">
        <v>4866</v>
      </c>
      <c r="P1146" s="4" t="s">
        <v>4861</v>
      </c>
      <c r="Q1146" s="1" t="str">
        <f>_xlfn.XLOOKUP(tblSales[[#This Row],[Channel Code]],tblChannels[Channel Code],tblChannels[Channel Name],"")</f>
        <v>Marketplace</v>
      </c>
      <c r="R1146" s="1">
        <f>MONTH(tblSales[[#This Row],[Date]])</f>
        <v>3</v>
      </c>
    </row>
    <row r="1147" spans="2:18" x14ac:dyDescent="0.35">
      <c r="B1147" s="113">
        <v>46094</v>
      </c>
      <c r="C1147" s="4" t="s">
        <v>813</v>
      </c>
      <c r="D1147" s="4" t="s">
        <v>4568</v>
      </c>
      <c r="E1147" s="1" t="str">
        <f>_xlfn.XLOOKUP(tblSales[[#This Row],[Customer ID]],tblCustomers[Customer ID],tblCustomers[Customer Name],"⚠ Unknown")</f>
        <v>Walk-in Customer</v>
      </c>
      <c r="F1147" s="4" t="s">
        <v>8</v>
      </c>
      <c r="G1147" s="1" t="str">
        <f>_xlfn.XLOOKUP(tblSales[[#This Row],[Product Code]],tblProducts[Code],tblProducts[Product / Service Name],"⚠ Unknown")</f>
        <v>Casual Shorts</v>
      </c>
      <c r="H1147" s="1" t="str">
        <f>_xlfn.XLOOKUP(tblSales[[#This Row],[Product Code]],tblProducts[Code],tblProducts[Category],"")</f>
        <v>Accessories &amp; Basics</v>
      </c>
      <c r="I1147" s="4">
        <v>1</v>
      </c>
      <c r="J1147" s="5">
        <f>_xlfn.XLOOKUP(tblSales[[#This Row],[Product Code]],tblProducts[Code],tblProducts[Selling Price (excl. VAT)],0)</f>
        <v>85000</v>
      </c>
      <c r="K1147" s="5">
        <f>tblSales[[#This Row],[Qty]]*tblSales[[#This Row],[Unit Price]]</f>
        <v>85000</v>
      </c>
      <c r="L1147" s="5">
        <f>ROUND(tblSales[[#This Row],[DPP (excl. VAT)]]*VATEff,0)</f>
        <v>9350</v>
      </c>
      <c r="M1147" s="5">
        <f>tblSales[[#This Row],[DPP (excl. VAT)]]+tblSales[[#This Row],[Output VAT]]</f>
        <v>94350</v>
      </c>
      <c r="N1147" s="5">
        <f>tblSales[[#This Row],[Qty]]*_xlfn.XLOOKUP(tblSales[[#This Row],[Product Code]],tblProducts[Code],tblProducts[Unit Cost],0)</f>
        <v>50000</v>
      </c>
      <c r="O1147" s="4" t="s">
        <v>4865</v>
      </c>
      <c r="P1147" s="4" t="s">
        <v>4860</v>
      </c>
      <c r="Q1147" s="1" t="str">
        <f>_xlfn.XLOOKUP(tblSales[[#This Row],[Channel Code]],tblChannels[Channel Code],tblChannels[Channel Name],"")</f>
        <v>In-store</v>
      </c>
      <c r="R1147" s="1">
        <f>MONTH(tblSales[[#This Row],[Date]])</f>
        <v>3</v>
      </c>
    </row>
    <row r="1148" spans="2:18" x14ac:dyDescent="0.35">
      <c r="B1148" s="113">
        <v>46094</v>
      </c>
      <c r="C1148" s="4" t="s">
        <v>814</v>
      </c>
      <c r="D1148" s="4" t="s">
        <v>4593</v>
      </c>
      <c r="E1148" s="1" t="str">
        <f>_xlfn.XLOOKUP(tblSales[[#This Row],[Customer ID]],tblCustomers[Customer ID],tblCustomers[Customer Name],"⚠ Unknown")</f>
        <v>PT Graha Nusa Persada</v>
      </c>
      <c r="F1148" s="4" t="s">
        <v>7</v>
      </c>
      <c r="G1148" s="1" t="str">
        <f>_xlfn.XLOOKUP(tblSales[[#This Row],[Product Code]],tblProducts[Code],tblProducts[Product / Service Name],"⚠ Unknown")</f>
        <v>Premium Basic T-shirt</v>
      </c>
      <c r="H1148" s="1" t="str">
        <f>_xlfn.XLOOKUP(tblSales[[#This Row],[Product Code]],tblProducts[Code],tblProducts[Category],"")</f>
        <v>Accessories &amp; Basics</v>
      </c>
      <c r="I1148" s="4">
        <v>56</v>
      </c>
      <c r="J1148" s="5">
        <f>_xlfn.XLOOKUP(tblSales[[#This Row],[Product Code]],tblProducts[Code],tblProducts[Selling Price (excl. VAT)],0)</f>
        <v>65000</v>
      </c>
      <c r="K1148" s="5">
        <f>tblSales[[#This Row],[Qty]]*tblSales[[#This Row],[Unit Price]]</f>
        <v>3640000</v>
      </c>
      <c r="L1148" s="5">
        <f>ROUND(tblSales[[#This Row],[DPP (excl. VAT)]]*VATEff,0)</f>
        <v>400400</v>
      </c>
      <c r="M1148" s="5">
        <f>tblSales[[#This Row],[DPP (excl. VAT)]]+tblSales[[#This Row],[Output VAT]]</f>
        <v>4040400</v>
      </c>
      <c r="N1148" s="5">
        <f>tblSales[[#This Row],[Qty]]*_xlfn.XLOOKUP(tblSales[[#This Row],[Product Code]],tblProducts[Code],tblProducts[Unit Cost],0)</f>
        <v>2072000</v>
      </c>
      <c r="O1148" s="4" t="s">
        <v>4867</v>
      </c>
      <c r="P1148" s="4" t="s">
        <v>4860</v>
      </c>
      <c r="Q1148" s="1" t="str">
        <f>_xlfn.XLOOKUP(tblSales[[#This Row],[Channel Code]],tblChannels[Channel Code],tblChannels[Channel Name],"")</f>
        <v>In-store</v>
      </c>
      <c r="R1148" s="1">
        <f>MONTH(tblSales[[#This Row],[Date]])</f>
        <v>3</v>
      </c>
    </row>
    <row r="1149" spans="2:18" x14ac:dyDescent="0.35">
      <c r="B1149" s="113">
        <v>46094</v>
      </c>
      <c r="C1149" s="4" t="s">
        <v>815</v>
      </c>
      <c r="D1149" s="4" t="s">
        <v>4568</v>
      </c>
      <c r="E1149" s="1" t="str">
        <f>_xlfn.XLOOKUP(tblSales[[#This Row],[Customer ID]],tblCustomers[Customer ID],tblCustomers[Customer Name],"⚠ Unknown")</f>
        <v>Walk-in Customer</v>
      </c>
      <c r="F1149" s="4" t="s">
        <v>7</v>
      </c>
      <c r="G1149" s="1" t="str">
        <f>_xlfn.XLOOKUP(tblSales[[#This Row],[Product Code]],tblProducts[Code],tblProducts[Product / Service Name],"⚠ Unknown")</f>
        <v>Premium Basic T-shirt</v>
      </c>
      <c r="H1149" s="1" t="str">
        <f>_xlfn.XLOOKUP(tblSales[[#This Row],[Product Code]],tblProducts[Code],tblProducts[Category],"")</f>
        <v>Accessories &amp; Basics</v>
      </c>
      <c r="I1149" s="4">
        <v>2</v>
      </c>
      <c r="J1149" s="5">
        <f>_xlfn.XLOOKUP(tblSales[[#This Row],[Product Code]],tblProducts[Code],tblProducts[Selling Price (excl. VAT)],0)</f>
        <v>65000</v>
      </c>
      <c r="K1149" s="5">
        <f>tblSales[[#This Row],[Qty]]*tblSales[[#This Row],[Unit Price]]</f>
        <v>130000</v>
      </c>
      <c r="L1149" s="5">
        <f>ROUND(tblSales[[#This Row],[DPP (excl. VAT)]]*VATEff,0)</f>
        <v>14300</v>
      </c>
      <c r="M1149" s="5">
        <f>tblSales[[#This Row],[DPP (excl. VAT)]]+tblSales[[#This Row],[Output VAT]]</f>
        <v>144300</v>
      </c>
      <c r="N1149" s="5">
        <f>tblSales[[#This Row],[Qty]]*_xlfn.XLOOKUP(tblSales[[#This Row],[Product Code]],tblProducts[Code],tblProducts[Unit Cost],0)</f>
        <v>74000</v>
      </c>
      <c r="O1149" s="4" t="s">
        <v>4866</v>
      </c>
      <c r="P1149" s="4" t="s">
        <v>4862</v>
      </c>
      <c r="Q1149" s="1" t="str">
        <f>_xlfn.XLOOKUP(tblSales[[#This Row],[Channel Code]],tblChannels[Channel Code],tblChannels[Channel Name],"")</f>
        <v>Website &amp; Social Media</v>
      </c>
      <c r="R1149" s="1">
        <f>MONTH(tblSales[[#This Row],[Date]])</f>
        <v>3</v>
      </c>
    </row>
    <row r="1150" spans="2:18" x14ac:dyDescent="0.35">
      <c r="B1150" s="113">
        <v>46094</v>
      </c>
      <c r="C1150" s="4" t="s">
        <v>816</v>
      </c>
      <c r="D1150" s="4" t="s">
        <v>4634</v>
      </c>
      <c r="E1150" s="1" t="str">
        <f>_xlfn.XLOOKUP(tblSales[[#This Row],[Customer ID]],tblCustomers[Customer ID],tblCustomers[Customer Name],"⚠ Unknown")</f>
        <v>PT Delta Inti Selaras</v>
      </c>
      <c r="F1150" s="4" t="s">
        <v>7</v>
      </c>
      <c r="G1150" s="1" t="str">
        <f>_xlfn.XLOOKUP(tblSales[[#This Row],[Product Code]],tblProducts[Code],tblProducts[Product / Service Name],"⚠ Unknown")</f>
        <v>Premium Basic T-shirt</v>
      </c>
      <c r="H1150" s="1" t="str">
        <f>_xlfn.XLOOKUP(tblSales[[#This Row],[Product Code]],tblProducts[Code],tblProducts[Category],"")</f>
        <v>Accessories &amp; Basics</v>
      </c>
      <c r="I1150" s="4">
        <v>32</v>
      </c>
      <c r="J1150" s="5">
        <f>_xlfn.XLOOKUP(tblSales[[#This Row],[Product Code]],tblProducts[Code],tblProducts[Selling Price (excl. VAT)],0)</f>
        <v>65000</v>
      </c>
      <c r="K1150" s="5">
        <f>tblSales[[#This Row],[Qty]]*tblSales[[#This Row],[Unit Price]]</f>
        <v>2080000</v>
      </c>
      <c r="L1150" s="5">
        <f>ROUND(tblSales[[#This Row],[DPP (excl. VAT)]]*VATEff,0)</f>
        <v>228800</v>
      </c>
      <c r="M1150" s="5">
        <f>tblSales[[#This Row],[DPP (excl. VAT)]]+tblSales[[#This Row],[Output VAT]]</f>
        <v>2308800</v>
      </c>
      <c r="N1150" s="5">
        <f>tblSales[[#This Row],[Qty]]*_xlfn.XLOOKUP(tblSales[[#This Row],[Product Code]],tblProducts[Code],tblProducts[Unit Cost],0)</f>
        <v>1184000</v>
      </c>
      <c r="O1150" s="4" t="s">
        <v>4867</v>
      </c>
      <c r="P1150" s="4" t="s">
        <v>4860</v>
      </c>
      <c r="Q1150" s="1" t="str">
        <f>_xlfn.XLOOKUP(tblSales[[#This Row],[Channel Code]],tblChannels[Channel Code],tblChannels[Channel Name],"")</f>
        <v>In-store</v>
      </c>
      <c r="R1150" s="1">
        <f>MONTH(tblSales[[#This Row],[Date]])</f>
        <v>3</v>
      </c>
    </row>
    <row r="1151" spans="2:18" x14ac:dyDescent="0.35">
      <c r="B1151" s="113">
        <v>46094</v>
      </c>
      <c r="C1151" s="4" t="s">
        <v>817</v>
      </c>
      <c r="D1151" s="4" t="s">
        <v>4613</v>
      </c>
      <c r="E1151" s="1" t="str">
        <f>_xlfn.XLOOKUP(tblSales[[#This Row],[Customer ID]],tblCustomers[Customer ID],tblCustomers[Customer Name],"⚠ Unknown")</f>
        <v>PT Mega Prima Distribusi</v>
      </c>
      <c r="F1151" s="4" t="s">
        <v>13</v>
      </c>
      <c r="G1151" s="1" t="str">
        <f>_xlfn.XLOOKUP(tblSales[[#This Row],[Product Code]],tblProducts[Code],tblProducts[Product / Service Name],"⚠ Unknown")</f>
        <v>Backpack</v>
      </c>
      <c r="H1151" s="1" t="str">
        <f>_xlfn.XLOOKUP(tblSales[[#This Row],[Product Code]],tblProducts[Code],tblProducts[Category],"")</f>
        <v>Bags &amp; Gadgets</v>
      </c>
      <c r="I1151" s="4">
        <v>48</v>
      </c>
      <c r="J1151" s="5">
        <f>_xlfn.XLOOKUP(tblSales[[#This Row],[Product Code]],tblProducts[Code],tblProducts[Selling Price (excl. VAT)],0)</f>
        <v>500000</v>
      </c>
      <c r="K1151" s="5">
        <f>tblSales[[#This Row],[Qty]]*tblSales[[#This Row],[Unit Price]]</f>
        <v>24000000</v>
      </c>
      <c r="L1151" s="5">
        <f>ROUND(tblSales[[#This Row],[DPP (excl. VAT)]]*VATEff,0)</f>
        <v>2640000</v>
      </c>
      <c r="M1151" s="5">
        <f>tblSales[[#This Row],[DPP (excl. VAT)]]+tblSales[[#This Row],[Output VAT]]</f>
        <v>26640000</v>
      </c>
      <c r="N1151" s="5">
        <f>tblSales[[#This Row],[Qty]]*_xlfn.XLOOKUP(tblSales[[#This Row],[Product Code]],tblProducts[Code],tblProducts[Unit Cost],0)</f>
        <v>13920000</v>
      </c>
      <c r="O1151" s="4" t="s">
        <v>4867</v>
      </c>
      <c r="P1151" s="4" t="s">
        <v>4860</v>
      </c>
      <c r="Q1151" s="1" t="str">
        <f>_xlfn.XLOOKUP(tblSales[[#This Row],[Channel Code]],tblChannels[Channel Code],tblChannels[Channel Name],"")</f>
        <v>In-store</v>
      </c>
      <c r="R1151" s="1">
        <f>MONTH(tblSales[[#This Row],[Date]])</f>
        <v>3</v>
      </c>
    </row>
    <row r="1152" spans="2:18" x14ac:dyDescent="0.35">
      <c r="B1152" s="113">
        <v>46095</v>
      </c>
      <c r="C1152" s="4" t="s">
        <v>818</v>
      </c>
      <c r="D1152" s="4" t="s">
        <v>4568</v>
      </c>
      <c r="E1152" s="1" t="str">
        <f>_xlfn.XLOOKUP(tblSales[[#This Row],[Customer ID]],tblCustomers[Customer ID],tblCustomers[Customer Name],"⚠ Unknown")</f>
        <v>Walk-in Customer</v>
      </c>
      <c r="F1152" s="4" t="s">
        <v>10</v>
      </c>
      <c r="G1152" s="1" t="str">
        <f>_xlfn.XLOOKUP(tblSales[[#This Row],[Product Code]],tblProducts[Code],tblProducts[Product / Service Name],"⚠ Unknown")</f>
        <v>Chino Pants</v>
      </c>
      <c r="H1152" s="1" t="str">
        <f>_xlfn.XLOOKUP(tblSales[[#This Row],[Product Code]],tblProducts[Code],tblProducts[Category],"")</f>
        <v>Apparel &amp; Footwear</v>
      </c>
      <c r="I1152" s="4">
        <v>1</v>
      </c>
      <c r="J1152" s="5">
        <f>_xlfn.XLOOKUP(tblSales[[#This Row],[Product Code]],tblProducts[Code],tblProducts[Selling Price (excl. VAT)],0)</f>
        <v>150000</v>
      </c>
      <c r="K1152" s="5">
        <f>tblSales[[#This Row],[Qty]]*tblSales[[#This Row],[Unit Price]]</f>
        <v>150000</v>
      </c>
      <c r="L1152" s="5">
        <f>ROUND(tblSales[[#This Row],[DPP (excl. VAT)]]*VATEff,0)</f>
        <v>16500</v>
      </c>
      <c r="M1152" s="5">
        <f>tblSales[[#This Row],[DPP (excl. VAT)]]+tblSales[[#This Row],[Output VAT]]</f>
        <v>166500</v>
      </c>
      <c r="N1152" s="5">
        <f>tblSales[[#This Row],[Qty]]*_xlfn.XLOOKUP(tblSales[[#This Row],[Product Code]],tblProducts[Code],tblProducts[Unit Cost],0)</f>
        <v>88000</v>
      </c>
      <c r="O1152" s="4" t="s">
        <v>4866</v>
      </c>
      <c r="P1152" s="4" t="s">
        <v>4860</v>
      </c>
      <c r="Q1152" s="1" t="str">
        <f>_xlfn.XLOOKUP(tblSales[[#This Row],[Channel Code]],tblChannels[Channel Code],tblChannels[Channel Name],"")</f>
        <v>In-store</v>
      </c>
      <c r="R1152" s="1">
        <f>MONTH(tblSales[[#This Row],[Date]])</f>
        <v>3</v>
      </c>
    </row>
    <row r="1153" spans="2:18" x14ac:dyDescent="0.35">
      <c r="B1153" s="113">
        <v>46095</v>
      </c>
      <c r="C1153" s="4" t="s">
        <v>819</v>
      </c>
      <c r="D1153" s="4" t="s">
        <v>4568</v>
      </c>
      <c r="E1153" s="1" t="str">
        <f>_xlfn.XLOOKUP(tblSales[[#This Row],[Customer ID]],tblCustomers[Customer ID],tblCustomers[Customer Name],"⚠ Unknown")</f>
        <v>Walk-in Customer</v>
      </c>
      <c r="F1153" s="4" t="s">
        <v>6</v>
      </c>
      <c r="G1153" s="1" t="str">
        <f>_xlfn.XLOOKUP(tblSales[[#This Row],[Product Code]],tblProducts[Code],tblProducts[Product / Service Name],"⚠ Unknown")</f>
        <v>Socks &amp; Accessories</v>
      </c>
      <c r="H1153" s="1" t="str">
        <f>_xlfn.XLOOKUP(tblSales[[#This Row],[Product Code]],tblProducts[Code],tblProducts[Category],"")</f>
        <v>Accessories &amp; Basics</v>
      </c>
      <c r="I1153" s="4">
        <v>8</v>
      </c>
      <c r="J1153" s="5">
        <f>_xlfn.XLOOKUP(tblSales[[#This Row],[Product Code]],tblProducts[Code],tblProducts[Selling Price (excl. VAT)],0)</f>
        <v>45000</v>
      </c>
      <c r="K1153" s="5">
        <f>tblSales[[#This Row],[Qty]]*tblSales[[#This Row],[Unit Price]]</f>
        <v>360000</v>
      </c>
      <c r="L1153" s="5">
        <f>ROUND(tblSales[[#This Row],[DPP (excl. VAT)]]*VATEff,0)</f>
        <v>39600</v>
      </c>
      <c r="M1153" s="5">
        <f>tblSales[[#This Row],[DPP (excl. VAT)]]+tblSales[[#This Row],[Output VAT]]</f>
        <v>399600</v>
      </c>
      <c r="N1153" s="5">
        <f>tblSales[[#This Row],[Qty]]*_xlfn.XLOOKUP(tblSales[[#This Row],[Product Code]],tblProducts[Code],tblProducts[Unit Cost],0)</f>
        <v>192000</v>
      </c>
      <c r="O1153" s="4" t="s">
        <v>4866</v>
      </c>
      <c r="P1153" s="4" t="s">
        <v>4860</v>
      </c>
      <c r="Q1153" s="1" t="str">
        <f>_xlfn.XLOOKUP(tblSales[[#This Row],[Channel Code]],tblChannels[Channel Code],tblChannels[Channel Name],"")</f>
        <v>In-store</v>
      </c>
      <c r="R1153" s="1">
        <f>MONTH(tblSales[[#This Row],[Date]])</f>
        <v>3</v>
      </c>
    </row>
    <row r="1154" spans="2:18" x14ac:dyDescent="0.35">
      <c r="B1154" s="113">
        <v>46095</v>
      </c>
      <c r="C1154" s="4" t="s">
        <v>820</v>
      </c>
      <c r="D1154" s="4" t="s">
        <v>4578</v>
      </c>
      <c r="E1154" s="1" t="str">
        <f>_xlfn.XLOOKUP(tblSales[[#This Row],[Customer ID]],tblCustomers[Customer ID],tblCustomers[Customer Name],"⚠ Unknown")</f>
        <v>PT Bintang Timur Sejahtera</v>
      </c>
      <c r="F1154" s="4" t="s">
        <v>8</v>
      </c>
      <c r="G1154" s="1" t="str">
        <f>_xlfn.XLOOKUP(tblSales[[#This Row],[Product Code]],tblProducts[Code],tblProducts[Product / Service Name],"⚠ Unknown")</f>
        <v>Casual Shorts</v>
      </c>
      <c r="H1154" s="1" t="str">
        <f>_xlfn.XLOOKUP(tblSales[[#This Row],[Product Code]],tblProducts[Code],tblProducts[Category],"")</f>
        <v>Accessories &amp; Basics</v>
      </c>
      <c r="I1154" s="4">
        <v>16</v>
      </c>
      <c r="J1154" s="5">
        <f>_xlfn.XLOOKUP(tblSales[[#This Row],[Product Code]],tblProducts[Code],tblProducts[Selling Price (excl. VAT)],0)</f>
        <v>85000</v>
      </c>
      <c r="K1154" s="5">
        <f>tblSales[[#This Row],[Qty]]*tblSales[[#This Row],[Unit Price]]</f>
        <v>1360000</v>
      </c>
      <c r="L1154" s="5">
        <f>ROUND(tblSales[[#This Row],[DPP (excl. VAT)]]*VATEff,0)</f>
        <v>149600</v>
      </c>
      <c r="M1154" s="5">
        <f>tblSales[[#This Row],[DPP (excl. VAT)]]+tblSales[[#This Row],[Output VAT]]</f>
        <v>1509600</v>
      </c>
      <c r="N1154" s="5">
        <f>tblSales[[#This Row],[Qty]]*_xlfn.XLOOKUP(tblSales[[#This Row],[Product Code]],tblProducts[Code],tblProducts[Unit Cost],0)</f>
        <v>800000</v>
      </c>
      <c r="O1154" s="4" t="s">
        <v>4867</v>
      </c>
      <c r="P1154" s="4" t="s">
        <v>4860</v>
      </c>
      <c r="Q1154" s="1" t="str">
        <f>_xlfn.XLOOKUP(tblSales[[#This Row],[Channel Code]],tblChannels[Channel Code],tblChannels[Channel Name],"")</f>
        <v>In-store</v>
      </c>
      <c r="R1154" s="1">
        <f>MONTH(tblSales[[#This Row],[Date]])</f>
        <v>3</v>
      </c>
    </row>
    <row r="1155" spans="2:18" x14ac:dyDescent="0.35">
      <c r="B1155" s="113">
        <v>46095</v>
      </c>
      <c r="C1155" s="4" t="s">
        <v>820</v>
      </c>
      <c r="D1155" s="4" t="s">
        <v>4578</v>
      </c>
      <c r="E1155" s="1" t="str">
        <f>_xlfn.XLOOKUP(tblSales[[#This Row],[Customer ID]],tblCustomers[Customer ID],tblCustomers[Customer Name],"⚠ Unknown")</f>
        <v>PT Bintang Timur Sejahtera</v>
      </c>
      <c r="F1155" s="4" t="s">
        <v>7</v>
      </c>
      <c r="G1155" s="1" t="str">
        <f>_xlfn.XLOOKUP(tblSales[[#This Row],[Product Code]],tblProducts[Code],tblProducts[Product / Service Name],"⚠ Unknown")</f>
        <v>Premium Basic T-shirt</v>
      </c>
      <c r="H1155" s="1" t="str">
        <f>_xlfn.XLOOKUP(tblSales[[#This Row],[Product Code]],tblProducts[Code],tblProducts[Category],"")</f>
        <v>Accessories &amp; Basics</v>
      </c>
      <c r="I1155" s="4">
        <v>56</v>
      </c>
      <c r="J1155" s="5">
        <f>_xlfn.XLOOKUP(tblSales[[#This Row],[Product Code]],tblProducts[Code],tblProducts[Selling Price (excl. VAT)],0)</f>
        <v>65000</v>
      </c>
      <c r="K1155" s="5">
        <f>tblSales[[#This Row],[Qty]]*tblSales[[#This Row],[Unit Price]]</f>
        <v>3640000</v>
      </c>
      <c r="L1155" s="5">
        <f>ROUND(tblSales[[#This Row],[DPP (excl. VAT)]]*VATEff,0)</f>
        <v>400400</v>
      </c>
      <c r="M1155" s="5">
        <f>tblSales[[#This Row],[DPP (excl. VAT)]]+tblSales[[#This Row],[Output VAT]]</f>
        <v>4040400</v>
      </c>
      <c r="N1155" s="5">
        <f>tblSales[[#This Row],[Qty]]*_xlfn.XLOOKUP(tblSales[[#This Row],[Product Code]],tblProducts[Code],tblProducts[Unit Cost],0)</f>
        <v>2072000</v>
      </c>
      <c r="O1155" s="4" t="s">
        <v>4867</v>
      </c>
      <c r="P1155" s="4" t="s">
        <v>4860</v>
      </c>
      <c r="Q1155" s="1" t="str">
        <f>_xlfn.XLOOKUP(tblSales[[#This Row],[Channel Code]],tblChannels[Channel Code],tblChannels[Channel Name],"")</f>
        <v>In-store</v>
      </c>
      <c r="R1155" s="1">
        <f>MONTH(tblSales[[#This Row],[Date]])</f>
        <v>3</v>
      </c>
    </row>
    <row r="1156" spans="2:18" x14ac:dyDescent="0.35">
      <c r="B1156" s="113">
        <v>46095</v>
      </c>
      <c r="C1156" s="4" t="s">
        <v>821</v>
      </c>
      <c r="D1156" s="4" t="s">
        <v>4568</v>
      </c>
      <c r="E1156" s="1" t="str">
        <f>_xlfn.XLOOKUP(tblSales[[#This Row],[Customer ID]],tblCustomers[Customer ID],tblCustomers[Customer Name],"⚠ Unknown")</f>
        <v>Walk-in Customer</v>
      </c>
      <c r="F1156" s="4" t="s">
        <v>11</v>
      </c>
      <c r="G1156" s="1" t="str">
        <f>_xlfn.XLOOKUP(tblSales[[#This Row],[Product Code]],tblProducts[Code],tblProducts[Product / Service Name],"⚠ Unknown")</f>
        <v>Sneakers</v>
      </c>
      <c r="H1156" s="1" t="str">
        <f>_xlfn.XLOOKUP(tblSales[[#This Row],[Product Code]],tblProducts[Code],tblProducts[Category],"")</f>
        <v>Apparel &amp; Footwear</v>
      </c>
      <c r="I1156" s="4">
        <v>2</v>
      </c>
      <c r="J1156" s="5">
        <f>_xlfn.XLOOKUP(tblSales[[#This Row],[Product Code]],tblProducts[Code],tblProducts[Selling Price (excl. VAT)],0)</f>
        <v>250000</v>
      </c>
      <c r="K1156" s="5">
        <f>tblSales[[#This Row],[Qty]]*tblSales[[#This Row],[Unit Price]]</f>
        <v>500000</v>
      </c>
      <c r="L1156" s="5">
        <f>ROUND(tblSales[[#This Row],[DPP (excl. VAT)]]*VATEff,0)</f>
        <v>55000</v>
      </c>
      <c r="M1156" s="5">
        <f>tblSales[[#This Row],[DPP (excl. VAT)]]+tblSales[[#This Row],[Output VAT]]</f>
        <v>555000</v>
      </c>
      <c r="N1156" s="5">
        <f>tblSales[[#This Row],[Qty]]*_xlfn.XLOOKUP(tblSales[[#This Row],[Product Code]],tblProducts[Code],tblProducts[Unit Cost],0)</f>
        <v>310000</v>
      </c>
      <c r="O1156" s="4" t="s">
        <v>4865</v>
      </c>
      <c r="P1156" s="4" t="s">
        <v>4860</v>
      </c>
      <c r="Q1156" s="1" t="str">
        <f>_xlfn.XLOOKUP(tblSales[[#This Row],[Channel Code]],tblChannels[Channel Code],tblChannels[Channel Name],"")</f>
        <v>In-store</v>
      </c>
      <c r="R1156" s="1">
        <f>MONTH(tblSales[[#This Row],[Date]])</f>
        <v>3</v>
      </c>
    </row>
    <row r="1157" spans="2:18" x14ac:dyDescent="0.35">
      <c r="B1157" s="113">
        <v>46095</v>
      </c>
      <c r="C1157" s="4" t="s">
        <v>822</v>
      </c>
      <c r="D1157" s="4" t="s">
        <v>4568</v>
      </c>
      <c r="E1157" s="1" t="str">
        <f>_xlfn.XLOOKUP(tblSales[[#This Row],[Customer ID]],tblCustomers[Customer ID],tblCustomers[Customer Name],"⚠ Unknown")</f>
        <v>Walk-in Customer</v>
      </c>
      <c r="F1157" s="4" t="s">
        <v>7</v>
      </c>
      <c r="G1157" s="1" t="str">
        <f>_xlfn.XLOOKUP(tblSales[[#This Row],[Product Code]],tblProducts[Code],tblProducts[Product / Service Name],"⚠ Unknown")</f>
        <v>Premium Basic T-shirt</v>
      </c>
      <c r="H1157" s="1" t="str">
        <f>_xlfn.XLOOKUP(tblSales[[#This Row],[Product Code]],tblProducts[Code],tblProducts[Category],"")</f>
        <v>Accessories &amp; Basics</v>
      </c>
      <c r="I1157" s="4">
        <v>9</v>
      </c>
      <c r="J1157" s="5">
        <f>_xlfn.XLOOKUP(tblSales[[#This Row],[Product Code]],tblProducts[Code],tblProducts[Selling Price (excl. VAT)],0)</f>
        <v>65000</v>
      </c>
      <c r="K1157" s="5">
        <f>tblSales[[#This Row],[Qty]]*tblSales[[#This Row],[Unit Price]]</f>
        <v>585000</v>
      </c>
      <c r="L1157" s="5">
        <f>ROUND(tblSales[[#This Row],[DPP (excl. VAT)]]*VATEff,0)</f>
        <v>64350</v>
      </c>
      <c r="M1157" s="5">
        <f>tblSales[[#This Row],[DPP (excl. VAT)]]+tblSales[[#This Row],[Output VAT]]</f>
        <v>649350</v>
      </c>
      <c r="N1157" s="5">
        <f>tblSales[[#This Row],[Qty]]*_xlfn.XLOOKUP(tblSales[[#This Row],[Product Code]],tblProducts[Code],tblProducts[Unit Cost],0)</f>
        <v>333000</v>
      </c>
      <c r="O1157" s="4" t="s">
        <v>4866</v>
      </c>
      <c r="P1157" s="4" t="s">
        <v>4860</v>
      </c>
      <c r="Q1157" s="1" t="str">
        <f>_xlfn.XLOOKUP(tblSales[[#This Row],[Channel Code]],tblChannels[Channel Code],tblChannels[Channel Name],"")</f>
        <v>In-store</v>
      </c>
      <c r="R1157" s="1">
        <f>MONTH(tblSales[[#This Row],[Date]])</f>
        <v>3</v>
      </c>
    </row>
    <row r="1158" spans="2:18" x14ac:dyDescent="0.35">
      <c r="B1158" s="113">
        <v>46095</v>
      </c>
      <c r="C1158" s="4" t="s">
        <v>823</v>
      </c>
      <c r="D1158" s="4" t="s">
        <v>4568</v>
      </c>
      <c r="E1158" s="1" t="str">
        <f>_xlfn.XLOOKUP(tblSales[[#This Row],[Customer ID]],tblCustomers[Customer ID],tblCustomers[Customer Name],"⚠ Unknown")</f>
        <v>Walk-in Customer</v>
      </c>
      <c r="F1158" s="4" t="s">
        <v>8</v>
      </c>
      <c r="G1158" s="1" t="str">
        <f>_xlfn.XLOOKUP(tblSales[[#This Row],[Product Code]],tblProducts[Code],tblProducts[Product / Service Name],"⚠ Unknown")</f>
        <v>Casual Shorts</v>
      </c>
      <c r="H1158" s="1" t="str">
        <f>_xlfn.XLOOKUP(tblSales[[#This Row],[Product Code]],tblProducts[Code],tblProducts[Category],"")</f>
        <v>Accessories &amp; Basics</v>
      </c>
      <c r="I1158" s="4">
        <v>3</v>
      </c>
      <c r="J1158" s="5">
        <f>_xlfn.XLOOKUP(tblSales[[#This Row],[Product Code]],tblProducts[Code],tblProducts[Selling Price (excl. VAT)],0)</f>
        <v>85000</v>
      </c>
      <c r="K1158" s="5">
        <f>tblSales[[#This Row],[Qty]]*tblSales[[#This Row],[Unit Price]]</f>
        <v>255000</v>
      </c>
      <c r="L1158" s="5">
        <f>ROUND(tblSales[[#This Row],[DPP (excl. VAT)]]*VATEff,0)</f>
        <v>28050</v>
      </c>
      <c r="M1158" s="5">
        <f>tblSales[[#This Row],[DPP (excl. VAT)]]+tblSales[[#This Row],[Output VAT]]</f>
        <v>283050</v>
      </c>
      <c r="N1158" s="5">
        <f>tblSales[[#This Row],[Qty]]*_xlfn.XLOOKUP(tblSales[[#This Row],[Product Code]],tblProducts[Code],tblProducts[Unit Cost],0)</f>
        <v>150000</v>
      </c>
      <c r="O1158" s="4" t="s">
        <v>4865</v>
      </c>
      <c r="P1158" s="4" t="s">
        <v>4860</v>
      </c>
      <c r="Q1158" s="1" t="str">
        <f>_xlfn.XLOOKUP(tblSales[[#This Row],[Channel Code]],tblChannels[Channel Code],tblChannels[Channel Name],"")</f>
        <v>In-store</v>
      </c>
      <c r="R1158" s="1">
        <f>MONTH(tblSales[[#This Row],[Date]])</f>
        <v>3</v>
      </c>
    </row>
    <row r="1159" spans="2:18" x14ac:dyDescent="0.35">
      <c r="B1159" s="113">
        <v>46095</v>
      </c>
      <c r="C1159" s="4" t="s">
        <v>824</v>
      </c>
      <c r="D1159" s="4" t="s">
        <v>4568</v>
      </c>
      <c r="E1159" s="1" t="str">
        <f>_xlfn.XLOOKUP(tblSales[[#This Row],[Customer ID]],tblCustomers[Customer ID],tblCustomers[Customer Name],"⚠ Unknown")</f>
        <v>Walk-in Customer</v>
      </c>
      <c r="F1159" s="4" t="s">
        <v>7</v>
      </c>
      <c r="G1159" s="1" t="str">
        <f>_xlfn.XLOOKUP(tblSales[[#This Row],[Product Code]],tblProducts[Code],tblProducts[Product / Service Name],"⚠ Unknown")</f>
        <v>Premium Basic T-shirt</v>
      </c>
      <c r="H1159" s="1" t="str">
        <f>_xlfn.XLOOKUP(tblSales[[#This Row],[Product Code]],tblProducts[Code],tblProducts[Category],"")</f>
        <v>Accessories &amp; Basics</v>
      </c>
      <c r="I1159" s="4">
        <v>11</v>
      </c>
      <c r="J1159" s="5">
        <f>_xlfn.XLOOKUP(tblSales[[#This Row],[Product Code]],tblProducts[Code],tblProducts[Selling Price (excl. VAT)],0)</f>
        <v>65000</v>
      </c>
      <c r="K1159" s="5">
        <f>tblSales[[#This Row],[Qty]]*tblSales[[#This Row],[Unit Price]]</f>
        <v>715000</v>
      </c>
      <c r="L1159" s="5">
        <f>ROUND(tblSales[[#This Row],[DPP (excl. VAT)]]*VATEff,0)</f>
        <v>78650</v>
      </c>
      <c r="M1159" s="5">
        <f>tblSales[[#This Row],[DPP (excl. VAT)]]+tblSales[[#This Row],[Output VAT]]</f>
        <v>793650</v>
      </c>
      <c r="N1159" s="5">
        <f>tblSales[[#This Row],[Qty]]*_xlfn.XLOOKUP(tblSales[[#This Row],[Product Code]],tblProducts[Code],tblProducts[Unit Cost],0)</f>
        <v>407000</v>
      </c>
      <c r="O1159" s="4" t="s">
        <v>4866</v>
      </c>
      <c r="P1159" s="4" t="s">
        <v>4862</v>
      </c>
      <c r="Q1159" s="1" t="str">
        <f>_xlfn.XLOOKUP(tblSales[[#This Row],[Channel Code]],tblChannels[Channel Code],tblChannels[Channel Name],"")</f>
        <v>Website &amp; Social Media</v>
      </c>
      <c r="R1159" s="1">
        <f>MONTH(tblSales[[#This Row],[Date]])</f>
        <v>3</v>
      </c>
    </row>
    <row r="1160" spans="2:18" x14ac:dyDescent="0.35">
      <c r="B1160" s="113">
        <v>46095</v>
      </c>
      <c r="C1160" s="4" t="s">
        <v>824</v>
      </c>
      <c r="D1160" s="4" t="s">
        <v>4568</v>
      </c>
      <c r="E1160" s="1" t="str">
        <f>_xlfn.XLOOKUP(tblSales[[#This Row],[Customer ID]],tblCustomers[Customer ID],tblCustomers[Customer Name],"⚠ Unknown")</f>
        <v>Walk-in Customer</v>
      </c>
      <c r="F1160" s="4" t="s">
        <v>8</v>
      </c>
      <c r="G1160" s="1" t="str">
        <f>_xlfn.XLOOKUP(tblSales[[#This Row],[Product Code]],tblProducts[Code],tblProducts[Product / Service Name],"⚠ Unknown")</f>
        <v>Casual Shorts</v>
      </c>
      <c r="H1160" s="1" t="str">
        <f>_xlfn.XLOOKUP(tblSales[[#This Row],[Product Code]],tblProducts[Code],tblProducts[Category],"")</f>
        <v>Accessories &amp; Basics</v>
      </c>
      <c r="I1160" s="4">
        <v>7</v>
      </c>
      <c r="J1160" s="5">
        <f>_xlfn.XLOOKUP(tblSales[[#This Row],[Product Code]],tblProducts[Code],tblProducts[Selling Price (excl. VAT)],0)</f>
        <v>85000</v>
      </c>
      <c r="K1160" s="5">
        <f>tblSales[[#This Row],[Qty]]*tblSales[[#This Row],[Unit Price]]</f>
        <v>595000</v>
      </c>
      <c r="L1160" s="5">
        <f>ROUND(tblSales[[#This Row],[DPP (excl. VAT)]]*VATEff,0)</f>
        <v>65450</v>
      </c>
      <c r="M1160" s="5">
        <f>tblSales[[#This Row],[DPP (excl. VAT)]]+tblSales[[#This Row],[Output VAT]]</f>
        <v>660450</v>
      </c>
      <c r="N1160" s="5">
        <f>tblSales[[#This Row],[Qty]]*_xlfn.XLOOKUP(tblSales[[#This Row],[Product Code]],tblProducts[Code],tblProducts[Unit Cost],0)</f>
        <v>350000</v>
      </c>
      <c r="O1160" s="4" t="s">
        <v>4866</v>
      </c>
      <c r="P1160" s="4" t="s">
        <v>4862</v>
      </c>
      <c r="Q1160" s="1" t="str">
        <f>_xlfn.XLOOKUP(tblSales[[#This Row],[Channel Code]],tblChannels[Channel Code],tblChannels[Channel Name],"")</f>
        <v>Website &amp; Social Media</v>
      </c>
      <c r="R1160" s="1">
        <f>MONTH(tblSales[[#This Row],[Date]])</f>
        <v>3</v>
      </c>
    </row>
    <row r="1161" spans="2:18" x14ac:dyDescent="0.35">
      <c r="B1161" s="113">
        <v>46095</v>
      </c>
      <c r="C1161" s="4" t="s">
        <v>824</v>
      </c>
      <c r="D1161" s="4" t="s">
        <v>4568</v>
      </c>
      <c r="E1161" s="1" t="str">
        <f>_xlfn.XLOOKUP(tblSales[[#This Row],[Customer ID]],tblCustomers[Customer ID],tblCustomers[Customer Name],"⚠ Unknown")</f>
        <v>Walk-in Customer</v>
      </c>
      <c r="F1161" s="4" t="s">
        <v>6</v>
      </c>
      <c r="G1161" s="1" t="str">
        <f>_xlfn.XLOOKUP(tblSales[[#This Row],[Product Code]],tblProducts[Code],tblProducts[Product / Service Name],"⚠ Unknown")</f>
        <v>Socks &amp; Accessories</v>
      </c>
      <c r="H1161" s="1" t="str">
        <f>_xlfn.XLOOKUP(tblSales[[#This Row],[Product Code]],tblProducts[Code],tblProducts[Category],"")</f>
        <v>Accessories &amp; Basics</v>
      </c>
      <c r="I1161" s="4">
        <v>3</v>
      </c>
      <c r="J1161" s="5">
        <f>_xlfn.XLOOKUP(tblSales[[#This Row],[Product Code]],tblProducts[Code],tblProducts[Selling Price (excl. VAT)],0)</f>
        <v>45000</v>
      </c>
      <c r="K1161" s="5">
        <f>tblSales[[#This Row],[Qty]]*tblSales[[#This Row],[Unit Price]]</f>
        <v>135000</v>
      </c>
      <c r="L1161" s="5">
        <f>ROUND(tblSales[[#This Row],[DPP (excl. VAT)]]*VATEff,0)</f>
        <v>14850</v>
      </c>
      <c r="M1161" s="5">
        <f>tblSales[[#This Row],[DPP (excl. VAT)]]+tblSales[[#This Row],[Output VAT]]</f>
        <v>149850</v>
      </c>
      <c r="N1161" s="5">
        <f>tblSales[[#This Row],[Qty]]*_xlfn.XLOOKUP(tblSales[[#This Row],[Product Code]],tblProducts[Code],tblProducts[Unit Cost],0)</f>
        <v>72000</v>
      </c>
      <c r="O1161" s="4" t="s">
        <v>4866</v>
      </c>
      <c r="P1161" s="4" t="s">
        <v>4862</v>
      </c>
      <c r="Q1161" s="1" t="str">
        <f>_xlfn.XLOOKUP(tblSales[[#This Row],[Channel Code]],tblChannels[Channel Code],tblChannels[Channel Name],"")</f>
        <v>Website &amp; Social Media</v>
      </c>
      <c r="R1161" s="1">
        <f>MONTH(tblSales[[#This Row],[Date]])</f>
        <v>3</v>
      </c>
    </row>
    <row r="1162" spans="2:18" x14ac:dyDescent="0.35">
      <c r="B1162" s="113">
        <v>46095</v>
      </c>
      <c r="C1162" s="4" t="s">
        <v>825</v>
      </c>
      <c r="D1162" s="4" t="s">
        <v>4568</v>
      </c>
      <c r="E1162" s="1" t="str">
        <f>_xlfn.XLOOKUP(tblSales[[#This Row],[Customer ID]],tblCustomers[Customer ID],tblCustomers[Customer Name],"⚠ Unknown")</f>
        <v>Walk-in Customer</v>
      </c>
      <c r="F1162" s="4" t="s">
        <v>6</v>
      </c>
      <c r="G1162" s="1" t="str">
        <f>_xlfn.XLOOKUP(tblSales[[#This Row],[Product Code]],tblProducts[Code],tblProducts[Product / Service Name],"⚠ Unknown")</f>
        <v>Socks &amp; Accessories</v>
      </c>
      <c r="H1162" s="1" t="str">
        <f>_xlfn.XLOOKUP(tblSales[[#This Row],[Product Code]],tblProducts[Code],tblProducts[Category],"")</f>
        <v>Accessories &amp; Basics</v>
      </c>
      <c r="I1162" s="4">
        <v>6</v>
      </c>
      <c r="J1162" s="5">
        <f>_xlfn.XLOOKUP(tblSales[[#This Row],[Product Code]],tblProducts[Code],tblProducts[Selling Price (excl. VAT)],0)</f>
        <v>45000</v>
      </c>
      <c r="K1162" s="5">
        <f>tblSales[[#This Row],[Qty]]*tblSales[[#This Row],[Unit Price]]</f>
        <v>270000</v>
      </c>
      <c r="L1162" s="5">
        <f>ROUND(tblSales[[#This Row],[DPP (excl. VAT)]]*VATEff,0)</f>
        <v>29700</v>
      </c>
      <c r="M1162" s="5">
        <f>tblSales[[#This Row],[DPP (excl. VAT)]]+tblSales[[#This Row],[Output VAT]]</f>
        <v>299700</v>
      </c>
      <c r="N1162" s="5">
        <f>tblSales[[#This Row],[Qty]]*_xlfn.XLOOKUP(tblSales[[#This Row],[Product Code]],tblProducts[Code],tblProducts[Unit Cost],0)</f>
        <v>144000</v>
      </c>
      <c r="O1162" s="4" t="s">
        <v>4866</v>
      </c>
      <c r="P1162" s="4" t="s">
        <v>4862</v>
      </c>
      <c r="Q1162" s="1" t="str">
        <f>_xlfn.XLOOKUP(tblSales[[#This Row],[Channel Code]],tblChannels[Channel Code],tblChannels[Channel Name],"")</f>
        <v>Website &amp; Social Media</v>
      </c>
      <c r="R1162" s="1">
        <f>MONTH(tblSales[[#This Row],[Date]])</f>
        <v>3</v>
      </c>
    </row>
    <row r="1163" spans="2:18" x14ac:dyDescent="0.35">
      <c r="B1163" s="113">
        <v>46095</v>
      </c>
      <c r="C1163" s="4" t="s">
        <v>826</v>
      </c>
      <c r="D1163" s="4" t="s">
        <v>4568</v>
      </c>
      <c r="E1163" s="1" t="str">
        <f>_xlfn.XLOOKUP(tblSales[[#This Row],[Customer ID]],tblCustomers[Customer ID],tblCustomers[Customer Name],"⚠ Unknown")</f>
        <v>Walk-in Customer</v>
      </c>
      <c r="F1163" s="4" t="s">
        <v>14</v>
      </c>
      <c r="G1163" s="1" t="str">
        <f>_xlfn.XLOOKUP(tblSales[[#This Row],[Product Code]],tblProducts[Code],tblProducts[Product / Service Name],"⚠ Unknown")</f>
        <v>Smartwatch</v>
      </c>
      <c r="H1163" s="1" t="str">
        <f>_xlfn.XLOOKUP(tblSales[[#This Row],[Product Code]],tblProducts[Code],tblProducts[Category],"")</f>
        <v>Bags &amp; Gadgets</v>
      </c>
      <c r="I1163" s="4">
        <v>3</v>
      </c>
      <c r="J1163" s="5">
        <f>_xlfn.XLOOKUP(tblSales[[#This Row],[Product Code]],tblProducts[Code],tblProducts[Selling Price (excl. VAT)],0)</f>
        <v>850000</v>
      </c>
      <c r="K1163" s="5">
        <f>tblSales[[#This Row],[Qty]]*tblSales[[#This Row],[Unit Price]]</f>
        <v>2550000</v>
      </c>
      <c r="L1163" s="5">
        <f>ROUND(tblSales[[#This Row],[DPP (excl. VAT)]]*VATEff,0)</f>
        <v>280500</v>
      </c>
      <c r="M1163" s="5">
        <f>tblSales[[#This Row],[DPP (excl. VAT)]]+tblSales[[#This Row],[Output VAT]]</f>
        <v>2830500</v>
      </c>
      <c r="N1163" s="5">
        <f>tblSales[[#This Row],[Qty]]*_xlfn.XLOOKUP(tblSales[[#This Row],[Product Code]],tblProducts[Code],tblProducts[Unit Cost],0)</f>
        <v>1680000</v>
      </c>
      <c r="O1163" s="4" t="s">
        <v>4866</v>
      </c>
      <c r="P1163" s="4" t="s">
        <v>4860</v>
      </c>
      <c r="Q1163" s="1" t="str">
        <f>_xlfn.XLOOKUP(tblSales[[#This Row],[Channel Code]],tblChannels[Channel Code],tblChannels[Channel Name],"")</f>
        <v>In-store</v>
      </c>
      <c r="R1163" s="1">
        <f>MONTH(tblSales[[#This Row],[Date]])</f>
        <v>3</v>
      </c>
    </row>
    <row r="1164" spans="2:18" x14ac:dyDescent="0.35">
      <c r="B1164" s="113">
        <v>46095</v>
      </c>
      <c r="C1164" s="4" t="s">
        <v>826</v>
      </c>
      <c r="D1164" s="4" t="s">
        <v>4568</v>
      </c>
      <c r="E1164" s="1" t="str">
        <f>_xlfn.XLOOKUP(tblSales[[#This Row],[Customer ID]],tblCustomers[Customer ID],tblCustomers[Customer Name],"⚠ Unknown")</f>
        <v>Walk-in Customer</v>
      </c>
      <c r="F1164" s="4" t="s">
        <v>12</v>
      </c>
      <c r="G1164" s="1" t="str">
        <f>_xlfn.XLOOKUP(tblSales[[#This Row],[Product Code]],tblProducts[Code],tblProducts[Product / Service Name],"⚠ Unknown")</f>
        <v>Bomber Jacket</v>
      </c>
      <c r="H1164" s="1" t="str">
        <f>_xlfn.XLOOKUP(tblSales[[#This Row],[Product Code]],tblProducts[Code],tblProducts[Category],"")</f>
        <v>Apparel &amp; Footwear</v>
      </c>
      <c r="I1164" s="4">
        <v>2</v>
      </c>
      <c r="J1164" s="5">
        <f>_xlfn.XLOOKUP(tblSales[[#This Row],[Product Code]],tblProducts[Code],tblProducts[Selling Price (excl. VAT)],0)</f>
        <v>350000</v>
      </c>
      <c r="K1164" s="5">
        <f>tblSales[[#This Row],[Qty]]*tblSales[[#This Row],[Unit Price]]</f>
        <v>700000</v>
      </c>
      <c r="L1164" s="5">
        <f>ROUND(tblSales[[#This Row],[DPP (excl. VAT)]]*VATEff,0)</f>
        <v>77000</v>
      </c>
      <c r="M1164" s="5">
        <f>tblSales[[#This Row],[DPP (excl. VAT)]]+tblSales[[#This Row],[Output VAT]]</f>
        <v>777000</v>
      </c>
      <c r="N1164" s="5">
        <f>tblSales[[#This Row],[Qty]]*_xlfn.XLOOKUP(tblSales[[#This Row],[Product Code]],tblProducts[Code],tblProducts[Unit Cost],0)</f>
        <v>420000</v>
      </c>
      <c r="O1164" s="4" t="s">
        <v>4866</v>
      </c>
      <c r="P1164" s="4" t="s">
        <v>4860</v>
      </c>
      <c r="Q1164" s="1" t="str">
        <f>_xlfn.XLOOKUP(tblSales[[#This Row],[Channel Code]],tblChannels[Channel Code],tblChannels[Channel Name],"")</f>
        <v>In-store</v>
      </c>
      <c r="R1164" s="1">
        <f>MONTH(tblSales[[#This Row],[Date]])</f>
        <v>3</v>
      </c>
    </row>
    <row r="1165" spans="2:18" x14ac:dyDescent="0.35">
      <c r="B1165" s="113">
        <v>46095</v>
      </c>
      <c r="C1165" s="4" t="s">
        <v>827</v>
      </c>
      <c r="D1165" s="4" t="s">
        <v>4568</v>
      </c>
      <c r="E1165" s="1" t="str">
        <f>_xlfn.XLOOKUP(tblSales[[#This Row],[Customer ID]],tblCustomers[Customer ID],tblCustomers[Customer Name],"⚠ Unknown")</f>
        <v>Walk-in Customer</v>
      </c>
      <c r="F1165" s="4" t="s">
        <v>8</v>
      </c>
      <c r="G1165" s="1" t="str">
        <f>_xlfn.XLOOKUP(tblSales[[#This Row],[Product Code]],tblProducts[Code],tblProducts[Product / Service Name],"⚠ Unknown")</f>
        <v>Casual Shorts</v>
      </c>
      <c r="H1165" s="1" t="str">
        <f>_xlfn.XLOOKUP(tblSales[[#This Row],[Product Code]],tblProducts[Code],tblProducts[Category],"")</f>
        <v>Accessories &amp; Basics</v>
      </c>
      <c r="I1165" s="4">
        <v>12</v>
      </c>
      <c r="J1165" s="5">
        <f>_xlfn.XLOOKUP(tblSales[[#This Row],[Product Code]],tblProducts[Code],tblProducts[Selling Price (excl. VAT)],0)</f>
        <v>85000</v>
      </c>
      <c r="K1165" s="5">
        <f>tblSales[[#This Row],[Qty]]*tblSales[[#This Row],[Unit Price]]</f>
        <v>1020000</v>
      </c>
      <c r="L1165" s="5">
        <f>ROUND(tblSales[[#This Row],[DPP (excl. VAT)]]*VATEff,0)</f>
        <v>112200</v>
      </c>
      <c r="M1165" s="5">
        <f>tblSales[[#This Row],[DPP (excl. VAT)]]+tblSales[[#This Row],[Output VAT]]</f>
        <v>1132200</v>
      </c>
      <c r="N1165" s="5">
        <f>tblSales[[#This Row],[Qty]]*_xlfn.XLOOKUP(tblSales[[#This Row],[Product Code]],tblProducts[Code],tblProducts[Unit Cost],0)</f>
        <v>600000</v>
      </c>
      <c r="O1165" s="4" t="s">
        <v>4866</v>
      </c>
      <c r="P1165" s="4" t="s">
        <v>4861</v>
      </c>
      <c r="Q1165" s="1" t="str">
        <f>_xlfn.XLOOKUP(tblSales[[#This Row],[Channel Code]],tblChannels[Channel Code],tblChannels[Channel Name],"")</f>
        <v>Marketplace</v>
      </c>
      <c r="R1165" s="1">
        <f>MONTH(tblSales[[#This Row],[Date]])</f>
        <v>3</v>
      </c>
    </row>
    <row r="1166" spans="2:18" x14ac:dyDescent="0.35">
      <c r="B1166" s="113">
        <v>46095</v>
      </c>
      <c r="C1166" s="4" t="s">
        <v>828</v>
      </c>
      <c r="D1166" s="4" t="s">
        <v>4568</v>
      </c>
      <c r="E1166" s="1" t="str">
        <f>_xlfn.XLOOKUP(tblSales[[#This Row],[Customer ID]],tblCustomers[Customer ID],tblCustomers[Customer Name],"⚠ Unknown")</f>
        <v>Walk-in Customer</v>
      </c>
      <c r="F1166" s="4" t="s">
        <v>12</v>
      </c>
      <c r="G1166" s="1" t="str">
        <f>_xlfn.XLOOKUP(tblSales[[#This Row],[Product Code]],tblProducts[Code],tblProducts[Product / Service Name],"⚠ Unknown")</f>
        <v>Bomber Jacket</v>
      </c>
      <c r="H1166" s="1" t="str">
        <f>_xlfn.XLOOKUP(tblSales[[#This Row],[Product Code]],tblProducts[Code],tblProducts[Category],"")</f>
        <v>Apparel &amp; Footwear</v>
      </c>
      <c r="I1166" s="4">
        <v>5</v>
      </c>
      <c r="J1166" s="5">
        <f>_xlfn.XLOOKUP(tblSales[[#This Row],[Product Code]],tblProducts[Code],tblProducts[Selling Price (excl. VAT)],0)</f>
        <v>350000</v>
      </c>
      <c r="K1166" s="5">
        <f>tblSales[[#This Row],[Qty]]*tblSales[[#This Row],[Unit Price]]</f>
        <v>1750000</v>
      </c>
      <c r="L1166" s="5">
        <f>ROUND(tblSales[[#This Row],[DPP (excl. VAT)]]*VATEff,0)</f>
        <v>192500</v>
      </c>
      <c r="M1166" s="5">
        <f>tblSales[[#This Row],[DPP (excl. VAT)]]+tblSales[[#This Row],[Output VAT]]</f>
        <v>1942500</v>
      </c>
      <c r="N1166" s="5">
        <f>tblSales[[#This Row],[Qty]]*_xlfn.XLOOKUP(tblSales[[#This Row],[Product Code]],tblProducts[Code],tblProducts[Unit Cost],0)</f>
        <v>1050000</v>
      </c>
      <c r="O1166" s="4" t="s">
        <v>4865</v>
      </c>
      <c r="P1166" s="4" t="s">
        <v>4860</v>
      </c>
      <c r="Q1166" s="1" t="str">
        <f>_xlfn.XLOOKUP(tblSales[[#This Row],[Channel Code]],tblChannels[Channel Code],tblChannels[Channel Name],"")</f>
        <v>In-store</v>
      </c>
      <c r="R1166" s="1">
        <f>MONTH(tblSales[[#This Row],[Date]])</f>
        <v>3</v>
      </c>
    </row>
    <row r="1167" spans="2:18" x14ac:dyDescent="0.35">
      <c r="B1167" s="113">
        <v>46095</v>
      </c>
      <c r="C1167" s="4" t="s">
        <v>828</v>
      </c>
      <c r="D1167" s="4" t="s">
        <v>4568</v>
      </c>
      <c r="E1167" s="1" t="str">
        <f>_xlfn.XLOOKUP(tblSales[[#This Row],[Customer ID]],tblCustomers[Customer ID],tblCustomers[Customer Name],"⚠ Unknown")</f>
        <v>Walk-in Customer</v>
      </c>
      <c r="F1167" s="4" t="s">
        <v>7</v>
      </c>
      <c r="G1167" s="1" t="str">
        <f>_xlfn.XLOOKUP(tblSales[[#This Row],[Product Code]],tblProducts[Code],tblProducts[Product / Service Name],"⚠ Unknown")</f>
        <v>Premium Basic T-shirt</v>
      </c>
      <c r="H1167" s="1" t="str">
        <f>_xlfn.XLOOKUP(tblSales[[#This Row],[Product Code]],tblProducts[Code],tblProducts[Category],"")</f>
        <v>Accessories &amp; Basics</v>
      </c>
      <c r="I1167" s="4">
        <v>8</v>
      </c>
      <c r="J1167" s="5">
        <f>_xlfn.XLOOKUP(tblSales[[#This Row],[Product Code]],tblProducts[Code],tblProducts[Selling Price (excl. VAT)],0)</f>
        <v>65000</v>
      </c>
      <c r="K1167" s="5">
        <f>tblSales[[#This Row],[Qty]]*tblSales[[#This Row],[Unit Price]]</f>
        <v>520000</v>
      </c>
      <c r="L1167" s="5">
        <f>ROUND(tblSales[[#This Row],[DPP (excl. VAT)]]*VATEff,0)</f>
        <v>57200</v>
      </c>
      <c r="M1167" s="5">
        <f>tblSales[[#This Row],[DPP (excl. VAT)]]+tblSales[[#This Row],[Output VAT]]</f>
        <v>577200</v>
      </c>
      <c r="N1167" s="5">
        <f>tblSales[[#This Row],[Qty]]*_xlfn.XLOOKUP(tblSales[[#This Row],[Product Code]],tblProducts[Code],tblProducts[Unit Cost],0)</f>
        <v>296000</v>
      </c>
      <c r="O1167" s="4" t="s">
        <v>4865</v>
      </c>
      <c r="P1167" s="4" t="s">
        <v>4860</v>
      </c>
      <c r="Q1167" s="1" t="str">
        <f>_xlfn.XLOOKUP(tblSales[[#This Row],[Channel Code]],tblChannels[Channel Code],tblChannels[Channel Name],"")</f>
        <v>In-store</v>
      </c>
      <c r="R1167" s="1">
        <f>MONTH(tblSales[[#This Row],[Date]])</f>
        <v>3</v>
      </c>
    </row>
    <row r="1168" spans="2:18" x14ac:dyDescent="0.35">
      <c r="B1168" s="113">
        <v>46095</v>
      </c>
      <c r="C1168" s="4" t="s">
        <v>829</v>
      </c>
      <c r="D1168" s="4" t="s">
        <v>4613</v>
      </c>
      <c r="E1168" s="1" t="str">
        <f>_xlfn.XLOOKUP(tblSales[[#This Row],[Customer ID]],tblCustomers[Customer ID],tblCustomers[Customer Name],"⚠ Unknown")</f>
        <v>PT Mega Prima Distribusi</v>
      </c>
      <c r="F1168" s="4" t="s">
        <v>6</v>
      </c>
      <c r="G1168" s="1" t="str">
        <f>_xlfn.XLOOKUP(tblSales[[#This Row],[Product Code]],tblProducts[Code],tblProducts[Product / Service Name],"⚠ Unknown")</f>
        <v>Socks &amp; Accessories</v>
      </c>
      <c r="H1168" s="1" t="str">
        <f>_xlfn.XLOOKUP(tblSales[[#This Row],[Product Code]],tblProducts[Code],tblProducts[Category],"")</f>
        <v>Accessories &amp; Basics</v>
      </c>
      <c r="I1168" s="4">
        <v>72</v>
      </c>
      <c r="J1168" s="5">
        <f>_xlfn.XLOOKUP(tblSales[[#This Row],[Product Code]],tblProducts[Code],tblProducts[Selling Price (excl. VAT)],0)</f>
        <v>45000</v>
      </c>
      <c r="K1168" s="5">
        <f>tblSales[[#This Row],[Qty]]*tblSales[[#This Row],[Unit Price]]</f>
        <v>3240000</v>
      </c>
      <c r="L1168" s="5">
        <f>ROUND(tblSales[[#This Row],[DPP (excl. VAT)]]*VATEff,0)</f>
        <v>356400</v>
      </c>
      <c r="M1168" s="5">
        <f>tblSales[[#This Row],[DPP (excl. VAT)]]+tblSales[[#This Row],[Output VAT]]</f>
        <v>3596400</v>
      </c>
      <c r="N1168" s="5">
        <f>tblSales[[#This Row],[Qty]]*_xlfn.XLOOKUP(tblSales[[#This Row],[Product Code]],tblProducts[Code],tblProducts[Unit Cost],0)</f>
        <v>1728000</v>
      </c>
      <c r="O1168" s="4" t="s">
        <v>4867</v>
      </c>
      <c r="P1168" s="4" t="s">
        <v>4862</v>
      </c>
      <c r="Q1168" s="1" t="str">
        <f>_xlfn.XLOOKUP(tblSales[[#This Row],[Channel Code]],tblChannels[Channel Code],tblChannels[Channel Name],"")</f>
        <v>Website &amp; Social Media</v>
      </c>
      <c r="R1168" s="1">
        <f>MONTH(tblSales[[#This Row],[Date]])</f>
        <v>3</v>
      </c>
    </row>
    <row r="1169" spans="2:18" x14ac:dyDescent="0.35">
      <c r="B1169" s="113">
        <v>46095</v>
      </c>
      <c r="C1169" s="4" t="s">
        <v>830</v>
      </c>
      <c r="D1169" s="4" t="s">
        <v>4568</v>
      </c>
      <c r="E1169" s="1" t="str">
        <f>_xlfn.XLOOKUP(tblSales[[#This Row],[Customer ID]],tblCustomers[Customer ID],tblCustomers[Customer Name],"⚠ Unknown")</f>
        <v>Walk-in Customer</v>
      </c>
      <c r="F1169" s="4" t="s">
        <v>10</v>
      </c>
      <c r="G1169" s="1" t="str">
        <f>_xlfn.XLOOKUP(tblSales[[#This Row],[Product Code]],tblProducts[Code],tblProducts[Product / Service Name],"⚠ Unknown")</f>
        <v>Chino Pants</v>
      </c>
      <c r="H1169" s="1" t="str">
        <f>_xlfn.XLOOKUP(tblSales[[#This Row],[Product Code]],tblProducts[Code],tblProducts[Category],"")</f>
        <v>Apparel &amp; Footwear</v>
      </c>
      <c r="I1169" s="4">
        <v>10</v>
      </c>
      <c r="J1169" s="5">
        <f>_xlfn.XLOOKUP(tblSales[[#This Row],[Product Code]],tblProducts[Code],tblProducts[Selling Price (excl. VAT)],0)</f>
        <v>150000</v>
      </c>
      <c r="K1169" s="5">
        <f>tblSales[[#This Row],[Qty]]*tblSales[[#This Row],[Unit Price]]</f>
        <v>1500000</v>
      </c>
      <c r="L1169" s="5">
        <f>ROUND(tblSales[[#This Row],[DPP (excl. VAT)]]*VATEff,0)</f>
        <v>165000</v>
      </c>
      <c r="M1169" s="5">
        <f>tblSales[[#This Row],[DPP (excl. VAT)]]+tblSales[[#This Row],[Output VAT]]</f>
        <v>1665000</v>
      </c>
      <c r="N1169" s="5">
        <f>tblSales[[#This Row],[Qty]]*_xlfn.XLOOKUP(tblSales[[#This Row],[Product Code]],tblProducts[Code],tblProducts[Unit Cost],0)</f>
        <v>880000</v>
      </c>
      <c r="O1169" s="4" t="s">
        <v>4866</v>
      </c>
      <c r="P1169" s="4" t="s">
        <v>4862</v>
      </c>
      <c r="Q1169" s="1" t="str">
        <f>_xlfn.XLOOKUP(tblSales[[#This Row],[Channel Code]],tblChannels[Channel Code],tblChannels[Channel Name],"")</f>
        <v>Website &amp; Social Media</v>
      </c>
      <c r="R1169" s="1">
        <f>MONTH(tblSales[[#This Row],[Date]])</f>
        <v>3</v>
      </c>
    </row>
    <row r="1170" spans="2:18" x14ac:dyDescent="0.35">
      <c r="B1170" s="113">
        <v>46095</v>
      </c>
      <c r="C1170" s="4" t="s">
        <v>831</v>
      </c>
      <c r="D1170" s="4" t="s">
        <v>4568</v>
      </c>
      <c r="E1170" s="1" t="str">
        <f>_xlfn.XLOOKUP(tblSales[[#This Row],[Customer ID]],tblCustomers[Customer ID],tblCustomers[Customer Name],"⚠ Unknown")</f>
        <v>Walk-in Customer</v>
      </c>
      <c r="F1170" s="4" t="s">
        <v>9</v>
      </c>
      <c r="G1170" s="1" t="str">
        <f>_xlfn.XLOOKUP(tblSales[[#This Row],[Product Code]],tblProducts[Code],tblProducts[Product / Service Name],"⚠ Unknown")</f>
        <v>Casual Shirt</v>
      </c>
      <c r="H1170" s="1" t="str">
        <f>_xlfn.XLOOKUP(tblSales[[#This Row],[Product Code]],tblProducts[Code],tblProducts[Category],"")</f>
        <v>Apparel &amp; Footwear</v>
      </c>
      <c r="I1170" s="4">
        <v>5</v>
      </c>
      <c r="J1170" s="5">
        <f>_xlfn.XLOOKUP(tblSales[[#This Row],[Product Code]],tblProducts[Code],tblProducts[Selling Price (excl. VAT)],0)</f>
        <v>120000</v>
      </c>
      <c r="K1170" s="5">
        <f>tblSales[[#This Row],[Qty]]*tblSales[[#This Row],[Unit Price]]</f>
        <v>600000</v>
      </c>
      <c r="L1170" s="5">
        <f>ROUND(tblSales[[#This Row],[DPP (excl. VAT)]]*VATEff,0)</f>
        <v>66000</v>
      </c>
      <c r="M1170" s="5">
        <f>tblSales[[#This Row],[DPP (excl. VAT)]]+tblSales[[#This Row],[Output VAT]]</f>
        <v>666000</v>
      </c>
      <c r="N1170" s="5">
        <f>tblSales[[#This Row],[Qty]]*_xlfn.XLOOKUP(tblSales[[#This Row],[Product Code]],tblProducts[Code],tblProducts[Unit Cost],0)</f>
        <v>360000</v>
      </c>
      <c r="O1170" s="4" t="s">
        <v>4866</v>
      </c>
      <c r="P1170" s="4" t="s">
        <v>4861</v>
      </c>
      <c r="Q1170" s="1" t="str">
        <f>_xlfn.XLOOKUP(tblSales[[#This Row],[Channel Code]],tblChannels[Channel Code],tblChannels[Channel Name],"")</f>
        <v>Marketplace</v>
      </c>
      <c r="R1170" s="1">
        <f>MONTH(tblSales[[#This Row],[Date]])</f>
        <v>3</v>
      </c>
    </row>
    <row r="1171" spans="2:18" x14ac:dyDescent="0.35">
      <c r="B1171" s="113">
        <v>46095</v>
      </c>
      <c r="C1171" s="4" t="s">
        <v>832</v>
      </c>
      <c r="D1171" s="4" t="s">
        <v>4568</v>
      </c>
      <c r="E1171" s="1" t="str">
        <f>_xlfn.XLOOKUP(tblSales[[#This Row],[Customer ID]],tblCustomers[Customer ID],tblCustomers[Customer Name],"⚠ Unknown")</f>
        <v>Walk-in Customer</v>
      </c>
      <c r="F1171" s="4" t="s">
        <v>7</v>
      </c>
      <c r="G1171" s="1" t="str">
        <f>_xlfn.XLOOKUP(tblSales[[#This Row],[Product Code]],tblProducts[Code],tblProducts[Product / Service Name],"⚠ Unknown")</f>
        <v>Premium Basic T-shirt</v>
      </c>
      <c r="H1171" s="1" t="str">
        <f>_xlfn.XLOOKUP(tblSales[[#This Row],[Product Code]],tblProducts[Code],tblProducts[Category],"")</f>
        <v>Accessories &amp; Basics</v>
      </c>
      <c r="I1171" s="4">
        <v>6</v>
      </c>
      <c r="J1171" s="5">
        <f>_xlfn.XLOOKUP(tblSales[[#This Row],[Product Code]],tblProducts[Code],tblProducts[Selling Price (excl. VAT)],0)</f>
        <v>65000</v>
      </c>
      <c r="K1171" s="5">
        <f>tblSales[[#This Row],[Qty]]*tblSales[[#This Row],[Unit Price]]</f>
        <v>390000</v>
      </c>
      <c r="L1171" s="5">
        <f>ROUND(tblSales[[#This Row],[DPP (excl. VAT)]]*VATEff,0)</f>
        <v>42900</v>
      </c>
      <c r="M1171" s="5">
        <f>tblSales[[#This Row],[DPP (excl. VAT)]]+tblSales[[#This Row],[Output VAT]]</f>
        <v>432900</v>
      </c>
      <c r="N1171" s="5">
        <f>tblSales[[#This Row],[Qty]]*_xlfn.XLOOKUP(tblSales[[#This Row],[Product Code]],tblProducts[Code],tblProducts[Unit Cost],0)</f>
        <v>222000</v>
      </c>
      <c r="O1171" s="4" t="s">
        <v>4865</v>
      </c>
      <c r="P1171" s="4" t="s">
        <v>4860</v>
      </c>
      <c r="Q1171" s="1" t="str">
        <f>_xlfn.XLOOKUP(tblSales[[#This Row],[Channel Code]],tblChannels[Channel Code],tblChannels[Channel Name],"")</f>
        <v>In-store</v>
      </c>
      <c r="R1171" s="1">
        <f>MONTH(tblSales[[#This Row],[Date]])</f>
        <v>3</v>
      </c>
    </row>
    <row r="1172" spans="2:18" x14ac:dyDescent="0.35">
      <c r="B1172" s="113">
        <v>46095</v>
      </c>
      <c r="C1172" s="4" t="s">
        <v>833</v>
      </c>
      <c r="D1172" s="4" t="s">
        <v>4620</v>
      </c>
      <c r="E1172" s="1" t="str">
        <f>_xlfn.XLOOKUP(tblSales[[#This Row],[Customer ID]],tblCustomers[Customer ID],tblCustomers[Customer Name],"⚠ Unknown")</f>
        <v>CV Sumber Rejeki Utama</v>
      </c>
      <c r="F1172" s="4" t="s">
        <v>7</v>
      </c>
      <c r="G1172" s="1" t="str">
        <f>_xlfn.XLOOKUP(tblSales[[#This Row],[Product Code]],tblProducts[Code],tblProducts[Product / Service Name],"⚠ Unknown")</f>
        <v>Premium Basic T-shirt</v>
      </c>
      <c r="H1172" s="1" t="str">
        <f>_xlfn.XLOOKUP(tblSales[[#This Row],[Product Code]],tblProducts[Code],tblProducts[Category],"")</f>
        <v>Accessories &amp; Basics</v>
      </c>
      <c r="I1172" s="4">
        <v>16</v>
      </c>
      <c r="J1172" s="5">
        <f>_xlfn.XLOOKUP(tblSales[[#This Row],[Product Code]],tblProducts[Code],tblProducts[Selling Price (excl. VAT)],0)</f>
        <v>65000</v>
      </c>
      <c r="K1172" s="5">
        <f>tblSales[[#This Row],[Qty]]*tblSales[[#This Row],[Unit Price]]</f>
        <v>1040000</v>
      </c>
      <c r="L1172" s="5">
        <f>ROUND(tblSales[[#This Row],[DPP (excl. VAT)]]*VATEff,0)</f>
        <v>114400</v>
      </c>
      <c r="M1172" s="5">
        <f>tblSales[[#This Row],[DPP (excl. VAT)]]+tblSales[[#This Row],[Output VAT]]</f>
        <v>1154400</v>
      </c>
      <c r="N1172" s="5">
        <f>tblSales[[#This Row],[Qty]]*_xlfn.XLOOKUP(tblSales[[#This Row],[Product Code]],tblProducts[Code],tblProducts[Unit Cost],0)</f>
        <v>592000</v>
      </c>
      <c r="O1172" s="4" t="s">
        <v>4867</v>
      </c>
      <c r="P1172" s="4" t="s">
        <v>4860</v>
      </c>
      <c r="Q1172" s="1" t="str">
        <f>_xlfn.XLOOKUP(tblSales[[#This Row],[Channel Code]],tblChannels[Channel Code],tblChannels[Channel Name],"")</f>
        <v>In-store</v>
      </c>
      <c r="R1172" s="1">
        <f>MONTH(tblSales[[#This Row],[Date]])</f>
        <v>3</v>
      </c>
    </row>
    <row r="1173" spans="2:18" x14ac:dyDescent="0.35">
      <c r="B1173" s="113">
        <v>46095</v>
      </c>
      <c r="C1173" s="4" t="s">
        <v>833</v>
      </c>
      <c r="D1173" s="4" t="s">
        <v>4620</v>
      </c>
      <c r="E1173" s="1" t="str">
        <f>_xlfn.XLOOKUP(tblSales[[#This Row],[Customer ID]],tblCustomers[Customer ID],tblCustomers[Customer Name],"⚠ Unknown")</f>
        <v>CV Sumber Rejeki Utama</v>
      </c>
      <c r="F1173" s="4" t="s">
        <v>14</v>
      </c>
      <c r="G1173" s="1" t="str">
        <f>_xlfn.XLOOKUP(tblSales[[#This Row],[Product Code]],tblProducts[Code],tblProducts[Product / Service Name],"⚠ Unknown")</f>
        <v>Smartwatch</v>
      </c>
      <c r="H1173" s="1" t="str">
        <f>_xlfn.XLOOKUP(tblSales[[#This Row],[Product Code]],tblProducts[Code],tblProducts[Category],"")</f>
        <v>Bags &amp; Gadgets</v>
      </c>
      <c r="I1173" s="4">
        <v>24</v>
      </c>
      <c r="J1173" s="5">
        <f>_xlfn.XLOOKUP(tblSales[[#This Row],[Product Code]],tblProducts[Code],tblProducts[Selling Price (excl. VAT)],0)</f>
        <v>850000</v>
      </c>
      <c r="K1173" s="5">
        <f>tblSales[[#This Row],[Qty]]*tblSales[[#This Row],[Unit Price]]</f>
        <v>20400000</v>
      </c>
      <c r="L1173" s="5">
        <f>ROUND(tblSales[[#This Row],[DPP (excl. VAT)]]*VATEff,0)</f>
        <v>2244000</v>
      </c>
      <c r="M1173" s="5">
        <f>tblSales[[#This Row],[DPP (excl. VAT)]]+tblSales[[#This Row],[Output VAT]]</f>
        <v>22644000</v>
      </c>
      <c r="N1173" s="5">
        <f>tblSales[[#This Row],[Qty]]*_xlfn.XLOOKUP(tblSales[[#This Row],[Product Code]],tblProducts[Code],tblProducts[Unit Cost],0)</f>
        <v>13440000</v>
      </c>
      <c r="O1173" s="4" t="s">
        <v>4867</v>
      </c>
      <c r="P1173" s="4" t="s">
        <v>4860</v>
      </c>
      <c r="Q1173" s="1" t="str">
        <f>_xlfn.XLOOKUP(tblSales[[#This Row],[Channel Code]],tblChannels[Channel Code],tblChannels[Channel Name],"")</f>
        <v>In-store</v>
      </c>
      <c r="R1173" s="1">
        <f>MONTH(tblSales[[#This Row],[Date]])</f>
        <v>3</v>
      </c>
    </row>
    <row r="1174" spans="2:18" x14ac:dyDescent="0.35">
      <c r="B1174" s="113">
        <v>46095</v>
      </c>
      <c r="C1174" s="4" t="s">
        <v>834</v>
      </c>
      <c r="D1174" s="4" t="s">
        <v>4568</v>
      </c>
      <c r="E1174" s="1" t="str">
        <f>_xlfn.XLOOKUP(tblSales[[#This Row],[Customer ID]],tblCustomers[Customer ID],tblCustomers[Customer Name],"⚠ Unknown")</f>
        <v>Walk-in Customer</v>
      </c>
      <c r="F1174" s="4" t="s">
        <v>6</v>
      </c>
      <c r="G1174" s="1" t="str">
        <f>_xlfn.XLOOKUP(tblSales[[#This Row],[Product Code]],tblProducts[Code],tblProducts[Product / Service Name],"⚠ Unknown")</f>
        <v>Socks &amp; Accessories</v>
      </c>
      <c r="H1174" s="1" t="str">
        <f>_xlfn.XLOOKUP(tblSales[[#This Row],[Product Code]],tblProducts[Code],tblProducts[Category],"")</f>
        <v>Accessories &amp; Basics</v>
      </c>
      <c r="I1174" s="4">
        <v>12</v>
      </c>
      <c r="J1174" s="5">
        <f>_xlfn.XLOOKUP(tblSales[[#This Row],[Product Code]],tblProducts[Code],tblProducts[Selling Price (excl. VAT)],0)</f>
        <v>45000</v>
      </c>
      <c r="K1174" s="5">
        <f>tblSales[[#This Row],[Qty]]*tblSales[[#This Row],[Unit Price]]</f>
        <v>540000</v>
      </c>
      <c r="L1174" s="5">
        <f>ROUND(tblSales[[#This Row],[DPP (excl. VAT)]]*VATEff,0)</f>
        <v>59400</v>
      </c>
      <c r="M1174" s="5">
        <f>tblSales[[#This Row],[DPP (excl. VAT)]]+tblSales[[#This Row],[Output VAT]]</f>
        <v>599400</v>
      </c>
      <c r="N1174" s="5">
        <f>tblSales[[#This Row],[Qty]]*_xlfn.XLOOKUP(tblSales[[#This Row],[Product Code]],tblProducts[Code],tblProducts[Unit Cost],0)</f>
        <v>288000</v>
      </c>
      <c r="O1174" s="4" t="s">
        <v>4865</v>
      </c>
      <c r="P1174" s="4" t="s">
        <v>4860</v>
      </c>
      <c r="Q1174" s="1" t="str">
        <f>_xlfn.XLOOKUP(tblSales[[#This Row],[Channel Code]],tblChannels[Channel Code],tblChannels[Channel Name],"")</f>
        <v>In-store</v>
      </c>
      <c r="R1174" s="1">
        <f>MONTH(tblSales[[#This Row],[Date]])</f>
        <v>3</v>
      </c>
    </row>
    <row r="1175" spans="2:18" x14ac:dyDescent="0.35">
      <c r="B1175" s="113">
        <v>46095</v>
      </c>
      <c r="C1175" s="4" t="s">
        <v>835</v>
      </c>
      <c r="D1175" s="4" t="s">
        <v>4568</v>
      </c>
      <c r="E1175" s="1" t="str">
        <f>_xlfn.XLOOKUP(tblSales[[#This Row],[Customer ID]],tblCustomers[Customer ID],tblCustomers[Customer Name],"⚠ Unknown")</f>
        <v>Walk-in Customer</v>
      </c>
      <c r="F1175" s="4" t="s">
        <v>6</v>
      </c>
      <c r="G1175" s="1" t="str">
        <f>_xlfn.XLOOKUP(tblSales[[#This Row],[Product Code]],tblProducts[Code],tblProducts[Product / Service Name],"⚠ Unknown")</f>
        <v>Socks &amp; Accessories</v>
      </c>
      <c r="H1175" s="1" t="str">
        <f>_xlfn.XLOOKUP(tblSales[[#This Row],[Product Code]],tblProducts[Code],tblProducts[Category],"")</f>
        <v>Accessories &amp; Basics</v>
      </c>
      <c r="I1175" s="4">
        <v>4</v>
      </c>
      <c r="J1175" s="5">
        <f>_xlfn.XLOOKUP(tblSales[[#This Row],[Product Code]],tblProducts[Code],tblProducts[Selling Price (excl. VAT)],0)</f>
        <v>45000</v>
      </c>
      <c r="K1175" s="5">
        <f>tblSales[[#This Row],[Qty]]*tblSales[[#This Row],[Unit Price]]</f>
        <v>180000</v>
      </c>
      <c r="L1175" s="5">
        <f>ROUND(tblSales[[#This Row],[DPP (excl. VAT)]]*VATEff,0)</f>
        <v>19800</v>
      </c>
      <c r="M1175" s="5">
        <f>tblSales[[#This Row],[DPP (excl. VAT)]]+tblSales[[#This Row],[Output VAT]]</f>
        <v>199800</v>
      </c>
      <c r="N1175" s="5">
        <f>tblSales[[#This Row],[Qty]]*_xlfn.XLOOKUP(tblSales[[#This Row],[Product Code]],tblProducts[Code],tblProducts[Unit Cost],0)</f>
        <v>96000</v>
      </c>
      <c r="O1175" s="4" t="s">
        <v>4866</v>
      </c>
      <c r="P1175" s="4" t="s">
        <v>4861</v>
      </c>
      <c r="Q1175" s="1" t="str">
        <f>_xlfn.XLOOKUP(tblSales[[#This Row],[Channel Code]],tblChannels[Channel Code],tblChannels[Channel Name],"")</f>
        <v>Marketplace</v>
      </c>
      <c r="R1175" s="1">
        <f>MONTH(tblSales[[#This Row],[Date]])</f>
        <v>3</v>
      </c>
    </row>
    <row r="1176" spans="2:18" x14ac:dyDescent="0.35">
      <c r="B1176" s="113">
        <v>46096</v>
      </c>
      <c r="C1176" s="4" t="s">
        <v>836</v>
      </c>
      <c r="D1176" s="4" t="s">
        <v>4568</v>
      </c>
      <c r="E1176" s="1" t="str">
        <f>_xlfn.XLOOKUP(tblSales[[#This Row],[Customer ID]],tblCustomers[Customer ID],tblCustomers[Customer Name],"⚠ Unknown")</f>
        <v>Walk-in Customer</v>
      </c>
      <c r="F1176" s="4" t="s">
        <v>9</v>
      </c>
      <c r="G1176" s="1" t="str">
        <f>_xlfn.XLOOKUP(tblSales[[#This Row],[Product Code]],tblProducts[Code],tblProducts[Product / Service Name],"⚠ Unknown")</f>
        <v>Casual Shirt</v>
      </c>
      <c r="H1176" s="1" t="str">
        <f>_xlfn.XLOOKUP(tblSales[[#This Row],[Product Code]],tblProducts[Code],tblProducts[Category],"")</f>
        <v>Apparel &amp; Footwear</v>
      </c>
      <c r="I1176" s="4">
        <v>3</v>
      </c>
      <c r="J1176" s="5">
        <f>_xlfn.XLOOKUP(tblSales[[#This Row],[Product Code]],tblProducts[Code],tblProducts[Selling Price (excl. VAT)],0)</f>
        <v>120000</v>
      </c>
      <c r="K1176" s="5">
        <f>tblSales[[#This Row],[Qty]]*tblSales[[#This Row],[Unit Price]]</f>
        <v>360000</v>
      </c>
      <c r="L1176" s="5">
        <f>ROUND(tblSales[[#This Row],[DPP (excl. VAT)]]*VATEff,0)</f>
        <v>39600</v>
      </c>
      <c r="M1176" s="5">
        <f>tblSales[[#This Row],[DPP (excl. VAT)]]+tblSales[[#This Row],[Output VAT]]</f>
        <v>399600</v>
      </c>
      <c r="N1176" s="5">
        <f>tblSales[[#This Row],[Qty]]*_xlfn.XLOOKUP(tblSales[[#This Row],[Product Code]],tblProducts[Code],tblProducts[Unit Cost],0)</f>
        <v>216000</v>
      </c>
      <c r="O1176" s="4" t="s">
        <v>4865</v>
      </c>
      <c r="P1176" s="4" t="s">
        <v>4860</v>
      </c>
      <c r="Q1176" s="1" t="str">
        <f>_xlfn.XLOOKUP(tblSales[[#This Row],[Channel Code]],tblChannels[Channel Code],tblChannels[Channel Name],"")</f>
        <v>In-store</v>
      </c>
      <c r="R1176" s="1">
        <f>MONTH(tblSales[[#This Row],[Date]])</f>
        <v>3</v>
      </c>
    </row>
    <row r="1177" spans="2:18" x14ac:dyDescent="0.35">
      <c r="B1177" s="113">
        <v>46096</v>
      </c>
      <c r="C1177" s="4" t="s">
        <v>836</v>
      </c>
      <c r="D1177" s="4" t="s">
        <v>4568</v>
      </c>
      <c r="E1177" s="1" t="str">
        <f>_xlfn.XLOOKUP(tblSales[[#This Row],[Customer ID]],tblCustomers[Customer ID],tblCustomers[Customer Name],"⚠ Unknown")</f>
        <v>Walk-in Customer</v>
      </c>
      <c r="F1177" s="4" t="s">
        <v>7</v>
      </c>
      <c r="G1177" s="1" t="str">
        <f>_xlfn.XLOOKUP(tblSales[[#This Row],[Product Code]],tblProducts[Code],tblProducts[Product / Service Name],"⚠ Unknown")</f>
        <v>Premium Basic T-shirt</v>
      </c>
      <c r="H1177" s="1" t="str">
        <f>_xlfn.XLOOKUP(tblSales[[#This Row],[Product Code]],tblProducts[Code],tblProducts[Category],"")</f>
        <v>Accessories &amp; Basics</v>
      </c>
      <c r="I1177" s="4">
        <v>1</v>
      </c>
      <c r="J1177" s="5">
        <f>_xlfn.XLOOKUP(tblSales[[#This Row],[Product Code]],tblProducts[Code],tblProducts[Selling Price (excl. VAT)],0)</f>
        <v>65000</v>
      </c>
      <c r="K1177" s="5">
        <f>tblSales[[#This Row],[Qty]]*tblSales[[#This Row],[Unit Price]]</f>
        <v>65000</v>
      </c>
      <c r="L1177" s="5">
        <f>ROUND(tblSales[[#This Row],[DPP (excl. VAT)]]*VATEff,0)</f>
        <v>7150</v>
      </c>
      <c r="M1177" s="5">
        <f>tblSales[[#This Row],[DPP (excl. VAT)]]+tblSales[[#This Row],[Output VAT]]</f>
        <v>72150</v>
      </c>
      <c r="N1177" s="5">
        <f>tblSales[[#This Row],[Qty]]*_xlfn.XLOOKUP(tblSales[[#This Row],[Product Code]],tblProducts[Code],tblProducts[Unit Cost],0)</f>
        <v>37000</v>
      </c>
      <c r="O1177" s="4" t="s">
        <v>4865</v>
      </c>
      <c r="P1177" s="4" t="s">
        <v>4860</v>
      </c>
      <c r="Q1177" s="1" t="str">
        <f>_xlfn.XLOOKUP(tblSales[[#This Row],[Channel Code]],tblChannels[Channel Code],tblChannels[Channel Name],"")</f>
        <v>In-store</v>
      </c>
      <c r="R1177" s="1">
        <f>MONTH(tblSales[[#This Row],[Date]])</f>
        <v>3</v>
      </c>
    </row>
    <row r="1178" spans="2:18" x14ac:dyDescent="0.35">
      <c r="B1178" s="113">
        <v>46096</v>
      </c>
      <c r="C1178" s="4" t="s">
        <v>837</v>
      </c>
      <c r="D1178" s="4" t="s">
        <v>4627</v>
      </c>
      <c r="E1178" s="1" t="str">
        <f>_xlfn.XLOOKUP(tblSales[[#This Row],[Customer ID]],tblCustomers[Customer ID],tblCustomers[Customer Name],"⚠ Unknown")</f>
        <v>PT Kencana Wira Usaha</v>
      </c>
      <c r="F1178" s="4" t="s">
        <v>6</v>
      </c>
      <c r="G1178" s="1" t="str">
        <f>_xlfn.XLOOKUP(tblSales[[#This Row],[Product Code]],tblProducts[Code],tblProducts[Product / Service Name],"⚠ Unknown")</f>
        <v>Socks &amp; Accessories</v>
      </c>
      <c r="H1178" s="1" t="str">
        <f>_xlfn.XLOOKUP(tblSales[[#This Row],[Product Code]],tblProducts[Code],tblProducts[Category],"")</f>
        <v>Accessories &amp; Basics</v>
      </c>
      <c r="I1178" s="4">
        <v>24</v>
      </c>
      <c r="J1178" s="5">
        <f>_xlfn.XLOOKUP(tblSales[[#This Row],[Product Code]],tblProducts[Code],tblProducts[Selling Price (excl. VAT)],0)</f>
        <v>45000</v>
      </c>
      <c r="K1178" s="5">
        <f>tblSales[[#This Row],[Qty]]*tblSales[[#This Row],[Unit Price]]</f>
        <v>1080000</v>
      </c>
      <c r="L1178" s="5">
        <f>ROUND(tblSales[[#This Row],[DPP (excl. VAT)]]*VATEff,0)</f>
        <v>118800</v>
      </c>
      <c r="M1178" s="5">
        <f>tblSales[[#This Row],[DPP (excl. VAT)]]+tblSales[[#This Row],[Output VAT]]</f>
        <v>1198800</v>
      </c>
      <c r="N1178" s="5">
        <f>tblSales[[#This Row],[Qty]]*_xlfn.XLOOKUP(tblSales[[#This Row],[Product Code]],tblProducts[Code],tblProducts[Unit Cost],0)</f>
        <v>576000</v>
      </c>
      <c r="O1178" s="4" t="s">
        <v>4867</v>
      </c>
      <c r="P1178" s="4" t="s">
        <v>4860</v>
      </c>
      <c r="Q1178" s="1" t="str">
        <f>_xlfn.XLOOKUP(tblSales[[#This Row],[Channel Code]],tblChannels[Channel Code],tblChannels[Channel Name],"")</f>
        <v>In-store</v>
      </c>
      <c r="R1178" s="1">
        <f>MONTH(tblSales[[#This Row],[Date]])</f>
        <v>3</v>
      </c>
    </row>
    <row r="1179" spans="2:18" x14ac:dyDescent="0.35">
      <c r="B1179" s="113">
        <v>46096</v>
      </c>
      <c r="C1179" s="4" t="s">
        <v>837</v>
      </c>
      <c r="D1179" s="4" t="s">
        <v>4627</v>
      </c>
      <c r="E1179" s="1" t="str">
        <f>_xlfn.XLOOKUP(tblSales[[#This Row],[Customer ID]],tblCustomers[Customer ID],tblCustomers[Customer Name],"⚠ Unknown")</f>
        <v>PT Kencana Wira Usaha</v>
      </c>
      <c r="F1179" s="4" t="s">
        <v>9</v>
      </c>
      <c r="G1179" s="1" t="str">
        <f>_xlfn.XLOOKUP(tblSales[[#This Row],[Product Code]],tblProducts[Code],tblProducts[Product / Service Name],"⚠ Unknown")</f>
        <v>Casual Shirt</v>
      </c>
      <c r="H1179" s="1" t="str">
        <f>_xlfn.XLOOKUP(tblSales[[#This Row],[Product Code]],tblProducts[Code],tblProducts[Category],"")</f>
        <v>Apparel &amp; Footwear</v>
      </c>
      <c r="I1179" s="4">
        <v>80</v>
      </c>
      <c r="J1179" s="5">
        <f>_xlfn.XLOOKUP(tblSales[[#This Row],[Product Code]],tblProducts[Code],tblProducts[Selling Price (excl. VAT)],0)</f>
        <v>120000</v>
      </c>
      <c r="K1179" s="5">
        <f>tblSales[[#This Row],[Qty]]*tblSales[[#This Row],[Unit Price]]</f>
        <v>9600000</v>
      </c>
      <c r="L1179" s="5">
        <f>ROUND(tblSales[[#This Row],[DPP (excl. VAT)]]*VATEff,0)</f>
        <v>1056000</v>
      </c>
      <c r="M1179" s="5">
        <f>tblSales[[#This Row],[DPP (excl. VAT)]]+tblSales[[#This Row],[Output VAT]]</f>
        <v>10656000</v>
      </c>
      <c r="N1179" s="5">
        <f>tblSales[[#This Row],[Qty]]*_xlfn.XLOOKUP(tblSales[[#This Row],[Product Code]],tblProducts[Code],tblProducts[Unit Cost],0)</f>
        <v>5760000</v>
      </c>
      <c r="O1179" s="4" t="s">
        <v>4867</v>
      </c>
      <c r="P1179" s="4" t="s">
        <v>4860</v>
      </c>
      <c r="Q1179" s="1" t="str">
        <f>_xlfn.XLOOKUP(tblSales[[#This Row],[Channel Code]],tblChannels[Channel Code],tblChannels[Channel Name],"")</f>
        <v>In-store</v>
      </c>
      <c r="R1179" s="1">
        <f>MONTH(tblSales[[#This Row],[Date]])</f>
        <v>3</v>
      </c>
    </row>
    <row r="1180" spans="2:18" x14ac:dyDescent="0.35">
      <c r="B1180" s="113">
        <v>46096</v>
      </c>
      <c r="C1180" s="4" t="s">
        <v>837</v>
      </c>
      <c r="D1180" s="4" t="s">
        <v>4627</v>
      </c>
      <c r="E1180" s="1" t="str">
        <f>_xlfn.XLOOKUP(tblSales[[#This Row],[Customer ID]],tblCustomers[Customer ID],tblCustomers[Customer Name],"⚠ Unknown")</f>
        <v>PT Kencana Wira Usaha</v>
      </c>
      <c r="F1180" s="4" t="s">
        <v>11</v>
      </c>
      <c r="G1180" s="1" t="str">
        <f>_xlfn.XLOOKUP(tblSales[[#This Row],[Product Code]],tblProducts[Code],tblProducts[Product / Service Name],"⚠ Unknown")</f>
        <v>Sneakers</v>
      </c>
      <c r="H1180" s="1" t="str">
        <f>_xlfn.XLOOKUP(tblSales[[#This Row],[Product Code]],tblProducts[Code],tblProducts[Category],"")</f>
        <v>Apparel &amp; Footwear</v>
      </c>
      <c r="I1180" s="4">
        <v>48</v>
      </c>
      <c r="J1180" s="5">
        <f>_xlfn.XLOOKUP(tblSales[[#This Row],[Product Code]],tblProducts[Code],tblProducts[Selling Price (excl. VAT)],0)</f>
        <v>250000</v>
      </c>
      <c r="K1180" s="5">
        <f>tblSales[[#This Row],[Qty]]*tblSales[[#This Row],[Unit Price]]</f>
        <v>12000000</v>
      </c>
      <c r="L1180" s="5">
        <f>ROUND(tblSales[[#This Row],[DPP (excl. VAT)]]*VATEff,0)</f>
        <v>1320000</v>
      </c>
      <c r="M1180" s="5">
        <f>tblSales[[#This Row],[DPP (excl. VAT)]]+tblSales[[#This Row],[Output VAT]]</f>
        <v>13320000</v>
      </c>
      <c r="N1180" s="5">
        <f>tblSales[[#This Row],[Qty]]*_xlfn.XLOOKUP(tblSales[[#This Row],[Product Code]],tblProducts[Code],tblProducts[Unit Cost],0)</f>
        <v>7440000</v>
      </c>
      <c r="O1180" s="4" t="s">
        <v>4867</v>
      </c>
      <c r="P1180" s="4" t="s">
        <v>4860</v>
      </c>
      <c r="Q1180" s="1" t="str">
        <f>_xlfn.XLOOKUP(tblSales[[#This Row],[Channel Code]],tblChannels[Channel Code],tblChannels[Channel Name],"")</f>
        <v>In-store</v>
      </c>
      <c r="R1180" s="1">
        <f>MONTH(tblSales[[#This Row],[Date]])</f>
        <v>3</v>
      </c>
    </row>
    <row r="1181" spans="2:18" x14ac:dyDescent="0.35">
      <c r="B1181" s="113">
        <v>46096</v>
      </c>
      <c r="C1181" s="4" t="s">
        <v>838</v>
      </c>
      <c r="D1181" s="4" t="s">
        <v>4634</v>
      </c>
      <c r="E1181" s="1" t="str">
        <f>_xlfn.XLOOKUP(tblSales[[#This Row],[Customer ID]],tblCustomers[Customer ID],tblCustomers[Customer Name],"⚠ Unknown")</f>
        <v>PT Delta Inti Selaras</v>
      </c>
      <c r="F1181" s="4" t="s">
        <v>8</v>
      </c>
      <c r="G1181" s="1" t="str">
        <f>_xlfn.XLOOKUP(tblSales[[#This Row],[Product Code]],tblProducts[Code],tblProducts[Product / Service Name],"⚠ Unknown")</f>
        <v>Casual Shorts</v>
      </c>
      <c r="H1181" s="1" t="str">
        <f>_xlfn.XLOOKUP(tblSales[[#This Row],[Product Code]],tblProducts[Code],tblProducts[Category],"")</f>
        <v>Accessories &amp; Basics</v>
      </c>
      <c r="I1181" s="4">
        <v>16</v>
      </c>
      <c r="J1181" s="5">
        <f>_xlfn.XLOOKUP(tblSales[[#This Row],[Product Code]],tblProducts[Code],tblProducts[Selling Price (excl. VAT)],0)</f>
        <v>85000</v>
      </c>
      <c r="K1181" s="5">
        <f>tblSales[[#This Row],[Qty]]*tblSales[[#This Row],[Unit Price]]</f>
        <v>1360000</v>
      </c>
      <c r="L1181" s="5">
        <f>ROUND(tblSales[[#This Row],[DPP (excl. VAT)]]*VATEff,0)</f>
        <v>149600</v>
      </c>
      <c r="M1181" s="5">
        <f>tblSales[[#This Row],[DPP (excl. VAT)]]+tblSales[[#This Row],[Output VAT]]</f>
        <v>1509600</v>
      </c>
      <c r="N1181" s="5">
        <f>tblSales[[#This Row],[Qty]]*_xlfn.XLOOKUP(tblSales[[#This Row],[Product Code]],tblProducts[Code],tblProducts[Unit Cost],0)</f>
        <v>800000</v>
      </c>
      <c r="O1181" s="4" t="s">
        <v>4867</v>
      </c>
      <c r="P1181" s="4" t="s">
        <v>4860</v>
      </c>
      <c r="Q1181" s="1" t="str">
        <f>_xlfn.XLOOKUP(tblSales[[#This Row],[Channel Code]],tblChannels[Channel Code],tblChannels[Channel Name],"")</f>
        <v>In-store</v>
      </c>
      <c r="R1181" s="1">
        <f>MONTH(tblSales[[#This Row],[Date]])</f>
        <v>3</v>
      </c>
    </row>
    <row r="1182" spans="2:18" x14ac:dyDescent="0.35">
      <c r="B1182" s="113">
        <v>46096</v>
      </c>
      <c r="C1182" s="4" t="s">
        <v>839</v>
      </c>
      <c r="D1182" s="4" t="s">
        <v>4568</v>
      </c>
      <c r="E1182" s="1" t="str">
        <f>_xlfn.XLOOKUP(tblSales[[#This Row],[Customer ID]],tblCustomers[Customer ID],tblCustomers[Customer Name],"⚠ Unknown")</f>
        <v>Walk-in Customer</v>
      </c>
      <c r="F1182" s="4" t="s">
        <v>8</v>
      </c>
      <c r="G1182" s="1" t="str">
        <f>_xlfn.XLOOKUP(tblSales[[#This Row],[Product Code]],tblProducts[Code],tblProducts[Product / Service Name],"⚠ Unknown")</f>
        <v>Casual Shorts</v>
      </c>
      <c r="H1182" s="1" t="str">
        <f>_xlfn.XLOOKUP(tblSales[[#This Row],[Product Code]],tblProducts[Code],tblProducts[Category],"")</f>
        <v>Accessories &amp; Basics</v>
      </c>
      <c r="I1182" s="4">
        <v>8</v>
      </c>
      <c r="J1182" s="5">
        <f>_xlfn.XLOOKUP(tblSales[[#This Row],[Product Code]],tblProducts[Code],tblProducts[Selling Price (excl. VAT)],0)</f>
        <v>85000</v>
      </c>
      <c r="K1182" s="5">
        <f>tblSales[[#This Row],[Qty]]*tblSales[[#This Row],[Unit Price]]</f>
        <v>680000</v>
      </c>
      <c r="L1182" s="5">
        <f>ROUND(tblSales[[#This Row],[DPP (excl. VAT)]]*VATEff,0)</f>
        <v>74800</v>
      </c>
      <c r="M1182" s="5">
        <f>tblSales[[#This Row],[DPP (excl. VAT)]]+tblSales[[#This Row],[Output VAT]]</f>
        <v>754800</v>
      </c>
      <c r="N1182" s="5">
        <f>tblSales[[#This Row],[Qty]]*_xlfn.XLOOKUP(tblSales[[#This Row],[Product Code]],tblProducts[Code],tblProducts[Unit Cost],0)</f>
        <v>400000</v>
      </c>
      <c r="O1182" s="4" t="s">
        <v>4866</v>
      </c>
      <c r="P1182" s="4" t="s">
        <v>4861</v>
      </c>
      <c r="Q1182" s="1" t="str">
        <f>_xlfn.XLOOKUP(tblSales[[#This Row],[Channel Code]],tblChannels[Channel Code],tblChannels[Channel Name],"")</f>
        <v>Marketplace</v>
      </c>
      <c r="R1182" s="1">
        <f>MONTH(tblSales[[#This Row],[Date]])</f>
        <v>3</v>
      </c>
    </row>
    <row r="1183" spans="2:18" x14ac:dyDescent="0.35">
      <c r="B1183" s="113">
        <v>46096</v>
      </c>
      <c r="C1183" s="4" t="s">
        <v>839</v>
      </c>
      <c r="D1183" s="4" t="s">
        <v>4568</v>
      </c>
      <c r="E1183" s="1" t="str">
        <f>_xlfn.XLOOKUP(tblSales[[#This Row],[Customer ID]],tblCustomers[Customer ID],tblCustomers[Customer Name],"⚠ Unknown")</f>
        <v>Walk-in Customer</v>
      </c>
      <c r="F1183" s="4" t="s">
        <v>6</v>
      </c>
      <c r="G1183" s="1" t="str">
        <f>_xlfn.XLOOKUP(tblSales[[#This Row],[Product Code]],tblProducts[Code],tblProducts[Product / Service Name],"⚠ Unknown")</f>
        <v>Socks &amp; Accessories</v>
      </c>
      <c r="H1183" s="1" t="str">
        <f>_xlfn.XLOOKUP(tblSales[[#This Row],[Product Code]],tblProducts[Code],tblProducts[Category],"")</f>
        <v>Accessories &amp; Basics</v>
      </c>
      <c r="I1183" s="4">
        <v>6</v>
      </c>
      <c r="J1183" s="5">
        <f>_xlfn.XLOOKUP(tblSales[[#This Row],[Product Code]],tblProducts[Code],tblProducts[Selling Price (excl. VAT)],0)</f>
        <v>45000</v>
      </c>
      <c r="K1183" s="5">
        <f>tblSales[[#This Row],[Qty]]*tblSales[[#This Row],[Unit Price]]</f>
        <v>270000</v>
      </c>
      <c r="L1183" s="5">
        <f>ROUND(tblSales[[#This Row],[DPP (excl. VAT)]]*VATEff,0)</f>
        <v>29700</v>
      </c>
      <c r="M1183" s="5">
        <f>tblSales[[#This Row],[DPP (excl. VAT)]]+tblSales[[#This Row],[Output VAT]]</f>
        <v>299700</v>
      </c>
      <c r="N1183" s="5">
        <f>tblSales[[#This Row],[Qty]]*_xlfn.XLOOKUP(tblSales[[#This Row],[Product Code]],tblProducts[Code],tblProducts[Unit Cost],0)</f>
        <v>144000</v>
      </c>
      <c r="O1183" s="4" t="s">
        <v>4866</v>
      </c>
      <c r="P1183" s="4" t="s">
        <v>4861</v>
      </c>
      <c r="Q1183" s="1" t="str">
        <f>_xlfn.XLOOKUP(tblSales[[#This Row],[Channel Code]],tblChannels[Channel Code],tblChannels[Channel Name],"")</f>
        <v>Marketplace</v>
      </c>
      <c r="R1183" s="1">
        <f>MONTH(tblSales[[#This Row],[Date]])</f>
        <v>3</v>
      </c>
    </row>
    <row r="1184" spans="2:18" x14ac:dyDescent="0.35">
      <c r="B1184" s="113">
        <v>46096</v>
      </c>
      <c r="C1184" s="4" t="s">
        <v>839</v>
      </c>
      <c r="D1184" s="4" t="s">
        <v>4568</v>
      </c>
      <c r="E1184" s="1" t="str">
        <f>_xlfn.XLOOKUP(tblSales[[#This Row],[Customer ID]],tblCustomers[Customer ID],tblCustomers[Customer Name],"⚠ Unknown")</f>
        <v>Walk-in Customer</v>
      </c>
      <c r="F1184" s="4" t="s">
        <v>15</v>
      </c>
      <c r="G1184" s="1" t="str">
        <f>_xlfn.XLOOKUP(tblSales[[#This Row],[Product Code]],tblProducts[Code],tblProducts[Product / Service Name],"⚠ Unknown")</f>
        <v>Wireless Earbuds Pro</v>
      </c>
      <c r="H1184" s="1" t="str">
        <f>_xlfn.XLOOKUP(tblSales[[#This Row],[Product Code]],tblProducts[Code],tblProducts[Category],"")</f>
        <v>Bags &amp; Gadgets</v>
      </c>
      <c r="I1184" s="4">
        <v>1</v>
      </c>
      <c r="J1184" s="5">
        <f>_xlfn.XLOOKUP(tblSales[[#This Row],[Product Code]],tblProducts[Code],tblProducts[Selling Price (excl. VAT)],0)</f>
        <v>1250000</v>
      </c>
      <c r="K1184" s="5">
        <f>tblSales[[#This Row],[Qty]]*tblSales[[#This Row],[Unit Price]]</f>
        <v>1250000</v>
      </c>
      <c r="L1184" s="5">
        <f>ROUND(tblSales[[#This Row],[DPP (excl. VAT)]]*VATEff,0)</f>
        <v>137500</v>
      </c>
      <c r="M1184" s="5">
        <f>tblSales[[#This Row],[DPP (excl. VAT)]]+tblSales[[#This Row],[Output VAT]]</f>
        <v>1387500</v>
      </c>
      <c r="N1184" s="5">
        <f>tblSales[[#This Row],[Qty]]*_xlfn.XLOOKUP(tblSales[[#This Row],[Product Code]],tblProducts[Code],tblProducts[Unit Cost],0)</f>
        <v>820000</v>
      </c>
      <c r="O1184" s="4" t="s">
        <v>4866</v>
      </c>
      <c r="P1184" s="4" t="s">
        <v>4861</v>
      </c>
      <c r="Q1184" s="1" t="str">
        <f>_xlfn.XLOOKUP(tblSales[[#This Row],[Channel Code]],tblChannels[Channel Code],tblChannels[Channel Name],"")</f>
        <v>Marketplace</v>
      </c>
      <c r="R1184" s="1">
        <f>MONTH(tblSales[[#This Row],[Date]])</f>
        <v>3</v>
      </c>
    </row>
    <row r="1185" spans="2:18" x14ac:dyDescent="0.35">
      <c r="B1185" s="113">
        <v>46096</v>
      </c>
      <c r="C1185" s="4" t="s">
        <v>840</v>
      </c>
      <c r="D1185" s="4" t="s">
        <v>4568</v>
      </c>
      <c r="E1185" s="1" t="str">
        <f>_xlfn.XLOOKUP(tblSales[[#This Row],[Customer ID]],tblCustomers[Customer ID],tblCustomers[Customer Name],"⚠ Unknown")</f>
        <v>Walk-in Customer</v>
      </c>
      <c r="F1185" s="4" t="s">
        <v>9</v>
      </c>
      <c r="G1185" s="1" t="str">
        <f>_xlfn.XLOOKUP(tblSales[[#This Row],[Product Code]],tblProducts[Code],tblProducts[Product / Service Name],"⚠ Unknown")</f>
        <v>Casual Shirt</v>
      </c>
      <c r="H1185" s="1" t="str">
        <f>_xlfn.XLOOKUP(tblSales[[#This Row],[Product Code]],tblProducts[Code],tblProducts[Category],"")</f>
        <v>Apparel &amp; Footwear</v>
      </c>
      <c r="I1185" s="4">
        <v>6</v>
      </c>
      <c r="J1185" s="5">
        <f>_xlfn.XLOOKUP(tblSales[[#This Row],[Product Code]],tblProducts[Code],tblProducts[Selling Price (excl. VAT)],0)</f>
        <v>120000</v>
      </c>
      <c r="K1185" s="5">
        <f>tblSales[[#This Row],[Qty]]*tblSales[[#This Row],[Unit Price]]</f>
        <v>720000</v>
      </c>
      <c r="L1185" s="5">
        <f>ROUND(tblSales[[#This Row],[DPP (excl. VAT)]]*VATEff,0)</f>
        <v>79200</v>
      </c>
      <c r="M1185" s="5">
        <f>tblSales[[#This Row],[DPP (excl. VAT)]]+tblSales[[#This Row],[Output VAT]]</f>
        <v>799200</v>
      </c>
      <c r="N1185" s="5">
        <f>tblSales[[#This Row],[Qty]]*_xlfn.XLOOKUP(tblSales[[#This Row],[Product Code]],tblProducts[Code],tblProducts[Unit Cost],0)</f>
        <v>432000</v>
      </c>
      <c r="O1185" s="4" t="s">
        <v>4865</v>
      </c>
      <c r="P1185" s="4" t="s">
        <v>4860</v>
      </c>
      <c r="Q1185" s="1" t="str">
        <f>_xlfn.XLOOKUP(tblSales[[#This Row],[Channel Code]],tblChannels[Channel Code],tblChannels[Channel Name],"")</f>
        <v>In-store</v>
      </c>
      <c r="R1185" s="1">
        <f>MONTH(tblSales[[#This Row],[Date]])</f>
        <v>3</v>
      </c>
    </row>
    <row r="1186" spans="2:18" x14ac:dyDescent="0.35">
      <c r="B1186" s="113">
        <v>46096</v>
      </c>
      <c r="C1186" s="4" t="s">
        <v>841</v>
      </c>
      <c r="D1186" s="4" t="s">
        <v>4568</v>
      </c>
      <c r="E1186" s="1" t="str">
        <f>_xlfn.XLOOKUP(tblSales[[#This Row],[Customer ID]],tblCustomers[Customer ID],tblCustomers[Customer Name],"⚠ Unknown")</f>
        <v>Walk-in Customer</v>
      </c>
      <c r="F1186" s="4" t="s">
        <v>12</v>
      </c>
      <c r="G1186" s="1" t="str">
        <f>_xlfn.XLOOKUP(tblSales[[#This Row],[Product Code]],tblProducts[Code],tblProducts[Product / Service Name],"⚠ Unknown")</f>
        <v>Bomber Jacket</v>
      </c>
      <c r="H1186" s="1" t="str">
        <f>_xlfn.XLOOKUP(tblSales[[#This Row],[Product Code]],tblProducts[Code],tblProducts[Category],"")</f>
        <v>Apparel &amp; Footwear</v>
      </c>
      <c r="I1186" s="4">
        <v>2</v>
      </c>
      <c r="J1186" s="5">
        <f>_xlfn.XLOOKUP(tblSales[[#This Row],[Product Code]],tblProducts[Code],tblProducts[Selling Price (excl. VAT)],0)</f>
        <v>350000</v>
      </c>
      <c r="K1186" s="5">
        <f>tblSales[[#This Row],[Qty]]*tblSales[[#This Row],[Unit Price]]</f>
        <v>700000</v>
      </c>
      <c r="L1186" s="5">
        <f>ROUND(tblSales[[#This Row],[DPP (excl. VAT)]]*VATEff,0)</f>
        <v>77000</v>
      </c>
      <c r="M1186" s="5">
        <f>tblSales[[#This Row],[DPP (excl. VAT)]]+tblSales[[#This Row],[Output VAT]]</f>
        <v>777000</v>
      </c>
      <c r="N1186" s="5">
        <f>tblSales[[#This Row],[Qty]]*_xlfn.XLOOKUP(tblSales[[#This Row],[Product Code]],tblProducts[Code],tblProducts[Unit Cost],0)</f>
        <v>420000</v>
      </c>
      <c r="O1186" s="4" t="s">
        <v>4866</v>
      </c>
      <c r="P1186" s="4" t="s">
        <v>4861</v>
      </c>
      <c r="Q1186" s="1" t="str">
        <f>_xlfn.XLOOKUP(tblSales[[#This Row],[Channel Code]],tblChannels[Channel Code],tblChannels[Channel Name],"")</f>
        <v>Marketplace</v>
      </c>
      <c r="R1186" s="1">
        <f>MONTH(tblSales[[#This Row],[Date]])</f>
        <v>3</v>
      </c>
    </row>
    <row r="1187" spans="2:18" x14ac:dyDescent="0.35">
      <c r="B1187" s="113">
        <v>46096</v>
      </c>
      <c r="C1187" s="4" t="s">
        <v>842</v>
      </c>
      <c r="D1187" s="4" t="s">
        <v>4568</v>
      </c>
      <c r="E1187" s="1" t="str">
        <f>_xlfn.XLOOKUP(tblSales[[#This Row],[Customer ID]],tblCustomers[Customer ID],tblCustomers[Customer Name],"⚠ Unknown")</f>
        <v>Walk-in Customer</v>
      </c>
      <c r="F1187" s="4" t="s">
        <v>10</v>
      </c>
      <c r="G1187" s="1" t="str">
        <f>_xlfn.XLOOKUP(tblSales[[#This Row],[Product Code]],tblProducts[Code],tblProducts[Product / Service Name],"⚠ Unknown")</f>
        <v>Chino Pants</v>
      </c>
      <c r="H1187" s="1" t="str">
        <f>_xlfn.XLOOKUP(tblSales[[#This Row],[Product Code]],tblProducts[Code],tblProducts[Category],"")</f>
        <v>Apparel &amp; Footwear</v>
      </c>
      <c r="I1187" s="4">
        <v>2</v>
      </c>
      <c r="J1187" s="5">
        <f>_xlfn.XLOOKUP(tblSales[[#This Row],[Product Code]],tblProducts[Code],tblProducts[Selling Price (excl. VAT)],0)</f>
        <v>150000</v>
      </c>
      <c r="K1187" s="5">
        <f>tblSales[[#This Row],[Qty]]*tblSales[[#This Row],[Unit Price]]</f>
        <v>300000</v>
      </c>
      <c r="L1187" s="5">
        <f>ROUND(tblSales[[#This Row],[DPP (excl. VAT)]]*VATEff,0)</f>
        <v>33000</v>
      </c>
      <c r="M1187" s="5">
        <f>tblSales[[#This Row],[DPP (excl. VAT)]]+tblSales[[#This Row],[Output VAT]]</f>
        <v>333000</v>
      </c>
      <c r="N1187" s="5">
        <f>tblSales[[#This Row],[Qty]]*_xlfn.XLOOKUP(tblSales[[#This Row],[Product Code]],tblProducts[Code],tblProducts[Unit Cost],0)</f>
        <v>176000</v>
      </c>
      <c r="O1187" s="4" t="s">
        <v>4866</v>
      </c>
      <c r="P1187" s="4" t="s">
        <v>4861</v>
      </c>
      <c r="Q1187" s="1" t="str">
        <f>_xlfn.XLOOKUP(tblSales[[#This Row],[Channel Code]],tblChannels[Channel Code],tblChannels[Channel Name],"")</f>
        <v>Marketplace</v>
      </c>
      <c r="R1187" s="1">
        <f>MONTH(tblSales[[#This Row],[Date]])</f>
        <v>3</v>
      </c>
    </row>
    <row r="1188" spans="2:18" x14ac:dyDescent="0.35">
      <c r="B1188" s="113">
        <v>46096</v>
      </c>
      <c r="C1188" s="4" t="s">
        <v>843</v>
      </c>
      <c r="D1188" s="4" t="s">
        <v>4568</v>
      </c>
      <c r="E1188" s="1" t="str">
        <f>_xlfn.XLOOKUP(tblSales[[#This Row],[Customer ID]],tblCustomers[Customer ID],tblCustomers[Customer Name],"⚠ Unknown")</f>
        <v>Walk-in Customer</v>
      </c>
      <c r="F1188" s="4" t="s">
        <v>7</v>
      </c>
      <c r="G1188" s="1" t="str">
        <f>_xlfn.XLOOKUP(tblSales[[#This Row],[Product Code]],tblProducts[Code],tblProducts[Product / Service Name],"⚠ Unknown")</f>
        <v>Premium Basic T-shirt</v>
      </c>
      <c r="H1188" s="1" t="str">
        <f>_xlfn.XLOOKUP(tblSales[[#This Row],[Product Code]],tblProducts[Code],tblProducts[Category],"")</f>
        <v>Accessories &amp; Basics</v>
      </c>
      <c r="I1188" s="4">
        <v>6</v>
      </c>
      <c r="J1188" s="5">
        <f>_xlfn.XLOOKUP(tblSales[[#This Row],[Product Code]],tblProducts[Code],tblProducts[Selling Price (excl. VAT)],0)</f>
        <v>65000</v>
      </c>
      <c r="K1188" s="5">
        <f>tblSales[[#This Row],[Qty]]*tblSales[[#This Row],[Unit Price]]</f>
        <v>390000</v>
      </c>
      <c r="L1188" s="5">
        <f>ROUND(tblSales[[#This Row],[DPP (excl. VAT)]]*VATEff,0)</f>
        <v>42900</v>
      </c>
      <c r="M1188" s="5">
        <f>tblSales[[#This Row],[DPP (excl. VAT)]]+tblSales[[#This Row],[Output VAT]]</f>
        <v>432900</v>
      </c>
      <c r="N1188" s="5">
        <f>tblSales[[#This Row],[Qty]]*_xlfn.XLOOKUP(tblSales[[#This Row],[Product Code]],tblProducts[Code],tblProducts[Unit Cost],0)</f>
        <v>222000</v>
      </c>
      <c r="O1188" s="4" t="s">
        <v>4866</v>
      </c>
      <c r="P1188" s="4" t="s">
        <v>4862</v>
      </c>
      <c r="Q1188" s="1" t="str">
        <f>_xlfn.XLOOKUP(tblSales[[#This Row],[Channel Code]],tblChannels[Channel Code],tblChannels[Channel Name],"")</f>
        <v>Website &amp; Social Media</v>
      </c>
      <c r="R1188" s="1">
        <f>MONTH(tblSales[[#This Row],[Date]])</f>
        <v>3</v>
      </c>
    </row>
    <row r="1189" spans="2:18" x14ac:dyDescent="0.35">
      <c r="B1189" s="113">
        <v>46096</v>
      </c>
      <c r="C1189" s="4" t="s">
        <v>844</v>
      </c>
      <c r="D1189" s="4" t="s">
        <v>4568</v>
      </c>
      <c r="E1189" s="1" t="str">
        <f>_xlfn.XLOOKUP(tblSales[[#This Row],[Customer ID]],tblCustomers[Customer ID],tblCustomers[Customer Name],"⚠ Unknown")</f>
        <v>Walk-in Customer</v>
      </c>
      <c r="F1189" s="4" t="s">
        <v>8</v>
      </c>
      <c r="G1189" s="1" t="str">
        <f>_xlfn.XLOOKUP(tblSales[[#This Row],[Product Code]],tblProducts[Code],tblProducts[Product / Service Name],"⚠ Unknown")</f>
        <v>Casual Shorts</v>
      </c>
      <c r="H1189" s="1" t="str">
        <f>_xlfn.XLOOKUP(tblSales[[#This Row],[Product Code]],tblProducts[Code],tblProducts[Category],"")</f>
        <v>Accessories &amp; Basics</v>
      </c>
      <c r="I1189" s="4">
        <v>5</v>
      </c>
      <c r="J1189" s="5">
        <f>_xlfn.XLOOKUP(tblSales[[#This Row],[Product Code]],tblProducts[Code],tblProducts[Selling Price (excl. VAT)],0)</f>
        <v>85000</v>
      </c>
      <c r="K1189" s="5">
        <f>tblSales[[#This Row],[Qty]]*tblSales[[#This Row],[Unit Price]]</f>
        <v>425000</v>
      </c>
      <c r="L1189" s="5">
        <f>ROUND(tblSales[[#This Row],[DPP (excl. VAT)]]*VATEff,0)</f>
        <v>46750</v>
      </c>
      <c r="M1189" s="5">
        <f>tblSales[[#This Row],[DPP (excl. VAT)]]+tblSales[[#This Row],[Output VAT]]</f>
        <v>471750</v>
      </c>
      <c r="N1189" s="5">
        <f>tblSales[[#This Row],[Qty]]*_xlfn.XLOOKUP(tblSales[[#This Row],[Product Code]],tblProducts[Code],tblProducts[Unit Cost],0)</f>
        <v>250000</v>
      </c>
      <c r="O1189" s="4" t="s">
        <v>4866</v>
      </c>
      <c r="P1189" s="4" t="s">
        <v>4861</v>
      </c>
      <c r="Q1189" s="1" t="str">
        <f>_xlfn.XLOOKUP(tblSales[[#This Row],[Channel Code]],tblChannels[Channel Code],tblChannels[Channel Name],"")</f>
        <v>Marketplace</v>
      </c>
      <c r="R1189" s="1">
        <f>MONTH(tblSales[[#This Row],[Date]])</f>
        <v>3</v>
      </c>
    </row>
    <row r="1190" spans="2:18" x14ac:dyDescent="0.35">
      <c r="B1190" s="113">
        <v>46096</v>
      </c>
      <c r="C1190" s="4" t="s">
        <v>844</v>
      </c>
      <c r="D1190" s="4" t="s">
        <v>4568</v>
      </c>
      <c r="E1190" s="1" t="str">
        <f>_xlfn.XLOOKUP(tblSales[[#This Row],[Customer ID]],tblCustomers[Customer ID],tblCustomers[Customer Name],"⚠ Unknown")</f>
        <v>Walk-in Customer</v>
      </c>
      <c r="F1190" s="4" t="s">
        <v>9</v>
      </c>
      <c r="G1190" s="1" t="str">
        <f>_xlfn.XLOOKUP(tblSales[[#This Row],[Product Code]],tblProducts[Code],tblProducts[Product / Service Name],"⚠ Unknown")</f>
        <v>Casual Shirt</v>
      </c>
      <c r="H1190" s="1" t="str">
        <f>_xlfn.XLOOKUP(tblSales[[#This Row],[Product Code]],tblProducts[Code],tblProducts[Category],"")</f>
        <v>Apparel &amp; Footwear</v>
      </c>
      <c r="I1190" s="4">
        <v>3</v>
      </c>
      <c r="J1190" s="5">
        <f>_xlfn.XLOOKUP(tblSales[[#This Row],[Product Code]],tblProducts[Code],tblProducts[Selling Price (excl. VAT)],0)</f>
        <v>120000</v>
      </c>
      <c r="K1190" s="5">
        <f>tblSales[[#This Row],[Qty]]*tblSales[[#This Row],[Unit Price]]</f>
        <v>360000</v>
      </c>
      <c r="L1190" s="5">
        <f>ROUND(tblSales[[#This Row],[DPP (excl. VAT)]]*VATEff,0)</f>
        <v>39600</v>
      </c>
      <c r="M1190" s="5">
        <f>tblSales[[#This Row],[DPP (excl. VAT)]]+tblSales[[#This Row],[Output VAT]]</f>
        <v>399600</v>
      </c>
      <c r="N1190" s="5">
        <f>tblSales[[#This Row],[Qty]]*_xlfn.XLOOKUP(tblSales[[#This Row],[Product Code]],tblProducts[Code],tblProducts[Unit Cost],0)</f>
        <v>216000</v>
      </c>
      <c r="O1190" s="4" t="s">
        <v>4866</v>
      </c>
      <c r="P1190" s="4" t="s">
        <v>4861</v>
      </c>
      <c r="Q1190" s="1" t="str">
        <f>_xlfn.XLOOKUP(tblSales[[#This Row],[Channel Code]],tblChannels[Channel Code],tblChannels[Channel Name],"")</f>
        <v>Marketplace</v>
      </c>
      <c r="R1190" s="1">
        <f>MONTH(tblSales[[#This Row],[Date]])</f>
        <v>3</v>
      </c>
    </row>
    <row r="1191" spans="2:18" x14ac:dyDescent="0.35">
      <c r="B1191" s="113">
        <v>46096</v>
      </c>
      <c r="C1191" s="4" t="s">
        <v>845</v>
      </c>
      <c r="D1191" s="4" t="s">
        <v>4568</v>
      </c>
      <c r="E1191" s="1" t="str">
        <f>_xlfn.XLOOKUP(tblSales[[#This Row],[Customer ID]],tblCustomers[Customer ID],tblCustomers[Customer Name],"⚠ Unknown")</f>
        <v>Walk-in Customer</v>
      </c>
      <c r="F1191" s="4" t="s">
        <v>8</v>
      </c>
      <c r="G1191" s="1" t="str">
        <f>_xlfn.XLOOKUP(tblSales[[#This Row],[Product Code]],tblProducts[Code],tblProducts[Product / Service Name],"⚠ Unknown")</f>
        <v>Casual Shorts</v>
      </c>
      <c r="H1191" s="1" t="str">
        <f>_xlfn.XLOOKUP(tblSales[[#This Row],[Product Code]],tblProducts[Code],tblProducts[Category],"")</f>
        <v>Accessories &amp; Basics</v>
      </c>
      <c r="I1191" s="4">
        <v>11</v>
      </c>
      <c r="J1191" s="5">
        <f>_xlfn.XLOOKUP(tblSales[[#This Row],[Product Code]],tblProducts[Code],tblProducts[Selling Price (excl. VAT)],0)</f>
        <v>85000</v>
      </c>
      <c r="K1191" s="5">
        <f>tblSales[[#This Row],[Qty]]*tblSales[[#This Row],[Unit Price]]</f>
        <v>935000</v>
      </c>
      <c r="L1191" s="5">
        <f>ROUND(tblSales[[#This Row],[DPP (excl. VAT)]]*VATEff,0)</f>
        <v>102850</v>
      </c>
      <c r="M1191" s="5">
        <f>tblSales[[#This Row],[DPP (excl. VAT)]]+tblSales[[#This Row],[Output VAT]]</f>
        <v>1037850</v>
      </c>
      <c r="N1191" s="5">
        <f>tblSales[[#This Row],[Qty]]*_xlfn.XLOOKUP(tblSales[[#This Row],[Product Code]],tblProducts[Code],tblProducts[Unit Cost],0)</f>
        <v>550000</v>
      </c>
      <c r="O1191" s="4" t="s">
        <v>4866</v>
      </c>
      <c r="P1191" s="4" t="s">
        <v>4860</v>
      </c>
      <c r="Q1191" s="1" t="str">
        <f>_xlfn.XLOOKUP(tblSales[[#This Row],[Channel Code]],tblChannels[Channel Code],tblChannels[Channel Name],"")</f>
        <v>In-store</v>
      </c>
      <c r="R1191" s="1">
        <f>MONTH(tblSales[[#This Row],[Date]])</f>
        <v>3</v>
      </c>
    </row>
    <row r="1192" spans="2:18" x14ac:dyDescent="0.35">
      <c r="B1192" s="113">
        <v>46096</v>
      </c>
      <c r="C1192" s="4" t="s">
        <v>846</v>
      </c>
      <c r="D1192" s="4" t="s">
        <v>4568</v>
      </c>
      <c r="E1192" s="1" t="str">
        <f>_xlfn.XLOOKUP(tblSales[[#This Row],[Customer ID]],tblCustomers[Customer ID],tblCustomers[Customer Name],"⚠ Unknown")</f>
        <v>Walk-in Customer</v>
      </c>
      <c r="F1192" s="4" t="s">
        <v>6</v>
      </c>
      <c r="G1192" s="1" t="str">
        <f>_xlfn.XLOOKUP(tblSales[[#This Row],[Product Code]],tblProducts[Code],tblProducts[Product / Service Name],"⚠ Unknown")</f>
        <v>Socks &amp; Accessories</v>
      </c>
      <c r="H1192" s="1" t="str">
        <f>_xlfn.XLOOKUP(tblSales[[#This Row],[Product Code]],tblProducts[Code],tblProducts[Category],"")</f>
        <v>Accessories &amp; Basics</v>
      </c>
      <c r="I1192" s="4">
        <v>12</v>
      </c>
      <c r="J1192" s="5">
        <f>_xlfn.XLOOKUP(tblSales[[#This Row],[Product Code]],tblProducts[Code],tblProducts[Selling Price (excl. VAT)],0)</f>
        <v>45000</v>
      </c>
      <c r="K1192" s="5">
        <f>tblSales[[#This Row],[Qty]]*tblSales[[#This Row],[Unit Price]]</f>
        <v>540000</v>
      </c>
      <c r="L1192" s="5">
        <f>ROUND(tblSales[[#This Row],[DPP (excl. VAT)]]*VATEff,0)</f>
        <v>59400</v>
      </c>
      <c r="M1192" s="5">
        <f>tblSales[[#This Row],[DPP (excl. VAT)]]+tblSales[[#This Row],[Output VAT]]</f>
        <v>599400</v>
      </c>
      <c r="N1192" s="5">
        <f>tblSales[[#This Row],[Qty]]*_xlfn.XLOOKUP(tblSales[[#This Row],[Product Code]],tblProducts[Code],tblProducts[Unit Cost],0)</f>
        <v>288000</v>
      </c>
      <c r="O1192" s="4" t="s">
        <v>4865</v>
      </c>
      <c r="P1192" s="4" t="s">
        <v>4860</v>
      </c>
      <c r="Q1192" s="1" t="str">
        <f>_xlfn.XLOOKUP(tblSales[[#This Row],[Channel Code]],tblChannels[Channel Code],tblChannels[Channel Name],"")</f>
        <v>In-store</v>
      </c>
      <c r="R1192" s="1">
        <f>MONTH(tblSales[[#This Row],[Date]])</f>
        <v>3</v>
      </c>
    </row>
    <row r="1193" spans="2:18" x14ac:dyDescent="0.35">
      <c r="B1193" s="113">
        <v>46096</v>
      </c>
      <c r="C1193" s="4" t="s">
        <v>847</v>
      </c>
      <c r="D1193" s="4" t="s">
        <v>4568</v>
      </c>
      <c r="E1193" s="1" t="str">
        <f>_xlfn.XLOOKUP(tblSales[[#This Row],[Customer ID]],tblCustomers[Customer ID],tblCustomers[Customer Name],"⚠ Unknown")</f>
        <v>Walk-in Customer</v>
      </c>
      <c r="F1193" s="4" t="s">
        <v>9</v>
      </c>
      <c r="G1193" s="1" t="str">
        <f>_xlfn.XLOOKUP(tblSales[[#This Row],[Product Code]],tblProducts[Code],tblProducts[Product / Service Name],"⚠ Unknown")</f>
        <v>Casual Shirt</v>
      </c>
      <c r="H1193" s="1" t="str">
        <f>_xlfn.XLOOKUP(tblSales[[#This Row],[Product Code]],tblProducts[Code],tblProducts[Category],"")</f>
        <v>Apparel &amp; Footwear</v>
      </c>
      <c r="I1193" s="4">
        <v>8</v>
      </c>
      <c r="J1193" s="5">
        <f>_xlfn.XLOOKUP(tblSales[[#This Row],[Product Code]],tblProducts[Code],tblProducts[Selling Price (excl. VAT)],0)</f>
        <v>120000</v>
      </c>
      <c r="K1193" s="5">
        <f>tblSales[[#This Row],[Qty]]*tblSales[[#This Row],[Unit Price]]</f>
        <v>960000</v>
      </c>
      <c r="L1193" s="5">
        <f>ROUND(tblSales[[#This Row],[DPP (excl. VAT)]]*VATEff,0)</f>
        <v>105600</v>
      </c>
      <c r="M1193" s="5">
        <f>tblSales[[#This Row],[DPP (excl. VAT)]]+tblSales[[#This Row],[Output VAT]]</f>
        <v>1065600</v>
      </c>
      <c r="N1193" s="5">
        <f>tblSales[[#This Row],[Qty]]*_xlfn.XLOOKUP(tblSales[[#This Row],[Product Code]],tblProducts[Code],tblProducts[Unit Cost],0)</f>
        <v>576000</v>
      </c>
      <c r="O1193" s="4" t="s">
        <v>4866</v>
      </c>
      <c r="P1193" s="4" t="s">
        <v>4861</v>
      </c>
      <c r="Q1193" s="1" t="str">
        <f>_xlfn.XLOOKUP(tblSales[[#This Row],[Channel Code]],tblChannels[Channel Code],tblChannels[Channel Name],"")</f>
        <v>Marketplace</v>
      </c>
      <c r="R1193" s="1">
        <f>MONTH(tblSales[[#This Row],[Date]])</f>
        <v>3</v>
      </c>
    </row>
    <row r="1194" spans="2:18" x14ac:dyDescent="0.35">
      <c r="B1194" s="113">
        <v>46096</v>
      </c>
      <c r="C1194" s="4" t="s">
        <v>847</v>
      </c>
      <c r="D1194" s="4" t="s">
        <v>4568</v>
      </c>
      <c r="E1194" s="1" t="str">
        <f>_xlfn.XLOOKUP(tblSales[[#This Row],[Customer ID]],tblCustomers[Customer ID],tblCustomers[Customer Name],"⚠ Unknown")</f>
        <v>Walk-in Customer</v>
      </c>
      <c r="F1194" s="4" t="s">
        <v>8</v>
      </c>
      <c r="G1194" s="1" t="str">
        <f>_xlfn.XLOOKUP(tblSales[[#This Row],[Product Code]],tblProducts[Code],tblProducts[Product / Service Name],"⚠ Unknown")</f>
        <v>Casual Shorts</v>
      </c>
      <c r="H1194" s="1" t="str">
        <f>_xlfn.XLOOKUP(tblSales[[#This Row],[Product Code]],tblProducts[Code],tblProducts[Category],"")</f>
        <v>Accessories &amp; Basics</v>
      </c>
      <c r="I1194" s="4">
        <v>10</v>
      </c>
      <c r="J1194" s="5">
        <f>_xlfn.XLOOKUP(tblSales[[#This Row],[Product Code]],tblProducts[Code],tblProducts[Selling Price (excl. VAT)],0)</f>
        <v>85000</v>
      </c>
      <c r="K1194" s="5">
        <f>tblSales[[#This Row],[Qty]]*tblSales[[#This Row],[Unit Price]]</f>
        <v>850000</v>
      </c>
      <c r="L1194" s="5">
        <f>ROUND(tblSales[[#This Row],[DPP (excl. VAT)]]*VATEff,0)</f>
        <v>93500</v>
      </c>
      <c r="M1194" s="5">
        <f>tblSales[[#This Row],[DPP (excl. VAT)]]+tblSales[[#This Row],[Output VAT]]</f>
        <v>943500</v>
      </c>
      <c r="N1194" s="5">
        <f>tblSales[[#This Row],[Qty]]*_xlfn.XLOOKUP(tblSales[[#This Row],[Product Code]],tblProducts[Code],tblProducts[Unit Cost],0)</f>
        <v>500000</v>
      </c>
      <c r="O1194" s="4" t="s">
        <v>4866</v>
      </c>
      <c r="P1194" s="4" t="s">
        <v>4861</v>
      </c>
      <c r="Q1194" s="1" t="str">
        <f>_xlfn.XLOOKUP(tblSales[[#This Row],[Channel Code]],tblChannels[Channel Code],tblChannels[Channel Name],"")</f>
        <v>Marketplace</v>
      </c>
      <c r="R1194" s="1">
        <f>MONTH(tblSales[[#This Row],[Date]])</f>
        <v>3</v>
      </c>
    </row>
    <row r="1195" spans="2:18" x14ac:dyDescent="0.35">
      <c r="B1195" s="113">
        <v>46096</v>
      </c>
      <c r="C1195" s="4" t="s">
        <v>848</v>
      </c>
      <c r="D1195" s="4" t="s">
        <v>4568</v>
      </c>
      <c r="E1195" s="1" t="str">
        <f>_xlfn.XLOOKUP(tblSales[[#This Row],[Customer ID]],tblCustomers[Customer ID],tblCustomers[Customer Name],"⚠ Unknown")</f>
        <v>Walk-in Customer</v>
      </c>
      <c r="F1195" s="4" t="s">
        <v>6</v>
      </c>
      <c r="G1195" s="1" t="str">
        <f>_xlfn.XLOOKUP(tblSales[[#This Row],[Product Code]],tblProducts[Code],tblProducts[Product / Service Name],"⚠ Unknown")</f>
        <v>Socks &amp; Accessories</v>
      </c>
      <c r="H1195" s="1" t="str">
        <f>_xlfn.XLOOKUP(tblSales[[#This Row],[Product Code]],tblProducts[Code],tblProducts[Category],"")</f>
        <v>Accessories &amp; Basics</v>
      </c>
      <c r="I1195" s="4">
        <v>8</v>
      </c>
      <c r="J1195" s="5">
        <f>_xlfn.XLOOKUP(tblSales[[#This Row],[Product Code]],tblProducts[Code],tblProducts[Selling Price (excl. VAT)],0)</f>
        <v>45000</v>
      </c>
      <c r="K1195" s="5">
        <f>tblSales[[#This Row],[Qty]]*tblSales[[#This Row],[Unit Price]]</f>
        <v>360000</v>
      </c>
      <c r="L1195" s="5">
        <f>ROUND(tblSales[[#This Row],[DPP (excl. VAT)]]*VATEff,0)</f>
        <v>39600</v>
      </c>
      <c r="M1195" s="5">
        <f>tblSales[[#This Row],[DPP (excl. VAT)]]+tblSales[[#This Row],[Output VAT]]</f>
        <v>399600</v>
      </c>
      <c r="N1195" s="5">
        <f>tblSales[[#This Row],[Qty]]*_xlfn.XLOOKUP(tblSales[[#This Row],[Product Code]],tblProducts[Code],tblProducts[Unit Cost],0)</f>
        <v>192000</v>
      </c>
      <c r="O1195" s="4" t="s">
        <v>4866</v>
      </c>
      <c r="P1195" s="4" t="s">
        <v>4861</v>
      </c>
      <c r="Q1195" s="1" t="str">
        <f>_xlfn.XLOOKUP(tblSales[[#This Row],[Channel Code]],tblChannels[Channel Code],tblChannels[Channel Name],"")</f>
        <v>Marketplace</v>
      </c>
      <c r="R1195" s="1">
        <f>MONTH(tblSales[[#This Row],[Date]])</f>
        <v>3</v>
      </c>
    </row>
    <row r="1196" spans="2:18" x14ac:dyDescent="0.35">
      <c r="B1196" s="113">
        <v>46096</v>
      </c>
      <c r="C1196" s="4" t="s">
        <v>849</v>
      </c>
      <c r="D1196" s="4" t="s">
        <v>4568</v>
      </c>
      <c r="E1196" s="1" t="str">
        <f>_xlfn.XLOOKUP(tblSales[[#This Row],[Customer ID]],tblCustomers[Customer ID],tblCustomers[Customer Name],"⚠ Unknown")</f>
        <v>Walk-in Customer</v>
      </c>
      <c r="F1196" s="4" t="s">
        <v>12</v>
      </c>
      <c r="G1196" s="1" t="str">
        <f>_xlfn.XLOOKUP(tblSales[[#This Row],[Product Code]],tblProducts[Code],tblProducts[Product / Service Name],"⚠ Unknown")</f>
        <v>Bomber Jacket</v>
      </c>
      <c r="H1196" s="1" t="str">
        <f>_xlfn.XLOOKUP(tblSales[[#This Row],[Product Code]],tblProducts[Code],tblProducts[Category],"")</f>
        <v>Apparel &amp; Footwear</v>
      </c>
      <c r="I1196" s="4">
        <v>4</v>
      </c>
      <c r="J1196" s="5">
        <f>_xlfn.XLOOKUP(tblSales[[#This Row],[Product Code]],tblProducts[Code],tblProducts[Selling Price (excl. VAT)],0)</f>
        <v>350000</v>
      </c>
      <c r="K1196" s="5">
        <f>tblSales[[#This Row],[Qty]]*tblSales[[#This Row],[Unit Price]]</f>
        <v>1400000</v>
      </c>
      <c r="L1196" s="5">
        <f>ROUND(tblSales[[#This Row],[DPP (excl. VAT)]]*VATEff,0)</f>
        <v>154000</v>
      </c>
      <c r="M1196" s="5">
        <f>tblSales[[#This Row],[DPP (excl. VAT)]]+tblSales[[#This Row],[Output VAT]]</f>
        <v>1554000</v>
      </c>
      <c r="N1196" s="5">
        <f>tblSales[[#This Row],[Qty]]*_xlfn.XLOOKUP(tblSales[[#This Row],[Product Code]],tblProducts[Code],tblProducts[Unit Cost],0)</f>
        <v>840000</v>
      </c>
      <c r="O1196" s="4" t="s">
        <v>4866</v>
      </c>
      <c r="P1196" s="4" t="s">
        <v>4860</v>
      </c>
      <c r="Q1196" s="1" t="str">
        <f>_xlfn.XLOOKUP(tblSales[[#This Row],[Channel Code]],tblChannels[Channel Code],tblChannels[Channel Name],"")</f>
        <v>In-store</v>
      </c>
      <c r="R1196" s="1">
        <f>MONTH(tblSales[[#This Row],[Date]])</f>
        <v>3</v>
      </c>
    </row>
    <row r="1197" spans="2:18" x14ac:dyDescent="0.35">
      <c r="B1197" s="113">
        <v>46096</v>
      </c>
      <c r="C1197" s="4" t="s">
        <v>850</v>
      </c>
      <c r="D1197" s="4" t="s">
        <v>4568</v>
      </c>
      <c r="E1197" s="1" t="str">
        <f>_xlfn.XLOOKUP(tblSales[[#This Row],[Customer ID]],tblCustomers[Customer ID],tblCustomers[Customer Name],"⚠ Unknown")</f>
        <v>Walk-in Customer</v>
      </c>
      <c r="F1197" s="4" t="s">
        <v>9</v>
      </c>
      <c r="G1197" s="1" t="str">
        <f>_xlfn.XLOOKUP(tblSales[[#This Row],[Product Code]],tblProducts[Code],tblProducts[Product / Service Name],"⚠ Unknown")</f>
        <v>Casual Shirt</v>
      </c>
      <c r="H1197" s="1" t="str">
        <f>_xlfn.XLOOKUP(tblSales[[#This Row],[Product Code]],tblProducts[Code],tblProducts[Category],"")</f>
        <v>Apparel &amp; Footwear</v>
      </c>
      <c r="I1197" s="4">
        <v>11</v>
      </c>
      <c r="J1197" s="5">
        <f>_xlfn.XLOOKUP(tblSales[[#This Row],[Product Code]],tblProducts[Code],tblProducts[Selling Price (excl. VAT)],0)</f>
        <v>120000</v>
      </c>
      <c r="K1197" s="5">
        <f>tblSales[[#This Row],[Qty]]*tblSales[[#This Row],[Unit Price]]</f>
        <v>1320000</v>
      </c>
      <c r="L1197" s="5">
        <f>ROUND(tblSales[[#This Row],[DPP (excl. VAT)]]*VATEff,0)</f>
        <v>145200</v>
      </c>
      <c r="M1197" s="5">
        <f>tblSales[[#This Row],[DPP (excl. VAT)]]+tblSales[[#This Row],[Output VAT]]</f>
        <v>1465200</v>
      </c>
      <c r="N1197" s="5">
        <f>tblSales[[#This Row],[Qty]]*_xlfn.XLOOKUP(tblSales[[#This Row],[Product Code]],tblProducts[Code],tblProducts[Unit Cost],0)</f>
        <v>792000</v>
      </c>
      <c r="O1197" s="4" t="s">
        <v>4865</v>
      </c>
      <c r="P1197" s="4" t="s">
        <v>4860</v>
      </c>
      <c r="Q1197" s="1" t="str">
        <f>_xlfn.XLOOKUP(tblSales[[#This Row],[Channel Code]],tblChannels[Channel Code],tblChannels[Channel Name],"")</f>
        <v>In-store</v>
      </c>
      <c r="R1197" s="1">
        <f>MONTH(tblSales[[#This Row],[Date]])</f>
        <v>3</v>
      </c>
    </row>
    <row r="1198" spans="2:18" x14ac:dyDescent="0.35">
      <c r="B1198" s="113">
        <v>46096</v>
      </c>
      <c r="C1198" s="4" t="s">
        <v>851</v>
      </c>
      <c r="D1198" s="4" t="s">
        <v>4568</v>
      </c>
      <c r="E1198" s="1" t="str">
        <f>_xlfn.XLOOKUP(tblSales[[#This Row],[Customer ID]],tblCustomers[Customer ID],tblCustomers[Customer Name],"⚠ Unknown")</f>
        <v>Walk-in Customer</v>
      </c>
      <c r="F1198" s="4" t="s">
        <v>10</v>
      </c>
      <c r="G1198" s="1" t="str">
        <f>_xlfn.XLOOKUP(tblSales[[#This Row],[Product Code]],tblProducts[Code],tblProducts[Product / Service Name],"⚠ Unknown")</f>
        <v>Chino Pants</v>
      </c>
      <c r="H1198" s="1" t="str">
        <f>_xlfn.XLOOKUP(tblSales[[#This Row],[Product Code]],tblProducts[Code],tblProducts[Category],"")</f>
        <v>Apparel &amp; Footwear</v>
      </c>
      <c r="I1198" s="4">
        <v>8</v>
      </c>
      <c r="J1198" s="5">
        <f>_xlfn.XLOOKUP(tblSales[[#This Row],[Product Code]],tblProducts[Code],tblProducts[Selling Price (excl. VAT)],0)</f>
        <v>150000</v>
      </c>
      <c r="K1198" s="5">
        <f>tblSales[[#This Row],[Qty]]*tblSales[[#This Row],[Unit Price]]</f>
        <v>1200000</v>
      </c>
      <c r="L1198" s="5">
        <f>ROUND(tblSales[[#This Row],[DPP (excl. VAT)]]*VATEff,0)</f>
        <v>132000</v>
      </c>
      <c r="M1198" s="5">
        <f>tblSales[[#This Row],[DPP (excl. VAT)]]+tblSales[[#This Row],[Output VAT]]</f>
        <v>1332000</v>
      </c>
      <c r="N1198" s="5">
        <f>tblSales[[#This Row],[Qty]]*_xlfn.XLOOKUP(tblSales[[#This Row],[Product Code]],tblProducts[Code],tblProducts[Unit Cost],0)</f>
        <v>704000</v>
      </c>
      <c r="O1198" s="4" t="s">
        <v>4865</v>
      </c>
      <c r="P1198" s="4" t="s">
        <v>4860</v>
      </c>
      <c r="Q1198" s="1" t="str">
        <f>_xlfn.XLOOKUP(tblSales[[#This Row],[Channel Code]],tblChannels[Channel Code],tblChannels[Channel Name],"")</f>
        <v>In-store</v>
      </c>
      <c r="R1198" s="1">
        <f>MONTH(tblSales[[#This Row],[Date]])</f>
        <v>3</v>
      </c>
    </row>
    <row r="1199" spans="2:18" x14ac:dyDescent="0.35">
      <c r="B1199" s="113">
        <v>46097</v>
      </c>
      <c r="C1199" s="4" t="s">
        <v>852</v>
      </c>
      <c r="D1199" s="4" t="s">
        <v>4599</v>
      </c>
      <c r="E1199" s="1" t="str">
        <f>_xlfn.XLOOKUP(tblSales[[#This Row],[Customer ID]],tblCustomers[Customer ID],tblCustomers[Customer Name],"⚠ Unknown")</f>
        <v>PT Samudra Jaya Logistik</v>
      </c>
      <c r="F1199" s="4" t="s">
        <v>8</v>
      </c>
      <c r="G1199" s="1" t="str">
        <f>_xlfn.XLOOKUP(tblSales[[#This Row],[Product Code]],tblProducts[Code],tblProducts[Product / Service Name],"⚠ Unknown")</f>
        <v>Casual Shorts</v>
      </c>
      <c r="H1199" s="1" t="str">
        <f>_xlfn.XLOOKUP(tblSales[[#This Row],[Product Code]],tblProducts[Code],tblProducts[Category],"")</f>
        <v>Accessories &amp; Basics</v>
      </c>
      <c r="I1199" s="4">
        <v>24</v>
      </c>
      <c r="J1199" s="5">
        <f>_xlfn.XLOOKUP(tblSales[[#This Row],[Product Code]],tblProducts[Code],tblProducts[Selling Price (excl. VAT)],0)</f>
        <v>85000</v>
      </c>
      <c r="K1199" s="5">
        <f>tblSales[[#This Row],[Qty]]*tblSales[[#This Row],[Unit Price]]</f>
        <v>2040000</v>
      </c>
      <c r="L1199" s="5">
        <f>ROUND(tblSales[[#This Row],[DPP (excl. VAT)]]*VATEff,0)</f>
        <v>224400</v>
      </c>
      <c r="M1199" s="5">
        <f>tblSales[[#This Row],[DPP (excl. VAT)]]+tblSales[[#This Row],[Output VAT]]</f>
        <v>2264400</v>
      </c>
      <c r="N1199" s="5">
        <f>tblSales[[#This Row],[Qty]]*_xlfn.XLOOKUP(tblSales[[#This Row],[Product Code]],tblProducts[Code],tblProducts[Unit Cost],0)</f>
        <v>1200000</v>
      </c>
      <c r="O1199" s="4" t="s">
        <v>4867</v>
      </c>
      <c r="P1199" s="4" t="s">
        <v>4862</v>
      </c>
      <c r="Q1199" s="1" t="str">
        <f>_xlfn.XLOOKUP(tblSales[[#This Row],[Channel Code]],tblChannels[Channel Code],tblChannels[Channel Name],"")</f>
        <v>Website &amp; Social Media</v>
      </c>
      <c r="R1199" s="1">
        <f>MONTH(tblSales[[#This Row],[Date]])</f>
        <v>3</v>
      </c>
    </row>
    <row r="1200" spans="2:18" x14ac:dyDescent="0.35">
      <c r="B1200" s="113">
        <v>46097</v>
      </c>
      <c r="C1200" s="4" t="s">
        <v>853</v>
      </c>
      <c r="D1200" s="4" t="s">
        <v>4568</v>
      </c>
      <c r="E1200" s="1" t="str">
        <f>_xlfn.XLOOKUP(tblSales[[#This Row],[Customer ID]],tblCustomers[Customer ID],tblCustomers[Customer Name],"⚠ Unknown")</f>
        <v>Walk-in Customer</v>
      </c>
      <c r="F1200" s="4" t="s">
        <v>11</v>
      </c>
      <c r="G1200" s="1" t="str">
        <f>_xlfn.XLOOKUP(tblSales[[#This Row],[Product Code]],tblProducts[Code],tblProducts[Product / Service Name],"⚠ Unknown")</f>
        <v>Sneakers</v>
      </c>
      <c r="H1200" s="1" t="str">
        <f>_xlfn.XLOOKUP(tblSales[[#This Row],[Product Code]],tblProducts[Code],tblProducts[Category],"")</f>
        <v>Apparel &amp; Footwear</v>
      </c>
      <c r="I1200" s="4">
        <v>5</v>
      </c>
      <c r="J1200" s="5">
        <f>_xlfn.XLOOKUP(tblSales[[#This Row],[Product Code]],tblProducts[Code],tblProducts[Selling Price (excl. VAT)],0)</f>
        <v>250000</v>
      </c>
      <c r="K1200" s="5">
        <f>tblSales[[#This Row],[Qty]]*tblSales[[#This Row],[Unit Price]]</f>
        <v>1250000</v>
      </c>
      <c r="L1200" s="5">
        <f>ROUND(tblSales[[#This Row],[DPP (excl. VAT)]]*VATEff,0)</f>
        <v>137500</v>
      </c>
      <c r="M1200" s="5">
        <f>tblSales[[#This Row],[DPP (excl. VAT)]]+tblSales[[#This Row],[Output VAT]]</f>
        <v>1387500</v>
      </c>
      <c r="N1200" s="5">
        <f>tblSales[[#This Row],[Qty]]*_xlfn.XLOOKUP(tblSales[[#This Row],[Product Code]],tblProducts[Code],tblProducts[Unit Cost],0)</f>
        <v>775000</v>
      </c>
      <c r="O1200" s="4" t="s">
        <v>4866</v>
      </c>
      <c r="P1200" s="4" t="s">
        <v>4860</v>
      </c>
      <c r="Q1200" s="1" t="str">
        <f>_xlfn.XLOOKUP(tblSales[[#This Row],[Channel Code]],tblChannels[Channel Code],tblChannels[Channel Name],"")</f>
        <v>In-store</v>
      </c>
      <c r="R1200" s="1">
        <f>MONTH(tblSales[[#This Row],[Date]])</f>
        <v>3</v>
      </c>
    </row>
    <row r="1201" spans="2:18" x14ac:dyDescent="0.35">
      <c r="B1201" s="113">
        <v>46097</v>
      </c>
      <c r="C1201" s="4" t="s">
        <v>854</v>
      </c>
      <c r="D1201" s="4" t="s">
        <v>4568</v>
      </c>
      <c r="E1201" s="1" t="str">
        <f>_xlfn.XLOOKUP(tblSales[[#This Row],[Customer ID]],tblCustomers[Customer ID],tblCustomers[Customer Name],"⚠ Unknown")</f>
        <v>Walk-in Customer</v>
      </c>
      <c r="F1201" s="4" t="s">
        <v>6</v>
      </c>
      <c r="G1201" s="1" t="str">
        <f>_xlfn.XLOOKUP(tblSales[[#This Row],[Product Code]],tblProducts[Code],tblProducts[Product / Service Name],"⚠ Unknown")</f>
        <v>Socks &amp; Accessories</v>
      </c>
      <c r="H1201" s="1" t="str">
        <f>_xlfn.XLOOKUP(tblSales[[#This Row],[Product Code]],tblProducts[Code],tblProducts[Category],"")</f>
        <v>Accessories &amp; Basics</v>
      </c>
      <c r="I1201" s="4">
        <v>12</v>
      </c>
      <c r="J1201" s="5">
        <f>_xlfn.XLOOKUP(tblSales[[#This Row],[Product Code]],tblProducts[Code],tblProducts[Selling Price (excl. VAT)],0)</f>
        <v>45000</v>
      </c>
      <c r="K1201" s="5">
        <f>tblSales[[#This Row],[Qty]]*tblSales[[#This Row],[Unit Price]]</f>
        <v>540000</v>
      </c>
      <c r="L1201" s="5">
        <f>ROUND(tblSales[[#This Row],[DPP (excl. VAT)]]*VATEff,0)</f>
        <v>59400</v>
      </c>
      <c r="M1201" s="5">
        <f>tblSales[[#This Row],[DPP (excl. VAT)]]+tblSales[[#This Row],[Output VAT]]</f>
        <v>599400</v>
      </c>
      <c r="N1201" s="5">
        <f>tblSales[[#This Row],[Qty]]*_xlfn.XLOOKUP(tblSales[[#This Row],[Product Code]],tblProducts[Code],tblProducts[Unit Cost],0)</f>
        <v>288000</v>
      </c>
      <c r="O1201" s="4" t="s">
        <v>4866</v>
      </c>
      <c r="P1201" s="4" t="s">
        <v>4860</v>
      </c>
      <c r="Q1201" s="1" t="str">
        <f>_xlfn.XLOOKUP(tblSales[[#This Row],[Channel Code]],tblChannels[Channel Code],tblChannels[Channel Name],"")</f>
        <v>In-store</v>
      </c>
      <c r="R1201" s="1">
        <f>MONTH(tblSales[[#This Row],[Date]])</f>
        <v>3</v>
      </c>
    </row>
    <row r="1202" spans="2:18" x14ac:dyDescent="0.35">
      <c r="B1202" s="113">
        <v>46097</v>
      </c>
      <c r="C1202" s="4" t="s">
        <v>855</v>
      </c>
      <c r="D1202" s="4" t="s">
        <v>4568</v>
      </c>
      <c r="E1202" s="1" t="str">
        <f>_xlfn.XLOOKUP(tblSales[[#This Row],[Customer ID]],tblCustomers[Customer ID],tblCustomers[Customer Name],"⚠ Unknown")</f>
        <v>Walk-in Customer</v>
      </c>
      <c r="F1202" s="4" t="s">
        <v>7</v>
      </c>
      <c r="G1202" s="1" t="str">
        <f>_xlfn.XLOOKUP(tblSales[[#This Row],[Product Code]],tblProducts[Code],tblProducts[Product / Service Name],"⚠ Unknown")</f>
        <v>Premium Basic T-shirt</v>
      </c>
      <c r="H1202" s="1" t="str">
        <f>_xlfn.XLOOKUP(tblSales[[#This Row],[Product Code]],tblProducts[Code],tblProducts[Category],"")</f>
        <v>Accessories &amp; Basics</v>
      </c>
      <c r="I1202" s="4">
        <v>8</v>
      </c>
      <c r="J1202" s="5">
        <f>_xlfn.XLOOKUP(tblSales[[#This Row],[Product Code]],tblProducts[Code],tblProducts[Selling Price (excl. VAT)],0)</f>
        <v>65000</v>
      </c>
      <c r="K1202" s="5">
        <f>tblSales[[#This Row],[Qty]]*tblSales[[#This Row],[Unit Price]]</f>
        <v>520000</v>
      </c>
      <c r="L1202" s="5">
        <f>ROUND(tblSales[[#This Row],[DPP (excl. VAT)]]*VATEff,0)</f>
        <v>57200</v>
      </c>
      <c r="M1202" s="5">
        <f>tblSales[[#This Row],[DPP (excl. VAT)]]+tblSales[[#This Row],[Output VAT]]</f>
        <v>577200</v>
      </c>
      <c r="N1202" s="5">
        <f>tblSales[[#This Row],[Qty]]*_xlfn.XLOOKUP(tblSales[[#This Row],[Product Code]],tblProducts[Code],tblProducts[Unit Cost],0)</f>
        <v>296000</v>
      </c>
      <c r="O1202" s="4" t="s">
        <v>4865</v>
      </c>
      <c r="P1202" s="4" t="s">
        <v>4860</v>
      </c>
      <c r="Q1202" s="1" t="str">
        <f>_xlfn.XLOOKUP(tblSales[[#This Row],[Channel Code]],tblChannels[Channel Code],tblChannels[Channel Name],"")</f>
        <v>In-store</v>
      </c>
      <c r="R1202" s="1">
        <f>MONTH(tblSales[[#This Row],[Date]])</f>
        <v>3</v>
      </c>
    </row>
    <row r="1203" spans="2:18" x14ac:dyDescent="0.35">
      <c r="B1203" s="113">
        <v>46097</v>
      </c>
      <c r="C1203" s="4" t="s">
        <v>856</v>
      </c>
      <c r="D1203" s="4" t="s">
        <v>4568</v>
      </c>
      <c r="E1203" s="1" t="str">
        <f>_xlfn.XLOOKUP(tblSales[[#This Row],[Customer ID]],tblCustomers[Customer ID],tblCustomers[Customer Name],"⚠ Unknown")</f>
        <v>Walk-in Customer</v>
      </c>
      <c r="F1203" s="4" t="s">
        <v>8</v>
      </c>
      <c r="G1203" s="1" t="str">
        <f>_xlfn.XLOOKUP(tblSales[[#This Row],[Product Code]],tblProducts[Code],tblProducts[Product / Service Name],"⚠ Unknown")</f>
        <v>Casual Shorts</v>
      </c>
      <c r="H1203" s="1" t="str">
        <f>_xlfn.XLOOKUP(tblSales[[#This Row],[Product Code]],tblProducts[Code],tblProducts[Category],"")</f>
        <v>Accessories &amp; Basics</v>
      </c>
      <c r="I1203" s="4">
        <v>1</v>
      </c>
      <c r="J1203" s="5">
        <f>_xlfn.XLOOKUP(tblSales[[#This Row],[Product Code]],tblProducts[Code],tblProducts[Selling Price (excl. VAT)],0)</f>
        <v>85000</v>
      </c>
      <c r="K1203" s="5">
        <f>tblSales[[#This Row],[Qty]]*tblSales[[#This Row],[Unit Price]]</f>
        <v>85000</v>
      </c>
      <c r="L1203" s="5">
        <f>ROUND(tblSales[[#This Row],[DPP (excl. VAT)]]*VATEff,0)</f>
        <v>9350</v>
      </c>
      <c r="M1203" s="5">
        <f>tblSales[[#This Row],[DPP (excl. VAT)]]+tblSales[[#This Row],[Output VAT]]</f>
        <v>94350</v>
      </c>
      <c r="N1203" s="5">
        <f>tblSales[[#This Row],[Qty]]*_xlfn.XLOOKUP(tblSales[[#This Row],[Product Code]],tblProducts[Code],tblProducts[Unit Cost],0)</f>
        <v>50000</v>
      </c>
      <c r="O1203" s="4" t="s">
        <v>4865</v>
      </c>
      <c r="P1203" s="4" t="s">
        <v>4860</v>
      </c>
      <c r="Q1203" s="1" t="str">
        <f>_xlfn.XLOOKUP(tblSales[[#This Row],[Channel Code]],tblChannels[Channel Code],tblChannels[Channel Name],"")</f>
        <v>In-store</v>
      </c>
      <c r="R1203" s="1">
        <f>MONTH(tblSales[[#This Row],[Date]])</f>
        <v>3</v>
      </c>
    </row>
    <row r="1204" spans="2:18" x14ac:dyDescent="0.35">
      <c r="B1204" s="113">
        <v>46097</v>
      </c>
      <c r="C1204" s="4" t="s">
        <v>856</v>
      </c>
      <c r="D1204" s="4" t="s">
        <v>4568</v>
      </c>
      <c r="E1204" s="1" t="str">
        <f>_xlfn.XLOOKUP(tblSales[[#This Row],[Customer ID]],tblCustomers[Customer ID],tblCustomers[Customer Name],"⚠ Unknown")</f>
        <v>Walk-in Customer</v>
      </c>
      <c r="F1204" s="4" t="s">
        <v>13</v>
      </c>
      <c r="G1204" s="1" t="str">
        <f>_xlfn.XLOOKUP(tblSales[[#This Row],[Product Code]],tblProducts[Code],tblProducts[Product / Service Name],"⚠ Unknown")</f>
        <v>Backpack</v>
      </c>
      <c r="H1204" s="1" t="str">
        <f>_xlfn.XLOOKUP(tblSales[[#This Row],[Product Code]],tblProducts[Code],tblProducts[Category],"")</f>
        <v>Bags &amp; Gadgets</v>
      </c>
      <c r="I1204" s="4">
        <v>5</v>
      </c>
      <c r="J1204" s="5">
        <f>_xlfn.XLOOKUP(tblSales[[#This Row],[Product Code]],tblProducts[Code],tblProducts[Selling Price (excl. VAT)],0)</f>
        <v>500000</v>
      </c>
      <c r="K1204" s="5">
        <f>tblSales[[#This Row],[Qty]]*tblSales[[#This Row],[Unit Price]]</f>
        <v>2500000</v>
      </c>
      <c r="L1204" s="5">
        <f>ROUND(tblSales[[#This Row],[DPP (excl. VAT)]]*VATEff,0)</f>
        <v>275000</v>
      </c>
      <c r="M1204" s="5">
        <f>tblSales[[#This Row],[DPP (excl. VAT)]]+tblSales[[#This Row],[Output VAT]]</f>
        <v>2775000</v>
      </c>
      <c r="N1204" s="5">
        <f>tblSales[[#This Row],[Qty]]*_xlfn.XLOOKUP(tblSales[[#This Row],[Product Code]],tblProducts[Code],tblProducts[Unit Cost],0)</f>
        <v>1450000</v>
      </c>
      <c r="O1204" s="4" t="s">
        <v>4865</v>
      </c>
      <c r="P1204" s="4" t="s">
        <v>4860</v>
      </c>
      <c r="Q1204" s="1" t="str">
        <f>_xlfn.XLOOKUP(tblSales[[#This Row],[Channel Code]],tblChannels[Channel Code],tblChannels[Channel Name],"")</f>
        <v>In-store</v>
      </c>
      <c r="R1204" s="1">
        <f>MONTH(tblSales[[#This Row],[Date]])</f>
        <v>3</v>
      </c>
    </row>
    <row r="1205" spans="2:18" x14ac:dyDescent="0.35">
      <c r="B1205" s="113">
        <v>46097</v>
      </c>
      <c r="C1205" s="4" t="s">
        <v>857</v>
      </c>
      <c r="D1205" s="4" t="s">
        <v>4572</v>
      </c>
      <c r="E1205" s="1" t="str">
        <f>_xlfn.XLOOKUP(tblSales[[#This Row],[Customer ID]],tblCustomers[Customer ID],tblCustomers[Customer Name],"⚠ Unknown")</f>
        <v>PT Cahaya Abadi Makmur</v>
      </c>
      <c r="F1205" s="4" t="s">
        <v>7</v>
      </c>
      <c r="G1205" s="1" t="str">
        <f>_xlfn.XLOOKUP(tblSales[[#This Row],[Product Code]],tblProducts[Code],tblProducts[Product / Service Name],"⚠ Unknown")</f>
        <v>Premium Basic T-shirt</v>
      </c>
      <c r="H1205" s="1" t="str">
        <f>_xlfn.XLOOKUP(tblSales[[#This Row],[Product Code]],tblProducts[Code],tblProducts[Category],"")</f>
        <v>Accessories &amp; Basics</v>
      </c>
      <c r="I1205" s="4">
        <v>16</v>
      </c>
      <c r="J1205" s="5">
        <f>_xlfn.XLOOKUP(tblSales[[#This Row],[Product Code]],tblProducts[Code],tblProducts[Selling Price (excl. VAT)],0)</f>
        <v>65000</v>
      </c>
      <c r="K1205" s="5">
        <f>tblSales[[#This Row],[Qty]]*tblSales[[#This Row],[Unit Price]]</f>
        <v>1040000</v>
      </c>
      <c r="L1205" s="5">
        <f>ROUND(tblSales[[#This Row],[DPP (excl. VAT)]]*VATEff,0)</f>
        <v>114400</v>
      </c>
      <c r="M1205" s="5">
        <f>tblSales[[#This Row],[DPP (excl. VAT)]]+tblSales[[#This Row],[Output VAT]]</f>
        <v>1154400</v>
      </c>
      <c r="N1205" s="5">
        <f>tblSales[[#This Row],[Qty]]*_xlfn.XLOOKUP(tblSales[[#This Row],[Product Code]],tblProducts[Code],tblProducts[Unit Cost],0)</f>
        <v>592000</v>
      </c>
      <c r="O1205" s="4" t="s">
        <v>4867</v>
      </c>
      <c r="P1205" s="4" t="s">
        <v>4860</v>
      </c>
      <c r="Q1205" s="1" t="str">
        <f>_xlfn.XLOOKUP(tblSales[[#This Row],[Channel Code]],tblChannels[Channel Code],tblChannels[Channel Name],"")</f>
        <v>In-store</v>
      </c>
      <c r="R1205" s="1">
        <f>MONTH(tblSales[[#This Row],[Date]])</f>
        <v>3</v>
      </c>
    </row>
    <row r="1206" spans="2:18" x14ac:dyDescent="0.35">
      <c r="B1206" s="113">
        <v>46097</v>
      </c>
      <c r="C1206" s="4" t="s">
        <v>858</v>
      </c>
      <c r="D1206" s="4" t="s">
        <v>4634</v>
      </c>
      <c r="E1206" s="1" t="str">
        <f>_xlfn.XLOOKUP(tblSales[[#This Row],[Customer ID]],tblCustomers[Customer ID],tblCustomers[Customer Name],"⚠ Unknown")</f>
        <v>PT Delta Inti Selaras</v>
      </c>
      <c r="F1206" s="4" t="s">
        <v>7</v>
      </c>
      <c r="G1206" s="1" t="str">
        <f>_xlfn.XLOOKUP(tblSales[[#This Row],[Product Code]],tblProducts[Code],tblProducts[Product / Service Name],"⚠ Unknown")</f>
        <v>Premium Basic T-shirt</v>
      </c>
      <c r="H1206" s="1" t="str">
        <f>_xlfn.XLOOKUP(tblSales[[#This Row],[Product Code]],tblProducts[Code],tblProducts[Category],"")</f>
        <v>Accessories &amp; Basics</v>
      </c>
      <c r="I1206" s="4">
        <v>80</v>
      </c>
      <c r="J1206" s="5">
        <f>_xlfn.XLOOKUP(tblSales[[#This Row],[Product Code]],tblProducts[Code],tblProducts[Selling Price (excl. VAT)],0)</f>
        <v>65000</v>
      </c>
      <c r="K1206" s="5">
        <f>tblSales[[#This Row],[Qty]]*tblSales[[#This Row],[Unit Price]]</f>
        <v>5200000</v>
      </c>
      <c r="L1206" s="5">
        <f>ROUND(tblSales[[#This Row],[DPP (excl. VAT)]]*VATEff,0)</f>
        <v>572000</v>
      </c>
      <c r="M1206" s="5">
        <f>tblSales[[#This Row],[DPP (excl. VAT)]]+tblSales[[#This Row],[Output VAT]]</f>
        <v>5772000</v>
      </c>
      <c r="N1206" s="5">
        <f>tblSales[[#This Row],[Qty]]*_xlfn.XLOOKUP(tblSales[[#This Row],[Product Code]],tblProducts[Code],tblProducts[Unit Cost],0)</f>
        <v>2960000</v>
      </c>
      <c r="O1206" s="4" t="s">
        <v>4867</v>
      </c>
      <c r="P1206" s="4" t="s">
        <v>4860</v>
      </c>
      <c r="Q1206" s="1" t="str">
        <f>_xlfn.XLOOKUP(tblSales[[#This Row],[Channel Code]],tblChannels[Channel Code],tblChannels[Channel Name],"")</f>
        <v>In-store</v>
      </c>
      <c r="R1206" s="1">
        <f>MONTH(tblSales[[#This Row],[Date]])</f>
        <v>3</v>
      </c>
    </row>
    <row r="1207" spans="2:18" x14ac:dyDescent="0.35">
      <c r="B1207" s="113">
        <v>46097</v>
      </c>
      <c r="C1207" s="4" t="s">
        <v>859</v>
      </c>
      <c r="D1207" s="4" t="s">
        <v>4568</v>
      </c>
      <c r="E1207" s="1" t="str">
        <f>_xlfn.XLOOKUP(tblSales[[#This Row],[Customer ID]],tblCustomers[Customer ID],tblCustomers[Customer Name],"⚠ Unknown")</f>
        <v>Walk-in Customer</v>
      </c>
      <c r="F1207" s="4" t="s">
        <v>8</v>
      </c>
      <c r="G1207" s="1" t="str">
        <f>_xlfn.XLOOKUP(tblSales[[#This Row],[Product Code]],tblProducts[Code],tblProducts[Product / Service Name],"⚠ Unknown")</f>
        <v>Casual Shorts</v>
      </c>
      <c r="H1207" s="1" t="str">
        <f>_xlfn.XLOOKUP(tblSales[[#This Row],[Product Code]],tblProducts[Code],tblProducts[Category],"")</f>
        <v>Accessories &amp; Basics</v>
      </c>
      <c r="I1207" s="4">
        <v>5</v>
      </c>
      <c r="J1207" s="5">
        <f>_xlfn.XLOOKUP(tblSales[[#This Row],[Product Code]],tblProducts[Code],tblProducts[Selling Price (excl. VAT)],0)</f>
        <v>85000</v>
      </c>
      <c r="K1207" s="5">
        <f>tblSales[[#This Row],[Qty]]*tblSales[[#This Row],[Unit Price]]</f>
        <v>425000</v>
      </c>
      <c r="L1207" s="5">
        <f>ROUND(tblSales[[#This Row],[DPP (excl. VAT)]]*VATEff,0)</f>
        <v>46750</v>
      </c>
      <c r="M1207" s="5">
        <f>tblSales[[#This Row],[DPP (excl. VAT)]]+tblSales[[#This Row],[Output VAT]]</f>
        <v>471750</v>
      </c>
      <c r="N1207" s="5">
        <f>tblSales[[#This Row],[Qty]]*_xlfn.XLOOKUP(tblSales[[#This Row],[Product Code]],tblProducts[Code],tblProducts[Unit Cost],0)</f>
        <v>250000</v>
      </c>
      <c r="O1207" s="4" t="s">
        <v>4866</v>
      </c>
      <c r="P1207" s="4" t="s">
        <v>4861</v>
      </c>
      <c r="Q1207" s="1" t="str">
        <f>_xlfn.XLOOKUP(tblSales[[#This Row],[Channel Code]],tblChannels[Channel Code],tblChannels[Channel Name],"")</f>
        <v>Marketplace</v>
      </c>
      <c r="R1207" s="1">
        <f>MONTH(tblSales[[#This Row],[Date]])</f>
        <v>3</v>
      </c>
    </row>
    <row r="1208" spans="2:18" x14ac:dyDescent="0.35">
      <c r="B1208" s="113">
        <v>46097</v>
      </c>
      <c r="C1208" s="4" t="s">
        <v>860</v>
      </c>
      <c r="D1208" s="4" t="s">
        <v>4606</v>
      </c>
      <c r="E1208" s="1" t="str">
        <f>_xlfn.XLOOKUP(tblSales[[#This Row],[Customer ID]],tblCustomers[Customer ID],tblCustomers[Customer Name],"⚠ Unknown")</f>
        <v>PT Arunika Digital Kreatif</v>
      </c>
      <c r="F1208" s="4" t="s">
        <v>6</v>
      </c>
      <c r="G1208" s="1" t="str">
        <f>_xlfn.XLOOKUP(tblSales[[#This Row],[Product Code]],tblProducts[Code],tblProducts[Product / Service Name],"⚠ Unknown")</f>
        <v>Socks &amp; Accessories</v>
      </c>
      <c r="H1208" s="1" t="str">
        <f>_xlfn.XLOOKUP(tblSales[[#This Row],[Product Code]],tblProducts[Code],tblProducts[Category],"")</f>
        <v>Accessories &amp; Basics</v>
      </c>
      <c r="I1208" s="4">
        <v>72</v>
      </c>
      <c r="J1208" s="5">
        <f>_xlfn.XLOOKUP(tblSales[[#This Row],[Product Code]],tblProducts[Code],tblProducts[Selling Price (excl. VAT)],0)</f>
        <v>45000</v>
      </c>
      <c r="K1208" s="5">
        <f>tblSales[[#This Row],[Qty]]*tblSales[[#This Row],[Unit Price]]</f>
        <v>3240000</v>
      </c>
      <c r="L1208" s="5">
        <f>ROUND(tblSales[[#This Row],[DPP (excl. VAT)]]*VATEff,0)</f>
        <v>356400</v>
      </c>
      <c r="M1208" s="5">
        <f>tblSales[[#This Row],[DPP (excl. VAT)]]+tblSales[[#This Row],[Output VAT]]</f>
        <v>3596400</v>
      </c>
      <c r="N1208" s="5">
        <f>tblSales[[#This Row],[Qty]]*_xlfn.XLOOKUP(tblSales[[#This Row],[Product Code]],tblProducts[Code],tblProducts[Unit Cost],0)</f>
        <v>1728000</v>
      </c>
      <c r="O1208" s="4" t="s">
        <v>4867</v>
      </c>
      <c r="P1208" s="4" t="s">
        <v>4860</v>
      </c>
      <c r="Q1208" s="1" t="str">
        <f>_xlfn.XLOOKUP(tblSales[[#This Row],[Channel Code]],tblChannels[Channel Code],tblChannels[Channel Name],"")</f>
        <v>In-store</v>
      </c>
      <c r="R1208" s="1">
        <f>MONTH(tblSales[[#This Row],[Date]])</f>
        <v>3</v>
      </c>
    </row>
    <row r="1209" spans="2:18" x14ac:dyDescent="0.35">
      <c r="B1209" s="113">
        <v>46097</v>
      </c>
      <c r="C1209" s="4" t="s">
        <v>860</v>
      </c>
      <c r="D1209" s="4" t="s">
        <v>4606</v>
      </c>
      <c r="E1209" s="1" t="str">
        <f>_xlfn.XLOOKUP(tblSales[[#This Row],[Customer ID]],tblCustomers[Customer ID],tblCustomers[Customer Name],"⚠ Unknown")</f>
        <v>PT Arunika Digital Kreatif</v>
      </c>
      <c r="F1209" s="4" t="s">
        <v>8</v>
      </c>
      <c r="G1209" s="1" t="str">
        <f>_xlfn.XLOOKUP(tblSales[[#This Row],[Product Code]],tblProducts[Code],tblProducts[Product / Service Name],"⚠ Unknown")</f>
        <v>Casual Shorts</v>
      </c>
      <c r="H1209" s="1" t="str">
        <f>_xlfn.XLOOKUP(tblSales[[#This Row],[Product Code]],tblProducts[Code],tblProducts[Category],"")</f>
        <v>Accessories &amp; Basics</v>
      </c>
      <c r="I1209" s="4">
        <v>48</v>
      </c>
      <c r="J1209" s="5">
        <f>_xlfn.XLOOKUP(tblSales[[#This Row],[Product Code]],tblProducts[Code],tblProducts[Selling Price (excl. VAT)],0)</f>
        <v>85000</v>
      </c>
      <c r="K1209" s="5">
        <f>tblSales[[#This Row],[Qty]]*tblSales[[#This Row],[Unit Price]]</f>
        <v>4080000</v>
      </c>
      <c r="L1209" s="5">
        <f>ROUND(tblSales[[#This Row],[DPP (excl. VAT)]]*VATEff,0)</f>
        <v>448800</v>
      </c>
      <c r="M1209" s="5">
        <f>tblSales[[#This Row],[DPP (excl. VAT)]]+tblSales[[#This Row],[Output VAT]]</f>
        <v>4528800</v>
      </c>
      <c r="N1209" s="5">
        <f>tblSales[[#This Row],[Qty]]*_xlfn.XLOOKUP(tblSales[[#This Row],[Product Code]],tblProducts[Code],tblProducts[Unit Cost],0)</f>
        <v>2400000</v>
      </c>
      <c r="O1209" s="4" t="s">
        <v>4867</v>
      </c>
      <c r="P1209" s="4" t="s">
        <v>4860</v>
      </c>
      <c r="Q1209" s="1" t="str">
        <f>_xlfn.XLOOKUP(tblSales[[#This Row],[Channel Code]],tblChannels[Channel Code],tblChannels[Channel Name],"")</f>
        <v>In-store</v>
      </c>
      <c r="R1209" s="1">
        <f>MONTH(tblSales[[#This Row],[Date]])</f>
        <v>3</v>
      </c>
    </row>
    <row r="1210" spans="2:18" x14ac:dyDescent="0.35">
      <c r="B1210" s="113">
        <v>46097</v>
      </c>
      <c r="C1210" s="4" t="s">
        <v>861</v>
      </c>
      <c r="D1210" s="4" t="s">
        <v>4568</v>
      </c>
      <c r="E1210" s="1" t="str">
        <f>_xlfn.XLOOKUP(tblSales[[#This Row],[Customer ID]],tblCustomers[Customer ID],tblCustomers[Customer Name],"⚠ Unknown")</f>
        <v>Walk-in Customer</v>
      </c>
      <c r="F1210" s="4" t="s">
        <v>9</v>
      </c>
      <c r="G1210" s="1" t="str">
        <f>_xlfn.XLOOKUP(tblSales[[#This Row],[Product Code]],tblProducts[Code],tblProducts[Product / Service Name],"⚠ Unknown")</f>
        <v>Casual Shirt</v>
      </c>
      <c r="H1210" s="1" t="str">
        <f>_xlfn.XLOOKUP(tblSales[[#This Row],[Product Code]],tblProducts[Code],tblProducts[Category],"")</f>
        <v>Apparel &amp; Footwear</v>
      </c>
      <c r="I1210" s="4">
        <v>3</v>
      </c>
      <c r="J1210" s="5">
        <f>_xlfn.XLOOKUP(tblSales[[#This Row],[Product Code]],tblProducts[Code],tblProducts[Selling Price (excl. VAT)],0)</f>
        <v>120000</v>
      </c>
      <c r="K1210" s="5">
        <f>tblSales[[#This Row],[Qty]]*tblSales[[#This Row],[Unit Price]]</f>
        <v>360000</v>
      </c>
      <c r="L1210" s="5">
        <f>ROUND(tblSales[[#This Row],[DPP (excl. VAT)]]*VATEff,0)</f>
        <v>39600</v>
      </c>
      <c r="M1210" s="5">
        <f>tblSales[[#This Row],[DPP (excl. VAT)]]+tblSales[[#This Row],[Output VAT]]</f>
        <v>399600</v>
      </c>
      <c r="N1210" s="5">
        <f>tblSales[[#This Row],[Qty]]*_xlfn.XLOOKUP(tblSales[[#This Row],[Product Code]],tblProducts[Code],tblProducts[Unit Cost],0)</f>
        <v>216000</v>
      </c>
      <c r="O1210" s="4" t="s">
        <v>4866</v>
      </c>
      <c r="P1210" s="4" t="s">
        <v>4861</v>
      </c>
      <c r="Q1210" s="1" t="str">
        <f>_xlfn.XLOOKUP(tblSales[[#This Row],[Channel Code]],tblChannels[Channel Code],tblChannels[Channel Name],"")</f>
        <v>Marketplace</v>
      </c>
      <c r="R1210" s="1">
        <f>MONTH(tblSales[[#This Row],[Date]])</f>
        <v>3</v>
      </c>
    </row>
    <row r="1211" spans="2:18" x14ac:dyDescent="0.35">
      <c r="B1211" s="113">
        <v>46097</v>
      </c>
      <c r="C1211" s="4" t="s">
        <v>862</v>
      </c>
      <c r="D1211" s="4" t="s">
        <v>4568</v>
      </c>
      <c r="E1211" s="1" t="str">
        <f>_xlfn.XLOOKUP(tblSales[[#This Row],[Customer ID]],tblCustomers[Customer ID],tblCustomers[Customer Name],"⚠ Unknown")</f>
        <v>Walk-in Customer</v>
      </c>
      <c r="F1211" s="4" t="s">
        <v>9</v>
      </c>
      <c r="G1211" s="1" t="str">
        <f>_xlfn.XLOOKUP(tblSales[[#This Row],[Product Code]],tblProducts[Code],tblProducts[Product / Service Name],"⚠ Unknown")</f>
        <v>Casual Shirt</v>
      </c>
      <c r="H1211" s="1" t="str">
        <f>_xlfn.XLOOKUP(tblSales[[#This Row],[Product Code]],tblProducts[Code],tblProducts[Category],"")</f>
        <v>Apparel &amp; Footwear</v>
      </c>
      <c r="I1211" s="4">
        <v>10</v>
      </c>
      <c r="J1211" s="5">
        <f>_xlfn.XLOOKUP(tblSales[[#This Row],[Product Code]],tblProducts[Code],tblProducts[Selling Price (excl. VAT)],0)</f>
        <v>120000</v>
      </c>
      <c r="K1211" s="5">
        <f>tblSales[[#This Row],[Qty]]*tblSales[[#This Row],[Unit Price]]</f>
        <v>1200000</v>
      </c>
      <c r="L1211" s="5">
        <f>ROUND(tblSales[[#This Row],[DPP (excl. VAT)]]*VATEff,0)</f>
        <v>132000</v>
      </c>
      <c r="M1211" s="5">
        <f>tblSales[[#This Row],[DPP (excl. VAT)]]+tblSales[[#This Row],[Output VAT]]</f>
        <v>1332000</v>
      </c>
      <c r="N1211" s="5">
        <f>tblSales[[#This Row],[Qty]]*_xlfn.XLOOKUP(tblSales[[#This Row],[Product Code]],tblProducts[Code],tblProducts[Unit Cost],0)</f>
        <v>720000</v>
      </c>
      <c r="O1211" s="4" t="s">
        <v>4866</v>
      </c>
      <c r="P1211" s="4" t="s">
        <v>4861</v>
      </c>
      <c r="Q1211" s="1" t="str">
        <f>_xlfn.XLOOKUP(tblSales[[#This Row],[Channel Code]],tblChannels[Channel Code],tblChannels[Channel Name],"")</f>
        <v>Marketplace</v>
      </c>
      <c r="R1211" s="1">
        <f>MONTH(tblSales[[#This Row],[Date]])</f>
        <v>3</v>
      </c>
    </row>
    <row r="1212" spans="2:18" x14ac:dyDescent="0.35">
      <c r="B1212" s="113">
        <v>46097</v>
      </c>
      <c r="C1212" s="4" t="s">
        <v>863</v>
      </c>
      <c r="D1212" s="4" t="s">
        <v>4568</v>
      </c>
      <c r="E1212" s="1" t="str">
        <f>_xlfn.XLOOKUP(tblSales[[#This Row],[Customer ID]],tblCustomers[Customer ID],tblCustomers[Customer Name],"⚠ Unknown")</f>
        <v>Walk-in Customer</v>
      </c>
      <c r="F1212" s="4" t="s">
        <v>6</v>
      </c>
      <c r="G1212" s="1" t="str">
        <f>_xlfn.XLOOKUP(tblSales[[#This Row],[Product Code]],tblProducts[Code],tblProducts[Product / Service Name],"⚠ Unknown")</f>
        <v>Socks &amp; Accessories</v>
      </c>
      <c r="H1212" s="1" t="str">
        <f>_xlfn.XLOOKUP(tblSales[[#This Row],[Product Code]],tblProducts[Code],tblProducts[Category],"")</f>
        <v>Accessories &amp; Basics</v>
      </c>
      <c r="I1212" s="4">
        <v>9</v>
      </c>
      <c r="J1212" s="5">
        <f>_xlfn.XLOOKUP(tblSales[[#This Row],[Product Code]],tblProducts[Code],tblProducts[Selling Price (excl. VAT)],0)</f>
        <v>45000</v>
      </c>
      <c r="K1212" s="5">
        <f>tblSales[[#This Row],[Qty]]*tblSales[[#This Row],[Unit Price]]</f>
        <v>405000</v>
      </c>
      <c r="L1212" s="5">
        <f>ROUND(tblSales[[#This Row],[DPP (excl. VAT)]]*VATEff,0)</f>
        <v>44550</v>
      </c>
      <c r="M1212" s="5">
        <f>tblSales[[#This Row],[DPP (excl. VAT)]]+tblSales[[#This Row],[Output VAT]]</f>
        <v>449550</v>
      </c>
      <c r="N1212" s="5">
        <f>tblSales[[#This Row],[Qty]]*_xlfn.XLOOKUP(tblSales[[#This Row],[Product Code]],tblProducts[Code],tblProducts[Unit Cost],0)</f>
        <v>216000</v>
      </c>
      <c r="O1212" s="4" t="s">
        <v>4866</v>
      </c>
      <c r="P1212" s="4" t="s">
        <v>4861</v>
      </c>
      <c r="Q1212" s="1" t="str">
        <f>_xlfn.XLOOKUP(tblSales[[#This Row],[Channel Code]],tblChannels[Channel Code],tblChannels[Channel Name],"")</f>
        <v>Marketplace</v>
      </c>
      <c r="R1212" s="1">
        <f>MONTH(tblSales[[#This Row],[Date]])</f>
        <v>3</v>
      </c>
    </row>
    <row r="1213" spans="2:18" x14ac:dyDescent="0.35">
      <c r="B1213" s="113">
        <v>46097</v>
      </c>
      <c r="C1213" s="4" t="s">
        <v>863</v>
      </c>
      <c r="D1213" s="4" t="s">
        <v>4568</v>
      </c>
      <c r="E1213" s="1" t="str">
        <f>_xlfn.XLOOKUP(tblSales[[#This Row],[Customer ID]],tblCustomers[Customer ID],tblCustomers[Customer Name],"⚠ Unknown")</f>
        <v>Walk-in Customer</v>
      </c>
      <c r="F1213" s="4" t="s">
        <v>12</v>
      </c>
      <c r="G1213" s="1" t="str">
        <f>_xlfn.XLOOKUP(tblSales[[#This Row],[Product Code]],tblProducts[Code],tblProducts[Product / Service Name],"⚠ Unknown")</f>
        <v>Bomber Jacket</v>
      </c>
      <c r="H1213" s="1" t="str">
        <f>_xlfn.XLOOKUP(tblSales[[#This Row],[Product Code]],tblProducts[Code],tblProducts[Category],"")</f>
        <v>Apparel &amp; Footwear</v>
      </c>
      <c r="I1213" s="4">
        <v>2</v>
      </c>
      <c r="J1213" s="5">
        <f>_xlfn.XLOOKUP(tblSales[[#This Row],[Product Code]],tblProducts[Code],tblProducts[Selling Price (excl. VAT)],0)</f>
        <v>350000</v>
      </c>
      <c r="K1213" s="5">
        <f>tblSales[[#This Row],[Qty]]*tblSales[[#This Row],[Unit Price]]</f>
        <v>700000</v>
      </c>
      <c r="L1213" s="5">
        <f>ROUND(tblSales[[#This Row],[DPP (excl. VAT)]]*VATEff,0)</f>
        <v>77000</v>
      </c>
      <c r="M1213" s="5">
        <f>tblSales[[#This Row],[DPP (excl. VAT)]]+tblSales[[#This Row],[Output VAT]]</f>
        <v>777000</v>
      </c>
      <c r="N1213" s="5">
        <f>tblSales[[#This Row],[Qty]]*_xlfn.XLOOKUP(tblSales[[#This Row],[Product Code]],tblProducts[Code],tblProducts[Unit Cost],0)</f>
        <v>420000</v>
      </c>
      <c r="O1213" s="4" t="s">
        <v>4866</v>
      </c>
      <c r="P1213" s="4" t="s">
        <v>4861</v>
      </c>
      <c r="Q1213" s="1" t="str">
        <f>_xlfn.XLOOKUP(tblSales[[#This Row],[Channel Code]],tblChannels[Channel Code],tblChannels[Channel Name],"")</f>
        <v>Marketplace</v>
      </c>
      <c r="R1213" s="1">
        <f>MONTH(tblSales[[#This Row],[Date]])</f>
        <v>3</v>
      </c>
    </row>
    <row r="1214" spans="2:18" x14ac:dyDescent="0.35">
      <c r="B1214" s="113">
        <v>46097</v>
      </c>
      <c r="C1214" s="4" t="s">
        <v>864</v>
      </c>
      <c r="D1214" s="4" t="s">
        <v>4568</v>
      </c>
      <c r="E1214" s="1" t="str">
        <f>_xlfn.XLOOKUP(tblSales[[#This Row],[Customer ID]],tblCustomers[Customer ID],tblCustomers[Customer Name],"⚠ Unknown")</f>
        <v>Walk-in Customer</v>
      </c>
      <c r="F1214" s="4" t="s">
        <v>7</v>
      </c>
      <c r="G1214" s="1" t="str">
        <f>_xlfn.XLOOKUP(tblSales[[#This Row],[Product Code]],tblProducts[Code],tblProducts[Product / Service Name],"⚠ Unknown")</f>
        <v>Premium Basic T-shirt</v>
      </c>
      <c r="H1214" s="1" t="str">
        <f>_xlfn.XLOOKUP(tblSales[[#This Row],[Product Code]],tblProducts[Code],tblProducts[Category],"")</f>
        <v>Accessories &amp; Basics</v>
      </c>
      <c r="I1214" s="4">
        <v>11</v>
      </c>
      <c r="J1214" s="5">
        <f>_xlfn.XLOOKUP(tblSales[[#This Row],[Product Code]],tblProducts[Code],tblProducts[Selling Price (excl. VAT)],0)</f>
        <v>65000</v>
      </c>
      <c r="K1214" s="5">
        <f>tblSales[[#This Row],[Qty]]*tblSales[[#This Row],[Unit Price]]</f>
        <v>715000</v>
      </c>
      <c r="L1214" s="5">
        <f>ROUND(tblSales[[#This Row],[DPP (excl. VAT)]]*VATEff,0)</f>
        <v>78650</v>
      </c>
      <c r="M1214" s="5">
        <f>tblSales[[#This Row],[DPP (excl. VAT)]]+tblSales[[#This Row],[Output VAT]]</f>
        <v>793650</v>
      </c>
      <c r="N1214" s="5">
        <f>tblSales[[#This Row],[Qty]]*_xlfn.XLOOKUP(tblSales[[#This Row],[Product Code]],tblProducts[Code],tblProducts[Unit Cost],0)</f>
        <v>407000</v>
      </c>
      <c r="O1214" s="4" t="s">
        <v>4866</v>
      </c>
      <c r="P1214" s="4" t="s">
        <v>4862</v>
      </c>
      <c r="Q1214" s="1" t="str">
        <f>_xlfn.XLOOKUP(tblSales[[#This Row],[Channel Code]],tblChannels[Channel Code],tblChannels[Channel Name],"")</f>
        <v>Website &amp; Social Media</v>
      </c>
      <c r="R1214" s="1">
        <f>MONTH(tblSales[[#This Row],[Date]])</f>
        <v>3</v>
      </c>
    </row>
    <row r="1215" spans="2:18" x14ac:dyDescent="0.35">
      <c r="B1215" s="113">
        <v>46098</v>
      </c>
      <c r="C1215" s="4" t="s">
        <v>865</v>
      </c>
      <c r="D1215" s="4" t="s">
        <v>4568</v>
      </c>
      <c r="E1215" s="1" t="str">
        <f>_xlfn.XLOOKUP(tblSales[[#This Row],[Customer ID]],tblCustomers[Customer ID],tblCustomers[Customer Name],"⚠ Unknown")</f>
        <v>Walk-in Customer</v>
      </c>
      <c r="F1215" s="4" t="s">
        <v>7</v>
      </c>
      <c r="G1215" s="1" t="str">
        <f>_xlfn.XLOOKUP(tblSales[[#This Row],[Product Code]],tblProducts[Code],tblProducts[Product / Service Name],"⚠ Unknown")</f>
        <v>Premium Basic T-shirt</v>
      </c>
      <c r="H1215" s="1" t="str">
        <f>_xlfn.XLOOKUP(tblSales[[#This Row],[Product Code]],tblProducts[Code],tblProducts[Category],"")</f>
        <v>Accessories &amp; Basics</v>
      </c>
      <c r="I1215" s="4">
        <v>5</v>
      </c>
      <c r="J1215" s="5">
        <f>_xlfn.XLOOKUP(tblSales[[#This Row],[Product Code]],tblProducts[Code],tblProducts[Selling Price (excl. VAT)],0)</f>
        <v>65000</v>
      </c>
      <c r="K1215" s="5">
        <f>tblSales[[#This Row],[Qty]]*tblSales[[#This Row],[Unit Price]]</f>
        <v>325000</v>
      </c>
      <c r="L1215" s="5">
        <f>ROUND(tblSales[[#This Row],[DPP (excl. VAT)]]*VATEff,0)</f>
        <v>35750</v>
      </c>
      <c r="M1215" s="5">
        <f>tblSales[[#This Row],[DPP (excl. VAT)]]+tblSales[[#This Row],[Output VAT]]</f>
        <v>360750</v>
      </c>
      <c r="N1215" s="5">
        <f>tblSales[[#This Row],[Qty]]*_xlfn.XLOOKUP(tblSales[[#This Row],[Product Code]],tblProducts[Code],tblProducts[Unit Cost],0)</f>
        <v>185000</v>
      </c>
      <c r="O1215" s="4" t="s">
        <v>4866</v>
      </c>
      <c r="P1215" s="4" t="s">
        <v>4862</v>
      </c>
      <c r="Q1215" s="1" t="str">
        <f>_xlfn.XLOOKUP(tblSales[[#This Row],[Channel Code]],tblChannels[Channel Code],tblChannels[Channel Name],"")</f>
        <v>Website &amp; Social Media</v>
      </c>
      <c r="R1215" s="1">
        <f>MONTH(tblSales[[#This Row],[Date]])</f>
        <v>3</v>
      </c>
    </row>
    <row r="1216" spans="2:18" x14ac:dyDescent="0.35">
      <c r="B1216" s="113">
        <v>46098</v>
      </c>
      <c r="C1216" s="4" t="s">
        <v>866</v>
      </c>
      <c r="D1216" s="4" t="s">
        <v>4593</v>
      </c>
      <c r="E1216" s="1" t="str">
        <f>_xlfn.XLOOKUP(tblSales[[#This Row],[Customer ID]],tblCustomers[Customer ID],tblCustomers[Customer Name],"⚠ Unknown")</f>
        <v>PT Graha Nusa Persada</v>
      </c>
      <c r="F1216" s="4" t="s">
        <v>10</v>
      </c>
      <c r="G1216" s="1" t="str">
        <f>_xlfn.XLOOKUP(tblSales[[#This Row],[Product Code]],tblProducts[Code],tblProducts[Product / Service Name],"⚠ Unknown")</f>
        <v>Chino Pants</v>
      </c>
      <c r="H1216" s="1" t="str">
        <f>_xlfn.XLOOKUP(tblSales[[#This Row],[Product Code]],tblProducts[Code],tblProducts[Category],"")</f>
        <v>Apparel &amp; Footwear</v>
      </c>
      <c r="I1216" s="4">
        <v>80</v>
      </c>
      <c r="J1216" s="5">
        <f>_xlfn.XLOOKUP(tblSales[[#This Row],[Product Code]],tblProducts[Code],tblProducts[Selling Price (excl. VAT)],0)</f>
        <v>150000</v>
      </c>
      <c r="K1216" s="5">
        <f>tblSales[[#This Row],[Qty]]*tblSales[[#This Row],[Unit Price]]</f>
        <v>12000000</v>
      </c>
      <c r="L1216" s="5">
        <f>ROUND(tblSales[[#This Row],[DPP (excl. VAT)]]*VATEff,0)</f>
        <v>1320000</v>
      </c>
      <c r="M1216" s="5">
        <f>tblSales[[#This Row],[DPP (excl. VAT)]]+tblSales[[#This Row],[Output VAT]]</f>
        <v>13320000</v>
      </c>
      <c r="N1216" s="5">
        <f>tblSales[[#This Row],[Qty]]*_xlfn.XLOOKUP(tblSales[[#This Row],[Product Code]],tblProducts[Code],tblProducts[Unit Cost],0)</f>
        <v>7040000</v>
      </c>
      <c r="O1216" s="4" t="s">
        <v>4867</v>
      </c>
      <c r="P1216" s="4" t="s">
        <v>4860</v>
      </c>
      <c r="Q1216" s="1" t="str">
        <f>_xlfn.XLOOKUP(tblSales[[#This Row],[Channel Code]],tblChannels[Channel Code],tblChannels[Channel Name],"")</f>
        <v>In-store</v>
      </c>
      <c r="R1216" s="1">
        <f>MONTH(tblSales[[#This Row],[Date]])</f>
        <v>3</v>
      </c>
    </row>
    <row r="1217" spans="2:18" x14ac:dyDescent="0.35">
      <c r="B1217" s="113">
        <v>46098</v>
      </c>
      <c r="C1217" s="4" t="s">
        <v>867</v>
      </c>
      <c r="D1217" s="4" t="s">
        <v>4568</v>
      </c>
      <c r="E1217" s="1" t="str">
        <f>_xlfn.XLOOKUP(tblSales[[#This Row],[Customer ID]],tblCustomers[Customer ID],tblCustomers[Customer Name],"⚠ Unknown")</f>
        <v>Walk-in Customer</v>
      </c>
      <c r="F1217" s="4" t="s">
        <v>11</v>
      </c>
      <c r="G1217" s="1" t="str">
        <f>_xlfn.XLOOKUP(tblSales[[#This Row],[Product Code]],tblProducts[Code],tblProducts[Product / Service Name],"⚠ Unknown")</f>
        <v>Sneakers</v>
      </c>
      <c r="H1217" s="1" t="str">
        <f>_xlfn.XLOOKUP(tblSales[[#This Row],[Product Code]],tblProducts[Code],tblProducts[Category],"")</f>
        <v>Apparel &amp; Footwear</v>
      </c>
      <c r="I1217" s="4">
        <v>1</v>
      </c>
      <c r="J1217" s="5">
        <f>_xlfn.XLOOKUP(tblSales[[#This Row],[Product Code]],tblProducts[Code],tblProducts[Selling Price (excl. VAT)],0)</f>
        <v>250000</v>
      </c>
      <c r="K1217" s="5">
        <f>tblSales[[#This Row],[Qty]]*tblSales[[#This Row],[Unit Price]]</f>
        <v>250000</v>
      </c>
      <c r="L1217" s="5">
        <f>ROUND(tblSales[[#This Row],[DPP (excl. VAT)]]*VATEff,0)</f>
        <v>27500</v>
      </c>
      <c r="M1217" s="5">
        <f>tblSales[[#This Row],[DPP (excl. VAT)]]+tblSales[[#This Row],[Output VAT]]</f>
        <v>277500</v>
      </c>
      <c r="N1217" s="5">
        <f>tblSales[[#This Row],[Qty]]*_xlfn.XLOOKUP(tblSales[[#This Row],[Product Code]],tblProducts[Code],tblProducts[Unit Cost],0)</f>
        <v>155000</v>
      </c>
      <c r="O1217" s="4" t="s">
        <v>4866</v>
      </c>
      <c r="P1217" s="4" t="s">
        <v>4860</v>
      </c>
      <c r="Q1217" s="1" t="str">
        <f>_xlfn.XLOOKUP(tblSales[[#This Row],[Channel Code]],tblChannels[Channel Code],tblChannels[Channel Name],"")</f>
        <v>In-store</v>
      </c>
      <c r="R1217" s="1">
        <f>MONTH(tblSales[[#This Row],[Date]])</f>
        <v>3</v>
      </c>
    </row>
    <row r="1218" spans="2:18" x14ac:dyDescent="0.35">
      <c r="B1218" s="113">
        <v>46098</v>
      </c>
      <c r="C1218" s="4" t="s">
        <v>868</v>
      </c>
      <c r="D1218" s="4" t="s">
        <v>4568</v>
      </c>
      <c r="E1218" s="1" t="str">
        <f>_xlfn.XLOOKUP(tblSales[[#This Row],[Customer ID]],tblCustomers[Customer ID],tblCustomers[Customer Name],"⚠ Unknown")</f>
        <v>Walk-in Customer</v>
      </c>
      <c r="F1218" s="4" t="s">
        <v>8</v>
      </c>
      <c r="G1218" s="1" t="str">
        <f>_xlfn.XLOOKUP(tblSales[[#This Row],[Product Code]],tblProducts[Code],tblProducts[Product / Service Name],"⚠ Unknown")</f>
        <v>Casual Shorts</v>
      </c>
      <c r="H1218" s="1" t="str">
        <f>_xlfn.XLOOKUP(tblSales[[#This Row],[Product Code]],tblProducts[Code],tblProducts[Category],"")</f>
        <v>Accessories &amp; Basics</v>
      </c>
      <c r="I1218" s="4">
        <v>10</v>
      </c>
      <c r="J1218" s="5">
        <f>_xlfn.XLOOKUP(tblSales[[#This Row],[Product Code]],tblProducts[Code],tblProducts[Selling Price (excl. VAT)],0)</f>
        <v>85000</v>
      </c>
      <c r="K1218" s="5">
        <f>tblSales[[#This Row],[Qty]]*tblSales[[#This Row],[Unit Price]]</f>
        <v>850000</v>
      </c>
      <c r="L1218" s="5">
        <f>ROUND(tblSales[[#This Row],[DPP (excl. VAT)]]*VATEff,0)</f>
        <v>93500</v>
      </c>
      <c r="M1218" s="5">
        <f>tblSales[[#This Row],[DPP (excl. VAT)]]+tblSales[[#This Row],[Output VAT]]</f>
        <v>943500</v>
      </c>
      <c r="N1218" s="5">
        <f>tblSales[[#This Row],[Qty]]*_xlfn.XLOOKUP(tblSales[[#This Row],[Product Code]],tblProducts[Code],tblProducts[Unit Cost],0)</f>
        <v>500000</v>
      </c>
      <c r="O1218" s="4" t="s">
        <v>4865</v>
      </c>
      <c r="P1218" s="4" t="s">
        <v>4860</v>
      </c>
      <c r="Q1218" s="1" t="str">
        <f>_xlfn.XLOOKUP(tblSales[[#This Row],[Channel Code]],tblChannels[Channel Code],tblChannels[Channel Name],"")</f>
        <v>In-store</v>
      </c>
      <c r="R1218" s="1">
        <f>MONTH(tblSales[[#This Row],[Date]])</f>
        <v>3</v>
      </c>
    </row>
    <row r="1219" spans="2:18" x14ac:dyDescent="0.35">
      <c r="B1219" s="113">
        <v>46098</v>
      </c>
      <c r="C1219" s="4" t="s">
        <v>869</v>
      </c>
      <c r="D1219" s="4" t="s">
        <v>4568</v>
      </c>
      <c r="E1219" s="1" t="str">
        <f>_xlfn.XLOOKUP(tblSales[[#This Row],[Customer ID]],tblCustomers[Customer ID],tblCustomers[Customer Name],"⚠ Unknown")</f>
        <v>Walk-in Customer</v>
      </c>
      <c r="F1219" s="4" t="s">
        <v>6</v>
      </c>
      <c r="G1219" s="1" t="str">
        <f>_xlfn.XLOOKUP(tblSales[[#This Row],[Product Code]],tblProducts[Code],tblProducts[Product / Service Name],"⚠ Unknown")</f>
        <v>Socks &amp; Accessories</v>
      </c>
      <c r="H1219" s="1" t="str">
        <f>_xlfn.XLOOKUP(tblSales[[#This Row],[Product Code]],tblProducts[Code],tblProducts[Category],"")</f>
        <v>Accessories &amp; Basics</v>
      </c>
      <c r="I1219" s="4">
        <v>7</v>
      </c>
      <c r="J1219" s="5">
        <f>_xlfn.XLOOKUP(tblSales[[#This Row],[Product Code]],tblProducts[Code],tblProducts[Selling Price (excl. VAT)],0)</f>
        <v>45000</v>
      </c>
      <c r="K1219" s="5">
        <f>tblSales[[#This Row],[Qty]]*tblSales[[#This Row],[Unit Price]]</f>
        <v>315000</v>
      </c>
      <c r="L1219" s="5">
        <f>ROUND(tblSales[[#This Row],[DPP (excl. VAT)]]*VATEff,0)</f>
        <v>34650</v>
      </c>
      <c r="M1219" s="5">
        <f>tblSales[[#This Row],[DPP (excl. VAT)]]+tblSales[[#This Row],[Output VAT]]</f>
        <v>349650</v>
      </c>
      <c r="N1219" s="5">
        <f>tblSales[[#This Row],[Qty]]*_xlfn.XLOOKUP(tblSales[[#This Row],[Product Code]],tblProducts[Code],tblProducts[Unit Cost],0)</f>
        <v>168000</v>
      </c>
      <c r="O1219" s="4" t="s">
        <v>4866</v>
      </c>
      <c r="P1219" s="4" t="s">
        <v>4860</v>
      </c>
      <c r="Q1219" s="1" t="str">
        <f>_xlfn.XLOOKUP(tblSales[[#This Row],[Channel Code]],tblChannels[Channel Code],tblChannels[Channel Name],"")</f>
        <v>In-store</v>
      </c>
      <c r="R1219" s="1">
        <f>MONTH(tblSales[[#This Row],[Date]])</f>
        <v>3</v>
      </c>
    </row>
    <row r="1220" spans="2:18" x14ac:dyDescent="0.35">
      <c r="B1220" s="113">
        <v>46098</v>
      </c>
      <c r="C1220" s="4" t="s">
        <v>869</v>
      </c>
      <c r="D1220" s="4" t="s">
        <v>4568</v>
      </c>
      <c r="E1220" s="1" t="str">
        <f>_xlfn.XLOOKUP(tblSales[[#This Row],[Customer ID]],tblCustomers[Customer ID],tblCustomers[Customer Name],"⚠ Unknown")</f>
        <v>Walk-in Customer</v>
      </c>
      <c r="F1220" s="4" t="s">
        <v>8</v>
      </c>
      <c r="G1220" s="1" t="str">
        <f>_xlfn.XLOOKUP(tblSales[[#This Row],[Product Code]],tblProducts[Code],tblProducts[Product / Service Name],"⚠ Unknown")</f>
        <v>Casual Shorts</v>
      </c>
      <c r="H1220" s="1" t="str">
        <f>_xlfn.XLOOKUP(tblSales[[#This Row],[Product Code]],tblProducts[Code],tblProducts[Category],"")</f>
        <v>Accessories &amp; Basics</v>
      </c>
      <c r="I1220" s="4">
        <v>9</v>
      </c>
      <c r="J1220" s="5">
        <f>_xlfn.XLOOKUP(tblSales[[#This Row],[Product Code]],tblProducts[Code],tblProducts[Selling Price (excl. VAT)],0)</f>
        <v>85000</v>
      </c>
      <c r="K1220" s="5">
        <f>tblSales[[#This Row],[Qty]]*tblSales[[#This Row],[Unit Price]]</f>
        <v>765000</v>
      </c>
      <c r="L1220" s="5">
        <f>ROUND(tblSales[[#This Row],[DPP (excl. VAT)]]*VATEff,0)</f>
        <v>84150</v>
      </c>
      <c r="M1220" s="5">
        <f>tblSales[[#This Row],[DPP (excl. VAT)]]+tblSales[[#This Row],[Output VAT]]</f>
        <v>849150</v>
      </c>
      <c r="N1220" s="5">
        <f>tblSales[[#This Row],[Qty]]*_xlfn.XLOOKUP(tblSales[[#This Row],[Product Code]],tblProducts[Code],tblProducts[Unit Cost],0)</f>
        <v>450000</v>
      </c>
      <c r="O1220" s="4" t="s">
        <v>4866</v>
      </c>
      <c r="P1220" s="4" t="s">
        <v>4860</v>
      </c>
      <c r="Q1220" s="1" t="str">
        <f>_xlfn.XLOOKUP(tblSales[[#This Row],[Channel Code]],tblChannels[Channel Code],tblChannels[Channel Name],"")</f>
        <v>In-store</v>
      </c>
      <c r="R1220" s="1">
        <f>MONTH(tblSales[[#This Row],[Date]])</f>
        <v>3</v>
      </c>
    </row>
    <row r="1221" spans="2:18" x14ac:dyDescent="0.35">
      <c r="B1221" s="113">
        <v>46098</v>
      </c>
      <c r="C1221" s="4" t="s">
        <v>869</v>
      </c>
      <c r="D1221" s="4" t="s">
        <v>4568</v>
      </c>
      <c r="E1221" s="1" t="str">
        <f>_xlfn.XLOOKUP(tblSales[[#This Row],[Customer ID]],tblCustomers[Customer ID],tblCustomers[Customer Name],"⚠ Unknown")</f>
        <v>Walk-in Customer</v>
      </c>
      <c r="F1221" s="4" t="s">
        <v>11</v>
      </c>
      <c r="G1221" s="1" t="str">
        <f>_xlfn.XLOOKUP(tblSales[[#This Row],[Product Code]],tblProducts[Code],tblProducts[Product / Service Name],"⚠ Unknown")</f>
        <v>Sneakers</v>
      </c>
      <c r="H1221" s="1" t="str">
        <f>_xlfn.XLOOKUP(tblSales[[#This Row],[Product Code]],tblProducts[Code],tblProducts[Category],"")</f>
        <v>Apparel &amp; Footwear</v>
      </c>
      <c r="I1221" s="4">
        <v>2</v>
      </c>
      <c r="J1221" s="5">
        <f>_xlfn.XLOOKUP(tblSales[[#This Row],[Product Code]],tblProducts[Code],tblProducts[Selling Price (excl. VAT)],0)</f>
        <v>250000</v>
      </c>
      <c r="K1221" s="5">
        <f>tblSales[[#This Row],[Qty]]*tblSales[[#This Row],[Unit Price]]</f>
        <v>500000</v>
      </c>
      <c r="L1221" s="5">
        <f>ROUND(tblSales[[#This Row],[DPP (excl. VAT)]]*VATEff,0)</f>
        <v>55000</v>
      </c>
      <c r="M1221" s="5">
        <f>tblSales[[#This Row],[DPP (excl. VAT)]]+tblSales[[#This Row],[Output VAT]]</f>
        <v>555000</v>
      </c>
      <c r="N1221" s="5">
        <f>tblSales[[#This Row],[Qty]]*_xlfn.XLOOKUP(tblSales[[#This Row],[Product Code]],tblProducts[Code],tblProducts[Unit Cost],0)</f>
        <v>310000</v>
      </c>
      <c r="O1221" s="4" t="s">
        <v>4866</v>
      </c>
      <c r="P1221" s="4" t="s">
        <v>4860</v>
      </c>
      <c r="Q1221" s="1" t="str">
        <f>_xlfn.XLOOKUP(tblSales[[#This Row],[Channel Code]],tblChannels[Channel Code],tblChannels[Channel Name],"")</f>
        <v>In-store</v>
      </c>
      <c r="R1221" s="1">
        <f>MONTH(tblSales[[#This Row],[Date]])</f>
        <v>3</v>
      </c>
    </row>
    <row r="1222" spans="2:18" x14ac:dyDescent="0.35">
      <c r="B1222" s="113">
        <v>46098</v>
      </c>
      <c r="C1222" s="4" t="s">
        <v>870</v>
      </c>
      <c r="D1222" s="4" t="s">
        <v>4578</v>
      </c>
      <c r="E1222" s="1" t="str">
        <f>_xlfn.XLOOKUP(tblSales[[#This Row],[Customer ID]],tblCustomers[Customer ID],tblCustomers[Customer Name],"⚠ Unknown")</f>
        <v>PT Bintang Timur Sejahtera</v>
      </c>
      <c r="F1222" s="4" t="s">
        <v>11</v>
      </c>
      <c r="G1222" s="1" t="str">
        <f>_xlfn.XLOOKUP(tblSales[[#This Row],[Product Code]],tblProducts[Code],tblProducts[Product / Service Name],"⚠ Unknown")</f>
        <v>Sneakers</v>
      </c>
      <c r="H1222" s="1" t="str">
        <f>_xlfn.XLOOKUP(tblSales[[#This Row],[Product Code]],tblProducts[Code],tblProducts[Category],"")</f>
        <v>Apparel &amp; Footwear</v>
      </c>
      <c r="I1222" s="4">
        <v>32</v>
      </c>
      <c r="J1222" s="5">
        <f>_xlfn.XLOOKUP(tblSales[[#This Row],[Product Code]],tblProducts[Code],tblProducts[Selling Price (excl. VAT)],0)</f>
        <v>250000</v>
      </c>
      <c r="K1222" s="5">
        <f>tblSales[[#This Row],[Qty]]*tblSales[[#This Row],[Unit Price]]</f>
        <v>8000000</v>
      </c>
      <c r="L1222" s="5">
        <f>ROUND(tblSales[[#This Row],[DPP (excl. VAT)]]*VATEff,0)</f>
        <v>880000</v>
      </c>
      <c r="M1222" s="5">
        <f>tblSales[[#This Row],[DPP (excl. VAT)]]+tblSales[[#This Row],[Output VAT]]</f>
        <v>8880000</v>
      </c>
      <c r="N1222" s="5">
        <f>tblSales[[#This Row],[Qty]]*_xlfn.XLOOKUP(tblSales[[#This Row],[Product Code]],tblProducts[Code],tblProducts[Unit Cost],0)</f>
        <v>4960000</v>
      </c>
      <c r="O1222" s="4" t="s">
        <v>4867</v>
      </c>
      <c r="P1222" s="4" t="s">
        <v>4860</v>
      </c>
      <c r="Q1222" s="1" t="str">
        <f>_xlfn.XLOOKUP(tblSales[[#This Row],[Channel Code]],tblChannels[Channel Code],tblChannels[Channel Name],"")</f>
        <v>In-store</v>
      </c>
      <c r="R1222" s="1">
        <f>MONTH(tblSales[[#This Row],[Date]])</f>
        <v>3</v>
      </c>
    </row>
    <row r="1223" spans="2:18" x14ac:dyDescent="0.35">
      <c r="B1223" s="113">
        <v>46098</v>
      </c>
      <c r="C1223" s="4" t="s">
        <v>871</v>
      </c>
      <c r="D1223" s="4" t="s">
        <v>4568</v>
      </c>
      <c r="E1223" s="1" t="str">
        <f>_xlfn.XLOOKUP(tblSales[[#This Row],[Customer ID]],tblCustomers[Customer ID],tblCustomers[Customer Name],"⚠ Unknown")</f>
        <v>Walk-in Customer</v>
      </c>
      <c r="F1223" s="4" t="s">
        <v>7</v>
      </c>
      <c r="G1223" s="1" t="str">
        <f>_xlfn.XLOOKUP(tblSales[[#This Row],[Product Code]],tblProducts[Code],tblProducts[Product / Service Name],"⚠ Unknown")</f>
        <v>Premium Basic T-shirt</v>
      </c>
      <c r="H1223" s="1" t="str">
        <f>_xlfn.XLOOKUP(tblSales[[#This Row],[Product Code]],tblProducts[Code],tblProducts[Category],"")</f>
        <v>Accessories &amp; Basics</v>
      </c>
      <c r="I1223" s="4">
        <v>2</v>
      </c>
      <c r="J1223" s="5">
        <f>_xlfn.XLOOKUP(tblSales[[#This Row],[Product Code]],tblProducts[Code],tblProducts[Selling Price (excl. VAT)],0)</f>
        <v>65000</v>
      </c>
      <c r="K1223" s="5">
        <f>tblSales[[#This Row],[Qty]]*tblSales[[#This Row],[Unit Price]]</f>
        <v>130000</v>
      </c>
      <c r="L1223" s="5">
        <f>ROUND(tblSales[[#This Row],[DPP (excl. VAT)]]*VATEff,0)</f>
        <v>14300</v>
      </c>
      <c r="M1223" s="5">
        <f>tblSales[[#This Row],[DPP (excl. VAT)]]+tblSales[[#This Row],[Output VAT]]</f>
        <v>144300</v>
      </c>
      <c r="N1223" s="5">
        <f>tblSales[[#This Row],[Qty]]*_xlfn.XLOOKUP(tblSales[[#This Row],[Product Code]],tblProducts[Code],tblProducts[Unit Cost],0)</f>
        <v>74000</v>
      </c>
      <c r="O1223" s="4" t="s">
        <v>4866</v>
      </c>
      <c r="P1223" s="4" t="s">
        <v>4860</v>
      </c>
      <c r="Q1223" s="1" t="str">
        <f>_xlfn.XLOOKUP(tblSales[[#This Row],[Channel Code]],tblChannels[Channel Code],tblChannels[Channel Name],"")</f>
        <v>In-store</v>
      </c>
      <c r="R1223" s="1">
        <f>MONTH(tblSales[[#This Row],[Date]])</f>
        <v>3</v>
      </c>
    </row>
    <row r="1224" spans="2:18" x14ac:dyDescent="0.35">
      <c r="B1224" s="113">
        <v>46098</v>
      </c>
      <c r="C1224" s="4" t="s">
        <v>871</v>
      </c>
      <c r="D1224" s="4" t="s">
        <v>4568</v>
      </c>
      <c r="E1224" s="1" t="str">
        <f>_xlfn.XLOOKUP(tblSales[[#This Row],[Customer ID]],tblCustomers[Customer ID],tblCustomers[Customer Name],"⚠ Unknown")</f>
        <v>Walk-in Customer</v>
      </c>
      <c r="F1224" s="4" t="s">
        <v>13</v>
      </c>
      <c r="G1224" s="1" t="str">
        <f>_xlfn.XLOOKUP(tblSales[[#This Row],[Product Code]],tblProducts[Code],tblProducts[Product / Service Name],"⚠ Unknown")</f>
        <v>Backpack</v>
      </c>
      <c r="H1224" s="1" t="str">
        <f>_xlfn.XLOOKUP(tblSales[[#This Row],[Product Code]],tblProducts[Code],tblProducts[Category],"")</f>
        <v>Bags &amp; Gadgets</v>
      </c>
      <c r="I1224" s="4">
        <v>4</v>
      </c>
      <c r="J1224" s="5">
        <f>_xlfn.XLOOKUP(tblSales[[#This Row],[Product Code]],tblProducts[Code],tblProducts[Selling Price (excl. VAT)],0)</f>
        <v>500000</v>
      </c>
      <c r="K1224" s="5">
        <f>tblSales[[#This Row],[Qty]]*tblSales[[#This Row],[Unit Price]]</f>
        <v>2000000</v>
      </c>
      <c r="L1224" s="5">
        <f>ROUND(tblSales[[#This Row],[DPP (excl. VAT)]]*VATEff,0)</f>
        <v>220000</v>
      </c>
      <c r="M1224" s="5">
        <f>tblSales[[#This Row],[DPP (excl. VAT)]]+tblSales[[#This Row],[Output VAT]]</f>
        <v>2220000</v>
      </c>
      <c r="N1224" s="5">
        <f>tblSales[[#This Row],[Qty]]*_xlfn.XLOOKUP(tblSales[[#This Row],[Product Code]],tblProducts[Code],tblProducts[Unit Cost],0)</f>
        <v>1160000</v>
      </c>
      <c r="O1224" s="4" t="s">
        <v>4866</v>
      </c>
      <c r="P1224" s="4" t="s">
        <v>4860</v>
      </c>
      <c r="Q1224" s="1" t="str">
        <f>_xlfn.XLOOKUP(tblSales[[#This Row],[Channel Code]],tblChannels[Channel Code],tblChannels[Channel Name],"")</f>
        <v>In-store</v>
      </c>
      <c r="R1224" s="1">
        <f>MONTH(tblSales[[#This Row],[Date]])</f>
        <v>3</v>
      </c>
    </row>
    <row r="1225" spans="2:18" x14ac:dyDescent="0.35">
      <c r="B1225" s="113">
        <v>46098</v>
      </c>
      <c r="C1225" s="4" t="s">
        <v>872</v>
      </c>
      <c r="D1225" s="4" t="s">
        <v>4593</v>
      </c>
      <c r="E1225" s="1" t="str">
        <f>_xlfn.XLOOKUP(tblSales[[#This Row],[Customer ID]],tblCustomers[Customer ID],tblCustomers[Customer Name],"⚠ Unknown")</f>
        <v>PT Graha Nusa Persada</v>
      </c>
      <c r="F1225" s="4" t="s">
        <v>6</v>
      </c>
      <c r="G1225" s="1" t="str">
        <f>_xlfn.XLOOKUP(tblSales[[#This Row],[Product Code]],tblProducts[Code],tblProducts[Product / Service Name],"⚠ Unknown")</f>
        <v>Socks &amp; Accessories</v>
      </c>
      <c r="H1225" s="1" t="str">
        <f>_xlfn.XLOOKUP(tblSales[[#This Row],[Product Code]],tblProducts[Code],tblProducts[Category],"")</f>
        <v>Accessories &amp; Basics</v>
      </c>
      <c r="I1225" s="4">
        <v>72</v>
      </c>
      <c r="J1225" s="5">
        <f>_xlfn.XLOOKUP(tblSales[[#This Row],[Product Code]],tblProducts[Code],tblProducts[Selling Price (excl. VAT)],0)</f>
        <v>45000</v>
      </c>
      <c r="K1225" s="5">
        <f>tblSales[[#This Row],[Qty]]*tblSales[[#This Row],[Unit Price]]</f>
        <v>3240000</v>
      </c>
      <c r="L1225" s="5">
        <f>ROUND(tblSales[[#This Row],[DPP (excl. VAT)]]*VATEff,0)</f>
        <v>356400</v>
      </c>
      <c r="M1225" s="5">
        <f>tblSales[[#This Row],[DPP (excl. VAT)]]+tblSales[[#This Row],[Output VAT]]</f>
        <v>3596400</v>
      </c>
      <c r="N1225" s="5">
        <f>tblSales[[#This Row],[Qty]]*_xlfn.XLOOKUP(tblSales[[#This Row],[Product Code]],tblProducts[Code],tblProducts[Unit Cost],0)</f>
        <v>1728000</v>
      </c>
      <c r="O1225" s="4" t="s">
        <v>4867</v>
      </c>
      <c r="P1225" s="4" t="s">
        <v>4860</v>
      </c>
      <c r="Q1225" s="1" t="str">
        <f>_xlfn.XLOOKUP(tblSales[[#This Row],[Channel Code]],tblChannels[Channel Code],tblChannels[Channel Name],"")</f>
        <v>In-store</v>
      </c>
      <c r="R1225" s="1">
        <f>MONTH(tblSales[[#This Row],[Date]])</f>
        <v>3</v>
      </c>
    </row>
    <row r="1226" spans="2:18" x14ac:dyDescent="0.35">
      <c r="B1226" s="113">
        <v>46098</v>
      </c>
      <c r="C1226" s="4" t="s">
        <v>872</v>
      </c>
      <c r="D1226" s="4" t="s">
        <v>4593</v>
      </c>
      <c r="E1226" s="1" t="str">
        <f>_xlfn.XLOOKUP(tblSales[[#This Row],[Customer ID]],tblCustomers[Customer ID],tblCustomers[Customer Name],"⚠ Unknown")</f>
        <v>PT Graha Nusa Persada</v>
      </c>
      <c r="F1226" s="4" t="s">
        <v>14</v>
      </c>
      <c r="G1226" s="1" t="str">
        <f>_xlfn.XLOOKUP(tblSales[[#This Row],[Product Code]],tblProducts[Code],tblProducts[Product / Service Name],"⚠ Unknown")</f>
        <v>Smartwatch</v>
      </c>
      <c r="H1226" s="1" t="str">
        <f>_xlfn.XLOOKUP(tblSales[[#This Row],[Product Code]],tblProducts[Code],tblProducts[Category],"")</f>
        <v>Bags &amp; Gadgets</v>
      </c>
      <c r="I1226" s="4">
        <v>8</v>
      </c>
      <c r="J1226" s="5">
        <f>_xlfn.XLOOKUP(tblSales[[#This Row],[Product Code]],tblProducts[Code],tblProducts[Selling Price (excl. VAT)],0)</f>
        <v>850000</v>
      </c>
      <c r="K1226" s="5">
        <f>tblSales[[#This Row],[Qty]]*tblSales[[#This Row],[Unit Price]]</f>
        <v>6800000</v>
      </c>
      <c r="L1226" s="5">
        <f>ROUND(tblSales[[#This Row],[DPP (excl. VAT)]]*VATEff,0)</f>
        <v>748000</v>
      </c>
      <c r="M1226" s="5">
        <f>tblSales[[#This Row],[DPP (excl. VAT)]]+tblSales[[#This Row],[Output VAT]]</f>
        <v>7548000</v>
      </c>
      <c r="N1226" s="5">
        <f>tblSales[[#This Row],[Qty]]*_xlfn.XLOOKUP(tblSales[[#This Row],[Product Code]],tblProducts[Code],tblProducts[Unit Cost],0)</f>
        <v>4480000</v>
      </c>
      <c r="O1226" s="4" t="s">
        <v>4867</v>
      </c>
      <c r="P1226" s="4" t="s">
        <v>4860</v>
      </c>
      <c r="Q1226" s="1" t="str">
        <f>_xlfn.XLOOKUP(tblSales[[#This Row],[Channel Code]],tblChannels[Channel Code],tblChannels[Channel Name],"")</f>
        <v>In-store</v>
      </c>
      <c r="R1226" s="1">
        <f>MONTH(tblSales[[#This Row],[Date]])</f>
        <v>3</v>
      </c>
    </row>
    <row r="1227" spans="2:18" x14ac:dyDescent="0.35">
      <c r="B1227" s="113">
        <v>46098</v>
      </c>
      <c r="C1227" s="4" t="s">
        <v>873</v>
      </c>
      <c r="D1227" s="4" t="s">
        <v>4568</v>
      </c>
      <c r="E1227" s="1" t="str">
        <f>_xlfn.XLOOKUP(tblSales[[#This Row],[Customer ID]],tblCustomers[Customer ID],tblCustomers[Customer Name],"⚠ Unknown")</f>
        <v>Walk-in Customer</v>
      </c>
      <c r="F1227" s="4" t="s">
        <v>9</v>
      </c>
      <c r="G1227" s="1" t="str">
        <f>_xlfn.XLOOKUP(tblSales[[#This Row],[Product Code]],tblProducts[Code],tblProducts[Product / Service Name],"⚠ Unknown")</f>
        <v>Casual Shirt</v>
      </c>
      <c r="H1227" s="1" t="str">
        <f>_xlfn.XLOOKUP(tblSales[[#This Row],[Product Code]],tblProducts[Code],tblProducts[Category],"")</f>
        <v>Apparel &amp; Footwear</v>
      </c>
      <c r="I1227" s="4">
        <v>7</v>
      </c>
      <c r="J1227" s="5">
        <f>_xlfn.XLOOKUP(tblSales[[#This Row],[Product Code]],tblProducts[Code],tblProducts[Selling Price (excl. VAT)],0)</f>
        <v>120000</v>
      </c>
      <c r="K1227" s="5">
        <f>tblSales[[#This Row],[Qty]]*tblSales[[#This Row],[Unit Price]]</f>
        <v>840000</v>
      </c>
      <c r="L1227" s="5">
        <f>ROUND(tblSales[[#This Row],[DPP (excl. VAT)]]*VATEff,0)</f>
        <v>92400</v>
      </c>
      <c r="M1227" s="5">
        <f>tblSales[[#This Row],[DPP (excl. VAT)]]+tblSales[[#This Row],[Output VAT]]</f>
        <v>932400</v>
      </c>
      <c r="N1227" s="5">
        <f>tblSales[[#This Row],[Qty]]*_xlfn.XLOOKUP(tblSales[[#This Row],[Product Code]],tblProducts[Code],tblProducts[Unit Cost],0)</f>
        <v>504000</v>
      </c>
      <c r="O1227" s="4" t="s">
        <v>4865</v>
      </c>
      <c r="P1227" s="4" t="s">
        <v>4860</v>
      </c>
      <c r="Q1227" s="1" t="str">
        <f>_xlfn.XLOOKUP(tblSales[[#This Row],[Channel Code]],tblChannels[Channel Code],tblChannels[Channel Name],"")</f>
        <v>In-store</v>
      </c>
      <c r="R1227" s="1">
        <f>MONTH(tblSales[[#This Row],[Date]])</f>
        <v>3</v>
      </c>
    </row>
    <row r="1228" spans="2:18" x14ac:dyDescent="0.35">
      <c r="B1228" s="113">
        <v>46098</v>
      </c>
      <c r="C1228" s="4" t="s">
        <v>874</v>
      </c>
      <c r="D1228" s="4" t="s">
        <v>4568</v>
      </c>
      <c r="E1228" s="1" t="str">
        <f>_xlfn.XLOOKUP(tblSales[[#This Row],[Customer ID]],tblCustomers[Customer ID],tblCustomers[Customer Name],"⚠ Unknown")</f>
        <v>Walk-in Customer</v>
      </c>
      <c r="F1228" s="4" t="s">
        <v>12</v>
      </c>
      <c r="G1228" s="1" t="str">
        <f>_xlfn.XLOOKUP(tblSales[[#This Row],[Product Code]],tblProducts[Code],tblProducts[Product / Service Name],"⚠ Unknown")</f>
        <v>Bomber Jacket</v>
      </c>
      <c r="H1228" s="1" t="str">
        <f>_xlfn.XLOOKUP(tblSales[[#This Row],[Product Code]],tblProducts[Code],tblProducts[Category],"")</f>
        <v>Apparel &amp; Footwear</v>
      </c>
      <c r="I1228" s="4">
        <v>3</v>
      </c>
      <c r="J1228" s="5">
        <f>_xlfn.XLOOKUP(tblSales[[#This Row],[Product Code]],tblProducts[Code],tblProducts[Selling Price (excl. VAT)],0)</f>
        <v>350000</v>
      </c>
      <c r="K1228" s="5">
        <f>tblSales[[#This Row],[Qty]]*tblSales[[#This Row],[Unit Price]]</f>
        <v>1050000</v>
      </c>
      <c r="L1228" s="5">
        <f>ROUND(tblSales[[#This Row],[DPP (excl. VAT)]]*VATEff,0)</f>
        <v>115500</v>
      </c>
      <c r="M1228" s="5">
        <f>tblSales[[#This Row],[DPP (excl. VAT)]]+tblSales[[#This Row],[Output VAT]]</f>
        <v>1165500</v>
      </c>
      <c r="N1228" s="5">
        <f>tblSales[[#This Row],[Qty]]*_xlfn.XLOOKUP(tblSales[[#This Row],[Product Code]],tblProducts[Code],tblProducts[Unit Cost],0)</f>
        <v>630000</v>
      </c>
      <c r="O1228" s="4" t="s">
        <v>4865</v>
      </c>
      <c r="P1228" s="4" t="s">
        <v>4860</v>
      </c>
      <c r="Q1228" s="1" t="str">
        <f>_xlfn.XLOOKUP(tblSales[[#This Row],[Channel Code]],tblChannels[Channel Code],tblChannels[Channel Name],"")</f>
        <v>In-store</v>
      </c>
      <c r="R1228" s="1">
        <f>MONTH(tblSales[[#This Row],[Date]])</f>
        <v>3</v>
      </c>
    </row>
    <row r="1229" spans="2:18" x14ac:dyDescent="0.35">
      <c r="B1229" s="113">
        <v>46098</v>
      </c>
      <c r="C1229" s="4" t="s">
        <v>875</v>
      </c>
      <c r="D1229" s="4" t="s">
        <v>4599</v>
      </c>
      <c r="E1229" s="1" t="str">
        <f>_xlfn.XLOOKUP(tblSales[[#This Row],[Customer ID]],tblCustomers[Customer ID],tblCustomers[Customer Name],"⚠ Unknown")</f>
        <v>PT Samudra Jaya Logistik</v>
      </c>
      <c r="F1229" s="4" t="s">
        <v>15</v>
      </c>
      <c r="G1229" s="1" t="str">
        <f>_xlfn.XLOOKUP(tblSales[[#This Row],[Product Code]],tblProducts[Code],tblProducts[Product / Service Name],"⚠ Unknown")</f>
        <v>Wireless Earbuds Pro</v>
      </c>
      <c r="H1229" s="1" t="str">
        <f>_xlfn.XLOOKUP(tblSales[[#This Row],[Product Code]],tblProducts[Code],tblProducts[Category],"")</f>
        <v>Bags &amp; Gadgets</v>
      </c>
      <c r="I1229" s="4">
        <v>24</v>
      </c>
      <c r="J1229" s="5">
        <f>_xlfn.XLOOKUP(tblSales[[#This Row],[Product Code]],tblProducts[Code],tblProducts[Selling Price (excl. VAT)],0)</f>
        <v>1250000</v>
      </c>
      <c r="K1229" s="5">
        <f>tblSales[[#This Row],[Qty]]*tblSales[[#This Row],[Unit Price]]</f>
        <v>30000000</v>
      </c>
      <c r="L1229" s="5">
        <f>ROUND(tblSales[[#This Row],[DPP (excl. VAT)]]*VATEff,0)</f>
        <v>3300000</v>
      </c>
      <c r="M1229" s="5">
        <f>tblSales[[#This Row],[DPP (excl. VAT)]]+tblSales[[#This Row],[Output VAT]]</f>
        <v>33300000</v>
      </c>
      <c r="N1229" s="5">
        <f>tblSales[[#This Row],[Qty]]*_xlfn.XLOOKUP(tblSales[[#This Row],[Product Code]],tblProducts[Code],tblProducts[Unit Cost],0)</f>
        <v>19680000</v>
      </c>
      <c r="O1229" s="4" t="s">
        <v>4867</v>
      </c>
      <c r="P1229" s="4" t="s">
        <v>4860</v>
      </c>
      <c r="Q1229" s="1" t="str">
        <f>_xlfn.XLOOKUP(tblSales[[#This Row],[Channel Code]],tblChannels[Channel Code],tblChannels[Channel Name],"")</f>
        <v>In-store</v>
      </c>
      <c r="R1229" s="1">
        <f>MONTH(tblSales[[#This Row],[Date]])</f>
        <v>3</v>
      </c>
    </row>
    <row r="1230" spans="2:18" x14ac:dyDescent="0.35">
      <c r="B1230" s="113">
        <v>46098</v>
      </c>
      <c r="C1230" s="4" t="s">
        <v>876</v>
      </c>
      <c r="D1230" s="4" t="s">
        <v>4568</v>
      </c>
      <c r="E1230" s="1" t="str">
        <f>_xlfn.XLOOKUP(tblSales[[#This Row],[Customer ID]],tblCustomers[Customer ID],tblCustomers[Customer Name],"⚠ Unknown")</f>
        <v>Walk-in Customer</v>
      </c>
      <c r="F1230" s="4" t="s">
        <v>12</v>
      </c>
      <c r="G1230" s="1" t="str">
        <f>_xlfn.XLOOKUP(tblSales[[#This Row],[Product Code]],tblProducts[Code],tblProducts[Product / Service Name],"⚠ Unknown")</f>
        <v>Bomber Jacket</v>
      </c>
      <c r="H1230" s="1" t="str">
        <f>_xlfn.XLOOKUP(tblSales[[#This Row],[Product Code]],tblProducts[Code],tblProducts[Category],"")</f>
        <v>Apparel &amp; Footwear</v>
      </c>
      <c r="I1230" s="4">
        <v>5</v>
      </c>
      <c r="J1230" s="5">
        <f>_xlfn.XLOOKUP(tblSales[[#This Row],[Product Code]],tblProducts[Code],tblProducts[Selling Price (excl. VAT)],0)</f>
        <v>350000</v>
      </c>
      <c r="K1230" s="5">
        <f>tblSales[[#This Row],[Qty]]*tblSales[[#This Row],[Unit Price]]</f>
        <v>1750000</v>
      </c>
      <c r="L1230" s="5">
        <f>ROUND(tblSales[[#This Row],[DPP (excl. VAT)]]*VATEff,0)</f>
        <v>192500</v>
      </c>
      <c r="M1230" s="5">
        <f>tblSales[[#This Row],[DPP (excl. VAT)]]+tblSales[[#This Row],[Output VAT]]</f>
        <v>1942500</v>
      </c>
      <c r="N1230" s="5">
        <f>tblSales[[#This Row],[Qty]]*_xlfn.XLOOKUP(tblSales[[#This Row],[Product Code]],tblProducts[Code],tblProducts[Unit Cost],0)</f>
        <v>1050000</v>
      </c>
      <c r="O1230" s="4" t="s">
        <v>4866</v>
      </c>
      <c r="P1230" s="4" t="s">
        <v>4860</v>
      </c>
      <c r="Q1230" s="1" t="str">
        <f>_xlfn.XLOOKUP(tblSales[[#This Row],[Channel Code]],tblChannels[Channel Code],tblChannels[Channel Name],"")</f>
        <v>In-store</v>
      </c>
      <c r="R1230" s="1">
        <f>MONTH(tblSales[[#This Row],[Date]])</f>
        <v>3</v>
      </c>
    </row>
    <row r="1231" spans="2:18" x14ac:dyDescent="0.35">
      <c r="B1231" s="113">
        <v>46098</v>
      </c>
      <c r="C1231" s="4" t="s">
        <v>877</v>
      </c>
      <c r="D1231" s="4" t="s">
        <v>4568</v>
      </c>
      <c r="E1231" s="1" t="str">
        <f>_xlfn.XLOOKUP(tblSales[[#This Row],[Customer ID]],tblCustomers[Customer ID],tblCustomers[Customer Name],"⚠ Unknown")</f>
        <v>Walk-in Customer</v>
      </c>
      <c r="F1231" s="4" t="s">
        <v>7</v>
      </c>
      <c r="G1231" s="1" t="str">
        <f>_xlfn.XLOOKUP(tblSales[[#This Row],[Product Code]],tblProducts[Code],tblProducts[Product / Service Name],"⚠ Unknown")</f>
        <v>Premium Basic T-shirt</v>
      </c>
      <c r="H1231" s="1" t="str">
        <f>_xlfn.XLOOKUP(tblSales[[#This Row],[Product Code]],tblProducts[Code],tblProducts[Category],"")</f>
        <v>Accessories &amp; Basics</v>
      </c>
      <c r="I1231" s="4">
        <v>8</v>
      </c>
      <c r="J1231" s="5">
        <f>_xlfn.XLOOKUP(tblSales[[#This Row],[Product Code]],tblProducts[Code],tblProducts[Selling Price (excl. VAT)],0)</f>
        <v>65000</v>
      </c>
      <c r="K1231" s="5">
        <f>tblSales[[#This Row],[Qty]]*tblSales[[#This Row],[Unit Price]]</f>
        <v>520000</v>
      </c>
      <c r="L1231" s="5">
        <f>ROUND(tblSales[[#This Row],[DPP (excl. VAT)]]*VATEff,0)</f>
        <v>57200</v>
      </c>
      <c r="M1231" s="5">
        <f>tblSales[[#This Row],[DPP (excl. VAT)]]+tblSales[[#This Row],[Output VAT]]</f>
        <v>577200</v>
      </c>
      <c r="N1231" s="5">
        <f>tblSales[[#This Row],[Qty]]*_xlfn.XLOOKUP(tblSales[[#This Row],[Product Code]],tblProducts[Code],tblProducts[Unit Cost],0)</f>
        <v>296000</v>
      </c>
      <c r="O1231" s="4" t="s">
        <v>4866</v>
      </c>
      <c r="P1231" s="4" t="s">
        <v>4862</v>
      </c>
      <c r="Q1231" s="1" t="str">
        <f>_xlfn.XLOOKUP(tblSales[[#This Row],[Channel Code]],tblChannels[Channel Code],tblChannels[Channel Name],"")</f>
        <v>Website &amp; Social Media</v>
      </c>
      <c r="R1231" s="1">
        <f>MONTH(tblSales[[#This Row],[Date]])</f>
        <v>3</v>
      </c>
    </row>
    <row r="1232" spans="2:18" x14ac:dyDescent="0.35">
      <c r="B1232" s="113">
        <v>46098</v>
      </c>
      <c r="C1232" s="4" t="s">
        <v>878</v>
      </c>
      <c r="D1232" s="4" t="s">
        <v>4568</v>
      </c>
      <c r="E1232" s="1" t="str">
        <f>_xlfn.XLOOKUP(tblSales[[#This Row],[Customer ID]],tblCustomers[Customer ID],tblCustomers[Customer Name],"⚠ Unknown")</f>
        <v>Walk-in Customer</v>
      </c>
      <c r="F1232" s="4" t="s">
        <v>15</v>
      </c>
      <c r="G1232" s="1" t="str">
        <f>_xlfn.XLOOKUP(tblSales[[#This Row],[Product Code]],tblProducts[Code],tblProducts[Product / Service Name],"⚠ Unknown")</f>
        <v>Wireless Earbuds Pro</v>
      </c>
      <c r="H1232" s="1" t="str">
        <f>_xlfn.XLOOKUP(tblSales[[#This Row],[Product Code]],tblProducts[Code],tblProducts[Category],"")</f>
        <v>Bags &amp; Gadgets</v>
      </c>
      <c r="I1232" s="4">
        <v>1</v>
      </c>
      <c r="J1232" s="5">
        <f>_xlfn.XLOOKUP(tblSales[[#This Row],[Product Code]],tblProducts[Code],tblProducts[Selling Price (excl. VAT)],0)</f>
        <v>1250000</v>
      </c>
      <c r="K1232" s="5">
        <f>tblSales[[#This Row],[Qty]]*tblSales[[#This Row],[Unit Price]]</f>
        <v>1250000</v>
      </c>
      <c r="L1232" s="5">
        <f>ROUND(tblSales[[#This Row],[DPP (excl. VAT)]]*VATEff,0)</f>
        <v>137500</v>
      </c>
      <c r="M1232" s="5">
        <f>tblSales[[#This Row],[DPP (excl. VAT)]]+tblSales[[#This Row],[Output VAT]]</f>
        <v>1387500</v>
      </c>
      <c r="N1232" s="5">
        <f>tblSales[[#This Row],[Qty]]*_xlfn.XLOOKUP(tblSales[[#This Row],[Product Code]],tblProducts[Code],tblProducts[Unit Cost],0)</f>
        <v>820000</v>
      </c>
      <c r="O1232" s="4" t="s">
        <v>4866</v>
      </c>
      <c r="P1232" s="4" t="s">
        <v>4862</v>
      </c>
      <c r="Q1232" s="1" t="str">
        <f>_xlfn.XLOOKUP(tblSales[[#This Row],[Channel Code]],tblChannels[Channel Code],tblChannels[Channel Name],"")</f>
        <v>Website &amp; Social Media</v>
      </c>
      <c r="R1232" s="1">
        <f>MONTH(tblSales[[#This Row],[Date]])</f>
        <v>3</v>
      </c>
    </row>
    <row r="1233" spans="2:18" x14ac:dyDescent="0.35">
      <c r="B1233" s="113">
        <v>46099</v>
      </c>
      <c r="C1233" s="4" t="s">
        <v>879</v>
      </c>
      <c r="D1233" s="4" t="s">
        <v>4613</v>
      </c>
      <c r="E1233" s="1" t="str">
        <f>_xlfn.XLOOKUP(tblSales[[#This Row],[Customer ID]],tblCustomers[Customer ID],tblCustomers[Customer Name],"⚠ Unknown")</f>
        <v>PT Mega Prima Distribusi</v>
      </c>
      <c r="F1233" s="4" t="s">
        <v>9</v>
      </c>
      <c r="G1233" s="1" t="str">
        <f>_xlfn.XLOOKUP(tblSales[[#This Row],[Product Code]],tblProducts[Code],tblProducts[Product / Service Name],"⚠ Unknown")</f>
        <v>Casual Shirt</v>
      </c>
      <c r="H1233" s="1" t="str">
        <f>_xlfn.XLOOKUP(tblSales[[#This Row],[Product Code]],tblProducts[Code],tblProducts[Category],"")</f>
        <v>Apparel &amp; Footwear</v>
      </c>
      <c r="I1233" s="4">
        <v>40</v>
      </c>
      <c r="J1233" s="5">
        <f>_xlfn.XLOOKUP(tblSales[[#This Row],[Product Code]],tblProducts[Code],tblProducts[Selling Price (excl. VAT)],0)</f>
        <v>120000</v>
      </c>
      <c r="K1233" s="5">
        <f>tblSales[[#This Row],[Qty]]*tblSales[[#This Row],[Unit Price]]</f>
        <v>4800000</v>
      </c>
      <c r="L1233" s="5">
        <f>ROUND(tblSales[[#This Row],[DPP (excl. VAT)]]*VATEff,0)</f>
        <v>528000</v>
      </c>
      <c r="M1233" s="5">
        <f>tblSales[[#This Row],[DPP (excl. VAT)]]+tblSales[[#This Row],[Output VAT]]</f>
        <v>5328000</v>
      </c>
      <c r="N1233" s="5">
        <f>tblSales[[#This Row],[Qty]]*_xlfn.XLOOKUP(tblSales[[#This Row],[Product Code]],tblProducts[Code],tblProducts[Unit Cost],0)</f>
        <v>2880000</v>
      </c>
      <c r="O1233" s="4" t="s">
        <v>4867</v>
      </c>
      <c r="P1233" s="4" t="s">
        <v>4860</v>
      </c>
      <c r="Q1233" s="1" t="str">
        <f>_xlfn.XLOOKUP(tblSales[[#This Row],[Channel Code]],tblChannels[Channel Code],tblChannels[Channel Name],"")</f>
        <v>In-store</v>
      </c>
      <c r="R1233" s="1">
        <f>MONTH(tblSales[[#This Row],[Date]])</f>
        <v>3</v>
      </c>
    </row>
    <row r="1234" spans="2:18" x14ac:dyDescent="0.35">
      <c r="B1234" s="113">
        <v>46099</v>
      </c>
      <c r="C1234" s="4" t="s">
        <v>880</v>
      </c>
      <c r="D1234" s="4" t="s">
        <v>4568</v>
      </c>
      <c r="E1234" s="1" t="str">
        <f>_xlfn.XLOOKUP(tblSales[[#This Row],[Customer ID]],tblCustomers[Customer ID],tblCustomers[Customer Name],"⚠ Unknown")</f>
        <v>Walk-in Customer</v>
      </c>
      <c r="F1234" s="4" t="s">
        <v>6</v>
      </c>
      <c r="G1234" s="1" t="str">
        <f>_xlfn.XLOOKUP(tblSales[[#This Row],[Product Code]],tblProducts[Code],tblProducts[Product / Service Name],"⚠ Unknown")</f>
        <v>Socks &amp; Accessories</v>
      </c>
      <c r="H1234" s="1" t="str">
        <f>_xlfn.XLOOKUP(tblSales[[#This Row],[Product Code]],tblProducts[Code],tblProducts[Category],"")</f>
        <v>Accessories &amp; Basics</v>
      </c>
      <c r="I1234" s="4">
        <v>3</v>
      </c>
      <c r="J1234" s="5">
        <f>_xlfn.XLOOKUP(tblSales[[#This Row],[Product Code]],tblProducts[Code],tblProducts[Selling Price (excl. VAT)],0)</f>
        <v>45000</v>
      </c>
      <c r="K1234" s="5">
        <f>tblSales[[#This Row],[Qty]]*tblSales[[#This Row],[Unit Price]]</f>
        <v>135000</v>
      </c>
      <c r="L1234" s="5">
        <f>ROUND(tblSales[[#This Row],[DPP (excl. VAT)]]*VATEff,0)</f>
        <v>14850</v>
      </c>
      <c r="M1234" s="5">
        <f>tblSales[[#This Row],[DPP (excl. VAT)]]+tblSales[[#This Row],[Output VAT]]</f>
        <v>149850</v>
      </c>
      <c r="N1234" s="5">
        <f>tblSales[[#This Row],[Qty]]*_xlfn.XLOOKUP(tblSales[[#This Row],[Product Code]],tblProducts[Code],tblProducts[Unit Cost],0)</f>
        <v>72000</v>
      </c>
      <c r="O1234" s="4" t="s">
        <v>4866</v>
      </c>
      <c r="P1234" s="4" t="s">
        <v>4860</v>
      </c>
      <c r="Q1234" s="1" t="str">
        <f>_xlfn.XLOOKUP(tblSales[[#This Row],[Channel Code]],tblChannels[Channel Code],tblChannels[Channel Name],"")</f>
        <v>In-store</v>
      </c>
      <c r="R1234" s="1">
        <f>MONTH(tblSales[[#This Row],[Date]])</f>
        <v>3</v>
      </c>
    </row>
    <row r="1235" spans="2:18" x14ac:dyDescent="0.35">
      <c r="B1235" s="113">
        <v>46099</v>
      </c>
      <c r="C1235" s="4" t="s">
        <v>881</v>
      </c>
      <c r="D1235" s="4" t="s">
        <v>4568</v>
      </c>
      <c r="E1235" s="1" t="str">
        <f>_xlfn.XLOOKUP(tblSales[[#This Row],[Customer ID]],tblCustomers[Customer ID],tblCustomers[Customer Name],"⚠ Unknown")</f>
        <v>Walk-in Customer</v>
      </c>
      <c r="F1235" s="4" t="s">
        <v>9</v>
      </c>
      <c r="G1235" s="1" t="str">
        <f>_xlfn.XLOOKUP(tblSales[[#This Row],[Product Code]],tblProducts[Code],tblProducts[Product / Service Name],"⚠ Unknown")</f>
        <v>Casual Shirt</v>
      </c>
      <c r="H1235" s="1" t="str">
        <f>_xlfn.XLOOKUP(tblSales[[#This Row],[Product Code]],tblProducts[Code],tblProducts[Category],"")</f>
        <v>Apparel &amp; Footwear</v>
      </c>
      <c r="I1235" s="4">
        <v>6</v>
      </c>
      <c r="J1235" s="5">
        <f>_xlfn.XLOOKUP(tblSales[[#This Row],[Product Code]],tblProducts[Code],tblProducts[Selling Price (excl. VAT)],0)</f>
        <v>120000</v>
      </c>
      <c r="K1235" s="5">
        <f>tblSales[[#This Row],[Qty]]*tblSales[[#This Row],[Unit Price]]</f>
        <v>720000</v>
      </c>
      <c r="L1235" s="5">
        <f>ROUND(tblSales[[#This Row],[DPP (excl. VAT)]]*VATEff,0)</f>
        <v>79200</v>
      </c>
      <c r="M1235" s="5">
        <f>tblSales[[#This Row],[DPP (excl. VAT)]]+tblSales[[#This Row],[Output VAT]]</f>
        <v>799200</v>
      </c>
      <c r="N1235" s="5">
        <f>tblSales[[#This Row],[Qty]]*_xlfn.XLOOKUP(tblSales[[#This Row],[Product Code]],tblProducts[Code],tblProducts[Unit Cost],0)</f>
        <v>432000</v>
      </c>
      <c r="O1235" s="4" t="s">
        <v>4865</v>
      </c>
      <c r="P1235" s="4" t="s">
        <v>4860</v>
      </c>
      <c r="Q1235" s="1" t="str">
        <f>_xlfn.XLOOKUP(tblSales[[#This Row],[Channel Code]],tblChannels[Channel Code],tblChannels[Channel Name],"")</f>
        <v>In-store</v>
      </c>
      <c r="R1235" s="1">
        <f>MONTH(tblSales[[#This Row],[Date]])</f>
        <v>3</v>
      </c>
    </row>
    <row r="1236" spans="2:18" x14ac:dyDescent="0.35">
      <c r="B1236" s="113">
        <v>46099</v>
      </c>
      <c r="C1236" s="4" t="s">
        <v>882</v>
      </c>
      <c r="D1236" s="4" t="s">
        <v>4627</v>
      </c>
      <c r="E1236" s="1" t="str">
        <f>_xlfn.XLOOKUP(tblSales[[#This Row],[Customer ID]],tblCustomers[Customer ID],tblCustomers[Customer Name],"⚠ Unknown")</f>
        <v>PT Kencana Wira Usaha</v>
      </c>
      <c r="F1236" s="4" t="s">
        <v>6</v>
      </c>
      <c r="G1236" s="1" t="str">
        <f>_xlfn.XLOOKUP(tblSales[[#This Row],[Product Code]],tblProducts[Code],tblProducts[Product / Service Name],"⚠ Unknown")</f>
        <v>Socks &amp; Accessories</v>
      </c>
      <c r="H1236" s="1" t="str">
        <f>_xlfn.XLOOKUP(tblSales[[#This Row],[Product Code]],tblProducts[Code],tblProducts[Category],"")</f>
        <v>Accessories &amp; Basics</v>
      </c>
      <c r="I1236" s="4">
        <v>80</v>
      </c>
      <c r="J1236" s="5">
        <f>_xlfn.XLOOKUP(tblSales[[#This Row],[Product Code]],tblProducts[Code],tblProducts[Selling Price (excl. VAT)],0)</f>
        <v>45000</v>
      </c>
      <c r="K1236" s="5">
        <f>tblSales[[#This Row],[Qty]]*tblSales[[#This Row],[Unit Price]]</f>
        <v>3600000</v>
      </c>
      <c r="L1236" s="5">
        <f>ROUND(tblSales[[#This Row],[DPP (excl. VAT)]]*VATEff,0)</f>
        <v>396000</v>
      </c>
      <c r="M1236" s="5">
        <f>tblSales[[#This Row],[DPP (excl. VAT)]]+tblSales[[#This Row],[Output VAT]]</f>
        <v>3996000</v>
      </c>
      <c r="N1236" s="5">
        <f>tblSales[[#This Row],[Qty]]*_xlfn.XLOOKUP(tblSales[[#This Row],[Product Code]],tblProducts[Code],tblProducts[Unit Cost],0)</f>
        <v>1920000</v>
      </c>
      <c r="O1236" s="4" t="s">
        <v>4867</v>
      </c>
      <c r="P1236" s="4" t="s">
        <v>4860</v>
      </c>
      <c r="Q1236" s="1" t="str">
        <f>_xlfn.XLOOKUP(tblSales[[#This Row],[Channel Code]],tblChannels[Channel Code],tblChannels[Channel Name],"")</f>
        <v>In-store</v>
      </c>
      <c r="R1236" s="1">
        <f>MONTH(tblSales[[#This Row],[Date]])</f>
        <v>3</v>
      </c>
    </row>
    <row r="1237" spans="2:18" x14ac:dyDescent="0.35">
      <c r="B1237" s="113">
        <v>46099</v>
      </c>
      <c r="C1237" s="4" t="s">
        <v>883</v>
      </c>
      <c r="D1237" s="4" t="s">
        <v>4568</v>
      </c>
      <c r="E1237" s="1" t="str">
        <f>_xlfn.XLOOKUP(tblSales[[#This Row],[Customer ID]],tblCustomers[Customer ID],tblCustomers[Customer Name],"⚠ Unknown")</f>
        <v>Walk-in Customer</v>
      </c>
      <c r="F1237" s="4" t="s">
        <v>9</v>
      </c>
      <c r="G1237" s="1" t="str">
        <f>_xlfn.XLOOKUP(tblSales[[#This Row],[Product Code]],tblProducts[Code],tblProducts[Product / Service Name],"⚠ Unknown")</f>
        <v>Casual Shirt</v>
      </c>
      <c r="H1237" s="1" t="str">
        <f>_xlfn.XLOOKUP(tblSales[[#This Row],[Product Code]],tblProducts[Code],tblProducts[Category],"")</f>
        <v>Apparel &amp; Footwear</v>
      </c>
      <c r="I1237" s="4">
        <v>3</v>
      </c>
      <c r="J1237" s="5">
        <f>_xlfn.XLOOKUP(tblSales[[#This Row],[Product Code]],tblProducts[Code],tblProducts[Selling Price (excl. VAT)],0)</f>
        <v>120000</v>
      </c>
      <c r="K1237" s="5">
        <f>tblSales[[#This Row],[Qty]]*tblSales[[#This Row],[Unit Price]]</f>
        <v>360000</v>
      </c>
      <c r="L1237" s="5">
        <f>ROUND(tblSales[[#This Row],[DPP (excl. VAT)]]*VATEff,0)</f>
        <v>39600</v>
      </c>
      <c r="M1237" s="5">
        <f>tblSales[[#This Row],[DPP (excl. VAT)]]+tblSales[[#This Row],[Output VAT]]</f>
        <v>399600</v>
      </c>
      <c r="N1237" s="5">
        <f>tblSales[[#This Row],[Qty]]*_xlfn.XLOOKUP(tblSales[[#This Row],[Product Code]],tblProducts[Code],tblProducts[Unit Cost],0)</f>
        <v>216000</v>
      </c>
      <c r="O1237" s="4" t="s">
        <v>4866</v>
      </c>
      <c r="P1237" s="4" t="s">
        <v>4861</v>
      </c>
      <c r="Q1237" s="1" t="str">
        <f>_xlfn.XLOOKUP(tblSales[[#This Row],[Channel Code]],tblChannels[Channel Code],tblChannels[Channel Name],"")</f>
        <v>Marketplace</v>
      </c>
      <c r="R1237" s="1">
        <f>MONTH(tblSales[[#This Row],[Date]])</f>
        <v>3</v>
      </c>
    </row>
    <row r="1238" spans="2:18" x14ac:dyDescent="0.35">
      <c r="B1238" s="113">
        <v>46099</v>
      </c>
      <c r="C1238" s="4" t="s">
        <v>883</v>
      </c>
      <c r="D1238" s="4" t="s">
        <v>4568</v>
      </c>
      <c r="E1238" s="1" t="str">
        <f>_xlfn.XLOOKUP(tblSales[[#This Row],[Customer ID]],tblCustomers[Customer ID],tblCustomers[Customer Name],"⚠ Unknown")</f>
        <v>Walk-in Customer</v>
      </c>
      <c r="F1238" s="4" t="s">
        <v>6</v>
      </c>
      <c r="G1238" s="1" t="str">
        <f>_xlfn.XLOOKUP(tblSales[[#This Row],[Product Code]],tblProducts[Code],tblProducts[Product / Service Name],"⚠ Unknown")</f>
        <v>Socks &amp; Accessories</v>
      </c>
      <c r="H1238" s="1" t="str">
        <f>_xlfn.XLOOKUP(tblSales[[#This Row],[Product Code]],tblProducts[Code],tblProducts[Category],"")</f>
        <v>Accessories &amp; Basics</v>
      </c>
      <c r="I1238" s="4">
        <v>5</v>
      </c>
      <c r="J1238" s="5">
        <f>_xlfn.XLOOKUP(tblSales[[#This Row],[Product Code]],tblProducts[Code],tblProducts[Selling Price (excl. VAT)],0)</f>
        <v>45000</v>
      </c>
      <c r="K1238" s="5">
        <f>tblSales[[#This Row],[Qty]]*tblSales[[#This Row],[Unit Price]]</f>
        <v>225000</v>
      </c>
      <c r="L1238" s="5">
        <f>ROUND(tblSales[[#This Row],[DPP (excl. VAT)]]*VATEff,0)</f>
        <v>24750</v>
      </c>
      <c r="M1238" s="5">
        <f>tblSales[[#This Row],[DPP (excl. VAT)]]+tblSales[[#This Row],[Output VAT]]</f>
        <v>249750</v>
      </c>
      <c r="N1238" s="5">
        <f>tblSales[[#This Row],[Qty]]*_xlfn.XLOOKUP(tblSales[[#This Row],[Product Code]],tblProducts[Code],tblProducts[Unit Cost],0)</f>
        <v>120000</v>
      </c>
      <c r="O1238" s="4" t="s">
        <v>4866</v>
      </c>
      <c r="P1238" s="4" t="s">
        <v>4861</v>
      </c>
      <c r="Q1238" s="1" t="str">
        <f>_xlfn.XLOOKUP(tblSales[[#This Row],[Channel Code]],tblChannels[Channel Code],tblChannels[Channel Name],"")</f>
        <v>Marketplace</v>
      </c>
      <c r="R1238" s="1">
        <f>MONTH(tblSales[[#This Row],[Date]])</f>
        <v>3</v>
      </c>
    </row>
    <row r="1239" spans="2:18" x14ac:dyDescent="0.35">
      <c r="B1239" s="113">
        <v>46099</v>
      </c>
      <c r="C1239" s="4" t="s">
        <v>884</v>
      </c>
      <c r="D1239" s="4" t="s">
        <v>4568</v>
      </c>
      <c r="E1239" s="1" t="str">
        <f>_xlfn.XLOOKUP(tblSales[[#This Row],[Customer ID]],tblCustomers[Customer ID],tblCustomers[Customer Name],"⚠ Unknown")</f>
        <v>Walk-in Customer</v>
      </c>
      <c r="F1239" s="4" t="s">
        <v>9</v>
      </c>
      <c r="G1239" s="1" t="str">
        <f>_xlfn.XLOOKUP(tblSales[[#This Row],[Product Code]],tblProducts[Code],tblProducts[Product / Service Name],"⚠ Unknown")</f>
        <v>Casual Shirt</v>
      </c>
      <c r="H1239" s="1" t="str">
        <f>_xlfn.XLOOKUP(tblSales[[#This Row],[Product Code]],tblProducts[Code],tblProducts[Category],"")</f>
        <v>Apparel &amp; Footwear</v>
      </c>
      <c r="I1239" s="4">
        <v>10</v>
      </c>
      <c r="J1239" s="5">
        <f>_xlfn.XLOOKUP(tblSales[[#This Row],[Product Code]],tblProducts[Code],tblProducts[Selling Price (excl. VAT)],0)</f>
        <v>120000</v>
      </c>
      <c r="K1239" s="5">
        <f>tblSales[[#This Row],[Qty]]*tblSales[[#This Row],[Unit Price]]</f>
        <v>1200000</v>
      </c>
      <c r="L1239" s="5">
        <f>ROUND(tblSales[[#This Row],[DPP (excl. VAT)]]*VATEff,0)</f>
        <v>132000</v>
      </c>
      <c r="M1239" s="5">
        <f>tblSales[[#This Row],[DPP (excl. VAT)]]+tblSales[[#This Row],[Output VAT]]</f>
        <v>1332000</v>
      </c>
      <c r="N1239" s="5">
        <f>tblSales[[#This Row],[Qty]]*_xlfn.XLOOKUP(tblSales[[#This Row],[Product Code]],tblProducts[Code],tblProducts[Unit Cost],0)</f>
        <v>720000</v>
      </c>
      <c r="O1239" s="4" t="s">
        <v>4866</v>
      </c>
      <c r="P1239" s="4" t="s">
        <v>4861</v>
      </c>
      <c r="Q1239" s="1" t="str">
        <f>_xlfn.XLOOKUP(tblSales[[#This Row],[Channel Code]],tblChannels[Channel Code],tblChannels[Channel Name],"")</f>
        <v>Marketplace</v>
      </c>
      <c r="R1239" s="1">
        <f>MONTH(tblSales[[#This Row],[Date]])</f>
        <v>3</v>
      </c>
    </row>
    <row r="1240" spans="2:18" x14ac:dyDescent="0.35">
      <c r="B1240" s="113">
        <v>46099</v>
      </c>
      <c r="C1240" s="4" t="s">
        <v>885</v>
      </c>
      <c r="D1240" s="4" t="s">
        <v>4568</v>
      </c>
      <c r="E1240" s="1" t="str">
        <f>_xlfn.XLOOKUP(tblSales[[#This Row],[Customer ID]],tblCustomers[Customer ID],tblCustomers[Customer Name],"⚠ Unknown")</f>
        <v>Walk-in Customer</v>
      </c>
      <c r="F1240" s="4" t="s">
        <v>8</v>
      </c>
      <c r="G1240" s="1" t="str">
        <f>_xlfn.XLOOKUP(tblSales[[#This Row],[Product Code]],tblProducts[Code],tblProducts[Product / Service Name],"⚠ Unknown")</f>
        <v>Casual Shorts</v>
      </c>
      <c r="H1240" s="1" t="str">
        <f>_xlfn.XLOOKUP(tblSales[[#This Row],[Product Code]],tblProducts[Code],tblProducts[Category],"")</f>
        <v>Accessories &amp; Basics</v>
      </c>
      <c r="I1240" s="4">
        <v>9</v>
      </c>
      <c r="J1240" s="5">
        <f>_xlfn.XLOOKUP(tblSales[[#This Row],[Product Code]],tblProducts[Code],tblProducts[Selling Price (excl. VAT)],0)</f>
        <v>85000</v>
      </c>
      <c r="K1240" s="5">
        <f>tblSales[[#This Row],[Qty]]*tblSales[[#This Row],[Unit Price]]</f>
        <v>765000</v>
      </c>
      <c r="L1240" s="5">
        <f>ROUND(tblSales[[#This Row],[DPP (excl. VAT)]]*VATEff,0)</f>
        <v>84150</v>
      </c>
      <c r="M1240" s="5">
        <f>tblSales[[#This Row],[DPP (excl. VAT)]]+tblSales[[#This Row],[Output VAT]]</f>
        <v>849150</v>
      </c>
      <c r="N1240" s="5">
        <f>tblSales[[#This Row],[Qty]]*_xlfn.XLOOKUP(tblSales[[#This Row],[Product Code]],tblProducts[Code],tblProducts[Unit Cost],0)</f>
        <v>450000</v>
      </c>
      <c r="O1240" s="4" t="s">
        <v>4865</v>
      </c>
      <c r="P1240" s="4" t="s">
        <v>4860</v>
      </c>
      <c r="Q1240" s="1" t="str">
        <f>_xlfn.XLOOKUP(tblSales[[#This Row],[Channel Code]],tblChannels[Channel Code],tblChannels[Channel Name],"")</f>
        <v>In-store</v>
      </c>
      <c r="R1240" s="1">
        <f>MONTH(tblSales[[#This Row],[Date]])</f>
        <v>3</v>
      </c>
    </row>
    <row r="1241" spans="2:18" x14ac:dyDescent="0.35">
      <c r="B1241" s="113">
        <v>46099</v>
      </c>
      <c r="C1241" s="4" t="s">
        <v>885</v>
      </c>
      <c r="D1241" s="4" t="s">
        <v>4568</v>
      </c>
      <c r="E1241" s="1" t="str">
        <f>_xlfn.XLOOKUP(tblSales[[#This Row],[Customer ID]],tblCustomers[Customer ID],tblCustomers[Customer Name],"⚠ Unknown")</f>
        <v>Walk-in Customer</v>
      </c>
      <c r="F1241" s="4" t="s">
        <v>7</v>
      </c>
      <c r="G1241" s="1" t="str">
        <f>_xlfn.XLOOKUP(tblSales[[#This Row],[Product Code]],tblProducts[Code],tblProducts[Product / Service Name],"⚠ Unknown")</f>
        <v>Premium Basic T-shirt</v>
      </c>
      <c r="H1241" s="1" t="str">
        <f>_xlfn.XLOOKUP(tblSales[[#This Row],[Product Code]],tblProducts[Code],tblProducts[Category],"")</f>
        <v>Accessories &amp; Basics</v>
      </c>
      <c r="I1241" s="4">
        <v>5</v>
      </c>
      <c r="J1241" s="5">
        <f>_xlfn.XLOOKUP(tblSales[[#This Row],[Product Code]],tblProducts[Code],tblProducts[Selling Price (excl. VAT)],0)</f>
        <v>65000</v>
      </c>
      <c r="K1241" s="5">
        <f>tblSales[[#This Row],[Qty]]*tblSales[[#This Row],[Unit Price]]</f>
        <v>325000</v>
      </c>
      <c r="L1241" s="5">
        <f>ROUND(tblSales[[#This Row],[DPP (excl. VAT)]]*VATEff,0)</f>
        <v>35750</v>
      </c>
      <c r="M1241" s="5">
        <f>tblSales[[#This Row],[DPP (excl. VAT)]]+tblSales[[#This Row],[Output VAT]]</f>
        <v>360750</v>
      </c>
      <c r="N1241" s="5">
        <f>tblSales[[#This Row],[Qty]]*_xlfn.XLOOKUP(tblSales[[#This Row],[Product Code]],tblProducts[Code],tblProducts[Unit Cost],0)</f>
        <v>185000</v>
      </c>
      <c r="O1241" s="4" t="s">
        <v>4865</v>
      </c>
      <c r="P1241" s="4" t="s">
        <v>4860</v>
      </c>
      <c r="Q1241" s="1" t="str">
        <f>_xlfn.XLOOKUP(tblSales[[#This Row],[Channel Code]],tblChannels[Channel Code],tblChannels[Channel Name],"")</f>
        <v>In-store</v>
      </c>
      <c r="R1241" s="1">
        <f>MONTH(tblSales[[#This Row],[Date]])</f>
        <v>3</v>
      </c>
    </row>
    <row r="1242" spans="2:18" x14ac:dyDescent="0.35">
      <c r="B1242" s="113">
        <v>46099</v>
      </c>
      <c r="C1242" s="4" t="s">
        <v>885</v>
      </c>
      <c r="D1242" s="4" t="s">
        <v>4568</v>
      </c>
      <c r="E1242" s="1" t="str">
        <f>_xlfn.XLOOKUP(tblSales[[#This Row],[Customer ID]],tblCustomers[Customer ID],tblCustomers[Customer Name],"⚠ Unknown")</f>
        <v>Walk-in Customer</v>
      </c>
      <c r="F1242" s="4" t="s">
        <v>11</v>
      </c>
      <c r="G1242" s="1" t="str">
        <f>_xlfn.XLOOKUP(tblSales[[#This Row],[Product Code]],tblProducts[Code],tblProducts[Product / Service Name],"⚠ Unknown")</f>
        <v>Sneakers</v>
      </c>
      <c r="H1242" s="1" t="str">
        <f>_xlfn.XLOOKUP(tblSales[[#This Row],[Product Code]],tblProducts[Code],tblProducts[Category],"")</f>
        <v>Apparel &amp; Footwear</v>
      </c>
      <c r="I1242" s="4">
        <v>6</v>
      </c>
      <c r="J1242" s="5">
        <f>_xlfn.XLOOKUP(tblSales[[#This Row],[Product Code]],tblProducts[Code],tblProducts[Selling Price (excl. VAT)],0)</f>
        <v>250000</v>
      </c>
      <c r="K1242" s="5">
        <f>tblSales[[#This Row],[Qty]]*tblSales[[#This Row],[Unit Price]]</f>
        <v>1500000</v>
      </c>
      <c r="L1242" s="5">
        <f>ROUND(tblSales[[#This Row],[DPP (excl. VAT)]]*VATEff,0)</f>
        <v>165000</v>
      </c>
      <c r="M1242" s="5">
        <f>tblSales[[#This Row],[DPP (excl. VAT)]]+tblSales[[#This Row],[Output VAT]]</f>
        <v>1665000</v>
      </c>
      <c r="N1242" s="5">
        <f>tblSales[[#This Row],[Qty]]*_xlfn.XLOOKUP(tblSales[[#This Row],[Product Code]],tblProducts[Code],tblProducts[Unit Cost],0)</f>
        <v>930000</v>
      </c>
      <c r="O1242" s="4" t="s">
        <v>4865</v>
      </c>
      <c r="P1242" s="4" t="s">
        <v>4860</v>
      </c>
      <c r="Q1242" s="1" t="str">
        <f>_xlfn.XLOOKUP(tblSales[[#This Row],[Channel Code]],tblChannels[Channel Code],tblChannels[Channel Name],"")</f>
        <v>In-store</v>
      </c>
      <c r="R1242" s="1">
        <f>MONTH(tblSales[[#This Row],[Date]])</f>
        <v>3</v>
      </c>
    </row>
    <row r="1243" spans="2:18" x14ac:dyDescent="0.35">
      <c r="B1243" s="113">
        <v>46099</v>
      </c>
      <c r="C1243" s="4" t="s">
        <v>886</v>
      </c>
      <c r="D1243" s="4" t="s">
        <v>4568</v>
      </c>
      <c r="E1243" s="1" t="str">
        <f>_xlfn.XLOOKUP(tblSales[[#This Row],[Customer ID]],tblCustomers[Customer ID],tblCustomers[Customer Name],"⚠ Unknown")</f>
        <v>Walk-in Customer</v>
      </c>
      <c r="F1243" s="4" t="s">
        <v>6</v>
      </c>
      <c r="G1243" s="1" t="str">
        <f>_xlfn.XLOOKUP(tblSales[[#This Row],[Product Code]],tblProducts[Code],tblProducts[Product / Service Name],"⚠ Unknown")</f>
        <v>Socks &amp; Accessories</v>
      </c>
      <c r="H1243" s="1" t="str">
        <f>_xlfn.XLOOKUP(tblSales[[#This Row],[Product Code]],tblProducts[Code],tblProducts[Category],"")</f>
        <v>Accessories &amp; Basics</v>
      </c>
      <c r="I1243" s="4">
        <v>9</v>
      </c>
      <c r="J1243" s="5">
        <f>_xlfn.XLOOKUP(tblSales[[#This Row],[Product Code]],tblProducts[Code],tblProducts[Selling Price (excl. VAT)],0)</f>
        <v>45000</v>
      </c>
      <c r="K1243" s="5">
        <f>tblSales[[#This Row],[Qty]]*tblSales[[#This Row],[Unit Price]]</f>
        <v>405000</v>
      </c>
      <c r="L1243" s="5">
        <f>ROUND(tblSales[[#This Row],[DPP (excl. VAT)]]*VATEff,0)</f>
        <v>44550</v>
      </c>
      <c r="M1243" s="5">
        <f>tblSales[[#This Row],[DPP (excl. VAT)]]+tblSales[[#This Row],[Output VAT]]</f>
        <v>449550</v>
      </c>
      <c r="N1243" s="5">
        <f>tblSales[[#This Row],[Qty]]*_xlfn.XLOOKUP(tblSales[[#This Row],[Product Code]],tblProducts[Code],tblProducts[Unit Cost],0)</f>
        <v>216000</v>
      </c>
      <c r="O1243" s="4" t="s">
        <v>4865</v>
      </c>
      <c r="P1243" s="4" t="s">
        <v>4860</v>
      </c>
      <c r="Q1243" s="1" t="str">
        <f>_xlfn.XLOOKUP(tblSales[[#This Row],[Channel Code]],tblChannels[Channel Code],tblChannels[Channel Name],"")</f>
        <v>In-store</v>
      </c>
      <c r="R1243" s="1">
        <f>MONTH(tblSales[[#This Row],[Date]])</f>
        <v>3</v>
      </c>
    </row>
    <row r="1244" spans="2:18" x14ac:dyDescent="0.35">
      <c r="B1244" s="113">
        <v>46099</v>
      </c>
      <c r="C1244" s="4" t="s">
        <v>887</v>
      </c>
      <c r="D1244" s="4" t="s">
        <v>4568</v>
      </c>
      <c r="E1244" s="1" t="str">
        <f>_xlfn.XLOOKUP(tblSales[[#This Row],[Customer ID]],tblCustomers[Customer ID],tblCustomers[Customer Name],"⚠ Unknown")</f>
        <v>Walk-in Customer</v>
      </c>
      <c r="F1244" s="4" t="s">
        <v>9</v>
      </c>
      <c r="G1244" s="1" t="str">
        <f>_xlfn.XLOOKUP(tblSales[[#This Row],[Product Code]],tblProducts[Code],tblProducts[Product / Service Name],"⚠ Unknown")</f>
        <v>Casual Shirt</v>
      </c>
      <c r="H1244" s="1" t="str">
        <f>_xlfn.XLOOKUP(tblSales[[#This Row],[Product Code]],tblProducts[Code],tblProducts[Category],"")</f>
        <v>Apparel &amp; Footwear</v>
      </c>
      <c r="I1244" s="4">
        <v>4</v>
      </c>
      <c r="J1244" s="5">
        <f>_xlfn.XLOOKUP(tblSales[[#This Row],[Product Code]],tblProducts[Code],tblProducts[Selling Price (excl. VAT)],0)</f>
        <v>120000</v>
      </c>
      <c r="K1244" s="5">
        <f>tblSales[[#This Row],[Qty]]*tblSales[[#This Row],[Unit Price]]</f>
        <v>480000</v>
      </c>
      <c r="L1244" s="5">
        <f>ROUND(tblSales[[#This Row],[DPP (excl. VAT)]]*VATEff,0)</f>
        <v>52800</v>
      </c>
      <c r="M1244" s="5">
        <f>tblSales[[#This Row],[DPP (excl. VAT)]]+tblSales[[#This Row],[Output VAT]]</f>
        <v>532800</v>
      </c>
      <c r="N1244" s="5">
        <f>tblSales[[#This Row],[Qty]]*_xlfn.XLOOKUP(tblSales[[#This Row],[Product Code]],tblProducts[Code],tblProducts[Unit Cost],0)</f>
        <v>288000</v>
      </c>
      <c r="O1244" s="4" t="s">
        <v>4866</v>
      </c>
      <c r="P1244" s="4" t="s">
        <v>4860</v>
      </c>
      <c r="Q1244" s="1" t="str">
        <f>_xlfn.XLOOKUP(tblSales[[#This Row],[Channel Code]],tblChannels[Channel Code],tblChannels[Channel Name],"")</f>
        <v>In-store</v>
      </c>
      <c r="R1244" s="1">
        <f>MONTH(tblSales[[#This Row],[Date]])</f>
        <v>3</v>
      </c>
    </row>
    <row r="1245" spans="2:18" x14ac:dyDescent="0.35">
      <c r="B1245" s="113">
        <v>46099</v>
      </c>
      <c r="C1245" s="4" t="s">
        <v>888</v>
      </c>
      <c r="D1245" s="4" t="s">
        <v>4568</v>
      </c>
      <c r="E1245" s="1" t="str">
        <f>_xlfn.XLOOKUP(tblSales[[#This Row],[Customer ID]],tblCustomers[Customer ID],tblCustomers[Customer Name],"⚠ Unknown")</f>
        <v>Walk-in Customer</v>
      </c>
      <c r="F1245" s="4" t="s">
        <v>9</v>
      </c>
      <c r="G1245" s="1" t="str">
        <f>_xlfn.XLOOKUP(tblSales[[#This Row],[Product Code]],tblProducts[Code],tblProducts[Product / Service Name],"⚠ Unknown")</f>
        <v>Casual Shirt</v>
      </c>
      <c r="H1245" s="1" t="str">
        <f>_xlfn.XLOOKUP(tblSales[[#This Row],[Product Code]],tblProducts[Code],tblProducts[Category],"")</f>
        <v>Apparel &amp; Footwear</v>
      </c>
      <c r="I1245" s="4">
        <v>9</v>
      </c>
      <c r="J1245" s="5">
        <f>_xlfn.XLOOKUP(tblSales[[#This Row],[Product Code]],tblProducts[Code],tblProducts[Selling Price (excl. VAT)],0)</f>
        <v>120000</v>
      </c>
      <c r="K1245" s="5">
        <f>tblSales[[#This Row],[Qty]]*tblSales[[#This Row],[Unit Price]]</f>
        <v>1080000</v>
      </c>
      <c r="L1245" s="5">
        <f>ROUND(tblSales[[#This Row],[DPP (excl. VAT)]]*VATEff,0)</f>
        <v>118800</v>
      </c>
      <c r="M1245" s="5">
        <f>tblSales[[#This Row],[DPP (excl. VAT)]]+tblSales[[#This Row],[Output VAT]]</f>
        <v>1198800</v>
      </c>
      <c r="N1245" s="5">
        <f>tblSales[[#This Row],[Qty]]*_xlfn.XLOOKUP(tblSales[[#This Row],[Product Code]],tblProducts[Code],tblProducts[Unit Cost],0)</f>
        <v>648000</v>
      </c>
      <c r="O1245" s="4" t="s">
        <v>4865</v>
      </c>
      <c r="P1245" s="4" t="s">
        <v>4860</v>
      </c>
      <c r="Q1245" s="1" t="str">
        <f>_xlfn.XLOOKUP(tblSales[[#This Row],[Channel Code]],tblChannels[Channel Code],tblChannels[Channel Name],"")</f>
        <v>In-store</v>
      </c>
      <c r="R1245" s="1">
        <f>MONTH(tblSales[[#This Row],[Date]])</f>
        <v>3</v>
      </c>
    </row>
    <row r="1246" spans="2:18" x14ac:dyDescent="0.35">
      <c r="B1246" s="113">
        <v>46099</v>
      </c>
      <c r="C1246" s="4" t="s">
        <v>888</v>
      </c>
      <c r="D1246" s="4" t="s">
        <v>4568</v>
      </c>
      <c r="E1246" s="1" t="str">
        <f>_xlfn.XLOOKUP(tblSales[[#This Row],[Customer ID]],tblCustomers[Customer ID],tblCustomers[Customer Name],"⚠ Unknown")</f>
        <v>Walk-in Customer</v>
      </c>
      <c r="F1246" s="4" t="s">
        <v>10</v>
      </c>
      <c r="G1246" s="1" t="str">
        <f>_xlfn.XLOOKUP(tblSales[[#This Row],[Product Code]],tblProducts[Code],tblProducts[Product / Service Name],"⚠ Unknown")</f>
        <v>Chino Pants</v>
      </c>
      <c r="H1246" s="1" t="str">
        <f>_xlfn.XLOOKUP(tblSales[[#This Row],[Product Code]],tblProducts[Code],tblProducts[Category],"")</f>
        <v>Apparel &amp; Footwear</v>
      </c>
      <c r="I1246" s="4">
        <v>12</v>
      </c>
      <c r="J1246" s="5">
        <f>_xlfn.XLOOKUP(tblSales[[#This Row],[Product Code]],tblProducts[Code],tblProducts[Selling Price (excl. VAT)],0)</f>
        <v>150000</v>
      </c>
      <c r="K1246" s="5">
        <f>tblSales[[#This Row],[Qty]]*tblSales[[#This Row],[Unit Price]]</f>
        <v>1800000</v>
      </c>
      <c r="L1246" s="5">
        <f>ROUND(tblSales[[#This Row],[DPP (excl. VAT)]]*VATEff,0)</f>
        <v>198000</v>
      </c>
      <c r="M1246" s="5">
        <f>tblSales[[#This Row],[DPP (excl. VAT)]]+tblSales[[#This Row],[Output VAT]]</f>
        <v>1998000</v>
      </c>
      <c r="N1246" s="5">
        <f>tblSales[[#This Row],[Qty]]*_xlfn.XLOOKUP(tblSales[[#This Row],[Product Code]],tblProducts[Code],tblProducts[Unit Cost],0)</f>
        <v>1056000</v>
      </c>
      <c r="O1246" s="4" t="s">
        <v>4865</v>
      </c>
      <c r="P1246" s="4" t="s">
        <v>4860</v>
      </c>
      <c r="Q1246" s="1" t="str">
        <f>_xlfn.XLOOKUP(tblSales[[#This Row],[Channel Code]],tblChannels[Channel Code],tblChannels[Channel Name],"")</f>
        <v>In-store</v>
      </c>
      <c r="R1246" s="1">
        <f>MONTH(tblSales[[#This Row],[Date]])</f>
        <v>3</v>
      </c>
    </row>
    <row r="1247" spans="2:18" x14ac:dyDescent="0.35">
      <c r="B1247" s="113">
        <v>46099</v>
      </c>
      <c r="C1247" s="4" t="s">
        <v>889</v>
      </c>
      <c r="D1247" s="4" t="s">
        <v>4568</v>
      </c>
      <c r="E1247" s="1" t="str">
        <f>_xlfn.XLOOKUP(tblSales[[#This Row],[Customer ID]],tblCustomers[Customer ID],tblCustomers[Customer Name],"⚠ Unknown")</f>
        <v>Walk-in Customer</v>
      </c>
      <c r="F1247" s="4" t="s">
        <v>13</v>
      </c>
      <c r="G1247" s="1" t="str">
        <f>_xlfn.XLOOKUP(tblSales[[#This Row],[Product Code]],tblProducts[Code],tblProducts[Product / Service Name],"⚠ Unknown")</f>
        <v>Backpack</v>
      </c>
      <c r="H1247" s="1" t="str">
        <f>_xlfn.XLOOKUP(tblSales[[#This Row],[Product Code]],tblProducts[Code],tblProducts[Category],"")</f>
        <v>Bags &amp; Gadgets</v>
      </c>
      <c r="I1247" s="4">
        <v>1</v>
      </c>
      <c r="J1247" s="5">
        <f>_xlfn.XLOOKUP(tblSales[[#This Row],[Product Code]],tblProducts[Code],tblProducts[Selling Price (excl. VAT)],0)</f>
        <v>500000</v>
      </c>
      <c r="K1247" s="5">
        <f>tblSales[[#This Row],[Qty]]*tblSales[[#This Row],[Unit Price]]</f>
        <v>500000</v>
      </c>
      <c r="L1247" s="5">
        <f>ROUND(tblSales[[#This Row],[DPP (excl. VAT)]]*VATEff,0)</f>
        <v>55000</v>
      </c>
      <c r="M1247" s="5">
        <f>tblSales[[#This Row],[DPP (excl. VAT)]]+tblSales[[#This Row],[Output VAT]]</f>
        <v>555000</v>
      </c>
      <c r="N1247" s="5">
        <f>tblSales[[#This Row],[Qty]]*_xlfn.XLOOKUP(tblSales[[#This Row],[Product Code]],tblProducts[Code],tblProducts[Unit Cost],0)</f>
        <v>290000</v>
      </c>
      <c r="O1247" s="4" t="s">
        <v>4865</v>
      </c>
      <c r="P1247" s="4" t="s">
        <v>4860</v>
      </c>
      <c r="Q1247" s="1" t="str">
        <f>_xlfn.XLOOKUP(tblSales[[#This Row],[Channel Code]],tblChannels[Channel Code],tblChannels[Channel Name],"")</f>
        <v>In-store</v>
      </c>
      <c r="R1247" s="1">
        <f>MONTH(tblSales[[#This Row],[Date]])</f>
        <v>3</v>
      </c>
    </row>
    <row r="1248" spans="2:18" x14ac:dyDescent="0.35">
      <c r="B1248" s="113">
        <v>46099</v>
      </c>
      <c r="C1248" s="4" t="s">
        <v>890</v>
      </c>
      <c r="D1248" s="4" t="s">
        <v>4620</v>
      </c>
      <c r="E1248" s="1" t="str">
        <f>_xlfn.XLOOKUP(tblSales[[#This Row],[Customer ID]],tblCustomers[Customer ID],tblCustomers[Customer Name],"⚠ Unknown")</f>
        <v>CV Sumber Rejeki Utama</v>
      </c>
      <c r="F1248" s="4" t="s">
        <v>6</v>
      </c>
      <c r="G1248" s="1" t="str">
        <f>_xlfn.XLOOKUP(tblSales[[#This Row],[Product Code]],tblProducts[Code],tblProducts[Product / Service Name],"⚠ Unknown")</f>
        <v>Socks &amp; Accessories</v>
      </c>
      <c r="H1248" s="1" t="str">
        <f>_xlfn.XLOOKUP(tblSales[[#This Row],[Product Code]],tblProducts[Code],tblProducts[Category],"")</f>
        <v>Accessories &amp; Basics</v>
      </c>
      <c r="I1248" s="4">
        <v>48</v>
      </c>
      <c r="J1248" s="5">
        <f>_xlfn.XLOOKUP(tblSales[[#This Row],[Product Code]],tblProducts[Code],tblProducts[Selling Price (excl. VAT)],0)</f>
        <v>45000</v>
      </c>
      <c r="K1248" s="5">
        <f>tblSales[[#This Row],[Qty]]*tblSales[[#This Row],[Unit Price]]</f>
        <v>2160000</v>
      </c>
      <c r="L1248" s="5">
        <f>ROUND(tblSales[[#This Row],[DPP (excl. VAT)]]*VATEff,0)</f>
        <v>237600</v>
      </c>
      <c r="M1248" s="5">
        <f>tblSales[[#This Row],[DPP (excl. VAT)]]+tblSales[[#This Row],[Output VAT]]</f>
        <v>2397600</v>
      </c>
      <c r="N1248" s="5">
        <f>tblSales[[#This Row],[Qty]]*_xlfn.XLOOKUP(tblSales[[#This Row],[Product Code]],tblProducts[Code],tblProducts[Unit Cost],0)</f>
        <v>1152000</v>
      </c>
      <c r="O1248" s="4" t="s">
        <v>4867</v>
      </c>
      <c r="P1248" s="4" t="s">
        <v>4860</v>
      </c>
      <c r="Q1248" s="1" t="str">
        <f>_xlfn.XLOOKUP(tblSales[[#This Row],[Channel Code]],tblChannels[Channel Code],tblChannels[Channel Name],"")</f>
        <v>In-store</v>
      </c>
      <c r="R1248" s="1">
        <f>MONTH(tblSales[[#This Row],[Date]])</f>
        <v>3</v>
      </c>
    </row>
    <row r="1249" spans="2:18" x14ac:dyDescent="0.35">
      <c r="B1249" s="113">
        <v>46100</v>
      </c>
      <c r="C1249" s="4" t="s">
        <v>891</v>
      </c>
      <c r="D1249" s="4" t="s">
        <v>4568</v>
      </c>
      <c r="E1249" s="1" t="str">
        <f>_xlfn.XLOOKUP(tblSales[[#This Row],[Customer ID]],tblCustomers[Customer ID],tblCustomers[Customer Name],"⚠ Unknown")</f>
        <v>Walk-in Customer</v>
      </c>
      <c r="F1249" s="4" t="s">
        <v>7</v>
      </c>
      <c r="G1249" s="1" t="str">
        <f>_xlfn.XLOOKUP(tblSales[[#This Row],[Product Code]],tblProducts[Code],tblProducts[Product / Service Name],"⚠ Unknown")</f>
        <v>Premium Basic T-shirt</v>
      </c>
      <c r="H1249" s="1" t="str">
        <f>_xlfn.XLOOKUP(tblSales[[#This Row],[Product Code]],tblProducts[Code],tblProducts[Category],"")</f>
        <v>Accessories &amp; Basics</v>
      </c>
      <c r="I1249" s="4">
        <v>12</v>
      </c>
      <c r="J1249" s="5">
        <f>_xlfn.XLOOKUP(tblSales[[#This Row],[Product Code]],tblProducts[Code],tblProducts[Selling Price (excl. VAT)],0)</f>
        <v>65000</v>
      </c>
      <c r="K1249" s="5">
        <f>tblSales[[#This Row],[Qty]]*tblSales[[#This Row],[Unit Price]]</f>
        <v>780000</v>
      </c>
      <c r="L1249" s="5">
        <f>ROUND(tblSales[[#This Row],[DPP (excl. VAT)]]*VATEff,0)</f>
        <v>85800</v>
      </c>
      <c r="M1249" s="5">
        <f>tblSales[[#This Row],[DPP (excl. VAT)]]+tblSales[[#This Row],[Output VAT]]</f>
        <v>865800</v>
      </c>
      <c r="N1249" s="5">
        <f>tblSales[[#This Row],[Qty]]*_xlfn.XLOOKUP(tblSales[[#This Row],[Product Code]],tblProducts[Code],tblProducts[Unit Cost],0)</f>
        <v>444000</v>
      </c>
      <c r="O1249" s="4" t="s">
        <v>4866</v>
      </c>
      <c r="P1249" s="4" t="s">
        <v>4862</v>
      </c>
      <c r="Q1249" s="1" t="str">
        <f>_xlfn.XLOOKUP(tblSales[[#This Row],[Channel Code]],tblChannels[Channel Code],tblChannels[Channel Name],"")</f>
        <v>Website &amp; Social Media</v>
      </c>
      <c r="R1249" s="1">
        <f>MONTH(tblSales[[#This Row],[Date]])</f>
        <v>3</v>
      </c>
    </row>
    <row r="1250" spans="2:18" x14ac:dyDescent="0.35">
      <c r="B1250" s="113">
        <v>46100</v>
      </c>
      <c r="C1250" s="4" t="s">
        <v>892</v>
      </c>
      <c r="D1250" s="4" t="s">
        <v>4568</v>
      </c>
      <c r="E1250" s="1" t="str">
        <f>_xlfn.XLOOKUP(tblSales[[#This Row],[Customer ID]],tblCustomers[Customer ID],tblCustomers[Customer Name],"⚠ Unknown")</f>
        <v>Walk-in Customer</v>
      </c>
      <c r="F1250" s="4" t="s">
        <v>6</v>
      </c>
      <c r="G1250" s="1" t="str">
        <f>_xlfn.XLOOKUP(tblSales[[#This Row],[Product Code]],tblProducts[Code],tblProducts[Product / Service Name],"⚠ Unknown")</f>
        <v>Socks &amp; Accessories</v>
      </c>
      <c r="H1250" s="1" t="str">
        <f>_xlfn.XLOOKUP(tblSales[[#This Row],[Product Code]],tblProducts[Code],tblProducts[Category],"")</f>
        <v>Accessories &amp; Basics</v>
      </c>
      <c r="I1250" s="4">
        <v>9</v>
      </c>
      <c r="J1250" s="5">
        <f>_xlfn.XLOOKUP(tblSales[[#This Row],[Product Code]],tblProducts[Code],tblProducts[Selling Price (excl. VAT)],0)</f>
        <v>45000</v>
      </c>
      <c r="K1250" s="5">
        <f>tblSales[[#This Row],[Qty]]*tblSales[[#This Row],[Unit Price]]</f>
        <v>405000</v>
      </c>
      <c r="L1250" s="5">
        <f>ROUND(tblSales[[#This Row],[DPP (excl. VAT)]]*VATEff,0)</f>
        <v>44550</v>
      </c>
      <c r="M1250" s="5">
        <f>tblSales[[#This Row],[DPP (excl. VAT)]]+tblSales[[#This Row],[Output VAT]]</f>
        <v>449550</v>
      </c>
      <c r="N1250" s="5">
        <f>tblSales[[#This Row],[Qty]]*_xlfn.XLOOKUP(tblSales[[#This Row],[Product Code]],tblProducts[Code],tblProducts[Unit Cost],0)</f>
        <v>216000</v>
      </c>
      <c r="O1250" s="4" t="s">
        <v>4866</v>
      </c>
      <c r="P1250" s="4" t="s">
        <v>4861</v>
      </c>
      <c r="Q1250" s="1" t="str">
        <f>_xlfn.XLOOKUP(tblSales[[#This Row],[Channel Code]],tblChannels[Channel Code],tblChannels[Channel Name],"")</f>
        <v>Marketplace</v>
      </c>
      <c r="R1250" s="1">
        <f>MONTH(tblSales[[#This Row],[Date]])</f>
        <v>3</v>
      </c>
    </row>
    <row r="1251" spans="2:18" x14ac:dyDescent="0.35">
      <c r="B1251" s="113">
        <v>46100</v>
      </c>
      <c r="C1251" s="4" t="s">
        <v>893</v>
      </c>
      <c r="D1251" s="4" t="s">
        <v>4568</v>
      </c>
      <c r="E1251" s="1" t="str">
        <f>_xlfn.XLOOKUP(tblSales[[#This Row],[Customer ID]],tblCustomers[Customer ID],tblCustomers[Customer Name],"⚠ Unknown")</f>
        <v>Walk-in Customer</v>
      </c>
      <c r="F1251" s="4" t="s">
        <v>13</v>
      </c>
      <c r="G1251" s="1" t="str">
        <f>_xlfn.XLOOKUP(tblSales[[#This Row],[Product Code]],tblProducts[Code],tblProducts[Product / Service Name],"⚠ Unknown")</f>
        <v>Backpack</v>
      </c>
      <c r="H1251" s="1" t="str">
        <f>_xlfn.XLOOKUP(tblSales[[#This Row],[Product Code]],tblProducts[Code],tblProducts[Category],"")</f>
        <v>Bags &amp; Gadgets</v>
      </c>
      <c r="I1251" s="4">
        <v>3</v>
      </c>
      <c r="J1251" s="5">
        <f>_xlfn.XLOOKUP(tblSales[[#This Row],[Product Code]],tblProducts[Code],tblProducts[Selling Price (excl. VAT)],0)</f>
        <v>500000</v>
      </c>
      <c r="K1251" s="5">
        <f>tblSales[[#This Row],[Qty]]*tblSales[[#This Row],[Unit Price]]</f>
        <v>1500000</v>
      </c>
      <c r="L1251" s="5">
        <f>ROUND(tblSales[[#This Row],[DPP (excl. VAT)]]*VATEff,0)</f>
        <v>165000</v>
      </c>
      <c r="M1251" s="5">
        <f>tblSales[[#This Row],[DPP (excl. VAT)]]+tblSales[[#This Row],[Output VAT]]</f>
        <v>1665000</v>
      </c>
      <c r="N1251" s="5">
        <f>tblSales[[#This Row],[Qty]]*_xlfn.XLOOKUP(tblSales[[#This Row],[Product Code]],tblProducts[Code],tblProducts[Unit Cost],0)</f>
        <v>870000</v>
      </c>
      <c r="O1251" s="4" t="s">
        <v>4865</v>
      </c>
      <c r="P1251" s="4" t="s">
        <v>4860</v>
      </c>
      <c r="Q1251" s="1" t="str">
        <f>_xlfn.XLOOKUP(tblSales[[#This Row],[Channel Code]],tblChannels[Channel Code],tblChannels[Channel Name],"")</f>
        <v>In-store</v>
      </c>
      <c r="R1251" s="1">
        <f>MONTH(tblSales[[#This Row],[Date]])</f>
        <v>3</v>
      </c>
    </row>
    <row r="1252" spans="2:18" x14ac:dyDescent="0.35">
      <c r="B1252" s="113">
        <v>46100</v>
      </c>
      <c r="C1252" s="4" t="s">
        <v>893</v>
      </c>
      <c r="D1252" s="4" t="s">
        <v>4568</v>
      </c>
      <c r="E1252" s="1" t="str">
        <f>_xlfn.XLOOKUP(tblSales[[#This Row],[Customer ID]],tblCustomers[Customer ID],tblCustomers[Customer Name],"⚠ Unknown")</f>
        <v>Walk-in Customer</v>
      </c>
      <c r="F1252" s="4" t="s">
        <v>8</v>
      </c>
      <c r="G1252" s="1" t="str">
        <f>_xlfn.XLOOKUP(tblSales[[#This Row],[Product Code]],tblProducts[Code],tblProducts[Product / Service Name],"⚠ Unknown")</f>
        <v>Casual Shorts</v>
      </c>
      <c r="H1252" s="1" t="str">
        <f>_xlfn.XLOOKUP(tblSales[[#This Row],[Product Code]],tblProducts[Code],tblProducts[Category],"")</f>
        <v>Accessories &amp; Basics</v>
      </c>
      <c r="I1252" s="4">
        <v>10</v>
      </c>
      <c r="J1252" s="5">
        <f>_xlfn.XLOOKUP(tblSales[[#This Row],[Product Code]],tblProducts[Code],tblProducts[Selling Price (excl. VAT)],0)</f>
        <v>85000</v>
      </c>
      <c r="K1252" s="5">
        <f>tblSales[[#This Row],[Qty]]*tblSales[[#This Row],[Unit Price]]</f>
        <v>850000</v>
      </c>
      <c r="L1252" s="5">
        <f>ROUND(tblSales[[#This Row],[DPP (excl. VAT)]]*VATEff,0)</f>
        <v>93500</v>
      </c>
      <c r="M1252" s="5">
        <f>tblSales[[#This Row],[DPP (excl. VAT)]]+tblSales[[#This Row],[Output VAT]]</f>
        <v>943500</v>
      </c>
      <c r="N1252" s="5">
        <f>tblSales[[#This Row],[Qty]]*_xlfn.XLOOKUP(tblSales[[#This Row],[Product Code]],tblProducts[Code],tblProducts[Unit Cost],0)</f>
        <v>500000</v>
      </c>
      <c r="O1252" s="4" t="s">
        <v>4865</v>
      </c>
      <c r="P1252" s="4" t="s">
        <v>4860</v>
      </c>
      <c r="Q1252" s="1" t="str">
        <f>_xlfn.XLOOKUP(tblSales[[#This Row],[Channel Code]],tblChannels[Channel Code],tblChannels[Channel Name],"")</f>
        <v>In-store</v>
      </c>
      <c r="R1252" s="1">
        <f>MONTH(tblSales[[#This Row],[Date]])</f>
        <v>3</v>
      </c>
    </row>
    <row r="1253" spans="2:18" x14ac:dyDescent="0.35">
      <c r="B1253" s="113">
        <v>46100</v>
      </c>
      <c r="C1253" s="4" t="s">
        <v>894</v>
      </c>
      <c r="D1253" s="4" t="s">
        <v>4568</v>
      </c>
      <c r="E1253" s="1" t="str">
        <f>_xlfn.XLOOKUP(tblSales[[#This Row],[Customer ID]],tblCustomers[Customer ID],tblCustomers[Customer Name],"⚠ Unknown")</f>
        <v>Walk-in Customer</v>
      </c>
      <c r="F1253" s="4" t="s">
        <v>11</v>
      </c>
      <c r="G1253" s="1" t="str">
        <f>_xlfn.XLOOKUP(tblSales[[#This Row],[Product Code]],tblProducts[Code],tblProducts[Product / Service Name],"⚠ Unknown")</f>
        <v>Sneakers</v>
      </c>
      <c r="H1253" s="1" t="str">
        <f>_xlfn.XLOOKUP(tblSales[[#This Row],[Product Code]],tblProducts[Code],tblProducts[Category],"")</f>
        <v>Apparel &amp; Footwear</v>
      </c>
      <c r="I1253" s="4">
        <v>5</v>
      </c>
      <c r="J1253" s="5">
        <f>_xlfn.XLOOKUP(tblSales[[#This Row],[Product Code]],tblProducts[Code],tblProducts[Selling Price (excl. VAT)],0)</f>
        <v>250000</v>
      </c>
      <c r="K1253" s="5">
        <f>tblSales[[#This Row],[Qty]]*tblSales[[#This Row],[Unit Price]]</f>
        <v>1250000</v>
      </c>
      <c r="L1253" s="5">
        <f>ROUND(tblSales[[#This Row],[DPP (excl. VAT)]]*VATEff,0)</f>
        <v>137500</v>
      </c>
      <c r="M1253" s="5">
        <f>tblSales[[#This Row],[DPP (excl. VAT)]]+tblSales[[#This Row],[Output VAT]]</f>
        <v>1387500</v>
      </c>
      <c r="N1253" s="5">
        <f>tblSales[[#This Row],[Qty]]*_xlfn.XLOOKUP(tblSales[[#This Row],[Product Code]],tblProducts[Code],tblProducts[Unit Cost],0)</f>
        <v>775000</v>
      </c>
      <c r="O1253" s="4" t="s">
        <v>4866</v>
      </c>
      <c r="P1253" s="4" t="s">
        <v>4860</v>
      </c>
      <c r="Q1253" s="1" t="str">
        <f>_xlfn.XLOOKUP(tblSales[[#This Row],[Channel Code]],tblChannels[Channel Code],tblChannels[Channel Name],"")</f>
        <v>In-store</v>
      </c>
      <c r="R1253" s="1">
        <f>MONTH(tblSales[[#This Row],[Date]])</f>
        <v>3</v>
      </c>
    </row>
    <row r="1254" spans="2:18" x14ac:dyDescent="0.35">
      <c r="B1254" s="113">
        <v>46100</v>
      </c>
      <c r="C1254" s="4" t="s">
        <v>895</v>
      </c>
      <c r="D1254" s="4" t="s">
        <v>4568</v>
      </c>
      <c r="E1254" s="1" t="str">
        <f>_xlfn.XLOOKUP(tblSales[[#This Row],[Customer ID]],tblCustomers[Customer ID],tblCustomers[Customer Name],"⚠ Unknown")</f>
        <v>Walk-in Customer</v>
      </c>
      <c r="F1254" s="4" t="s">
        <v>6</v>
      </c>
      <c r="G1254" s="1" t="str">
        <f>_xlfn.XLOOKUP(tblSales[[#This Row],[Product Code]],tblProducts[Code],tblProducts[Product / Service Name],"⚠ Unknown")</f>
        <v>Socks &amp; Accessories</v>
      </c>
      <c r="H1254" s="1" t="str">
        <f>_xlfn.XLOOKUP(tblSales[[#This Row],[Product Code]],tblProducts[Code],tblProducts[Category],"")</f>
        <v>Accessories &amp; Basics</v>
      </c>
      <c r="I1254" s="4">
        <v>3</v>
      </c>
      <c r="J1254" s="5">
        <f>_xlfn.XLOOKUP(tblSales[[#This Row],[Product Code]],tblProducts[Code],tblProducts[Selling Price (excl. VAT)],0)</f>
        <v>45000</v>
      </c>
      <c r="K1254" s="5">
        <f>tblSales[[#This Row],[Qty]]*tblSales[[#This Row],[Unit Price]]</f>
        <v>135000</v>
      </c>
      <c r="L1254" s="5">
        <f>ROUND(tblSales[[#This Row],[DPP (excl. VAT)]]*VATEff,0)</f>
        <v>14850</v>
      </c>
      <c r="M1254" s="5">
        <f>tblSales[[#This Row],[DPP (excl. VAT)]]+tblSales[[#This Row],[Output VAT]]</f>
        <v>149850</v>
      </c>
      <c r="N1254" s="5">
        <f>tblSales[[#This Row],[Qty]]*_xlfn.XLOOKUP(tblSales[[#This Row],[Product Code]],tblProducts[Code],tblProducts[Unit Cost],0)</f>
        <v>72000</v>
      </c>
      <c r="O1254" s="4" t="s">
        <v>4866</v>
      </c>
      <c r="P1254" s="4" t="s">
        <v>4862</v>
      </c>
      <c r="Q1254" s="1" t="str">
        <f>_xlfn.XLOOKUP(tblSales[[#This Row],[Channel Code]],tblChannels[Channel Code],tblChannels[Channel Name],"")</f>
        <v>Website &amp; Social Media</v>
      </c>
      <c r="R1254" s="1">
        <f>MONTH(tblSales[[#This Row],[Date]])</f>
        <v>3</v>
      </c>
    </row>
    <row r="1255" spans="2:18" x14ac:dyDescent="0.35">
      <c r="B1255" s="113">
        <v>46100</v>
      </c>
      <c r="C1255" s="4" t="s">
        <v>896</v>
      </c>
      <c r="D1255" s="4" t="s">
        <v>4568</v>
      </c>
      <c r="E1255" s="1" t="str">
        <f>_xlfn.XLOOKUP(tblSales[[#This Row],[Customer ID]],tblCustomers[Customer ID],tblCustomers[Customer Name],"⚠ Unknown")</f>
        <v>Walk-in Customer</v>
      </c>
      <c r="F1255" s="4" t="s">
        <v>13</v>
      </c>
      <c r="G1255" s="1" t="str">
        <f>_xlfn.XLOOKUP(tblSales[[#This Row],[Product Code]],tblProducts[Code],tblProducts[Product / Service Name],"⚠ Unknown")</f>
        <v>Backpack</v>
      </c>
      <c r="H1255" s="1" t="str">
        <f>_xlfn.XLOOKUP(tblSales[[#This Row],[Product Code]],tblProducts[Code],tblProducts[Category],"")</f>
        <v>Bags &amp; Gadgets</v>
      </c>
      <c r="I1255" s="4">
        <v>1</v>
      </c>
      <c r="J1255" s="5">
        <f>_xlfn.XLOOKUP(tblSales[[#This Row],[Product Code]],tblProducts[Code],tblProducts[Selling Price (excl. VAT)],0)</f>
        <v>500000</v>
      </c>
      <c r="K1255" s="5">
        <f>tblSales[[#This Row],[Qty]]*tblSales[[#This Row],[Unit Price]]</f>
        <v>500000</v>
      </c>
      <c r="L1255" s="5">
        <f>ROUND(tblSales[[#This Row],[DPP (excl. VAT)]]*VATEff,0)</f>
        <v>55000</v>
      </c>
      <c r="M1255" s="5">
        <f>tblSales[[#This Row],[DPP (excl. VAT)]]+tblSales[[#This Row],[Output VAT]]</f>
        <v>555000</v>
      </c>
      <c r="N1255" s="5">
        <f>tblSales[[#This Row],[Qty]]*_xlfn.XLOOKUP(tblSales[[#This Row],[Product Code]],tblProducts[Code],tblProducts[Unit Cost],0)</f>
        <v>290000</v>
      </c>
      <c r="O1255" s="4" t="s">
        <v>4866</v>
      </c>
      <c r="P1255" s="4" t="s">
        <v>4861</v>
      </c>
      <c r="Q1255" s="1" t="str">
        <f>_xlfn.XLOOKUP(tblSales[[#This Row],[Channel Code]],tblChannels[Channel Code],tblChannels[Channel Name],"")</f>
        <v>Marketplace</v>
      </c>
      <c r="R1255" s="1">
        <f>MONTH(tblSales[[#This Row],[Date]])</f>
        <v>3</v>
      </c>
    </row>
    <row r="1256" spans="2:18" x14ac:dyDescent="0.35">
      <c r="B1256" s="113">
        <v>46100</v>
      </c>
      <c r="C1256" s="4" t="s">
        <v>897</v>
      </c>
      <c r="D1256" s="4" t="s">
        <v>4606</v>
      </c>
      <c r="E1256" s="1" t="str">
        <f>_xlfn.XLOOKUP(tblSales[[#This Row],[Customer ID]],tblCustomers[Customer ID],tblCustomers[Customer Name],"⚠ Unknown")</f>
        <v>PT Arunika Digital Kreatif</v>
      </c>
      <c r="F1256" s="4" t="s">
        <v>6</v>
      </c>
      <c r="G1256" s="1" t="str">
        <f>_xlfn.XLOOKUP(tblSales[[#This Row],[Product Code]],tblProducts[Code],tblProducts[Product / Service Name],"⚠ Unknown")</f>
        <v>Socks &amp; Accessories</v>
      </c>
      <c r="H1256" s="1" t="str">
        <f>_xlfn.XLOOKUP(tblSales[[#This Row],[Product Code]],tblProducts[Code],tblProducts[Category],"")</f>
        <v>Accessories &amp; Basics</v>
      </c>
      <c r="I1256" s="4">
        <v>24</v>
      </c>
      <c r="J1256" s="5">
        <f>_xlfn.XLOOKUP(tblSales[[#This Row],[Product Code]],tblProducts[Code],tblProducts[Selling Price (excl. VAT)],0)</f>
        <v>45000</v>
      </c>
      <c r="K1256" s="5">
        <f>tblSales[[#This Row],[Qty]]*tblSales[[#This Row],[Unit Price]]</f>
        <v>1080000</v>
      </c>
      <c r="L1256" s="5">
        <f>ROUND(tblSales[[#This Row],[DPP (excl. VAT)]]*VATEff,0)</f>
        <v>118800</v>
      </c>
      <c r="M1256" s="5">
        <f>tblSales[[#This Row],[DPP (excl. VAT)]]+tblSales[[#This Row],[Output VAT]]</f>
        <v>1198800</v>
      </c>
      <c r="N1256" s="5">
        <f>tblSales[[#This Row],[Qty]]*_xlfn.XLOOKUP(tblSales[[#This Row],[Product Code]],tblProducts[Code],tblProducts[Unit Cost],0)</f>
        <v>576000</v>
      </c>
      <c r="O1256" s="4" t="s">
        <v>4867</v>
      </c>
      <c r="P1256" s="4" t="s">
        <v>4860</v>
      </c>
      <c r="Q1256" s="1" t="str">
        <f>_xlfn.XLOOKUP(tblSales[[#This Row],[Channel Code]],tblChannels[Channel Code],tblChannels[Channel Name],"")</f>
        <v>In-store</v>
      </c>
      <c r="R1256" s="1">
        <f>MONTH(tblSales[[#This Row],[Date]])</f>
        <v>3</v>
      </c>
    </row>
    <row r="1257" spans="2:18" x14ac:dyDescent="0.35">
      <c r="B1257" s="113">
        <v>46100</v>
      </c>
      <c r="C1257" s="4" t="s">
        <v>898</v>
      </c>
      <c r="D1257" s="4" t="s">
        <v>4613</v>
      </c>
      <c r="E1257" s="1" t="str">
        <f>_xlfn.XLOOKUP(tblSales[[#This Row],[Customer ID]],tblCustomers[Customer ID],tblCustomers[Customer Name],"⚠ Unknown")</f>
        <v>PT Mega Prima Distribusi</v>
      </c>
      <c r="F1257" s="4" t="s">
        <v>6</v>
      </c>
      <c r="G1257" s="1" t="str">
        <f>_xlfn.XLOOKUP(tblSales[[#This Row],[Product Code]],tblProducts[Code],tblProducts[Product / Service Name],"⚠ Unknown")</f>
        <v>Socks &amp; Accessories</v>
      </c>
      <c r="H1257" s="1" t="str">
        <f>_xlfn.XLOOKUP(tblSales[[#This Row],[Product Code]],tblProducts[Code],tblProducts[Category],"")</f>
        <v>Accessories &amp; Basics</v>
      </c>
      <c r="I1257" s="4">
        <v>8</v>
      </c>
      <c r="J1257" s="5">
        <f>_xlfn.XLOOKUP(tblSales[[#This Row],[Product Code]],tblProducts[Code],tblProducts[Selling Price (excl. VAT)],0)</f>
        <v>45000</v>
      </c>
      <c r="K1257" s="5">
        <f>tblSales[[#This Row],[Qty]]*tblSales[[#This Row],[Unit Price]]</f>
        <v>360000</v>
      </c>
      <c r="L1257" s="5">
        <f>ROUND(tblSales[[#This Row],[DPP (excl. VAT)]]*VATEff,0)</f>
        <v>39600</v>
      </c>
      <c r="M1257" s="5">
        <f>tblSales[[#This Row],[DPP (excl. VAT)]]+tblSales[[#This Row],[Output VAT]]</f>
        <v>399600</v>
      </c>
      <c r="N1257" s="5">
        <f>tblSales[[#This Row],[Qty]]*_xlfn.XLOOKUP(tblSales[[#This Row],[Product Code]],tblProducts[Code],tblProducts[Unit Cost],0)</f>
        <v>192000</v>
      </c>
      <c r="O1257" s="4" t="s">
        <v>4867</v>
      </c>
      <c r="P1257" s="4" t="s">
        <v>4862</v>
      </c>
      <c r="Q1257" s="1" t="str">
        <f>_xlfn.XLOOKUP(tblSales[[#This Row],[Channel Code]],tblChannels[Channel Code],tblChannels[Channel Name],"")</f>
        <v>Website &amp; Social Media</v>
      </c>
      <c r="R1257" s="1">
        <f>MONTH(tblSales[[#This Row],[Date]])</f>
        <v>3</v>
      </c>
    </row>
    <row r="1258" spans="2:18" x14ac:dyDescent="0.35">
      <c r="B1258" s="113">
        <v>46100</v>
      </c>
      <c r="C1258" s="4" t="s">
        <v>899</v>
      </c>
      <c r="D1258" s="4" t="s">
        <v>4599</v>
      </c>
      <c r="E1258" s="1" t="str">
        <f>_xlfn.XLOOKUP(tblSales[[#This Row],[Customer ID]],tblCustomers[Customer ID],tblCustomers[Customer Name],"⚠ Unknown")</f>
        <v>PT Samudra Jaya Logistik</v>
      </c>
      <c r="F1258" s="4" t="s">
        <v>13</v>
      </c>
      <c r="G1258" s="1" t="str">
        <f>_xlfn.XLOOKUP(tblSales[[#This Row],[Product Code]],tblProducts[Code],tblProducts[Product / Service Name],"⚠ Unknown")</f>
        <v>Backpack</v>
      </c>
      <c r="H1258" s="1" t="str">
        <f>_xlfn.XLOOKUP(tblSales[[#This Row],[Product Code]],tblProducts[Code],tblProducts[Category],"")</f>
        <v>Bags &amp; Gadgets</v>
      </c>
      <c r="I1258" s="4">
        <v>8</v>
      </c>
      <c r="J1258" s="5">
        <f>_xlfn.XLOOKUP(tblSales[[#This Row],[Product Code]],tblProducts[Code],tblProducts[Selling Price (excl. VAT)],0)</f>
        <v>500000</v>
      </c>
      <c r="K1258" s="5">
        <f>tblSales[[#This Row],[Qty]]*tblSales[[#This Row],[Unit Price]]</f>
        <v>4000000</v>
      </c>
      <c r="L1258" s="5">
        <f>ROUND(tblSales[[#This Row],[DPP (excl. VAT)]]*VATEff,0)</f>
        <v>440000</v>
      </c>
      <c r="M1258" s="5">
        <f>tblSales[[#This Row],[DPP (excl. VAT)]]+tblSales[[#This Row],[Output VAT]]</f>
        <v>4440000</v>
      </c>
      <c r="N1258" s="5">
        <f>tblSales[[#This Row],[Qty]]*_xlfn.XLOOKUP(tblSales[[#This Row],[Product Code]],tblProducts[Code],tblProducts[Unit Cost],0)</f>
        <v>2320000</v>
      </c>
      <c r="O1258" s="4" t="s">
        <v>4867</v>
      </c>
      <c r="P1258" s="4" t="s">
        <v>4860</v>
      </c>
      <c r="Q1258" s="1" t="str">
        <f>_xlfn.XLOOKUP(tblSales[[#This Row],[Channel Code]],tblChannels[Channel Code],tblChannels[Channel Name],"")</f>
        <v>In-store</v>
      </c>
      <c r="R1258" s="1">
        <f>MONTH(tblSales[[#This Row],[Date]])</f>
        <v>3</v>
      </c>
    </row>
    <row r="1259" spans="2:18" x14ac:dyDescent="0.35">
      <c r="B1259" s="113">
        <v>46100</v>
      </c>
      <c r="C1259" s="4" t="s">
        <v>899</v>
      </c>
      <c r="D1259" s="4" t="s">
        <v>4599</v>
      </c>
      <c r="E1259" s="1" t="str">
        <f>_xlfn.XLOOKUP(tblSales[[#This Row],[Customer ID]],tblCustomers[Customer ID],tblCustomers[Customer Name],"⚠ Unknown")</f>
        <v>PT Samudra Jaya Logistik</v>
      </c>
      <c r="F1259" s="4" t="s">
        <v>7</v>
      </c>
      <c r="G1259" s="1" t="str">
        <f>_xlfn.XLOOKUP(tblSales[[#This Row],[Product Code]],tblProducts[Code],tblProducts[Product / Service Name],"⚠ Unknown")</f>
        <v>Premium Basic T-shirt</v>
      </c>
      <c r="H1259" s="1" t="str">
        <f>_xlfn.XLOOKUP(tblSales[[#This Row],[Product Code]],tblProducts[Code],tblProducts[Category],"")</f>
        <v>Accessories &amp; Basics</v>
      </c>
      <c r="I1259" s="4">
        <v>40</v>
      </c>
      <c r="J1259" s="5">
        <f>_xlfn.XLOOKUP(tblSales[[#This Row],[Product Code]],tblProducts[Code],tblProducts[Selling Price (excl. VAT)],0)</f>
        <v>65000</v>
      </c>
      <c r="K1259" s="5">
        <f>tblSales[[#This Row],[Qty]]*tblSales[[#This Row],[Unit Price]]</f>
        <v>2600000</v>
      </c>
      <c r="L1259" s="5">
        <f>ROUND(tblSales[[#This Row],[DPP (excl. VAT)]]*VATEff,0)</f>
        <v>286000</v>
      </c>
      <c r="M1259" s="5">
        <f>tblSales[[#This Row],[DPP (excl. VAT)]]+tblSales[[#This Row],[Output VAT]]</f>
        <v>2886000</v>
      </c>
      <c r="N1259" s="5">
        <f>tblSales[[#This Row],[Qty]]*_xlfn.XLOOKUP(tblSales[[#This Row],[Product Code]],tblProducts[Code],tblProducts[Unit Cost],0)</f>
        <v>1480000</v>
      </c>
      <c r="O1259" s="4" t="s">
        <v>4867</v>
      </c>
      <c r="P1259" s="4" t="s">
        <v>4860</v>
      </c>
      <c r="Q1259" s="1" t="str">
        <f>_xlfn.XLOOKUP(tblSales[[#This Row],[Channel Code]],tblChannels[Channel Code],tblChannels[Channel Name],"")</f>
        <v>In-store</v>
      </c>
      <c r="R1259" s="1">
        <f>MONTH(tblSales[[#This Row],[Date]])</f>
        <v>3</v>
      </c>
    </row>
    <row r="1260" spans="2:18" x14ac:dyDescent="0.35">
      <c r="B1260" s="113">
        <v>46100</v>
      </c>
      <c r="C1260" s="4" t="s">
        <v>900</v>
      </c>
      <c r="D1260" s="4" t="s">
        <v>4568</v>
      </c>
      <c r="E1260" s="1" t="str">
        <f>_xlfn.XLOOKUP(tblSales[[#This Row],[Customer ID]],tblCustomers[Customer ID],tblCustomers[Customer Name],"⚠ Unknown")</f>
        <v>Walk-in Customer</v>
      </c>
      <c r="F1260" s="4" t="s">
        <v>7</v>
      </c>
      <c r="G1260" s="1" t="str">
        <f>_xlfn.XLOOKUP(tblSales[[#This Row],[Product Code]],tblProducts[Code],tblProducts[Product / Service Name],"⚠ Unknown")</f>
        <v>Premium Basic T-shirt</v>
      </c>
      <c r="H1260" s="1" t="str">
        <f>_xlfn.XLOOKUP(tblSales[[#This Row],[Product Code]],tblProducts[Code],tblProducts[Category],"")</f>
        <v>Accessories &amp; Basics</v>
      </c>
      <c r="I1260" s="4">
        <v>6</v>
      </c>
      <c r="J1260" s="5">
        <f>_xlfn.XLOOKUP(tblSales[[#This Row],[Product Code]],tblProducts[Code],tblProducts[Selling Price (excl. VAT)],0)</f>
        <v>65000</v>
      </c>
      <c r="K1260" s="5">
        <f>tblSales[[#This Row],[Qty]]*tblSales[[#This Row],[Unit Price]]</f>
        <v>390000</v>
      </c>
      <c r="L1260" s="5">
        <f>ROUND(tblSales[[#This Row],[DPP (excl. VAT)]]*VATEff,0)</f>
        <v>42900</v>
      </c>
      <c r="M1260" s="5">
        <f>tblSales[[#This Row],[DPP (excl. VAT)]]+tblSales[[#This Row],[Output VAT]]</f>
        <v>432900</v>
      </c>
      <c r="N1260" s="5">
        <f>tblSales[[#This Row],[Qty]]*_xlfn.XLOOKUP(tblSales[[#This Row],[Product Code]],tblProducts[Code],tblProducts[Unit Cost],0)</f>
        <v>222000</v>
      </c>
      <c r="O1260" s="4" t="s">
        <v>4866</v>
      </c>
      <c r="P1260" s="4" t="s">
        <v>4861</v>
      </c>
      <c r="Q1260" s="1" t="str">
        <f>_xlfn.XLOOKUP(tblSales[[#This Row],[Channel Code]],tblChannels[Channel Code],tblChannels[Channel Name],"")</f>
        <v>Marketplace</v>
      </c>
      <c r="R1260" s="1">
        <f>MONTH(tblSales[[#This Row],[Date]])</f>
        <v>3</v>
      </c>
    </row>
    <row r="1261" spans="2:18" x14ac:dyDescent="0.35">
      <c r="B1261" s="113">
        <v>46100</v>
      </c>
      <c r="C1261" s="4" t="s">
        <v>901</v>
      </c>
      <c r="D1261" s="4" t="s">
        <v>4568</v>
      </c>
      <c r="E1261" s="1" t="str">
        <f>_xlfn.XLOOKUP(tblSales[[#This Row],[Customer ID]],tblCustomers[Customer ID],tblCustomers[Customer Name],"⚠ Unknown")</f>
        <v>Walk-in Customer</v>
      </c>
      <c r="F1261" s="4" t="s">
        <v>6</v>
      </c>
      <c r="G1261" s="1" t="str">
        <f>_xlfn.XLOOKUP(tblSales[[#This Row],[Product Code]],tblProducts[Code],tblProducts[Product / Service Name],"⚠ Unknown")</f>
        <v>Socks &amp; Accessories</v>
      </c>
      <c r="H1261" s="1" t="str">
        <f>_xlfn.XLOOKUP(tblSales[[#This Row],[Product Code]],tblProducts[Code],tblProducts[Category],"")</f>
        <v>Accessories &amp; Basics</v>
      </c>
      <c r="I1261" s="4">
        <v>7</v>
      </c>
      <c r="J1261" s="5">
        <f>_xlfn.XLOOKUP(tblSales[[#This Row],[Product Code]],tblProducts[Code],tblProducts[Selling Price (excl. VAT)],0)</f>
        <v>45000</v>
      </c>
      <c r="K1261" s="5">
        <f>tblSales[[#This Row],[Qty]]*tblSales[[#This Row],[Unit Price]]</f>
        <v>315000</v>
      </c>
      <c r="L1261" s="5">
        <f>ROUND(tblSales[[#This Row],[DPP (excl. VAT)]]*VATEff,0)</f>
        <v>34650</v>
      </c>
      <c r="M1261" s="5">
        <f>tblSales[[#This Row],[DPP (excl. VAT)]]+tblSales[[#This Row],[Output VAT]]</f>
        <v>349650</v>
      </c>
      <c r="N1261" s="5">
        <f>tblSales[[#This Row],[Qty]]*_xlfn.XLOOKUP(tblSales[[#This Row],[Product Code]],tblProducts[Code],tblProducts[Unit Cost],0)</f>
        <v>168000</v>
      </c>
      <c r="O1261" s="4" t="s">
        <v>4866</v>
      </c>
      <c r="P1261" s="4" t="s">
        <v>4860</v>
      </c>
      <c r="Q1261" s="1" t="str">
        <f>_xlfn.XLOOKUP(tblSales[[#This Row],[Channel Code]],tblChannels[Channel Code],tblChannels[Channel Name],"")</f>
        <v>In-store</v>
      </c>
      <c r="R1261" s="1">
        <f>MONTH(tblSales[[#This Row],[Date]])</f>
        <v>3</v>
      </c>
    </row>
    <row r="1262" spans="2:18" x14ac:dyDescent="0.35">
      <c r="B1262" s="113">
        <v>46101</v>
      </c>
      <c r="C1262" s="4" t="s">
        <v>902</v>
      </c>
      <c r="D1262" s="4" t="s">
        <v>4568</v>
      </c>
      <c r="E1262" s="1" t="str">
        <f>_xlfn.XLOOKUP(tblSales[[#This Row],[Customer ID]],tblCustomers[Customer ID],tblCustomers[Customer Name],"⚠ Unknown")</f>
        <v>Walk-in Customer</v>
      </c>
      <c r="F1262" s="4" t="s">
        <v>7</v>
      </c>
      <c r="G1262" s="1" t="str">
        <f>_xlfn.XLOOKUP(tblSales[[#This Row],[Product Code]],tblProducts[Code],tblProducts[Product / Service Name],"⚠ Unknown")</f>
        <v>Premium Basic T-shirt</v>
      </c>
      <c r="H1262" s="1" t="str">
        <f>_xlfn.XLOOKUP(tblSales[[#This Row],[Product Code]],tblProducts[Code],tblProducts[Category],"")</f>
        <v>Accessories &amp; Basics</v>
      </c>
      <c r="I1262" s="4">
        <v>7</v>
      </c>
      <c r="J1262" s="5">
        <f>_xlfn.XLOOKUP(tblSales[[#This Row],[Product Code]],tblProducts[Code],tblProducts[Selling Price (excl. VAT)],0)</f>
        <v>65000</v>
      </c>
      <c r="K1262" s="5">
        <f>tblSales[[#This Row],[Qty]]*tblSales[[#This Row],[Unit Price]]</f>
        <v>455000</v>
      </c>
      <c r="L1262" s="5">
        <f>ROUND(tblSales[[#This Row],[DPP (excl. VAT)]]*VATEff,0)</f>
        <v>50050</v>
      </c>
      <c r="M1262" s="5">
        <f>tblSales[[#This Row],[DPP (excl. VAT)]]+tblSales[[#This Row],[Output VAT]]</f>
        <v>505050</v>
      </c>
      <c r="N1262" s="5">
        <f>tblSales[[#This Row],[Qty]]*_xlfn.XLOOKUP(tblSales[[#This Row],[Product Code]],tblProducts[Code],tblProducts[Unit Cost],0)</f>
        <v>259000</v>
      </c>
      <c r="O1262" s="4" t="s">
        <v>4866</v>
      </c>
      <c r="P1262" s="4" t="s">
        <v>4861</v>
      </c>
      <c r="Q1262" s="1" t="str">
        <f>_xlfn.XLOOKUP(tblSales[[#This Row],[Channel Code]],tblChannels[Channel Code],tblChannels[Channel Name],"")</f>
        <v>Marketplace</v>
      </c>
      <c r="R1262" s="1">
        <f>MONTH(tblSales[[#This Row],[Date]])</f>
        <v>3</v>
      </c>
    </row>
    <row r="1263" spans="2:18" x14ac:dyDescent="0.35">
      <c r="B1263" s="113">
        <v>46101</v>
      </c>
      <c r="C1263" s="4" t="s">
        <v>903</v>
      </c>
      <c r="D1263" s="4" t="s">
        <v>4568</v>
      </c>
      <c r="E1263" s="1" t="str">
        <f>_xlfn.XLOOKUP(tblSales[[#This Row],[Customer ID]],tblCustomers[Customer ID],tblCustomers[Customer Name],"⚠ Unknown")</f>
        <v>Walk-in Customer</v>
      </c>
      <c r="F1263" s="4" t="s">
        <v>12</v>
      </c>
      <c r="G1263" s="1" t="str">
        <f>_xlfn.XLOOKUP(tblSales[[#This Row],[Product Code]],tblProducts[Code],tblProducts[Product / Service Name],"⚠ Unknown")</f>
        <v>Bomber Jacket</v>
      </c>
      <c r="H1263" s="1" t="str">
        <f>_xlfn.XLOOKUP(tblSales[[#This Row],[Product Code]],tblProducts[Code],tblProducts[Category],"")</f>
        <v>Apparel &amp; Footwear</v>
      </c>
      <c r="I1263" s="4">
        <v>6</v>
      </c>
      <c r="J1263" s="5">
        <f>_xlfn.XLOOKUP(tblSales[[#This Row],[Product Code]],tblProducts[Code],tblProducts[Selling Price (excl. VAT)],0)</f>
        <v>350000</v>
      </c>
      <c r="K1263" s="5">
        <f>tblSales[[#This Row],[Qty]]*tblSales[[#This Row],[Unit Price]]</f>
        <v>2100000</v>
      </c>
      <c r="L1263" s="5">
        <f>ROUND(tblSales[[#This Row],[DPP (excl. VAT)]]*VATEff,0)</f>
        <v>231000</v>
      </c>
      <c r="M1263" s="5">
        <f>tblSales[[#This Row],[DPP (excl. VAT)]]+tblSales[[#This Row],[Output VAT]]</f>
        <v>2331000</v>
      </c>
      <c r="N1263" s="5">
        <f>tblSales[[#This Row],[Qty]]*_xlfn.XLOOKUP(tblSales[[#This Row],[Product Code]],tblProducts[Code],tblProducts[Unit Cost],0)</f>
        <v>1260000</v>
      </c>
      <c r="O1263" s="4" t="s">
        <v>4865</v>
      </c>
      <c r="P1263" s="4" t="s">
        <v>4860</v>
      </c>
      <c r="Q1263" s="1" t="str">
        <f>_xlfn.XLOOKUP(tblSales[[#This Row],[Channel Code]],tblChannels[Channel Code],tblChannels[Channel Name],"")</f>
        <v>In-store</v>
      </c>
      <c r="R1263" s="1">
        <f>MONTH(tblSales[[#This Row],[Date]])</f>
        <v>3</v>
      </c>
    </row>
    <row r="1264" spans="2:18" x14ac:dyDescent="0.35">
      <c r="B1264" s="113">
        <v>46101</v>
      </c>
      <c r="C1264" s="4" t="s">
        <v>904</v>
      </c>
      <c r="D1264" s="4" t="s">
        <v>4568</v>
      </c>
      <c r="E1264" s="1" t="str">
        <f>_xlfn.XLOOKUP(tblSales[[#This Row],[Customer ID]],tblCustomers[Customer ID],tblCustomers[Customer Name],"⚠ Unknown")</f>
        <v>Walk-in Customer</v>
      </c>
      <c r="F1264" s="4" t="s">
        <v>8</v>
      </c>
      <c r="G1264" s="1" t="str">
        <f>_xlfn.XLOOKUP(tblSales[[#This Row],[Product Code]],tblProducts[Code],tblProducts[Product / Service Name],"⚠ Unknown")</f>
        <v>Casual Shorts</v>
      </c>
      <c r="H1264" s="1" t="str">
        <f>_xlfn.XLOOKUP(tblSales[[#This Row],[Product Code]],tblProducts[Code],tblProducts[Category],"")</f>
        <v>Accessories &amp; Basics</v>
      </c>
      <c r="I1264" s="4">
        <v>12</v>
      </c>
      <c r="J1264" s="5">
        <f>_xlfn.XLOOKUP(tblSales[[#This Row],[Product Code]],tblProducts[Code],tblProducts[Selling Price (excl. VAT)],0)</f>
        <v>85000</v>
      </c>
      <c r="K1264" s="5">
        <f>tblSales[[#This Row],[Qty]]*tblSales[[#This Row],[Unit Price]]</f>
        <v>1020000</v>
      </c>
      <c r="L1264" s="5">
        <f>ROUND(tblSales[[#This Row],[DPP (excl. VAT)]]*VATEff,0)</f>
        <v>112200</v>
      </c>
      <c r="M1264" s="5">
        <f>tblSales[[#This Row],[DPP (excl. VAT)]]+tblSales[[#This Row],[Output VAT]]</f>
        <v>1132200</v>
      </c>
      <c r="N1264" s="5">
        <f>tblSales[[#This Row],[Qty]]*_xlfn.XLOOKUP(tblSales[[#This Row],[Product Code]],tblProducts[Code],tblProducts[Unit Cost],0)</f>
        <v>600000</v>
      </c>
      <c r="O1264" s="4" t="s">
        <v>4865</v>
      </c>
      <c r="P1264" s="4" t="s">
        <v>4860</v>
      </c>
      <c r="Q1264" s="1" t="str">
        <f>_xlfn.XLOOKUP(tblSales[[#This Row],[Channel Code]],tblChannels[Channel Code],tblChannels[Channel Name],"")</f>
        <v>In-store</v>
      </c>
      <c r="R1264" s="1">
        <f>MONTH(tblSales[[#This Row],[Date]])</f>
        <v>3</v>
      </c>
    </row>
    <row r="1265" spans="2:18" x14ac:dyDescent="0.35">
      <c r="B1265" s="113">
        <v>46101</v>
      </c>
      <c r="C1265" s="4" t="s">
        <v>904</v>
      </c>
      <c r="D1265" s="4" t="s">
        <v>4568</v>
      </c>
      <c r="E1265" s="1" t="str">
        <f>_xlfn.XLOOKUP(tblSales[[#This Row],[Customer ID]],tblCustomers[Customer ID],tblCustomers[Customer Name],"⚠ Unknown")</f>
        <v>Walk-in Customer</v>
      </c>
      <c r="F1265" s="4" t="s">
        <v>6</v>
      </c>
      <c r="G1265" s="1" t="str">
        <f>_xlfn.XLOOKUP(tblSales[[#This Row],[Product Code]],tblProducts[Code],tblProducts[Product / Service Name],"⚠ Unknown")</f>
        <v>Socks &amp; Accessories</v>
      </c>
      <c r="H1265" s="1" t="str">
        <f>_xlfn.XLOOKUP(tblSales[[#This Row],[Product Code]],tblProducts[Code],tblProducts[Category],"")</f>
        <v>Accessories &amp; Basics</v>
      </c>
      <c r="I1265" s="4">
        <v>4</v>
      </c>
      <c r="J1265" s="5">
        <f>_xlfn.XLOOKUP(tblSales[[#This Row],[Product Code]],tblProducts[Code],tblProducts[Selling Price (excl. VAT)],0)</f>
        <v>45000</v>
      </c>
      <c r="K1265" s="5">
        <f>tblSales[[#This Row],[Qty]]*tblSales[[#This Row],[Unit Price]]</f>
        <v>180000</v>
      </c>
      <c r="L1265" s="5">
        <f>ROUND(tblSales[[#This Row],[DPP (excl. VAT)]]*VATEff,0)</f>
        <v>19800</v>
      </c>
      <c r="M1265" s="5">
        <f>tblSales[[#This Row],[DPP (excl. VAT)]]+tblSales[[#This Row],[Output VAT]]</f>
        <v>199800</v>
      </c>
      <c r="N1265" s="5">
        <f>tblSales[[#This Row],[Qty]]*_xlfn.XLOOKUP(tblSales[[#This Row],[Product Code]],tblProducts[Code],tblProducts[Unit Cost],0)</f>
        <v>96000</v>
      </c>
      <c r="O1265" s="4" t="s">
        <v>4865</v>
      </c>
      <c r="P1265" s="4" t="s">
        <v>4860</v>
      </c>
      <c r="Q1265" s="1" t="str">
        <f>_xlfn.XLOOKUP(tblSales[[#This Row],[Channel Code]],tblChannels[Channel Code],tblChannels[Channel Name],"")</f>
        <v>In-store</v>
      </c>
      <c r="R1265" s="1">
        <f>MONTH(tblSales[[#This Row],[Date]])</f>
        <v>3</v>
      </c>
    </row>
    <row r="1266" spans="2:18" x14ac:dyDescent="0.35">
      <c r="B1266" s="113">
        <v>46101</v>
      </c>
      <c r="C1266" s="4" t="s">
        <v>904</v>
      </c>
      <c r="D1266" s="4" t="s">
        <v>4568</v>
      </c>
      <c r="E1266" s="1" t="str">
        <f>_xlfn.XLOOKUP(tblSales[[#This Row],[Customer ID]],tblCustomers[Customer ID],tblCustomers[Customer Name],"⚠ Unknown")</f>
        <v>Walk-in Customer</v>
      </c>
      <c r="F1266" s="4" t="s">
        <v>11</v>
      </c>
      <c r="G1266" s="1" t="str">
        <f>_xlfn.XLOOKUP(tblSales[[#This Row],[Product Code]],tblProducts[Code],tblProducts[Product / Service Name],"⚠ Unknown")</f>
        <v>Sneakers</v>
      </c>
      <c r="H1266" s="1" t="str">
        <f>_xlfn.XLOOKUP(tblSales[[#This Row],[Product Code]],tblProducts[Code],tblProducts[Category],"")</f>
        <v>Apparel &amp; Footwear</v>
      </c>
      <c r="I1266" s="4">
        <v>2</v>
      </c>
      <c r="J1266" s="5">
        <f>_xlfn.XLOOKUP(tblSales[[#This Row],[Product Code]],tblProducts[Code],tblProducts[Selling Price (excl. VAT)],0)</f>
        <v>250000</v>
      </c>
      <c r="K1266" s="5">
        <f>tblSales[[#This Row],[Qty]]*tblSales[[#This Row],[Unit Price]]</f>
        <v>500000</v>
      </c>
      <c r="L1266" s="5">
        <f>ROUND(tblSales[[#This Row],[DPP (excl. VAT)]]*VATEff,0)</f>
        <v>55000</v>
      </c>
      <c r="M1266" s="5">
        <f>tblSales[[#This Row],[DPP (excl. VAT)]]+tblSales[[#This Row],[Output VAT]]</f>
        <v>555000</v>
      </c>
      <c r="N1266" s="5">
        <f>tblSales[[#This Row],[Qty]]*_xlfn.XLOOKUP(tblSales[[#This Row],[Product Code]],tblProducts[Code],tblProducts[Unit Cost],0)</f>
        <v>310000</v>
      </c>
      <c r="O1266" s="4" t="s">
        <v>4865</v>
      </c>
      <c r="P1266" s="4" t="s">
        <v>4860</v>
      </c>
      <c r="Q1266" s="1" t="str">
        <f>_xlfn.XLOOKUP(tblSales[[#This Row],[Channel Code]],tblChannels[Channel Code],tblChannels[Channel Name],"")</f>
        <v>In-store</v>
      </c>
      <c r="R1266" s="1">
        <f>MONTH(tblSales[[#This Row],[Date]])</f>
        <v>3</v>
      </c>
    </row>
    <row r="1267" spans="2:18" x14ac:dyDescent="0.35">
      <c r="B1267" s="113">
        <v>46101</v>
      </c>
      <c r="C1267" s="4" t="s">
        <v>905</v>
      </c>
      <c r="D1267" s="4" t="s">
        <v>4568</v>
      </c>
      <c r="E1267" s="1" t="str">
        <f>_xlfn.XLOOKUP(tblSales[[#This Row],[Customer ID]],tblCustomers[Customer ID],tblCustomers[Customer Name],"⚠ Unknown")</f>
        <v>Walk-in Customer</v>
      </c>
      <c r="F1267" s="4" t="s">
        <v>13</v>
      </c>
      <c r="G1267" s="1" t="str">
        <f>_xlfn.XLOOKUP(tblSales[[#This Row],[Product Code]],tblProducts[Code],tblProducts[Product / Service Name],"⚠ Unknown")</f>
        <v>Backpack</v>
      </c>
      <c r="H1267" s="1" t="str">
        <f>_xlfn.XLOOKUP(tblSales[[#This Row],[Product Code]],tblProducts[Code],tblProducts[Category],"")</f>
        <v>Bags &amp; Gadgets</v>
      </c>
      <c r="I1267" s="4">
        <v>5</v>
      </c>
      <c r="J1267" s="5">
        <f>_xlfn.XLOOKUP(tblSales[[#This Row],[Product Code]],tblProducts[Code],tblProducts[Selling Price (excl. VAT)],0)</f>
        <v>500000</v>
      </c>
      <c r="K1267" s="5">
        <f>tblSales[[#This Row],[Qty]]*tblSales[[#This Row],[Unit Price]]</f>
        <v>2500000</v>
      </c>
      <c r="L1267" s="5">
        <f>ROUND(tblSales[[#This Row],[DPP (excl. VAT)]]*VATEff,0)</f>
        <v>275000</v>
      </c>
      <c r="M1267" s="5">
        <f>tblSales[[#This Row],[DPP (excl. VAT)]]+tblSales[[#This Row],[Output VAT]]</f>
        <v>2775000</v>
      </c>
      <c r="N1267" s="5">
        <f>tblSales[[#This Row],[Qty]]*_xlfn.XLOOKUP(tblSales[[#This Row],[Product Code]],tblProducts[Code],tblProducts[Unit Cost],0)</f>
        <v>1450000</v>
      </c>
      <c r="O1267" s="4" t="s">
        <v>4866</v>
      </c>
      <c r="P1267" s="4" t="s">
        <v>4862</v>
      </c>
      <c r="Q1267" s="1" t="str">
        <f>_xlfn.XLOOKUP(tblSales[[#This Row],[Channel Code]],tblChannels[Channel Code],tblChannels[Channel Name],"")</f>
        <v>Website &amp; Social Media</v>
      </c>
      <c r="R1267" s="1">
        <f>MONTH(tblSales[[#This Row],[Date]])</f>
        <v>3</v>
      </c>
    </row>
    <row r="1268" spans="2:18" x14ac:dyDescent="0.35">
      <c r="B1268" s="113">
        <v>46101</v>
      </c>
      <c r="C1268" s="4" t="s">
        <v>906</v>
      </c>
      <c r="D1268" s="4" t="s">
        <v>4613</v>
      </c>
      <c r="E1268" s="1" t="str">
        <f>_xlfn.XLOOKUP(tblSales[[#This Row],[Customer ID]],tblCustomers[Customer ID],tblCustomers[Customer Name],"⚠ Unknown")</f>
        <v>PT Mega Prima Distribusi</v>
      </c>
      <c r="F1268" s="4" t="s">
        <v>8</v>
      </c>
      <c r="G1268" s="1" t="str">
        <f>_xlfn.XLOOKUP(tblSales[[#This Row],[Product Code]],tblProducts[Code],tblProducts[Product / Service Name],"⚠ Unknown")</f>
        <v>Casual Shorts</v>
      </c>
      <c r="H1268" s="1" t="str">
        <f>_xlfn.XLOOKUP(tblSales[[#This Row],[Product Code]],tblProducts[Code],tblProducts[Category],"")</f>
        <v>Accessories &amp; Basics</v>
      </c>
      <c r="I1268" s="4">
        <v>8</v>
      </c>
      <c r="J1268" s="5">
        <f>_xlfn.XLOOKUP(tblSales[[#This Row],[Product Code]],tblProducts[Code],tblProducts[Selling Price (excl. VAT)],0)</f>
        <v>85000</v>
      </c>
      <c r="K1268" s="5">
        <f>tblSales[[#This Row],[Qty]]*tblSales[[#This Row],[Unit Price]]</f>
        <v>680000</v>
      </c>
      <c r="L1268" s="5">
        <f>ROUND(tblSales[[#This Row],[DPP (excl. VAT)]]*VATEff,0)</f>
        <v>74800</v>
      </c>
      <c r="M1268" s="5">
        <f>tblSales[[#This Row],[DPP (excl. VAT)]]+tblSales[[#This Row],[Output VAT]]</f>
        <v>754800</v>
      </c>
      <c r="N1268" s="5">
        <f>tblSales[[#This Row],[Qty]]*_xlfn.XLOOKUP(tblSales[[#This Row],[Product Code]],tblProducts[Code],tblProducts[Unit Cost],0)</f>
        <v>400000</v>
      </c>
      <c r="O1268" s="4" t="s">
        <v>4867</v>
      </c>
      <c r="P1268" s="4" t="s">
        <v>4860</v>
      </c>
      <c r="Q1268" s="1" t="str">
        <f>_xlfn.XLOOKUP(tblSales[[#This Row],[Channel Code]],tblChannels[Channel Code],tblChannels[Channel Name],"")</f>
        <v>In-store</v>
      </c>
      <c r="R1268" s="1">
        <f>MONTH(tblSales[[#This Row],[Date]])</f>
        <v>3</v>
      </c>
    </row>
    <row r="1269" spans="2:18" x14ac:dyDescent="0.35">
      <c r="B1269" s="113">
        <v>46101</v>
      </c>
      <c r="C1269" s="4" t="s">
        <v>907</v>
      </c>
      <c r="D1269" s="4" t="s">
        <v>4568</v>
      </c>
      <c r="E1269" s="1" t="str">
        <f>_xlfn.XLOOKUP(tblSales[[#This Row],[Customer ID]],tblCustomers[Customer ID],tblCustomers[Customer Name],"⚠ Unknown")</f>
        <v>Walk-in Customer</v>
      </c>
      <c r="F1269" s="4" t="s">
        <v>6</v>
      </c>
      <c r="G1269" s="1" t="str">
        <f>_xlfn.XLOOKUP(tblSales[[#This Row],[Product Code]],tblProducts[Code],tblProducts[Product / Service Name],"⚠ Unknown")</f>
        <v>Socks &amp; Accessories</v>
      </c>
      <c r="H1269" s="1" t="str">
        <f>_xlfn.XLOOKUP(tblSales[[#This Row],[Product Code]],tblProducts[Code],tblProducts[Category],"")</f>
        <v>Accessories &amp; Basics</v>
      </c>
      <c r="I1269" s="4">
        <v>7</v>
      </c>
      <c r="J1269" s="5">
        <f>_xlfn.XLOOKUP(tblSales[[#This Row],[Product Code]],tblProducts[Code],tblProducts[Selling Price (excl. VAT)],0)</f>
        <v>45000</v>
      </c>
      <c r="K1269" s="5">
        <f>tblSales[[#This Row],[Qty]]*tblSales[[#This Row],[Unit Price]]</f>
        <v>315000</v>
      </c>
      <c r="L1269" s="5">
        <f>ROUND(tblSales[[#This Row],[DPP (excl. VAT)]]*VATEff,0)</f>
        <v>34650</v>
      </c>
      <c r="M1269" s="5">
        <f>tblSales[[#This Row],[DPP (excl. VAT)]]+tblSales[[#This Row],[Output VAT]]</f>
        <v>349650</v>
      </c>
      <c r="N1269" s="5">
        <f>tblSales[[#This Row],[Qty]]*_xlfn.XLOOKUP(tblSales[[#This Row],[Product Code]],tblProducts[Code],tblProducts[Unit Cost],0)</f>
        <v>168000</v>
      </c>
      <c r="O1269" s="4" t="s">
        <v>4866</v>
      </c>
      <c r="P1269" s="4" t="s">
        <v>4861</v>
      </c>
      <c r="Q1269" s="1" t="str">
        <f>_xlfn.XLOOKUP(tblSales[[#This Row],[Channel Code]],tblChannels[Channel Code],tblChannels[Channel Name],"")</f>
        <v>Marketplace</v>
      </c>
      <c r="R1269" s="1">
        <f>MONTH(tblSales[[#This Row],[Date]])</f>
        <v>3</v>
      </c>
    </row>
    <row r="1270" spans="2:18" x14ac:dyDescent="0.35">
      <c r="B1270" s="113">
        <v>46101</v>
      </c>
      <c r="C1270" s="4" t="s">
        <v>908</v>
      </c>
      <c r="D1270" s="4" t="s">
        <v>4568</v>
      </c>
      <c r="E1270" s="1" t="str">
        <f>_xlfn.XLOOKUP(tblSales[[#This Row],[Customer ID]],tblCustomers[Customer ID],tblCustomers[Customer Name],"⚠ Unknown")</f>
        <v>Walk-in Customer</v>
      </c>
      <c r="F1270" s="4" t="s">
        <v>7</v>
      </c>
      <c r="G1270" s="1" t="str">
        <f>_xlfn.XLOOKUP(tblSales[[#This Row],[Product Code]],tblProducts[Code],tblProducts[Product / Service Name],"⚠ Unknown")</f>
        <v>Premium Basic T-shirt</v>
      </c>
      <c r="H1270" s="1" t="str">
        <f>_xlfn.XLOOKUP(tblSales[[#This Row],[Product Code]],tblProducts[Code],tblProducts[Category],"")</f>
        <v>Accessories &amp; Basics</v>
      </c>
      <c r="I1270" s="4">
        <v>8</v>
      </c>
      <c r="J1270" s="5">
        <f>_xlfn.XLOOKUP(tblSales[[#This Row],[Product Code]],tblProducts[Code],tblProducts[Selling Price (excl. VAT)],0)</f>
        <v>65000</v>
      </c>
      <c r="K1270" s="5">
        <f>tblSales[[#This Row],[Qty]]*tblSales[[#This Row],[Unit Price]]</f>
        <v>520000</v>
      </c>
      <c r="L1270" s="5">
        <f>ROUND(tblSales[[#This Row],[DPP (excl. VAT)]]*VATEff,0)</f>
        <v>57200</v>
      </c>
      <c r="M1270" s="5">
        <f>tblSales[[#This Row],[DPP (excl. VAT)]]+tblSales[[#This Row],[Output VAT]]</f>
        <v>577200</v>
      </c>
      <c r="N1270" s="5">
        <f>tblSales[[#This Row],[Qty]]*_xlfn.XLOOKUP(tblSales[[#This Row],[Product Code]],tblProducts[Code],tblProducts[Unit Cost],0)</f>
        <v>296000</v>
      </c>
      <c r="O1270" s="4" t="s">
        <v>4865</v>
      </c>
      <c r="P1270" s="4" t="s">
        <v>4860</v>
      </c>
      <c r="Q1270" s="1" t="str">
        <f>_xlfn.XLOOKUP(tblSales[[#This Row],[Channel Code]],tblChannels[Channel Code],tblChannels[Channel Name],"")</f>
        <v>In-store</v>
      </c>
      <c r="R1270" s="1">
        <f>MONTH(tblSales[[#This Row],[Date]])</f>
        <v>3</v>
      </c>
    </row>
    <row r="1271" spans="2:18" x14ac:dyDescent="0.35">
      <c r="B1271" s="113">
        <v>46101</v>
      </c>
      <c r="C1271" s="4" t="s">
        <v>909</v>
      </c>
      <c r="D1271" s="4" t="s">
        <v>4568</v>
      </c>
      <c r="E1271" s="1" t="str">
        <f>_xlfn.XLOOKUP(tblSales[[#This Row],[Customer ID]],tblCustomers[Customer ID],tblCustomers[Customer Name],"⚠ Unknown")</f>
        <v>Walk-in Customer</v>
      </c>
      <c r="F1271" s="4" t="s">
        <v>6</v>
      </c>
      <c r="G1271" s="1" t="str">
        <f>_xlfn.XLOOKUP(tblSales[[#This Row],[Product Code]],tblProducts[Code],tblProducts[Product / Service Name],"⚠ Unknown")</f>
        <v>Socks &amp; Accessories</v>
      </c>
      <c r="H1271" s="1" t="str">
        <f>_xlfn.XLOOKUP(tblSales[[#This Row],[Product Code]],tblProducts[Code],tblProducts[Category],"")</f>
        <v>Accessories &amp; Basics</v>
      </c>
      <c r="I1271" s="4">
        <v>4</v>
      </c>
      <c r="J1271" s="5">
        <f>_xlfn.XLOOKUP(tblSales[[#This Row],[Product Code]],tblProducts[Code],tblProducts[Selling Price (excl. VAT)],0)</f>
        <v>45000</v>
      </c>
      <c r="K1271" s="5">
        <f>tblSales[[#This Row],[Qty]]*tblSales[[#This Row],[Unit Price]]</f>
        <v>180000</v>
      </c>
      <c r="L1271" s="5">
        <f>ROUND(tblSales[[#This Row],[DPP (excl. VAT)]]*VATEff,0)</f>
        <v>19800</v>
      </c>
      <c r="M1271" s="5">
        <f>tblSales[[#This Row],[DPP (excl. VAT)]]+tblSales[[#This Row],[Output VAT]]</f>
        <v>199800</v>
      </c>
      <c r="N1271" s="5">
        <f>tblSales[[#This Row],[Qty]]*_xlfn.XLOOKUP(tblSales[[#This Row],[Product Code]],tblProducts[Code],tblProducts[Unit Cost],0)</f>
        <v>96000</v>
      </c>
      <c r="O1271" s="4" t="s">
        <v>4866</v>
      </c>
      <c r="P1271" s="4" t="s">
        <v>4861</v>
      </c>
      <c r="Q1271" s="1" t="str">
        <f>_xlfn.XLOOKUP(tblSales[[#This Row],[Channel Code]],tblChannels[Channel Code],tblChannels[Channel Name],"")</f>
        <v>Marketplace</v>
      </c>
      <c r="R1271" s="1">
        <f>MONTH(tblSales[[#This Row],[Date]])</f>
        <v>3</v>
      </c>
    </row>
    <row r="1272" spans="2:18" x14ac:dyDescent="0.35">
      <c r="B1272" s="113">
        <v>46101</v>
      </c>
      <c r="C1272" s="4" t="s">
        <v>910</v>
      </c>
      <c r="D1272" s="4" t="s">
        <v>4568</v>
      </c>
      <c r="E1272" s="1" t="str">
        <f>_xlfn.XLOOKUP(tblSales[[#This Row],[Customer ID]],tblCustomers[Customer ID],tblCustomers[Customer Name],"⚠ Unknown")</f>
        <v>Walk-in Customer</v>
      </c>
      <c r="F1272" s="4" t="s">
        <v>9</v>
      </c>
      <c r="G1272" s="1" t="str">
        <f>_xlfn.XLOOKUP(tblSales[[#This Row],[Product Code]],tblProducts[Code],tblProducts[Product / Service Name],"⚠ Unknown")</f>
        <v>Casual Shirt</v>
      </c>
      <c r="H1272" s="1" t="str">
        <f>_xlfn.XLOOKUP(tblSales[[#This Row],[Product Code]],tblProducts[Code],tblProducts[Category],"")</f>
        <v>Apparel &amp; Footwear</v>
      </c>
      <c r="I1272" s="4">
        <v>10</v>
      </c>
      <c r="J1272" s="5">
        <f>_xlfn.XLOOKUP(tblSales[[#This Row],[Product Code]],tblProducts[Code],tblProducts[Selling Price (excl. VAT)],0)</f>
        <v>120000</v>
      </c>
      <c r="K1272" s="5">
        <f>tblSales[[#This Row],[Qty]]*tblSales[[#This Row],[Unit Price]]</f>
        <v>1200000</v>
      </c>
      <c r="L1272" s="5">
        <f>ROUND(tblSales[[#This Row],[DPP (excl. VAT)]]*VATEff,0)</f>
        <v>132000</v>
      </c>
      <c r="M1272" s="5">
        <f>tblSales[[#This Row],[DPP (excl. VAT)]]+tblSales[[#This Row],[Output VAT]]</f>
        <v>1332000</v>
      </c>
      <c r="N1272" s="5">
        <f>tblSales[[#This Row],[Qty]]*_xlfn.XLOOKUP(tblSales[[#This Row],[Product Code]],tblProducts[Code],tblProducts[Unit Cost],0)</f>
        <v>720000</v>
      </c>
      <c r="O1272" s="4" t="s">
        <v>4866</v>
      </c>
      <c r="P1272" s="4" t="s">
        <v>4862</v>
      </c>
      <c r="Q1272" s="1" t="str">
        <f>_xlfn.XLOOKUP(tblSales[[#This Row],[Channel Code]],tblChannels[Channel Code],tblChannels[Channel Name],"")</f>
        <v>Website &amp; Social Media</v>
      </c>
      <c r="R1272" s="1">
        <f>MONTH(tblSales[[#This Row],[Date]])</f>
        <v>3</v>
      </c>
    </row>
    <row r="1273" spans="2:18" x14ac:dyDescent="0.35">
      <c r="B1273" s="113">
        <v>46101</v>
      </c>
      <c r="C1273" s="4" t="s">
        <v>911</v>
      </c>
      <c r="D1273" s="4" t="s">
        <v>4568</v>
      </c>
      <c r="E1273" s="1" t="str">
        <f>_xlfn.XLOOKUP(tblSales[[#This Row],[Customer ID]],tblCustomers[Customer ID],tblCustomers[Customer Name],"⚠ Unknown")</f>
        <v>Walk-in Customer</v>
      </c>
      <c r="F1273" s="4" t="s">
        <v>9</v>
      </c>
      <c r="G1273" s="1" t="str">
        <f>_xlfn.XLOOKUP(tblSales[[#This Row],[Product Code]],tblProducts[Code],tblProducts[Product / Service Name],"⚠ Unknown")</f>
        <v>Casual Shirt</v>
      </c>
      <c r="H1273" s="1" t="str">
        <f>_xlfn.XLOOKUP(tblSales[[#This Row],[Product Code]],tblProducts[Code],tblProducts[Category],"")</f>
        <v>Apparel &amp; Footwear</v>
      </c>
      <c r="I1273" s="4">
        <v>5</v>
      </c>
      <c r="J1273" s="5">
        <f>_xlfn.XLOOKUP(tblSales[[#This Row],[Product Code]],tblProducts[Code],tblProducts[Selling Price (excl. VAT)],0)</f>
        <v>120000</v>
      </c>
      <c r="K1273" s="5">
        <f>tblSales[[#This Row],[Qty]]*tblSales[[#This Row],[Unit Price]]</f>
        <v>600000</v>
      </c>
      <c r="L1273" s="5">
        <f>ROUND(tblSales[[#This Row],[DPP (excl. VAT)]]*VATEff,0)</f>
        <v>66000</v>
      </c>
      <c r="M1273" s="5">
        <f>tblSales[[#This Row],[DPP (excl. VAT)]]+tblSales[[#This Row],[Output VAT]]</f>
        <v>666000</v>
      </c>
      <c r="N1273" s="5">
        <f>tblSales[[#This Row],[Qty]]*_xlfn.XLOOKUP(tblSales[[#This Row],[Product Code]],tblProducts[Code],tblProducts[Unit Cost],0)</f>
        <v>360000</v>
      </c>
      <c r="O1273" s="4" t="s">
        <v>4866</v>
      </c>
      <c r="P1273" s="4" t="s">
        <v>4861</v>
      </c>
      <c r="Q1273" s="1" t="str">
        <f>_xlfn.XLOOKUP(tblSales[[#This Row],[Channel Code]],tblChannels[Channel Code],tblChannels[Channel Name],"")</f>
        <v>Marketplace</v>
      </c>
      <c r="R1273" s="1">
        <f>MONTH(tblSales[[#This Row],[Date]])</f>
        <v>3</v>
      </c>
    </row>
    <row r="1274" spans="2:18" x14ac:dyDescent="0.35">
      <c r="B1274" s="113">
        <v>46101</v>
      </c>
      <c r="C1274" s="4" t="s">
        <v>912</v>
      </c>
      <c r="D1274" s="4" t="s">
        <v>4568</v>
      </c>
      <c r="E1274" s="1" t="str">
        <f>_xlfn.XLOOKUP(tblSales[[#This Row],[Customer ID]],tblCustomers[Customer ID],tblCustomers[Customer Name],"⚠ Unknown")</f>
        <v>Walk-in Customer</v>
      </c>
      <c r="F1274" s="4" t="s">
        <v>13</v>
      </c>
      <c r="G1274" s="1" t="str">
        <f>_xlfn.XLOOKUP(tblSales[[#This Row],[Product Code]],tblProducts[Code],tblProducts[Product / Service Name],"⚠ Unknown")</f>
        <v>Backpack</v>
      </c>
      <c r="H1274" s="1" t="str">
        <f>_xlfn.XLOOKUP(tblSales[[#This Row],[Product Code]],tblProducts[Code],tblProducts[Category],"")</f>
        <v>Bags &amp; Gadgets</v>
      </c>
      <c r="I1274" s="4">
        <v>1</v>
      </c>
      <c r="J1274" s="5">
        <f>_xlfn.XLOOKUP(tblSales[[#This Row],[Product Code]],tblProducts[Code],tblProducts[Selling Price (excl. VAT)],0)</f>
        <v>500000</v>
      </c>
      <c r="K1274" s="5">
        <f>tblSales[[#This Row],[Qty]]*tblSales[[#This Row],[Unit Price]]</f>
        <v>500000</v>
      </c>
      <c r="L1274" s="5">
        <f>ROUND(tblSales[[#This Row],[DPP (excl. VAT)]]*VATEff,0)</f>
        <v>55000</v>
      </c>
      <c r="M1274" s="5">
        <f>tblSales[[#This Row],[DPP (excl. VAT)]]+tblSales[[#This Row],[Output VAT]]</f>
        <v>555000</v>
      </c>
      <c r="N1274" s="5">
        <f>tblSales[[#This Row],[Qty]]*_xlfn.XLOOKUP(tblSales[[#This Row],[Product Code]],tblProducts[Code],tblProducts[Unit Cost],0)</f>
        <v>290000</v>
      </c>
      <c r="O1274" s="4" t="s">
        <v>4866</v>
      </c>
      <c r="P1274" s="4" t="s">
        <v>4861</v>
      </c>
      <c r="Q1274" s="1" t="str">
        <f>_xlfn.XLOOKUP(tblSales[[#This Row],[Channel Code]],tblChannels[Channel Code],tblChannels[Channel Name],"")</f>
        <v>Marketplace</v>
      </c>
      <c r="R1274" s="1">
        <f>MONTH(tblSales[[#This Row],[Date]])</f>
        <v>3</v>
      </c>
    </row>
    <row r="1275" spans="2:18" x14ac:dyDescent="0.35">
      <c r="B1275" s="113">
        <v>46101</v>
      </c>
      <c r="C1275" s="4" t="s">
        <v>913</v>
      </c>
      <c r="D1275" s="4" t="s">
        <v>4593</v>
      </c>
      <c r="E1275" s="1" t="str">
        <f>_xlfn.XLOOKUP(tblSales[[#This Row],[Customer ID]],tblCustomers[Customer ID],tblCustomers[Customer Name],"⚠ Unknown")</f>
        <v>PT Graha Nusa Persada</v>
      </c>
      <c r="F1275" s="4" t="s">
        <v>14</v>
      </c>
      <c r="G1275" s="1" t="str">
        <f>_xlfn.XLOOKUP(tblSales[[#This Row],[Product Code]],tblProducts[Code],tblProducts[Product / Service Name],"⚠ Unknown")</f>
        <v>Smartwatch</v>
      </c>
      <c r="H1275" s="1" t="str">
        <f>_xlfn.XLOOKUP(tblSales[[#This Row],[Product Code]],tblProducts[Code],tblProducts[Category],"")</f>
        <v>Bags &amp; Gadgets</v>
      </c>
      <c r="I1275" s="4">
        <v>24</v>
      </c>
      <c r="J1275" s="5">
        <f>_xlfn.XLOOKUP(tblSales[[#This Row],[Product Code]],tblProducts[Code],tblProducts[Selling Price (excl. VAT)],0)</f>
        <v>850000</v>
      </c>
      <c r="K1275" s="5">
        <f>tblSales[[#This Row],[Qty]]*tblSales[[#This Row],[Unit Price]]</f>
        <v>20400000</v>
      </c>
      <c r="L1275" s="5">
        <f>ROUND(tblSales[[#This Row],[DPP (excl. VAT)]]*VATEff,0)</f>
        <v>2244000</v>
      </c>
      <c r="M1275" s="5">
        <f>tblSales[[#This Row],[DPP (excl. VAT)]]+tblSales[[#This Row],[Output VAT]]</f>
        <v>22644000</v>
      </c>
      <c r="N1275" s="5">
        <f>tblSales[[#This Row],[Qty]]*_xlfn.XLOOKUP(tblSales[[#This Row],[Product Code]],tblProducts[Code],tblProducts[Unit Cost],0)</f>
        <v>13440000</v>
      </c>
      <c r="O1275" s="4" t="s">
        <v>4867</v>
      </c>
      <c r="P1275" s="4" t="s">
        <v>4860</v>
      </c>
      <c r="Q1275" s="1" t="str">
        <f>_xlfn.XLOOKUP(tblSales[[#This Row],[Channel Code]],tblChannels[Channel Code],tblChannels[Channel Name],"")</f>
        <v>In-store</v>
      </c>
      <c r="R1275" s="1">
        <f>MONTH(tblSales[[#This Row],[Date]])</f>
        <v>3</v>
      </c>
    </row>
    <row r="1276" spans="2:18" x14ac:dyDescent="0.35">
      <c r="B1276" s="113">
        <v>46101</v>
      </c>
      <c r="C1276" s="4" t="s">
        <v>913</v>
      </c>
      <c r="D1276" s="4" t="s">
        <v>4593</v>
      </c>
      <c r="E1276" s="1" t="str">
        <f>_xlfn.XLOOKUP(tblSales[[#This Row],[Customer ID]],tblCustomers[Customer ID],tblCustomers[Customer Name],"⚠ Unknown")</f>
        <v>PT Graha Nusa Persada</v>
      </c>
      <c r="F1276" s="4" t="s">
        <v>10</v>
      </c>
      <c r="G1276" s="1" t="str">
        <f>_xlfn.XLOOKUP(tblSales[[#This Row],[Product Code]],tblProducts[Code],tblProducts[Product / Service Name],"⚠ Unknown")</f>
        <v>Chino Pants</v>
      </c>
      <c r="H1276" s="1" t="str">
        <f>_xlfn.XLOOKUP(tblSales[[#This Row],[Product Code]],tblProducts[Code],tblProducts[Category],"")</f>
        <v>Apparel &amp; Footwear</v>
      </c>
      <c r="I1276" s="4">
        <v>72</v>
      </c>
      <c r="J1276" s="5">
        <f>_xlfn.XLOOKUP(tblSales[[#This Row],[Product Code]],tblProducts[Code],tblProducts[Selling Price (excl. VAT)],0)</f>
        <v>150000</v>
      </c>
      <c r="K1276" s="5">
        <f>tblSales[[#This Row],[Qty]]*tblSales[[#This Row],[Unit Price]]</f>
        <v>10800000</v>
      </c>
      <c r="L1276" s="5">
        <f>ROUND(tblSales[[#This Row],[DPP (excl. VAT)]]*VATEff,0)</f>
        <v>1188000</v>
      </c>
      <c r="M1276" s="5">
        <f>tblSales[[#This Row],[DPP (excl. VAT)]]+tblSales[[#This Row],[Output VAT]]</f>
        <v>11988000</v>
      </c>
      <c r="N1276" s="5">
        <f>tblSales[[#This Row],[Qty]]*_xlfn.XLOOKUP(tblSales[[#This Row],[Product Code]],tblProducts[Code],tblProducts[Unit Cost],0)</f>
        <v>6336000</v>
      </c>
      <c r="O1276" s="4" t="s">
        <v>4867</v>
      </c>
      <c r="P1276" s="4" t="s">
        <v>4860</v>
      </c>
      <c r="Q1276" s="1" t="str">
        <f>_xlfn.XLOOKUP(tblSales[[#This Row],[Channel Code]],tblChannels[Channel Code],tblChannels[Channel Name],"")</f>
        <v>In-store</v>
      </c>
      <c r="R1276" s="1">
        <f>MONTH(tblSales[[#This Row],[Date]])</f>
        <v>3</v>
      </c>
    </row>
    <row r="1277" spans="2:18" x14ac:dyDescent="0.35">
      <c r="B1277" s="113">
        <v>46101</v>
      </c>
      <c r="C1277" s="4" t="s">
        <v>914</v>
      </c>
      <c r="D1277" s="4" t="s">
        <v>4627</v>
      </c>
      <c r="E1277" s="1" t="str">
        <f>_xlfn.XLOOKUP(tblSales[[#This Row],[Customer ID]],tblCustomers[Customer ID],tblCustomers[Customer Name],"⚠ Unknown")</f>
        <v>PT Kencana Wira Usaha</v>
      </c>
      <c r="F1277" s="4" t="s">
        <v>10</v>
      </c>
      <c r="G1277" s="1" t="str">
        <f>_xlfn.XLOOKUP(tblSales[[#This Row],[Product Code]],tblProducts[Code],tblProducts[Product / Service Name],"⚠ Unknown")</f>
        <v>Chino Pants</v>
      </c>
      <c r="H1277" s="1" t="str">
        <f>_xlfn.XLOOKUP(tblSales[[#This Row],[Product Code]],tblProducts[Code],tblProducts[Category],"")</f>
        <v>Apparel &amp; Footwear</v>
      </c>
      <c r="I1277" s="4">
        <v>96</v>
      </c>
      <c r="J1277" s="5">
        <f>_xlfn.XLOOKUP(tblSales[[#This Row],[Product Code]],tblProducts[Code],tblProducts[Selling Price (excl. VAT)],0)</f>
        <v>150000</v>
      </c>
      <c r="K1277" s="5">
        <f>tblSales[[#This Row],[Qty]]*tblSales[[#This Row],[Unit Price]]</f>
        <v>14400000</v>
      </c>
      <c r="L1277" s="5">
        <f>ROUND(tblSales[[#This Row],[DPP (excl. VAT)]]*VATEff,0)</f>
        <v>1584000</v>
      </c>
      <c r="M1277" s="5">
        <f>tblSales[[#This Row],[DPP (excl. VAT)]]+tblSales[[#This Row],[Output VAT]]</f>
        <v>15984000</v>
      </c>
      <c r="N1277" s="5">
        <f>tblSales[[#This Row],[Qty]]*_xlfn.XLOOKUP(tblSales[[#This Row],[Product Code]],tblProducts[Code],tblProducts[Unit Cost],0)</f>
        <v>8448000</v>
      </c>
      <c r="O1277" s="4" t="s">
        <v>4867</v>
      </c>
      <c r="P1277" s="4" t="s">
        <v>4862</v>
      </c>
      <c r="Q1277" s="1" t="str">
        <f>_xlfn.XLOOKUP(tblSales[[#This Row],[Channel Code]],tblChannels[Channel Code],tblChannels[Channel Name],"")</f>
        <v>Website &amp; Social Media</v>
      </c>
      <c r="R1277" s="1">
        <f>MONTH(tblSales[[#This Row],[Date]])</f>
        <v>3</v>
      </c>
    </row>
    <row r="1278" spans="2:18" x14ac:dyDescent="0.35">
      <c r="B1278" s="113">
        <v>46101</v>
      </c>
      <c r="C1278" s="4" t="s">
        <v>914</v>
      </c>
      <c r="D1278" s="4" t="s">
        <v>4627</v>
      </c>
      <c r="E1278" s="1" t="str">
        <f>_xlfn.XLOOKUP(tblSales[[#This Row],[Customer ID]],tblCustomers[Customer ID],tblCustomers[Customer Name],"⚠ Unknown")</f>
        <v>PT Kencana Wira Usaha</v>
      </c>
      <c r="F1278" s="4" t="s">
        <v>6</v>
      </c>
      <c r="G1278" s="1" t="str">
        <f>_xlfn.XLOOKUP(tblSales[[#This Row],[Product Code]],tblProducts[Code],tblProducts[Product / Service Name],"⚠ Unknown")</f>
        <v>Socks &amp; Accessories</v>
      </c>
      <c r="H1278" s="1" t="str">
        <f>_xlfn.XLOOKUP(tblSales[[#This Row],[Product Code]],tblProducts[Code],tblProducts[Category],"")</f>
        <v>Accessories &amp; Basics</v>
      </c>
      <c r="I1278" s="4">
        <v>72</v>
      </c>
      <c r="J1278" s="5">
        <f>_xlfn.XLOOKUP(tblSales[[#This Row],[Product Code]],tblProducts[Code],tblProducts[Selling Price (excl. VAT)],0)</f>
        <v>45000</v>
      </c>
      <c r="K1278" s="5">
        <f>tblSales[[#This Row],[Qty]]*tblSales[[#This Row],[Unit Price]]</f>
        <v>3240000</v>
      </c>
      <c r="L1278" s="5">
        <f>ROUND(tblSales[[#This Row],[DPP (excl. VAT)]]*VATEff,0)</f>
        <v>356400</v>
      </c>
      <c r="M1278" s="5">
        <f>tblSales[[#This Row],[DPP (excl. VAT)]]+tblSales[[#This Row],[Output VAT]]</f>
        <v>3596400</v>
      </c>
      <c r="N1278" s="5">
        <f>tblSales[[#This Row],[Qty]]*_xlfn.XLOOKUP(tblSales[[#This Row],[Product Code]],tblProducts[Code],tblProducts[Unit Cost],0)</f>
        <v>1728000</v>
      </c>
      <c r="O1278" s="4" t="s">
        <v>4867</v>
      </c>
      <c r="P1278" s="4" t="s">
        <v>4862</v>
      </c>
      <c r="Q1278" s="1" t="str">
        <f>_xlfn.XLOOKUP(tblSales[[#This Row],[Channel Code]],tblChannels[Channel Code],tblChannels[Channel Name],"")</f>
        <v>Website &amp; Social Media</v>
      </c>
      <c r="R1278" s="1">
        <f>MONTH(tblSales[[#This Row],[Date]])</f>
        <v>3</v>
      </c>
    </row>
    <row r="1279" spans="2:18" x14ac:dyDescent="0.35">
      <c r="B1279" s="113">
        <v>46101</v>
      </c>
      <c r="C1279" s="4" t="s">
        <v>915</v>
      </c>
      <c r="D1279" s="4" t="s">
        <v>4568</v>
      </c>
      <c r="E1279" s="1" t="str">
        <f>_xlfn.XLOOKUP(tblSales[[#This Row],[Customer ID]],tblCustomers[Customer ID],tblCustomers[Customer Name],"⚠ Unknown")</f>
        <v>Walk-in Customer</v>
      </c>
      <c r="F1279" s="4" t="s">
        <v>8</v>
      </c>
      <c r="G1279" s="1" t="str">
        <f>_xlfn.XLOOKUP(tblSales[[#This Row],[Product Code]],tblProducts[Code],tblProducts[Product / Service Name],"⚠ Unknown")</f>
        <v>Casual Shorts</v>
      </c>
      <c r="H1279" s="1" t="str">
        <f>_xlfn.XLOOKUP(tblSales[[#This Row],[Product Code]],tblProducts[Code],tblProducts[Category],"")</f>
        <v>Accessories &amp; Basics</v>
      </c>
      <c r="I1279" s="4">
        <v>1</v>
      </c>
      <c r="J1279" s="5">
        <f>_xlfn.XLOOKUP(tblSales[[#This Row],[Product Code]],tblProducts[Code],tblProducts[Selling Price (excl. VAT)],0)</f>
        <v>85000</v>
      </c>
      <c r="K1279" s="5">
        <f>tblSales[[#This Row],[Qty]]*tblSales[[#This Row],[Unit Price]]</f>
        <v>85000</v>
      </c>
      <c r="L1279" s="5">
        <f>ROUND(tblSales[[#This Row],[DPP (excl. VAT)]]*VATEff,0)</f>
        <v>9350</v>
      </c>
      <c r="M1279" s="5">
        <f>tblSales[[#This Row],[DPP (excl. VAT)]]+tblSales[[#This Row],[Output VAT]]</f>
        <v>94350</v>
      </c>
      <c r="N1279" s="5">
        <f>tblSales[[#This Row],[Qty]]*_xlfn.XLOOKUP(tblSales[[#This Row],[Product Code]],tblProducts[Code],tblProducts[Unit Cost],0)</f>
        <v>50000</v>
      </c>
      <c r="O1279" s="4" t="s">
        <v>4866</v>
      </c>
      <c r="P1279" s="4" t="s">
        <v>4861</v>
      </c>
      <c r="Q1279" s="1" t="str">
        <f>_xlfn.XLOOKUP(tblSales[[#This Row],[Channel Code]],tblChannels[Channel Code],tblChannels[Channel Name],"")</f>
        <v>Marketplace</v>
      </c>
      <c r="R1279" s="1">
        <f>MONTH(tblSales[[#This Row],[Date]])</f>
        <v>3</v>
      </c>
    </row>
    <row r="1280" spans="2:18" x14ac:dyDescent="0.35">
      <c r="B1280" s="113">
        <v>46101</v>
      </c>
      <c r="C1280" s="4" t="s">
        <v>915</v>
      </c>
      <c r="D1280" s="4" t="s">
        <v>4568</v>
      </c>
      <c r="E1280" s="1" t="str">
        <f>_xlfn.XLOOKUP(tblSales[[#This Row],[Customer ID]],tblCustomers[Customer ID],tblCustomers[Customer Name],"⚠ Unknown")</f>
        <v>Walk-in Customer</v>
      </c>
      <c r="F1280" s="4" t="s">
        <v>9</v>
      </c>
      <c r="G1280" s="1" t="str">
        <f>_xlfn.XLOOKUP(tblSales[[#This Row],[Product Code]],tblProducts[Code],tblProducts[Product / Service Name],"⚠ Unknown")</f>
        <v>Casual Shirt</v>
      </c>
      <c r="H1280" s="1" t="str">
        <f>_xlfn.XLOOKUP(tblSales[[#This Row],[Product Code]],tblProducts[Code],tblProducts[Category],"")</f>
        <v>Apparel &amp; Footwear</v>
      </c>
      <c r="I1280" s="4">
        <v>11</v>
      </c>
      <c r="J1280" s="5">
        <f>_xlfn.XLOOKUP(tblSales[[#This Row],[Product Code]],tblProducts[Code],tblProducts[Selling Price (excl. VAT)],0)</f>
        <v>120000</v>
      </c>
      <c r="K1280" s="5">
        <f>tblSales[[#This Row],[Qty]]*tblSales[[#This Row],[Unit Price]]</f>
        <v>1320000</v>
      </c>
      <c r="L1280" s="5">
        <f>ROUND(tblSales[[#This Row],[DPP (excl. VAT)]]*VATEff,0)</f>
        <v>145200</v>
      </c>
      <c r="M1280" s="5">
        <f>tblSales[[#This Row],[DPP (excl. VAT)]]+tblSales[[#This Row],[Output VAT]]</f>
        <v>1465200</v>
      </c>
      <c r="N1280" s="5">
        <f>tblSales[[#This Row],[Qty]]*_xlfn.XLOOKUP(tblSales[[#This Row],[Product Code]],tblProducts[Code],tblProducts[Unit Cost],0)</f>
        <v>792000</v>
      </c>
      <c r="O1280" s="4" t="s">
        <v>4866</v>
      </c>
      <c r="P1280" s="4" t="s">
        <v>4861</v>
      </c>
      <c r="Q1280" s="1" t="str">
        <f>_xlfn.XLOOKUP(tblSales[[#This Row],[Channel Code]],tblChannels[Channel Code],tblChannels[Channel Name],"")</f>
        <v>Marketplace</v>
      </c>
      <c r="R1280" s="1">
        <f>MONTH(tblSales[[#This Row],[Date]])</f>
        <v>3</v>
      </c>
    </row>
    <row r="1281" spans="2:18" x14ac:dyDescent="0.35">
      <c r="B1281" s="113">
        <v>46101</v>
      </c>
      <c r="C1281" s="4" t="s">
        <v>916</v>
      </c>
      <c r="D1281" s="4" t="s">
        <v>4578</v>
      </c>
      <c r="E1281" s="1" t="str">
        <f>_xlfn.XLOOKUP(tblSales[[#This Row],[Customer ID]],tblCustomers[Customer ID],tblCustomers[Customer Name],"⚠ Unknown")</f>
        <v>PT Bintang Timur Sejahtera</v>
      </c>
      <c r="F1281" s="4" t="s">
        <v>10</v>
      </c>
      <c r="G1281" s="1" t="str">
        <f>_xlfn.XLOOKUP(tblSales[[#This Row],[Product Code]],tblProducts[Code],tblProducts[Product / Service Name],"⚠ Unknown")</f>
        <v>Chino Pants</v>
      </c>
      <c r="H1281" s="1" t="str">
        <f>_xlfn.XLOOKUP(tblSales[[#This Row],[Product Code]],tblProducts[Code],tblProducts[Category],"")</f>
        <v>Apparel &amp; Footwear</v>
      </c>
      <c r="I1281" s="4">
        <v>80</v>
      </c>
      <c r="J1281" s="5">
        <f>_xlfn.XLOOKUP(tblSales[[#This Row],[Product Code]],tblProducts[Code],tblProducts[Selling Price (excl. VAT)],0)</f>
        <v>150000</v>
      </c>
      <c r="K1281" s="5">
        <f>tblSales[[#This Row],[Qty]]*tblSales[[#This Row],[Unit Price]]</f>
        <v>12000000</v>
      </c>
      <c r="L1281" s="5">
        <f>ROUND(tblSales[[#This Row],[DPP (excl. VAT)]]*VATEff,0)</f>
        <v>1320000</v>
      </c>
      <c r="M1281" s="5">
        <f>tblSales[[#This Row],[DPP (excl. VAT)]]+tblSales[[#This Row],[Output VAT]]</f>
        <v>13320000</v>
      </c>
      <c r="N1281" s="5">
        <f>tblSales[[#This Row],[Qty]]*_xlfn.XLOOKUP(tblSales[[#This Row],[Product Code]],tblProducts[Code],tblProducts[Unit Cost],0)</f>
        <v>7040000</v>
      </c>
      <c r="O1281" s="4" t="s">
        <v>4867</v>
      </c>
      <c r="P1281" s="4" t="s">
        <v>4862</v>
      </c>
      <c r="Q1281" s="1" t="str">
        <f>_xlfn.XLOOKUP(tblSales[[#This Row],[Channel Code]],tblChannels[Channel Code],tblChannels[Channel Name],"")</f>
        <v>Website &amp; Social Media</v>
      </c>
      <c r="R1281" s="1">
        <f>MONTH(tblSales[[#This Row],[Date]])</f>
        <v>3</v>
      </c>
    </row>
    <row r="1282" spans="2:18" x14ac:dyDescent="0.35">
      <c r="B1282" s="113">
        <v>46101</v>
      </c>
      <c r="C1282" s="4" t="s">
        <v>917</v>
      </c>
      <c r="D1282" s="4" t="s">
        <v>4634</v>
      </c>
      <c r="E1282" s="1" t="str">
        <f>_xlfn.XLOOKUP(tblSales[[#This Row],[Customer ID]],tblCustomers[Customer ID],tblCustomers[Customer Name],"⚠ Unknown")</f>
        <v>PT Delta Inti Selaras</v>
      </c>
      <c r="F1282" s="4" t="s">
        <v>10</v>
      </c>
      <c r="G1282" s="1" t="str">
        <f>_xlfn.XLOOKUP(tblSales[[#This Row],[Product Code]],tblProducts[Code],tblProducts[Product / Service Name],"⚠ Unknown")</f>
        <v>Chino Pants</v>
      </c>
      <c r="H1282" s="1" t="str">
        <f>_xlfn.XLOOKUP(tblSales[[#This Row],[Product Code]],tblProducts[Code],tblProducts[Category],"")</f>
        <v>Apparel &amp; Footwear</v>
      </c>
      <c r="I1282" s="4">
        <v>80</v>
      </c>
      <c r="J1282" s="5">
        <f>_xlfn.XLOOKUP(tblSales[[#This Row],[Product Code]],tblProducts[Code],tblProducts[Selling Price (excl. VAT)],0)</f>
        <v>150000</v>
      </c>
      <c r="K1282" s="5">
        <f>tblSales[[#This Row],[Qty]]*tblSales[[#This Row],[Unit Price]]</f>
        <v>12000000</v>
      </c>
      <c r="L1282" s="5">
        <f>ROUND(tblSales[[#This Row],[DPP (excl. VAT)]]*VATEff,0)</f>
        <v>1320000</v>
      </c>
      <c r="M1282" s="5">
        <f>tblSales[[#This Row],[DPP (excl. VAT)]]+tblSales[[#This Row],[Output VAT]]</f>
        <v>13320000</v>
      </c>
      <c r="N1282" s="5">
        <f>tblSales[[#This Row],[Qty]]*_xlfn.XLOOKUP(tblSales[[#This Row],[Product Code]],tblProducts[Code],tblProducts[Unit Cost],0)</f>
        <v>7040000</v>
      </c>
      <c r="O1282" s="4" t="s">
        <v>4867</v>
      </c>
      <c r="P1282" s="4" t="s">
        <v>4860</v>
      </c>
      <c r="Q1282" s="1" t="str">
        <f>_xlfn.XLOOKUP(tblSales[[#This Row],[Channel Code]],tblChannels[Channel Code],tblChannels[Channel Name],"")</f>
        <v>In-store</v>
      </c>
      <c r="R1282" s="1">
        <f>MONTH(tblSales[[#This Row],[Date]])</f>
        <v>3</v>
      </c>
    </row>
    <row r="1283" spans="2:18" x14ac:dyDescent="0.35">
      <c r="B1283" s="113">
        <v>46101</v>
      </c>
      <c r="C1283" s="4" t="s">
        <v>918</v>
      </c>
      <c r="D1283" s="4" t="s">
        <v>4572</v>
      </c>
      <c r="E1283" s="1" t="str">
        <f>_xlfn.XLOOKUP(tblSales[[#This Row],[Customer ID]],tblCustomers[Customer ID],tblCustomers[Customer Name],"⚠ Unknown")</f>
        <v>PT Cahaya Abadi Makmur</v>
      </c>
      <c r="F1283" s="4" t="s">
        <v>10</v>
      </c>
      <c r="G1283" s="1" t="str">
        <f>_xlfn.XLOOKUP(tblSales[[#This Row],[Product Code]],tblProducts[Code],tblProducts[Product / Service Name],"⚠ Unknown")</f>
        <v>Chino Pants</v>
      </c>
      <c r="H1283" s="1" t="str">
        <f>_xlfn.XLOOKUP(tblSales[[#This Row],[Product Code]],tblProducts[Code],tblProducts[Category],"")</f>
        <v>Apparel &amp; Footwear</v>
      </c>
      <c r="I1283" s="4">
        <v>64</v>
      </c>
      <c r="J1283" s="5">
        <f>_xlfn.XLOOKUP(tblSales[[#This Row],[Product Code]],tblProducts[Code],tblProducts[Selling Price (excl. VAT)],0)</f>
        <v>150000</v>
      </c>
      <c r="K1283" s="5">
        <f>tblSales[[#This Row],[Qty]]*tblSales[[#This Row],[Unit Price]]</f>
        <v>9600000</v>
      </c>
      <c r="L1283" s="5">
        <f>ROUND(tblSales[[#This Row],[DPP (excl. VAT)]]*VATEff,0)</f>
        <v>1056000</v>
      </c>
      <c r="M1283" s="5">
        <f>tblSales[[#This Row],[DPP (excl. VAT)]]+tblSales[[#This Row],[Output VAT]]</f>
        <v>10656000</v>
      </c>
      <c r="N1283" s="5">
        <f>tblSales[[#This Row],[Qty]]*_xlfn.XLOOKUP(tblSales[[#This Row],[Product Code]],tblProducts[Code],tblProducts[Unit Cost],0)</f>
        <v>5632000</v>
      </c>
      <c r="O1283" s="4" t="s">
        <v>4867</v>
      </c>
      <c r="P1283" s="4" t="s">
        <v>4860</v>
      </c>
      <c r="Q1283" s="1" t="str">
        <f>_xlfn.XLOOKUP(tblSales[[#This Row],[Channel Code]],tblChannels[Channel Code],tblChannels[Channel Name],"")</f>
        <v>In-store</v>
      </c>
      <c r="R1283" s="1">
        <f>MONTH(tblSales[[#This Row],[Date]])</f>
        <v>3</v>
      </c>
    </row>
    <row r="1284" spans="2:18" x14ac:dyDescent="0.35">
      <c r="B1284" s="113">
        <v>46102</v>
      </c>
      <c r="C1284" s="4" t="s">
        <v>919</v>
      </c>
      <c r="D1284" s="4" t="s">
        <v>4568</v>
      </c>
      <c r="E1284" s="1" t="str">
        <f>_xlfn.XLOOKUP(tblSales[[#This Row],[Customer ID]],tblCustomers[Customer ID],tblCustomers[Customer Name],"⚠ Unknown")</f>
        <v>Walk-in Customer</v>
      </c>
      <c r="F1284" s="4" t="s">
        <v>7</v>
      </c>
      <c r="G1284" s="1" t="str">
        <f>_xlfn.XLOOKUP(tblSales[[#This Row],[Product Code]],tblProducts[Code],tblProducts[Product / Service Name],"⚠ Unknown")</f>
        <v>Premium Basic T-shirt</v>
      </c>
      <c r="H1284" s="1" t="str">
        <f>_xlfn.XLOOKUP(tblSales[[#This Row],[Product Code]],tblProducts[Code],tblProducts[Category],"")</f>
        <v>Accessories &amp; Basics</v>
      </c>
      <c r="I1284" s="4">
        <v>7</v>
      </c>
      <c r="J1284" s="5">
        <f>_xlfn.XLOOKUP(tblSales[[#This Row],[Product Code]],tblProducts[Code],tblProducts[Selling Price (excl. VAT)],0)</f>
        <v>65000</v>
      </c>
      <c r="K1284" s="5">
        <f>tblSales[[#This Row],[Qty]]*tblSales[[#This Row],[Unit Price]]</f>
        <v>455000</v>
      </c>
      <c r="L1284" s="5">
        <f>ROUND(tblSales[[#This Row],[DPP (excl. VAT)]]*VATEff,0)</f>
        <v>50050</v>
      </c>
      <c r="M1284" s="5">
        <f>tblSales[[#This Row],[DPP (excl. VAT)]]+tblSales[[#This Row],[Output VAT]]</f>
        <v>505050</v>
      </c>
      <c r="N1284" s="5">
        <f>tblSales[[#This Row],[Qty]]*_xlfn.XLOOKUP(tblSales[[#This Row],[Product Code]],tblProducts[Code],tblProducts[Unit Cost],0)</f>
        <v>259000</v>
      </c>
      <c r="O1284" s="4" t="s">
        <v>4866</v>
      </c>
      <c r="P1284" s="4" t="s">
        <v>4862</v>
      </c>
      <c r="Q1284" s="1" t="str">
        <f>_xlfn.XLOOKUP(tblSales[[#This Row],[Channel Code]],tblChannels[Channel Code],tblChannels[Channel Name],"")</f>
        <v>Website &amp; Social Media</v>
      </c>
      <c r="R1284" s="1">
        <f>MONTH(tblSales[[#This Row],[Date]])</f>
        <v>3</v>
      </c>
    </row>
    <row r="1285" spans="2:18" x14ac:dyDescent="0.35">
      <c r="B1285" s="113">
        <v>46102</v>
      </c>
      <c r="C1285" s="4" t="s">
        <v>919</v>
      </c>
      <c r="D1285" s="4" t="s">
        <v>4568</v>
      </c>
      <c r="E1285" s="1" t="str">
        <f>_xlfn.XLOOKUP(tblSales[[#This Row],[Customer ID]],tblCustomers[Customer ID],tblCustomers[Customer Name],"⚠ Unknown")</f>
        <v>Walk-in Customer</v>
      </c>
      <c r="F1285" s="4" t="s">
        <v>6</v>
      </c>
      <c r="G1285" s="1" t="str">
        <f>_xlfn.XLOOKUP(tblSales[[#This Row],[Product Code]],tblProducts[Code],tblProducts[Product / Service Name],"⚠ Unknown")</f>
        <v>Socks &amp; Accessories</v>
      </c>
      <c r="H1285" s="1" t="str">
        <f>_xlfn.XLOOKUP(tblSales[[#This Row],[Product Code]],tblProducts[Code],tblProducts[Category],"")</f>
        <v>Accessories &amp; Basics</v>
      </c>
      <c r="I1285" s="4">
        <v>1</v>
      </c>
      <c r="J1285" s="5">
        <f>_xlfn.XLOOKUP(tblSales[[#This Row],[Product Code]],tblProducts[Code],tblProducts[Selling Price (excl. VAT)],0)</f>
        <v>45000</v>
      </c>
      <c r="K1285" s="5">
        <f>tblSales[[#This Row],[Qty]]*tblSales[[#This Row],[Unit Price]]</f>
        <v>45000</v>
      </c>
      <c r="L1285" s="5">
        <f>ROUND(tblSales[[#This Row],[DPP (excl. VAT)]]*VATEff,0)</f>
        <v>4950</v>
      </c>
      <c r="M1285" s="5">
        <f>tblSales[[#This Row],[DPP (excl. VAT)]]+tblSales[[#This Row],[Output VAT]]</f>
        <v>49950</v>
      </c>
      <c r="N1285" s="5">
        <f>tblSales[[#This Row],[Qty]]*_xlfn.XLOOKUP(tblSales[[#This Row],[Product Code]],tblProducts[Code],tblProducts[Unit Cost],0)</f>
        <v>24000</v>
      </c>
      <c r="O1285" s="4" t="s">
        <v>4866</v>
      </c>
      <c r="P1285" s="4" t="s">
        <v>4862</v>
      </c>
      <c r="Q1285" s="1" t="str">
        <f>_xlfn.XLOOKUP(tblSales[[#This Row],[Channel Code]],tblChannels[Channel Code],tblChannels[Channel Name],"")</f>
        <v>Website &amp; Social Media</v>
      </c>
      <c r="R1285" s="1">
        <f>MONTH(tblSales[[#This Row],[Date]])</f>
        <v>3</v>
      </c>
    </row>
    <row r="1286" spans="2:18" x14ac:dyDescent="0.35">
      <c r="B1286" s="113">
        <v>46102</v>
      </c>
      <c r="C1286" s="4" t="s">
        <v>920</v>
      </c>
      <c r="D1286" s="4" t="s">
        <v>4568</v>
      </c>
      <c r="E1286" s="1" t="str">
        <f>_xlfn.XLOOKUP(tblSales[[#This Row],[Customer ID]],tblCustomers[Customer ID],tblCustomers[Customer Name],"⚠ Unknown")</f>
        <v>Walk-in Customer</v>
      </c>
      <c r="F1286" s="4" t="s">
        <v>15</v>
      </c>
      <c r="G1286" s="1" t="str">
        <f>_xlfn.XLOOKUP(tblSales[[#This Row],[Product Code]],tblProducts[Code],tblProducts[Product / Service Name],"⚠ Unknown")</f>
        <v>Wireless Earbuds Pro</v>
      </c>
      <c r="H1286" s="1" t="str">
        <f>_xlfn.XLOOKUP(tblSales[[#This Row],[Product Code]],tblProducts[Code],tblProducts[Category],"")</f>
        <v>Bags &amp; Gadgets</v>
      </c>
      <c r="I1286" s="4">
        <v>2</v>
      </c>
      <c r="J1286" s="5">
        <f>_xlfn.XLOOKUP(tblSales[[#This Row],[Product Code]],tblProducts[Code],tblProducts[Selling Price (excl. VAT)],0)</f>
        <v>1250000</v>
      </c>
      <c r="K1286" s="5">
        <f>tblSales[[#This Row],[Qty]]*tblSales[[#This Row],[Unit Price]]</f>
        <v>2500000</v>
      </c>
      <c r="L1286" s="5">
        <f>ROUND(tblSales[[#This Row],[DPP (excl. VAT)]]*VATEff,0)</f>
        <v>275000</v>
      </c>
      <c r="M1286" s="5">
        <f>tblSales[[#This Row],[DPP (excl. VAT)]]+tblSales[[#This Row],[Output VAT]]</f>
        <v>2775000</v>
      </c>
      <c r="N1286" s="5">
        <f>tblSales[[#This Row],[Qty]]*_xlfn.XLOOKUP(tblSales[[#This Row],[Product Code]],tblProducts[Code],tblProducts[Unit Cost],0)</f>
        <v>1640000</v>
      </c>
      <c r="O1286" s="4" t="s">
        <v>4865</v>
      </c>
      <c r="P1286" s="4" t="s">
        <v>4860</v>
      </c>
      <c r="Q1286" s="1" t="str">
        <f>_xlfn.XLOOKUP(tblSales[[#This Row],[Channel Code]],tblChannels[Channel Code],tblChannels[Channel Name],"")</f>
        <v>In-store</v>
      </c>
      <c r="R1286" s="1">
        <f>MONTH(tblSales[[#This Row],[Date]])</f>
        <v>3</v>
      </c>
    </row>
    <row r="1287" spans="2:18" x14ac:dyDescent="0.35">
      <c r="B1287" s="113">
        <v>46102</v>
      </c>
      <c r="C1287" s="4" t="s">
        <v>921</v>
      </c>
      <c r="D1287" s="4" t="s">
        <v>4568</v>
      </c>
      <c r="E1287" s="1" t="str">
        <f>_xlfn.XLOOKUP(tblSales[[#This Row],[Customer ID]],tblCustomers[Customer ID],tblCustomers[Customer Name],"⚠ Unknown")</f>
        <v>Walk-in Customer</v>
      </c>
      <c r="F1287" s="4" t="s">
        <v>12</v>
      </c>
      <c r="G1287" s="1" t="str">
        <f>_xlfn.XLOOKUP(tblSales[[#This Row],[Product Code]],tblProducts[Code],tblProducts[Product / Service Name],"⚠ Unknown")</f>
        <v>Bomber Jacket</v>
      </c>
      <c r="H1287" s="1" t="str">
        <f>_xlfn.XLOOKUP(tblSales[[#This Row],[Product Code]],tblProducts[Code],tblProducts[Category],"")</f>
        <v>Apparel &amp; Footwear</v>
      </c>
      <c r="I1287" s="4">
        <v>4</v>
      </c>
      <c r="J1287" s="5">
        <f>_xlfn.XLOOKUP(tblSales[[#This Row],[Product Code]],tblProducts[Code],tblProducts[Selling Price (excl. VAT)],0)</f>
        <v>350000</v>
      </c>
      <c r="K1287" s="5">
        <f>tblSales[[#This Row],[Qty]]*tblSales[[#This Row],[Unit Price]]</f>
        <v>1400000</v>
      </c>
      <c r="L1287" s="5">
        <f>ROUND(tblSales[[#This Row],[DPP (excl. VAT)]]*VATEff,0)</f>
        <v>154000</v>
      </c>
      <c r="M1287" s="5">
        <f>tblSales[[#This Row],[DPP (excl. VAT)]]+tblSales[[#This Row],[Output VAT]]</f>
        <v>1554000</v>
      </c>
      <c r="N1287" s="5">
        <f>tblSales[[#This Row],[Qty]]*_xlfn.XLOOKUP(tblSales[[#This Row],[Product Code]],tblProducts[Code],tblProducts[Unit Cost],0)</f>
        <v>840000</v>
      </c>
      <c r="O1287" s="4" t="s">
        <v>4866</v>
      </c>
      <c r="P1287" s="4" t="s">
        <v>4862</v>
      </c>
      <c r="Q1287" s="1" t="str">
        <f>_xlfn.XLOOKUP(tblSales[[#This Row],[Channel Code]],tblChannels[Channel Code],tblChannels[Channel Name],"")</f>
        <v>Website &amp; Social Media</v>
      </c>
      <c r="R1287" s="1">
        <f>MONTH(tblSales[[#This Row],[Date]])</f>
        <v>3</v>
      </c>
    </row>
    <row r="1288" spans="2:18" x14ac:dyDescent="0.35">
      <c r="B1288" s="113">
        <v>46102</v>
      </c>
      <c r="C1288" s="4" t="s">
        <v>922</v>
      </c>
      <c r="D1288" s="4" t="s">
        <v>4648</v>
      </c>
      <c r="E1288" s="1" t="str">
        <f>_xlfn.XLOOKUP(tblSales[[#This Row],[Customer ID]],tblCustomers[Customer ID],tblCustomers[Customer Name],"⚠ Unknown")</f>
        <v>PT Lintas Benua Niaga</v>
      </c>
      <c r="F1288" s="4" t="s">
        <v>11</v>
      </c>
      <c r="G1288" s="1" t="str">
        <f>_xlfn.XLOOKUP(tblSales[[#This Row],[Product Code]],tblProducts[Code],tblProducts[Product / Service Name],"⚠ Unknown")</f>
        <v>Sneakers</v>
      </c>
      <c r="H1288" s="1" t="str">
        <f>_xlfn.XLOOKUP(tblSales[[#This Row],[Product Code]],tblProducts[Code],tblProducts[Category],"")</f>
        <v>Apparel &amp; Footwear</v>
      </c>
      <c r="I1288" s="4">
        <v>8</v>
      </c>
      <c r="J1288" s="5">
        <f>_xlfn.XLOOKUP(tblSales[[#This Row],[Product Code]],tblProducts[Code],tblProducts[Selling Price (excl. VAT)],0)</f>
        <v>250000</v>
      </c>
      <c r="K1288" s="5">
        <f>tblSales[[#This Row],[Qty]]*tblSales[[#This Row],[Unit Price]]</f>
        <v>2000000</v>
      </c>
      <c r="L1288" s="5">
        <f>ROUND(tblSales[[#This Row],[DPP (excl. VAT)]]*VATEff,0)</f>
        <v>220000</v>
      </c>
      <c r="M1288" s="5">
        <f>tblSales[[#This Row],[DPP (excl. VAT)]]+tblSales[[#This Row],[Output VAT]]</f>
        <v>2220000</v>
      </c>
      <c r="N1288" s="5">
        <f>tblSales[[#This Row],[Qty]]*_xlfn.XLOOKUP(tblSales[[#This Row],[Product Code]],tblProducts[Code],tblProducts[Unit Cost],0)</f>
        <v>1240000</v>
      </c>
      <c r="O1288" s="4" t="s">
        <v>4867</v>
      </c>
      <c r="P1288" s="4" t="s">
        <v>4860</v>
      </c>
      <c r="Q1288" s="1" t="str">
        <f>_xlfn.XLOOKUP(tblSales[[#This Row],[Channel Code]],tblChannels[Channel Code],tblChannels[Channel Name],"")</f>
        <v>In-store</v>
      </c>
      <c r="R1288" s="1">
        <f>MONTH(tblSales[[#This Row],[Date]])</f>
        <v>3</v>
      </c>
    </row>
    <row r="1289" spans="2:18" x14ac:dyDescent="0.35">
      <c r="B1289" s="113">
        <v>46102</v>
      </c>
      <c r="C1289" s="4" t="s">
        <v>922</v>
      </c>
      <c r="D1289" s="4" t="s">
        <v>4648</v>
      </c>
      <c r="E1289" s="1" t="str">
        <f>_xlfn.XLOOKUP(tblSales[[#This Row],[Customer ID]],tblCustomers[Customer ID],tblCustomers[Customer Name],"⚠ Unknown")</f>
        <v>PT Lintas Benua Niaga</v>
      </c>
      <c r="F1289" s="4" t="s">
        <v>10</v>
      </c>
      <c r="G1289" s="1" t="str">
        <f>_xlfn.XLOOKUP(tblSales[[#This Row],[Product Code]],tblProducts[Code],tblProducts[Product / Service Name],"⚠ Unknown")</f>
        <v>Chino Pants</v>
      </c>
      <c r="H1289" s="1" t="str">
        <f>_xlfn.XLOOKUP(tblSales[[#This Row],[Product Code]],tblProducts[Code],tblProducts[Category],"")</f>
        <v>Apparel &amp; Footwear</v>
      </c>
      <c r="I1289" s="4">
        <v>96</v>
      </c>
      <c r="J1289" s="5">
        <f>_xlfn.XLOOKUP(tblSales[[#This Row],[Product Code]],tblProducts[Code],tblProducts[Selling Price (excl. VAT)],0)</f>
        <v>150000</v>
      </c>
      <c r="K1289" s="5">
        <f>tblSales[[#This Row],[Qty]]*tblSales[[#This Row],[Unit Price]]</f>
        <v>14400000</v>
      </c>
      <c r="L1289" s="5">
        <f>ROUND(tblSales[[#This Row],[DPP (excl. VAT)]]*VATEff,0)</f>
        <v>1584000</v>
      </c>
      <c r="M1289" s="5">
        <f>tblSales[[#This Row],[DPP (excl. VAT)]]+tblSales[[#This Row],[Output VAT]]</f>
        <v>15984000</v>
      </c>
      <c r="N1289" s="5">
        <f>tblSales[[#This Row],[Qty]]*_xlfn.XLOOKUP(tblSales[[#This Row],[Product Code]],tblProducts[Code],tblProducts[Unit Cost],0)</f>
        <v>8448000</v>
      </c>
      <c r="O1289" s="4" t="s">
        <v>4867</v>
      </c>
      <c r="P1289" s="4" t="s">
        <v>4860</v>
      </c>
      <c r="Q1289" s="1" t="str">
        <f>_xlfn.XLOOKUP(tblSales[[#This Row],[Channel Code]],tblChannels[Channel Code],tblChannels[Channel Name],"")</f>
        <v>In-store</v>
      </c>
      <c r="R1289" s="1">
        <f>MONTH(tblSales[[#This Row],[Date]])</f>
        <v>3</v>
      </c>
    </row>
    <row r="1290" spans="2:18" x14ac:dyDescent="0.35">
      <c r="B1290" s="113">
        <v>46102</v>
      </c>
      <c r="C1290" s="4" t="s">
        <v>923</v>
      </c>
      <c r="D1290" s="4" t="s">
        <v>4568</v>
      </c>
      <c r="E1290" s="1" t="str">
        <f>_xlfn.XLOOKUP(tblSales[[#This Row],[Customer ID]],tblCustomers[Customer ID],tblCustomers[Customer Name],"⚠ Unknown")</f>
        <v>Walk-in Customer</v>
      </c>
      <c r="F1290" s="4" t="s">
        <v>14</v>
      </c>
      <c r="G1290" s="1" t="str">
        <f>_xlfn.XLOOKUP(tblSales[[#This Row],[Product Code]],tblProducts[Code],tblProducts[Product / Service Name],"⚠ Unknown")</f>
        <v>Smartwatch</v>
      </c>
      <c r="H1290" s="1" t="str">
        <f>_xlfn.XLOOKUP(tblSales[[#This Row],[Product Code]],tblProducts[Code],tblProducts[Category],"")</f>
        <v>Bags &amp; Gadgets</v>
      </c>
      <c r="I1290" s="4">
        <v>3</v>
      </c>
      <c r="J1290" s="5">
        <f>_xlfn.XLOOKUP(tblSales[[#This Row],[Product Code]],tblProducts[Code],tblProducts[Selling Price (excl. VAT)],0)</f>
        <v>850000</v>
      </c>
      <c r="K1290" s="5">
        <f>tblSales[[#This Row],[Qty]]*tblSales[[#This Row],[Unit Price]]</f>
        <v>2550000</v>
      </c>
      <c r="L1290" s="5">
        <f>ROUND(tblSales[[#This Row],[DPP (excl. VAT)]]*VATEff,0)</f>
        <v>280500</v>
      </c>
      <c r="M1290" s="5">
        <f>tblSales[[#This Row],[DPP (excl. VAT)]]+tblSales[[#This Row],[Output VAT]]</f>
        <v>2830500</v>
      </c>
      <c r="N1290" s="5">
        <f>tblSales[[#This Row],[Qty]]*_xlfn.XLOOKUP(tblSales[[#This Row],[Product Code]],tblProducts[Code],tblProducts[Unit Cost],0)</f>
        <v>1680000</v>
      </c>
      <c r="O1290" s="4" t="s">
        <v>4866</v>
      </c>
      <c r="P1290" s="4" t="s">
        <v>4861</v>
      </c>
      <c r="Q1290" s="1" t="str">
        <f>_xlfn.XLOOKUP(tblSales[[#This Row],[Channel Code]],tblChannels[Channel Code],tblChannels[Channel Name],"")</f>
        <v>Marketplace</v>
      </c>
      <c r="R1290" s="1">
        <f>MONTH(tblSales[[#This Row],[Date]])</f>
        <v>3</v>
      </c>
    </row>
    <row r="1291" spans="2:18" x14ac:dyDescent="0.35">
      <c r="B1291" s="113">
        <v>46102</v>
      </c>
      <c r="C1291" s="4" t="s">
        <v>924</v>
      </c>
      <c r="D1291" s="4" t="s">
        <v>4568</v>
      </c>
      <c r="E1291" s="1" t="str">
        <f>_xlfn.XLOOKUP(tblSales[[#This Row],[Customer ID]],tblCustomers[Customer ID],tblCustomers[Customer Name],"⚠ Unknown")</f>
        <v>Walk-in Customer</v>
      </c>
      <c r="F1291" s="4" t="s">
        <v>9</v>
      </c>
      <c r="G1291" s="1" t="str">
        <f>_xlfn.XLOOKUP(tblSales[[#This Row],[Product Code]],tblProducts[Code],tblProducts[Product / Service Name],"⚠ Unknown")</f>
        <v>Casual Shirt</v>
      </c>
      <c r="H1291" s="1" t="str">
        <f>_xlfn.XLOOKUP(tblSales[[#This Row],[Product Code]],tblProducts[Code],tblProducts[Category],"")</f>
        <v>Apparel &amp; Footwear</v>
      </c>
      <c r="I1291" s="4">
        <v>7</v>
      </c>
      <c r="J1291" s="5">
        <f>_xlfn.XLOOKUP(tblSales[[#This Row],[Product Code]],tblProducts[Code],tblProducts[Selling Price (excl. VAT)],0)</f>
        <v>120000</v>
      </c>
      <c r="K1291" s="5">
        <f>tblSales[[#This Row],[Qty]]*tblSales[[#This Row],[Unit Price]]</f>
        <v>840000</v>
      </c>
      <c r="L1291" s="5">
        <f>ROUND(tblSales[[#This Row],[DPP (excl. VAT)]]*VATEff,0)</f>
        <v>92400</v>
      </c>
      <c r="M1291" s="5">
        <f>tblSales[[#This Row],[DPP (excl. VAT)]]+tblSales[[#This Row],[Output VAT]]</f>
        <v>932400</v>
      </c>
      <c r="N1291" s="5">
        <f>tblSales[[#This Row],[Qty]]*_xlfn.XLOOKUP(tblSales[[#This Row],[Product Code]],tblProducts[Code],tblProducts[Unit Cost],0)</f>
        <v>504000</v>
      </c>
      <c r="O1291" s="4" t="s">
        <v>4866</v>
      </c>
      <c r="P1291" s="4" t="s">
        <v>4860</v>
      </c>
      <c r="Q1291" s="1" t="str">
        <f>_xlfn.XLOOKUP(tblSales[[#This Row],[Channel Code]],tblChannels[Channel Code],tblChannels[Channel Name],"")</f>
        <v>In-store</v>
      </c>
      <c r="R1291" s="1">
        <f>MONTH(tblSales[[#This Row],[Date]])</f>
        <v>3</v>
      </c>
    </row>
    <row r="1292" spans="2:18" x14ac:dyDescent="0.35">
      <c r="B1292" s="113">
        <v>46102</v>
      </c>
      <c r="C1292" s="4" t="s">
        <v>925</v>
      </c>
      <c r="D1292" s="4" t="s">
        <v>4568</v>
      </c>
      <c r="E1292" s="1" t="str">
        <f>_xlfn.XLOOKUP(tblSales[[#This Row],[Customer ID]],tblCustomers[Customer ID],tblCustomers[Customer Name],"⚠ Unknown")</f>
        <v>Walk-in Customer</v>
      </c>
      <c r="F1292" s="4" t="s">
        <v>15</v>
      </c>
      <c r="G1292" s="1" t="str">
        <f>_xlfn.XLOOKUP(tblSales[[#This Row],[Product Code]],tblProducts[Code],tblProducts[Product / Service Name],"⚠ Unknown")</f>
        <v>Wireless Earbuds Pro</v>
      </c>
      <c r="H1292" s="1" t="str">
        <f>_xlfn.XLOOKUP(tblSales[[#This Row],[Product Code]],tblProducts[Code],tblProducts[Category],"")</f>
        <v>Bags &amp; Gadgets</v>
      </c>
      <c r="I1292" s="4">
        <v>2</v>
      </c>
      <c r="J1292" s="5">
        <f>_xlfn.XLOOKUP(tblSales[[#This Row],[Product Code]],tblProducts[Code],tblProducts[Selling Price (excl. VAT)],0)</f>
        <v>1250000</v>
      </c>
      <c r="K1292" s="5">
        <f>tblSales[[#This Row],[Qty]]*tblSales[[#This Row],[Unit Price]]</f>
        <v>2500000</v>
      </c>
      <c r="L1292" s="5">
        <f>ROUND(tblSales[[#This Row],[DPP (excl. VAT)]]*VATEff,0)</f>
        <v>275000</v>
      </c>
      <c r="M1292" s="5">
        <f>tblSales[[#This Row],[DPP (excl. VAT)]]+tblSales[[#This Row],[Output VAT]]</f>
        <v>2775000</v>
      </c>
      <c r="N1292" s="5">
        <f>tblSales[[#This Row],[Qty]]*_xlfn.XLOOKUP(tblSales[[#This Row],[Product Code]],tblProducts[Code],tblProducts[Unit Cost],0)</f>
        <v>1640000</v>
      </c>
      <c r="O1292" s="4" t="s">
        <v>4865</v>
      </c>
      <c r="P1292" s="4" t="s">
        <v>4860</v>
      </c>
      <c r="Q1292" s="1" t="str">
        <f>_xlfn.XLOOKUP(tblSales[[#This Row],[Channel Code]],tblChannels[Channel Code],tblChannels[Channel Name],"")</f>
        <v>In-store</v>
      </c>
      <c r="R1292" s="1">
        <f>MONTH(tblSales[[#This Row],[Date]])</f>
        <v>3</v>
      </c>
    </row>
    <row r="1293" spans="2:18" x14ac:dyDescent="0.35">
      <c r="B1293" s="113">
        <v>46102</v>
      </c>
      <c r="C1293" s="4" t="s">
        <v>925</v>
      </c>
      <c r="D1293" s="4" t="s">
        <v>4568</v>
      </c>
      <c r="E1293" s="1" t="str">
        <f>_xlfn.XLOOKUP(tblSales[[#This Row],[Customer ID]],tblCustomers[Customer ID],tblCustomers[Customer Name],"⚠ Unknown")</f>
        <v>Walk-in Customer</v>
      </c>
      <c r="F1293" s="4" t="s">
        <v>6</v>
      </c>
      <c r="G1293" s="1" t="str">
        <f>_xlfn.XLOOKUP(tblSales[[#This Row],[Product Code]],tblProducts[Code],tblProducts[Product / Service Name],"⚠ Unknown")</f>
        <v>Socks &amp; Accessories</v>
      </c>
      <c r="H1293" s="1" t="str">
        <f>_xlfn.XLOOKUP(tblSales[[#This Row],[Product Code]],tblProducts[Code],tblProducts[Category],"")</f>
        <v>Accessories &amp; Basics</v>
      </c>
      <c r="I1293" s="4">
        <v>11</v>
      </c>
      <c r="J1293" s="5">
        <f>_xlfn.XLOOKUP(tblSales[[#This Row],[Product Code]],tblProducts[Code],tblProducts[Selling Price (excl. VAT)],0)</f>
        <v>45000</v>
      </c>
      <c r="K1293" s="5">
        <f>tblSales[[#This Row],[Qty]]*tblSales[[#This Row],[Unit Price]]</f>
        <v>495000</v>
      </c>
      <c r="L1293" s="5">
        <f>ROUND(tblSales[[#This Row],[DPP (excl. VAT)]]*VATEff,0)</f>
        <v>54450</v>
      </c>
      <c r="M1293" s="5">
        <f>tblSales[[#This Row],[DPP (excl. VAT)]]+tblSales[[#This Row],[Output VAT]]</f>
        <v>549450</v>
      </c>
      <c r="N1293" s="5">
        <f>tblSales[[#This Row],[Qty]]*_xlfn.XLOOKUP(tblSales[[#This Row],[Product Code]],tblProducts[Code],tblProducts[Unit Cost],0)</f>
        <v>264000</v>
      </c>
      <c r="O1293" s="4" t="s">
        <v>4865</v>
      </c>
      <c r="P1293" s="4" t="s">
        <v>4860</v>
      </c>
      <c r="Q1293" s="1" t="str">
        <f>_xlfn.XLOOKUP(tblSales[[#This Row],[Channel Code]],tblChannels[Channel Code],tblChannels[Channel Name],"")</f>
        <v>In-store</v>
      </c>
      <c r="R1293" s="1">
        <f>MONTH(tblSales[[#This Row],[Date]])</f>
        <v>3</v>
      </c>
    </row>
    <row r="1294" spans="2:18" x14ac:dyDescent="0.35">
      <c r="B1294" s="113">
        <v>46102</v>
      </c>
      <c r="C1294" s="4" t="s">
        <v>926</v>
      </c>
      <c r="D1294" s="4" t="s">
        <v>4568</v>
      </c>
      <c r="E1294" s="1" t="str">
        <f>_xlfn.XLOOKUP(tblSales[[#This Row],[Customer ID]],tblCustomers[Customer ID],tblCustomers[Customer Name],"⚠ Unknown")</f>
        <v>Walk-in Customer</v>
      </c>
      <c r="F1294" s="4" t="s">
        <v>13</v>
      </c>
      <c r="G1294" s="1" t="str">
        <f>_xlfn.XLOOKUP(tblSales[[#This Row],[Product Code]],tblProducts[Code],tblProducts[Product / Service Name],"⚠ Unknown")</f>
        <v>Backpack</v>
      </c>
      <c r="H1294" s="1" t="str">
        <f>_xlfn.XLOOKUP(tblSales[[#This Row],[Product Code]],tblProducts[Code],tblProducts[Category],"")</f>
        <v>Bags &amp; Gadgets</v>
      </c>
      <c r="I1294" s="4">
        <v>6</v>
      </c>
      <c r="J1294" s="5">
        <f>_xlfn.XLOOKUP(tblSales[[#This Row],[Product Code]],tblProducts[Code],tblProducts[Selling Price (excl. VAT)],0)</f>
        <v>500000</v>
      </c>
      <c r="K1294" s="5">
        <f>tblSales[[#This Row],[Qty]]*tblSales[[#This Row],[Unit Price]]</f>
        <v>3000000</v>
      </c>
      <c r="L1294" s="5">
        <f>ROUND(tblSales[[#This Row],[DPP (excl. VAT)]]*VATEff,0)</f>
        <v>330000</v>
      </c>
      <c r="M1294" s="5">
        <f>tblSales[[#This Row],[DPP (excl. VAT)]]+tblSales[[#This Row],[Output VAT]]</f>
        <v>3330000</v>
      </c>
      <c r="N1294" s="5">
        <f>tblSales[[#This Row],[Qty]]*_xlfn.XLOOKUP(tblSales[[#This Row],[Product Code]],tblProducts[Code],tblProducts[Unit Cost],0)</f>
        <v>1740000</v>
      </c>
      <c r="O1294" s="4" t="s">
        <v>4865</v>
      </c>
      <c r="P1294" s="4" t="s">
        <v>4860</v>
      </c>
      <c r="Q1294" s="1" t="str">
        <f>_xlfn.XLOOKUP(tblSales[[#This Row],[Channel Code]],tblChannels[Channel Code],tblChannels[Channel Name],"")</f>
        <v>In-store</v>
      </c>
      <c r="R1294" s="1">
        <f>MONTH(tblSales[[#This Row],[Date]])</f>
        <v>3</v>
      </c>
    </row>
    <row r="1295" spans="2:18" x14ac:dyDescent="0.35">
      <c r="B1295" s="113">
        <v>46102</v>
      </c>
      <c r="C1295" s="4" t="s">
        <v>927</v>
      </c>
      <c r="D1295" s="4" t="s">
        <v>4568</v>
      </c>
      <c r="E1295" s="1" t="str">
        <f>_xlfn.XLOOKUP(tblSales[[#This Row],[Customer ID]],tblCustomers[Customer ID],tblCustomers[Customer Name],"⚠ Unknown")</f>
        <v>Walk-in Customer</v>
      </c>
      <c r="F1295" s="4" t="s">
        <v>7</v>
      </c>
      <c r="G1295" s="1" t="str">
        <f>_xlfn.XLOOKUP(tblSales[[#This Row],[Product Code]],tblProducts[Code],tblProducts[Product / Service Name],"⚠ Unknown")</f>
        <v>Premium Basic T-shirt</v>
      </c>
      <c r="H1295" s="1" t="str">
        <f>_xlfn.XLOOKUP(tblSales[[#This Row],[Product Code]],tblProducts[Code],tblProducts[Category],"")</f>
        <v>Accessories &amp; Basics</v>
      </c>
      <c r="I1295" s="4">
        <v>8</v>
      </c>
      <c r="J1295" s="5">
        <f>_xlfn.XLOOKUP(tblSales[[#This Row],[Product Code]],tblProducts[Code],tblProducts[Selling Price (excl. VAT)],0)</f>
        <v>65000</v>
      </c>
      <c r="K1295" s="5">
        <f>tblSales[[#This Row],[Qty]]*tblSales[[#This Row],[Unit Price]]</f>
        <v>520000</v>
      </c>
      <c r="L1295" s="5">
        <f>ROUND(tblSales[[#This Row],[DPP (excl. VAT)]]*VATEff,0)</f>
        <v>57200</v>
      </c>
      <c r="M1295" s="5">
        <f>tblSales[[#This Row],[DPP (excl. VAT)]]+tblSales[[#This Row],[Output VAT]]</f>
        <v>577200</v>
      </c>
      <c r="N1295" s="5">
        <f>tblSales[[#This Row],[Qty]]*_xlfn.XLOOKUP(tblSales[[#This Row],[Product Code]],tblProducts[Code],tblProducts[Unit Cost],0)</f>
        <v>296000</v>
      </c>
      <c r="O1295" s="4" t="s">
        <v>4866</v>
      </c>
      <c r="P1295" s="4" t="s">
        <v>4860</v>
      </c>
      <c r="Q1295" s="1" t="str">
        <f>_xlfn.XLOOKUP(tblSales[[#This Row],[Channel Code]],tblChannels[Channel Code],tblChannels[Channel Name],"")</f>
        <v>In-store</v>
      </c>
      <c r="R1295" s="1">
        <f>MONTH(tblSales[[#This Row],[Date]])</f>
        <v>3</v>
      </c>
    </row>
    <row r="1296" spans="2:18" x14ac:dyDescent="0.35">
      <c r="B1296" s="113">
        <v>46102</v>
      </c>
      <c r="C1296" s="4" t="s">
        <v>927</v>
      </c>
      <c r="D1296" s="4" t="s">
        <v>4568</v>
      </c>
      <c r="E1296" s="1" t="str">
        <f>_xlfn.XLOOKUP(tblSales[[#This Row],[Customer ID]],tblCustomers[Customer ID],tblCustomers[Customer Name],"⚠ Unknown")</f>
        <v>Walk-in Customer</v>
      </c>
      <c r="F1296" s="4" t="s">
        <v>8</v>
      </c>
      <c r="G1296" s="1" t="str">
        <f>_xlfn.XLOOKUP(tblSales[[#This Row],[Product Code]],tblProducts[Code],tblProducts[Product / Service Name],"⚠ Unknown")</f>
        <v>Casual Shorts</v>
      </c>
      <c r="H1296" s="1" t="str">
        <f>_xlfn.XLOOKUP(tblSales[[#This Row],[Product Code]],tblProducts[Code],tblProducts[Category],"")</f>
        <v>Accessories &amp; Basics</v>
      </c>
      <c r="I1296" s="4">
        <v>4</v>
      </c>
      <c r="J1296" s="5">
        <f>_xlfn.XLOOKUP(tblSales[[#This Row],[Product Code]],tblProducts[Code],tblProducts[Selling Price (excl. VAT)],0)</f>
        <v>85000</v>
      </c>
      <c r="K1296" s="5">
        <f>tblSales[[#This Row],[Qty]]*tblSales[[#This Row],[Unit Price]]</f>
        <v>340000</v>
      </c>
      <c r="L1296" s="5">
        <f>ROUND(tblSales[[#This Row],[DPP (excl. VAT)]]*VATEff,0)</f>
        <v>37400</v>
      </c>
      <c r="M1296" s="5">
        <f>tblSales[[#This Row],[DPP (excl. VAT)]]+tblSales[[#This Row],[Output VAT]]</f>
        <v>377400</v>
      </c>
      <c r="N1296" s="5">
        <f>tblSales[[#This Row],[Qty]]*_xlfn.XLOOKUP(tblSales[[#This Row],[Product Code]],tblProducts[Code],tblProducts[Unit Cost],0)</f>
        <v>200000</v>
      </c>
      <c r="O1296" s="4" t="s">
        <v>4866</v>
      </c>
      <c r="P1296" s="4" t="s">
        <v>4860</v>
      </c>
      <c r="Q1296" s="1" t="str">
        <f>_xlfn.XLOOKUP(tblSales[[#This Row],[Channel Code]],tblChannels[Channel Code],tblChannels[Channel Name],"")</f>
        <v>In-store</v>
      </c>
      <c r="R1296" s="1">
        <f>MONTH(tblSales[[#This Row],[Date]])</f>
        <v>3</v>
      </c>
    </row>
    <row r="1297" spans="2:18" x14ac:dyDescent="0.35">
      <c r="B1297" s="113">
        <v>46102</v>
      </c>
      <c r="C1297" s="4" t="s">
        <v>928</v>
      </c>
      <c r="D1297" s="4" t="s">
        <v>4568</v>
      </c>
      <c r="E1297" s="1" t="str">
        <f>_xlfn.XLOOKUP(tblSales[[#This Row],[Customer ID]],tblCustomers[Customer ID],tblCustomers[Customer Name],"⚠ Unknown")</f>
        <v>Walk-in Customer</v>
      </c>
      <c r="F1297" s="4" t="s">
        <v>12</v>
      </c>
      <c r="G1297" s="1" t="str">
        <f>_xlfn.XLOOKUP(tblSales[[#This Row],[Product Code]],tblProducts[Code],tblProducts[Product / Service Name],"⚠ Unknown")</f>
        <v>Bomber Jacket</v>
      </c>
      <c r="H1297" s="1" t="str">
        <f>_xlfn.XLOOKUP(tblSales[[#This Row],[Product Code]],tblProducts[Code],tblProducts[Category],"")</f>
        <v>Apparel &amp; Footwear</v>
      </c>
      <c r="I1297" s="4">
        <v>6</v>
      </c>
      <c r="J1297" s="5">
        <f>_xlfn.XLOOKUP(tblSales[[#This Row],[Product Code]],tblProducts[Code],tblProducts[Selling Price (excl. VAT)],0)</f>
        <v>350000</v>
      </c>
      <c r="K1297" s="5">
        <f>tblSales[[#This Row],[Qty]]*tblSales[[#This Row],[Unit Price]]</f>
        <v>2100000</v>
      </c>
      <c r="L1297" s="5">
        <f>ROUND(tblSales[[#This Row],[DPP (excl. VAT)]]*VATEff,0)</f>
        <v>231000</v>
      </c>
      <c r="M1297" s="5">
        <f>tblSales[[#This Row],[DPP (excl. VAT)]]+tblSales[[#This Row],[Output VAT]]</f>
        <v>2331000</v>
      </c>
      <c r="N1297" s="5">
        <f>tblSales[[#This Row],[Qty]]*_xlfn.XLOOKUP(tblSales[[#This Row],[Product Code]],tblProducts[Code],tblProducts[Unit Cost],0)</f>
        <v>1260000</v>
      </c>
      <c r="O1297" s="4" t="s">
        <v>4866</v>
      </c>
      <c r="P1297" s="4" t="s">
        <v>4860</v>
      </c>
      <c r="Q1297" s="1" t="str">
        <f>_xlfn.XLOOKUP(tblSales[[#This Row],[Channel Code]],tblChannels[Channel Code],tblChannels[Channel Name],"")</f>
        <v>In-store</v>
      </c>
      <c r="R1297" s="1">
        <f>MONTH(tblSales[[#This Row],[Date]])</f>
        <v>3</v>
      </c>
    </row>
    <row r="1298" spans="2:18" x14ac:dyDescent="0.35">
      <c r="B1298" s="113">
        <v>46102</v>
      </c>
      <c r="C1298" s="4" t="s">
        <v>928</v>
      </c>
      <c r="D1298" s="4" t="s">
        <v>4568</v>
      </c>
      <c r="E1298" s="1" t="str">
        <f>_xlfn.XLOOKUP(tblSales[[#This Row],[Customer ID]],tblCustomers[Customer ID],tblCustomers[Customer Name],"⚠ Unknown")</f>
        <v>Walk-in Customer</v>
      </c>
      <c r="F1298" s="4" t="s">
        <v>6</v>
      </c>
      <c r="G1298" s="1" t="str">
        <f>_xlfn.XLOOKUP(tblSales[[#This Row],[Product Code]],tblProducts[Code],tblProducts[Product / Service Name],"⚠ Unknown")</f>
        <v>Socks &amp; Accessories</v>
      </c>
      <c r="H1298" s="1" t="str">
        <f>_xlfn.XLOOKUP(tblSales[[#This Row],[Product Code]],tblProducts[Code],tblProducts[Category],"")</f>
        <v>Accessories &amp; Basics</v>
      </c>
      <c r="I1298" s="4">
        <v>1</v>
      </c>
      <c r="J1298" s="5">
        <f>_xlfn.XLOOKUP(tblSales[[#This Row],[Product Code]],tblProducts[Code],tblProducts[Selling Price (excl. VAT)],0)</f>
        <v>45000</v>
      </c>
      <c r="K1298" s="5">
        <f>tblSales[[#This Row],[Qty]]*tblSales[[#This Row],[Unit Price]]</f>
        <v>45000</v>
      </c>
      <c r="L1298" s="5">
        <f>ROUND(tblSales[[#This Row],[DPP (excl. VAT)]]*VATEff,0)</f>
        <v>4950</v>
      </c>
      <c r="M1298" s="5">
        <f>tblSales[[#This Row],[DPP (excl. VAT)]]+tblSales[[#This Row],[Output VAT]]</f>
        <v>49950</v>
      </c>
      <c r="N1298" s="5">
        <f>tblSales[[#This Row],[Qty]]*_xlfn.XLOOKUP(tblSales[[#This Row],[Product Code]],tblProducts[Code],tblProducts[Unit Cost],0)</f>
        <v>24000</v>
      </c>
      <c r="O1298" s="4" t="s">
        <v>4866</v>
      </c>
      <c r="P1298" s="4" t="s">
        <v>4860</v>
      </c>
      <c r="Q1298" s="1" t="str">
        <f>_xlfn.XLOOKUP(tblSales[[#This Row],[Channel Code]],tblChannels[Channel Code],tblChannels[Channel Name],"")</f>
        <v>In-store</v>
      </c>
      <c r="R1298" s="1">
        <f>MONTH(tblSales[[#This Row],[Date]])</f>
        <v>3</v>
      </c>
    </row>
    <row r="1299" spans="2:18" x14ac:dyDescent="0.35">
      <c r="B1299" s="113">
        <v>46102</v>
      </c>
      <c r="C1299" s="4" t="s">
        <v>929</v>
      </c>
      <c r="D1299" s="4" t="s">
        <v>4568</v>
      </c>
      <c r="E1299" s="1" t="str">
        <f>_xlfn.XLOOKUP(tblSales[[#This Row],[Customer ID]],tblCustomers[Customer ID],tblCustomers[Customer Name],"⚠ Unknown")</f>
        <v>Walk-in Customer</v>
      </c>
      <c r="F1299" s="4" t="s">
        <v>10</v>
      </c>
      <c r="G1299" s="1" t="str">
        <f>_xlfn.XLOOKUP(tblSales[[#This Row],[Product Code]],tblProducts[Code],tblProducts[Product / Service Name],"⚠ Unknown")</f>
        <v>Chino Pants</v>
      </c>
      <c r="H1299" s="1" t="str">
        <f>_xlfn.XLOOKUP(tblSales[[#This Row],[Product Code]],tblProducts[Code],tblProducts[Category],"")</f>
        <v>Apparel &amp; Footwear</v>
      </c>
      <c r="I1299" s="4">
        <v>10</v>
      </c>
      <c r="J1299" s="5">
        <f>_xlfn.XLOOKUP(tblSales[[#This Row],[Product Code]],tblProducts[Code],tblProducts[Selling Price (excl. VAT)],0)</f>
        <v>150000</v>
      </c>
      <c r="K1299" s="5">
        <f>tblSales[[#This Row],[Qty]]*tblSales[[#This Row],[Unit Price]]</f>
        <v>1500000</v>
      </c>
      <c r="L1299" s="5">
        <f>ROUND(tblSales[[#This Row],[DPP (excl. VAT)]]*VATEff,0)</f>
        <v>165000</v>
      </c>
      <c r="M1299" s="5">
        <f>tblSales[[#This Row],[DPP (excl. VAT)]]+tblSales[[#This Row],[Output VAT]]</f>
        <v>1665000</v>
      </c>
      <c r="N1299" s="5">
        <f>tblSales[[#This Row],[Qty]]*_xlfn.XLOOKUP(tblSales[[#This Row],[Product Code]],tblProducts[Code],tblProducts[Unit Cost],0)</f>
        <v>880000</v>
      </c>
      <c r="O1299" s="4" t="s">
        <v>4865</v>
      </c>
      <c r="P1299" s="4" t="s">
        <v>4860</v>
      </c>
      <c r="Q1299" s="1" t="str">
        <f>_xlfn.XLOOKUP(tblSales[[#This Row],[Channel Code]],tblChannels[Channel Code],tblChannels[Channel Name],"")</f>
        <v>In-store</v>
      </c>
      <c r="R1299" s="1">
        <f>MONTH(tblSales[[#This Row],[Date]])</f>
        <v>3</v>
      </c>
    </row>
    <row r="1300" spans="2:18" x14ac:dyDescent="0.35">
      <c r="B1300" s="113">
        <v>46102</v>
      </c>
      <c r="C1300" s="4" t="s">
        <v>930</v>
      </c>
      <c r="D1300" s="4" t="s">
        <v>4568</v>
      </c>
      <c r="E1300" s="1" t="str">
        <f>_xlfn.XLOOKUP(tblSales[[#This Row],[Customer ID]],tblCustomers[Customer ID],tblCustomers[Customer Name],"⚠ Unknown")</f>
        <v>Walk-in Customer</v>
      </c>
      <c r="F1300" s="4" t="s">
        <v>7</v>
      </c>
      <c r="G1300" s="1" t="str">
        <f>_xlfn.XLOOKUP(tblSales[[#This Row],[Product Code]],tblProducts[Code],tblProducts[Product / Service Name],"⚠ Unknown")</f>
        <v>Premium Basic T-shirt</v>
      </c>
      <c r="H1300" s="1" t="str">
        <f>_xlfn.XLOOKUP(tblSales[[#This Row],[Product Code]],tblProducts[Code],tblProducts[Category],"")</f>
        <v>Accessories &amp; Basics</v>
      </c>
      <c r="I1300" s="4">
        <v>1</v>
      </c>
      <c r="J1300" s="5">
        <f>_xlfn.XLOOKUP(tblSales[[#This Row],[Product Code]],tblProducts[Code],tblProducts[Selling Price (excl. VAT)],0)</f>
        <v>65000</v>
      </c>
      <c r="K1300" s="5">
        <f>tblSales[[#This Row],[Qty]]*tblSales[[#This Row],[Unit Price]]</f>
        <v>65000</v>
      </c>
      <c r="L1300" s="5">
        <f>ROUND(tblSales[[#This Row],[DPP (excl. VAT)]]*VATEff,0)</f>
        <v>7150</v>
      </c>
      <c r="M1300" s="5">
        <f>tblSales[[#This Row],[DPP (excl. VAT)]]+tblSales[[#This Row],[Output VAT]]</f>
        <v>72150</v>
      </c>
      <c r="N1300" s="5">
        <f>tblSales[[#This Row],[Qty]]*_xlfn.XLOOKUP(tblSales[[#This Row],[Product Code]],tblProducts[Code],tblProducts[Unit Cost],0)</f>
        <v>37000</v>
      </c>
      <c r="O1300" s="4" t="s">
        <v>4866</v>
      </c>
      <c r="P1300" s="4" t="s">
        <v>4860</v>
      </c>
      <c r="Q1300" s="1" t="str">
        <f>_xlfn.XLOOKUP(tblSales[[#This Row],[Channel Code]],tblChannels[Channel Code],tblChannels[Channel Name],"")</f>
        <v>In-store</v>
      </c>
      <c r="R1300" s="1">
        <f>MONTH(tblSales[[#This Row],[Date]])</f>
        <v>3</v>
      </c>
    </row>
    <row r="1301" spans="2:18" x14ac:dyDescent="0.35">
      <c r="B1301" s="113">
        <v>46102</v>
      </c>
      <c r="C1301" s="4" t="s">
        <v>930</v>
      </c>
      <c r="D1301" s="4" t="s">
        <v>4568</v>
      </c>
      <c r="E1301" s="1" t="str">
        <f>_xlfn.XLOOKUP(tblSales[[#This Row],[Customer ID]],tblCustomers[Customer ID],tblCustomers[Customer Name],"⚠ Unknown")</f>
        <v>Walk-in Customer</v>
      </c>
      <c r="F1301" s="4" t="s">
        <v>6</v>
      </c>
      <c r="G1301" s="1" t="str">
        <f>_xlfn.XLOOKUP(tblSales[[#This Row],[Product Code]],tblProducts[Code],tblProducts[Product / Service Name],"⚠ Unknown")</f>
        <v>Socks &amp; Accessories</v>
      </c>
      <c r="H1301" s="1" t="str">
        <f>_xlfn.XLOOKUP(tblSales[[#This Row],[Product Code]],tblProducts[Code],tblProducts[Category],"")</f>
        <v>Accessories &amp; Basics</v>
      </c>
      <c r="I1301" s="4">
        <v>7</v>
      </c>
      <c r="J1301" s="5">
        <f>_xlfn.XLOOKUP(tblSales[[#This Row],[Product Code]],tblProducts[Code],tblProducts[Selling Price (excl. VAT)],0)</f>
        <v>45000</v>
      </c>
      <c r="K1301" s="5">
        <f>tblSales[[#This Row],[Qty]]*tblSales[[#This Row],[Unit Price]]</f>
        <v>315000</v>
      </c>
      <c r="L1301" s="5">
        <f>ROUND(tblSales[[#This Row],[DPP (excl. VAT)]]*VATEff,0)</f>
        <v>34650</v>
      </c>
      <c r="M1301" s="5">
        <f>tblSales[[#This Row],[DPP (excl. VAT)]]+tblSales[[#This Row],[Output VAT]]</f>
        <v>349650</v>
      </c>
      <c r="N1301" s="5">
        <f>tblSales[[#This Row],[Qty]]*_xlfn.XLOOKUP(tblSales[[#This Row],[Product Code]],tblProducts[Code],tblProducts[Unit Cost],0)</f>
        <v>168000</v>
      </c>
      <c r="O1301" s="4" t="s">
        <v>4866</v>
      </c>
      <c r="P1301" s="4" t="s">
        <v>4860</v>
      </c>
      <c r="Q1301" s="1" t="str">
        <f>_xlfn.XLOOKUP(tblSales[[#This Row],[Channel Code]],tblChannels[Channel Code],tblChannels[Channel Name],"")</f>
        <v>In-store</v>
      </c>
      <c r="R1301" s="1">
        <f>MONTH(tblSales[[#This Row],[Date]])</f>
        <v>3</v>
      </c>
    </row>
    <row r="1302" spans="2:18" x14ac:dyDescent="0.35">
      <c r="B1302" s="113">
        <v>46102</v>
      </c>
      <c r="C1302" s="4" t="s">
        <v>931</v>
      </c>
      <c r="D1302" s="4" t="s">
        <v>4568</v>
      </c>
      <c r="E1302" s="1" t="str">
        <f>_xlfn.XLOOKUP(tblSales[[#This Row],[Customer ID]],tblCustomers[Customer ID],tblCustomers[Customer Name],"⚠ Unknown")</f>
        <v>Walk-in Customer</v>
      </c>
      <c r="F1302" s="4" t="s">
        <v>8</v>
      </c>
      <c r="G1302" s="1" t="str">
        <f>_xlfn.XLOOKUP(tblSales[[#This Row],[Product Code]],tblProducts[Code],tblProducts[Product / Service Name],"⚠ Unknown")</f>
        <v>Casual Shorts</v>
      </c>
      <c r="H1302" s="1" t="str">
        <f>_xlfn.XLOOKUP(tblSales[[#This Row],[Product Code]],tblProducts[Code],tblProducts[Category],"")</f>
        <v>Accessories &amp; Basics</v>
      </c>
      <c r="I1302" s="4">
        <v>5</v>
      </c>
      <c r="J1302" s="5">
        <f>_xlfn.XLOOKUP(tblSales[[#This Row],[Product Code]],tblProducts[Code],tblProducts[Selling Price (excl. VAT)],0)</f>
        <v>85000</v>
      </c>
      <c r="K1302" s="5">
        <f>tblSales[[#This Row],[Qty]]*tblSales[[#This Row],[Unit Price]]</f>
        <v>425000</v>
      </c>
      <c r="L1302" s="5">
        <f>ROUND(tblSales[[#This Row],[DPP (excl. VAT)]]*VATEff,0)</f>
        <v>46750</v>
      </c>
      <c r="M1302" s="5">
        <f>tblSales[[#This Row],[DPP (excl. VAT)]]+tblSales[[#This Row],[Output VAT]]</f>
        <v>471750</v>
      </c>
      <c r="N1302" s="5">
        <f>tblSales[[#This Row],[Qty]]*_xlfn.XLOOKUP(tblSales[[#This Row],[Product Code]],tblProducts[Code],tblProducts[Unit Cost],0)</f>
        <v>250000</v>
      </c>
      <c r="O1302" s="4" t="s">
        <v>4865</v>
      </c>
      <c r="P1302" s="4" t="s">
        <v>4860</v>
      </c>
      <c r="Q1302" s="1" t="str">
        <f>_xlfn.XLOOKUP(tblSales[[#This Row],[Channel Code]],tblChannels[Channel Code],tblChannels[Channel Name],"")</f>
        <v>In-store</v>
      </c>
      <c r="R1302" s="1">
        <f>MONTH(tblSales[[#This Row],[Date]])</f>
        <v>3</v>
      </c>
    </row>
    <row r="1303" spans="2:18" x14ac:dyDescent="0.35">
      <c r="B1303" s="113">
        <v>46102</v>
      </c>
      <c r="C1303" s="4" t="s">
        <v>931</v>
      </c>
      <c r="D1303" s="4" t="s">
        <v>4568</v>
      </c>
      <c r="E1303" s="1" t="str">
        <f>_xlfn.XLOOKUP(tblSales[[#This Row],[Customer ID]],tblCustomers[Customer ID],tblCustomers[Customer Name],"⚠ Unknown")</f>
        <v>Walk-in Customer</v>
      </c>
      <c r="F1303" s="4" t="s">
        <v>15</v>
      </c>
      <c r="G1303" s="1" t="str">
        <f>_xlfn.XLOOKUP(tblSales[[#This Row],[Product Code]],tblProducts[Code],tblProducts[Product / Service Name],"⚠ Unknown")</f>
        <v>Wireless Earbuds Pro</v>
      </c>
      <c r="H1303" s="1" t="str">
        <f>_xlfn.XLOOKUP(tblSales[[#This Row],[Product Code]],tblProducts[Code],tblProducts[Category],"")</f>
        <v>Bags &amp; Gadgets</v>
      </c>
      <c r="I1303" s="4">
        <v>3</v>
      </c>
      <c r="J1303" s="5">
        <f>_xlfn.XLOOKUP(tblSales[[#This Row],[Product Code]],tblProducts[Code],tblProducts[Selling Price (excl. VAT)],0)</f>
        <v>1250000</v>
      </c>
      <c r="K1303" s="5">
        <f>tblSales[[#This Row],[Qty]]*tblSales[[#This Row],[Unit Price]]</f>
        <v>3750000</v>
      </c>
      <c r="L1303" s="5">
        <f>ROUND(tblSales[[#This Row],[DPP (excl. VAT)]]*VATEff,0)</f>
        <v>412500</v>
      </c>
      <c r="M1303" s="5">
        <f>tblSales[[#This Row],[DPP (excl. VAT)]]+tblSales[[#This Row],[Output VAT]]</f>
        <v>4162500</v>
      </c>
      <c r="N1303" s="5">
        <f>tblSales[[#This Row],[Qty]]*_xlfn.XLOOKUP(tblSales[[#This Row],[Product Code]],tblProducts[Code],tblProducts[Unit Cost],0)</f>
        <v>2460000</v>
      </c>
      <c r="O1303" s="4" t="s">
        <v>4865</v>
      </c>
      <c r="P1303" s="4" t="s">
        <v>4860</v>
      </c>
      <c r="Q1303" s="1" t="str">
        <f>_xlfn.XLOOKUP(tblSales[[#This Row],[Channel Code]],tblChannels[Channel Code],tblChannels[Channel Name],"")</f>
        <v>In-store</v>
      </c>
      <c r="R1303" s="1">
        <f>MONTH(tblSales[[#This Row],[Date]])</f>
        <v>3</v>
      </c>
    </row>
    <row r="1304" spans="2:18" x14ac:dyDescent="0.35">
      <c r="B1304" s="113">
        <v>46102</v>
      </c>
      <c r="C1304" s="4" t="s">
        <v>932</v>
      </c>
      <c r="D1304" s="4" t="s">
        <v>4568</v>
      </c>
      <c r="E1304" s="1" t="str">
        <f>_xlfn.XLOOKUP(tblSales[[#This Row],[Customer ID]],tblCustomers[Customer ID],tblCustomers[Customer Name],"⚠ Unknown")</f>
        <v>Walk-in Customer</v>
      </c>
      <c r="F1304" s="4" t="s">
        <v>10</v>
      </c>
      <c r="G1304" s="1" t="str">
        <f>_xlfn.XLOOKUP(tblSales[[#This Row],[Product Code]],tblProducts[Code],tblProducts[Product / Service Name],"⚠ Unknown")</f>
        <v>Chino Pants</v>
      </c>
      <c r="H1304" s="1" t="str">
        <f>_xlfn.XLOOKUP(tblSales[[#This Row],[Product Code]],tblProducts[Code],tblProducts[Category],"")</f>
        <v>Apparel &amp; Footwear</v>
      </c>
      <c r="I1304" s="4">
        <v>10</v>
      </c>
      <c r="J1304" s="5">
        <f>_xlfn.XLOOKUP(tblSales[[#This Row],[Product Code]],tblProducts[Code],tblProducts[Selling Price (excl. VAT)],0)</f>
        <v>150000</v>
      </c>
      <c r="K1304" s="5">
        <f>tblSales[[#This Row],[Qty]]*tblSales[[#This Row],[Unit Price]]</f>
        <v>1500000</v>
      </c>
      <c r="L1304" s="5">
        <f>ROUND(tblSales[[#This Row],[DPP (excl. VAT)]]*VATEff,0)</f>
        <v>165000</v>
      </c>
      <c r="M1304" s="5">
        <f>tblSales[[#This Row],[DPP (excl. VAT)]]+tblSales[[#This Row],[Output VAT]]</f>
        <v>1665000</v>
      </c>
      <c r="N1304" s="5">
        <f>tblSales[[#This Row],[Qty]]*_xlfn.XLOOKUP(tblSales[[#This Row],[Product Code]],tblProducts[Code],tblProducts[Unit Cost],0)</f>
        <v>880000</v>
      </c>
      <c r="O1304" s="4" t="s">
        <v>4865</v>
      </c>
      <c r="P1304" s="4" t="s">
        <v>4860</v>
      </c>
      <c r="Q1304" s="1" t="str">
        <f>_xlfn.XLOOKUP(tblSales[[#This Row],[Channel Code]],tblChannels[Channel Code],tblChannels[Channel Name],"")</f>
        <v>In-store</v>
      </c>
      <c r="R1304" s="1">
        <f>MONTH(tblSales[[#This Row],[Date]])</f>
        <v>3</v>
      </c>
    </row>
    <row r="1305" spans="2:18" x14ac:dyDescent="0.35">
      <c r="B1305" s="113">
        <v>46102</v>
      </c>
      <c r="C1305" s="4" t="s">
        <v>932</v>
      </c>
      <c r="D1305" s="4" t="s">
        <v>4568</v>
      </c>
      <c r="E1305" s="1" t="str">
        <f>_xlfn.XLOOKUP(tblSales[[#This Row],[Customer ID]],tblCustomers[Customer ID],tblCustomers[Customer Name],"⚠ Unknown")</f>
        <v>Walk-in Customer</v>
      </c>
      <c r="F1305" s="4" t="s">
        <v>6</v>
      </c>
      <c r="G1305" s="1" t="str">
        <f>_xlfn.XLOOKUP(tblSales[[#This Row],[Product Code]],tblProducts[Code],tblProducts[Product / Service Name],"⚠ Unknown")</f>
        <v>Socks &amp; Accessories</v>
      </c>
      <c r="H1305" s="1" t="str">
        <f>_xlfn.XLOOKUP(tblSales[[#This Row],[Product Code]],tblProducts[Code],tblProducts[Category],"")</f>
        <v>Accessories &amp; Basics</v>
      </c>
      <c r="I1305" s="4">
        <v>7</v>
      </c>
      <c r="J1305" s="5">
        <f>_xlfn.XLOOKUP(tblSales[[#This Row],[Product Code]],tblProducts[Code],tblProducts[Selling Price (excl. VAT)],0)</f>
        <v>45000</v>
      </c>
      <c r="K1305" s="5">
        <f>tblSales[[#This Row],[Qty]]*tblSales[[#This Row],[Unit Price]]</f>
        <v>315000</v>
      </c>
      <c r="L1305" s="5">
        <f>ROUND(tblSales[[#This Row],[DPP (excl. VAT)]]*VATEff,0)</f>
        <v>34650</v>
      </c>
      <c r="M1305" s="5">
        <f>tblSales[[#This Row],[DPP (excl. VAT)]]+tblSales[[#This Row],[Output VAT]]</f>
        <v>349650</v>
      </c>
      <c r="N1305" s="5">
        <f>tblSales[[#This Row],[Qty]]*_xlfn.XLOOKUP(tblSales[[#This Row],[Product Code]],tblProducts[Code],tblProducts[Unit Cost],0)</f>
        <v>168000</v>
      </c>
      <c r="O1305" s="4" t="s">
        <v>4865</v>
      </c>
      <c r="P1305" s="4" t="s">
        <v>4860</v>
      </c>
      <c r="Q1305" s="1" t="str">
        <f>_xlfn.XLOOKUP(tblSales[[#This Row],[Channel Code]],tblChannels[Channel Code],tblChannels[Channel Name],"")</f>
        <v>In-store</v>
      </c>
      <c r="R1305" s="1">
        <f>MONTH(tblSales[[#This Row],[Date]])</f>
        <v>3</v>
      </c>
    </row>
    <row r="1306" spans="2:18" x14ac:dyDescent="0.35">
      <c r="B1306" s="113">
        <v>46102</v>
      </c>
      <c r="C1306" s="4" t="s">
        <v>933</v>
      </c>
      <c r="D1306" s="4" t="s">
        <v>4568</v>
      </c>
      <c r="E1306" s="1" t="str">
        <f>_xlfn.XLOOKUP(tblSales[[#This Row],[Customer ID]],tblCustomers[Customer ID],tblCustomers[Customer Name],"⚠ Unknown")</f>
        <v>Walk-in Customer</v>
      </c>
      <c r="F1306" s="4" t="s">
        <v>14</v>
      </c>
      <c r="G1306" s="1" t="str">
        <f>_xlfn.XLOOKUP(tblSales[[#This Row],[Product Code]],tblProducts[Code],tblProducts[Product / Service Name],"⚠ Unknown")</f>
        <v>Smartwatch</v>
      </c>
      <c r="H1306" s="1" t="str">
        <f>_xlfn.XLOOKUP(tblSales[[#This Row],[Product Code]],tblProducts[Code],tblProducts[Category],"")</f>
        <v>Bags &amp; Gadgets</v>
      </c>
      <c r="I1306" s="4">
        <v>1</v>
      </c>
      <c r="J1306" s="5">
        <f>_xlfn.XLOOKUP(tblSales[[#This Row],[Product Code]],tblProducts[Code],tblProducts[Selling Price (excl. VAT)],0)</f>
        <v>850000</v>
      </c>
      <c r="K1306" s="5">
        <f>tblSales[[#This Row],[Qty]]*tblSales[[#This Row],[Unit Price]]</f>
        <v>850000</v>
      </c>
      <c r="L1306" s="5">
        <f>ROUND(tblSales[[#This Row],[DPP (excl. VAT)]]*VATEff,0)</f>
        <v>93500</v>
      </c>
      <c r="M1306" s="5">
        <f>tblSales[[#This Row],[DPP (excl. VAT)]]+tblSales[[#This Row],[Output VAT]]</f>
        <v>943500</v>
      </c>
      <c r="N1306" s="5">
        <f>tblSales[[#This Row],[Qty]]*_xlfn.XLOOKUP(tblSales[[#This Row],[Product Code]],tblProducts[Code],tblProducts[Unit Cost],0)</f>
        <v>560000</v>
      </c>
      <c r="O1306" s="4" t="s">
        <v>4866</v>
      </c>
      <c r="P1306" s="4" t="s">
        <v>4861</v>
      </c>
      <c r="Q1306" s="1" t="str">
        <f>_xlfn.XLOOKUP(tblSales[[#This Row],[Channel Code]],tblChannels[Channel Code],tblChannels[Channel Name],"")</f>
        <v>Marketplace</v>
      </c>
      <c r="R1306" s="1">
        <f>MONTH(tblSales[[#This Row],[Date]])</f>
        <v>3</v>
      </c>
    </row>
    <row r="1307" spans="2:18" x14ac:dyDescent="0.35">
      <c r="B1307" s="113">
        <v>46102</v>
      </c>
      <c r="C1307" s="4" t="s">
        <v>934</v>
      </c>
      <c r="D1307" s="4" t="s">
        <v>4568</v>
      </c>
      <c r="E1307" s="1" t="str">
        <f>_xlfn.XLOOKUP(tblSales[[#This Row],[Customer ID]],tblCustomers[Customer ID],tblCustomers[Customer Name],"⚠ Unknown")</f>
        <v>Walk-in Customer</v>
      </c>
      <c r="F1307" s="4" t="s">
        <v>7</v>
      </c>
      <c r="G1307" s="1" t="str">
        <f>_xlfn.XLOOKUP(tblSales[[#This Row],[Product Code]],tblProducts[Code],tblProducts[Product / Service Name],"⚠ Unknown")</f>
        <v>Premium Basic T-shirt</v>
      </c>
      <c r="H1307" s="1" t="str">
        <f>_xlfn.XLOOKUP(tblSales[[#This Row],[Product Code]],tblProducts[Code],tblProducts[Category],"")</f>
        <v>Accessories &amp; Basics</v>
      </c>
      <c r="I1307" s="4">
        <v>6</v>
      </c>
      <c r="J1307" s="5">
        <f>_xlfn.XLOOKUP(tblSales[[#This Row],[Product Code]],tblProducts[Code],tblProducts[Selling Price (excl. VAT)],0)</f>
        <v>65000</v>
      </c>
      <c r="K1307" s="5">
        <f>tblSales[[#This Row],[Qty]]*tblSales[[#This Row],[Unit Price]]</f>
        <v>390000</v>
      </c>
      <c r="L1307" s="5">
        <f>ROUND(tblSales[[#This Row],[DPP (excl. VAT)]]*VATEff,0)</f>
        <v>42900</v>
      </c>
      <c r="M1307" s="5">
        <f>tblSales[[#This Row],[DPP (excl. VAT)]]+tblSales[[#This Row],[Output VAT]]</f>
        <v>432900</v>
      </c>
      <c r="N1307" s="5">
        <f>tblSales[[#This Row],[Qty]]*_xlfn.XLOOKUP(tblSales[[#This Row],[Product Code]],tblProducts[Code],tblProducts[Unit Cost],0)</f>
        <v>222000</v>
      </c>
      <c r="O1307" s="4" t="s">
        <v>4865</v>
      </c>
      <c r="P1307" s="4" t="s">
        <v>4860</v>
      </c>
      <c r="Q1307" s="1" t="str">
        <f>_xlfn.XLOOKUP(tblSales[[#This Row],[Channel Code]],tblChannels[Channel Code],tblChannels[Channel Name],"")</f>
        <v>In-store</v>
      </c>
      <c r="R1307" s="1">
        <f>MONTH(tblSales[[#This Row],[Date]])</f>
        <v>3</v>
      </c>
    </row>
    <row r="1308" spans="2:18" x14ac:dyDescent="0.35">
      <c r="B1308" s="113">
        <v>46102</v>
      </c>
      <c r="C1308" s="4" t="s">
        <v>934</v>
      </c>
      <c r="D1308" s="4" t="s">
        <v>4568</v>
      </c>
      <c r="E1308" s="1" t="str">
        <f>_xlfn.XLOOKUP(tblSales[[#This Row],[Customer ID]],tblCustomers[Customer ID],tblCustomers[Customer Name],"⚠ Unknown")</f>
        <v>Walk-in Customer</v>
      </c>
      <c r="F1308" s="4" t="s">
        <v>8</v>
      </c>
      <c r="G1308" s="1" t="str">
        <f>_xlfn.XLOOKUP(tblSales[[#This Row],[Product Code]],tblProducts[Code],tblProducts[Product / Service Name],"⚠ Unknown")</f>
        <v>Casual Shorts</v>
      </c>
      <c r="H1308" s="1" t="str">
        <f>_xlfn.XLOOKUP(tblSales[[#This Row],[Product Code]],tblProducts[Code],tblProducts[Category],"")</f>
        <v>Accessories &amp; Basics</v>
      </c>
      <c r="I1308" s="4">
        <v>8</v>
      </c>
      <c r="J1308" s="5">
        <f>_xlfn.XLOOKUP(tblSales[[#This Row],[Product Code]],tblProducts[Code],tblProducts[Selling Price (excl. VAT)],0)</f>
        <v>85000</v>
      </c>
      <c r="K1308" s="5">
        <f>tblSales[[#This Row],[Qty]]*tblSales[[#This Row],[Unit Price]]</f>
        <v>680000</v>
      </c>
      <c r="L1308" s="5">
        <f>ROUND(tblSales[[#This Row],[DPP (excl. VAT)]]*VATEff,0)</f>
        <v>74800</v>
      </c>
      <c r="M1308" s="5">
        <f>tblSales[[#This Row],[DPP (excl. VAT)]]+tblSales[[#This Row],[Output VAT]]</f>
        <v>754800</v>
      </c>
      <c r="N1308" s="5">
        <f>tblSales[[#This Row],[Qty]]*_xlfn.XLOOKUP(tblSales[[#This Row],[Product Code]],tblProducts[Code],tblProducts[Unit Cost],0)</f>
        <v>400000</v>
      </c>
      <c r="O1308" s="4" t="s">
        <v>4865</v>
      </c>
      <c r="P1308" s="4" t="s">
        <v>4860</v>
      </c>
      <c r="Q1308" s="1" t="str">
        <f>_xlfn.XLOOKUP(tblSales[[#This Row],[Channel Code]],tblChannels[Channel Code],tblChannels[Channel Name],"")</f>
        <v>In-store</v>
      </c>
      <c r="R1308" s="1">
        <f>MONTH(tblSales[[#This Row],[Date]])</f>
        <v>3</v>
      </c>
    </row>
    <row r="1309" spans="2:18" x14ac:dyDescent="0.35">
      <c r="B1309" s="113">
        <v>46103</v>
      </c>
      <c r="C1309" s="4" t="s">
        <v>935</v>
      </c>
      <c r="D1309" s="4" t="s">
        <v>4568</v>
      </c>
      <c r="E1309" s="1" t="str">
        <f>_xlfn.XLOOKUP(tblSales[[#This Row],[Customer ID]],tblCustomers[Customer ID],tblCustomers[Customer Name],"⚠ Unknown")</f>
        <v>Walk-in Customer</v>
      </c>
      <c r="F1309" s="4" t="s">
        <v>8</v>
      </c>
      <c r="G1309" s="1" t="str">
        <f>_xlfn.XLOOKUP(tblSales[[#This Row],[Product Code]],tblProducts[Code],tblProducts[Product / Service Name],"⚠ Unknown")</f>
        <v>Casual Shorts</v>
      </c>
      <c r="H1309" s="1" t="str">
        <f>_xlfn.XLOOKUP(tblSales[[#This Row],[Product Code]],tblProducts[Code],tblProducts[Category],"")</f>
        <v>Accessories &amp; Basics</v>
      </c>
      <c r="I1309" s="4">
        <v>6</v>
      </c>
      <c r="J1309" s="5">
        <f>_xlfn.XLOOKUP(tblSales[[#This Row],[Product Code]],tblProducts[Code],tblProducts[Selling Price (excl. VAT)],0)</f>
        <v>85000</v>
      </c>
      <c r="K1309" s="5">
        <f>tblSales[[#This Row],[Qty]]*tblSales[[#This Row],[Unit Price]]</f>
        <v>510000</v>
      </c>
      <c r="L1309" s="5">
        <f>ROUND(tblSales[[#This Row],[DPP (excl. VAT)]]*VATEff,0)</f>
        <v>56100</v>
      </c>
      <c r="M1309" s="5">
        <f>tblSales[[#This Row],[DPP (excl. VAT)]]+tblSales[[#This Row],[Output VAT]]</f>
        <v>566100</v>
      </c>
      <c r="N1309" s="5">
        <f>tblSales[[#This Row],[Qty]]*_xlfn.XLOOKUP(tblSales[[#This Row],[Product Code]],tblProducts[Code],tblProducts[Unit Cost],0)</f>
        <v>300000</v>
      </c>
      <c r="O1309" s="4" t="s">
        <v>4865</v>
      </c>
      <c r="P1309" s="4" t="s">
        <v>4860</v>
      </c>
      <c r="Q1309" s="1" t="str">
        <f>_xlfn.XLOOKUP(tblSales[[#This Row],[Channel Code]],tblChannels[Channel Code],tblChannels[Channel Name],"")</f>
        <v>In-store</v>
      </c>
      <c r="R1309" s="1">
        <f>MONTH(tblSales[[#This Row],[Date]])</f>
        <v>3</v>
      </c>
    </row>
    <row r="1310" spans="2:18" x14ac:dyDescent="0.35">
      <c r="B1310" s="113">
        <v>46103</v>
      </c>
      <c r="C1310" s="4" t="s">
        <v>936</v>
      </c>
      <c r="D1310" s="4" t="s">
        <v>4568</v>
      </c>
      <c r="E1310" s="1" t="str">
        <f>_xlfn.XLOOKUP(tblSales[[#This Row],[Customer ID]],tblCustomers[Customer ID],tblCustomers[Customer Name],"⚠ Unknown")</f>
        <v>Walk-in Customer</v>
      </c>
      <c r="F1310" s="4" t="s">
        <v>9</v>
      </c>
      <c r="G1310" s="1" t="str">
        <f>_xlfn.XLOOKUP(tblSales[[#This Row],[Product Code]],tblProducts[Code],tblProducts[Product / Service Name],"⚠ Unknown")</f>
        <v>Casual Shirt</v>
      </c>
      <c r="H1310" s="1" t="str">
        <f>_xlfn.XLOOKUP(tblSales[[#This Row],[Product Code]],tblProducts[Code],tblProducts[Category],"")</f>
        <v>Apparel &amp; Footwear</v>
      </c>
      <c r="I1310" s="4">
        <v>7</v>
      </c>
      <c r="J1310" s="5">
        <f>_xlfn.XLOOKUP(tblSales[[#This Row],[Product Code]],tblProducts[Code],tblProducts[Selling Price (excl. VAT)],0)</f>
        <v>120000</v>
      </c>
      <c r="K1310" s="5">
        <f>tblSales[[#This Row],[Qty]]*tblSales[[#This Row],[Unit Price]]</f>
        <v>840000</v>
      </c>
      <c r="L1310" s="5">
        <f>ROUND(tblSales[[#This Row],[DPP (excl. VAT)]]*VATEff,0)</f>
        <v>92400</v>
      </c>
      <c r="M1310" s="5">
        <f>tblSales[[#This Row],[DPP (excl. VAT)]]+tblSales[[#This Row],[Output VAT]]</f>
        <v>932400</v>
      </c>
      <c r="N1310" s="5">
        <f>tblSales[[#This Row],[Qty]]*_xlfn.XLOOKUP(tblSales[[#This Row],[Product Code]],tblProducts[Code],tblProducts[Unit Cost],0)</f>
        <v>504000</v>
      </c>
      <c r="O1310" s="4" t="s">
        <v>4866</v>
      </c>
      <c r="P1310" s="4" t="s">
        <v>4860</v>
      </c>
      <c r="Q1310" s="1" t="str">
        <f>_xlfn.XLOOKUP(tblSales[[#This Row],[Channel Code]],tblChannels[Channel Code],tblChannels[Channel Name],"")</f>
        <v>In-store</v>
      </c>
      <c r="R1310" s="1">
        <f>MONTH(tblSales[[#This Row],[Date]])</f>
        <v>3</v>
      </c>
    </row>
    <row r="1311" spans="2:18" x14ac:dyDescent="0.35">
      <c r="B1311" s="113">
        <v>46103</v>
      </c>
      <c r="C1311" s="4" t="s">
        <v>936</v>
      </c>
      <c r="D1311" s="4" t="s">
        <v>4568</v>
      </c>
      <c r="E1311" s="1" t="str">
        <f>_xlfn.XLOOKUP(tblSales[[#This Row],[Customer ID]],tblCustomers[Customer ID],tblCustomers[Customer Name],"⚠ Unknown")</f>
        <v>Walk-in Customer</v>
      </c>
      <c r="F1311" s="4" t="s">
        <v>7</v>
      </c>
      <c r="G1311" s="1" t="str">
        <f>_xlfn.XLOOKUP(tblSales[[#This Row],[Product Code]],tblProducts[Code],tblProducts[Product / Service Name],"⚠ Unknown")</f>
        <v>Premium Basic T-shirt</v>
      </c>
      <c r="H1311" s="1" t="str">
        <f>_xlfn.XLOOKUP(tblSales[[#This Row],[Product Code]],tblProducts[Code],tblProducts[Category],"")</f>
        <v>Accessories &amp; Basics</v>
      </c>
      <c r="I1311" s="4">
        <v>12</v>
      </c>
      <c r="J1311" s="5">
        <f>_xlfn.XLOOKUP(tblSales[[#This Row],[Product Code]],tblProducts[Code],tblProducts[Selling Price (excl. VAT)],0)</f>
        <v>65000</v>
      </c>
      <c r="K1311" s="5">
        <f>tblSales[[#This Row],[Qty]]*tblSales[[#This Row],[Unit Price]]</f>
        <v>780000</v>
      </c>
      <c r="L1311" s="5">
        <f>ROUND(tblSales[[#This Row],[DPP (excl. VAT)]]*VATEff,0)</f>
        <v>85800</v>
      </c>
      <c r="M1311" s="5">
        <f>tblSales[[#This Row],[DPP (excl. VAT)]]+tblSales[[#This Row],[Output VAT]]</f>
        <v>865800</v>
      </c>
      <c r="N1311" s="5">
        <f>tblSales[[#This Row],[Qty]]*_xlfn.XLOOKUP(tblSales[[#This Row],[Product Code]],tblProducts[Code],tblProducts[Unit Cost],0)</f>
        <v>444000</v>
      </c>
      <c r="O1311" s="4" t="s">
        <v>4866</v>
      </c>
      <c r="P1311" s="4" t="s">
        <v>4860</v>
      </c>
      <c r="Q1311" s="1" t="str">
        <f>_xlfn.XLOOKUP(tblSales[[#This Row],[Channel Code]],tblChannels[Channel Code],tblChannels[Channel Name],"")</f>
        <v>In-store</v>
      </c>
      <c r="R1311" s="1">
        <f>MONTH(tblSales[[#This Row],[Date]])</f>
        <v>3</v>
      </c>
    </row>
    <row r="1312" spans="2:18" x14ac:dyDescent="0.35">
      <c r="B1312" s="113">
        <v>46103</v>
      </c>
      <c r="C1312" s="4" t="s">
        <v>936</v>
      </c>
      <c r="D1312" s="4" t="s">
        <v>4568</v>
      </c>
      <c r="E1312" s="1" t="str">
        <f>_xlfn.XLOOKUP(tblSales[[#This Row],[Customer ID]],tblCustomers[Customer ID],tblCustomers[Customer Name],"⚠ Unknown")</f>
        <v>Walk-in Customer</v>
      </c>
      <c r="F1312" s="4" t="s">
        <v>11</v>
      </c>
      <c r="G1312" s="1" t="str">
        <f>_xlfn.XLOOKUP(tblSales[[#This Row],[Product Code]],tblProducts[Code],tblProducts[Product / Service Name],"⚠ Unknown")</f>
        <v>Sneakers</v>
      </c>
      <c r="H1312" s="1" t="str">
        <f>_xlfn.XLOOKUP(tblSales[[#This Row],[Product Code]],tblProducts[Code],tblProducts[Category],"")</f>
        <v>Apparel &amp; Footwear</v>
      </c>
      <c r="I1312" s="4">
        <v>5</v>
      </c>
      <c r="J1312" s="5">
        <f>_xlfn.XLOOKUP(tblSales[[#This Row],[Product Code]],tblProducts[Code],tblProducts[Selling Price (excl. VAT)],0)</f>
        <v>250000</v>
      </c>
      <c r="K1312" s="5">
        <f>tblSales[[#This Row],[Qty]]*tblSales[[#This Row],[Unit Price]]</f>
        <v>1250000</v>
      </c>
      <c r="L1312" s="5">
        <f>ROUND(tblSales[[#This Row],[DPP (excl. VAT)]]*VATEff,0)</f>
        <v>137500</v>
      </c>
      <c r="M1312" s="5">
        <f>tblSales[[#This Row],[DPP (excl. VAT)]]+tblSales[[#This Row],[Output VAT]]</f>
        <v>1387500</v>
      </c>
      <c r="N1312" s="5">
        <f>tblSales[[#This Row],[Qty]]*_xlfn.XLOOKUP(tblSales[[#This Row],[Product Code]],tblProducts[Code],tblProducts[Unit Cost],0)</f>
        <v>775000</v>
      </c>
      <c r="O1312" s="4" t="s">
        <v>4866</v>
      </c>
      <c r="P1312" s="4" t="s">
        <v>4860</v>
      </c>
      <c r="Q1312" s="1" t="str">
        <f>_xlfn.XLOOKUP(tblSales[[#This Row],[Channel Code]],tblChannels[Channel Code],tblChannels[Channel Name],"")</f>
        <v>In-store</v>
      </c>
      <c r="R1312" s="1">
        <f>MONTH(tblSales[[#This Row],[Date]])</f>
        <v>3</v>
      </c>
    </row>
    <row r="1313" spans="2:18" x14ac:dyDescent="0.35">
      <c r="B1313" s="113">
        <v>46103</v>
      </c>
      <c r="C1313" s="4" t="s">
        <v>937</v>
      </c>
      <c r="D1313" s="4" t="s">
        <v>4568</v>
      </c>
      <c r="E1313" s="1" t="str">
        <f>_xlfn.XLOOKUP(tblSales[[#This Row],[Customer ID]],tblCustomers[Customer ID],tblCustomers[Customer Name],"⚠ Unknown")</f>
        <v>Walk-in Customer</v>
      </c>
      <c r="F1313" s="4" t="s">
        <v>6</v>
      </c>
      <c r="G1313" s="1" t="str">
        <f>_xlfn.XLOOKUP(tblSales[[#This Row],[Product Code]],tblProducts[Code],tblProducts[Product / Service Name],"⚠ Unknown")</f>
        <v>Socks &amp; Accessories</v>
      </c>
      <c r="H1313" s="1" t="str">
        <f>_xlfn.XLOOKUP(tblSales[[#This Row],[Product Code]],tblProducts[Code],tblProducts[Category],"")</f>
        <v>Accessories &amp; Basics</v>
      </c>
      <c r="I1313" s="4">
        <v>11</v>
      </c>
      <c r="J1313" s="5">
        <f>_xlfn.XLOOKUP(tblSales[[#This Row],[Product Code]],tblProducts[Code],tblProducts[Selling Price (excl. VAT)],0)</f>
        <v>45000</v>
      </c>
      <c r="K1313" s="5">
        <f>tblSales[[#This Row],[Qty]]*tblSales[[#This Row],[Unit Price]]</f>
        <v>495000</v>
      </c>
      <c r="L1313" s="5">
        <f>ROUND(tblSales[[#This Row],[DPP (excl. VAT)]]*VATEff,0)</f>
        <v>54450</v>
      </c>
      <c r="M1313" s="5">
        <f>tblSales[[#This Row],[DPP (excl. VAT)]]+tblSales[[#This Row],[Output VAT]]</f>
        <v>549450</v>
      </c>
      <c r="N1313" s="5">
        <f>tblSales[[#This Row],[Qty]]*_xlfn.XLOOKUP(tblSales[[#This Row],[Product Code]],tblProducts[Code],tblProducts[Unit Cost],0)</f>
        <v>264000</v>
      </c>
      <c r="O1313" s="4" t="s">
        <v>4865</v>
      </c>
      <c r="P1313" s="4" t="s">
        <v>4860</v>
      </c>
      <c r="Q1313" s="1" t="str">
        <f>_xlfn.XLOOKUP(tblSales[[#This Row],[Channel Code]],tblChannels[Channel Code],tblChannels[Channel Name],"")</f>
        <v>In-store</v>
      </c>
      <c r="R1313" s="1">
        <f>MONTH(tblSales[[#This Row],[Date]])</f>
        <v>3</v>
      </c>
    </row>
    <row r="1314" spans="2:18" x14ac:dyDescent="0.35">
      <c r="B1314" s="113">
        <v>46103</v>
      </c>
      <c r="C1314" s="4" t="s">
        <v>938</v>
      </c>
      <c r="D1314" s="4" t="s">
        <v>4568</v>
      </c>
      <c r="E1314" s="1" t="str">
        <f>_xlfn.XLOOKUP(tblSales[[#This Row],[Customer ID]],tblCustomers[Customer ID],tblCustomers[Customer Name],"⚠ Unknown")</f>
        <v>Walk-in Customer</v>
      </c>
      <c r="F1314" s="4" t="s">
        <v>11</v>
      </c>
      <c r="G1314" s="1" t="str">
        <f>_xlfn.XLOOKUP(tblSales[[#This Row],[Product Code]],tblProducts[Code],tblProducts[Product / Service Name],"⚠ Unknown")</f>
        <v>Sneakers</v>
      </c>
      <c r="H1314" s="1" t="str">
        <f>_xlfn.XLOOKUP(tblSales[[#This Row],[Product Code]],tblProducts[Code],tblProducts[Category],"")</f>
        <v>Apparel &amp; Footwear</v>
      </c>
      <c r="I1314" s="4">
        <v>3</v>
      </c>
      <c r="J1314" s="5">
        <f>_xlfn.XLOOKUP(tblSales[[#This Row],[Product Code]],tblProducts[Code],tblProducts[Selling Price (excl. VAT)],0)</f>
        <v>250000</v>
      </c>
      <c r="K1314" s="5">
        <f>tblSales[[#This Row],[Qty]]*tblSales[[#This Row],[Unit Price]]</f>
        <v>750000</v>
      </c>
      <c r="L1314" s="5">
        <f>ROUND(tblSales[[#This Row],[DPP (excl. VAT)]]*VATEff,0)</f>
        <v>82500</v>
      </c>
      <c r="M1314" s="5">
        <f>tblSales[[#This Row],[DPP (excl. VAT)]]+tblSales[[#This Row],[Output VAT]]</f>
        <v>832500</v>
      </c>
      <c r="N1314" s="5">
        <f>tblSales[[#This Row],[Qty]]*_xlfn.XLOOKUP(tblSales[[#This Row],[Product Code]],tblProducts[Code],tblProducts[Unit Cost],0)</f>
        <v>465000</v>
      </c>
      <c r="O1314" s="4" t="s">
        <v>4866</v>
      </c>
      <c r="P1314" s="4" t="s">
        <v>4860</v>
      </c>
      <c r="Q1314" s="1" t="str">
        <f>_xlfn.XLOOKUP(tblSales[[#This Row],[Channel Code]],tblChannels[Channel Code],tblChannels[Channel Name],"")</f>
        <v>In-store</v>
      </c>
      <c r="R1314" s="1">
        <f>MONTH(tblSales[[#This Row],[Date]])</f>
        <v>3</v>
      </c>
    </row>
    <row r="1315" spans="2:18" x14ac:dyDescent="0.35">
      <c r="B1315" s="113">
        <v>46103</v>
      </c>
      <c r="C1315" s="4" t="s">
        <v>939</v>
      </c>
      <c r="D1315" s="4" t="s">
        <v>4568</v>
      </c>
      <c r="E1315" s="1" t="str">
        <f>_xlfn.XLOOKUP(tblSales[[#This Row],[Customer ID]],tblCustomers[Customer ID],tblCustomers[Customer Name],"⚠ Unknown")</f>
        <v>Walk-in Customer</v>
      </c>
      <c r="F1315" s="4" t="s">
        <v>6</v>
      </c>
      <c r="G1315" s="1" t="str">
        <f>_xlfn.XLOOKUP(tblSales[[#This Row],[Product Code]],tblProducts[Code],tblProducts[Product / Service Name],"⚠ Unknown")</f>
        <v>Socks &amp; Accessories</v>
      </c>
      <c r="H1315" s="1" t="str">
        <f>_xlfn.XLOOKUP(tblSales[[#This Row],[Product Code]],tblProducts[Code],tblProducts[Category],"")</f>
        <v>Accessories &amp; Basics</v>
      </c>
      <c r="I1315" s="4">
        <v>1</v>
      </c>
      <c r="J1315" s="5">
        <f>_xlfn.XLOOKUP(tblSales[[#This Row],[Product Code]],tblProducts[Code],tblProducts[Selling Price (excl. VAT)],0)</f>
        <v>45000</v>
      </c>
      <c r="K1315" s="5">
        <f>tblSales[[#This Row],[Qty]]*tblSales[[#This Row],[Unit Price]]</f>
        <v>45000</v>
      </c>
      <c r="L1315" s="5">
        <f>ROUND(tblSales[[#This Row],[DPP (excl. VAT)]]*VATEff,0)</f>
        <v>4950</v>
      </c>
      <c r="M1315" s="5">
        <f>tblSales[[#This Row],[DPP (excl. VAT)]]+tblSales[[#This Row],[Output VAT]]</f>
        <v>49950</v>
      </c>
      <c r="N1315" s="5">
        <f>tblSales[[#This Row],[Qty]]*_xlfn.XLOOKUP(tblSales[[#This Row],[Product Code]],tblProducts[Code],tblProducts[Unit Cost],0)</f>
        <v>24000</v>
      </c>
      <c r="O1315" s="4" t="s">
        <v>4865</v>
      </c>
      <c r="P1315" s="4" t="s">
        <v>4860</v>
      </c>
      <c r="Q1315" s="1" t="str">
        <f>_xlfn.XLOOKUP(tblSales[[#This Row],[Channel Code]],tblChannels[Channel Code],tblChannels[Channel Name],"")</f>
        <v>In-store</v>
      </c>
      <c r="R1315" s="1">
        <f>MONTH(tblSales[[#This Row],[Date]])</f>
        <v>3</v>
      </c>
    </row>
    <row r="1316" spans="2:18" x14ac:dyDescent="0.35">
      <c r="B1316" s="113">
        <v>46103</v>
      </c>
      <c r="C1316" s="4" t="s">
        <v>940</v>
      </c>
      <c r="D1316" s="4" t="s">
        <v>4568</v>
      </c>
      <c r="E1316" s="1" t="str">
        <f>_xlfn.XLOOKUP(tblSales[[#This Row],[Customer ID]],tblCustomers[Customer ID],tblCustomers[Customer Name],"⚠ Unknown")</f>
        <v>Walk-in Customer</v>
      </c>
      <c r="F1316" s="4" t="s">
        <v>10</v>
      </c>
      <c r="G1316" s="1" t="str">
        <f>_xlfn.XLOOKUP(tblSales[[#This Row],[Product Code]],tblProducts[Code],tblProducts[Product / Service Name],"⚠ Unknown")</f>
        <v>Chino Pants</v>
      </c>
      <c r="H1316" s="1" t="str">
        <f>_xlfn.XLOOKUP(tblSales[[#This Row],[Product Code]],tblProducts[Code],tblProducts[Category],"")</f>
        <v>Apparel &amp; Footwear</v>
      </c>
      <c r="I1316" s="4">
        <v>11</v>
      </c>
      <c r="J1316" s="5">
        <f>_xlfn.XLOOKUP(tblSales[[#This Row],[Product Code]],tblProducts[Code],tblProducts[Selling Price (excl. VAT)],0)</f>
        <v>150000</v>
      </c>
      <c r="K1316" s="5">
        <f>tblSales[[#This Row],[Qty]]*tblSales[[#This Row],[Unit Price]]</f>
        <v>1650000</v>
      </c>
      <c r="L1316" s="5">
        <f>ROUND(tblSales[[#This Row],[DPP (excl. VAT)]]*VATEff,0)</f>
        <v>181500</v>
      </c>
      <c r="M1316" s="5">
        <f>tblSales[[#This Row],[DPP (excl. VAT)]]+tblSales[[#This Row],[Output VAT]]</f>
        <v>1831500</v>
      </c>
      <c r="N1316" s="5">
        <f>tblSales[[#This Row],[Qty]]*_xlfn.XLOOKUP(tblSales[[#This Row],[Product Code]],tblProducts[Code],tblProducts[Unit Cost],0)</f>
        <v>968000</v>
      </c>
      <c r="O1316" s="4" t="s">
        <v>4866</v>
      </c>
      <c r="P1316" s="4" t="s">
        <v>4861</v>
      </c>
      <c r="Q1316" s="1" t="str">
        <f>_xlfn.XLOOKUP(tblSales[[#This Row],[Channel Code]],tblChannels[Channel Code],tblChannels[Channel Name],"")</f>
        <v>Marketplace</v>
      </c>
      <c r="R1316" s="1">
        <f>MONTH(tblSales[[#This Row],[Date]])</f>
        <v>3</v>
      </c>
    </row>
    <row r="1317" spans="2:18" x14ac:dyDescent="0.35">
      <c r="B1317" s="113">
        <v>46103</v>
      </c>
      <c r="C1317" s="4" t="s">
        <v>941</v>
      </c>
      <c r="D1317" s="4" t="s">
        <v>4568</v>
      </c>
      <c r="E1317" s="1" t="str">
        <f>_xlfn.XLOOKUP(tblSales[[#This Row],[Customer ID]],tblCustomers[Customer ID],tblCustomers[Customer Name],"⚠ Unknown")</f>
        <v>Walk-in Customer</v>
      </c>
      <c r="F1317" s="4" t="s">
        <v>8</v>
      </c>
      <c r="G1317" s="1" t="str">
        <f>_xlfn.XLOOKUP(tblSales[[#This Row],[Product Code]],tblProducts[Code],tblProducts[Product / Service Name],"⚠ Unknown")</f>
        <v>Casual Shorts</v>
      </c>
      <c r="H1317" s="1" t="str">
        <f>_xlfn.XLOOKUP(tblSales[[#This Row],[Product Code]],tblProducts[Code],tblProducts[Category],"")</f>
        <v>Accessories &amp; Basics</v>
      </c>
      <c r="I1317" s="4">
        <v>10</v>
      </c>
      <c r="J1317" s="5">
        <f>_xlfn.XLOOKUP(tblSales[[#This Row],[Product Code]],tblProducts[Code],tblProducts[Selling Price (excl. VAT)],0)</f>
        <v>85000</v>
      </c>
      <c r="K1317" s="5">
        <f>tblSales[[#This Row],[Qty]]*tblSales[[#This Row],[Unit Price]]</f>
        <v>850000</v>
      </c>
      <c r="L1317" s="5">
        <f>ROUND(tblSales[[#This Row],[DPP (excl. VAT)]]*VATEff,0)</f>
        <v>93500</v>
      </c>
      <c r="M1317" s="5">
        <f>tblSales[[#This Row],[DPP (excl. VAT)]]+tblSales[[#This Row],[Output VAT]]</f>
        <v>943500</v>
      </c>
      <c r="N1317" s="5">
        <f>tblSales[[#This Row],[Qty]]*_xlfn.XLOOKUP(tblSales[[#This Row],[Product Code]],tblProducts[Code],tblProducts[Unit Cost],0)</f>
        <v>500000</v>
      </c>
      <c r="O1317" s="4" t="s">
        <v>4866</v>
      </c>
      <c r="P1317" s="4" t="s">
        <v>4861</v>
      </c>
      <c r="Q1317" s="1" t="str">
        <f>_xlfn.XLOOKUP(tblSales[[#This Row],[Channel Code]],tblChannels[Channel Code],tblChannels[Channel Name],"")</f>
        <v>Marketplace</v>
      </c>
      <c r="R1317" s="1">
        <f>MONTH(tblSales[[#This Row],[Date]])</f>
        <v>3</v>
      </c>
    </row>
    <row r="1318" spans="2:18" x14ac:dyDescent="0.35">
      <c r="B1318" s="113">
        <v>46103</v>
      </c>
      <c r="C1318" s="4" t="s">
        <v>942</v>
      </c>
      <c r="D1318" s="4" t="s">
        <v>4568</v>
      </c>
      <c r="E1318" s="1" t="str">
        <f>_xlfn.XLOOKUP(tblSales[[#This Row],[Customer ID]],tblCustomers[Customer ID],tblCustomers[Customer Name],"⚠ Unknown")</f>
        <v>Walk-in Customer</v>
      </c>
      <c r="F1318" s="4" t="s">
        <v>11</v>
      </c>
      <c r="G1318" s="1" t="str">
        <f>_xlfn.XLOOKUP(tblSales[[#This Row],[Product Code]],tblProducts[Code],tblProducts[Product / Service Name],"⚠ Unknown")</f>
        <v>Sneakers</v>
      </c>
      <c r="H1318" s="1" t="str">
        <f>_xlfn.XLOOKUP(tblSales[[#This Row],[Product Code]],tblProducts[Code],tblProducts[Category],"")</f>
        <v>Apparel &amp; Footwear</v>
      </c>
      <c r="I1318" s="4">
        <v>4</v>
      </c>
      <c r="J1318" s="5">
        <f>_xlfn.XLOOKUP(tblSales[[#This Row],[Product Code]],tblProducts[Code],tblProducts[Selling Price (excl. VAT)],0)</f>
        <v>250000</v>
      </c>
      <c r="K1318" s="5">
        <f>tblSales[[#This Row],[Qty]]*tblSales[[#This Row],[Unit Price]]</f>
        <v>1000000</v>
      </c>
      <c r="L1318" s="5">
        <f>ROUND(tblSales[[#This Row],[DPP (excl. VAT)]]*VATEff,0)</f>
        <v>110000</v>
      </c>
      <c r="M1318" s="5">
        <f>tblSales[[#This Row],[DPP (excl. VAT)]]+tblSales[[#This Row],[Output VAT]]</f>
        <v>1110000</v>
      </c>
      <c r="N1318" s="5">
        <f>tblSales[[#This Row],[Qty]]*_xlfn.XLOOKUP(tblSales[[#This Row],[Product Code]],tblProducts[Code],tblProducts[Unit Cost],0)</f>
        <v>620000</v>
      </c>
      <c r="O1318" s="4" t="s">
        <v>4866</v>
      </c>
      <c r="P1318" s="4" t="s">
        <v>4860</v>
      </c>
      <c r="Q1318" s="1" t="str">
        <f>_xlfn.XLOOKUP(tblSales[[#This Row],[Channel Code]],tblChannels[Channel Code],tblChannels[Channel Name],"")</f>
        <v>In-store</v>
      </c>
      <c r="R1318" s="1">
        <f>MONTH(tblSales[[#This Row],[Date]])</f>
        <v>3</v>
      </c>
    </row>
    <row r="1319" spans="2:18" x14ac:dyDescent="0.35">
      <c r="B1319" s="113">
        <v>46103</v>
      </c>
      <c r="C1319" s="4" t="s">
        <v>943</v>
      </c>
      <c r="D1319" s="4" t="s">
        <v>4641</v>
      </c>
      <c r="E1319" s="1" t="str">
        <f>_xlfn.XLOOKUP(tblSales[[#This Row],[Customer ID]],tblCustomers[Customer ID],tblCustomers[Customer Name],"⚠ Unknown")</f>
        <v>PT Harmoni Pangan Lestari</v>
      </c>
      <c r="F1319" s="4" t="s">
        <v>7</v>
      </c>
      <c r="G1319" s="1" t="str">
        <f>_xlfn.XLOOKUP(tblSales[[#This Row],[Product Code]],tblProducts[Code],tblProducts[Product / Service Name],"⚠ Unknown")</f>
        <v>Premium Basic T-shirt</v>
      </c>
      <c r="H1319" s="1" t="str">
        <f>_xlfn.XLOOKUP(tblSales[[#This Row],[Product Code]],tblProducts[Code],tblProducts[Category],"")</f>
        <v>Accessories &amp; Basics</v>
      </c>
      <c r="I1319" s="4">
        <v>80</v>
      </c>
      <c r="J1319" s="5">
        <f>_xlfn.XLOOKUP(tblSales[[#This Row],[Product Code]],tblProducts[Code],tblProducts[Selling Price (excl. VAT)],0)</f>
        <v>65000</v>
      </c>
      <c r="K1319" s="5">
        <f>tblSales[[#This Row],[Qty]]*tblSales[[#This Row],[Unit Price]]</f>
        <v>5200000</v>
      </c>
      <c r="L1319" s="5">
        <f>ROUND(tblSales[[#This Row],[DPP (excl. VAT)]]*VATEff,0)</f>
        <v>572000</v>
      </c>
      <c r="M1319" s="5">
        <f>tblSales[[#This Row],[DPP (excl. VAT)]]+tblSales[[#This Row],[Output VAT]]</f>
        <v>5772000</v>
      </c>
      <c r="N1319" s="5">
        <f>tblSales[[#This Row],[Qty]]*_xlfn.XLOOKUP(tblSales[[#This Row],[Product Code]],tblProducts[Code],tblProducts[Unit Cost],0)</f>
        <v>2960000</v>
      </c>
      <c r="O1319" s="4" t="s">
        <v>4867</v>
      </c>
      <c r="P1319" s="4" t="s">
        <v>4860</v>
      </c>
      <c r="Q1319" s="1" t="str">
        <f>_xlfn.XLOOKUP(tblSales[[#This Row],[Channel Code]],tblChannels[Channel Code],tblChannels[Channel Name],"")</f>
        <v>In-store</v>
      </c>
      <c r="R1319" s="1">
        <f>MONTH(tblSales[[#This Row],[Date]])</f>
        <v>3</v>
      </c>
    </row>
    <row r="1320" spans="2:18" x14ac:dyDescent="0.35">
      <c r="B1320" s="113">
        <v>46103</v>
      </c>
      <c r="C1320" s="4" t="s">
        <v>944</v>
      </c>
      <c r="D1320" s="4" t="s">
        <v>4568</v>
      </c>
      <c r="E1320" s="1" t="str">
        <f>_xlfn.XLOOKUP(tblSales[[#This Row],[Customer ID]],tblCustomers[Customer ID],tblCustomers[Customer Name],"⚠ Unknown")</f>
        <v>Walk-in Customer</v>
      </c>
      <c r="F1320" s="4" t="s">
        <v>10</v>
      </c>
      <c r="G1320" s="1" t="str">
        <f>_xlfn.XLOOKUP(tblSales[[#This Row],[Product Code]],tblProducts[Code],tblProducts[Product / Service Name],"⚠ Unknown")</f>
        <v>Chino Pants</v>
      </c>
      <c r="H1320" s="1" t="str">
        <f>_xlfn.XLOOKUP(tblSales[[#This Row],[Product Code]],tblProducts[Code],tblProducts[Category],"")</f>
        <v>Apparel &amp; Footwear</v>
      </c>
      <c r="I1320" s="4">
        <v>1</v>
      </c>
      <c r="J1320" s="5">
        <f>_xlfn.XLOOKUP(tblSales[[#This Row],[Product Code]],tblProducts[Code],tblProducts[Selling Price (excl. VAT)],0)</f>
        <v>150000</v>
      </c>
      <c r="K1320" s="5">
        <f>tblSales[[#This Row],[Qty]]*tblSales[[#This Row],[Unit Price]]</f>
        <v>150000</v>
      </c>
      <c r="L1320" s="5">
        <f>ROUND(tblSales[[#This Row],[DPP (excl. VAT)]]*VATEff,0)</f>
        <v>16500</v>
      </c>
      <c r="M1320" s="5">
        <f>tblSales[[#This Row],[DPP (excl. VAT)]]+tblSales[[#This Row],[Output VAT]]</f>
        <v>166500</v>
      </c>
      <c r="N1320" s="5">
        <f>tblSales[[#This Row],[Qty]]*_xlfn.XLOOKUP(tblSales[[#This Row],[Product Code]],tblProducts[Code],tblProducts[Unit Cost],0)</f>
        <v>88000</v>
      </c>
      <c r="O1320" s="4" t="s">
        <v>4865</v>
      </c>
      <c r="P1320" s="4" t="s">
        <v>4860</v>
      </c>
      <c r="Q1320" s="1" t="str">
        <f>_xlfn.XLOOKUP(tblSales[[#This Row],[Channel Code]],tblChannels[Channel Code],tblChannels[Channel Name],"")</f>
        <v>In-store</v>
      </c>
      <c r="R1320" s="1">
        <f>MONTH(tblSales[[#This Row],[Date]])</f>
        <v>3</v>
      </c>
    </row>
    <row r="1321" spans="2:18" x14ac:dyDescent="0.35">
      <c r="B1321" s="113">
        <v>46103</v>
      </c>
      <c r="C1321" s="4" t="s">
        <v>945</v>
      </c>
      <c r="D1321" s="4" t="s">
        <v>4568</v>
      </c>
      <c r="E1321" s="1" t="str">
        <f>_xlfn.XLOOKUP(tblSales[[#This Row],[Customer ID]],tblCustomers[Customer ID],tblCustomers[Customer Name],"⚠ Unknown")</f>
        <v>Walk-in Customer</v>
      </c>
      <c r="F1321" s="4" t="s">
        <v>9</v>
      </c>
      <c r="G1321" s="1" t="str">
        <f>_xlfn.XLOOKUP(tblSales[[#This Row],[Product Code]],tblProducts[Code],tblProducts[Product / Service Name],"⚠ Unknown")</f>
        <v>Casual Shirt</v>
      </c>
      <c r="H1321" s="1" t="str">
        <f>_xlfn.XLOOKUP(tblSales[[#This Row],[Product Code]],tblProducts[Code],tblProducts[Category],"")</f>
        <v>Apparel &amp; Footwear</v>
      </c>
      <c r="I1321" s="4">
        <v>5</v>
      </c>
      <c r="J1321" s="5">
        <f>_xlfn.XLOOKUP(tblSales[[#This Row],[Product Code]],tblProducts[Code],tblProducts[Selling Price (excl. VAT)],0)</f>
        <v>120000</v>
      </c>
      <c r="K1321" s="5">
        <f>tblSales[[#This Row],[Qty]]*tblSales[[#This Row],[Unit Price]]</f>
        <v>600000</v>
      </c>
      <c r="L1321" s="5">
        <f>ROUND(tblSales[[#This Row],[DPP (excl. VAT)]]*VATEff,0)</f>
        <v>66000</v>
      </c>
      <c r="M1321" s="5">
        <f>tblSales[[#This Row],[DPP (excl. VAT)]]+tblSales[[#This Row],[Output VAT]]</f>
        <v>666000</v>
      </c>
      <c r="N1321" s="5">
        <f>tblSales[[#This Row],[Qty]]*_xlfn.XLOOKUP(tblSales[[#This Row],[Product Code]],tblProducts[Code],tblProducts[Unit Cost],0)</f>
        <v>360000</v>
      </c>
      <c r="O1321" s="4" t="s">
        <v>4866</v>
      </c>
      <c r="P1321" s="4" t="s">
        <v>4862</v>
      </c>
      <c r="Q1321" s="1" t="str">
        <f>_xlfn.XLOOKUP(tblSales[[#This Row],[Channel Code]],tblChannels[Channel Code],tblChannels[Channel Name],"")</f>
        <v>Website &amp; Social Media</v>
      </c>
      <c r="R1321" s="1">
        <f>MONTH(tblSales[[#This Row],[Date]])</f>
        <v>3</v>
      </c>
    </row>
    <row r="1322" spans="2:18" x14ac:dyDescent="0.35">
      <c r="B1322" s="113">
        <v>46103</v>
      </c>
      <c r="C1322" s="4" t="s">
        <v>946</v>
      </c>
      <c r="D1322" s="4" t="s">
        <v>4572</v>
      </c>
      <c r="E1322" s="1" t="str">
        <f>_xlfn.XLOOKUP(tblSales[[#This Row],[Customer ID]],tblCustomers[Customer ID],tblCustomers[Customer Name],"⚠ Unknown")</f>
        <v>PT Cahaya Abadi Makmur</v>
      </c>
      <c r="F1322" s="4" t="s">
        <v>6</v>
      </c>
      <c r="G1322" s="1" t="str">
        <f>_xlfn.XLOOKUP(tblSales[[#This Row],[Product Code]],tblProducts[Code],tblProducts[Product / Service Name],"⚠ Unknown")</f>
        <v>Socks &amp; Accessories</v>
      </c>
      <c r="H1322" s="1" t="str">
        <f>_xlfn.XLOOKUP(tblSales[[#This Row],[Product Code]],tblProducts[Code],tblProducts[Category],"")</f>
        <v>Accessories &amp; Basics</v>
      </c>
      <c r="I1322" s="4">
        <v>96</v>
      </c>
      <c r="J1322" s="5">
        <f>_xlfn.XLOOKUP(tblSales[[#This Row],[Product Code]],tblProducts[Code],tblProducts[Selling Price (excl. VAT)],0)</f>
        <v>45000</v>
      </c>
      <c r="K1322" s="5">
        <f>tblSales[[#This Row],[Qty]]*tblSales[[#This Row],[Unit Price]]</f>
        <v>4320000</v>
      </c>
      <c r="L1322" s="5">
        <f>ROUND(tblSales[[#This Row],[DPP (excl. VAT)]]*VATEff,0)</f>
        <v>475200</v>
      </c>
      <c r="M1322" s="5">
        <f>tblSales[[#This Row],[DPP (excl. VAT)]]+tblSales[[#This Row],[Output VAT]]</f>
        <v>4795200</v>
      </c>
      <c r="N1322" s="5">
        <f>tblSales[[#This Row],[Qty]]*_xlfn.XLOOKUP(tblSales[[#This Row],[Product Code]],tblProducts[Code],tblProducts[Unit Cost],0)</f>
        <v>2304000</v>
      </c>
      <c r="O1322" s="4" t="s">
        <v>4867</v>
      </c>
      <c r="P1322" s="4" t="s">
        <v>4860</v>
      </c>
      <c r="Q1322" s="1" t="str">
        <f>_xlfn.XLOOKUP(tblSales[[#This Row],[Channel Code]],tblChannels[Channel Code],tblChannels[Channel Name],"")</f>
        <v>In-store</v>
      </c>
      <c r="R1322" s="1">
        <f>MONTH(tblSales[[#This Row],[Date]])</f>
        <v>3</v>
      </c>
    </row>
    <row r="1323" spans="2:18" x14ac:dyDescent="0.35">
      <c r="B1323" s="113">
        <v>46103</v>
      </c>
      <c r="C1323" s="4" t="s">
        <v>947</v>
      </c>
      <c r="D1323" s="4" t="s">
        <v>4578</v>
      </c>
      <c r="E1323" s="1" t="str">
        <f>_xlfn.XLOOKUP(tblSales[[#This Row],[Customer ID]],tblCustomers[Customer ID],tblCustomers[Customer Name],"⚠ Unknown")</f>
        <v>PT Bintang Timur Sejahtera</v>
      </c>
      <c r="F1323" s="4" t="s">
        <v>7</v>
      </c>
      <c r="G1323" s="1" t="str">
        <f>_xlfn.XLOOKUP(tblSales[[#This Row],[Product Code]],tblProducts[Code],tblProducts[Product / Service Name],"⚠ Unknown")</f>
        <v>Premium Basic T-shirt</v>
      </c>
      <c r="H1323" s="1" t="str">
        <f>_xlfn.XLOOKUP(tblSales[[#This Row],[Product Code]],tblProducts[Code],tblProducts[Category],"")</f>
        <v>Accessories &amp; Basics</v>
      </c>
      <c r="I1323" s="4">
        <v>24</v>
      </c>
      <c r="J1323" s="5">
        <f>_xlfn.XLOOKUP(tblSales[[#This Row],[Product Code]],tblProducts[Code],tblProducts[Selling Price (excl. VAT)],0)</f>
        <v>65000</v>
      </c>
      <c r="K1323" s="5">
        <f>tblSales[[#This Row],[Qty]]*tblSales[[#This Row],[Unit Price]]</f>
        <v>1560000</v>
      </c>
      <c r="L1323" s="5">
        <f>ROUND(tblSales[[#This Row],[DPP (excl. VAT)]]*VATEff,0)</f>
        <v>171600</v>
      </c>
      <c r="M1323" s="5">
        <f>tblSales[[#This Row],[DPP (excl. VAT)]]+tblSales[[#This Row],[Output VAT]]</f>
        <v>1731600</v>
      </c>
      <c r="N1323" s="5">
        <f>tblSales[[#This Row],[Qty]]*_xlfn.XLOOKUP(tblSales[[#This Row],[Product Code]],tblProducts[Code],tblProducts[Unit Cost],0)</f>
        <v>888000</v>
      </c>
      <c r="O1323" s="4" t="s">
        <v>4867</v>
      </c>
      <c r="P1323" s="4" t="s">
        <v>4860</v>
      </c>
      <c r="Q1323" s="1" t="str">
        <f>_xlfn.XLOOKUP(tblSales[[#This Row],[Channel Code]],tblChannels[Channel Code],tblChannels[Channel Name],"")</f>
        <v>In-store</v>
      </c>
      <c r="R1323" s="1">
        <f>MONTH(tblSales[[#This Row],[Date]])</f>
        <v>3</v>
      </c>
    </row>
    <row r="1324" spans="2:18" x14ac:dyDescent="0.35">
      <c r="B1324" s="113">
        <v>46103</v>
      </c>
      <c r="C1324" s="4" t="s">
        <v>947</v>
      </c>
      <c r="D1324" s="4" t="s">
        <v>4578</v>
      </c>
      <c r="E1324" s="1" t="str">
        <f>_xlfn.XLOOKUP(tblSales[[#This Row],[Customer ID]],tblCustomers[Customer ID],tblCustomers[Customer Name],"⚠ Unknown")</f>
        <v>PT Bintang Timur Sejahtera</v>
      </c>
      <c r="F1324" s="4" t="s">
        <v>9</v>
      </c>
      <c r="G1324" s="1" t="str">
        <f>_xlfn.XLOOKUP(tblSales[[#This Row],[Product Code]],tblProducts[Code],tblProducts[Product / Service Name],"⚠ Unknown")</f>
        <v>Casual Shirt</v>
      </c>
      <c r="H1324" s="1" t="str">
        <f>_xlfn.XLOOKUP(tblSales[[#This Row],[Product Code]],tblProducts[Code],tblProducts[Category],"")</f>
        <v>Apparel &amp; Footwear</v>
      </c>
      <c r="I1324" s="4">
        <v>24</v>
      </c>
      <c r="J1324" s="5">
        <f>_xlfn.XLOOKUP(tblSales[[#This Row],[Product Code]],tblProducts[Code],tblProducts[Selling Price (excl. VAT)],0)</f>
        <v>120000</v>
      </c>
      <c r="K1324" s="5">
        <f>tblSales[[#This Row],[Qty]]*tblSales[[#This Row],[Unit Price]]</f>
        <v>2880000</v>
      </c>
      <c r="L1324" s="5">
        <f>ROUND(tblSales[[#This Row],[DPP (excl. VAT)]]*VATEff,0)</f>
        <v>316800</v>
      </c>
      <c r="M1324" s="5">
        <f>tblSales[[#This Row],[DPP (excl. VAT)]]+tblSales[[#This Row],[Output VAT]]</f>
        <v>3196800</v>
      </c>
      <c r="N1324" s="5">
        <f>tblSales[[#This Row],[Qty]]*_xlfn.XLOOKUP(tblSales[[#This Row],[Product Code]],tblProducts[Code],tblProducts[Unit Cost],0)</f>
        <v>1728000</v>
      </c>
      <c r="O1324" s="4" t="s">
        <v>4867</v>
      </c>
      <c r="P1324" s="4" t="s">
        <v>4860</v>
      </c>
      <c r="Q1324" s="1" t="str">
        <f>_xlfn.XLOOKUP(tblSales[[#This Row],[Channel Code]],tblChannels[Channel Code],tblChannels[Channel Name],"")</f>
        <v>In-store</v>
      </c>
      <c r="R1324" s="1">
        <f>MONTH(tblSales[[#This Row],[Date]])</f>
        <v>3</v>
      </c>
    </row>
    <row r="1325" spans="2:18" x14ac:dyDescent="0.35">
      <c r="B1325" s="113">
        <v>46103</v>
      </c>
      <c r="C1325" s="4" t="s">
        <v>947</v>
      </c>
      <c r="D1325" s="4" t="s">
        <v>4578</v>
      </c>
      <c r="E1325" s="1" t="str">
        <f>_xlfn.XLOOKUP(tblSales[[#This Row],[Customer ID]],tblCustomers[Customer ID],tblCustomers[Customer Name],"⚠ Unknown")</f>
        <v>PT Bintang Timur Sejahtera</v>
      </c>
      <c r="F1325" s="4" t="s">
        <v>10</v>
      </c>
      <c r="G1325" s="1" t="str">
        <f>_xlfn.XLOOKUP(tblSales[[#This Row],[Product Code]],tblProducts[Code],tblProducts[Product / Service Name],"⚠ Unknown")</f>
        <v>Chino Pants</v>
      </c>
      <c r="H1325" s="1" t="str">
        <f>_xlfn.XLOOKUP(tblSales[[#This Row],[Product Code]],tblProducts[Code],tblProducts[Category],"")</f>
        <v>Apparel &amp; Footwear</v>
      </c>
      <c r="I1325" s="4">
        <v>96</v>
      </c>
      <c r="J1325" s="5">
        <f>_xlfn.XLOOKUP(tblSales[[#This Row],[Product Code]],tblProducts[Code],tblProducts[Selling Price (excl. VAT)],0)</f>
        <v>150000</v>
      </c>
      <c r="K1325" s="5">
        <f>tblSales[[#This Row],[Qty]]*tblSales[[#This Row],[Unit Price]]</f>
        <v>14400000</v>
      </c>
      <c r="L1325" s="5">
        <f>ROUND(tblSales[[#This Row],[DPP (excl. VAT)]]*VATEff,0)</f>
        <v>1584000</v>
      </c>
      <c r="M1325" s="5">
        <f>tblSales[[#This Row],[DPP (excl. VAT)]]+tblSales[[#This Row],[Output VAT]]</f>
        <v>15984000</v>
      </c>
      <c r="N1325" s="5">
        <f>tblSales[[#This Row],[Qty]]*_xlfn.XLOOKUP(tblSales[[#This Row],[Product Code]],tblProducts[Code],tblProducts[Unit Cost],0)</f>
        <v>8448000</v>
      </c>
      <c r="O1325" s="4" t="s">
        <v>4867</v>
      </c>
      <c r="P1325" s="4" t="s">
        <v>4860</v>
      </c>
      <c r="Q1325" s="1" t="str">
        <f>_xlfn.XLOOKUP(tblSales[[#This Row],[Channel Code]],tblChannels[Channel Code],tblChannels[Channel Name],"")</f>
        <v>In-store</v>
      </c>
      <c r="R1325" s="1">
        <f>MONTH(tblSales[[#This Row],[Date]])</f>
        <v>3</v>
      </c>
    </row>
    <row r="1326" spans="2:18" x14ac:dyDescent="0.35">
      <c r="B1326" s="113">
        <v>46103</v>
      </c>
      <c r="C1326" s="4" t="s">
        <v>948</v>
      </c>
      <c r="D1326" s="4" t="s">
        <v>4568</v>
      </c>
      <c r="E1326" s="1" t="str">
        <f>_xlfn.XLOOKUP(tblSales[[#This Row],[Customer ID]],tblCustomers[Customer ID],tblCustomers[Customer Name],"⚠ Unknown")</f>
        <v>Walk-in Customer</v>
      </c>
      <c r="F1326" s="4" t="s">
        <v>14</v>
      </c>
      <c r="G1326" s="1" t="str">
        <f>_xlfn.XLOOKUP(tblSales[[#This Row],[Product Code]],tblProducts[Code],tblProducts[Product / Service Name],"⚠ Unknown")</f>
        <v>Smartwatch</v>
      </c>
      <c r="H1326" s="1" t="str">
        <f>_xlfn.XLOOKUP(tblSales[[#This Row],[Product Code]],tblProducts[Code],tblProducts[Category],"")</f>
        <v>Bags &amp; Gadgets</v>
      </c>
      <c r="I1326" s="4">
        <v>2</v>
      </c>
      <c r="J1326" s="5">
        <f>_xlfn.XLOOKUP(tblSales[[#This Row],[Product Code]],tblProducts[Code],tblProducts[Selling Price (excl. VAT)],0)</f>
        <v>850000</v>
      </c>
      <c r="K1326" s="5">
        <f>tblSales[[#This Row],[Qty]]*tblSales[[#This Row],[Unit Price]]</f>
        <v>1700000</v>
      </c>
      <c r="L1326" s="5">
        <f>ROUND(tblSales[[#This Row],[DPP (excl. VAT)]]*VATEff,0)</f>
        <v>187000</v>
      </c>
      <c r="M1326" s="5">
        <f>tblSales[[#This Row],[DPP (excl. VAT)]]+tblSales[[#This Row],[Output VAT]]</f>
        <v>1887000</v>
      </c>
      <c r="N1326" s="5">
        <f>tblSales[[#This Row],[Qty]]*_xlfn.XLOOKUP(tblSales[[#This Row],[Product Code]],tblProducts[Code],tblProducts[Unit Cost],0)</f>
        <v>1120000</v>
      </c>
      <c r="O1326" s="4" t="s">
        <v>4866</v>
      </c>
      <c r="P1326" s="4" t="s">
        <v>4861</v>
      </c>
      <c r="Q1326" s="1" t="str">
        <f>_xlfn.XLOOKUP(tblSales[[#This Row],[Channel Code]],tblChannels[Channel Code],tblChannels[Channel Name],"")</f>
        <v>Marketplace</v>
      </c>
      <c r="R1326" s="1">
        <f>MONTH(tblSales[[#This Row],[Date]])</f>
        <v>3</v>
      </c>
    </row>
    <row r="1327" spans="2:18" x14ac:dyDescent="0.35">
      <c r="B1327" s="113">
        <v>46103</v>
      </c>
      <c r="C1327" s="4" t="s">
        <v>949</v>
      </c>
      <c r="D1327" s="4" t="s">
        <v>4568</v>
      </c>
      <c r="E1327" s="1" t="str">
        <f>_xlfn.XLOOKUP(tblSales[[#This Row],[Customer ID]],tblCustomers[Customer ID],tblCustomers[Customer Name],"⚠ Unknown")</f>
        <v>Walk-in Customer</v>
      </c>
      <c r="F1327" s="4" t="s">
        <v>7</v>
      </c>
      <c r="G1327" s="1" t="str">
        <f>_xlfn.XLOOKUP(tblSales[[#This Row],[Product Code]],tblProducts[Code],tblProducts[Product / Service Name],"⚠ Unknown")</f>
        <v>Premium Basic T-shirt</v>
      </c>
      <c r="H1327" s="1" t="str">
        <f>_xlfn.XLOOKUP(tblSales[[#This Row],[Product Code]],tblProducts[Code],tblProducts[Category],"")</f>
        <v>Accessories &amp; Basics</v>
      </c>
      <c r="I1327" s="4">
        <v>12</v>
      </c>
      <c r="J1327" s="5">
        <f>_xlfn.XLOOKUP(tblSales[[#This Row],[Product Code]],tblProducts[Code],tblProducts[Selling Price (excl. VAT)],0)</f>
        <v>65000</v>
      </c>
      <c r="K1327" s="5">
        <f>tblSales[[#This Row],[Qty]]*tblSales[[#This Row],[Unit Price]]</f>
        <v>780000</v>
      </c>
      <c r="L1327" s="5">
        <f>ROUND(tblSales[[#This Row],[DPP (excl. VAT)]]*VATEff,0)</f>
        <v>85800</v>
      </c>
      <c r="M1327" s="5">
        <f>tblSales[[#This Row],[DPP (excl. VAT)]]+tblSales[[#This Row],[Output VAT]]</f>
        <v>865800</v>
      </c>
      <c r="N1327" s="5">
        <f>tblSales[[#This Row],[Qty]]*_xlfn.XLOOKUP(tblSales[[#This Row],[Product Code]],tblProducts[Code],tblProducts[Unit Cost],0)</f>
        <v>444000</v>
      </c>
      <c r="O1327" s="4" t="s">
        <v>4866</v>
      </c>
      <c r="P1327" s="4" t="s">
        <v>4861</v>
      </c>
      <c r="Q1327" s="1" t="str">
        <f>_xlfn.XLOOKUP(tblSales[[#This Row],[Channel Code]],tblChannels[Channel Code],tblChannels[Channel Name],"")</f>
        <v>Marketplace</v>
      </c>
      <c r="R1327" s="1">
        <f>MONTH(tblSales[[#This Row],[Date]])</f>
        <v>3</v>
      </c>
    </row>
    <row r="1328" spans="2:18" x14ac:dyDescent="0.35">
      <c r="B1328" s="113">
        <v>46103</v>
      </c>
      <c r="C1328" s="4" t="s">
        <v>949</v>
      </c>
      <c r="D1328" s="4" t="s">
        <v>4568</v>
      </c>
      <c r="E1328" s="1" t="str">
        <f>_xlfn.XLOOKUP(tblSales[[#This Row],[Customer ID]],tblCustomers[Customer ID],tblCustomers[Customer Name],"⚠ Unknown")</f>
        <v>Walk-in Customer</v>
      </c>
      <c r="F1328" s="4" t="s">
        <v>8</v>
      </c>
      <c r="G1328" s="1" t="str">
        <f>_xlfn.XLOOKUP(tblSales[[#This Row],[Product Code]],tblProducts[Code],tblProducts[Product / Service Name],"⚠ Unknown")</f>
        <v>Casual Shorts</v>
      </c>
      <c r="H1328" s="1" t="str">
        <f>_xlfn.XLOOKUP(tblSales[[#This Row],[Product Code]],tblProducts[Code],tblProducts[Category],"")</f>
        <v>Accessories &amp; Basics</v>
      </c>
      <c r="I1328" s="4">
        <v>10</v>
      </c>
      <c r="J1328" s="5">
        <f>_xlfn.XLOOKUP(tblSales[[#This Row],[Product Code]],tblProducts[Code],tblProducts[Selling Price (excl. VAT)],0)</f>
        <v>85000</v>
      </c>
      <c r="K1328" s="5">
        <f>tblSales[[#This Row],[Qty]]*tblSales[[#This Row],[Unit Price]]</f>
        <v>850000</v>
      </c>
      <c r="L1328" s="5">
        <f>ROUND(tblSales[[#This Row],[DPP (excl. VAT)]]*VATEff,0)</f>
        <v>93500</v>
      </c>
      <c r="M1328" s="5">
        <f>tblSales[[#This Row],[DPP (excl. VAT)]]+tblSales[[#This Row],[Output VAT]]</f>
        <v>943500</v>
      </c>
      <c r="N1328" s="5">
        <f>tblSales[[#This Row],[Qty]]*_xlfn.XLOOKUP(tblSales[[#This Row],[Product Code]],tblProducts[Code],tblProducts[Unit Cost],0)</f>
        <v>500000</v>
      </c>
      <c r="O1328" s="4" t="s">
        <v>4866</v>
      </c>
      <c r="P1328" s="4" t="s">
        <v>4861</v>
      </c>
      <c r="Q1328" s="1" t="str">
        <f>_xlfn.XLOOKUP(tblSales[[#This Row],[Channel Code]],tblChannels[Channel Code],tblChannels[Channel Name],"")</f>
        <v>Marketplace</v>
      </c>
      <c r="R1328" s="1">
        <f>MONTH(tblSales[[#This Row],[Date]])</f>
        <v>3</v>
      </c>
    </row>
    <row r="1329" spans="2:18" x14ac:dyDescent="0.35">
      <c r="B1329" s="113">
        <v>46103</v>
      </c>
      <c r="C1329" s="4" t="s">
        <v>950</v>
      </c>
      <c r="D1329" s="4" t="s">
        <v>4568</v>
      </c>
      <c r="E1329" s="1" t="str">
        <f>_xlfn.XLOOKUP(tblSales[[#This Row],[Customer ID]],tblCustomers[Customer ID],tblCustomers[Customer Name],"⚠ Unknown")</f>
        <v>Walk-in Customer</v>
      </c>
      <c r="F1329" s="4" t="s">
        <v>12</v>
      </c>
      <c r="G1329" s="1" t="str">
        <f>_xlfn.XLOOKUP(tblSales[[#This Row],[Product Code]],tblProducts[Code],tblProducts[Product / Service Name],"⚠ Unknown")</f>
        <v>Bomber Jacket</v>
      </c>
      <c r="H1329" s="1" t="str">
        <f>_xlfn.XLOOKUP(tblSales[[#This Row],[Product Code]],tblProducts[Code],tblProducts[Category],"")</f>
        <v>Apparel &amp; Footwear</v>
      </c>
      <c r="I1329" s="4">
        <v>6</v>
      </c>
      <c r="J1329" s="5">
        <f>_xlfn.XLOOKUP(tblSales[[#This Row],[Product Code]],tblProducts[Code],tblProducts[Selling Price (excl. VAT)],0)</f>
        <v>350000</v>
      </c>
      <c r="K1329" s="5">
        <f>tblSales[[#This Row],[Qty]]*tblSales[[#This Row],[Unit Price]]</f>
        <v>2100000</v>
      </c>
      <c r="L1329" s="5">
        <f>ROUND(tblSales[[#This Row],[DPP (excl. VAT)]]*VATEff,0)</f>
        <v>231000</v>
      </c>
      <c r="M1329" s="5">
        <f>tblSales[[#This Row],[DPP (excl. VAT)]]+tblSales[[#This Row],[Output VAT]]</f>
        <v>2331000</v>
      </c>
      <c r="N1329" s="5">
        <f>tblSales[[#This Row],[Qty]]*_xlfn.XLOOKUP(tblSales[[#This Row],[Product Code]],tblProducts[Code],tblProducts[Unit Cost],0)</f>
        <v>1260000</v>
      </c>
      <c r="O1329" s="4" t="s">
        <v>4865</v>
      </c>
      <c r="P1329" s="4" t="s">
        <v>4860</v>
      </c>
      <c r="Q1329" s="1" t="str">
        <f>_xlfn.XLOOKUP(tblSales[[#This Row],[Channel Code]],tblChannels[Channel Code],tblChannels[Channel Name],"")</f>
        <v>In-store</v>
      </c>
      <c r="R1329" s="1">
        <f>MONTH(tblSales[[#This Row],[Date]])</f>
        <v>3</v>
      </c>
    </row>
    <row r="1330" spans="2:18" x14ac:dyDescent="0.35">
      <c r="B1330" s="113">
        <v>46103</v>
      </c>
      <c r="C1330" s="4" t="s">
        <v>950</v>
      </c>
      <c r="D1330" s="4" t="s">
        <v>4568</v>
      </c>
      <c r="E1330" s="1" t="str">
        <f>_xlfn.XLOOKUP(tblSales[[#This Row],[Customer ID]],tblCustomers[Customer ID],tblCustomers[Customer Name],"⚠ Unknown")</f>
        <v>Walk-in Customer</v>
      </c>
      <c r="F1330" s="4" t="s">
        <v>7</v>
      </c>
      <c r="G1330" s="1" t="str">
        <f>_xlfn.XLOOKUP(tblSales[[#This Row],[Product Code]],tblProducts[Code],tblProducts[Product / Service Name],"⚠ Unknown")</f>
        <v>Premium Basic T-shirt</v>
      </c>
      <c r="H1330" s="1" t="str">
        <f>_xlfn.XLOOKUP(tblSales[[#This Row],[Product Code]],tblProducts[Code],tblProducts[Category],"")</f>
        <v>Accessories &amp; Basics</v>
      </c>
      <c r="I1330" s="4">
        <v>11</v>
      </c>
      <c r="J1330" s="5">
        <f>_xlfn.XLOOKUP(tblSales[[#This Row],[Product Code]],tblProducts[Code],tblProducts[Selling Price (excl. VAT)],0)</f>
        <v>65000</v>
      </c>
      <c r="K1330" s="5">
        <f>tblSales[[#This Row],[Qty]]*tblSales[[#This Row],[Unit Price]]</f>
        <v>715000</v>
      </c>
      <c r="L1330" s="5">
        <f>ROUND(tblSales[[#This Row],[DPP (excl. VAT)]]*VATEff,0)</f>
        <v>78650</v>
      </c>
      <c r="M1330" s="5">
        <f>tblSales[[#This Row],[DPP (excl. VAT)]]+tblSales[[#This Row],[Output VAT]]</f>
        <v>793650</v>
      </c>
      <c r="N1330" s="5">
        <f>tblSales[[#This Row],[Qty]]*_xlfn.XLOOKUP(tblSales[[#This Row],[Product Code]],tblProducts[Code],tblProducts[Unit Cost],0)</f>
        <v>407000</v>
      </c>
      <c r="O1330" s="4" t="s">
        <v>4865</v>
      </c>
      <c r="P1330" s="4" t="s">
        <v>4860</v>
      </c>
      <c r="Q1330" s="1" t="str">
        <f>_xlfn.XLOOKUP(tblSales[[#This Row],[Channel Code]],tblChannels[Channel Code],tblChannels[Channel Name],"")</f>
        <v>In-store</v>
      </c>
      <c r="R1330" s="1">
        <f>MONTH(tblSales[[#This Row],[Date]])</f>
        <v>3</v>
      </c>
    </row>
    <row r="1331" spans="2:18" x14ac:dyDescent="0.35">
      <c r="B1331" s="113">
        <v>46103</v>
      </c>
      <c r="C1331" s="4" t="s">
        <v>950</v>
      </c>
      <c r="D1331" s="4" t="s">
        <v>4568</v>
      </c>
      <c r="E1331" s="1" t="str">
        <f>_xlfn.XLOOKUP(tblSales[[#This Row],[Customer ID]],tblCustomers[Customer ID],tblCustomers[Customer Name],"⚠ Unknown")</f>
        <v>Walk-in Customer</v>
      </c>
      <c r="F1331" s="4" t="s">
        <v>8</v>
      </c>
      <c r="G1331" s="1" t="str">
        <f>_xlfn.XLOOKUP(tblSales[[#This Row],[Product Code]],tblProducts[Code],tblProducts[Product / Service Name],"⚠ Unknown")</f>
        <v>Casual Shorts</v>
      </c>
      <c r="H1331" s="1" t="str">
        <f>_xlfn.XLOOKUP(tblSales[[#This Row],[Product Code]],tblProducts[Code],tblProducts[Category],"")</f>
        <v>Accessories &amp; Basics</v>
      </c>
      <c r="I1331" s="4">
        <v>11</v>
      </c>
      <c r="J1331" s="5">
        <f>_xlfn.XLOOKUP(tblSales[[#This Row],[Product Code]],tblProducts[Code],tblProducts[Selling Price (excl. VAT)],0)</f>
        <v>85000</v>
      </c>
      <c r="K1331" s="5">
        <f>tblSales[[#This Row],[Qty]]*tblSales[[#This Row],[Unit Price]]</f>
        <v>935000</v>
      </c>
      <c r="L1331" s="5">
        <f>ROUND(tblSales[[#This Row],[DPP (excl. VAT)]]*VATEff,0)</f>
        <v>102850</v>
      </c>
      <c r="M1331" s="5">
        <f>tblSales[[#This Row],[DPP (excl. VAT)]]+tblSales[[#This Row],[Output VAT]]</f>
        <v>1037850</v>
      </c>
      <c r="N1331" s="5">
        <f>tblSales[[#This Row],[Qty]]*_xlfn.XLOOKUP(tblSales[[#This Row],[Product Code]],tblProducts[Code],tblProducts[Unit Cost],0)</f>
        <v>550000</v>
      </c>
      <c r="O1331" s="4" t="s">
        <v>4865</v>
      </c>
      <c r="P1331" s="4" t="s">
        <v>4860</v>
      </c>
      <c r="Q1331" s="1" t="str">
        <f>_xlfn.XLOOKUP(tblSales[[#This Row],[Channel Code]],tblChannels[Channel Code],tblChannels[Channel Name],"")</f>
        <v>In-store</v>
      </c>
      <c r="R1331" s="1">
        <f>MONTH(tblSales[[#This Row],[Date]])</f>
        <v>3</v>
      </c>
    </row>
    <row r="1332" spans="2:18" x14ac:dyDescent="0.35">
      <c r="B1332" s="113">
        <v>46103</v>
      </c>
      <c r="C1332" s="4" t="s">
        <v>951</v>
      </c>
      <c r="D1332" s="4" t="s">
        <v>4634</v>
      </c>
      <c r="E1332" s="1" t="str">
        <f>_xlfn.XLOOKUP(tblSales[[#This Row],[Customer ID]],tblCustomers[Customer ID],tblCustomers[Customer Name],"⚠ Unknown")</f>
        <v>PT Delta Inti Selaras</v>
      </c>
      <c r="F1332" s="4" t="s">
        <v>8</v>
      </c>
      <c r="G1332" s="1" t="str">
        <f>_xlfn.XLOOKUP(tblSales[[#This Row],[Product Code]],tblProducts[Code],tblProducts[Product / Service Name],"⚠ Unknown")</f>
        <v>Casual Shorts</v>
      </c>
      <c r="H1332" s="1" t="str">
        <f>_xlfn.XLOOKUP(tblSales[[#This Row],[Product Code]],tblProducts[Code],tblProducts[Category],"")</f>
        <v>Accessories &amp; Basics</v>
      </c>
      <c r="I1332" s="4">
        <v>24</v>
      </c>
      <c r="J1332" s="5">
        <f>_xlfn.XLOOKUP(tblSales[[#This Row],[Product Code]],tblProducts[Code],tblProducts[Selling Price (excl. VAT)],0)</f>
        <v>85000</v>
      </c>
      <c r="K1332" s="5">
        <f>tblSales[[#This Row],[Qty]]*tblSales[[#This Row],[Unit Price]]</f>
        <v>2040000</v>
      </c>
      <c r="L1332" s="5">
        <f>ROUND(tblSales[[#This Row],[DPP (excl. VAT)]]*VATEff,0)</f>
        <v>224400</v>
      </c>
      <c r="M1332" s="5">
        <f>tblSales[[#This Row],[DPP (excl. VAT)]]+tblSales[[#This Row],[Output VAT]]</f>
        <v>2264400</v>
      </c>
      <c r="N1332" s="5">
        <f>tblSales[[#This Row],[Qty]]*_xlfn.XLOOKUP(tblSales[[#This Row],[Product Code]],tblProducts[Code],tblProducts[Unit Cost],0)</f>
        <v>1200000</v>
      </c>
      <c r="O1332" s="4" t="s">
        <v>4867</v>
      </c>
      <c r="P1332" s="4" t="s">
        <v>4860</v>
      </c>
      <c r="Q1332" s="1" t="str">
        <f>_xlfn.XLOOKUP(tblSales[[#This Row],[Channel Code]],tblChannels[Channel Code],tblChannels[Channel Name],"")</f>
        <v>In-store</v>
      </c>
      <c r="R1332" s="1">
        <f>MONTH(tblSales[[#This Row],[Date]])</f>
        <v>3</v>
      </c>
    </row>
    <row r="1333" spans="2:18" x14ac:dyDescent="0.35">
      <c r="B1333" s="113">
        <v>46103</v>
      </c>
      <c r="C1333" s="4" t="s">
        <v>952</v>
      </c>
      <c r="D1333" s="4" t="s">
        <v>4568</v>
      </c>
      <c r="E1333" s="1" t="str">
        <f>_xlfn.XLOOKUP(tblSales[[#This Row],[Customer ID]],tblCustomers[Customer ID],tblCustomers[Customer Name],"⚠ Unknown")</f>
        <v>Walk-in Customer</v>
      </c>
      <c r="F1333" s="4" t="s">
        <v>11</v>
      </c>
      <c r="G1333" s="1" t="str">
        <f>_xlfn.XLOOKUP(tblSales[[#This Row],[Product Code]],tblProducts[Code],tblProducts[Product / Service Name],"⚠ Unknown")</f>
        <v>Sneakers</v>
      </c>
      <c r="H1333" s="1" t="str">
        <f>_xlfn.XLOOKUP(tblSales[[#This Row],[Product Code]],tblProducts[Code],tblProducts[Category],"")</f>
        <v>Apparel &amp; Footwear</v>
      </c>
      <c r="I1333" s="4">
        <v>2</v>
      </c>
      <c r="J1333" s="5">
        <f>_xlfn.XLOOKUP(tblSales[[#This Row],[Product Code]],tblProducts[Code],tblProducts[Selling Price (excl. VAT)],0)</f>
        <v>250000</v>
      </c>
      <c r="K1333" s="5">
        <f>tblSales[[#This Row],[Qty]]*tblSales[[#This Row],[Unit Price]]</f>
        <v>500000</v>
      </c>
      <c r="L1333" s="5">
        <f>ROUND(tblSales[[#This Row],[DPP (excl. VAT)]]*VATEff,0)</f>
        <v>55000</v>
      </c>
      <c r="M1333" s="5">
        <f>tblSales[[#This Row],[DPP (excl. VAT)]]+tblSales[[#This Row],[Output VAT]]</f>
        <v>555000</v>
      </c>
      <c r="N1333" s="5">
        <f>tblSales[[#This Row],[Qty]]*_xlfn.XLOOKUP(tblSales[[#This Row],[Product Code]],tblProducts[Code],tblProducts[Unit Cost],0)</f>
        <v>310000</v>
      </c>
      <c r="O1333" s="4" t="s">
        <v>4866</v>
      </c>
      <c r="P1333" s="4" t="s">
        <v>4860</v>
      </c>
      <c r="Q1333" s="1" t="str">
        <f>_xlfn.XLOOKUP(tblSales[[#This Row],[Channel Code]],tblChannels[Channel Code],tblChannels[Channel Name],"")</f>
        <v>In-store</v>
      </c>
      <c r="R1333" s="1">
        <f>MONTH(tblSales[[#This Row],[Date]])</f>
        <v>3</v>
      </c>
    </row>
    <row r="1334" spans="2:18" x14ac:dyDescent="0.35">
      <c r="B1334" s="113">
        <v>46104</v>
      </c>
      <c r="C1334" s="4" t="s">
        <v>953</v>
      </c>
      <c r="D1334" s="4" t="s">
        <v>4568</v>
      </c>
      <c r="E1334" s="1" t="str">
        <f>_xlfn.XLOOKUP(tblSales[[#This Row],[Customer ID]],tblCustomers[Customer ID],tblCustomers[Customer Name],"⚠ Unknown")</f>
        <v>Walk-in Customer</v>
      </c>
      <c r="F1334" s="4" t="s">
        <v>8</v>
      </c>
      <c r="G1334" s="1" t="str">
        <f>_xlfn.XLOOKUP(tblSales[[#This Row],[Product Code]],tblProducts[Code],tblProducts[Product / Service Name],"⚠ Unknown")</f>
        <v>Casual Shorts</v>
      </c>
      <c r="H1334" s="1" t="str">
        <f>_xlfn.XLOOKUP(tblSales[[#This Row],[Product Code]],tblProducts[Code],tblProducts[Category],"")</f>
        <v>Accessories &amp; Basics</v>
      </c>
      <c r="I1334" s="4">
        <v>9</v>
      </c>
      <c r="J1334" s="5">
        <f>_xlfn.XLOOKUP(tblSales[[#This Row],[Product Code]],tblProducts[Code],tblProducts[Selling Price (excl. VAT)],0)</f>
        <v>85000</v>
      </c>
      <c r="K1334" s="5">
        <f>tblSales[[#This Row],[Qty]]*tblSales[[#This Row],[Unit Price]]</f>
        <v>765000</v>
      </c>
      <c r="L1334" s="5">
        <f>ROUND(tblSales[[#This Row],[DPP (excl. VAT)]]*VATEff,0)</f>
        <v>84150</v>
      </c>
      <c r="M1334" s="5">
        <f>tblSales[[#This Row],[DPP (excl. VAT)]]+tblSales[[#This Row],[Output VAT]]</f>
        <v>849150</v>
      </c>
      <c r="N1334" s="5">
        <f>tblSales[[#This Row],[Qty]]*_xlfn.XLOOKUP(tblSales[[#This Row],[Product Code]],tblProducts[Code],tblProducts[Unit Cost],0)</f>
        <v>450000</v>
      </c>
      <c r="O1334" s="4" t="s">
        <v>4865</v>
      </c>
      <c r="P1334" s="4" t="s">
        <v>4860</v>
      </c>
      <c r="Q1334" s="1" t="str">
        <f>_xlfn.XLOOKUP(tblSales[[#This Row],[Channel Code]],tblChannels[Channel Code],tblChannels[Channel Name],"")</f>
        <v>In-store</v>
      </c>
      <c r="R1334" s="1">
        <f>MONTH(tblSales[[#This Row],[Date]])</f>
        <v>3</v>
      </c>
    </row>
    <row r="1335" spans="2:18" x14ac:dyDescent="0.35">
      <c r="B1335" s="113">
        <v>46104</v>
      </c>
      <c r="C1335" s="4" t="s">
        <v>954</v>
      </c>
      <c r="D1335" s="4" t="s">
        <v>4648</v>
      </c>
      <c r="E1335" s="1" t="str">
        <f>_xlfn.XLOOKUP(tblSales[[#This Row],[Customer ID]],tblCustomers[Customer ID],tblCustomers[Customer Name],"⚠ Unknown")</f>
        <v>PT Lintas Benua Niaga</v>
      </c>
      <c r="F1335" s="4" t="s">
        <v>11</v>
      </c>
      <c r="G1335" s="1" t="str">
        <f>_xlfn.XLOOKUP(tblSales[[#This Row],[Product Code]],tblProducts[Code],tblProducts[Product / Service Name],"⚠ Unknown")</f>
        <v>Sneakers</v>
      </c>
      <c r="H1335" s="1" t="str">
        <f>_xlfn.XLOOKUP(tblSales[[#This Row],[Product Code]],tblProducts[Code],tblProducts[Category],"")</f>
        <v>Apparel &amp; Footwear</v>
      </c>
      <c r="I1335" s="4">
        <v>48</v>
      </c>
      <c r="J1335" s="5">
        <f>_xlfn.XLOOKUP(tblSales[[#This Row],[Product Code]],tblProducts[Code],tblProducts[Selling Price (excl. VAT)],0)</f>
        <v>250000</v>
      </c>
      <c r="K1335" s="5">
        <f>tblSales[[#This Row],[Qty]]*tblSales[[#This Row],[Unit Price]]</f>
        <v>12000000</v>
      </c>
      <c r="L1335" s="5">
        <f>ROUND(tblSales[[#This Row],[DPP (excl. VAT)]]*VATEff,0)</f>
        <v>1320000</v>
      </c>
      <c r="M1335" s="5">
        <f>tblSales[[#This Row],[DPP (excl. VAT)]]+tblSales[[#This Row],[Output VAT]]</f>
        <v>13320000</v>
      </c>
      <c r="N1335" s="5">
        <f>tblSales[[#This Row],[Qty]]*_xlfn.XLOOKUP(tblSales[[#This Row],[Product Code]],tblProducts[Code],tblProducts[Unit Cost],0)</f>
        <v>7440000</v>
      </c>
      <c r="O1335" s="4" t="s">
        <v>4867</v>
      </c>
      <c r="P1335" s="4" t="s">
        <v>4860</v>
      </c>
      <c r="Q1335" s="1" t="str">
        <f>_xlfn.XLOOKUP(tblSales[[#This Row],[Channel Code]],tblChannels[Channel Code],tblChannels[Channel Name],"")</f>
        <v>In-store</v>
      </c>
      <c r="R1335" s="1">
        <f>MONTH(tblSales[[#This Row],[Date]])</f>
        <v>3</v>
      </c>
    </row>
    <row r="1336" spans="2:18" x14ac:dyDescent="0.35">
      <c r="B1336" s="113">
        <v>46104</v>
      </c>
      <c r="C1336" s="4" t="s">
        <v>954</v>
      </c>
      <c r="D1336" s="4" t="s">
        <v>4648</v>
      </c>
      <c r="E1336" s="1" t="str">
        <f>_xlfn.XLOOKUP(tblSales[[#This Row],[Customer ID]],tblCustomers[Customer ID],tblCustomers[Customer Name],"⚠ Unknown")</f>
        <v>PT Lintas Benua Niaga</v>
      </c>
      <c r="F1336" s="4" t="s">
        <v>7</v>
      </c>
      <c r="G1336" s="1" t="str">
        <f>_xlfn.XLOOKUP(tblSales[[#This Row],[Product Code]],tblProducts[Code],tblProducts[Product / Service Name],"⚠ Unknown")</f>
        <v>Premium Basic T-shirt</v>
      </c>
      <c r="H1336" s="1" t="str">
        <f>_xlfn.XLOOKUP(tblSales[[#This Row],[Product Code]],tblProducts[Code],tblProducts[Category],"")</f>
        <v>Accessories &amp; Basics</v>
      </c>
      <c r="I1336" s="4">
        <v>48</v>
      </c>
      <c r="J1336" s="5">
        <f>_xlfn.XLOOKUP(tblSales[[#This Row],[Product Code]],tblProducts[Code],tblProducts[Selling Price (excl. VAT)],0)</f>
        <v>65000</v>
      </c>
      <c r="K1336" s="5">
        <f>tblSales[[#This Row],[Qty]]*tblSales[[#This Row],[Unit Price]]</f>
        <v>3120000</v>
      </c>
      <c r="L1336" s="5">
        <f>ROUND(tblSales[[#This Row],[DPP (excl. VAT)]]*VATEff,0)</f>
        <v>343200</v>
      </c>
      <c r="M1336" s="5">
        <f>tblSales[[#This Row],[DPP (excl. VAT)]]+tblSales[[#This Row],[Output VAT]]</f>
        <v>3463200</v>
      </c>
      <c r="N1336" s="5">
        <f>tblSales[[#This Row],[Qty]]*_xlfn.XLOOKUP(tblSales[[#This Row],[Product Code]],tblProducts[Code],tblProducts[Unit Cost],0)</f>
        <v>1776000</v>
      </c>
      <c r="O1336" s="4" t="s">
        <v>4867</v>
      </c>
      <c r="P1336" s="4" t="s">
        <v>4860</v>
      </c>
      <c r="Q1336" s="1" t="str">
        <f>_xlfn.XLOOKUP(tblSales[[#This Row],[Channel Code]],tblChannels[Channel Code],tblChannels[Channel Name],"")</f>
        <v>In-store</v>
      </c>
      <c r="R1336" s="1">
        <f>MONTH(tblSales[[#This Row],[Date]])</f>
        <v>3</v>
      </c>
    </row>
    <row r="1337" spans="2:18" x14ac:dyDescent="0.35">
      <c r="B1337" s="113">
        <v>46104</v>
      </c>
      <c r="C1337" s="4" t="s">
        <v>955</v>
      </c>
      <c r="D1337" s="4" t="s">
        <v>4568</v>
      </c>
      <c r="E1337" s="1" t="str">
        <f>_xlfn.XLOOKUP(tblSales[[#This Row],[Customer ID]],tblCustomers[Customer ID],tblCustomers[Customer Name],"⚠ Unknown")</f>
        <v>Walk-in Customer</v>
      </c>
      <c r="F1337" s="4" t="s">
        <v>12</v>
      </c>
      <c r="G1337" s="1" t="str">
        <f>_xlfn.XLOOKUP(tblSales[[#This Row],[Product Code]],tblProducts[Code],tblProducts[Product / Service Name],"⚠ Unknown")</f>
        <v>Bomber Jacket</v>
      </c>
      <c r="H1337" s="1" t="str">
        <f>_xlfn.XLOOKUP(tblSales[[#This Row],[Product Code]],tblProducts[Code],tblProducts[Category],"")</f>
        <v>Apparel &amp; Footwear</v>
      </c>
      <c r="I1337" s="4">
        <v>4</v>
      </c>
      <c r="J1337" s="5">
        <f>_xlfn.XLOOKUP(tblSales[[#This Row],[Product Code]],tblProducts[Code],tblProducts[Selling Price (excl. VAT)],0)</f>
        <v>350000</v>
      </c>
      <c r="K1337" s="5">
        <f>tblSales[[#This Row],[Qty]]*tblSales[[#This Row],[Unit Price]]</f>
        <v>1400000</v>
      </c>
      <c r="L1337" s="5">
        <f>ROUND(tblSales[[#This Row],[DPP (excl. VAT)]]*VATEff,0)</f>
        <v>154000</v>
      </c>
      <c r="M1337" s="5">
        <f>tblSales[[#This Row],[DPP (excl. VAT)]]+tblSales[[#This Row],[Output VAT]]</f>
        <v>1554000</v>
      </c>
      <c r="N1337" s="5">
        <f>tblSales[[#This Row],[Qty]]*_xlfn.XLOOKUP(tblSales[[#This Row],[Product Code]],tblProducts[Code],tblProducts[Unit Cost],0)</f>
        <v>840000</v>
      </c>
      <c r="O1337" s="4" t="s">
        <v>4866</v>
      </c>
      <c r="P1337" s="4" t="s">
        <v>4861</v>
      </c>
      <c r="Q1337" s="1" t="str">
        <f>_xlfn.XLOOKUP(tblSales[[#This Row],[Channel Code]],tblChannels[Channel Code],tblChannels[Channel Name],"")</f>
        <v>Marketplace</v>
      </c>
      <c r="R1337" s="1">
        <f>MONTH(tblSales[[#This Row],[Date]])</f>
        <v>3</v>
      </c>
    </row>
    <row r="1338" spans="2:18" x14ac:dyDescent="0.35">
      <c r="B1338" s="113">
        <v>46104</v>
      </c>
      <c r="C1338" s="4" t="s">
        <v>956</v>
      </c>
      <c r="D1338" s="4" t="s">
        <v>4568</v>
      </c>
      <c r="E1338" s="1" t="str">
        <f>_xlfn.XLOOKUP(tblSales[[#This Row],[Customer ID]],tblCustomers[Customer ID],tblCustomers[Customer Name],"⚠ Unknown")</f>
        <v>Walk-in Customer</v>
      </c>
      <c r="F1338" s="4" t="s">
        <v>12</v>
      </c>
      <c r="G1338" s="1" t="str">
        <f>_xlfn.XLOOKUP(tblSales[[#This Row],[Product Code]],tblProducts[Code],tblProducts[Product / Service Name],"⚠ Unknown")</f>
        <v>Bomber Jacket</v>
      </c>
      <c r="H1338" s="1" t="str">
        <f>_xlfn.XLOOKUP(tblSales[[#This Row],[Product Code]],tblProducts[Code],tblProducts[Category],"")</f>
        <v>Apparel &amp; Footwear</v>
      </c>
      <c r="I1338" s="4">
        <v>3</v>
      </c>
      <c r="J1338" s="5">
        <f>_xlfn.XLOOKUP(tblSales[[#This Row],[Product Code]],tblProducts[Code],tblProducts[Selling Price (excl. VAT)],0)</f>
        <v>350000</v>
      </c>
      <c r="K1338" s="5">
        <f>tblSales[[#This Row],[Qty]]*tblSales[[#This Row],[Unit Price]]</f>
        <v>1050000</v>
      </c>
      <c r="L1338" s="5">
        <f>ROUND(tblSales[[#This Row],[DPP (excl. VAT)]]*VATEff,0)</f>
        <v>115500</v>
      </c>
      <c r="M1338" s="5">
        <f>tblSales[[#This Row],[DPP (excl. VAT)]]+tblSales[[#This Row],[Output VAT]]</f>
        <v>1165500</v>
      </c>
      <c r="N1338" s="5">
        <f>tblSales[[#This Row],[Qty]]*_xlfn.XLOOKUP(tblSales[[#This Row],[Product Code]],tblProducts[Code],tblProducts[Unit Cost],0)</f>
        <v>630000</v>
      </c>
      <c r="O1338" s="4" t="s">
        <v>4866</v>
      </c>
      <c r="P1338" s="4" t="s">
        <v>4862</v>
      </c>
      <c r="Q1338" s="1" t="str">
        <f>_xlfn.XLOOKUP(tblSales[[#This Row],[Channel Code]],tblChannels[Channel Code],tblChannels[Channel Name],"")</f>
        <v>Website &amp; Social Media</v>
      </c>
      <c r="R1338" s="1">
        <f>MONTH(tblSales[[#This Row],[Date]])</f>
        <v>3</v>
      </c>
    </row>
    <row r="1339" spans="2:18" x14ac:dyDescent="0.35">
      <c r="B1339" s="113">
        <v>46104</v>
      </c>
      <c r="C1339" s="4" t="s">
        <v>956</v>
      </c>
      <c r="D1339" s="4" t="s">
        <v>4568</v>
      </c>
      <c r="E1339" s="1" t="str">
        <f>_xlfn.XLOOKUP(tblSales[[#This Row],[Customer ID]],tblCustomers[Customer ID],tblCustomers[Customer Name],"⚠ Unknown")</f>
        <v>Walk-in Customer</v>
      </c>
      <c r="F1339" s="4" t="s">
        <v>6</v>
      </c>
      <c r="G1339" s="1" t="str">
        <f>_xlfn.XLOOKUP(tblSales[[#This Row],[Product Code]],tblProducts[Code],tblProducts[Product / Service Name],"⚠ Unknown")</f>
        <v>Socks &amp; Accessories</v>
      </c>
      <c r="H1339" s="1" t="str">
        <f>_xlfn.XLOOKUP(tblSales[[#This Row],[Product Code]],tblProducts[Code],tblProducts[Category],"")</f>
        <v>Accessories &amp; Basics</v>
      </c>
      <c r="I1339" s="4">
        <v>8</v>
      </c>
      <c r="J1339" s="5">
        <f>_xlfn.XLOOKUP(tblSales[[#This Row],[Product Code]],tblProducts[Code],tblProducts[Selling Price (excl. VAT)],0)</f>
        <v>45000</v>
      </c>
      <c r="K1339" s="5">
        <f>tblSales[[#This Row],[Qty]]*tblSales[[#This Row],[Unit Price]]</f>
        <v>360000</v>
      </c>
      <c r="L1339" s="5">
        <f>ROUND(tblSales[[#This Row],[DPP (excl. VAT)]]*VATEff,0)</f>
        <v>39600</v>
      </c>
      <c r="M1339" s="5">
        <f>tblSales[[#This Row],[DPP (excl. VAT)]]+tblSales[[#This Row],[Output VAT]]</f>
        <v>399600</v>
      </c>
      <c r="N1339" s="5">
        <f>tblSales[[#This Row],[Qty]]*_xlfn.XLOOKUP(tblSales[[#This Row],[Product Code]],tblProducts[Code],tblProducts[Unit Cost],0)</f>
        <v>192000</v>
      </c>
      <c r="O1339" s="4" t="s">
        <v>4866</v>
      </c>
      <c r="P1339" s="4" t="s">
        <v>4862</v>
      </c>
      <c r="Q1339" s="1" t="str">
        <f>_xlfn.XLOOKUP(tblSales[[#This Row],[Channel Code]],tblChannels[Channel Code],tblChannels[Channel Name],"")</f>
        <v>Website &amp; Social Media</v>
      </c>
      <c r="R1339" s="1">
        <f>MONTH(tblSales[[#This Row],[Date]])</f>
        <v>3</v>
      </c>
    </row>
    <row r="1340" spans="2:18" x14ac:dyDescent="0.35">
      <c r="B1340" s="113">
        <v>46104</v>
      </c>
      <c r="C1340" s="4" t="s">
        <v>957</v>
      </c>
      <c r="D1340" s="4" t="s">
        <v>4568</v>
      </c>
      <c r="E1340" s="1" t="str">
        <f>_xlfn.XLOOKUP(tblSales[[#This Row],[Customer ID]],tblCustomers[Customer ID],tblCustomers[Customer Name],"⚠ Unknown")</f>
        <v>Walk-in Customer</v>
      </c>
      <c r="F1340" s="4" t="s">
        <v>12</v>
      </c>
      <c r="G1340" s="1" t="str">
        <f>_xlfn.XLOOKUP(tblSales[[#This Row],[Product Code]],tblProducts[Code],tblProducts[Product / Service Name],"⚠ Unknown")</f>
        <v>Bomber Jacket</v>
      </c>
      <c r="H1340" s="1" t="str">
        <f>_xlfn.XLOOKUP(tblSales[[#This Row],[Product Code]],tblProducts[Code],tblProducts[Category],"")</f>
        <v>Apparel &amp; Footwear</v>
      </c>
      <c r="I1340" s="4">
        <v>5</v>
      </c>
      <c r="J1340" s="5">
        <f>_xlfn.XLOOKUP(tblSales[[#This Row],[Product Code]],tblProducts[Code],tblProducts[Selling Price (excl. VAT)],0)</f>
        <v>350000</v>
      </c>
      <c r="K1340" s="5">
        <f>tblSales[[#This Row],[Qty]]*tblSales[[#This Row],[Unit Price]]</f>
        <v>1750000</v>
      </c>
      <c r="L1340" s="5">
        <f>ROUND(tblSales[[#This Row],[DPP (excl. VAT)]]*VATEff,0)</f>
        <v>192500</v>
      </c>
      <c r="M1340" s="5">
        <f>tblSales[[#This Row],[DPP (excl. VAT)]]+tblSales[[#This Row],[Output VAT]]</f>
        <v>1942500</v>
      </c>
      <c r="N1340" s="5">
        <f>tblSales[[#This Row],[Qty]]*_xlfn.XLOOKUP(tblSales[[#This Row],[Product Code]],tblProducts[Code],tblProducts[Unit Cost],0)</f>
        <v>1050000</v>
      </c>
      <c r="O1340" s="4" t="s">
        <v>4866</v>
      </c>
      <c r="P1340" s="4" t="s">
        <v>4860</v>
      </c>
      <c r="Q1340" s="1" t="str">
        <f>_xlfn.XLOOKUP(tblSales[[#This Row],[Channel Code]],tblChannels[Channel Code],tblChannels[Channel Name],"")</f>
        <v>In-store</v>
      </c>
      <c r="R1340" s="1">
        <f>MONTH(tblSales[[#This Row],[Date]])</f>
        <v>3</v>
      </c>
    </row>
    <row r="1341" spans="2:18" x14ac:dyDescent="0.35">
      <c r="B1341" s="113">
        <v>46104</v>
      </c>
      <c r="C1341" s="4" t="s">
        <v>957</v>
      </c>
      <c r="D1341" s="4" t="s">
        <v>4568</v>
      </c>
      <c r="E1341" s="1" t="str">
        <f>_xlfn.XLOOKUP(tblSales[[#This Row],[Customer ID]],tblCustomers[Customer ID],tblCustomers[Customer Name],"⚠ Unknown")</f>
        <v>Walk-in Customer</v>
      </c>
      <c r="F1341" s="4" t="s">
        <v>9</v>
      </c>
      <c r="G1341" s="1" t="str">
        <f>_xlfn.XLOOKUP(tblSales[[#This Row],[Product Code]],tblProducts[Code],tblProducts[Product / Service Name],"⚠ Unknown")</f>
        <v>Casual Shirt</v>
      </c>
      <c r="H1341" s="1" t="str">
        <f>_xlfn.XLOOKUP(tblSales[[#This Row],[Product Code]],tblProducts[Code],tblProducts[Category],"")</f>
        <v>Apparel &amp; Footwear</v>
      </c>
      <c r="I1341" s="4">
        <v>6</v>
      </c>
      <c r="J1341" s="5">
        <f>_xlfn.XLOOKUP(tblSales[[#This Row],[Product Code]],tblProducts[Code],tblProducts[Selling Price (excl. VAT)],0)</f>
        <v>120000</v>
      </c>
      <c r="K1341" s="5">
        <f>tblSales[[#This Row],[Qty]]*tblSales[[#This Row],[Unit Price]]</f>
        <v>720000</v>
      </c>
      <c r="L1341" s="5">
        <f>ROUND(tblSales[[#This Row],[DPP (excl. VAT)]]*VATEff,0)</f>
        <v>79200</v>
      </c>
      <c r="M1341" s="5">
        <f>tblSales[[#This Row],[DPP (excl. VAT)]]+tblSales[[#This Row],[Output VAT]]</f>
        <v>799200</v>
      </c>
      <c r="N1341" s="5">
        <f>tblSales[[#This Row],[Qty]]*_xlfn.XLOOKUP(tblSales[[#This Row],[Product Code]],tblProducts[Code],tblProducts[Unit Cost],0)</f>
        <v>432000</v>
      </c>
      <c r="O1341" s="4" t="s">
        <v>4866</v>
      </c>
      <c r="P1341" s="4" t="s">
        <v>4860</v>
      </c>
      <c r="Q1341" s="1" t="str">
        <f>_xlfn.XLOOKUP(tblSales[[#This Row],[Channel Code]],tblChannels[Channel Code],tblChannels[Channel Name],"")</f>
        <v>In-store</v>
      </c>
      <c r="R1341" s="1">
        <f>MONTH(tblSales[[#This Row],[Date]])</f>
        <v>3</v>
      </c>
    </row>
    <row r="1342" spans="2:18" x14ac:dyDescent="0.35">
      <c r="B1342" s="113">
        <v>46104</v>
      </c>
      <c r="C1342" s="4" t="s">
        <v>957</v>
      </c>
      <c r="D1342" s="4" t="s">
        <v>4568</v>
      </c>
      <c r="E1342" s="1" t="str">
        <f>_xlfn.XLOOKUP(tblSales[[#This Row],[Customer ID]],tblCustomers[Customer ID],tblCustomers[Customer Name],"⚠ Unknown")</f>
        <v>Walk-in Customer</v>
      </c>
      <c r="F1342" s="4" t="s">
        <v>6</v>
      </c>
      <c r="G1342" s="1" t="str">
        <f>_xlfn.XLOOKUP(tblSales[[#This Row],[Product Code]],tblProducts[Code],tblProducts[Product / Service Name],"⚠ Unknown")</f>
        <v>Socks &amp; Accessories</v>
      </c>
      <c r="H1342" s="1" t="str">
        <f>_xlfn.XLOOKUP(tblSales[[#This Row],[Product Code]],tblProducts[Code],tblProducts[Category],"")</f>
        <v>Accessories &amp; Basics</v>
      </c>
      <c r="I1342" s="4">
        <v>9</v>
      </c>
      <c r="J1342" s="5">
        <f>_xlfn.XLOOKUP(tblSales[[#This Row],[Product Code]],tblProducts[Code],tblProducts[Selling Price (excl. VAT)],0)</f>
        <v>45000</v>
      </c>
      <c r="K1342" s="5">
        <f>tblSales[[#This Row],[Qty]]*tblSales[[#This Row],[Unit Price]]</f>
        <v>405000</v>
      </c>
      <c r="L1342" s="5">
        <f>ROUND(tblSales[[#This Row],[DPP (excl. VAT)]]*VATEff,0)</f>
        <v>44550</v>
      </c>
      <c r="M1342" s="5">
        <f>tblSales[[#This Row],[DPP (excl. VAT)]]+tblSales[[#This Row],[Output VAT]]</f>
        <v>449550</v>
      </c>
      <c r="N1342" s="5">
        <f>tblSales[[#This Row],[Qty]]*_xlfn.XLOOKUP(tblSales[[#This Row],[Product Code]],tblProducts[Code],tblProducts[Unit Cost],0)</f>
        <v>216000</v>
      </c>
      <c r="O1342" s="4" t="s">
        <v>4866</v>
      </c>
      <c r="P1342" s="4" t="s">
        <v>4860</v>
      </c>
      <c r="Q1342" s="1" t="str">
        <f>_xlfn.XLOOKUP(tblSales[[#This Row],[Channel Code]],tblChannels[Channel Code],tblChannels[Channel Name],"")</f>
        <v>In-store</v>
      </c>
      <c r="R1342" s="1">
        <f>MONTH(tblSales[[#This Row],[Date]])</f>
        <v>3</v>
      </c>
    </row>
    <row r="1343" spans="2:18" x14ac:dyDescent="0.35">
      <c r="B1343" s="113">
        <v>46104</v>
      </c>
      <c r="C1343" s="4" t="s">
        <v>958</v>
      </c>
      <c r="D1343" s="4" t="s">
        <v>4568</v>
      </c>
      <c r="E1343" s="1" t="str">
        <f>_xlfn.XLOOKUP(tblSales[[#This Row],[Customer ID]],tblCustomers[Customer ID],tblCustomers[Customer Name],"⚠ Unknown")</f>
        <v>Walk-in Customer</v>
      </c>
      <c r="F1343" s="4" t="s">
        <v>9</v>
      </c>
      <c r="G1343" s="1" t="str">
        <f>_xlfn.XLOOKUP(tblSales[[#This Row],[Product Code]],tblProducts[Code],tblProducts[Product / Service Name],"⚠ Unknown")</f>
        <v>Casual Shirt</v>
      </c>
      <c r="H1343" s="1" t="str">
        <f>_xlfn.XLOOKUP(tblSales[[#This Row],[Product Code]],tblProducts[Code],tblProducts[Category],"")</f>
        <v>Apparel &amp; Footwear</v>
      </c>
      <c r="I1343" s="4">
        <v>2</v>
      </c>
      <c r="J1343" s="5">
        <f>_xlfn.XLOOKUP(tblSales[[#This Row],[Product Code]],tblProducts[Code],tblProducts[Selling Price (excl. VAT)],0)</f>
        <v>120000</v>
      </c>
      <c r="K1343" s="5">
        <f>tblSales[[#This Row],[Qty]]*tblSales[[#This Row],[Unit Price]]</f>
        <v>240000</v>
      </c>
      <c r="L1343" s="5">
        <f>ROUND(tblSales[[#This Row],[DPP (excl. VAT)]]*VATEff,0)</f>
        <v>26400</v>
      </c>
      <c r="M1343" s="5">
        <f>tblSales[[#This Row],[DPP (excl. VAT)]]+tblSales[[#This Row],[Output VAT]]</f>
        <v>266400</v>
      </c>
      <c r="N1343" s="5">
        <f>tblSales[[#This Row],[Qty]]*_xlfn.XLOOKUP(tblSales[[#This Row],[Product Code]],tblProducts[Code],tblProducts[Unit Cost],0)</f>
        <v>144000</v>
      </c>
      <c r="O1343" s="4" t="s">
        <v>4866</v>
      </c>
      <c r="P1343" s="4" t="s">
        <v>4861</v>
      </c>
      <c r="Q1343" s="1" t="str">
        <f>_xlfn.XLOOKUP(tblSales[[#This Row],[Channel Code]],tblChannels[Channel Code],tblChannels[Channel Name],"")</f>
        <v>Marketplace</v>
      </c>
      <c r="R1343" s="1">
        <f>MONTH(tblSales[[#This Row],[Date]])</f>
        <v>3</v>
      </c>
    </row>
    <row r="1344" spans="2:18" x14ac:dyDescent="0.35">
      <c r="B1344" s="113">
        <v>46104</v>
      </c>
      <c r="C1344" s="4" t="s">
        <v>959</v>
      </c>
      <c r="D1344" s="4" t="s">
        <v>4578</v>
      </c>
      <c r="E1344" s="1" t="str">
        <f>_xlfn.XLOOKUP(tblSales[[#This Row],[Customer ID]],tblCustomers[Customer ID],tblCustomers[Customer Name],"⚠ Unknown")</f>
        <v>PT Bintang Timur Sejahtera</v>
      </c>
      <c r="F1344" s="4" t="s">
        <v>12</v>
      </c>
      <c r="G1344" s="1" t="str">
        <f>_xlfn.XLOOKUP(tblSales[[#This Row],[Product Code]],tblProducts[Code],tblProducts[Product / Service Name],"⚠ Unknown")</f>
        <v>Bomber Jacket</v>
      </c>
      <c r="H1344" s="1" t="str">
        <f>_xlfn.XLOOKUP(tblSales[[#This Row],[Product Code]],tblProducts[Code],tblProducts[Category],"")</f>
        <v>Apparel &amp; Footwear</v>
      </c>
      <c r="I1344" s="4">
        <v>40</v>
      </c>
      <c r="J1344" s="5">
        <f>_xlfn.XLOOKUP(tblSales[[#This Row],[Product Code]],tblProducts[Code],tblProducts[Selling Price (excl. VAT)],0)</f>
        <v>350000</v>
      </c>
      <c r="K1344" s="5">
        <f>tblSales[[#This Row],[Qty]]*tblSales[[#This Row],[Unit Price]]</f>
        <v>14000000</v>
      </c>
      <c r="L1344" s="5">
        <f>ROUND(tblSales[[#This Row],[DPP (excl. VAT)]]*VATEff,0)</f>
        <v>1540000</v>
      </c>
      <c r="M1344" s="5">
        <f>tblSales[[#This Row],[DPP (excl. VAT)]]+tblSales[[#This Row],[Output VAT]]</f>
        <v>15540000</v>
      </c>
      <c r="N1344" s="5">
        <f>tblSales[[#This Row],[Qty]]*_xlfn.XLOOKUP(tblSales[[#This Row],[Product Code]],tblProducts[Code],tblProducts[Unit Cost],0)</f>
        <v>8400000</v>
      </c>
      <c r="O1344" s="4" t="s">
        <v>4867</v>
      </c>
      <c r="P1344" s="4" t="s">
        <v>4860</v>
      </c>
      <c r="Q1344" s="1" t="str">
        <f>_xlfn.XLOOKUP(tblSales[[#This Row],[Channel Code]],tblChannels[Channel Code],tblChannels[Channel Name],"")</f>
        <v>In-store</v>
      </c>
      <c r="R1344" s="1">
        <f>MONTH(tblSales[[#This Row],[Date]])</f>
        <v>3</v>
      </c>
    </row>
    <row r="1345" spans="2:18" x14ac:dyDescent="0.35">
      <c r="B1345" s="113">
        <v>46104</v>
      </c>
      <c r="C1345" s="4" t="s">
        <v>960</v>
      </c>
      <c r="D1345" s="4" t="s">
        <v>4578</v>
      </c>
      <c r="E1345" s="1" t="str">
        <f>_xlfn.XLOOKUP(tblSales[[#This Row],[Customer ID]],tblCustomers[Customer ID],tblCustomers[Customer Name],"⚠ Unknown")</f>
        <v>PT Bintang Timur Sejahtera</v>
      </c>
      <c r="F1345" s="4" t="s">
        <v>15</v>
      </c>
      <c r="G1345" s="1" t="str">
        <f>_xlfn.XLOOKUP(tblSales[[#This Row],[Product Code]],tblProducts[Code],tblProducts[Product / Service Name],"⚠ Unknown")</f>
        <v>Wireless Earbuds Pro</v>
      </c>
      <c r="H1345" s="1" t="str">
        <f>_xlfn.XLOOKUP(tblSales[[#This Row],[Product Code]],tblProducts[Code],tblProducts[Category],"")</f>
        <v>Bags &amp; Gadgets</v>
      </c>
      <c r="I1345" s="4">
        <v>8</v>
      </c>
      <c r="J1345" s="5">
        <f>_xlfn.XLOOKUP(tblSales[[#This Row],[Product Code]],tblProducts[Code],tblProducts[Selling Price (excl. VAT)],0)</f>
        <v>1250000</v>
      </c>
      <c r="K1345" s="5">
        <f>tblSales[[#This Row],[Qty]]*tblSales[[#This Row],[Unit Price]]</f>
        <v>10000000</v>
      </c>
      <c r="L1345" s="5">
        <f>ROUND(tblSales[[#This Row],[DPP (excl. VAT)]]*VATEff,0)</f>
        <v>1100000</v>
      </c>
      <c r="M1345" s="5">
        <f>tblSales[[#This Row],[DPP (excl. VAT)]]+tblSales[[#This Row],[Output VAT]]</f>
        <v>11100000</v>
      </c>
      <c r="N1345" s="5">
        <f>tblSales[[#This Row],[Qty]]*_xlfn.XLOOKUP(tblSales[[#This Row],[Product Code]],tblProducts[Code],tblProducts[Unit Cost],0)</f>
        <v>6560000</v>
      </c>
      <c r="O1345" s="4" t="s">
        <v>4867</v>
      </c>
      <c r="P1345" s="4" t="s">
        <v>4860</v>
      </c>
      <c r="Q1345" s="1" t="str">
        <f>_xlfn.XLOOKUP(tblSales[[#This Row],[Channel Code]],tblChannels[Channel Code],tblChannels[Channel Name],"")</f>
        <v>In-store</v>
      </c>
      <c r="R1345" s="1">
        <f>MONTH(tblSales[[#This Row],[Date]])</f>
        <v>3</v>
      </c>
    </row>
    <row r="1346" spans="2:18" x14ac:dyDescent="0.35">
      <c r="B1346" s="113">
        <v>46104</v>
      </c>
      <c r="C1346" s="4" t="s">
        <v>961</v>
      </c>
      <c r="D1346" s="4" t="s">
        <v>4593</v>
      </c>
      <c r="E1346" s="1" t="str">
        <f>_xlfn.XLOOKUP(tblSales[[#This Row],[Customer ID]],tblCustomers[Customer ID],tblCustomers[Customer Name],"⚠ Unknown")</f>
        <v>PT Graha Nusa Persada</v>
      </c>
      <c r="F1346" s="4" t="s">
        <v>6</v>
      </c>
      <c r="G1346" s="1" t="str">
        <f>_xlfn.XLOOKUP(tblSales[[#This Row],[Product Code]],tblProducts[Code],tblProducts[Product / Service Name],"⚠ Unknown")</f>
        <v>Socks &amp; Accessories</v>
      </c>
      <c r="H1346" s="1" t="str">
        <f>_xlfn.XLOOKUP(tblSales[[#This Row],[Product Code]],tblProducts[Code],tblProducts[Category],"")</f>
        <v>Accessories &amp; Basics</v>
      </c>
      <c r="I1346" s="4">
        <v>56</v>
      </c>
      <c r="J1346" s="5">
        <f>_xlfn.XLOOKUP(tblSales[[#This Row],[Product Code]],tblProducts[Code],tblProducts[Selling Price (excl. VAT)],0)</f>
        <v>45000</v>
      </c>
      <c r="K1346" s="5">
        <f>tblSales[[#This Row],[Qty]]*tblSales[[#This Row],[Unit Price]]</f>
        <v>2520000</v>
      </c>
      <c r="L1346" s="5">
        <f>ROUND(tblSales[[#This Row],[DPP (excl. VAT)]]*VATEff,0)</f>
        <v>277200</v>
      </c>
      <c r="M1346" s="5">
        <f>tblSales[[#This Row],[DPP (excl. VAT)]]+tblSales[[#This Row],[Output VAT]]</f>
        <v>2797200</v>
      </c>
      <c r="N1346" s="5">
        <f>tblSales[[#This Row],[Qty]]*_xlfn.XLOOKUP(tblSales[[#This Row],[Product Code]],tblProducts[Code],tblProducts[Unit Cost],0)</f>
        <v>1344000</v>
      </c>
      <c r="O1346" s="4" t="s">
        <v>4867</v>
      </c>
      <c r="P1346" s="4" t="s">
        <v>4860</v>
      </c>
      <c r="Q1346" s="1" t="str">
        <f>_xlfn.XLOOKUP(tblSales[[#This Row],[Channel Code]],tblChannels[Channel Code],tblChannels[Channel Name],"")</f>
        <v>In-store</v>
      </c>
      <c r="R1346" s="1">
        <f>MONTH(tblSales[[#This Row],[Date]])</f>
        <v>3</v>
      </c>
    </row>
    <row r="1347" spans="2:18" x14ac:dyDescent="0.35">
      <c r="B1347" s="113">
        <v>46104</v>
      </c>
      <c r="C1347" s="4" t="s">
        <v>962</v>
      </c>
      <c r="D1347" s="4" t="s">
        <v>4568</v>
      </c>
      <c r="E1347" s="1" t="str">
        <f>_xlfn.XLOOKUP(tblSales[[#This Row],[Customer ID]],tblCustomers[Customer ID],tblCustomers[Customer Name],"⚠ Unknown")</f>
        <v>Walk-in Customer</v>
      </c>
      <c r="F1347" s="4" t="s">
        <v>7</v>
      </c>
      <c r="G1347" s="1" t="str">
        <f>_xlfn.XLOOKUP(tblSales[[#This Row],[Product Code]],tblProducts[Code],tblProducts[Product / Service Name],"⚠ Unknown")</f>
        <v>Premium Basic T-shirt</v>
      </c>
      <c r="H1347" s="1" t="str">
        <f>_xlfn.XLOOKUP(tblSales[[#This Row],[Product Code]],tblProducts[Code],tblProducts[Category],"")</f>
        <v>Accessories &amp; Basics</v>
      </c>
      <c r="I1347" s="4">
        <v>11</v>
      </c>
      <c r="J1347" s="5">
        <f>_xlfn.XLOOKUP(tblSales[[#This Row],[Product Code]],tblProducts[Code],tblProducts[Selling Price (excl. VAT)],0)</f>
        <v>65000</v>
      </c>
      <c r="K1347" s="5">
        <f>tblSales[[#This Row],[Qty]]*tblSales[[#This Row],[Unit Price]]</f>
        <v>715000</v>
      </c>
      <c r="L1347" s="5">
        <f>ROUND(tblSales[[#This Row],[DPP (excl. VAT)]]*VATEff,0)</f>
        <v>78650</v>
      </c>
      <c r="M1347" s="5">
        <f>tblSales[[#This Row],[DPP (excl. VAT)]]+tblSales[[#This Row],[Output VAT]]</f>
        <v>793650</v>
      </c>
      <c r="N1347" s="5">
        <f>tblSales[[#This Row],[Qty]]*_xlfn.XLOOKUP(tblSales[[#This Row],[Product Code]],tblProducts[Code],tblProducts[Unit Cost],0)</f>
        <v>407000</v>
      </c>
      <c r="O1347" s="4" t="s">
        <v>4865</v>
      </c>
      <c r="P1347" s="4" t="s">
        <v>4860</v>
      </c>
      <c r="Q1347" s="1" t="str">
        <f>_xlfn.XLOOKUP(tblSales[[#This Row],[Channel Code]],tblChannels[Channel Code],tblChannels[Channel Name],"")</f>
        <v>In-store</v>
      </c>
      <c r="R1347" s="1">
        <f>MONTH(tblSales[[#This Row],[Date]])</f>
        <v>3</v>
      </c>
    </row>
    <row r="1348" spans="2:18" x14ac:dyDescent="0.35">
      <c r="B1348" s="113">
        <v>46104</v>
      </c>
      <c r="C1348" s="4" t="s">
        <v>963</v>
      </c>
      <c r="D1348" s="4" t="s">
        <v>4568</v>
      </c>
      <c r="E1348" s="1" t="str">
        <f>_xlfn.XLOOKUP(tblSales[[#This Row],[Customer ID]],tblCustomers[Customer ID],tblCustomers[Customer Name],"⚠ Unknown")</f>
        <v>Walk-in Customer</v>
      </c>
      <c r="F1348" s="4" t="s">
        <v>6</v>
      </c>
      <c r="G1348" s="1" t="str">
        <f>_xlfn.XLOOKUP(tblSales[[#This Row],[Product Code]],tblProducts[Code],tblProducts[Product / Service Name],"⚠ Unknown")</f>
        <v>Socks &amp; Accessories</v>
      </c>
      <c r="H1348" s="1" t="str">
        <f>_xlfn.XLOOKUP(tblSales[[#This Row],[Product Code]],tblProducts[Code],tblProducts[Category],"")</f>
        <v>Accessories &amp; Basics</v>
      </c>
      <c r="I1348" s="4">
        <v>4</v>
      </c>
      <c r="J1348" s="5">
        <f>_xlfn.XLOOKUP(tblSales[[#This Row],[Product Code]],tblProducts[Code],tblProducts[Selling Price (excl. VAT)],0)</f>
        <v>45000</v>
      </c>
      <c r="K1348" s="5">
        <f>tblSales[[#This Row],[Qty]]*tblSales[[#This Row],[Unit Price]]</f>
        <v>180000</v>
      </c>
      <c r="L1348" s="5">
        <f>ROUND(tblSales[[#This Row],[DPP (excl. VAT)]]*VATEff,0)</f>
        <v>19800</v>
      </c>
      <c r="M1348" s="5">
        <f>tblSales[[#This Row],[DPP (excl. VAT)]]+tblSales[[#This Row],[Output VAT]]</f>
        <v>199800</v>
      </c>
      <c r="N1348" s="5">
        <f>tblSales[[#This Row],[Qty]]*_xlfn.XLOOKUP(tblSales[[#This Row],[Product Code]],tblProducts[Code],tblProducts[Unit Cost],0)</f>
        <v>96000</v>
      </c>
      <c r="O1348" s="4" t="s">
        <v>4866</v>
      </c>
      <c r="P1348" s="4" t="s">
        <v>4861</v>
      </c>
      <c r="Q1348" s="1" t="str">
        <f>_xlfn.XLOOKUP(tblSales[[#This Row],[Channel Code]],tblChannels[Channel Code],tblChannels[Channel Name],"")</f>
        <v>Marketplace</v>
      </c>
      <c r="R1348" s="1">
        <f>MONTH(tblSales[[#This Row],[Date]])</f>
        <v>3</v>
      </c>
    </row>
    <row r="1349" spans="2:18" x14ac:dyDescent="0.35">
      <c r="B1349" s="113">
        <v>46104</v>
      </c>
      <c r="C1349" s="4" t="s">
        <v>964</v>
      </c>
      <c r="D1349" s="4" t="s">
        <v>4568</v>
      </c>
      <c r="E1349" s="1" t="str">
        <f>_xlfn.XLOOKUP(tblSales[[#This Row],[Customer ID]],tblCustomers[Customer ID],tblCustomers[Customer Name],"⚠ Unknown")</f>
        <v>Walk-in Customer</v>
      </c>
      <c r="F1349" s="4" t="s">
        <v>7</v>
      </c>
      <c r="G1349" s="1" t="str">
        <f>_xlfn.XLOOKUP(tblSales[[#This Row],[Product Code]],tblProducts[Code],tblProducts[Product / Service Name],"⚠ Unknown")</f>
        <v>Premium Basic T-shirt</v>
      </c>
      <c r="H1349" s="1" t="str">
        <f>_xlfn.XLOOKUP(tblSales[[#This Row],[Product Code]],tblProducts[Code],tblProducts[Category],"")</f>
        <v>Accessories &amp; Basics</v>
      </c>
      <c r="I1349" s="4">
        <v>11</v>
      </c>
      <c r="J1349" s="5">
        <f>_xlfn.XLOOKUP(tblSales[[#This Row],[Product Code]],tblProducts[Code],tblProducts[Selling Price (excl. VAT)],0)</f>
        <v>65000</v>
      </c>
      <c r="K1349" s="5">
        <f>tblSales[[#This Row],[Qty]]*tblSales[[#This Row],[Unit Price]]</f>
        <v>715000</v>
      </c>
      <c r="L1349" s="5">
        <f>ROUND(tblSales[[#This Row],[DPP (excl. VAT)]]*VATEff,0)</f>
        <v>78650</v>
      </c>
      <c r="M1349" s="5">
        <f>tblSales[[#This Row],[DPP (excl. VAT)]]+tblSales[[#This Row],[Output VAT]]</f>
        <v>793650</v>
      </c>
      <c r="N1349" s="5">
        <f>tblSales[[#This Row],[Qty]]*_xlfn.XLOOKUP(tblSales[[#This Row],[Product Code]],tblProducts[Code],tblProducts[Unit Cost],0)</f>
        <v>407000</v>
      </c>
      <c r="O1349" s="4" t="s">
        <v>4866</v>
      </c>
      <c r="P1349" s="4" t="s">
        <v>4862</v>
      </c>
      <c r="Q1349" s="1" t="str">
        <f>_xlfn.XLOOKUP(tblSales[[#This Row],[Channel Code]],tblChannels[Channel Code],tblChannels[Channel Name],"")</f>
        <v>Website &amp; Social Media</v>
      </c>
      <c r="R1349" s="1">
        <f>MONTH(tblSales[[#This Row],[Date]])</f>
        <v>3</v>
      </c>
    </row>
    <row r="1350" spans="2:18" x14ac:dyDescent="0.35">
      <c r="B1350" s="113">
        <v>46104</v>
      </c>
      <c r="C1350" s="4" t="s">
        <v>964</v>
      </c>
      <c r="D1350" s="4" t="s">
        <v>4568</v>
      </c>
      <c r="E1350" s="1" t="str">
        <f>_xlfn.XLOOKUP(tblSales[[#This Row],[Customer ID]],tblCustomers[Customer ID],tblCustomers[Customer Name],"⚠ Unknown")</f>
        <v>Walk-in Customer</v>
      </c>
      <c r="F1350" s="4" t="s">
        <v>15</v>
      </c>
      <c r="G1350" s="1" t="str">
        <f>_xlfn.XLOOKUP(tblSales[[#This Row],[Product Code]],tblProducts[Code],tblProducts[Product / Service Name],"⚠ Unknown")</f>
        <v>Wireless Earbuds Pro</v>
      </c>
      <c r="H1350" s="1" t="str">
        <f>_xlfn.XLOOKUP(tblSales[[#This Row],[Product Code]],tblProducts[Code],tblProducts[Category],"")</f>
        <v>Bags &amp; Gadgets</v>
      </c>
      <c r="I1350" s="4">
        <v>3</v>
      </c>
      <c r="J1350" s="5">
        <f>_xlfn.XLOOKUP(tblSales[[#This Row],[Product Code]],tblProducts[Code],tblProducts[Selling Price (excl. VAT)],0)</f>
        <v>1250000</v>
      </c>
      <c r="K1350" s="5">
        <f>tblSales[[#This Row],[Qty]]*tblSales[[#This Row],[Unit Price]]</f>
        <v>3750000</v>
      </c>
      <c r="L1350" s="5">
        <f>ROUND(tblSales[[#This Row],[DPP (excl. VAT)]]*VATEff,0)</f>
        <v>412500</v>
      </c>
      <c r="M1350" s="5">
        <f>tblSales[[#This Row],[DPP (excl. VAT)]]+tblSales[[#This Row],[Output VAT]]</f>
        <v>4162500</v>
      </c>
      <c r="N1350" s="5">
        <f>tblSales[[#This Row],[Qty]]*_xlfn.XLOOKUP(tblSales[[#This Row],[Product Code]],tblProducts[Code],tblProducts[Unit Cost],0)</f>
        <v>2460000</v>
      </c>
      <c r="O1350" s="4" t="s">
        <v>4866</v>
      </c>
      <c r="P1350" s="4" t="s">
        <v>4862</v>
      </c>
      <c r="Q1350" s="1" t="str">
        <f>_xlfn.XLOOKUP(tblSales[[#This Row],[Channel Code]],tblChannels[Channel Code],tblChannels[Channel Name],"")</f>
        <v>Website &amp; Social Media</v>
      </c>
      <c r="R1350" s="1">
        <f>MONTH(tblSales[[#This Row],[Date]])</f>
        <v>3</v>
      </c>
    </row>
    <row r="1351" spans="2:18" x14ac:dyDescent="0.35">
      <c r="B1351" s="113">
        <v>46104</v>
      </c>
      <c r="C1351" s="4" t="s">
        <v>965</v>
      </c>
      <c r="D1351" s="4" t="s">
        <v>4568</v>
      </c>
      <c r="E1351" s="1" t="str">
        <f>_xlfn.XLOOKUP(tblSales[[#This Row],[Customer ID]],tblCustomers[Customer ID],tblCustomers[Customer Name],"⚠ Unknown")</f>
        <v>Walk-in Customer</v>
      </c>
      <c r="F1351" s="4" t="s">
        <v>10</v>
      </c>
      <c r="G1351" s="1" t="str">
        <f>_xlfn.XLOOKUP(tblSales[[#This Row],[Product Code]],tblProducts[Code],tblProducts[Product / Service Name],"⚠ Unknown")</f>
        <v>Chino Pants</v>
      </c>
      <c r="H1351" s="1" t="str">
        <f>_xlfn.XLOOKUP(tblSales[[#This Row],[Product Code]],tblProducts[Code],tblProducts[Category],"")</f>
        <v>Apparel &amp; Footwear</v>
      </c>
      <c r="I1351" s="4">
        <v>2</v>
      </c>
      <c r="J1351" s="5">
        <f>_xlfn.XLOOKUP(tblSales[[#This Row],[Product Code]],tblProducts[Code],tblProducts[Selling Price (excl. VAT)],0)</f>
        <v>150000</v>
      </c>
      <c r="K1351" s="5">
        <f>tblSales[[#This Row],[Qty]]*tblSales[[#This Row],[Unit Price]]</f>
        <v>300000</v>
      </c>
      <c r="L1351" s="5">
        <f>ROUND(tblSales[[#This Row],[DPP (excl. VAT)]]*VATEff,0)</f>
        <v>33000</v>
      </c>
      <c r="M1351" s="5">
        <f>tblSales[[#This Row],[DPP (excl. VAT)]]+tblSales[[#This Row],[Output VAT]]</f>
        <v>333000</v>
      </c>
      <c r="N1351" s="5">
        <f>tblSales[[#This Row],[Qty]]*_xlfn.XLOOKUP(tblSales[[#This Row],[Product Code]],tblProducts[Code],tblProducts[Unit Cost],0)</f>
        <v>176000</v>
      </c>
      <c r="O1351" s="4" t="s">
        <v>4865</v>
      </c>
      <c r="P1351" s="4" t="s">
        <v>4860</v>
      </c>
      <c r="Q1351" s="1" t="str">
        <f>_xlfn.XLOOKUP(tblSales[[#This Row],[Channel Code]],tblChannels[Channel Code],tblChannels[Channel Name],"")</f>
        <v>In-store</v>
      </c>
      <c r="R1351" s="1">
        <f>MONTH(tblSales[[#This Row],[Date]])</f>
        <v>3</v>
      </c>
    </row>
    <row r="1352" spans="2:18" x14ac:dyDescent="0.35">
      <c r="B1352" s="113">
        <v>46104</v>
      </c>
      <c r="C1352" s="4" t="s">
        <v>966</v>
      </c>
      <c r="D1352" s="4" t="s">
        <v>4578</v>
      </c>
      <c r="E1352" s="1" t="str">
        <f>_xlfn.XLOOKUP(tblSales[[#This Row],[Customer ID]],tblCustomers[Customer ID],tblCustomers[Customer Name],"⚠ Unknown")</f>
        <v>PT Bintang Timur Sejahtera</v>
      </c>
      <c r="F1352" s="4" t="s">
        <v>8</v>
      </c>
      <c r="G1352" s="1" t="str">
        <f>_xlfn.XLOOKUP(tblSales[[#This Row],[Product Code]],tblProducts[Code],tblProducts[Product / Service Name],"⚠ Unknown")</f>
        <v>Casual Shorts</v>
      </c>
      <c r="H1352" s="1" t="str">
        <f>_xlfn.XLOOKUP(tblSales[[#This Row],[Product Code]],tblProducts[Code],tblProducts[Category],"")</f>
        <v>Accessories &amp; Basics</v>
      </c>
      <c r="I1352" s="4">
        <v>40</v>
      </c>
      <c r="J1352" s="5">
        <f>_xlfn.XLOOKUP(tblSales[[#This Row],[Product Code]],tblProducts[Code],tblProducts[Selling Price (excl. VAT)],0)</f>
        <v>85000</v>
      </c>
      <c r="K1352" s="5">
        <f>tblSales[[#This Row],[Qty]]*tblSales[[#This Row],[Unit Price]]</f>
        <v>3400000</v>
      </c>
      <c r="L1352" s="5">
        <f>ROUND(tblSales[[#This Row],[DPP (excl. VAT)]]*VATEff,0)</f>
        <v>374000</v>
      </c>
      <c r="M1352" s="5">
        <f>tblSales[[#This Row],[DPP (excl. VAT)]]+tblSales[[#This Row],[Output VAT]]</f>
        <v>3774000</v>
      </c>
      <c r="N1352" s="5">
        <f>tblSales[[#This Row],[Qty]]*_xlfn.XLOOKUP(tblSales[[#This Row],[Product Code]],tblProducts[Code],tblProducts[Unit Cost],0)</f>
        <v>2000000</v>
      </c>
      <c r="O1352" s="4" t="s">
        <v>4867</v>
      </c>
      <c r="P1352" s="4" t="s">
        <v>4860</v>
      </c>
      <c r="Q1352" s="1" t="str">
        <f>_xlfn.XLOOKUP(tblSales[[#This Row],[Channel Code]],tblChannels[Channel Code],tblChannels[Channel Name],"")</f>
        <v>In-store</v>
      </c>
      <c r="R1352" s="1">
        <f>MONTH(tblSales[[#This Row],[Date]])</f>
        <v>3</v>
      </c>
    </row>
    <row r="1353" spans="2:18" x14ac:dyDescent="0.35">
      <c r="B1353" s="113">
        <v>46104</v>
      </c>
      <c r="C1353" s="4" t="s">
        <v>967</v>
      </c>
      <c r="D1353" s="4" t="s">
        <v>4568</v>
      </c>
      <c r="E1353" s="1" t="str">
        <f>_xlfn.XLOOKUP(tblSales[[#This Row],[Customer ID]],tblCustomers[Customer ID],tblCustomers[Customer Name],"⚠ Unknown")</f>
        <v>Walk-in Customer</v>
      </c>
      <c r="F1353" s="4" t="s">
        <v>6</v>
      </c>
      <c r="G1353" s="1" t="str">
        <f>_xlfn.XLOOKUP(tblSales[[#This Row],[Product Code]],tblProducts[Code],tblProducts[Product / Service Name],"⚠ Unknown")</f>
        <v>Socks &amp; Accessories</v>
      </c>
      <c r="H1353" s="1" t="str">
        <f>_xlfn.XLOOKUP(tblSales[[#This Row],[Product Code]],tblProducts[Code],tblProducts[Category],"")</f>
        <v>Accessories &amp; Basics</v>
      </c>
      <c r="I1353" s="4">
        <v>2</v>
      </c>
      <c r="J1353" s="5">
        <f>_xlfn.XLOOKUP(tblSales[[#This Row],[Product Code]],tblProducts[Code],tblProducts[Selling Price (excl. VAT)],0)</f>
        <v>45000</v>
      </c>
      <c r="K1353" s="5">
        <f>tblSales[[#This Row],[Qty]]*tblSales[[#This Row],[Unit Price]]</f>
        <v>90000</v>
      </c>
      <c r="L1353" s="5">
        <f>ROUND(tblSales[[#This Row],[DPP (excl. VAT)]]*VATEff,0)</f>
        <v>9900</v>
      </c>
      <c r="M1353" s="5">
        <f>tblSales[[#This Row],[DPP (excl. VAT)]]+tblSales[[#This Row],[Output VAT]]</f>
        <v>99900</v>
      </c>
      <c r="N1353" s="5">
        <f>tblSales[[#This Row],[Qty]]*_xlfn.XLOOKUP(tblSales[[#This Row],[Product Code]],tblProducts[Code],tblProducts[Unit Cost],0)</f>
        <v>48000</v>
      </c>
      <c r="O1353" s="4" t="s">
        <v>4865</v>
      </c>
      <c r="P1353" s="4" t="s">
        <v>4860</v>
      </c>
      <c r="Q1353" s="1" t="str">
        <f>_xlfn.XLOOKUP(tblSales[[#This Row],[Channel Code]],tblChannels[Channel Code],tblChannels[Channel Name],"")</f>
        <v>In-store</v>
      </c>
      <c r="R1353" s="1">
        <f>MONTH(tblSales[[#This Row],[Date]])</f>
        <v>3</v>
      </c>
    </row>
    <row r="1354" spans="2:18" x14ac:dyDescent="0.35">
      <c r="B1354" s="113">
        <v>46105</v>
      </c>
      <c r="C1354" s="4" t="s">
        <v>968</v>
      </c>
      <c r="D1354" s="4" t="s">
        <v>4568</v>
      </c>
      <c r="E1354" s="1" t="str">
        <f>_xlfn.XLOOKUP(tblSales[[#This Row],[Customer ID]],tblCustomers[Customer ID],tblCustomers[Customer Name],"⚠ Unknown")</f>
        <v>Walk-in Customer</v>
      </c>
      <c r="F1354" s="4" t="s">
        <v>11</v>
      </c>
      <c r="G1354" s="1" t="str">
        <f>_xlfn.XLOOKUP(tblSales[[#This Row],[Product Code]],tblProducts[Code],tblProducts[Product / Service Name],"⚠ Unknown")</f>
        <v>Sneakers</v>
      </c>
      <c r="H1354" s="1" t="str">
        <f>_xlfn.XLOOKUP(tblSales[[#This Row],[Product Code]],tblProducts[Code],tblProducts[Category],"")</f>
        <v>Apparel &amp; Footwear</v>
      </c>
      <c r="I1354" s="4">
        <v>6</v>
      </c>
      <c r="J1354" s="5">
        <f>_xlfn.XLOOKUP(tblSales[[#This Row],[Product Code]],tblProducts[Code],tblProducts[Selling Price (excl. VAT)],0)</f>
        <v>250000</v>
      </c>
      <c r="K1354" s="5">
        <f>tblSales[[#This Row],[Qty]]*tblSales[[#This Row],[Unit Price]]</f>
        <v>1500000</v>
      </c>
      <c r="L1354" s="5">
        <f>ROUND(tblSales[[#This Row],[DPP (excl. VAT)]]*VATEff,0)</f>
        <v>165000</v>
      </c>
      <c r="M1354" s="5">
        <f>tblSales[[#This Row],[DPP (excl. VAT)]]+tblSales[[#This Row],[Output VAT]]</f>
        <v>1665000</v>
      </c>
      <c r="N1354" s="5">
        <f>tblSales[[#This Row],[Qty]]*_xlfn.XLOOKUP(tblSales[[#This Row],[Product Code]],tblProducts[Code],tblProducts[Unit Cost],0)</f>
        <v>930000</v>
      </c>
      <c r="O1354" s="4" t="s">
        <v>4866</v>
      </c>
      <c r="P1354" s="4" t="s">
        <v>4861</v>
      </c>
      <c r="Q1354" s="1" t="str">
        <f>_xlfn.XLOOKUP(tblSales[[#This Row],[Channel Code]],tblChannels[Channel Code],tblChannels[Channel Name],"")</f>
        <v>Marketplace</v>
      </c>
      <c r="R1354" s="1">
        <f>MONTH(tblSales[[#This Row],[Date]])</f>
        <v>3</v>
      </c>
    </row>
    <row r="1355" spans="2:18" x14ac:dyDescent="0.35">
      <c r="B1355" s="113">
        <v>46105</v>
      </c>
      <c r="C1355" s="4" t="s">
        <v>969</v>
      </c>
      <c r="D1355" s="4" t="s">
        <v>4568</v>
      </c>
      <c r="E1355" s="1" t="str">
        <f>_xlfn.XLOOKUP(tblSales[[#This Row],[Customer ID]],tblCustomers[Customer ID],tblCustomers[Customer Name],"⚠ Unknown")</f>
        <v>Walk-in Customer</v>
      </c>
      <c r="F1355" s="4" t="s">
        <v>7</v>
      </c>
      <c r="G1355" s="1" t="str">
        <f>_xlfn.XLOOKUP(tblSales[[#This Row],[Product Code]],tblProducts[Code],tblProducts[Product / Service Name],"⚠ Unknown")</f>
        <v>Premium Basic T-shirt</v>
      </c>
      <c r="H1355" s="1" t="str">
        <f>_xlfn.XLOOKUP(tblSales[[#This Row],[Product Code]],tblProducts[Code],tblProducts[Category],"")</f>
        <v>Accessories &amp; Basics</v>
      </c>
      <c r="I1355" s="4">
        <v>6</v>
      </c>
      <c r="J1355" s="5">
        <f>_xlfn.XLOOKUP(tblSales[[#This Row],[Product Code]],tblProducts[Code],tblProducts[Selling Price (excl. VAT)],0)</f>
        <v>65000</v>
      </c>
      <c r="K1355" s="5">
        <f>tblSales[[#This Row],[Qty]]*tblSales[[#This Row],[Unit Price]]</f>
        <v>390000</v>
      </c>
      <c r="L1355" s="5">
        <f>ROUND(tblSales[[#This Row],[DPP (excl. VAT)]]*VATEff,0)</f>
        <v>42900</v>
      </c>
      <c r="M1355" s="5">
        <f>tblSales[[#This Row],[DPP (excl. VAT)]]+tblSales[[#This Row],[Output VAT]]</f>
        <v>432900</v>
      </c>
      <c r="N1355" s="5">
        <f>tblSales[[#This Row],[Qty]]*_xlfn.XLOOKUP(tblSales[[#This Row],[Product Code]],tblProducts[Code],tblProducts[Unit Cost],0)</f>
        <v>222000</v>
      </c>
      <c r="O1355" s="4" t="s">
        <v>4866</v>
      </c>
      <c r="P1355" s="4" t="s">
        <v>4860</v>
      </c>
      <c r="Q1355" s="1" t="str">
        <f>_xlfn.XLOOKUP(tblSales[[#This Row],[Channel Code]],tblChannels[Channel Code],tblChannels[Channel Name],"")</f>
        <v>In-store</v>
      </c>
      <c r="R1355" s="1">
        <f>MONTH(tblSales[[#This Row],[Date]])</f>
        <v>3</v>
      </c>
    </row>
    <row r="1356" spans="2:18" x14ac:dyDescent="0.35">
      <c r="B1356" s="113">
        <v>46105</v>
      </c>
      <c r="C1356" s="4" t="s">
        <v>970</v>
      </c>
      <c r="D1356" s="4" t="s">
        <v>4627</v>
      </c>
      <c r="E1356" s="1" t="str">
        <f>_xlfn.XLOOKUP(tblSales[[#This Row],[Customer ID]],tblCustomers[Customer ID],tblCustomers[Customer Name],"⚠ Unknown")</f>
        <v>PT Kencana Wira Usaha</v>
      </c>
      <c r="F1356" s="4" t="s">
        <v>15</v>
      </c>
      <c r="G1356" s="1" t="str">
        <f>_xlfn.XLOOKUP(tblSales[[#This Row],[Product Code]],tblProducts[Code],tblProducts[Product / Service Name],"⚠ Unknown")</f>
        <v>Wireless Earbuds Pro</v>
      </c>
      <c r="H1356" s="1" t="str">
        <f>_xlfn.XLOOKUP(tblSales[[#This Row],[Product Code]],tblProducts[Code],tblProducts[Category],"")</f>
        <v>Bags &amp; Gadgets</v>
      </c>
      <c r="I1356" s="4">
        <v>16</v>
      </c>
      <c r="J1356" s="5">
        <f>_xlfn.XLOOKUP(tblSales[[#This Row],[Product Code]],tblProducts[Code],tblProducts[Selling Price (excl. VAT)],0)</f>
        <v>1250000</v>
      </c>
      <c r="K1356" s="5">
        <f>tblSales[[#This Row],[Qty]]*tblSales[[#This Row],[Unit Price]]</f>
        <v>20000000</v>
      </c>
      <c r="L1356" s="5">
        <f>ROUND(tblSales[[#This Row],[DPP (excl. VAT)]]*VATEff,0)</f>
        <v>2200000</v>
      </c>
      <c r="M1356" s="5">
        <f>tblSales[[#This Row],[DPP (excl. VAT)]]+tblSales[[#This Row],[Output VAT]]</f>
        <v>22200000</v>
      </c>
      <c r="N1356" s="5">
        <f>tblSales[[#This Row],[Qty]]*_xlfn.XLOOKUP(tblSales[[#This Row],[Product Code]],tblProducts[Code],tblProducts[Unit Cost],0)</f>
        <v>13120000</v>
      </c>
      <c r="O1356" s="4" t="s">
        <v>4867</v>
      </c>
      <c r="P1356" s="4" t="s">
        <v>4860</v>
      </c>
      <c r="Q1356" s="1" t="str">
        <f>_xlfn.XLOOKUP(tblSales[[#This Row],[Channel Code]],tblChannels[Channel Code],tblChannels[Channel Name],"")</f>
        <v>In-store</v>
      </c>
      <c r="R1356" s="1">
        <f>MONTH(tblSales[[#This Row],[Date]])</f>
        <v>3</v>
      </c>
    </row>
    <row r="1357" spans="2:18" x14ac:dyDescent="0.35">
      <c r="B1357" s="113">
        <v>46105</v>
      </c>
      <c r="C1357" s="4" t="s">
        <v>971</v>
      </c>
      <c r="D1357" s="4" t="s">
        <v>4568</v>
      </c>
      <c r="E1357" s="1" t="str">
        <f>_xlfn.XLOOKUP(tblSales[[#This Row],[Customer ID]],tblCustomers[Customer ID],tblCustomers[Customer Name],"⚠ Unknown")</f>
        <v>Walk-in Customer</v>
      </c>
      <c r="F1357" s="4" t="s">
        <v>11</v>
      </c>
      <c r="G1357" s="1" t="str">
        <f>_xlfn.XLOOKUP(tblSales[[#This Row],[Product Code]],tblProducts[Code],tblProducts[Product / Service Name],"⚠ Unknown")</f>
        <v>Sneakers</v>
      </c>
      <c r="H1357" s="1" t="str">
        <f>_xlfn.XLOOKUP(tblSales[[#This Row],[Product Code]],tblProducts[Code],tblProducts[Category],"")</f>
        <v>Apparel &amp; Footwear</v>
      </c>
      <c r="I1357" s="4">
        <v>2</v>
      </c>
      <c r="J1357" s="5">
        <f>_xlfn.XLOOKUP(tblSales[[#This Row],[Product Code]],tblProducts[Code],tblProducts[Selling Price (excl. VAT)],0)</f>
        <v>250000</v>
      </c>
      <c r="K1357" s="5">
        <f>tblSales[[#This Row],[Qty]]*tblSales[[#This Row],[Unit Price]]</f>
        <v>500000</v>
      </c>
      <c r="L1357" s="5">
        <f>ROUND(tblSales[[#This Row],[DPP (excl. VAT)]]*VATEff,0)</f>
        <v>55000</v>
      </c>
      <c r="M1357" s="5">
        <f>tblSales[[#This Row],[DPP (excl. VAT)]]+tblSales[[#This Row],[Output VAT]]</f>
        <v>555000</v>
      </c>
      <c r="N1357" s="5">
        <f>tblSales[[#This Row],[Qty]]*_xlfn.XLOOKUP(tblSales[[#This Row],[Product Code]],tblProducts[Code],tblProducts[Unit Cost],0)</f>
        <v>310000</v>
      </c>
      <c r="O1357" s="4" t="s">
        <v>4865</v>
      </c>
      <c r="P1357" s="4" t="s">
        <v>4860</v>
      </c>
      <c r="Q1357" s="1" t="str">
        <f>_xlfn.XLOOKUP(tblSales[[#This Row],[Channel Code]],tblChannels[Channel Code],tblChannels[Channel Name],"")</f>
        <v>In-store</v>
      </c>
      <c r="R1357" s="1">
        <f>MONTH(tblSales[[#This Row],[Date]])</f>
        <v>3</v>
      </c>
    </row>
    <row r="1358" spans="2:18" x14ac:dyDescent="0.35">
      <c r="B1358" s="113">
        <v>46105</v>
      </c>
      <c r="C1358" s="4" t="s">
        <v>971</v>
      </c>
      <c r="D1358" s="4" t="s">
        <v>4568</v>
      </c>
      <c r="E1358" s="1" t="str">
        <f>_xlfn.XLOOKUP(tblSales[[#This Row],[Customer ID]],tblCustomers[Customer ID],tblCustomers[Customer Name],"⚠ Unknown")</f>
        <v>Walk-in Customer</v>
      </c>
      <c r="F1358" s="4" t="s">
        <v>9</v>
      </c>
      <c r="G1358" s="1" t="str">
        <f>_xlfn.XLOOKUP(tblSales[[#This Row],[Product Code]],tblProducts[Code],tblProducts[Product / Service Name],"⚠ Unknown")</f>
        <v>Casual Shirt</v>
      </c>
      <c r="H1358" s="1" t="str">
        <f>_xlfn.XLOOKUP(tblSales[[#This Row],[Product Code]],tblProducts[Code],tblProducts[Category],"")</f>
        <v>Apparel &amp; Footwear</v>
      </c>
      <c r="I1358" s="4">
        <v>10</v>
      </c>
      <c r="J1358" s="5">
        <f>_xlfn.XLOOKUP(tblSales[[#This Row],[Product Code]],tblProducts[Code],tblProducts[Selling Price (excl. VAT)],0)</f>
        <v>120000</v>
      </c>
      <c r="K1358" s="5">
        <f>tblSales[[#This Row],[Qty]]*tblSales[[#This Row],[Unit Price]]</f>
        <v>1200000</v>
      </c>
      <c r="L1358" s="5">
        <f>ROUND(tblSales[[#This Row],[DPP (excl. VAT)]]*VATEff,0)</f>
        <v>132000</v>
      </c>
      <c r="M1358" s="5">
        <f>tblSales[[#This Row],[DPP (excl. VAT)]]+tblSales[[#This Row],[Output VAT]]</f>
        <v>1332000</v>
      </c>
      <c r="N1358" s="5">
        <f>tblSales[[#This Row],[Qty]]*_xlfn.XLOOKUP(tblSales[[#This Row],[Product Code]],tblProducts[Code],tblProducts[Unit Cost],0)</f>
        <v>720000</v>
      </c>
      <c r="O1358" s="4" t="s">
        <v>4865</v>
      </c>
      <c r="P1358" s="4" t="s">
        <v>4860</v>
      </c>
      <c r="Q1358" s="1" t="str">
        <f>_xlfn.XLOOKUP(tblSales[[#This Row],[Channel Code]],tblChannels[Channel Code],tblChannels[Channel Name],"")</f>
        <v>In-store</v>
      </c>
      <c r="R1358" s="1">
        <f>MONTH(tblSales[[#This Row],[Date]])</f>
        <v>3</v>
      </c>
    </row>
    <row r="1359" spans="2:18" x14ac:dyDescent="0.35">
      <c r="B1359" s="113">
        <v>46105</v>
      </c>
      <c r="C1359" s="4" t="s">
        <v>971</v>
      </c>
      <c r="D1359" s="4" t="s">
        <v>4568</v>
      </c>
      <c r="E1359" s="1" t="str">
        <f>_xlfn.XLOOKUP(tblSales[[#This Row],[Customer ID]],tblCustomers[Customer ID],tblCustomers[Customer Name],"⚠ Unknown")</f>
        <v>Walk-in Customer</v>
      </c>
      <c r="F1359" s="4" t="s">
        <v>6</v>
      </c>
      <c r="G1359" s="1" t="str">
        <f>_xlfn.XLOOKUP(tblSales[[#This Row],[Product Code]],tblProducts[Code],tblProducts[Product / Service Name],"⚠ Unknown")</f>
        <v>Socks &amp; Accessories</v>
      </c>
      <c r="H1359" s="1" t="str">
        <f>_xlfn.XLOOKUP(tblSales[[#This Row],[Product Code]],tblProducts[Code],tblProducts[Category],"")</f>
        <v>Accessories &amp; Basics</v>
      </c>
      <c r="I1359" s="4">
        <v>7</v>
      </c>
      <c r="J1359" s="5">
        <f>_xlfn.XLOOKUP(tblSales[[#This Row],[Product Code]],tblProducts[Code],tblProducts[Selling Price (excl. VAT)],0)</f>
        <v>45000</v>
      </c>
      <c r="K1359" s="5">
        <f>tblSales[[#This Row],[Qty]]*tblSales[[#This Row],[Unit Price]]</f>
        <v>315000</v>
      </c>
      <c r="L1359" s="5">
        <f>ROUND(tblSales[[#This Row],[DPP (excl. VAT)]]*VATEff,0)</f>
        <v>34650</v>
      </c>
      <c r="M1359" s="5">
        <f>tblSales[[#This Row],[DPP (excl. VAT)]]+tblSales[[#This Row],[Output VAT]]</f>
        <v>349650</v>
      </c>
      <c r="N1359" s="5">
        <f>tblSales[[#This Row],[Qty]]*_xlfn.XLOOKUP(tblSales[[#This Row],[Product Code]],tblProducts[Code],tblProducts[Unit Cost],0)</f>
        <v>168000</v>
      </c>
      <c r="O1359" s="4" t="s">
        <v>4865</v>
      </c>
      <c r="P1359" s="4" t="s">
        <v>4860</v>
      </c>
      <c r="Q1359" s="1" t="str">
        <f>_xlfn.XLOOKUP(tblSales[[#This Row],[Channel Code]],tblChannels[Channel Code],tblChannels[Channel Name],"")</f>
        <v>In-store</v>
      </c>
      <c r="R1359" s="1">
        <f>MONTH(tblSales[[#This Row],[Date]])</f>
        <v>3</v>
      </c>
    </row>
    <row r="1360" spans="2:18" x14ac:dyDescent="0.35">
      <c r="B1360" s="113">
        <v>46105</v>
      </c>
      <c r="C1360" s="4" t="s">
        <v>972</v>
      </c>
      <c r="D1360" s="4" t="s">
        <v>4568</v>
      </c>
      <c r="E1360" s="1" t="str">
        <f>_xlfn.XLOOKUP(tblSales[[#This Row],[Customer ID]],tblCustomers[Customer ID],tblCustomers[Customer Name],"⚠ Unknown")</f>
        <v>Walk-in Customer</v>
      </c>
      <c r="F1360" s="4" t="s">
        <v>8</v>
      </c>
      <c r="G1360" s="1" t="str">
        <f>_xlfn.XLOOKUP(tblSales[[#This Row],[Product Code]],tblProducts[Code],tblProducts[Product / Service Name],"⚠ Unknown")</f>
        <v>Casual Shorts</v>
      </c>
      <c r="H1360" s="1" t="str">
        <f>_xlfn.XLOOKUP(tblSales[[#This Row],[Product Code]],tblProducts[Code],tblProducts[Category],"")</f>
        <v>Accessories &amp; Basics</v>
      </c>
      <c r="I1360" s="4">
        <v>6</v>
      </c>
      <c r="J1360" s="5">
        <f>_xlfn.XLOOKUP(tblSales[[#This Row],[Product Code]],tblProducts[Code],tblProducts[Selling Price (excl. VAT)],0)</f>
        <v>85000</v>
      </c>
      <c r="K1360" s="5">
        <f>tblSales[[#This Row],[Qty]]*tblSales[[#This Row],[Unit Price]]</f>
        <v>510000</v>
      </c>
      <c r="L1360" s="5">
        <f>ROUND(tblSales[[#This Row],[DPP (excl. VAT)]]*VATEff,0)</f>
        <v>56100</v>
      </c>
      <c r="M1360" s="5">
        <f>tblSales[[#This Row],[DPP (excl. VAT)]]+tblSales[[#This Row],[Output VAT]]</f>
        <v>566100</v>
      </c>
      <c r="N1360" s="5">
        <f>tblSales[[#This Row],[Qty]]*_xlfn.XLOOKUP(tblSales[[#This Row],[Product Code]],tblProducts[Code],tblProducts[Unit Cost],0)</f>
        <v>300000</v>
      </c>
      <c r="O1360" s="4" t="s">
        <v>4865</v>
      </c>
      <c r="P1360" s="4" t="s">
        <v>4860</v>
      </c>
      <c r="Q1360" s="1" t="str">
        <f>_xlfn.XLOOKUP(tblSales[[#This Row],[Channel Code]],tblChannels[Channel Code],tblChannels[Channel Name],"")</f>
        <v>In-store</v>
      </c>
      <c r="R1360" s="1">
        <f>MONTH(tblSales[[#This Row],[Date]])</f>
        <v>3</v>
      </c>
    </row>
    <row r="1361" spans="2:18" x14ac:dyDescent="0.35">
      <c r="B1361" s="113">
        <v>46105</v>
      </c>
      <c r="C1361" s="4" t="s">
        <v>973</v>
      </c>
      <c r="D1361" s="4" t="s">
        <v>4568</v>
      </c>
      <c r="E1361" s="1" t="str">
        <f>_xlfn.XLOOKUP(tblSales[[#This Row],[Customer ID]],tblCustomers[Customer ID],tblCustomers[Customer Name],"⚠ Unknown")</f>
        <v>Walk-in Customer</v>
      </c>
      <c r="F1361" s="4" t="s">
        <v>10</v>
      </c>
      <c r="G1361" s="1" t="str">
        <f>_xlfn.XLOOKUP(tblSales[[#This Row],[Product Code]],tblProducts[Code],tblProducts[Product / Service Name],"⚠ Unknown")</f>
        <v>Chino Pants</v>
      </c>
      <c r="H1361" s="1" t="str">
        <f>_xlfn.XLOOKUP(tblSales[[#This Row],[Product Code]],tblProducts[Code],tblProducts[Category],"")</f>
        <v>Apparel &amp; Footwear</v>
      </c>
      <c r="I1361" s="4">
        <v>2</v>
      </c>
      <c r="J1361" s="5">
        <f>_xlfn.XLOOKUP(tblSales[[#This Row],[Product Code]],tblProducts[Code],tblProducts[Selling Price (excl. VAT)],0)</f>
        <v>150000</v>
      </c>
      <c r="K1361" s="5">
        <f>tblSales[[#This Row],[Qty]]*tblSales[[#This Row],[Unit Price]]</f>
        <v>300000</v>
      </c>
      <c r="L1361" s="5">
        <f>ROUND(tblSales[[#This Row],[DPP (excl. VAT)]]*VATEff,0)</f>
        <v>33000</v>
      </c>
      <c r="M1361" s="5">
        <f>tblSales[[#This Row],[DPP (excl. VAT)]]+tblSales[[#This Row],[Output VAT]]</f>
        <v>333000</v>
      </c>
      <c r="N1361" s="5">
        <f>tblSales[[#This Row],[Qty]]*_xlfn.XLOOKUP(tblSales[[#This Row],[Product Code]],tblProducts[Code],tblProducts[Unit Cost],0)</f>
        <v>176000</v>
      </c>
      <c r="O1361" s="4" t="s">
        <v>4865</v>
      </c>
      <c r="P1361" s="4" t="s">
        <v>4860</v>
      </c>
      <c r="Q1361" s="1" t="str">
        <f>_xlfn.XLOOKUP(tblSales[[#This Row],[Channel Code]],tblChannels[Channel Code],tblChannels[Channel Name],"")</f>
        <v>In-store</v>
      </c>
      <c r="R1361" s="1">
        <f>MONTH(tblSales[[#This Row],[Date]])</f>
        <v>3</v>
      </c>
    </row>
    <row r="1362" spans="2:18" x14ac:dyDescent="0.35">
      <c r="B1362" s="113">
        <v>46105</v>
      </c>
      <c r="C1362" s="4" t="s">
        <v>974</v>
      </c>
      <c r="D1362" s="4" t="s">
        <v>4568</v>
      </c>
      <c r="E1362" s="1" t="str">
        <f>_xlfn.XLOOKUP(tblSales[[#This Row],[Customer ID]],tblCustomers[Customer ID],tblCustomers[Customer Name],"⚠ Unknown")</f>
        <v>Walk-in Customer</v>
      </c>
      <c r="F1362" s="4" t="s">
        <v>8</v>
      </c>
      <c r="G1362" s="1" t="str">
        <f>_xlfn.XLOOKUP(tblSales[[#This Row],[Product Code]],tblProducts[Code],tblProducts[Product / Service Name],"⚠ Unknown")</f>
        <v>Casual Shorts</v>
      </c>
      <c r="H1362" s="1" t="str">
        <f>_xlfn.XLOOKUP(tblSales[[#This Row],[Product Code]],tblProducts[Code],tblProducts[Category],"")</f>
        <v>Accessories &amp; Basics</v>
      </c>
      <c r="I1362" s="4">
        <v>7</v>
      </c>
      <c r="J1362" s="5">
        <f>_xlfn.XLOOKUP(tblSales[[#This Row],[Product Code]],tblProducts[Code],tblProducts[Selling Price (excl. VAT)],0)</f>
        <v>85000</v>
      </c>
      <c r="K1362" s="5">
        <f>tblSales[[#This Row],[Qty]]*tblSales[[#This Row],[Unit Price]]</f>
        <v>595000</v>
      </c>
      <c r="L1362" s="5">
        <f>ROUND(tblSales[[#This Row],[DPP (excl. VAT)]]*VATEff,0)</f>
        <v>65450</v>
      </c>
      <c r="M1362" s="5">
        <f>tblSales[[#This Row],[DPP (excl. VAT)]]+tblSales[[#This Row],[Output VAT]]</f>
        <v>660450</v>
      </c>
      <c r="N1362" s="5">
        <f>tblSales[[#This Row],[Qty]]*_xlfn.XLOOKUP(tblSales[[#This Row],[Product Code]],tblProducts[Code],tblProducts[Unit Cost],0)</f>
        <v>350000</v>
      </c>
      <c r="O1362" s="4" t="s">
        <v>4866</v>
      </c>
      <c r="P1362" s="4" t="s">
        <v>4861</v>
      </c>
      <c r="Q1362" s="1" t="str">
        <f>_xlfn.XLOOKUP(tblSales[[#This Row],[Channel Code]],tblChannels[Channel Code],tblChannels[Channel Name],"")</f>
        <v>Marketplace</v>
      </c>
      <c r="R1362" s="1">
        <f>MONTH(tblSales[[#This Row],[Date]])</f>
        <v>3</v>
      </c>
    </row>
    <row r="1363" spans="2:18" x14ac:dyDescent="0.35">
      <c r="B1363" s="113">
        <v>46105</v>
      </c>
      <c r="C1363" s="4" t="s">
        <v>975</v>
      </c>
      <c r="D1363" s="4" t="s">
        <v>4572</v>
      </c>
      <c r="E1363" s="1" t="str">
        <f>_xlfn.XLOOKUP(tblSales[[#This Row],[Customer ID]],tblCustomers[Customer ID],tblCustomers[Customer Name],"⚠ Unknown")</f>
        <v>PT Cahaya Abadi Makmur</v>
      </c>
      <c r="F1363" s="4" t="s">
        <v>11</v>
      </c>
      <c r="G1363" s="1" t="str">
        <f>_xlfn.XLOOKUP(tblSales[[#This Row],[Product Code]],tblProducts[Code],tblProducts[Product / Service Name],"⚠ Unknown")</f>
        <v>Sneakers</v>
      </c>
      <c r="H1363" s="1" t="str">
        <f>_xlfn.XLOOKUP(tblSales[[#This Row],[Product Code]],tblProducts[Code],tblProducts[Category],"")</f>
        <v>Apparel &amp; Footwear</v>
      </c>
      <c r="I1363" s="4">
        <v>16</v>
      </c>
      <c r="J1363" s="5">
        <f>_xlfn.XLOOKUP(tblSales[[#This Row],[Product Code]],tblProducts[Code],tblProducts[Selling Price (excl. VAT)],0)</f>
        <v>250000</v>
      </c>
      <c r="K1363" s="5">
        <f>tblSales[[#This Row],[Qty]]*tblSales[[#This Row],[Unit Price]]</f>
        <v>4000000</v>
      </c>
      <c r="L1363" s="5">
        <f>ROUND(tblSales[[#This Row],[DPP (excl. VAT)]]*VATEff,0)</f>
        <v>440000</v>
      </c>
      <c r="M1363" s="5">
        <f>tblSales[[#This Row],[DPP (excl. VAT)]]+tblSales[[#This Row],[Output VAT]]</f>
        <v>4440000</v>
      </c>
      <c r="N1363" s="5">
        <f>tblSales[[#This Row],[Qty]]*_xlfn.XLOOKUP(tblSales[[#This Row],[Product Code]],tblProducts[Code],tblProducts[Unit Cost],0)</f>
        <v>2480000</v>
      </c>
      <c r="O1363" s="4" t="s">
        <v>4867</v>
      </c>
      <c r="P1363" s="4" t="s">
        <v>4860</v>
      </c>
      <c r="Q1363" s="1" t="str">
        <f>_xlfn.XLOOKUP(tblSales[[#This Row],[Channel Code]],tblChannels[Channel Code],tblChannels[Channel Name],"")</f>
        <v>In-store</v>
      </c>
      <c r="R1363" s="1">
        <f>MONTH(tblSales[[#This Row],[Date]])</f>
        <v>3</v>
      </c>
    </row>
    <row r="1364" spans="2:18" x14ac:dyDescent="0.35">
      <c r="B1364" s="113">
        <v>46105</v>
      </c>
      <c r="C1364" s="4" t="s">
        <v>975</v>
      </c>
      <c r="D1364" s="4" t="s">
        <v>4572</v>
      </c>
      <c r="E1364" s="1" t="str">
        <f>_xlfn.XLOOKUP(tblSales[[#This Row],[Customer ID]],tblCustomers[Customer ID],tblCustomers[Customer Name],"⚠ Unknown")</f>
        <v>PT Cahaya Abadi Makmur</v>
      </c>
      <c r="F1364" s="4" t="s">
        <v>8</v>
      </c>
      <c r="G1364" s="1" t="str">
        <f>_xlfn.XLOOKUP(tblSales[[#This Row],[Product Code]],tblProducts[Code],tblProducts[Product / Service Name],"⚠ Unknown")</f>
        <v>Casual Shorts</v>
      </c>
      <c r="H1364" s="1" t="str">
        <f>_xlfn.XLOOKUP(tblSales[[#This Row],[Product Code]],tblProducts[Code],tblProducts[Category],"")</f>
        <v>Accessories &amp; Basics</v>
      </c>
      <c r="I1364" s="4">
        <v>32</v>
      </c>
      <c r="J1364" s="5">
        <f>_xlfn.XLOOKUP(tblSales[[#This Row],[Product Code]],tblProducts[Code],tblProducts[Selling Price (excl. VAT)],0)</f>
        <v>85000</v>
      </c>
      <c r="K1364" s="5">
        <f>tblSales[[#This Row],[Qty]]*tblSales[[#This Row],[Unit Price]]</f>
        <v>2720000</v>
      </c>
      <c r="L1364" s="5">
        <f>ROUND(tblSales[[#This Row],[DPP (excl. VAT)]]*VATEff,0)</f>
        <v>299200</v>
      </c>
      <c r="M1364" s="5">
        <f>tblSales[[#This Row],[DPP (excl. VAT)]]+tblSales[[#This Row],[Output VAT]]</f>
        <v>3019200</v>
      </c>
      <c r="N1364" s="5">
        <f>tblSales[[#This Row],[Qty]]*_xlfn.XLOOKUP(tblSales[[#This Row],[Product Code]],tblProducts[Code],tblProducts[Unit Cost],0)</f>
        <v>1600000</v>
      </c>
      <c r="O1364" s="4" t="s">
        <v>4867</v>
      </c>
      <c r="P1364" s="4" t="s">
        <v>4860</v>
      </c>
      <c r="Q1364" s="1" t="str">
        <f>_xlfn.XLOOKUP(tblSales[[#This Row],[Channel Code]],tblChannels[Channel Code],tblChannels[Channel Name],"")</f>
        <v>In-store</v>
      </c>
      <c r="R1364" s="1">
        <f>MONTH(tblSales[[#This Row],[Date]])</f>
        <v>3</v>
      </c>
    </row>
    <row r="1365" spans="2:18" x14ac:dyDescent="0.35">
      <c r="B1365" s="113">
        <v>46105</v>
      </c>
      <c r="C1365" s="4" t="s">
        <v>976</v>
      </c>
      <c r="D1365" s="4" t="s">
        <v>4568</v>
      </c>
      <c r="E1365" s="1" t="str">
        <f>_xlfn.XLOOKUP(tblSales[[#This Row],[Customer ID]],tblCustomers[Customer ID],tblCustomers[Customer Name],"⚠ Unknown")</f>
        <v>Walk-in Customer</v>
      </c>
      <c r="F1365" s="4" t="s">
        <v>9</v>
      </c>
      <c r="G1365" s="1" t="str">
        <f>_xlfn.XLOOKUP(tblSales[[#This Row],[Product Code]],tblProducts[Code],tblProducts[Product / Service Name],"⚠ Unknown")</f>
        <v>Casual Shirt</v>
      </c>
      <c r="H1365" s="1" t="str">
        <f>_xlfn.XLOOKUP(tblSales[[#This Row],[Product Code]],tblProducts[Code],tblProducts[Category],"")</f>
        <v>Apparel &amp; Footwear</v>
      </c>
      <c r="I1365" s="4">
        <v>10</v>
      </c>
      <c r="J1365" s="5">
        <f>_xlfn.XLOOKUP(tblSales[[#This Row],[Product Code]],tblProducts[Code],tblProducts[Selling Price (excl. VAT)],0)</f>
        <v>120000</v>
      </c>
      <c r="K1365" s="5">
        <f>tblSales[[#This Row],[Qty]]*tblSales[[#This Row],[Unit Price]]</f>
        <v>1200000</v>
      </c>
      <c r="L1365" s="5">
        <f>ROUND(tblSales[[#This Row],[DPP (excl. VAT)]]*VATEff,0)</f>
        <v>132000</v>
      </c>
      <c r="M1365" s="5">
        <f>tblSales[[#This Row],[DPP (excl. VAT)]]+tblSales[[#This Row],[Output VAT]]</f>
        <v>1332000</v>
      </c>
      <c r="N1365" s="5">
        <f>tblSales[[#This Row],[Qty]]*_xlfn.XLOOKUP(tblSales[[#This Row],[Product Code]],tblProducts[Code],tblProducts[Unit Cost],0)</f>
        <v>720000</v>
      </c>
      <c r="O1365" s="4" t="s">
        <v>4865</v>
      </c>
      <c r="P1365" s="4" t="s">
        <v>4860</v>
      </c>
      <c r="Q1365" s="1" t="str">
        <f>_xlfn.XLOOKUP(tblSales[[#This Row],[Channel Code]],tblChannels[Channel Code],tblChannels[Channel Name],"")</f>
        <v>In-store</v>
      </c>
      <c r="R1365" s="1">
        <f>MONTH(tblSales[[#This Row],[Date]])</f>
        <v>3</v>
      </c>
    </row>
    <row r="1366" spans="2:18" x14ac:dyDescent="0.35">
      <c r="B1366" s="113">
        <v>46105</v>
      </c>
      <c r="C1366" s="4" t="s">
        <v>977</v>
      </c>
      <c r="D1366" s="4" t="s">
        <v>4568</v>
      </c>
      <c r="E1366" s="1" t="str">
        <f>_xlfn.XLOOKUP(tblSales[[#This Row],[Customer ID]],tblCustomers[Customer ID],tblCustomers[Customer Name],"⚠ Unknown")</f>
        <v>Walk-in Customer</v>
      </c>
      <c r="F1366" s="4" t="s">
        <v>9</v>
      </c>
      <c r="G1366" s="1" t="str">
        <f>_xlfn.XLOOKUP(tblSales[[#This Row],[Product Code]],tblProducts[Code],tblProducts[Product / Service Name],"⚠ Unknown")</f>
        <v>Casual Shirt</v>
      </c>
      <c r="H1366" s="1" t="str">
        <f>_xlfn.XLOOKUP(tblSales[[#This Row],[Product Code]],tblProducts[Code],tblProducts[Category],"")</f>
        <v>Apparel &amp; Footwear</v>
      </c>
      <c r="I1366" s="4">
        <v>8</v>
      </c>
      <c r="J1366" s="5">
        <f>_xlfn.XLOOKUP(tblSales[[#This Row],[Product Code]],tblProducts[Code],tblProducts[Selling Price (excl. VAT)],0)</f>
        <v>120000</v>
      </c>
      <c r="K1366" s="5">
        <f>tblSales[[#This Row],[Qty]]*tblSales[[#This Row],[Unit Price]]</f>
        <v>960000</v>
      </c>
      <c r="L1366" s="5">
        <f>ROUND(tblSales[[#This Row],[DPP (excl. VAT)]]*VATEff,0)</f>
        <v>105600</v>
      </c>
      <c r="M1366" s="5">
        <f>tblSales[[#This Row],[DPP (excl. VAT)]]+tblSales[[#This Row],[Output VAT]]</f>
        <v>1065600</v>
      </c>
      <c r="N1366" s="5">
        <f>tblSales[[#This Row],[Qty]]*_xlfn.XLOOKUP(tblSales[[#This Row],[Product Code]],tblProducts[Code],tblProducts[Unit Cost],0)</f>
        <v>576000</v>
      </c>
      <c r="O1366" s="4" t="s">
        <v>4866</v>
      </c>
      <c r="P1366" s="4" t="s">
        <v>4860</v>
      </c>
      <c r="Q1366" s="1" t="str">
        <f>_xlfn.XLOOKUP(tblSales[[#This Row],[Channel Code]],tblChannels[Channel Code],tblChannels[Channel Name],"")</f>
        <v>In-store</v>
      </c>
      <c r="R1366" s="1">
        <f>MONTH(tblSales[[#This Row],[Date]])</f>
        <v>3</v>
      </c>
    </row>
    <row r="1367" spans="2:18" x14ac:dyDescent="0.35">
      <c r="B1367" s="113">
        <v>46105</v>
      </c>
      <c r="C1367" s="4" t="s">
        <v>977</v>
      </c>
      <c r="D1367" s="4" t="s">
        <v>4568</v>
      </c>
      <c r="E1367" s="1" t="str">
        <f>_xlfn.XLOOKUP(tblSales[[#This Row],[Customer ID]],tblCustomers[Customer ID],tblCustomers[Customer Name],"⚠ Unknown")</f>
        <v>Walk-in Customer</v>
      </c>
      <c r="F1367" s="4" t="s">
        <v>6</v>
      </c>
      <c r="G1367" s="1" t="str">
        <f>_xlfn.XLOOKUP(tblSales[[#This Row],[Product Code]],tblProducts[Code],tblProducts[Product / Service Name],"⚠ Unknown")</f>
        <v>Socks &amp; Accessories</v>
      </c>
      <c r="H1367" s="1" t="str">
        <f>_xlfn.XLOOKUP(tblSales[[#This Row],[Product Code]],tblProducts[Code],tblProducts[Category],"")</f>
        <v>Accessories &amp; Basics</v>
      </c>
      <c r="I1367" s="4">
        <v>3</v>
      </c>
      <c r="J1367" s="5">
        <f>_xlfn.XLOOKUP(tblSales[[#This Row],[Product Code]],tblProducts[Code],tblProducts[Selling Price (excl. VAT)],0)</f>
        <v>45000</v>
      </c>
      <c r="K1367" s="5">
        <f>tblSales[[#This Row],[Qty]]*tblSales[[#This Row],[Unit Price]]</f>
        <v>135000</v>
      </c>
      <c r="L1367" s="5">
        <f>ROUND(tblSales[[#This Row],[DPP (excl. VAT)]]*VATEff,0)</f>
        <v>14850</v>
      </c>
      <c r="M1367" s="5">
        <f>tblSales[[#This Row],[DPP (excl. VAT)]]+tblSales[[#This Row],[Output VAT]]</f>
        <v>149850</v>
      </c>
      <c r="N1367" s="5">
        <f>tblSales[[#This Row],[Qty]]*_xlfn.XLOOKUP(tblSales[[#This Row],[Product Code]],tblProducts[Code],tblProducts[Unit Cost],0)</f>
        <v>72000</v>
      </c>
      <c r="O1367" s="4" t="s">
        <v>4866</v>
      </c>
      <c r="P1367" s="4" t="s">
        <v>4860</v>
      </c>
      <c r="Q1367" s="1" t="str">
        <f>_xlfn.XLOOKUP(tblSales[[#This Row],[Channel Code]],tblChannels[Channel Code],tblChannels[Channel Name],"")</f>
        <v>In-store</v>
      </c>
      <c r="R1367" s="1">
        <f>MONTH(tblSales[[#This Row],[Date]])</f>
        <v>3</v>
      </c>
    </row>
    <row r="1368" spans="2:18" x14ac:dyDescent="0.35">
      <c r="B1368" s="113">
        <v>46105</v>
      </c>
      <c r="C1368" s="4" t="s">
        <v>977</v>
      </c>
      <c r="D1368" s="4" t="s">
        <v>4568</v>
      </c>
      <c r="E1368" s="1" t="str">
        <f>_xlfn.XLOOKUP(tblSales[[#This Row],[Customer ID]],tblCustomers[Customer ID],tblCustomers[Customer Name],"⚠ Unknown")</f>
        <v>Walk-in Customer</v>
      </c>
      <c r="F1368" s="4" t="s">
        <v>10</v>
      </c>
      <c r="G1368" s="1" t="str">
        <f>_xlfn.XLOOKUP(tblSales[[#This Row],[Product Code]],tblProducts[Code],tblProducts[Product / Service Name],"⚠ Unknown")</f>
        <v>Chino Pants</v>
      </c>
      <c r="H1368" s="1" t="str">
        <f>_xlfn.XLOOKUP(tblSales[[#This Row],[Product Code]],tblProducts[Code],tblProducts[Category],"")</f>
        <v>Apparel &amp; Footwear</v>
      </c>
      <c r="I1368" s="4">
        <v>11</v>
      </c>
      <c r="J1368" s="5">
        <f>_xlfn.XLOOKUP(tblSales[[#This Row],[Product Code]],tblProducts[Code],tblProducts[Selling Price (excl. VAT)],0)</f>
        <v>150000</v>
      </c>
      <c r="K1368" s="5">
        <f>tblSales[[#This Row],[Qty]]*tblSales[[#This Row],[Unit Price]]</f>
        <v>1650000</v>
      </c>
      <c r="L1368" s="5">
        <f>ROUND(tblSales[[#This Row],[DPP (excl. VAT)]]*VATEff,0)</f>
        <v>181500</v>
      </c>
      <c r="M1368" s="5">
        <f>tblSales[[#This Row],[DPP (excl. VAT)]]+tblSales[[#This Row],[Output VAT]]</f>
        <v>1831500</v>
      </c>
      <c r="N1368" s="5">
        <f>tblSales[[#This Row],[Qty]]*_xlfn.XLOOKUP(tblSales[[#This Row],[Product Code]],tblProducts[Code],tblProducts[Unit Cost],0)</f>
        <v>968000</v>
      </c>
      <c r="O1368" s="4" t="s">
        <v>4866</v>
      </c>
      <c r="P1368" s="4" t="s">
        <v>4860</v>
      </c>
      <c r="Q1368" s="1" t="str">
        <f>_xlfn.XLOOKUP(tblSales[[#This Row],[Channel Code]],tblChannels[Channel Code],tblChannels[Channel Name],"")</f>
        <v>In-store</v>
      </c>
      <c r="R1368" s="1">
        <f>MONTH(tblSales[[#This Row],[Date]])</f>
        <v>3</v>
      </c>
    </row>
    <row r="1369" spans="2:18" x14ac:dyDescent="0.35">
      <c r="B1369" s="113">
        <v>46105</v>
      </c>
      <c r="C1369" s="4" t="s">
        <v>978</v>
      </c>
      <c r="D1369" s="4" t="s">
        <v>4568</v>
      </c>
      <c r="E1369" s="1" t="str">
        <f>_xlfn.XLOOKUP(tblSales[[#This Row],[Customer ID]],tblCustomers[Customer ID],tblCustomers[Customer Name],"⚠ Unknown")</f>
        <v>Walk-in Customer</v>
      </c>
      <c r="F1369" s="4" t="s">
        <v>6</v>
      </c>
      <c r="G1369" s="1" t="str">
        <f>_xlfn.XLOOKUP(tblSales[[#This Row],[Product Code]],tblProducts[Code],tblProducts[Product / Service Name],"⚠ Unknown")</f>
        <v>Socks &amp; Accessories</v>
      </c>
      <c r="H1369" s="1" t="str">
        <f>_xlfn.XLOOKUP(tblSales[[#This Row],[Product Code]],tblProducts[Code],tblProducts[Category],"")</f>
        <v>Accessories &amp; Basics</v>
      </c>
      <c r="I1369" s="4">
        <v>6</v>
      </c>
      <c r="J1369" s="5">
        <f>_xlfn.XLOOKUP(tblSales[[#This Row],[Product Code]],tblProducts[Code],tblProducts[Selling Price (excl. VAT)],0)</f>
        <v>45000</v>
      </c>
      <c r="K1369" s="5">
        <f>tblSales[[#This Row],[Qty]]*tblSales[[#This Row],[Unit Price]]</f>
        <v>270000</v>
      </c>
      <c r="L1369" s="5">
        <f>ROUND(tblSales[[#This Row],[DPP (excl. VAT)]]*VATEff,0)</f>
        <v>29700</v>
      </c>
      <c r="M1369" s="5">
        <f>tblSales[[#This Row],[DPP (excl. VAT)]]+tblSales[[#This Row],[Output VAT]]</f>
        <v>299700</v>
      </c>
      <c r="N1369" s="5">
        <f>tblSales[[#This Row],[Qty]]*_xlfn.XLOOKUP(tblSales[[#This Row],[Product Code]],tblProducts[Code],tblProducts[Unit Cost],0)</f>
        <v>144000</v>
      </c>
      <c r="O1369" s="4" t="s">
        <v>4865</v>
      </c>
      <c r="P1369" s="4" t="s">
        <v>4860</v>
      </c>
      <c r="Q1369" s="1" t="str">
        <f>_xlfn.XLOOKUP(tblSales[[#This Row],[Channel Code]],tblChannels[Channel Code],tblChannels[Channel Name],"")</f>
        <v>In-store</v>
      </c>
      <c r="R1369" s="1">
        <f>MONTH(tblSales[[#This Row],[Date]])</f>
        <v>3</v>
      </c>
    </row>
    <row r="1370" spans="2:18" x14ac:dyDescent="0.35">
      <c r="B1370" s="113">
        <v>46105</v>
      </c>
      <c r="C1370" s="4" t="s">
        <v>979</v>
      </c>
      <c r="D1370" s="4" t="s">
        <v>4568</v>
      </c>
      <c r="E1370" s="1" t="str">
        <f>_xlfn.XLOOKUP(tblSales[[#This Row],[Customer ID]],tblCustomers[Customer ID],tblCustomers[Customer Name],"⚠ Unknown")</f>
        <v>Walk-in Customer</v>
      </c>
      <c r="F1370" s="4" t="s">
        <v>7</v>
      </c>
      <c r="G1370" s="1" t="str">
        <f>_xlfn.XLOOKUP(tblSales[[#This Row],[Product Code]],tblProducts[Code],tblProducts[Product / Service Name],"⚠ Unknown")</f>
        <v>Premium Basic T-shirt</v>
      </c>
      <c r="H1370" s="1" t="str">
        <f>_xlfn.XLOOKUP(tblSales[[#This Row],[Product Code]],tblProducts[Code],tblProducts[Category],"")</f>
        <v>Accessories &amp; Basics</v>
      </c>
      <c r="I1370" s="4">
        <v>4</v>
      </c>
      <c r="J1370" s="5">
        <f>_xlfn.XLOOKUP(tblSales[[#This Row],[Product Code]],tblProducts[Code],tblProducts[Selling Price (excl. VAT)],0)</f>
        <v>65000</v>
      </c>
      <c r="K1370" s="5">
        <f>tblSales[[#This Row],[Qty]]*tblSales[[#This Row],[Unit Price]]</f>
        <v>260000</v>
      </c>
      <c r="L1370" s="5">
        <f>ROUND(tblSales[[#This Row],[DPP (excl. VAT)]]*VATEff,0)</f>
        <v>28600</v>
      </c>
      <c r="M1370" s="5">
        <f>tblSales[[#This Row],[DPP (excl. VAT)]]+tblSales[[#This Row],[Output VAT]]</f>
        <v>288600</v>
      </c>
      <c r="N1370" s="5">
        <f>tblSales[[#This Row],[Qty]]*_xlfn.XLOOKUP(tblSales[[#This Row],[Product Code]],tblProducts[Code],tblProducts[Unit Cost],0)</f>
        <v>148000</v>
      </c>
      <c r="O1370" s="4" t="s">
        <v>4865</v>
      </c>
      <c r="P1370" s="4" t="s">
        <v>4860</v>
      </c>
      <c r="Q1370" s="1" t="str">
        <f>_xlfn.XLOOKUP(tblSales[[#This Row],[Channel Code]],tblChannels[Channel Code],tblChannels[Channel Name],"")</f>
        <v>In-store</v>
      </c>
      <c r="R1370" s="1">
        <f>MONTH(tblSales[[#This Row],[Date]])</f>
        <v>3</v>
      </c>
    </row>
    <row r="1371" spans="2:18" x14ac:dyDescent="0.35">
      <c r="B1371" s="113">
        <v>46106</v>
      </c>
      <c r="C1371" s="4" t="s">
        <v>980</v>
      </c>
      <c r="D1371" s="4" t="s">
        <v>4568</v>
      </c>
      <c r="E1371" s="1" t="str">
        <f>_xlfn.XLOOKUP(tblSales[[#This Row],[Customer ID]],tblCustomers[Customer ID],tblCustomers[Customer Name],"⚠ Unknown")</f>
        <v>Walk-in Customer</v>
      </c>
      <c r="F1371" s="4" t="s">
        <v>12</v>
      </c>
      <c r="G1371" s="1" t="str">
        <f>_xlfn.XLOOKUP(tblSales[[#This Row],[Product Code]],tblProducts[Code],tblProducts[Product / Service Name],"⚠ Unknown")</f>
        <v>Bomber Jacket</v>
      </c>
      <c r="H1371" s="1" t="str">
        <f>_xlfn.XLOOKUP(tblSales[[#This Row],[Product Code]],tblProducts[Code],tblProducts[Category],"")</f>
        <v>Apparel &amp; Footwear</v>
      </c>
      <c r="I1371" s="4">
        <v>2</v>
      </c>
      <c r="J1371" s="5">
        <f>_xlfn.XLOOKUP(tblSales[[#This Row],[Product Code]],tblProducts[Code],tblProducts[Selling Price (excl. VAT)],0)</f>
        <v>350000</v>
      </c>
      <c r="K1371" s="5">
        <f>tblSales[[#This Row],[Qty]]*tblSales[[#This Row],[Unit Price]]</f>
        <v>700000</v>
      </c>
      <c r="L1371" s="5">
        <f>ROUND(tblSales[[#This Row],[DPP (excl. VAT)]]*VATEff,0)</f>
        <v>77000</v>
      </c>
      <c r="M1371" s="5">
        <f>tblSales[[#This Row],[DPP (excl. VAT)]]+tblSales[[#This Row],[Output VAT]]</f>
        <v>777000</v>
      </c>
      <c r="N1371" s="5">
        <f>tblSales[[#This Row],[Qty]]*_xlfn.XLOOKUP(tblSales[[#This Row],[Product Code]],tblProducts[Code],tblProducts[Unit Cost],0)</f>
        <v>420000</v>
      </c>
      <c r="O1371" s="4" t="s">
        <v>4866</v>
      </c>
      <c r="P1371" s="4" t="s">
        <v>4860</v>
      </c>
      <c r="Q1371" s="1" t="str">
        <f>_xlfn.XLOOKUP(tblSales[[#This Row],[Channel Code]],tblChannels[Channel Code],tblChannels[Channel Name],"")</f>
        <v>In-store</v>
      </c>
      <c r="R1371" s="1">
        <f>MONTH(tblSales[[#This Row],[Date]])</f>
        <v>3</v>
      </c>
    </row>
    <row r="1372" spans="2:18" x14ac:dyDescent="0.35">
      <c r="B1372" s="113">
        <v>46106</v>
      </c>
      <c r="C1372" s="4" t="s">
        <v>980</v>
      </c>
      <c r="D1372" s="4" t="s">
        <v>4568</v>
      </c>
      <c r="E1372" s="1" t="str">
        <f>_xlfn.XLOOKUP(tblSales[[#This Row],[Customer ID]],tblCustomers[Customer ID],tblCustomers[Customer Name],"⚠ Unknown")</f>
        <v>Walk-in Customer</v>
      </c>
      <c r="F1372" s="4" t="s">
        <v>6</v>
      </c>
      <c r="G1372" s="1" t="str">
        <f>_xlfn.XLOOKUP(tblSales[[#This Row],[Product Code]],tblProducts[Code],tblProducts[Product / Service Name],"⚠ Unknown")</f>
        <v>Socks &amp; Accessories</v>
      </c>
      <c r="H1372" s="1" t="str">
        <f>_xlfn.XLOOKUP(tblSales[[#This Row],[Product Code]],tblProducts[Code],tblProducts[Category],"")</f>
        <v>Accessories &amp; Basics</v>
      </c>
      <c r="I1372" s="4">
        <v>5</v>
      </c>
      <c r="J1372" s="5">
        <f>_xlfn.XLOOKUP(tblSales[[#This Row],[Product Code]],tblProducts[Code],tblProducts[Selling Price (excl. VAT)],0)</f>
        <v>45000</v>
      </c>
      <c r="K1372" s="5">
        <f>tblSales[[#This Row],[Qty]]*tblSales[[#This Row],[Unit Price]]</f>
        <v>225000</v>
      </c>
      <c r="L1372" s="5">
        <f>ROUND(tblSales[[#This Row],[DPP (excl. VAT)]]*VATEff,0)</f>
        <v>24750</v>
      </c>
      <c r="M1372" s="5">
        <f>tblSales[[#This Row],[DPP (excl. VAT)]]+tblSales[[#This Row],[Output VAT]]</f>
        <v>249750</v>
      </c>
      <c r="N1372" s="5">
        <f>tblSales[[#This Row],[Qty]]*_xlfn.XLOOKUP(tblSales[[#This Row],[Product Code]],tblProducts[Code],tblProducts[Unit Cost],0)</f>
        <v>120000</v>
      </c>
      <c r="O1372" s="4" t="s">
        <v>4866</v>
      </c>
      <c r="P1372" s="4" t="s">
        <v>4860</v>
      </c>
      <c r="Q1372" s="1" t="str">
        <f>_xlfn.XLOOKUP(tblSales[[#This Row],[Channel Code]],tblChannels[Channel Code],tblChannels[Channel Name],"")</f>
        <v>In-store</v>
      </c>
      <c r="R1372" s="1">
        <f>MONTH(tblSales[[#This Row],[Date]])</f>
        <v>3</v>
      </c>
    </row>
    <row r="1373" spans="2:18" x14ac:dyDescent="0.35">
      <c r="B1373" s="113">
        <v>46106</v>
      </c>
      <c r="C1373" s="4" t="s">
        <v>981</v>
      </c>
      <c r="D1373" s="4" t="s">
        <v>4568</v>
      </c>
      <c r="E1373" s="1" t="str">
        <f>_xlfn.XLOOKUP(tblSales[[#This Row],[Customer ID]],tblCustomers[Customer ID],tblCustomers[Customer Name],"⚠ Unknown")</f>
        <v>Walk-in Customer</v>
      </c>
      <c r="F1373" s="4" t="s">
        <v>12</v>
      </c>
      <c r="G1373" s="1" t="str">
        <f>_xlfn.XLOOKUP(tblSales[[#This Row],[Product Code]],tblProducts[Code],tblProducts[Product / Service Name],"⚠ Unknown")</f>
        <v>Bomber Jacket</v>
      </c>
      <c r="H1373" s="1" t="str">
        <f>_xlfn.XLOOKUP(tblSales[[#This Row],[Product Code]],tblProducts[Code],tblProducts[Category],"")</f>
        <v>Apparel &amp; Footwear</v>
      </c>
      <c r="I1373" s="4">
        <v>3</v>
      </c>
      <c r="J1373" s="5">
        <f>_xlfn.XLOOKUP(tblSales[[#This Row],[Product Code]],tblProducts[Code],tblProducts[Selling Price (excl. VAT)],0)</f>
        <v>350000</v>
      </c>
      <c r="K1373" s="5">
        <f>tblSales[[#This Row],[Qty]]*tblSales[[#This Row],[Unit Price]]</f>
        <v>1050000</v>
      </c>
      <c r="L1373" s="5">
        <f>ROUND(tblSales[[#This Row],[DPP (excl. VAT)]]*VATEff,0)</f>
        <v>115500</v>
      </c>
      <c r="M1373" s="5">
        <f>tblSales[[#This Row],[DPP (excl. VAT)]]+tblSales[[#This Row],[Output VAT]]</f>
        <v>1165500</v>
      </c>
      <c r="N1373" s="5">
        <f>tblSales[[#This Row],[Qty]]*_xlfn.XLOOKUP(tblSales[[#This Row],[Product Code]],tblProducts[Code],tblProducts[Unit Cost],0)</f>
        <v>630000</v>
      </c>
      <c r="O1373" s="4" t="s">
        <v>4865</v>
      </c>
      <c r="P1373" s="4" t="s">
        <v>4860</v>
      </c>
      <c r="Q1373" s="1" t="str">
        <f>_xlfn.XLOOKUP(tblSales[[#This Row],[Channel Code]],tblChannels[Channel Code],tblChannels[Channel Name],"")</f>
        <v>In-store</v>
      </c>
      <c r="R1373" s="1">
        <f>MONTH(tblSales[[#This Row],[Date]])</f>
        <v>3</v>
      </c>
    </row>
    <row r="1374" spans="2:18" x14ac:dyDescent="0.35">
      <c r="B1374" s="113">
        <v>46106</v>
      </c>
      <c r="C1374" s="4" t="s">
        <v>982</v>
      </c>
      <c r="D1374" s="4" t="s">
        <v>4568</v>
      </c>
      <c r="E1374" s="1" t="str">
        <f>_xlfn.XLOOKUP(tblSales[[#This Row],[Customer ID]],tblCustomers[Customer ID],tblCustomers[Customer Name],"⚠ Unknown")</f>
        <v>Walk-in Customer</v>
      </c>
      <c r="F1374" s="4" t="s">
        <v>7</v>
      </c>
      <c r="G1374" s="1" t="str">
        <f>_xlfn.XLOOKUP(tblSales[[#This Row],[Product Code]],tblProducts[Code],tblProducts[Product / Service Name],"⚠ Unknown")</f>
        <v>Premium Basic T-shirt</v>
      </c>
      <c r="H1374" s="1" t="str">
        <f>_xlfn.XLOOKUP(tblSales[[#This Row],[Product Code]],tblProducts[Code],tblProducts[Category],"")</f>
        <v>Accessories &amp; Basics</v>
      </c>
      <c r="I1374" s="4">
        <v>12</v>
      </c>
      <c r="J1374" s="5">
        <f>_xlfn.XLOOKUP(tblSales[[#This Row],[Product Code]],tblProducts[Code],tblProducts[Selling Price (excl. VAT)],0)</f>
        <v>65000</v>
      </c>
      <c r="K1374" s="5">
        <f>tblSales[[#This Row],[Qty]]*tblSales[[#This Row],[Unit Price]]</f>
        <v>780000</v>
      </c>
      <c r="L1374" s="5">
        <f>ROUND(tblSales[[#This Row],[DPP (excl. VAT)]]*VATEff,0)</f>
        <v>85800</v>
      </c>
      <c r="M1374" s="5">
        <f>tblSales[[#This Row],[DPP (excl. VAT)]]+tblSales[[#This Row],[Output VAT]]</f>
        <v>865800</v>
      </c>
      <c r="N1374" s="5">
        <f>tblSales[[#This Row],[Qty]]*_xlfn.XLOOKUP(tblSales[[#This Row],[Product Code]],tblProducts[Code],tblProducts[Unit Cost],0)</f>
        <v>444000</v>
      </c>
      <c r="O1374" s="4" t="s">
        <v>4866</v>
      </c>
      <c r="P1374" s="4" t="s">
        <v>4861</v>
      </c>
      <c r="Q1374" s="1" t="str">
        <f>_xlfn.XLOOKUP(tblSales[[#This Row],[Channel Code]],tblChannels[Channel Code],tblChannels[Channel Name],"")</f>
        <v>Marketplace</v>
      </c>
      <c r="R1374" s="1">
        <f>MONTH(tblSales[[#This Row],[Date]])</f>
        <v>3</v>
      </c>
    </row>
    <row r="1375" spans="2:18" x14ac:dyDescent="0.35">
      <c r="B1375" s="113">
        <v>46106</v>
      </c>
      <c r="C1375" s="4" t="s">
        <v>982</v>
      </c>
      <c r="D1375" s="4" t="s">
        <v>4568</v>
      </c>
      <c r="E1375" s="1" t="str">
        <f>_xlfn.XLOOKUP(tblSales[[#This Row],[Customer ID]],tblCustomers[Customer ID],tblCustomers[Customer Name],"⚠ Unknown")</f>
        <v>Walk-in Customer</v>
      </c>
      <c r="F1375" s="4" t="s">
        <v>6</v>
      </c>
      <c r="G1375" s="1" t="str">
        <f>_xlfn.XLOOKUP(tblSales[[#This Row],[Product Code]],tblProducts[Code],tblProducts[Product / Service Name],"⚠ Unknown")</f>
        <v>Socks &amp; Accessories</v>
      </c>
      <c r="H1375" s="1" t="str">
        <f>_xlfn.XLOOKUP(tblSales[[#This Row],[Product Code]],tblProducts[Code],tblProducts[Category],"")</f>
        <v>Accessories &amp; Basics</v>
      </c>
      <c r="I1375" s="4">
        <v>5</v>
      </c>
      <c r="J1375" s="5">
        <f>_xlfn.XLOOKUP(tblSales[[#This Row],[Product Code]],tblProducts[Code],tblProducts[Selling Price (excl. VAT)],0)</f>
        <v>45000</v>
      </c>
      <c r="K1375" s="5">
        <f>tblSales[[#This Row],[Qty]]*tblSales[[#This Row],[Unit Price]]</f>
        <v>225000</v>
      </c>
      <c r="L1375" s="5">
        <f>ROUND(tblSales[[#This Row],[DPP (excl. VAT)]]*VATEff,0)</f>
        <v>24750</v>
      </c>
      <c r="M1375" s="5">
        <f>tblSales[[#This Row],[DPP (excl. VAT)]]+tblSales[[#This Row],[Output VAT]]</f>
        <v>249750</v>
      </c>
      <c r="N1375" s="5">
        <f>tblSales[[#This Row],[Qty]]*_xlfn.XLOOKUP(tblSales[[#This Row],[Product Code]],tblProducts[Code],tblProducts[Unit Cost],0)</f>
        <v>120000</v>
      </c>
      <c r="O1375" s="4" t="s">
        <v>4866</v>
      </c>
      <c r="P1375" s="4" t="s">
        <v>4861</v>
      </c>
      <c r="Q1375" s="1" t="str">
        <f>_xlfn.XLOOKUP(tblSales[[#This Row],[Channel Code]],tblChannels[Channel Code],tblChannels[Channel Name],"")</f>
        <v>Marketplace</v>
      </c>
      <c r="R1375" s="1">
        <f>MONTH(tblSales[[#This Row],[Date]])</f>
        <v>3</v>
      </c>
    </row>
    <row r="1376" spans="2:18" x14ac:dyDescent="0.35">
      <c r="B1376" s="113">
        <v>46106</v>
      </c>
      <c r="C1376" s="4" t="s">
        <v>983</v>
      </c>
      <c r="D1376" s="4" t="s">
        <v>4568</v>
      </c>
      <c r="E1376" s="1" t="str">
        <f>_xlfn.XLOOKUP(tblSales[[#This Row],[Customer ID]],tblCustomers[Customer ID],tblCustomers[Customer Name],"⚠ Unknown")</f>
        <v>Walk-in Customer</v>
      </c>
      <c r="F1376" s="4" t="s">
        <v>8</v>
      </c>
      <c r="G1376" s="1" t="str">
        <f>_xlfn.XLOOKUP(tblSales[[#This Row],[Product Code]],tblProducts[Code],tblProducts[Product / Service Name],"⚠ Unknown")</f>
        <v>Casual Shorts</v>
      </c>
      <c r="H1376" s="1" t="str">
        <f>_xlfn.XLOOKUP(tblSales[[#This Row],[Product Code]],tblProducts[Code],tblProducts[Category],"")</f>
        <v>Accessories &amp; Basics</v>
      </c>
      <c r="I1376" s="4">
        <v>7</v>
      </c>
      <c r="J1376" s="5">
        <f>_xlfn.XLOOKUP(tblSales[[#This Row],[Product Code]],tblProducts[Code],tblProducts[Selling Price (excl. VAT)],0)</f>
        <v>85000</v>
      </c>
      <c r="K1376" s="5">
        <f>tblSales[[#This Row],[Qty]]*tblSales[[#This Row],[Unit Price]]</f>
        <v>595000</v>
      </c>
      <c r="L1376" s="5">
        <f>ROUND(tblSales[[#This Row],[DPP (excl. VAT)]]*VATEff,0)</f>
        <v>65450</v>
      </c>
      <c r="M1376" s="5">
        <f>tblSales[[#This Row],[DPP (excl. VAT)]]+tblSales[[#This Row],[Output VAT]]</f>
        <v>660450</v>
      </c>
      <c r="N1376" s="5">
        <f>tblSales[[#This Row],[Qty]]*_xlfn.XLOOKUP(tblSales[[#This Row],[Product Code]],tblProducts[Code],tblProducts[Unit Cost],0)</f>
        <v>350000</v>
      </c>
      <c r="O1376" s="4" t="s">
        <v>4866</v>
      </c>
      <c r="P1376" s="4" t="s">
        <v>4861</v>
      </c>
      <c r="Q1376" s="1" t="str">
        <f>_xlfn.XLOOKUP(tblSales[[#This Row],[Channel Code]],tblChannels[Channel Code],tblChannels[Channel Name],"")</f>
        <v>Marketplace</v>
      </c>
      <c r="R1376" s="1">
        <f>MONTH(tblSales[[#This Row],[Date]])</f>
        <v>3</v>
      </c>
    </row>
    <row r="1377" spans="2:18" x14ac:dyDescent="0.35">
      <c r="B1377" s="113">
        <v>46106</v>
      </c>
      <c r="C1377" s="4" t="s">
        <v>983</v>
      </c>
      <c r="D1377" s="4" t="s">
        <v>4568</v>
      </c>
      <c r="E1377" s="1" t="str">
        <f>_xlfn.XLOOKUP(tblSales[[#This Row],[Customer ID]],tblCustomers[Customer ID],tblCustomers[Customer Name],"⚠ Unknown")</f>
        <v>Walk-in Customer</v>
      </c>
      <c r="F1377" s="4" t="s">
        <v>6</v>
      </c>
      <c r="G1377" s="1" t="str">
        <f>_xlfn.XLOOKUP(tblSales[[#This Row],[Product Code]],tblProducts[Code],tblProducts[Product / Service Name],"⚠ Unknown")</f>
        <v>Socks &amp; Accessories</v>
      </c>
      <c r="H1377" s="1" t="str">
        <f>_xlfn.XLOOKUP(tblSales[[#This Row],[Product Code]],tblProducts[Code],tblProducts[Category],"")</f>
        <v>Accessories &amp; Basics</v>
      </c>
      <c r="I1377" s="4">
        <v>4</v>
      </c>
      <c r="J1377" s="5">
        <f>_xlfn.XLOOKUP(tblSales[[#This Row],[Product Code]],tblProducts[Code],tblProducts[Selling Price (excl. VAT)],0)</f>
        <v>45000</v>
      </c>
      <c r="K1377" s="5">
        <f>tblSales[[#This Row],[Qty]]*tblSales[[#This Row],[Unit Price]]</f>
        <v>180000</v>
      </c>
      <c r="L1377" s="5">
        <f>ROUND(tblSales[[#This Row],[DPP (excl. VAT)]]*VATEff,0)</f>
        <v>19800</v>
      </c>
      <c r="M1377" s="5">
        <f>tblSales[[#This Row],[DPP (excl. VAT)]]+tblSales[[#This Row],[Output VAT]]</f>
        <v>199800</v>
      </c>
      <c r="N1377" s="5">
        <f>tblSales[[#This Row],[Qty]]*_xlfn.XLOOKUP(tblSales[[#This Row],[Product Code]],tblProducts[Code],tblProducts[Unit Cost],0)</f>
        <v>96000</v>
      </c>
      <c r="O1377" s="4" t="s">
        <v>4866</v>
      </c>
      <c r="P1377" s="4" t="s">
        <v>4861</v>
      </c>
      <c r="Q1377" s="1" t="str">
        <f>_xlfn.XLOOKUP(tblSales[[#This Row],[Channel Code]],tblChannels[Channel Code],tblChannels[Channel Name],"")</f>
        <v>Marketplace</v>
      </c>
      <c r="R1377" s="1">
        <f>MONTH(tblSales[[#This Row],[Date]])</f>
        <v>3</v>
      </c>
    </row>
    <row r="1378" spans="2:18" x14ac:dyDescent="0.35">
      <c r="B1378" s="113">
        <v>46106</v>
      </c>
      <c r="C1378" s="4" t="s">
        <v>984</v>
      </c>
      <c r="D1378" s="4" t="s">
        <v>4568</v>
      </c>
      <c r="E1378" s="1" t="str">
        <f>_xlfn.XLOOKUP(tblSales[[#This Row],[Customer ID]],tblCustomers[Customer ID],tblCustomers[Customer Name],"⚠ Unknown")</f>
        <v>Walk-in Customer</v>
      </c>
      <c r="F1378" s="4" t="s">
        <v>7</v>
      </c>
      <c r="G1378" s="1" t="str">
        <f>_xlfn.XLOOKUP(tblSales[[#This Row],[Product Code]],tblProducts[Code],tblProducts[Product / Service Name],"⚠ Unknown")</f>
        <v>Premium Basic T-shirt</v>
      </c>
      <c r="H1378" s="1" t="str">
        <f>_xlfn.XLOOKUP(tblSales[[#This Row],[Product Code]],tblProducts[Code],tblProducts[Category],"")</f>
        <v>Accessories &amp; Basics</v>
      </c>
      <c r="I1378" s="4">
        <v>3</v>
      </c>
      <c r="J1378" s="5">
        <f>_xlfn.XLOOKUP(tblSales[[#This Row],[Product Code]],tblProducts[Code],tblProducts[Selling Price (excl. VAT)],0)</f>
        <v>65000</v>
      </c>
      <c r="K1378" s="5">
        <f>tblSales[[#This Row],[Qty]]*tblSales[[#This Row],[Unit Price]]</f>
        <v>195000</v>
      </c>
      <c r="L1378" s="5">
        <f>ROUND(tblSales[[#This Row],[DPP (excl. VAT)]]*VATEff,0)</f>
        <v>21450</v>
      </c>
      <c r="M1378" s="5">
        <f>tblSales[[#This Row],[DPP (excl. VAT)]]+tblSales[[#This Row],[Output VAT]]</f>
        <v>216450</v>
      </c>
      <c r="N1378" s="5">
        <f>tblSales[[#This Row],[Qty]]*_xlfn.XLOOKUP(tblSales[[#This Row],[Product Code]],tblProducts[Code],tblProducts[Unit Cost],0)</f>
        <v>111000</v>
      </c>
      <c r="O1378" s="4" t="s">
        <v>4866</v>
      </c>
      <c r="P1378" s="4" t="s">
        <v>4861</v>
      </c>
      <c r="Q1378" s="1" t="str">
        <f>_xlfn.XLOOKUP(tblSales[[#This Row],[Channel Code]],tblChannels[Channel Code],tblChannels[Channel Name],"")</f>
        <v>Marketplace</v>
      </c>
      <c r="R1378" s="1">
        <f>MONTH(tblSales[[#This Row],[Date]])</f>
        <v>3</v>
      </c>
    </row>
    <row r="1379" spans="2:18" x14ac:dyDescent="0.35">
      <c r="B1379" s="113">
        <v>46106</v>
      </c>
      <c r="C1379" s="4" t="s">
        <v>985</v>
      </c>
      <c r="D1379" s="4" t="s">
        <v>4568</v>
      </c>
      <c r="E1379" s="1" t="str">
        <f>_xlfn.XLOOKUP(tblSales[[#This Row],[Customer ID]],tblCustomers[Customer ID],tblCustomers[Customer Name],"⚠ Unknown")</f>
        <v>Walk-in Customer</v>
      </c>
      <c r="F1379" s="4" t="s">
        <v>6</v>
      </c>
      <c r="G1379" s="1" t="str">
        <f>_xlfn.XLOOKUP(tblSales[[#This Row],[Product Code]],tblProducts[Code],tblProducts[Product / Service Name],"⚠ Unknown")</f>
        <v>Socks &amp; Accessories</v>
      </c>
      <c r="H1379" s="1" t="str">
        <f>_xlfn.XLOOKUP(tblSales[[#This Row],[Product Code]],tblProducts[Code],tblProducts[Category],"")</f>
        <v>Accessories &amp; Basics</v>
      </c>
      <c r="I1379" s="4">
        <v>12</v>
      </c>
      <c r="J1379" s="5">
        <f>_xlfn.XLOOKUP(tblSales[[#This Row],[Product Code]],tblProducts[Code],tblProducts[Selling Price (excl. VAT)],0)</f>
        <v>45000</v>
      </c>
      <c r="K1379" s="5">
        <f>tblSales[[#This Row],[Qty]]*tblSales[[#This Row],[Unit Price]]</f>
        <v>540000</v>
      </c>
      <c r="L1379" s="5">
        <f>ROUND(tblSales[[#This Row],[DPP (excl. VAT)]]*VATEff,0)</f>
        <v>59400</v>
      </c>
      <c r="M1379" s="5">
        <f>tblSales[[#This Row],[DPP (excl. VAT)]]+tblSales[[#This Row],[Output VAT]]</f>
        <v>599400</v>
      </c>
      <c r="N1379" s="5">
        <f>tblSales[[#This Row],[Qty]]*_xlfn.XLOOKUP(tblSales[[#This Row],[Product Code]],tblProducts[Code],tblProducts[Unit Cost],0)</f>
        <v>288000</v>
      </c>
      <c r="O1379" s="4" t="s">
        <v>4866</v>
      </c>
      <c r="P1379" s="4" t="s">
        <v>4862</v>
      </c>
      <c r="Q1379" s="1" t="str">
        <f>_xlfn.XLOOKUP(tblSales[[#This Row],[Channel Code]],tblChannels[Channel Code],tblChannels[Channel Name],"")</f>
        <v>Website &amp; Social Media</v>
      </c>
      <c r="R1379" s="1">
        <f>MONTH(tblSales[[#This Row],[Date]])</f>
        <v>3</v>
      </c>
    </row>
    <row r="1380" spans="2:18" x14ac:dyDescent="0.35">
      <c r="B1380" s="113">
        <v>46106</v>
      </c>
      <c r="C1380" s="4" t="s">
        <v>986</v>
      </c>
      <c r="D1380" s="4" t="s">
        <v>4568</v>
      </c>
      <c r="E1380" s="1" t="str">
        <f>_xlfn.XLOOKUP(tblSales[[#This Row],[Customer ID]],tblCustomers[Customer ID],tblCustomers[Customer Name],"⚠ Unknown")</f>
        <v>Walk-in Customer</v>
      </c>
      <c r="F1380" s="4" t="s">
        <v>6</v>
      </c>
      <c r="G1380" s="1" t="str">
        <f>_xlfn.XLOOKUP(tblSales[[#This Row],[Product Code]],tblProducts[Code],tblProducts[Product / Service Name],"⚠ Unknown")</f>
        <v>Socks &amp; Accessories</v>
      </c>
      <c r="H1380" s="1" t="str">
        <f>_xlfn.XLOOKUP(tblSales[[#This Row],[Product Code]],tblProducts[Code],tblProducts[Category],"")</f>
        <v>Accessories &amp; Basics</v>
      </c>
      <c r="I1380" s="4">
        <v>10</v>
      </c>
      <c r="J1380" s="5">
        <f>_xlfn.XLOOKUP(tblSales[[#This Row],[Product Code]],tblProducts[Code],tblProducts[Selling Price (excl. VAT)],0)</f>
        <v>45000</v>
      </c>
      <c r="K1380" s="5">
        <f>tblSales[[#This Row],[Qty]]*tblSales[[#This Row],[Unit Price]]</f>
        <v>450000</v>
      </c>
      <c r="L1380" s="5">
        <f>ROUND(tblSales[[#This Row],[DPP (excl. VAT)]]*VATEff,0)</f>
        <v>49500</v>
      </c>
      <c r="M1380" s="5">
        <f>tblSales[[#This Row],[DPP (excl. VAT)]]+tblSales[[#This Row],[Output VAT]]</f>
        <v>499500</v>
      </c>
      <c r="N1380" s="5">
        <f>tblSales[[#This Row],[Qty]]*_xlfn.XLOOKUP(tblSales[[#This Row],[Product Code]],tblProducts[Code],tblProducts[Unit Cost],0)</f>
        <v>240000</v>
      </c>
      <c r="O1380" s="4" t="s">
        <v>4866</v>
      </c>
      <c r="P1380" s="4" t="s">
        <v>4861</v>
      </c>
      <c r="Q1380" s="1" t="str">
        <f>_xlfn.XLOOKUP(tblSales[[#This Row],[Channel Code]],tblChannels[Channel Code],tblChannels[Channel Name],"")</f>
        <v>Marketplace</v>
      </c>
      <c r="R1380" s="1">
        <f>MONTH(tblSales[[#This Row],[Date]])</f>
        <v>3</v>
      </c>
    </row>
    <row r="1381" spans="2:18" x14ac:dyDescent="0.35">
      <c r="B1381" s="113">
        <v>46106</v>
      </c>
      <c r="C1381" s="4" t="s">
        <v>986</v>
      </c>
      <c r="D1381" s="4" t="s">
        <v>4568</v>
      </c>
      <c r="E1381" s="1" t="str">
        <f>_xlfn.XLOOKUP(tblSales[[#This Row],[Customer ID]],tblCustomers[Customer ID],tblCustomers[Customer Name],"⚠ Unknown")</f>
        <v>Walk-in Customer</v>
      </c>
      <c r="F1381" s="4" t="s">
        <v>12</v>
      </c>
      <c r="G1381" s="1" t="str">
        <f>_xlfn.XLOOKUP(tblSales[[#This Row],[Product Code]],tblProducts[Code],tblProducts[Product / Service Name],"⚠ Unknown")</f>
        <v>Bomber Jacket</v>
      </c>
      <c r="H1381" s="1" t="str">
        <f>_xlfn.XLOOKUP(tblSales[[#This Row],[Product Code]],tblProducts[Code],tblProducts[Category],"")</f>
        <v>Apparel &amp; Footwear</v>
      </c>
      <c r="I1381" s="4">
        <v>3</v>
      </c>
      <c r="J1381" s="5">
        <f>_xlfn.XLOOKUP(tblSales[[#This Row],[Product Code]],tblProducts[Code],tblProducts[Selling Price (excl. VAT)],0)</f>
        <v>350000</v>
      </c>
      <c r="K1381" s="5">
        <f>tblSales[[#This Row],[Qty]]*tblSales[[#This Row],[Unit Price]]</f>
        <v>1050000</v>
      </c>
      <c r="L1381" s="5">
        <f>ROUND(tblSales[[#This Row],[DPP (excl. VAT)]]*VATEff,0)</f>
        <v>115500</v>
      </c>
      <c r="M1381" s="5">
        <f>tblSales[[#This Row],[DPP (excl. VAT)]]+tblSales[[#This Row],[Output VAT]]</f>
        <v>1165500</v>
      </c>
      <c r="N1381" s="5">
        <f>tblSales[[#This Row],[Qty]]*_xlfn.XLOOKUP(tblSales[[#This Row],[Product Code]],tblProducts[Code],tblProducts[Unit Cost],0)</f>
        <v>630000</v>
      </c>
      <c r="O1381" s="4" t="s">
        <v>4866</v>
      </c>
      <c r="P1381" s="4" t="s">
        <v>4861</v>
      </c>
      <c r="Q1381" s="1" t="str">
        <f>_xlfn.XLOOKUP(tblSales[[#This Row],[Channel Code]],tblChannels[Channel Code],tblChannels[Channel Name],"")</f>
        <v>Marketplace</v>
      </c>
      <c r="R1381" s="1">
        <f>MONTH(tblSales[[#This Row],[Date]])</f>
        <v>3</v>
      </c>
    </row>
    <row r="1382" spans="2:18" x14ac:dyDescent="0.35">
      <c r="B1382" s="113">
        <v>46106</v>
      </c>
      <c r="C1382" s="4" t="s">
        <v>987</v>
      </c>
      <c r="D1382" s="4" t="s">
        <v>4568</v>
      </c>
      <c r="E1382" s="1" t="str">
        <f>_xlfn.XLOOKUP(tblSales[[#This Row],[Customer ID]],tblCustomers[Customer ID],tblCustomers[Customer Name],"⚠ Unknown")</f>
        <v>Walk-in Customer</v>
      </c>
      <c r="F1382" s="4" t="s">
        <v>15</v>
      </c>
      <c r="G1382" s="1" t="str">
        <f>_xlfn.XLOOKUP(tblSales[[#This Row],[Product Code]],tblProducts[Code],tblProducts[Product / Service Name],"⚠ Unknown")</f>
        <v>Wireless Earbuds Pro</v>
      </c>
      <c r="H1382" s="1" t="str">
        <f>_xlfn.XLOOKUP(tblSales[[#This Row],[Product Code]],tblProducts[Code],tblProducts[Category],"")</f>
        <v>Bags &amp; Gadgets</v>
      </c>
      <c r="I1382" s="4">
        <v>2</v>
      </c>
      <c r="J1382" s="5">
        <f>_xlfn.XLOOKUP(tblSales[[#This Row],[Product Code]],tblProducts[Code],tblProducts[Selling Price (excl. VAT)],0)</f>
        <v>1250000</v>
      </c>
      <c r="K1382" s="5">
        <f>tblSales[[#This Row],[Qty]]*tblSales[[#This Row],[Unit Price]]</f>
        <v>2500000</v>
      </c>
      <c r="L1382" s="5">
        <f>ROUND(tblSales[[#This Row],[DPP (excl. VAT)]]*VATEff,0)</f>
        <v>275000</v>
      </c>
      <c r="M1382" s="5">
        <f>tblSales[[#This Row],[DPP (excl. VAT)]]+tblSales[[#This Row],[Output VAT]]</f>
        <v>2775000</v>
      </c>
      <c r="N1382" s="5">
        <f>tblSales[[#This Row],[Qty]]*_xlfn.XLOOKUP(tblSales[[#This Row],[Product Code]],tblProducts[Code],tblProducts[Unit Cost],0)</f>
        <v>1640000</v>
      </c>
      <c r="O1382" s="4" t="s">
        <v>4865</v>
      </c>
      <c r="P1382" s="4" t="s">
        <v>4860</v>
      </c>
      <c r="Q1382" s="1" t="str">
        <f>_xlfn.XLOOKUP(tblSales[[#This Row],[Channel Code]],tblChannels[Channel Code],tblChannels[Channel Name],"")</f>
        <v>In-store</v>
      </c>
      <c r="R1382" s="1">
        <f>MONTH(tblSales[[#This Row],[Date]])</f>
        <v>3</v>
      </c>
    </row>
    <row r="1383" spans="2:18" x14ac:dyDescent="0.35">
      <c r="B1383" s="113">
        <v>46106</v>
      </c>
      <c r="C1383" s="4" t="s">
        <v>987</v>
      </c>
      <c r="D1383" s="4" t="s">
        <v>4568</v>
      </c>
      <c r="E1383" s="1" t="str">
        <f>_xlfn.XLOOKUP(tblSales[[#This Row],[Customer ID]],tblCustomers[Customer ID],tblCustomers[Customer Name],"⚠ Unknown")</f>
        <v>Walk-in Customer</v>
      </c>
      <c r="F1383" s="4" t="s">
        <v>11</v>
      </c>
      <c r="G1383" s="1" t="str">
        <f>_xlfn.XLOOKUP(tblSales[[#This Row],[Product Code]],tblProducts[Code],tblProducts[Product / Service Name],"⚠ Unknown")</f>
        <v>Sneakers</v>
      </c>
      <c r="H1383" s="1" t="str">
        <f>_xlfn.XLOOKUP(tblSales[[#This Row],[Product Code]],tblProducts[Code],tblProducts[Category],"")</f>
        <v>Apparel &amp; Footwear</v>
      </c>
      <c r="I1383" s="4">
        <v>4</v>
      </c>
      <c r="J1383" s="5">
        <f>_xlfn.XLOOKUP(tblSales[[#This Row],[Product Code]],tblProducts[Code],tblProducts[Selling Price (excl. VAT)],0)</f>
        <v>250000</v>
      </c>
      <c r="K1383" s="5">
        <f>tblSales[[#This Row],[Qty]]*tblSales[[#This Row],[Unit Price]]</f>
        <v>1000000</v>
      </c>
      <c r="L1383" s="5">
        <f>ROUND(tblSales[[#This Row],[DPP (excl. VAT)]]*VATEff,0)</f>
        <v>110000</v>
      </c>
      <c r="M1383" s="5">
        <f>tblSales[[#This Row],[DPP (excl. VAT)]]+tblSales[[#This Row],[Output VAT]]</f>
        <v>1110000</v>
      </c>
      <c r="N1383" s="5">
        <f>tblSales[[#This Row],[Qty]]*_xlfn.XLOOKUP(tblSales[[#This Row],[Product Code]],tblProducts[Code],tblProducts[Unit Cost],0)</f>
        <v>620000</v>
      </c>
      <c r="O1383" s="4" t="s">
        <v>4865</v>
      </c>
      <c r="P1383" s="4" t="s">
        <v>4860</v>
      </c>
      <c r="Q1383" s="1" t="str">
        <f>_xlfn.XLOOKUP(tblSales[[#This Row],[Channel Code]],tblChannels[Channel Code],tblChannels[Channel Name],"")</f>
        <v>In-store</v>
      </c>
      <c r="R1383" s="1">
        <f>MONTH(tblSales[[#This Row],[Date]])</f>
        <v>3</v>
      </c>
    </row>
    <row r="1384" spans="2:18" x14ac:dyDescent="0.35">
      <c r="B1384" s="113">
        <v>46106</v>
      </c>
      <c r="C1384" s="4" t="s">
        <v>987</v>
      </c>
      <c r="D1384" s="4" t="s">
        <v>4568</v>
      </c>
      <c r="E1384" s="1" t="str">
        <f>_xlfn.XLOOKUP(tblSales[[#This Row],[Customer ID]],tblCustomers[Customer ID],tblCustomers[Customer Name],"⚠ Unknown")</f>
        <v>Walk-in Customer</v>
      </c>
      <c r="F1384" s="4" t="s">
        <v>6</v>
      </c>
      <c r="G1384" s="1" t="str">
        <f>_xlfn.XLOOKUP(tblSales[[#This Row],[Product Code]],tblProducts[Code],tblProducts[Product / Service Name],"⚠ Unknown")</f>
        <v>Socks &amp; Accessories</v>
      </c>
      <c r="H1384" s="1" t="str">
        <f>_xlfn.XLOOKUP(tblSales[[#This Row],[Product Code]],tblProducts[Code],tblProducts[Category],"")</f>
        <v>Accessories &amp; Basics</v>
      </c>
      <c r="I1384" s="4">
        <v>1</v>
      </c>
      <c r="J1384" s="5">
        <f>_xlfn.XLOOKUP(tblSales[[#This Row],[Product Code]],tblProducts[Code],tblProducts[Selling Price (excl. VAT)],0)</f>
        <v>45000</v>
      </c>
      <c r="K1384" s="5">
        <f>tblSales[[#This Row],[Qty]]*tblSales[[#This Row],[Unit Price]]</f>
        <v>45000</v>
      </c>
      <c r="L1384" s="5">
        <f>ROUND(tblSales[[#This Row],[DPP (excl. VAT)]]*VATEff,0)</f>
        <v>4950</v>
      </c>
      <c r="M1384" s="5">
        <f>tblSales[[#This Row],[DPP (excl. VAT)]]+tblSales[[#This Row],[Output VAT]]</f>
        <v>49950</v>
      </c>
      <c r="N1384" s="5">
        <f>tblSales[[#This Row],[Qty]]*_xlfn.XLOOKUP(tblSales[[#This Row],[Product Code]],tblProducts[Code],tblProducts[Unit Cost],0)</f>
        <v>24000</v>
      </c>
      <c r="O1384" s="4" t="s">
        <v>4865</v>
      </c>
      <c r="P1384" s="4" t="s">
        <v>4860</v>
      </c>
      <c r="Q1384" s="1" t="str">
        <f>_xlfn.XLOOKUP(tblSales[[#This Row],[Channel Code]],tblChannels[Channel Code],tblChannels[Channel Name],"")</f>
        <v>In-store</v>
      </c>
      <c r="R1384" s="1">
        <f>MONTH(tblSales[[#This Row],[Date]])</f>
        <v>3</v>
      </c>
    </row>
    <row r="1385" spans="2:18" x14ac:dyDescent="0.35">
      <c r="B1385" s="113">
        <v>46106</v>
      </c>
      <c r="C1385" s="4" t="s">
        <v>988</v>
      </c>
      <c r="D1385" s="4" t="s">
        <v>4568</v>
      </c>
      <c r="E1385" s="1" t="str">
        <f>_xlfn.XLOOKUP(tblSales[[#This Row],[Customer ID]],tblCustomers[Customer ID],tblCustomers[Customer Name],"⚠ Unknown")</f>
        <v>Walk-in Customer</v>
      </c>
      <c r="F1385" s="4" t="s">
        <v>6</v>
      </c>
      <c r="G1385" s="1" t="str">
        <f>_xlfn.XLOOKUP(tblSales[[#This Row],[Product Code]],tblProducts[Code],tblProducts[Product / Service Name],"⚠ Unknown")</f>
        <v>Socks &amp; Accessories</v>
      </c>
      <c r="H1385" s="1" t="str">
        <f>_xlfn.XLOOKUP(tblSales[[#This Row],[Product Code]],tblProducts[Code],tblProducts[Category],"")</f>
        <v>Accessories &amp; Basics</v>
      </c>
      <c r="I1385" s="4">
        <v>2</v>
      </c>
      <c r="J1385" s="5">
        <f>_xlfn.XLOOKUP(tblSales[[#This Row],[Product Code]],tblProducts[Code],tblProducts[Selling Price (excl. VAT)],0)</f>
        <v>45000</v>
      </c>
      <c r="K1385" s="5">
        <f>tblSales[[#This Row],[Qty]]*tblSales[[#This Row],[Unit Price]]</f>
        <v>90000</v>
      </c>
      <c r="L1385" s="5">
        <f>ROUND(tblSales[[#This Row],[DPP (excl. VAT)]]*VATEff,0)</f>
        <v>9900</v>
      </c>
      <c r="M1385" s="5">
        <f>tblSales[[#This Row],[DPP (excl. VAT)]]+tblSales[[#This Row],[Output VAT]]</f>
        <v>99900</v>
      </c>
      <c r="N1385" s="5">
        <f>tblSales[[#This Row],[Qty]]*_xlfn.XLOOKUP(tblSales[[#This Row],[Product Code]],tblProducts[Code],tblProducts[Unit Cost],0)</f>
        <v>48000</v>
      </c>
      <c r="O1385" s="4" t="s">
        <v>4865</v>
      </c>
      <c r="P1385" s="4" t="s">
        <v>4860</v>
      </c>
      <c r="Q1385" s="1" t="str">
        <f>_xlfn.XLOOKUP(tblSales[[#This Row],[Channel Code]],tblChannels[Channel Code],tblChannels[Channel Name],"")</f>
        <v>In-store</v>
      </c>
      <c r="R1385" s="1">
        <f>MONTH(tblSales[[#This Row],[Date]])</f>
        <v>3</v>
      </c>
    </row>
    <row r="1386" spans="2:18" x14ac:dyDescent="0.35">
      <c r="B1386" s="113">
        <v>46106</v>
      </c>
      <c r="C1386" s="4" t="s">
        <v>988</v>
      </c>
      <c r="D1386" s="4" t="s">
        <v>4568</v>
      </c>
      <c r="E1386" s="1" t="str">
        <f>_xlfn.XLOOKUP(tblSales[[#This Row],[Customer ID]],tblCustomers[Customer ID],tblCustomers[Customer Name],"⚠ Unknown")</f>
        <v>Walk-in Customer</v>
      </c>
      <c r="F1386" s="4" t="s">
        <v>10</v>
      </c>
      <c r="G1386" s="1" t="str">
        <f>_xlfn.XLOOKUP(tblSales[[#This Row],[Product Code]],tblProducts[Code],tblProducts[Product / Service Name],"⚠ Unknown")</f>
        <v>Chino Pants</v>
      </c>
      <c r="H1386" s="1" t="str">
        <f>_xlfn.XLOOKUP(tblSales[[#This Row],[Product Code]],tblProducts[Code],tblProducts[Category],"")</f>
        <v>Apparel &amp; Footwear</v>
      </c>
      <c r="I1386" s="4">
        <v>10</v>
      </c>
      <c r="J1386" s="5">
        <f>_xlfn.XLOOKUP(tblSales[[#This Row],[Product Code]],tblProducts[Code],tblProducts[Selling Price (excl. VAT)],0)</f>
        <v>150000</v>
      </c>
      <c r="K1386" s="5">
        <f>tblSales[[#This Row],[Qty]]*tblSales[[#This Row],[Unit Price]]</f>
        <v>1500000</v>
      </c>
      <c r="L1386" s="5">
        <f>ROUND(tblSales[[#This Row],[DPP (excl. VAT)]]*VATEff,0)</f>
        <v>165000</v>
      </c>
      <c r="M1386" s="5">
        <f>tblSales[[#This Row],[DPP (excl. VAT)]]+tblSales[[#This Row],[Output VAT]]</f>
        <v>1665000</v>
      </c>
      <c r="N1386" s="5">
        <f>tblSales[[#This Row],[Qty]]*_xlfn.XLOOKUP(tblSales[[#This Row],[Product Code]],tblProducts[Code],tblProducts[Unit Cost],0)</f>
        <v>880000</v>
      </c>
      <c r="O1386" s="4" t="s">
        <v>4865</v>
      </c>
      <c r="P1386" s="4" t="s">
        <v>4860</v>
      </c>
      <c r="Q1386" s="1" t="str">
        <f>_xlfn.XLOOKUP(tblSales[[#This Row],[Channel Code]],tblChannels[Channel Code],tblChannels[Channel Name],"")</f>
        <v>In-store</v>
      </c>
      <c r="R1386" s="1">
        <f>MONTH(tblSales[[#This Row],[Date]])</f>
        <v>3</v>
      </c>
    </row>
    <row r="1387" spans="2:18" x14ac:dyDescent="0.35">
      <c r="B1387" s="113">
        <v>46106</v>
      </c>
      <c r="C1387" s="4" t="s">
        <v>988</v>
      </c>
      <c r="D1387" s="4" t="s">
        <v>4568</v>
      </c>
      <c r="E1387" s="1" t="str">
        <f>_xlfn.XLOOKUP(tblSales[[#This Row],[Customer ID]],tblCustomers[Customer ID],tblCustomers[Customer Name],"⚠ Unknown")</f>
        <v>Walk-in Customer</v>
      </c>
      <c r="F1387" s="4" t="s">
        <v>12</v>
      </c>
      <c r="G1387" s="1" t="str">
        <f>_xlfn.XLOOKUP(tblSales[[#This Row],[Product Code]],tblProducts[Code],tblProducts[Product / Service Name],"⚠ Unknown")</f>
        <v>Bomber Jacket</v>
      </c>
      <c r="H1387" s="1" t="str">
        <f>_xlfn.XLOOKUP(tblSales[[#This Row],[Product Code]],tblProducts[Code],tblProducts[Category],"")</f>
        <v>Apparel &amp; Footwear</v>
      </c>
      <c r="I1387" s="4">
        <v>6</v>
      </c>
      <c r="J1387" s="5">
        <f>_xlfn.XLOOKUP(tblSales[[#This Row],[Product Code]],tblProducts[Code],tblProducts[Selling Price (excl. VAT)],0)</f>
        <v>350000</v>
      </c>
      <c r="K1387" s="5">
        <f>tblSales[[#This Row],[Qty]]*tblSales[[#This Row],[Unit Price]]</f>
        <v>2100000</v>
      </c>
      <c r="L1387" s="5">
        <f>ROUND(tblSales[[#This Row],[DPP (excl. VAT)]]*VATEff,0)</f>
        <v>231000</v>
      </c>
      <c r="M1387" s="5">
        <f>tblSales[[#This Row],[DPP (excl. VAT)]]+tblSales[[#This Row],[Output VAT]]</f>
        <v>2331000</v>
      </c>
      <c r="N1387" s="5">
        <f>tblSales[[#This Row],[Qty]]*_xlfn.XLOOKUP(tblSales[[#This Row],[Product Code]],tblProducts[Code],tblProducts[Unit Cost],0)</f>
        <v>1260000</v>
      </c>
      <c r="O1387" s="4" t="s">
        <v>4865</v>
      </c>
      <c r="P1387" s="4" t="s">
        <v>4860</v>
      </c>
      <c r="Q1387" s="1" t="str">
        <f>_xlfn.XLOOKUP(tblSales[[#This Row],[Channel Code]],tblChannels[Channel Code],tblChannels[Channel Name],"")</f>
        <v>In-store</v>
      </c>
      <c r="R1387" s="1">
        <f>MONTH(tblSales[[#This Row],[Date]])</f>
        <v>3</v>
      </c>
    </row>
    <row r="1388" spans="2:18" x14ac:dyDescent="0.35">
      <c r="B1388" s="113">
        <v>46106</v>
      </c>
      <c r="C1388" s="4" t="s">
        <v>989</v>
      </c>
      <c r="D1388" s="4" t="s">
        <v>4620</v>
      </c>
      <c r="E1388" s="1" t="str">
        <f>_xlfn.XLOOKUP(tblSales[[#This Row],[Customer ID]],tblCustomers[Customer ID],tblCustomers[Customer Name],"⚠ Unknown")</f>
        <v>CV Sumber Rejeki Utama</v>
      </c>
      <c r="F1388" s="4" t="s">
        <v>7</v>
      </c>
      <c r="G1388" s="1" t="str">
        <f>_xlfn.XLOOKUP(tblSales[[#This Row],[Product Code]],tblProducts[Code],tblProducts[Product / Service Name],"⚠ Unknown")</f>
        <v>Premium Basic T-shirt</v>
      </c>
      <c r="H1388" s="1" t="str">
        <f>_xlfn.XLOOKUP(tblSales[[#This Row],[Product Code]],tblProducts[Code],tblProducts[Category],"")</f>
        <v>Accessories &amp; Basics</v>
      </c>
      <c r="I1388" s="4">
        <v>56</v>
      </c>
      <c r="J1388" s="5">
        <f>_xlfn.XLOOKUP(tblSales[[#This Row],[Product Code]],tblProducts[Code],tblProducts[Selling Price (excl. VAT)],0)</f>
        <v>65000</v>
      </c>
      <c r="K1388" s="5">
        <f>tblSales[[#This Row],[Qty]]*tblSales[[#This Row],[Unit Price]]</f>
        <v>3640000</v>
      </c>
      <c r="L1388" s="5">
        <f>ROUND(tblSales[[#This Row],[DPP (excl. VAT)]]*VATEff,0)</f>
        <v>400400</v>
      </c>
      <c r="M1388" s="5">
        <f>tblSales[[#This Row],[DPP (excl. VAT)]]+tblSales[[#This Row],[Output VAT]]</f>
        <v>4040400</v>
      </c>
      <c r="N1388" s="5">
        <f>tblSales[[#This Row],[Qty]]*_xlfn.XLOOKUP(tblSales[[#This Row],[Product Code]],tblProducts[Code],tblProducts[Unit Cost],0)</f>
        <v>2072000</v>
      </c>
      <c r="O1388" s="4" t="s">
        <v>4867</v>
      </c>
      <c r="P1388" s="4" t="s">
        <v>4860</v>
      </c>
      <c r="Q1388" s="1" t="str">
        <f>_xlfn.XLOOKUP(tblSales[[#This Row],[Channel Code]],tblChannels[Channel Code],tblChannels[Channel Name],"")</f>
        <v>In-store</v>
      </c>
      <c r="R1388" s="1">
        <f>MONTH(tblSales[[#This Row],[Date]])</f>
        <v>3</v>
      </c>
    </row>
    <row r="1389" spans="2:18" x14ac:dyDescent="0.35">
      <c r="B1389" s="113">
        <v>46106</v>
      </c>
      <c r="C1389" s="4" t="s">
        <v>990</v>
      </c>
      <c r="D1389" s="4" t="s">
        <v>4606</v>
      </c>
      <c r="E1389" s="1" t="str">
        <f>_xlfn.XLOOKUP(tblSales[[#This Row],[Customer ID]],tblCustomers[Customer ID],tblCustomers[Customer Name],"⚠ Unknown")</f>
        <v>PT Arunika Digital Kreatif</v>
      </c>
      <c r="F1389" s="4" t="s">
        <v>6</v>
      </c>
      <c r="G1389" s="1" t="str">
        <f>_xlfn.XLOOKUP(tblSales[[#This Row],[Product Code]],tblProducts[Code],tblProducts[Product / Service Name],"⚠ Unknown")</f>
        <v>Socks &amp; Accessories</v>
      </c>
      <c r="H1389" s="1" t="str">
        <f>_xlfn.XLOOKUP(tblSales[[#This Row],[Product Code]],tblProducts[Code],tblProducts[Category],"")</f>
        <v>Accessories &amp; Basics</v>
      </c>
      <c r="I1389" s="4">
        <v>24</v>
      </c>
      <c r="J1389" s="5">
        <f>_xlfn.XLOOKUP(tblSales[[#This Row],[Product Code]],tblProducts[Code],tblProducts[Selling Price (excl. VAT)],0)</f>
        <v>45000</v>
      </c>
      <c r="K1389" s="5">
        <f>tblSales[[#This Row],[Qty]]*tblSales[[#This Row],[Unit Price]]</f>
        <v>1080000</v>
      </c>
      <c r="L1389" s="5">
        <f>ROUND(tblSales[[#This Row],[DPP (excl. VAT)]]*VATEff,0)</f>
        <v>118800</v>
      </c>
      <c r="M1389" s="5">
        <f>tblSales[[#This Row],[DPP (excl. VAT)]]+tblSales[[#This Row],[Output VAT]]</f>
        <v>1198800</v>
      </c>
      <c r="N1389" s="5">
        <f>tblSales[[#This Row],[Qty]]*_xlfn.XLOOKUP(tblSales[[#This Row],[Product Code]],tblProducts[Code],tblProducts[Unit Cost],0)</f>
        <v>576000</v>
      </c>
      <c r="O1389" s="4" t="s">
        <v>4867</v>
      </c>
      <c r="P1389" s="4" t="s">
        <v>4860</v>
      </c>
      <c r="Q1389" s="1" t="str">
        <f>_xlfn.XLOOKUP(tblSales[[#This Row],[Channel Code]],tblChannels[Channel Code],tblChannels[Channel Name],"")</f>
        <v>In-store</v>
      </c>
      <c r="R1389" s="1">
        <f>MONTH(tblSales[[#This Row],[Date]])</f>
        <v>3</v>
      </c>
    </row>
    <row r="1390" spans="2:18" x14ac:dyDescent="0.35">
      <c r="B1390" s="113">
        <v>46106</v>
      </c>
      <c r="C1390" s="4" t="s">
        <v>991</v>
      </c>
      <c r="D1390" s="4" t="s">
        <v>4578</v>
      </c>
      <c r="E1390" s="1" t="str">
        <f>_xlfn.XLOOKUP(tblSales[[#This Row],[Customer ID]],tblCustomers[Customer ID],tblCustomers[Customer Name],"⚠ Unknown")</f>
        <v>PT Bintang Timur Sejahtera</v>
      </c>
      <c r="F1390" s="4" t="s">
        <v>15</v>
      </c>
      <c r="G1390" s="1" t="str">
        <f>_xlfn.XLOOKUP(tblSales[[#This Row],[Product Code]],tblProducts[Code],tblProducts[Product / Service Name],"⚠ Unknown")</f>
        <v>Wireless Earbuds Pro</v>
      </c>
      <c r="H1390" s="1" t="str">
        <f>_xlfn.XLOOKUP(tblSales[[#This Row],[Product Code]],tblProducts[Code],tblProducts[Category],"")</f>
        <v>Bags &amp; Gadgets</v>
      </c>
      <c r="I1390" s="4">
        <v>16</v>
      </c>
      <c r="J1390" s="5">
        <f>_xlfn.XLOOKUP(tblSales[[#This Row],[Product Code]],tblProducts[Code],tblProducts[Selling Price (excl. VAT)],0)</f>
        <v>1250000</v>
      </c>
      <c r="K1390" s="5">
        <f>tblSales[[#This Row],[Qty]]*tblSales[[#This Row],[Unit Price]]</f>
        <v>20000000</v>
      </c>
      <c r="L1390" s="5">
        <f>ROUND(tblSales[[#This Row],[DPP (excl. VAT)]]*VATEff,0)</f>
        <v>2200000</v>
      </c>
      <c r="M1390" s="5">
        <f>tblSales[[#This Row],[DPP (excl. VAT)]]+tblSales[[#This Row],[Output VAT]]</f>
        <v>22200000</v>
      </c>
      <c r="N1390" s="5">
        <f>tblSales[[#This Row],[Qty]]*_xlfn.XLOOKUP(tblSales[[#This Row],[Product Code]],tblProducts[Code],tblProducts[Unit Cost],0)</f>
        <v>13120000</v>
      </c>
      <c r="O1390" s="4" t="s">
        <v>4867</v>
      </c>
      <c r="P1390" s="4" t="s">
        <v>4860</v>
      </c>
      <c r="Q1390" s="1" t="str">
        <f>_xlfn.XLOOKUP(tblSales[[#This Row],[Channel Code]],tblChannels[Channel Code],tblChannels[Channel Name],"")</f>
        <v>In-store</v>
      </c>
      <c r="R1390" s="1">
        <f>MONTH(tblSales[[#This Row],[Date]])</f>
        <v>3</v>
      </c>
    </row>
    <row r="1391" spans="2:18" x14ac:dyDescent="0.35">
      <c r="B1391" s="113">
        <v>46106</v>
      </c>
      <c r="C1391" s="4" t="s">
        <v>992</v>
      </c>
      <c r="D1391" s="4" t="s">
        <v>4620</v>
      </c>
      <c r="E1391" s="1" t="str">
        <f>_xlfn.XLOOKUP(tblSales[[#This Row],[Customer ID]],tblCustomers[Customer ID],tblCustomers[Customer Name],"⚠ Unknown")</f>
        <v>CV Sumber Rejeki Utama</v>
      </c>
      <c r="F1391" s="4" t="s">
        <v>8</v>
      </c>
      <c r="G1391" s="1" t="str">
        <f>_xlfn.XLOOKUP(tblSales[[#This Row],[Product Code]],tblProducts[Code],tblProducts[Product / Service Name],"⚠ Unknown")</f>
        <v>Casual Shorts</v>
      </c>
      <c r="H1391" s="1" t="str">
        <f>_xlfn.XLOOKUP(tblSales[[#This Row],[Product Code]],tblProducts[Code],tblProducts[Category],"")</f>
        <v>Accessories &amp; Basics</v>
      </c>
      <c r="I1391" s="4">
        <v>48</v>
      </c>
      <c r="J1391" s="5">
        <f>_xlfn.XLOOKUP(tblSales[[#This Row],[Product Code]],tblProducts[Code],tblProducts[Selling Price (excl. VAT)],0)</f>
        <v>85000</v>
      </c>
      <c r="K1391" s="5">
        <f>tblSales[[#This Row],[Qty]]*tblSales[[#This Row],[Unit Price]]</f>
        <v>4080000</v>
      </c>
      <c r="L1391" s="5">
        <f>ROUND(tblSales[[#This Row],[DPP (excl. VAT)]]*VATEff,0)</f>
        <v>448800</v>
      </c>
      <c r="M1391" s="5">
        <f>tblSales[[#This Row],[DPP (excl. VAT)]]+tblSales[[#This Row],[Output VAT]]</f>
        <v>4528800</v>
      </c>
      <c r="N1391" s="5">
        <f>tblSales[[#This Row],[Qty]]*_xlfn.XLOOKUP(tblSales[[#This Row],[Product Code]],tblProducts[Code],tblProducts[Unit Cost],0)</f>
        <v>2400000</v>
      </c>
      <c r="O1391" s="4" t="s">
        <v>4867</v>
      </c>
      <c r="P1391" s="4" t="s">
        <v>4860</v>
      </c>
      <c r="Q1391" s="1" t="str">
        <f>_xlfn.XLOOKUP(tblSales[[#This Row],[Channel Code]],tblChannels[Channel Code],tblChannels[Channel Name],"")</f>
        <v>In-store</v>
      </c>
      <c r="R1391" s="1">
        <f>MONTH(tblSales[[#This Row],[Date]])</f>
        <v>3</v>
      </c>
    </row>
    <row r="1392" spans="2:18" x14ac:dyDescent="0.35">
      <c r="B1392" s="113">
        <v>46106</v>
      </c>
      <c r="C1392" s="4" t="s">
        <v>993</v>
      </c>
      <c r="D1392" s="4" t="s">
        <v>4568</v>
      </c>
      <c r="E1392" s="1" t="str">
        <f>_xlfn.XLOOKUP(tblSales[[#This Row],[Customer ID]],tblCustomers[Customer ID],tblCustomers[Customer Name],"⚠ Unknown")</f>
        <v>Walk-in Customer</v>
      </c>
      <c r="F1392" s="4" t="s">
        <v>10</v>
      </c>
      <c r="G1392" s="1" t="str">
        <f>_xlfn.XLOOKUP(tblSales[[#This Row],[Product Code]],tblProducts[Code],tblProducts[Product / Service Name],"⚠ Unknown")</f>
        <v>Chino Pants</v>
      </c>
      <c r="H1392" s="1" t="str">
        <f>_xlfn.XLOOKUP(tblSales[[#This Row],[Product Code]],tblProducts[Code],tblProducts[Category],"")</f>
        <v>Apparel &amp; Footwear</v>
      </c>
      <c r="I1392" s="4">
        <v>11</v>
      </c>
      <c r="J1392" s="5">
        <f>_xlfn.XLOOKUP(tblSales[[#This Row],[Product Code]],tblProducts[Code],tblProducts[Selling Price (excl. VAT)],0)</f>
        <v>150000</v>
      </c>
      <c r="K1392" s="5">
        <f>tblSales[[#This Row],[Qty]]*tblSales[[#This Row],[Unit Price]]</f>
        <v>1650000</v>
      </c>
      <c r="L1392" s="5">
        <f>ROUND(tblSales[[#This Row],[DPP (excl. VAT)]]*VATEff,0)</f>
        <v>181500</v>
      </c>
      <c r="M1392" s="5">
        <f>tblSales[[#This Row],[DPP (excl. VAT)]]+tblSales[[#This Row],[Output VAT]]</f>
        <v>1831500</v>
      </c>
      <c r="N1392" s="5">
        <f>tblSales[[#This Row],[Qty]]*_xlfn.XLOOKUP(tblSales[[#This Row],[Product Code]],tblProducts[Code],tblProducts[Unit Cost],0)</f>
        <v>968000</v>
      </c>
      <c r="O1392" s="4" t="s">
        <v>4865</v>
      </c>
      <c r="P1392" s="4" t="s">
        <v>4860</v>
      </c>
      <c r="Q1392" s="1" t="str">
        <f>_xlfn.XLOOKUP(tblSales[[#This Row],[Channel Code]],tblChannels[Channel Code],tblChannels[Channel Name],"")</f>
        <v>In-store</v>
      </c>
      <c r="R1392" s="1">
        <f>MONTH(tblSales[[#This Row],[Date]])</f>
        <v>3</v>
      </c>
    </row>
    <row r="1393" spans="2:18" x14ac:dyDescent="0.35">
      <c r="B1393" s="113">
        <v>46106</v>
      </c>
      <c r="C1393" s="4" t="s">
        <v>994</v>
      </c>
      <c r="D1393" s="4" t="s">
        <v>4568</v>
      </c>
      <c r="E1393" s="1" t="str">
        <f>_xlfn.XLOOKUP(tblSales[[#This Row],[Customer ID]],tblCustomers[Customer ID],tblCustomers[Customer Name],"⚠ Unknown")</f>
        <v>Walk-in Customer</v>
      </c>
      <c r="F1393" s="4" t="s">
        <v>9</v>
      </c>
      <c r="G1393" s="1" t="str">
        <f>_xlfn.XLOOKUP(tblSales[[#This Row],[Product Code]],tblProducts[Code],tblProducts[Product / Service Name],"⚠ Unknown")</f>
        <v>Casual Shirt</v>
      </c>
      <c r="H1393" s="1" t="str">
        <f>_xlfn.XLOOKUP(tblSales[[#This Row],[Product Code]],tblProducts[Code],tblProducts[Category],"")</f>
        <v>Apparel &amp; Footwear</v>
      </c>
      <c r="I1393" s="4">
        <v>2</v>
      </c>
      <c r="J1393" s="5">
        <f>_xlfn.XLOOKUP(tblSales[[#This Row],[Product Code]],tblProducts[Code],tblProducts[Selling Price (excl. VAT)],0)</f>
        <v>120000</v>
      </c>
      <c r="K1393" s="5">
        <f>tblSales[[#This Row],[Qty]]*tblSales[[#This Row],[Unit Price]]</f>
        <v>240000</v>
      </c>
      <c r="L1393" s="5">
        <f>ROUND(tblSales[[#This Row],[DPP (excl. VAT)]]*VATEff,0)</f>
        <v>26400</v>
      </c>
      <c r="M1393" s="5">
        <f>tblSales[[#This Row],[DPP (excl. VAT)]]+tblSales[[#This Row],[Output VAT]]</f>
        <v>266400</v>
      </c>
      <c r="N1393" s="5">
        <f>tblSales[[#This Row],[Qty]]*_xlfn.XLOOKUP(tblSales[[#This Row],[Product Code]],tblProducts[Code],tblProducts[Unit Cost],0)</f>
        <v>144000</v>
      </c>
      <c r="O1393" s="4" t="s">
        <v>4866</v>
      </c>
      <c r="P1393" s="4" t="s">
        <v>4862</v>
      </c>
      <c r="Q1393" s="1" t="str">
        <f>_xlfn.XLOOKUP(tblSales[[#This Row],[Channel Code]],tblChannels[Channel Code],tblChannels[Channel Name],"")</f>
        <v>Website &amp; Social Media</v>
      </c>
      <c r="R1393" s="1">
        <f>MONTH(tblSales[[#This Row],[Date]])</f>
        <v>3</v>
      </c>
    </row>
    <row r="1394" spans="2:18" x14ac:dyDescent="0.35">
      <c r="B1394" s="113">
        <v>46106</v>
      </c>
      <c r="C1394" s="4" t="s">
        <v>995</v>
      </c>
      <c r="D1394" s="4" t="s">
        <v>4568</v>
      </c>
      <c r="E1394" s="1" t="str">
        <f>_xlfn.XLOOKUP(tblSales[[#This Row],[Customer ID]],tblCustomers[Customer ID],tblCustomers[Customer Name],"⚠ Unknown")</f>
        <v>Walk-in Customer</v>
      </c>
      <c r="F1394" s="4" t="s">
        <v>6</v>
      </c>
      <c r="G1394" s="1" t="str">
        <f>_xlfn.XLOOKUP(tblSales[[#This Row],[Product Code]],tblProducts[Code],tblProducts[Product / Service Name],"⚠ Unknown")</f>
        <v>Socks &amp; Accessories</v>
      </c>
      <c r="H1394" s="1" t="str">
        <f>_xlfn.XLOOKUP(tblSales[[#This Row],[Product Code]],tblProducts[Code],tblProducts[Category],"")</f>
        <v>Accessories &amp; Basics</v>
      </c>
      <c r="I1394" s="4">
        <v>6</v>
      </c>
      <c r="J1394" s="5">
        <f>_xlfn.XLOOKUP(tblSales[[#This Row],[Product Code]],tblProducts[Code],tblProducts[Selling Price (excl. VAT)],0)</f>
        <v>45000</v>
      </c>
      <c r="K1394" s="5">
        <f>tblSales[[#This Row],[Qty]]*tblSales[[#This Row],[Unit Price]]</f>
        <v>270000</v>
      </c>
      <c r="L1394" s="5">
        <f>ROUND(tblSales[[#This Row],[DPP (excl. VAT)]]*VATEff,0)</f>
        <v>29700</v>
      </c>
      <c r="M1394" s="5">
        <f>tblSales[[#This Row],[DPP (excl. VAT)]]+tblSales[[#This Row],[Output VAT]]</f>
        <v>299700</v>
      </c>
      <c r="N1394" s="5">
        <f>tblSales[[#This Row],[Qty]]*_xlfn.XLOOKUP(tblSales[[#This Row],[Product Code]],tblProducts[Code],tblProducts[Unit Cost],0)</f>
        <v>144000</v>
      </c>
      <c r="O1394" s="4" t="s">
        <v>4865</v>
      </c>
      <c r="P1394" s="4" t="s">
        <v>4860</v>
      </c>
      <c r="Q1394" s="1" t="str">
        <f>_xlfn.XLOOKUP(tblSales[[#This Row],[Channel Code]],tblChannels[Channel Code],tblChannels[Channel Name],"")</f>
        <v>In-store</v>
      </c>
      <c r="R1394" s="1">
        <f>MONTH(tblSales[[#This Row],[Date]])</f>
        <v>3</v>
      </c>
    </row>
    <row r="1395" spans="2:18" x14ac:dyDescent="0.35">
      <c r="B1395" s="113">
        <v>46106</v>
      </c>
      <c r="C1395" s="4" t="s">
        <v>995</v>
      </c>
      <c r="D1395" s="4" t="s">
        <v>4568</v>
      </c>
      <c r="E1395" s="1" t="str">
        <f>_xlfn.XLOOKUP(tblSales[[#This Row],[Customer ID]],tblCustomers[Customer ID],tblCustomers[Customer Name],"⚠ Unknown")</f>
        <v>Walk-in Customer</v>
      </c>
      <c r="F1395" s="4" t="s">
        <v>7</v>
      </c>
      <c r="G1395" s="1" t="str">
        <f>_xlfn.XLOOKUP(tblSales[[#This Row],[Product Code]],tblProducts[Code],tblProducts[Product / Service Name],"⚠ Unknown")</f>
        <v>Premium Basic T-shirt</v>
      </c>
      <c r="H1395" s="1" t="str">
        <f>_xlfn.XLOOKUP(tblSales[[#This Row],[Product Code]],tblProducts[Code],tblProducts[Category],"")</f>
        <v>Accessories &amp; Basics</v>
      </c>
      <c r="I1395" s="4">
        <v>5</v>
      </c>
      <c r="J1395" s="5">
        <f>_xlfn.XLOOKUP(tblSales[[#This Row],[Product Code]],tblProducts[Code],tblProducts[Selling Price (excl. VAT)],0)</f>
        <v>65000</v>
      </c>
      <c r="K1395" s="5">
        <f>tblSales[[#This Row],[Qty]]*tblSales[[#This Row],[Unit Price]]</f>
        <v>325000</v>
      </c>
      <c r="L1395" s="5">
        <f>ROUND(tblSales[[#This Row],[DPP (excl. VAT)]]*VATEff,0)</f>
        <v>35750</v>
      </c>
      <c r="M1395" s="5">
        <f>tblSales[[#This Row],[DPP (excl. VAT)]]+tblSales[[#This Row],[Output VAT]]</f>
        <v>360750</v>
      </c>
      <c r="N1395" s="5">
        <f>tblSales[[#This Row],[Qty]]*_xlfn.XLOOKUP(tblSales[[#This Row],[Product Code]],tblProducts[Code],tblProducts[Unit Cost],0)</f>
        <v>185000</v>
      </c>
      <c r="O1395" s="4" t="s">
        <v>4865</v>
      </c>
      <c r="P1395" s="4" t="s">
        <v>4860</v>
      </c>
      <c r="Q1395" s="1" t="str">
        <f>_xlfn.XLOOKUP(tblSales[[#This Row],[Channel Code]],tblChannels[Channel Code],tblChannels[Channel Name],"")</f>
        <v>In-store</v>
      </c>
      <c r="R1395" s="1">
        <f>MONTH(tblSales[[#This Row],[Date]])</f>
        <v>3</v>
      </c>
    </row>
    <row r="1396" spans="2:18" x14ac:dyDescent="0.35">
      <c r="B1396" s="113">
        <v>46107</v>
      </c>
      <c r="C1396" s="4" t="s">
        <v>996</v>
      </c>
      <c r="D1396" s="4" t="s">
        <v>4568</v>
      </c>
      <c r="E1396" s="1" t="str">
        <f>_xlfn.XLOOKUP(tblSales[[#This Row],[Customer ID]],tblCustomers[Customer ID],tblCustomers[Customer Name],"⚠ Unknown")</f>
        <v>Walk-in Customer</v>
      </c>
      <c r="F1396" s="4" t="s">
        <v>10</v>
      </c>
      <c r="G1396" s="1" t="str">
        <f>_xlfn.XLOOKUP(tblSales[[#This Row],[Product Code]],tblProducts[Code],tblProducts[Product / Service Name],"⚠ Unknown")</f>
        <v>Chino Pants</v>
      </c>
      <c r="H1396" s="1" t="str">
        <f>_xlfn.XLOOKUP(tblSales[[#This Row],[Product Code]],tblProducts[Code],tblProducts[Category],"")</f>
        <v>Apparel &amp; Footwear</v>
      </c>
      <c r="I1396" s="4">
        <v>7</v>
      </c>
      <c r="J1396" s="5">
        <f>_xlfn.XLOOKUP(tblSales[[#This Row],[Product Code]],tblProducts[Code],tblProducts[Selling Price (excl. VAT)],0)</f>
        <v>150000</v>
      </c>
      <c r="K1396" s="5">
        <f>tblSales[[#This Row],[Qty]]*tblSales[[#This Row],[Unit Price]]</f>
        <v>1050000</v>
      </c>
      <c r="L1396" s="5">
        <f>ROUND(tblSales[[#This Row],[DPP (excl. VAT)]]*VATEff,0)</f>
        <v>115500</v>
      </c>
      <c r="M1396" s="5">
        <f>tblSales[[#This Row],[DPP (excl. VAT)]]+tblSales[[#This Row],[Output VAT]]</f>
        <v>1165500</v>
      </c>
      <c r="N1396" s="5">
        <f>tblSales[[#This Row],[Qty]]*_xlfn.XLOOKUP(tblSales[[#This Row],[Product Code]],tblProducts[Code],tblProducts[Unit Cost],0)</f>
        <v>616000</v>
      </c>
      <c r="O1396" s="4" t="s">
        <v>4866</v>
      </c>
      <c r="P1396" s="4" t="s">
        <v>4860</v>
      </c>
      <c r="Q1396" s="1" t="str">
        <f>_xlfn.XLOOKUP(tblSales[[#This Row],[Channel Code]],tblChannels[Channel Code],tblChannels[Channel Name],"")</f>
        <v>In-store</v>
      </c>
      <c r="R1396" s="1">
        <f>MONTH(tblSales[[#This Row],[Date]])</f>
        <v>3</v>
      </c>
    </row>
    <row r="1397" spans="2:18" x14ac:dyDescent="0.35">
      <c r="B1397" s="113">
        <v>46107</v>
      </c>
      <c r="C1397" s="4" t="s">
        <v>997</v>
      </c>
      <c r="D1397" s="4" t="s">
        <v>4578</v>
      </c>
      <c r="E1397" s="1" t="str">
        <f>_xlfn.XLOOKUP(tblSales[[#This Row],[Customer ID]],tblCustomers[Customer ID],tblCustomers[Customer Name],"⚠ Unknown")</f>
        <v>PT Bintang Timur Sejahtera</v>
      </c>
      <c r="F1397" s="4" t="s">
        <v>7</v>
      </c>
      <c r="G1397" s="1" t="str">
        <f>_xlfn.XLOOKUP(tblSales[[#This Row],[Product Code]],tblProducts[Code],tblProducts[Product / Service Name],"⚠ Unknown")</f>
        <v>Premium Basic T-shirt</v>
      </c>
      <c r="H1397" s="1" t="str">
        <f>_xlfn.XLOOKUP(tblSales[[#This Row],[Product Code]],tblProducts[Code],tblProducts[Category],"")</f>
        <v>Accessories &amp; Basics</v>
      </c>
      <c r="I1397" s="4">
        <v>88</v>
      </c>
      <c r="J1397" s="5">
        <f>_xlfn.XLOOKUP(tblSales[[#This Row],[Product Code]],tblProducts[Code],tblProducts[Selling Price (excl. VAT)],0)</f>
        <v>65000</v>
      </c>
      <c r="K1397" s="5">
        <f>tblSales[[#This Row],[Qty]]*tblSales[[#This Row],[Unit Price]]</f>
        <v>5720000</v>
      </c>
      <c r="L1397" s="5">
        <f>ROUND(tblSales[[#This Row],[DPP (excl. VAT)]]*VATEff,0)</f>
        <v>629200</v>
      </c>
      <c r="M1397" s="5">
        <f>tblSales[[#This Row],[DPP (excl. VAT)]]+tblSales[[#This Row],[Output VAT]]</f>
        <v>6349200</v>
      </c>
      <c r="N1397" s="5">
        <f>tblSales[[#This Row],[Qty]]*_xlfn.XLOOKUP(tblSales[[#This Row],[Product Code]],tblProducts[Code],tblProducts[Unit Cost],0)</f>
        <v>3256000</v>
      </c>
      <c r="O1397" s="4" t="s">
        <v>4867</v>
      </c>
      <c r="P1397" s="4" t="s">
        <v>4860</v>
      </c>
      <c r="Q1397" s="1" t="str">
        <f>_xlfn.XLOOKUP(tblSales[[#This Row],[Channel Code]],tblChannels[Channel Code],tblChannels[Channel Name],"")</f>
        <v>In-store</v>
      </c>
      <c r="R1397" s="1">
        <f>MONTH(tblSales[[#This Row],[Date]])</f>
        <v>3</v>
      </c>
    </row>
    <row r="1398" spans="2:18" x14ac:dyDescent="0.35">
      <c r="B1398" s="113">
        <v>46107</v>
      </c>
      <c r="C1398" s="4" t="s">
        <v>997</v>
      </c>
      <c r="D1398" s="4" t="s">
        <v>4578</v>
      </c>
      <c r="E1398" s="1" t="str">
        <f>_xlfn.XLOOKUP(tblSales[[#This Row],[Customer ID]],tblCustomers[Customer ID],tblCustomers[Customer Name],"⚠ Unknown")</f>
        <v>PT Bintang Timur Sejahtera</v>
      </c>
      <c r="F1398" s="4" t="s">
        <v>9</v>
      </c>
      <c r="G1398" s="1" t="str">
        <f>_xlfn.XLOOKUP(tblSales[[#This Row],[Product Code]],tblProducts[Code],tblProducts[Product / Service Name],"⚠ Unknown")</f>
        <v>Casual Shirt</v>
      </c>
      <c r="H1398" s="1" t="str">
        <f>_xlfn.XLOOKUP(tblSales[[#This Row],[Product Code]],tblProducts[Code],tblProducts[Category],"")</f>
        <v>Apparel &amp; Footwear</v>
      </c>
      <c r="I1398" s="4">
        <v>8</v>
      </c>
      <c r="J1398" s="5">
        <f>_xlfn.XLOOKUP(tblSales[[#This Row],[Product Code]],tblProducts[Code],tblProducts[Selling Price (excl. VAT)],0)</f>
        <v>120000</v>
      </c>
      <c r="K1398" s="5">
        <f>tblSales[[#This Row],[Qty]]*tblSales[[#This Row],[Unit Price]]</f>
        <v>960000</v>
      </c>
      <c r="L1398" s="5">
        <f>ROUND(tblSales[[#This Row],[DPP (excl. VAT)]]*VATEff,0)</f>
        <v>105600</v>
      </c>
      <c r="M1398" s="5">
        <f>tblSales[[#This Row],[DPP (excl. VAT)]]+tblSales[[#This Row],[Output VAT]]</f>
        <v>1065600</v>
      </c>
      <c r="N1398" s="5">
        <f>tblSales[[#This Row],[Qty]]*_xlfn.XLOOKUP(tblSales[[#This Row],[Product Code]],tblProducts[Code],tblProducts[Unit Cost],0)</f>
        <v>576000</v>
      </c>
      <c r="O1398" s="4" t="s">
        <v>4867</v>
      </c>
      <c r="P1398" s="4" t="s">
        <v>4860</v>
      </c>
      <c r="Q1398" s="1" t="str">
        <f>_xlfn.XLOOKUP(tblSales[[#This Row],[Channel Code]],tblChannels[Channel Code],tblChannels[Channel Name],"")</f>
        <v>In-store</v>
      </c>
      <c r="R1398" s="1">
        <f>MONTH(tblSales[[#This Row],[Date]])</f>
        <v>3</v>
      </c>
    </row>
    <row r="1399" spans="2:18" x14ac:dyDescent="0.35">
      <c r="B1399" s="113">
        <v>46107</v>
      </c>
      <c r="C1399" s="4" t="s">
        <v>997</v>
      </c>
      <c r="D1399" s="4" t="s">
        <v>4578</v>
      </c>
      <c r="E1399" s="1" t="str">
        <f>_xlfn.XLOOKUP(tblSales[[#This Row],[Customer ID]],tblCustomers[Customer ID],tblCustomers[Customer Name],"⚠ Unknown")</f>
        <v>PT Bintang Timur Sejahtera</v>
      </c>
      <c r="F1399" s="4" t="s">
        <v>10</v>
      </c>
      <c r="G1399" s="1" t="str">
        <f>_xlfn.XLOOKUP(tblSales[[#This Row],[Product Code]],tblProducts[Code],tblProducts[Product / Service Name],"⚠ Unknown")</f>
        <v>Chino Pants</v>
      </c>
      <c r="H1399" s="1" t="str">
        <f>_xlfn.XLOOKUP(tblSales[[#This Row],[Product Code]],tblProducts[Code],tblProducts[Category],"")</f>
        <v>Apparel &amp; Footwear</v>
      </c>
      <c r="I1399" s="4">
        <v>96</v>
      </c>
      <c r="J1399" s="5">
        <f>_xlfn.XLOOKUP(tblSales[[#This Row],[Product Code]],tblProducts[Code],tblProducts[Selling Price (excl. VAT)],0)</f>
        <v>150000</v>
      </c>
      <c r="K1399" s="5">
        <f>tblSales[[#This Row],[Qty]]*tblSales[[#This Row],[Unit Price]]</f>
        <v>14400000</v>
      </c>
      <c r="L1399" s="5">
        <f>ROUND(tblSales[[#This Row],[DPP (excl. VAT)]]*VATEff,0)</f>
        <v>1584000</v>
      </c>
      <c r="M1399" s="5">
        <f>tblSales[[#This Row],[DPP (excl. VAT)]]+tblSales[[#This Row],[Output VAT]]</f>
        <v>15984000</v>
      </c>
      <c r="N1399" s="5">
        <f>tblSales[[#This Row],[Qty]]*_xlfn.XLOOKUP(tblSales[[#This Row],[Product Code]],tblProducts[Code],tblProducts[Unit Cost],0)</f>
        <v>8448000</v>
      </c>
      <c r="O1399" s="4" t="s">
        <v>4867</v>
      </c>
      <c r="P1399" s="4" t="s">
        <v>4860</v>
      </c>
      <c r="Q1399" s="1" t="str">
        <f>_xlfn.XLOOKUP(tblSales[[#This Row],[Channel Code]],tblChannels[Channel Code],tblChannels[Channel Name],"")</f>
        <v>In-store</v>
      </c>
      <c r="R1399" s="1">
        <f>MONTH(tblSales[[#This Row],[Date]])</f>
        <v>3</v>
      </c>
    </row>
    <row r="1400" spans="2:18" x14ac:dyDescent="0.35">
      <c r="B1400" s="113">
        <v>46107</v>
      </c>
      <c r="C1400" s="4" t="s">
        <v>998</v>
      </c>
      <c r="D1400" s="4" t="s">
        <v>4568</v>
      </c>
      <c r="E1400" s="1" t="str">
        <f>_xlfn.XLOOKUP(tblSales[[#This Row],[Customer ID]],tblCustomers[Customer ID],tblCustomers[Customer Name],"⚠ Unknown")</f>
        <v>Walk-in Customer</v>
      </c>
      <c r="F1400" s="4" t="s">
        <v>12</v>
      </c>
      <c r="G1400" s="1" t="str">
        <f>_xlfn.XLOOKUP(tblSales[[#This Row],[Product Code]],tblProducts[Code],tblProducts[Product / Service Name],"⚠ Unknown")</f>
        <v>Bomber Jacket</v>
      </c>
      <c r="H1400" s="1" t="str">
        <f>_xlfn.XLOOKUP(tblSales[[#This Row],[Product Code]],tblProducts[Code],tblProducts[Category],"")</f>
        <v>Apparel &amp; Footwear</v>
      </c>
      <c r="I1400" s="4">
        <v>1</v>
      </c>
      <c r="J1400" s="5">
        <f>_xlfn.XLOOKUP(tblSales[[#This Row],[Product Code]],tblProducts[Code],tblProducts[Selling Price (excl. VAT)],0)</f>
        <v>350000</v>
      </c>
      <c r="K1400" s="5">
        <f>tblSales[[#This Row],[Qty]]*tblSales[[#This Row],[Unit Price]]</f>
        <v>350000</v>
      </c>
      <c r="L1400" s="5">
        <f>ROUND(tblSales[[#This Row],[DPP (excl. VAT)]]*VATEff,0)</f>
        <v>38500</v>
      </c>
      <c r="M1400" s="5">
        <f>tblSales[[#This Row],[DPP (excl. VAT)]]+tblSales[[#This Row],[Output VAT]]</f>
        <v>388500</v>
      </c>
      <c r="N1400" s="5">
        <f>tblSales[[#This Row],[Qty]]*_xlfn.XLOOKUP(tblSales[[#This Row],[Product Code]],tblProducts[Code],tblProducts[Unit Cost],0)</f>
        <v>210000</v>
      </c>
      <c r="O1400" s="4" t="s">
        <v>4866</v>
      </c>
      <c r="P1400" s="4" t="s">
        <v>4862</v>
      </c>
      <c r="Q1400" s="1" t="str">
        <f>_xlfn.XLOOKUP(tblSales[[#This Row],[Channel Code]],tblChannels[Channel Code],tblChannels[Channel Name],"")</f>
        <v>Website &amp; Social Media</v>
      </c>
      <c r="R1400" s="1">
        <f>MONTH(tblSales[[#This Row],[Date]])</f>
        <v>3</v>
      </c>
    </row>
    <row r="1401" spans="2:18" x14ac:dyDescent="0.35">
      <c r="B1401" s="113">
        <v>46107</v>
      </c>
      <c r="C1401" s="4" t="s">
        <v>998</v>
      </c>
      <c r="D1401" s="4" t="s">
        <v>4568</v>
      </c>
      <c r="E1401" s="1" t="str">
        <f>_xlfn.XLOOKUP(tblSales[[#This Row],[Customer ID]],tblCustomers[Customer ID],tblCustomers[Customer Name],"⚠ Unknown")</f>
        <v>Walk-in Customer</v>
      </c>
      <c r="F1401" s="4" t="s">
        <v>15</v>
      </c>
      <c r="G1401" s="1" t="str">
        <f>_xlfn.XLOOKUP(tblSales[[#This Row],[Product Code]],tblProducts[Code],tblProducts[Product / Service Name],"⚠ Unknown")</f>
        <v>Wireless Earbuds Pro</v>
      </c>
      <c r="H1401" s="1" t="str">
        <f>_xlfn.XLOOKUP(tblSales[[#This Row],[Product Code]],tblProducts[Code],tblProducts[Category],"")</f>
        <v>Bags &amp; Gadgets</v>
      </c>
      <c r="I1401" s="4">
        <v>1</v>
      </c>
      <c r="J1401" s="5">
        <f>_xlfn.XLOOKUP(tblSales[[#This Row],[Product Code]],tblProducts[Code],tblProducts[Selling Price (excl. VAT)],0)</f>
        <v>1250000</v>
      </c>
      <c r="K1401" s="5">
        <f>tblSales[[#This Row],[Qty]]*tblSales[[#This Row],[Unit Price]]</f>
        <v>1250000</v>
      </c>
      <c r="L1401" s="5">
        <f>ROUND(tblSales[[#This Row],[DPP (excl. VAT)]]*VATEff,0)</f>
        <v>137500</v>
      </c>
      <c r="M1401" s="5">
        <f>tblSales[[#This Row],[DPP (excl. VAT)]]+tblSales[[#This Row],[Output VAT]]</f>
        <v>1387500</v>
      </c>
      <c r="N1401" s="5">
        <f>tblSales[[#This Row],[Qty]]*_xlfn.XLOOKUP(tblSales[[#This Row],[Product Code]],tblProducts[Code],tblProducts[Unit Cost],0)</f>
        <v>820000</v>
      </c>
      <c r="O1401" s="4" t="s">
        <v>4866</v>
      </c>
      <c r="P1401" s="4" t="s">
        <v>4862</v>
      </c>
      <c r="Q1401" s="1" t="str">
        <f>_xlfn.XLOOKUP(tblSales[[#This Row],[Channel Code]],tblChannels[Channel Code],tblChannels[Channel Name],"")</f>
        <v>Website &amp; Social Media</v>
      </c>
      <c r="R1401" s="1">
        <f>MONTH(tblSales[[#This Row],[Date]])</f>
        <v>3</v>
      </c>
    </row>
    <row r="1402" spans="2:18" x14ac:dyDescent="0.35">
      <c r="B1402" s="113">
        <v>46107</v>
      </c>
      <c r="C1402" s="4" t="s">
        <v>999</v>
      </c>
      <c r="D1402" s="4" t="s">
        <v>4568</v>
      </c>
      <c r="E1402" s="1" t="str">
        <f>_xlfn.XLOOKUP(tblSales[[#This Row],[Customer ID]],tblCustomers[Customer ID],tblCustomers[Customer Name],"⚠ Unknown")</f>
        <v>Walk-in Customer</v>
      </c>
      <c r="F1402" s="4" t="s">
        <v>6</v>
      </c>
      <c r="G1402" s="1" t="str">
        <f>_xlfn.XLOOKUP(tblSales[[#This Row],[Product Code]],tblProducts[Code],tblProducts[Product / Service Name],"⚠ Unknown")</f>
        <v>Socks &amp; Accessories</v>
      </c>
      <c r="H1402" s="1" t="str">
        <f>_xlfn.XLOOKUP(tblSales[[#This Row],[Product Code]],tblProducts[Code],tblProducts[Category],"")</f>
        <v>Accessories &amp; Basics</v>
      </c>
      <c r="I1402" s="4">
        <v>4</v>
      </c>
      <c r="J1402" s="5">
        <f>_xlfn.XLOOKUP(tblSales[[#This Row],[Product Code]],tblProducts[Code],tblProducts[Selling Price (excl. VAT)],0)</f>
        <v>45000</v>
      </c>
      <c r="K1402" s="5">
        <f>tblSales[[#This Row],[Qty]]*tblSales[[#This Row],[Unit Price]]</f>
        <v>180000</v>
      </c>
      <c r="L1402" s="5">
        <f>ROUND(tblSales[[#This Row],[DPP (excl. VAT)]]*VATEff,0)</f>
        <v>19800</v>
      </c>
      <c r="M1402" s="5">
        <f>tblSales[[#This Row],[DPP (excl. VAT)]]+tblSales[[#This Row],[Output VAT]]</f>
        <v>199800</v>
      </c>
      <c r="N1402" s="5">
        <f>tblSales[[#This Row],[Qty]]*_xlfn.XLOOKUP(tblSales[[#This Row],[Product Code]],tblProducts[Code],tblProducts[Unit Cost],0)</f>
        <v>96000</v>
      </c>
      <c r="O1402" s="4" t="s">
        <v>4866</v>
      </c>
      <c r="P1402" s="4" t="s">
        <v>4862</v>
      </c>
      <c r="Q1402" s="1" t="str">
        <f>_xlfn.XLOOKUP(tblSales[[#This Row],[Channel Code]],tblChannels[Channel Code],tblChannels[Channel Name],"")</f>
        <v>Website &amp; Social Media</v>
      </c>
      <c r="R1402" s="1">
        <f>MONTH(tblSales[[#This Row],[Date]])</f>
        <v>3</v>
      </c>
    </row>
    <row r="1403" spans="2:18" x14ac:dyDescent="0.35">
      <c r="B1403" s="113">
        <v>46107</v>
      </c>
      <c r="C1403" s="4" t="s">
        <v>999</v>
      </c>
      <c r="D1403" s="4" t="s">
        <v>4568</v>
      </c>
      <c r="E1403" s="1" t="str">
        <f>_xlfn.XLOOKUP(tblSales[[#This Row],[Customer ID]],tblCustomers[Customer ID],tblCustomers[Customer Name],"⚠ Unknown")</f>
        <v>Walk-in Customer</v>
      </c>
      <c r="F1403" s="4" t="s">
        <v>13</v>
      </c>
      <c r="G1403" s="1" t="str">
        <f>_xlfn.XLOOKUP(tblSales[[#This Row],[Product Code]],tblProducts[Code],tblProducts[Product / Service Name],"⚠ Unknown")</f>
        <v>Backpack</v>
      </c>
      <c r="H1403" s="1" t="str">
        <f>_xlfn.XLOOKUP(tblSales[[#This Row],[Product Code]],tblProducts[Code],tblProducts[Category],"")</f>
        <v>Bags &amp; Gadgets</v>
      </c>
      <c r="I1403" s="4">
        <v>4</v>
      </c>
      <c r="J1403" s="5">
        <f>_xlfn.XLOOKUP(tblSales[[#This Row],[Product Code]],tblProducts[Code],tblProducts[Selling Price (excl. VAT)],0)</f>
        <v>500000</v>
      </c>
      <c r="K1403" s="5">
        <f>tblSales[[#This Row],[Qty]]*tblSales[[#This Row],[Unit Price]]</f>
        <v>2000000</v>
      </c>
      <c r="L1403" s="5">
        <f>ROUND(tblSales[[#This Row],[DPP (excl. VAT)]]*VATEff,0)</f>
        <v>220000</v>
      </c>
      <c r="M1403" s="5">
        <f>tblSales[[#This Row],[DPP (excl. VAT)]]+tblSales[[#This Row],[Output VAT]]</f>
        <v>2220000</v>
      </c>
      <c r="N1403" s="5">
        <f>tblSales[[#This Row],[Qty]]*_xlfn.XLOOKUP(tblSales[[#This Row],[Product Code]],tblProducts[Code],tblProducts[Unit Cost],0)</f>
        <v>1160000</v>
      </c>
      <c r="O1403" s="4" t="s">
        <v>4866</v>
      </c>
      <c r="P1403" s="4" t="s">
        <v>4862</v>
      </c>
      <c r="Q1403" s="1" t="str">
        <f>_xlfn.XLOOKUP(tblSales[[#This Row],[Channel Code]],tblChannels[Channel Code],tblChannels[Channel Name],"")</f>
        <v>Website &amp; Social Media</v>
      </c>
      <c r="R1403" s="1">
        <f>MONTH(tblSales[[#This Row],[Date]])</f>
        <v>3</v>
      </c>
    </row>
    <row r="1404" spans="2:18" x14ac:dyDescent="0.35">
      <c r="B1404" s="113">
        <v>46107</v>
      </c>
      <c r="C1404" s="4" t="s">
        <v>1000</v>
      </c>
      <c r="D1404" s="4" t="s">
        <v>4613</v>
      </c>
      <c r="E1404" s="1" t="str">
        <f>_xlfn.XLOOKUP(tblSales[[#This Row],[Customer ID]],tblCustomers[Customer ID],tblCustomers[Customer Name],"⚠ Unknown")</f>
        <v>PT Mega Prima Distribusi</v>
      </c>
      <c r="F1404" s="4" t="s">
        <v>11</v>
      </c>
      <c r="G1404" s="1" t="str">
        <f>_xlfn.XLOOKUP(tblSales[[#This Row],[Product Code]],tblProducts[Code],tblProducts[Product / Service Name],"⚠ Unknown")</f>
        <v>Sneakers</v>
      </c>
      <c r="H1404" s="1" t="str">
        <f>_xlfn.XLOOKUP(tblSales[[#This Row],[Product Code]],tblProducts[Code],tblProducts[Category],"")</f>
        <v>Apparel &amp; Footwear</v>
      </c>
      <c r="I1404" s="4">
        <v>16</v>
      </c>
      <c r="J1404" s="5">
        <f>_xlfn.XLOOKUP(tblSales[[#This Row],[Product Code]],tblProducts[Code],tblProducts[Selling Price (excl. VAT)],0)</f>
        <v>250000</v>
      </c>
      <c r="K1404" s="5">
        <f>tblSales[[#This Row],[Qty]]*tblSales[[#This Row],[Unit Price]]</f>
        <v>4000000</v>
      </c>
      <c r="L1404" s="5">
        <f>ROUND(tblSales[[#This Row],[DPP (excl. VAT)]]*VATEff,0)</f>
        <v>440000</v>
      </c>
      <c r="M1404" s="5">
        <f>tblSales[[#This Row],[DPP (excl. VAT)]]+tblSales[[#This Row],[Output VAT]]</f>
        <v>4440000</v>
      </c>
      <c r="N1404" s="5">
        <f>tblSales[[#This Row],[Qty]]*_xlfn.XLOOKUP(tblSales[[#This Row],[Product Code]],tblProducts[Code],tblProducts[Unit Cost],0)</f>
        <v>2480000</v>
      </c>
      <c r="O1404" s="4" t="s">
        <v>4867</v>
      </c>
      <c r="P1404" s="4" t="s">
        <v>4860</v>
      </c>
      <c r="Q1404" s="1" t="str">
        <f>_xlfn.XLOOKUP(tblSales[[#This Row],[Channel Code]],tblChannels[Channel Code],tblChannels[Channel Name],"")</f>
        <v>In-store</v>
      </c>
      <c r="R1404" s="1">
        <f>MONTH(tblSales[[#This Row],[Date]])</f>
        <v>3</v>
      </c>
    </row>
    <row r="1405" spans="2:18" x14ac:dyDescent="0.35">
      <c r="B1405" s="113">
        <v>46107</v>
      </c>
      <c r="C1405" s="4" t="s">
        <v>1001</v>
      </c>
      <c r="D1405" s="4" t="s">
        <v>4578</v>
      </c>
      <c r="E1405" s="1" t="str">
        <f>_xlfn.XLOOKUP(tblSales[[#This Row],[Customer ID]],tblCustomers[Customer ID],tblCustomers[Customer Name],"⚠ Unknown")</f>
        <v>PT Bintang Timur Sejahtera</v>
      </c>
      <c r="F1405" s="4" t="s">
        <v>10</v>
      </c>
      <c r="G1405" s="1" t="str">
        <f>_xlfn.XLOOKUP(tblSales[[#This Row],[Product Code]],tblProducts[Code],tblProducts[Product / Service Name],"⚠ Unknown")</f>
        <v>Chino Pants</v>
      </c>
      <c r="H1405" s="1" t="str">
        <f>_xlfn.XLOOKUP(tblSales[[#This Row],[Product Code]],tblProducts[Code],tblProducts[Category],"")</f>
        <v>Apparel &amp; Footwear</v>
      </c>
      <c r="I1405" s="4">
        <v>48</v>
      </c>
      <c r="J1405" s="5">
        <f>_xlfn.XLOOKUP(tblSales[[#This Row],[Product Code]],tblProducts[Code],tblProducts[Selling Price (excl. VAT)],0)</f>
        <v>150000</v>
      </c>
      <c r="K1405" s="5">
        <f>tblSales[[#This Row],[Qty]]*tblSales[[#This Row],[Unit Price]]</f>
        <v>7200000</v>
      </c>
      <c r="L1405" s="5">
        <f>ROUND(tblSales[[#This Row],[DPP (excl. VAT)]]*VATEff,0)</f>
        <v>792000</v>
      </c>
      <c r="M1405" s="5">
        <f>tblSales[[#This Row],[DPP (excl. VAT)]]+tblSales[[#This Row],[Output VAT]]</f>
        <v>7992000</v>
      </c>
      <c r="N1405" s="5">
        <f>tblSales[[#This Row],[Qty]]*_xlfn.XLOOKUP(tblSales[[#This Row],[Product Code]],tblProducts[Code],tblProducts[Unit Cost],0)</f>
        <v>4224000</v>
      </c>
      <c r="O1405" s="4" t="s">
        <v>4867</v>
      </c>
      <c r="P1405" s="4" t="s">
        <v>4860</v>
      </c>
      <c r="Q1405" s="1" t="str">
        <f>_xlfn.XLOOKUP(tblSales[[#This Row],[Channel Code]],tblChannels[Channel Code],tblChannels[Channel Name],"")</f>
        <v>In-store</v>
      </c>
      <c r="R1405" s="1">
        <f>MONTH(tblSales[[#This Row],[Date]])</f>
        <v>3</v>
      </c>
    </row>
    <row r="1406" spans="2:18" x14ac:dyDescent="0.35">
      <c r="B1406" s="113">
        <v>46107</v>
      </c>
      <c r="C1406" s="4" t="s">
        <v>1002</v>
      </c>
      <c r="D1406" s="4" t="s">
        <v>4568</v>
      </c>
      <c r="E1406" s="1" t="str">
        <f>_xlfn.XLOOKUP(tblSales[[#This Row],[Customer ID]],tblCustomers[Customer ID],tblCustomers[Customer Name],"⚠ Unknown")</f>
        <v>Walk-in Customer</v>
      </c>
      <c r="F1406" s="4" t="s">
        <v>7</v>
      </c>
      <c r="G1406" s="1" t="str">
        <f>_xlfn.XLOOKUP(tblSales[[#This Row],[Product Code]],tblProducts[Code],tblProducts[Product / Service Name],"⚠ Unknown")</f>
        <v>Premium Basic T-shirt</v>
      </c>
      <c r="H1406" s="1" t="str">
        <f>_xlfn.XLOOKUP(tblSales[[#This Row],[Product Code]],tblProducts[Code],tblProducts[Category],"")</f>
        <v>Accessories &amp; Basics</v>
      </c>
      <c r="I1406" s="4">
        <v>3</v>
      </c>
      <c r="J1406" s="5">
        <f>_xlfn.XLOOKUP(tblSales[[#This Row],[Product Code]],tblProducts[Code],tblProducts[Selling Price (excl. VAT)],0)</f>
        <v>65000</v>
      </c>
      <c r="K1406" s="5">
        <f>tblSales[[#This Row],[Qty]]*tblSales[[#This Row],[Unit Price]]</f>
        <v>195000</v>
      </c>
      <c r="L1406" s="5">
        <f>ROUND(tblSales[[#This Row],[DPP (excl. VAT)]]*VATEff,0)</f>
        <v>21450</v>
      </c>
      <c r="M1406" s="5">
        <f>tblSales[[#This Row],[DPP (excl. VAT)]]+tblSales[[#This Row],[Output VAT]]</f>
        <v>216450</v>
      </c>
      <c r="N1406" s="5">
        <f>tblSales[[#This Row],[Qty]]*_xlfn.XLOOKUP(tblSales[[#This Row],[Product Code]],tblProducts[Code],tblProducts[Unit Cost],0)</f>
        <v>111000</v>
      </c>
      <c r="O1406" s="4" t="s">
        <v>4866</v>
      </c>
      <c r="P1406" s="4" t="s">
        <v>4862</v>
      </c>
      <c r="Q1406" s="1" t="str">
        <f>_xlfn.XLOOKUP(tblSales[[#This Row],[Channel Code]],tblChannels[Channel Code],tblChannels[Channel Name],"")</f>
        <v>Website &amp; Social Media</v>
      </c>
      <c r="R1406" s="1">
        <f>MONTH(tblSales[[#This Row],[Date]])</f>
        <v>3</v>
      </c>
    </row>
    <row r="1407" spans="2:18" x14ac:dyDescent="0.35">
      <c r="B1407" s="113">
        <v>46107</v>
      </c>
      <c r="C1407" s="4" t="s">
        <v>1003</v>
      </c>
      <c r="D1407" s="4" t="s">
        <v>4568</v>
      </c>
      <c r="E1407" s="1" t="str">
        <f>_xlfn.XLOOKUP(tblSales[[#This Row],[Customer ID]],tblCustomers[Customer ID],tblCustomers[Customer Name],"⚠ Unknown")</f>
        <v>Walk-in Customer</v>
      </c>
      <c r="F1407" s="4" t="s">
        <v>10</v>
      </c>
      <c r="G1407" s="1" t="str">
        <f>_xlfn.XLOOKUP(tblSales[[#This Row],[Product Code]],tblProducts[Code],tblProducts[Product / Service Name],"⚠ Unknown")</f>
        <v>Chino Pants</v>
      </c>
      <c r="H1407" s="1" t="str">
        <f>_xlfn.XLOOKUP(tblSales[[#This Row],[Product Code]],tblProducts[Code],tblProducts[Category],"")</f>
        <v>Apparel &amp; Footwear</v>
      </c>
      <c r="I1407" s="4">
        <v>11</v>
      </c>
      <c r="J1407" s="5">
        <f>_xlfn.XLOOKUP(tblSales[[#This Row],[Product Code]],tblProducts[Code],tblProducts[Selling Price (excl. VAT)],0)</f>
        <v>150000</v>
      </c>
      <c r="K1407" s="5">
        <f>tblSales[[#This Row],[Qty]]*tblSales[[#This Row],[Unit Price]]</f>
        <v>1650000</v>
      </c>
      <c r="L1407" s="5">
        <f>ROUND(tblSales[[#This Row],[DPP (excl. VAT)]]*VATEff,0)</f>
        <v>181500</v>
      </c>
      <c r="M1407" s="5">
        <f>tblSales[[#This Row],[DPP (excl. VAT)]]+tblSales[[#This Row],[Output VAT]]</f>
        <v>1831500</v>
      </c>
      <c r="N1407" s="5">
        <f>tblSales[[#This Row],[Qty]]*_xlfn.XLOOKUP(tblSales[[#This Row],[Product Code]],tblProducts[Code],tblProducts[Unit Cost],0)</f>
        <v>968000</v>
      </c>
      <c r="O1407" s="4" t="s">
        <v>4865</v>
      </c>
      <c r="P1407" s="4" t="s">
        <v>4860</v>
      </c>
      <c r="Q1407" s="1" t="str">
        <f>_xlfn.XLOOKUP(tblSales[[#This Row],[Channel Code]],tblChannels[Channel Code],tblChannels[Channel Name],"")</f>
        <v>In-store</v>
      </c>
      <c r="R1407" s="1">
        <f>MONTH(tblSales[[#This Row],[Date]])</f>
        <v>3</v>
      </c>
    </row>
    <row r="1408" spans="2:18" x14ac:dyDescent="0.35">
      <c r="B1408" s="113">
        <v>46107</v>
      </c>
      <c r="C1408" s="4" t="s">
        <v>1004</v>
      </c>
      <c r="D1408" s="4" t="s">
        <v>4568</v>
      </c>
      <c r="E1408" s="1" t="str">
        <f>_xlfn.XLOOKUP(tblSales[[#This Row],[Customer ID]],tblCustomers[Customer ID],tblCustomers[Customer Name],"⚠ Unknown")</f>
        <v>Walk-in Customer</v>
      </c>
      <c r="F1408" s="4" t="s">
        <v>11</v>
      </c>
      <c r="G1408" s="1" t="str">
        <f>_xlfn.XLOOKUP(tblSales[[#This Row],[Product Code]],tblProducts[Code],tblProducts[Product / Service Name],"⚠ Unknown")</f>
        <v>Sneakers</v>
      </c>
      <c r="H1408" s="1" t="str">
        <f>_xlfn.XLOOKUP(tblSales[[#This Row],[Product Code]],tblProducts[Code],tblProducts[Category],"")</f>
        <v>Apparel &amp; Footwear</v>
      </c>
      <c r="I1408" s="4">
        <v>5</v>
      </c>
      <c r="J1408" s="5">
        <f>_xlfn.XLOOKUP(tblSales[[#This Row],[Product Code]],tblProducts[Code],tblProducts[Selling Price (excl. VAT)],0)</f>
        <v>250000</v>
      </c>
      <c r="K1408" s="5">
        <f>tblSales[[#This Row],[Qty]]*tblSales[[#This Row],[Unit Price]]</f>
        <v>1250000</v>
      </c>
      <c r="L1408" s="5">
        <f>ROUND(tblSales[[#This Row],[DPP (excl. VAT)]]*VATEff,0)</f>
        <v>137500</v>
      </c>
      <c r="M1408" s="5">
        <f>tblSales[[#This Row],[DPP (excl. VAT)]]+tblSales[[#This Row],[Output VAT]]</f>
        <v>1387500</v>
      </c>
      <c r="N1408" s="5">
        <f>tblSales[[#This Row],[Qty]]*_xlfn.XLOOKUP(tblSales[[#This Row],[Product Code]],tblProducts[Code],tblProducts[Unit Cost],0)</f>
        <v>775000</v>
      </c>
      <c r="O1408" s="4" t="s">
        <v>4865</v>
      </c>
      <c r="P1408" s="4" t="s">
        <v>4860</v>
      </c>
      <c r="Q1408" s="1" t="str">
        <f>_xlfn.XLOOKUP(tblSales[[#This Row],[Channel Code]],tblChannels[Channel Code],tblChannels[Channel Name],"")</f>
        <v>In-store</v>
      </c>
      <c r="R1408" s="1">
        <f>MONTH(tblSales[[#This Row],[Date]])</f>
        <v>3</v>
      </c>
    </row>
    <row r="1409" spans="2:18" x14ac:dyDescent="0.35">
      <c r="B1409" s="113">
        <v>46107</v>
      </c>
      <c r="C1409" s="4" t="s">
        <v>1005</v>
      </c>
      <c r="D1409" s="4" t="s">
        <v>4568</v>
      </c>
      <c r="E1409" s="1" t="str">
        <f>_xlfn.XLOOKUP(tblSales[[#This Row],[Customer ID]],tblCustomers[Customer ID],tblCustomers[Customer Name],"⚠ Unknown")</f>
        <v>Walk-in Customer</v>
      </c>
      <c r="F1409" s="4" t="s">
        <v>8</v>
      </c>
      <c r="G1409" s="1" t="str">
        <f>_xlfn.XLOOKUP(tblSales[[#This Row],[Product Code]],tblProducts[Code],tblProducts[Product / Service Name],"⚠ Unknown")</f>
        <v>Casual Shorts</v>
      </c>
      <c r="H1409" s="1" t="str">
        <f>_xlfn.XLOOKUP(tblSales[[#This Row],[Product Code]],tblProducts[Code],tblProducts[Category],"")</f>
        <v>Accessories &amp; Basics</v>
      </c>
      <c r="I1409" s="4">
        <v>9</v>
      </c>
      <c r="J1409" s="5">
        <f>_xlfn.XLOOKUP(tblSales[[#This Row],[Product Code]],tblProducts[Code],tblProducts[Selling Price (excl. VAT)],0)</f>
        <v>85000</v>
      </c>
      <c r="K1409" s="5">
        <f>tblSales[[#This Row],[Qty]]*tblSales[[#This Row],[Unit Price]]</f>
        <v>765000</v>
      </c>
      <c r="L1409" s="5">
        <f>ROUND(tblSales[[#This Row],[DPP (excl. VAT)]]*VATEff,0)</f>
        <v>84150</v>
      </c>
      <c r="M1409" s="5">
        <f>tblSales[[#This Row],[DPP (excl. VAT)]]+tblSales[[#This Row],[Output VAT]]</f>
        <v>849150</v>
      </c>
      <c r="N1409" s="5">
        <f>tblSales[[#This Row],[Qty]]*_xlfn.XLOOKUP(tblSales[[#This Row],[Product Code]],tblProducts[Code],tblProducts[Unit Cost],0)</f>
        <v>450000</v>
      </c>
      <c r="O1409" s="4" t="s">
        <v>4866</v>
      </c>
      <c r="P1409" s="4" t="s">
        <v>4860</v>
      </c>
      <c r="Q1409" s="1" t="str">
        <f>_xlfn.XLOOKUP(tblSales[[#This Row],[Channel Code]],tblChannels[Channel Code],tblChannels[Channel Name],"")</f>
        <v>In-store</v>
      </c>
      <c r="R1409" s="1">
        <f>MONTH(tblSales[[#This Row],[Date]])</f>
        <v>3</v>
      </c>
    </row>
    <row r="1410" spans="2:18" x14ac:dyDescent="0.35">
      <c r="B1410" s="113">
        <v>46107</v>
      </c>
      <c r="C1410" s="4" t="s">
        <v>1006</v>
      </c>
      <c r="D1410" s="4" t="s">
        <v>4599</v>
      </c>
      <c r="E1410" s="1" t="str">
        <f>_xlfn.XLOOKUP(tblSales[[#This Row],[Customer ID]],tblCustomers[Customer ID],tblCustomers[Customer Name],"⚠ Unknown")</f>
        <v>PT Samudra Jaya Logistik</v>
      </c>
      <c r="F1410" s="4" t="s">
        <v>15</v>
      </c>
      <c r="G1410" s="1" t="str">
        <f>_xlfn.XLOOKUP(tblSales[[#This Row],[Product Code]],tblProducts[Code],tblProducts[Product / Service Name],"⚠ Unknown")</f>
        <v>Wireless Earbuds Pro</v>
      </c>
      <c r="H1410" s="1" t="str">
        <f>_xlfn.XLOOKUP(tblSales[[#This Row],[Product Code]],tblProducts[Code],tblProducts[Category],"")</f>
        <v>Bags &amp; Gadgets</v>
      </c>
      <c r="I1410" s="4">
        <v>16</v>
      </c>
      <c r="J1410" s="5">
        <f>_xlfn.XLOOKUP(tblSales[[#This Row],[Product Code]],tblProducts[Code],tblProducts[Selling Price (excl. VAT)],0)</f>
        <v>1250000</v>
      </c>
      <c r="K1410" s="5">
        <f>tblSales[[#This Row],[Qty]]*tblSales[[#This Row],[Unit Price]]</f>
        <v>20000000</v>
      </c>
      <c r="L1410" s="5">
        <f>ROUND(tblSales[[#This Row],[DPP (excl. VAT)]]*VATEff,0)</f>
        <v>2200000</v>
      </c>
      <c r="M1410" s="5">
        <f>tblSales[[#This Row],[DPP (excl. VAT)]]+tblSales[[#This Row],[Output VAT]]</f>
        <v>22200000</v>
      </c>
      <c r="N1410" s="5">
        <f>tblSales[[#This Row],[Qty]]*_xlfn.XLOOKUP(tblSales[[#This Row],[Product Code]],tblProducts[Code],tblProducts[Unit Cost],0)</f>
        <v>13120000</v>
      </c>
      <c r="O1410" s="4" t="s">
        <v>4867</v>
      </c>
      <c r="P1410" s="4" t="s">
        <v>4860</v>
      </c>
      <c r="Q1410" s="1" t="str">
        <f>_xlfn.XLOOKUP(tblSales[[#This Row],[Channel Code]],tblChannels[Channel Code],tblChannels[Channel Name],"")</f>
        <v>In-store</v>
      </c>
      <c r="R1410" s="1">
        <f>MONTH(tblSales[[#This Row],[Date]])</f>
        <v>3</v>
      </c>
    </row>
    <row r="1411" spans="2:18" x14ac:dyDescent="0.35">
      <c r="B1411" s="113">
        <v>46107</v>
      </c>
      <c r="C1411" s="4" t="s">
        <v>1007</v>
      </c>
      <c r="D1411" s="4" t="s">
        <v>4648</v>
      </c>
      <c r="E1411" s="1" t="str">
        <f>_xlfn.XLOOKUP(tblSales[[#This Row],[Customer ID]],tblCustomers[Customer ID],tblCustomers[Customer Name],"⚠ Unknown")</f>
        <v>PT Lintas Benua Niaga</v>
      </c>
      <c r="F1411" s="4" t="s">
        <v>8</v>
      </c>
      <c r="G1411" s="1" t="str">
        <f>_xlfn.XLOOKUP(tblSales[[#This Row],[Product Code]],tblProducts[Code],tblProducts[Product / Service Name],"⚠ Unknown")</f>
        <v>Casual Shorts</v>
      </c>
      <c r="H1411" s="1" t="str">
        <f>_xlfn.XLOOKUP(tblSales[[#This Row],[Product Code]],tblProducts[Code],tblProducts[Category],"")</f>
        <v>Accessories &amp; Basics</v>
      </c>
      <c r="I1411" s="4">
        <v>64</v>
      </c>
      <c r="J1411" s="5">
        <f>_xlfn.XLOOKUP(tblSales[[#This Row],[Product Code]],tblProducts[Code],tblProducts[Selling Price (excl. VAT)],0)</f>
        <v>85000</v>
      </c>
      <c r="K1411" s="5">
        <f>tblSales[[#This Row],[Qty]]*tblSales[[#This Row],[Unit Price]]</f>
        <v>5440000</v>
      </c>
      <c r="L1411" s="5">
        <f>ROUND(tblSales[[#This Row],[DPP (excl. VAT)]]*VATEff,0)</f>
        <v>598400</v>
      </c>
      <c r="M1411" s="5">
        <f>tblSales[[#This Row],[DPP (excl. VAT)]]+tblSales[[#This Row],[Output VAT]]</f>
        <v>6038400</v>
      </c>
      <c r="N1411" s="5">
        <f>tblSales[[#This Row],[Qty]]*_xlfn.XLOOKUP(tblSales[[#This Row],[Product Code]],tblProducts[Code],tblProducts[Unit Cost],0)</f>
        <v>3200000</v>
      </c>
      <c r="O1411" s="4" t="s">
        <v>4867</v>
      </c>
      <c r="P1411" s="4" t="s">
        <v>4860</v>
      </c>
      <c r="Q1411" s="1" t="str">
        <f>_xlfn.XLOOKUP(tblSales[[#This Row],[Channel Code]],tblChannels[Channel Code],tblChannels[Channel Name],"")</f>
        <v>In-store</v>
      </c>
      <c r="R1411" s="1">
        <f>MONTH(tblSales[[#This Row],[Date]])</f>
        <v>3</v>
      </c>
    </row>
    <row r="1412" spans="2:18" x14ac:dyDescent="0.35">
      <c r="B1412" s="113">
        <v>46107</v>
      </c>
      <c r="C1412" s="4" t="s">
        <v>1007</v>
      </c>
      <c r="D1412" s="4" t="s">
        <v>4648</v>
      </c>
      <c r="E1412" s="1" t="str">
        <f>_xlfn.XLOOKUP(tblSales[[#This Row],[Customer ID]],tblCustomers[Customer ID],tblCustomers[Customer Name],"⚠ Unknown")</f>
        <v>PT Lintas Benua Niaga</v>
      </c>
      <c r="F1412" s="4" t="s">
        <v>14</v>
      </c>
      <c r="G1412" s="1" t="str">
        <f>_xlfn.XLOOKUP(tblSales[[#This Row],[Product Code]],tblProducts[Code],tblProducts[Product / Service Name],"⚠ Unknown")</f>
        <v>Smartwatch</v>
      </c>
      <c r="H1412" s="1" t="str">
        <f>_xlfn.XLOOKUP(tblSales[[#This Row],[Product Code]],tblProducts[Code],tblProducts[Category],"")</f>
        <v>Bags &amp; Gadgets</v>
      </c>
      <c r="I1412" s="4">
        <v>8</v>
      </c>
      <c r="J1412" s="5">
        <f>_xlfn.XLOOKUP(tblSales[[#This Row],[Product Code]],tblProducts[Code],tblProducts[Selling Price (excl. VAT)],0)</f>
        <v>850000</v>
      </c>
      <c r="K1412" s="5">
        <f>tblSales[[#This Row],[Qty]]*tblSales[[#This Row],[Unit Price]]</f>
        <v>6800000</v>
      </c>
      <c r="L1412" s="5">
        <f>ROUND(tblSales[[#This Row],[DPP (excl. VAT)]]*VATEff,0)</f>
        <v>748000</v>
      </c>
      <c r="M1412" s="5">
        <f>tblSales[[#This Row],[DPP (excl. VAT)]]+tblSales[[#This Row],[Output VAT]]</f>
        <v>7548000</v>
      </c>
      <c r="N1412" s="5">
        <f>tblSales[[#This Row],[Qty]]*_xlfn.XLOOKUP(tblSales[[#This Row],[Product Code]],tblProducts[Code],tblProducts[Unit Cost],0)</f>
        <v>4480000</v>
      </c>
      <c r="O1412" s="4" t="s">
        <v>4867</v>
      </c>
      <c r="P1412" s="4" t="s">
        <v>4860</v>
      </c>
      <c r="Q1412" s="1" t="str">
        <f>_xlfn.XLOOKUP(tblSales[[#This Row],[Channel Code]],tblChannels[Channel Code],tblChannels[Channel Name],"")</f>
        <v>In-store</v>
      </c>
      <c r="R1412" s="1">
        <f>MONTH(tblSales[[#This Row],[Date]])</f>
        <v>3</v>
      </c>
    </row>
    <row r="1413" spans="2:18" x14ac:dyDescent="0.35">
      <c r="B1413" s="113">
        <v>46108</v>
      </c>
      <c r="C1413" s="4" t="s">
        <v>1008</v>
      </c>
      <c r="D1413" s="4" t="s">
        <v>4568</v>
      </c>
      <c r="E1413" s="1" t="str">
        <f>_xlfn.XLOOKUP(tblSales[[#This Row],[Customer ID]],tblCustomers[Customer ID],tblCustomers[Customer Name],"⚠ Unknown")</f>
        <v>Walk-in Customer</v>
      </c>
      <c r="F1413" s="4" t="s">
        <v>6</v>
      </c>
      <c r="G1413" s="1" t="str">
        <f>_xlfn.XLOOKUP(tblSales[[#This Row],[Product Code]],tblProducts[Code],tblProducts[Product / Service Name],"⚠ Unknown")</f>
        <v>Socks &amp; Accessories</v>
      </c>
      <c r="H1413" s="1" t="str">
        <f>_xlfn.XLOOKUP(tblSales[[#This Row],[Product Code]],tblProducts[Code],tblProducts[Category],"")</f>
        <v>Accessories &amp; Basics</v>
      </c>
      <c r="I1413" s="4">
        <v>5</v>
      </c>
      <c r="J1413" s="5">
        <f>_xlfn.XLOOKUP(tblSales[[#This Row],[Product Code]],tblProducts[Code],tblProducts[Selling Price (excl. VAT)],0)</f>
        <v>45000</v>
      </c>
      <c r="K1413" s="5">
        <f>tblSales[[#This Row],[Qty]]*tblSales[[#This Row],[Unit Price]]</f>
        <v>225000</v>
      </c>
      <c r="L1413" s="5">
        <f>ROUND(tblSales[[#This Row],[DPP (excl. VAT)]]*VATEff,0)</f>
        <v>24750</v>
      </c>
      <c r="M1413" s="5">
        <f>tblSales[[#This Row],[DPP (excl. VAT)]]+tblSales[[#This Row],[Output VAT]]</f>
        <v>249750</v>
      </c>
      <c r="N1413" s="5">
        <f>tblSales[[#This Row],[Qty]]*_xlfn.XLOOKUP(tblSales[[#This Row],[Product Code]],tblProducts[Code],tblProducts[Unit Cost],0)</f>
        <v>120000</v>
      </c>
      <c r="O1413" s="4" t="s">
        <v>4865</v>
      </c>
      <c r="P1413" s="4" t="s">
        <v>4860</v>
      </c>
      <c r="Q1413" s="1" t="str">
        <f>_xlfn.XLOOKUP(tblSales[[#This Row],[Channel Code]],tblChannels[Channel Code],tblChannels[Channel Name],"")</f>
        <v>In-store</v>
      </c>
      <c r="R1413" s="1">
        <f>MONTH(tblSales[[#This Row],[Date]])</f>
        <v>3</v>
      </c>
    </row>
    <row r="1414" spans="2:18" x14ac:dyDescent="0.35">
      <c r="B1414" s="113">
        <v>46108</v>
      </c>
      <c r="C1414" s="4" t="s">
        <v>1009</v>
      </c>
      <c r="D1414" s="4" t="s">
        <v>4568</v>
      </c>
      <c r="E1414" s="1" t="str">
        <f>_xlfn.XLOOKUP(tblSales[[#This Row],[Customer ID]],tblCustomers[Customer ID],tblCustomers[Customer Name],"⚠ Unknown")</f>
        <v>Walk-in Customer</v>
      </c>
      <c r="F1414" s="4" t="s">
        <v>14</v>
      </c>
      <c r="G1414" s="1" t="str">
        <f>_xlfn.XLOOKUP(tblSales[[#This Row],[Product Code]],tblProducts[Code],tblProducts[Product / Service Name],"⚠ Unknown")</f>
        <v>Smartwatch</v>
      </c>
      <c r="H1414" s="1" t="str">
        <f>_xlfn.XLOOKUP(tblSales[[#This Row],[Product Code]],tblProducts[Code],tblProducts[Category],"")</f>
        <v>Bags &amp; Gadgets</v>
      </c>
      <c r="I1414" s="4">
        <v>1</v>
      </c>
      <c r="J1414" s="5">
        <f>_xlfn.XLOOKUP(tblSales[[#This Row],[Product Code]],tblProducts[Code],tblProducts[Selling Price (excl. VAT)],0)</f>
        <v>850000</v>
      </c>
      <c r="K1414" s="5">
        <f>tblSales[[#This Row],[Qty]]*tblSales[[#This Row],[Unit Price]]</f>
        <v>850000</v>
      </c>
      <c r="L1414" s="5">
        <f>ROUND(tblSales[[#This Row],[DPP (excl. VAT)]]*VATEff,0)</f>
        <v>93500</v>
      </c>
      <c r="M1414" s="5">
        <f>tblSales[[#This Row],[DPP (excl. VAT)]]+tblSales[[#This Row],[Output VAT]]</f>
        <v>943500</v>
      </c>
      <c r="N1414" s="5">
        <f>tblSales[[#This Row],[Qty]]*_xlfn.XLOOKUP(tblSales[[#This Row],[Product Code]],tblProducts[Code],tblProducts[Unit Cost],0)</f>
        <v>560000</v>
      </c>
      <c r="O1414" s="4" t="s">
        <v>4865</v>
      </c>
      <c r="P1414" s="4" t="s">
        <v>4860</v>
      </c>
      <c r="Q1414" s="1" t="str">
        <f>_xlfn.XLOOKUP(tblSales[[#This Row],[Channel Code]],tblChannels[Channel Code],tblChannels[Channel Name],"")</f>
        <v>In-store</v>
      </c>
      <c r="R1414" s="1">
        <f>MONTH(tblSales[[#This Row],[Date]])</f>
        <v>3</v>
      </c>
    </row>
    <row r="1415" spans="2:18" x14ac:dyDescent="0.35">
      <c r="B1415" s="113">
        <v>46108</v>
      </c>
      <c r="C1415" s="4" t="s">
        <v>1010</v>
      </c>
      <c r="D1415" s="4" t="s">
        <v>4648</v>
      </c>
      <c r="E1415" s="1" t="str">
        <f>_xlfn.XLOOKUP(tblSales[[#This Row],[Customer ID]],tblCustomers[Customer ID],tblCustomers[Customer Name],"⚠ Unknown")</f>
        <v>PT Lintas Benua Niaga</v>
      </c>
      <c r="F1415" s="4" t="s">
        <v>11</v>
      </c>
      <c r="G1415" s="1" t="str">
        <f>_xlfn.XLOOKUP(tblSales[[#This Row],[Product Code]],tblProducts[Code],tblProducts[Product / Service Name],"⚠ Unknown")</f>
        <v>Sneakers</v>
      </c>
      <c r="H1415" s="1" t="str">
        <f>_xlfn.XLOOKUP(tblSales[[#This Row],[Product Code]],tblProducts[Code],tblProducts[Category],"")</f>
        <v>Apparel &amp; Footwear</v>
      </c>
      <c r="I1415" s="4">
        <v>24</v>
      </c>
      <c r="J1415" s="5">
        <f>_xlfn.XLOOKUP(tblSales[[#This Row],[Product Code]],tblProducts[Code],tblProducts[Selling Price (excl. VAT)],0)</f>
        <v>250000</v>
      </c>
      <c r="K1415" s="5">
        <f>tblSales[[#This Row],[Qty]]*tblSales[[#This Row],[Unit Price]]</f>
        <v>6000000</v>
      </c>
      <c r="L1415" s="5">
        <f>ROUND(tblSales[[#This Row],[DPP (excl. VAT)]]*VATEff,0)</f>
        <v>660000</v>
      </c>
      <c r="M1415" s="5">
        <f>tblSales[[#This Row],[DPP (excl. VAT)]]+tblSales[[#This Row],[Output VAT]]</f>
        <v>6660000</v>
      </c>
      <c r="N1415" s="5">
        <f>tblSales[[#This Row],[Qty]]*_xlfn.XLOOKUP(tblSales[[#This Row],[Product Code]],tblProducts[Code],tblProducts[Unit Cost],0)</f>
        <v>3720000</v>
      </c>
      <c r="O1415" s="4" t="s">
        <v>4867</v>
      </c>
      <c r="P1415" s="4" t="s">
        <v>4860</v>
      </c>
      <c r="Q1415" s="1" t="str">
        <f>_xlfn.XLOOKUP(tblSales[[#This Row],[Channel Code]],tblChannels[Channel Code],tblChannels[Channel Name],"")</f>
        <v>In-store</v>
      </c>
      <c r="R1415" s="1">
        <f>MONTH(tblSales[[#This Row],[Date]])</f>
        <v>3</v>
      </c>
    </row>
    <row r="1416" spans="2:18" x14ac:dyDescent="0.35">
      <c r="B1416" s="113">
        <v>46108</v>
      </c>
      <c r="C1416" s="4" t="s">
        <v>1011</v>
      </c>
      <c r="D1416" s="4" t="s">
        <v>4568</v>
      </c>
      <c r="E1416" s="1" t="str">
        <f>_xlfn.XLOOKUP(tblSales[[#This Row],[Customer ID]],tblCustomers[Customer ID],tblCustomers[Customer Name],"⚠ Unknown")</f>
        <v>Walk-in Customer</v>
      </c>
      <c r="F1416" s="4" t="s">
        <v>6</v>
      </c>
      <c r="G1416" s="1" t="str">
        <f>_xlfn.XLOOKUP(tblSales[[#This Row],[Product Code]],tblProducts[Code],tblProducts[Product / Service Name],"⚠ Unknown")</f>
        <v>Socks &amp; Accessories</v>
      </c>
      <c r="H1416" s="1" t="str">
        <f>_xlfn.XLOOKUP(tblSales[[#This Row],[Product Code]],tblProducts[Code],tblProducts[Category],"")</f>
        <v>Accessories &amp; Basics</v>
      </c>
      <c r="I1416" s="4">
        <v>8</v>
      </c>
      <c r="J1416" s="5">
        <f>_xlfn.XLOOKUP(tblSales[[#This Row],[Product Code]],tblProducts[Code],tblProducts[Selling Price (excl. VAT)],0)</f>
        <v>45000</v>
      </c>
      <c r="K1416" s="5">
        <f>tblSales[[#This Row],[Qty]]*tblSales[[#This Row],[Unit Price]]</f>
        <v>360000</v>
      </c>
      <c r="L1416" s="5">
        <f>ROUND(tblSales[[#This Row],[DPP (excl. VAT)]]*VATEff,0)</f>
        <v>39600</v>
      </c>
      <c r="M1416" s="5">
        <f>tblSales[[#This Row],[DPP (excl. VAT)]]+tblSales[[#This Row],[Output VAT]]</f>
        <v>399600</v>
      </c>
      <c r="N1416" s="5">
        <f>tblSales[[#This Row],[Qty]]*_xlfn.XLOOKUP(tblSales[[#This Row],[Product Code]],tblProducts[Code],tblProducts[Unit Cost],0)</f>
        <v>192000</v>
      </c>
      <c r="O1416" s="4" t="s">
        <v>4865</v>
      </c>
      <c r="P1416" s="4" t="s">
        <v>4860</v>
      </c>
      <c r="Q1416" s="1" t="str">
        <f>_xlfn.XLOOKUP(tblSales[[#This Row],[Channel Code]],tblChannels[Channel Code],tblChannels[Channel Name],"")</f>
        <v>In-store</v>
      </c>
      <c r="R1416" s="1">
        <f>MONTH(tblSales[[#This Row],[Date]])</f>
        <v>3</v>
      </c>
    </row>
    <row r="1417" spans="2:18" x14ac:dyDescent="0.35">
      <c r="B1417" s="113">
        <v>46108</v>
      </c>
      <c r="C1417" s="4" t="s">
        <v>1012</v>
      </c>
      <c r="D1417" s="4" t="s">
        <v>4568</v>
      </c>
      <c r="E1417" s="1" t="str">
        <f>_xlfn.XLOOKUP(tblSales[[#This Row],[Customer ID]],tblCustomers[Customer ID],tblCustomers[Customer Name],"⚠ Unknown")</f>
        <v>Walk-in Customer</v>
      </c>
      <c r="F1417" s="4" t="s">
        <v>6</v>
      </c>
      <c r="G1417" s="1" t="str">
        <f>_xlfn.XLOOKUP(tblSales[[#This Row],[Product Code]],tblProducts[Code],tblProducts[Product / Service Name],"⚠ Unknown")</f>
        <v>Socks &amp; Accessories</v>
      </c>
      <c r="H1417" s="1" t="str">
        <f>_xlfn.XLOOKUP(tblSales[[#This Row],[Product Code]],tblProducts[Code],tblProducts[Category],"")</f>
        <v>Accessories &amp; Basics</v>
      </c>
      <c r="I1417" s="4">
        <v>7</v>
      </c>
      <c r="J1417" s="5">
        <f>_xlfn.XLOOKUP(tblSales[[#This Row],[Product Code]],tblProducts[Code],tblProducts[Selling Price (excl. VAT)],0)</f>
        <v>45000</v>
      </c>
      <c r="K1417" s="5">
        <f>tblSales[[#This Row],[Qty]]*tblSales[[#This Row],[Unit Price]]</f>
        <v>315000</v>
      </c>
      <c r="L1417" s="5">
        <f>ROUND(tblSales[[#This Row],[DPP (excl. VAT)]]*VATEff,0)</f>
        <v>34650</v>
      </c>
      <c r="M1417" s="5">
        <f>tblSales[[#This Row],[DPP (excl. VAT)]]+tblSales[[#This Row],[Output VAT]]</f>
        <v>349650</v>
      </c>
      <c r="N1417" s="5">
        <f>tblSales[[#This Row],[Qty]]*_xlfn.XLOOKUP(tblSales[[#This Row],[Product Code]],tblProducts[Code],tblProducts[Unit Cost],0)</f>
        <v>168000</v>
      </c>
      <c r="O1417" s="4" t="s">
        <v>4866</v>
      </c>
      <c r="P1417" s="4" t="s">
        <v>4861</v>
      </c>
      <c r="Q1417" s="1" t="str">
        <f>_xlfn.XLOOKUP(tblSales[[#This Row],[Channel Code]],tblChannels[Channel Code],tblChannels[Channel Name],"")</f>
        <v>Marketplace</v>
      </c>
      <c r="R1417" s="1">
        <f>MONTH(tblSales[[#This Row],[Date]])</f>
        <v>3</v>
      </c>
    </row>
    <row r="1418" spans="2:18" x14ac:dyDescent="0.35">
      <c r="B1418" s="113">
        <v>46108</v>
      </c>
      <c r="C1418" s="4" t="s">
        <v>1013</v>
      </c>
      <c r="D1418" s="4" t="s">
        <v>4568</v>
      </c>
      <c r="E1418" s="1" t="str">
        <f>_xlfn.XLOOKUP(tblSales[[#This Row],[Customer ID]],tblCustomers[Customer ID],tblCustomers[Customer Name],"⚠ Unknown")</f>
        <v>Walk-in Customer</v>
      </c>
      <c r="F1418" s="4" t="s">
        <v>9</v>
      </c>
      <c r="G1418" s="1" t="str">
        <f>_xlfn.XLOOKUP(tblSales[[#This Row],[Product Code]],tblProducts[Code],tblProducts[Product / Service Name],"⚠ Unknown")</f>
        <v>Casual Shirt</v>
      </c>
      <c r="H1418" s="1" t="str">
        <f>_xlfn.XLOOKUP(tblSales[[#This Row],[Product Code]],tblProducts[Code],tblProducts[Category],"")</f>
        <v>Apparel &amp; Footwear</v>
      </c>
      <c r="I1418" s="4">
        <v>3</v>
      </c>
      <c r="J1418" s="5">
        <f>_xlfn.XLOOKUP(tblSales[[#This Row],[Product Code]],tblProducts[Code],tblProducts[Selling Price (excl. VAT)],0)</f>
        <v>120000</v>
      </c>
      <c r="K1418" s="5">
        <f>tblSales[[#This Row],[Qty]]*tblSales[[#This Row],[Unit Price]]</f>
        <v>360000</v>
      </c>
      <c r="L1418" s="5">
        <f>ROUND(tblSales[[#This Row],[DPP (excl. VAT)]]*VATEff,0)</f>
        <v>39600</v>
      </c>
      <c r="M1418" s="5">
        <f>tblSales[[#This Row],[DPP (excl. VAT)]]+tblSales[[#This Row],[Output VAT]]</f>
        <v>399600</v>
      </c>
      <c r="N1418" s="5">
        <f>tblSales[[#This Row],[Qty]]*_xlfn.XLOOKUP(tblSales[[#This Row],[Product Code]],tblProducts[Code],tblProducts[Unit Cost],0)</f>
        <v>216000</v>
      </c>
      <c r="O1418" s="4" t="s">
        <v>4866</v>
      </c>
      <c r="P1418" s="4" t="s">
        <v>4862</v>
      </c>
      <c r="Q1418" s="1" t="str">
        <f>_xlfn.XLOOKUP(tblSales[[#This Row],[Channel Code]],tblChannels[Channel Code],tblChannels[Channel Name],"")</f>
        <v>Website &amp; Social Media</v>
      </c>
      <c r="R1418" s="1">
        <f>MONTH(tblSales[[#This Row],[Date]])</f>
        <v>3</v>
      </c>
    </row>
    <row r="1419" spans="2:18" x14ac:dyDescent="0.35">
      <c r="B1419" s="113">
        <v>46108</v>
      </c>
      <c r="C1419" s="4" t="s">
        <v>1013</v>
      </c>
      <c r="D1419" s="4" t="s">
        <v>4568</v>
      </c>
      <c r="E1419" s="1" t="str">
        <f>_xlfn.XLOOKUP(tblSales[[#This Row],[Customer ID]],tblCustomers[Customer ID],tblCustomers[Customer Name],"⚠ Unknown")</f>
        <v>Walk-in Customer</v>
      </c>
      <c r="F1419" s="4" t="s">
        <v>14</v>
      </c>
      <c r="G1419" s="1" t="str">
        <f>_xlfn.XLOOKUP(tblSales[[#This Row],[Product Code]],tblProducts[Code],tblProducts[Product / Service Name],"⚠ Unknown")</f>
        <v>Smartwatch</v>
      </c>
      <c r="H1419" s="1" t="str">
        <f>_xlfn.XLOOKUP(tblSales[[#This Row],[Product Code]],tblProducts[Code],tblProducts[Category],"")</f>
        <v>Bags &amp; Gadgets</v>
      </c>
      <c r="I1419" s="4">
        <v>1</v>
      </c>
      <c r="J1419" s="5">
        <f>_xlfn.XLOOKUP(tblSales[[#This Row],[Product Code]],tblProducts[Code],tblProducts[Selling Price (excl. VAT)],0)</f>
        <v>850000</v>
      </c>
      <c r="K1419" s="5">
        <f>tblSales[[#This Row],[Qty]]*tblSales[[#This Row],[Unit Price]]</f>
        <v>850000</v>
      </c>
      <c r="L1419" s="5">
        <f>ROUND(tblSales[[#This Row],[DPP (excl. VAT)]]*VATEff,0)</f>
        <v>93500</v>
      </c>
      <c r="M1419" s="5">
        <f>tblSales[[#This Row],[DPP (excl. VAT)]]+tblSales[[#This Row],[Output VAT]]</f>
        <v>943500</v>
      </c>
      <c r="N1419" s="5">
        <f>tblSales[[#This Row],[Qty]]*_xlfn.XLOOKUP(tblSales[[#This Row],[Product Code]],tblProducts[Code],tblProducts[Unit Cost],0)</f>
        <v>560000</v>
      </c>
      <c r="O1419" s="4" t="s">
        <v>4866</v>
      </c>
      <c r="P1419" s="4" t="s">
        <v>4862</v>
      </c>
      <c r="Q1419" s="1" t="str">
        <f>_xlfn.XLOOKUP(tblSales[[#This Row],[Channel Code]],tblChannels[Channel Code],tblChannels[Channel Name],"")</f>
        <v>Website &amp; Social Media</v>
      </c>
      <c r="R1419" s="1">
        <f>MONTH(tblSales[[#This Row],[Date]])</f>
        <v>3</v>
      </c>
    </row>
    <row r="1420" spans="2:18" x14ac:dyDescent="0.35">
      <c r="B1420" s="113">
        <v>46108</v>
      </c>
      <c r="C1420" s="4" t="s">
        <v>1013</v>
      </c>
      <c r="D1420" s="4" t="s">
        <v>4568</v>
      </c>
      <c r="E1420" s="1" t="str">
        <f>_xlfn.XLOOKUP(tblSales[[#This Row],[Customer ID]],tblCustomers[Customer ID],tblCustomers[Customer Name],"⚠ Unknown")</f>
        <v>Walk-in Customer</v>
      </c>
      <c r="F1420" s="4" t="s">
        <v>6</v>
      </c>
      <c r="G1420" s="1" t="str">
        <f>_xlfn.XLOOKUP(tblSales[[#This Row],[Product Code]],tblProducts[Code],tblProducts[Product / Service Name],"⚠ Unknown")</f>
        <v>Socks &amp; Accessories</v>
      </c>
      <c r="H1420" s="1" t="str">
        <f>_xlfn.XLOOKUP(tblSales[[#This Row],[Product Code]],tblProducts[Code],tblProducts[Category],"")</f>
        <v>Accessories &amp; Basics</v>
      </c>
      <c r="I1420" s="4">
        <v>9</v>
      </c>
      <c r="J1420" s="5">
        <f>_xlfn.XLOOKUP(tblSales[[#This Row],[Product Code]],tblProducts[Code],tblProducts[Selling Price (excl. VAT)],0)</f>
        <v>45000</v>
      </c>
      <c r="K1420" s="5">
        <f>tblSales[[#This Row],[Qty]]*tblSales[[#This Row],[Unit Price]]</f>
        <v>405000</v>
      </c>
      <c r="L1420" s="5">
        <f>ROUND(tblSales[[#This Row],[DPP (excl. VAT)]]*VATEff,0)</f>
        <v>44550</v>
      </c>
      <c r="M1420" s="5">
        <f>tblSales[[#This Row],[DPP (excl. VAT)]]+tblSales[[#This Row],[Output VAT]]</f>
        <v>449550</v>
      </c>
      <c r="N1420" s="5">
        <f>tblSales[[#This Row],[Qty]]*_xlfn.XLOOKUP(tblSales[[#This Row],[Product Code]],tblProducts[Code],tblProducts[Unit Cost],0)</f>
        <v>216000</v>
      </c>
      <c r="O1420" s="4" t="s">
        <v>4866</v>
      </c>
      <c r="P1420" s="4" t="s">
        <v>4862</v>
      </c>
      <c r="Q1420" s="1" t="str">
        <f>_xlfn.XLOOKUP(tblSales[[#This Row],[Channel Code]],tblChannels[Channel Code],tblChannels[Channel Name],"")</f>
        <v>Website &amp; Social Media</v>
      </c>
      <c r="R1420" s="1">
        <f>MONTH(tblSales[[#This Row],[Date]])</f>
        <v>3</v>
      </c>
    </row>
    <row r="1421" spans="2:18" x14ac:dyDescent="0.35">
      <c r="B1421" s="113">
        <v>46108</v>
      </c>
      <c r="C1421" s="4" t="s">
        <v>1014</v>
      </c>
      <c r="D1421" s="4" t="s">
        <v>4568</v>
      </c>
      <c r="E1421" s="1" t="str">
        <f>_xlfn.XLOOKUP(tblSales[[#This Row],[Customer ID]],tblCustomers[Customer ID],tblCustomers[Customer Name],"⚠ Unknown")</f>
        <v>Walk-in Customer</v>
      </c>
      <c r="F1421" s="4" t="s">
        <v>11</v>
      </c>
      <c r="G1421" s="1" t="str">
        <f>_xlfn.XLOOKUP(tblSales[[#This Row],[Product Code]],tblProducts[Code],tblProducts[Product / Service Name],"⚠ Unknown")</f>
        <v>Sneakers</v>
      </c>
      <c r="H1421" s="1" t="str">
        <f>_xlfn.XLOOKUP(tblSales[[#This Row],[Product Code]],tblProducts[Code],tblProducts[Category],"")</f>
        <v>Apparel &amp; Footwear</v>
      </c>
      <c r="I1421" s="4">
        <v>4</v>
      </c>
      <c r="J1421" s="5">
        <f>_xlfn.XLOOKUP(tblSales[[#This Row],[Product Code]],tblProducts[Code],tblProducts[Selling Price (excl. VAT)],0)</f>
        <v>250000</v>
      </c>
      <c r="K1421" s="5">
        <f>tblSales[[#This Row],[Qty]]*tblSales[[#This Row],[Unit Price]]</f>
        <v>1000000</v>
      </c>
      <c r="L1421" s="5">
        <f>ROUND(tblSales[[#This Row],[DPP (excl. VAT)]]*VATEff,0)</f>
        <v>110000</v>
      </c>
      <c r="M1421" s="5">
        <f>tblSales[[#This Row],[DPP (excl. VAT)]]+tblSales[[#This Row],[Output VAT]]</f>
        <v>1110000</v>
      </c>
      <c r="N1421" s="5">
        <f>tblSales[[#This Row],[Qty]]*_xlfn.XLOOKUP(tblSales[[#This Row],[Product Code]],tblProducts[Code],tblProducts[Unit Cost],0)</f>
        <v>620000</v>
      </c>
      <c r="O1421" s="4" t="s">
        <v>4866</v>
      </c>
      <c r="P1421" s="4" t="s">
        <v>4861</v>
      </c>
      <c r="Q1421" s="1" t="str">
        <f>_xlfn.XLOOKUP(tblSales[[#This Row],[Channel Code]],tblChannels[Channel Code],tblChannels[Channel Name],"")</f>
        <v>Marketplace</v>
      </c>
      <c r="R1421" s="1">
        <f>MONTH(tblSales[[#This Row],[Date]])</f>
        <v>3</v>
      </c>
    </row>
    <row r="1422" spans="2:18" x14ac:dyDescent="0.35">
      <c r="B1422" s="113">
        <v>46108</v>
      </c>
      <c r="C1422" s="4" t="s">
        <v>1015</v>
      </c>
      <c r="D1422" s="4" t="s">
        <v>4568</v>
      </c>
      <c r="E1422" s="1" t="str">
        <f>_xlfn.XLOOKUP(tblSales[[#This Row],[Customer ID]],tblCustomers[Customer ID],tblCustomers[Customer Name],"⚠ Unknown")</f>
        <v>Walk-in Customer</v>
      </c>
      <c r="F1422" s="4" t="s">
        <v>9</v>
      </c>
      <c r="G1422" s="1" t="str">
        <f>_xlfn.XLOOKUP(tblSales[[#This Row],[Product Code]],tblProducts[Code],tblProducts[Product / Service Name],"⚠ Unknown")</f>
        <v>Casual Shirt</v>
      </c>
      <c r="H1422" s="1" t="str">
        <f>_xlfn.XLOOKUP(tblSales[[#This Row],[Product Code]],tblProducts[Code],tblProducts[Category],"")</f>
        <v>Apparel &amp; Footwear</v>
      </c>
      <c r="I1422" s="4">
        <v>6</v>
      </c>
      <c r="J1422" s="5">
        <f>_xlfn.XLOOKUP(tblSales[[#This Row],[Product Code]],tblProducts[Code],tblProducts[Selling Price (excl. VAT)],0)</f>
        <v>120000</v>
      </c>
      <c r="K1422" s="5">
        <f>tblSales[[#This Row],[Qty]]*tblSales[[#This Row],[Unit Price]]</f>
        <v>720000</v>
      </c>
      <c r="L1422" s="5">
        <f>ROUND(tblSales[[#This Row],[DPP (excl. VAT)]]*VATEff,0)</f>
        <v>79200</v>
      </c>
      <c r="M1422" s="5">
        <f>tblSales[[#This Row],[DPP (excl. VAT)]]+tblSales[[#This Row],[Output VAT]]</f>
        <v>799200</v>
      </c>
      <c r="N1422" s="5">
        <f>tblSales[[#This Row],[Qty]]*_xlfn.XLOOKUP(tblSales[[#This Row],[Product Code]],tblProducts[Code],tblProducts[Unit Cost],0)</f>
        <v>432000</v>
      </c>
      <c r="O1422" s="4" t="s">
        <v>4866</v>
      </c>
      <c r="P1422" s="4" t="s">
        <v>4861</v>
      </c>
      <c r="Q1422" s="1" t="str">
        <f>_xlfn.XLOOKUP(tblSales[[#This Row],[Channel Code]],tblChannels[Channel Code],tblChannels[Channel Name],"")</f>
        <v>Marketplace</v>
      </c>
      <c r="R1422" s="1">
        <f>MONTH(tblSales[[#This Row],[Date]])</f>
        <v>3</v>
      </c>
    </row>
    <row r="1423" spans="2:18" x14ac:dyDescent="0.35">
      <c r="B1423" s="113">
        <v>46108</v>
      </c>
      <c r="C1423" s="4" t="s">
        <v>1016</v>
      </c>
      <c r="D1423" s="4" t="s">
        <v>4568</v>
      </c>
      <c r="E1423" s="1" t="str">
        <f>_xlfn.XLOOKUP(tblSales[[#This Row],[Customer ID]],tblCustomers[Customer ID],tblCustomers[Customer Name],"⚠ Unknown")</f>
        <v>Walk-in Customer</v>
      </c>
      <c r="F1423" s="4" t="s">
        <v>12</v>
      </c>
      <c r="G1423" s="1" t="str">
        <f>_xlfn.XLOOKUP(tblSales[[#This Row],[Product Code]],tblProducts[Code],tblProducts[Product / Service Name],"⚠ Unknown")</f>
        <v>Bomber Jacket</v>
      </c>
      <c r="H1423" s="1" t="str">
        <f>_xlfn.XLOOKUP(tblSales[[#This Row],[Product Code]],tblProducts[Code],tblProducts[Category],"")</f>
        <v>Apparel &amp; Footwear</v>
      </c>
      <c r="I1423" s="4">
        <v>5</v>
      </c>
      <c r="J1423" s="5">
        <f>_xlfn.XLOOKUP(tblSales[[#This Row],[Product Code]],tblProducts[Code],tblProducts[Selling Price (excl. VAT)],0)</f>
        <v>350000</v>
      </c>
      <c r="K1423" s="5">
        <f>tblSales[[#This Row],[Qty]]*tblSales[[#This Row],[Unit Price]]</f>
        <v>1750000</v>
      </c>
      <c r="L1423" s="5">
        <f>ROUND(tblSales[[#This Row],[DPP (excl. VAT)]]*VATEff,0)</f>
        <v>192500</v>
      </c>
      <c r="M1423" s="5">
        <f>tblSales[[#This Row],[DPP (excl. VAT)]]+tblSales[[#This Row],[Output VAT]]</f>
        <v>1942500</v>
      </c>
      <c r="N1423" s="5">
        <f>tblSales[[#This Row],[Qty]]*_xlfn.XLOOKUP(tblSales[[#This Row],[Product Code]],tblProducts[Code],tblProducts[Unit Cost],0)</f>
        <v>1050000</v>
      </c>
      <c r="O1423" s="4" t="s">
        <v>4866</v>
      </c>
      <c r="P1423" s="4" t="s">
        <v>4860</v>
      </c>
      <c r="Q1423" s="1" t="str">
        <f>_xlfn.XLOOKUP(tblSales[[#This Row],[Channel Code]],tblChannels[Channel Code],tblChannels[Channel Name],"")</f>
        <v>In-store</v>
      </c>
      <c r="R1423" s="1">
        <f>MONTH(tblSales[[#This Row],[Date]])</f>
        <v>3</v>
      </c>
    </row>
    <row r="1424" spans="2:18" x14ac:dyDescent="0.35">
      <c r="B1424" s="113">
        <v>46108</v>
      </c>
      <c r="C1424" s="4" t="s">
        <v>1017</v>
      </c>
      <c r="D1424" s="4" t="s">
        <v>4593</v>
      </c>
      <c r="E1424" s="1" t="str">
        <f>_xlfn.XLOOKUP(tblSales[[#This Row],[Customer ID]],tblCustomers[Customer ID],tblCustomers[Customer Name],"⚠ Unknown")</f>
        <v>PT Graha Nusa Persada</v>
      </c>
      <c r="F1424" s="4" t="s">
        <v>9</v>
      </c>
      <c r="G1424" s="1" t="str">
        <f>_xlfn.XLOOKUP(tblSales[[#This Row],[Product Code]],tblProducts[Code],tblProducts[Product / Service Name],"⚠ Unknown")</f>
        <v>Casual Shirt</v>
      </c>
      <c r="H1424" s="1" t="str">
        <f>_xlfn.XLOOKUP(tblSales[[#This Row],[Product Code]],tblProducts[Code],tblProducts[Category],"")</f>
        <v>Apparel &amp; Footwear</v>
      </c>
      <c r="I1424" s="4">
        <v>40</v>
      </c>
      <c r="J1424" s="5">
        <f>_xlfn.XLOOKUP(tblSales[[#This Row],[Product Code]],tblProducts[Code],tblProducts[Selling Price (excl. VAT)],0)</f>
        <v>120000</v>
      </c>
      <c r="K1424" s="5">
        <f>tblSales[[#This Row],[Qty]]*tblSales[[#This Row],[Unit Price]]</f>
        <v>4800000</v>
      </c>
      <c r="L1424" s="5">
        <f>ROUND(tblSales[[#This Row],[DPP (excl. VAT)]]*VATEff,0)</f>
        <v>528000</v>
      </c>
      <c r="M1424" s="5">
        <f>tblSales[[#This Row],[DPP (excl. VAT)]]+tblSales[[#This Row],[Output VAT]]</f>
        <v>5328000</v>
      </c>
      <c r="N1424" s="5">
        <f>tblSales[[#This Row],[Qty]]*_xlfn.XLOOKUP(tblSales[[#This Row],[Product Code]],tblProducts[Code],tblProducts[Unit Cost],0)</f>
        <v>2880000</v>
      </c>
      <c r="O1424" s="4" t="s">
        <v>4867</v>
      </c>
      <c r="P1424" s="4" t="s">
        <v>4862</v>
      </c>
      <c r="Q1424" s="1" t="str">
        <f>_xlfn.XLOOKUP(tblSales[[#This Row],[Channel Code]],tblChannels[Channel Code],tblChannels[Channel Name],"")</f>
        <v>Website &amp; Social Media</v>
      </c>
      <c r="R1424" s="1">
        <f>MONTH(tblSales[[#This Row],[Date]])</f>
        <v>3</v>
      </c>
    </row>
    <row r="1425" spans="2:18" x14ac:dyDescent="0.35">
      <c r="B1425" s="113">
        <v>46108</v>
      </c>
      <c r="C1425" s="4" t="s">
        <v>1017</v>
      </c>
      <c r="D1425" s="4" t="s">
        <v>4593</v>
      </c>
      <c r="E1425" s="1" t="str">
        <f>_xlfn.XLOOKUP(tblSales[[#This Row],[Customer ID]],tblCustomers[Customer ID],tblCustomers[Customer Name],"⚠ Unknown")</f>
        <v>PT Graha Nusa Persada</v>
      </c>
      <c r="F1425" s="4" t="s">
        <v>7</v>
      </c>
      <c r="G1425" s="1" t="str">
        <f>_xlfn.XLOOKUP(tblSales[[#This Row],[Product Code]],tblProducts[Code],tblProducts[Product / Service Name],"⚠ Unknown")</f>
        <v>Premium Basic T-shirt</v>
      </c>
      <c r="H1425" s="1" t="str">
        <f>_xlfn.XLOOKUP(tblSales[[#This Row],[Product Code]],tblProducts[Code],tblProducts[Category],"")</f>
        <v>Accessories &amp; Basics</v>
      </c>
      <c r="I1425" s="4">
        <v>96</v>
      </c>
      <c r="J1425" s="5">
        <f>_xlfn.XLOOKUP(tblSales[[#This Row],[Product Code]],tblProducts[Code],tblProducts[Selling Price (excl. VAT)],0)</f>
        <v>65000</v>
      </c>
      <c r="K1425" s="5">
        <f>tblSales[[#This Row],[Qty]]*tblSales[[#This Row],[Unit Price]]</f>
        <v>6240000</v>
      </c>
      <c r="L1425" s="5">
        <f>ROUND(tblSales[[#This Row],[DPP (excl. VAT)]]*VATEff,0)</f>
        <v>686400</v>
      </c>
      <c r="M1425" s="5">
        <f>tblSales[[#This Row],[DPP (excl. VAT)]]+tblSales[[#This Row],[Output VAT]]</f>
        <v>6926400</v>
      </c>
      <c r="N1425" s="5">
        <f>tblSales[[#This Row],[Qty]]*_xlfn.XLOOKUP(tblSales[[#This Row],[Product Code]],tblProducts[Code],tblProducts[Unit Cost],0)</f>
        <v>3552000</v>
      </c>
      <c r="O1425" s="4" t="s">
        <v>4867</v>
      </c>
      <c r="P1425" s="4" t="s">
        <v>4862</v>
      </c>
      <c r="Q1425" s="1" t="str">
        <f>_xlfn.XLOOKUP(tblSales[[#This Row],[Channel Code]],tblChannels[Channel Code],tblChannels[Channel Name],"")</f>
        <v>Website &amp; Social Media</v>
      </c>
      <c r="R1425" s="1">
        <f>MONTH(tblSales[[#This Row],[Date]])</f>
        <v>3</v>
      </c>
    </row>
    <row r="1426" spans="2:18" x14ac:dyDescent="0.35">
      <c r="B1426" s="113">
        <v>46108</v>
      </c>
      <c r="C1426" s="4" t="s">
        <v>1018</v>
      </c>
      <c r="D1426" s="4" t="s">
        <v>4568</v>
      </c>
      <c r="E1426" s="1" t="str">
        <f>_xlfn.XLOOKUP(tblSales[[#This Row],[Customer ID]],tblCustomers[Customer ID],tblCustomers[Customer Name],"⚠ Unknown")</f>
        <v>Walk-in Customer</v>
      </c>
      <c r="F1426" s="4" t="s">
        <v>15</v>
      </c>
      <c r="G1426" s="1" t="str">
        <f>_xlfn.XLOOKUP(tblSales[[#This Row],[Product Code]],tblProducts[Code],tblProducts[Product / Service Name],"⚠ Unknown")</f>
        <v>Wireless Earbuds Pro</v>
      </c>
      <c r="H1426" s="1" t="str">
        <f>_xlfn.XLOOKUP(tblSales[[#This Row],[Product Code]],tblProducts[Code],tblProducts[Category],"")</f>
        <v>Bags &amp; Gadgets</v>
      </c>
      <c r="I1426" s="4">
        <v>2</v>
      </c>
      <c r="J1426" s="5">
        <f>_xlfn.XLOOKUP(tblSales[[#This Row],[Product Code]],tblProducts[Code],tblProducts[Selling Price (excl. VAT)],0)</f>
        <v>1250000</v>
      </c>
      <c r="K1426" s="5">
        <f>tblSales[[#This Row],[Qty]]*tblSales[[#This Row],[Unit Price]]</f>
        <v>2500000</v>
      </c>
      <c r="L1426" s="5">
        <f>ROUND(tblSales[[#This Row],[DPP (excl. VAT)]]*VATEff,0)</f>
        <v>275000</v>
      </c>
      <c r="M1426" s="5">
        <f>tblSales[[#This Row],[DPP (excl. VAT)]]+tblSales[[#This Row],[Output VAT]]</f>
        <v>2775000</v>
      </c>
      <c r="N1426" s="5">
        <f>tblSales[[#This Row],[Qty]]*_xlfn.XLOOKUP(tblSales[[#This Row],[Product Code]],tblProducts[Code],tblProducts[Unit Cost],0)</f>
        <v>1640000</v>
      </c>
      <c r="O1426" s="4" t="s">
        <v>4866</v>
      </c>
      <c r="P1426" s="4" t="s">
        <v>4861</v>
      </c>
      <c r="Q1426" s="1" t="str">
        <f>_xlfn.XLOOKUP(tblSales[[#This Row],[Channel Code]],tblChannels[Channel Code],tblChannels[Channel Name],"")</f>
        <v>Marketplace</v>
      </c>
      <c r="R1426" s="1">
        <f>MONTH(tblSales[[#This Row],[Date]])</f>
        <v>3</v>
      </c>
    </row>
    <row r="1427" spans="2:18" x14ac:dyDescent="0.35">
      <c r="B1427" s="113">
        <v>46108</v>
      </c>
      <c r="C1427" s="4" t="s">
        <v>1019</v>
      </c>
      <c r="D1427" s="4" t="s">
        <v>4568</v>
      </c>
      <c r="E1427" s="1" t="str">
        <f>_xlfn.XLOOKUP(tblSales[[#This Row],[Customer ID]],tblCustomers[Customer ID],tblCustomers[Customer Name],"⚠ Unknown")</f>
        <v>Walk-in Customer</v>
      </c>
      <c r="F1427" s="4" t="s">
        <v>9</v>
      </c>
      <c r="G1427" s="1" t="str">
        <f>_xlfn.XLOOKUP(tblSales[[#This Row],[Product Code]],tblProducts[Code],tblProducts[Product / Service Name],"⚠ Unknown")</f>
        <v>Casual Shirt</v>
      </c>
      <c r="H1427" s="1" t="str">
        <f>_xlfn.XLOOKUP(tblSales[[#This Row],[Product Code]],tblProducts[Code],tblProducts[Category],"")</f>
        <v>Apparel &amp; Footwear</v>
      </c>
      <c r="I1427" s="4">
        <v>5</v>
      </c>
      <c r="J1427" s="5">
        <f>_xlfn.XLOOKUP(tblSales[[#This Row],[Product Code]],tblProducts[Code],tblProducts[Selling Price (excl. VAT)],0)</f>
        <v>120000</v>
      </c>
      <c r="K1427" s="5">
        <f>tblSales[[#This Row],[Qty]]*tblSales[[#This Row],[Unit Price]]</f>
        <v>600000</v>
      </c>
      <c r="L1427" s="5">
        <f>ROUND(tblSales[[#This Row],[DPP (excl. VAT)]]*VATEff,0)</f>
        <v>66000</v>
      </c>
      <c r="M1427" s="5">
        <f>tblSales[[#This Row],[DPP (excl. VAT)]]+tblSales[[#This Row],[Output VAT]]</f>
        <v>666000</v>
      </c>
      <c r="N1427" s="5">
        <f>tblSales[[#This Row],[Qty]]*_xlfn.XLOOKUP(tblSales[[#This Row],[Product Code]],tblProducts[Code],tblProducts[Unit Cost],0)</f>
        <v>360000</v>
      </c>
      <c r="O1427" s="4" t="s">
        <v>4865</v>
      </c>
      <c r="P1427" s="4" t="s">
        <v>4860</v>
      </c>
      <c r="Q1427" s="1" t="str">
        <f>_xlfn.XLOOKUP(tblSales[[#This Row],[Channel Code]],tblChannels[Channel Code],tblChannels[Channel Name],"")</f>
        <v>In-store</v>
      </c>
      <c r="R1427" s="1">
        <f>MONTH(tblSales[[#This Row],[Date]])</f>
        <v>3</v>
      </c>
    </row>
    <row r="1428" spans="2:18" x14ac:dyDescent="0.35">
      <c r="B1428" s="113">
        <v>46108</v>
      </c>
      <c r="C1428" s="4" t="s">
        <v>1020</v>
      </c>
      <c r="D1428" s="4" t="s">
        <v>4568</v>
      </c>
      <c r="E1428" s="1" t="str">
        <f>_xlfn.XLOOKUP(tblSales[[#This Row],[Customer ID]],tblCustomers[Customer ID],tblCustomers[Customer Name],"⚠ Unknown")</f>
        <v>Walk-in Customer</v>
      </c>
      <c r="F1428" s="4" t="s">
        <v>9</v>
      </c>
      <c r="G1428" s="1" t="str">
        <f>_xlfn.XLOOKUP(tblSales[[#This Row],[Product Code]],tblProducts[Code],tblProducts[Product / Service Name],"⚠ Unknown")</f>
        <v>Casual Shirt</v>
      </c>
      <c r="H1428" s="1" t="str">
        <f>_xlfn.XLOOKUP(tblSales[[#This Row],[Product Code]],tblProducts[Code],tblProducts[Category],"")</f>
        <v>Apparel &amp; Footwear</v>
      </c>
      <c r="I1428" s="4">
        <v>3</v>
      </c>
      <c r="J1428" s="5">
        <f>_xlfn.XLOOKUP(tblSales[[#This Row],[Product Code]],tblProducts[Code],tblProducts[Selling Price (excl. VAT)],0)</f>
        <v>120000</v>
      </c>
      <c r="K1428" s="5">
        <f>tblSales[[#This Row],[Qty]]*tblSales[[#This Row],[Unit Price]]</f>
        <v>360000</v>
      </c>
      <c r="L1428" s="5">
        <f>ROUND(tblSales[[#This Row],[DPP (excl. VAT)]]*VATEff,0)</f>
        <v>39600</v>
      </c>
      <c r="M1428" s="5">
        <f>tblSales[[#This Row],[DPP (excl. VAT)]]+tblSales[[#This Row],[Output VAT]]</f>
        <v>399600</v>
      </c>
      <c r="N1428" s="5">
        <f>tblSales[[#This Row],[Qty]]*_xlfn.XLOOKUP(tblSales[[#This Row],[Product Code]],tblProducts[Code],tblProducts[Unit Cost],0)</f>
        <v>216000</v>
      </c>
      <c r="O1428" s="4" t="s">
        <v>4865</v>
      </c>
      <c r="P1428" s="4" t="s">
        <v>4860</v>
      </c>
      <c r="Q1428" s="1" t="str">
        <f>_xlfn.XLOOKUP(tblSales[[#This Row],[Channel Code]],tblChannels[Channel Code],tblChannels[Channel Name],"")</f>
        <v>In-store</v>
      </c>
      <c r="R1428" s="1">
        <f>MONTH(tblSales[[#This Row],[Date]])</f>
        <v>3</v>
      </c>
    </row>
    <row r="1429" spans="2:18" x14ac:dyDescent="0.35">
      <c r="B1429" s="113">
        <v>46108</v>
      </c>
      <c r="C1429" s="4" t="s">
        <v>1021</v>
      </c>
      <c r="D1429" s="4" t="s">
        <v>4568</v>
      </c>
      <c r="E1429" s="1" t="str">
        <f>_xlfn.XLOOKUP(tblSales[[#This Row],[Customer ID]],tblCustomers[Customer ID],tblCustomers[Customer Name],"⚠ Unknown")</f>
        <v>Walk-in Customer</v>
      </c>
      <c r="F1429" s="4" t="s">
        <v>7</v>
      </c>
      <c r="G1429" s="1" t="str">
        <f>_xlfn.XLOOKUP(tblSales[[#This Row],[Product Code]],tblProducts[Code],tblProducts[Product / Service Name],"⚠ Unknown")</f>
        <v>Premium Basic T-shirt</v>
      </c>
      <c r="H1429" s="1" t="str">
        <f>_xlfn.XLOOKUP(tblSales[[#This Row],[Product Code]],tblProducts[Code],tblProducts[Category],"")</f>
        <v>Accessories &amp; Basics</v>
      </c>
      <c r="I1429" s="4">
        <v>8</v>
      </c>
      <c r="J1429" s="5">
        <f>_xlfn.XLOOKUP(tblSales[[#This Row],[Product Code]],tblProducts[Code],tblProducts[Selling Price (excl. VAT)],0)</f>
        <v>65000</v>
      </c>
      <c r="K1429" s="5">
        <f>tblSales[[#This Row],[Qty]]*tblSales[[#This Row],[Unit Price]]</f>
        <v>520000</v>
      </c>
      <c r="L1429" s="5">
        <f>ROUND(tblSales[[#This Row],[DPP (excl. VAT)]]*VATEff,0)</f>
        <v>57200</v>
      </c>
      <c r="M1429" s="5">
        <f>tblSales[[#This Row],[DPP (excl. VAT)]]+tblSales[[#This Row],[Output VAT]]</f>
        <v>577200</v>
      </c>
      <c r="N1429" s="5">
        <f>tblSales[[#This Row],[Qty]]*_xlfn.XLOOKUP(tblSales[[#This Row],[Product Code]],tblProducts[Code],tblProducts[Unit Cost],0)</f>
        <v>296000</v>
      </c>
      <c r="O1429" s="4" t="s">
        <v>4865</v>
      </c>
      <c r="P1429" s="4" t="s">
        <v>4860</v>
      </c>
      <c r="Q1429" s="1" t="str">
        <f>_xlfn.XLOOKUP(tblSales[[#This Row],[Channel Code]],tblChannels[Channel Code],tblChannels[Channel Name],"")</f>
        <v>In-store</v>
      </c>
      <c r="R1429" s="1">
        <f>MONTH(tblSales[[#This Row],[Date]])</f>
        <v>3</v>
      </c>
    </row>
    <row r="1430" spans="2:18" x14ac:dyDescent="0.35">
      <c r="B1430" s="113">
        <v>46108</v>
      </c>
      <c r="C1430" s="4" t="s">
        <v>1021</v>
      </c>
      <c r="D1430" s="4" t="s">
        <v>4568</v>
      </c>
      <c r="E1430" s="1" t="str">
        <f>_xlfn.XLOOKUP(tblSales[[#This Row],[Customer ID]],tblCustomers[Customer ID],tblCustomers[Customer Name],"⚠ Unknown")</f>
        <v>Walk-in Customer</v>
      </c>
      <c r="F1430" s="4" t="s">
        <v>6</v>
      </c>
      <c r="G1430" s="1" t="str">
        <f>_xlfn.XLOOKUP(tblSales[[#This Row],[Product Code]],tblProducts[Code],tblProducts[Product / Service Name],"⚠ Unknown")</f>
        <v>Socks &amp; Accessories</v>
      </c>
      <c r="H1430" s="1" t="str">
        <f>_xlfn.XLOOKUP(tblSales[[#This Row],[Product Code]],tblProducts[Code],tblProducts[Category],"")</f>
        <v>Accessories &amp; Basics</v>
      </c>
      <c r="I1430" s="4">
        <v>5</v>
      </c>
      <c r="J1430" s="5">
        <f>_xlfn.XLOOKUP(tblSales[[#This Row],[Product Code]],tblProducts[Code],tblProducts[Selling Price (excl. VAT)],0)</f>
        <v>45000</v>
      </c>
      <c r="K1430" s="5">
        <f>tblSales[[#This Row],[Qty]]*tblSales[[#This Row],[Unit Price]]</f>
        <v>225000</v>
      </c>
      <c r="L1430" s="5">
        <f>ROUND(tblSales[[#This Row],[DPP (excl. VAT)]]*VATEff,0)</f>
        <v>24750</v>
      </c>
      <c r="M1430" s="5">
        <f>tblSales[[#This Row],[DPP (excl. VAT)]]+tblSales[[#This Row],[Output VAT]]</f>
        <v>249750</v>
      </c>
      <c r="N1430" s="5">
        <f>tblSales[[#This Row],[Qty]]*_xlfn.XLOOKUP(tblSales[[#This Row],[Product Code]],tblProducts[Code],tblProducts[Unit Cost],0)</f>
        <v>120000</v>
      </c>
      <c r="O1430" s="4" t="s">
        <v>4865</v>
      </c>
      <c r="P1430" s="4" t="s">
        <v>4860</v>
      </c>
      <c r="Q1430" s="1" t="str">
        <f>_xlfn.XLOOKUP(tblSales[[#This Row],[Channel Code]],tblChannels[Channel Code],tblChannels[Channel Name],"")</f>
        <v>In-store</v>
      </c>
      <c r="R1430" s="1">
        <f>MONTH(tblSales[[#This Row],[Date]])</f>
        <v>3</v>
      </c>
    </row>
    <row r="1431" spans="2:18" x14ac:dyDescent="0.35">
      <c r="B1431" s="113">
        <v>46108</v>
      </c>
      <c r="C1431" s="4" t="s">
        <v>1022</v>
      </c>
      <c r="D1431" s="4" t="s">
        <v>4568</v>
      </c>
      <c r="E1431" s="1" t="str">
        <f>_xlfn.XLOOKUP(tblSales[[#This Row],[Customer ID]],tblCustomers[Customer ID],tblCustomers[Customer Name],"⚠ Unknown")</f>
        <v>Walk-in Customer</v>
      </c>
      <c r="F1431" s="4" t="s">
        <v>6</v>
      </c>
      <c r="G1431" s="1" t="str">
        <f>_xlfn.XLOOKUP(tblSales[[#This Row],[Product Code]],tblProducts[Code],tblProducts[Product / Service Name],"⚠ Unknown")</f>
        <v>Socks &amp; Accessories</v>
      </c>
      <c r="H1431" s="1" t="str">
        <f>_xlfn.XLOOKUP(tblSales[[#This Row],[Product Code]],tblProducts[Code],tblProducts[Category],"")</f>
        <v>Accessories &amp; Basics</v>
      </c>
      <c r="I1431" s="4">
        <v>11</v>
      </c>
      <c r="J1431" s="5">
        <f>_xlfn.XLOOKUP(tblSales[[#This Row],[Product Code]],tblProducts[Code],tblProducts[Selling Price (excl. VAT)],0)</f>
        <v>45000</v>
      </c>
      <c r="K1431" s="5">
        <f>tblSales[[#This Row],[Qty]]*tblSales[[#This Row],[Unit Price]]</f>
        <v>495000</v>
      </c>
      <c r="L1431" s="5">
        <f>ROUND(tblSales[[#This Row],[DPP (excl. VAT)]]*VATEff,0)</f>
        <v>54450</v>
      </c>
      <c r="M1431" s="5">
        <f>tblSales[[#This Row],[DPP (excl. VAT)]]+tblSales[[#This Row],[Output VAT]]</f>
        <v>549450</v>
      </c>
      <c r="N1431" s="5">
        <f>tblSales[[#This Row],[Qty]]*_xlfn.XLOOKUP(tblSales[[#This Row],[Product Code]],tblProducts[Code],tblProducts[Unit Cost],0)</f>
        <v>264000</v>
      </c>
      <c r="O1431" s="4" t="s">
        <v>4865</v>
      </c>
      <c r="P1431" s="4" t="s">
        <v>4860</v>
      </c>
      <c r="Q1431" s="1" t="str">
        <f>_xlfn.XLOOKUP(tblSales[[#This Row],[Channel Code]],tblChannels[Channel Code],tblChannels[Channel Name],"")</f>
        <v>In-store</v>
      </c>
      <c r="R1431" s="1">
        <f>MONTH(tblSales[[#This Row],[Date]])</f>
        <v>3</v>
      </c>
    </row>
    <row r="1432" spans="2:18" x14ac:dyDescent="0.35">
      <c r="B1432" s="113">
        <v>46108</v>
      </c>
      <c r="C1432" s="4" t="s">
        <v>1022</v>
      </c>
      <c r="D1432" s="4" t="s">
        <v>4568</v>
      </c>
      <c r="E1432" s="1" t="str">
        <f>_xlfn.XLOOKUP(tblSales[[#This Row],[Customer ID]],tblCustomers[Customer ID],tblCustomers[Customer Name],"⚠ Unknown")</f>
        <v>Walk-in Customer</v>
      </c>
      <c r="F1432" s="4" t="s">
        <v>7</v>
      </c>
      <c r="G1432" s="1" t="str">
        <f>_xlfn.XLOOKUP(tblSales[[#This Row],[Product Code]],tblProducts[Code],tblProducts[Product / Service Name],"⚠ Unknown")</f>
        <v>Premium Basic T-shirt</v>
      </c>
      <c r="H1432" s="1" t="str">
        <f>_xlfn.XLOOKUP(tblSales[[#This Row],[Product Code]],tblProducts[Code],tblProducts[Category],"")</f>
        <v>Accessories &amp; Basics</v>
      </c>
      <c r="I1432" s="4">
        <v>10</v>
      </c>
      <c r="J1432" s="5">
        <f>_xlfn.XLOOKUP(tblSales[[#This Row],[Product Code]],tblProducts[Code],tblProducts[Selling Price (excl. VAT)],0)</f>
        <v>65000</v>
      </c>
      <c r="K1432" s="5">
        <f>tblSales[[#This Row],[Qty]]*tblSales[[#This Row],[Unit Price]]</f>
        <v>650000</v>
      </c>
      <c r="L1432" s="5">
        <f>ROUND(tblSales[[#This Row],[DPP (excl. VAT)]]*VATEff,0)</f>
        <v>71500</v>
      </c>
      <c r="M1432" s="5">
        <f>tblSales[[#This Row],[DPP (excl. VAT)]]+tblSales[[#This Row],[Output VAT]]</f>
        <v>721500</v>
      </c>
      <c r="N1432" s="5">
        <f>tblSales[[#This Row],[Qty]]*_xlfn.XLOOKUP(tblSales[[#This Row],[Product Code]],tblProducts[Code],tblProducts[Unit Cost],0)</f>
        <v>370000</v>
      </c>
      <c r="O1432" s="4" t="s">
        <v>4865</v>
      </c>
      <c r="P1432" s="4" t="s">
        <v>4860</v>
      </c>
      <c r="Q1432" s="1" t="str">
        <f>_xlfn.XLOOKUP(tblSales[[#This Row],[Channel Code]],tblChannels[Channel Code],tblChannels[Channel Name],"")</f>
        <v>In-store</v>
      </c>
      <c r="R1432" s="1">
        <f>MONTH(tblSales[[#This Row],[Date]])</f>
        <v>3</v>
      </c>
    </row>
    <row r="1433" spans="2:18" x14ac:dyDescent="0.35">
      <c r="B1433" s="113">
        <v>46108</v>
      </c>
      <c r="C1433" s="4" t="s">
        <v>1022</v>
      </c>
      <c r="D1433" s="4" t="s">
        <v>4568</v>
      </c>
      <c r="E1433" s="1" t="str">
        <f>_xlfn.XLOOKUP(tblSales[[#This Row],[Customer ID]],tblCustomers[Customer ID],tblCustomers[Customer Name],"⚠ Unknown")</f>
        <v>Walk-in Customer</v>
      </c>
      <c r="F1433" s="4" t="s">
        <v>10</v>
      </c>
      <c r="G1433" s="1" t="str">
        <f>_xlfn.XLOOKUP(tblSales[[#This Row],[Product Code]],tblProducts[Code],tblProducts[Product / Service Name],"⚠ Unknown")</f>
        <v>Chino Pants</v>
      </c>
      <c r="H1433" s="1" t="str">
        <f>_xlfn.XLOOKUP(tblSales[[#This Row],[Product Code]],tblProducts[Code],tblProducts[Category],"")</f>
        <v>Apparel &amp; Footwear</v>
      </c>
      <c r="I1433" s="4">
        <v>8</v>
      </c>
      <c r="J1433" s="5">
        <f>_xlfn.XLOOKUP(tblSales[[#This Row],[Product Code]],tblProducts[Code],tblProducts[Selling Price (excl. VAT)],0)</f>
        <v>150000</v>
      </c>
      <c r="K1433" s="5">
        <f>tblSales[[#This Row],[Qty]]*tblSales[[#This Row],[Unit Price]]</f>
        <v>1200000</v>
      </c>
      <c r="L1433" s="5">
        <f>ROUND(tblSales[[#This Row],[DPP (excl. VAT)]]*VATEff,0)</f>
        <v>132000</v>
      </c>
      <c r="M1433" s="5">
        <f>tblSales[[#This Row],[DPP (excl. VAT)]]+tblSales[[#This Row],[Output VAT]]</f>
        <v>1332000</v>
      </c>
      <c r="N1433" s="5">
        <f>tblSales[[#This Row],[Qty]]*_xlfn.XLOOKUP(tblSales[[#This Row],[Product Code]],tblProducts[Code],tblProducts[Unit Cost],0)</f>
        <v>704000</v>
      </c>
      <c r="O1433" s="4" t="s">
        <v>4865</v>
      </c>
      <c r="P1433" s="4" t="s">
        <v>4860</v>
      </c>
      <c r="Q1433" s="1" t="str">
        <f>_xlfn.XLOOKUP(tblSales[[#This Row],[Channel Code]],tblChannels[Channel Code],tblChannels[Channel Name],"")</f>
        <v>In-store</v>
      </c>
      <c r="R1433" s="1">
        <f>MONTH(tblSales[[#This Row],[Date]])</f>
        <v>3</v>
      </c>
    </row>
    <row r="1434" spans="2:18" x14ac:dyDescent="0.35">
      <c r="B1434" s="113">
        <v>46108</v>
      </c>
      <c r="C1434" s="4" t="s">
        <v>5149</v>
      </c>
      <c r="D1434" s="4" t="s">
        <v>4568</v>
      </c>
      <c r="E1434" s="1" t="str">
        <f>_xlfn.XLOOKUP(tblSales[[#This Row],[Customer ID]],tblCustomers[Customer ID],tblCustomers[Customer Name],"⚠ Unknown")</f>
        <v>Walk-in Customer</v>
      </c>
      <c r="F1434" s="4" t="s">
        <v>7</v>
      </c>
      <c r="G1434" s="1" t="str">
        <f>_xlfn.XLOOKUP(tblSales[[#This Row],[Product Code]],tblProducts[Code],tblProducts[Product / Service Name],"⚠ Unknown")</f>
        <v>Premium Basic T-shirt</v>
      </c>
      <c r="H1434" s="1" t="str">
        <f>_xlfn.XLOOKUP(tblSales[[#This Row],[Product Code]],tblProducts[Code],tblProducts[Category],"")</f>
        <v>Accessories &amp; Basics</v>
      </c>
      <c r="I1434" s="4">
        <v>6</v>
      </c>
      <c r="J1434" s="5">
        <f>_xlfn.XLOOKUP(tblSales[[#This Row],[Product Code]],tblProducts[Code],tblProducts[Selling Price (excl. VAT)],0)</f>
        <v>65000</v>
      </c>
      <c r="K1434" s="5">
        <f>tblSales[[#This Row],[Qty]]*tblSales[[#This Row],[Unit Price]]</f>
        <v>390000</v>
      </c>
      <c r="L1434" s="5">
        <f>ROUND(tblSales[[#This Row],[DPP (excl. VAT)]]*VATEff,0)</f>
        <v>42900</v>
      </c>
      <c r="M1434" s="5">
        <f>tblSales[[#This Row],[DPP (excl. VAT)]]+tblSales[[#This Row],[Output VAT]]</f>
        <v>432900</v>
      </c>
      <c r="N1434" s="5">
        <f>tblSales[[#This Row],[Qty]]*_xlfn.XLOOKUP(tblSales[[#This Row],[Product Code]],tblProducts[Code],tblProducts[Unit Cost],0)</f>
        <v>222000</v>
      </c>
      <c r="O1434" s="4" t="s">
        <v>4866</v>
      </c>
      <c r="P1434" s="4" t="s">
        <v>4860</v>
      </c>
      <c r="Q1434" s="1" t="str">
        <f>_xlfn.XLOOKUP(tblSales[[#This Row],[Channel Code]],tblChannels[Channel Code],tblChannels[Channel Name],"")</f>
        <v>In-store</v>
      </c>
      <c r="R1434" s="1">
        <f>MONTH(tblSales[[#This Row],[Date]])</f>
        <v>3</v>
      </c>
    </row>
    <row r="1435" spans="2:18" x14ac:dyDescent="0.35">
      <c r="B1435" s="113">
        <v>46109</v>
      </c>
      <c r="C1435" s="4" t="s">
        <v>5150</v>
      </c>
      <c r="D1435" s="4" t="s">
        <v>4568</v>
      </c>
      <c r="E1435" s="1" t="str">
        <f>_xlfn.XLOOKUP(tblSales[[#This Row],[Customer ID]],tblCustomers[Customer ID],tblCustomers[Customer Name],"⚠ Unknown")</f>
        <v>Walk-in Customer</v>
      </c>
      <c r="F1435" s="4" t="s">
        <v>10</v>
      </c>
      <c r="G1435" s="1" t="str">
        <f>_xlfn.XLOOKUP(tblSales[[#This Row],[Product Code]],tblProducts[Code],tblProducts[Product / Service Name],"⚠ Unknown")</f>
        <v>Chino Pants</v>
      </c>
      <c r="H1435" s="1" t="str">
        <f>_xlfn.XLOOKUP(tblSales[[#This Row],[Product Code]],tblProducts[Code],tblProducts[Category],"")</f>
        <v>Apparel &amp; Footwear</v>
      </c>
      <c r="I1435" s="4">
        <v>9</v>
      </c>
      <c r="J1435" s="5">
        <f>_xlfn.XLOOKUP(tblSales[[#This Row],[Product Code]],tblProducts[Code],tblProducts[Selling Price (excl. VAT)],0)</f>
        <v>150000</v>
      </c>
      <c r="K1435" s="5">
        <f>tblSales[[#This Row],[Qty]]*tblSales[[#This Row],[Unit Price]]</f>
        <v>1350000</v>
      </c>
      <c r="L1435" s="5">
        <f>ROUND(tblSales[[#This Row],[DPP (excl. VAT)]]*VATEff,0)</f>
        <v>148500</v>
      </c>
      <c r="M1435" s="5">
        <f>tblSales[[#This Row],[DPP (excl. VAT)]]+tblSales[[#This Row],[Output VAT]]</f>
        <v>1498500</v>
      </c>
      <c r="N1435" s="5">
        <f>tblSales[[#This Row],[Qty]]*_xlfn.XLOOKUP(tblSales[[#This Row],[Product Code]],tblProducts[Code],tblProducts[Unit Cost],0)</f>
        <v>792000</v>
      </c>
      <c r="O1435" s="4" t="s">
        <v>4866</v>
      </c>
      <c r="P1435" s="4" t="s">
        <v>4860</v>
      </c>
      <c r="Q1435" s="1" t="str">
        <f>_xlfn.XLOOKUP(tblSales[[#This Row],[Channel Code]],tblChannels[Channel Code],tblChannels[Channel Name],"")</f>
        <v>In-store</v>
      </c>
      <c r="R1435" s="1">
        <f>MONTH(tblSales[[#This Row],[Date]])</f>
        <v>3</v>
      </c>
    </row>
    <row r="1436" spans="2:18" x14ac:dyDescent="0.35">
      <c r="B1436" s="113">
        <v>46109</v>
      </c>
      <c r="C1436" s="4" t="s">
        <v>5150</v>
      </c>
      <c r="D1436" s="4" t="s">
        <v>4568</v>
      </c>
      <c r="E1436" s="1" t="str">
        <f>_xlfn.XLOOKUP(tblSales[[#This Row],[Customer ID]],tblCustomers[Customer ID],tblCustomers[Customer Name],"⚠ Unknown")</f>
        <v>Walk-in Customer</v>
      </c>
      <c r="F1436" s="4" t="s">
        <v>15</v>
      </c>
      <c r="G1436" s="1" t="str">
        <f>_xlfn.XLOOKUP(tblSales[[#This Row],[Product Code]],tblProducts[Code],tblProducts[Product / Service Name],"⚠ Unknown")</f>
        <v>Wireless Earbuds Pro</v>
      </c>
      <c r="H1436" s="1" t="str">
        <f>_xlfn.XLOOKUP(tblSales[[#This Row],[Product Code]],tblProducts[Code],tblProducts[Category],"")</f>
        <v>Bags &amp; Gadgets</v>
      </c>
      <c r="I1436" s="4">
        <v>3</v>
      </c>
      <c r="J1436" s="5">
        <f>_xlfn.XLOOKUP(tblSales[[#This Row],[Product Code]],tblProducts[Code],tblProducts[Selling Price (excl. VAT)],0)</f>
        <v>1250000</v>
      </c>
      <c r="K1436" s="5">
        <f>tblSales[[#This Row],[Qty]]*tblSales[[#This Row],[Unit Price]]</f>
        <v>3750000</v>
      </c>
      <c r="L1436" s="5">
        <f>ROUND(tblSales[[#This Row],[DPP (excl. VAT)]]*VATEff,0)</f>
        <v>412500</v>
      </c>
      <c r="M1436" s="5">
        <f>tblSales[[#This Row],[DPP (excl. VAT)]]+tblSales[[#This Row],[Output VAT]]</f>
        <v>4162500</v>
      </c>
      <c r="N1436" s="5">
        <f>tblSales[[#This Row],[Qty]]*_xlfn.XLOOKUP(tblSales[[#This Row],[Product Code]],tblProducts[Code],tblProducts[Unit Cost],0)</f>
        <v>2460000</v>
      </c>
      <c r="O1436" s="4" t="s">
        <v>4866</v>
      </c>
      <c r="P1436" s="4" t="s">
        <v>4860</v>
      </c>
      <c r="Q1436" s="1" t="str">
        <f>_xlfn.XLOOKUP(tblSales[[#This Row],[Channel Code]],tblChannels[Channel Code],tblChannels[Channel Name],"")</f>
        <v>In-store</v>
      </c>
      <c r="R1436" s="1">
        <f>MONTH(tblSales[[#This Row],[Date]])</f>
        <v>3</v>
      </c>
    </row>
    <row r="1437" spans="2:18" x14ac:dyDescent="0.35">
      <c r="B1437" s="113">
        <v>46109</v>
      </c>
      <c r="C1437" s="4" t="s">
        <v>5151</v>
      </c>
      <c r="D1437" s="4" t="s">
        <v>4568</v>
      </c>
      <c r="E1437" s="1" t="str">
        <f>_xlfn.XLOOKUP(tblSales[[#This Row],[Customer ID]],tblCustomers[Customer ID],tblCustomers[Customer Name],"⚠ Unknown")</f>
        <v>Walk-in Customer</v>
      </c>
      <c r="F1437" s="4" t="s">
        <v>6</v>
      </c>
      <c r="G1437" s="1" t="str">
        <f>_xlfn.XLOOKUP(tblSales[[#This Row],[Product Code]],tblProducts[Code],tblProducts[Product / Service Name],"⚠ Unknown")</f>
        <v>Socks &amp; Accessories</v>
      </c>
      <c r="H1437" s="1" t="str">
        <f>_xlfn.XLOOKUP(tblSales[[#This Row],[Product Code]],tblProducts[Code],tblProducts[Category],"")</f>
        <v>Accessories &amp; Basics</v>
      </c>
      <c r="I1437" s="4">
        <v>7</v>
      </c>
      <c r="J1437" s="5">
        <f>_xlfn.XLOOKUP(tblSales[[#This Row],[Product Code]],tblProducts[Code],tblProducts[Selling Price (excl. VAT)],0)</f>
        <v>45000</v>
      </c>
      <c r="K1437" s="5">
        <f>tblSales[[#This Row],[Qty]]*tblSales[[#This Row],[Unit Price]]</f>
        <v>315000</v>
      </c>
      <c r="L1437" s="5">
        <f>ROUND(tblSales[[#This Row],[DPP (excl. VAT)]]*VATEff,0)</f>
        <v>34650</v>
      </c>
      <c r="M1437" s="5">
        <f>tblSales[[#This Row],[DPP (excl. VAT)]]+tblSales[[#This Row],[Output VAT]]</f>
        <v>349650</v>
      </c>
      <c r="N1437" s="5">
        <f>tblSales[[#This Row],[Qty]]*_xlfn.XLOOKUP(tblSales[[#This Row],[Product Code]],tblProducts[Code],tblProducts[Unit Cost],0)</f>
        <v>168000</v>
      </c>
      <c r="O1437" s="4" t="s">
        <v>4866</v>
      </c>
      <c r="P1437" s="4" t="s">
        <v>4860</v>
      </c>
      <c r="Q1437" s="1" t="str">
        <f>_xlfn.XLOOKUP(tblSales[[#This Row],[Channel Code]],tblChannels[Channel Code],tblChannels[Channel Name],"")</f>
        <v>In-store</v>
      </c>
      <c r="R1437" s="1">
        <f>MONTH(tblSales[[#This Row],[Date]])</f>
        <v>3</v>
      </c>
    </row>
    <row r="1438" spans="2:18" x14ac:dyDescent="0.35">
      <c r="B1438" s="113">
        <v>46109</v>
      </c>
      <c r="C1438" s="4" t="s">
        <v>5152</v>
      </c>
      <c r="D1438" s="4" t="s">
        <v>4568</v>
      </c>
      <c r="E1438" s="1" t="str">
        <f>_xlfn.XLOOKUP(tblSales[[#This Row],[Customer ID]],tblCustomers[Customer ID],tblCustomers[Customer Name],"⚠ Unknown")</f>
        <v>Walk-in Customer</v>
      </c>
      <c r="F1438" s="4" t="s">
        <v>8</v>
      </c>
      <c r="G1438" s="1" t="str">
        <f>_xlfn.XLOOKUP(tblSales[[#This Row],[Product Code]],tblProducts[Code],tblProducts[Product / Service Name],"⚠ Unknown")</f>
        <v>Casual Shorts</v>
      </c>
      <c r="H1438" s="1" t="str">
        <f>_xlfn.XLOOKUP(tblSales[[#This Row],[Product Code]],tblProducts[Code],tblProducts[Category],"")</f>
        <v>Accessories &amp; Basics</v>
      </c>
      <c r="I1438" s="4">
        <v>7</v>
      </c>
      <c r="J1438" s="5">
        <f>_xlfn.XLOOKUP(tblSales[[#This Row],[Product Code]],tblProducts[Code],tblProducts[Selling Price (excl. VAT)],0)</f>
        <v>85000</v>
      </c>
      <c r="K1438" s="5">
        <f>tblSales[[#This Row],[Qty]]*tblSales[[#This Row],[Unit Price]]</f>
        <v>595000</v>
      </c>
      <c r="L1438" s="5">
        <f>ROUND(tblSales[[#This Row],[DPP (excl. VAT)]]*VATEff,0)</f>
        <v>65450</v>
      </c>
      <c r="M1438" s="5">
        <f>tblSales[[#This Row],[DPP (excl. VAT)]]+tblSales[[#This Row],[Output VAT]]</f>
        <v>660450</v>
      </c>
      <c r="N1438" s="5">
        <f>tblSales[[#This Row],[Qty]]*_xlfn.XLOOKUP(tblSales[[#This Row],[Product Code]],tblProducts[Code],tblProducts[Unit Cost],0)</f>
        <v>350000</v>
      </c>
      <c r="O1438" s="4" t="s">
        <v>4866</v>
      </c>
      <c r="P1438" s="4" t="s">
        <v>4861</v>
      </c>
      <c r="Q1438" s="1" t="str">
        <f>_xlfn.XLOOKUP(tblSales[[#This Row],[Channel Code]],tblChannels[Channel Code],tblChannels[Channel Name],"")</f>
        <v>Marketplace</v>
      </c>
      <c r="R1438" s="1">
        <f>MONTH(tblSales[[#This Row],[Date]])</f>
        <v>3</v>
      </c>
    </row>
    <row r="1439" spans="2:18" x14ac:dyDescent="0.35">
      <c r="B1439" s="113">
        <v>46109</v>
      </c>
      <c r="C1439" s="4" t="s">
        <v>5152</v>
      </c>
      <c r="D1439" s="4" t="s">
        <v>4568</v>
      </c>
      <c r="E1439" s="1" t="str">
        <f>_xlfn.XLOOKUP(tblSales[[#This Row],[Customer ID]],tblCustomers[Customer ID],tblCustomers[Customer Name],"⚠ Unknown")</f>
        <v>Walk-in Customer</v>
      </c>
      <c r="F1439" s="4" t="s">
        <v>11</v>
      </c>
      <c r="G1439" s="1" t="str">
        <f>_xlfn.XLOOKUP(tblSales[[#This Row],[Product Code]],tblProducts[Code],tblProducts[Product / Service Name],"⚠ Unknown")</f>
        <v>Sneakers</v>
      </c>
      <c r="H1439" s="1" t="str">
        <f>_xlfn.XLOOKUP(tblSales[[#This Row],[Product Code]],tblProducts[Code],tblProducts[Category],"")</f>
        <v>Apparel &amp; Footwear</v>
      </c>
      <c r="I1439" s="4">
        <v>1</v>
      </c>
      <c r="J1439" s="5">
        <f>_xlfn.XLOOKUP(tblSales[[#This Row],[Product Code]],tblProducts[Code],tblProducts[Selling Price (excl. VAT)],0)</f>
        <v>250000</v>
      </c>
      <c r="K1439" s="5">
        <f>tblSales[[#This Row],[Qty]]*tblSales[[#This Row],[Unit Price]]</f>
        <v>250000</v>
      </c>
      <c r="L1439" s="5">
        <f>ROUND(tblSales[[#This Row],[DPP (excl. VAT)]]*VATEff,0)</f>
        <v>27500</v>
      </c>
      <c r="M1439" s="5">
        <f>tblSales[[#This Row],[DPP (excl. VAT)]]+tblSales[[#This Row],[Output VAT]]</f>
        <v>277500</v>
      </c>
      <c r="N1439" s="5">
        <f>tblSales[[#This Row],[Qty]]*_xlfn.XLOOKUP(tblSales[[#This Row],[Product Code]],tblProducts[Code],tblProducts[Unit Cost],0)</f>
        <v>155000</v>
      </c>
      <c r="O1439" s="4" t="s">
        <v>4866</v>
      </c>
      <c r="P1439" s="4" t="s">
        <v>4861</v>
      </c>
      <c r="Q1439" s="1" t="str">
        <f>_xlfn.XLOOKUP(tblSales[[#This Row],[Channel Code]],tblChannels[Channel Code],tblChannels[Channel Name],"")</f>
        <v>Marketplace</v>
      </c>
      <c r="R1439" s="1">
        <f>MONTH(tblSales[[#This Row],[Date]])</f>
        <v>3</v>
      </c>
    </row>
    <row r="1440" spans="2:18" x14ac:dyDescent="0.35">
      <c r="B1440" s="113">
        <v>46109</v>
      </c>
      <c r="C1440" s="4" t="s">
        <v>5152</v>
      </c>
      <c r="D1440" s="4" t="s">
        <v>4568</v>
      </c>
      <c r="E1440" s="1" t="str">
        <f>_xlfn.XLOOKUP(tblSales[[#This Row],[Customer ID]],tblCustomers[Customer ID],tblCustomers[Customer Name],"⚠ Unknown")</f>
        <v>Walk-in Customer</v>
      </c>
      <c r="F1440" s="4" t="s">
        <v>12</v>
      </c>
      <c r="G1440" s="1" t="str">
        <f>_xlfn.XLOOKUP(tblSales[[#This Row],[Product Code]],tblProducts[Code],tblProducts[Product / Service Name],"⚠ Unknown")</f>
        <v>Bomber Jacket</v>
      </c>
      <c r="H1440" s="1" t="str">
        <f>_xlfn.XLOOKUP(tblSales[[#This Row],[Product Code]],tblProducts[Code],tblProducts[Category],"")</f>
        <v>Apparel &amp; Footwear</v>
      </c>
      <c r="I1440" s="4">
        <v>4</v>
      </c>
      <c r="J1440" s="5">
        <f>_xlfn.XLOOKUP(tblSales[[#This Row],[Product Code]],tblProducts[Code],tblProducts[Selling Price (excl. VAT)],0)</f>
        <v>350000</v>
      </c>
      <c r="K1440" s="5">
        <f>tblSales[[#This Row],[Qty]]*tblSales[[#This Row],[Unit Price]]</f>
        <v>1400000</v>
      </c>
      <c r="L1440" s="5">
        <f>ROUND(tblSales[[#This Row],[DPP (excl. VAT)]]*VATEff,0)</f>
        <v>154000</v>
      </c>
      <c r="M1440" s="5">
        <f>tblSales[[#This Row],[DPP (excl. VAT)]]+tblSales[[#This Row],[Output VAT]]</f>
        <v>1554000</v>
      </c>
      <c r="N1440" s="5">
        <f>tblSales[[#This Row],[Qty]]*_xlfn.XLOOKUP(tblSales[[#This Row],[Product Code]],tblProducts[Code],tblProducts[Unit Cost],0)</f>
        <v>840000</v>
      </c>
      <c r="O1440" s="4" t="s">
        <v>4866</v>
      </c>
      <c r="P1440" s="4" t="s">
        <v>4861</v>
      </c>
      <c r="Q1440" s="1" t="str">
        <f>_xlfn.XLOOKUP(tblSales[[#This Row],[Channel Code]],tblChannels[Channel Code],tblChannels[Channel Name],"")</f>
        <v>Marketplace</v>
      </c>
      <c r="R1440" s="1">
        <f>MONTH(tblSales[[#This Row],[Date]])</f>
        <v>3</v>
      </c>
    </row>
    <row r="1441" spans="2:18" x14ac:dyDescent="0.35">
      <c r="B1441" s="113">
        <v>46109</v>
      </c>
      <c r="C1441" s="4" t="s">
        <v>5153</v>
      </c>
      <c r="D1441" s="4" t="s">
        <v>4568</v>
      </c>
      <c r="E1441" s="1" t="str">
        <f>_xlfn.XLOOKUP(tblSales[[#This Row],[Customer ID]],tblCustomers[Customer ID],tblCustomers[Customer Name],"⚠ Unknown")</f>
        <v>Walk-in Customer</v>
      </c>
      <c r="F1441" s="4" t="s">
        <v>9</v>
      </c>
      <c r="G1441" s="1" t="str">
        <f>_xlfn.XLOOKUP(tblSales[[#This Row],[Product Code]],tblProducts[Code],tblProducts[Product / Service Name],"⚠ Unknown")</f>
        <v>Casual Shirt</v>
      </c>
      <c r="H1441" s="1" t="str">
        <f>_xlfn.XLOOKUP(tblSales[[#This Row],[Product Code]],tblProducts[Code],tblProducts[Category],"")</f>
        <v>Apparel &amp; Footwear</v>
      </c>
      <c r="I1441" s="4">
        <v>4</v>
      </c>
      <c r="J1441" s="5">
        <f>_xlfn.XLOOKUP(tblSales[[#This Row],[Product Code]],tblProducts[Code],tblProducts[Selling Price (excl. VAT)],0)</f>
        <v>120000</v>
      </c>
      <c r="K1441" s="5">
        <f>tblSales[[#This Row],[Qty]]*tblSales[[#This Row],[Unit Price]]</f>
        <v>480000</v>
      </c>
      <c r="L1441" s="5">
        <f>ROUND(tblSales[[#This Row],[DPP (excl. VAT)]]*VATEff,0)</f>
        <v>52800</v>
      </c>
      <c r="M1441" s="5">
        <f>tblSales[[#This Row],[DPP (excl. VAT)]]+tblSales[[#This Row],[Output VAT]]</f>
        <v>532800</v>
      </c>
      <c r="N1441" s="5">
        <f>tblSales[[#This Row],[Qty]]*_xlfn.XLOOKUP(tblSales[[#This Row],[Product Code]],tblProducts[Code],tblProducts[Unit Cost],0)</f>
        <v>288000</v>
      </c>
      <c r="O1441" s="4" t="s">
        <v>4866</v>
      </c>
      <c r="P1441" s="4" t="s">
        <v>4862</v>
      </c>
      <c r="Q1441" s="1" t="str">
        <f>_xlfn.XLOOKUP(tblSales[[#This Row],[Channel Code]],tblChannels[Channel Code],tblChannels[Channel Name],"")</f>
        <v>Website &amp; Social Media</v>
      </c>
      <c r="R1441" s="1">
        <f>MONTH(tblSales[[#This Row],[Date]])</f>
        <v>3</v>
      </c>
    </row>
    <row r="1442" spans="2:18" x14ac:dyDescent="0.35">
      <c r="B1442" s="113">
        <v>46109</v>
      </c>
      <c r="C1442" s="4" t="s">
        <v>5153</v>
      </c>
      <c r="D1442" s="4" t="s">
        <v>4568</v>
      </c>
      <c r="E1442" s="1" t="str">
        <f>_xlfn.XLOOKUP(tblSales[[#This Row],[Customer ID]],tblCustomers[Customer ID],tblCustomers[Customer Name],"⚠ Unknown")</f>
        <v>Walk-in Customer</v>
      </c>
      <c r="F1442" s="4" t="s">
        <v>11</v>
      </c>
      <c r="G1442" s="1" t="str">
        <f>_xlfn.XLOOKUP(tblSales[[#This Row],[Product Code]],tblProducts[Code],tblProducts[Product / Service Name],"⚠ Unknown")</f>
        <v>Sneakers</v>
      </c>
      <c r="H1442" s="1" t="str">
        <f>_xlfn.XLOOKUP(tblSales[[#This Row],[Product Code]],tblProducts[Code],tblProducts[Category],"")</f>
        <v>Apparel &amp; Footwear</v>
      </c>
      <c r="I1442" s="4">
        <v>3</v>
      </c>
      <c r="J1442" s="5">
        <f>_xlfn.XLOOKUP(tblSales[[#This Row],[Product Code]],tblProducts[Code],tblProducts[Selling Price (excl. VAT)],0)</f>
        <v>250000</v>
      </c>
      <c r="K1442" s="5">
        <f>tblSales[[#This Row],[Qty]]*tblSales[[#This Row],[Unit Price]]</f>
        <v>750000</v>
      </c>
      <c r="L1442" s="5">
        <f>ROUND(tblSales[[#This Row],[DPP (excl. VAT)]]*VATEff,0)</f>
        <v>82500</v>
      </c>
      <c r="M1442" s="5">
        <f>tblSales[[#This Row],[DPP (excl. VAT)]]+tblSales[[#This Row],[Output VAT]]</f>
        <v>832500</v>
      </c>
      <c r="N1442" s="5">
        <f>tblSales[[#This Row],[Qty]]*_xlfn.XLOOKUP(tblSales[[#This Row],[Product Code]],tblProducts[Code],tblProducts[Unit Cost],0)</f>
        <v>465000</v>
      </c>
      <c r="O1442" s="4" t="s">
        <v>4866</v>
      </c>
      <c r="P1442" s="4" t="s">
        <v>4862</v>
      </c>
      <c r="Q1442" s="1" t="str">
        <f>_xlfn.XLOOKUP(tblSales[[#This Row],[Channel Code]],tblChannels[Channel Code],tblChannels[Channel Name],"")</f>
        <v>Website &amp; Social Media</v>
      </c>
      <c r="R1442" s="1">
        <f>MONTH(tblSales[[#This Row],[Date]])</f>
        <v>3</v>
      </c>
    </row>
    <row r="1443" spans="2:18" x14ac:dyDescent="0.35">
      <c r="B1443" s="113">
        <v>46109</v>
      </c>
      <c r="C1443" s="4" t="s">
        <v>5153</v>
      </c>
      <c r="D1443" s="4" t="s">
        <v>4568</v>
      </c>
      <c r="E1443" s="1" t="str">
        <f>_xlfn.XLOOKUP(tblSales[[#This Row],[Customer ID]],tblCustomers[Customer ID],tblCustomers[Customer Name],"⚠ Unknown")</f>
        <v>Walk-in Customer</v>
      </c>
      <c r="F1443" s="4" t="s">
        <v>10</v>
      </c>
      <c r="G1443" s="1" t="str">
        <f>_xlfn.XLOOKUP(tblSales[[#This Row],[Product Code]],tblProducts[Code],tblProducts[Product / Service Name],"⚠ Unknown")</f>
        <v>Chino Pants</v>
      </c>
      <c r="H1443" s="1" t="str">
        <f>_xlfn.XLOOKUP(tblSales[[#This Row],[Product Code]],tblProducts[Code],tblProducts[Category],"")</f>
        <v>Apparel &amp; Footwear</v>
      </c>
      <c r="I1443" s="4">
        <v>11</v>
      </c>
      <c r="J1443" s="5">
        <f>_xlfn.XLOOKUP(tblSales[[#This Row],[Product Code]],tblProducts[Code],tblProducts[Selling Price (excl. VAT)],0)</f>
        <v>150000</v>
      </c>
      <c r="K1443" s="5">
        <f>tblSales[[#This Row],[Qty]]*tblSales[[#This Row],[Unit Price]]</f>
        <v>1650000</v>
      </c>
      <c r="L1443" s="5">
        <f>ROUND(tblSales[[#This Row],[DPP (excl. VAT)]]*VATEff,0)</f>
        <v>181500</v>
      </c>
      <c r="M1443" s="5">
        <f>tblSales[[#This Row],[DPP (excl. VAT)]]+tblSales[[#This Row],[Output VAT]]</f>
        <v>1831500</v>
      </c>
      <c r="N1443" s="5">
        <f>tblSales[[#This Row],[Qty]]*_xlfn.XLOOKUP(tblSales[[#This Row],[Product Code]],tblProducts[Code],tblProducts[Unit Cost],0)</f>
        <v>968000</v>
      </c>
      <c r="O1443" s="4" t="s">
        <v>4866</v>
      </c>
      <c r="P1443" s="4" t="s">
        <v>4862</v>
      </c>
      <c r="Q1443" s="1" t="str">
        <f>_xlfn.XLOOKUP(tblSales[[#This Row],[Channel Code]],tblChannels[Channel Code],tblChannels[Channel Name],"")</f>
        <v>Website &amp; Social Media</v>
      </c>
      <c r="R1443" s="1">
        <f>MONTH(tblSales[[#This Row],[Date]])</f>
        <v>3</v>
      </c>
    </row>
    <row r="1444" spans="2:18" x14ac:dyDescent="0.35">
      <c r="B1444" s="113">
        <v>46109</v>
      </c>
      <c r="C1444" s="4" t="s">
        <v>5154</v>
      </c>
      <c r="D1444" s="4" t="s">
        <v>4568</v>
      </c>
      <c r="E1444" s="1" t="str">
        <f>_xlfn.XLOOKUP(tblSales[[#This Row],[Customer ID]],tblCustomers[Customer ID],tblCustomers[Customer Name],"⚠ Unknown")</f>
        <v>Walk-in Customer</v>
      </c>
      <c r="F1444" s="4" t="s">
        <v>10</v>
      </c>
      <c r="G1444" s="1" t="str">
        <f>_xlfn.XLOOKUP(tblSales[[#This Row],[Product Code]],tblProducts[Code],tblProducts[Product / Service Name],"⚠ Unknown")</f>
        <v>Chino Pants</v>
      </c>
      <c r="H1444" s="1" t="str">
        <f>_xlfn.XLOOKUP(tblSales[[#This Row],[Product Code]],tblProducts[Code],tblProducts[Category],"")</f>
        <v>Apparel &amp; Footwear</v>
      </c>
      <c r="I1444" s="4">
        <v>1</v>
      </c>
      <c r="J1444" s="5">
        <f>_xlfn.XLOOKUP(tblSales[[#This Row],[Product Code]],tblProducts[Code],tblProducts[Selling Price (excl. VAT)],0)</f>
        <v>150000</v>
      </c>
      <c r="K1444" s="5">
        <f>tblSales[[#This Row],[Qty]]*tblSales[[#This Row],[Unit Price]]</f>
        <v>150000</v>
      </c>
      <c r="L1444" s="5">
        <f>ROUND(tblSales[[#This Row],[DPP (excl. VAT)]]*VATEff,0)</f>
        <v>16500</v>
      </c>
      <c r="M1444" s="5">
        <f>tblSales[[#This Row],[DPP (excl. VAT)]]+tblSales[[#This Row],[Output VAT]]</f>
        <v>166500</v>
      </c>
      <c r="N1444" s="5">
        <f>tblSales[[#This Row],[Qty]]*_xlfn.XLOOKUP(tblSales[[#This Row],[Product Code]],tblProducts[Code],tblProducts[Unit Cost],0)</f>
        <v>88000</v>
      </c>
      <c r="O1444" s="4" t="s">
        <v>4865</v>
      </c>
      <c r="P1444" s="4" t="s">
        <v>4860</v>
      </c>
      <c r="Q1444" s="1" t="str">
        <f>_xlfn.XLOOKUP(tblSales[[#This Row],[Channel Code]],tblChannels[Channel Code],tblChannels[Channel Name],"")</f>
        <v>In-store</v>
      </c>
      <c r="R1444" s="1">
        <f>MONTH(tblSales[[#This Row],[Date]])</f>
        <v>3</v>
      </c>
    </row>
    <row r="1445" spans="2:18" x14ac:dyDescent="0.35">
      <c r="B1445" s="113">
        <v>46109</v>
      </c>
      <c r="C1445" s="4" t="s">
        <v>5155</v>
      </c>
      <c r="D1445" s="4" t="s">
        <v>4568</v>
      </c>
      <c r="E1445" s="1" t="str">
        <f>_xlfn.XLOOKUP(tblSales[[#This Row],[Customer ID]],tblCustomers[Customer ID],tblCustomers[Customer Name],"⚠ Unknown")</f>
        <v>Walk-in Customer</v>
      </c>
      <c r="F1445" s="4" t="s">
        <v>6</v>
      </c>
      <c r="G1445" s="1" t="str">
        <f>_xlfn.XLOOKUP(tblSales[[#This Row],[Product Code]],tblProducts[Code],tblProducts[Product / Service Name],"⚠ Unknown")</f>
        <v>Socks &amp; Accessories</v>
      </c>
      <c r="H1445" s="1" t="str">
        <f>_xlfn.XLOOKUP(tblSales[[#This Row],[Product Code]],tblProducts[Code],tblProducts[Category],"")</f>
        <v>Accessories &amp; Basics</v>
      </c>
      <c r="I1445" s="4">
        <v>12</v>
      </c>
      <c r="J1445" s="5">
        <f>_xlfn.XLOOKUP(tblSales[[#This Row],[Product Code]],tblProducts[Code],tblProducts[Selling Price (excl. VAT)],0)</f>
        <v>45000</v>
      </c>
      <c r="K1445" s="5">
        <f>tblSales[[#This Row],[Qty]]*tblSales[[#This Row],[Unit Price]]</f>
        <v>540000</v>
      </c>
      <c r="L1445" s="5">
        <f>ROUND(tblSales[[#This Row],[DPP (excl. VAT)]]*VATEff,0)</f>
        <v>59400</v>
      </c>
      <c r="M1445" s="5">
        <f>tblSales[[#This Row],[DPP (excl. VAT)]]+tblSales[[#This Row],[Output VAT]]</f>
        <v>599400</v>
      </c>
      <c r="N1445" s="5">
        <f>tblSales[[#This Row],[Qty]]*_xlfn.XLOOKUP(tblSales[[#This Row],[Product Code]],tblProducts[Code],tblProducts[Unit Cost],0)</f>
        <v>288000</v>
      </c>
      <c r="O1445" s="4" t="s">
        <v>4866</v>
      </c>
      <c r="P1445" s="4" t="s">
        <v>4861</v>
      </c>
      <c r="Q1445" s="1" t="str">
        <f>_xlfn.XLOOKUP(tblSales[[#This Row],[Channel Code]],tblChannels[Channel Code],tblChannels[Channel Name],"")</f>
        <v>Marketplace</v>
      </c>
      <c r="R1445" s="1">
        <f>MONTH(tblSales[[#This Row],[Date]])</f>
        <v>3</v>
      </c>
    </row>
    <row r="1446" spans="2:18" x14ac:dyDescent="0.35">
      <c r="B1446" s="113">
        <v>46109</v>
      </c>
      <c r="C1446" s="4" t="s">
        <v>5156</v>
      </c>
      <c r="D1446" s="4" t="s">
        <v>4572</v>
      </c>
      <c r="E1446" s="1" t="str">
        <f>_xlfn.XLOOKUP(tblSales[[#This Row],[Customer ID]],tblCustomers[Customer ID],tblCustomers[Customer Name],"⚠ Unknown")</f>
        <v>PT Cahaya Abadi Makmur</v>
      </c>
      <c r="F1446" s="4" t="s">
        <v>6</v>
      </c>
      <c r="G1446" s="1" t="str">
        <f>_xlfn.XLOOKUP(tblSales[[#This Row],[Product Code]],tblProducts[Code],tblProducts[Product / Service Name],"⚠ Unknown")</f>
        <v>Socks &amp; Accessories</v>
      </c>
      <c r="H1446" s="1" t="str">
        <f>_xlfn.XLOOKUP(tblSales[[#This Row],[Product Code]],tblProducts[Code],tblProducts[Category],"")</f>
        <v>Accessories &amp; Basics</v>
      </c>
      <c r="I1446" s="4">
        <v>88</v>
      </c>
      <c r="J1446" s="5">
        <f>_xlfn.XLOOKUP(tblSales[[#This Row],[Product Code]],tblProducts[Code],tblProducts[Selling Price (excl. VAT)],0)</f>
        <v>45000</v>
      </c>
      <c r="K1446" s="5">
        <f>tblSales[[#This Row],[Qty]]*tblSales[[#This Row],[Unit Price]]</f>
        <v>3960000</v>
      </c>
      <c r="L1446" s="5">
        <f>ROUND(tblSales[[#This Row],[DPP (excl. VAT)]]*VATEff,0)</f>
        <v>435600</v>
      </c>
      <c r="M1446" s="5">
        <f>tblSales[[#This Row],[DPP (excl. VAT)]]+tblSales[[#This Row],[Output VAT]]</f>
        <v>4395600</v>
      </c>
      <c r="N1446" s="5">
        <f>tblSales[[#This Row],[Qty]]*_xlfn.XLOOKUP(tblSales[[#This Row],[Product Code]],tblProducts[Code],tblProducts[Unit Cost],0)</f>
        <v>2112000</v>
      </c>
      <c r="O1446" s="4" t="s">
        <v>4867</v>
      </c>
      <c r="P1446" s="4" t="s">
        <v>4860</v>
      </c>
      <c r="Q1446" s="1" t="str">
        <f>_xlfn.XLOOKUP(tblSales[[#This Row],[Channel Code]],tblChannels[Channel Code],tblChannels[Channel Name],"")</f>
        <v>In-store</v>
      </c>
      <c r="R1446" s="1">
        <f>MONTH(tblSales[[#This Row],[Date]])</f>
        <v>3</v>
      </c>
    </row>
    <row r="1447" spans="2:18" x14ac:dyDescent="0.35">
      <c r="B1447" s="113">
        <v>46109</v>
      </c>
      <c r="C1447" s="4" t="s">
        <v>5157</v>
      </c>
      <c r="D1447" s="4" t="s">
        <v>4568</v>
      </c>
      <c r="E1447" s="1" t="str">
        <f>_xlfn.XLOOKUP(tblSales[[#This Row],[Customer ID]],tblCustomers[Customer ID],tblCustomers[Customer Name],"⚠ Unknown")</f>
        <v>Walk-in Customer</v>
      </c>
      <c r="F1447" s="4" t="s">
        <v>11</v>
      </c>
      <c r="G1447" s="1" t="str">
        <f>_xlfn.XLOOKUP(tblSales[[#This Row],[Product Code]],tblProducts[Code],tblProducts[Product / Service Name],"⚠ Unknown")</f>
        <v>Sneakers</v>
      </c>
      <c r="H1447" s="1" t="str">
        <f>_xlfn.XLOOKUP(tblSales[[#This Row],[Product Code]],tblProducts[Code],tblProducts[Category],"")</f>
        <v>Apparel &amp; Footwear</v>
      </c>
      <c r="I1447" s="4">
        <v>3</v>
      </c>
      <c r="J1447" s="5">
        <f>_xlfn.XLOOKUP(tblSales[[#This Row],[Product Code]],tblProducts[Code],tblProducts[Selling Price (excl. VAT)],0)</f>
        <v>250000</v>
      </c>
      <c r="K1447" s="5">
        <f>tblSales[[#This Row],[Qty]]*tblSales[[#This Row],[Unit Price]]</f>
        <v>750000</v>
      </c>
      <c r="L1447" s="5">
        <f>ROUND(tblSales[[#This Row],[DPP (excl. VAT)]]*VATEff,0)</f>
        <v>82500</v>
      </c>
      <c r="M1447" s="5">
        <f>tblSales[[#This Row],[DPP (excl. VAT)]]+tblSales[[#This Row],[Output VAT]]</f>
        <v>832500</v>
      </c>
      <c r="N1447" s="5">
        <f>tblSales[[#This Row],[Qty]]*_xlfn.XLOOKUP(tblSales[[#This Row],[Product Code]],tblProducts[Code],tblProducts[Unit Cost],0)</f>
        <v>465000</v>
      </c>
      <c r="O1447" s="4" t="s">
        <v>4866</v>
      </c>
      <c r="P1447" s="4" t="s">
        <v>4861</v>
      </c>
      <c r="Q1447" s="1" t="str">
        <f>_xlfn.XLOOKUP(tblSales[[#This Row],[Channel Code]],tblChannels[Channel Code],tblChannels[Channel Name],"")</f>
        <v>Marketplace</v>
      </c>
      <c r="R1447" s="1">
        <f>MONTH(tblSales[[#This Row],[Date]])</f>
        <v>3</v>
      </c>
    </row>
    <row r="1448" spans="2:18" x14ac:dyDescent="0.35">
      <c r="B1448" s="113">
        <v>46109</v>
      </c>
      <c r="C1448" s="4" t="s">
        <v>5158</v>
      </c>
      <c r="D1448" s="4" t="s">
        <v>4568</v>
      </c>
      <c r="E1448" s="1" t="str">
        <f>_xlfn.XLOOKUP(tblSales[[#This Row],[Customer ID]],tblCustomers[Customer ID],tblCustomers[Customer Name],"⚠ Unknown")</f>
        <v>Walk-in Customer</v>
      </c>
      <c r="F1448" s="4" t="s">
        <v>10</v>
      </c>
      <c r="G1448" s="1" t="str">
        <f>_xlfn.XLOOKUP(tblSales[[#This Row],[Product Code]],tblProducts[Code],tblProducts[Product / Service Name],"⚠ Unknown")</f>
        <v>Chino Pants</v>
      </c>
      <c r="H1448" s="1" t="str">
        <f>_xlfn.XLOOKUP(tblSales[[#This Row],[Product Code]],tblProducts[Code],tblProducts[Category],"")</f>
        <v>Apparel &amp; Footwear</v>
      </c>
      <c r="I1448" s="4">
        <v>6</v>
      </c>
      <c r="J1448" s="5">
        <f>_xlfn.XLOOKUP(tblSales[[#This Row],[Product Code]],tblProducts[Code],tblProducts[Selling Price (excl. VAT)],0)</f>
        <v>150000</v>
      </c>
      <c r="K1448" s="5">
        <f>tblSales[[#This Row],[Qty]]*tblSales[[#This Row],[Unit Price]]</f>
        <v>900000</v>
      </c>
      <c r="L1448" s="5">
        <f>ROUND(tblSales[[#This Row],[DPP (excl. VAT)]]*VATEff,0)</f>
        <v>99000</v>
      </c>
      <c r="M1448" s="5">
        <f>tblSales[[#This Row],[DPP (excl. VAT)]]+tblSales[[#This Row],[Output VAT]]</f>
        <v>999000</v>
      </c>
      <c r="N1448" s="5">
        <f>tblSales[[#This Row],[Qty]]*_xlfn.XLOOKUP(tblSales[[#This Row],[Product Code]],tblProducts[Code],tblProducts[Unit Cost],0)</f>
        <v>528000</v>
      </c>
      <c r="O1448" s="4" t="s">
        <v>4866</v>
      </c>
      <c r="P1448" s="4" t="s">
        <v>4861</v>
      </c>
      <c r="Q1448" s="1" t="str">
        <f>_xlfn.XLOOKUP(tblSales[[#This Row],[Channel Code]],tblChannels[Channel Code],tblChannels[Channel Name],"")</f>
        <v>Marketplace</v>
      </c>
      <c r="R1448" s="1">
        <f>MONTH(tblSales[[#This Row],[Date]])</f>
        <v>3</v>
      </c>
    </row>
    <row r="1449" spans="2:18" x14ac:dyDescent="0.35">
      <c r="B1449" s="113">
        <v>46109</v>
      </c>
      <c r="C1449" s="4" t="s">
        <v>5158</v>
      </c>
      <c r="D1449" s="4" t="s">
        <v>4568</v>
      </c>
      <c r="E1449" s="1" t="str">
        <f>_xlfn.XLOOKUP(tblSales[[#This Row],[Customer ID]],tblCustomers[Customer ID],tblCustomers[Customer Name],"⚠ Unknown")</f>
        <v>Walk-in Customer</v>
      </c>
      <c r="F1449" s="4" t="s">
        <v>9</v>
      </c>
      <c r="G1449" s="1" t="str">
        <f>_xlfn.XLOOKUP(tblSales[[#This Row],[Product Code]],tblProducts[Code],tblProducts[Product / Service Name],"⚠ Unknown")</f>
        <v>Casual Shirt</v>
      </c>
      <c r="H1449" s="1" t="str">
        <f>_xlfn.XLOOKUP(tblSales[[#This Row],[Product Code]],tblProducts[Code],tblProducts[Category],"")</f>
        <v>Apparel &amp; Footwear</v>
      </c>
      <c r="I1449" s="4">
        <v>6</v>
      </c>
      <c r="J1449" s="5">
        <f>_xlfn.XLOOKUP(tblSales[[#This Row],[Product Code]],tblProducts[Code],tblProducts[Selling Price (excl. VAT)],0)</f>
        <v>120000</v>
      </c>
      <c r="K1449" s="5">
        <f>tblSales[[#This Row],[Qty]]*tblSales[[#This Row],[Unit Price]]</f>
        <v>720000</v>
      </c>
      <c r="L1449" s="5">
        <f>ROUND(tblSales[[#This Row],[DPP (excl. VAT)]]*VATEff,0)</f>
        <v>79200</v>
      </c>
      <c r="M1449" s="5">
        <f>tblSales[[#This Row],[DPP (excl. VAT)]]+tblSales[[#This Row],[Output VAT]]</f>
        <v>799200</v>
      </c>
      <c r="N1449" s="5">
        <f>tblSales[[#This Row],[Qty]]*_xlfn.XLOOKUP(tblSales[[#This Row],[Product Code]],tblProducts[Code],tblProducts[Unit Cost],0)</f>
        <v>432000</v>
      </c>
      <c r="O1449" s="4" t="s">
        <v>4866</v>
      </c>
      <c r="P1449" s="4" t="s">
        <v>4861</v>
      </c>
      <c r="Q1449" s="1" t="str">
        <f>_xlfn.XLOOKUP(tblSales[[#This Row],[Channel Code]],tblChannels[Channel Code],tblChannels[Channel Name],"")</f>
        <v>Marketplace</v>
      </c>
      <c r="R1449" s="1">
        <f>MONTH(tblSales[[#This Row],[Date]])</f>
        <v>3</v>
      </c>
    </row>
    <row r="1450" spans="2:18" x14ac:dyDescent="0.35">
      <c r="B1450" s="113">
        <v>46109</v>
      </c>
      <c r="C1450" s="4" t="s">
        <v>5158</v>
      </c>
      <c r="D1450" s="4" t="s">
        <v>4568</v>
      </c>
      <c r="E1450" s="1" t="str">
        <f>_xlfn.XLOOKUP(tblSales[[#This Row],[Customer ID]],tblCustomers[Customer ID],tblCustomers[Customer Name],"⚠ Unknown")</f>
        <v>Walk-in Customer</v>
      </c>
      <c r="F1450" s="4" t="s">
        <v>7</v>
      </c>
      <c r="G1450" s="1" t="str">
        <f>_xlfn.XLOOKUP(tblSales[[#This Row],[Product Code]],tblProducts[Code],tblProducts[Product / Service Name],"⚠ Unknown")</f>
        <v>Premium Basic T-shirt</v>
      </c>
      <c r="H1450" s="1" t="str">
        <f>_xlfn.XLOOKUP(tblSales[[#This Row],[Product Code]],tblProducts[Code],tblProducts[Category],"")</f>
        <v>Accessories &amp; Basics</v>
      </c>
      <c r="I1450" s="4">
        <v>8</v>
      </c>
      <c r="J1450" s="5">
        <f>_xlfn.XLOOKUP(tblSales[[#This Row],[Product Code]],tblProducts[Code],tblProducts[Selling Price (excl. VAT)],0)</f>
        <v>65000</v>
      </c>
      <c r="K1450" s="5">
        <f>tblSales[[#This Row],[Qty]]*tblSales[[#This Row],[Unit Price]]</f>
        <v>520000</v>
      </c>
      <c r="L1450" s="5">
        <f>ROUND(tblSales[[#This Row],[DPP (excl. VAT)]]*VATEff,0)</f>
        <v>57200</v>
      </c>
      <c r="M1450" s="5">
        <f>tblSales[[#This Row],[DPP (excl. VAT)]]+tblSales[[#This Row],[Output VAT]]</f>
        <v>577200</v>
      </c>
      <c r="N1450" s="5">
        <f>tblSales[[#This Row],[Qty]]*_xlfn.XLOOKUP(tblSales[[#This Row],[Product Code]],tblProducts[Code],tblProducts[Unit Cost],0)</f>
        <v>296000</v>
      </c>
      <c r="O1450" s="4" t="s">
        <v>4866</v>
      </c>
      <c r="P1450" s="4" t="s">
        <v>4861</v>
      </c>
      <c r="Q1450" s="1" t="str">
        <f>_xlfn.XLOOKUP(tblSales[[#This Row],[Channel Code]],tblChannels[Channel Code],tblChannels[Channel Name],"")</f>
        <v>Marketplace</v>
      </c>
      <c r="R1450" s="1">
        <f>MONTH(tblSales[[#This Row],[Date]])</f>
        <v>3</v>
      </c>
    </row>
    <row r="1451" spans="2:18" x14ac:dyDescent="0.35">
      <c r="B1451" s="113">
        <v>46109</v>
      </c>
      <c r="C1451" s="4" t="s">
        <v>5159</v>
      </c>
      <c r="D1451" s="4" t="s">
        <v>4572</v>
      </c>
      <c r="E1451" s="1" t="str">
        <f>_xlfn.XLOOKUP(tblSales[[#This Row],[Customer ID]],tblCustomers[Customer ID],tblCustomers[Customer Name],"⚠ Unknown")</f>
        <v>PT Cahaya Abadi Makmur</v>
      </c>
      <c r="F1451" s="4" t="s">
        <v>8</v>
      </c>
      <c r="G1451" s="1" t="str">
        <f>_xlfn.XLOOKUP(tblSales[[#This Row],[Product Code]],tblProducts[Code],tblProducts[Product / Service Name],"⚠ Unknown")</f>
        <v>Casual Shorts</v>
      </c>
      <c r="H1451" s="1" t="str">
        <f>_xlfn.XLOOKUP(tblSales[[#This Row],[Product Code]],tblProducts[Code],tblProducts[Category],"")</f>
        <v>Accessories &amp; Basics</v>
      </c>
      <c r="I1451" s="4">
        <v>32</v>
      </c>
      <c r="J1451" s="5">
        <f>_xlfn.XLOOKUP(tblSales[[#This Row],[Product Code]],tblProducts[Code],tblProducts[Selling Price (excl. VAT)],0)</f>
        <v>85000</v>
      </c>
      <c r="K1451" s="5">
        <f>tblSales[[#This Row],[Qty]]*tblSales[[#This Row],[Unit Price]]</f>
        <v>2720000</v>
      </c>
      <c r="L1451" s="5">
        <f>ROUND(tblSales[[#This Row],[DPP (excl. VAT)]]*VATEff,0)</f>
        <v>299200</v>
      </c>
      <c r="M1451" s="5">
        <f>tblSales[[#This Row],[DPP (excl. VAT)]]+tblSales[[#This Row],[Output VAT]]</f>
        <v>3019200</v>
      </c>
      <c r="N1451" s="5">
        <f>tblSales[[#This Row],[Qty]]*_xlfn.XLOOKUP(tblSales[[#This Row],[Product Code]],tblProducts[Code],tblProducts[Unit Cost],0)</f>
        <v>1600000</v>
      </c>
      <c r="O1451" s="4" t="s">
        <v>4867</v>
      </c>
      <c r="P1451" s="4" t="s">
        <v>4860</v>
      </c>
      <c r="Q1451" s="1" t="str">
        <f>_xlfn.XLOOKUP(tblSales[[#This Row],[Channel Code]],tblChannels[Channel Code],tblChannels[Channel Name],"")</f>
        <v>In-store</v>
      </c>
      <c r="R1451" s="1">
        <f>MONTH(tblSales[[#This Row],[Date]])</f>
        <v>3</v>
      </c>
    </row>
    <row r="1452" spans="2:18" x14ac:dyDescent="0.35">
      <c r="B1452" s="113">
        <v>46109</v>
      </c>
      <c r="C1452" s="4" t="s">
        <v>5160</v>
      </c>
      <c r="D1452" s="4" t="s">
        <v>4568</v>
      </c>
      <c r="E1452" s="1" t="str">
        <f>_xlfn.XLOOKUP(tblSales[[#This Row],[Customer ID]],tblCustomers[Customer ID],tblCustomers[Customer Name],"⚠ Unknown")</f>
        <v>Walk-in Customer</v>
      </c>
      <c r="F1452" s="4" t="s">
        <v>6</v>
      </c>
      <c r="G1452" s="1" t="str">
        <f>_xlfn.XLOOKUP(tblSales[[#This Row],[Product Code]],tblProducts[Code],tblProducts[Product / Service Name],"⚠ Unknown")</f>
        <v>Socks &amp; Accessories</v>
      </c>
      <c r="H1452" s="1" t="str">
        <f>_xlfn.XLOOKUP(tblSales[[#This Row],[Product Code]],tblProducts[Code],tblProducts[Category],"")</f>
        <v>Accessories &amp; Basics</v>
      </c>
      <c r="I1452" s="4">
        <v>12</v>
      </c>
      <c r="J1452" s="5">
        <f>_xlfn.XLOOKUP(tblSales[[#This Row],[Product Code]],tblProducts[Code],tblProducts[Selling Price (excl. VAT)],0)</f>
        <v>45000</v>
      </c>
      <c r="K1452" s="5">
        <f>tblSales[[#This Row],[Qty]]*tblSales[[#This Row],[Unit Price]]</f>
        <v>540000</v>
      </c>
      <c r="L1452" s="5">
        <f>ROUND(tblSales[[#This Row],[DPP (excl. VAT)]]*VATEff,0)</f>
        <v>59400</v>
      </c>
      <c r="M1452" s="5">
        <f>tblSales[[#This Row],[DPP (excl. VAT)]]+tblSales[[#This Row],[Output VAT]]</f>
        <v>599400</v>
      </c>
      <c r="N1452" s="5">
        <f>tblSales[[#This Row],[Qty]]*_xlfn.XLOOKUP(tblSales[[#This Row],[Product Code]],tblProducts[Code],tblProducts[Unit Cost],0)</f>
        <v>288000</v>
      </c>
      <c r="O1452" s="4" t="s">
        <v>4866</v>
      </c>
      <c r="P1452" s="4" t="s">
        <v>4861</v>
      </c>
      <c r="Q1452" s="1" t="str">
        <f>_xlfn.XLOOKUP(tblSales[[#This Row],[Channel Code]],tblChannels[Channel Code],tblChannels[Channel Name],"")</f>
        <v>Marketplace</v>
      </c>
      <c r="R1452" s="1">
        <f>MONTH(tblSales[[#This Row],[Date]])</f>
        <v>3</v>
      </c>
    </row>
    <row r="1453" spans="2:18" x14ac:dyDescent="0.35">
      <c r="B1453" s="113">
        <v>46109</v>
      </c>
      <c r="C1453" s="4" t="s">
        <v>5160</v>
      </c>
      <c r="D1453" s="4" t="s">
        <v>4568</v>
      </c>
      <c r="E1453" s="1" t="str">
        <f>_xlfn.XLOOKUP(tblSales[[#This Row],[Customer ID]],tblCustomers[Customer ID],tblCustomers[Customer Name],"⚠ Unknown")</f>
        <v>Walk-in Customer</v>
      </c>
      <c r="F1453" s="4" t="s">
        <v>8</v>
      </c>
      <c r="G1453" s="1" t="str">
        <f>_xlfn.XLOOKUP(tblSales[[#This Row],[Product Code]],tblProducts[Code],tblProducts[Product / Service Name],"⚠ Unknown")</f>
        <v>Casual Shorts</v>
      </c>
      <c r="H1453" s="1" t="str">
        <f>_xlfn.XLOOKUP(tblSales[[#This Row],[Product Code]],tblProducts[Code],tblProducts[Category],"")</f>
        <v>Accessories &amp; Basics</v>
      </c>
      <c r="I1453" s="4">
        <v>9</v>
      </c>
      <c r="J1453" s="5">
        <f>_xlfn.XLOOKUP(tblSales[[#This Row],[Product Code]],tblProducts[Code],tblProducts[Selling Price (excl. VAT)],0)</f>
        <v>85000</v>
      </c>
      <c r="K1453" s="5">
        <f>tblSales[[#This Row],[Qty]]*tblSales[[#This Row],[Unit Price]]</f>
        <v>765000</v>
      </c>
      <c r="L1453" s="5">
        <f>ROUND(tblSales[[#This Row],[DPP (excl. VAT)]]*VATEff,0)</f>
        <v>84150</v>
      </c>
      <c r="M1453" s="5">
        <f>tblSales[[#This Row],[DPP (excl. VAT)]]+tblSales[[#This Row],[Output VAT]]</f>
        <v>849150</v>
      </c>
      <c r="N1453" s="5">
        <f>tblSales[[#This Row],[Qty]]*_xlfn.XLOOKUP(tblSales[[#This Row],[Product Code]],tblProducts[Code],tblProducts[Unit Cost],0)</f>
        <v>450000</v>
      </c>
      <c r="O1453" s="4" t="s">
        <v>4866</v>
      </c>
      <c r="P1453" s="4" t="s">
        <v>4861</v>
      </c>
      <c r="Q1453" s="1" t="str">
        <f>_xlfn.XLOOKUP(tblSales[[#This Row],[Channel Code]],tblChannels[Channel Code],tblChannels[Channel Name],"")</f>
        <v>Marketplace</v>
      </c>
      <c r="R1453" s="1">
        <f>MONTH(tblSales[[#This Row],[Date]])</f>
        <v>3</v>
      </c>
    </row>
    <row r="1454" spans="2:18" x14ac:dyDescent="0.35">
      <c r="B1454" s="113">
        <v>46109</v>
      </c>
      <c r="C1454" s="4" t="s">
        <v>5160</v>
      </c>
      <c r="D1454" s="4" t="s">
        <v>4568</v>
      </c>
      <c r="E1454" s="1" t="str">
        <f>_xlfn.XLOOKUP(tblSales[[#This Row],[Customer ID]],tblCustomers[Customer ID],tblCustomers[Customer Name],"⚠ Unknown")</f>
        <v>Walk-in Customer</v>
      </c>
      <c r="F1454" s="4" t="s">
        <v>7</v>
      </c>
      <c r="G1454" s="1" t="str">
        <f>_xlfn.XLOOKUP(tblSales[[#This Row],[Product Code]],tblProducts[Code],tblProducts[Product / Service Name],"⚠ Unknown")</f>
        <v>Premium Basic T-shirt</v>
      </c>
      <c r="H1454" s="1" t="str">
        <f>_xlfn.XLOOKUP(tblSales[[#This Row],[Product Code]],tblProducts[Code],tblProducts[Category],"")</f>
        <v>Accessories &amp; Basics</v>
      </c>
      <c r="I1454" s="4">
        <v>5</v>
      </c>
      <c r="J1454" s="5">
        <f>_xlfn.XLOOKUP(tblSales[[#This Row],[Product Code]],tblProducts[Code],tblProducts[Selling Price (excl. VAT)],0)</f>
        <v>65000</v>
      </c>
      <c r="K1454" s="5">
        <f>tblSales[[#This Row],[Qty]]*tblSales[[#This Row],[Unit Price]]</f>
        <v>325000</v>
      </c>
      <c r="L1454" s="5">
        <f>ROUND(tblSales[[#This Row],[DPP (excl. VAT)]]*VATEff,0)</f>
        <v>35750</v>
      </c>
      <c r="M1454" s="5">
        <f>tblSales[[#This Row],[DPP (excl. VAT)]]+tblSales[[#This Row],[Output VAT]]</f>
        <v>360750</v>
      </c>
      <c r="N1454" s="5">
        <f>tblSales[[#This Row],[Qty]]*_xlfn.XLOOKUP(tblSales[[#This Row],[Product Code]],tblProducts[Code],tblProducts[Unit Cost],0)</f>
        <v>185000</v>
      </c>
      <c r="O1454" s="4" t="s">
        <v>4866</v>
      </c>
      <c r="P1454" s="4" t="s">
        <v>4861</v>
      </c>
      <c r="Q1454" s="1" t="str">
        <f>_xlfn.XLOOKUP(tblSales[[#This Row],[Channel Code]],tblChannels[Channel Code],tblChannels[Channel Name],"")</f>
        <v>Marketplace</v>
      </c>
      <c r="R1454" s="1">
        <f>MONTH(tblSales[[#This Row],[Date]])</f>
        <v>3</v>
      </c>
    </row>
    <row r="1455" spans="2:18" x14ac:dyDescent="0.35">
      <c r="B1455" s="113">
        <v>46109</v>
      </c>
      <c r="C1455" s="4" t="s">
        <v>5161</v>
      </c>
      <c r="D1455" s="4" t="s">
        <v>4606</v>
      </c>
      <c r="E1455" s="1" t="str">
        <f>_xlfn.XLOOKUP(tblSales[[#This Row],[Customer ID]],tblCustomers[Customer ID],tblCustomers[Customer Name],"⚠ Unknown")</f>
        <v>PT Arunika Digital Kreatif</v>
      </c>
      <c r="F1455" s="4" t="s">
        <v>14</v>
      </c>
      <c r="G1455" s="1" t="str">
        <f>_xlfn.XLOOKUP(tblSales[[#This Row],[Product Code]],tblProducts[Code],tblProducts[Product / Service Name],"⚠ Unknown")</f>
        <v>Smartwatch</v>
      </c>
      <c r="H1455" s="1" t="str">
        <f>_xlfn.XLOOKUP(tblSales[[#This Row],[Product Code]],tblProducts[Code],tblProducts[Category],"")</f>
        <v>Bags &amp; Gadgets</v>
      </c>
      <c r="I1455" s="4">
        <v>16</v>
      </c>
      <c r="J1455" s="5">
        <f>_xlfn.XLOOKUP(tblSales[[#This Row],[Product Code]],tblProducts[Code],tblProducts[Selling Price (excl. VAT)],0)</f>
        <v>850000</v>
      </c>
      <c r="K1455" s="5">
        <f>tblSales[[#This Row],[Qty]]*tblSales[[#This Row],[Unit Price]]</f>
        <v>13600000</v>
      </c>
      <c r="L1455" s="5">
        <f>ROUND(tblSales[[#This Row],[DPP (excl. VAT)]]*VATEff,0)</f>
        <v>1496000</v>
      </c>
      <c r="M1455" s="5">
        <f>tblSales[[#This Row],[DPP (excl. VAT)]]+tblSales[[#This Row],[Output VAT]]</f>
        <v>15096000</v>
      </c>
      <c r="N1455" s="5">
        <f>tblSales[[#This Row],[Qty]]*_xlfn.XLOOKUP(tblSales[[#This Row],[Product Code]],tblProducts[Code],tblProducts[Unit Cost],0)</f>
        <v>8960000</v>
      </c>
      <c r="O1455" s="4" t="s">
        <v>4867</v>
      </c>
      <c r="P1455" s="4" t="s">
        <v>4860</v>
      </c>
      <c r="Q1455" s="1" t="str">
        <f>_xlfn.XLOOKUP(tblSales[[#This Row],[Channel Code]],tblChannels[Channel Code],tblChannels[Channel Name],"")</f>
        <v>In-store</v>
      </c>
      <c r="R1455" s="1">
        <f>MONTH(tblSales[[#This Row],[Date]])</f>
        <v>3</v>
      </c>
    </row>
    <row r="1456" spans="2:18" x14ac:dyDescent="0.35">
      <c r="B1456" s="113">
        <v>46109</v>
      </c>
      <c r="C1456" s="4" t="s">
        <v>5162</v>
      </c>
      <c r="D1456" s="4" t="s">
        <v>4568</v>
      </c>
      <c r="E1456" s="1" t="str">
        <f>_xlfn.XLOOKUP(tblSales[[#This Row],[Customer ID]],tblCustomers[Customer ID],tblCustomers[Customer Name],"⚠ Unknown")</f>
        <v>Walk-in Customer</v>
      </c>
      <c r="F1456" s="4" t="s">
        <v>9</v>
      </c>
      <c r="G1456" s="1" t="str">
        <f>_xlfn.XLOOKUP(tblSales[[#This Row],[Product Code]],tblProducts[Code],tblProducts[Product / Service Name],"⚠ Unknown")</f>
        <v>Casual Shirt</v>
      </c>
      <c r="H1456" s="1" t="str">
        <f>_xlfn.XLOOKUP(tblSales[[#This Row],[Product Code]],tblProducts[Code],tblProducts[Category],"")</f>
        <v>Apparel &amp; Footwear</v>
      </c>
      <c r="I1456" s="4">
        <v>9</v>
      </c>
      <c r="J1456" s="5">
        <f>_xlfn.XLOOKUP(tblSales[[#This Row],[Product Code]],tblProducts[Code],tblProducts[Selling Price (excl. VAT)],0)</f>
        <v>120000</v>
      </c>
      <c r="K1456" s="5">
        <f>tblSales[[#This Row],[Qty]]*tblSales[[#This Row],[Unit Price]]</f>
        <v>1080000</v>
      </c>
      <c r="L1456" s="5">
        <f>ROUND(tblSales[[#This Row],[DPP (excl. VAT)]]*VATEff,0)</f>
        <v>118800</v>
      </c>
      <c r="M1456" s="5">
        <f>tblSales[[#This Row],[DPP (excl. VAT)]]+tblSales[[#This Row],[Output VAT]]</f>
        <v>1198800</v>
      </c>
      <c r="N1456" s="5">
        <f>tblSales[[#This Row],[Qty]]*_xlfn.XLOOKUP(tblSales[[#This Row],[Product Code]],tblProducts[Code],tblProducts[Unit Cost],0)</f>
        <v>648000</v>
      </c>
      <c r="O1456" s="4" t="s">
        <v>4866</v>
      </c>
      <c r="P1456" s="4" t="s">
        <v>4862</v>
      </c>
      <c r="Q1456" s="1" t="str">
        <f>_xlfn.XLOOKUP(tblSales[[#This Row],[Channel Code]],tblChannels[Channel Code],tblChannels[Channel Name],"")</f>
        <v>Website &amp; Social Media</v>
      </c>
      <c r="R1456" s="1">
        <f>MONTH(tblSales[[#This Row],[Date]])</f>
        <v>3</v>
      </c>
    </row>
    <row r="1457" spans="2:18" x14ac:dyDescent="0.35">
      <c r="B1457" s="113">
        <v>46109</v>
      </c>
      <c r="C1457" s="4" t="s">
        <v>5163</v>
      </c>
      <c r="D1457" s="4" t="s">
        <v>4568</v>
      </c>
      <c r="E1457" s="1" t="str">
        <f>_xlfn.XLOOKUP(tblSales[[#This Row],[Customer ID]],tblCustomers[Customer ID],tblCustomers[Customer Name],"⚠ Unknown")</f>
        <v>Walk-in Customer</v>
      </c>
      <c r="F1457" s="4" t="s">
        <v>9</v>
      </c>
      <c r="G1457" s="1" t="str">
        <f>_xlfn.XLOOKUP(tblSales[[#This Row],[Product Code]],tblProducts[Code],tblProducts[Product / Service Name],"⚠ Unknown")</f>
        <v>Casual Shirt</v>
      </c>
      <c r="H1457" s="1" t="str">
        <f>_xlfn.XLOOKUP(tblSales[[#This Row],[Product Code]],tblProducts[Code],tblProducts[Category],"")</f>
        <v>Apparel &amp; Footwear</v>
      </c>
      <c r="I1457" s="4">
        <v>2</v>
      </c>
      <c r="J1457" s="5">
        <f>_xlfn.XLOOKUP(tblSales[[#This Row],[Product Code]],tblProducts[Code],tblProducts[Selling Price (excl. VAT)],0)</f>
        <v>120000</v>
      </c>
      <c r="K1457" s="5">
        <f>tblSales[[#This Row],[Qty]]*tblSales[[#This Row],[Unit Price]]</f>
        <v>240000</v>
      </c>
      <c r="L1457" s="5">
        <f>ROUND(tblSales[[#This Row],[DPP (excl. VAT)]]*VATEff,0)</f>
        <v>26400</v>
      </c>
      <c r="M1457" s="5">
        <f>tblSales[[#This Row],[DPP (excl. VAT)]]+tblSales[[#This Row],[Output VAT]]</f>
        <v>266400</v>
      </c>
      <c r="N1457" s="5">
        <f>tblSales[[#This Row],[Qty]]*_xlfn.XLOOKUP(tblSales[[#This Row],[Product Code]],tblProducts[Code],tblProducts[Unit Cost],0)</f>
        <v>144000</v>
      </c>
      <c r="O1457" s="4" t="s">
        <v>4865</v>
      </c>
      <c r="P1457" s="4" t="s">
        <v>4860</v>
      </c>
      <c r="Q1457" s="1" t="str">
        <f>_xlfn.XLOOKUP(tblSales[[#This Row],[Channel Code]],tblChannels[Channel Code],tblChannels[Channel Name],"")</f>
        <v>In-store</v>
      </c>
      <c r="R1457" s="1">
        <f>MONTH(tblSales[[#This Row],[Date]])</f>
        <v>3</v>
      </c>
    </row>
    <row r="1458" spans="2:18" x14ac:dyDescent="0.35">
      <c r="B1458" s="113">
        <v>46109</v>
      </c>
      <c r="C1458" s="4" t="s">
        <v>5163</v>
      </c>
      <c r="D1458" s="4" t="s">
        <v>4568</v>
      </c>
      <c r="E1458" s="1" t="str">
        <f>_xlfn.XLOOKUP(tblSales[[#This Row],[Customer ID]],tblCustomers[Customer ID],tblCustomers[Customer Name],"⚠ Unknown")</f>
        <v>Walk-in Customer</v>
      </c>
      <c r="F1458" s="4" t="s">
        <v>13</v>
      </c>
      <c r="G1458" s="1" t="str">
        <f>_xlfn.XLOOKUP(tblSales[[#This Row],[Product Code]],tblProducts[Code],tblProducts[Product / Service Name],"⚠ Unknown")</f>
        <v>Backpack</v>
      </c>
      <c r="H1458" s="1" t="str">
        <f>_xlfn.XLOOKUP(tblSales[[#This Row],[Product Code]],tblProducts[Code],tblProducts[Category],"")</f>
        <v>Bags &amp; Gadgets</v>
      </c>
      <c r="I1458" s="4">
        <v>1</v>
      </c>
      <c r="J1458" s="5">
        <f>_xlfn.XLOOKUP(tblSales[[#This Row],[Product Code]],tblProducts[Code],tblProducts[Selling Price (excl. VAT)],0)</f>
        <v>500000</v>
      </c>
      <c r="K1458" s="5">
        <f>tblSales[[#This Row],[Qty]]*tblSales[[#This Row],[Unit Price]]</f>
        <v>500000</v>
      </c>
      <c r="L1458" s="5">
        <f>ROUND(tblSales[[#This Row],[DPP (excl. VAT)]]*VATEff,0)</f>
        <v>55000</v>
      </c>
      <c r="M1458" s="5">
        <f>tblSales[[#This Row],[DPP (excl. VAT)]]+tblSales[[#This Row],[Output VAT]]</f>
        <v>555000</v>
      </c>
      <c r="N1458" s="5">
        <f>tblSales[[#This Row],[Qty]]*_xlfn.XLOOKUP(tblSales[[#This Row],[Product Code]],tblProducts[Code],tblProducts[Unit Cost],0)</f>
        <v>290000</v>
      </c>
      <c r="O1458" s="4" t="s">
        <v>4865</v>
      </c>
      <c r="P1458" s="4" t="s">
        <v>4860</v>
      </c>
      <c r="Q1458" s="1" t="str">
        <f>_xlfn.XLOOKUP(tblSales[[#This Row],[Channel Code]],tblChannels[Channel Code],tblChannels[Channel Name],"")</f>
        <v>In-store</v>
      </c>
      <c r="R1458" s="1">
        <f>MONTH(tblSales[[#This Row],[Date]])</f>
        <v>3</v>
      </c>
    </row>
    <row r="1459" spans="2:18" x14ac:dyDescent="0.35">
      <c r="B1459" s="113">
        <v>46109</v>
      </c>
      <c r="C1459" s="4" t="s">
        <v>5164</v>
      </c>
      <c r="D1459" s="4" t="s">
        <v>4568</v>
      </c>
      <c r="E1459" s="1" t="str">
        <f>_xlfn.XLOOKUP(tblSales[[#This Row],[Customer ID]],tblCustomers[Customer ID],tblCustomers[Customer Name],"⚠ Unknown")</f>
        <v>Walk-in Customer</v>
      </c>
      <c r="F1459" s="4" t="s">
        <v>8</v>
      </c>
      <c r="G1459" s="1" t="str">
        <f>_xlfn.XLOOKUP(tblSales[[#This Row],[Product Code]],tblProducts[Code],tblProducts[Product / Service Name],"⚠ Unknown")</f>
        <v>Casual Shorts</v>
      </c>
      <c r="H1459" s="1" t="str">
        <f>_xlfn.XLOOKUP(tblSales[[#This Row],[Product Code]],tblProducts[Code],tblProducts[Category],"")</f>
        <v>Accessories &amp; Basics</v>
      </c>
      <c r="I1459" s="4">
        <v>2</v>
      </c>
      <c r="J1459" s="5">
        <f>_xlfn.XLOOKUP(tblSales[[#This Row],[Product Code]],tblProducts[Code],tblProducts[Selling Price (excl. VAT)],0)</f>
        <v>85000</v>
      </c>
      <c r="K1459" s="5">
        <f>tblSales[[#This Row],[Qty]]*tblSales[[#This Row],[Unit Price]]</f>
        <v>170000</v>
      </c>
      <c r="L1459" s="5">
        <f>ROUND(tblSales[[#This Row],[DPP (excl. VAT)]]*VATEff,0)</f>
        <v>18700</v>
      </c>
      <c r="M1459" s="5">
        <f>tblSales[[#This Row],[DPP (excl. VAT)]]+tblSales[[#This Row],[Output VAT]]</f>
        <v>188700</v>
      </c>
      <c r="N1459" s="5">
        <f>tblSales[[#This Row],[Qty]]*_xlfn.XLOOKUP(tblSales[[#This Row],[Product Code]],tblProducts[Code],tblProducts[Unit Cost],0)</f>
        <v>100000</v>
      </c>
      <c r="O1459" s="4" t="s">
        <v>4865</v>
      </c>
      <c r="P1459" s="4" t="s">
        <v>4860</v>
      </c>
      <c r="Q1459" s="1" t="str">
        <f>_xlfn.XLOOKUP(tblSales[[#This Row],[Channel Code]],tblChannels[Channel Code],tblChannels[Channel Name],"")</f>
        <v>In-store</v>
      </c>
      <c r="R1459" s="1">
        <f>MONTH(tblSales[[#This Row],[Date]])</f>
        <v>3</v>
      </c>
    </row>
    <row r="1460" spans="2:18" x14ac:dyDescent="0.35">
      <c r="B1460" s="113">
        <v>46109</v>
      </c>
      <c r="C1460" s="4" t="s">
        <v>5165</v>
      </c>
      <c r="D1460" s="4" t="s">
        <v>4568</v>
      </c>
      <c r="E1460" s="1" t="str">
        <f>_xlfn.XLOOKUP(tblSales[[#This Row],[Customer ID]],tblCustomers[Customer ID],tblCustomers[Customer Name],"⚠ Unknown")</f>
        <v>Walk-in Customer</v>
      </c>
      <c r="F1460" s="4" t="s">
        <v>6</v>
      </c>
      <c r="G1460" s="1" t="str">
        <f>_xlfn.XLOOKUP(tblSales[[#This Row],[Product Code]],tblProducts[Code],tblProducts[Product / Service Name],"⚠ Unknown")</f>
        <v>Socks &amp; Accessories</v>
      </c>
      <c r="H1460" s="1" t="str">
        <f>_xlfn.XLOOKUP(tblSales[[#This Row],[Product Code]],tblProducts[Code],tblProducts[Category],"")</f>
        <v>Accessories &amp; Basics</v>
      </c>
      <c r="I1460" s="4">
        <v>11</v>
      </c>
      <c r="J1460" s="5">
        <f>_xlfn.XLOOKUP(tblSales[[#This Row],[Product Code]],tblProducts[Code],tblProducts[Selling Price (excl. VAT)],0)</f>
        <v>45000</v>
      </c>
      <c r="K1460" s="5">
        <f>tblSales[[#This Row],[Qty]]*tblSales[[#This Row],[Unit Price]]</f>
        <v>495000</v>
      </c>
      <c r="L1460" s="5">
        <f>ROUND(tblSales[[#This Row],[DPP (excl. VAT)]]*VATEff,0)</f>
        <v>54450</v>
      </c>
      <c r="M1460" s="5">
        <f>tblSales[[#This Row],[DPP (excl. VAT)]]+tblSales[[#This Row],[Output VAT]]</f>
        <v>549450</v>
      </c>
      <c r="N1460" s="5">
        <f>tblSales[[#This Row],[Qty]]*_xlfn.XLOOKUP(tblSales[[#This Row],[Product Code]],tblProducts[Code],tblProducts[Unit Cost],0)</f>
        <v>264000</v>
      </c>
      <c r="O1460" s="4" t="s">
        <v>4866</v>
      </c>
      <c r="P1460" s="4" t="s">
        <v>4862</v>
      </c>
      <c r="Q1460" s="1" t="str">
        <f>_xlfn.XLOOKUP(tblSales[[#This Row],[Channel Code]],tblChannels[Channel Code],tblChannels[Channel Name],"")</f>
        <v>Website &amp; Social Media</v>
      </c>
      <c r="R1460" s="1">
        <f>MONTH(tblSales[[#This Row],[Date]])</f>
        <v>3</v>
      </c>
    </row>
    <row r="1461" spans="2:18" x14ac:dyDescent="0.35">
      <c r="B1461" s="113">
        <v>46110</v>
      </c>
      <c r="C1461" s="4" t="s">
        <v>5166</v>
      </c>
      <c r="D1461" s="4" t="s">
        <v>4568</v>
      </c>
      <c r="E1461" s="1" t="str">
        <f>_xlfn.XLOOKUP(tblSales[[#This Row],[Customer ID]],tblCustomers[Customer ID],tblCustomers[Customer Name],"⚠ Unknown")</f>
        <v>Walk-in Customer</v>
      </c>
      <c r="F1461" s="4" t="s">
        <v>6</v>
      </c>
      <c r="G1461" s="1" t="str">
        <f>_xlfn.XLOOKUP(tblSales[[#This Row],[Product Code]],tblProducts[Code],tblProducts[Product / Service Name],"⚠ Unknown")</f>
        <v>Socks &amp; Accessories</v>
      </c>
      <c r="H1461" s="1" t="str">
        <f>_xlfn.XLOOKUP(tblSales[[#This Row],[Product Code]],tblProducts[Code],tblProducts[Category],"")</f>
        <v>Accessories &amp; Basics</v>
      </c>
      <c r="I1461" s="4">
        <v>10</v>
      </c>
      <c r="J1461" s="5">
        <f>_xlfn.XLOOKUP(tblSales[[#This Row],[Product Code]],tblProducts[Code],tblProducts[Selling Price (excl. VAT)],0)</f>
        <v>45000</v>
      </c>
      <c r="K1461" s="5">
        <f>tblSales[[#This Row],[Qty]]*tblSales[[#This Row],[Unit Price]]</f>
        <v>450000</v>
      </c>
      <c r="L1461" s="5">
        <f>ROUND(tblSales[[#This Row],[DPP (excl. VAT)]]*VATEff,0)</f>
        <v>49500</v>
      </c>
      <c r="M1461" s="5">
        <f>tblSales[[#This Row],[DPP (excl. VAT)]]+tblSales[[#This Row],[Output VAT]]</f>
        <v>499500</v>
      </c>
      <c r="N1461" s="5">
        <f>tblSales[[#This Row],[Qty]]*_xlfn.XLOOKUP(tblSales[[#This Row],[Product Code]],tblProducts[Code],tblProducts[Unit Cost],0)</f>
        <v>240000</v>
      </c>
      <c r="O1461" s="4" t="s">
        <v>4866</v>
      </c>
      <c r="P1461" s="4" t="s">
        <v>4861</v>
      </c>
      <c r="Q1461" s="1" t="str">
        <f>_xlfn.XLOOKUP(tblSales[[#This Row],[Channel Code]],tblChannels[Channel Code],tblChannels[Channel Name],"")</f>
        <v>Marketplace</v>
      </c>
      <c r="R1461" s="1">
        <f>MONTH(tblSales[[#This Row],[Date]])</f>
        <v>3</v>
      </c>
    </row>
    <row r="1462" spans="2:18" x14ac:dyDescent="0.35">
      <c r="B1462" s="113">
        <v>46110</v>
      </c>
      <c r="C1462" s="4" t="s">
        <v>5167</v>
      </c>
      <c r="D1462" s="4" t="s">
        <v>4568</v>
      </c>
      <c r="E1462" s="1" t="str">
        <f>_xlfn.XLOOKUP(tblSales[[#This Row],[Customer ID]],tblCustomers[Customer ID],tblCustomers[Customer Name],"⚠ Unknown")</f>
        <v>Walk-in Customer</v>
      </c>
      <c r="F1462" s="4" t="s">
        <v>9</v>
      </c>
      <c r="G1462" s="1" t="str">
        <f>_xlfn.XLOOKUP(tblSales[[#This Row],[Product Code]],tblProducts[Code],tblProducts[Product / Service Name],"⚠ Unknown")</f>
        <v>Casual Shirt</v>
      </c>
      <c r="H1462" s="1" t="str">
        <f>_xlfn.XLOOKUP(tblSales[[#This Row],[Product Code]],tblProducts[Code],tblProducts[Category],"")</f>
        <v>Apparel &amp; Footwear</v>
      </c>
      <c r="I1462" s="4">
        <v>3</v>
      </c>
      <c r="J1462" s="5">
        <f>_xlfn.XLOOKUP(tblSales[[#This Row],[Product Code]],tblProducts[Code],tblProducts[Selling Price (excl. VAT)],0)</f>
        <v>120000</v>
      </c>
      <c r="K1462" s="5">
        <f>tblSales[[#This Row],[Qty]]*tblSales[[#This Row],[Unit Price]]</f>
        <v>360000</v>
      </c>
      <c r="L1462" s="5">
        <f>ROUND(tblSales[[#This Row],[DPP (excl. VAT)]]*VATEff,0)</f>
        <v>39600</v>
      </c>
      <c r="M1462" s="5">
        <f>tblSales[[#This Row],[DPP (excl. VAT)]]+tblSales[[#This Row],[Output VAT]]</f>
        <v>399600</v>
      </c>
      <c r="N1462" s="5">
        <f>tblSales[[#This Row],[Qty]]*_xlfn.XLOOKUP(tblSales[[#This Row],[Product Code]],tblProducts[Code],tblProducts[Unit Cost],0)</f>
        <v>216000</v>
      </c>
      <c r="O1462" s="4" t="s">
        <v>4866</v>
      </c>
      <c r="P1462" s="4" t="s">
        <v>4861</v>
      </c>
      <c r="Q1462" s="1" t="str">
        <f>_xlfn.XLOOKUP(tblSales[[#This Row],[Channel Code]],tblChannels[Channel Code],tblChannels[Channel Name],"")</f>
        <v>Marketplace</v>
      </c>
      <c r="R1462" s="1">
        <f>MONTH(tblSales[[#This Row],[Date]])</f>
        <v>3</v>
      </c>
    </row>
    <row r="1463" spans="2:18" x14ac:dyDescent="0.35">
      <c r="B1463" s="113">
        <v>46110</v>
      </c>
      <c r="C1463" s="4" t="s">
        <v>5167</v>
      </c>
      <c r="D1463" s="4" t="s">
        <v>4568</v>
      </c>
      <c r="E1463" s="1" t="str">
        <f>_xlfn.XLOOKUP(tblSales[[#This Row],[Customer ID]],tblCustomers[Customer ID],tblCustomers[Customer Name],"⚠ Unknown")</f>
        <v>Walk-in Customer</v>
      </c>
      <c r="F1463" s="4" t="s">
        <v>11</v>
      </c>
      <c r="G1463" s="1" t="str">
        <f>_xlfn.XLOOKUP(tblSales[[#This Row],[Product Code]],tblProducts[Code],tblProducts[Product / Service Name],"⚠ Unknown")</f>
        <v>Sneakers</v>
      </c>
      <c r="H1463" s="1" t="str">
        <f>_xlfn.XLOOKUP(tblSales[[#This Row],[Product Code]],tblProducts[Code],tblProducts[Category],"")</f>
        <v>Apparel &amp; Footwear</v>
      </c>
      <c r="I1463" s="4">
        <v>6</v>
      </c>
      <c r="J1463" s="5">
        <f>_xlfn.XLOOKUP(tblSales[[#This Row],[Product Code]],tblProducts[Code],tblProducts[Selling Price (excl. VAT)],0)</f>
        <v>250000</v>
      </c>
      <c r="K1463" s="5">
        <f>tblSales[[#This Row],[Qty]]*tblSales[[#This Row],[Unit Price]]</f>
        <v>1500000</v>
      </c>
      <c r="L1463" s="5">
        <f>ROUND(tblSales[[#This Row],[DPP (excl. VAT)]]*VATEff,0)</f>
        <v>165000</v>
      </c>
      <c r="M1463" s="5">
        <f>tblSales[[#This Row],[DPP (excl. VAT)]]+tblSales[[#This Row],[Output VAT]]</f>
        <v>1665000</v>
      </c>
      <c r="N1463" s="5">
        <f>tblSales[[#This Row],[Qty]]*_xlfn.XLOOKUP(tblSales[[#This Row],[Product Code]],tblProducts[Code],tblProducts[Unit Cost],0)</f>
        <v>930000</v>
      </c>
      <c r="O1463" s="4" t="s">
        <v>4866</v>
      </c>
      <c r="P1463" s="4" t="s">
        <v>4861</v>
      </c>
      <c r="Q1463" s="1" t="str">
        <f>_xlfn.XLOOKUP(tblSales[[#This Row],[Channel Code]],tblChannels[Channel Code],tblChannels[Channel Name],"")</f>
        <v>Marketplace</v>
      </c>
      <c r="R1463" s="1">
        <f>MONTH(tblSales[[#This Row],[Date]])</f>
        <v>3</v>
      </c>
    </row>
    <row r="1464" spans="2:18" x14ac:dyDescent="0.35">
      <c r="B1464" s="113">
        <v>46110</v>
      </c>
      <c r="C1464" s="4" t="s">
        <v>5168</v>
      </c>
      <c r="D1464" s="4" t="s">
        <v>4634</v>
      </c>
      <c r="E1464" s="1" t="str">
        <f>_xlfn.XLOOKUP(tblSales[[#This Row],[Customer ID]],tblCustomers[Customer ID],tblCustomers[Customer Name],"⚠ Unknown")</f>
        <v>PT Delta Inti Selaras</v>
      </c>
      <c r="F1464" s="4" t="s">
        <v>6</v>
      </c>
      <c r="G1464" s="1" t="str">
        <f>_xlfn.XLOOKUP(tblSales[[#This Row],[Product Code]],tblProducts[Code],tblProducts[Product / Service Name],"⚠ Unknown")</f>
        <v>Socks &amp; Accessories</v>
      </c>
      <c r="H1464" s="1" t="str">
        <f>_xlfn.XLOOKUP(tblSales[[#This Row],[Product Code]],tblProducts[Code],tblProducts[Category],"")</f>
        <v>Accessories &amp; Basics</v>
      </c>
      <c r="I1464" s="4">
        <v>40</v>
      </c>
      <c r="J1464" s="5">
        <f>_xlfn.XLOOKUP(tblSales[[#This Row],[Product Code]],tblProducts[Code],tblProducts[Selling Price (excl. VAT)],0)</f>
        <v>45000</v>
      </c>
      <c r="K1464" s="5">
        <f>tblSales[[#This Row],[Qty]]*tblSales[[#This Row],[Unit Price]]</f>
        <v>1800000</v>
      </c>
      <c r="L1464" s="5">
        <f>ROUND(tblSales[[#This Row],[DPP (excl. VAT)]]*VATEff,0)</f>
        <v>198000</v>
      </c>
      <c r="M1464" s="5">
        <f>tblSales[[#This Row],[DPP (excl. VAT)]]+tblSales[[#This Row],[Output VAT]]</f>
        <v>1998000</v>
      </c>
      <c r="N1464" s="5">
        <f>tblSales[[#This Row],[Qty]]*_xlfn.XLOOKUP(tblSales[[#This Row],[Product Code]],tblProducts[Code],tblProducts[Unit Cost],0)</f>
        <v>960000</v>
      </c>
      <c r="O1464" s="4" t="s">
        <v>4867</v>
      </c>
      <c r="P1464" s="4" t="s">
        <v>4862</v>
      </c>
      <c r="Q1464" s="1" t="str">
        <f>_xlfn.XLOOKUP(tblSales[[#This Row],[Channel Code]],tblChannels[Channel Code],tblChannels[Channel Name],"")</f>
        <v>Website &amp; Social Media</v>
      </c>
      <c r="R1464" s="1">
        <f>MONTH(tblSales[[#This Row],[Date]])</f>
        <v>3</v>
      </c>
    </row>
    <row r="1465" spans="2:18" x14ac:dyDescent="0.35">
      <c r="B1465" s="113">
        <v>46110</v>
      </c>
      <c r="C1465" s="4" t="s">
        <v>5169</v>
      </c>
      <c r="D1465" s="4" t="s">
        <v>4568</v>
      </c>
      <c r="E1465" s="1" t="str">
        <f>_xlfn.XLOOKUP(tblSales[[#This Row],[Customer ID]],tblCustomers[Customer ID],tblCustomers[Customer Name],"⚠ Unknown")</f>
        <v>Walk-in Customer</v>
      </c>
      <c r="F1465" s="4" t="s">
        <v>12</v>
      </c>
      <c r="G1465" s="1" t="str">
        <f>_xlfn.XLOOKUP(tblSales[[#This Row],[Product Code]],tblProducts[Code],tblProducts[Product / Service Name],"⚠ Unknown")</f>
        <v>Bomber Jacket</v>
      </c>
      <c r="H1465" s="1" t="str">
        <f>_xlfn.XLOOKUP(tblSales[[#This Row],[Product Code]],tblProducts[Code],tblProducts[Category],"")</f>
        <v>Apparel &amp; Footwear</v>
      </c>
      <c r="I1465" s="4">
        <v>4</v>
      </c>
      <c r="J1465" s="5">
        <f>_xlfn.XLOOKUP(tblSales[[#This Row],[Product Code]],tblProducts[Code],tblProducts[Selling Price (excl. VAT)],0)</f>
        <v>350000</v>
      </c>
      <c r="K1465" s="5">
        <f>tblSales[[#This Row],[Qty]]*tblSales[[#This Row],[Unit Price]]</f>
        <v>1400000</v>
      </c>
      <c r="L1465" s="5">
        <f>ROUND(tblSales[[#This Row],[DPP (excl. VAT)]]*VATEff,0)</f>
        <v>154000</v>
      </c>
      <c r="M1465" s="5">
        <f>tblSales[[#This Row],[DPP (excl. VAT)]]+tblSales[[#This Row],[Output VAT]]</f>
        <v>1554000</v>
      </c>
      <c r="N1465" s="5">
        <f>tblSales[[#This Row],[Qty]]*_xlfn.XLOOKUP(tblSales[[#This Row],[Product Code]],tblProducts[Code],tblProducts[Unit Cost],0)</f>
        <v>840000</v>
      </c>
      <c r="O1465" s="4" t="s">
        <v>4866</v>
      </c>
      <c r="P1465" s="4" t="s">
        <v>4861</v>
      </c>
      <c r="Q1465" s="1" t="str">
        <f>_xlfn.XLOOKUP(tblSales[[#This Row],[Channel Code]],tblChannels[Channel Code],tblChannels[Channel Name],"")</f>
        <v>Marketplace</v>
      </c>
      <c r="R1465" s="1">
        <f>MONTH(tblSales[[#This Row],[Date]])</f>
        <v>3</v>
      </c>
    </row>
    <row r="1466" spans="2:18" x14ac:dyDescent="0.35">
      <c r="B1466" s="113">
        <v>46110</v>
      </c>
      <c r="C1466" s="4" t="s">
        <v>5170</v>
      </c>
      <c r="D1466" s="4" t="s">
        <v>4620</v>
      </c>
      <c r="E1466" s="1" t="str">
        <f>_xlfn.XLOOKUP(tblSales[[#This Row],[Customer ID]],tblCustomers[Customer ID],tblCustomers[Customer Name],"⚠ Unknown")</f>
        <v>CV Sumber Rejeki Utama</v>
      </c>
      <c r="F1466" s="4" t="s">
        <v>10</v>
      </c>
      <c r="G1466" s="1" t="str">
        <f>_xlfn.XLOOKUP(tblSales[[#This Row],[Product Code]],tblProducts[Code],tblProducts[Product / Service Name],"⚠ Unknown")</f>
        <v>Chino Pants</v>
      </c>
      <c r="H1466" s="1" t="str">
        <f>_xlfn.XLOOKUP(tblSales[[#This Row],[Product Code]],tblProducts[Code],tblProducts[Category],"")</f>
        <v>Apparel &amp; Footwear</v>
      </c>
      <c r="I1466" s="4">
        <v>80</v>
      </c>
      <c r="J1466" s="5">
        <f>_xlfn.XLOOKUP(tblSales[[#This Row],[Product Code]],tblProducts[Code],tblProducts[Selling Price (excl. VAT)],0)</f>
        <v>150000</v>
      </c>
      <c r="K1466" s="5">
        <f>tblSales[[#This Row],[Qty]]*tblSales[[#This Row],[Unit Price]]</f>
        <v>12000000</v>
      </c>
      <c r="L1466" s="5">
        <f>ROUND(tblSales[[#This Row],[DPP (excl. VAT)]]*VATEff,0)</f>
        <v>1320000</v>
      </c>
      <c r="M1466" s="5">
        <f>tblSales[[#This Row],[DPP (excl. VAT)]]+tblSales[[#This Row],[Output VAT]]</f>
        <v>13320000</v>
      </c>
      <c r="N1466" s="5">
        <f>tblSales[[#This Row],[Qty]]*_xlfn.XLOOKUP(tblSales[[#This Row],[Product Code]],tblProducts[Code],tblProducts[Unit Cost],0)</f>
        <v>7040000</v>
      </c>
      <c r="O1466" s="4" t="s">
        <v>4867</v>
      </c>
      <c r="P1466" s="4" t="s">
        <v>4860</v>
      </c>
      <c r="Q1466" s="1" t="str">
        <f>_xlfn.XLOOKUP(tblSales[[#This Row],[Channel Code]],tblChannels[Channel Code],tblChannels[Channel Name],"")</f>
        <v>In-store</v>
      </c>
      <c r="R1466" s="1">
        <f>MONTH(tblSales[[#This Row],[Date]])</f>
        <v>3</v>
      </c>
    </row>
    <row r="1467" spans="2:18" x14ac:dyDescent="0.35">
      <c r="B1467" s="113">
        <v>46110</v>
      </c>
      <c r="C1467" s="4" t="s">
        <v>5171</v>
      </c>
      <c r="D1467" s="4" t="s">
        <v>4568</v>
      </c>
      <c r="E1467" s="1" t="str">
        <f>_xlfn.XLOOKUP(tblSales[[#This Row],[Customer ID]],tblCustomers[Customer ID],tblCustomers[Customer Name],"⚠ Unknown")</f>
        <v>Walk-in Customer</v>
      </c>
      <c r="F1467" s="4" t="s">
        <v>6</v>
      </c>
      <c r="G1467" s="1" t="str">
        <f>_xlfn.XLOOKUP(tblSales[[#This Row],[Product Code]],tblProducts[Code],tblProducts[Product / Service Name],"⚠ Unknown")</f>
        <v>Socks &amp; Accessories</v>
      </c>
      <c r="H1467" s="1" t="str">
        <f>_xlfn.XLOOKUP(tblSales[[#This Row],[Product Code]],tblProducts[Code],tblProducts[Category],"")</f>
        <v>Accessories &amp; Basics</v>
      </c>
      <c r="I1467" s="4">
        <v>4</v>
      </c>
      <c r="J1467" s="5">
        <f>_xlfn.XLOOKUP(tblSales[[#This Row],[Product Code]],tblProducts[Code],tblProducts[Selling Price (excl. VAT)],0)</f>
        <v>45000</v>
      </c>
      <c r="K1467" s="5">
        <f>tblSales[[#This Row],[Qty]]*tblSales[[#This Row],[Unit Price]]</f>
        <v>180000</v>
      </c>
      <c r="L1467" s="5">
        <f>ROUND(tblSales[[#This Row],[DPP (excl. VAT)]]*VATEff,0)</f>
        <v>19800</v>
      </c>
      <c r="M1467" s="5">
        <f>tblSales[[#This Row],[DPP (excl. VAT)]]+tblSales[[#This Row],[Output VAT]]</f>
        <v>199800</v>
      </c>
      <c r="N1467" s="5">
        <f>tblSales[[#This Row],[Qty]]*_xlfn.XLOOKUP(tblSales[[#This Row],[Product Code]],tblProducts[Code],tblProducts[Unit Cost],0)</f>
        <v>96000</v>
      </c>
      <c r="O1467" s="4" t="s">
        <v>4866</v>
      </c>
      <c r="P1467" s="4" t="s">
        <v>4861</v>
      </c>
      <c r="Q1467" s="1" t="str">
        <f>_xlfn.XLOOKUP(tblSales[[#This Row],[Channel Code]],tblChannels[Channel Code],tblChannels[Channel Name],"")</f>
        <v>Marketplace</v>
      </c>
      <c r="R1467" s="1">
        <f>MONTH(tblSales[[#This Row],[Date]])</f>
        <v>3</v>
      </c>
    </row>
    <row r="1468" spans="2:18" x14ac:dyDescent="0.35">
      <c r="B1468" s="113">
        <v>46110</v>
      </c>
      <c r="C1468" s="4" t="s">
        <v>5172</v>
      </c>
      <c r="D1468" s="4" t="s">
        <v>4568</v>
      </c>
      <c r="E1468" s="1" t="str">
        <f>_xlfn.XLOOKUP(tblSales[[#This Row],[Customer ID]],tblCustomers[Customer ID],tblCustomers[Customer Name],"⚠ Unknown")</f>
        <v>Walk-in Customer</v>
      </c>
      <c r="F1468" s="4" t="s">
        <v>13</v>
      </c>
      <c r="G1468" s="1" t="str">
        <f>_xlfn.XLOOKUP(tblSales[[#This Row],[Product Code]],tblProducts[Code],tblProducts[Product / Service Name],"⚠ Unknown")</f>
        <v>Backpack</v>
      </c>
      <c r="H1468" s="1" t="str">
        <f>_xlfn.XLOOKUP(tblSales[[#This Row],[Product Code]],tblProducts[Code],tblProducts[Category],"")</f>
        <v>Bags &amp; Gadgets</v>
      </c>
      <c r="I1468" s="4">
        <v>4</v>
      </c>
      <c r="J1468" s="5">
        <f>_xlfn.XLOOKUP(tblSales[[#This Row],[Product Code]],tblProducts[Code],tblProducts[Selling Price (excl. VAT)],0)</f>
        <v>500000</v>
      </c>
      <c r="K1468" s="5">
        <f>tblSales[[#This Row],[Qty]]*tblSales[[#This Row],[Unit Price]]</f>
        <v>2000000</v>
      </c>
      <c r="L1468" s="5">
        <f>ROUND(tblSales[[#This Row],[DPP (excl. VAT)]]*VATEff,0)</f>
        <v>220000</v>
      </c>
      <c r="M1468" s="5">
        <f>tblSales[[#This Row],[DPP (excl. VAT)]]+tblSales[[#This Row],[Output VAT]]</f>
        <v>2220000</v>
      </c>
      <c r="N1468" s="5">
        <f>tblSales[[#This Row],[Qty]]*_xlfn.XLOOKUP(tblSales[[#This Row],[Product Code]],tblProducts[Code],tblProducts[Unit Cost],0)</f>
        <v>1160000</v>
      </c>
      <c r="O1468" s="4" t="s">
        <v>4866</v>
      </c>
      <c r="P1468" s="4" t="s">
        <v>4860</v>
      </c>
      <c r="Q1468" s="1" t="str">
        <f>_xlfn.XLOOKUP(tblSales[[#This Row],[Channel Code]],tblChannels[Channel Code],tblChannels[Channel Name],"")</f>
        <v>In-store</v>
      </c>
      <c r="R1468" s="1">
        <f>MONTH(tblSales[[#This Row],[Date]])</f>
        <v>3</v>
      </c>
    </row>
    <row r="1469" spans="2:18" x14ac:dyDescent="0.35">
      <c r="B1469" s="113">
        <v>46110</v>
      </c>
      <c r="C1469" s="4" t="s">
        <v>5173</v>
      </c>
      <c r="D1469" s="4" t="s">
        <v>4568</v>
      </c>
      <c r="E1469" s="1" t="str">
        <f>_xlfn.XLOOKUP(tblSales[[#This Row],[Customer ID]],tblCustomers[Customer ID],tblCustomers[Customer Name],"⚠ Unknown")</f>
        <v>Walk-in Customer</v>
      </c>
      <c r="F1469" s="4" t="s">
        <v>6</v>
      </c>
      <c r="G1469" s="1" t="str">
        <f>_xlfn.XLOOKUP(tblSales[[#This Row],[Product Code]],tblProducts[Code],tblProducts[Product / Service Name],"⚠ Unknown")</f>
        <v>Socks &amp; Accessories</v>
      </c>
      <c r="H1469" s="1" t="str">
        <f>_xlfn.XLOOKUP(tblSales[[#This Row],[Product Code]],tblProducts[Code],tblProducts[Category],"")</f>
        <v>Accessories &amp; Basics</v>
      </c>
      <c r="I1469" s="4">
        <v>2</v>
      </c>
      <c r="J1469" s="5">
        <f>_xlfn.XLOOKUP(tblSales[[#This Row],[Product Code]],tblProducts[Code],tblProducts[Selling Price (excl. VAT)],0)</f>
        <v>45000</v>
      </c>
      <c r="K1469" s="5">
        <f>tblSales[[#This Row],[Qty]]*tblSales[[#This Row],[Unit Price]]</f>
        <v>90000</v>
      </c>
      <c r="L1469" s="5">
        <f>ROUND(tblSales[[#This Row],[DPP (excl. VAT)]]*VATEff,0)</f>
        <v>9900</v>
      </c>
      <c r="M1469" s="5">
        <f>tblSales[[#This Row],[DPP (excl. VAT)]]+tblSales[[#This Row],[Output VAT]]</f>
        <v>99900</v>
      </c>
      <c r="N1469" s="5">
        <f>tblSales[[#This Row],[Qty]]*_xlfn.XLOOKUP(tblSales[[#This Row],[Product Code]],tblProducts[Code],tblProducts[Unit Cost],0)</f>
        <v>48000</v>
      </c>
      <c r="O1469" s="4" t="s">
        <v>4865</v>
      </c>
      <c r="P1469" s="4" t="s">
        <v>4860</v>
      </c>
      <c r="Q1469" s="1" t="str">
        <f>_xlfn.XLOOKUP(tblSales[[#This Row],[Channel Code]],tblChannels[Channel Code],tblChannels[Channel Name],"")</f>
        <v>In-store</v>
      </c>
      <c r="R1469" s="1">
        <f>MONTH(tblSales[[#This Row],[Date]])</f>
        <v>3</v>
      </c>
    </row>
    <row r="1470" spans="2:18" x14ac:dyDescent="0.35">
      <c r="B1470" s="113">
        <v>46110</v>
      </c>
      <c r="C1470" s="4" t="s">
        <v>5174</v>
      </c>
      <c r="D1470" s="4" t="s">
        <v>4568</v>
      </c>
      <c r="E1470" s="1" t="str">
        <f>_xlfn.XLOOKUP(tblSales[[#This Row],[Customer ID]],tblCustomers[Customer ID],tblCustomers[Customer Name],"⚠ Unknown")</f>
        <v>Walk-in Customer</v>
      </c>
      <c r="F1470" s="4" t="s">
        <v>8</v>
      </c>
      <c r="G1470" s="1" t="str">
        <f>_xlfn.XLOOKUP(tblSales[[#This Row],[Product Code]],tblProducts[Code],tblProducts[Product / Service Name],"⚠ Unknown")</f>
        <v>Casual Shorts</v>
      </c>
      <c r="H1470" s="1" t="str">
        <f>_xlfn.XLOOKUP(tblSales[[#This Row],[Product Code]],tblProducts[Code],tblProducts[Category],"")</f>
        <v>Accessories &amp; Basics</v>
      </c>
      <c r="I1470" s="4">
        <v>9</v>
      </c>
      <c r="J1470" s="5">
        <f>_xlfn.XLOOKUP(tblSales[[#This Row],[Product Code]],tblProducts[Code],tblProducts[Selling Price (excl. VAT)],0)</f>
        <v>85000</v>
      </c>
      <c r="K1470" s="5">
        <f>tblSales[[#This Row],[Qty]]*tblSales[[#This Row],[Unit Price]]</f>
        <v>765000</v>
      </c>
      <c r="L1470" s="5">
        <f>ROUND(tblSales[[#This Row],[DPP (excl. VAT)]]*VATEff,0)</f>
        <v>84150</v>
      </c>
      <c r="M1470" s="5">
        <f>tblSales[[#This Row],[DPP (excl. VAT)]]+tblSales[[#This Row],[Output VAT]]</f>
        <v>849150</v>
      </c>
      <c r="N1470" s="5">
        <f>tblSales[[#This Row],[Qty]]*_xlfn.XLOOKUP(tblSales[[#This Row],[Product Code]],tblProducts[Code],tblProducts[Unit Cost],0)</f>
        <v>450000</v>
      </c>
      <c r="O1470" s="4" t="s">
        <v>4866</v>
      </c>
      <c r="P1470" s="4" t="s">
        <v>4861</v>
      </c>
      <c r="Q1470" s="1" t="str">
        <f>_xlfn.XLOOKUP(tblSales[[#This Row],[Channel Code]],tblChannels[Channel Code],tblChannels[Channel Name],"")</f>
        <v>Marketplace</v>
      </c>
      <c r="R1470" s="1">
        <f>MONTH(tblSales[[#This Row],[Date]])</f>
        <v>3</v>
      </c>
    </row>
    <row r="1471" spans="2:18" x14ac:dyDescent="0.35">
      <c r="B1471" s="113">
        <v>46110</v>
      </c>
      <c r="C1471" s="4" t="s">
        <v>5175</v>
      </c>
      <c r="D1471" s="4" t="s">
        <v>4568</v>
      </c>
      <c r="E1471" s="1" t="str">
        <f>_xlfn.XLOOKUP(tblSales[[#This Row],[Customer ID]],tblCustomers[Customer ID],tblCustomers[Customer Name],"⚠ Unknown")</f>
        <v>Walk-in Customer</v>
      </c>
      <c r="F1471" s="4" t="s">
        <v>11</v>
      </c>
      <c r="G1471" s="1" t="str">
        <f>_xlfn.XLOOKUP(tblSales[[#This Row],[Product Code]],tblProducts[Code],tblProducts[Product / Service Name],"⚠ Unknown")</f>
        <v>Sneakers</v>
      </c>
      <c r="H1471" s="1" t="str">
        <f>_xlfn.XLOOKUP(tblSales[[#This Row],[Product Code]],tblProducts[Code],tblProducts[Category],"")</f>
        <v>Apparel &amp; Footwear</v>
      </c>
      <c r="I1471" s="4">
        <v>1</v>
      </c>
      <c r="J1471" s="5">
        <f>_xlfn.XLOOKUP(tblSales[[#This Row],[Product Code]],tblProducts[Code],tblProducts[Selling Price (excl. VAT)],0)</f>
        <v>250000</v>
      </c>
      <c r="K1471" s="5">
        <f>tblSales[[#This Row],[Qty]]*tblSales[[#This Row],[Unit Price]]</f>
        <v>250000</v>
      </c>
      <c r="L1471" s="5">
        <f>ROUND(tblSales[[#This Row],[DPP (excl. VAT)]]*VATEff,0)</f>
        <v>27500</v>
      </c>
      <c r="M1471" s="5">
        <f>tblSales[[#This Row],[DPP (excl. VAT)]]+tblSales[[#This Row],[Output VAT]]</f>
        <v>277500</v>
      </c>
      <c r="N1471" s="5">
        <f>tblSales[[#This Row],[Qty]]*_xlfn.XLOOKUP(tblSales[[#This Row],[Product Code]],tblProducts[Code],tblProducts[Unit Cost],0)</f>
        <v>155000</v>
      </c>
      <c r="O1471" s="4" t="s">
        <v>4865</v>
      </c>
      <c r="P1471" s="4" t="s">
        <v>4860</v>
      </c>
      <c r="Q1471" s="1" t="str">
        <f>_xlfn.XLOOKUP(tblSales[[#This Row],[Channel Code]],tblChannels[Channel Code],tblChannels[Channel Name],"")</f>
        <v>In-store</v>
      </c>
      <c r="R1471" s="1">
        <f>MONTH(tblSales[[#This Row],[Date]])</f>
        <v>3</v>
      </c>
    </row>
    <row r="1472" spans="2:18" x14ac:dyDescent="0.35">
      <c r="B1472" s="113">
        <v>46110</v>
      </c>
      <c r="C1472" s="4" t="s">
        <v>5176</v>
      </c>
      <c r="D1472" s="4" t="s">
        <v>4568</v>
      </c>
      <c r="E1472" s="1" t="str">
        <f>_xlfn.XLOOKUP(tblSales[[#This Row],[Customer ID]],tblCustomers[Customer ID],tblCustomers[Customer Name],"⚠ Unknown")</f>
        <v>Walk-in Customer</v>
      </c>
      <c r="F1472" s="4" t="s">
        <v>10</v>
      </c>
      <c r="G1472" s="1" t="str">
        <f>_xlfn.XLOOKUP(tblSales[[#This Row],[Product Code]],tblProducts[Code],tblProducts[Product / Service Name],"⚠ Unknown")</f>
        <v>Chino Pants</v>
      </c>
      <c r="H1472" s="1" t="str">
        <f>_xlfn.XLOOKUP(tblSales[[#This Row],[Product Code]],tblProducts[Code],tblProducts[Category],"")</f>
        <v>Apparel &amp; Footwear</v>
      </c>
      <c r="I1472" s="4">
        <v>11</v>
      </c>
      <c r="J1472" s="5">
        <f>_xlfn.XLOOKUP(tblSales[[#This Row],[Product Code]],tblProducts[Code],tblProducts[Selling Price (excl. VAT)],0)</f>
        <v>150000</v>
      </c>
      <c r="K1472" s="5">
        <f>tblSales[[#This Row],[Qty]]*tblSales[[#This Row],[Unit Price]]</f>
        <v>1650000</v>
      </c>
      <c r="L1472" s="5">
        <f>ROUND(tblSales[[#This Row],[DPP (excl. VAT)]]*VATEff,0)</f>
        <v>181500</v>
      </c>
      <c r="M1472" s="5">
        <f>tblSales[[#This Row],[DPP (excl. VAT)]]+tblSales[[#This Row],[Output VAT]]</f>
        <v>1831500</v>
      </c>
      <c r="N1472" s="5">
        <f>tblSales[[#This Row],[Qty]]*_xlfn.XLOOKUP(tblSales[[#This Row],[Product Code]],tblProducts[Code],tblProducts[Unit Cost],0)</f>
        <v>968000</v>
      </c>
      <c r="O1472" s="4" t="s">
        <v>4865</v>
      </c>
      <c r="P1472" s="4" t="s">
        <v>4860</v>
      </c>
      <c r="Q1472" s="1" t="str">
        <f>_xlfn.XLOOKUP(tblSales[[#This Row],[Channel Code]],tblChannels[Channel Code],tblChannels[Channel Name],"")</f>
        <v>In-store</v>
      </c>
      <c r="R1472" s="1">
        <f>MONTH(tblSales[[#This Row],[Date]])</f>
        <v>3</v>
      </c>
    </row>
    <row r="1473" spans="2:18" x14ac:dyDescent="0.35">
      <c r="B1473" s="113">
        <v>46110</v>
      </c>
      <c r="C1473" s="4" t="s">
        <v>5177</v>
      </c>
      <c r="D1473" s="4" t="s">
        <v>4568</v>
      </c>
      <c r="E1473" s="1" t="str">
        <f>_xlfn.XLOOKUP(tblSales[[#This Row],[Customer ID]],tblCustomers[Customer ID],tblCustomers[Customer Name],"⚠ Unknown")</f>
        <v>Walk-in Customer</v>
      </c>
      <c r="F1473" s="4" t="s">
        <v>6</v>
      </c>
      <c r="G1473" s="1" t="str">
        <f>_xlfn.XLOOKUP(tblSales[[#This Row],[Product Code]],tblProducts[Code],tblProducts[Product / Service Name],"⚠ Unknown")</f>
        <v>Socks &amp; Accessories</v>
      </c>
      <c r="H1473" s="1" t="str">
        <f>_xlfn.XLOOKUP(tblSales[[#This Row],[Product Code]],tblProducts[Code],tblProducts[Category],"")</f>
        <v>Accessories &amp; Basics</v>
      </c>
      <c r="I1473" s="4">
        <v>8</v>
      </c>
      <c r="J1473" s="5">
        <f>_xlfn.XLOOKUP(tblSales[[#This Row],[Product Code]],tblProducts[Code],tblProducts[Selling Price (excl. VAT)],0)</f>
        <v>45000</v>
      </c>
      <c r="K1473" s="5">
        <f>tblSales[[#This Row],[Qty]]*tblSales[[#This Row],[Unit Price]]</f>
        <v>360000</v>
      </c>
      <c r="L1473" s="5">
        <f>ROUND(tblSales[[#This Row],[DPP (excl. VAT)]]*VATEff,0)</f>
        <v>39600</v>
      </c>
      <c r="M1473" s="5">
        <f>tblSales[[#This Row],[DPP (excl. VAT)]]+tblSales[[#This Row],[Output VAT]]</f>
        <v>399600</v>
      </c>
      <c r="N1473" s="5">
        <f>tblSales[[#This Row],[Qty]]*_xlfn.XLOOKUP(tblSales[[#This Row],[Product Code]],tblProducts[Code],tblProducts[Unit Cost],0)</f>
        <v>192000</v>
      </c>
      <c r="O1473" s="4" t="s">
        <v>4865</v>
      </c>
      <c r="P1473" s="4" t="s">
        <v>4860</v>
      </c>
      <c r="Q1473" s="1" t="str">
        <f>_xlfn.XLOOKUP(tblSales[[#This Row],[Channel Code]],tblChannels[Channel Code],tblChannels[Channel Name],"")</f>
        <v>In-store</v>
      </c>
      <c r="R1473" s="1">
        <f>MONTH(tblSales[[#This Row],[Date]])</f>
        <v>3</v>
      </c>
    </row>
    <row r="1474" spans="2:18" x14ac:dyDescent="0.35">
      <c r="B1474" s="113">
        <v>46110</v>
      </c>
      <c r="C1474" s="4" t="s">
        <v>5178</v>
      </c>
      <c r="D1474" s="4" t="s">
        <v>4568</v>
      </c>
      <c r="E1474" s="1" t="str">
        <f>_xlfn.XLOOKUP(tblSales[[#This Row],[Customer ID]],tblCustomers[Customer ID],tblCustomers[Customer Name],"⚠ Unknown")</f>
        <v>Walk-in Customer</v>
      </c>
      <c r="F1474" s="4" t="s">
        <v>13</v>
      </c>
      <c r="G1474" s="1" t="str">
        <f>_xlfn.XLOOKUP(tblSales[[#This Row],[Product Code]],tblProducts[Code],tblProducts[Product / Service Name],"⚠ Unknown")</f>
        <v>Backpack</v>
      </c>
      <c r="H1474" s="1" t="str">
        <f>_xlfn.XLOOKUP(tblSales[[#This Row],[Product Code]],tblProducts[Code],tblProducts[Category],"")</f>
        <v>Bags &amp; Gadgets</v>
      </c>
      <c r="I1474" s="4">
        <v>3</v>
      </c>
      <c r="J1474" s="5">
        <f>_xlfn.XLOOKUP(tblSales[[#This Row],[Product Code]],tblProducts[Code],tblProducts[Selling Price (excl. VAT)],0)</f>
        <v>500000</v>
      </c>
      <c r="K1474" s="5">
        <f>tblSales[[#This Row],[Qty]]*tblSales[[#This Row],[Unit Price]]</f>
        <v>1500000</v>
      </c>
      <c r="L1474" s="5">
        <f>ROUND(tblSales[[#This Row],[DPP (excl. VAT)]]*VATEff,0)</f>
        <v>165000</v>
      </c>
      <c r="M1474" s="5">
        <f>tblSales[[#This Row],[DPP (excl. VAT)]]+tblSales[[#This Row],[Output VAT]]</f>
        <v>1665000</v>
      </c>
      <c r="N1474" s="5">
        <f>tblSales[[#This Row],[Qty]]*_xlfn.XLOOKUP(tblSales[[#This Row],[Product Code]],tblProducts[Code],tblProducts[Unit Cost],0)</f>
        <v>870000</v>
      </c>
      <c r="O1474" s="4" t="s">
        <v>4865</v>
      </c>
      <c r="P1474" s="4" t="s">
        <v>4860</v>
      </c>
      <c r="Q1474" s="1" t="str">
        <f>_xlfn.XLOOKUP(tblSales[[#This Row],[Channel Code]],tblChannels[Channel Code],tblChannels[Channel Name],"")</f>
        <v>In-store</v>
      </c>
      <c r="R1474" s="1">
        <f>MONTH(tblSales[[#This Row],[Date]])</f>
        <v>3</v>
      </c>
    </row>
    <row r="1475" spans="2:18" x14ac:dyDescent="0.35">
      <c r="B1475" s="113">
        <v>46110</v>
      </c>
      <c r="C1475" s="4" t="s">
        <v>5178</v>
      </c>
      <c r="D1475" s="4" t="s">
        <v>4568</v>
      </c>
      <c r="E1475" s="1" t="str">
        <f>_xlfn.XLOOKUP(tblSales[[#This Row],[Customer ID]],tblCustomers[Customer ID],tblCustomers[Customer Name],"⚠ Unknown")</f>
        <v>Walk-in Customer</v>
      </c>
      <c r="F1475" s="4" t="s">
        <v>7</v>
      </c>
      <c r="G1475" s="1" t="str">
        <f>_xlfn.XLOOKUP(tblSales[[#This Row],[Product Code]],tblProducts[Code],tblProducts[Product / Service Name],"⚠ Unknown")</f>
        <v>Premium Basic T-shirt</v>
      </c>
      <c r="H1475" s="1" t="str">
        <f>_xlfn.XLOOKUP(tblSales[[#This Row],[Product Code]],tblProducts[Code],tblProducts[Category],"")</f>
        <v>Accessories &amp; Basics</v>
      </c>
      <c r="I1475" s="4">
        <v>8</v>
      </c>
      <c r="J1475" s="5">
        <f>_xlfn.XLOOKUP(tblSales[[#This Row],[Product Code]],tblProducts[Code],tblProducts[Selling Price (excl. VAT)],0)</f>
        <v>65000</v>
      </c>
      <c r="K1475" s="5">
        <f>tblSales[[#This Row],[Qty]]*tblSales[[#This Row],[Unit Price]]</f>
        <v>520000</v>
      </c>
      <c r="L1475" s="5">
        <f>ROUND(tblSales[[#This Row],[DPP (excl. VAT)]]*VATEff,0)</f>
        <v>57200</v>
      </c>
      <c r="M1475" s="5">
        <f>tblSales[[#This Row],[DPP (excl. VAT)]]+tblSales[[#This Row],[Output VAT]]</f>
        <v>577200</v>
      </c>
      <c r="N1475" s="5">
        <f>tblSales[[#This Row],[Qty]]*_xlfn.XLOOKUP(tblSales[[#This Row],[Product Code]],tblProducts[Code],tblProducts[Unit Cost],0)</f>
        <v>296000</v>
      </c>
      <c r="O1475" s="4" t="s">
        <v>4865</v>
      </c>
      <c r="P1475" s="4" t="s">
        <v>4860</v>
      </c>
      <c r="Q1475" s="1" t="str">
        <f>_xlfn.XLOOKUP(tblSales[[#This Row],[Channel Code]],tblChannels[Channel Code],tblChannels[Channel Name],"")</f>
        <v>In-store</v>
      </c>
      <c r="R1475" s="1">
        <f>MONTH(tblSales[[#This Row],[Date]])</f>
        <v>3</v>
      </c>
    </row>
    <row r="1476" spans="2:18" x14ac:dyDescent="0.35">
      <c r="B1476" s="113">
        <v>46110</v>
      </c>
      <c r="C1476" s="4" t="s">
        <v>5178</v>
      </c>
      <c r="D1476" s="4" t="s">
        <v>4568</v>
      </c>
      <c r="E1476" s="1" t="str">
        <f>_xlfn.XLOOKUP(tblSales[[#This Row],[Customer ID]],tblCustomers[Customer ID],tblCustomers[Customer Name],"⚠ Unknown")</f>
        <v>Walk-in Customer</v>
      </c>
      <c r="F1476" s="4" t="s">
        <v>8</v>
      </c>
      <c r="G1476" s="1" t="str">
        <f>_xlfn.XLOOKUP(tblSales[[#This Row],[Product Code]],tblProducts[Code],tblProducts[Product / Service Name],"⚠ Unknown")</f>
        <v>Casual Shorts</v>
      </c>
      <c r="H1476" s="1" t="str">
        <f>_xlfn.XLOOKUP(tblSales[[#This Row],[Product Code]],tblProducts[Code],tblProducts[Category],"")</f>
        <v>Accessories &amp; Basics</v>
      </c>
      <c r="I1476" s="4">
        <v>4</v>
      </c>
      <c r="J1476" s="5">
        <f>_xlfn.XLOOKUP(tblSales[[#This Row],[Product Code]],tblProducts[Code],tblProducts[Selling Price (excl. VAT)],0)</f>
        <v>85000</v>
      </c>
      <c r="K1476" s="5">
        <f>tblSales[[#This Row],[Qty]]*tblSales[[#This Row],[Unit Price]]</f>
        <v>340000</v>
      </c>
      <c r="L1476" s="5">
        <f>ROUND(tblSales[[#This Row],[DPP (excl. VAT)]]*VATEff,0)</f>
        <v>37400</v>
      </c>
      <c r="M1476" s="5">
        <f>tblSales[[#This Row],[DPP (excl. VAT)]]+tblSales[[#This Row],[Output VAT]]</f>
        <v>377400</v>
      </c>
      <c r="N1476" s="5">
        <f>tblSales[[#This Row],[Qty]]*_xlfn.XLOOKUP(tblSales[[#This Row],[Product Code]],tblProducts[Code],tblProducts[Unit Cost],0)</f>
        <v>200000</v>
      </c>
      <c r="O1476" s="4" t="s">
        <v>4865</v>
      </c>
      <c r="P1476" s="4" t="s">
        <v>4860</v>
      </c>
      <c r="Q1476" s="1" t="str">
        <f>_xlfn.XLOOKUP(tblSales[[#This Row],[Channel Code]],tblChannels[Channel Code],tblChannels[Channel Name],"")</f>
        <v>In-store</v>
      </c>
      <c r="R1476" s="1">
        <f>MONTH(tblSales[[#This Row],[Date]])</f>
        <v>3</v>
      </c>
    </row>
    <row r="1477" spans="2:18" x14ac:dyDescent="0.35">
      <c r="B1477" s="113">
        <v>46110</v>
      </c>
      <c r="C1477" s="4" t="s">
        <v>5179</v>
      </c>
      <c r="D1477" s="4" t="s">
        <v>4568</v>
      </c>
      <c r="E1477" s="1" t="str">
        <f>_xlfn.XLOOKUP(tblSales[[#This Row],[Customer ID]],tblCustomers[Customer ID],tblCustomers[Customer Name],"⚠ Unknown")</f>
        <v>Walk-in Customer</v>
      </c>
      <c r="F1477" s="4" t="s">
        <v>6</v>
      </c>
      <c r="G1477" s="1" t="str">
        <f>_xlfn.XLOOKUP(tblSales[[#This Row],[Product Code]],tblProducts[Code],tblProducts[Product / Service Name],"⚠ Unknown")</f>
        <v>Socks &amp; Accessories</v>
      </c>
      <c r="H1477" s="1" t="str">
        <f>_xlfn.XLOOKUP(tblSales[[#This Row],[Product Code]],tblProducts[Code],tblProducts[Category],"")</f>
        <v>Accessories &amp; Basics</v>
      </c>
      <c r="I1477" s="4">
        <v>5</v>
      </c>
      <c r="J1477" s="5">
        <f>_xlfn.XLOOKUP(tblSales[[#This Row],[Product Code]],tblProducts[Code],tblProducts[Selling Price (excl. VAT)],0)</f>
        <v>45000</v>
      </c>
      <c r="K1477" s="5">
        <f>tblSales[[#This Row],[Qty]]*tblSales[[#This Row],[Unit Price]]</f>
        <v>225000</v>
      </c>
      <c r="L1477" s="5">
        <f>ROUND(tblSales[[#This Row],[DPP (excl. VAT)]]*VATEff,0)</f>
        <v>24750</v>
      </c>
      <c r="M1477" s="5">
        <f>tblSales[[#This Row],[DPP (excl. VAT)]]+tblSales[[#This Row],[Output VAT]]</f>
        <v>249750</v>
      </c>
      <c r="N1477" s="5">
        <f>tblSales[[#This Row],[Qty]]*_xlfn.XLOOKUP(tblSales[[#This Row],[Product Code]],tblProducts[Code],tblProducts[Unit Cost],0)</f>
        <v>120000</v>
      </c>
      <c r="O1477" s="4" t="s">
        <v>4865</v>
      </c>
      <c r="P1477" s="4" t="s">
        <v>4860</v>
      </c>
      <c r="Q1477" s="1" t="str">
        <f>_xlfn.XLOOKUP(tblSales[[#This Row],[Channel Code]],tblChannels[Channel Code],tblChannels[Channel Name],"")</f>
        <v>In-store</v>
      </c>
      <c r="R1477" s="1">
        <f>MONTH(tblSales[[#This Row],[Date]])</f>
        <v>3</v>
      </c>
    </row>
    <row r="1478" spans="2:18" x14ac:dyDescent="0.35">
      <c r="B1478" s="113">
        <v>46110</v>
      </c>
      <c r="C1478" s="4" t="s">
        <v>5180</v>
      </c>
      <c r="D1478" s="4" t="s">
        <v>4578</v>
      </c>
      <c r="E1478" s="1" t="str">
        <f>_xlfn.XLOOKUP(tblSales[[#This Row],[Customer ID]],tblCustomers[Customer ID],tblCustomers[Customer Name],"⚠ Unknown")</f>
        <v>PT Bintang Timur Sejahtera</v>
      </c>
      <c r="F1478" s="4" t="s">
        <v>6</v>
      </c>
      <c r="G1478" s="1" t="str">
        <f>_xlfn.XLOOKUP(tblSales[[#This Row],[Product Code]],tblProducts[Code],tblProducts[Product / Service Name],"⚠ Unknown")</f>
        <v>Socks &amp; Accessories</v>
      </c>
      <c r="H1478" s="1" t="str">
        <f>_xlfn.XLOOKUP(tblSales[[#This Row],[Product Code]],tblProducts[Code],tblProducts[Category],"")</f>
        <v>Accessories &amp; Basics</v>
      </c>
      <c r="I1478" s="4">
        <v>16</v>
      </c>
      <c r="J1478" s="5">
        <f>_xlfn.XLOOKUP(tblSales[[#This Row],[Product Code]],tblProducts[Code],tblProducts[Selling Price (excl. VAT)],0)</f>
        <v>45000</v>
      </c>
      <c r="K1478" s="5">
        <f>tblSales[[#This Row],[Qty]]*tblSales[[#This Row],[Unit Price]]</f>
        <v>720000</v>
      </c>
      <c r="L1478" s="5">
        <f>ROUND(tblSales[[#This Row],[DPP (excl. VAT)]]*VATEff,0)</f>
        <v>79200</v>
      </c>
      <c r="M1478" s="5">
        <f>tblSales[[#This Row],[DPP (excl. VAT)]]+tblSales[[#This Row],[Output VAT]]</f>
        <v>799200</v>
      </c>
      <c r="N1478" s="5">
        <f>tblSales[[#This Row],[Qty]]*_xlfn.XLOOKUP(tblSales[[#This Row],[Product Code]],tblProducts[Code],tblProducts[Unit Cost],0)</f>
        <v>384000</v>
      </c>
      <c r="O1478" s="4" t="s">
        <v>4867</v>
      </c>
      <c r="P1478" s="4" t="s">
        <v>4860</v>
      </c>
      <c r="Q1478" s="1" t="str">
        <f>_xlfn.XLOOKUP(tblSales[[#This Row],[Channel Code]],tblChannels[Channel Code],tblChannels[Channel Name],"")</f>
        <v>In-store</v>
      </c>
      <c r="R1478" s="1">
        <f>MONTH(tblSales[[#This Row],[Date]])</f>
        <v>3</v>
      </c>
    </row>
    <row r="1479" spans="2:18" x14ac:dyDescent="0.35">
      <c r="B1479" s="113">
        <v>46110</v>
      </c>
      <c r="C1479" s="4" t="s">
        <v>5181</v>
      </c>
      <c r="D1479" s="4" t="s">
        <v>4599</v>
      </c>
      <c r="E1479" s="1" t="str">
        <f>_xlfn.XLOOKUP(tblSales[[#This Row],[Customer ID]],tblCustomers[Customer ID],tblCustomers[Customer Name],"⚠ Unknown")</f>
        <v>PT Samudra Jaya Logistik</v>
      </c>
      <c r="F1479" s="4" t="s">
        <v>6</v>
      </c>
      <c r="G1479" s="1" t="str">
        <f>_xlfn.XLOOKUP(tblSales[[#This Row],[Product Code]],tblProducts[Code],tblProducts[Product / Service Name],"⚠ Unknown")</f>
        <v>Socks &amp; Accessories</v>
      </c>
      <c r="H1479" s="1" t="str">
        <f>_xlfn.XLOOKUP(tblSales[[#This Row],[Product Code]],tblProducts[Code],tblProducts[Category],"")</f>
        <v>Accessories &amp; Basics</v>
      </c>
      <c r="I1479" s="4">
        <v>24</v>
      </c>
      <c r="J1479" s="5">
        <f>_xlfn.XLOOKUP(tblSales[[#This Row],[Product Code]],tblProducts[Code],tblProducts[Selling Price (excl. VAT)],0)</f>
        <v>45000</v>
      </c>
      <c r="K1479" s="5">
        <f>tblSales[[#This Row],[Qty]]*tblSales[[#This Row],[Unit Price]]</f>
        <v>1080000</v>
      </c>
      <c r="L1479" s="5">
        <f>ROUND(tblSales[[#This Row],[DPP (excl. VAT)]]*VATEff,0)</f>
        <v>118800</v>
      </c>
      <c r="M1479" s="5">
        <f>tblSales[[#This Row],[DPP (excl. VAT)]]+tblSales[[#This Row],[Output VAT]]</f>
        <v>1198800</v>
      </c>
      <c r="N1479" s="5">
        <f>tblSales[[#This Row],[Qty]]*_xlfn.XLOOKUP(tblSales[[#This Row],[Product Code]],tblProducts[Code],tblProducts[Unit Cost],0)</f>
        <v>576000</v>
      </c>
      <c r="O1479" s="4" t="s">
        <v>4867</v>
      </c>
      <c r="P1479" s="4" t="s">
        <v>4860</v>
      </c>
      <c r="Q1479" s="1" t="str">
        <f>_xlfn.XLOOKUP(tblSales[[#This Row],[Channel Code]],tblChannels[Channel Code],tblChannels[Channel Name],"")</f>
        <v>In-store</v>
      </c>
      <c r="R1479" s="1">
        <f>MONTH(tblSales[[#This Row],[Date]])</f>
        <v>3</v>
      </c>
    </row>
    <row r="1480" spans="2:18" x14ac:dyDescent="0.35">
      <c r="B1480" s="113">
        <v>46110</v>
      </c>
      <c r="C1480" s="4" t="s">
        <v>5181</v>
      </c>
      <c r="D1480" s="4" t="s">
        <v>4599</v>
      </c>
      <c r="E1480" s="1" t="str">
        <f>_xlfn.XLOOKUP(tblSales[[#This Row],[Customer ID]],tblCustomers[Customer ID],tblCustomers[Customer Name],"⚠ Unknown")</f>
        <v>PT Samudra Jaya Logistik</v>
      </c>
      <c r="F1480" s="4" t="s">
        <v>12</v>
      </c>
      <c r="G1480" s="1" t="str">
        <f>_xlfn.XLOOKUP(tblSales[[#This Row],[Product Code]],tblProducts[Code],tblProducts[Product / Service Name],"⚠ Unknown")</f>
        <v>Bomber Jacket</v>
      </c>
      <c r="H1480" s="1" t="str">
        <f>_xlfn.XLOOKUP(tblSales[[#This Row],[Product Code]],tblProducts[Code],tblProducts[Category],"")</f>
        <v>Apparel &amp; Footwear</v>
      </c>
      <c r="I1480" s="4">
        <v>32</v>
      </c>
      <c r="J1480" s="5">
        <f>_xlfn.XLOOKUP(tblSales[[#This Row],[Product Code]],tblProducts[Code],tblProducts[Selling Price (excl. VAT)],0)</f>
        <v>350000</v>
      </c>
      <c r="K1480" s="5">
        <f>tblSales[[#This Row],[Qty]]*tblSales[[#This Row],[Unit Price]]</f>
        <v>11200000</v>
      </c>
      <c r="L1480" s="5">
        <f>ROUND(tblSales[[#This Row],[DPP (excl. VAT)]]*VATEff,0)</f>
        <v>1232000</v>
      </c>
      <c r="M1480" s="5">
        <f>tblSales[[#This Row],[DPP (excl. VAT)]]+tblSales[[#This Row],[Output VAT]]</f>
        <v>12432000</v>
      </c>
      <c r="N1480" s="5">
        <f>tblSales[[#This Row],[Qty]]*_xlfn.XLOOKUP(tblSales[[#This Row],[Product Code]],tblProducts[Code],tblProducts[Unit Cost],0)</f>
        <v>6720000</v>
      </c>
      <c r="O1480" s="4" t="s">
        <v>4867</v>
      </c>
      <c r="P1480" s="4" t="s">
        <v>4860</v>
      </c>
      <c r="Q1480" s="1" t="str">
        <f>_xlfn.XLOOKUP(tblSales[[#This Row],[Channel Code]],tblChannels[Channel Code],tblChannels[Channel Name],"")</f>
        <v>In-store</v>
      </c>
      <c r="R1480" s="1">
        <f>MONTH(tblSales[[#This Row],[Date]])</f>
        <v>3</v>
      </c>
    </row>
    <row r="1481" spans="2:18" x14ac:dyDescent="0.35">
      <c r="B1481" s="113">
        <v>46110</v>
      </c>
      <c r="C1481" s="4" t="s">
        <v>5182</v>
      </c>
      <c r="D1481" s="4" t="s">
        <v>4613</v>
      </c>
      <c r="E1481" s="1" t="str">
        <f>_xlfn.XLOOKUP(tblSales[[#This Row],[Customer ID]],tblCustomers[Customer ID],tblCustomers[Customer Name],"⚠ Unknown")</f>
        <v>PT Mega Prima Distribusi</v>
      </c>
      <c r="F1481" s="4" t="s">
        <v>8</v>
      </c>
      <c r="G1481" s="1" t="str">
        <f>_xlfn.XLOOKUP(tblSales[[#This Row],[Product Code]],tblProducts[Code],tblProducts[Product / Service Name],"⚠ Unknown")</f>
        <v>Casual Shorts</v>
      </c>
      <c r="H1481" s="1" t="str">
        <f>_xlfn.XLOOKUP(tblSales[[#This Row],[Product Code]],tblProducts[Code],tblProducts[Category],"")</f>
        <v>Accessories &amp; Basics</v>
      </c>
      <c r="I1481" s="4">
        <v>8</v>
      </c>
      <c r="J1481" s="5">
        <f>_xlfn.XLOOKUP(tblSales[[#This Row],[Product Code]],tblProducts[Code],tblProducts[Selling Price (excl. VAT)],0)</f>
        <v>85000</v>
      </c>
      <c r="K1481" s="5">
        <f>tblSales[[#This Row],[Qty]]*tblSales[[#This Row],[Unit Price]]</f>
        <v>680000</v>
      </c>
      <c r="L1481" s="5">
        <f>ROUND(tblSales[[#This Row],[DPP (excl. VAT)]]*VATEff,0)</f>
        <v>74800</v>
      </c>
      <c r="M1481" s="5">
        <f>tblSales[[#This Row],[DPP (excl. VAT)]]+tblSales[[#This Row],[Output VAT]]</f>
        <v>754800</v>
      </c>
      <c r="N1481" s="5">
        <f>tblSales[[#This Row],[Qty]]*_xlfn.XLOOKUP(tblSales[[#This Row],[Product Code]],tblProducts[Code],tblProducts[Unit Cost],0)</f>
        <v>400000</v>
      </c>
      <c r="O1481" s="4" t="s">
        <v>4867</v>
      </c>
      <c r="P1481" s="4" t="s">
        <v>4860</v>
      </c>
      <c r="Q1481" s="1" t="str">
        <f>_xlfn.XLOOKUP(tblSales[[#This Row],[Channel Code]],tblChannels[Channel Code],tblChannels[Channel Name],"")</f>
        <v>In-store</v>
      </c>
      <c r="R1481" s="1">
        <f>MONTH(tblSales[[#This Row],[Date]])</f>
        <v>3</v>
      </c>
    </row>
    <row r="1482" spans="2:18" x14ac:dyDescent="0.35">
      <c r="B1482" s="113">
        <v>46110</v>
      </c>
      <c r="C1482" s="4" t="s">
        <v>5182</v>
      </c>
      <c r="D1482" s="4" t="s">
        <v>4613</v>
      </c>
      <c r="E1482" s="1" t="str">
        <f>_xlfn.XLOOKUP(tblSales[[#This Row],[Customer ID]],tblCustomers[Customer ID],tblCustomers[Customer Name],"⚠ Unknown")</f>
        <v>PT Mega Prima Distribusi</v>
      </c>
      <c r="F1482" s="4" t="s">
        <v>11</v>
      </c>
      <c r="G1482" s="1" t="str">
        <f>_xlfn.XLOOKUP(tblSales[[#This Row],[Product Code]],tblProducts[Code],tblProducts[Product / Service Name],"⚠ Unknown")</f>
        <v>Sneakers</v>
      </c>
      <c r="H1482" s="1" t="str">
        <f>_xlfn.XLOOKUP(tblSales[[#This Row],[Product Code]],tblProducts[Code],tblProducts[Category],"")</f>
        <v>Apparel &amp; Footwear</v>
      </c>
      <c r="I1482" s="4">
        <v>40</v>
      </c>
      <c r="J1482" s="5">
        <f>_xlfn.XLOOKUP(tblSales[[#This Row],[Product Code]],tblProducts[Code],tblProducts[Selling Price (excl. VAT)],0)</f>
        <v>250000</v>
      </c>
      <c r="K1482" s="5">
        <f>tblSales[[#This Row],[Qty]]*tblSales[[#This Row],[Unit Price]]</f>
        <v>10000000</v>
      </c>
      <c r="L1482" s="5">
        <f>ROUND(tblSales[[#This Row],[DPP (excl. VAT)]]*VATEff,0)</f>
        <v>1100000</v>
      </c>
      <c r="M1482" s="5">
        <f>tblSales[[#This Row],[DPP (excl. VAT)]]+tblSales[[#This Row],[Output VAT]]</f>
        <v>11100000</v>
      </c>
      <c r="N1482" s="5">
        <f>tblSales[[#This Row],[Qty]]*_xlfn.XLOOKUP(tblSales[[#This Row],[Product Code]],tblProducts[Code],tblProducts[Unit Cost],0)</f>
        <v>6200000</v>
      </c>
      <c r="O1482" s="4" t="s">
        <v>4867</v>
      </c>
      <c r="P1482" s="4" t="s">
        <v>4860</v>
      </c>
      <c r="Q1482" s="1" t="str">
        <f>_xlfn.XLOOKUP(tblSales[[#This Row],[Channel Code]],tblChannels[Channel Code],tblChannels[Channel Name],"")</f>
        <v>In-store</v>
      </c>
      <c r="R1482" s="1">
        <f>MONTH(tblSales[[#This Row],[Date]])</f>
        <v>3</v>
      </c>
    </row>
    <row r="1483" spans="2:18" x14ac:dyDescent="0.35">
      <c r="B1483" s="113">
        <v>46110</v>
      </c>
      <c r="C1483" s="4" t="s">
        <v>5183</v>
      </c>
      <c r="D1483" s="4" t="s">
        <v>4593</v>
      </c>
      <c r="E1483" s="1" t="str">
        <f>_xlfn.XLOOKUP(tblSales[[#This Row],[Customer ID]],tblCustomers[Customer ID],tblCustomers[Customer Name],"⚠ Unknown")</f>
        <v>PT Graha Nusa Persada</v>
      </c>
      <c r="F1483" s="4" t="s">
        <v>7</v>
      </c>
      <c r="G1483" s="1" t="str">
        <f>_xlfn.XLOOKUP(tblSales[[#This Row],[Product Code]],tblProducts[Code],tblProducts[Product / Service Name],"⚠ Unknown")</f>
        <v>Premium Basic T-shirt</v>
      </c>
      <c r="H1483" s="1" t="str">
        <f>_xlfn.XLOOKUP(tblSales[[#This Row],[Product Code]],tblProducts[Code],tblProducts[Category],"")</f>
        <v>Accessories &amp; Basics</v>
      </c>
      <c r="I1483" s="4">
        <v>64</v>
      </c>
      <c r="J1483" s="5">
        <f>_xlfn.XLOOKUP(tblSales[[#This Row],[Product Code]],tblProducts[Code],tblProducts[Selling Price (excl. VAT)],0)</f>
        <v>65000</v>
      </c>
      <c r="K1483" s="5">
        <f>tblSales[[#This Row],[Qty]]*tblSales[[#This Row],[Unit Price]]</f>
        <v>4160000</v>
      </c>
      <c r="L1483" s="5">
        <f>ROUND(tblSales[[#This Row],[DPP (excl. VAT)]]*VATEff,0)</f>
        <v>457600</v>
      </c>
      <c r="M1483" s="5">
        <f>tblSales[[#This Row],[DPP (excl. VAT)]]+tblSales[[#This Row],[Output VAT]]</f>
        <v>4617600</v>
      </c>
      <c r="N1483" s="5">
        <f>tblSales[[#This Row],[Qty]]*_xlfn.XLOOKUP(tblSales[[#This Row],[Product Code]],tblProducts[Code],tblProducts[Unit Cost],0)</f>
        <v>2368000</v>
      </c>
      <c r="O1483" s="4" t="s">
        <v>4867</v>
      </c>
      <c r="P1483" s="4" t="s">
        <v>4860</v>
      </c>
      <c r="Q1483" s="1" t="str">
        <f>_xlfn.XLOOKUP(tblSales[[#This Row],[Channel Code]],tblChannels[Channel Code],tblChannels[Channel Name],"")</f>
        <v>In-store</v>
      </c>
      <c r="R1483" s="1">
        <f>MONTH(tblSales[[#This Row],[Date]])</f>
        <v>3</v>
      </c>
    </row>
    <row r="1484" spans="2:18" x14ac:dyDescent="0.35">
      <c r="B1484" s="113">
        <v>46110</v>
      </c>
      <c r="C1484" s="4" t="s">
        <v>5183</v>
      </c>
      <c r="D1484" s="4" t="s">
        <v>4593</v>
      </c>
      <c r="E1484" s="1" t="str">
        <f>_xlfn.XLOOKUP(tblSales[[#This Row],[Customer ID]],tblCustomers[Customer ID],tblCustomers[Customer Name],"⚠ Unknown")</f>
        <v>PT Graha Nusa Persada</v>
      </c>
      <c r="F1484" s="4" t="s">
        <v>14</v>
      </c>
      <c r="G1484" s="1" t="str">
        <f>_xlfn.XLOOKUP(tblSales[[#This Row],[Product Code]],tblProducts[Code],tblProducts[Product / Service Name],"⚠ Unknown")</f>
        <v>Smartwatch</v>
      </c>
      <c r="H1484" s="1" t="str">
        <f>_xlfn.XLOOKUP(tblSales[[#This Row],[Product Code]],tblProducts[Code],tblProducts[Category],"")</f>
        <v>Bags &amp; Gadgets</v>
      </c>
      <c r="I1484" s="4">
        <v>24</v>
      </c>
      <c r="J1484" s="5">
        <f>_xlfn.XLOOKUP(tblSales[[#This Row],[Product Code]],tblProducts[Code],tblProducts[Selling Price (excl. VAT)],0)</f>
        <v>850000</v>
      </c>
      <c r="K1484" s="5">
        <f>tblSales[[#This Row],[Qty]]*tblSales[[#This Row],[Unit Price]]</f>
        <v>20400000</v>
      </c>
      <c r="L1484" s="5">
        <f>ROUND(tblSales[[#This Row],[DPP (excl. VAT)]]*VATEff,0)</f>
        <v>2244000</v>
      </c>
      <c r="M1484" s="5">
        <f>tblSales[[#This Row],[DPP (excl. VAT)]]+tblSales[[#This Row],[Output VAT]]</f>
        <v>22644000</v>
      </c>
      <c r="N1484" s="5">
        <f>tblSales[[#This Row],[Qty]]*_xlfn.XLOOKUP(tblSales[[#This Row],[Product Code]],tblProducts[Code],tblProducts[Unit Cost],0)</f>
        <v>13440000</v>
      </c>
      <c r="O1484" s="4" t="s">
        <v>4867</v>
      </c>
      <c r="P1484" s="4" t="s">
        <v>4860</v>
      </c>
      <c r="Q1484" s="1" t="str">
        <f>_xlfn.XLOOKUP(tblSales[[#This Row],[Channel Code]],tblChannels[Channel Code],tblChannels[Channel Name],"")</f>
        <v>In-store</v>
      </c>
      <c r="R1484" s="1">
        <f>MONTH(tblSales[[#This Row],[Date]])</f>
        <v>3</v>
      </c>
    </row>
    <row r="1485" spans="2:18" x14ac:dyDescent="0.35">
      <c r="B1485" s="113">
        <v>46111</v>
      </c>
      <c r="C1485" s="4" t="s">
        <v>5184</v>
      </c>
      <c r="D1485" s="4" t="s">
        <v>4568</v>
      </c>
      <c r="E1485" s="1" t="str">
        <f>_xlfn.XLOOKUP(tblSales[[#This Row],[Customer ID]],tblCustomers[Customer ID],tblCustomers[Customer Name],"⚠ Unknown")</f>
        <v>Walk-in Customer</v>
      </c>
      <c r="F1485" s="4" t="s">
        <v>6</v>
      </c>
      <c r="G1485" s="1" t="str">
        <f>_xlfn.XLOOKUP(tblSales[[#This Row],[Product Code]],tblProducts[Code],tblProducts[Product / Service Name],"⚠ Unknown")</f>
        <v>Socks &amp; Accessories</v>
      </c>
      <c r="H1485" s="1" t="str">
        <f>_xlfn.XLOOKUP(tblSales[[#This Row],[Product Code]],tblProducts[Code],tblProducts[Category],"")</f>
        <v>Accessories &amp; Basics</v>
      </c>
      <c r="I1485" s="4">
        <v>7</v>
      </c>
      <c r="J1485" s="5">
        <f>_xlfn.XLOOKUP(tblSales[[#This Row],[Product Code]],tblProducts[Code],tblProducts[Selling Price (excl. VAT)],0)</f>
        <v>45000</v>
      </c>
      <c r="K1485" s="5">
        <f>tblSales[[#This Row],[Qty]]*tblSales[[#This Row],[Unit Price]]</f>
        <v>315000</v>
      </c>
      <c r="L1485" s="5">
        <f>ROUND(tblSales[[#This Row],[DPP (excl. VAT)]]*VATEff,0)</f>
        <v>34650</v>
      </c>
      <c r="M1485" s="5">
        <f>tblSales[[#This Row],[DPP (excl. VAT)]]+tblSales[[#This Row],[Output VAT]]</f>
        <v>349650</v>
      </c>
      <c r="N1485" s="5">
        <f>tblSales[[#This Row],[Qty]]*_xlfn.XLOOKUP(tblSales[[#This Row],[Product Code]],tblProducts[Code],tblProducts[Unit Cost],0)</f>
        <v>168000</v>
      </c>
      <c r="O1485" s="4" t="s">
        <v>4866</v>
      </c>
      <c r="P1485" s="4" t="s">
        <v>4860</v>
      </c>
      <c r="Q1485" s="1" t="str">
        <f>_xlfn.XLOOKUP(tblSales[[#This Row],[Channel Code]],tblChannels[Channel Code],tblChannels[Channel Name],"")</f>
        <v>In-store</v>
      </c>
      <c r="R1485" s="1">
        <f>MONTH(tblSales[[#This Row],[Date]])</f>
        <v>3</v>
      </c>
    </row>
    <row r="1486" spans="2:18" x14ac:dyDescent="0.35">
      <c r="B1486" s="113">
        <v>46111</v>
      </c>
      <c r="C1486" s="4" t="s">
        <v>5185</v>
      </c>
      <c r="D1486" s="4" t="s">
        <v>4568</v>
      </c>
      <c r="E1486" s="1" t="str">
        <f>_xlfn.XLOOKUP(tblSales[[#This Row],[Customer ID]],tblCustomers[Customer ID],tblCustomers[Customer Name],"⚠ Unknown")</f>
        <v>Walk-in Customer</v>
      </c>
      <c r="F1486" s="4" t="s">
        <v>7</v>
      </c>
      <c r="G1486" s="1" t="str">
        <f>_xlfn.XLOOKUP(tblSales[[#This Row],[Product Code]],tblProducts[Code],tblProducts[Product / Service Name],"⚠ Unknown")</f>
        <v>Premium Basic T-shirt</v>
      </c>
      <c r="H1486" s="1" t="str">
        <f>_xlfn.XLOOKUP(tblSales[[#This Row],[Product Code]],tblProducts[Code],tblProducts[Category],"")</f>
        <v>Accessories &amp; Basics</v>
      </c>
      <c r="I1486" s="4">
        <v>5</v>
      </c>
      <c r="J1486" s="5">
        <f>_xlfn.XLOOKUP(tblSales[[#This Row],[Product Code]],tblProducts[Code],tblProducts[Selling Price (excl. VAT)],0)</f>
        <v>65000</v>
      </c>
      <c r="K1486" s="5">
        <f>tblSales[[#This Row],[Qty]]*tblSales[[#This Row],[Unit Price]]</f>
        <v>325000</v>
      </c>
      <c r="L1486" s="5">
        <f>ROUND(tblSales[[#This Row],[DPP (excl. VAT)]]*VATEff,0)</f>
        <v>35750</v>
      </c>
      <c r="M1486" s="5">
        <f>tblSales[[#This Row],[DPP (excl. VAT)]]+tblSales[[#This Row],[Output VAT]]</f>
        <v>360750</v>
      </c>
      <c r="N1486" s="5">
        <f>tblSales[[#This Row],[Qty]]*_xlfn.XLOOKUP(tblSales[[#This Row],[Product Code]],tblProducts[Code],tblProducts[Unit Cost],0)</f>
        <v>185000</v>
      </c>
      <c r="O1486" s="4" t="s">
        <v>4866</v>
      </c>
      <c r="P1486" s="4" t="s">
        <v>4861</v>
      </c>
      <c r="Q1486" s="1" t="str">
        <f>_xlfn.XLOOKUP(tblSales[[#This Row],[Channel Code]],tblChannels[Channel Code],tblChannels[Channel Name],"")</f>
        <v>Marketplace</v>
      </c>
      <c r="R1486" s="1">
        <f>MONTH(tblSales[[#This Row],[Date]])</f>
        <v>3</v>
      </c>
    </row>
    <row r="1487" spans="2:18" x14ac:dyDescent="0.35">
      <c r="B1487" s="113">
        <v>46111</v>
      </c>
      <c r="C1487" s="4" t="s">
        <v>5185</v>
      </c>
      <c r="D1487" s="4" t="s">
        <v>4568</v>
      </c>
      <c r="E1487" s="1" t="str">
        <f>_xlfn.XLOOKUP(tblSales[[#This Row],[Customer ID]],tblCustomers[Customer ID],tblCustomers[Customer Name],"⚠ Unknown")</f>
        <v>Walk-in Customer</v>
      </c>
      <c r="F1487" s="4" t="s">
        <v>10</v>
      </c>
      <c r="G1487" s="1" t="str">
        <f>_xlfn.XLOOKUP(tblSales[[#This Row],[Product Code]],tblProducts[Code],tblProducts[Product / Service Name],"⚠ Unknown")</f>
        <v>Chino Pants</v>
      </c>
      <c r="H1487" s="1" t="str">
        <f>_xlfn.XLOOKUP(tblSales[[#This Row],[Product Code]],tblProducts[Code],tblProducts[Category],"")</f>
        <v>Apparel &amp; Footwear</v>
      </c>
      <c r="I1487" s="4">
        <v>7</v>
      </c>
      <c r="J1487" s="5">
        <f>_xlfn.XLOOKUP(tblSales[[#This Row],[Product Code]],tblProducts[Code],tblProducts[Selling Price (excl. VAT)],0)</f>
        <v>150000</v>
      </c>
      <c r="K1487" s="5">
        <f>tblSales[[#This Row],[Qty]]*tblSales[[#This Row],[Unit Price]]</f>
        <v>1050000</v>
      </c>
      <c r="L1487" s="5">
        <f>ROUND(tblSales[[#This Row],[DPP (excl. VAT)]]*VATEff,0)</f>
        <v>115500</v>
      </c>
      <c r="M1487" s="5">
        <f>tblSales[[#This Row],[DPP (excl. VAT)]]+tblSales[[#This Row],[Output VAT]]</f>
        <v>1165500</v>
      </c>
      <c r="N1487" s="5">
        <f>tblSales[[#This Row],[Qty]]*_xlfn.XLOOKUP(tblSales[[#This Row],[Product Code]],tblProducts[Code],tblProducts[Unit Cost],0)</f>
        <v>616000</v>
      </c>
      <c r="O1487" s="4" t="s">
        <v>4866</v>
      </c>
      <c r="P1487" s="4" t="s">
        <v>4861</v>
      </c>
      <c r="Q1487" s="1" t="str">
        <f>_xlfn.XLOOKUP(tblSales[[#This Row],[Channel Code]],tblChannels[Channel Code],tblChannels[Channel Name],"")</f>
        <v>Marketplace</v>
      </c>
      <c r="R1487" s="1">
        <f>MONTH(tblSales[[#This Row],[Date]])</f>
        <v>3</v>
      </c>
    </row>
    <row r="1488" spans="2:18" x14ac:dyDescent="0.35">
      <c r="B1488" s="113">
        <v>46111</v>
      </c>
      <c r="C1488" s="4" t="s">
        <v>5186</v>
      </c>
      <c r="D1488" s="4" t="s">
        <v>4568</v>
      </c>
      <c r="E1488" s="1" t="str">
        <f>_xlfn.XLOOKUP(tblSales[[#This Row],[Customer ID]],tblCustomers[Customer ID],tblCustomers[Customer Name],"⚠ Unknown")</f>
        <v>Walk-in Customer</v>
      </c>
      <c r="F1488" s="4" t="s">
        <v>7</v>
      </c>
      <c r="G1488" s="1" t="str">
        <f>_xlfn.XLOOKUP(tblSales[[#This Row],[Product Code]],tblProducts[Code],tblProducts[Product / Service Name],"⚠ Unknown")</f>
        <v>Premium Basic T-shirt</v>
      </c>
      <c r="H1488" s="1" t="str">
        <f>_xlfn.XLOOKUP(tblSales[[#This Row],[Product Code]],tblProducts[Code],tblProducts[Category],"")</f>
        <v>Accessories &amp; Basics</v>
      </c>
      <c r="I1488" s="4">
        <v>10</v>
      </c>
      <c r="J1488" s="5">
        <f>_xlfn.XLOOKUP(tblSales[[#This Row],[Product Code]],tblProducts[Code],tblProducts[Selling Price (excl. VAT)],0)</f>
        <v>65000</v>
      </c>
      <c r="K1488" s="5">
        <f>tblSales[[#This Row],[Qty]]*tblSales[[#This Row],[Unit Price]]</f>
        <v>650000</v>
      </c>
      <c r="L1488" s="5">
        <f>ROUND(tblSales[[#This Row],[DPP (excl. VAT)]]*VATEff,0)</f>
        <v>71500</v>
      </c>
      <c r="M1488" s="5">
        <f>tblSales[[#This Row],[DPP (excl. VAT)]]+tblSales[[#This Row],[Output VAT]]</f>
        <v>721500</v>
      </c>
      <c r="N1488" s="5">
        <f>tblSales[[#This Row],[Qty]]*_xlfn.XLOOKUP(tblSales[[#This Row],[Product Code]],tblProducts[Code],tblProducts[Unit Cost],0)</f>
        <v>370000</v>
      </c>
      <c r="O1488" s="4" t="s">
        <v>4866</v>
      </c>
      <c r="P1488" s="4" t="s">
        <v>4862</v>
      </c>
      <c r="Q1488" s="1" t="str">
        <f>_xlfn.XLOOKUP(tblSales[[#This Row],[Channel Code]],tblChannels[Channel Code],tblChannels[Channel Name],"")</f>
        <v>Website &amp; Social Media</v>
      </c>
      <c r="R1488" s="1">
        <f>MONTH(tblSales[[#This Row],[Date]])</f>
        <v>3</v>
      </c>
    </row>
    <row r="1489" spans="2:18" x14ac:dyDescent="0.35">
      <c r="B1489" s="113">
        <v>46111</v>
      </c>
      <c r="C1489" s="4" t="s">
        <v>5187</v>
      </c>
      <c r="D1489" s="4" t="s">
        <v>4568</v>
      </c>
      <c r="E1489" s="1" t="str">
        <f>_xlfn.XLOOKUP(tblSales[[#This Row],[Customer ID]],tblCustomers[Customer ID],tblCustomers[Customer Name],"⚠ Unknown")</f>
        <v>Walk-in Customer</v>
      </c>
      <c r="F1489" s="4" t="s">
        <v>8</v>
      </c>
      <c r="G1489" s="1" t="str">
        <f>_xlfn.XLOOKUP(tblSales[[#This Row],[Product Code]],tblProducts[Code],tblProducts[Product / Service Name],"⚠ Unknown")</f>
        <v>Casual Shorts</v>
      </c>
      <c r="H1489" s="1" t="str">
        <f>_xlfn.XLOOKUP(tblSales[[#This Row],[Product Code]],tblProducts[Code],tblProducts[Category],"")</f>
        <v>Accessories &amp; Basics</v>
      </c>
      <c r="I1489" s="4">
        <v>1</v>
      </c>
      <c r="J1489" s="5">
        <f>_xlfn.XLOOKUP(tblSales[[#This Row],[Product Code]],tblProducts[Code],tblProducts[Selling Price (excl. VAT)],0)</f>
        <v>85000</v>
      </c>
      <c r="K1489" s="5">
        <f>tblSales[[#This Row],[Qty]]*tblSales[[#This Row],[Unit Price]]</f>
        <v>85000</v>
      </c>
      <c r="L1489" s="5">
        <f>ROUND(tblSales[[#This Row],[DPP (excl. VAT)]]*VATEff,0)</f>
        <v>9350</v>
      </c>
      <c r="M1489" s="5">
        <f>tblSales[[#This Row],[DPP (excl. VAT)]]+tblSales[[#This Row],[Output VAT]]</f>
        <v>94350</v>
      </c>
      <c r="N1489" s="5">
        <f>tblSales[[#This Row],[Qty]]*_xlfn.XLOOKUP(tblSales[[#This Row],[Product Code]],tblProducts[Code],tblProducts[Unit Cost],0)</f>
        <v>50000</v>
      </c>
      <c r="O1489" s="4" t="s">
        <v>4865</v>
      </c>
      <c r="P1489" s="4" t="s">
        <v>4860</v>
      </c>
      <c r="Q1489" s="1" t="str">
        <f>_xlfn.XLOOKUP(tblSales[[#This Row],[Channel Code]],tblChannels[Channel Code],tblChannels[Channel Name],"")</f>
        <v>In-store</v>
      </c>
      <c r="R1489" s="1">
        <f>MONTH(tblSales[[#This Row],[Date]])</f>
        <v>3</v>
      </c>
    </row>
    <row r="1490" spans="2:18" x14ac:dyDescent="0.35">
      <c r="B1490" s="113">
        <v>46111</v>
      </c>
      <c r="C1490" s="4" t="s">
        <v>5188</v>
      </c>
      <c r="D1490" s="4" t="s">
        <v>4568</v>
      </c>
      <c r="E1490" s="1" t="str">
        <f>_xlfn.XLOOKUP(tblSales[[#This Row],[Customer ID]],tblCustomers[Customer ID],tblCustomers[Customer Name],"⚠ Unknown")</f>
        <v>Walk-in Customer</v>
      </c>
      <c r="F1490" s="4" t="s">
        <v>10</v>
      </c>
      <c r="G1490" s="1" t="str">
        <f>_xlfn.XLOOKUP(tblSales[[#This Row],[Product Code]],tblProducts[Code],tblProducts[Product / Service Name],"⚠ Unknown")</f>
        <v>Chino Pants</v>
      </c>
      <c r="H1490" s="1" t="str">
        <f>_xlfn.XLOOKUP(tblSales[[#This Row],[Product Code]],tblProducts[Code],tblProducts[Category],"")</f>
        <v>Apparel &amp; Footwear</v>
      </c>
      <c r="I1490" s="4">
        <v>2</v>
      </c>
      <c r="J1490" s="5">
        <f>_xlfn.XLOOKUP(tblSales[[#This Row],[Product Code]],tblProducts[Code],tblProducts[Selling Price (excl. VAT)],0)</f>
        <v>150000</v>
      </c>
      <c r="K1490" s="5">
        <f>tblSales[[#This Row],[Qty]]*tblSales[[#This Row],[Unit Price]]</f>
        <v>300000</v>
      </c>
      <c r="L1490" s="5">
        <f>ROUND(tblSales[[#This Row],[DPP (excl. VAT)]]*VATEff,0)</f>
        <v>33000</v>
      </c>
      <c r="M1490" s="5">
        <f>tblSales[[#This Row],[DPP (excl. VAT)]]+tblSales[[#This Row],[Output VAT]]</f>
        <v>333000</v>
      </c>
      <c r="N1490" s="5">
        <f>tblSales[[#This Row],[Qty]]*_xlfn.XLOOKUP(tblSales[[#This Row],[Product Code]],tblProducts[Code],tblProducts[Unit Cost],0)</f>
        <v>176000</v>
      </c>
      <c r="O1490" s="4" t="s">
        <v>4865</v>
      </c>
      <c r="P1490" s="4" t="s">
        <v>4860</v>
      </c>
      <c r="Q1490" s="1" t="str">
        <f>_xlfn.XLOOKUP(tblSales[[#This Row],[Channel Code]],tblChannels[Channel Code],tblChannels[Channel Name],"")</f>
        <v>In-store</v>
      </c>
      <c r="R1490" s="1">
        <f>MONTH(tblSales[[#This Row],[Date]])</f>
        <v>3</v>
      </c>
    </row>
    <row r="1491" spans="2:18" x14ac:dyDescent="0.35">
      <c r="B1491" s="113">
        <v>46111</v>
      </c>
      <c r="C1491" s="4" t="s">
        <v>5189</v>
      </c>
      <c r="D1491" s="4" t="s">
        <v>4593</v>
      </c>
      <c r="E1491" s="1" t="str">
        <f>_xlfn.XLOOKUP(tblSales[[#This Row],[Customer ID]],tblCustomers[Customer ID],tblCustomers[Customer Name],"⚠ Unknown")</f>
        <v>PT Graha Nusa Persada</v>
      </c>
      <c r="F1491" s="4" t="s">
        <v>10</v>
      </c>
      <c r="G1491" s="1" t="str">
        <f>_xlfn.XLOOKUP(tblSales[[#This Row],[Product Code]],tblProducts[Code],tblProducts[Product / Service Name],"⚠ Unknown")</f>
        <v>Chino Pants</v>
      </c>
      <c r="H1491" s="1" t="str">
        <f>_xlfn.XLOOKUP(tblSales[[#This Row],[Product Code]],tblProducts[Code],tblProducts[Category],"")</f>
        <v>Apparel &amp; Footwear</v>
      </c>
      <c r="I1491" s="4">
        <v>96</v>
      </c>
      <c r="J1491" s="5">
        <f>_xlfn.XLOOKUP(tblSales[[#This Row],[Product Code]],tblProducts[Code],tblProducts[Selling Price (excl. VAT)],0)</f>
        <v>150000</v>
      </c>
      <c r="K1491" s="5">
        <f>tblSales[[#This Row],[Qty]]*tblSales[[#This Row],[Unit Price]]</f>
        <v>14400000</v>
      </c>
      <c r="L1491" s="5">
        <f>ROUND(tblSales[[#This Row],[DPP (excl. VAT)]]*VATEff,0)</f>
        <v>1584000</v>
      </c>
      <c r="M1491" s="5">
        <f>tblSales[[#This Row],[DPP (excl. VAT)]]+tblSales[[#This Row],[Output VAT]]</f>
        <v>15984000</v>
      </c>
      <c r="N1491" s="5">
        <f>tblSales[[#This Row],[Qty]]*_xlfn.XLOOKUP(tblSales[[#This Row],[Product Code]],tblProducts[Code],tblProducts[Unit Cost],0)</f>
        <v>8448000</v>
      </c>
      <c r="O1491" s="4" t="s">
        <v>4867</v>
      </c>
      <c r="P1491" s="4" t="s">
        <v>4860</v>
      </c>
      <c r="Q1491" s="1" t="str">
        <f>_xlfn.XLOOKUP(tblSales[[#This Row],[Channel Code]],tblChannels[Channel Code],tblChannels[Channel Name],"")</f>
        <v>In-store</v>
      </c>
      <c r="R1491" s="1">
        <f>MONTH(tblSales[[#This Row],[Date]])</f>
        <v>3</v>
      </c>
    </row>
    <row r="1492" spans="2:18" x14ac:dyDescent="0.35">
      <c r="B1492" s="113">
        <v>46111</v>
      </c>
      <c r="C1492" s="4" t="s">
        <v>5190</v>
      </c>
      <c r="D1492" s="4" t="s">
        <v>4634</v>
      </c>
      <c r="E1492" s="1" t="str">
        <f>_xlfn.XLOOKUP(tblSales[[#This Row],[Customer ID]],tblCustomers[Customer ID],tblCustomers[Customer Name],"⚠ Unknown")</f>
        <v>PT Delta Inti Selaras</v>
      </c>
      <c r="F1492" s="4" t="s">
        <v>13</v>
      </c>
      <c r="G1492" s="1" t="str">
        <f>_xlfn.XLOOKUP(tblSales[[#This Row],[Product Code]],tblProducts[Code],tblProducts[Product / Service Name],"⚠ Unknown")</f>
        <v>Backpack</v>
      </c>
      <c r="H1492" s="1" t="str">
        <f>_xlfn.XLOOKUP(tblSales[[#This Row],[Product Code]],tblProducts[Code],tblProducts[Category],"")</f>
        <v>Bags &amp; Gadgets</v>
      </c>
      <c r="I1492" s="4">
        <v>16</v>
      </c>
      <c r="J1492" s="5">
        <f>_xlfn.XLOOKUP(tblSales[[#This Row],[Product Code]],tblProducts[Code],tblProducts[Selling Price (excl. VAT)],0)</f>
        <v>500000</v>
      </c>
      <c r="K1492" s="5">
        <f>tblSales[[#This Row],[Qty]]*tblSales[[#This Row],[Unit Price]]</f>
        <v>8000000</v>
      </c>
      <c r="L1492" s="5">
        <f>ROUND(tblSales[[#This Row],[DPP (excl. VAT)]]*VATEff,0)</f>
        <v>880000</v>
      </c>
      <c r="M1492" s="5">
        <f>tblSales[[#This Row],[DPP (excl. VAT)]]+tblSales[[#This Row],[Output VAT]]</f>
        <v>8880000</v>
      </c>
      <c r="N1492" s="5">
        <f>tblSales[[#This Row],[Qty]]*_xlfn.XLOOKUP(tblSales[[#This Row],[Product Code]],tblProducts[Code],tblProducts[Unit Cost],0)</f>
        <v>4640000</v>
      </c>
      <c r="O1492" s="4" t="s">
        <v>4867</v>
      </c>
      <c r="P1492" s="4" t="s">
        <v>4860</v>
      </c>
      <c r="Q1492" s="1" t="str">
        <f>_xlfn.XLOOKUP(tblSales[[#This Row],[Channel Code]],tblChannels[Channel Code],tblChannels[Channel Name],"")</f>
        <v>In-store</v>
      </c>
      <c r="R1492" s="1">
        <f>MONTH(tblSales[[#This Row],[Date]])</f>
        <v>3</v>
      </c>
    </row>
    <row r="1493" spans="2:18" x14ac:dyDescent="0.35">
      <c r="B1493" s="113">
        <v>46111</v>
      </c>
      <c r="C1493" s="4" t="s">
        <v>5191</v>
      </c>
      <c r="D1493" s="4" t="s">
        <v>4648</v>
      </c>
      <c r="E1493" s="1" t="str">
        <f>_xlfn.XLOOKUP(tblSales[[#This Row],[Customer ID]],tblCustomers[Customer ID],tblCustomers[Customer Name],"⚠ Unknown")</f>
        <v>PT Lintas Benua Niaga</v>
      </c>
      <c r="F1493" s="4" t="s">
        <v>9</v>
      </c>
      <c r="G1493" s="1" t="str">
        <f>_xlfn.XLOOKUP(tblSales[[#This Row],[Product Code]],tblProducts[Code],tblProducts[Product / Service Name],"⚠ Unknown")</f>
        <v>Casual Shirt</v>
      </c>
      <c r="H1493" s="1" t="str">
        <f>_xlfn.XLOOKUP(tblSales[[#This Row],[Product Code]],tblProducts[Code],tblProducts[Category],"")</f>
        <v>Apparel &amp; Footwear</v>
      </c>
      <c r="I1493" s="4">
        <v>40</v>
      </c>
      <c r="J1493" s="5">
        <f>_xlfn.XLOOKUP(tblSales[[#This Row],[Product Code]],tblProducts[Code],tblProducts[Selling Price (excl. VAT)],0)</f>
        <v>120000</v>
      </c>
      <c r="K1493" s="5">
        <f>tblSales[[#This Row],[Qty]]*tblSales[[#This Row],[Unit Price]]</f>
        <v>4800000</v>
      </c>
      <c r="L1493" s="5">
        <f>ROUND(tblSales[[#This Row],[DPP (excl. VAT)]]*VATEff,0)</f>
        <v>528000</v>
      </c>
      <c r="M1493" s="5">
        <f>tblSales[[#This Row],[DPP (excl. VAT)]]+tblSales[[#This Row],[Output VAT]]</f>
        <v>5328000</v>
      </c>
      <c r="N1493" s="5">
        <f>tblSales[[#This Row],[Qty]]*_xlfn.XLOOKUP(tblSales[[#This Row],[Product Code]],tblProducts[Code],tblProducts[Unit Cost],0)</f>
        <v>2880000</v>
      </c>
      <c r="O1493" s="4" t="s">
        <v>4867</v>
      </c>
      <c r="P1493" s="4" t="s">
        <v>4862</v>
      </c>
      <c r="Q1493" s="1" t="str">
        <f>_xlfn.XLOOKUP(tblSales[[#This Row],[Channel Code]],tblChannels[Channel Code],tblChannels[Channel Name],"")</f>
        <v>Website &amp; Social Media</v>
      </c>
      <c r="R1493" s="1">
        <f>MONTH(tblSales[[#This Row],[Date]])</f>
        <v>3</v>
      </c>
    </row>
    <row r="1494" spans="2:18" x14ac:dyDescent="0.35">
      <c r="B1494" s="113">
        <v>46111</v>
      </c>
      <c r="C1494" s="4" t="s">
        <v>5192</v>
      </c>
      <c r="D1494" s="4" t="s">
        <v>4593</v>
      </c>
      <c r="E1494" s="1" t="str">
        <f>_xlfn.XLOOKUP(tblSales[[#This Row],[Customer ID]],tblCustomers[Customer ID],tblCustomers[Customer Name],"⚠ Unknown")</f>
        <v>PT Graha Nusa Persada</v>
      </c>
      <c r="F1494" s="4" t="s">
        <v>10</v>
      </c>
      <c r="G1494" s="1" t="str">
        <f>_xlfn.XLOOKUP(tblSales[[#This Row],[Product Code]],tblProducts[Code],tblProducts[Product / Service Name],"⚠ Unknown")</f>
        <v>Chino Pants</v>
      </c>
      <c r="H1494" s="1" t="str">
        <f>_xlfn.XLOOKUP(tblSales[[#This Row],[Product Code]],tblProducts[Code],tblProducts[Category],"")</f>
        <v>Apparel &amp; Footwear</v>
      </c>
      <c r="I1494" s="4">
        <v>40</v>
      </c>
      <c r="J1494" s="5">
        <f>_xlfn.XLOOKUP(tblSales[[#This Row],[Product Code]],tblProducts[Code],tblProducts[Selling Price (excl. VAT)],0)</f>
        <v>150000</v>
      </c>
      <c r="K1494" s="5">
        <f>tblSales[[#This Row],[Qty]]*tblSales[[#This Row],[Unit Price]]</f>
        <v>6000000</v>
      </c>
      <c r="L1494" s="5">
        <f>ROUND(tblSales[[#This Row],[DPP (excl. VAT)]]*VATEff,0)</f>
        <v>660000</v>
      </c>
      <c r="M1494" s="5">
        <f>tblSales[[#This Row],[DPP (excl. VAT)]]+tblSales[[#This Row],[Output VAT]]</f>
        <v>6660000</v>
      </c>
      <c r="N1494" s="5">
        <f>tblSales[[#This Row],[Qty]]*_xlfn.XLOOKUP(tblSales[[#This Row],[Product Code]],tblProducts[Code],tblProducts[Unit Cost],0)</f>
        <v>3520000</v>
      </c>
      <c r="O1494" s="4" t="s">
        <v>4867</v>
      </c>
      <c r="P1494" s="4" t="s">
        <v>4860</v>
      </c>
      <c r="Q1494" s="1" t="str">
        <f>_xlfn.XLOOKUP(tblSales[[#This Row],[Channel Code]],tblChannels[Channel Code],tblChannels[Channel Name],"")</f>
        <v>In-store</v>
      </c>
      <c r="R1494" s="1">
        <f>MONTH(tblSales[[#This Row],[Date]])</f>
        <v>3</v>
      </c>
    </row>
    <row r="1495" spans="2:18" x14ac:dyDescent="0.35">
      <c r="B1495" s="113">
        <v>46111</v>
      </c>
      <c r="C1495" s="4" t="s">
        <v>5193</v>
      </c>
      <c r="D1495" s="4" t="s">
        <v>4620</v>
      </c>
      <c r="E1495" s="1" t="str">
        <f>_xlfn.XLOOKUP(tblSales[[#This Row],[Customer ID]],tblCustomers[Customer ID],tblCustomers[Customer Name],"⚠ Unknown")</f>
        <v>CV Sumber Rejeki Utama</v>
      </c>
      <c r="F1495" s="4" t="s">
        <v>9</v>
      </c>
      <c r="G1495" s="1" t="str">
        <f>_xlfn.XLOOKUP(tblSales[[#This Row],[Product Code]],tblProducts[Code],tblProducts[Product / Service Name],"⚠ Unknown")</f>
        <v>Casual Shirt</v>
      </c>
      <c r="H1495" s="1" t="str">
        <f>_xlfn.XLOOKUP(tblSales[[#This Row],[Product Code]],tblProducts[Code],tblProducts[Category],"")</f>
        <v>Apparel &amp; Footwear</v>
      </c>
      <c r="I1495" s="4">
        <v>88</v>
      </c>
      <c r="J1495" s="5">
        <f>_xlfn.XLOOKUP(tblSales[[#This Row],[Product Code]],tblProducts[Code],tblProducts[Selling Price (excl. VAT)],0)</f>
        <v>120000</v>
      </c>
      <c r="K1495" s="5">
        <f>tblSales[[#This Row],[Qty]]*tblSales[[#This Row],[Unit Price]]</f>
        <v>10560000</v>
      </c>
      <c r="L1495" s="5">
        <f>ROUND(tblSales[[#This Row],[DPP (excl. VAT)]]*VATEff,0)</f>
        <v>1161600</v>
      </c>
      <c r="M1495" s="5">
        <f>tblSales[[#This Row],[DPP (excl. VAT)]]+tblSales[[#This Row],[Output VAT]]</f>
        <v>11721600</v>
      </c>
      <c r="N1495" s="5">
        <f>tblSales[[#This Row],[Qty]]*_xlfn.XLOOKUP(tblSales[[#This Row],[Product Code]],tblProducts[Code],tblProducts[Unit Cost],0)</f>
        <v>6336000</v>
      </c>
      <c r="O1495" s="4" t="s">
        <v>4867</v>
      </c>
      <c r="P1495" s="4" t="s">
        <v>4860</v>
      </c>
      <c r="Q1495" s="1" t="str">
        <f>_xlfn.XLOOKUP(tblSales[[#This Row],[Channel Code]],tblChannels[Channel Code],tblChannels[Channel Name],"")</f>
        <v>In-store</v>
      </c>
      <c r="R1495" s="1">
        <f>MONTH(tblSales[[#This Row],[Date]])</f>
        <v>3</v>
      </c>
    </row>
    <row r="1496" spans="2:18" x14ac:dyDescent="0.35">
      <c r="B1496" s="113">
        <v>46111</v>
      </c>
      <c r="C1496" s="4" t="s">
        <v>5194</v>
      </c>
      <c r="D1496" s="4" t="s">
        <v>4568</v>
      </c>
      <c r="E1496" s="1" t="str">
        <f>_xlfn.XLOOKUP(tblSales[[#This Row],[Customer ID]],tblCustomers[Customer ID],tblCustomers[Customer Name],"⚠ Unknown")</f>
        <v>Walk-in Customer</v>
      </c>
      <c r="F1496" s="4" t="s">
        <v>6</v>
      </c>
      <c r="G1496" s="1" t="str">
        <f>_xlfn.XLOOKUP(tblSales[[#This Row],[Product Code]],tblProducts[Code],tblProducts[Product / Service Name],"⚠ Unknown")</f>
        <v>Socks &amp; Accessories</v>
      </c>
      <c r="H1496" s="1" t="str">
        <f>_xlfn.XLOOKUP(tblSales[[#This Row],[Product Code]],tblProducts[Code],tblProducts[Category],"")</f>
        <v>Accessories &amp; Basics</v>
      </c>
      <c r="I1496" s="4">
        <v>8</v>
      </c>
      <c r="J1496" s="5">
        <f>_xlfn.XLOOKUP(tblSales[[#This Row],[Product Code]],tblProducts[Code],tblProducts[Selling Price (excl. VAT)],0)</f>
        <v>45000</v>
      </c>
      <c r="K1496" s="5">
        <f>tblSales[[#This Row],[Qty]]*tblSales[[#This Row],[Unit Price]]</f>
        <v>360000</v>
      </c>
      <c r="L1496" s="5">
        <f>ROUND(tblSales[[#This Row],[DPP (excl. VAT)]]*VATEff,0)</f>
        <v>39600</v>
      </c>
      <c r="M1496" s="5">
        <f>tblSales[[#This Row],[DPP (excl. VAT)]]+tblSales[[#This Row],[Output VAT]]</f>
        <v>399600</v>
      </c>
      <c r="N1496" s="5">
        <f>tblSales[[#This Row],[Qty]]*_xlfn.XLOOKUP(tblSales[[#This Row],[Product Code]],tblProducts[Code],tblProducts[Unit Cost],0)</f>
        <v>192000</v>
      </c>
      <c r="O1496" s="4" t="s">
        <v>4866</v>
      </c>
      <c r="P1496" s="4" t="s">
        <v>4861</v>
      </c>
      <c r="Q1496" s="1" t="str">
        <f>_xlfn.XLOOKUP(tblSales[[#This Row],[Channel Code]],tblChannels[Channel Code],tblChannels[Channel Name],"")</f>
        <v>Marketplace</v>
      </c>
      <c r="R1496" s="1">
        <f>MONTH(tblSales[[#This Row],[Date]])</f>
        <v>3</v>
      </c>
    </row>
    <row r="1497" spans="2:18" x14ac:dyDescent="0.35">
      <c r="B1497" s="113">
        <v>46111</v>
      </c>
      <c r="C1497" s="4" t="s">
        <v>5194</v>
      </c>
      <c r="D1497" s="4" t="s">
        <v>4568</v>
      </c>
      <c r="E1497" s="1" t="str">
        <f>_xlfn.XLOOKUP(tblSales[[#This Row],[Customer ID]],tblCustomers[Customer ID],tblCustomers[Customer Name],"⚠ Unknown")</f>
        <v>Walk-in Customer</v>
      </c>
      <c r="F1497" s="4" t="s">
        <v>15</v>
      </c>
      <c r="G1497" s="1" t="str">
        <f>_xlfn.XLOOKUP(tblSales[[#This Row],[Product Code]],tblProducts[Code],tblProducts[Product / Service Name],"⚠ Unknown")</f>
        <v>Wireless Earbuds Pro</v>
      </c>
      <c r="H1497" s="1" t="str">
        <f>_xlfn.XLOOKUP(tblSales[[#This Row],[Product Code]],tblProducts[Code],tblProducts[Category],"")</f>
        <v>Bags &amp; Gadgets</v>
      </c>
      <c r="I1497" s="4">
        <v>1</v>
      </c>
      <c r="J1497" s="5">
        <f>_xlfn.XLOOKUP(tblSales[[#This Row],[Product Code]],tblProducts[Code],tblProducts[Selling Price (excl. VAT)],0)</f>
        <v>1250000</v>
      </c>
      <c r="K1497" s="5">
        <f>tblSales[[#This Row],[Qty]]*tblSales[[#This Row],[Unit Price]]</f>
        <v>1250000</v>
      </c>
      <c r="L1497" s="5">
        <f>ROUND(tblSales[[#This Row],[DPP (excl. VAT)]]*VATEff,0)</f>
        <v>137500</v>
      </c>
      <c r="M1497" s="5">
        <f>tblSales[[#This Row],[DPP (excl. VAT)]]+tblSales[[#This Row],[Output VAT]]</f>
        <v>1387500</v>
      </c>
      <c r="N1497" s="5">
        <f>tblSales[[#This Row],[Qty]]*_xlfn.XLOOKUP(tblSales[[#This Row],[Product Code]],tblProducts[Code],tblProducts[Unit Cost],0)</f>
        <v>820000</v>
      </c>
      <c r="O1497" s="4" t="s">
        <v>4866</v>
      </c>
      <c r="P1497" s="4" t="s">
        <v>4861</v>
      </c>
      <c r="Q1497" s="1" t="str">
        <f>_xlfn.XLOOKUP(tblSales[[#This Row],[Channel Code]],tblChannels[Channel Code],tblChannels[Channel Name],"")</f>
        <v>Marketplace</v>
      </c>
      <c r="R1497" s="1">
        <f>MONTH(tblSales[[#This Row],[Date]])</f>
        <v>3</v>
      </c>
    </row>
    <row r="1498" spans="2:18" x14ac:dyDescent="0.35">
      <c r="B1498" s="113">
        <v>46111</v>
      </c>
      <c r="C1498" s="4" t="s">
        <v>5195</v>
      </c>
      <c r="D1498" s="4" t="s">
        <v>4634</v>
      </c>
      <c r="E1498" s="1" t="str">
        <f>_xlfn.XLOOKUP(tblSales[[#This Row],[Customer ID]],tblCustomers[Customer ID],tblCustomers[Customer Name],"⚠ Unknown")</f>
        <v>PT Delta Inti Selaras</v>
      </c>
      <c r="F1498" s="4" t="s">
        <v>13</v>
      </c>
      <c r="G1498" s="1" t="str">
        <f>_xlfn.XLOOKUP(tblSales[[#This Row],[Product Code]],tblProducts[Code],tblProducts[Product / Service Name],"⚠ Unknown")</f>
        <v>Backpack</v>
      </c>
      <c r="H1498" s="1" t="str">
        <f>_xlfn.XLOOKUP(tblSales[[#This Row],[Product Code]],tblProducts[Code],tblProducts[Category],"")</f>
        <v>Bags &amp; Gadgets</v>
      </c>
      <c r="I1498" s="4">
        <v>8</v>
      </c>
      <c r="J1498" s="5">
        <f>_xlfn.XLOOKUP(tblSales[[#This Row],[Product Code]],tblProducts[Code],tblProducts[Selling Price (excl. VAT)],0)</f>
        <v>500000</v>
      </c>
      <c r="K1498" s="5">
        <f>tblSales[[#This Row],[Qty]]*tblSales[[#This Row],[Unit Price]]</f>
        <v>4000000</v>
      </c>
      <c r="L1498" s="5">
        <f>ROUND(tblSales[[#This Row],[DPP (excl. VAT)]]*VATEff,0)</f>
        <v>440000</v>
      </c>
      <c r="M1498" s="5">
        <f>tblSales[[#This Row],[DPP (excl. VAT)]]+tblSales[[#This Row],[Output VAT]]</f>
        <v>4440000</v>
      </c>
      <c r="N1498" s="5">
        <f>tblSales[[#This Row],[Qty]]*_xlfn.XLOOKUP(tblSales[[#This Row],[Product Code]],tblProducts[Code],tblProducts[Unit Cost],0)</f>
        <v>2320000</v>
      </c>
      <c r="O1498" s="4" t="s">
        <v>4867</v>
      </c>
      <c r="P1498" s="4" t="s">
        <v>4860</v>
      </c>
      <c r="Q1498" s="1" t="str">
        <f>_xlfn.XLOOKUP(tblSales[[#This Row],[Channel Code]],tblChannels[Channel Code],tblChannels[Channel Name],"")</f>
        <v>In-store</v>
      </c>
      <c r="R1498" s="1">
        <f>MONTH(tblSales[[#This Row],[Date]])</f>
        <v>3</v>
      </c>
    </row>
    <row r="1499" spans="2:18" x14ac:dyDescent="0.35">
      <c r="B1499" s="113">
        <v>46111</v>
      </c>
      <c r="C1499" s="4" t="s">
        <v>5196</v>
      </c>
      <c r="D1499" s="4" t="s">
        <v>4568</v>
      </c>
      <c r="E1499" s="1" t="str">
        <f>_xlfn.XLOOKUP(tblSales[[#This Row],[Customer ID]],tblCustomers[Customer ID],tblCustomers[Customer Name],"⚠ Unknown")</f>
        <v>Walk-in Customer</v>
      </c>
      <c r="F1499" s="4" t="s">
        <v>6</v>
      </c>
      <c r="G1499" s="1" t="str">
        <f>_xlfn.XLOOKUP(tblSales[[#This Row],[Product Code]],tblProducts[Code],tblProducts[Product / Service Name],"⚠ Unknown")</f>
        <v>Socks &amp; Accessories</v>
      </c>
      <c r="H1499" s="1" t="str">
        <f>_xlfn.XLOOKUP(tblSales[[#This Row],[Product Code]],tblProducts[Code],tblProducts[Category],"")</f>
        <v>Accessories &amp; Basics</v>
      </c>
      <c r="I1499" s="4">
        <v>8</v>
      </c>
      <c r="J1499" s="5">
        <f>_xlfn.XLOOKUP(tblSales[[#This Row],[Product Code]],tblProducts[Code],tblProducts[Selling Price (excl. VAT)],0)</f>
        <v>45000</v>
      </c>
      <c r="K1499" s="5">
        <f>tblSales[[#This Row],[Qty]]*tblSales[[#This Row],[Unit Price]]</f>
        <v>360000</v>
      </c>
      <c r="L1499" s="5">
        <f>ROUND(tblSales[[#This Row],[DPP (excl. VAT)]]*VATEff,0)</f>
        <v>39600</v>
      </c>
      <c r="M1499" s="5">
        <f>tblSales[[#This Row],[DPP (excl. VAT)]]+tblSales[[#This Row],[Output VAT]]</f>
        <v>399600</v>
      </c>
      <c r="N1499" s="5">
        <f>tblSales[[#This Row],[Qty]]*_xlfn.XLOOKUP(tblSales[[#This Row],[Product Code]],tblProducts[Code],tblProducts[Unit Cost],0)</f>
        <v>192000</v>
      </c>
      <c r="O1499" s="4" t="s">
        <v>4866</v>
      </c>
      <c r="P1499" s="4" t="s">
        <v>4861</v>
      </c>
      <c r="Q1499" s="1" t="str">
        <f>_xlfn.XLOOKUP(tblSales[[#This Row],[Channel Code]],tblChannels[Channel Code],tblChannels[Channel Name],"")</f>
        <v>Marketplace</v>
      </c>
      <c r="R1499" s="1">
        <f>MONTH(tblSales[[#This Row],[Date]])</f>
        <v>3</v>
      </c>
    </row>
    <row r="1500" spans="2:18" x14ac:dyDescent="0.35">
      <c r="B1500" s="113">
        <v>46112</v>
      </c>
      <c r="C1500" s="4" t="s">
        <v>5197</v>
      </c>
      <c r="D1500" s="4" t="s">
        <v>4585</v>
      </c>
      <c r="E1500" s="1" t="str">
        <f>_xlfn.XLOOKUP(tblSales[[#This Row],[Customer ID]],tblCustomers[Customer ID],tblCustomers[Customer Name],"⚠ Unknown")</f>
        <v>CV Mitra Karya Mandiri</v>
      </c>
      <c r="F1500" s="4" t="s">
        <v>8</v>
      </c>
      <c r="G1500" s="1" t="str">
        <f>_xlfn.XLOOKUP(tblSales[[#This Row],[Product Code]],tblProducts[Code],tblProducts[Product / Service Name],"⚠ Unknown")</f>
        <v>Casual Shorts</v>
      </c>
      <c r="H1500" s="1" t="str">
        <f>_xlfn.XLOOKUP(tblSales[[#This Row],[Product Code]],tblProducts[Code],tblProducts[Category],"")</f>
        <v>Accessories &amp; Basics</v>
      </c>
      <c r="I1500" s="4">
        <v>48</v>
      </c>
      <c r="J1500" s="5">
        <f>_xlfn.XLOOKUP(tblSales[[#This Row],[Product Code]],tblProducts[Code],tblProducts[Selling Price (excl. VAT)],0)</f>
        <v>85000</v>
      </c>
      <c r="K1500" s="5">
        <f>tblSales[[#This Row],[Qty]]*tblSales[[#This Row],[Unit Price]]</f>
        <v>4080000</v>
      </c>
      <c r="L1500" s="5">
        <f>ROUND(tblSales[[#This Row],[DPP (excl. VAT)]]*VATEff,0)</f>
        <v>448800</v>
      </c>
      <c r="M1500" s="5">
        <f>tblSales[[#This Row],[DPP (excl. VAT)]]+tblSales[[#This Row],[Output VAT]]</f>
        <v>4528800</v>
      </c>
      <c r="N1500" s="5">
        <f>tblSales[[#This Row],[Qty]]*_xlfn.XLOOKUP(tblSales[[#This Row],[Product Code]],tblProducts[Code],tblProducts[Unit Cost],0)</f>
        <v>2400000</v>
      </c>
      <c r="O1500" s="4" t="s">
        <v>4867</v>
      </c>
      <c r="P1500" s="4" t="s">
        <v>4862</v>
      </c>
      <c r="Q1500" s="1" t="str">
        <f>_xlfn.XLOOKUP(tblSales[[#This Row],[Channel Code]],tblChannels[Channel Code],tblChannels[Channel Name],"")</f>
        <v>Website &amp; Social Media</v>
      </c>
      <c r="R1500" s="1">
        <f>MONTH(tblSales[[#This Row],[Date]])</f>
        <v>3</v>
      </c>
    </row>
    <row r="1501" spans="2:18" x14ac:dyDescent="0.35">
      <c r="B1501" s="113">
        <v>46112</v>
      </c>
      <c r="C1501" s="4" t="s">
        <v>5198</v>
      </c>
      <c r="D1501" s="4" t="s">
        <v>4634</v>
      </c>
      <c r="E1501" s="1" t="str">
        <f>_xlfn.XLOOKUP(tblSales[[#This Row],[Customer ID]],tblCustomers[Customer ID],tblCustomers[Customer Name],"⚠ Unknown")</f>
        <v>PT Delta Inti Selaras</v>
      </c>
      <c r="F1501" s="4" t="s">
        <v>11</v>
      </c>
      <c r="G1501" s="1" t="str">
        <f>_xlfn.XLOOKUP(tblSales[[#This Row],[Product Code]],tblProducts[Code],tblProducts[Product / Service Name],"⚠ Unknown")</f>
        <v>Sneakers</v>
      </c>
      <c r="H1501" s="1" t="str">
        <f>_xlfn.XLOOKUP(tblSales[[#This Row],[Product Code]],tblProducts[Code],tblProducts[Category],"")</f>
        <v>Apparel &amp; Footwear</v>
      </c>
      <c r="I1501" s="4">
        <v>24</v>
      </c>
      <c r="J1501" s="5">
        <f>_xlfn.XLOOKUP(tblSales[[#This Row],[Product Code]],tblProducts[Code],tblProducts[Selling Price (excl. VAT)],0)</f>
        <v>250000</v>
      </c>
      <c r="K1501" s="5">
        <f>tblSales[[#This Row],[Qty]]*tblSales[[#This Row],[Unit Price]]</f>
        <v>6000000</v>
      </c>
      <c r="L1501" s="5">
        <f>ROUND(tblSales[[#This Row],[DPP (excl. VAT)]]*VATEff,0)</f>
        <v>660000</v>
      </c>
      <c r="M1501" s="5">
        <f>tblSales[[#This Row],[DPP (excl. VAT)]]+tblSales[[#This Row],[Output VAT]]</f>
        <v>6660000</v>
      </c>
      <c r="N1501" s="5">
        <f>tblSales[[#This Row],[Qty]]*_xlfn.XLOOKUP(tblSales[[#This Row],[Product Code]],tblProducts[Code],tblProducts[Unit Cost],0)</f>
        <v>3720000</v>
      </c>
      <c r="O1501" s="4" t="s">
        <v>4867</v>
      </c>
      <c r="P1501" s="4" t="s">
        <v>4860</v>
      </c>
      <c r="Q1501" s="1" t="str">
        <f>_xlfn.XLOOKUP(tblSales[[#This Row],[Channel Code]],tblChannels[Channel Code],tblChannels[Channel Name],"")</f>
        <v>In-store</v>
      </c>
      <c r="R1501" s="1">
        <f>MONTH(tblSales[[#This Row],[Date]])</f>
        <v>3</v>
      </c>
    </row>
    <row r="1502" spans="2:18" x14ac:dyDescent="0.35">
      <c r="B1502" s="113">
        <v>46112</v>
      </c>
      <c r="C1502" s="4" t="s">
        <v>5198</v>
      </c>
      <c r="D1502" s="4" t="s">
        <v>4634</v>
      </c>
      <c r="E1502" s="1" t="str">
        <f>_xlfn.XLOOKUP(tblSales[[#This Row],[Customer ID]],tblCustomers[Customer ID],tblCustomers[Customer Name],"⚠ Unknown")</f>
        <v>PT Delta Inti Selaras</v>
      </c>
      <c r="F1502" s="4" t="s">
        <v>7</v>
      </c>
      <c r="G1502" s="1" t="str">
        <f>_xlfn.XLOOKUP(tblSales[[#This Row],[Product Code]],tblProducts[Code],tblProducts[Product / Service Name],"⚠ Unknown")</f>
        <v>Premium Basic T-shirt</v>
      </c>
      <c r="H1502" s="1" t="str">
        <f>_xlfn.XLOOKUP(tblSales[[#This Row],[Product Code]],tblProducts[Code],tblProducts[Category],"")</f>
        <v>Accessories &amp; Basics</v>
      </c>
      <c r="I1502" s="4">
        <v>24</v>
      </c>
      <c r="J1502" s="5">
        <f>_xlfn.XLOOKUP(tblSales[[#This Row],[Product Code]],tblProducts[Code],tblProducts[Selling Price (excl. VAT)],0)</f>
        <v>65000</v>
      </c>
      <c r="K1502" s="5">
        <f>tblSales[[#This Row],[Qty]]*tblSales[[#This Row],[Unit Price]]</f>
        <v>1560000</v>
      </c>
      <c r="L1502" s="5">
        <f>ROUND(tblSales[[#This Row],[DPP (excl. VAT)]]*VATEff,0)</f>
        <v>171600</v>
      </c>
      <c r="M1502" s="5">
        <f>tblSales[[#This Row],[DPP (excl. VAT)]]+tblSales[[#This Row],[Output VAT]]</f>
        <v>1731600</v>
      </c>
      <c r="N1502" s="5">
        <f>tblSales[[#This Row],[Qty]]*_xlfn.XLOOKUP(tblSales[[#This Row],[Product Code]],tblProducts[Code],tblProducts[Unit Cost],0)</f>
        <v>888000</v>
      </c>
      <c r="O1502" s="4" t="s">
        <v>4867</v>
      </c>
      <c r="P1502" s="4" t="s">
        <v>4860</v>
      </c>
      <c r="Q1502" s="1" t="str">
        <f>_xlfn.XLOOKUP(tblSales[[#This Row],[Channel Code]],tblChannels[Channel Code],tblChannels[Channel Name],"")</f>
        <v>In-store</v>
      </c>
      <c r="R1502" s="1">
        <f>MONTH(tblSales[[#This Row],[Date]])</f>
        <v>3</v>
      </c>
    </row>
    <row r="1503" spans="2:18" x14ac:dyDescent="0.35">
      <c r="B1503" s="113">
        <v>46112</v>
      </c>
      <c r="C1503" s="4" t="s">
        <v>5198</v>
      </c>
      <c r="D1503" s="4" t="s">
        <v>4634</v>
      </c>
      <c r="E1503" s="1" t="str">
        <f>_xlfn.XLOOKUP(tblSales[[#This Row],[Customer ID]],tblCustomers[Customer ID],tblCustomers[Customer Name],"⚠ Unknown")</f>
        <v>PT Delta Inti Selaras</v>
      </c>
      <c r="F1503" s="4" t="s">
        <v>8</v>
      </c>
      <c r="G1503" s="1" t="str">
        <f>_xlfn.XLOOKUP(tblSales[[#This Row],[Product Code]],tblProducts[Code],tblProducts[Product / Service Name],"⚠ Unknown")</f>
        <v>Casual Shorts</v>
      </c>
      <c r="H1503" s="1" t="str">
        <f>_xlfn.XLOOKUP(tblSales[[#This Row],[Product Code]],tblProducts[Code],tblProducts[Category],"")</f>
        <v>Accessories &amp; Basics</v>
      </c>
      <c r="I1503" s="4">
        <v>16</v>
      </c>
      <c r="J1503" s="5">
        <f>_xlfn.XLOOKUP(tblSales[[#This Row],[Product Code]],tblProducts[Code],tblProducts[Selling Price (excl. VAT)],0)</f>
        <v>85000</v>
      </c>
      <c r="K1503" s="5">
        <f>tblSales[[#This Row],[Qty]]*tblSales[[#This Row],[Unit Price]]</f>
        <v>1360000</v>
      </c>
      <c r="L1503" s="5">
        <f>ROUND(tblSales[[#This Row],[DPP (excl. VAT)]]*VATEff,0)</f>
        <v>149600</v>
      </c>
      <c r="M1503" s="5">
        <f>tblSales[[#This Row],[DPP (excl. VAT)]]+tblSales[[#This Row],[Output VAT]]</f>
        <v>1509600</v>
      </c>
      <c r="N1503" s="5">
        <f>tblSales[[#This Row],[Qty]]*_xlfn.XLOOKUP(tblSales[[#This Row],[Product Code]],tblProducts[Code],tblProducts[Unit Cost],0)</f>
        <v>800000</v>
      </c>
      <c r="O1503" s="4" t="s">
        <v>4867</v>
      </c>
      <c r="P1503" s="4" t="s">
        <v>4860</v>
      </c>
      <c r="Q1503" s="1" t="str">
        <f>_xlfn.XLOOKUP(tblSales[[#This Row],[Channel Code]],tblChannels[Channel Code],tblChannels[Channel Name],"")</f>
        <v>In-store</v>
      </c>
      <c r="R1503" s="1">
        <f>MONTH(tblSales[[#This Row],[Date]])</f>
        <v>3</v>
      </c>
    </row>
    <row r="1504" spans="2:18" x14ac:dyDescent="0.35">
      <c r="B1504" s="113">
        <v>46112</v>
      </c>
      <c r="C1504" s="4" t="s">
        <v>5199</v>
      </c>
      <c r="D1504" s="4" t="s">
        <v>4568</v>
      </c>
      <c r="E1504" s="1" t="str">
        <f>_xlfn.XLOOKUP(tblSales[[#This Row],[Customer ID]],tblCustomers[Customer ID],tblCustomers[Customer Name],"⚠ Unknown")</f>
        <v>Walk-in Customer</v>
      </c>
      <c r="F1504" s="4" t="s">
        <v>15</v>
      </c>
      <c r="G1504" s="1" t="str">
        <f>_xlfn.XLOOKUP(tblSales[[#This Row],[Product Code]],tblProducts[Code],tblProducts[Product / Service Name],"⚠ Unknown")</f>
        <v>Wireless Earbuds Pro</v>
      </c>
      <c r="H1504" s="1" t="str">
        <f>_xlfn.XLOOKUP(tblSales[[#This Row],[Product Code]],tblProducts[Code],tblProducts[Category],"")</f>
        <v>Bags &amp; Gadgets</v>
      </c>
      <c r="I1504" s="4">
        <v>2</v>
      </c>
      <c r="J1504" s="5">
        <f>_xlfn.XLOOKUP(tblSales[[#This Row],[Product Code]],tblProducts[Code],tblProducts[Selling Price (excl. VAT)],0)</f>
        <v>1250000</v>
      </c>
      <c r="K1504" s="5">
        <f>tblSales[[#This Row],[Qty]]*tblSales[[#This Row],[Unit Price]]</f>
        <v>2500000</v>
      </c>
      <c r="L1504" s="5">
        <f>ROUND(tblSales[[#This Row],[DPP (excl. VAT)]]*VATEff,0)</f>
        <v>275000</v>
      </c>
      <c r="M1504" s="5">
        <f>tblSales[[#This Row],[DPP (excl. VAT)]]+tblSales[[#This Row],[Output VAT]]</f>
        <v>2775000</v>
      </c>
      <c r="N1504" s="5">
        <f>tblSales[[#This Row],[Qty]]*_xlfn.XLOOKUP(tblSales[[#This Row],[Product Code]],tblProducts[Code],tblProducts[Unit Cost],0)</f>
        <v>1640000</v>
      </c>
      <c r="O1504" s="4" t="s">
        <v>4865</v>
      </c>
      <c r="P1504" s="4" t="s">
        <v>4860</v>
      </c>
      <c r="Q1504" s="1" t="str">
        <f>_xlfn.XLOOKUP(tblSales[[#This Row],[Channel Code]],tblChannels[Channel Code],tblChannels[Channel Name],"")</f>
        <v>In-store</v>
      </c>
      <c r="R1504" s="1">
        <f>MONTH(tblSales[[#This Row],[Date]])</f>
        <v>3</v>
      </c>
    </row>
    <row r="1505" spans="2:18" x14ac:dyDescent="0.35">
      <c r="B1505" s="113">
        <v>46112</v>
      </c>
      <c r="C1505" s="4" t="s">
        <v>5200</v>
      </c>
      <c r="D1505" s="4" t="s">
        <v>4568</v>
      </c>
      <c r="E1505" s="1" t="str">
        <f>_xlfn.XLOOKUP(tblSales[[#This Row],[Customer ID]],tblCustomers[Customer ID],tblCustomers[Customer Name],"⚠ Unknown")</f>
        <v>Walk-in Customer</v>
      </c>
      <c r="F1505" s="4" t="s">
        <v>10</v>
      </c>
      <c r="G1505" s="1" t="str">
        <f>_xlfn.XLOOKUP(tblSales[[#This Row],[Product Code]],tblProducts[Code],tblProducts[Product / Service Name],"⚠ Unknown")</f>
        <v>Chino Pants</v>
      </c>
      <c r="H1505" s="1" t="str">
        <f>_xlfn.XLOOKUP(tblSales[[#This Row],[Product Code]],tblProducts[Code],tblProducts[Category],"")</f>
        <v>Apparel &amp; Footwear</v>
      </c>
      <c r="I1505" s="4">
        <v>1</v>
      </c>
      <c r="J1505" s="5">
        <f>_xlfn.XLOOKUP(tblSales[[#This Row],[Product Code]],tblProducts[Code],tblProducts[Selling Price (excl. VAT)],0)</f>
        <v>150000</v>
      </c>
      <c r="K1505" s="5">
        <f>tblSales[[#This Row],[Qty]]*tblSales[[#This Row],[Unit Price]]</f>
        <v>150000</v>
      </c>
      <c r="L1505" s="5">
        <f>ROUND(tblSales[[#This Row],[DPP (excl. VAT)]]*VATEff,0)</f>
        <v>16500</v>
      </c>
      <c r="M1505" s="5">
        <f>tblSales[[#This Row],[DPP (excl. VAT)]]+tblSales[[#This Row],[Output VAT]]</f>
        <v>166500</v>
      </c>
      <c r="N1505" s="5">
        <f>tblSales[[#This Row],[Qty]]*_xlfn.XLOOKUP(tblSales[[#This Row],[Product Code]],tblProducts[Code],tblProducts[Unit Cost],0)</f>
        <v>88000</v>
      </c>
      <c r="O1505" s="4" t="s">
        <v>4865</v>
      </c>
      <c r="P1505" s="4" t="s">
        <v>4860</v>
      </c>
      <c r="Q1505" s="1" t="str">
        <f>_xlfn.XLOOKUP(tblSales[[#This Row],[Channel Code]],tblChannels[Channel Code],tblChannels[Channel Name],"")</f>
        <v>In-store</v>
      </c>
      <c r="R1505" s="1">
        <f>MONTH(tblSales[[#This Row],[Date]])</f>
        <v>3</v>
      </c>
    </row>
    <row r="1506" spans="2:18" x14ac:dyDescent="0.35">
      <c r="B1506" s="113">
        <v>46112</v>
      </c>
      <c r="C1506" s="4" t="s">
        <v>5200</v>
      </c>
      <c r="D1506" s="4" t="s">
        <v>4568</v>
      </c>
      <c r="E1506" s="1" t="str">
        <f>_xlfn.XLOOKUP(tblSales[[#This Row],[Customer ID]],tblCustomers[Customer ID],tblCustomers[Customer Name],"⚠ Unknown")</f>
        <v>Walk-in Customer</v>
      </c>
      <c r="F1506" s="4" t="s">
        <v>6</v>
      </c>
      <c r="G1506" s="1" t="str">
        <f>_xlfn.XLOOKUP(tblSales[[#This Row],[Product Code]],tblProducts[Code],tblProducts[Product / Service Name],"⚠ Unknown")</f>
        <v>Socks &amp; Accessories</v>
      </c>
      <c r="H1506" s="1" t="str">
        <f>_xlfn.XLOOKUP(tblSales[[#This Row],[Product Code]],tblProducts[Code],tblProducts[Category],"")</f>
        <v>Accessories &amp; Basics</v>
      </c>
      <c r="I1506" s="4">
        <v>9</v>
      </c>
      <c r="J1506" s="5">
        <f>_xlfn.XLOOKUP(tblSales[[#This Row],[Product Code]],tblProducts[Code],tblProducts[Selling Price (excl. VAT)],0)</f>
        <v>45000</v>
      </c>
      <c r="K1506" s="5">
        <f>tblSales[[#This Row],[Qty]]*tblSales[[#This Row],[Unit Price]]</f>
        <v>405000</v>
      </c>
      <c r="L1506" s="5">
        <f>ROUND(tblSales[[#This Row],[DPP (excl. VAT)]]*VATEff,0)</f>
        <v>44550</v>
      </c>
      <c r="M1506" s="5">
        <f>tblSales[[#This Row],[DPP (excl. VAT)]]+tblSales[[#This Row],[Output VAT]]</f>
        <v>449550</v>
      </c>
      <c r="N1506" s="5">
        <f>tblSales[[#This Row],[Qty]]*_xlfn.XLOOKUP(tblSales[[#This Row],[Product Code]],tblProducts[Code],tblProducts[Unit Cost],0)</f>
        <v>216000</v>
      </c>
      <c r="O1506" s="4" t="s">
        <v>4865</v>
      </c>
      <c r="P1506" s="4" t="s">
        <v>4860</v>
      </c>
      <c r="Q1506" s="1" t="str">
        <f>_xlfn.XLOOKUP(tblSales[[#This Row],[Channel Code]],tblChannels[Channel Code],tblChannels[Channel Name],"")</f>
        <v>In-store</v>
      </c>
      <c r="R1506" s="1">
        <f>MONTH(tblSales[[#This Row],[Date]])</f>
        <v>3</v>
      </c>
    </row>
    <row r="1507" spans="2:18" x14ac:dyDescent="0.35">
      <c r="B1507" s="113">
        <v>46112</v>
      </c>
      <c r="C1507" s="4" t="s">
        <v>5201</v>
      </c>
      <c r="D1507" s="4" t="s">
        <v>4568</v>
      </c>
      <c r="E1507" s="1" t="str">
        <f>_xlfn.XLOOKUP(tblSales[[#This Row],[Customer ID]],tblCustomers[Customer ID],tblCustomers[Customer Name],"⚠ Unknown")</f>
        <v>Walk-in Customer</v>
      </c>
      <c r="F1507" s="4" t="s">
        <v>8</v>
      </c>
      <c r="G1507" s="1" t="str">
        <f>_xlfn.XLOOKUP(tblSales[[#This Row],[Product Code]],tblProducts[Code],tblProducts[Product / Service Name],"⚠ Unknown")</f>
        <v>Casual Shorts</v>
      </c>
      <c r="H1507" s="1" t="str">
        <f>_xlfn.XLOOKUP(tblSales[[#This Row],[Product Code]],tblProducts[Code],tblProducts[Category],"")</f>
        <v>Accessories &amp; Basics</v>
      </c>
      <c r="I1507" s="4">
        <v>1</v>
      </c>
      <c r="J1507" s="5">
        <f>_xlfn.XLOOKUP(tblSales[[#This Row],[Product Code]],tblProducts[Code],tblProducts[Selling Price (excl. VAT)],0)</f>
        <v>85000</v>
      </c>
      <c r="K1507" s="5">
        <f>tblSales[[#This Row],[Qty]]*tblSales[[#This Row],[Unit Price]]</f>
        <v>85000</v>
      </c>
      <c r="L1507" s="5">
        <f>ROUND(tblSales[[#This Row],[DPP (excl. VAT)]]*VATEff,0)</f>
        <v>9350</v>
      </c>
      <c r="M1507" s="5">
        <f>tblSales[[#This Row],[DPP (excl. VAT)]]+tblSales[[#This Row],[Output VAT]]</f>
        <v>94350</v>
      </c>
      <c r="N1507" s="5">
        <f>tblSales[[#This Row],[Qty]]*_xlfn.XLOOKUP(tblSales[[#This Row],[Product Code]],tblProducts[Code],tblProducts[Unit Cost],0)</f>
        <v>50000</v>
      </c>
      <c r="O1507" s="4" t="s">
        <v>4866</v>
      </c>
      <c r="P1507" s="4" t="s">
        <v>4861</v>
      </c>
      <c r="Q1507" s="1" t="str">
        <f>_xlfn.XLOOKUP(tblSales[[#This Row],[Channel Code]],tblChannels[Channel Code],tblChannels[Channel Name],"")</f>
        <v>Marketplace</v>
      </c>
      <c r="R1507" s="1">
        <f>MONTH(tblSales[[#This Row],[Date]])</f>
        <v>3</v>
      </c>
    </row>
    <row r="1508" spans="2:18" x14ac:dyDescent="0.35">
      <c r="B1508" s="113">
        <v>46112</v>
      </c>
      <c r="C1508" s="4" t="s">
        <v>5202</v>
      </c>
      <c r="D1508" s="4" t="s">
        <v>4568</v>
      </c>
      <c r="E1508" s="1" t="str">
        <f>_xlfn.XLOOKUP(tblSales[[#This Row],[Customer ID]],tblCustomers[Customer ID],tblCustomers[Customer Name],"⚠ Unknown")</f>
        <v>Walk-in Customer</v>
      </c>
      <c r="F1508" s="4" t="s">
        <v>12</v>
      </c>
      <c r="G1508" s="1" t="str">
        <f>_xlfn.XLOOKUP(tblSales[[#This Row],[Product Code]],tblProducts[Code],tblProducts[Product / Service Name],"⚠ Unknown")</f>
        <v>Bomber Jacket</v>
      </c>
      <c r="H1508" s="1" t="str">
        <f>_xlfn.XLOOKUP(tblSales[[#This Row],[Product Code]],tblProducts[Code],tblProducts[Category],"")</f>
        <v>Apparel &amp; Footwear</v>
      </c>
      <c r="I1508" s="4">
        <v>5</v>
      </c>
      <c r="J1508" s="5">
        <f>_xlfn.XLOOKUP(tblSales[[#This Row],[Product Code]],tblProducts[Code],tblProducts[Selling Price (excl. VAT)],0)</f>
        <v>350000</v>
      </c>
      <c r="K1508" s="5">
        <f>tblSales[[#This Row],[Qty]]*tblSales[[#This Row],[Unit Price]]</f>
        <v>1750000</v>
      </c>
      <c r="L1508" s="5">
        <f>ROUND(tblSales[[#This Row],[DPP (excl. VAT)]]*VATEff,0)</f>
        <v>192500</v>
      </c>
      <c r="M1508" s="5">
        <f>tblSales[[#This Row],[DPP (excl. VAT)]]+tblSales[[#This Row],[Output VAT]]</f>
        <v>1942500</v>
      </c>
      <c r="N1508" s="5">
        <f>tblSales[[#This Row],[Qty]]*_xlfn.XLOOKUP(tblSales[[#This Row],[Product Code]],tblProducts[Code],tblProducts[Unit Cost],0)</f>
        <v>1050000</v>
      </c>
      <c r="O1508" s="4" t="s">
        <v>4866</v>
      </c>
      <c r="P1508" s="4" t="s">
        <v>4861</v>
      </c>
      <c r="Q1508" s="1" t="str">
        <f>_xlfn.XLOOKUP(tblSales[[#This Row],[Channel Code]],tblChannels[Channel Code],tblChannels[Channel Name],"")</f>
        <v>Marketplace</v>
      </c>
      <c r="R1508" s="1">
        <f>MONTH(tblSales[[#This Row],[Date]])</f>
        <v>3</v>
      </c>
    </row>
    <row r="1509" spans="2:18" x14ac:dyDescent="0.35">
      <c r="B1509" s="113">
        <v>46112</v>
      </c>
      <c r="C1509" s="4" t="s">
        <v>5203</v>
      </c>
      <c r="D1509" s="4" t="s">
        <v>4568</v>
      </c>
      <c r="E1509" s="1" t="str">
        <f>_xlfn.XLOOKUP(tblSales[[#This Row],[Customer ID]],tblCustomers[Customer ID],tblCustomers[Customer Name],"⚠ Unknown")</f>
        <v>Walk-in Customer</v>
      </c>
      <c r="F1509" s="4" t="s">
        <v>8</v>
      </c>
      <c r="G1509" s="1" t="str">
        <f>_xlfn.XLOOKUP(tblSales[[#This Row],[Product Code]],tblProducts[Code],tblProducts[Product / Service Name],"⚠ Unknown")</f>
        <v>Casual Shorts</v>
      </c>
      <c r="H1509" s="1" t="str">
        <f>_xlfn.XLOOKUP(tblSales[[#This Row],[Product Code]],tblProducts[Code],tblProducts[Category],"")</f>
        <v>Accessories &amp; Basics</v>
      </c>
      <c r="I1509" s="4">
        <v>2</v>
      </c>
      <c r="J1509" s="5">
        <f>_xlfn.XLOOKUP(tblSales[[#This Row],[Product Code]],tblProducts[Code],tblProducts[Selling Price (excl. VAT)],0)</f>
        <v>85000</v>
      </c>
      <c r="K1509" s="5">
        <f>tblSales[[#This Row],[Qty]]*tblSales[[#This Row],[Unit Price]]</f>
        <v>170000</v>
      </c>
      <c r="L1509" s="5">
        <f>ROUND(tblSales[[#This Row],[DPP (excl. VAT)]]*VATEff,0)</f>
        <v>18700</v>
      </c>
      <c r="M1509" s="5">
        <f>tblSales[[#This Row],[DPP (excl. VAT)]]+tblSales[[#This Row],[Output VAT]]</f>
        <v>188700</v>
      </c>
      <c r="N1509" s="5">
        <f>tblSales[[#This Row],[Qty]]*_xlfn.XLOOKUP(tblSales[[#This Row],[Product Code]],tblProducts[Code],tblProducts[Unit Cost],0)</f>
        <v>100000</v>
      </c>
      <c r="O1509" s="4" t="s">
        <v>4865</v>
      </c>
      <c r="P1509" s="4" t="s">
        <v>4860</v>
      </c>
      <c r="Q1509" s="1" t="str">
        <f>_xlfn.XLOOKUP(tblSales[[#This Row],[Channel Code]],tblChannels[Channel Code],tblChannels[Channel Name],"")</f>
        <v>In-store</v>
      </c>
      <c r="R1509" s="1">
        <f>MONTH(tblSales[[#This Row],[Date]])</f>
        <v>3</v>
      </c>
    </row>
    <row r="1510" spans="2:18" x14ac:dyDescent="0.35">
      <c r="B1510" s="113">
        <v>46112</v>
      </c>
      <c r="C1510" s="4" t="s">
        <v>5204</v>
      </c>
      <c r="D1510" s="4" t="s">
        <v>4568</v>
      </c>
      <c r="E1510" s="1" t="str">
        <f>_xlfn.XLOOKUP(tblSales[[#This Row],[Customer ID]],tblCustomers[Customer ID],tblCustomers[Customer Name],"⚠ Unknown")</f>
        <v>Walk-in Customer</v>
      </c>
      <c r="F1510" s="4" t="s">
        <v>9</v>
      </c>
      <c r="G1510" s="1" t="str">
        <f>_xlfn.XLOOKUP(tblSales[[#This Row],[Product Code]],tblProducts[Code],tblProducts[Product / Service Name],"⚠ Unknown")</f>
        <v>Casual Shirt</v>
      </c>
      <c r="H1510" s="1" t="str">
        <f>_xlfn.XLOOKUP(tblSales[[#This Row],[Product Code]],tblProducts[Code],tblProducts[Category],"")</f>
        <v>Apparel &amp; Footwear</v>
      </c>
      <c r="I1510" s="4">
        <v>7</v>
      </c>
      <c r="J1510" s="5">
        <f>_xlfn.XLOOKUP(tblSales[[#This Row],[Product Code]],tblProducts[Code],tblProducts[Selling Price (excl. VAT)],0)</f>
        <v>120000</v>
      </c>
      <c r="K1510" s="5">
        <f>tblSales[[#This Row],[Qty]]*tblSales[[#This Row],[Unit Price]]</f>
        <v>840000</v>
      </c>
      <c r="L1510" s="5">
        <f>ROUND(tblSales[[#This Row],[DPP (excl. VAT)]]*VATEff,0)</f>
        <v>92400</v>
      </c>
      <c r="M1510" s="5">
        <f>tblSales[[#This Row],[DPP (excl. VAT)]]+tblSales[[#This Row],[Output VAT]]</f>
        <v>932400</v>
      </c>
      <c r="N1510" s="5">
        <f>tblSales[[#This Row],[Qty]]*_xlfn.XLOOKUP(tblSales[[#This Row],[Product Code]],tblProducts[Code],tblProducts[Unit Cost],0)</f>
        <v>504000</v>
      </c>
      <c r="O1510" s="4" t="s">
        <v>4865</v>
      </c>
      <c r="P1510" s="4" t="s">
        <v>4860</v>
      </c>
      <c r="Q1510" s="1" t="str">
        <f>_xlfn.XLOOKUP(tblSales[[#This Row],[Channel Code]],tblChannels[Channel Code],tblChannels[Channel Name],"")</f>
        <v>In-store</v>
      </c>
      <c r="R1510" s="1">
        <f>MONTH(tblSales[[#This Row],[Date]])</f>
        <v>3</v>
      </c>
    </row>
    <row r="1511" spans="2:18" x14ac:dyDescent="0.35">
      <c r="B1511" s="113">
        <v>46112</v>
      </c>
      <c r="C1511" s="4" t="s">
        <v>5205</v>
      </c>
      <c r="D1511" s="4" t="s">
        <v>4568</v>
      </c>
      <c r="E1511" s="1" t="str">
        <f>_xlfn.XLOOKUP(tblSales[[#This Row],[Customer ID]],tblCustomers[Customer ID],tblCustomers[Customer Name],"⚠ Unknown")</f>
        <v>Walk-in Customer</v>
      </c>
      <c r="F1511" s="4" t="s">
        <v>13</v>
      </c>
      <c r="G1511" s="1" t="str">
        <f>_xlfn.XLOOKUP(tblSales[[#This Row],[Product Code]],tblProducts[Code],tblProducts[Product / Service Name],"⚠ Unknown")</f>
        <v>Backpack</v>
      </c>
      <c r="H1511" s="1" t="str">
        <f>_xlfn.XLOOKUP(tblSales[[#This Row],[Product Code]],tblProducts[Code],tblProducts[Category],"")</f>
        <v>Bags &amp; Gadgets</v>
      </c>
      <c r="I1511" s="4">
        <v>1</v>
      </c>
      <c r="J1511" s="5">
        <f>_xlfn.XLOOKUP(tblSales[[#This Row],[Product Code]],tblProducts[Code],tblProducts[Selling Price (excl. VAT)],0)</f>
        <v>500000</v>
      </c>
      <c r="K1511" s="5">
        <f>tblSales[[#This Row],[Qty]]*tblSales[[#This Row],[Unit Price]]</f>
        <v>500000</v>
      </c>
      <c r="L1511" s="5">
        <f>ROUND(tblSales[[#This Row],[DPP (excl. VAT)]]*VATEff,0)</f>
        <v>55000</v>
      </c>
      <c r="M1511" s="5">
        <f>tblSales[[#This Row],[DPP (excl. VAT)]]+tblSales[[#This Row],[Output VAT]]</f>
        <v>555000</v>
      </c>
      <c r="N1511" s="5">
        <f>tblSales[[#This Row],[Qty]]*_xlfn.XLOOKUP(tblSales[[#This Row],[Product Code]],tblProducts[Code],tblProducts[Unit Cost],0)</f>
        <v>290000</v>
      </c>
      <c r="O1511" s="4" t="s">
        <v>4865</v>
      </c>
      <c r="P1511" s="4" t="s">
        <v>4860</v>
      </c>
      <c r="Q1511" s="1" t="str">
        <f>_xlfn.XLOOKUP(tblSales[[#This Row],[Channel Code]],tblChannels[Channel Code],tblChannels[Channel Name],"")</f>
        <v>In-store</v>
      </c>
      <c r="R1511" s="1">
        <f>MONTH(tblSales[[#This Row],[Date]])</f>
        <v>3</v>
      </c>
    </row>
    <row r="1512" spans="2:18" x14ac:dyDescent="0.35">
      <c r="B1512" s="113">
        <v>46112</v>
      </c>
      <c r="C1512" s="4" t="s">
        <v>5206</v>
      </c>
      <c r="D1512" s="4" t="s">
        <v>4568</v>
      </c>
      <c r="E1512" s="1" t="str">
        <f>_xlfn.XLOOKUP(tblSales[[#This Row],[Customer ID]],tblCustomers[Customer ID],tblCustomers[Customer Name],"⚠ Unknown")</f>
        <v>Walk-in Customer</v>
      </c>
      <c r="F1512" s="4" t="s">
        <v>7</v>
      </c>
      <c r="G1512" s="1" t="str">
        <f>_xlfn.XLOOKUP(tblSales[[#This Row],[Product Code]],tblProducts[Code],tblProducts[Product / Service Name],"⚠ Unknown")</f>
        <v>Premium Basic T-shirt</v>
      </c>
      <c r="H1512" s="1" t="str">
        <f>_xlfn.XLOOKUP(tblSales[[#This Row],[Product Code]],tblProducts[Code],tblProducts[Category],"")</f>
        <v>Accessories &amp; Basics</v>
      </c>
      <c r="I1512" s="4">
        <v>2</v>
      </c>
      <c r="J1512" s="5">
        <f>_xlfn.XLOOKUP(tblSales[[#This Row],[Product Code]],tblProducts[Code],tblProducts[Selling Price (excl. VAT)],0)</f>
        <v>65000</v>
      </c>
      <c r="K1512" s="5">
        <f>tblSales[[#This Row],[Qty]]*tblSales[[#This Row],[Unit Price]]</f>
        <v>130000</v>
      </c>
      <c r="L1512" s="5">
        <f>ROUND(tblSales[[#This Row],[DPP (excl. VAT)]]*VATEff,0)</f>
        <v>14300</v>
      </c>
      <c r="M1512" s="5">
        <f>tblSales[[#This Row],[DPP (excl. VAT)]]+tblSales[[#This Row],[Output VAT]]</f>
        <v>144300</v>
      </c>
      <c r="N1512" s="5">
        <f>tblSales[[#This Row],[Qty]]*_xlfn.XLOOKUP(tblSales[[#This Row],[Product Code]],tblProducts[Code],tblProducts[Unit Cost],0)</f>
        <v>74000</v>
      </c>
      <c r="O1512" s="4" t="s">
        <v>4866</v>
      </c>
      <c r="P1512" s="4" t="s">
        <v>4860</v>
      </c>
      <c r="Q1512" s="1" t="str">
        <f>_xlfn.XLOOKUP(tblSales[[#This Row],[Channel Code]],tblChannels[Channel Code],tblChannels[Channel Name],"")</f>
        <v>In-store</v>
      </c>
      <c r="R1512" s="1">
        <f>MONTH(tblSales[[#This Row],[Date]])</f>
        <v>3</v>
      </c>
    </row>
    <row r="1513" spans="2:18" x14ac:dyDescent="0.35">
      <c r="B1513" s="113">
        <v>46112</v>
      </c>
      <c r="C1513" s="4" t="s">
        <v>5206</v>
      </c>
      <c r="D1513" s="4" t="s">
        <v>4568</v>
      </c>
      <c r="E1513" s="1" t="str">
        <f>_xlfn.XLOOKUP(tblSales[[#This Row],[Customer ID]],tblCustomers[Customer ID],tblCustomers[Customer Name],"⚠ Unknown")</f>
        <v>Walk-in Customer</v>
      </c>
      <c r="F1513" s="4" t="s">
        <v>13</v>
      </c>
      <c r="G1513" s="1" t="str">
        <f>_xlfn.XLOOKUP(tblSales[[#This Row],[Product Code]],tblProducts[Code],tblProducts[Product / Service Name],"⚠ Unknown")</f>
        <v>Backpack</v>
      </c>
      <c r="H1513" s="1" t="str">
        <f>_xlfn.XLOOKUP(tblSales[[#This Row],[Product Code]],tblProducts[Code],tblProducts[Category],"")</f>
        <v>Bags &amp; Gadgets</v>
      </c>
      <c r="I1513" s="4">
        <v>1</v>
      </c>
      <c r="J1513" s="5">
        <f>_xlfn.XLOOKUP(tblSales[[#This Row],[Product Code]],tblProducts[Code],tblProducts[Selling Price (excl. VAT)],0)</f>
        <v>500000</v>
      </c>
      <c r="K1513" s="5">
        <f>tblSales[[#This Row],[Qty]]*tblSales[[#This Row],[Unit Price]]</f>
        <v>500000</v>
      </c>
      <c r="L1513" s="5">
        <f>ROUND(tblSales[[#This Row],[DPP (excl. VAT)]]*VATEff,0)</f>
        <v>55000</v>
      </c>
      <c r="M1513" s="5">
        <f>tblSales[[#This Row],[DPP (excl. VAT)]]+tblSales[[#This Row],[Output VAT]]</f>
        <v>555000</v>
      </c>
      <c r="N1513" s="5">
        <f>tblSales[[#This Row],[Qty]]*_xlfn.XLOOKUP(tblSales[[#This Row],[Product Code]],tblProducts[Code],tblProducts[Unit Cost],0)</f>
        <v>290000</v>
      </c>
      <c r="O1513" s="4" t="s">
        <v>4866</v>
      </c>
      <c r="P1513" s="4" t="s">
        <v>4860</v>
      </c>
      <c r="Q1513" s="1" t="str">
        <f>_xlfn.XLOOKUP(tblSales[[#This Row],[Channel Code]],tblChannels[Channel Code],tblChannels[Channel Name],"")</f>
        <v>In-store</v>
      </c>
      <c r="R1513" s="1">
        <f>MONTH(tblSales[[#This Row],[Date]])</f>
        <v>3</v>
      </c>
    </row>
    <row r="1514" spans="2:18" x14ac:dyDescent="0.35">
      <c r="B1514" s="113">
        <v>46112</v>
      </c>
      <c r="C1514" s="4" t="s">
        <v>5207</v>
      </c>
      <c r="D1514" s="4" t="s">
        <v>4568</v>
      </c>
      <c r="E1514" s="1" t="str">
        <f>_xlfn.XLOOKUP(tblSales[[#This Row],[Customer ID]],tblCustomers[Customer ID],tblCustomers[Customer Name],"⚠ Unknown")</f>
        <v>Walk-in Customer</v>
      </c>
      <c r="F1514" s="4" t="s">
        <v>14</v>
      </c>
      <c r="G1514" s="1" t="str">
        <f>_xlfn.XLOOKUP(tblSales[[#This Row],[Product Code]],tblProducts[Code],tblProducts[Product / Service Name],"⚠ Unknown")</f>
        <v>Smartwatch</v>
      </c>
      <c r="H1514" s="1" t="str">
        <f>_xlfn.XLOOKUP(tblSales[[#This Row],[Product Code]],tblProducts[Code],tblProducts[Category],"")</f>
        <v>Bags &amp; Gadgets</v>
      </c>
      <c r="I1514" s="4">
        <v>3</v>
      </c>
      <c r="J1514" s="5">
        <f>_xlfn.XLOOKUP(tblSales[[#This Row],[Product Code]],tblProducts[Code],tblProducts[Selling Price (excl. VAT)],0)</f>
        <v>850000</v>
      </c>
      <c r="K1514" s="5">
        <f>tblSales[[#This Row],[Qty]]*tblSales[[#This Row],[Unit Price]]</f>
        <v>2550000</v>
      </c>
      <c r="L1514" s="5">
        <f>ROUND(tblSales[[#This Row],[DPP (excl. VAT)]]*VATEff,0)</f>
        <v>280500</v>
      </c>
      <c r="M1514" s="5">
        <f>tblSales[[#This Row],[DPP (excl. VAT)]]+tblSales[[#This Row],[Output VAT]]</f>
        <v>2830500</v>
      </c>
      <c r="N1514" s="5">
        <f>tblSales[[#This Row],[Qty]]*_xlfn.XLOOKUP(tblSales[[#This Row],[Product Code]],tblProducts[Code],tblProducts[Unit Cost],0)</f>
        <v>1680000</v>
      </c>
      <c r="O1514" s="4" t="s">
        <v>4865</v>
      </c>
      <c r="P1514" s="4" t="s">
        <v>4860</v>
      </c>
      <c r="Q1514" s="1" t="str">
        <f>_xlfn.XLOOKUP(tblSales[[#This Row],[Channel Code]],tblChannels[Channel Code],tblChannels[Channel Name],"")</f>
        <v>In-store</v>
      </c>
      <c r="R1514" s="1">
        <f>MONTH(tblSales[[#This Row],[Date]])</f>
        <v>3</v>
      </c>
    </row>
    <row r="1515" spans="2:18" x14ac:dyDescent="0.35">
      <c r="B1515" s="113">
        <v>46112</v>
      </c>
      <c r="C1515" s="4" t="s">
        <v>5208</v>
      </c>
      <c r="D1515" s="4" t="s">
        <v>4568</v>
      </c>
      <c r="E1515" s="1" t="str">
        <f>_xlfn.XLOOKUP(tblSales[[#This Row],[Customer ID]],tblCustomers[Customer ID],tblCustomers[Customer Name],"⚠ Unknown")</f>
        <v>Walk-in Customer</v>
      </c>
      <c r="F1515" s="4" t="s">
        <v>10</v>
      </c>
      <c r="G1515" s="1" t="str">
        <f>_xlfn.XLOOKUP(tblSales[[#This Row],[Product Code]],tblProducts[Code],tblProducts[Product / Service Name],"⚠ Unknown")</f>
        <v>Chino Pants</v>
      </c>
      <c r="H1515" s="1" t="str">
        <f>_xlfn.XLOOKUP(tblSales[[#This Row],[Product Code]],tblProducts[Code],tblProducts[Category],"")</f>
        <v>Apparel &amp; Footwear</v>
      </c>
      <c r="I1515" s="4">
        <v>1</v>
      </c>
      <c r="J1515" s="5">
        <f>_xlfn.XLOOKUP(tblSales[[#This Row],[Product Code]],tblProducts[Code],tblProducts[Selling Price (excl. VAT)],0)</f>
        <v>150000</v>
      </c>
      <c r="K1515" s="5">
        <f>tblSales[[#This Row],[Qty]]*tblSales[[#This Row],[Unit Price]]</f>
        <v>150000</v>
      </c>
      <c r="L1515" s="5">
        <f>ROUND(tblSales[[#This Row],[DPP (excl. VAT)]]*VATEff,0)</f>
        <v>16500</v>
      </c>
      <c r="M1515" s="5">
        <f>tblSales[[#This Row],[DPP (excl. VAT)]]+tblSales[[#This Row],[Output VAT]]</f>
        <v>166500</v>
      </c>
      <c r="N1515" s="5">
        <f>tblSales[[#This Row],[Qty]]*_xlfn.XLOOKUP(tblSales[[#This Row],[Product Code]],tblProducts[Code],tblProducts[Unit Cost],0)</f>
        <v>88000</v>
      </c>
      <c r="O1515" s="4" t="s">
        <v>4865</v>
      </c>
      <c r="P1515" s="4" t="s">
        <v>4860</v>
      </c>
      <c r="Q1515" s="1" t="str">
        <f>_xlfn.XLOOKUP(tblSales[[#This Row],[Channel Code]],tblChannels[Channel Code],tblChannels[Channel Name],"")</f>
        <v>In-store</v>
      </c>
      <c r="R1515" s="1">
        <f>MONTH(tblSales[[#This Row],[Date]])</f>
        <v>3</v>
      </c>
    </row>
    <row r="1516" spans="2:18" x14ac:dyDescent="0.35">
      <c r="B1516" s="113">
        <v>46112</v>
      </c>
      <c r="C1516" s="4" t="s">
        <v>5209</v>
      </c>
      <c r="D1516" s="4" t="s">
        <v>4606</v>
      </c>
      <c r="E1516" s="1" t="str">
        <f>_xlfn.XLOOKUP(tblSales[[#This Row],[Customer ID]],tblCustomers[Customer ID],tblCustomers[Customer Name],"⚠ Unknown")</f>
        <v>PT Arunika Digital Kreatif</v>
      </c>
      <c r="F1516" s="4" t="s">
        <v>7</v>
      </c>
      <c r="G1516" s="1" t="str">
        <f>_xlfn.XLOOKUP(tblSales[[#This Row],[Product Code]],tblProducts[Code],tblProducts[Product / Service Name],"⚠ Unknown")</f>
        <v>Premium Basic T-shirt</v>
      </c>
      <c r="H1516" s="1" t="str">
        <f>_xlfn.XLOOKUP(tblSales[[#This Row],[Product Code]],tblProducts[Code],tblProducts[Category],"")</f>
        <v>Accessories &amp; Basics</v>
      </c>
      <c r="I1516" s="4">
        <v>8</v>
      </c>
      <c r="J1516" s="5">
        <f>_xlfn.XLOOKUP(tblSales[[#This Row],[Product Code]],tblProducts[Code],tblProducts[Selling Price (excl. VAT)],0)</f>
        <v>65000</v>
      </c>
      <c r="K1516" s="5">
        <f>tblSales[[#This Row],[Qty]]*tblSales[[#This Row],[Unit Price]]</f>
        <v>520000</v>
      </c>
      <c r="L1516" s="5">
        <f>ROUND(tblSales[[#This Row],[DPP (excl. VAT)]]*VATEff,0)</f>
        <v>57200</v>
      </c>
      <c r="M1516" s="5">
        <f>tblSales[[#This Row],[DPP (excl. VAT)]]+tblSales[[#This Row],[Output VAT]]</f>
        <v>577200</v>
      </c>
      <c r="N1516" s="5">
        <f>tblSales[[#This Row],[Qty]]*_xlfn.XLOOKUP(tblSales[[#This Row],[Product Code]],tblProducts[Code],tblProducts[Unit Cost],0)</f>
        <v>296000</v>
      </c>
      <c r="O1516" s="4" t="s">
        <v>4867</v>
      </c>
      <c r="P1516" s="4" t="s">
        <v>4860</v>
      </c>
      <c r="Q1516" s="1" t="str">
        <f>_xlfn.XLOOKUP(tblSales[[#This Row],[Channel Code]],tblChannels[Channel Code],tblChannels[Channel Name],"")</f>
        <v>In-store</v>
      </c>
      <c r="R1516" s="1">
        <f>MONTH(tblSales[[#This Row],[Date]])</f>
        <v>3</v>
      </c>
    </row>
    <row r="1517" spans="2:18" x14ac:dyDescent="0.35">
      <c r="B1517" s="113">
        <v>46112</v>
      </c>
      <c r="C1517" s="4" t="s">
        <v>5209</v>
      </c>
      <c r="D1517" s="4" t="s">
        <v>4606</v>
      </c>
      <c r="E1517" s="1" t="str">
        <f>_xlfn.XLOOKUP(tblSales[[#This Row],[Customer ID]],tblCustomers[Customer ID],tblCustomers[Customer Name],"⚠ Unknown")</f>
        <v>PT Arunika Digital Kreatif</v>
      </c>
      <c r="F1517" s="4" t="s">
        <v>6</v>
      </c>
      <c r="G1517" s="1" t="str">
        <f>_xlfn.XLOOKUP(tblSales[[#This Row],[Product Code]],tblProducts[Code],tblProducts[Product / Service Name],"⚠ Unknown")</f>
        <v>Socks &amp; Accessories</v>
      </c>
      <c r="H1517" s="1" t="str">
        <f>_xlfn.XLOOKUP(tblSales[[#This Row],[Product Code]],tblProducts[Code],tblProducts[Category],"")</f>
        <v>Accessories &amp; Basics</v>
      </c>
      <c r="I1517" s="4">
        <v>24</v>
      </c>
      <c r="J1517" s="5">
        <f>_xlfn.XLOOKUP(tblSales[[#This Row],[Product Code]],tblProducts[Code],tblProducts[Selling Price (excl. VAT)],0)</f>
        <v>45000</v>
      </c>
      <c r="K1517" s="5">
        <f>tblSales[[#This Row],[Qty]]*tblSales[[#This Row],[Unit Price]]</f>
        <v>1080000</v>
      </c>
      <c r="L1517" s="5">
        <f>ROUND(tblSales[[#This Row],[DPP (excl. VAT)]]*VATEff,0)</f>
        <v>118800</v>
      </c>
      <c r="M1517" s="5">
        <f>tblSales[[#This Row],[DPP (excl. VAT)]]+tblSales[[#This Row],[Output VAT]]</f>
        <v>1198800</v>
      </c>
      <c r="N1517" s="5">
        <f>tblSales[[#This Row],[Qty]]*_xlfn.XLOOKUP(tblSales[[#This Row],[Product Code]],tblProducts[Code],tblProducts[Unit Cost],0)</f>
        <v>576000</v>
      </c>
      <c r="O1517" s="4" t="s">
        <v>4867</v>
      </c>
      <c r="P1517" s="4" t="s">
        <v>4860</v>
      </c>
      <c r="Q1517" s="1" t="str">
        <f>_xlfn.XLOOKUP(tblSales[[#This Row],[Channel Code]],tblChannels[Channel Code],tblChannels[Channel Name],"")</f>
        <v>In-store</v>
      </c>
      <c r="R1517" s="1">
        <f>MONTH(tblSales[[#This Row],[Date]])</f>
        <v>3</v>
      </c>
    </row>
    <row r="1518" spans="2:18" x14ac:dyDescent="0.35">
      <c r="B1518" s="113">
        <v>46112</v>
      </c>
      <c r="C1518" s="4" t="s">
        <v>5210</v>
      </c>
      <c r="D1518" s="4" t="s">
        <v>4593</v>
      </c>
      <c r="E1518" s="1" t="str">
        <f>_xlfn.XLOOKUP(tblSales[[#This Row],[Customer ID]],tblCustomers[Customer ID],tblCustomers[Customer Name],"⚠ Unknown")</f>
        <v>PT Graha Nusa Persada</v>
      </c>
      <c r="F1518" s="4" t="s">
        <v>11</v>
      </c>
      <c r="G1518" s="1" t="str">
        <f>_xlfn.XLOOKUP(tblSales[[#This Row],[Product Code]],tblProducts[Code],tblProducts[Product / Service Name],"⚠ Unknown")</f>
        <v>Sneakers</v>
      </c>
      <c r="H1518" s="1" t="str">
        <f>_xlfn.XLOOKUP(tblSales[[#This Row],[Product Code]],tblProducts[Code],tblProducts[Category],"")</f>
        <v>Apparel &amp; Footwear</v>
      </c>
      <c r="I1518" s="4">
        <v>40</v>
      </c>
      <c r="J1518" s="5">
        <f>_xlfn.XLOOKUP(tblSales[[#This Row],[Product Code]],tblProducts[Code],tblProducts[Selling Price (excl. VAT)],0)</f>
        <v>250000</v>
      </c>
      <c r="K1518" s="5">
        <f>tblSales[[#This Row],[Qty]]*tblSales[[#This Row],[Unit Price]]</f>
        <v>10000000</v>
      </c>
      <c r="L1518" s="5">
        <f>ROUND(tblSales[[#This Row],[DPP (excl. VAT)]]*VATEff,0)</f>
        <v>1100000</v>
      </c>
      <c r="M1518" s="5">
        <f>tblSales[[#This Row],[DPP (excl. VAT)]]+tblSales[[#This Row],[Output VAT]]</f>
        <v>11100000</v>
      </c>
      <c r="N1518" s="5">
        <f>tblSales[[#This Row],[Qty]]*_xlfn.XLOOKUP(tblSales[[#This Row],[Product Code]],tblProducts[Code],tblProducts[Unit Cost],0)</f>
        <v>6200000</v>
      </c>
      <c r="O1518" s="4" t="s">
        <v>4867</v>
      </c>
      <c r="P1518" s="4" t="s">
        <v>4860</v>
      </c>
      <c r="Q1518" s="1" t="str">
        <f>_xlfn.XLOOKUP(tblSales[[#This Row],[Channel Code]],tblChannels[Channel Code],tblChannels[Channel Name],"")</f>
        <v>In-store</v>
      </c>
      <c r="R1518" s="1">
        <f>MONTH(tblSales[[#This Row],[Date]])</f>
        <v>3</v>
      </c>
    </row>
    <row r="1519" spans="2:18" x14ac:dyDescent="0.35">
      <c r="B1519" s="113">
        <v>46113</v>
      </c>
      <c r="C1519" s="4" t="s">
        <v>1023</v>
      </c>
      <c r="D1519" s="4" t="s">
        <v>4568</v>
      </c>
      <c r="E1519" s="1" t="str">
        <f>_xlfn.XLOOKUP(tblSales[[#This Row],[Customer ID]],tblCustomers[Customer ID],tblCustomers[Customer Name],"⚠ Unknown")</f>
        <v>Walk-in Customer</v>
      </c>
      <c r="F1519" s="4" t="s">
        <v>11</v>
      </c>
      <c r="G1519" s="1" t="str">
        <f>_xlfn.XLOOKUP(tblSales[[#This Row],[Product Code]],tblProducts[Code],tblProducts[Product / Service Name],"⚠ Unknown")</f>
        <v>Sneakers</v>
      </c>
      <c r="H1519" s="1" t="str">
        <f>_xlfn.XLOOKUP(tblSales[[#This Row],[Product Code]],tblProducts[Code],tblProducts[Category],"")</f>
        <v>Apparel &amp; Footwear</v>
      </c>
      <c r="I1519" s="4">
        <v>2</v>
      </c>
      <c r="J1519" s="5">
        <f>_xlfn.XLOOKUP(tblSales[[#This Row],[Product Code]],tblProducts[Code],tblProducts[Selling Price (excl. VAT)],0)</f>
        <v>250000</v>
      </c>
      <c r="K1519" s="5">
        <f>tblSales[[#This Row],[Qty]]*tblSales[[#This Row],[Unit Price]]</f>
        <v>500000</v>
      </c>
      <c r="L1519" s="5">
        <f>ROUND(tblSales[[#This Row],[DPP (excl. VAT)]]*VATEff,0)</f>
        <v>55000</v>
      </c>
      <c r="M1519" s="5">
        <f>tblSales[[#This Row],[DPP (excl. VAT)]]+tblSales[[#This Row],[Output VAT]]</f>
        <v>555000</v>
      </c>
      <c r="N1519" s="5">
        <f>tblSales[[#This Row],[Qty]]*_xlfn.XLOOKUP(tblSales[[#This Row],[Product Code]],tblProducts[Code],tblProducts[Unit Cost],0)</f>
        <v>310000</v>
      </c>
      <c r="O1519" s="4" t="s">
        <v>4866</v>
      </c>
      <c r="P1519" s="4" t="s">
        <v>4860</v>
      </c>
      <c r="Q1519" s="1" t="str">
        <f>_xlfn.XLOOKUP(tblSales[[#This Row],[Channel Code]],tblChannels[Channel Code],tblChannels[Channel Name],"")</f>
        <v>In-store</v>
      </c>
      <c r="R1519" s="1">
        <f>MONTH(tblSales[[#This Row],[Date]])</f>
        <v>4</v>
      </c>
    </row>
    <row r="1520" spans="2:18" x14ac:dyDescent="0.35">
      <c r="B1520" s="113">
        <v>46113</v>
      </c>
      <c r="C1520" s="4" t="s">
        <v>1024</v>
      </c>
      <c r="D1520" s="4" t="s">
        <v>4568</v>
      </c>
      <c r="E1520" s="1" t="str">
        <f>_xlfn.XLOOKUP(tblSales[[#This Row],[Customer ID]],tblCustomers[Customer ID],tblCustomers[Customer Name],"⚠ Unknown")</f>
        <v>Walk-in Customer</v>
      </c>
      <c r="F1520" s="4" t="s">
        <v>7</v>
      </c>
      <c r="G1520" s="1" t="str">
        <f>_xlfn.XLOOKUP(tblSales[[#This Row],[Product Code]],tblProducts[Code],tblProducts[Product / Service Name],"⚠ Unknown")</f>
        <v>Premium Basic T-shirt</v>
      </c>
      <c r="H1520" s="1" t="str">
        <f>_xlfn.XLOOKUP(tblSales[[#This Row],[Product Code]],tblProducts[Code],tblProducts[Category],"")</f>
        <v>Accessories &amp; Basics</v>
      </c>
      <c r="I1520" s="4">
        <v>2</v>
      </c>
      <c r="J1520" s="5">
        <f>_xlfn.XLOOKUP(tblSales[[#This Row],[Product Code]],tblProducts[Code],tblProducts[Selling Price (excl. VAT)],0)</f>
        <v>65000</v>
      </c>
      <c r="K1520" s="5">
        <f>tblSales[[#This Row],[Qty]]*tblSales[[#This Row],[Unit Price]]</f>
        <v>130000</v>
      </c>
      <c r="L1520" s="5">
        <f>ROUND(tblSales[[#This Row],[DPP (excl. VAT)]]*VATEff,0)</f>
        <v>14300</v>
      </c>
      <c r="M1520" s="5">
        <f>tblSales[[#This Row],[DPP (excl. VAT)]]+tblSales[[#This Row],[Output VAT]]</f>
        <v>144300</v>
      </c>
      <c r="N1520" s="5">
        <f>tblSales[[#This Row],[Qty]]*_xlfn.XLOOKUP(tblSales[[#This Row],[Product Code]],tblProducts[Code],tblProducts[Unit Cost],0)</f>
        <v>74000</v>
      </c>
      <c r="O1520" s="4" t="s">
        <v>4866</v>
      </c>
      <c r="P1520" s="4" t="s">
        <v>4861</v>
      </c>
      <c r="Q1520" s="1" t="str">
        <f>_xlfn.XLOOKUP(tblSales[[#This Row],[Channel Code]],tblChannels[Channel Code],tblChannels[Channel Name],"")</f>
        <v>Marketplace</v>
      </c>
      <c r="R1520" s="1">
        <f>MONTH(tblSales[[#This Row],[Date]])</f>
        <v>4</v>
      </c>
    </row>
    <row r="1521" spans="2:18" x14ac:dyDescent="0.35">
      <c r="B1521" s="113">
        <v>46113</v>
      </c>
      <c r="C1521" s="4" t="s">
        <v>1024</v>
      </c>
      <c r="D1521" s="4" t="s">
        <v>4568</v>
      </c>
      <c r="E1521" s="1" t="str">
        <f>_xlfn.XLOOKUP(tblSales[[#This Row],[Customer ID]],tblCustomers[Customer ID],tblCustomers[Customer Name],"⚠ Unknown")</f>
        <v>Walk-in Customer</v>
      </c>
      <c r="F1521" s="4" t="s">
        <v>15</v>
      </c>
      <c r="G1521" s="1" t="str">
        <f>_xlfn.XLOOKUP(tblSales[[#This Row],[Product Code]],tblProducts[Code],tblProducts[Product / Service Name],"⚠ Unknown")</f>
        <v>Wireless Earbuds Pro</v>
      </c>
      <c r="H1521" s="1" t="str">
        <f>_xlfn.XLOOKUP(tblSales[[#This Row],[Product Code]],tblProducts[Code],tblProducts[Category],"")</f>
        <v>Bags &amp; Gadgets</v>
      </c>
      <c r="I1521" s="4">
        <v>3</v>
      </c>
      <c r="J1521" s="5">
        <f>_xlfn.XLOOKUP(tblSales[[#This Row],[Product Code]],tblProducts[Code],tblProducts[Selling Price (excl. VAT)],0)</f>
        <v>1250000</v>
      </c>
      <c r="K1521" s="5">
        <f>tblSales[[#This Row],[Qty]]*tblSales[[#This Row],[Unit Price]]</f>
        <v>3750000</v>
      </c>
      <c r="L1521" s="5">
        <f>ROUND(tblSales[[#This Row],[DPP (excl. VAT)]]*VATEff,0)</f>
        <v>412500</v>
      </c>
      <c r="M1521" s="5">
        <f>tblSales[[#This Row],[DPP (excl. VAT)]]+tblSales[[#This Row],[Output VAT]]</f>
        <v>4162500</v>
      </c>
      <c r="N1521" s="5">
        <f>tblSales[[#This Row],[Qty]]*_xlfn.XLOOKUP(tblSales[[#This Row],[Product Code]],tblProducts[Code],tblProducts[Unit Cost],0)</f>
        <v>2460000</v>
      </c>
      <c r="O1521" s="4" t="s">
        <v>4866</v>
      </c>
      <c r="P1521" s="4" t="s">
        <v>4861</v>
      </c>
      <c r="Q1521" s="1" t="str">
        <f>_xlfn.XLOOKUP(tblSales[[#This Row],[Channel Code]],tblChannels[Channel Code],tblChannels[Channel Name],"")</f>
        <v>Marketplace</v>
      </c>
      <c r="R1521" s="1">
        <f>MONTH(tblSales[[#This Row],[Date]])</f>
        <v>4</v>
      </c>
    </row>
    <row r="1522" spans="2:18" x14ac:dyDescent="0.35">
      <c r="B1522" s="113">
        <v>46113</v>
      </c>
      <c r="C1522" s="4" t="s">
        <v>1024</v>
      </c>
      <c r="D1522" s="4" t="s">
        <v>4568</v>
      </c>
      <c r="E1522" s="1" t="str">
        <f>_xlfn.XLOOKUP(tblSales[[#This Row],[Customer ID]],tblCustomers[Customer ID],tblCustomers[Customer Name],"⚠ Unknown")</f>
        <v>Walk-in Customer</v>
      </c>
      <c r="F1522" s="4" t="s">
        <v>12</v>
      </c>
      <c r="G1522" s="1" t="str">
        <f>_xlfn.XLOOKUP(tblSales[[#This Row],[Product Code]],tblProducts[Code],tblProducts[Product / Service Name],"⚠ Unknown")</f>
        <v>Bomber Jacket</v>
      </c>
      <c r="H1522" s="1" t="str">
        <f>_xlfn.XLOOKUP(tblSales[[#This Row],[Product Code]],tblProducts[Code],tblProducts[Category],"")</f>
        <v>Apparel &amp; Footwear</v>
      </c>
      <c r="I1522" s="4">
        <v>2</v>
      </c>
      <c r="J1522" s="5">
        <f>_xlfn.XLOOKUP(tblSales[[#This Row],[Product Code]],tblProducts[Code],tblProducts[Selling Price (excl. VAT)],0)</f>
        <v>350000</v>
      </c>
      <c r="K1522" s="5">
        <f>tblSales[[#This Row],[Qty]]*tblSales[[#This Row],[Unit Price]]</f>
        <v>700000</v>
      </c>
      <c r="L1522" s="5">
        <f>ROUND(tblSales[[#This Row],[DPP (excl. VAT)]]*VATEff,0)</f>
        <v>77000</v>
      </c>
      <c r="M1522" s="5">
        <f>tblSales[[#This Row],[DPP (excl. VAT)]]+tblSales[[#This Row],[Output VAT]]</f>
        <v>777000</v>
      </c>
      <c r="N1522" s="5">
        <f>tblSales[[#This Row],[Qty]]*_xlfn.XLOOKUP(tblSales[[#This Row],[Product Code]],tblProducts[Code],tblProducts[Unit Cost],0)</f>
        <v>420000</v>
      </c>
      <c r="O1522" s="4" t="s">
        <v>4866</v>
      </c>
      <c r="P1522" s="4" t="s">
        <v>4861</v>
      </c>
      <c r="Q1522" s="1" t="str">
        <f>_xlfn.XLOOKUP(tblSales[[#This Row],[Channel Code]],tblChannels[Channel Code],tblChannels[Channel Name],"")</f>
        <v>Marketplace</v>
      </c>
      <c r="R1522" s="1">
        <f>MONTH(tblSales[[#This Row],[Date]])</f>
        <v>4</v>
      </c>
    </row>
    <row r="1523" spans="2:18" x14ac:dyDescent="0.35">
      <c r="B1523" s="113">
        <v>46113</v>
      </c>
      <c r="C1523" s="4" t="s">
        <v>1025</v>
      </c>
      <c r="D1523" s="4" t="s">
        <v>4634</v>
      </c>
      <c r="E1523" s="1" t="str">
        <f>_xlfn.XLOOKUP(tblSales[[#This Row],[Customer ID]],tblCustomers[Customer ID],tblCustomers[Customer Name],"⚠ Unknown")</f>
        <v>PT Delta Inti Selaras</v>
      </c>
      <c r="F1523" s="4" t="s">
        <v>14</v>
      </c>
      <c r="G1523" s="1" t="str">
        <f>_xlfn.XLOOKUP(tblSales[[#This Row],[Product Code]],tblProducts[Code],tblProducts[Product / Service Name],"⚠ Unknown")</f>
        <v>Smartwatch</v>
      </c>
      <c r="H1523" s="1" t="str">
        <f>_xlfn.XLOOKUP(tblSales[[#This Row],[Product Code]],tblProducts[Code],tblProducts[Category],"")</f>
        <v>Bags &amp; Gadgets</v>
      </c>
      <c r="I1523" s="4">
        <v>16</v>
      </c>
      <c r="J1523" s="5">
        <f>_xlfn.XLOOKUP(tblSales[[#This Row],[Product Code]],tblProducts[Code],tblProducts[Selling Price (excl. VAT)],0)</f>
        <v>850000</v>
      </c>
      <c r="K1523" s="5">
        <f>tblSales[[#This Row],[Qty]]*tblSales[[#This Row],[Unit Price]]</f>
        <v>13600000</v>
      </c>
      <c r="L1523" s="5">
        <f>ROUND(tblSales[[#This Row],[DPP (excl. VAT)]]*VATEff,0)</f>
        <v>1496000</v>
      </c>
      <c r="M1523" s="5">
        <f>tblSales[[#This Row],[DPP (excl. VAT)]]+tblSales[[#This Row],[Output VAT]]</f>
        <v>15096000</v>
      </c>
      <c r="N1523" s="5">
        <f>tblSales[[#This Row],[Qty]]*_xlfn.XLOOKUP(tblSales[[#This Row],[Product Code]],tblProducts[Code],tblProducts[Unit Cost],0)</f>
        <v>8960000</v>
      </c>
      <c r="O1523" s="4" t="s">
        <v>4867</v>
      </c>
      <c r="P1523" s="4" t="s">
        <v>4860</v>
      </c>
      <c r="Q1523" s="1" t="str">
        <f>_xlfn.XLOOKUP(tblSales[[#This Row],[Channel Code]],tblChannels[Channel Code],tblChannels[Channel Name],"")</f>
        <v>In-store</v>
      </c>
      <c r="R1523" s="1">
        <f>MONTH(tblSales[[#This Row],[Date]])</f>
        <v>4</v>
      </c>
    </row>
    <row r="1524" spans="2:18" x14ac:dyDescent="0.35">
      <c r="B1524" s="113">
        <v>46113</v>
      </c>
      <c r="C1524" s="4" t="s">
        <v>1026</v>
      </c>
      <c r="D1524" s="4" t="s">
        <v>4568</v>
      </c>
      <c r="E1524" s="1" t="str">
        <f>_xlfn.XLOOKUP(tblSales[[#This Row],[Customer ID]],tblCustomers[Customer ID],tblCustomers[Customer Name],"⚠ Unknown")</f>
        <v>Walk-in Customer</v>
      </c>
      <c r="F1524" s="4" t="s">
        <v>13</v>
      </c>
      <c r="G1524" s="1" t="str">
        <f>_xlfn.XLOOKUP(tblSales[[#This Row],[Product Code]],tblProducts[Code],tblProducts[Product / Service Name],"⚠ Unknown")</f>
        <v>Backpack</v>
      </c>
      <c r="H1524" s="1" t="str">
        <f>_xlfn.XLOOKUP(tblSales[[#This Row],[Product Code]],tblProducts[Code],tblProducts[Category],"")</f>
        <v>Bags &amp; Gadgets</v>
      </c>
      <c r="I1524" s="4">
        <v>1</v>
      </c>
      <c r="J1524" s="5">
        <f>_xlfn.XLOOKUP(tblSales[[#This Row],[Product Code]],tblProducts[Code],tblProducts[Selling Price (excl. VAT)],0)</f>
        <v>500000</v>
      </c>
      <c r="K1524" s="5">
        <f>tblSales[[#This Row],[Qty]]*tblSales[[#This Row],[Unit Price]]</f>
        <v>500000</v>
      </c>
      <c r="L1524" s="5">
        <f>ROUND(tblSales[[#This Row],[DPP (excl. VAT)]]*VATEff,0)</f>
        <v>55000</v>
      </c>
      <c r="M1524" s="5">
        <f>tblSales[[#This Row],[DPP (excl. VAT)]]+tblSales[[#This Row],[Output VAT]]</f>
        <v>555000</v>
      </c>
      <c r="N1524" s="5">
        <f>tblSales[[#This Row],[Qty]]*_xlfn.XLOOKUP(tblSales[[#This Row],[Product Code]],tblProducts[Code],tblProducts[Unit Cost],0)</f>
        <v>290000</v>
      </c>
      <c r="O1524" s="4" t="s">
        <v>4865</v>
      </c>
      <c r="P1524" s="4" t="s">
        <v>4860</v>
      </c>
      <c r="Q1524" s="1" t="str">
        <f>_xlfn.XLOOKUP(tblSales[[#This Row],[Channel Code]],tblChannels[Channel Code],tblChannels[Channel Name],"")</f>
        <v>In-store</v>
      </c>
      <c r="R1524" s="1">
        <f>MONTH(tblSales[[#This Row],[Date]])</f>
        <v>4</v>
      </c>
    </row>
    <row r="1525" spans="2:18" x14ac:dyDescent="0.35">
      <c r="B1525" s="113">
        <v>46113</v>
      </c>
      <c r="C1525" s="4" t="s">
        <v>1026</v>
      </c>
      <c r="D1525" s="4" t="s">
        <v>4568</v>
      </c>
      <c r="E1525" s="1" t="str">
        <f>_xlfn.XLOOKUP(tblSales[[#This Row],[Customer ID]],tblCustomers[Customer ID],tblCustomers[Customer Name],"⚠ Unknown")</f>
        <v>Walk-in Customer</v>
      </c>
      <c r="F1525" s="4" t="s">
        <v>6</v>
      </c>
      <c r="G1525" s="1" t="str">
        <f>_xlfn.XLOOKUP(tblSales[[#This Row],[Product Code]],tblProducts[Code],tblProducts[Product / Service Name],"⚠ Unknown")</f>
        <v>Socks &amp; Accessories</v>
      </c>
      <c r="H1525" s="1" t="str">
        <f>_xlfn.XLOOKUP(tblSales[[#This Row],[Product Code]],tblProducts[Code],tblProducts[Category],"")</f>
        <v>Accessories &amp; Basics</v>
      </c>
      <c r="I1525" s="4">
        <v>11</v>
      </c>
      <c r="J1525" s="5">
        <f>_xlfn.XLOOKUP(tblSales[[#This Row],[Product Code]],tblProducts[Code],tblProducts[Selling Price (excl. VAT)],0)</f>
        <v>45000</v>
      </c>
      <c r="K1525" s="5">
        <f>tblSales[[#This Row],[Qty]]*tblSales[[#This Row],[Unit Price]]</f>
        <v>495000</v>
      </c>
      <c r="L1525" s="5">
        <f>ROUND(tblSales[[#This Row],[DPP (excl. VAT)]]*VATEff,0)</f>
        <v>54450</v>
      </c>
      <c r="M1525" s="5">
        <f>tblSales[[#This Row],[DPP (excl. VAT)]]+tblSales[[#This Row],[Output VAT]]</f>
        <v>549450</v>
      </c>
      <c r="N1525" s="5">
        <f>tblSales[[#This Row],[Qty]]*_xlfn.XLOOKUP(tblSales[[#This Row],[Product Code]],tblProducts[Code],tblProducts[Unit Cost],0)</f>
        <v>264000</v>
      </c>
      <c r="O1525" s="4" t="s">
        <v>4865</v>
      </c>
      <c r="P1525" s="4" t="s">
        <v>4860</v>
      </c>
      <c r="Q1525" s="1" t="str">
        <f>_xlfn.XLOOKUP(tblSales[[#This Row],[Channel Code]],tblChannels[Channel Code],tblChannels[Channel Name],"")</f>
        <v>In-store</v>
      </c>
      <c r="R1525" s="1">
        <f>MONTH(tblSales[[#This Row],[Date]])</f>
        <v>4</v>
      </c>
    </row>
    <row r="1526" spans="2:18" x14ac:dyDescent="0.35">
      <c r="B1526" s="113">
        <v>46113</v>
      </c>
      <c r="C1526" s="4" t="s">
        <v>1027</v>
      </c>
      <c r="D1526" s="4" t="s">
        <v>4568</v>
      </c>
      <c r="E1526" s="1" t="str">
        <f>_xlfn.XLOOKUP(tblSales[[#This Row],[Customer ID]],tblCustomers[Customer ID],tblCustomers[Customer Name],"⚠ Unknown")</f>
        <v>Walk-in Customer</v>
      </c>
      <c r="F1526" s="4" t="s">
        <v>10</v>
      </c>
      <c r="G1526" s="1" t="str">
        <f>_xlfn.XLOOKUP(tblSales[[#This Row],[Product Code]],tblProducts[Code],tblProducts[Product / Service Name],"⚠ Unknown")</f>
        <v>Chino Pants</v>
      </c>
      <c r="H1526" s="1" t="str">
        <f>_xlfn.XLOOKUP(tblSales[[#This Row],[Product Code]],tblProducts[Code],tblProducts[Category],"")</f>
        <v>Apparel &amp; Footwear</v>
      </c>
      <c r="I1526" s="4">
        <v>12</v>
      </c>
      <c r="J1526" s="5">
        <f>_xlfn.XLOOKUP(tblSales[[#This Row],[Product Code]],tblProducts[Code],tblProducts[Selling Price (excl. VAT)],0)</f>
        <v>150000</v>
      </c>
      <c r="K1526" s="5">
        <f>tblSales[[#This Row],[Qty]]*tblSales[[#This Row],[Unit Price]]</f>
        <v>1800000</v>
      </c>
      <c r="L1526" s="5">
        <f>ROUND(tblSales[[#This Row],[DPP (excl. VAT)]]*VATEff,0)</f>
        <v>198000</v>
      </c>
      <c r="M1526" s="5">
        <f>tblSales[[#This Row],[DPP (excl. VAT)]]+tblSales[[#This Row],[Output VAT]]</f>
        <v>1998000</v>
      </c>
      <c r="N1526" s="5">
        <f>tblSales[[#This Row],[Qty]]*_xlfn.XLOOKUP(tblSales[[#This Row],[Product Code]],tblProducts[Code],tblProducts[Unit Cost],0)</f>
        <v>1056000</v>
      </c>
      <c r="O1526" s="4" t="s">
        <v>4866</v>
      </c>
      <c r="P1526" s="4" t="s">
        <v>4862</v>
      </c>
      <c r="Q1526" s="1" t="str">
        <f>_xlfn.XLOOKUP(tblSales[[#This Row],[Channel Code]],tblChannels[Channel Code],tblChannels[Channel Name],"")</f>
        <v>Website &amp; Social Media</v>
      </c>
      <c r="R1526" s="1">
        <f>MONTH(tblSales[[#This Row],[Date]])</f>
        <v>4</v>
      </c>
    </row>
    <row r="1527" spans="2:18" x14ac:dyDescent="0.35">
      <c r="B1527" s="113">
        <v>46113</v>
      </c>
      <c r="C1527" s="4" t="s">
        <v>1027</v>
      </c>
      <c r="D1527" s="4" t="s">
        <v>4568</v>
      </c>
      <c r="E1527" s="1" t="str">
        <f>_xlfn.XLOOKUP(tblSales[[#This Row],[Customer ID]],tblCustomers[Customer ID],tblCustomers[Customer Name],"⚠ Unknown")</f>
        <v>Walk-in Customer</v>
      </c>
      <c r="F1527" s="4" t="s">
        <v>8</v>
      </c>
      <c r="G1527" s="1" t="str">
        <f>_xlfn.XLOOKUP(tblSales[[#This Row],[Product Code]],tblProducts[Code],tblProducts[Product / Service Name],"⚠ Unknown")</f>
        <v>Casual Shorts</v>
      </c>
      <c r="H1527" s="1" t="str">
        <f>_xlfn.XLOOKUP(tblSales[[#This Row],[Product Code]],tblProducts[Code],tblProducts[Category],"")</f>
        <v>Accessories &amp; Basics</v>
      </c>
      <c r="I1527" s="4">
        <v>2</v>
      </c>
      <c r="J1527" s="5">
        <f>_xlfn.XLOOKUP(tblSales[[#This Row],[Product Code]],tblProducts[Code],tblProducts[Selling Price (excl. VAT)],0)</f>
        <v>85000</v>
      </c>
      <c r="K1527" s="5">
        <f>tblSales[[#This Row],[Qty]]*tblSales[[#This Row],[Unit Price]]</f>
        <v>170000</v>
      </c>
      <c r="L1527" s="5">
        <f>ROUND(tblSales[[#This Row],[DPP (excl. VAT)]]*VATEff,0)</f>
        <v>18700</v>
      </c>
      <c r="M1527" s="5">
        <f>tblSales[[#This Row],[DPP (excl. VAT)]]+tblSales[[#This Row],[Output VAT]]</f>
        <v>188700</v>
      </c>
      <c r="N1527" s="5">
        <f>tblSales[[#This Row],[Qty]]*_xlfn.XLOOKUP(tblSales[[#This Row],[Product Code]],tblProducts[Code],tblProducts[Unit Cost],0)</f>
        <v>100000</v>
      </c>
      <c r="O1527" s="4" t="s">
        <v>4866</v>
      </c>
      <c r="P1527" s="4" t="s">
        <v>4862</v>
      </c>
      <c r="Q1527" s="1" t="str">
        <f>_xlfn.XLOOKUP(tblSales[[#This Row],[Channel Code]],tblChannels[Channel Code],tblChannels[Channel Name],"")</f>
        <v>Website &amp; Social Media</v>
      </c>
      <c r="R1527" s="1">
        <f>MONTH(tblSales[[#This Row],[Date]])</f>
        <v>4</v>
      </c>
    </row>
    <row r="1528" spans="2:18" x14ac:dyDescent="0.35">
      <c r="B1528" s="113">
        <v>46113</v>
      </c>
      <c r="C1528" s="4" t="s">
        <v>1027</v>
      </c>
      <c r="D1528" s="4" t="s">
        <v>4568</v>
      </c>
      <c r="E1528" s="1" t="str">
        <f>_xlfn.XLOOKUP(tblSales[[#This Row],[Customer ID]],tblCustomers[Customer ID],tblCustomers[Customer Name],"⚠ Unknown")</f>
        <v>Walk-in Customer</v>
      </c>
      <c r="F1528" s="4" t="s">
        <v>9</v>
      </c>
      <c r="G1528" s="1" t="str">
        <f>_xlfn.XLOOKUP(tblSales[[#This Row],[Product Code]],tblProducts[Code],tblProducts[Product / Service Name],"⚠ Unknown")</f>
        <v>Casual Shirt</v>
      </c>
      <c r="H1528" s="1" t="str">
        <f>_xlfn.XLOOKUP(tblSales[[#This Row],[Product Code]],tblProducts[Code],tblProducts[Category],"")</f>
        <v>Apparel &amp; Footwear</v>
      </c>
      <c r="I1528" s="4">
        <v>7</v>
      </c>
      <c r="J1528" s="5">
        <f>_xlfn.XLOOKUP(tblSales[[#This Row],[Product Code]],tblProducts[Code],tblProducts[Selling Price (excl. VAT)],0)</f>
        <v>120000</v>
      </c>
      <c r="K1528" s="5">
        <f>tblSales[[#This Row],[Qty]]*tblSales[[#This Row],[Unit Price]]</f>
        <v>840000</v>
      </c>
      <c r="L1528" s="5">
        <f>ROUND(tblSales[[#This Row],[DPP (excl. VAT)]]*VATEff,0)</f>
        <v>92400</v>
      </c>
      <c r="M1528" s="5">
        <f>tblSales[[#This Row],[DPP (excl. VAT)]]+tblSales[[#This Row],[Output VAT]]</f>
        <v>932400</v>
      </c>
      <c r="N1528" s="5">
        <f>tblSales[[#This Row],[Qty]]*_xlfn.XLOOKUP(tblSales[[#This Row],[Product Code]],tblProducts[Code],tblProducts[Unit Cost],0)</f>
        <v>504000</v>
      </c>
      <c r="O1528" s="4" t="s">
        <v>4866</v>
      </c>
      <c r="P1528" s="4" t="s">
        <v>4862</v>
      </c>
      <c r="Q1528" s="1" t="str">
        <f>_xlfn.XLOOKUP(tblSales[[#This Row],[Channel Code]],tblChannels[Channel Code],tblChannels[Channel Name],"")</f>
        <v>Website &amp; Social Media</v>
      </c>
      <c r="R1528" s="1">
        <f>MONTH(tblSales[[#This Row],[Date]])</f>
        <v>4</v>
      </c>
    </row>
    <row r="1529" spans="2:18" x14ac:dyDescent="0.35">
      <c r="B1529" s="113">
        <v>46113</v>
      </c>
      <c r="C1529" s="4" t="s">
        <v>1028</v>
      </c>
      <c r="D1529" s="4" t="s">
        <v>4568</v>
      </c>
      <c r="E1529" s="1" t="str">
        <f>_xlfn.XLOOKUP(tblSales[[#This Row],[Customer ID]],tblCustomers[Customer ID],tblCustomers[Customer Name],"⚠ Unknown")</f>
        <v>Walk-in Customer</v>
      </c>
      <c r="F1529" s="4" t="s">
        <v>12</v>
      </c>
      <c r="G1529" s="1" t="str">
        <f>_xlfn.XLOOKUP(tblSales[[#This Row],[Product Code]],tblProducts[Code],tblProducts[Product / Service Name],"⚠ Unknown")</f>
        <v>Bomber Jacket</v>
      </c>
      <c r="H1529" s="1" t="str">
        <f>_xlfn.XLOOKUP(tblSales[[#This Row],[Product Code]],tblProducts[Code],tblProducts[Category],"")</f>
        <v>Apparel &amp; Footwear</v>
      </c>
      <c r="I1529" s="4">
        <v>3</v>
      </c>
      <c r="J1529" s="5">
        <f>_xlfn.XLOOKUP(tblSales[[#This Row],[Product Code]],tblProducts[Code],tblProducts[Selling Price (excl. VAT)],0)</f>
        <v>350000</v>
      </c>
      <c r="K1529" s="5">
        <f>tblSales[[#This Row],[Qty]]*tblSales[[#This Row],[Unit Price]]</f>
        <v>1050000</v>
      </c>
      <c r="L1529" s="5">
        <f>ROUND(tblSales[[#This Row],[DPP (excl. VAT)]]*VATEff,0)</f>
        <v>115500</v>
      </c>
      <c r="M1529" s="5">
        <f>tblSales[[#This Row],[DPP (excl. VAT)]]+tblSales[[#This Row],[Output VAT]]</f>
        <v>1165500</v>
      </c>
      <c r="N1529" s="5">
        <f>tblSales[[#This Row],[Qty]]*_xlfn.XLOOKUP(tblSales[[#This Row],[Product Code]],tblProducts[Code],tblProducts[Unit Cost],0)</f>
        <v>630000</v>
      </c>
      <c r="O1529" s="4" t="s">
        <v>4866</v>
      </c>
      <c r="P1529" s="4" t="s">
        <v>4861</v>
      </c>
      <c r="Q1529" s="1" t="str">
        <f>_xlfn.XLOOKUP(tblSales[[#This Row],[Channel Code]],tblChannels[Channel Code],tblChannels[Channel Name],"")</f>
        <v>Marketplace</v>
      </c>
      <c r="R1529" s="1">
        <f>MONTH(tblSales[[#This Row],[Date]])</f>
        <v>4</v>
      </c>
    </row>
    <row r="1530" spans="2:18" x14ac:dyDescent="0.35">
      <c r="B1530" s="113">
        <v>46113</v>
      </c>
      <c r="C1530" s="4" t="s">
        <v>1029</v>
      </c>
      <c r="D1530" s="4" t="s">
        <v>4634</v>
      </c>
      <c r="E1530" s="1" t="str">
        <f>_xlfn.XLOOKUP(tblSales[[#This Row],[Customer ID]],tblCustomers[Customer ID],tblCustomers[Customer Name],"⚠ Unknown")</f>
        <v>PT Delta Inti Selaras</v>
      </c>
      <c r="F1530" s="4" t="s">
        <v>10</v>
      </c>
      <c r="G1530" s="1" t="str">
        <f>_xlfn.XLOOKUP(tblSales[[#This Row],[Product Code]],tblProducts[Code],tblProducts[Product / Service Name],"⚠ Unknown")</f>
        <v>Chino Pants</v>
      </c>
      <c r="H1530" s="1" t="str">
        <f>_xlfn.XLOOKUP(tblSales[[#This Row],[Product Code]],tblProducts[Code],tblProducts[Category],"")</f>
        <v>Apparel &amp; Footwear</v>
      </c>
      <c r="I1530" s="4">
        <v>8</v>
      </c>
      <c r="J1530" s="5">
        <f>_xlfn.XLOOKUP(tblSales[[#This Row],[Product Code]],tblProducts[Code],tblProducts[Selling Price (excl. VAT)],0)</f>
        <v>150000</v>
      </c>
      <c r="K1530" s="5">
        <f>tblSales[[#This Row],[Qty]]*tblSales[[#This Row],[Unit Price]]</f>
        <v>1200000</v>
      </c>
      <c r="L1530" s="5">
        <f>ROUND(tblSales[[#This Row],[DPP (excl. VAT)]]*VATEff,0)</f>
        <v>132000</v>
      </c>
      <c r="M1530" s="5">
        <f>tblSales[[#This Row],[DPP (excl. VAT)]]+tblSales[[#This Row],[Output VAT]]</f>
        <v>1332000</v>
      </c>
      <c r="N1530" s="5">
        <f>tblSales[[#This Row],[Qty]]*_xlfn.XLOOKUP(tblSales[[#This Row],[Product Code]],tblProducts[Code],tblProducts[Unit Cost],0)</f>
        <v>704000</v>
      </c>
      <c r="O1530" s="4" t="s">
        <v>4867</v>
      </c>
      <c r="P1530" s="4" t="s">
        <v>4860</v>
      </c>
      <c r="Q1530" s="1" t="str">
        <f>_xlfn.XLOOKUP(tblSales[[#This Row],[Channel Code]],tblChannels[Channel Code],tblChannels[Channel Name],"")</f>
        <v>In-store</v>
      </c>
      <c r="R1530" s="1">
        <f>MONTH(tblSales[[#This Row],[Date]])</f>
        <v>4</v>
      </c>
    </row>
    <row r="1531" spans="2:18" x14ac:dyDescent="0.35">
      <c r="B1531" s="113">
        <v>46113</v>
      </c>
      <c r="C1531" s="4" t="s">
        <v>1029</v>
      </c>
      <c r="D1531" s="4" t="s">
        <v>4634</v>
      </c>
      <c r="E1531" s="1" t="str">
        <f>_xlfn.XLOOKUP(tblSales[[#This Row],[Customer ID]],tblCustomers[Customer ID],tblCustomers[Customer Name],"⚠ Unknown")</f>
        <v>PT Delta Inti Selaras</v>
      </c>
      <c r="F1531" s="4" t="s">
        <v>8</v>
      </c>
      <c r="G1531" s="1" t="str">
        <f>_xlfn.XLOOKUP(tblSales[[#This Row],[Product Code]],tblProducts[Code],tblProducts[Product / Service Name],"⚠ Unknown")</f>
        <v>Casual Shorts</v>
      </c>
      <c r="H1531" s="1" t="str">
        <f>_xlfn.XLOOKUP(tblSales[[#This Row],[Product Code]],tblProducts[Code],tblProducts[Category],"")</f>
        <v>Accessories &amp; Basics</v>
      </c>
      <c r="I1531" s="4">
        <v>32</v>
      </c>
      <c r="J1531" s="5">
        <f>_xlfn.XLOOKUP(tblSales[[#This Row],[Product Code]],tblProducts[Code],tblProducts[Selling Price (excl. VAT)],0)</f>
        <v>85000</v>
      </c>
      <c r="K1531" s="5">
        <f>tblSales[[#This Row],[Qty]]*tblSales[[#This Row],[Unit Price]]</f>
        <v>2720000</v>
      </c>
      <c r="L1531" s="5">
        <f>ROUND(tblSales[[#This Row],[DPP (excl. VAT)]]*VATEff,0)</f>
        <v>299200</v>
      </c>
      <c r="M1531" s="5">
        <f>tblSales[[#This Row],[DPP (excl. VAT)]]+tblSales[[#This Row],[Output VAT]]</f>
        <v>3019200</v>
      </c>
      <c r="N1531" s="5">
        <f>tblSales[[#This Row],[Qty]]*_xlfn.XLOOKUP(tblSales[[#This Row],[Product Code]],tblProducts[Code],tblProducts[Unit Cost],0)</f>
        <v>1600000</v>
      </c>
      <c r="O1531" s="4" t="s">
        <v>4867</v>
      </c>
      <c r="P1531" s="4" t="s">
        <v>4860</v>
      </c>
      <c r="Q1531" s="1" t="str">
        <f>_xlfn.XLOOKUP(tblSales[[#This Row],[Channel Code]],tblChannels[Channel Code],tblChannels[Channel Name],"")</f>
        <v>In-store</v>
      </c>
      <c r="R1531" s="1">
        <f>MONTH(tblSales[[#This Row],[Date]])</f>
        <v>4</v>
      </c>
    </row>
    <row r="1532" spans="2:18" x14ac:dyDescent="0.35">
      <c r="B1532" s="113">
        <v>46113</v>
      </c>
      <c r="C1532" s="4" t="s">
        <v>1029</v>
      </c>
      <c r="D1532" s="4" t="s">
        <v>4634</v>
      </c>
      <c r="E1532" s="1" t="str">
        <f>_xlfn.XLOOKUP(tblSales[[#This Row],[Customer ID]],tblCustomers[Customer ID],tblCustomers[Customer Name],"⚠ Unknown")</f>
        <v>PT Delta Inti Selaras</v>
      </c>
      <c r="F1532" s="4" t="s">
        <v>6</v>
      </c>
      <c r="G1532" s="1" t="str">
        <f>_xlfn.XLOOKUP(tblSales[[#This Row],[Product Code]],tblProducts[Code],tblProducts[Product / Service Name],"⚠ Unknown")</f>
        <v>Socks &amp; Accessories</v>
      </c>
      <c r="H1532" s="1" t="str">
        <f>_xlfn.XLOOKUP(tblSales[[#This Row],[Product Code]],tblProducts[Code],tblProducts[Category],"")</f>
        <v>Accessories &amp; Basics</v>
      </c>
      <c r="I1532" s="4">
        <v>88</v>
      </c>
      <c r="J1532" s="5">
        <f>_xlfn.XLOOKUP(tblSales[[#This Row],[Product Code]],tblProducts[Code],tblProducts[Selling Price (excl. VAT)],0)</f>
        <v>45000</v>
      </c>
      <c r="K1532" s="5">
        <f>tblSales[[#This Row],[Qty]]*tblSales[[#This Row],[Unit Price]]</f>
        <v>3960000</v>
      </c>
      <c r="L1532" s="5">
        <f>ROUND(tblSales[[#This Row],[DPP (excl. VAT)]]*VATEff,0)</f>
        <v>435600</v>
      </c>
      <c r="M1532" s="5">
        <f>tblSales[[#This Row],[DPP (excl. VAT)]]+tblSales[[#This Row],[Output VAT]]</f>
        <v>4395600</v>
      </c>
      <c r="N1532" s="5">
        <f>tblSales[[#This Row],[Qty]]*_xlfn.XLOOKUP(tblSales[[#This Row],[Product Code]],tblProducts[Code],tblProducts[Unit Cost],0)</f>
        <v>2112000</v>
      </c>
      <c r="O1532" s="4" t="s">
        <v>4867</v>
      </c>
      <c r="P1532" s="4" t="s">
        <v>4860</v>
      </c>
      <c r="Q1532" s="1" t="str">
        <f>_xlfn.XLOOKUP(tblSales[[#This Row],[Channel Code]],tblChannels[Channel Code],tblChannels[Channel Name],"")</f>
        <v>In-store</v>
      </c>
      <c r="R1532" s="1">
        <f>MONTH(tblSales[[#This Row],[Date]])</f>
        <v>4</v>
      </c>
    </row>
    <row r="1533" spans="2:18" x14ac:dyDescent="0.35">
      <c r="B1533" s="113">
        <v>46113</v>
      </c>
      <c r="C1533" s="4" t="s">
        <v>1030</v>
      </c>
      <c r="D1533" s="4" t="s">
        <v>4568</v>
      </c>
      <c r="E1533" s="1" t="str">
        <f>_xlfn.XLOOKUP(tblSales[[#This Row],[Customer ID]],tblCustomers[Customer ID],tblCustomers[Customer Name],"⚠ Unknown")</f>
        <v>Walk-in Customer</v>
      </c>
      <c r="F1533" s="4" t="s">
        <v>13</v>
      </c>
      <c r="G1533" s="1" t="str">
        <f>_xlfn.XLOOKUP(tblSales[[#This Row],[Product Code]],tblProducts[Code],tblProducts[Product / Service Name],"⚠ Unknown")</f>
        <v>Backpack</v>
      </c>
      <c r="H1533" s="1" t="str">
        <f>_xlfn.XLOOKUP(tblSales[[#This Row],[Product Code]],tblProducts[Code],tblProducts[Category],"")</f>
        <v>Bags &amp; Gadgets</v>
      </c>
      <c r="I1533" s="4">
        <v>6</v>
      </c>
      <c r="J1533" s="5">
        <f>_xlfn.XLOOKUP(tblSales[[#This Row],[Product Code]],tblProducts[Code],tblProducts[Selling Price (excl. VAT)],0)</f>
        <v>500000</v>
      </c>
      <c r="K1533" s="5">
        <f>tblSales[[#This Row],[Qty]]*tblSales[[#This Row],[Unit Price]]</f>
        <v>3000000</v>
      </c>
      <c r="L1533" s="5">
        <f>ROUND(tblSales[[#This Row],[DPP (excl. VAT)]]*VATEff,0)</f>
        <v>330000</v>
      </c>
      <c r="M1533" s="5">
        <f>tblSales[[#This Row],[DPP (excl. VAT)]]+tblSales[[#This Row],[Output VAT]]</f>
        <v>3330000</v>
      </c>
      <c r="N1533" s="5">
        <f>tblSales[[#This Row],[Qty]]*_xlfn.XLOOKUP(tblSales[[#This Row],[Product Code]],tblProducts[Code],tblProducts[Unit Cost],0)</f>
        <v>1740000</v>
      </c>
      <c r="O1533" s="4" t="s">
        <v>4866</v>
      </c>
      <c r="P1533" s="4" t="s">
        <v>4860</v>
      </c>
      <c r="Q1533" s="1" t="str">
        <f>_xlfn.XLOOKUP(tblSales[[#This Row],[Channel Code]],tblChannels[Channel Code],tblChannels[Channel Name],"")</f>
        <v>In-store</v>
      </c>
      <c r="R1533" s="1">
        <f>MONTH(tblSales[[#This Row],[Date]])</f>
        <v>4</v>
      </c>
    </row>
    <row r="1534" spans="2:18" x14ac:dyDescent="0.35">
      <c r="B1534" s="113">
        <v>46113</v>
      </c>
      <c r="C1534" s="4" t="s">
        <v>1030</v>
      </c>
      <c r="D1534" s="4" t="s">
        <v>4568</v>
      </c>
      <c r="E1534" s="1" t="str">
        <f>_xlfn.XLOOKUP(tblSales[[#This Row],[Customer ID]],tblCustomers[Customer ID],tblCustomers[Customer Name],"⚠ Unknown")</f>
        <v>Walk-in Customer</v>
      </c>
      <c r="F1534" s="4" t="s">
        <v>8</v>
      </c>
      <c r="G1534" s="1" t="str">
        <f>_xlfn.XLOOKUP(tblSales[[#This Row],[Product Code]],tblProducts[Code],tblProducts[Product / Service Name],"⚠ Unknown")</f>
        <v>Casual Shorts</v>
      </c>
      <c r="H1534" s="1" t="str">
        <f>_xlfn.XLOOKUP(tblSales[[#This Row],[Product Code]],tblProducts[Code],tblProducts[Category],"")</f>
        <v>Accessories &amp; Basics</v>
      </c>
      <c r="I1534" s="4">
        <v>6</v>
      </c>
      <c r="J1534" s="5">
        <f>_xlfn.XLOOKUP(tblSales[[#This Row],[Product Code]],tblProducts[Code],tblProducts[Selling Price (excl. VAT)],0)</f>
        <v>85000</v>
      </c>
      <c r="K1534" s="5">
        <f>tblSales[[#This Row],[Qty]]*tblSales[[#This Row],[Unit Price]]</f>
        <v>510000</v>
      </c>
      <c r="L1534" s="5">
        <f>ROUND(tblSales[[#This Row],[DPP (excl. VAT)]]*VATEff,0)</f>
        <v>56100</v>
      </c>
      <c r="M1534" s="5">
        <f>tblSales[[#This Row],[DPP (excl. VAT)]]+tblSales[[#This Row],[Output VAT]]</f>
        <v>566100</v>
      </c>
      <c r="N1534" s="5">
        <f>tblSales[[#This Row],[Qty]]*_xlfn.XLOOKUP(tblSales[[#This Row],[Product Code]],tblProducts[Code],tblProducts[Unit Cost],0)</f>
        <v>300000</v>
      </c>
      <c r="O1534" s="4" t="s">
        <v>4866</v>
      </c>
      <c r="P1534" s="4" t="s">
        <v>4860</v>
      </c>
      <c r="Q1534" s="1" t="str">
        <f>_xlfn.XLOOKUP(tblSales[[#This Row],[Channel Code]],tblChannels[Channel Code],tblChannels[Channel Name],"")</f>
        <v>In-store</v>
      </c>
      <c r="R1534" s="1">
        <f>MONTH(tblSales[[#This Row],[Date]])</f>
        <v>4</v>
      </c>
    </row>
    <row r="1535" spans="2:18" x14ac:dyDescent="0.35">
      <c r="B1535" s="113">
        <v>46113</v>
      </c>
      <c r="C1535" s="4" t="s">
        <v>1031</v>
      </c>
      <c r="D1535" s="4" t="s">
        <v>4568</v>
      </c>
      <c r="E1535" s="1" t="str">
        <f>_xlfn.XLOOKUP(tblSales[[#This Row],[Customer ID]],tblCustomers[Customer ID],tblCustomers[Customer Name],"⚠ Unknown")</f>
        <v>Walk-in Customer</v>
      </c>
      <c r="F1535" s="4" t="s">
        <v>8</v>
      </c>
      <c r="G1535" s="1" t="str">
        <f>_xlfn.XLOOKUP(tblSales[[#This Row],[Product Code]],tblProducts[Code],tblProducts[Product / Service Name],"⚠ Unknown")</f>
        <v>Casual Shorts</v>
      </c>
      <c r="H1535" s="1" t="str">
        <f>_xlfn.XLOOKUP(tblSales[[#This Row],[Product Code]],tblProducts[Code],tblProducts[Category],"")</f>
        <v>Accessories &amp; Basics</v>
      </c>
      <c r="I1535" s="4">
        <v>12</v>
      </c>
      <c r="J1535" s="5">
        <f>_xlfn.XLOOKUP(tblSales[[#This Row],[Product Code]],tblProducts[Code],tblProducts[Selling Price (excl. VAT)],0)</f>
        <v>85000</v>
      </c>
      <c r="K1535" s="5">
        <f>tblSales[[#This Row],[Qty]]*tblSales[[#This Row],[Unit Price]]</f>
        <v>1020000</v>
      </c>
      <c r="L1535" s="5">
        <f>ROUND(tblSales[[#This Row],[DPP (excl. VAT)]]*VATEff,0)</f>
        <v>112200</v>
      </c>
      <c r="M1535" s="5">
        <f>tblSales[[#This Row],[DPP (excl. VAT)]]+tblSales[[#This Row],[Output VAT]]</f>
        <v>1132200</v>
      </c>
      <c r="N1535" s="5">
        <f>tblSales[[#This Row],[Qty]]*_xlfn.XLOOKUP(tblSales[[#This Row],[Product Code]],tblProducts[Code],tblProducts[Unit Cost],0)</f>
        <v>600000</v>
      </c>
      <c r="O1535" s="4" t="s">
        <v>4865</v>
      </c>
      <c r="P1535" s="4" t="s">
        <v>4860</v>
      </c>
      <c r="Q1535" s="1" t="str">
        <f>_xlfn.XLOOKUP(tblSales[[#This Row],[Channel Code]],tblChannels[Channel Code],tblChannels[Channel Name],"")</f>
        <v>In-store</v>
      </c>
      <c r="R1535" s="1">
        <f>MONTH(tblSales[[#This Row],[Date]])</f>
        <v>4</v>
      </c>
    </row>
    <row r="1536" spans="2:18" x14ac:dyDescent="0.35">
      <c r="B1536" s="113">
        <v>46114</v>
      </c>
      <c r="C1536" s="4" t="s">
        <v>1032</v>
      </c>
      <c r="D1536" s="4" t="s">
        <v>4568</v>
      </c>
      <c r="E1536" s="1" t="str">
        <f>_xlfn.XLOOKUP(tblSales[[#This Row],[Customer ID]],tblCustomers[Customer ID],tblCustomers[Customer Name],"⚠ Unknown")</f>
        <v>Walk-in Customer</v>
      </c>
      <c r="F1536" s="4" t="s">
        <v>10</v>
      </c>
      <c r="G1536" s="1" t="str">
        <f>_xlfn.XLOOKUP(tblSales[[#This Row],[Product Code]],tblProducts[Code],tblProducts[Product / Service Name],"⚠ Unknown")</f>
        <v>Chino Pants</v>
      </c>
      <c r="H1536" s="1" t="str">
        <f>_xlfn.XLOOKUP(tblSales[[#This Row],[Product Code]],tblProducts[Code],tblProducts[Category],"")</f>
        <v>Apparel &amp; Footwear</v>
      </c>
      <c r="I1536" s="4">
        <v>8</v>
      </c>
      <c r="J1536" s="5">
        <f>_xlfn.XLOOKUP(tblSales[[#This Row],[Product Code]],tblProducts[Code],tblProducts[Selling Price (excl. VAT)],0)</f>
        <v>150000</v>
      </c>
      <c r="K1536" s="5">
        <f>tblSales[[#This Row],[Qty]]*tblSales[[#This Row],[Unit Price]]</f>
        <v>1200000</v>
      </c>
      <c r="L1536" s="5">
        <f>ROUND(tblSales[[#This Row],[DPP (excl. VAT)]]*VATEff,0)</f>
        <v>132000</v>
      </c>
      <c r="M1536" s="5">
        <f>tblSales[[#This Row],[DPP (excl. VAT)]]+tblSales[[#This Row],[Output VAT]]</f>
        <v>1332000</v>
      </c>
      <c r="N1536" s="5">
        <f>tblSales[[#This Row],[Qty]]*_xlfn.XLOOKUP(tblSales[[#This Row],[Product Code]],tblProducts[Code],tblProducts[Unit Cost],0)</f>
        <v>704000</v>
      </c>
      <c r="O1536" s="4" t="s">
        <v>4866</v>
      </c>
      <c r="P1536" s="4" t="s">
        <v>4862</v>
      </c>
      <c r="Q1536" s="1" t="str">
        <f>_xlfn.XLOOKUP(tblSales[[#This Row],[Channel Code]],tblChannels[Channel Code],tblChannels[Channel Name],"")</f>
        <v>Website &amp; Social Media</v>
      </c>
      <c r="R1536" s="1">
        <f>MONTH(tblSales[[#This Row],[Date]])</f>
        <v>4</v>
      </c>
    </row>
    <row r="1537" spans="2:18" x14ac:dyDescent="0.35">
      <c r="B1537" s="113">
        <v>46114</v>
      </c>
      <c r="C1537" s="4" t="s">
        <v>1033</v>
      </c>
      <c r="D1537" s="4" t="s">
        <v>4568</v>
      </c>
      <c r="E1537" s="1" t="str">
        <f>_xlfn.XLOOKUP(tblSales[[#This Row],[Customer ID]],tblCustomers[Customer ID],tblCustomers[Customer Name],"⚠ Unknown")</f>
        <v>Walk-in Customer</v>
      </c>
      <c r="F1537" s="4" t="s">
        <v>15</v>
      </c>
      <c r="G1537" s="1" t="str">
        <f>_xlfn.XLOOKUP(tblSales[[#This Row],[Product Code]],tblProducts[Code],tblProducts[Product / Service Name],"⚠ Unknown")</f>
        <v>Wireless Earbuds Pro</v>
      </c>
      <c r="H1537" s="1" t="str">
        <f>_xlfn.XLOOKUP(tblSales[[#This Row],[Product Code]],tblProducts[Code],tblProducts[Category],"")</f>
        <v>Bags &amp; Gadgets</v>
      </c>
      <c r="I1537" s="4">
        <v>1</v>
      </c>
      <c r="J1537" s="5">
        <f>_xlfn.XLOOKUP(tblSales[[#This Row],[Product Code]],tblProducts[Code],tblProducts[Selling Price (excl. VAT)],0)</f>
        <v>1250000</v>
      </c>
      <c r="K1537" s="5">
        <f>tblSales[[#This Row],[Qty]]*tblSales[[#This Row],[Unit Price]]</f>
        <v>1250000</v>
      </c>
      <c r="L1537" s="5">
        <f>ROUND(tblSales[[#This Row],[DPP (excl. VAT)]]*VATEff,0)</f>
        <v>137500</v>
      </c>
      <c r="M1537" s="5">
        <f>tblSales[[#This Row],[DPP (excl. VAT)]]+tblSales[[#This Row],[Output VAT]]</f>
        <v>1387500</v>
      </c>
      <c r="N1537" s="5">
        <f>tblSales[[#This Row],[Qty]]*_xlfn.XLOOKUP(tblSales[[#This Row],[Product Code]],tblProducts[Code],tblProducts[Unit Cost],0)</f>
        <v>820000</v>
      </c>
      <c r="O1537" s="4" t="s">
        <v>4865</v>
      </c>
      <c r="P1537" s="4" t="s">
        <v>4860</v>
      </c>
      <c r="Q1537" s="1" t="str">
        <f>_xlfn.XLOOKUP(tblSales[[#This Row],[Channel Code]],tblChannels[Channel Code],tblChannels[Channel Name],"")</f>
        <v>In-store</v>
      </c>
      <c r="R1537" s="1">
        <f>MONTH(tblSales[[#This Row],[Date]])</f>
        <v>4</v>
      </c>
    </row>
    <row r="1538" spans="2:18" x14ac:dyDescent="0.35">
      <c r="B1538" s="113">
        <v>46114</v>
      </c>
      <c r="C1538" s="4" t="s">
        <v>1034</v>
      </c>
      <c r="D1538" s="4" t="s">
        <v>4568</v>
      </c>
      <c r="E1538" s="1" t="str">
        <f>_xlfn.XLOOKUP(tblSales[[#This Row],[Customer ID]],tblCustomers[Customer ID],tblCustomers[Customer Name],"⚠ Unknown")</f>
        <v>Walk-in Customer</v>
      </c>
      <c r="F1538" s="4" t="s">
        <v>13</v>
      </c>
      <c r="G1538" s="1" t="str">
        <f>_xlfn.XLOOKUP(tblSales[[#This Row],[Product Code]],tblProducts[Code],tblProducts[Product / Service Name],"⚠ Unknown")</f>
        <v>Backpack</v>
      </c>
      <c r="H1538" s="1" t="str">
        <f>_xlfn.XLOOKUP(tblSales[[#This Row],[Product Code]],tblProducts[Code],tblProducts[Category],"")</f>
        <v>Bags &amp; Gadgets</v>
      </c>
      <c r="I1538" s="4">
        <v>4</v>
      </c>
      <c r="J1538" s="5">
        <f>_xlfn.XLOOKUP(tblSales[[#This Row],[Product Code]],tblProducts[Code],tblProducts[Selling Price (excl. VAT)],0)</f>
        <v>500000</v>
      </c>
      <c r="K1538" s="5">
        <f>tblSales[[#This Row],[Qty]]*tblSales[[#This Row],[Unit Price]]</f>
        <v>2000000</v>
      </c>
      <c r="L1538" s="5">
        <f>ROUND(tblSales[[#This Row],[DPP (excl. VAT)]]*VATEff,0)</f>
        <v>220000</v>
      </c>
      <c r="M1538" s="5">
        <f>tblSales[[#This Row],[DPP (excl. VAT)]]+tblSales[[#This Row],[Output VAT]]</f>
        <v>2220000</v>
      </c>
      <c r="N1538" s="5">
        <f>tblSales[[#This Row],[Qty]]*_xlfn.XLOOKUP(tblSales[[#This Row],[Product Code]],tblProducts[Code],tblProducts[Unit Cost],0)</f>
        <v>1160000</v>
      </c>
      <c r="O1538" s="4" t="s">
        <v>4866</v>
      </c>
      <c r="P1538" s="4" t="s">
        <v>4861</v>
      </c>
      <c r="Q1538" s="1" t="str">
        <f>_xlfn.XLOOKUP(tblSales[[#This Row],[Channel Code]],tblChannels[Channel Code],tblChannels[Channel Name],"")</f>
        <v>Marketplace</v>
      </c>
      <c r="R1538" s="1">
        <f>MONTH(tblSales[[#This Row],[Date]])</f>
        <v>4</v>
      </c>
    </row>
    <row r="1539" spans="2:18" x14ac:dyDescent="0.35">
      <c r="B1539" s="113">
        <v>46114</v>
      </c>
      <c r="C1539" s="4" t="s">
        <v>1034</v>
      </c>
      <c r="D1539" s="4" t="s">
        <v>4568</v>
      </c>
      <c r="E1539" s="1" t="str">
        <f>_xlfn.XLOOKUP(tblSales[[#This Row],[Customer ID]],tblCustomers[Customer ID],tblCustomers[Customer Name],"⚠ Unknown")</f>
        <v>Walk-in Customer</v>
      </c>
      <c r="F1539" s="4" t="s">
        <v>6</v>
      </c>
      <c r="G1539" s="1" t="str">
        <f>_xlfn.XLOOKUP(tblSales[[#This Row],[Product Code]],tblProducts[Code],tblProducts[Product / Service Name],"⚠ Unknown")</f>
        <v>Socks &amp; Accessories</v>
      </c>
      <c r="H1539" s="1" t="str">
        <f>_xlfn.XLOOKUP(tblSales[[#This Row],[Product Code]],tblProducts[Code],tblProducts[Category],"")</f>
        <v>Accessories &amp; Basics</v>
      </c>
      <c r="I1539" s="4">
        <v>4</v>
      </c>
      <c r="J1539" s="5">
        <f>_xlfn.XLOOKUP(tblSales[[#This Row],[Product Code]],tblProducts[Code],tblProducts[Selling Price (excl. VAT)],0)</f>
        <v>45000</v>
      </c>
      <c r="K1539" s="5">
        <f>tblSales[[#This Row],[Qty]]*tblSales[[#This Row],[Unit Price]]</f>
        <v>180000</v>
      </c>
      <c r="L1539" s="5">
        <f>ROUND(tblSales[[#This Row],[DPP (excl. VAT)]]*VATEff,0)</f>
        <v>19800</v>
      </c>
      <c r="M1539" s="5">
        <f>tblSales[[#This Row],[DPP (excl. VAT)]]+tblSales[[#This Row],[Output VAT]]</f>
        <v>199800</v>
      </c>
      <c r="N1539" s="5">
        <f>tblSales[[#This Row],[Qty]]*_xlfn.XLOOKUP(tblSales[[#This Row],[Product Code]],tblProducts[Code],tblProducts[Unit Cost],0)</f>
        <v>96000</v>
      </c>
      <c r="O1539" s="4" t="s">
        <v>4866</v>
      </c>
      <c r="P1539" s="4" t="s">
        <v>4861</v>
      </c>
      <c r="Q1539" s="1" t="str">
        <f>_xlfn.XLOOKUP(tblSales[[#This Row],[Channel Code]],tblChannels[Channel Code],tblChannels[Channel Name],"")</f>
        <v>Marketplace</v>
      </c>
      <c r="R1539" s="1">
        <f>MONTH(tblSales[[#This Row],[Date]])</f>
        <v>4</v>
      </c>
    </row>
    <row r="1540" spans="2:18" x14ac:dyDescent="0.35">
      <c r="B1540" s="113">
        <v>46114</v>
      </c>
      <c r="C1540" s="4" t="s">
        <v>1034</v>
      </c>
      <c r="D1540" s="4" t="s">
        <v>4568</v>
      </c>
      <c r="E1540" s="1" t="str">
        <f>_xlfn.XLOOKUP(tblSales[[#This Row],[Customer ID]],tblCustomers[Customer ID],tblCustomers[Customer Name],"⚠ Unknown")</f>
        <v>Walk-in Customer</v>
      </c>
      <c r="F1540" s="4" t="s">
        <v>12</v>
      </c>
      <c r="G1540" s="1" t="str">
        <f>_xlfn.XLOOKUP(tblSales[[#This Row],[Product Code]],tblProducts[Code],tblProducts[Product / Service Name],"⚠ Unknown")</f>
        <v>Bomber Jacket</v>
      </c>
      <c r="H1540" s="1" t="str">
        <f>_xlfn.XLOOKUP(tblSales[[#This Row],[Product Code]],tblProducts[Code],tblProducts[Category],"")</f>
        <v>Apparel &amp; Footwear</v>
      </c>
      <c r="I1540" s="4">
        <v>5</v>
      </c>
      <c r="J1540" s="5">
        <f>_xlfn.XLOOKUP(tblSales[[#This Row],[Product Code]],tblProducts[Code],tblProducts[Selling Price (excl. VAT)],0)</f>
        <v>350000</v>
      </c>
      <c r="K1540" s="5">
        <f>tblSales[[#This Row],[Qty]]*tblSales[[#This Row],[Unit Price]]</f>
        <v>1750000</v>
      </c>
      <c r="L1540" s="5">
        <f>ROUND(tblSales[[#This Row],[DPP (excl. VAT)]]*VATEff,0)</f>
        <v>192500</v>
      </c>
      <c r="M1540" s="5">
        <f>tblSales[[#This Row],[DPP (excl. VAT)]]+tblSales[[#This Row],[Output VAT]]</f>
        <v>1942500</v>
      </c>
      <c r="N1540" s="5">
        <f>tblSales[[#This Row],[Qty]]*_xlfn.XLOOKUP(tblSales[[#This Row],[Product Code]],tblProducts[Code],tblProducts[Unit Cost],0)</f>
        <v>1050000</v>
      </c>
      <c r="O1540" s="4" t="s">
        <v>4866</v>
      </c>
      <c r="P1540" s="4" t="s">
        <v>4861</v>
      </c>
      <c r="Q1540" s="1" t="str">
        <f>_xlfn.XLOOKUP(tblSales[[#This Row],[Channel Code]],tblChannels[Channel Code],tblChannels[Channel Name],"")</f>
        <v>Marketplace</v>
      </c>
      <c r="R1540" s="1">
        <f>MONTH(tblSales[[#This Row],[Date]])</f>
        <v>4</v>
      </c>
    </row>
    <row r="1541" spans="2:18" x14ac:dyDescent="0.35">
      <c r="B1541" s="113">
        <v>46114</v>
      </c>
      <c r="C1541" s="4" t="s">
        <v>1035</v>
      </c>
      <c r="D1541" s="4" t="s">
        <v>4568</v>
      </c>
      <c r="E1541" s="1" t="str">
        <f>_xlfn.XLOOKUP(tblSales[[#This Row],[Customer ID]],tblCustomers[Customer ID],tblCustomers[Customer Name],"⚠ Unknown")</f>
        <v>Walk-in Customer</v>
      </c>
      <c r="F1541" s="4" t="s">
        <v>8</v>
      </c>
      <c r="G1541" s="1" t="str">
        <f>_xlfn.XLOOKUP(tblSales[[#This Row],[Product Code]],tblProducts[Code],tblProducts[Product / Service Name],"⚠ Unknown")</f>
        <v>Casual Shorts</v>
      </c>
      <c r="H1541" s="1" t="str">
        <f>_xlfn.XLOOKUP(tblSales[[#This Row],[Product Code]],tblProducts[Code],tblProducts[Category],"")</f>
        <v>Accessories &amp; Basics</v>
      </c>
      <c r="I1541" s="4">
        <v>6</v>
      </c>
      <c r="J1541" s="5">
        <f>_xlfn.XLOOKUP(tblSales[[#This Row],[Product Code]],tblProducts[Code],tblProducts[Selling Price (excl. VAT)],0)</f>
        <v>85000</v>
      </c>
      <c r="K1541" s="5">
        <f>tblSales[[#This Row],[Qty]]*tblSales[[#This Row],[Unit Price]]</f>
        <v>510000</v>
      </c>
      <c r="L1541" s="5">
        <f>ROUND(tblSales[[#This Row],[DPP (excl. VAT)]]*VATEff,0)</f>
        <v>56100</v>
      </c>
      <c r="M1541" s="5">
        <f>tblSales[[#This Row],[DPP (excl. VAT)]]+tblSales[[#This Row],[Output VAT]]</f>
        <v>566100</v>
      </c>
      <c r="N1541" s="5">
        <f>tblSales[[#This Row],[Qty]]*_xlfn.XLOOKUP(tblSales[[#This Row],[Product Code]],tblProducts[Code],tblProducts[Unit Cost],0)</f>
        <v>300000</v>
      </c>
      <c r="O1541" s="4" t="s">
        <v>4865</v>
      </c>
      <c r="P1541" s="4" t="s">
        <v>4860</v>
      </c>
      <c r="Q1541" s="1" t="str">
        <f>_xlfn.XLOOKUP(tblSales[[#This Row],[Channel Code]],tblChannels[Channel Code],tblChannels[Channel Name],"")</f>
        <v>In-store</v>
      </c>
      <c r="R1541" s="1">
        <f>MONTH(tblSales[[#This Row],[Date]])</f>
        <v>4</v>
      </c>
    </row>
    <row r="1542" spans="2:18" x14ac:dyDescent="0.35">
      <c r="B1542" s="113">
        <v>46114</v>
      </c>
      <c r="C1542" s="4" t="s">
        <v>1036</v>
      </c>
      <c r="D1542" s="4" t="s">
        <v>4568</v>
      </c>
      <c r="E1542" s="1" t="str">
        <f>_xlfn.XLOOKUP(tblSales[[#This Row],[Customer ID]],tblCustomers[Customer ID],tblCustomers[Customer Name],"⚠ Unknown")</f>
        <v>Walk-in Customer</v>
      </c>
      <c r="F1542" s="4" t="s">
        <v>7</v>
      </c>
      <c r="G1542" s="1" t="str">
        <f>_xlfn.XLOOKUP(tblSales[[#This Row],[Product Code]],tblProducts[Code],tblProducts[Product / Service Name],"⚠ Unknown")</f>
        <v>Premium Basic T-shirt</v>
      </c>
      <c r="H1542" s="1" t="str">
        <f>_xlfn.XLOOKUP(tblSales[[#This Row],[Product Code]],tblProducts[Code],tblProducts[Category],"")</f>
        <v>Accessories &amp; Basics</v>
      </c>
      <c r="I1542" s="4">
        <v>10</v>
      </c>
      <c r="J1542" s="5">
        <f>_xlfn.XLOOKUP(tblSales[[#This Row],[Product Code]],tblProducts[Code],tblProducts[Selling Price (excl. VAT)],0)</f>
        <v>65000</v>
      </c>
      <c r="K1542" s="5">
        <f>tblSales[[#This Row],[Qty]]*tblSales[[#This Row],[Unit Price]]</f>
        <v>650000</v>
      </c>
      <c r="L1542" s="5">
        <f>ROUND(tblSales[[#This Row],[DPP (excl. VAT)]]*VATEff,0)</f>
        <v>71500</v>
      </c>
      <c r="M1542" s="5">
        <f>tblSales[[#This Row],[DPP (excl. VAT)]]+tblSales[[#This Row],[Output VAT]]</f>
        <v>721500</v>
      </c>
      <c r="N1542" s="5">
        <f>tblSales[[#This Row],[Qty]]*_xlfn.XLOOKUP(tblSales[[#This Row],[Product Code]],tblProducts[Code],tblProducts[Unit Cost],0)</f>
        <v>370000</v>
      </c>
      <c r="O1542" s="4" t="s">
        <v>4866</v>
      </c>
      <c r="P1542" s="4" t="s">
        <v>4860</v>
      </c>
      <c r="Q1542" s="1" t="str">
        <f>_xlfn.XLOOKUP(tblSales[[#This Row],[Channel Code]],tblChannels[Channel Code],tblChannels[Channel Name],"")</f>
        <v>In-store</v>
      </c>
      <c r="R1542" s="1">
        <f>MONTH(tblSales[[#This Row],[Date]])</f>
        <v>4</v>
      </c>
    </row>
    <row r="1543" spans="2:18" x14ac:dyDescent="0.35">
      <c r="B1543" s="113">
        <v>46114</v>
      </c>
      <c r="C1543" s="4" t="s">
        <v>1037</v>
      </c>
      <c r="D1543" s="4" t="s">
        <v>4627</v>
      </c>
      <c r="E1543" s="1" t="str">
        <f>_xlfn.XLOOKUP(tblSales[[#This Row],[Customer ID]],tblCustomers[Customer ID],tblCustomers[Customer Name],"⚠ Unknown")</f>
        <v>PT Kencana Wira Usaha</v>
      </c>
      <c r="F1543" s="4" t="s">
        <v>13</v>
      </c>
      <c r="G1543" s="1" t="str">
        <f>_xlfn.XLOOKUP(tblSales[[#This Row],[Product Code]],tblProducts[Code],tblProducts[Product / Service Name],"⚠ Unknown")</f>
        <v>Backpack</v>
      </c>
      <c r="H1543" s="1" t="str">
        <f>_xlfn.XLOOKUP(tblSales[[#This Row],[Product Code]],tblProducts[Code],tblProducts[Category],"")</f>
        <v>Bags &amp; Gadgets</v>
      </c>
      <c r="I1543" s="4">
        <v>40</v>
      </c>
      <c r="J1543" s="5">
        <f>_xlfn.XLOOKUP(tblSales[[#This Row],[Product Code]],tblProducts[Code],tblProducts[Selling Price (excl. VAT)],0)</f>
        <v>500000</v>
      </c>
      <c r="K1543" s="5">
        <f>tblSales[[#This Row],[Qty]]*tblSales[[#This Row],[Unit Price]]</f>
        <v>20000000</v>
      </c>
      <c r="L1543" s="5">
        <f>ROUND(tblSales[[#This Row],[DPP (excl. VAT)]]*VATEff,0)</f>
        <v>2200000</v>
      </c>
      <c r="M1543" s="5">
        <f>tblSales[[#This Row],[DPP (excl. VAT)]]+tblSales[[#This Row],[Output VAT]]</f>
        <v>22200000</v>
      </c>
      <c r="N1543" s="5">
        <f>tblSales[[#This Row],[Qty]]*_xlfn.XLOOKUP(tblSales[[#This Row],[Product Code]],tblProducts[Code],tblProducts[Unit Cost],0)</f>
        <v>11600000</v>
      </c>
      <c r="O1543" s="4" t="s">
        <v>4867</v>
      </c>
      <c r="P1543" s="4" t="s">
        <v>4860</v>
      </c>
      <c r="Q1543" s="1" t="str">
        <f>_xlfn.XLOOKUP(tblSales[[#This Row],[Channel Code]],tblChannels[Channel Code],tblChannels[Channel Name],"")</f>
        <v>In-store</v>
      </c>
      <c r="R1543" s="1">
        <f>MONTH(tblSales[[#This Row],[Date]])</f>
        <v>4</v>
      </c>
    </row>
    <row r="1544" spans="2:18" x14ac:dyDescent="0.35">
      <c r="B1544" s="113">
        <v>46114</v>
      </c>
      <c r="C1544" s="4" t="s">
        <v>1038</v>
      </c>
      <c r="D1544" s="4" t="s">
        <v>4568</v>
      </c>
      <c r="E1544" s="1" t="str">
        <f>_xlfn.XLOOKUP(tblSales[[#This Row],[Customer ID]],tblCustomers[Customer ID],tblCustomers[Customer Name],"⚠ Unknown")</f>
        <v>Walk-in Customer</v>
      </c>
      <c r="F1544" s="4" t="s">
        <v>10</v>
      </c>
      <c r="G1544" s="1" t="str">
        <f>_xlfn.XLOOKUP(tblSales[[#This Row],[Product Code]],tblProducts[Code],tblProducts[Product / Service Name],"⚠ Unknown")</f>
        <v>Chino Pants</v>
      </c>
      <c r="H1544" s="1" t="str">
        <f>_xlfn.XLOOKUP(tblSales[[#This Row],[Product Code]],tblProducts[Code],tblProducts[Category],"")</f>
        <v>Apparel &amp; Footwear</v>
      </c>
      <c r="I1544" s="4">
        <v>7</v>
      </c>
      <c r="J1544" s="5">
        <f>_xlfn.XLOOKUP(tblSales[[#This Row],[Product Code]],tblProducts[Code],tblProducts[Selling Price (excl. VAT)],0)</f>
        <v>150000</v>
      </c>
      <c r="K1544" s="5">
        <f>tblSales[[#This Row],[Qty]]*tblSales[[#This Row],[Unit Price]]</f>
        <v>1050000</v>
      </c>
      <c r="L1544" s="5">
        <f>ROUND(tblSales[[#This Row],[DPP (excl. VAT)]]*VATEff,0)</f>
        <v>115500</v>
      </c>
      <c r="M1544" s="5">
        <f>tblSales[[#This Row],[DPP (excl. VAT)]]+tblSales[[#This Row],[Output VAT]]</f>
        <v>1165500</v>
      </c>
      <c r="N1544" s="5">
        <f>tblSales[[#This Row],[Qty]]*_xlfn.XLOOKUP(tblSales[[#This Row],[Product Code]],tblProducts[Code],tblProducts[Unit Cost],0)</f>
        <v>616000</v>
      </c>
      <c r="O1544" s="4" t="s">
        <v>4865</v>
      </c>
      <c r="P1544" s="4" t="s">
        <v>4860</v>
      </c>
      <c r="Q1544" s="1" t="str">
        <f>_xlfn.XLOOKUP(tblSales[[#This Row],[Channel Code]],tblChannels[Channel Code],tblChannels[Channel Name],"")</f>
        <v>In-store</v>
      </c>
      <c r="R1544" s="1">
        <f>MONTH(tblSales[[#This Row],[Date]])</f>
        <v>4</v>
      </c>
    </row>
    <row r="1545" spans="2:18" x14ac:dyDescent="0.35">
      <c r="B1545" s="113">
        <v>46114</v>
      </c>
      <c r="C1545" s="4" t="s">
        <v>1039</v>
      </c>
      <c r="D1545" s="4" t="s">
        <v>4568</v>
      </c>
      <c r="E1545" s="1" t="str">
        <f>_xlfn.XLOOKUP(tblSales[[#This Row],[Customer ID]],tblCustomers[Customer ID],tblCustomers[Customer Name],"⚠ Unknown")</f>
        <v>Walk-in Customer</v>
      </c>
      <c r="F1545" s="4" t="s">
        <v>6</v>
      </c>
      <c r="G1545" s="1" t="str">
        <f>_xlfn.XLOOKUP(tblSales[[#This Row],[Product Code]],tblProducts[Code],tblProducts[Product / Service Name],"⚠ Unknown")</f>
        <v>Socks &amp; Accessories</v>
      </c>
      <c r="H1545" s="1" t="str">
        <f>_xlfn.XLOOKUP(tblSales[[#This Row],[Product Code]],tblProducts[Code],tblProducts[Category],"")</f>
        <v>Accessories &amp; Basics</v>
      </c>
      <c r="I1545" s="4">
        <v>5</v>
      </c>
      <c r="J1545" s="5">
        <f>_xlfn.XLOOKUP(tblSales[[#This Row],[Product Code]],tblProducts[Code],tblProducts[Selling Price (excl. VAT)],0)</f>
        <v>45000</v>
      </c>
      <c r="K1545" s="5">
        <f>tblSales[[#This Row],[Qty]]*tblSales[[#This Row],[Unit Price]]</f>
        <v>225000</v>
      </c>
      <c r="L1545" s="5">
        <f>ROUND(tblSales[[#This Row],[DPP (excl. VAT)]]*VATEff,0)</f>
        <v>24750</v>
      </c>
      <c r="M1545" s="5">
        <f>tblSales[[#This Row],[DPP (excl. VAT)]]+tblSales[[#This Row],[Output VAT]]</f>
        <v>249750</v>
      </c>
      <c r="N1545" s="5">
        <f>tblSales[[#This Row],[Qty]]*_xlfn.XLOOKUP(tblSales[[#This Row],[Product Code]],tblProducts[Code],tblProducts[Unit Cost],0)</f>
        <v>120000</v>
      </c>
      <c r="O1545" s="4" t="s">
        <v>4866</v>
      </c>
      <c r="P1545" s="4" t="s">
        <v>4862</v>
      </c>
      <c r="Q1545" s="1" t="str">
        <f>_xlfn.XLOOKUP(tblSales[[#This Row],[Channel Code]],tblChannels[Channel Code],tblChannels[Channel Name],"")</f>
        <v>Website &amp; Social Media</v>
      </c>
      <c r="R1545" s="1">
        <f>MONTH(tblSales[[#This Row],[Date]])</f>
        <v>4</v>
      </c>
    </row>
    <row r="1546" spans="2:18" x14ac:dyDescent="0.35">
      <c r="B1546" s="113">
        <v>46114</v>
      </c>
      <c r="C1546" s="4" t="s">
        <v>1040</v>
      </c>
      <c r="D1546" s="4" t="s">
        <v>4568</v>
      </c>
      <c r="E1546" s="1" t="str">
        <f>_xlfn.XLOOKUP(tblSales[[#This Row],[Customer ID]],tblCustomers[Customer ID],tblCustomers[Customer Name],"⚠ Unknown")</f>
        <v>Walk-in Customer</v>
      </c>
      <c r="F1546" s="4" t="s">
        <v>10</v>
      </c>
      <c r="G1546" s="1" t="str">
        <f>_xlfn.XLOOKUP(tblSales[[#This Row],[Product Code]],tblProducts[Code],tblProducts[Product / Service Name],"⚠ Unknown")</f>
        <v>Chino Pants</v>
      </c>
      <c r="H1546" s="1" t="str">
        <f>_xlfn.XLOOKUP(tblSales[[#This Row],[Product Code]],tblProducts[Code],tblProducts[Category],"")</f>
        <v>Apparel &amp; Footwear</v>
      </c>
      <c r="I1546" s="4">
        <v>2</v>
      </c>
      <c r="J1546" s="5">
        <f>_xlfn.XLOOKUP(tblSales[[#This Row],[Product Code]],tblProducts[Code],tblProducts[Selling Price (excl. VAT)],0)</f>
        <v>150000</v>
      </c>
      <c r="K1546" s="5">
        <f>tblSales[[#This Row],[Qty]]*tblSales[[#This Row],[Unit Price]]</f>
        <v>300000</v>
      </c>
      <c r="L1546" s="5">
        <f>ROUND(tblSales[[#This Row],[DPP (excl. VAT)]]*VATEff,0)</f>
        <v>33000</v>
      </c>
      <c r="M1546" s="5">
        <f>tblSales[[#This Row],[DPP (excl. VAT)]]+tblSales[[#This Row],[Output VAT]]</f>
        <v>333000</v>
      </c>
      <c r="N1546" s="5">
        <f>tblSales[[#This Row],[Qty]]*_xlfn.XLOOKUP(tblSales[[#This Row],[Product Code]],tblProducts[Code],tblProducts[Unit Cost],0)</f>
        <v>176000</v>
      </c>
      <c r="O1546" s="4" t="s">
        <v>4866</v>
      </c>
      <c r="P1546" s="4" t="s">
        <v>4861</v>
      </c>
      <c r="Q1546" s="1" t="str">
        <f>_xlfn.XLOOKUP(tblSales[[#This Row],[Channel Code]],tblChannels[Channel Code],tblChannels[Channel Name],"")</f>
        <v>Marketplace</v>
      </c>
      <c r="R1546" s="1">
        <f>MONTH(tblSales[[#This Row],[Date]])</f>
        <v>4</v>
      </c>
    </row>
    <row r="1547" spans="2:18" x14ac:dyDescent="0.35">
      <c r="B1547" s="113">
        <v>46114</v>
      </c>
      <c r="C1547" s="4" t="s">
        <v>1041</v>
      </c>
      <c r="D1547" s="4" t="s">
        <v>4568</v>
      </c>
      <c r="E1547" s="1" t="str">
        <f>_xlfn.XLOOKUP(tblSales[[#This Row],[Customer ID]],tblCustomers[Customer ID],tblCustomers[Customer Name],"⚠ Unknown")</f>
        <v>Walk-in Customer</v>
      </c>
      <c r="F1547" s="4" t="s">
        <v>12</v>
      </c>
      <c r="G1547" s="1" t="str">
        <f>_xlfn.XLOOKUP(tblSales[[#This Row],[Product Code]],tblProducts[Code],tblProducts[Product / Service Name],"⚠ Unknown")</f>
        <v>Bomber Jacket</v>
      </c>
      <c r="H1547" s="1" t="str">
        <f>_xlfn.XLOOKUP(tblSales[[#This Row],[Product Code]],tblProducts[Code],tblProducts[Category],"")</f>
        <v>Apparel &amp; Footwear</v>
      </c>
      <c r="I1547" s="4">
        <v>6</v>
      </c>
      <c r="J1547" s="5">
        <f>_xlfn.XLOOKUP(tblSales[[#This Row],[Product Code]],tblProducts[Code],tblProducts[Selling Price (excl. VAT)],0)</f>
        <v>350000</v>
      </c>
      <c r="K1547" s="5">
        <f>tblSales[[#This Row],[Qty]]*tblSales[[#This Row],[Unit Price]]</f>
        <v>2100000</v>
      </c>
      <c r="L1547" s="5">
        <f>ROUND(tblSales[[#This Row],[DPP (excl. VAT)]]*VATEff,0)</f>
        <v>231000</v>
      </c>
      <c r="M1547" s="5">
        <f>tblSales[[#This Row],[DPP (excl. VAT)]]+tblSales[[#This Row],[Output VAT]]</f>
        <v>2331000</v>
      </c>
      <c r="N1547" s="5">
        <f>tblSales[[#This Row],[Qty]]*_xlfn.XLOOKUP(tblSales[[#This Row],[Product Code]],tblProducts[Code],tblProducts[Unit Cost],0)</f>
        <v>1260000</v>
      </c>
      <c r="O1547" s="4" t="s">
        <v>4865</v>
      </c>
      <c r="P1547" s="4" t="s">
        <v>4860</v>
      </c>
      <c r="Q1547" s="1" t="str">
        <f>_xlfn.XLOOKUP(tblSales[[#This Row],[Channel Code]],tblChannels[Channel Code],tblChannels[Channel Name],"")</f>
        <v>In-store</v>
      </c>
      <c r="R1547" s="1">
        <f>MONTH(tblSales[[#This Row],[Date]])</f>
        <v>4</v>
      </c>
    </row>
    <row r="1548" spans="2:18" x14ac:dyDescent="0.35">
      <c r="B1548" s="113">
        <v>46114</v>
      </c>
      <c r="C1548" s="4" t="s">
        <v>1042</v>
      </c>
      <c r="D1548" s="4" t="s">
        <v>4568</v>
      </c>
      <c r="E1548" s="1" t="str">
        <f>_xlfn.XLOOKUP(tblSales[[#This Row],[Customer ID]],tblCustomers[Customer ID],tblCustomers[Customer Name],"⚠ Unknown")</f>
        <v>Walk-in Customer</v>
      </c>
      <c r="F1548" s="4" t="s">
        <v>8</v>
      </c>
      <c r="G1548" s="1" t="str">
        <f>_xlfn.XLOOKUP(tblSales[[#This Row],[Product Code]],tblProducts[Code],tblProducts[Product / Service Name],"⚠ Unknown")</f>
        <v>Casual Shorts</v>
      </c>
      <c r="H1548" s="1" t="str">
        <f>_xlfn.XLOOKUP(tblSales[[#This Row],[Product Code]],tblProducts[Code],tblProducts[Category],"")</f>
        <v>Accessories &amp; Basics</v>
      </c>
      <c r="I1548" s="4">
        <v>5</v>
      </c>
      <c r="J1548" s="5">
        <f>_xlfn.XLOOKUP(tblSales[[#This Row],[Product Code]],tblProducts[Code],tblProducts[Selling Price (excl. VAT)],0)</f>
        <v>85000</v>
      </c>
      <c r="K1548" s="5">
        <f>tblSales[[#This Row],[Qty]]*tblSales[[#This Row],[Unit Price]]</f>
        <v>425000</v>
      </c>
      <c r="L1548" s="5">
        <f>ROUND(tblSales[[#This Row],[DPP (excl. VAT)]]*VATEff,0)</f>
        <v>46750</v>
      </c>
      <c r="M1548" s="5">
        <f>tblSales[[#This Row],[DPP (excl. VAT)]]+tblSales[[#This Row],[Output VAT]]</f>
        <v>471750</v>
      </c>
      <c r="N1548" s="5">
        <f>tblSales[[#This Row],[Qty]]*_xlfn.XLOOKUP(tblSales[[#This Row],[Product Code]],tblProducts[Code],tblProducts[Unit Cost],0)</f>
        <v>250000</v>
      </c>
      <c r="O1548" s="4" t="s">
        <v>4866</v>
      </c>
      <c r="P1548" s="4" t="s">
        <v>4862</v>
      </c>
      <c r="Q1548" s="1" t="str">
        <f>_xlfn.XLOOKUP(tblSales[[#This Row],[Channel Code]],tblChannels[Channel Code],tblChannels[Channel Name],"")</f>
        <v>Website &amp; Social Media</v>
      </c>
      <c r="R1548" s="1">
        <f>MONTH(tblSales[[#This Row],[Date]])</f>
        <v>4</v>
      </c>
    </row>
    <row r="1549" spans="2:18" x14ac:dyDescent="0.35">
      <c r="B1549" s="113">
        <v>46114</v>
      </c>
      <c r="C1549" s="4" t="s">
        <v>1043</v>
      </c>
      <c r="D1549" s="4" t="s">
        <v>4578</v>
      </c>
      <c r="E1549" s="1" t="str">
        <f>_xlfn.XLOOKUP(tblSales[[#This Row],[Customer ID]],tblCustomers[Customer ID],tblCustomers[Customer Name],"⚠ Unknown")</f>
        <v>PT Bintang Timur Sejahtera</v>
      </c>
      <c r="F1549" s="4" t="s">
        <v>15</v>
      </c>
      <c r="G1549" s="1" t="str">
        <f>_xlfn.XLOOKUP(tblSales[[#This Row],[Product Code]],tblProducts[Code],tblProducts[Product / Service Name],"⚠ Unknown")</f>
        <v>Wireless Earbuds Pro</v>
      </c>
      <c r="H1549" s="1" t="str">
        <f>_xlfn.XLOOKUP(tblSales[[#This Row],[Product Code]],tblProducts[Code],tblProducts[Category],"")</f>
        <v>Bags &amp; Gadgets</v>
      </c>
      <c r="I1549" s="4">
        <v>16</v>
      </c>
      <c r="J1549" s="5">
        <f>_xlfn.XLOOKUP(tblSales[[#This Row],[Product Code]],tblProducts[Code],tblProducts[Selling Price (excl. VAT)],0)</f>
        <v>1250000</v>
      </c>
      <c r="K1549" s="5">
        <f>tblSales[[#This Row],[Qty]]*tblSales[[#This Row],[Unit Price]]</f>
        <v>20000000</v>
      </c>
      <c r="L1549" s="5">
        <f>ROUND(tblSales[[#This Row],[DPP (excl. VAT)]]*VATEff,0)</f>
        <v>2200000</v>
      </c>
      <c r="M1549" s="5">
        <f>tblSales[[#This Row],[DPP (excl. VAT)]]+tblSales[[#This Row],[Output VAT]]</f>
        <v>22200000</v>
      </c>
      <c r="N1549" s="5">
        <f>tblSales[[#This Row],[Qty]]*_xlfn.XLOOKUP(tblSales[[#This Row],[Product Code]],tblProducts[Code],tblProducts[Unit Cost],0)</f>
        <v>13120000</v>
      </c>
      <c r="O1549" s="4" t="s">
        <v>4867</v>
      </c>
      <c r="P1549" s="4" t="s">
        <v>4860</v>
      </c>
      <c r="Q1549" s="1" t="str">
        <f>_xlfn.XLOOKUP(tblSales[[#This Row],[Channel Code]],tblChannels[Channel Code],tblChannels[Channel Name],"")</f>
        <v>In-store</v>
      </c>
      <c r="R1549" s="1">
        <f>MONTH(tblSales[[#This Row],[Date]])</f>
        <v>4</v>
      </c>
    </row>
    <row r="1550" spans="2:18" x14ac:dyDescent="0.35">
      <c r="B1550" s="113">
        <v>46115</v>
      </c>
      <c r="C1550" s="4" t="s">
        <v>1044</v>
      </c>
      <c r="D1550" s="4" t="s">
        <v>4568</v>
      </c>
      <c r="E1550" s="1" t="str">
        <f>_xlfn.XLOOKUP(tblSales[[#This Row],[Customer ID]],tblCustomers[Customer ID],tblCustomers[Customer Name],"⚠ Unknown")</f>
        <v>Walk-in Customer</v>
      </c>
      <c r="F1550" s="4" t="s">
        <v>8</v>
      </c>
      <c r="G1550" s="1" t="str">
        <f>_xlfn.XLOOKUP(tblSales[[#This Row],[Product Code]],tblProducts[Code],tblProducts[Product / Service Name],"⚠ Unknown")</f>
        <v>Casual Shorts</v>
      </c>
      <c r="H1550" s="1" t="str">
        <f>_xlfn.XLOOKUP(tblSales[[#This Row],[Product Code]],tblProducts[Code],tblProducts[Category],"")</f>
        <v>Accessories &amp; Basics</v>
      </c>
      <c r="I1550" s="4">
        <v>12</v>
      </c>
      <c r="J1550" s="5">
        <f>_xlfn.XLOOKUP(tblSales[[#This Row],[Product Code]],tblProducts[Code],tblProducts[Selling Price (excl. VAT)],0)</f>
        <v>85000</v>
      </c>
      <c r="K1550" s="5">
        <f>tblSales[[#This Row],[Qty]]*tblSales[[#This Row],[Unit Price]]</f>
        <v>1020000</v>
      </c>
      <c r="L1550" s="5">
        <f>ROUND(tblSales[[#This Row],[DPP (excl. VAT)]]*VATEff,0)</f>
        <v>112200</v>
      </c>
      <c r="M1550" s="5">
        <f>tblSales[[#This Row],[DPP (excl. VAT)]]+tblSales[[#This Row],[Output VAT]]</f>
        <v>1132200</v>
      </c>
      <c r="N1550" s="5">
        <f>tblSales[[#This Row],[Qty]]*_xlfn.XLOOKUP(tblSales[[#This Row],[Product Code]],tblProducts[Code],tblProducts[Unit Cost],0)</f>
        <v>600000</v>
      </c>
      <c r="O1550" s="4" t="s">
        <v>4866</v>
      </c>
      <c r="P1550" s="4" t="s">
        <v>4860</v>
      </c>
      <c r="Q1550" s="1" t="str">
        <f>_xlfn.XLOOKUP(tblSales[[#This Row],[Channel Code]],tblChannels[Channel Code],tblChannels[Channel Name],"")</f>
        <v>In-store</v>
      </c>
      <c r="R1550" s="1">
        <f>MONTH(tblSales[[#This Row],[Date]])</f>
        <v>4</v>
      </c>
    </row>
    <row r="1551" spans="2:18" x14ac:dyDescent="0.35">
      <c r="B1551" s="113">
        <v>46115</v>
      </c>
      <c r="C1551" s="4" t="s">
        <v>1044</v>
      </c>
      <c r="D1551" s="4" t="s">
        <v>4568</v>
      </c>
      <c r="E1551" s="1" t="str">
        <f>_xlfn.XLOOKUP(tblSales[[#This Row],[Customer ID]],tblCustomers[Customer ID],tblCustomers[Customer Name],"⚠ Unknown")</f>
        <v>Walk-in Customer</v>
      </c>
      <c r="F1551" s="4" t="s">
        <v>7</v>
      </c>
      <c r="G1551" s="1" t="str">
        <f>_xlfn.XLOOKUP(tblSales[[#This Row],[Product Code]],tblProducts[Code],tblProducts[Product / Service Name],"⚠ Unknown")</f>
        <v>Premium Basic T-shirt</v>
      </c>
      <c r="H1551" s="1" t="str">
        <f>_xlfn.XLOOKUP(tblSales[[#This Row],[Product Code]],tblProducts[Code],tblProducts[Category],"")</f>
        <v>Accessories &amp; Basics</v>
      </c>
      <c r="I1551" s="4">
        <v>9</v>
      </c>
      <c r="J1551" s="5">
        <f>_xlfn.XLOOKUP(tblSales[[#This Row],[Product Code]],tblProducts[Code],tblProducts[Selling Price (excl. VAT)],0)</f>
        <v>65000</v>
      </c>
      <c r="K1551" s="5">
        <f>tblSales[[#This Row],[Qty]]*tblSales[[#This Row],[Unit Price]]</f>
        <v>585000</v>
      </c>
      <c r="L1551" s="5">
        <f>ROUND(tblSales[[#This Row],[DPP (excl. VAT)]]*VATEff,0)</f>
        <v>64350</v>
      </c>
      <c r="M1551" s="5">
        <f>tblSales[[#This Row],[DPP (excl. VAT)]]+tblSales[[#This Row],[Output VAT]]</f>
        <v>649350</v>
      </c>
      <c r="N1551" s="5">
        <f>tblSales[[#This Row],[Qty]]*_xlfn.XLOOKUP(tblSales[[#This Row],[Product Code]],tblProducts[Code],tblProducts[Unit Cost],0)</f>
        <v>333000</v>
      </c>
      <c r="O1551" s="4" t="s">
        <v>4866</v>
      </c>
      <c r="P1551" s="4" t="s">
        <v>4860</v>
      </c>
      <c r="Q1551" s="1" t="str">
        <f>_xlfn.XLOOKUP(tblSales[[#This Row],[Channel Code]],tblChannels[Channel Code],tblChannels[Channel Name],"")</f>
        <v>In-store</v>
      </c>
      <c r="R1551" s="1">
        <f>MONTH(tblSales[[#This Row],[Date]])</f>
        <v>4</v>
      </c>
    </row>
    <row r="1552" spans="2:18" x14ac:dyDescent="0.35">
      <c r="B1552" s="113">
        <v>46115</v>
      </c>
      <c r="C1552" s="4" t="s">
        <v>1045</v>
      </c>
      <c r="D1552" s="4" t="s">
        <v>4568</v>
      </c>
      <c r="E1552" s="1" t="str">
        <f>_xlfn.XLOOKUP(tblSales[[#This Row],[Customer ID]],tblCustomers[Customer ID],tblCustomers[Customer Name],"⚠ Unknown")</f>
        <v>Walk-in Customer</v>
      </c>
      <c r="F1552" s="4" t="s">
        <v>9</v>
      </c>
      <c r="G1552" s="1" t="str">
        <f>_xlfn.XLOOKUP(tblSales[[#This Row],[Product Code]],tblProducts[Code],tblProducts[Product / Service Name],"⚠ Unknown")</f>
        <v>Casual Shirt</v>
      </c>
      <c r="H1552" s="1" t="str">
        <f>_xlfn.XLOOKUP(tblSales[[#This Row],[Product Code]],tblProducts[Code],tblProducts[Category],"")</f>
        <v>Apparel &amp; Footwear</v>
      </c>
      <c r="I1552" s="4">
        <v>1</v>
      </c>
      <c r="J1552" s="5">
        <f>_xlfn.XLOOKUP(tblSales[[#This Row],[Product Code]],tblProducts[Code],tblProducts[Selling Price (excl. VAT)],0)</f>
        <v>120000</v>
      </c>
      <c r="K1552" s="5">
        <f>tblSales[[#This Row],[Qty]]*tblSales[[#This Row],[Unit Price]]</f>
        <v>120000</v>
      </c>
      <c r="L1552" s="5">
        <f>ROUND(tblSales[[#This Row],[DPP (excl. VAT)]]*VATEff,0)</f>
        <v>13200</v>
      </c>
      <c r="M1552" s="5">
        <f>tblSales[[#This Row],[DPP (excl. VAT)]]+tblSales[[#This Row],[Output VAT]]</f>
        <v>133200</v>
      </c>
      <c r="N1552" s="5">
        <f>tblSales[[#This Row],[Qty]]*_xlfn.XLOOKUP(tblSales[[#This Row],[Product Code]],tblProducts[Code],tblProducts[Unit Cost],0)</f>
        <v>72000</v>
      </c>
      <c r="O1552" s="4" t="s">
        <v>4866</v>
      </c>
      <c r="P1552" s="4" t="s">
        <v>4862</v>
      </c>
      <c r="Q1552" s="1" t="str">
        <f>_xlfn.XLOOKUP(tblSales[[#This Row],[Channel Code]],tblChannels[Channel Code],tblChannels[Channel Name],"")</f>
        <v>Website &amp; Social Media</v>
      </c>
      <c r="R1552" s="1">
        <f>MONTH(tblSales[[#This Row],[Date]])</f>
        <v>4</v>
      </c>
    </row>
    <row r="1553" spans="2:18" x14ac:dyDescent="0.35">
      <c r="B1553" s="113">
        <v>46115</v>
      </c>
      <c r="C1553" s="4" t="s">
        <v>1045</v>
      </c>
      <c r="D1553" s="4" t="s">
        <v>4568</v>
      </c>
      <c r="E1553" s="1" t="str">
        <f>_xlfn.XLOOKUP(tblSales[[#This Row],[Customer ID]],tblCustomers[Customer ID],tblCustomers[Customer Name],"⚠ Unknown")</f>
        <v>Walk-in Customer</v>
      </c>
      <c r="F1553" s="4" t="s">
        <v>6</v>
      </c>
      <c r="G1553" s="1" t="str">
        <f>_xlfn.XLOOKUP(tblSales[[#This Row],[Product Code]],tblProducts[Code],tblProducts[Product / Service Name],"⚠ Unknown")</f>
        <v>Socks &amp; Accessories</v>
      </c>
      <c r="H1553" s="1" t="str">
        <f>_xlfn.XLOOKUP(tblSales[[#This Row],[Product Code]],tblProducts[Code],tblProducts[Category],"")</f>
        <v>Accessories &amp; Basics</v>
      </c>
      <c r="I1553" s="4">
        <v>3</v>
      </c>
      <c r="J1553" s="5">
        <f>_xlfn.XLOOKUP(tblSales[[#This Row],[Product Code]],tblProducts[Code],tblProducts[Selling Price (excl. VAT)],0)</f>
        <v>45000</v>
      </c>
      <c r="K1553" s="5">
        <f>tblSales[[#This Row],[Qty]]*tblSales[[#This Row],[Unit Price]]</f>
        <v>135000</v>
      </c>
      <c r="L1553" s="5">
        <f>ROUND(tblSales[[#This Row],[DPP (excl. VAT)]]*VATEff,0)</f>
        <v>14850</v>
      </c>
      <c r="M1553" s="5">
        <f>tblSales[[#This Row],[DPP (excl. VAT)]]+tblSales[[#This Row],[Output VAT]]</f>
        <v>149850</v>
      </c>
      <c r="N1553" s="5">
        <f>tblSales[[#This Row],[Qty]]*_xlfn.XLOOKUP(tblSales[[#This Row],[Product Code]],tblProducts[Code],tblProducts[Unit Cost],0)</f>
        <v>72000</v>
      </c>
      <c r="O1553" s="4" t="s">
        <v>4866</v>
      </c>
      <c r="P1553" s="4" t="s">
        <v>4862</v>
      </c>
      <c r="Q1553" s="1" t="str">
        <f>_xlfn.XLOOKUP(tblSales[[#This Row],[Channel Code]],tblChannels[Channel Code],tblChannels[Channel Name],"")</f>
        <v>Website &amp; Social Media</v>
      </c>
      <c r="R1553" s="1">
        <f>MONTH(tblSales[[#This Row],[Date]])</f>
        <v>4</v>
      </c>
    </row>
    <row r="1554" spans="2:18" x14ac:dyDescent="0.35">
      <c r="B1554" s="113">
        <v>46115</v>
      </c>
      <c r="C1554" s="4" t="s">
        <v>1045</v>
      </c>
      <c r="D1554" s="4" t="s">
        <v>4568</v>
      </c>
      <c r="E1554" s="1" t="str">
        <f>_xlfn.XLOOKUP(tblSales[[#This Row],[Customer ID]],tblCustomers[Customer ID],tblCustomers[Customer Name],"⚠ Unknown")</f>
        <v>Walk-in Customer</v>
      </c>
      <c r="F1554" s="4" t="s">
        <v>13</v>
      </c>
      <c r="G1554" s="1" t="str">
        <f>_xlfn.XLOOKUP(tblSales[[#This Row],[Product Code]],tblProducts[Code],tblProducts[Product / Service Name],"⚠ Unknown")</f>
        <v>Backpack</v>
      </c>
      <c r="H1554" s="1" t="str">
        <f>_xlfn.XLOOKUP(tblSales[[#This Row],[Product Code]],tblProducts[Code],tblProducts[Category],"")</f>
        <v>Bags &amp; Gadgets</v>
      </c>
      <c r="I1554" s="4">
        <v>2</v>
      </c>
      <c r="J1554" s="5">
        <f>_xlfn.XLOOKUP(tblSales[[#This Row],[Product Code]],tblProducts[Code],tblProducts[Selling Price (excl. VAT)],0)</f>
        <v>500000</v>
      </c>
      <c r="K1554" s="5">
        <f>tblSales[[#This Row],[Qty]]*tblSales[[#This Row],[Unit Price]]</f>
        <v>1000000</v>
      </c>
      <c r="L1554" s="5">
        <f>ROUND(tblSales[[#This Row],[DPP (excl. VAT)]]*VATEff,0)</f>
        <v>110000</v>
      </c>
      <c r="M1554" s="5">
        <f>tblSales[[#This Row],[DPP (excl. VAT)]]+tblSales[[#This Row],[Output VAT]]</f>
        <v>1110000</v>
      </c>
      <c r="N1554" s="5">
        <f>tblSales[[#This Row],[Qty]]*_xlfn.XLOOKUP(tblSales[[#This Row],[Product Code]],tblProducts[Code],tblProducts[Unit Cost],0)</f>
        <v>580000</v>
      </c>
      <c r="O1554" s="4" t="s">
        <v>4866</v>
      </c>
      <c r="P1554" s="4" t="s">
        <v>4862</v>
      </c>
      <c r="Q1554" s="1" t="str">
        <f>_xlfn.XLOOKUP(tblSales[[#This Row],[Channel Code]],tblChannels[Channel Code],tblChannels[Channel Name],"")</f>
        <v>Website &amp; Social Media</v>
      </c>
      <c r="R1554" s="1">
        <f>MONTH(tblSales[[#This Row],[Date]])</f>
        <v>4</v>
      </c>
    </row>
    <row r="1555" spans="2:18" x14ac:dyDescent="0.35">
      <c r="B1555" s="113">
        <v>46115</v>
      </c>
      <c r="C1555" s="4" t="s">
        <v>1046</v>
      </c>
      <c r="D1555" s="4" t="s">
        <v>4568</v>
      </c>
      <c r="E1555" s="1" t="str">
        <f>_xlfn.XLOOKUP(tblSales[[#This Row],[Customer ID]],tblCustomers[Customer ID],tblCustomers[Customer Name],"⚠ Unknown")</f>
        <v>Walk-in Customer</v>
      </c>
      <c r="F1555" s="4" t="s">
        <v>11</v>
      </c>
      <c r="G1555" s="1" t="str">
        <f>_xlfn.XLOOKUP(tblSales[[#This Row],[Product Code]],tblProducts[Code],tblProducts[Product / Service Name],"⚠ Unknown")</f>
        <v>Sneakers</v>
      </c>
      <c r="H1555" s="1" t="str">
        <f>_xlfn.XLOOKUP(tblSales[[#This Row],[Product Code]],tblProducts[Code],tblProducts[Category],"")</f>
        <v>Apparel &amp; Footwear</v>
      </c>
      <c r="I1555" s="4">
        <v>6</v>
      </c>
      <c r="J1555" s="5">
        <f>_xlfn.XLOOKUP(tblSales[[#This Row],[Product Code]],tblProducts[Code],tblProducts[Selling Price (excl. VAT)],0)</f>
        <v>250000</v>
      </c>
      <c r="K1555" s="5">
        <f>tblSales[[#This Row],[Qty]]*tblSales[[#This Row],[Unit Price]]</f>
        <v>1500000</v>
      </c>
      <c r="L1555" s="5">
        <f>ROUND(tblSales[[#This Row],[DPP (excl. VAT)]]*VATEff,0)</f>
        <v>165000</v>
      </c>
      <c r="M1555" s="5">
        <f>tblSales[[#This Row],[DPP (excl. VAT)]]+tblSales[[#This Row],[Output VAT]]</f>
        <v>1665000</v>
      </c>
      <c r="N1555" s="5">
        <f>tblSales[[#This Row],[Qty]]*_xlfn.XLOOKUP(tblSales[[#This Row],[Product Code]],tblProducts[Code],tblProducts[Unit Cost],0)</f>
        <v>930000</v>
      </c>
      <c r="O1555" s="4" t="s">
        <v>4865</v>
      </c>
      <c r="P1555" s="4" t="s">
        <v>4860</v>
      </c>
      <c r="Q1555" s="1" t="str">
        <f>_xlfn.XLOOKUP(tblSales[[#This Row],[Channel Code]],tblChannels[Channel Code],tblChannels[Channel Name],"")</f>
        <v>In-store</v>
      </c>
      <c r="R1555" s="1">
        <f>MONTH(tblSales[[#This Row],[Date]])</f>
        <v>4</v>
      </c>
    </row>
    <row r="1556" spans="2:18" x14ac:dyDescent="0.35">
      <c r="B1556" s="113">
        <v>46115</v>
      </c>
      <c r="C1556" s="4" t="s">
        <v>1047</v>
      </c>
      <c r="D1556" s="4" t="s">
        <v>4568</v>
      </c>
      <c r="E1556" s="1" t="str">
        <f>_xlfn.XLOOKUP(tblSales[[#This Row],[Customer ID]],tblCustomers[Customer ID],tblCustomers[Customer Name],"⚠ Unknown")</f>
        <v>Walk-in Customer</v>
      </c>
      <c r="F1556" s="4" t="s">
        <v>9</v>
      </c>
      <c r="G1556" s="1" t="str">
        <f>_xlfn.XLOOKUP(tblSales[[#This Row],[Product Code]],tblProducts[Code],tblProducts[Product / Service Name],"⚠ Unknown")</f>
        <v>Casual Shirt</v>
      </c>
      <c r="H1556" s="1" t="str">
        <f>_xlfn.XLOOKUP(tblSales[[#This Row],[Product Code]],tblProducts[Code],tblProducts[Category],"")</f>
        <v>Apparel &amp; Footwear</v>
      </c>
      <c r="I1556" s="4">
        <v>4</v>
      </c>
      <c r="J1556" s="5">
        <f>_xlfn.XLOOKUP(tblSales[[#This Row],[Product Code]],tblProducts[Code],tblProducts[Selling Price (excl. VAT)],0)</f>
        <v>120000</v>
      </c>
      <c r="K1556" s="5">
        <f>tblSales[[#This Row],[Qty]]*tblSales[[#This Row],[Unit Price]]</f>
        <v>480000</v>
      </c>
      <c r="L1556" s="5">
        <f>ROUND(tblSales[[#This Row],[DPP (excl. VAT)]]*VATEff,0)</f>
        <v>52800</v>
      </c>
      <c r="M1556" s="5">
        <f>tblSales[[#This Row],[DPP (excl. VAT)]]+tblSales[[#This Row],[Output VAT]]</f>
        <v>532800</v>
      </c>
      <c r="N1556" s="5">
        <f>tblSales[[#This Row],[Qty]]*_xlfn.XLOOKUP(tblSales[[#This Row],[Product Code]],tblProducts[Code],tblProducts[Unit Cost],0)</f>
        <v>288000</v>
      </c>
      <c r="O1556" s="4" t="s">
        <v>4866</v>
      </c>
      <c r="P1556" s="4" t="s">
        <v>4861</v>
      </c>
      <c r="Q1556" s="1" t="str">
        <f>_xlfn.XLOOKUP(tblSales[[#This Row],[Channel Code]],tblChannels[Channel Code],tblChannels[Channel Name],"")</f>
        <v>Marketplace</v>
      </c>
      <c r="R1556" s="1">
        <f>MONTH(tblSales[[#This Row],[Date]])</f>
        <v>4</v>
      </c>
    </row>
    <row r="1557" spans="2:18" x14ac:dyDescent="0.35">
      <c r="B1557" s="113">
        <v>46115</v>
      </c>
      <c r="C1557" s="4" t="s">
        <v>1048</v>
      </c>
      <c r="D1557" s="4" t="s">
        <v>4568</v>
      </c>
      <c r="E1557" s="1" t="str">
        <f>_xlfn.XLOOKUP(tblSales[[#This Row],[Customer ID]],tblCustomers[Customer ID],tblCustomers[Customer Name],"⚠ Unknown")</f>
        <v>Walk-in Customer</v>
      </c>
      <c r="F1557" s="4" t="s">
        <v>6</v>
      </c>
      <c r="G1557" s="1" t="str">
        <f>_xlfn.XLOOKUP(tblSales[[#This Row],[Product Code]],tblProducts[Code],tblProducts[Product / Service Name],"⚠ Unknown")</f>
        <v>Socks &amp; Accessories</v>
      </c>
      <c r="H1557" s="1" t="str">
        <f>_xlfn.XLOOKUP(tblSales[[#This Row],[Product Code]],tblProducts[Code],tblProducts[Category],"")</f>
        <v>Accessories &amp; Basics</v>
      </c>
      <c r="I1557" s="4">
        <v>6</v>
      </c>
      <c r="J1557" s="5">
        <f>_xlfn.XLOOKUP(tblSales[[#This Row],[Product Code]],tblProducts[Code],tblProducts[Selling Price (excl. VAT)],0)</f>
        <v>45000</v>
      </c>
      <c r="K1557" s="5">
        <f>tblSales[[#This Row],[Qty]]*tblSales[[#This Row],[Unit Price]]</f>
        <v>270000</v>
      </c>
      <c r="L1557" s="5">
        <f>ROUND(tblSales[[#This Row],[DPP (excl. VAT)]]*VATEff,0)</f>
        <v>29700</v>
      </c>
      <c r="M1557" s="5">
        <f>tblSales[[#This Row],[DPP (excl. VAT)]]+tblSales[[#This Row],[Output VAT]]</f>
        <v>299700</v>
      </c>
      <c r="N1557" s="5">
        <f>tblSales[[#This Row],[Qty]]*_xlfn.XLOOKUP(tblSales[[#This Row],[Product Code]],tblProducts[Code],tblProducts[Unit Cost],0)</f>
        <v>144000</v>
      </c>
      <c r="O1557" s="4" t="s">
        <v>4865</v>
      </c>
      <c r="P1557" s="4" t="s">
        <v>4860</v>
      </c>
      <c r="Q1557" s="1" t="str">
        <f>_xlfn.XLOOKUP(tblSales[[#This Row],[Channel Code]],tblChannels[Channel Code],tblChannels[Channel Name],"")</f>
        <v>In-store</v>
      </c>
      <c r="R1557" s="1">
        <f>MONTH(tblSales[[#This Row],[Date]])</f>
        <v>4</v>
      </c>
    </row>
    <row r="1558" spans="2:18" x14ac:dyDescent="0.35">
      <c r="B1558" s="113">
        <v>46115</v>
      </c>
      <c r="C1558" s="4" t="s">
        <v>1049</v>
      </c>
      <c r="D1558" s="4" t="s">
        <v>4568</v>
      </c>
      <c r="E1558" s="1" t="str">
        <f>_xlfn.XLOOKUP(tblSales[[#This Row],[Customer ID]],tblCustomers[Customer ID],tblCustomers[Customer Name],"⚠ Unknown")</f>
        <v>Walk-in Customer</v>
      </c>
      <c r="F1558" s="4" t="s">
        <v>6</v>
      </c>
      <c r="G1558" s="1" t="str">
        <f>_xlfn.XLOOKUP(tblSales[[#This Row],[Product Code]],tblProducts[Code],tblProducts[Product / Service Name],"⚠ Unknown")</f>
        <v>Socks &amp; Accessories</v>
      </c>
      <c r="H1558" s="1" t="str">
        <f>_xlfn.XLOOKUP(tblSales[[#This Row],[Product Code]],tblProducts[Code],tblProducts[Category],"")</f>
        <v>Accessories &amp; Basics</v>
      </c>
      <c r="I1558" s="4">
        <v>10</v>
      </c>
      <c r="J1558" s="5">
        <f>_xlfn.XLOOKUP(tblSales[[#This Row],[Product Code]],tblProducts[Code],tblProducts[Selling Price (excl. VAT)],0)</f>
        <v>45000</v>
      </c>
      <c r="K1558" s="5">
        <f>tblSales[[#This Row],[Qty]]*tblSales[[#This Row],[Unit Price]]</f>
        <v>450000</v>
      </c>
      <c r="L1558" s="5">
        <f>ROUND(tblSales[[#This Row],[DPP (excl. VAT)]]*VATEff,0)</f>
        <v>49500</v>
      </c>
      <c r="M1558" s="5">
        <f>tblSales[[#This Row],[DPP (excl. VAT)]]+tblSales[[#This Row],[Output VAT]]</f>
        <v>499500</v>
      </c>
      <c r="N1558" s="5">
        <f>tblSales[[#This Row],[Qty]]*_xlfn.XLOOKUP(tblSales[[#This Row],[Product Code]],tblProducts[Code],tblProducts[Unit Cost],0)</f>
        <v>240000</v>
      </c>
      <c r="O1558" s="4" t="s">
        <v>4865</v>
      </c>
      <c r="P1558" s="4" t="s">
        <v>4860</v>
      </c>
      <c r="Q1558" s="1" t="str">
        <f>_xlfn.XLOOKUP(tblSales[[#This Row],[Channel Code]],tblChannels[Channel Code],tblChannels[Channel Name],"")</f>
        <v>In-store</v>
      </c>
      <c r="R1558" s="1">
        <f>MONTH(tblSales[[#This Row],[Date]])</f>
        <v>4</v>
      </c>
    </row>
    <row r="1559" spans="2:18" x14ac:dyDescent="0.35">
      <c r="B1559" s="113">
        <v>46115</v>
      </c>
      <c r="C1559" s="4" t="s">
        <v>1050</v>
      </c>
      <c r="D1559" s="4" t="s">
        <v>4613</v>
      </c>
      <c r="E1559" s="1" t="str">
        <f>_xlfn.XLOOKUP(tblSales[[#This Row],[Customer ID]],tblCustomers[Customer ID],tblCustomers[Customer Name],"⚠ Unknown")</f>
        <v>PT Mega Prima Distribusi</v>
      </c>
      <c r="F1559" s="4" t="s">
        <v>10</v>
      </c>
      <c r="G1559" s="1" t="str">
        <f>_xlfn.XLOOKUP(tblSales[[#This Row],[Product Code]],tblProducts[Code],tblProducts[Product / Service Name],"⚠ Unknown")</f>
        <v>Chino Pants</v>
      </c>
      <c r="H1559" s="1" t="str">
        <f>_xlfn.XLOOKUP(tblSales[[#This Row],[Product Code]],tblProducts[Code],tblProducts[Category],"")</f>
        <v>Apparel &amp; Footwear</v>
      </c>
      <c r="I1559" s="4">
        <v>56</v>
      </c>
      <c r="J1559" s="5">
        <f>_xlfn.XLOOKUP(tblSales[[#This Row],[Product Code]],tblProducts[Code],tblProducts[Selling Price (excl. VAT)],0)</f>
        <v>150000</v>
      </c>
      <c r="K1559" s="5">
        <f>tblSales[[#This Row],[Qty]]*tblSales[[#This Row],[Unit Price]]</f>
        <v>8400000</v>
      </c>
      <c r="L1559" s="5">
        <f>ROUND(tblSales[[#This Row],[DPP (excl. VAT)]]*VATEff,0)</f>
        <v>924000</v>
      </c>
      <c r="M1559" s="5">
        <f>tblSales[[#This Row],[DPP (excl. VAT)]]+tblSales[[#This Row],[Output VAT]]</f>
        <v>9324000</v>
      </c>
      <c r="N1559" s="5">
        <f>tblSales[[#This Row],[Qty]]*_xlfn.XLOOKUP(tblSales[[#This Row],[Product Code]],tblProducts[Code],tblProducts[Unit Cost],0)</f>
        <v>4928000</v>
      </c>
      <c r="O1559" s="4" t="s">
        <v>4867</v>
      </c>
      <c r="P1559" s="4" t="s">
        <v>4862</v>
      </c>
      <c r="Q1559" s="1" t="str">
        <f>_xlfn.XLOOKUP(tblSales[[#This Row],[Channel Code]],tblChannels[Channel Code],tblChannels[Channel Name],"")</f>
        <v>Website &amp; Social Media</v>
      </c>
      <c r="R1559" s="1">
        <f>MONTH(tblSales[[#This Row],[Date]])</f>
        <v>4</v>
      </c>
    </row>
    <row r="1560" spans="2:18" x14ac:dyDescent="0.35">
      <c r="B1560" s="113">
        <v>46115</v>
      </c>
      <c r="C1560" s="4" t="s">
        <v>1050</v>
      </c>
      <c r="D1560" s="4" t="s">
        <v>4613</v>
      </c>
      <c r="E1560" s="1" t="str">
        <f>_xlfn.XLOOKUP(tblSales[[#This Row],[Customer ID]],tblCustomers[Customer ID],tblCustomers[Customer Name],"⚠ Unknown")</f>
        <v>PT Mega Prima Distribusi</v>
      </c>
      <c r="F1560" s="4" t="s">
        <v>13</v>
      </c>
      <c r="G1560" s="1" t="str">
        <f>_xlfn.XLOOKUP(tblSales[[#This Row],[Product Code]],tblProducts[Code],tblProducts[Product / Service Name],"⚠ Unknown")</f>
        <v>Backpack</v>
      </c>
      <c r="H1560" s="1" t="str">
        <f>_xlfn.XLOOKUP(tblSales[[#This Row],[Product Code]],tblProducts[Code],tblProducts[Category],"")</f>
        <v>Bags &amp; Gadgets</v>
      </c>
      <c r="I1560" s="4">
        <v>40</v>
      </c>
      <c r="J1560" s="5">
        <f>_xlfn.XLOOKUP(tblSales[[#This Row],[Product Code]],tblProducts[Code],tblProducts[Selling Price (excl. VAT)],0)</f>
        <v>500000</v>
      </c>
      <c r="K1560" s="5">
        <f>tblSales[[#This Row],[Qty]]*tblSales[[#This Row],[Unit Price]]</f>
        <v>20000000</v>
      </c>
      <c r="L1560" s="5">
        <f>ROUND(tblSales[[#This Row],[DPP (excl. VAT)]]*VATEff,0)</f>
        <v>2200000</v>
      </c>
      <c r="M1560" s="5">
        <f>tblSales[[#This Row],[DPP (excl. VAT)]]+tblSales[[#This Row],[Output VAT]]</f>
        <v>22200000</v>
      </c>
      <c r="N1560" s="5">
        <f>tblSales[[#This Row],[Qty]]*_xlfn.XLOOKUP(tblSales[[#This Row],[Product Code]],tblProducts[Code],tblProducts[Unit Cost],0)</f>
        <v>11600000</v>
      </c>
      <c r="O1560" s="4" t="s">
        <v>4867</v>
      </c>
      <c r="P1560" s="4" t="s">
        <v>4862</v>
      </c>
      <c r="Q1560" s="1" t="str">
        <f>_xlfn.XLOOKUP(tblSales[[#This Row],[Channel Code]],tblChannels[Channel Code],tblChannels[Channel Name],"")</f>
        <v>Website &amp; Social Media</v>
      </c>
      <c r="R1560" s="1">
        <f>MONTH(tblSales[[#This Row],[Date]])</f>
        <v>4</v>
      </c>
    </row>
    <row r="1561" spans="2:18" x14ac:dyDescent="0.35">
      <c r="B1561" s="113">
        <v>46115</v>
      </c>
      <c r="C1561" s="4" t="s">
        <v>1051</v>
      </c>
      <c r="D1561" s="4" t="s">
        <v>4568</v>
      </c>
      <c r="E1561" s="1" t="str">
        <f>_xlfn.XLOOKUP(tblSales[[#This Row],[Customer ID]],tblCustomers[Customer ID],tblCustomers[Customer Name],"⚠ Unknown")</f>
        <v>Walk-in Customer</v>
      </c>
      <c r="F1561" s="4" t="s">
        <v>10</v>
      </c>
      <c r="G1561" s="1" t="str">
        <f>_xlfn.XLOOKUP(tblSales[[#This Row],[Product Code]],tblProducts[Code],tblProducts[Product / Service Name],"⚠ Unknown")</f>
        <v>Chino Pants</v>
      </c>
      <c r="H1561" s="1" t="str">
        <f>_xlfn.XLOOKUP(tblSales[[#This Row],[Product Code]],tblProducts[Code],tblProducts[Category],"")</f>
        <v>Apparel &amp; Footwear</v>
      </c>
      <c r="I1561" s="4">
        <v>5</v>
      </c>
      <c r="J1561" s="5">
        <f>_xlfn.XLOOKUP(tblSales[[#This Row],[Product Code]],tblProducts[Code],tblProducts[Selling Price (excl. VAT)],0)</f>
        <v>150000</v>
      </c>
      <c r="K1561" s="5">
        <f>tblSales[[#This Row],[Qty]]*tblSales[[#This Row],[Unit Price]]</f>
        <v>750000</v>
      </c>
      <c r="L1561" s="5">
        <f>ROUND(tblSales[[#This Row],[DPP (excl. VAT)]]*VATEff,0)</f>
        <v>82500</v>
      </c>
      <c r="M1561" s="5">
        <f>tblSales[[#This Row],[DPP (excl. VAT)]]+tblSales[[#This Row],[Output VAT]]</f>
        <v>832500</v>
      </c>
      <c r="N1561" s="5">
        <f>tblSales[[#This Row],[Qty]]*_xlfn.XLOOKUP(tblSales[[#This Row],[Product Code]],tblProducts[Code],tblProducts[Unit Cost],0)</f>
        <v>440000</v>
      </c>
      <c r="O1561" s="4" t="s">
        <v>4866</v>
      </c>
      <c r="P1561" s="4" t="s">
        <v>4862</v>
      </c>
      <c r="Q1561" s="1" t="str">
        <f>_xlfn.XLOOKUP(tblSales[[#This Row],[Channel Code]],tblChannels[Channel Code],tblChannels[Channel Name],"")</f>
        <v>Website &amp; Social Media</v>
      </c>
      <c r="R1561" s="1">
        <f>MONTH(tblSales[[#This Row],[Date]])</f>
        <v>4</v>
      </c>
    </row>
    <row r="1562" spans="2:18" x14ac:dyDescent="0.35">
      <c r="B1562" s="113">
        <v>46115</v>
      </c>
      <c r="C1562" s="4" t="s">
        <v>1052</v>
      </c>
      <c r="D1562" s="4" t="s">
        <v>4568</v>
      </c>
      <c r="E1562" s="1" t="str">
        <f>_xlfn.XLOOKUP(tblSales[[#This Row],[Customer ID]],tblCustomers[Customer ID],tblCustomers[Customer Name],"⚠ Unknown")</f>
        <v>Walk-in Customer</v>
      </c>
      <c r="F1562" s="4" t="s">
        <v>6</v>
      </c>
      <c r="G1562" s="1" t="str">
        <f>_xlfn.XLOOKUP(tblSales[[#This Row],[Product Code]],tblProducts[Code],tblProducts[Product / Service Name],"⚠ Unknown")</f>
        <v>Socks &amp; Accessories</v>
      </c>
      <c r="H1562" s="1" t="str">
        <f>_xlfn.XLOOKUP(tblSales[[#This Row],[Product Code]],tblProducts[Code],tblProducts[Category],"")</f>
        <v>Accessories &amp; Basics</v>
      </c>
      <c r="I1562" s="4">
        <v>11</v>
      </c>
      <c r="J1562" s="5">
        <f>_xlfn.XLOOKUP(tblSales[[#This Row],[Product Code]],tblProducts[Code],tblProducts[Selling Price (excl. VAT)],0)</f>
        <v>45000</v>
      </c>
      <c r="K1562" s="5">
        <f>tblSales[[#This Row],[Qty]]*tblSales[[#This Row],[Unit Price]]</f>
        <v>495000</v>
      </c>
      <c r="L1562" s="5">
        <f>ROUND(tblSales[[#This Row],[DPP (excl. VAT)]]*VATEff,0)</f>
        <v>54450</v>
      </c>
      <c r="M1562" s="5">
        <f>tblSales[[#This Row],[DPP (excl. VAT)]]+tblSales[[#This Row],[Output VAT]]</f>
        <v>549450</v>
      </c>
      <c r="N1562" s="5">
        <f>tblSales[[#This Row],[Qty]]*_xlfn.XLOOKUP(tblSales[[#This Row],[Product Code]],tblProducts[Code],tblProducts[Unit Cost],0)</f>
        <v>264000</v>
      </c>
      <c r="O1562" s="4" t="s">
        <v>4866</v>
      </c>
      <c r="P1562" s="4" t="s">
        <v>4861</v>
      </c>
      <c r="Q1562" s="1" t="str">
        <f>_xlfn.XLOOKUP(tblSales[[#This Row],[Channel Code]],tblChannels[Channel Code],tblChannels[Channel Name],"")</f>
        <v>Marketplace</v>
      </c>
      <c r="R1562" s="1">
        <f>MONTH(tblSales[[#This Row],[Date]])</f>
        <v>4</v>
      </c>
    </row>
    <row r="1563" spans="2:18" x14ac:dyDescent="0.35">
      <c r="B1563" s="113">
        <v>46115</v>
      </c>
      <c r="C1563" s="4" t="s">
        <v>1053</v>
      </c>
      <c r="D1563" s="4" t="s">
        <v>4568</v>
      </c>
      <c r="E1563" s="1" t="str">
        <f>_xlfn.XLOOKUP(tblSales[[#This Row],[Customer ID]],tblCustomers[Customer ID],tblCustomers[Customer Name],"⚠ Unknown")</f>
        <v>Walk-in Customer</v>
      </c>
      <c r="F1563" s="4" t="s">
        <v>6</v>
      </c>
      <c r="G1563" s="1" t="str">
        <f>_xlfn.XLOOKUP(tblSales[[#This Row],[Product Code]],tblProducts[Code],tblProducts[Product / Service Name],"⚠ Unknown")</f>
        <v>Socks &amp; Accessories</v>
      </c>
      <c r="H1563" s="1" t="str">
        <f>_xlfn.XLOOKUP(tblSales[[#This Row],[Product Code]],tblProducts[Code],tblProducts[Category],"")</f>
        <v>Accessories &amp; Basics</v>
      </c>
      <c r="I1563" s="4">
        <v>2</v>
      </c>
      <c r="J1563" s="5">
        <f>_xlfn.XLOOKUP(tblSales[[#This Row],[Product Code]],tblProducts[Code],tblProducts[Selling Price (excl. VAT)],0)</f>
        <v>45000</v>
      </c>
      <c r="K1563" s="5">
        <f>tblSales[[#This Row],[Qty]]*tblSales[[#This Row],[Unit Price]]</f>
        <v>90000</v>
      </c>
      <c r="L1563" s="5">
        <f>ROUND(tblSales[[#This Row],[DPP (excl. VAT)]]*VATEff,0)</f>
        <v>9900</v>
      </c>
      <c r="M1563" s="5">
        <f>tblSales[[#This Row],[DPP (excl. VAT)]]+tblSales[[#This Row],[Output VAT]]</f>
        <v>99900</v>
      </c>
      <c r="N1563" s="5">
        <f>tblSales[[#This Row],[Qty]]*_xlfn.XLOOKUP(tblSales[[#This Row],[Product Code]],tblProducts[Code],tblProducts[Unit Cost],0)</f>
        <v>48000</v>
      </c>
      <c r="O1563" s="4" t="s">
        <v>4865</v>
      </c>
      <c r="P1563" s="4" t="s">
        <v>4860</v>
      </c>
      <c r="Q1563" s="1" t="str">
        <f>_xlfn.XLOOKUP(tblSales[[#This Row],[Channel Code]],tblChannels[Channel Code],tblChannels[Channel Name],"")</f>
        <v>In-store</v>
      </c>
      <c r="R1563" s="1">
        <f>MONTH(tblSales[[#This Row],[Date]])</f>
        <v>4</v>
      </c>
    </row>
    <row r="1564" spans="2:18" x14ac:dyDescent="0.35">
      <c r="B1564" s="113">
        <v>46116</v>
      </c>
      <c r="C1564" s="4" t="s">
        <v>1054</v>
      </c>
      <c r="D1564" s="4" t="s">
        <v>4568</v>
      </c>
      <c r="E1564" s="1" t="str">
        <f>_xlfn.XLOOKUP(tblSales[[#This Row],[Customer ID]],tblCustomers[Customer ID],tblCustomers[Customer Name],"⚠ Unknown")</f>
        <v>Walk-in Customer</v>
      </c>
      <c r="F1564" s="4" t="s">
        <v>14</v>
      </c>
      <c r="G1564" s="1" t="str">
        <f>_xlfn.XLOOKUP(tblSales[[#This Row],[Product Code]],tblProducts[Code],tblProducts[Product / Service Name],"⚠ Unknown")</f>
        <v>Smartwatch</v>
      </c>
      <c r="H1564" s="1" t="str">
        <f>_xlfn.XLOOKUP(tblSales[[#This Row],[Product Code]],tblProducts[Code],tblProducts[Category],"")</f>
        <v>Bags &amp; Gadgets</v>
      </c>
      <c r="I1564" s="4">
        <v>3</v>
      </c>
      <c r="J1564" s="5">
        <f>_xlfn.XLOOKUP(tblSales[[#This Row],[Product Code]],tblProducts[Code],tblProducts[Selling Price (excl. VAT)],0)</f>
        <v>850000</v>
      </c>
      <c r="K1564" s="5">
        <f>tblSales[[#This Row],[Qty]]*tblSales[[#This Row],[Unit Price]]</f>
        <v>2550000</v>
      </c>
      <c r="L1564" s="5">
        <f>ROUND(tblSales[[#This Row],[DPP (excl. VAT)]]*VATEff,0)</f>
        <v>280500</v>
      </c>
      <c r="M1564" s="5">
        <f>tblSales[[#This Row],[DPP (excl. VAT)]]+tblSales[[#This Row],[Output VAT]]</f>
        <v>2830500</v>
      </c>
      <c r="N1564" s="5">
        <f>tblSales[[#This Row],[Qty]]*_xlfn.XLOOKUP(tblSales[[#This Row],[Product Code]],tblProducts[Code],tblProducts[Unit Cost],0)</f>
        <v>1680000</v>
      </c>
      <c r="O1564" s="4" t="s">
        <v>4866</v>
      </c>
      <c r="P1564" s="4" t="s">
        <v>4860</v>
      </c>
      <c r="Q1564" s="1" t="str">
        <f>_xlfn.XLOOKUP(tblSales[[#This Row],[Channel Code]],tblChannels[Channel Code],tblChannels[Channel Name],"")</f>
        <v>In-store</v>
      </c>
      <c r="R1564" s="1">
        <f>MONTH(tblSales[[#This Row],[Date]])</f>
        <v>4</v>
      </c>
    </row>
    <row r="1565" spans="2:18" x14ac:dyDescent="0.35">
      <c r="B1565" s="113">
        <v>46116</v>
      </c>
      <c r="C1565" s="4" t="s">
        <v>1055</v>
      </c>
      <c r="D1565" s="4" t="s">
        <v>4568</v>
      </c>
      <c r="E1565" s="1" t="str">
        <f>_xlfn.XLOOKUP(tblSales[[#This Row],[Customer ID]],tblCustomers[Customer ID],tblCustomers[Customer Name],"⚠ Unknown")</f>
        <v>Walk-in Customer</v>
      </c>
      <c r="F1565" s="4" t="s">
        <v>10</v>
      </c>
      <c r="G1565" s="1" t="str">
        <f>_xlfn.XLOOKUP(tblSales[[#This Row],[Product Code]],tblProducts[Code],tblProducts[Product / Service Name],"⚠ Unknown")</f>
        <v>Chino Pants</v>
      </c>
      <c r="H1565" s="1" t="str">
        <f>_xlfn.XLOOKUP(tblSales[[#This Row],[Product Code]],tblProducts[Code],tblProducts[Category],"")</f>
        <v>Apparel &amp; Footwear</v>
      </c>
      <c r="I1565" s="4">
        <v>5</v>
      </c>
      <c r="J1565" s="5">
        <f>_xlfn.XLOOKUP(tblSales[[#This Row],[Product Code]],tblProducts[Code],tblProducts[Selling Price (excl. VAT)],0)</f>
        <v>150000</v>
      </c>
      <c r="K1565" s="5">
        <f>tblSales[[#This Row],[Qty]]*tblSales[[#This Row],[Unit Price]]</f>
        <v>750000</v>
      </c>
      <c r="L1565" s="5">
        <f>ROUND(tblSales[[#This Row],[DPP (excl. VAT)]]*VATEff,0)</f>
        <v>82500</v>
      </c>
      <c r="M1565" s="5">
        <f>tblSales[[#This Row],[DPP (excl. VAT)]]+tblSales[[#This Row],[Output VAT]]</f>
        <v>832500</v>
      </c>
      <c r="N1565" s="5">
        <f>tblSales[[#This Row],[Qty]]*_xlfn.XLOOKUP(tblSales[[#This Row],[Product Code]],tblProducts[Code],tblProducts[Unit Cost],0)</f>
        <v>440000</v>
      </c>
      <c r="O1565" s="4" t="s">
        <v>4865</v>
      </c>
      <c r="P1565" s="4" t="s">
        <v>4860</v>
      </c>
      <c r="Q1565" s="1" t="str">
        <f>_xlfn.XLOOKUP(tblSales[[#This Row],[Channel Code]],tblChannels[Channel Code],tblChannels[Channel Name],"")</f>
        <v>In-store</v>
      </c>
      <c r="R1565" s="1">
        <f>MONTH(tblSales[[#This Row],[Date]])</f>
        <v>4</v>
      </c>
    </row>
    <row r="1566" spans="2:18" x14ac:dyDescent="0.35">
      <c r="B1566" s="113">
        <v>46116</v>
      </c>
      <c r="C1566" s="4" t="s">
        <v>1056</v>
      </c>
      <c r="D1566" s="4" t="s">
        <v>4568</v>
      </c>
      <c r="E1566" s="1" t="str">
        <f>_xlfn.XLOOKUP(tblSales[[#This Row],[Customer ID]],tblCustomers[Customer ID],tblCustomers[Customer Name],"⚠ Unknown")</f>
        <v>Walk-in Customer</v>
      </c>
      <c r="F1566" s="4" t="s">
        <v>12</v>
      </c>
      <c r="G1566" s="1" t="str">
        <f>_xlfn.XLOOKUP(tblSales[[#This Row],[Product Code]],tblProducts[Code],tblProducts[Product / Service Name],"⚠ Unknown")</f>
        <v>Bomber Jacket</v>
      </c>
      <c r="H1566" s="1" t="str">
        <f>_xlfn.XLOOKUP(tblSales[[#This Row],[Product Code]],tblProducts[Code],tblProducts[Category],"")</f>
        <v>Apparel &amp; Footwear</v>
      </c>
      <c r="I1566" s="4">
        <v>2</v>
      </c>
      <c r="J1566" s="5">
        <f>_xlfn.XLOOKUP(tblSales[[#This Row],[Product Code]],tblProducts[Code],tblProducts[Selling Price (excl. VAT)],0)</f>
        <v>350000</v>
      </c>
      <c r="K1566" s="5">
        <f>tblSales[[#This Row],[Qty]]*tblSales[[#This Row],[Unit Price]]</f>
        <v>700000</v>
      </c>
      <c r="L1566" s="5">
        <f>ROUND(tblSales[[#This Row],[DPP (excl. VAT)]]*VATEff,0)</f>
        <v>77000</v>
      </c>
      <c r="M1566" s="5">
        <f>tblSales[[#This Row],[DPP (excl. VAT)]]+tblSales[[#This Row],[Output VAT]]</f>
        <v>777000</v>
      </c>
      <c r="N1566" s="5">
        <f>tblSales[[#This Row],[Qty]]*_xlfn.XLOOKUP(tblSales[[#This Row],[Product Code]],tblProducts[Code],tblProducts[Unit Cost],0)</f>
        <v>420000</v>
      </c>
      <c r="O1566" s="4" t="s">
        <v>4865</v>
      </c>
      <c r="P1566" s="4" t="s">
        <v>4860</v>
      </c>
      <c r="Q1566" s="1" t="str">
        <f>_xlfn.XLOOKUP(tblSales[[#This Row],[Channel Code]],tblChannels[Channel Code],tblChannels[Channel Name],"")</f>
        <v>In-store</v>
      </c>
      <c r="R1566" s="1">
        <f>MONTH(tblSales[[#This Row],[Date]])</f>
        <v>4</v>
      </c>
    </row>
    <row r="1567" spans="2:18" x14ac:dyDescent="0.35">
      <c r="B1567" s="113">
        <v>46116</v>
      </c>
      <c r="C1567" s="4" t="s">
        <v>1056</v>
      </c>
      <c r="D1567" s="4" t="s">
        <v>4568</v>
      </c>
      <c r="E1567" s="1" t="str">
        <f>_xlfn.XLOOKUP(tblSales[[#This Row],[Customer ID]],tblCustomers[Customer ID],tblCustomers[Customer Name],"⚠ Unknown")</f>
        <v>Walk-in Customer</v>
      </c>
      <c r="F1567" s="4" t="s">
        <v>15</v>
      </c>
      <c r="G1567" s="1" t="str">
        <f>_xlfn.XLOOKUP(tblSales[[#This Row],[Product Code]],tblProducts[Code],tblProducts[Product / Service Name],"⚠ Unknown")</f>
        <v>Wireless Earbuds Pro</v>
      </c>
      <c r="H1567" s="1" t="str">
        <f>_xlfn.XLOOKUP(tblSales[[#This Row],[Product Code]],tblProducts[Code],tblProducts[Category],"")</f>
        <v>Bags &amp; Gadgets</v>
      </c>
      <c r="I1567" s="4">
        <v>2</v>
      </c>
      <c r="J1567" s="5">
        <f>_xlfn.XLOOKUP(tblSales[[#This Row],[Product Code]],tblProducts[Code],tblProducts[Selling Price (excl. VAT)],0)</f>
        <v>1250000</v>
      </c>
      <c r="K1567" s="5">
        <f>tblSales[[#This Row],[Qty]]*tblSales[[#This Row],[Unit Price]]</f>
        <v>2500000</v>
      </c>
      <c r="L1567" s="5">
        <f>ROUND(tblSales[[#This Row],[DPP (excl. VAT)]]*VATEff,0)</f>
        <v>275000</v>
      </c>
      <c r="M1567" s="5">
        <f>tblSales[[#This Row],[DPP (excl. VAT)]]+tblSales[[#This Row],[Output VAT]]</f>
        <v>2775000</v>
      </c>
      <c r="N1567" s="5">
        <f>tblSales[[#This Row],[Qty]]*_xlfn.XLOOKUP(tblSales[[#This Row],[Product Code]],tblProducts[Code],tblProducts[Unit Cost],0)</f>
        <v>1640000</v>
      </c>
      <c r="O1567" s="4" t="s">
        <v>4865</v>
      </c>
      <c r="P1567" s="4" t="s">
        <v>4860</v>
      </c>
      <c r="Q1567" s="1" t="str">
        <f>_xlfn.XLOOKUP(tblSales[[#This Row],[Channel Code]],tblChannels[Channel Code],tblChannels[Channel Name],"")</f>
        <v>In-store</v>
      </c>
      <c r="R1567" s="1">
        <f>MONTH(tblSales[[#This Row],[Date]])</f>
        <v>4</v>
      </c>
    </row>
    <row r="1568" spans="2:18" x14ac:dyDescent="0.35">
      <c r="B1568" s="113">
        <v>46116</v>
      </c>
      <c r="C1568" s="4" t="s">
        <v>1057</v>
      </c>
      <c r="D1568" s="4" t="s">
        <v>4568</v>
      </c>
      <c r="E1568" s="1" t="str">
        <f>_xlfn.XLOOKUP(tblSales[[#This Row],[Customer ID]],tblCustomers[Customer ID],tblCustomers[Customer Name],"⚠ Unknown")</f>
        <v>Walk-in Customer</v>
      </c>
      <c r="F1568" s="4" t="s">
        <v>8</v>
      </c>
      <c r="G1568" s="1" t="str">
        <f>_xlfn.XLOOKUP(tblSales[[#This Row],[Product Code]],tblProducts[Code],tblProducts[Product / Service Name],"⚠ Unknown")</f>
        <v>Casual Shorts</v>
      </c>
      <c r="H1568" s="1" t="str">
        <f>_xlfn.XLOOKUP(tblSales[[#This Row],[Product Code]],tblProducts[Code],tblProducts[Category],"")</f>
        <v>Accessories &amp; Basics</v>
      </c>
      <c r="I1568" s="4">
        <v>10</v>
      </c>
      <c r="J1568" s="5">
        <f>_xlfn.XLOOKUP(tblSales[[#This Row],[Product Code]],tblProducts[Code],tblProducts[Selling Price (excl. VAT)],0)</f>
        <v>85000</v>
      </c>
      <c r="K1568" s="5">
        <f>tblSales[[#This Row],[Qty]]*tblSales[[#This Row],[Unit Price]]</f>
        <v>850000</v>
      </c>
      <c r="L1568" s="5">
        <f>ROUND(tblSales[[#This Row],[DPP (excl. VAT)]]*VATEff,0)</f>
        <v>93500</v>
      </c>
      <c r="M1568" s="5">
        <f>tblSales[[#This Row],[DPP (excl. VAT)]]+tblSales[[#This Row],[Output VAT]]</f>
        <v>943500</v>
      </c>
      <c r="N1568" s="5">
        <f>tblSales[[#This Row],[Qty]]*_xlfn.XLOOKUP(tblSales[[#This Row],[Product Code]],tblProducts[Code],tblProducts[Unit Cost],0)</f>
        <v>500000</v>
      </c>
      <c r="O1568" s="4" t="s">
        <v>4865</v>
      </c>
      <c r="P1568" s="4" t="s">
        <v>4860</v>
      </c>
      <c r="Q1568" s="1" t="str">
        <f>_xlfn.XLOOKUP(tblSales[[#This Row],[Channel Code]],tblChannels[Channel Code],tblChannels[Channel Name],"")</f>
        <v>In-store</v>
      </c>
      <c r="R1568" s="1">
        <f>MONTH(tblSales[[#This Row],[Date]])</f>
        <v>4</v>
      </c>
    </row>
    <row r="1569" spans="2:18" x14ac:dyDescent="0.35">
      <c r="B1569" s="113">
        <v>46116</v>
      </c>
      <c r="C1569" s="4" t="s">
        <v>1058</v>
      </c>
      <c r="D1569" s="4" t="s">
        <v>4568</v>
      </c>
      <c r="E1569" s="1" t="str">
        <f>_xlfn.XLOOKUP(tblSales[[#This Row],[Customer ID]],tblCustomers[Customer ID],tblCustomers[Customer Name],"⚠ Unknown")</f>
        <v>Walk-in Customer</v>
      </c>
      <c r="F1569" s="4" t="s">
        <v>8</v>
      </c>
      <c r="G1569" s="1" t="str">
        <f>_xlfn.XLOOKUP(tblSales[[#This Row],[Product Code]],tblProducts[Code],tblProducts[Product / Service Name],"⚠ Unknown")</f>
        <v>Casual Shorts</v>
      </c>
      <c r="H1569" s="1" t="str">
        <f>_xlfn.XLOOKUP(tblSales[[#This Row],[Product Code]],tblProducts[Code],tblProducts[Category],"")</f>
        <v>Accessories &amp; Basics</v>
      </c>
      <c r="I1569" s="4">
        <v>1</v>
      </c>
      <c r="J1569" s="5">
        <f>_xlfn.XLOOKUP(tblSales[[#This Row],[Product Code]],tblProducts[Code],tblProducts[Selling Price (excl. VAT)],0)</f>
        <v>85000</v>
      </c>
      <c r="K1569" s="5">
        <f>tblSales[[#This Row],[Qty]]*tblSales[[#This Row],[Unit Price]]</f>
        <v>85000</v>
      </c>
      <c r="L1569" s="5">
        <f>ROUND(tblSales[[#This Row],[DPP (excl. VAT)]]*VATEff,0)</f>
        <v>9350</v>
      </c>
      <c r="M1569" s="5">
        <f>tblSales[[#This Row],[DPP (excl. VAT)]]+tblSales[[#This Row],[Output VAT]]</f>
        <v>94350</v>
      </c>
      <c r="N1569" s="5">
        <f>tblSales[[#This Row],[Qty]]*_xlfn.XLOOKUP(tblSales[[#This Row],[Product Code]],tblProducts[Code],tblProducts[Unit Cost],0)</f>
        <v>50000</v>
      </c>
      <c r="O1569" s="4" t="s">
        <v>4866</v>
      </c>
      <c r="P1569" s="4" t="s">
        <v>4862</v>
      </c>
      <c r="Q1569" s="1" t="str">
        <f>_xlfn.XLOOKUP(tblSales[[#This Row],[Channel Code]],tblChannels[Channel Code],tblChannels[Channel Name],"")</f>
        <v>Website &amp; Social Media</v>
      </c>
      <c r="R1569" s="1">
        <f>MONTH(tblSales[[#This Row],[Date]])</f>
        <v>4</v>
      </c>
    </row>
    <row r="1570" spans="2:18" x14ac:dyDescent="0.35">
      <c r="B1570" s="113">
        <v>46116</v>
      </c>
      <c r="C1570" s="4" t="s">
        <v>1059</v>
      </c>
      <c r="D1570" s="4" t="s">
        <v>4568</v>
      </c>
      <c r="E1570" s="1" t="str">
        <f>_xlfn.XLOOKUP(tblSales[[#This Row],[Customer ID]],tblCustomers[Customer ID],tblCustomers[Customer Name],"⚠ Unknown")</f>
        <v>Walk-in Customer</v>
      </c>
      <c r="F1570" s="4" t="s">
        <v>9</v>
      </c>
      <c r="G1570" s="1" t="str">
        <f>_xlfn.XLOOKUP(tblSales[[#This Row],[Product Code]],tblProducts[Code],tblProducts[Product / Service Name],"⚠ Unknown")</f>
        <v>Casual Shirt</v>
      </c>
      <c r="H1570" s="1" t="str">
        <f>_xlfn.XLOOKUP(tblSales[[#This Row],[Product Code]],tblProducts[Code],tblProducts[Category],"")</f>
        <v>Apparel &amp; Footwear</v>
      </c>
      <c r="I1570" s="4">
        <v>7</v>
      </c>
      <c r="J1570" s="5">
        <f>_xlfn.XLOOKUP(tblSales[[#This Row],[Product Code]],tblProducts[Code],tblProducts[Selling Price (excl. VAT)],0)</f>
        <v>120000</v>
      </c>
      <c r="K1570" s="5">
        <f>tblSales[[#This Row],[Qty]]*tblSales[[#This Row],[Unit Price]]</f>
        <v>840000</v>
      </c>
      <c r="L1570" s="5">
        <f>ROUND(tblSales[[#This Row],[DPP (excl. VAT)]]*VATEff,0)</f>
        <v>92400</v>
      </c>
      <c r="M1570" s="5">
        <f>tblSales[[#This Row],[DPP (excl. VAT)]]+tblSales[[#This Row],[Output VAT]]</f>
        <v>932400</v>
      </c>
      <c r="N1570" s="5">
        <f>tblSales[[#This Row],[Qty]]*_xlfn.XLOOKUP(tblSales[[#This Row],[Product Code]],tblProducts[Code],tblProducts[Unit Cost],0)</f>
        <v>504000</v>
      </c>
      <c r="O1570" s="4" t="s">
        <v>4866</v>
      </c>
      <c r="P1570" s="4" t="s">
        <v>4860</v>
      </c>
      <c r="Q1570" s="1" t="str">
        <f>_xlfn.XLOOKUP(tblSales[[#This Row],[Channel Code]],tblChannels[Channel Code],tblChannels[Channel Name],"")</f>
        <v>In-store</v>
      </c>
      <c r="R1570" s="1">
        <f>MONTH(tblSales[[#This Row],[Date]])</f>
        <v>4</v>
      </c>
    </row>
    <row r="1571" spans="2:18" x14ac:dyDescent="0.35">
      <c r="B1571" s="113">
        <v>46116</v>
      </c>
      <c r="C1571" s="4" t="s">
        <v>1060</v>
      </c>
      <c r="D1571" s="4" t="s">
        <v>4568</v>
      </c>
      <c r="E1571" s="1" t="str">
        <f>_xlfn.XLOOKUP(tblSales[[#This Row],[Customer ID]],tblCustomers[Customer ID],tblCustomers[Customer Name],"⚠ Unknown")</f>
        <v>Walk-in Customer</v>
      </c>
      <c r="F1571" s="4" t="s">
        <v>8</v>
      </c>
      <c r="G1571" s="1" t="str">
        <f>_xlfn.XLOOKUP(tblSales[[#This Row],[Product Code]],tblProducts[Code],tblProducts[Product / Service Name],"⚠ Unknown")</f>
        <v>Casual Shorts</v>
      </c>
      <c r="H1571" s="1" t="str">
        <f>_xlfn.XLOOKUP(tblSales[[#This Row],[Product Code]],tblProducts[Code],tblProducts[Category],"")</f>
        <v>Accessories &amp; Basics</v>
      </c>
      <c r="I1571" s="4">
        <v>4</v>
      </c>
      <c r="J1571" s="5">
        <f>_xlfn.XLOOKUP(tblSales[[#This Row],[Product Code]],tblProducts[Code],tblProducts[Selling Price (excl. VAT)],0)</f>
        <v>85000</v>
      </c>
      <c r="K1571" s="5">
        <f>tblSales[[#This Row],[Qty]]*tblSales[[#This Row],[Unit Price]]</f>
        <v>340000</v>
      </c>
      <c r="L1571" s="5">
        <f>ROUND(tblSales[[#This Row],[DPP (excl. VAT)]]*VATEff,0)</f>
        <v>37400</v>
      </c>
      <c r="M1571" s="5">
        <f>tblSales[[#This Row],[DPP (excl. VAT)]]+tblSales[[#This Row],[Output VAT]]</f>
        <v>377400</v>
      </c>
      <c r="N1571" s="5">
        <f>tblSales[[#This Row],[Qty]]*_xlfn.XLOOKUP(tblSales[[#This Row],[Product Code]],tblProducts[Code],tblProducts[Unit Cost],0)</f>
        <v>200000</v>
      </c>
      <c r="O1571" s="4" t="s">
        <v>4865</v>
      </c>
      <c r="P1571" s="4" t="s">
        <v>4860</v>
      </c>
      <c r="Q1571" s="1" t="str">
        <f>_xlfn.XLOOKUP(tblSales[[#This Row],[Channel Code]],tblChannels[Channel Code],tblChannels[Channel Name],"")</f>
        <v>In-store</v>
      </c>
      <c r="R1571" s="1">
        <f>MONTH(tblSales[[#This Row],[Date]])</f>
        <v>4</v>
      </c>
    </row>
    <row r="1572" spans="2:18" x14ac:dyDescent="0.35">
      <c r="B1572" s="113">
        <v>46116</v>
      </c>
      <c r="C1572" s="4" t="s">
        <v>1061</v>
      </c>
      <c r="D1572" s="4" t="s">
        <v>4568</v>
      </c>
      <c r="E1572" s="1" t="str">
        <f>_xlfn.XLOOKUP(tblSales[[#This Row],[Customer ID]],tblCustomers[Customer ID],tblCustomers[Customer Name],"⚠ Unknown")</f>
        <v>Walk-in Customer</v>
      </c>
      <c r="F1572" s="4" t="s">
        <v>10</v>
      </c>
      <c r="G1572" s="1" t="str">
        <f>_xlfn.XLOOKUP(tblSales[[#This Row],[Product Code]],tblProducts[Code],tblProducts[Product / Service Name],"⚠ Unknown")</f>
        <v>Chino Pants</v>
      </c>
      <c r="H1572" s="1" t="str">
        <f>_xlfn.XLOOKUP(tblSales[[#This Row],[Product Code]],tblProducts[Code],tblProducts[Category],"")</f>
        <v>Apparel &amp; Footwear</v>
      </c>
      <c r="I1572" s="4">
        <v>2</v>
      </c>
      <c r="J1572" s="5">
        <f>_xlfn.XLOOKUP(tblSales[[#This Row],[Product Code]],tblProducts[Code],tblProducts[Selling Price (excl. VAT)],0)</f>
        <v>150000</v>
      </c>
      <c r="K1572" s="5">
        <f>tblSales[[#This Row],[Qty]]*tblSales[[#This Row],[Unit Price]]</f>
        <v>300000</v>
      </c>
      <c r="L1572" s="5">
        <f>ROUND(tblSales[[#This Row],[DPP (excl. VAT)]]*VATEff,0)</f>
        <v>33000</v>
      </c>
      <c r="M1572" s="5">
        <f>tblSales[[#This Row],[DPP (excl. VAT)]]+tblSales[[#This Row],[Output VAT]]</f>
        <v>333000</v>
      </c>
      <c r="N1572" s="5">
        <f>tblSales[[#This Row],[Qty]]*_xlfn.XLOOKUP(tblSales[[#This Row],[Product Code]],tblProducts[Code],tblProducts[Unit Cost],0)</f>
        <v>176000</v>
      </c>
      <c r="O1572" s="4" t="s">
        <v>4865</v>
      </c>
      <c r="P1572" s="4" t="s">
        <v>4860</v>
      </c>
      <c r="Q1572" s="1" t="str">
        <f>_xlfn.XLOOKUP(tblSales[[#This Row],[Channel Code]],tblChannels[Channel Code],tblChannels[Channel Name],"")</f>
        <v>In-store</v>
      </c>
      <c r="R1572" s="1">
        <f>MONTH(tblSales[[#This Row],[Date]])</f>
        <v>4</v>
      </c>
    </row>
    <row r="1573" spans="2:18" x14ac:dyDescent="0.35">
      <c r="B1573" s="113">
        <v>46116</v>
      </c>
      <c r="C1573" s="4" t="s">
        <v>1062</v>
      </c>
      <c r="D1573" s="4" t="s">
        <v>4613</v>
      </c>
      <c r="E1573" s="1" t="str">
        <f>_xlfn.XLOOKUP(tblSales[[#This Row],[Customer ID]],tblCustomers[Customer ID],tblCustomers[Customer Name],"⚠ Unknown")</f>
        <v>PT Mega Prima Distribusi</v>
      </c>
      <c r="F1573" s="4" t="s">
        <v>6</v>
      </c>
      <c r="G1573" s="1" t="str">
        <f>_xlfn.XLOOKUP(tblSales[[#This Row],[Product Code]],tblProducts[Code],tblProducts[Product / Service Name],"⚠ Unknown")</f>
        <v>Socks &amp; Accessories</v>
      </c>
      <c r="H1573" s="1" t="str">
        <f>_xlfn.XLOOKUP(tblSales[[#This Row],[Product Code]],tblProducts[Code],tblProducts[Category],"")</f>
        <v>Accessories &amp; Basics</v>
      </c>
      <c r="I1573" s="4">
        <v>80</v>
      </c>
      <c r="J1573" s="5">
        <f>_xlfn.XLOOKUP(tblSales[[#This Row],[Product Code]],tblProducts[Code],tblProducts[Selling Price (excl. VAT)],0)</f>
        <v>45000</v>
      </c>
      <c r="K1573" s="5">
        <f>tblSales[[#This Row],[Qty]]*tblSales[[#This Row],[Unit Price]]</f>
        <v>3600000</v>
      </c>
      <c r="L1573" s="5">
        <f>ROUND(tblSales[[#This Row],[DPP (excl. VAT)]]*VATEff,0)</f>
        <v>396000</v>
      </c>
      <c r="M1573" s="5">
        <f>tblSales[[#This Row],[DPP (excl. VAT)]]+tblSales[[#This Row],[Output VAT]]</f>
        <v>3996000</v>
      </c>
      <c r="N1573" s="5">
        <f>tblSales[[#This Row],[Qty]]*_xlfn.XLOOKUP(tblSales[[#This Row],[Product Code]],tblProducts[Code],tblProducts[Unit Cost],0)</f>
        <v>1920000</v>
      </c>
      <c r="O1573" s="4" t="s">
        <v>4867</v>
      </c>
      <c r="P1573" s="4" t="s">
        <v>4860</v>
      </c>
      <c r="Q1573" s="1" t="str">
        <f>_xlfn.XLOOKUP(tblSales[[#This Row],[Channel Code]],tblChannels[Channel Code],tblChannels[Channel Name],"")</f>
        <v>In-store</v>
      </c>
      <c r="R1573" s="1">
        <f>MONTH(tblSales[[#This Row],[Date]])</f>
        <v>4</v>
      </c>
    </row>
    <row r="1574" spans="2:18" x14ac:dyDescent="0.35">
      <c r="B1574" s="113">
        <v>46116</v>
      </c>
      <c r="C1574" s="4" t="s">
        <v>1063</v>
      </c>
      <c r="D1574" s="4" t="s">
        <v>4568</v>
      </c>
      <c r="E1574" s="1" t="str">
        <f>_xlfn.XLOOKUP(tblSales[[#This Row],[Customer ID]],tblCustomers[Customer ID],tblCustomers[Customer Name],"⚠ Unknown")</f>
        <v>Walk-in Customer</v>
      </c>
      <c r="F1574" s="4" t="s">
        <v>9</v>
      </c>
      <c r="G1574" s="1" t="str">
        <f>_xlfn.XLOOKUP(tblSales[[#This Row],[Product Code]],tblProducts[Code],tblProducts[Product / Service Name],"⚠ Unknown")</f>
        <v>Casual Shirt</v>
      </c>
      <c r="H1574" s="1" t="str">
        <f>_xlfn.XLOOKUP(tblSales[[#This Row],[Product Code]],tblProducts[Code],tblProducts[Category],"")</f>
        <v>Apparel &amp; Footwear</v>
      </c>
      <c r="I1574" s="4">
        <v>6</v>
      </c>
      <c r="J1574" s="5">
        <f>_xlfn.XLOOKUP(tblSales[[#This Row],[Product Code]],tblProducts[Code],tblProducts[Selling Price (excl. VAT)],0)</f>
        <v>120000</v>
      </c>
      <c r="K1574" s="5">
        <f>tblSales[[#This Row],[Qty]]*tblSales[[#This Row],[Unit Price]]</f>
        <v>720000</v>
      </c>
      <c r="L1574" s="5">
        <f>ROUND(tblSales[[#This Row],[DPP (excl. VAT)]]*VATEff,0)</f>
        <v>79200</v>
      </c>
      <c r="M1574" s="5">
        <f>tblSales[[#This Row],[DPP (excl. VAT)]]+tblSales[[#This Row],[Output VAT]]</f>
        <v>799200</v>
      </c>
      <c r="N1574" s="5">
        <f>tblSales[[#This Row],[Qty]]*_xlfn.XLOOKUP(tblSales[[#This Row],[Product Code]],tblProducts[Code],tblProducts[Unit Cost],0)</f>
        <v>432000</v>
      </c>
      <c r="O1574" s="4" t="s">
        <v>4865</v>
      </c>
      <c r="P1574" s="4" t="s">
        <v>4860</v>
      </c>
      <c r="Q1574" s="1" t="str">
        <f>_xlfn.XLOOKUP(tblSales[[#This Row],[Channel Code]],tblChannels[Channel Code],tblChannels[Channel Name],"")</f>
        <v>In-store</v>
      </c>
      <c r="R1574" s="1">
        <f>MONTH(tblSales[[#This Row],[Date]])</f>
        <v>4</v>
      </c>
    </row>
    <row r="1575" spans="2:18" x14ac:dyDescent="0.35">
      <c r="B1575" s="113">
        <v>46116</v>
      </c>
      <c r="C1575" s="4" t="s">
        <v>1063</v>
      </c>
      <c r="D1575" s="4" t="s">
        <v>4568</v>
      </c>
      <c r="E1575" s="1" t="str">
        <f>_xlfn.XLOOKUP(tblSales[[#This Row],[Customer ID]],tblCustomers[Customer ID],tblCustomers[Customer Name],"⚠ Unknown")</f>
        <v>Walk-in Customer</v>
      </c>
      <c r="F1575" s="4" t="s">
        <v>8</v>
      </c>
      <c r="G1575" s="1" t="str">
        <f>_xlfn.XLOOKUP(tblSales[[#This Row],[Product Code]],tblProducts[Code],tblProducts[Product / Service Name],"⚠ Unknown")</f>
        <v>Casual Shorts</v>
      </c>
      <c r="H1575" s="1" t="str">
        <f>_xlfn.XLOOKUP(tblSales[[#This Row],[Product Code]],tblProducts[Code],tblProducts[Category],"")</f>
        <v>Accessories &amp; Basics</v>
      </c>
      <c r="I1575" s="4">
        <v>7</v>
      </c>
      <c r="J1575" s="5">
        <f>_xlfn.XLOOKUP(tblSales[[#This Row],[Product Code]],tblProducts[Code],tblProducts[Selling Price (excl. VAT)],0)</f>
        <v>85000</v>
      </c>
      <c r="K1575" s="5">
        <f>tblSales[[#This Row],[Qty]]*tblSales[[#This Row],[Unit Price]]</f>
        <v>595000</v>
      </c>
      <c r="L1575" s="5">
        <f>ROUND(tblSales[[#This Row],[DPP (excl. VAT)]]*VATEff,0)</f>
        <v>65450</v>
      </c>
      <c r="M1575" s="5">
        <f>tblSales[[#This Row],[DPP (excl. VAT)]]+tblSales[[#This Row],[Output VAT]]</f>
        <v>660450</v>
      </c>
      <c r="N1575" s="5">
        <f>tblSales[[#This Row],[Qty]]*_xlfn.XLOOKUP(tblSales[[#This Row],[Product Code]],tblProducts[Code],tblProducts[Unit Cost],0)</f>
        <v>350000</v>
      </c>
      <c r="O1575" s="4" t="s">
        <v>4865</v>
      </c>
      <c r="P1575" s="4" t="s">
        <v>4860</v>
      </c>
      <c r="Q1575" s="1" t="str">
        <f>_xlfn.XLOOKUP(tblSales[[#This Row],[Channel Code]],tblChannels[Channel Code],tblChannels[Channel Name],"")</f>
        <v>In-store</v>
      </c>
      <c r="R1575" s="1">
        <f>MONTH(tblSales[[#This Row],[Date]])</f>
        <v>4</v>
      </c>
    </row>
    <row r="1576" spans="2:18" x14ac:dyDescent="0.35">
      <c r="B1576" s="113">
        <v>46116</v>
      </c>
      <c r="C1576" s="4" t="s">
        <v>1063</v>
      </c>
      <c r="D1576" s="4" t="s">
        <v>4568</v>
      </c>
      <c r="E1576" s="1" t="str">
        <f>_xlfn.XLOOKUP(tblSales[[#This Row],[Customer ID]],tblCustomers[Customer ID],tblCustomers[Customer Name],"⚠ Unknown")</f>
        <v>Walk-in Customer</v>
      </c>
      <c r="F1576" s="4" t="s">
        <v>7</v>
      </c>
      <c r="G1576" s="1" t="str">
        <f>_xlfn.XLOOKUP(tblSales[[#This Row],[Product Code]],tblProducts[Code],tblProducts[Product / Service Name],"⚠ Unknown")</f>
        <v>Premium Basic T-shirt</v>
      </c>
      <c r="H1576" s="1" t="str">
        <f>_xlfn.XLOOKUP(tblSales[[#This Row],[Product Code]],tblProducts[Code],tblProducts[Category],"")</f>
        <v>Accessories &amp; Basics</v>
      </c>
      <c r="I1576" s="4">
        <v>9</v>
      </c>
      <c r="J1576" s="5">
        <f>_xlfn.XLOOKUP(tblSales[[#This Row],[Product Code]],tblProducts[Code],tblProducts[Selling Price (excl. VAT)],0)</f>
        <v>65000</v>
      </c>
      <c r="K1576" s="5">
        <f>tblSales[[#This Row],[Qty]]*tblSales[[#This Row],[Unit Price]]</f>
        <v>585000</v>
      </c>
      <c r="L1576" s="5">
        <f>ROUND(tblSales[[#This Row],[DPP (excl. VAT)]]*VATEff,0)</f>
        <v>64350</v>
      </c>
      <c r="M1576" s="5">
        <f>tblSales[[#This Row],[DPP (excl. VAT)]]+tblSales[[#This Row],[Output VAT]]</f>
        <v>649350</v>
      </c>
      <c r="N1576" s="5">
        <f>tblSales[[#This Row],[Qty]]*_xlfn.XLOOKUP(tblSales[[#This Row],[Product Code]],tblProducts[Code],tblProducts[Unit Cost],0)</f>
        <v>333000</v>
      </c>
      <c r="O1576" s="4" t="s">
        <v>4865</v>
      </c>
      <c r="P1576" s="4" t="s">
        <v>4860</v>
      </c>
      <c r="Q1576" s="1" t="str">
        <f>_xlfn.XLOOKUP(tblSales[[#This Row],[Channel Code]],tblChannels[Channel Code],tblChannels[Channel Name],"")</f>
        <v>In-store</v>
      </c>
      <c r="R1576" s="1">
        <f>MONTH(tblSales[[#This Row],[Date]])</f>
        <v>4</v>
      </c>
    </row>
    <row r="1577" spans="2:18" x14ac:dyDescent="0.35">
      <c r="B1577" s="113">
        <v>46116</v>
      </c>
      <c r="C1577" s="4" t="s">
        <v>1064</v>
      </c>
      <c r="D1577" s="4" t="s">
        <v>4568</v>
      </c>
      <c r="E1577" s="1" t="str">
        <f>_xlfn.XLOOKUP(tblSales[[#This Row],[Customer ID]],tblCustomers[Customer ID],tblCustomers[Customer Name],"⚠ Unknown")</f>
        <v>Walk-in Customer</v>
      </c>
      <c r="F1577" s="4" t="s">
        <v>7</v>
      </c>
      <c r="G1577" s="1" t="str">
        <f>_xlfn.XLOOKUP(tblSales[[#This Row],[Product Code]],tblProducts[Code],tblProducts[Product / Service Name],"⚠ Unknown")</f>
        <v>Premium Basic T-shirt</v>
      </c>
      <c r="H1577" s="1" t="str">
        <f>_xlfn.XLOOKUP(tblSales[[#This Row],[Product Code]],tblProducts[Code],tblProducts[Category],"")</f>
        <v>Accessories &amp; Basics</v>
      </c>
      <c r="I1577" s="4">
        <v>10</v>
      </c>
      <c r="J1577" s="5">
        <f>_xlfn.XLOOKUP(tblSales[[#This Row],[Product Code]],tblProducts[Code],tblProducts[Selling Price (excl. VAT)],0)</f>
        <v>65000</v>
      </c>
      <c r="K1577" s="5">
        <f>tblSales[[#This Row],[Qty]]*tblSales[[#This Row],[Unit Price]]</f>
        <v>650000</v>
      </c>
      <c r="L1577" s="5">
        <f>ROUND(tblSales[[#This Row],[DPP (excl. VAT)]]*VATEff,0)</f>
        <v>71500</v>
      </c>
      <c r="M1577" s="5">
        <f>tblSales[[#This Row],[DPP (excl. VAT)]]+tblSales[[#This Row],[Output VAT]]</f>
        <v>721500</v>
      </c>
      <c r="N1577" s="5">
        <f>tblSales[[#This Row],[Qty]]*_xlfn.XLOOKUP(tblSales[[#This Row],[Product Code]],tblProducts[Code],tblProducts[Unit Cost],0)</f>
        <v>370000</v>
      </c>
      <c r="O1577" s="4" t="s">
        <v>4865</v>
      </c>
      <c r="P1577" s="4" t="s">
        <v>4860</v>
      </c>
      <c r="Q1577" s="1" t="str">
        <f>_xlfn.XLOOKUP(tblSales[[#This Row],[Channel Code]],tblChannels[Channel Code],tblChannels[Channel Name],"")</f>
        <v>In-store</v>
      </c>
      <c r="R1577" s="1">
        <f>MONTH(tblSales[[#This Row],[Date]])</f>
        <v>4</v>
      </c>
    </row>
    <row r="1578" spans="2:18" x14ac:dyDescent="0.35">
      <c r="B1578" s="113">
        <v>46116</v>
      </c>
      <c r="C1578" s="4" t="s">
        <v>1065</v>
      </c>
      <c r="D1578" s="4" t="s">
        <v>4634</v>
      </c>
      <c r="E1578" s="1" t="str">
        <f>_xlfn.XLOOKUP(tblSales[[#This Row],[Customer ID]],tblCustomers[Customer ID],tblCustomers[Customer Name],"⚠ Unknown")</f>
        <v>PT Delta Inti Selaras</v>
      </c>
      <c r="F1578" s="4" t="s">
        <v>11</v>
      </c>
      <c r="G1578" s="1" t="str">
        <f>_xlfn.XLOOKUP(tblSales[[#This Row],[Product Code]],tblProducts[Code],tblProducts[Product / Service Name],"⚠ Unknown")</f>
        <v>Sneakers</v>
      </c>
      <c r="H1578" s="1" t="str">
        <f>_xlfn.XLOOKUP(tblSales[[#This Row],[Product Code]],tblProducts[Code],tblProducts[Category],"")</f>
        <v>Apparel &amp; Footwear</v>
      </c>
      <c r="I1578" s="4">
        <v>32</v>
      </c>
      <c r="J1578" s="5">
        <f>_xlfn.XLOOKUP(tblSales[[#This Row],[Product Code]],tblProducts[Code],tblProducts[Selling Price (excl. VAT)],0)</f>
        <v>250000</v>
      </c>
      <c r="K1578" s="5">
        <f>tblSales[[#This Row],[Qty]]*tblSales[[#This Row],[Unit Price]]</f>
        <v>8000000</v>
      </c>
      <c r="L1578" s="5">
        <f>ROUND(tblSales[[#This Row],[DPP (excl. VAT)]]*VATEff,0)</f>
        <v>880000</v>
      </c>
      <c r="M1578" s="5">
        <f>tblSales[[#This Row],[DPP (excl. VAT)]]+tblSales[[#This Row],[Output VAT]]</f>
        <v>8880000</v>
      </c>
      <c r="N1578" s="5">
        <f>tblSales[[#This Row],[Qty]]*_xlfn.XLOOKUP(tblSales[[#This Row],[Product Code]],tblProducts[Code],tblProducts[Unit Cost],0)</f>
        <v>4960000</v>
      </c>
      <c r="O1578" s="4" t="s">
        <v>4867</v>
      </c>
      <c r="P1578" s="4" t="s">
        <v>4860</v>
      </c>
      <c r="Q1578" s="1" t="str">
        <f>_xlfn.XLOOKUP(tblSales[[#This Row],[Channel Code]],tblChannels[Channel Code],tblChannels[Channel Name],"")</f>
        <v>In-store</v>
      </c>
      <c r="R1578" s="1">
        <f>MONTH(tblSales[[#This Row],[Date]])</f>
        <v>4</v>
      </c>
    </row>
    <row r="1579" spans="2:18" x14ac:dyDescent="0.35">
      <c r="B1579" s="113">
        <v>46116</v>
      </c>
      <c r="C1579" s="4" t="s">
        <v>1066</v>
      </c>
      <c r="D1579" s="4" t="s">
        <v>4568</v>
      </c>
      <c r="E1579" s="1" t="str">
        <f>_xlfn.XLOOKUP(tblSales[[#This Row],[Customer ID]],tblCustomers[Customer ID],tblCustomers[Customer Name],"⚠ Unknown")</f>
        <v>Walk-in Customer</v>
      </c>
      <c r="F1579" s="4" t="s">
        <v>12</v>
      </c>
      <c r="G1579" s="1" t="str">
        <f>_xlfn.XLOOKUP(tblSales[[#This Row],[Product Code]],tblProducts[Code],tblProducts[Product / Service Name],"⚠ Unknown")</f>
        <v>Bomber Jacket</v>
      </c>
      <c r="H1579" s="1" t="str">
        <f>_xlfn.XLOOKUP(tblSales[[#This Row],[Product Code]],tblProducts[Code],tblProducts[Category],"")</f>
        <v>Apparel &amp; Footwear</v>
      </c>
      <c r="I1579" s="4">
        <v>2</v>
      </c>
      <c r="J1579" s="5">
        <f>_xlfn.XLOOKUP(tblSales[[#This Row],[Product Code]],tblProducts[Code],tblProducts[Selling Price (excl. VAT)],0)</f>
        <v>350000</v>
      </c>
      <c r="K1579" s="5">
        <f>tblSales[[#This Row],[Qty]]*tblSales[[#This Row],[Unit Price]]</f>
        <v>700000</v>
      </c>
      <c r="L1579" s="5">
        <f>ROUND(tblSales[[#This Row],[DPP (excl. VAT)]]*VATEff,0)</f>
        <v>77000</v>
      </c>
      <c r="M1579" s="5">
        <f>tblSales[[#This Row],[DPP (excl. VAT)]]+tblSales[[#This Row],[Output VAT]]</f>
        <v>777000</v>
      </c>
      <c r="N1579" s="5">
        <f>tblSales[[#This Row],[Qty]]*_xlfn.XLOOKUP(tblSales[[#This Row],[Product Code]],tblProducts[Code],tblProducts[Unit Cost],0)</f>
        <v>420000</v>
      </c>
      <c r="O1579" s="4" t="s">
        <v>4866</v>
      </c>
      <c r="P1579" s="4" t="s">
        <v>4860</v>
      </c>
      <c r="Q1579" s="1" t="str">
        <f>_xlfn.XLOOKUP(tblSales[[#This Row],[Channel Code]],tblChannels[Channel Code],tblChannels[Channel Name],"")</f>
        <v>In-store</v>
      </c>
      <c r="R1579" s="1">
        <f>MONTH(tblSales[[#This Row],[Date]])</f>
        <v>4</v>
      </c>
    </row>
    <row r="1580" spans="2:18" x14ac:dyDescent="0.35">
      <c r="B1580" s="113">
        <v>46116</v>
      </c>
      <c r="C1580" s="4" t="s">
        <v>1067</v>
      </c>
      <c r="D1580" s="4" t="s">
        <v>4568</v>
      </c>
      <c r="E1580" s="1" t="str">
        <f>_xlfn.XLOOKUP(tblSales[[#This Row],[Customer ID]],tblCustomers[Customer ID],tblCustomers[Customer Name],"⚠ Unknown")</f>
        <v>Walk-in Customer</v>
      </c>
      <c r="F1580" s="4" t="s">
        <v>13</v>
      </c>
      <c r="G1580" s="1" t="str">
        <f>_xlfn.XLOOKUP(tblSales[[#This Row],[Product Code]],tblProducts[Code],tblProducts[Product / Service Name],"⚠ Unknown")</f>
        <v>Backpack</v>
      </c>
      <c r="H1580" s="1" t="str">
        <f>_xlfn.XLOOKUP(tblSales[[#This Row],[Product Code]],tblProducts[Code],tblProducts[Category],"")</f>
        <v>Bags &amp; Gadgets</v>
      </c>
      <c r="I1580" s="4">
        <v>5</v>
      </c>
      <c r="J1580" s="5">
        <f>_xlfn.XLOOKUP(tblSales[[#This Row],[Product Code]],tblProducts[Code],tblProducts[Selling Price (excl. VAT)],0)</f>
        <v>500000</v>
      </c>
      <c r="K1580" s="5">
        <f>tblSales[[#This Row],[Qty]]*tblSales[[#This Row],[Unit Price]]</f>
        <v>2500000</v>
      </c>
      <c r="L1580" s="5">
        <f>ROUND(tblSales[[#This Row],[DPP (excl. VAT)]]*VATEff,0)</f>
        <v>275000</v>
      </c>
      <c r="M1580" s="5">
        <f>tblSales[[#This Row],[DPP (excl. VAT)]]+tblSales[[#This Row],[Output VAT]]</f>
        <v>2775000</v>
      </c>
      <c r="N1580" s="5">
        <f>tblSales[[#This Row],[Qty]]*_xlfn.XLOOKUP(tblSales[[#This Row],[Product Code]],tblProducts[Code],tblProducts[Unit Cost],0)</f>
        <v>1450000</v>
      </c>
      <c r="O1580" s="4" t="s">
        <v>4866</v>
      </c>
      <c r="P1580" s="4" t="s">
        <v>4861</v>
      </c>
      <c r="Q1580" s="1" t="str">
        <f>_xlfn.XLOOKUP(tblSales[[#This Row],[Channel Code]],tblChannels[Channel Code],tblChannels[Channel Name],"")</f>
        <v>Marketplace</v>
      </c>
      <c r="R1580" s="1">
        <f>MONTH(tblSales[[#This Row],[Date]])</f>
        <v>4</v>
      </c>
    </row>
    <row r="1581" spans="2:18" x14ac:dyDescent="0.35">
      <c r="B1581" s="113">
        <v>46116</v>
      </c>
      <c r="C1581" s="4" t="s">
        <v>1068</v>
      </c>
      <c r="D1581" s="4" t="s">
        <v>4627</v>
      </c>
      <c r="E1581" s="1" t="str">
        <f>_xlfn.XLOOKUP(tblSales[[#This Row],[Customer ID]],tblCustomers[Customer ID],tblCustomers[Customer Name],"⚠ Unknown")</f>
        <v>PT Kencana Wira Usaha</v>
      </c>
      <c r="F1581" s="4" t="s">
        <v>9</v>
      </c>
      <c r="G1581" s="1" t="str">
        <f>_xlfn.XLOOKUP(tblSales[[#This Row],[Product Code]],tblProducts[Code],tblProducts[Product / Service Name],"⚠ Unknown")</f>
        <v>Casual Shirt</v>
      </c>
      <c r="H1581" s="1" t="str">
        <f>_xlfn.XLOOKUP(tblSales[[#This Row],[Product Code]],tblProducts[Code],tblProducts[Category],"")</f>
        <v>Apparel &amp; Footwear</v>
      </c>
      <c r="I1581" s="4">
        <v>64</v>
      </c>
      <c r="J1581" s="5">
        <f>_xlfn.XLOOKUP(tblSales[[#This Row],[Product Code]],tblProducts[Code],tblProducts[Selling Price (excl. VAT)],0)</f>
        <v>120000</v>
      </c>
      <c r="K1581" s="5">
        <f>tblSales[[#This Row],[Qty]]*tblSales[[#This Row],[Unit Price]]</f>
        <v>7680000</v>
      </c>
      <c r="L1581" s="5">
        <f>ROUND(tblSales[[#This Row],[DPP (excl. VAT)]]*VATEff,0)</f>
        <v>844800</v>
      </c>
      <c r="M1581" s="5">
        <f>tblSales[[#This Row],[DPP (excl. VAT)]]+tblSales[[#This Row],[Output VAT]]</f>
        <v>8524800</v>
      </c>
      <c r="N1581" s="5">
        <f>tblSales[[#This Row],[Qty]]*_xlfn.XLOOKUP(tblSales[[#This Row],[Product Code]],tblProducts[Code],tblProducts[Unit Cost],0)</f>
        <v>4608000</v>
      </c>
      <c r="O1581" s="4" t="s">
        <v>4867</v>
      </c>
      <c r="P1581" s="4" t="s">
        <v>4860</v>
      </c>
      <c r="Q1581" s="1" t="str">
        <f>_xlfn.XLOOKUP(tblSales[[#This Row],[Channel Code]],tblChannels[Channel Code],tblChannels[Channel Name],"")</f>
        <v>In-store</v>
      </c>
      <c r="R1581" s="1">
        <f>MONTH(tblSales[[#This Row],[Date]])</f>
        <v>4</v>
      </c>
    </row>
    <row r="1582" spans="2:18" x14ac:dyDescent="0.35">
      <c r="B1582" s="113">
        <v>46116</v>
      </c>
      <c r="C1582" s="4" t="s">
        <v>1069</v>
      </c>
      <c r="D1582" s="4" t="s">
        <v>4568</v>
      </c>
      <c r="E1582" s="1" t="str">
        <f>_xlfn.XLOOKUP(tblSales[[#This Row],[Customer ID]],tblCustomers[Customer ID],tblCustomers[Customer Name],"⚠ Unknown")</f>
        <v>Walk-in Customer</v>
      </c>
      <c r="F1582" s="4" t="s">
        <v>10</v>
      </c>
      <c r="G1582" s="1" t="str">
        <f>_xlfn.XLOOKUP(tblSales[[#This Row],[Product Code]],tblProducts[Code],tblProducts[Product / Service Name],"⚠ Unknown")</f>
        <v>Chino Pants</v>
      </c>
      <c r="H1582" s="1" t="str">
        <f>_xlfn.XLOOKUP(tblSales[[#This Row],[Product Code]],tblProducts[Code],tblProducts[Category],"")</f>
        <v>Apparel &amp; Footwear</v>
      </c>
      <c r="I1582" s="4">
        <v>2</v>
      </c>
      <c r="J1582" s="5">
        <f>_xlfn.XLOOKUP(tblSales[[#This Row],[Product Code]],tblProducts[Code],tblProducts[Selling Price (excl. VAT)],0)</f>
        <v>150000</v>
      </c>
      <c r="K1582" s="5">
        <f>tblSales[[#This Row],[Qty]]*tblSales[[#This Row],[Unit Price]]</f>
        <v>300000</v>
      </c>
      <c r="L1582" s="5">
        <f>ROUND(tblSales[[#This Row],[DPP (excl. VAT)]]*VATEff,0)</f>
        <v>33000</v>
      </c>
      <c r="M1582" s="5">
        <f>tblSales[[#This Row],[DPP (excl. VAT)]]+tblSales[[#This Row],[Output VAT]]</f>
        <v>333000</v>
      </c>
      <c r="N1582" s="5">
        <f>tblSales[[#This Row],[Qty]]*_xlfn.XLOOKUP(tblSales[[#This Row],[Product Code]],tblProducts[Code],tblProducts[Unit Cost],0)</f>
        <v>176000</v>
      </c>
      <c r="O1582" s="4" t="s">
        <v>4866</v>
      </c>
      <c r="P1582" s="4" t="s">
        <v>4861</v>
      </c>
      <c r="Q1582" s="1" t="str">
        <f>_xlfn.XLOOKUP(tblSales[[#This Row],[Channel Code]],tblChannels[Channel Code],tblChannels[Channel Name],"")</f>
        <v>Marketplace</v>
      </c>
      <c r="R1582" s="1">
        <f>MONTH(tblSales[[#This Row],[Date]])</f>
        <v>4</v>
      </c>
    </row>
    <row r="1583" spans="2:18" x14ac:dyDescent="0.35">
      <c r="B1583" s="113">
        <v>46116</v>
      </c>
      <c r="C1583" s="4" t="s">
        <v>1069</v>
      </c>
      <c r="D1583" s="4" t="s">
        <v>4568</v>
      </c>
      <c r="E1583" s="1" t="str">
        <f>_xlfn.XLOOKUP(tblSales[[#This Row],[Customer ID]],tblCustomers[Customer ID],tblCustomers[Customer Name],"⚠ Unknown")</f>
        <v>Walk-in Customer</v>
      </c>
      <c r="F1583" s="4" t="s">
        <v>7</v>
      </c>
      <c r="G1583" s="1" t="str">
        <f>_xlfn.XLOOKUP(tblSales[[#This Row],[Product Code]],tblProducts[Code],tblProducts[Product / Service Name],"⚠ Unknown")</f>
        <v>Premium Basic T-shirt</v>
      </c>
      <c r="H1583" s="1" t="str">
        <f>_xlfn.XLOOKUP(tblSales[[#This Row],[Product Code]],tblProducts[Code],tblProducts[Category],"")</f>
        <v>Accessories &amp; Basics</v>
      </c>
      <c r="I1583" s="4">
        <v>8</v>
      </c>
      <c r="J1583" s="5">
        <f>_xlfn.XLOOKUP(tblSales[[#This Row],[Product Code]],tblProducts[Code],tblProducts[Selling Price (excl. VAT)],0)</f>
        <v>65000</v>
      </c>
      <c r="K1583" s="5">
        <f>tblSales[[#This Row],[Qty]]*tblSales[[#This Row],[Unit Price]]</f>
        <v>520000</v>
      </c>
      <c r="L1583" s="5">
        <f>ROUND(tblSales[[#This Row],[DPP (excl. VAT)]]*VATEff,0)</f>
        <v>57200</v>
      </c>
      <c r="M1583" s="5">
        <f>tblSales[[#This Row],[DPP (excl. VAT)]]+tblSales[[#This Row],[Output VAT]]</f>
        <v>577200</v>
      </c>
      <c r="N1583" s="5">
        <f>tblSales[[#This Row],[Qty]]*_xlfn.XLOOKUP(tblSales[[#This Row],[Product Code]],tblProducts[Code],tblProducts[Unit Cost],0)</f>
        <v>296000</v>
      </c>
      <c r="O1583" s="4" t="s">
        <v>4866</v>
      </c>
      <c r="P1583" s="4" t="s">
        <v>4861</v>
      </c>
      <c r="Q1583" s="1" t="str">
        <f>_xlfn.XLOOKUP(tblSales[[#This Row],[Channel Code]],tblChannels[Channel Code],tblChannels[Channel Name],"")</f>
        <v>Marketplace</v>
      </c>
      <c r="R1583" s="1">
        <f>MONTH(tblSales[[#This Row],[Date]])</f>
        <v>4</v>
      </c>
    </row>
    <row r="1584" spans="2:18" x14ac:dyDescent="0.35">
      <c r="B1584" s="113">
        <v>46116</v>
      </c>
      <c r="C1584" s="4" t="s">
        <v>1069</v>
      </c>
      <c r="D1584" s="4" t="s">
        <v>4568</v>
      </c>
      <c r="E1584" s="1" t="str">
        <f>_xlfn.XLOOKUP(tblSales[[#This Row],[Customer ID]],tblCustomers[Customer ID],tblCustomers[Customer Name],"⚠ Unknown")</f>
        <v>Walk-in Customer</v>
      </c>
      <c r="F1584" s="4" t="s">
        <v>12</v>
      </c>
      <c r="G1584" s="1" t="str">
        <f>_xlfn.XLOOKUP(tblSales[[#This Row],[Product Code]],tblProducts[Code],tblProducts[Product / Service Name],"⚠ Unknown")</f>
        <v>Bomber Jacket</v>
      </c>
      <c r="H1584" s="1" t="str">
        <f>_xlfn.XLOOKUP(tblSales[[#This Row],[Product Code]],tblProducts[Code],tblProducts[Category],"")</f>
        <v>Apparel &amp; Footwear</v>
      </c>
      <c r="I1584" s="4">
        <v>5</v>
      </c>
      <c r="J1584" s="5">
        <f>_xlfn.XLOOKUP(tblSales[[#This Row],[Product Code]],tblProducts[Code],tblProducts[Selling Price (excl. VAT)],0)</f>
        <v>350000</v>
      </c>
      <c r="K1584" s="5">
        <f>tblSales[[#This Row],[Qty]]*tblSales[[#This Row],[Unit Price]]</f>
        <v>1750000</v>
      </c>
      <c r="L1584" s="5">
        <f>ROUND(tblSales[[#This Row],[DPP (excl. VAT)]]*VATEff,0)</f>
        <v>192500</v>
      </c>
      <c r="M1584" s="5">
        <f>tblSales[[#This Row],[DPP (excl. VAT)]]+tblSales[[#This Row],[Output VAT]]</f>
        <v>1942500</v>
      </c>
      <c r="N1584" s="5">
        <f>tblSales[[#This Row],[Qty]]*_xlfn.XLOOKUP(tblSales[[#This Row],[Product Code]],tblProducts[Code],tblProducts[Unit Cost],0)</f>
        <v>1050000</v>
      </c>
      <c r="O1584" s="4" t="s">
        <v>4866</v>
      </c>
      <c r="P1584" s="4" t="s">
        <v>4861</v>
      </c>
      <c r="Q1584" s="1" t="str">
        <f>_xlfn.XLOOKUP(tblSales[[#This Row],[Channel Code]],tblChannels[Channel Code],tblChannels[Channel Name],"")</f>
        <v>Marketplace</v>
      </c>
      <c r="R1584" s="1">
        <f>MONTH(tblSales[[#This Row],[Date]])</f>
        <v>4</v>
      </c>
    </row>
    <row r="1585" spans="2:18" x14ac:dyDescent="0.35">
      <c r="B1585" s="113">
        <v>46117</v>
      </c>
      <c r="C1585" s="4" t="s">
        <v>1070</v>
      </c>
      <c r="D1585" s="4" t="s">
        <v>4568</v>
      </c>
      <c r="E1585" s="1" t="str">
        <f>_xlfn.XLOOKUP(tblSales[[#This Row],[Customer ID]],tblCustomers[Customer ID],tblCustomers[Customer Name],"⚠ Unknown")</f>
        <v>Walk-in Customer</v>
      </c>
      <c r="F1585" s="4" t="s">
        <v>14</v>
      </c>
      <c r="G1585" s="1" t="str">
        <f>_xlfn.XLOOKUP(tblSales[[#This Row],[Product Code]],tblProducts[Code],tblProducts[Product / Service Name],"⚠ Unknown")</f>
        <v>Smartwatch</v>
      </c>
      <c r="H1585" s="1" t="str">
        <f>_xlfn.XLOOKUP(tblSales[[#This Row],[Product Code]],tblProducts[Code],tblProducts[Category],"")</f>
        <v>Bags &amp; Gadgets</v>
      </c>
      <c r="I1585" s="4">
        <v>3</v>
      </c>
      <c r="J1585" s="5">
        <f>_xlfn.XLOOKUP(tblSales[[#This Row],[Product Code]],tblProducts[Code],tblProducts[Selling Price (excl. VAT)],0)</f>
        <v>850000</v>
      </c>
      <c r="K1585" s="5">
        <f>tblSales[[#This Row],[Qty]]*tblSales[[#This Row],[Unit Price]]</f>
        <v>2550000</v>
      </c>
      <c r="L1585" s="5">
        <f>ROUND(tblSales[[#This Row],[DPP (excl. VAT)]]*VATEff,0)</f>
        <v>280500</v>
      </c>
      <c r="M1585" s="5">
        <f>tblSales[[#This Row],[DPP (excl. VAT)]]+tblSales[[#This Row],[Output VAT]]</f>
        <v>2830500</v>
      </c>
      <c r="N1585" s="5">
        <f>tblSales[[#This Row],[Qty]]*_xlfn.XLOOKUP(tblSales[[#This Row],[Product Code]],tblProducts[Code],tblProducts[Unit Cost],0)</f>
        <v>1680000</v>
      </c>
      <c r="O1585" s="4" t="s">
        <v>4865</v>
      </c>
      <c r="P1585" s="4" t="s">
        <v>4860</v>
      </c>
      <c r="Q1585" s="1" t="str">
        <f>_xlfn.XLOOKUP(tblSales[[#This Row],[Channel Code]],tblChannels[Channel Code],tblChannels[Channel Name],"")</f>
        <v>In-store</v>
      </c>
      <c r="R1585" s="1">
        <f>MONTH(tblSales[[#This Row],[Date]])</f>
        <v>4</v>
      </c>
    </row>
    <row r="1586" spans="2:18" x14ac:dyDescent="0.35">
      <c r="B1586" s="113">
        <v>46117</v>
      </c>
      <c r="C1586" s="4" t="s">
        <v>1071</v>
      </c>
      <c r="D1586" s="4" t="s">
        <v>4606</v>
      </c>
      <c r="E1586" s="1" t="str">
        <f>_xlfn.XLOOKUP(tblSales[[#This Row],[Customer ID]],tblCustomers[Customer ID],tblCustomers[Customer Name],"⚠ Unknown")</f>
        <v>PT Arunika Digital Kreatif</v>
      </c>
      <c r="F1586" s="4" t="s">
        <v>14</v>
      </c>
      <c r="G1586" s="1" t="str">
        <f>_xlfn.XLOOKUP(tblSales[[#This Row],[Product Code]],tblProducts[Code],tblProducts[Product / Service Name],"⚠ Unknown")</f>
        <v>Smartwatch</v>
      </c>
      <c r="H1586" s="1" t="str">
        <f>_xlfn.XLOOKUP(tblSales[[#This Row],[Product Code]],tblProducts[Code],tblProducts[Category],"")</f>
        <v>Bags &amp; Gadgets</v>
      </c>
      <c r="I1586" s="4">
        <v>8</v>
      </c>
      <c r="J1586" s="5">
        <f>_xlfn.XLOOKUP(tblSales[[#This Row],[Product Code]],tblProducts[Code],tblProducts[Selling Price (excl. VAT)],0)</f>
        <v>850000</v>
      </c>
      <c r="K1586" s="5">
        <f>tblSales[[#This Row],[Qty]]*tblSales[[#This Row],[Unit Price]]</f>
        <v>6800000</v>
      </c>
      <c r="L1586" s="5">
        <f>ROUND(tblSales[[#This Row],[DPP (excl. VAT)]]*VATEff,0)</f>
        <v>748000</v>
      </c>
      <c r="M1586" s="5">
        <f>tblSales[[#This Row],[DPP (excl. VAT)]]+tblSales[[#This Row],[Output VAT]]</f>
        <v>7548000</v>
      </c>
      <c r="N1586" s="5">
        <f>tblSales[[#This Row],[Qty]]*_xlfn.XLOOKUP(tblSales[[#This Row],[Product Code]],tblProducts[Code],tblProducts[Unit Cost],0)</f>
        <v>4480000</v>
      </c>
      <c r="O1586" s="4" t="s">
        <v>4867</v>
      </c>
      <c r="P1586" s="4" t="s">
        <v>4862</v>
      </c>
      <c r="Q1586" s="1" t="str">
        <f>_xlfn.XLOOKUP(tblSales[[#This Row],[Channel Code]],tblChannels[Channel Code],tblChannels[Channel Name],"")</f>
        <v>Website &amp; Social Media</v>
      </c>
      <c r="R1586" s="1">
        <f>MONTH(tblSales[[#This Row],[Date]])</f>
        <v>4</v>
      </c>
    </row>
    <row r="1587" spans="2:18" x14ac:dyDescent="0.35">
      <c r="B1587" s="113">
        <v>46117</v>
      </c>
      <c r="C1587" s="4" t="s">
        <v>1071</v>
      </c>
      <c r="D1587" s="4" t="s">
        <v>4606</v>
      </c>
      <c r="E1587" s="1" t="str">
        <f>_xlfn.XLOOKUP(tblSales[[#This Row],[Customer ID]],tblCustomers[Customer ID],tblCustomers[Customer Name],"⚠ Unknown")</f>
        <v>PT Arunika Digital Kreatif</v>
      </c>
      <c r="F1587" s="4" t="s">
        <v>6</v>
      </c>
      <c r="G1587" s="1" t="str">
        <f>_xlfn.XLOOKUP(tblSales[[#This Row],[Product Code]],tblProducts[Code],tblProducts[Product / Service Name],"⚠ Unknown")</f>
        <v>Socks &amp; Accessories</v>
      </c>
      <c r="H1587" s="1" t="str">
        <f>_xlfn.XLOOKUP(tblSales[[#This Row],[Product Code]],tblProducts[Code],tblProducts[Category],"")</f>
        <v>Accessories &amp; Basics</v>
      </c>
      <c r="I1587" s="4">
        <v>40</v>
      </c>
      <c r="J1587" s="5">
        <f>_xlfn.XLOOKUP(tblSales[[#This Row],[Product Code]],tblProducts[Code],tblProducts[Selling Price (excl. VAT)],0)</f>
        <v>45000</v>
      </c>
      <c r="K1587" s="5">
        <f>tblSales[[#This Row],[Qty]]*tblSales[[#This Row],[Unit Price]]</f>
        <v>1800000</v>
      </c>
      <c r="L1587" s="5">
        <f>ROUND(tblSales[[#This Row],[DPP (excl. VAT)]]*VATEff,0)</f>
        <v>198000</v>
      </c>
      <c r="M1587" s="5">
        <f>tblSales[[#This Row],[DPP (excl. VAT)]]+tblSales[[#This Row],[Output VAT]]</f>
        <v>1998000</v>
      </c>
      <c r="N1587" s="5">
        <f>tblSales[[#This Row],[Qty]]*_xlfn.XLOOKUP(tblSales[[#This Row],[Product Code]],tblProducts[Code],tblProducts[Unit Cost],0)</f>
        <v>960000</v>
      </c>
      <c r="O1587" s="4" t="s">
        <v>4867</v>
      </c>
      <c r="P1587" s="4" t="s">
        <v>4862</v>
      </c>
      <c r="Q1587" s="1" t="str">
        <f>_xlfn.XLOOKUP(tblSales[[#This Row],[Channel Code]],tblChannels[Channel Code],tblChannels[Channel Name],"")</f>
        <v>Website &amp; Social Media</v>
      </c>
      <c r="R1587" s="1">
        <f>MONTH(tblSales[[#This Row],[Date]])</f>
        <v>4</v>
      </c>
    </row>
    <row r="1588" spans="2:18" x14ac:dyDescent="0.35">
      <c r="B1588" s="113">
        <v>46117</v>
      </c>
      <c r="C1588" s="4" t="s">
        <v>1072</v>
      </c>
      <c r="D1588" s="4" t="s">
        <v>4568</v>
      </c>
      <c r="E1588" s="1" t="str">
        <f>_xlfn.XLOOKUP(tblSales[[#This Row],[Customer ID]],tblCustomers[Customer ID],tblCustomers[Customer Name],"⚠ Unknown")</f>
        <v>Walk-in Customer</v>
      </c>
      <c r="F1588" s="4" t="s">
        <v>6</v>
      </c>
      <c r="G1588" s="1" t="str">
        <f>_xlfn.XLOOKUP(tblSales[[#This Row],[Product Code]],tblProducts[Code],tblProducts[Product / Service Name],"⚠ Unknown")</f>
        <v>Socks &amp; Accessories</v>
      </c>
      <c r="H1588" s="1" t="str">
        <f>_xlfn.XLOOKUP(tblSales[[#This Row],[Product Code]],tblProducts[Code],tblProducts[Category],"")</f>
        <v>Accessories &amp; Basics</v>
      </c>
      <c r="I1588" s="4">
        <v>8</v>
      </c>
      <c r="J1588" s="5">
        <f>_xlfn.XLOOKUP(tblSales[[#This Row],[Product Code]],tblProducts[Code],tblProducts[Selling Price (excl. VAT)],0)</f>
        <v>45000</v>
      </c>
      <c r="K1588" s="5">
        <f>tblSales[[#This Row],[Qty]]*tblSales[[#This Row],[Unit Price]]</f>
        <v>360000</v>
      </c>
      <c r="L1588" s="5">
        <f>ROUND(tblSales[[#This Row],[DPP (excl. VAT)]]*VATEff,0)</f>
        <v>39600</v>
      </c>
      <c r="M1588" s="5">
        <f>tblSales[[#This Row],[DPP (excl. VAT)]]+tblSales[[#This Row],[Output VAT]]</f>
        <v>399600</v>
      </c>
      <c r="N1588" s="5">
        <f>tblSales[[#This Row],[Qty]]*_xlfn.XLOOKUP(tblSales[[#This Row],[Product Code]],tblProducts[Code],tblProducts[Unit Cost],0)</f>
        <v>192000</v>
      </c>
      <c r="O1588" s="4" t="s">
        <v>4866</v>
      </c>
      <c r="P1588" s="4" t="s">
        <v>4861</v>
      </c>
      <c r="Q1588" s="1" t="str">
        <f>_xlfn.XLOOKUP(tblSales[[#This Row],[Channel Code]],tblChannels[Channel Code],tblChannels[Channel Name],"")</f>
        <v>Marketplace</v>
      </c>
      <c r="R1588" s="1">
        <f>MONTH(tblSales[[#This Row],[Date]])</f>
        <v>4</v>
      </c>
    </row>
    <row r="1589" spans="2:18" x14ac:dyDescent="0.35">
      <c r="B1589" s="113">
        <v>46117</v>
      </c>
      <c r="C1589" s="4" t="s">
        <v>1073</v>
      </c>
      <c r="D1589" s="4" t="s">
        <v>4568</v>
      </c>
      <c r="E1589" s="1" t="str">
        <f>_xlfn.XLOOKUP(tblSales[[#This Row],[Customer ID]],tblCustomers[Customer ID],tblCustomers[Customer Name],"⚠ Unknown")</f>
        <v>Walk-in Customer</v>
      </c>
      <c r="F1589" s="4" t="s">
        <v>14</v>
      </c>
      <c r="G1589" s="1" t="str">
        <f>_xlfn.XLOOKUP(tblSales[[#This Row],[Product Code]],tblProducts[Code],tblProducts[Product / Service Name],"⚠ Unknown")</f>
        <v>Smartwatch</v>
      </c>
      <c r="H1589" s="1" t="str">
        <f>_xlfn.XLOOKUP(tblSales[[#This Row],[Product Code]],tblProducts[Code],tblProducts[Category],"")</f>
        <v>Bags &amp; Gadgets</v>
      </c>
      <c r="I1589" s="4">
        <v>3</v>
      </c>
      <c r="J1589" s="5">
        <f>_xlfn.XLOOKUP(tblSales[[#This Row],[Product Code]],tblProducts[Code],tblProducts[Selling Price (excl. VAT)],0)</f>
        <v>850000</v>
      </c>
      <c r="K1589" s="5">
        <f>tblSales[[#This Row],[Qty]]*tblSales[[#This Row],[Unit Price]]</f>
        <v>2550000</v>
      </c>
      <c r="L1589" s="5">
        <f>ROUND(tblSales[[#This Row],[DPP (excl. VAT)]]*VATEff,0)</f>
        <v>280500</v>
      </c>
      <c r="M1589" s="5">
        <f>tblSales[[#This Row],[DPP (excl. VAT)]]+tblSales[[#This Row],[Output VAT]]</f>
        <v>2830500</v>
      </c>
      <c r="N1589" s="5">
        <f>tblSales[[#This Row],[Qty]]*_xlfn.XLOOKUP(tblSales[[#This Row],[Product Code]],tblProducts[Code],tblProducts[Unit Cost],0)</f>
        <v>1680000</v>
      </c>
      <c r="O1589" s="4" t="s">
        <v>4865</v>
      </c>
      <c r="P1589" s="4" t="s">
        <v>4860</v>
      </c>
      <c r="Q1589" s="1" t="str">
        <f>_xlfn.XLOOKUP(tblSales[[#This Row],[Channel Code]],tblChannels[Channel Code],tblChannels[Channel Name],"")</f>
        <v>In-store</v>
      </c>
      <c r="R1589" s="1">
        <f>MONTH(tblSales[[#This Row],[Date]])</f>
        <v>4</v>
      </c>
    </row>
    <row r="1590" spans="2:18" x14ac:dyDescent="0.35">
      <c r="B1590" s="113">
        <v>46117</v>
      </c>
      <c r="C1590" s="4" t="s">
        <v>1074</v>
      </c>
      <c r="D1590" s="4" t="s">
        <v>4593</v>
      </c>
      <c r="E1590" s="1" t="str">
        <f>_xlfn.XLOOKUP(tblSales[[#This Row],[Customer ID]],tblCustomers[Customer ID],tblCustomers[Customer Name],"⚠ Unknown")</f>
        <v>PT Graha Nusa Persada</v>
      </c>
      <c r="F1590" s="4" t="s">
        <v>6</v>
      </c>
      <c r="G1590" s="1" t="str">
        <f>_xlfn.XLOOKUP(tblSales[[#This Row],[Product Code]],tblProducts[Code],tblProducts[Product / Service Name],"⚠ Unknown")</f>
        <v>Socks &amp; Accessories</v>
      </c>
      <c r="H1590" s="1" t="str">
        <f>_xlfn.XLOOKUP(tblSales[[#This Row],[Product Code]],tblProducts[Code],tblProducts[Category],"")</f>
        <v>Accessories &amp; Basics</v>
      </c>
      <c r="I1590" s="4">
        <v>48</v>
      </c>
      <c r="J1590" s="5">
        <f>_xlfn.XLOOKUP(tblSales[[#This Row],[Product Code]],tblProducts[Code],tblProducts[Selling Price (excl. VAT)],0)</f>
        <v>45000</v>
      </c>
      <c r="K1590" s="5">
        <f>tblSales[[#This Row],[Qty]]*tblSales[[#This Row],[Unit Price]]</f>
        <v>2160000</v>
      </c>
      <c r="L1590" s="5">
        <f>ROUND(tblSales[[#This Row],[DPP (excl. VAT)]]*VATEff,0)</f>
        <v>237600</v>
      </c>
      <c r="M1590" s="5">
        <f>tblSales[[#This Row],[DPP (excl. VAT)]]+tblSales[[#This Row],[Output VAT]]</f>
        <v>2397600</v>
      </c>
      <c r="N1590" s="5">
        <f>tblSales[[#This Row],[Qty]]*_xlfn.XLOOKUP(tblSales[[#This Row],[Product Code]],tblProducts[Code],tblProducts[Unit Cost],0)</f>
        <v>1152000</v>
      </c>
      <c r="O1590" s="4" t="s">
        <v>4867</v>
      </c>
      <c r="P1590" s="4" t="s">
        <v>4860</v>
      </c>
      <c r="Q1590" s="1" t="str">
        <f>_xlfn.XLOOKUP(tblSales[[#This Row],[Channel Code]],tblChannels[Channel Code],tblChannels[Channel Name],"")</f>
        <v>In-store</v>
      </c>
      <c r="R1590" s="1">
        <f>MONTH(tblSales[[#This Row],[Date]])</f>
        <v>4</v>
      </c>
    </row>
    <row r="1591" spans="2:18" x14ac:dyDescent="0.35">
      <c r="B1591" s="113">
        <v>46117</v>
      </c>
      <c r="C1591" s="4" t="s">
        <v>1074</v>
      </c>
      <c r="D1591" s="4" t="s">
        <v>4593</v>
      </c>
      <c r="E1591" s="1" t="str">
        <f>_xlfn.XLOOKUP(tblSales[[#This Row],[Customer ID]],tblCustomers[Customer ID],tblCustomers[Customer Name],"⚠ Unknown")</f>
        <v>PT Graha Nusa Persada</v>
      </c>
      <c r="F1591" s="4" t="s">
        <v>8</v>
      </c>
      <c r="G1591" s="1" t="str">
        <f>_xlfn.XLOOKUP(tblSales[[#This Row],[Product Code]],tblProducts[Code],tblProducts[Product / Service Name],"⚠ Unknown")</f>
        <v>Casual Shorts</v>
      </c>
      <c r="H1591" s="1" t="str">
        <f>_xlfn.XLOOKUP(tblSales[[#This Row],[Product Code]],tblProducts[Code],tblProducts[Category],"")</f>
        <v>Accessories &amp; Basics</v>
      </c>
      <c r="I1591" s="4">
        <v>88</v>
      </c>
      <c r="J1591" s="5">
        <f>_xlfn.XLOOKUP(tblSales[[#This Row],[Product Code]],tblProducts[Code],tblProducts[Selling Price (excl. VAT)],0)</f>
        <v>85000</v>
      </c>
      <c r="K1591" s="5">
        <f>tblSales[[#This Row],[Qty]]*tblSales[[#This Row],[Unit Price]]</f>
        <v>7480000</v>
      </c>
      <c r="L1591" s="5">
        <f>ROUND(tblSales[[#This Row],[DPP (excl. VAT)]]*VATEff,0)</f>
        <v>822800</v>
      </c>
      <c r="M1591" s="5">
        <f>tblSales[[#This Row],[DPP (excl. VAT)]]+tblSales[[#This Row],[Output VAT]]</f>
        <v>8302800</v>
      </c>
      <c r="N1591" s="5">
        <f>tblSales[[#This Row],[Qty]]*_xlfn.XLOOKUP(tblSales[[#This Row],[Product Code]],tblProducts[Code],tblProducts[Unit Cost],0)</f>
        <v>4400000</v>
      </c>
      <c r="O1591" s="4" t="s">
        <v>4867</v>
      </c>
      <c r="P1591" s="4" t="s">
        <v>4860</v>
      </c>
      <c r="Q1591" s="1" t="str">
        <f>_xlfn.XLOOKUP(tblSales[[#This Row],[Channel Code]],tblChannels[Channel Code],tblChannels[Channel Name],"")</f>
        <v>In-store</v>
      </c>
      <c r="R1591" s="1">
        <f>MONTH(tblSales[[#This Row],[Date]])</f>
        <v>4</v>
      </c>
    </row>
    <row r="1592" spans="2:18" x14ac:dyDescent="0.35">
      <c r="B1592" s="113">
        <v>46117</v>
      </c>
      <c r="C1592" s="4" t="s">
        <v>1075</v>
      </c>
      <c r="D1592" s="4" t="s">
        <v>4568</v>
      </c>
      <c r="E1592" s="1" t="str">
        <f>_xlfn.XLOOKUP(tblSales[[#This Row],[Customer ID]],tblCustomers[Customer ID],tblCustomers[Customer Name],"⚠ Unknown")</f>
        <v>Walk-in Customer</v>
      </c>
      <c r="F1592" s="4" t="s">
        <v>7</v>
      </c>
      <c r="G1592" s="1" t="str">
        <f>_xlfn.XLOOKUP(tblSales[[#This Row],[Product Code]],tblProducts[Code],tblProducts[Product / Service Name],"⚠ Unknown")</f>
        <v>Premium Basic T-shirt</v>
      </c>
      <c r="H1592" s="1" t="str">
        <f>_xlfn.XLOOKUP(tblSales[[#This Row],[Product Code]],tblProducts[Code],tblProducts[Category],"")</f>
        <v>Accessories &amp; Basics</v>
      </c>
      <c r="I1592" s="4">
        <v>2</v>
      </c>
      <c r="J1592" s="5">
        <f>_xlfn.XLOOKUP(tblSales[[#This Row],[Product Code]],tblProducts[Code],tblProducts[Selling Price (excl. VAT)],0)</f>
        <v>65000</v>
      </c>
      <c r="K1592" s="5">
        <f>tblSales[[#This Row],[Qty]]*tblSales[[#This Row],[Unit Price]]</f>
        <v>130000</v>
      </c>
      <c r="L1592" s="5">
        <f>ROUND(tblSales[[#This Row],[DPP (excl. VAT)]]*VATEff,0)</f>
        <v>14300</v>
      </c>
      <c r="M1592" s="5">
        <f>tblSales[[#This Row],[DPP (excl. VAT)]]+tblSales[[#This Row],[Output VAT]]</f>
        <v>144300</v>
      </c>
      <c r="N1592" s="5">
        <f>tblSales[[#This Row],[Qty]]*_xlfn.XLOOKUP(tblSales[[#This Row],[Product Code]],tblProducts[Code],tblProducts[Unit Cost],0)</f>
        <v>74000</v>
      </c>
      <c r="O1592" s="4" t="s">
        <v>4865</v>
      </c>
      <c r="P1592" s="4" t="s">
        <v>4860</v>
      </c>
      <c r="Q1592" s="1" t="str">
        <f>_xlfn.XLOOKUP(tblSales[[#This Row],[Channel Code]],tblChannels[Channel Code],tblChannels[Channel Name],"")</f>
        <v>In-store</v>
      </c>
      <c r="R1592" s="1">
        <f>MONTH(tblSales[[#This Row],[Date]])</f>
        <v>4</v>
      </c>
    </row>
    <row r="1593" spans="2:18" x14ac:dyDescent="0.35">
      <c r="B1593" s="113">
        <v>46117</v>
      </c>
      <c r="C1593" s="4" t="s">
        <v>1076</v>
      </c>
      <c r="D1593" s="4" t="s">
        <v>4568</v>
      </c>
      <c r="E1593" s="1" t="str">
        <f>_xlfn.XLOOKUP(tblSales[[#This Row],[Customer ID]],tblCustomers[Customer ID],tblCustomers[Customer Name],"⚠ Unknown")</f>
        <v>Walk-in Customer</v>
      </c>
      <c r="F1593" s="4" t="s">
        <v>6</v>
      </c>
      <c r="G1593" s="1" t="str">
        <f>_xlfn.XLOOKUP(tblSales[[#This Row],[Product Code]],tblProducts[Code],tblProducts[Product / Service Name],"⚠ Unknown")</f>
        <v>Socks &amp; Accessories</v>
      </c>
      <c r="H1593" s="1" t="str">
        <f>_xlfn.XLOOKUP(tblSales[[#This Row],[Product Code]],tblProducts[Code],tblProducts[Category],"")</f>
        <v>Accessories &amp; Basics</v>
      </c>
      <c r="I1593" s="4">
        <v>11</v>
      </c>
      <c r="J1593" s="5">
        <f>_xlfn.XLOOKUP(tblSales[[#This Row],[Product Code]],tblProducts[Code],tblProducts[Selling Price (excl. VAT)],0)</f>
        <v>45000</v>
      </c>
      <c r="K1593" s="5">
        <f>tblSales[[#This Row],[Qty]]*tblSales[[#This Row],[Unit Price]]</f>
        <v>495000</v>
      </c>
      <c r="L1593" s="5">
        <f>ROUND(tblSales[[#This Row],[DPP (excl. VAT)]]*VATEff,0)</f>
        <v>54450</v>
      </c>
      <c r="M1593" s="5">
        <f>tblSales[[#This Row],[DPP (excl. VAT)]]+tblSales[[#This Row],[Output VAT]]</f>
        <v>549450</v>
      </c>
      <c r="N1593" s="5">
        <f>tblSales[[#This Row],[Qty]]*_xlfn.XLOOKUP(tblSales[[#This Row],[Product Code]],tblProducts[Code],tblProducts[Unit Cost],0)</f>
        <v>264000</v>
      </c>
      <c r="O1593" s="4" t="s">
        <v>4865</v>
      </c>
      <c r="P1593" s="4" t="s">
        <v>4860</v>
      </c>
      <c r="Q1593" s="1" t="str">
        <f>_xlfn.XLOOKUP(tblSales[[#This Row],[Channel Code]],tblChannels[Channel Code],tblChannels[Channel Name],"")</f>
        <v>In-store</v>
      </c>
      <c r="R1593" s="1">
        <f>MONTH(tblSales[[#This Row],[Date]])</f>
        <v>4</v>
      </c>
    </row>
    <row r="1594" spans="2:18" x14ac:dyDescent="0.35">
      <c r="B1594" s="113">
        <v>46117</v>
      </c>
      <c r="C1594" s="4" t="s">
        <v>1076</v>
      </c>
      <c r="D1594" s="4" t="s">
        <v>4568</v>
      </c>
      <c r="E1594" s="1" t="str">
        <f>_xlfn.XLOOKUP(tblSales[[#This Row],[Customer ID]],tblCustomers[Customer ID],tblCustomers[Customer Name],"⚠ Unknown")</f>
        <v>Walk-in Customer</v>
      </c>
      <c r="F1594" s="4" t="s">
        <v>13</v>
      </c>
      <c r="G1594" s="1" t="str">
        <f>_xlfn.XLOOKUP(tblSales[[#This Row],[Product Code]],tblProducts[Code],tblProducts[Product / Service Name],"⚠ Unknown")</f>
        <v>Backpack</v>
      </c>
      <c r="H1594" s="1" t="str">
        <f>_xlfn.XLOOKUP(tblSales[[#This Row],[Product Code]],tblProducts[Code],tblProducts[Category],"")</f>
        <v>Bags &amp; Gadgets</v>
      </c>
      <c r="I1594" s="4">
        <v>5</v>
      </c>
      <c r="J1594" s="5">
        <f>_xlfn.XLOOKUP(tblSales[[#This Row],[Product Code]],tblProducts[Code],tblProducts[Selling Price (excl. VAT)],0)</f>
        <v>500000</v>
      </c>
      <c r="K1594" s="5">
        <f>tblSales[[#This Row],[Qty]]*tblSales[[#This Row],[Unit Price]]</f>
        <v>2500000</v>
      </c>
      <c r="L1594" s="5">
        <f>ROUND(tblSales[[#This Row],[DPP (excl. VAT)]]*VATEff,0)</f>
        <v>275000</v>
      </c>
      <c r="M1594" s="5">
        <f>tblSales[[#This Row],[DPP (excl. VAT)]]+tblSales[[#This Row],[Output VAT]]</f>
        <v>2775000</v>
      </c>
      <c r="N1594" s="5">
        <f>tblSales[[#This Row],[Qty]]*_xlfn.XLOOKUP(tblSales[[#This Row],[Product Code]],tblProducts[Code],tblProducts[Unit Cost],0)</f>
        <v>1450000</v>
      </c>
      <c r="O1594" s="4" t="s">
        <v>4865</v>
      </c>
      <c r="P1594" s="4" t="s">
        <v>4860</v>
      </c>
      <c r="Q1594" s="1" t="str">
        <f>_xlfn.XLOOKUP(tblSales[[#This Row],[Channel Code]],tblChannels[Channel Code],tblChannels[Channel Name],"")</f>
        <v>In-store</v>
      </c>
      <c r="R1594" s="1">
        <f>MONTH(tblSales[[#This Row],[Date]])</f>
        <v>4</v>
      </c>
    </row>
    <row r="1595" spans="2:18" x14ac:dyDescent="0.35">
      <c r="B1595" s="113">
        <v>46117</v>
      </c>
      <c r="C1595" s="4" t="s">
        <v>1077</v>
      </c>
      <c r="D1595" s="4" t="s">
        <v>4568</v>
      </c>
      <c r="E1595" s="1" t="str">
        <f>_xlfn.XLOOKUP(tblSales[[#This Row],[Customer ID]],tblCustomers[Customer ID],tblCustomers[Customer Name],"⚠ Unknown")</f>
        <v>Walk-in Customer</v>
      </c>
      <c r="F1595" s="4" t="s">
        <v>9</v>
      </c>
      <c r="G1595" s="1" t="str">
        <f>_xlfn.XLOOKUP(tblSales[[#This Row],[Product Code]],tblProducts[Code],tblProducts[Product / Service Name],"⚠ Unknown")</f>
        <v>Casual Shirt</v>
      </c>
      <c r="H1595" s="1" t="str">
        <f>_xlfn.XLOOKUP(tblSales[[#This Row],[Product Code]],tblProducts[Code],tblProducts[Category],"")</f>
        <v>Apparel &amp; Footwear</v>
      </c>
      <c r="I1595" s="4">
        <v>5</v>
      </c>
      <c r="J1595" s="5">
        <f>_xlfn.XLOOKUP(tblSales[[#This Row],[Product Code]],tblProducts[Code],tblProducts[Selling Price (excl. VAT)],0)</f>
        <v>120000</v>
      </c>
      <c r="K1595" s="5">
        <f>tblSales[[#This Row],[Qty]]*tblSales[[#This Row],[Unit Price]]</f>
        <v>600000</v>
      </c>
      <c r="L1595" s="5">
        <f>ROUND(tblSales[[#This Row],[DPP (excl. VAT)]]*VATEff,0)</f>
        <v>66000</v>
      </c>
      <c r="M1595" s="5">
        <f>tblSales[[#This Row],[DPP (excl. VAT)]]+tblSales[[#This Row],[Output VAT]]</f>
        <v>666000</v>
      </c>
      <c r="N1595" s="5">
        <f>tblSales[[#This Row],[Qty]]*_xlfn.XLOOKUP(tblSales[[#This Row],[Product Code]],tblProducts[Code],tblProducts[Unit Cost],0)</f>
        <v>360000</v>
      </c>
      <c r="O1595" s="4" t="s">
        <v>4866</v>
      </c>
      <c r="P1595" s="4" t="s">
        <v>4862</v>
      </c>
      <c r="Q1595" s="1" t="str">
        <f>_xlfn.XLOOKUP(tblSales[[#This Row],[Channel Code]],tblChannels[Channel Code],tblChannels[Channel Name],"")</f>
        <v>Website &amp; Social Media</v>
      </c>
      <c r="R1595" s="1">
        <f>MONTH(tblSales[[#This Row],[Date]])</f>
        <v>4</v>
      </c>
    </row>
    <row r="1596" spans="2:18" x14ac:dyDescent="0.35">
      <c r="B1596" s="113">
        <v>46117</v>
      </c>
      <c r="C1596" s="4" t="s">
        <v>1078</v>
      </c>
      <c r="D1596" s="4" t="s">
        <v>4593</v>
      </c>
      <c r="E1596" s="1" t="str">
        <f>_xlfn.XLOOKUP(tblSales[[#This Row],[Customer ID]],tblCustomers[Customer ID],tblCustomers[Customer Name],"⚠ Unknown")</f>
        <v>PT Graha Nusa Persada</v>
      </c>
      <c r="F1596" s="4" t="s">
        <v>6</v>
      </c>
      <c r="G1596" s="1" t="str">
        <f>_xlfn.XLOOKUP(tblSales[[#This Row],[Product Code]],tblProducts[Code],tblProducts[Product / Service Name],"⚠ Unknown")</f>
        <v>Socks &amp; Accessories</v>
      </c>
      <c r="H1596" s="1" t="str">
        <f>_xlfn.XLOOKUP(tblSales[[#This Row],[Product Code]],tblProducts[Code],tblProducts[Category],"")</f>
        <v>Accessories &amp; Basics</v>
      </c>
      <c r="I1596" s="4">
        <v>64</v>
      </c>
      <c r="J1596" s="5">
        <f>_xlfn.XLOOKUP(tblSales[[#This Row],[Product Code]],tblProducts[Code],tblProducts[Selling Price (excl. VAT)],0)</f>
        <v>45000</v>
      </c>
      <c r="K1596" s="5">
        <f>tblSales[[#This Row],[Qty]]*tblSales[[#This Row],[Unit Price]]</f>
        <v>2880000</v>
      </c>
      <c r="L1596" s="5">
        <f>ROUND(tblSales[[#This Row],[DPP (excl. VAT)]]*VATEff,0)</f>
        <v>316800</v>
      </c>
      <c r="M1596" s="5">
        <f>tblSales[[#This Row],[DPP (excl. VAT)]]+tblSales[[#This Row],[Output VAT]]</f>
        <v>3196800</v>
      </c>
      <c r="N1596" s="5">
        <f>tblSales[[#This Row],[Qty]]*_xlfn.XLOOKUP(tblSales[[#This Row],[Product Code]],tblProducts[Code],tblProducts[Unit Cost],0)</f>
        <v>1536000</v>
      </c>
      <c r="O1596" s="4" t="s">
        <v>4867</v>
      </c>
      <c r="P1596" s="4" t="s">
        <v>4860</v>
      </c>
      <c r="Q1596" s="1" t="str">
        <f>_xlfn.XLOOKUP(tblSales[[#This Row],[Channel Code]],tblChannels[Channel Code],tblChannels[Channel Name],"")</f>
        <v>In-store</v>
      </c>
      <c r="R1596" s="1">
        <f>MONTH(tblSales[[#This Row],[Date]])</f>
        <v>4</v>
      </c>
    </row>
    <row r="1597" spans="2:18" x14ac:dyDescent="0.35">
      <c r="B1597" s="113">
        <v>46117</v>
      </c>
      <c r="C1597" s="4" t="s">
        <v>1079</v>
      </c>
      <c r="D1597" s="4" t="s">
        <v>4641</v>
      </c>
      <c r="E1597" s="1" t="str">
        <f>_xlfn.XLOOKUP(tblSales[[#This Row],[Customer ID]],tblCustomers[Customer ID],tblCustomers[Customer Name],"⚠ Unknown")</f>
        <v>PT Harmoni Pangan Lestari</v>
      </c>
      <c r="F1597" s="4" t="s">
        <v>8</v>
      </c>
      <c r="G1597" s="1" t="str">
        <f>_xlfn.XLOOKUP(tblSales[[#This Row],[Product Code]],tblProducts[Code],tblProducts[Product / Service Name],"⚠ Unknown")</f>
        <v>Casual Shorts</v>
      </c>
      <c r="H1597" s="1" t="str">
        <f>_xlfn.XLOOKUP(tblSales[[#This Row],[Product Code]],tblProducts[Code],tblProducts[Category],"")</f>
        <v>Accessories &amp; Basics</v>
      </c>
      <c r="I1597" s="4">
        <v>32</v>
      </c>
      <c r="J1597" s="5">
        <f>_xlfn.XLOOKUP(tblSales[[#This Row],[Product Code]],tblProducts[Code],tblProducts[Selling Price (excl. VAT)],0)</f>
        <v>85000</v>
      </c>
      <c r="K1597" s="5">
        <f>tblSales[[#This Row],[Qty]]*tblSales[[#This Row],[Unit Price]]</f>
        <v>2720000</v>
      </c>
      <c r="L1597" s="5">
        <f>ROUND(tblSales[[#This Row],[DPP (excl. VAT)]]*VATEff,0)</f>
        <v>299200</v>
      </c>
      <c r="M1597" s="5">
        <f>tblSales[[#This Row],[DPP (excl. VAT)]]+tblSales[[#This Row],[Output VAT]]</f>
        <v>3019200</v>
      </c>
      <c r="N1597" s="5">
        <f>tblSales[[#This Row],[Qty]]*_xlfn.XLOOKUP(tblSales[[#This Row],[Product Code]],tblProducts[Code],tblProducts[Unit Cost],0)</f>
        <v>1600000</v>
      </c>
      <c r="O1597" s="4" t="s">
        <v>4867</v>
      </c>
      <c r="P1597" s="4" t="s">
        <v>4860</v>
      </c>
      <c r="Q1597" s="1" t="str">
        <f>_xlfn.XLOOKUP(tblSales[[#This Row],[Channel Code]],tblChannels[Channel Code],tblChannels[Channel Name],"")</f>
        <v>In-store</v>
      </c>
      <c r="R1597" s="1">
        <f>MONTH(tblSales[[#This Row],[Date]])</f>
        <v>4</v>
      </c>
    </row>
    <row r="1598" spans="2:18" x14ac:dyDescent="0.35">
      <c r="B1598" s="113">
        <v>46117</v>
      </c>
      <c r="C1598" s="4" t="s">
        <v>1079</v>
      </c>
      <c r="D1598" s="4" t="s">
        <v>4641</v>
      </c>
      <c r="E1598" s="1" t="str">
        <f>_xlfn.XLOOKUP(tblSales[[#This Row],[Customer ID]],tblCustomers[Customer ID],tblCustomers[Customer Name],"⚠ Unknown")</f>
        <v>PT Harmoni Pangan Lestari</v>
      </c>
      <c r="F1598" s="4" t="s">
        <v>11</v>
      </c>
      <c r="G1598" s="1" t="str">
        <f>_xlfn.XLOOKUP(tblSales[[#This Row],[Product Code]],tblProducts[Code],tblProducts[Product / Service Name],"⚠ Unknown")</f>
        <v>Sneakers</v>
      </c>
      <c r="H1598" s="1" t="str">
        <f>_xlfn.XLOOKUP(tblSales[[#This Row],[Product Code]],tblProducts[Code],tblProducts[Category],"")</f>
        <v>Apparel &amp; Footwear</v>
      </c>
      <c r="I1598" s="4">
        <v>24</v>
      </c>
      <c r="J1598" s="5">
        <f>_xlfn.XLOOKUP(tblSales[[#This Row],[Product Code]],tblProducts[Code],tblProducts[Selling Price (excl. VAT)],0)</f>
        <v>250000</v>
      </c>
      <c r="K1598" s="5">
        <f>tblSales[[#This Row],[Qty]]*tblSales[[#This Row],[Unit Price]]</f>
        <v>6000000</v>
      </c>
      <c r="L1598" s="5">
        <f>ROUND(tblSales[[#This Row],[DPP (excl. VAT)]]*VATEff,0)</f>
        <v>660000</v>
      </c>
      <c r="M1598" s="5">
        <f>tblSales[[#This Row],[DPP (excl. VAT)]]+tblSales[[#This Row],[Output VAT]]</f>
        <v>6660000</v>
      </c>
      <c r="N1598" s="5">
        <f>tblSales[[#This Row],[Qty]]*_xlfn.XLOOKUP(tblSales[[#This Row],[Product Code]],tblProducts[Code],tblProducts[Unit Cost],0)</f>
        <v>3720000</v>
      </c>
      <c r="O1598" s="4" t="s">
        <v>4867</v>
      </c>
      <c r="P1598" s="4" t="s">
        <v>4860</v>
      </c>
      <c r="Q1598" s="1" t="str">
        <f>_xlfn.XLOOKUP(tblSales[[#This Row],[Channel Code]],tblChannels[Channel Code],tblChannels[Channel Name],"")</f>
        <v>In-store</v>
      </c>
      <c r="R1598" s="1">
        <f>MONTH(tblSales[[#This Row],[Date]])</f>
        <v>4</v>
      </c>
    </row>
    <row r="1599" spans="2:18" x14ac:dyDescent="0.35">
      <c r="B1599" s="113">
        <v>46117</v>
      </c>
      <c r="C1599" s="4" t="s">
        <v>1080</v>
      </c>
      <c r="D1599" s="4" t="s">
        <v>4568</v>
      </c>
      <c r="E1599" s="1" t="str">
        <f>_xlfn.XLOOKUP(tblSales[[#This Row],[Customer ID]],tblCustomers[Customer ID],tblCustomers[Customer Name],"⚠ Unknown")</f>
        <v>Walk-in Customer</v>
      </c>
      <c r="F1599" s="4" t="s">
        <v>7</v>
      </c>
      <c r="G1599" s="1" t="str">
        <f>_xlfn.XLOOKUP(tblSales[[#This Row],[Product Code]],tblProducts[Code],tblProducts[Product / Service Name],"⚠ Unknown")</f>
        <v>Premium Basic T-shirt</v>
      </c>
      <c r="H1599" s="1" t="str">
        <f>_xlfn.XLOOKUP(tblSales[[#This Row],[Product Code]],tblProducts[Code],tblProducts[Category],"")</f>
        <v>Accessories &amp; Basics</v>
      </c>
      <c r="I1599" s="4">
        <v>11</v>
      </c>
      <c r="J1599" s="5">
        <f>_xlfn.XLOOKUP(tblSales[[#This Row],[Product Code]],tblProducts[Code],tblProducts[Selling Price (excl. VAT)],0)</f>
        <v>65000</v>
      </c>
      <c r="K1599" s="5">
        <f>tblSales[[#This Row],[Qty]]*tblSales[[#This Row],[Unit Price]]</f>
        <v>715000</v>
      </c>
      <c r="L1599" s="5">
        <f>ROUND(tblSales[[#This Row],[DPP (excl. VAT)]]*VATEff,0)</f>
        <v>78650</v>
      </c>
      <c r="M1599" s="5">
        <f>tblSales[[#This Row],[DPP (excl. VAT)]]+tblSales[[#This Row],[Output VAT]]</f>
        <v>793650</v>
      </c>
      <c r="N1599" s="5">
        <f>tblSales[[#This Row],[Qty]]*_xlfn.XLOOKUP(tblSales[[#This Row],[Product Code]],tblProducts[Code],tblProducts[Unit Cost],0)</f>
        <v>407000</v>
      </c>
      <c r="O1599" s="4" t="s">
        <v>4866</v>
      </c>
      <c r="P1599" s="4" t="s">
        <v>4861</v>
      </c>
      <c r="Q1599" s="1" t="str">
        <f>_xlfn.XLOOKUP(tblSales[[#This Row],[Channel Code]],tblChannels[Channel Code],tblChannels[Channel Name],"")</f>
        <v>Marketplace</v>
      </c>
      <c r="R1599" s="1">
        <f>MONTH(tblSales[[#This Row],[Date]])</f>
        <v>4</v>
      </c>
    </row>
    <row r="1600" spans="2:18" x14ac:dyDescent="0.35">
      <c r="B1600" s="113">
        <v>46117</v>
      </c>
      <c r="C1600" s="4" t="s">
        <v>1081</v>
      </c>
      <c r="D1600" s="4" t="s">
        <v>4568</v>
      </c>
      <c r="E1600" s="1" t="str">
        <f>_xlfn.XLOOKUP(tblSales[[#This Row],[Customer ID]],tblCustomers[Customer ID],tblCustomers[Customer Name],"⚠ Unknown")</f>
        <v>Walk-in Customer</v>
      </c>
      <c r="F1600" s="4" t="s">
        <v>9</v>
      </c>
      <c r="G1600" s="1" t="str">
        <f>_xlfn.XLOOKUP(tblSales[[#This Row],[Product Code]],tblProducts[Code],tblProducts[Product / Service Name],"⚠ Unknown")</f>
        <v>Casual Shirt</v>
      </c>
      <c r="H1600" s="1" t="str">
        <f>_xlfn.XLOOKUP(tblSales[[#This Row],[Product Code]],tblProducts[Code],tblProducts[Category],"")</f>
        <v>Apparel &amp; Footwear</v>
      </c>
      <c r="I1600" s="4">
        <v>4</v>
      </c>
      <c r="J1600" s="5">
        <f>_xlfn.XLOOKUP(tblSales[[#This Row],[Product Code]],tblProducts[Code],tblProducts[Selling Price (excl. VAT)],0)</f>
        <v>120000</v>
      </c>
      <c r="K1600" s="5">
        <f>tblSales[[#This Row],[Qty]]*tblSales[[#This Row],[Unit Price]]</f>
        <v>480000</v>
      </c>
      <c r="L1600" s="5">
        <f>ROUND(tblSales[[#This Row],[DPP (excl. VAT)]]*VATEff,0)</f>
        <v>52800</v>
      </c>
      <c r="M1600" s="5">
        <f>tblSales[[#This Row],[DPP (excl. VAT)]]+tblSales[[#This Row],[Output VAT]]</f>
        <v>532800</v>
      </c>
      <c r="N1600" s="5">
        <f>tblSales[[#This Row],[Qty]]*_xlfn.XLOOKUP(tblSales[[#This Row],[Product Code]],tblProducts[Code],tblProducts[Unit Cost],0)</f>
        <v>288000</v>
      </c>
      <c r="O1600" s="4" t="s">
        <v>4866</v>
      </c>
      <c r="P1600" s="4" t="s">
        <v>4861</v>
      </c>
      <c r="Q1600" s="1" t="str">
        <f>_xlfn.XLOOKUP(tblSales[[#This Row],[Channel Code]],tblChannels[Channel Code],tblChannels[Channel Name],"")</f>
        <v>Marketplace</v>
      </c>
      <c r="R1600" s="1">
        <f>MONTH(tblSales[[#This Row],[Date]])</f>
        <v>4</v>
      </c>
    </row>
    <row r="1601" spans="2:18" x14ac:dyDescent="0.35">
      <c r="B1601" s="113">
        <v>46117</v>
      </c>
      <c r="C1601" s="4" t="s">
        <v>1081</v>
      </c>
      <c r="D1601" s="4" t="s">
        <v>4568</v>
      </c>
      <c r="E1601" s="1" t="str">
        <f>_xlfn.XLOOKUP(tblSales[[#This Row],[Customer ID]],tblCustomers[Customer ID],tblCustomers[Customer Name],"⚠ Unknown")</f>
        <v>Walk-in Customer</v>
      </c>
      <c r="F1601" s="4" t="s">
        <v>8</v>
      </c>
      <c r="G1601" s="1" t="str">
        <f>_xlfn.XLOOKUP(tblSales[[#This Row],[Product Code]],tblProducts[Code],tblProducts[Product / Service Name],"⚠ Unknown")</f>
        <v>Casual Shorts</v>
      </c>
      <c r="H1601" s="1" t="str">
        <f>_xlfn.XLOOKUP(tblSales[[#This Row],[Product Code]],tblProducts[Code],tblProducts[Category],"")</f>
        <v>Accessories &amp; Basics</v>
      </c>
      <c r="I1601" s="4">
        <v>9</v>
      </c>
      <c r="J1601" s="5">
        <f>_xlfn.XLOOKUP(tblSales[[#This Row],[Product Code]],tblProducts[Code],tblProducts[Selling Price (excl. VAT)],0)</f>
        <v>85000</v>
      </c>
      <c r="K1601" s="5">
        <f>tblSales[[#This Row],[Qty]]*tblSales[[#This Row],[Unit Price]]</f>
        <v>765000</v>
      </c>
      <c r="L1601" s="5">
        <f>ROUND(tblSales[[#This Row],[DPP (excl. VAT)]]*VATEff,0)</f>
        <v>84150</v>
      </c>
      <c r="M1601" s="5">
        <f>tblSales[[#This Row],[DPP (excl. VAT)]]+tblSales[[#This Row],[Output VAT]]</f>
        <v>849150</v>
      </c>
      <c r="N1601" s="5">
        <f>tblSales[[#This Row],[Qty]]*_xlfn.XLOOKUP(tblSales[[#This Row],[Product Code]],tblProducts[Code],tblProducts[Unit Cost],0)</f>
        <v>450000</v>
      </c>
      <c r="O1601" s="4" t="s">
        <v>4866</v>
      </c>
      <c r="P1601" s="4" t="s">
        <v>4861</v>
      </c>
      <c r="Q1601" s="1" t="str">
        <f>_xlfn.XLOOKUP(tblSales[[#This Row],[Channel Code]],tblChannels[Channel Code],tblChannels[Channel Name],"")</f>
        <v>Marketplace</v>
      </c>
      <c r="R1601" s="1">
        <f>MONTH(tblSales[[#This Row],[Date]])</f>
        <v>4</v>
      </c>
    </row>
    <row r="1602" spans="2:18" x14ac:dyDescent="0.35">
      <c r="B1602" s="113">
        <v>46117</v>
      </c>
      <c r="C1602" s="4" t="s">
        <v>1082</v>
      </c>
      <c r="D1602" s="4" t="s">
        <v>4568</v>
      </c>
      <c r="E1602" s="1" t="str">
        <f>_xlfn.XLOOKUP(tblSales[[#This Row],[Customer ID]],tblCustomers[Customer ID],tblCustomers[Customer Name],"⚠ Unknown")</f>
        <v>Walk-in Customer</v>
      </c>
      <c r="F1602" s="4" t="s">
        <v>7</v>
      </c>
      <c r="G1602" s="1" t="str">
        <f>_xlfn.XLOOKUP(tblSales[[#This Row],[Product Code]],tblProducts[Code],tblProducts[Product / Service Name],"⚠ Unknown")</f>
        <v>Premium Basic T-shirt</v>
      </c>
      <c r="H1602" s="1" t="str">
        <f>_xlfn.XLOOKUP(tblSales[[#This Row],[Product Code]],tblProducts[Code],tblProducts[Category],"")</f>
        <v>Accessories &amp; Basics</v>
      </c>
      <c r="I1602" s="4">
        <v>10</v>
      </c>
      <c r="J1602" s="5">
        <f>_xlfn.XLOOKUP(tblSales[[#This Row],[Product Code]],tblProducts[Code],tblProducts[Selling Price (excl. VAT)],0)</f>
        <v>65000</v>
      </c>
      <c r="K1602" s="5">
        <f>tblSales[[#This Row],[Qty]]*tblSales[[#This Row],[Unit Price]]</f>
        <v>650000</v>
      </c>
      <c r="L1602" s="5">
        <f>ROUND(tblSales[[#This Row],[DPP (excl. VAT)]]*VATEff,0)</f>
        <v>71500</v>
      </c>
      <c r="M1602" s="5">
        <f>tblSales[[#This Row],[DPP (excl. VAT)]]+tblSales[[#This Row],[Output VAT]]</f>
        <v>721500</v>
      </c>
      <c r="N1602" s="5">
        <f>tblSales[[#This Row],[Qty]]*_xlfn.XLOOKUP(tblSales[[#This Row],[Product Code]],tblProducts[Code],tblProducts[Unit Cost],0)</f>
        <v>370000</v>
      </c>
      <c r="O1602" s="4" t="s">
        <v>4866</v>
      </c>
      <c r="P1602" s="4" t="s">
        <v>4860</v>
      </c>
      <c r="Q1602" s="1" t="str">
        <f>_xlfn.XLOOKUP(tblSales[[#This Row],[Channel Code]],tblChannels[Channel Code],tblChannels[Channel Name],"")</f>
        <v>In-store</v>
      </c>
      <c r="R1602" s="1">
        <f>MONTH(tblSales[[#This Row],[Date]])</f>
        <v>4</v>
      </c>
    </row>
    <row r="1603" spans="2:18" x14ac:dyDescent="0.35">
      <c r="B1603" s="113">
        <v>46117</v>
      </c>
      <c r="C1603" s="4" t="s">
        <v>1082</v>
      </c>
      <c r="D1603" s="4" t="s">
        <v>4568</v>
      </c>
      <c r="E1603" s="1" t="str">
        <f>_xlfn.XLOOKUP(tblSales[[#This Row],[Customer ID]],tblCustomers[Customer ID],tblCustomers[Customer Name],"⚠ Unknown")</f>
        <v>Walk-in Customer</v>
      </c>
      <c r="F1603" s="4" t="s">
        <v>6</v>
      </c>
      <c r="G1603" s="1" t="str">
        <f>_xlfn.XLOOKUP(tblSales[[#This Row],[Product Code]],tblProducts[Code],tblProducts[Product / Service Name],"⚠ Unknown")</f>
        <v>Socks &amp; Accessories</v>
      </c>
      <c r="H1603" s="1" t="str">
        <f>_xlfn.XLOOKUP(tblSales[[#This Row],[Product Code]],tblProducts[Code],tblProducts[Category],"")</f>
        <v>Accessories &amp; Basics</v>
      </c>
      <c r="I1603" s="4">
        <v>6</v>
      </c>
      <c r="J1603" s="5">
        <f>_xlfn.XLOOKUP(tblSales[[#This Row],[Product Code]],tblProducts[Code],tblProducts[Selling Price (excl. VAT)],0)</f>
        <v>45000</v>
      </c>
      <c r="K1603" s="5">
        <f>tblSales[[#This Row],[Qty]]*tblSales[[#This Row],[Unit Price]]</f>
        <v>270000</v>
      </c>
      <c r="L1603" s="5">
        <f>ROUND(tblSales[[#This Row],[DPP (excl. VAT)]]*VATEff,0)</f>
        <v>29700</v>
      </c>
      <c r="M1603" s="5">
        <f>tblSales[[#This Row],[DPP (excl. VAT)]]+tblSales[[#This Row],[Output VAT]]</f>
        <v>299700</v>
      </c>
      <c r="N1603" s="5">
        <f>tblSales[[#This Row],[Qty]]*_xlfn.XLOOKUP(tblSales[[#This Row],[Product Code]],tblProducts[Code],tblProducts[Unit Cost],0)</f>
        <v>144000</v>
      </c>
      <c r="O1603" s="4" t="s">
        <v>4866</v>
      </c>
      <c r="P1603" s="4" t="s">
        <v>4860</v>
      </c>
      <c r="Q1603" s="1" t="str">
        <f>_xlfn.XLOOKUP(tblSales[[#This Row],[Channel Code]],tblChannels[Channel Code],tblChannels[Channel Name],"")</f>
        <v>In-store</v>
      </c>
      <c r="R1603" s="1">
        <f>MONTH(tblSales[[#This Row],[Date]])</f>
        <v>4</v>
      </c>
    </row>
    <row r="1604" spans="2:18" x14ac:dyDescent="0.35">
      <c r="B1604" s="113">
        <v>46117</v>
      </c>
      <c r="C1604" s="4" t="s">
        <v>1083</v>
      </c>
      <c r="D1604" s="4" t="s">
        <v>4568</v>
      </c>
      <c r="E1604" s="1" t="str">
        <f>_xlfn.XLOOKUP(tblSales[[#This Row],[Customer ID]],tblCustomers[Customer ID],tblCustomers[Customer Name],"⚠ Unknown")</f>
        <v>Walk-in Customer</v>
      </c>
      <c r="F1604" s="4" t="s">
        <v>8</v>
      </c>
      <c r="G1604" s="1" t="str">
        <f>_xlfn.XLOOKUP(tblSales[[#This Row],[Product Code]],tblProducts[Code],tblProducts[Product / Service Name],"⚠ Unknown")</f>
        <v>Casual Shorts</v>
      </c>
      <c r="H1604" s="1" t="str">
        <f>_xlfn.XLOOKUP(tblSales[[#This Row],[Product Code]],tblProducts[Code],tblProducts[Category],"")</f>
        <v>Accessories &amp; Basics</v>
      </c>
      <c r="I1604" s="4">
        <v>2</v>
      </c>
      <c r="J1604" s="5">
        <f>_xlfn.XLOOKUP(tblSales[[#This Row],[Product Code]],tblProducts[Code],tblProducts[Selling Price (excl. VAT)],0)</f>
        <v>85000</v>
      </c>
      <c r="K1604" s="5">
        <f>tblSales[[#This Row],[Qty]]*tblSales[[#This Row],[Unit Price]]</f>
        <v>170000</v>
      </c>
      <c r="L1604" s="5">
        <f>ROUND(tblSales[[#This Row],[DPP (excl. VAT)]]*VATEff,0)</f>
        <v>18700</v>
      </c>
      <c r="M1604" s="5">
        <f>tblSales[[#This Row],[DPP (excl. VAT)]]+tblSales[[#This Row],[Output VAT]]</f>
        <v>188700</v>
      </c>
      <c r="N1604" s="5">
        <f>tblSales[[#This Row],[Qty]]*_xlfn.XLOOKUP(tblSales[[#This Row],[Product Code]],tblProducts[Code],tblProducts[Unit Cost],0)</f>
        <v>100000</v>
      </c>
      <c r="O1604" s="4" t="s">
        <v>4866</v>
      </c>
      <c r="P1604" s="4" t="s">
        <v>4860</v>
      </c>
      <c r="Q1604" s="1" t="str">
        <f>_xlfn.XLOOKUP(tblSales[[#This Row],[Channel Code]],tblChannels[Channel Code],tblChannels[Channel Name],"")</f>
        <v>In-store</v>
      </c>
      <c r="R1604" s="1">
        <f>MONTH(tblSales[[#This Row],[Date]])</f>
        <v>4</v>
      </c>
    </row>
    <row r="1605" spans="2:18" x14ac:dyDescent="0.35">
      <c r="B1605" s="113">
        <v>46117</v>
      </c>
      <c r="C1605" s="4" t="s">
        <v>1084</v>
      </c>
      <c r="D1605" s="4" t="s">
        <v>4568</v>
      </c>
      <c r="E1605" s="1" t="str">
        <f>_xlfn.XLOOKUP(tblSales[[#This Row],[Customer ID]],tblCustomers[Customer ID],tblCustomers[Customer Name],"⚠ Unknown")</f>
        <v>Walk-in Customer</v>
      </c>
      <c r="F1605" s="4" t="s">
        <v>9</v>
      </c>
      <c r="G1605" s="1" t="str">
        <f>_xlfn.XLOOKUP(tblSales[[#This Row],[Product Code]],tblProducts[Code],tblProducts[Product / Service Name],"⚠ Unknown")</f>
        <v>Casual Shirt</v>
      </c>
      <c r="H1605" s="1" t="str">
        <f>_xlfn.XLOOKUP(tblSales[[#This Row],[Product Code]],tblProducts[Code],tblProducts[Category],"")</f>
        <v>Apparel &amp; Footwear</v>
      </c>
      <c r="I1605" s="4">
        <v>3</v>
      </c>
      <c r="J1605" s="5">
        <f>_xlfn.XLOOKUP(tblSales[[#This Row],[Product Code]],tblProducts[Code],tblProducts[Selling Price (excl. VAT)],0)</f>
        <v>120000</v>
      </c>
      <c r="K1605" s="5">
        <f>tblSales[[#This Row],[Qty]]*tblSales[[#This Row],[Unit Price]]</f>
        <v>360000</v>
      </c>
      <c r="L1605" s="5">
        <f>ROUND(tblSales[[#This Row],[DPP (excl. VAT)]]*VATEff,0)</f>
        <v>39600</v>
      </c>
      <c r="M1605" s="5">
        <f>tblSales[[#This Row],[DPP (excl. VAT)]]+tblSales[[#This Row],[Output VAT]]</f>
        <v>399600</v>
      </c>
      <c r="N1605" s="5">
        <f>tblSales[[#This Row],[Qty]]*_xlfn.XLOOKUP(tblSales[[#This Row],[Product Code]],tblProducts[Code],tblProducts[Unit Cost],0)</f>
        <v>216000</v>
      </c>
      <c r="O1605" s="4" t="s">
        <v>4865</v>
      </c>
      <c r="P1605" s="4" t="s">
        <v>4860</v>
      </c>
      <c r="Q1605" s="1" t="str">
        <f>_xlfn.XLOOKUP(tblSales[[#This Row],[Channel Code]],tblChannels[Channel Code],tblChannels[Channel Name],"")</f>
        <v>In-store</v>
      </c>
      <c r="R1605" s="1">
        <f>MONTH(tblSales[[#This Row],[Date]])</f>
        <v>4</v>
      </c>
    </row>
    <row r="1606" spans="2:18" x14ac:dyDescent="0.35">
      <c r="B1606" s="113">
        <v>46117</v>
      </c>
      <c r="C1606" s="4" t="s">
        <v>1084</v>
      </c>
      <c r="D1606" s="4" t="s">
        <v>4568</v>
      </c>
      <c r="E1606" s="1" t="str">
        <f>_xlfn.XLOOKUP(tblSales[[#This Row],[Customer ID]],tblCustomers[Customer ID],tblCustomers[Customer Name],"⚠ Unknown")</f>
        <v>Walk-in Customer</v>
      </c>
      <c r="F1606" s="4" t="s">
        <v>7</v>
      </c>
      <c r="G1606" s="1" t="str">
        <f>_xlfn.XLOOKUP(tblSales[[#This Row],[Product Code]],tblProducts[Code],tblProducts[Product / Service Name],"⚠ Unknown")</f>
        <v>Premium Basic T-shirt</v>
      </c>
      <c r="H1606" s="1" t="str">
        <f>_xlfn.XLOOKUP(tblSales[[#This Row],[Product Code]],tblProducts[Code],tblProducts[Category],"")</f>
        <v>Accessories &amp; Basics</v>
      </c>
      <c r="I1606" s="4">
        <v>11</v>
      </c>
      <c r="J1606" s="5">
        <f>_xlfn.XLOOKUP(tblSales[[#This Row],[Product Code]],tblProducts[Code],tblProducts[Selling Price (excl. VAT)],0)</f>
        <v>65000</v>
      </c>
      <c r="K1606" s="5">
        <f>tblSales[[#This Row],[Qty]]*tblSales[[#This Row],[Unit Price]]</f>
        <v>715000</v>
      </c>
      <c r="L1606" s="5">
        <f>ROUND(tblSales[[#This Row],[DPP (excl. VAT)]]*VATEff,0)</f>
        <v>78650</v>
      </c>
      <c r="M1606" s="5">
        <f>tblSales[[#This Row],[DPP (excl. VAT)]]+tblSales[[#This Row],[Output VAT]]</f>
        <v>793650</v>
      </c>
      <c r="N1606" s="5">
        <f>tblSales[[#This Row],[Qty]]*_xlfn.XLOOKUP(tblSales[[#This Row],[Product Code]],tblProducts[Code],tblProducts[Unit Cost],0)</f>
        <v>407000</v>
      </c>
      <c r="O1606" s="4" t="s">
        <v>4865</v>
      </c>
      <c r="P1606" s="4" t="s">
        <v>4860</v>
      </c>
      <c r="Q1606" s="1" t="str">
        <f>_xlfn.XLOOKUP(tblSales[[#This Row],[Channel Code]],tblChannels[Channel Code],tblChannels[Channel Name],"")</f>
        <v>In-store</v>
      </c>
      <c r="R1606" s="1">
        <f>MONTH(tblSales[[#This Row],[Date]])</f>
        <v>4</v>
      </c>
    </row>
    <row r="1607" spans="2:18" x14ac:dyDescent="0.35">
      <c r="B1607" s="113">
        <v>46117</v>
      </c>
      <c r="C1607" s="4" t="s">
        <v>1084</v>
      </c>
      <c r="D1607" s="4" t="s">
        <v>4568</v>
      </c>
      <c r="E1607" s="1" t="str">
        <f>_xlfn.XLOOKUP(tblSales[[#This Row],[Customer ID]],tblCustomers[Customer ID],tblCustomers[Customer Name],"⚠ Unknown")</f>
        <v>Walk-in Customer</v>
      </c>
      <c r="F1607" s="4" t="s">
        <v>12</v>
      </c>
      <c r="G1607" s="1" t="str">
        <f>_xlfn.XLOOKUP(tblSales[[#This Row],[Product Code]],tblProducts[Code],tblProducts[Product / Service Name],"⚠ Unknown")</f>
        <v>Bomber Jacket</v>
      </c>
      <c r="H1607" s="1" t="str">
        <f>_xlfn.XLOOKUP(tblSales[[#This Row],[Product Code]],tblProducts[Code],tblProducts[Category],"")</f>
        <v>Apparel &amp; Footwear</v>
      </c>
      <c r="I1607" s="4">
        <v>1</v>
      </c>
      <c r="J1607" s="5">
        <f>_xlfn.XLOOKUP(tblSales[[#This Row],[Product Code]],tblProducts[Code],tblProducts[Selling Price (excl. VAT)],0)</f>
        <v>350000</v>
      </c>
      <c r="K1607" s="5">
        <f>tblSales[[#This Row],[Qty]]*tblSales[[#This Row],[Unit Price]]</f>
        <v>350000</v>
      </c>
      <c r="L1607" s="5">
        <f>ROUND(tblSales[[#This Row],[DPP (excl. VAT)]]*VATEff,0)</f>
        <v>38500</v>
      </c>
      <c r="M1607" s="5">
        <f>tblSales[[#This Row],[DPP (excl. VAT)]]+tblSales[[#This Row],[Output VAT]]</f>
        <v>388500</v>
      </c>
      <c r="N1607" s="5">
        <f>tblSales[[#This Row],[Qty]]*_xlfn.XLOOKUP(tblSales[[#This Row],[Product Code]],tblProducts[Code],tblProducts[Unit Cost],0)</f>
        <v>210000</v>
      </c>
      <c r="O1607" s="4" t="s">
        <v>4865</v>
      </c>
      <c r="P1607" s="4" t="s">
        <v>4860</v>
      </c>
      <c r="Q1607" s="1" t="str">
        <f>_xlfn.XLOOKUP(tblSales[[#This Row],[Channel Code]],tblChannels[Channel Code],tblChannels[Channel Name],"")</f>
        <v>In-store</v>
      </c>
      <c r="R1607" s="1">
        <f>MONTH(tblSales[[#This Row],[Date]])</f>
        <v>4</v>
      </c>
    </row>
    <row r="1608" spans="2:18" x14ac:dyDescent="0.35">
      <c r="B1608" s="113">
        <v>46118</v>
      </c>
      <c r="C1608" s="4" t="s">
        <v>1085</v>
      </c>
      <c r="D1608" s="4" t="s">
        <v>4568</v>
      </c>
      <c r="E1608" s="1" t="str">
        <f>_xlfn.XLOOKUP(tblSales[[#This Row],[Customer ID]],tblCustomers[Customer ID],tblCustomers[Customer Name],"⚠ Unknown")</f>
        <v>Walk-in Customer</v>
      </c>
      <c r="F1608" s="4" t="s">
        <v>7</v>
      </c>
      <c r="G1608" s="1" t="str">
        <f>_xlfn.XLOOKUP(tblSales[[#This Row],[Product Code]],tblProducts[Code],tblProducts[Product / Service Name],"⚠ Unknown")</f>
        <v>Premium Basic T-shirt</v>
      </c>
      <c r="H1608" s="1" t="str">
        <f>_xlfn.XLOOKUP(tblSales[[#This Row],[Product Code]],tblProducts[Code],tblProducts[Category],"")</f>
        <v>Accessories &amp; Basics</v>
      </c>
      <c r="I1608" s="4">
        <v>4</v>
      </c>
      <c r="J1608" s="5">
        <f>_xlfn.XLOOKUP(tblSales[[#This Row],[Product Code]],tblProducts[Code],tblProducts[Selling Price (excl. VAT)],0)</f>
        <v>65000</v>
      </c>
      <c r="K1608" s="5">
        <f>tblSales[[#This Row],[Qty]]*tblSales[[#This Row],[Unit Price]]</f>
        <v>260000</v>
      </c>
      <c r="L1608" s="5">
        <f>ROUND(tblSales[[#This Row],[DPP (excl. VAT)]]*VATEff,0)</f>
        <v>28600</v>
      </c>
      <c r="M1608" s="5">
        <f>tblSales[[#This Row],[DPP (excl. VAT)]]+tblSales[[#This Row],[Output VAT]]</f>
        <v>288600</v>
      </c>
      <c r="N1608" s="5">
        <f>tblSales[[#This Row],[Qty]]*_xlfn.XLOOKUP(tblSales[[#This Row],[Product Code]],tblProducts[Code],tblProducts[Unit Cost],0)</f>
        <v>148000</v>
      </c>
      <c r="O1608" s="4" t="s">
        <v>4865</v>
      </c>
      <c r="P1608" s="4" t="s">
        <v>4860</v>
      </c>
      <c r="Q1608" s="1" t="str">
        <f>_xlfn.XLOOKUP(tblSales[[#This Row],[Channel Code]],tblChannels[Channel Code],tblChannels[Channel Name],"")</f>
        <v>In-store</v>
      </c>
      <c r="R1608" s="1">
        <f>MONTH(tblSales[[#This Row],[Date]])</f>
        <v>4</v>
      </c>
    </row>
    <row r="1609" spans="2:18" x14ac:dyDescent="0.35">
      <c r="B1609" s="113">
        <v>46118</v>
      </c>
      <c r="C1609" s="4" t="s">
        <v>1086</v>
      </c>
      <c r="D1609" s="4" t="s">
        <v>4627</v>
      </c>
      <c r="E1609" s="1" t="str">
        <f>_xlfn.XLOOKUP(tblSales[[#This Row],[Customer ID]],tblCustomers[Customer ID],tblCustomers[Customer Name],"⚠ Unknown")</f>
        <v>PT Kencana Wira Usaha</v>
      </c>
      <c r="F1609" s="4" t="s">
        <v>14</v>
      </c>
      <c r="G1609" s="1" t="str">
        <f>_xlfn.XLOOKUP(tblSales[[#This Row],[Product Code]],tblProducts[Code],tblProducts[Product / Service Name],"⚠ Unknown")</f>
        <v>Smartwatch</v>
      </c>
      <c r="H1609" s="1" t="str">
        <f>_xlfn.XLOOKUP(tblSales[[#This Row],[Product Code]],tblProducts[Code],tblProducts[Category],"")</f>
        <v>Bags &amp; Gadgets</v>
      </c>
      <c r="I1609" s="4">
        <v>24</v>
      </c>
      <c r="J1609" s="5">
        <f>_xlfn.XLOOKUP(tblSales[[#This Row],[Product Code]],tblProducts[Code],tblProducts[Selling Price (excl. VAT)],0)</f>
        <v>850000</v>
      </c>
      <c r="K1609" s="5">
        <f>tblSales[[#This Row],[Qty]]*tblSales[[#This Row],[Unit Price]]</f>
        <v>20400000</v>
      </c>
      <c r="L1609" s="5">
        <f>ROUND(tblSales[[#This Row],[DPP (excl. VAT)]]*VATEff,0)</f>
        <v>2244000</v>
      </c>
      <c r="M1609" s="5">
        <f>tblSales[[#This Row],[DPP (excl. VAT)]]+tblSales[[#This Row],[Output VAT]]</f>
        <v>22644000</v>
      </c>
      <c r="N1609" s="5">
        <f>tblSales[[#This Row],[Qty]]*_xlfn.XLOOKUP(tblSales[[#This Row],[Product Code]],tblProducts[Code],tblProducts[Unit Cost],0)</f>
        <v>13440000</v>
      </c>
      <c r="O1609" s="4" t="s">
        <v>4867</v>
      </c>
      <c r="P1609" s="4" t="s">
        <v>4860</v>
      </c>
      <c r="Q1609" s="1" t="str">
        <f>_xlfn.XLOOKUP(tblSales[[#This Row],[Channel Code]],tblChannels[Channel Code],tblChannels[Channel Name],"")</f>
        <v>In-store</v>
      </c>
      <c r="R1609" s="1">
        <f>MONTH(tblSales[[#This Row],[Date]])</f>
        <v>4</v>
      </c>
    </row>
    <row r="1610" spans="2:18" x14ac:dyDescent="0.35">
      <c r="B1610" s="113">
        <v>46118</v>
      </c>
      <c r="C1610" s="4" t="s">
        <v>1087</v>
      </c>
      <c r="D1610" s="4" t="s">
        <v>4568</v>
      </c>
      <c r="E1610" s="1" t="str">
        <f>_xlfn.XLOOKUP(tblSales[[#This Row],[Customer ID]],tblCustomers[Customer ID],tblCustomers[Customer Name],"⚠ Unknown")</f>
        <v>Walk-in Customer</v>
      </c>
      <c r="F1610" s="4" t="s">
        <v>9</v>
      </c>
      <c r="G1610" s="1" t="str">
        <f>_xlfn.XLOOKUP(tblSales[[#This Row],[Product Code]],tblProducts[Code],tblProducts[Product / Service Name],"⚠ Unknown")</f>
        <v>Casual Shirt</v>
      </c>
      <c r="H1610" s="1" t="str">
        <f>_xlfn.XLOOKUP(tblSales[[#This Row],[Product Code]],tblProducts[Code],tblProducts[Category],"")</f>
        <v>Apparel &amp; Footwear</v>
      </c>
      <c r="I1610" s="4">
        <v>7</v>
      </c>
      <c r="J1610" s="5">
        <f>_xlfn.XLOOKUP(tblSales[[#This Row],[Product Code]],tblProducts[Code],tblProducts[Selling Price (excl. VAT)],0)</f>
        <v>120000</v>
      </c>
      <c r="K1610" s="5">
        <f>tblSales[[#This Row],[Qty]]*tblSales[[#This Row],[Unit Price]]</f>
        <v>840000</v>
      </c>
      <c r="L1610" s="5">
        <f>ROUND(tblSales[[#This Row],[DPP (excl. VAT)]]*VATEff,0)</f>
        <v>92400</v>
      </c>
      <c r="M1610" s="5">
        <f>tblSales[[#This Row],[DPP (excl. VAT)]]+tblSales[[#This Row],[Output VAT]]</f>
        <v>932400</v>
      </c>
      <c r="N1610" s="5">
        <f>tblSales[[#This Row],[Qty]]*_xlfn.XLOOKUP(tblSales[[#This Row],[Product Code]],tblProducts[Code],tblProducts[Unit Cost],0)</f>
        <v>504000</v>
      </c>
      <c r="O1610" s="4" t="s">
        <v>4866</v>
      </c>
      <c r="P1610" s="4" t="s">
        <v>4860</v>
      </c>
      <c r="Q1610" s="1" t="str">
        <f>_xlfn.XLOOKUP(tblSales[[#This Row],[Channel Code]],tblChannels[Channel Code],tblChannels[Channel Name],"")</f>
        <v>In-store</v>
      </c>
      <c r="R1610" s="1">
        <f>MONTH(tblSales[[#This Row],[Date]])</f>
        <v>4</v>
      </c>
    </row>
    <row r="1611" spans="2:18" x14ac:dyDescent="0.35">
      <c r="B1611" s="113">
        <v>46118</v>
      </c>
      <c r="C1611" s="4" t="s">
        <v>1088</v>
      </c>
      <c r="D1611" s="4" t="s">
        <v>4634</v>
      </c>
      <c r="E1611" s="1" t="str">
        <f>_xlfn.XLOOKUP(tblSales[[#This Row],[Customer ID]],tblCustomers[Customer ID],tblCustomers[Customer Name],"⚠ Unknown")</f>
        <v>PT Delta Inti Selaras</v>
      </c>
      <c r="F1611" s="4" t="s">
        <v>6</v>
      </c>
      <c r="G1611" s="1" t="str">
        <f>_xlfn.XLOOKUP(tblSales[[#This Row],[Product Code]],tblProducts[Code],tblProducts[Product / Service Name],"⚠ Unknown")</f>
        <v>Socks &amp; Accessories</v>
      </c>
      <c r="H1611" s="1" t="str">
        <f>_xlfn.XLOOKUP(tblSales[[#This Row],[Product Code]],tblProducts[Code],tblProducts[Category],"")</f>
        <v>Accessories &amp; Basics</v>
      </c>
      <c r="I1611" s="4">
        <v>80</v>
      </c>
      <c r="J1611" s="5">
        <f>_xlfn.XLOOKUP(tblSales[[#This Row],[Product Code]],tblProducts[Code],tblProducts[Selling Price (excl. VAT)],0)</f>
        <v>45000</v>
      </c>
      <c r="K1611" s="5">
        <f>tblSales[[#This Row],[Qty]]*tblSales[[#This Row],[Unit Price]]</f>
        <v>3600000</v>
      </c>
      <c r="L1611" s="5">
        <f>ROUND(tblSales[[#This Row],[DPP (excl. VAT)]]*VATEff,0)</f>
        <v>396000</v>
      </c>
      <c r="M1611" s="5">
        <f>tblSales[[#This Row],[DPP (excl. VAT)]]+tblSales[[#This Row],[Output VAT]]</f>
        <v>3996000</v>
      </c>
      <c r="N1611" s="5">
        <f>tblSales[[#This Row],[Qty]]*_xlfn.XLOOKUP(tblSales[[#This Row],[Product Code]],tblProducts[Code],tblProducts[Unit Cost],0)</f>
        <v>1920000</v>
      </c>
      <c r="O1611" s="4" t="s">
        <v>4867</v>
      </c>
      <c r="P1611" s="4" t="s">
        <v>4860</v>
      </c>
      <c r="Q1611" s="1" t="str">
        <f>_xlfn.XLOOKUP(tblSales[[#This Row],[Channel Code]],tblChannels[Channel Code],tblChannels[Channel Name],"")</f>
        <v>In-store</v>
      </c>
      <c r="R1611" s="1">
        <f>MONTH(tblSales[[#This Row],[Date]])</f>
        <v>4</v>
      </c>
    </row>
    <row r="1612" spans="2:18" x14ac:dyDescent="0.35">
      <c r="B1612" s="113">
        <v>46118</v>
      </c>
      <c r="C1612" s="4" t="s">
        <v>1089</v>
      </c>
      <c r="D1612" s="4" t="s">
        <v>4568</v>
      </c>
      <c r="E1612" s="1" t="str">
        <f>_xlfn.XLOOKUP(tblSales[[#This Row],[Customer ID]],tblCustomers[Customer ID],tblCustomers[Customer Name],"⚠ Unknown")</f>
        <v>Walk-in Customer</v>
      </c>
      <c r="F1612" s="4" t="s">
        <v>6</v>
      </c>
      <c r="G1612" s="1" t="str">
        <f>_xlfn.XLOOKUP(tblSales[[#This Row],[Product Code]],tblProducts[Code],tblProducts[Product / Service Name],"⚠ Unknown")</f>
        <v>Socks &amp; Accessories</v>
      </c>
      <c r="H1612" s="1" t="str">
        <f>_xlfn.XLOOKUP(tblSales[[#This Row],[Product Code]],tblProducts[Code],tblProducts[Category],"")</f>
        <v>Accessories &amp; Basics</v>
      </c>
      <c r="I1612" s="4">
        <v>5</v>
      </c>
      <c r="J1612" s="5">
        <f>_xlfn.XLOOKUP(tblSales[[#This Row],[Product Code]],tblProducts[Code],tblProducts[Selling Price (excl. VAT)],0)</f>
        <v>45000</v>
      </c>
      <c r="K1612" s="5">
        <f>tblSales[[#This Row],[Qty]]*tblSales[[#This Row],[Unit Price]]</f>
        <v>225000</v>
      </c>
      <c r="L1612" s="5">
        <f>ROUND(tblSales[[#This Row],[DPP (excl. VAT)]]*VATEff,0)</f>
        <v>24750</v>
      </c>
      <c r="M1612" s="5">
        <f>tblSales[[#This Row],[DPP (excl. VAT)]]+tblSales[[#This Row],[Output VAT]]</f>
        <v>249750</v>
      </c>
      <c r="N1612" s="5">
        <f>tblSales[[#This Row],[Qty]]*_xlfn.XLOOKUP(tblSales[[#This Row],[Product Code]],tblProducts[Code],tblProducts[Unit Cost],0)</f>
        <v>120000</v>
      </c>
      <c r="O1612" s="4" t="s">
        <v>4865</v>
      </c>
      <c r="P1612" s="4" t="s">
        <v>4860</v>
      </c>
      <c r="Q1612" s="1" t="str">
        <f>_xlfn.XLOOKUP(tblSales[[#This Row],[Channel Code]],tblChannels[Channel Code],tblChannels[Channel Name],"")</f>
        <v>In-store</v>
      </c>
      <c r="R1612" s="1">
        <f>MONTH(tblSales[[#This Row],[Date]])</f>
        <v>4</v>
      </c>
    </row>
    <row r="1613" spans="2:18" x14ac:dyDescent="0.35">
      <c r="B1613" s="113">
        <v>46118</v>
      </c>
      <c r="C1613" s="4" t="s">
        <v>1090</v>
      </c>
      <c r="D1613" s="4" t="s">
        <v>4568</v>
      </c>
      <c r="E1613" s="1" t="str">
        <f>_xlfn.XLOOKUP(tblSales[[#This Row],[Customer ID]],tblCustomers[Customer ID],tblCustomers[Customer Name],"⚠ Unknown")</f>
        <v>Walk-in Customer</v>
      </c>
      <c r="F1613" s="4" t="s">
        <v>6</v>
      </c>
      <c r="G1613" s="1" t="str">
        <f>_xlfn.XLOOKUP(tblSales[[#This Row],[Product Code]],tblProducts[Code],tblProducts[Product / Service Name],"⚠ Unknown")</f>
        <v>Socks &amp; Accessories</v>
      </c>
      <c r="H1613" s="1" t="str">
        <f>_xlfn.XLOOKUP(tblSales[[#This Row],[Product Code]],tblProducts[Code],tblProducts[Category],"")</f>
        <v>Accessories &amp; Basics</v>
      </c>
      <c r="I1613" s="4">
        <v>10</v>
      </c>
      <c r="J1613" s="5">
        <f>_xlfn.XLOOKUP(tblSales[[#This Row],[Product Code]],tblProducts[Code],tblProducts[Selling Price (excl. VAT)],0)</f>
        <v>45000</v>
      </c>
      <c r="K1613" s="5">
        <f>tblSales[[#This Row],[Qty]]*tblSales[[#This Row],[Unit Price]]</f>
        <v>450000</v>
      </c>
      <c r="L1613" s="5">
        <f>ROUND(tblSales[[#This Row],[DPP (excl. VAT)]]*VATEff,0)</f>
        <v>49500</v>
      </c>
      <c r="M1613" s="5">
        <f>tblSales[[#This Row],[DPP (excl. VAT)]]+tblSales[[#This Row],[Output VAT]]</f>
        <v>499500</v>
      </c>
      <c r="N1613" s="5">
        <f>tblSales[[#This Row],[Qty]]*_xlfn.XLOOKUP(tblSales[[#This Row],[Product Code]],tblProducts[Code],tblProducts[Unit Cost],0)</f>
        <v>240000</v>
      </c>
      <c r="O1613" s="4" t="s">
        <v>4865</v>
      </c>
      <c r="P1613" s="4" t="s">
        <v>4860</v>
      </c>
      <c r="Q1613" s="1" t="str">
        <f>_xlfn.XLOOKUP(tblSales[[#This Row],[Channel Code]],tblChannels[Channel Code],tblChannels[Channel Name],"")</f>
        <v>In-store</v>
      </c>
      <c r="R1613" s="1">
        <f>MONTH(tblSales[[#This Row],[Date]])</f>
        <v>4</v>
      </c>
    </row>
    <row r="1614" spans="2:18" x14ac:dyDescent="0.35">
      <c r="B1614" s="113">
        <v>46118</v>
      </c>
      <c r="C1614" s="4" t="s">
        <v>1091</v>
      </c>
      <c r="D1614" s="4" t="s">
        <v>4572</v>
      </c>
      <c r="E1614" s="1" t="str">
        <f>_xlfn.XLOOKUP(tblSales[[#This Row],[Customer ID]],tblCustomers[Customer ID],tblCustomers[Customer Name],"⚠ Unknown")</f>
        <v>PT Cahaya Abadi Makmur</v>
      </c>
      <c r="F1614" s="4" t="s">
        <v>11</v>
      </c>
      <c r="G1614" s="1" t="str">
        <f>_xlfn.XLOOKUP(tblSales[[#This Row],[Product Code]],tblProducts[Code],tblProducts[Product / Service Name],"⚠ Unknown")</f>
        <v>Sneakers</v>
      </c>
      <c r="H1614" s="1" t="str">
        <f>_xlfn.XLOOKUP(tblSales[[#This Row],[Product Code]],tblProducts[Code],tblProducts[Category],"")</f>
        <v>Apparel &amp; Footwear</v>
      </c>
      <c r="I1614" s="4">
        <v>16</v>
      </c>
      <c r="J1614" s="5">
        <f>_xlfn.XLOOKUP(tblSales[[#This Row],[Product Code]],tblProducts[Code],tblProducts[Selling Price (excl. VAT)],0)</f>
        <v>250000</v>
      </c>
      <c r="K1614" s="5">
        <f>tblSales[[#This Row],[Qty]]*tblSales[[#This Row],[Unit Price]]</f>
        <v>4000000</v>
      </c>
      <c r="L1614" s="5">
        <f>ROUND(tblSales[[#This Row],[DPP (excl. VAT)]]*VATEff,0)</f>
        <v>440000</v>
      </c>
      <c r="M1614" s="5">
        <f>tblSales[[#This Row],[DPP (excl. VAT)]]+tblSales[[#This Row],[Output VAT]]</f>
        <v>4440000</v>
      </c>
      <c r="N1614" s="5">
        <f>tblSales[[#This Row],[Qty]]*_xlfn.XLOOKUP(tblSales[[#This Row],[Product Code]],tblProducts[Code],tblProducts[Unit Cost],0)</f>
        <v>2480000</v>
      </c>
      <c r="O1614" s="4" t="s">
        <v>4867</v>
      </c>
      <c r="P1614" s="4" t="s">
        <v>4862</v>
      </c>
      <c r="Q1614" s="1" t="str">
        <f>_xlfn.XLOOKUP(tblSales[[#This Row],[Channel Code]],tblChannels[Channel Code],tblChannels[Channel Name],"")</f>
        <v>Website &amp; Social Media</v>
      </c>
      <c r="R1614" s="1">
        <f>MONTH(tblSales[[#This Row],[Date]])</f>
        <v>4</v>
      </c>
    </row>
    <row r="1615" spans="2:18" x14ac:dyDescent="0.35">
      <c r="B1615" s="113">
        <v>46118</v>
      </c>
      <c r="C1615" s="4" t="s">
        <v>1092</v>
      </c>
      <c r="D1615" s="4" t="s">
        <v>4568</v>
      </c>
      <c r="E1615" s="1" t="str">
        <f>_xlfn.XLOOKUP(tblSales[[#This Row],[Customer ID]],tblCustomers[Customer ID],tblCustomers[Customer Name],"⚠ Unknown")</f>
        <v>Walk-in Customer</v>
      </c>
      <c r="F1615" s="4" t="s">
        <v>8</v>
      </c>
      <c r="G1615" s="1" t="str">
        <f>_xlfn.XLOOKUP(tblSales[[#This Row],[Product Code]],tblProducts[Code],tblProducts[Product / Service Name],"⚠ Unknown")</f>
        <v>Casual Shorts</v>
      </c>
      <c r="H1615" s="1" t="str">
        <f>_xlfn.XLOOKUP(tblSales[[#This Row],[Product Code]],tblProducts[Code],tblProducts[Category],"")</f>
        <v>Accessories &amp; Basics</v>
      </c>
      <c r="I1615" s="4">
        <v>8</v>
      </c>
      <c r="J1615" s="5">
        <f>_xlfn.XLOOKUP(tblSales[[#This Row],[Product Code]],tblProducts[Code],tblProducts[Selling Price (excl. VAT)],0)</f>
        <v>85000</v>
      </c>
      <c r="K1615" s="5">
        <f>tblSales[[#This Row],[Qty]]*tblSales[[#This Row],[Unit Price]]</f>
        <v>680000</v>
      </c>
      <c r="L1615" s="5">
        <f>ROUND(tblSales[[#This Row],[DPP (excl. VAT)]]*VATEff,0)</f>
        <v>74800</v>
      </c>
      <c r="M1615" s="5">
        <f>tblSales[[#This Row],[DPP (excl. VAT)]]+tblSales[[#This Row],[Output VAT]]</f>
        <v>754800</v>
      </c>
      <c r="N1615" s="5">
        <f>tblSales[[#This Row],[Qty]]*_xlfn.XLOOKUP(tblSales[[#This Row],[Product Code]],tblProducts[Code],tblProducts[Unit Cost],0)</f>
        <v>400000</v>
      </c>
      <c r="O1615" s="4" t="s">
        <v>4865</v>
      </c>
      <c r="P1615" s="4" t="s">
        <v>4860</v>
      </c>
      <c r="Q1615" s="1" t="str">
        <f>_xlfn.XLOOKUP(tblSales[[#This Row],[Channel Code]],tblChannels[Channel Code],tblChannels[Channel Name],"")</f>
        <v>In-store</v>
      </c>
      <c r="R1615" s="1">
        <f>MONTH(tblSales[[#This Row],[Date]])</f>
        <v>4</v>
      </c>
    </row>
    <row r="1616" spans="2:18" x14ac:dyDescent="0.35">
      <c r="B1616" s="113">
        <v>46118</v>
      </c>
      <c r="C1616" s="4" t="s">
        <v>1093</v>
      </c>
      <c r="D1616" s="4" t="s">
        <v>4613</v>
      </c>
      <c r="E1616" s="1" t="str">
        <f>_xlfn.XLOOKUP(tblSales[[#This Row],[Customer ID]],tblCustomers[Customer ID],tblCustomers[Customer Name],"⚠ Unknown")</f>
        <v>PT Mega Prima Distribusi</v>
      </c>
      <c r="F1616" s="4" t="s">
        <v>6</v>
      </c>
      <c r="G1616" s="1" t="str">
        <f>_xlfn.XLOOKUP(tblSales[[#This Row],[Product Code]],tblProducts[Code],tblProducts[Product / Service Name],"⚠ Unknown")</f>
        <v>Socks &amp; Accessories</v>
      </c>
      <c r="H1616" s="1" t="str">
        <f>_xlfn.XLOOKUP(tblSales[[#This Row],[Product Code]],tblProducts[Code],tblProducts[Category],"")</f>
        <v>Accessories &amp; Basics</v>
      </c>
      <c r="I1616" s="4">
        <v>96</v>
      </c>
      <c r="J1616" s="5">
        <f>_xlfn.XLOOKUP(tblSales[[#This Row],[Product Code]],tblProducts[Code],tblProducts[Selling Price (excl. VAT)],0)</f>
        <v>45000</v>
      </c>
      <c r="K1616" s="5">
        <f>tblSales[[#This Row],[Qty]]*tblSales[[#This Row],[Unit Price]]</f>
        <v>4320000</v>
      </c>
      <c r="L1616" s="5">
        <f>ROUND(tblSales[[#This Row],[DPP (excl. VAT)]]*VATEff,0)</f>
        <v>475200</v>
      </c>
      <c r="M1616" s="5">
        <f>tblSales[[#This Row],[DPP (excl. VAT)]]+tblSales[[#This Row],[Output VAT]]</f>
        <v>4795200</v>
      </c>
      <c r="N1616" s="5">
        <f>tblSales[[#This Row],[Qty]]*_xlfn.XLOOKUP(tblSales[[#This Row],[Product Code]],tblProducts[Code],tblProducts[Unit Cost],0)</f>
        <v>2304000</v>
      </c>
      <c r="O1616" s="4" t="s">
        <v>4867</v>
      </c>
      <c r="P1616" s="4" t="s">
        <v>4860</v>
      </c>
      <c r="Q1616" s="1" t="str">
        <f>_xlfn.XLOOKUP(tblSales[[#This Row],[Channel Code]],tblChannels[Channel Code],tblChannels[Channel Name],"")</f>
        <v>In-store</v>
      </c>
      <c r="R1616" s="1">
        <f>MONTH(tblSales[[#This Row],[Date]])</f>
        <v>4</v>
      </c>
    </row>
    <row r="1617" spans="2:18" x14ac:dyDescent="0.35">
      <c r="B1617" s="113">
        <v>46118</v>
      </c>
      <c r="C1617" s="4" t="s">
        <v>1093</v>
      </c>
      <c r="D1617" s="4" t="s">
        <v>4613</v>
      </c>
      <c r="E1617" s="1" t="str">
        <f>_xlfn.XLOOKUP(tblSales[[#This Row],[Customer ID]],tblCustomers[Customer ID],tblCustomers[Customer Name],"⚠ Unknown")</f>
        <v>PT Mega Prima Distribusi</v>
      </c>
      <c r="F1617" s="4" t="s">
        <v>8</v>
      </c>
      <c r="G1617" s="1" t="str">
        <f>_xlfn.XLOOKUP(tblSales[[#This Row],[Product Code]],tblProducts[Code],tblProducts[Product / Service Name],"⚠ Unknown")</f>
        <v>Casual Shorts</v>
      </c>
      <c r="H1617" s="1" t="str">
        <f>_xlfn.XLOOKUP(tblSales[[#This Row],[Product Code]],tblProducts[Code],tblProducts[Category],"")</f>
        <v>Accessories &amp; Basics</v>
      </c>
      <c r="I1617" s="4">
        <v>40</v>
      </c>
      <c r="J1617" s="5">
        <f>_xlfn.XLOOKUP(tblSales[[#This Row],[Product Code]],tblProducts[Code],tblProducts[Selling Price (excl. VAT)],0)</f>
        <v>85000</v>
      </c>
      <c r="K1617" s="5">
        <f>tblSales[[#This Row],[Qty]]*tblSales[[#This Row],[Unit Price]]</f>
        <v>3400000</v>
      </c>
      <c r="L1617" s="5">
        <f>ROUND(tblSales[[#This Row],[DPP (excl. VAT)]]*VATEff,0)</f>
        <v>374000</v>
      </c>
      <c r="M1617" s="5">
        <f>tblSales[[#This Row],[DPP (excl. VAT)]]+tblSales[[#This Row],[Output VAT]]</f>
        <v>3774000</v>
      </c>
      <c r="N1617" s="5">
        <f>tblSales[[#This Row],[Qty]]*_xlfn.XLOOKUP(tblSales[[#This Row],[Product Code]],tblProducts[Code],tblProducts[Unit Cost],0)</f>
        <v>2000000</v>
      </c>
      <c r="O1617" s="4" t="s">
        <v>4867</v>
      </c>
      <c r="P1617" s="4" t="s">
        <v>4860</v>
      </c>
      <c r="Q1617" s="1" t="str">
        <f>_xlfn.XLOOKUP(tblSales[[#This Row],[Channel Code]],tblChannels[Channel Code],tblChannels[Channel Name],"")</f>
        <v>In-store</v>
      </c>
      <c r="R1617" s="1">
        <f>MONTH(tblSales[[#This Row],[Date]])</f>
        <v>4</v>
      </c>
    </row>
    <row r="1618" spans="2:18" x14ac:dyDescent="0.35">
      <c r="B1618" s="113">
        <v>46118</v>
      </c>
      <c r="C1618" s="4" t="s">
        <v>1094</v>
      </c>
      <c r="D1618" s="4" t="s">
        <v>4568</v>
      </c>
      <c r="E1618" s="1" t="str">
        <f>_xlfn.XLOOKUP(tblSales[[#This Row],[Customer ID]],tblCustomers[Customer ID],tblCustomers[Customer Name],"⚠ Unknown")</f>
        <v>Walk-in Customer</v>
      </c>
      <c r="F1618" s="4" t="s">
        <v>8</v>
      </c>
      <c r="G1618" s="1" t="str">
        <f>_xlfn.XLOOKUP(tblSales[[#This Row],[Product Code]],tblProducts[Code],tblProducts[Product / Service Name],"⚠ Unknown")</f>
        <v>Casual Shorts</v>
      </c>
      <c r="H1618" s="1" t="str">
        <f>_xlfn.XLOOKUP(tblSales[[#This Row],[Product Code]],tblProducts[Code],tblProducts[Category],"")</f>
        <v>Accessories &amp; Basics</v>
      </c>
      <c r="I1618" s="4">
        <v>8</v>
      </c>
      <c r="J1618" s="5">
        <f>_xlfn.XLOOKUP(tblSales[[#This Row],[Product Code]],tblProducts[Code],tblProducts[Selling Price (excl. VAT)],0)</f>
        <v>85000</v>
      </c>
      <c r="K1618" s="5">
        <f>tblSales[[#This Row],[Qty]]*tblSales[[#This Row],[Unit Price]]</f>
        <v>680000</v>
      </c>
      <c r="L1618" s="5">
        <f>ROUND(tblSales[[#This Row],[DPP (excl. VAT)]]*VATEff,0)</f>
        <v>74800</v>
      </c>
      <c r="M1618" s="5">
        <f>tblSales[[#This Row],[DPP (excl. VAT)]]+tblSales[[#This Row],[Output VAT]]</f>
        <v>754800</v>
      </c>
      <c r="N1618" s="5">
        <f>tblSales[[#This Row],[Qty]]*_xlfn.XLOOKUP(tblSales[[#This Row],[Product Code]],tblProducts[Code],tblProducts[Unit Cost],0)</f>
        <v>400000</v>
      </c>
      <c r="O1618" s="4" t="s">
        <v>4865</v>
      </c>
      <c r="P1618" s="4" t="s">
        <v>4860</v>
      </c>
      <c r="Q1618" s="1" t="str">
        <f>_xlfn.XLOOKUP(tblSales[[#This Row],[Channel Code]],tblChannels[Channel Code],tblChannels[Channel Name],"")</f>
        <v>In-store</v>
      </c>
      <c r="R1618" s="1">
        <f>MONTH(tblSales[[#This Row],[Date]])</f>
        <v>4</v>
      </c>
    </row>
    <row r="1619" spans="2:18" x14ac:dyDescent="0.35">
      <c r="B1619" s="113">
        <v>46118</v>
      </c>
      <c r="C1619" s="4" t="s">
        <v>1095</v>
      </c>
      <c r="D1619" s="4" t="s">
        <v>4585</v>
      </c>
      <c r="E1619" s="1" t="str">
        <f>_xlfn.XLOOKUP(tblSales[[#This Row],[Customer ID]],tblCustomers[Customer ID],tblCustomers[Customer Name],"⚠ Unknown")</f>
        <v>CV Mitra Karya Mandiri</v>
      </c>
      <c r="F1619" s="4" t="s">
        <v>8</v>
      </c>
      <c r="G1619" s="1" t="str">
        <f>_xlfn.XLOOKUP(tblSales[[#This Row],[Product Code]],tblProducts[Code],tblProducts[Product / Service Name],"⚠ Unknown")</f>
        <v>Casual Shorts</v>
      </c>
      <c r="H1619" s="1" t="str">
        <f>_xlfn.XLOOKUP(tblSales[[#This Row],[Product Code]],tblProducts[Code],tblProducts[Category],"")</f>
        <v>Accessories &amp; Basics</v>
      </c>
      <c r="I1619" s="4">
        <v>80</v>
      </c>
      <c r="J1619" s="5">
        <f>_xlfn.XLOOKUP(tblSales[[#This Row],[Product Code]],tblProducts[Code],tblProducts[Selling Price (excl. VAT)],0)</f>
        <v>85000</v>
      </c>
      <c r="K1619" s="5">
        <f>tblSales[[#This Row],[Qty]]*tblSales[[#This Row],[Unit Price]]</f>
        <v>6800000</v>
      </c>
      <c r="L1619" s="5">
        <f>ROUND(tblSales[[#This Row],[DPP (excl. VAT)]]*VATEff,0)</f>
        <v>748000</v>
      </c>
      <c r="M1619" s="5">
        <f>tblSales[[#This Row],[DPP (excl. VAT)]]+tblSales[[#This Row],[Output VAT]]</f>
        <v>7548000</v>
      </c>
      <c r="N1619" s="5">
        <f>tblSales[[#This Row],[Qty]]*_xlfn.XLOOKUP(tblSales[[#This Row],[Product Code]],tblProducts[Code],tblProducts[Unit Cost],0)</f>
        <v>4000000</v>
      </c>
      <c r="O1619" s="4" t="s">
        <v>4867</v>
      </c>
      <c r="P1619" s="4" t="s">
        <v>4862</v>
      </c>
      <c r="Q1619" s="1" t="str">
        <f>_xlfn.XLOOKUP(tblSales[[#This Row],[Channel Code]],tblChannels[Channel Code],tblChannels[Channel Name],"")</f>
        <v>Website &amp; Social Media</v>
      </c>
      <c r="R1619" s="1">
        <f>MONTH(tblSales[[#This Row],[Date]])</f>
        <v>4</v>
      </c>
    </row>
    <row r="1620" spans="2:18" x14ac:dyDescent="0.35">
      <c r="B1620" s="113">
        <v>46119</v>
      </c>
      <c r="C1620" s="4" t="s">
        <v>1096</v>
      </c>
      <c r="D1620" s="4" t="s">
        <v>4568</v>
      </c>
      <c r="E1620" s="1" t="str">
        <f>_xlfn.XLOOKUP(tblSales[[#This Row],[Customer ID]],tblCustomers[Customer ID],tblCustomers[Customer Name],"⚠ Unknown")</f>
        <v>Walk-in Customer</v>
      </c>
      <c r="F1620" s="4" t="s">
        <v>7</v>
      </c>
      <c r="G1620" s="1" t="str">
        <f>_xlfn.XLOOKUP(tblSales[[#This Row],[Product Code]],tblProducts[Code],tblProducts[Product / Service Name],"⚠ Unknown")</f>
        <v>Premium Basic T-shirt</v>
      </c>
      <c r="H1620" s="1" t="str">
        <f>_xlfn.XLOOKUP(tblSales[[#This Row],[Product Code]],tblProducts[Code],tblProducts[Category],"")</f>
        <v>Accessories &amp; Basics</v>
      </c>
      <c r="I1620" s="4">
        <v>9</v>
      </c>
      <c r="J1620" s="5">
        <f>_xlfn.XLOOKUP(tblSales[[#This Row],[Product Code]],tblProducts[Code],tblProducts[Selling Price (excl. VAT)],0)</f>
        <v>65000</v>
      </c>
      <c r="K1620" s="5">
        <f>tblSales[[#This Row],[Qty]]*tblSales[[#This Row],[Unit Price]]</f>
        <v>585000</v>
      </c>
      <c r="L1620" s="5">
        <f>ROUND(tblSales[[#This Row],[DPP (excl. VAT)]]*VATEff,0)</f>
        <v>64350</v>
      </c>
      <c r="M1620" s="5">
        <f>tblSales[[#This Row],[DPP (excl. VAT)]]+tblSales[[#This Row],[Output VAT]]</f>
        <v>649350</v>
      </c>
      <c r="N1620" s="5">
        <f>tblSales[[#This Row],[Qty]]*_xlfn.XLOOKUP(tblSales[[#This Row],[Product Code]],tblProducts[Code],tblProducts[Unit Cost],0)</f>
        <v>333000</v>
      </c>
      <c r="O1620" s="4" t="s">
        <v>4865</v>
      </c>
      <c r="P1620" s="4" t="s">
        <v>4860</v>
      </c>
      <c r="Q1620" s="1" t="str">
        <f>_xlfn.XLOOKUP(tblSales[[#This Row],[Channel Code]],tblChannels[Channel Code],tblChannels[Channel Name],"")</f>
        <v>In-store</v>
      </c>
      <c r="R1620" s="1">
        <f>MONTH(tblSales[[#This Row],[Date]])</f>
        <v>4</v>
      </c>
    </row>
    <row r="1621" spans="2:18" x14ac:dyDescent="0.35">
      <c r="B1621" s="113">
        <v>46119</v>
      </c>
      <c r="C1621" s="4" t="s">
        <v>1097</v>
      </c>
      <c r="D1621" s="4" t="s">
        <v>4568</v>
      </c>
      <c r="E1621" s="1" t="str">
        <f>_xlfn.XLOOKUP(tblSales[[#This Row],[Customer ID]],tblCustomers[Customer ID],tblCustomers[Customer Name],"⚠ Unknown")</f>
        <v>Walk-in Customer</v>
      </c>
      <c r="F1621" s="4" t="s">
        <v>7</v>
      </c>
      <c r="G1621" s="1" t="str">
        <f>_xlfn.XLOOKUP(tblSales[[#This Row],[Product Code]],tblProducts[Code],tblProducts[Product / Service Name],"⚠ Unknown")</f>
        <v>Premium Basic T-shirt</v>
      </c>
      <c r="H1621" s="1" t="str">
        <f>_xlfn.XLOOKUP(tblSales[[#This Row],[Product Code]],tblProducts[Code],tblProducts[Category],"")</f>
        <v>Accessories &amp; Basics</v>
      </c>
      <c r="I1621" s="4">
        <v>5</v>
      </c>
      <c r="J1621" s="5">
        <f>_xlfn.XLOOKUP(tblSales[[#This Row],[Product Code]],tblProducts[Code],tblProducts[Selling Price (excl. VAT)],0)</f>
        <v>65000</v>
      </c>
      <c r="K1621" s="5">
        <f>tblSales[[#This Row],[Qty]]*tblSales[[#This Row],[Unit Price]]</f>
        <v>325000</v>
      </c>
      <c r="L1621" s="5">
        <f>ROUND(tblSales[[#This Row],[DPP (excl. VAT)]]*VATEff,0)</f>
        <v>35750</v>
      </c>
      <c r="M1621" s="5">
        <f>tblSales[[#This Row],[DPP (excl. VAT)]]+tblSales[[#This Row],[Output VAT]]</f>
        <v>360750</v>
      </c>
      <c r="N1621" s="5">
        <f>tblSales[[#This Row],[Qty]]*_xlfn.XLOOKUP(tblSales[[#This Row],[Product Code]],tblProducts[Code],tblProducts[Unit Cost],0)</f>
        <v>185000</v>
      </c>
      <c r="O1621" s="4" t="s">
        <v>4866</v>
      </c>
      <c r="P1621" s="4" t="s">
        <v>4862</v>
      </c>
      <c r="Q1621" s="1" t="str">
        <f>_xlfn.XLOOKUP(tblSales[[#This Row],[Channel Code]],tblChannels[Channel Code],tblChannels[Channel Name],"")</f>
        <v>Website &amp; Social Media</v>
      </c>
      <c r="R1621" s="1">
        <f>MONTH(tblSales[[#This Row],[Date]])</f>
        <v>4</v>
      </c>
    </row>
    <row r="1622" spans="2:18" x14ac:dyDescent="0.35">
      <c r="B1622" s="113">
        <v>46119</v>
      </c>
      <c r="C1622" s="4" t="s">
        <v>1098</v>
      </c>
      <c r="D1622" s="4" t="s">
        <v>4568</v>
      </c>
      <c r="E1622" s="1" t="str">
        <f>_xlfn.XLOOKUP(tblSales[[#This Row],[Customer ID]],tblCustomers[Customer ID],tblCustomers[Customer Name],"⚠ Unknown")</f>
        <v>Walk-in Customer</v>
      </c>
      <c r="F1622" s="4" t="s">
        <v>14</v>
      </c>
      <c r="G1622" s="1" t="str">
        <f>_xlfn.XLOOKUP(tblSales[[#This Row],[Product Code]],tblProducts[Code],tblProducts[Product / Service Name],"⚠ Unknown")</f>
        <v>Smartwatch</v>
      </c>
      <c r="H1622" s="1" t="str">
        <f>_xlfn.XLOOKUP(tblSales[[#This Row],[Product Code]],tblProducts[Code],tblProducts[Category],"")</f>
        <v>Bags &amp; Gadgets</v>
      </c>
      <c r="I1622" s="4">
        <v>3</v>
      </c>
      <c r="J1622" s="5">
        <f>_xlfn.XLOOKUP(tblSales[[#This Row],[Product Code]],tblProducts[Code],tblProducts[Selling Price (excl. VAT)],0)</f>
        <v>850000</v>
      </c>
      <c r="K1622" s="5">
        <f>tblSales[[#This Row],[Qty]]*tblSales[[#This Row],[Unit Price]]</f>
        <v>2550000</v>
      </c>
      <c r="L1622" s="5">
        <f>ROUND(tblSales[[#This Row],[DPP (excl. VAT)]]*VATEff,0)</f>
        <v>280500</v>
      </c>
      <c r="M1622" s="5">
        <f>tblSales[[#This Row],[DPP (excl. VAT)]]+tblSales[[#This Row],[Output VAT]]</f>
        <v>2830500</v>
      </c>
      <c r="N1622" s="5">
        <f>tblSales[[#This Row],[Qty]]*_xlfn.XLOOKUP(tblSales[[#This Row],[Product Code]],tblProducts[Code],tblProducts[Unit Cost],0)</f>
        <v>1680000</v>
      </c>
      <c r="O1622" s="4" t="s">
        <v>4865</v>
      </c>
      <c r="P1622" s="4" t="s">
        <v>4860</v>
      </c>
      <c r="Q1622" s="1" t="str">
        <f>_xlfn.XLOOKUP(tblSales[[#This Row],[Channel Code]],tblChannels[Channel Code],tblChannels[Channel Name],"")</f>
        <v>In-store</v>
      </c>
      <c r="R1622" s="1">
        <f>MONTH(tblSales[[#This Row],[Date]])</f>
        <v>4</v>
      </c>
    </row>
    <row r="1623" spans="2:18" x14ac:dyDescent="0.35">
      <c r="B1623" s="113">
        <v>46119</v>
      </c>
      <c r="C1623" s="4" t="s">
        <v>1099</v>
      </c>
      <c r="D1623" s="4" t="s">
        <v>4568</v>
      </c>
      <c r="E1623" s="1" t="str">
        <f>_xlfn.XLOOKUP(tblSales[[#This Row],[Customer ID]],tblCustomers[Customer ID],tblCustomers[Customer Name],"⚠ Unknown")</f>
        <v>Walk-in Customer</v>
      </c>
      <c r="F1623" s="4" t="s">
        <v>6</v>
      </c>
      <c r="G1623" s="1" t="str">
        <f>_xlfn.XLOOKUP(tblSales[[#This Row],[Product Code]],tblProducts[Code],tblProducts[Product / Service Name],"⚠ Unknown")</f>
        <v>Socks &amp; Accessories</v>
      </c>
      <c r="H1623" s="1" t="str">
        <f>_xlfn.XLOOKUP(tblSales[[#This Row],[Product Code]],tblProducts[Code],tblProducts[Category],"")</f>
        <v>Accessories &amp; Basics</v>
      </c>
      <c r="I1623" s="4">
        <v>12</v>
      </c>
      <c r="J1623" s="5">
        <f>_xlfn.XLOOKUP(tblSales[[#This Row],[Product Code]],tblProducts[Code],tblProducts[Selling Price (excl. VAT)],0)</f>
        <v>45000</v>
      </c>
      <c r="K1623" s="5">
        <f>tblSales[[#This Row],[Qty]]*tblSales[[#This Row],[Unit Price]]</f>
        <v>540000</v>
      </c>
      <c r="L1623" s="5">
        <f>ROUND(tblSales[[#This Row],[DPP (excl. VAT)]]*VATEff,0)</f>
        <v>59400</v>
      </c>
      <c r="M1623" s="5">
        <f>tblSales[[#This Row],[DPP (excl. VAT)]]+tblSales[[#This Row],[Output VAT]]</f>
        <v>599400</v>
      </c>
      <c r="N1623" s="5">
        <f>tblSales[[#This Row],[Qty]]*_xlfn.XLOOKUP(tblSales[[#This Row],[Product Code]],tblProducts[Code],tblProducts[Unit Cost],0)</f>
        <v>288000</v>
      </c>
      <c r="O1623" s="4" t="s">
        <v>4866</v>
      </c>
      <c r="P1623" s="4" t="s">
        <v>4861</v>
      </c>
      <c r="Q1623" s="1" t="str">
        <f>_xlfn.XLOOKUP(tblSales[[#This Row],[Channel Code]],tblChannels[Channel Code],tblChannels[Channel Name],"")</f>
        <v>Marketplace</v>
      </c>
      <c r="R1623" s="1">
        <f>MONTH(tblSales[[#This Row],[Date]])</f>
        <v>4</v>
      </c>
    </row>
    <row r="1624" spans="2:18" x14ac:dyDescent="0.35">
      <c r="B1624" s="113">
        <v>46119</v>
      </c>
      <c r="C1624" s="4" t="s">
        <v>1099</v>
      </c>
      <c r="D1624" s="4" t="s">
        <v>4568</v>
      </c>
      <c r="E1624" s="1" t="str">
        <f>_xlfn.XLOOKUP(tblSales[[#This Row],[Customer ID]],tblCustomers[Customer ID],tblCustomers[Customer Name],"⚠ Unknown")</f>
        <v>Walk-in Customer</v>
      </c>
      <c r="F1624" s="4" t="s">
        <v>7</v>
      </c>
      <c r="G1624" s="1" t="str">
        <f>_xlfn.XLOOKUP(tblSales[[#This Row],[Product Code]],tblProducts[Code],tblProducts[Product / Service Name],"⚠ Unknown")</f>
        <v>Premium Basic T-shirt</v>
      </c>
      <c r="H1624" s="1" t="str">
        <f>_xlfn.XLOOKUP(tblSales[[#This Row],[Product Code]],tblProducts[Code],tblProducts[Category],"")</f>
        <v>Accessories &amp; Basics</v>
      </c>
      <c r="I1624" s="4">
        <v>3</v>
      </c>
      <c r="J1624" s="5">
        <f>_xlfn.XLOOKUP(tblSales[[#This Row],[Product Code]],tblProducts[Code],tblProducts[Selling Price (excl. VAT)],0)</f>
        <v>65000</v>
      </c>
      <c r="K1624" s="5">
        <f>tblSales[[#This Row],[Qty]]*tblSales[[#This Row],[Unit Price]]</f>
        <v>195000</v>
      </c>
      <c r="L1624" s="5">
        <f>ROUND(tblSales[[#This Row],[DPP (excl. VAT)]]*VATEff,0)</f>
        <v>21450</v>
      </c>
      <c r="M1624" s="5">
        <f>tblSales[[#This Row],[DPP (excl. VAT)]]+tblSales[[#This Row],[Output VAT]]</f>
        <v>216450</v>
      </c>
      <c r="N1624" s="5">
        <f>tblSales[[#This Row],[Qty]]*_xlfn.XLOOKUP(tblSales[[#This Row],[Product Code]],tblProducts[Code],tblProducts[Unit Cost],0)</f>
        <v>111000</v>
      </c>
      <c r="O1624" s="4" t="s">
        <v>4866</v>
      </c>
      <c r="P1624" s="4" t="s">
        <v>4861</v>
      </c>
      <c r="Q1624" s="1" t="str">
        <f>_xlfn.XLOOKUP(tblSales[[#This Row],[Channel Code]],tblChannels[Channel Code],tblChannels[Channel Name],"")</f>
        <v>Marketplace</v>
      </c>
      <c r="R1624" s="1">
        <f>MONTH(tblSales[[#This Row],[Date]])</f>
        <v>4</v>
      </c>
    </row>
    <row r="1625" spans="2:18" x14ac:dyDescent="0.35">
      <c r="B1625" s="113">
        <v>46119</v>
      </c>
      <c r="C1625" s="4" t="s">
        <v>1100</v>
      </c>
      <c r="D1625" s="4" t="s">
        <v>4568</v>
      </c>
      <c r="E1625" s="1" t="str">
        <f>_xlfn.XLOOKUP(tblSales[[#This Row],[Customer ID]],tblCustomers[Customer ID],tblCustomers[Customer Name],"⚠ Unknown")</f>
        <v>Walk-in Customer</v>
      </c>
      <c r="F1625" s="4" t="s">
        <v>6</v>
      </c>
      <c r="G1625" s="1" t="str">
        <f>_xlfn.XLOOKUP(tblSales[[#This Row],[Product Code]],tblProducts[Code],tblProducts[Product / Service Name],"⚠ Unknown")</f>
        <v>Socks &amp; Accessories</v>
      </c>
      <c r="H1625" s="1" t="str">
        <f>_xlfn.XLOOKUP(tblSales[[#This Row],[Product Code]],tblProducts[Code],tblProducts[Category],"")</f>
        <v>Accessories &amp; Basics</v>
      </c>
      <c r="I1625" s="4">
        <v>1</v>
      </c>
      <c r="J1625" s="5">
        <f>_xlfn.XLOOKUP(tblSales[[#This Row],[Product Code]],tblProducts[Code],tblProducts[Selling Price (excl. VAT)],0)</f>
        <v>45000</v>
      </c>
      <c r="K1625" s="5">
        <f>tblSales[[#This Row],[Qty]]*tblSales[[#This Row],[Unit Price]]</f>
        <v>45000</v>
      </c>
      <c r="L1625" s="5">
        <f>ROUND(tblSales[[#This Row],[DPP (excl. VAT)]]*VATEff,0)</f>
        <v>4950</v>
      </c>
      <c r="M1625" s="5">
        <f>tblSales[[#This Row],[DPP (excl. VAT)]]+tblSales[[#This Row],[Output VAT]]</f>
        <v>49950</v>
      </c>
      <c r="N1625" s="5">
        <f>tblSales[[#This Row],[Qty]]*_xlfn.XLOOKUP(tblSales[[#This Row],[Product Code]],tblProducts[Code],tblProducts[Unit Cost],0)</f>
        <v>24000</v>
      </c>
      <c r="O1625" s="4" t="s">
        <v>4866</v>
      </c>
      <c r="P1625" s="4" t="s">
        <v>4862</v>
      </c>
      <c r="Q1625" s="1" t="str">
        <f>_xlfn.XLOOKUP(tblSales[[#This Row],[Channel Code]],tblChannels[Channel Code],tblChannels[Channel Name],"")</f>
        <v>Website &amp; Social Media</v>
      </c>
      <c r="R1625" s="1">
        <f>MONTH(tblSales[[#This Row],[Date]])</f>
        <v>4</v>
      </c>
    </row>
    <row r="1626" spans="2:18" x14ac:dyDescent="0.35">
      <c r="B1626" s="113">
        <v>46119</v>
      </c>
      <c r="C1626" s="4" t="s">
        <v>1100</v>
      </c>
      <c r="D1626" s="4" t="s">
        <v>4568</v>
      </c>
      <c r="E1626" s="1" t="str">
        <f>_xlfn.XLOOKUP(tblSales[[#This Row],[Customer ID]],tblCustomers[Customer ID],tblCustomers[Customer Name],"⚠ Unknown")</f>
        <v>Walk-in Customer</v>
      </c>
      <c r="F1626" s="4" t="s">
        <v>9</v>
      </c>
      <c r="G1626" s="1" t="str">
        <f>_xlfn.XLOOKUP(tblSales[[#This Row],[Product Code]],tblProducts[Code],tblProducts[Product / Service Name],"⚠ Unknown")</f>
        <v>Casual Shirt</v>
      </c>
      <c r="H1626" s="1" t="str">
        <f>_xlfn.XLOOKUP(tblSales[[#This Row],[Product Code]],tblProducts[Code],tblProducts[Category],"")</f>
        <v>Apparel &amp; Footwear</v>
      </c>
      <c r="I1626" s="4">
        <v>8</v>
      </c>
      <c r="J1626" s="5">
        <f>_xlfn.XLOOKUP(tblSales[[#This Row],[Product Code]],tblProducts[Code],tblProducts[Selling Price (excl. VAT)],0)</f>
        <v>120000</v>
      </c>
      <c r="K1626" s="5">
        <f>tblSales[[#This Row],[Qty]]*tblSales[[#This Row],[Unit Price]]</f>
        <v>960000</v>
      </c>
      <c r="L1626" s="5">
        <f>ROUND(tblSales[[#This Row],[DPP (excl. VAT)]]*VATEff,0)</f>
        <v>105600</v>
      </c>
      <c r="M1626" s="5">
        <f>tblSales[[#This Row],[DPP (excl. VAT)]]+tblSales[[#This Row],[Output VAT]]</f>
        <v>1065600</v>
      </c>
      <c r="N1626" s="5">
        <f>tblSales[[#This Row],[Qty]]*_xlfn.XLOOKUP(tblSales[[#This Row],[Product Code]],tblProducts[Code],tblProducts[Unit Cost],0)</f>
        <v>576000</v>
      </c>
      <c r="O1626" s="4" t="s">
        <v>4866</v>
      </c>
      <c r="P1626" s="4" t="s">
        <v>4862</v>
      </c>
      <c r="Q1626" s="1" t="str">
        <f>_xlfn.XLOOKUP(tblSales[[#This Row],[Channel Code]],tblChannels[Channel Code],tblChannels[Channel Name],"")</f>
        <v>Website &amp; Social Media</v>
      </c>
      <c r="R1626" s="1">
        <f>MONTH(tblSales[[#This Row],[Date]])</f>
        <v>4</v>
      </c>
    </row>
    <row r="1627" spans="2:18" x14ac:dyDescent="0.35">
      <c r="B1627" s="113">
        <v>46119</v>
      </c>
      <c r="C1627" s="4" t="s">
        <v>1101</v>
      </c>
      <c r="D1627" s="4" t="s">
        <v>4568</v>
      </c>
      <c r="E1627" s="1" t="str">
        <f>_xlfn.XLOOKUP(tblSales[[#This Row],[Customer ID]],tblCustomers[Customer ID],tblCustomers[Customer Name],"⚠ Unknown")</f>
        <v>Walk-in Customer</v>
      </c>
      <c r="F1627" s="4" t="s">
        <v>12</v>
      </c>
      <c r="G1627" s="1" t="str">
        <f>_xlfn.XLOOKUP(tblSales[[#This Row],[Product Code]],tblProducts[Code],tblProducts[Product / Service Name],"⚠ Unknown")</f>
        <v>Bomber Jacket</v>
      </c>
      <c r="H1627" s="1" t="str">
        <f>_xlfn.XLOOKUP(tblSales[[#This Row],[Product Code]],tblProducts[Code],tblProducts[Category],"")</f>
        <v>Apparel &amp; Footwear</v>
      </c>
      <c r="I1627" s="4">
        <v>1</v>
      </c>
      <c r="J1627" s="5">
        <f>_xlfn.XLOOKUP(tblSales[[#This Row],[Product Code]],tblProducts[Code],tblProducts[Selling Price (excl. VAT)],0)</f>
        <v>350000</v>
      </c>
      <c r="K1627" s="5">
        <f>tblSales[[#This Row],[Qty]]*tblSales[[#This Row],[Unit Price]]</f>
        <v>350000</v>
      </c>
      <c r="L1627" s="5">
        <f>ROUND(tblSales[[#This Row],[DPP (excl. VAT)]]*VATEff,0)</f>
        <v>38500</v>
      </c>
      <c r="M1627" s="5">
        <f>tblSales[[#This Row],[DPP (excl. VAT)]]+tblSales[[#This Row],[Output VAT]]</f>
        <v>388500</v>
      </c>
      <c r="N1627" s="5">
        <f>tblSales[[#This Row],[Qty]]*_xlfn.XLOOKUP(tblSales[[#This Row],[Product Code]],tblProducts[Code],tblProducts[Unit Cost],0)</f>
        <v>210000</v>
      </c>
      <c r="O1627" s="4" t="s">
        <v>4865</v>
      </c>
      <c r="P1627" s="4" t="s">
        <v>4860</v>
      </c>
      <c r="Q1627" s="1" t="str">
        <f>_xlfn.XLOOKUP(tblSales[[#This Row],[Channel Code]],tblChannels[Channel Code],tblChannels[Channel Name],"")</f>
        <v>In-store</v>
      </c>
      <c r="R1627" s="1">
        <f>MONTH(tblSales[[#This Row],[Date]])</f>
        <v>4</v>
      </c>
    </row>
    <row r="1628" spans="2:18" x14ac:dyDescent="0.35">
      <c r="B1628" s="113">
        <v>46119</v>
      </c>
      <c r="C1628" s="4" t="s">
        <v>1102</v>
      </c>
      <c r="D1628" s="4" t="s">
        <v>4568</v>
      </c>
      <c r="E1628" s="1" t="str">
        <f>_xlfn.XLOOKUP(tblSales[[#This Row],[Customer ID]],tblCustomers[Customer ID],tblCustomers[Customer Name],"⚠ Unknown")</f>
        <v>Walk-in Customer</v>
      </c>
      <c r="F1628" s="4" t="s">
        <v>8</v>
      </c>
      <c r="G1628" s="1" t="str">
        <f>_xlfn.XLOOKUP(tblSales[[#This Row],[Product Code]],tblProducts[Code],tblProducts[Product / Service Name],"⚠ Unknown")</f>
        <v>Casual Shorts</v>
      </c>
      <c r="H1628" s="1" t="str">
        <f>_xlfn.XLOOKUP(tblSales[[#This Row],[Product Code]],tblProducts[Code],tblProducts[Category],"")</f>
        <v>Accessories &amp; Basics</v>
      </c>
      <c r="I1628" s="4">
        <v>6</v>
      </c>
      <c r="J1628" s="5">
        <f>_xlfn.XLOOKUP(tblSales[[#This Row],[Product Code]],tblProducts[Code],tblProducts[Selling Price (excl. VAT)],0)</f>
        <v>85000</v>
      </c>
      <c r="K1628" s="5">
        <f>tblSales[[#This Row],[Qty]]*tblSales[[#This Row],[Unit Price]]</f>
        <v>510000</v>
      </c>
      <c r="L1628" s="5">
        <f>ROUND(tblSales[[#This Row],[DPP (excl. VAT)]]*VATEff,0)</f>
        <v>56100</v>
      </c>
      <c r="M1628" s="5">
        <f>tblSales[[#This Row],[DPP (excl. VAT)]]+tblSales[[#This Row],[Output VAT]]</f>
        <v>566100</v>
      </c>
      <c r="N1628" s="5">
        <f>tblSales[[#This Row],[Qty]]*_xlfn.XLOOKUP(tblSales[[#This Row],[Product Code]],tblProducts[Code],tblProducts[Unit Cost],0)</f>
        <v>300000</v>
      </c>
      <c r="O1628" s="4" t="s">
        <v>4866</v>
      </c>
      <c r="P1628" s="4" t="s">
        <v>4861</v>
      </c>
      <c r="Q1628" s="1" t="str">
        <f>_xlfn.XLOOKUP(tblSales[[#This Row],[Channel Code]],tblChannels[Channel Code],tblChannels[Channel Name],"")</f>
        <v>Marketplace</v>
      </c>
      <c r="R1628" s="1">
        <f>MONTH(tblSales[[#This Row],[Date]])</f>
        <v>4</v>
      </c>
    </row>
    <row r="1629" spans="2:18" x14ac:dyDescent="0.35">
      <c r="B1629" s="113">
        <v>46119</v>
      </c>
      <c r="C1629" s="4" t="s">
        <v>1103</v>
      </c>
      <c r="D1629" s="4" t="s">
        <v>4568</v>
      </c>
      <c r="E1629" s="1" t="str">
        <f>_xlfn.XLOOKUP(tblSales[[#This Row],[Customer ID]],tblCustomers[Customer ID],tblCustomers[Customer Name],"⚠ Unknown")</f>
        <v>Walk-in Customer</v>
      </c>
      <c r="F1629" s="4" t="s">
        <v>11</v>
      </c>
      <c r="G1629" s="1" t="str">
        <f>_xlfn.XLOOKUP(tblSales[[#This Row],[Product Code]],tblProducts[Code],tblProducts[Product / Service Name],"⚠ Unknown")</f>
        <v>Sneakers</v>
      </c>
      <c r="H1629" s="1" t="str">
        <f>_xlfn.XLOOKUP(tblSales[[#This Row],[Product Code]],tblProducts[Code],tblProducts[Category],"")</f>
        <v>Apparel &amp; Footwear</v>
      </c>
      <c r="I1629" s="4">
        <v>4</v>
      </c>
      <c r="J1629" s="5">
        <f>_xlfn.XLOOKUP(tblSales[[#This Row],[Product Code]],tblProducts[Code],tblProducts[Selling Price (excl. VAT)],0)</f>
        <v>250000</v>
      </c>
      <c r="K1629" s="5">
        <f>tblSales[[#This Row],[Qty]]*tblSales[[#This Row],[Unit Price]]</f>
        <v>1000000</v>
      </c>
      <c r="L1629" s="5">
        <f>ROUND(tblSales[[#This Row],[DPP (excl. VAT)]]*VATEff,0)</f>
        <v>110000</v>
      </c>
      <c r="M1629" s="5">
        <f>tblSales[[#This Row],[DPP (excl. VAT)]]+tblSales[[#This Row],[Output VAT]]</f>
        <v>1110000</v>
      </c>
      <c r="N1629" s="5">
        <f>tblSales[[#This Row],[Qty]]*_xlfn.XLOOKUP(tblSales[[#This Row],[Product Code]],tblProducts[Code],tblProducts[Unit Cost],0)</f>
        <v>620000</v>
      </c>
      <c r="O1629" s="4" t="s">
        <v>4866</v>
      </c>
      <c r="P1629" s="4" t="s">
        <v>4860</v>
      </c>
      <c r="Q1629" s="1" t="str">
        <f>_xlfn.XLOOKUP(tblSales[[#This Row],[Channel Code]],tblChannels[Channel Code],tblChannels[Channel Name],"")</f>
        <v>In-store</v>
      </c>
      <c r="R1629" s="1">
        <f>MONTH(tblSales[[#This Row],[Date]])</f>
        <v>4</v>
      </c>
    </row>
    <row r="1630" spans="2:18" x14ac:dyDescent="0.35">
      <c r="B1630" s="113">
        <v>46119</v>
      </c>
      <c r="C1630" s="4" t="s">
        <v>1104</v>
      </c>
      <c r="D1630" s="4" t="s">
        <v>4568</v>
      </c>
      <c r="E1630" s="1" t="str">
        <f>_xlfn.XLOOKUP(tblSales[[#This Row],[Customer ID]],tblCustomers[Customer ID],tblCustomers[Customer Name],"⚠ Unknown")</f>
        <v>Walk-in Customer</v>
      </c>
      <c r="F1630" s="4" t="s">
        <v>7</v>
      </c>
      <c r="G1630" s="1" t="str">
        <f>_xlfn.XLOOKUP(tblSales[[#This Row],[Product Code]],tblProducts[Code],tblProducts[Product / Service Name],"⚠ Unknown")</f>
        <v>Premium Basic T-shirt</v>
      </c>
      <c r="H1630" s="1" t="str">
        <f>_xlfn.XLOOKUP(tblSales[[#This Row],[Product Code]],tblProducts[Code],tblProducts[Category],"")</f>
        <v>Accessories &amp; Basics</v>
      </c>
      <c r="I1630" s="4">
        <v>5</v>
      </c>
      <c r="J1630" s="5">
        <f>_xlfn.XLOOKUP(tblSales[[#This Row],[Product Code]],tblProducts[Code],tblProducts[Selling Price (excl. VAT)],0)</f>
        <v>65000</v>
      </c>
      <c r="K1630" s="5">
        <f>tblSales[[#This Row],[Qty]]*tblSales[[#This Row],[Unit Price]]</f>
        <v>325000</v>
      </c>
      <c r="L1630" s="5">
        <f>ROUND(tblSales[[#This Row],[DPP (excl. VAT)]]*VATEff,0)</f>
        <v>35750</v>
      </c>
      <c r="M1630" s="5">
        <f>tblSales[[#This Row],[DPP (excl. VAT)]]+tblSales[[#This Row],[Output VAT]]</f>
        <v>360750</v>
      </c>
      <c r="N1630" s="5">
        <f>tblSales[[#This Row],[Qty]]*_xlfn.XLOOKUP(tblSales[[#This Row],[Product Code]],tblProducts[Code],tblProducts[Unit Cost],0)</f>
        <v>185000</v>
      </c>
      <c r="O1630" s="4" t="s">
        <v>4866</v>
      </c>
      <c r="P1630" s="4" t="s">
        <v>4861</v>
      </c>
      <c r="Q1630" s="1" t="str">
        <f>_xlfn.XLOOKUP(tblSales[[#This Row],[Channel Code]],tblChannels[Channel Code],tblChannels[Channel Name],"")</f>
        <v>Marketplace</v>
      </c>
      <c r="R1630" s="1">
        <f>MONTH(tblSales[[#This Row],[Date]])</f>
        <v>4</v>
      </c>
    </row>
    <row r="1631" spans="2:18" x14ac:dyDescent="0.35">
      <c r="B1631" s="113">
        <v>46119</v>
      </c>
      <c r="C1631" s="4" t="s">
        <v>1104</v>
      </c>
      <c r="D1631" s="4" t="s">
        <v>4568</v>
      </c>
      <c r="E1631" s="1" t="str">
        <f>_xlfn.XLOOKUP(tblSales[[#This Row],[Customer ID]],tblCustomers[Customer ID],tblCustomers[Customer Name],"⚠ Unknown")</f>
        <v>Walk-in Customer</v>
      </c>
      <c r="F1631" s="4" t="s">
        <v>9</v>
      </c>
      <c r="G1631" s="1" t="str">
        <f>_xlfn.XLOOKUP(tblSales[[#This Row],[Product Code]],tblProducts[Code],tblProducts[Product / Service Name],"⚠ Unknown")</f>
        <v>Casual Shirt</v>
      </c>
      <c r="H1631" s="1" t="str">
        <f>_xlfn.XLOOKUP(tblSales[[#This Row],[Product Code]],tblProducts[Code],tblProducts[Category],"")</f>
        <v>Apparel &amp; Footwear</v>
      </c>
      <c r="I1631" s="4">
        <v>8</v>
      </c>
      <c r="J1631" s="5">
        <f>_xlfn.XLOOKUP(tblSales[[#This Row],[Product Code]],tblProducts[Code],tblProducts[Selling Price (excl. VAT)],0)</f>
        <v>120000</v>
      </c>
      <c r="K1631" s="5">
        <f>tblSales[[#This Row],[Qty]]*tblSales[[#This Row],[Unit Price]]</f>
        <v>960000</v>
      </c>
      <c r="L1631" s="5">
        <f>ROUND(tblSales[[#This Row],[DPP (excl. VAT)]]*VATEff,0)</f>
        <v>105600</v>
      </c>
      <c r="M1631" s="5">
        <f>tblSales[[#This Row],[DPP (excl. VAT)]]+tblSales[[#This Row],[Output VAT]]</f>
        <v>1065600</v>
      </c>
      <c r="N1631" s="5">
        <f>tblSales[[#This Row],[Qty]]*_xlfn.XLOOKUP(tblSales[[#This Row],[Product Code]],tblProducts[Code],tblProducts[Unit Cost],0)</f>
        <v>576000</v>
      </c>
      <c r="O1631" s="4" t="s">
        <v>4866</v>
      </c>
      <c r="P1631" s="4" t="s">
        <v>4861</v>
      </c>
      <c r="Q1631" s="1" t="str">
        <f>_xlfn.XLOOKUP(tblSales[[#This Row],[Channel Code]],tblChannels[Channel Code],tblChannels[Channel Name],"")</f>
        <v>Marketplace</v>
      </c>
      <c r="R1631" s="1">
        <f>MONTH(tblSales[[#This Row],[Date]])</f>
        <v>4</v>
      </c>
    </row>
    <row r="1632" spans="2:18" x14ac:dyDescent="0.35">
      <c r="B1632" s="113">
        <v>46119</v>
      </c>
      <c r="C1632" s="4" t="s">
        <v>1104</v>
      </c>
      <c r="D1632" s="4" t="s">
        <v>4568</v>
      </c>
      <c r="E1632" s="1" t="str">
        <f>_xlfn.XLOOKUP(tblSales[[#This Row],[Customer ID]],tblCustomers[Customer ID],tblCustomers[Customer Name],"⚠ Unknown")</f>
        <v>Walk-in Customer</v>
      </c>
      <c r="F1632" s="4" t="s">
        <v>8</v>
      </c>
      <c r="G1632" s="1" t="str">
        <f>_xlfn.XLOOKUP(tblSales[[#This Row],[Product Code]],tblProducts[Code],tblProducts[Product / Service Name],"⚠ Unknown")</f>
        <v>Casual Shorts</v>
      </c>
      <c r="H1632" s="1" t="str">
        <f>_xlfn.XLOOKUP(tblSales[[#This Row],[Product Code]],tblProducts[Code],tblProducts[Category],"")</f>
        <v>Accessories &amp; Basics</v>
      </c>
      <c r="I1632" s="4">
        <v>8</v>
      </c>
      <c r="J1632" s="5">
        <f>_xlfn.XLOOKUP(tblSales[[#This Row],[Product Code]],tblProducts[Code],tblProducts[Selling Price (excl. VAT)],0)</f>
        <v>85000</v>
      </c>
      <c r="K1632" s="5">
        <f>tblSales[[#This Row],[Qty]]*tblSales[[#This Row],[Unit Price]]</f>
        <v>680000</v>
      </c>
      <c r="L1632" s="5">
        <f>ROUND(tblSales[[#This Row],[DPP (excl. VAT)]]*VATEff,0)</f>
        <v>74800</v>
      </c>
      <c r="M1632" s="5">
        <f>tblSales[[#This Row],[DPP (excl. VAT)]]+tblSales[[#This Row],[Output VAT]]</f>
        <v>754800</v>
      </c>
      <c r="N1632" s="5">
        <f>tblSales[[#This Row],[Qty]]*_xlfn.XLOOKUP(tblSales[[#This Row],[Product Code]],tblProducts[Code],tblProducts[Unit Cost],0)</f>
        <v>400000</v>
      </c>
      <c r="O1632" s="4" t="s">
        <v>4866</v>
      </c>
      <c r="P1632" s="4" t="s">
        <v>4861</v>
      </c>
      <c r="Q1632" s="1" t="str">
        <f>_xlfn.XLOOKUP(tblSales[[#This Row],[Channel Code]],tblChannels[Channel Code],tblChannels[Channel Name],"")</f>
        <v>Marketplace</v>
      </c>
      <c r="R1632" s="1">
        <f>MONTH(tblSales[[#This Row],[Date]])</f>
        <v>4</v>
      </c>
    </row>
    <row r="1633" spans="2:18" x14ac:dyDescent="0.35">
      <c r="B1633" s="113">
        <v>46119</v>
      </c>
      <c r="C1633" s="4" t="s">
        <v>1105</v>
      </c>
      <c r="D1633" s="4" t="s">
        <v>4568</v>
      </c>
      <c r="E1633" s="1" t="str">
        <f>_xlfn.XLOOKUP(tblSales[[#This Row],[Customer ID]],tblCustomers[Customer ID],tblCustomers[Customer Name],"⚠ Unknown")</f>
        <v>Walk-in Customer</v>
      </c>
      <c r="F1633" s="4" t="s">
        <v>9</v>
      </c>
      <c r="G1633" s="1" t="str">
        <f>_xlfn.XLOOKUP(tblSales[[#This Row],[Product Code]],tblProducts[Code],tblProducts[Product / Service Name],"⚠ Unknown")</f>
        <v>Casual Shirt</v>
      </c>
      <c r="H1633" s="1" t="str">
        <f>_xlfn.XLOOKUP(tblSales[[#This Row],[Product Code]],tblProducts[Code],tblProducts[Category],"")</f>
        <v>Apparel &amp; Footwear</v>
      </c>
      <c r="I1633" s="4">
        <v>3</v>
      </c>
      <c r="J1633" s="5">
        <f>_xlfn.XLOOKUP(tblSales[[#This Row],[Product Code]],tblProducts[Code],tblProducts[Selling Price (excl. VAT)],0)</f>
        <v>120000</v>
      </c>
      <c r="K1633" s="5">
        <f>tblSales[[#This Row],[Qty]]*tblSales[[#This Row],[Unit Price]]</f>
        <v>360000</v>
      </c>
      <c r="L1633" s="5">
        <f>ROUND(tblSales[[#This Row],[DPP (excl. VAT)]]*VATEff,0)</f>
        <v>39600</v>
      </c>
      <c r="M1633" s="5">
        <f>tblSales[[#This Row],[DPP (excl. VAT)]]+tblSales[[#This Row],[Output VAT]]</f>
        <v>399600</v>
      </c>
      <c r="N1633" s="5">
        <f>tblSales[[#This Row],[Qty]]*_xlfn.XLOOKUP(tblSales[[#This Row],[Product Code]],tblProducts[Code],tblProducts[Unit Cost],0)</f>
        <v>216000</v>
      </c>
      <c r="O1633" s="4" t="s">
        <v>4865</v>
      </c>
      <c r="P1633" s="4" t="s">
        <v>4860</v>
      </c>
      <c r="Q1633" s="1" t="str">
        <f>_xlfn.XLOOKUP(tblSales[[#This Row],[Channel Code]],tblChannels[Channel Code],tblChannels[Channel Name],"")</f>
        <v>In-store</v>
      </c>
      <c r="R1633" s="1">
        <f>MONTH(tblSales[[#This Row],[Date]])</f>
        <v>4</v>
      </c>
    </row>
    <row r="1634" spans="2:18" x14ac:dyDescent="0.35">
      <c r="B1634" s="113">
        <v>46119</v>
      </c>
      <c r="C1634" s="4" t="s">
        <v>1106</v>
      </c>
      <c r="D1634" s="4" t="s">
        <v>4568</v>
      </c>
      <c r="E1634" s="1" t="str">
        <f>_xlfn.XLOOKUP(tblSales[[#This Row],[Customer ID]],tblCustomers[Customer ID],tblCustomers[Customer Name],"⚠ Unknown")</f>
        <v>Walk-in Customer</v>
      </c>
      <c r="F1634" s="4" t="s">
        <v>6</v>
      </c>
      <c r="G1634" s="1" t="str">
        <f>_xlfn.XLOOKUP(tblSales[[#This Row],[Product Code]],tblProducts[Code],tblProducts[Product / Service Name],"⚠ Unknown")</f>
        <v>Socks &amp; Accessories</v>
      </c>
      <c r="H1634" s="1" t="str">
        <f>_xlfn.XLOOKUP(tblSales[[#This Row],[Product Code]],tblProducts[Code],tblProducts[Category],"")</f>
        <v>Accessories &amp; Basics</v>
      </c>
      <c r="I1634" s="4">
        <v>2</v>
      </c>
      <c r="J1634" s="5">
        <f>_xlfn.XLOOKUP(tblSales[[#This Row],[Product Code]],tblProducts[Code],tblProducts[Selling Price (excl. VAT)],0)</f>
        <v>45000</v>
      </c>
      <c r="K1634" s="5">
        <f>tblSales[[#This Row],[Qty]]*tblSales[[#This Row],[Unit Price]]</f>
        <v>90000</v>
      </c>
      <c r="L1634" s="5">
        <f>ROUND(tblSales[[#This Row],[DPP (excl. VAT)]]*VATEff,0)</f>
        <v>9900</v>
      </c>
      <c r="M1634" s="5">
        <f>tblSales[[#This Row],[DPP (excl. VAT)]]+tblSales[[#This Row],[Output VAT]]</f>
        <v>99900</v>
      </c>
      <c r="N1634" s="5">
        <f>tblSales[[#This Row],[Qty]]*_xlfn.XLOOKUP(tblSales[[#This Row],[Product Code]],tblProducts[Code],tblProducts[Unit Cost],0)</f>
        <v>48000</v>
      </c>
      <c r="O1634" s="4" t="s">
        <v>4866</v>
      </c>
      <c r="P1634" s="4" t="s">
        <v>4860</v>
      </c>
      <c r="Q1634" s="1" t="str">
        <f>_xlfn.XLOOKUP(tblSales[[#This Row],[Channel Code]],tblChannels[Channel Code],tblChannels[Channel Name],"")</f>
        <v>In-store</v>
      </c>
      <c r="R1634" s="1">
        <f>MONTH(tblSales[[#This Row],[Date]])</f>
        <v>4</v>
      </c>
    </row>
    <row r="1635" spans="2:18" x14ac:dyDescent="0.35">
      <c r="B1635" s="113">
        <v>46120</v>
      </c>
      <c r="C1635" s="4" t="s">
        <v>1107</v>
      </c>
      <c r="D1635" s="4" t="s">
        <v>4568</v>
      </c>
      <c r="E1635" s="1" t="str">
        <f>_xlfn.XLOOKUP(tblSales[[#This Row],[Customer ID]],tblCustomers[Customer ID],tblCustomers[Customer Name],"⚠ Unknown")</f>
        <v>Walk-in Customer</v>
      </c>
      <c r="F1635" s="4" t="s">
        <v>6</v>
      </c>
      <c r="G1635" s="1" t="str">
        <f>_xlfn.XLOOKUP(tblSales[[#This Row],[Product Code]],tblProducts[Code],tblProducts[Product / Service Name],"⚠ Unknown")</f>
        <v>Socks &amp; Accessories</v>
      </c>
      <c r="H1635" s="1" t="str">
        <f>_xlfn.XLOOKUP(tblSales[[#This Row],[Product Code]],tblProducts[Code],tblProducts[Category],"")</f>
        <v>Accessories &amp; Basics</v>
      </c>
      <c r="I1635" s="4">
        <v>7</v>
      </c>
      <c r="J1635" s="5">
        <f>_xlfn.XLOOKUP(tblSales[[#This Row],[Product Code]],tblProducts[Code],tblProducts[Selling Price (excl. VAT)],0)</f>
        <v>45000</v>
      </c>
      <c r="K1635" s="5">
        <f>tblSales[[#This Row],[Qty]]*tblSales[[#This Row],[Unit Price]]</f>
        <v>315000</v>
      </c>
      <c r="L1635" s="5">
        <f>ROUND(tblSales[[#This Row],[DPP (excl. VAT)]]*VATEff,0)</f>
        <v>34650</v>
      </c>
      <c r="M1635" s="5">
        <f>tblSales[[#This Row],[DPP (excl. VAT)]]+tblSales[[#This Row],[Output VAT]]</f>
        <v>349650</v>
      </c>
      <c r="N1635" s="5">
        <f>tblSales[[#This Row],[Qty]]*_xlfn.XLOOKUP(tblSales[[#This Row],[Product Code]],tblProducts[Code],tblProducts[Unit Cost],0)</f>
        <v>168000</v>
      </c>
      <c r="O1635" s="4" t="s">
        <v>4865</v>
      </c>
      <c r="P1635" s="4" t="s">
        <v>4860</v>
      </c>
      <c r="Q1635" s="1" t="str">
        <f>_xlfn.XLOOKUP(tblSales[[#This Row],[Channel Code]],tblChannels[Channel Code],tblChannels[Channel Name],"")</f>
        <v>In-store</v>
      </c>
      <c r="R1635" s="1">
        <f>MONTH(tblSales[[#This Row],[Date]])</f>
        <v>4</v>
      </c>
    </row>
    <row r="1636" spans="2:18" x14ac:dyDescent="0.35">
      <c r="B1636" s="113">
        <v>46120</v>
      </c>
      <c r="C1636" s="4" t="s">
        <v>1107</v>
      </c>
      <c r="D1636" s="4" t="s">
        <v>4568</v>
      </c>
      <c r="E1636" s="1" t="str">
        <f>_xlfn.XLOOKUP(tblSales[[#This Row],[Customer ID]],tblCustomers[Customer ID],tblCustomers[Customer Name],"⚠ Unknown")</f>
        <v>Walk-in Customer</v>
      </c>
      <c r="F1636" s="4" t="s">
        <v>8</v>
      </c>
      <c r="G1636" s="1" t="str">
        <f>_xlfn.XLOOKUP(tblSales[[#This Row],[Product Code]],tblProducts[Code],tblProducts[Product / Service Name],"⚠ Unknown")</f>
        <v>Casual Shorts</v>
      </c>
      <c r="H1636" s="1" t="str">
        <f>_xlfn.XLOOKUP(tblSales[[#This Row],[Product Code]],tblProducts[Code],tblProducts[Category],"")</f>
        <v>Accessories &amp; Basics</v>
      </c>
      <c r="I1636" s="4">
        <v>12</v>
      </c>
      <c r="J1636" s="5">
        <f>_xlfn.XLOOKUP(tblSales[[#This Row],[Product Code]],tblProducts[Code],tblProducts[Selling Price (excl. VAT)],0)</f>
        <v>85000</v>
      </c>
      <c r="K1636" s="5">
        <f>tblSales[[#This Row],[Qty]]*tblSales[[#This Row],[Unit Price]]</f>
        <v>1020000</v>
      </c>
      <c r="L1636" s="5">
        <f>ROUND(tblSales[[#This Row],[DPP (excl. VAT)]]*VATEff,0)</f>
        <v>112200</v>
      </c>
      <c r="M1636" s="5">
        <f>tblSales[[#This Row],[DPP (excl. VAT)]]+tblSales[[#This Row],[Output VAT]]</f>
        <v>1132200</v>
      </c>
      <c r="N1636" s="5">
        <f>tblSales[[#This Row],[Qty]]*_xlfn.XLOOKUP(tblSales[[#This Row],[Product Code]],tblProducts[Code],tblProducts[Unit Cost],0)</f>
        <v>600000</v>
      </c>
      <c r="O1636" s="4" t="s">
        <v>4865</v>
      </c>
      <c r="P1636" s="4" t="s">
        <v>4860</v>
      </c>
      <c r="Q1636" s="1" t="str">
        <f>_xlfn.XLOOKUP(tblSales[[#This Row],[Channel Code]],tblChannels[Channel Code],tblChannels[Channel Name],"")</f>
        <v>In-store</v>
      </c>
      <c r="R1636" s="1">
        <f>MONTH(tblSales[[#This Row],[Date]])</f>
        <v>4</v>
      </c>
    </row>
    <row r="1637" spans="2:18" x14ac:dyDescent="0.35">
      <c r="B1637" s="113">
        <v>46120</v>
      </c>
      <c r="C1637" s="4" t="s">
        <v>1107</v>
      </c>
      <c r="D1637" s="4" t="s">
        <v>4568</v>
      </c>
      <c r="E1637" s="1" t="str">
        <f>_xlfn.XLOOKUP(tblSales[[#This Row],[Customer ID]],tblCustomers[Customer ID],tblCustomers[Customer Name],"⚠ Unknown")</f>
        <v>Walk-in Customer</v>
      </c>
      <c r="F1637" s="4" t="s">
        <v>11</v>
      </c>
      <c r="G1637" s="1" t="str">
        <f>_xlfn.XLOOKUP(tblSales[[#This Row],[Product Code]],tblProducts[Code],tblProducts[Product / Service Name],"⚠ Unknown")</f>
        <v>Sneakers</v>
      </c>
      <c r="H1637" s="1" t="str">
        <f>_xlfn.XLOOKUP(tblSales[[#This Row],[Product Code]],tblProducts[Code],tblProducts[Category],"")</f>
        <v>Apparel &amp; Footwear</v>
      </c>
      <c r="I1637" s="4">
        <v>2</v>
      </c>
      <c r="J1637" s="5">
        <f>_xlfn.XLOOKUP(tblSales[[#This Row],[Product Code]],tblProducts[Code],tblProducts[Selling Price (excl. VAT)],0)</f>
        <v>250000</v>
      </c>
      <c r="K1637" s="5">
        <f>tblSales[[#This Row],[Qty]]*tblSales[[#This Row],[Unit Price]]</f>
        <v>500000</v>
      </c>
      <c r="L1637" s="5">
        <f>ROUND(tblSales[[#This Row],[DPP (excl. VAT)]]*VATEff,0)</f>
        <v>55000</v>
      </c>
      <c r="M1637" s="5">
        <f>tblSales[[#This Row],[DPP (excl. VAT)]]+tblSales[[#This Row],[Output VAT]]</f>
        <v>555000</v>
      </c>
      <c r="N1637" s="5">
        <f>tblSales[[#This Row],[Qty]]*_xlfn.XLOOKUP(tblSales[[#This Row],[Product Code]],tblProducts[Code],tblProducts[Unit Cost],0)</f>
        <v>310000</v>
      </c>
      <c r="O1637" s="4" t="s">
        <v>4865</v>
      </c>
      <c r="P1637" s="4" t="s">
        <v>4860</v>
      </c>
      <c r="Q1637" s="1" t="str">
        <f>_xlfn.XLOOKUP(tblSales[[#This Row],[Channel Code]],tblChannels[Channel Code],tblChannels[Channel Name],"")</f>
        <v>In-store</v>
      </c>
      <c r="R1637" s="1">
        <f>MONTH(tblSales[[#This Row],[Date]])</f>
        <v>4</v>
      </c>
    </row>
    <row r="1638" spans="2:18" x14ac:dyDescent="0.35">
      <c r="B1638" s="113">
        <v>46120</v>
      </c>
      <c r="C1638" s="4" t="s">
        <v>1108</v>
      </c>
      <c r="D1638" s="4" t="s">
        <v>4568</v>
      </c>
      <c r="E1638" s="1" t="str">
        <f>_xlfn.XLOOKUP(tblSales[[#This Row],[Customer ID]],tblCustomers[Customer ID],tblCustomers[Customer Name],"⚠ Unknown")</f>
        <v>Walk-in Customer</v>
      </c>
      <c r="F1638" s="4" t="s">
        <v>11</v>
      </c>
      <c r="G1638" s="1" t="str">
        <f>_xlfn.XLOOKUP(tblSales[[#This Row],[Product Code]],tblProducts[Code],tblProducts[Product / Service Name],"⚠ Unknown")</f>
        <v>Sneakers</v>
      </c>
      <c r="H1638" s="1" t="str">
        <f>_xlfn.XLOOKUP(tblSales[[#This Row],[Product Code]],tblProducts[Code],tblProducts[Category],"")</f>
        <v>Apparel &amp; Footwear</v>
      </c>
      <c r="I1638" s="4">
        <v>4</v>
      </c>
      <c r="J1638" s="5">
        <f>_xlfn.XLOOKUP(tblSales[[#This Row],[Product Code]],tblProducts[Code],tblProducts[Selling Price (excl. VAT)],0)</f>
        <v>250000</v>
      </c>
      <c r="K1638" s="5">
        <f>tblSales[[#This Row],[Qty]]*tblSales[[#This Row],[Unit Price]]</f>
        <v>1000000</v>
      </c>
      <c r="L1638" s="5">
        <f>ROUND(tblSales[[#This Row],[DPP (excl. VAT)]]*VATEff,0)</f>
        <v>110000</v>
      </c>
      <c r="M1638" s="5">
        <f>tblSales[[#This Row],[DPP (excl. VAT)]]+tblSales[[#This Row],[Output VAT]]</f>
        <v>1110000</v>
      </c>
      <c r="N1638" s="5">
        <f>tblSales[[#This Row],[Qty]]*_xlfn.XLOOKUP(tblSales[[#This Row],[Product Code]],tblProducts[Code],tblProducts[Unit Cost],0)</f>
        <v>620000</v>
      </c>
      <c r="O1638" s="4" t="s">
        <v>4865</v>
      </c>
      <c r="P1638" s="4" t="s">
        <v>4860</v>
      </c>
      <c r="Q1638" s="1" t="str">
        <f>_xlfn.XLOOKUP(tblSales[[#This Row],[Channel Code]],tblChannels[Channel Code],tblChannels[Channel Name],"")</f>
        <v>In-store</v>
      </c>
      <c r="R1638" s="1">
        <f>MONTH(tblSales[[#This Row],[Date]])</f>
        <v>4</v>
      </c>
    </row>
    <row r="1639" spans="2:18" x14ac:dyDescent="0.35">
      <c r="B1639" s="113">
        <v>46120</v>
      </c>
      <c r="C1639" s="4" t="s">
        <v>1108</v>
      </c>
      <c r="D1639" s="4" t="s">
        <v>4568</v>
      </c>
      <c r="E1639" s="1" t="str">
        <f>_xlfn.XLOOKUP(tblSales[[#This Row],[Customer ID]],tblCustomers[Customer ID],tblCustomers[Customer Name],"⚠ Unknown")</f>
        <v>Walk-in Customer</v>
      </c>
      <c r="F1639" s="4" t="s">
        <v>9</v>
      </c>
      <c r="G1639" s="1" t="str">
        <f>_xlfn.XLOOKUP(tblSales[[#This Row],[Product Code]],tblProducts[Code],tblProducts[Product / Service Name],"⚠ Unknown")</f>
        <v>Casual Shirt</v>
      </c>
      <c r="H1639" s="1" t="str">
        <f>_xlfn.XLOOKUP(tblSales[[#This Row],[Product Code]],tblProducts[Code],tblProducts[Category],"")</f>
        <v>Apparel &amp; Footwear</v>
      </c>
      <c r="I1639" s="4">
        <v>4</v>
      </c>
      <c r="J1639" s="5">
        <f>_xlfn.XLOOKUP(tblSales[[#This Row],[Product Code]],tblProducts[Code],tblProducts[Selling Price (excl. VAT)],0)</f>
        <v>120000</v>
      </c>
      <c r="K1639" s="5">
        <f>tblSales[[#This Row],[Qty]]*tblSales[[#This Row],[Unit Price]]</f>
        <v>480000</v>
      </c>
      <c r="L1639" s="5">
        <f>ROUND(tblSales[[#This Row],[DPP (excl. VAT)]]*VATEff,0)</f>
        <v>52800</v>
      </c>
      <c r="M1639" s="5">
        <f>tblSales[[#This Row],[DPP (excl. VAT)]]+tblSales[[#This Row],[Output VAT]]</f>
        <v>532800</v>
      </c>
      <c r="N1639" s="5">
        <f>tblSales[[#This Row],[Qty]]*_xlfn.XLOOKUP(tblSales[[#This Row],[Product Code]],tblProducts[Code],tblProducts[Unit Cost],0)</f>
        <v>288000</v>
      </c>
      <c r="O1639" s="4" t="s">
        <v>4865</v>
      </c>
      <c r="P1639" s="4" t="s">
        <v>4860</v>
      </c>
      <c r="Q1639" s="1" t="str">
        <f>_xlfn.XLOOKUP(tblSales[[#This Row],[Channel Code]],tblChannels[Channel Code],tblChannels[Channel Name],"")</f>
        <v>In-store</v>
      </c>
      <c r="R1639" s="1">
        <f>MONTH(tblSales[[#This Row],[Date]])</f>
        <v>4</v>
      </c>
    </row>
    <row r="1640" spans="2:18" x14ac:dyDescent="0.35">
      <c r="B1640" s="113">
        <v>46120</v>
      </c>
      <c r="C1640" s="4" t="s">
        <v>1109</v>
      </c>
      <c r="D1640" s="4" t="s">
        <v>4568</v>
      </c>
      <c r="E1640" s="1" t="str">
        <f>_xlfn.XLOOKUP(tblSales[[#This Row],[Customer ID]],tblCustomers[Customer ID],tblCustomers[Customer Name],"⚠ Unknown")</f>
        <v>Walk-in Customer</v>
      </c>
      <c r="F1640" s="4" t="s">
        <v>11</v>
      </c>
      <c r="G1640" s="1" t="str">
        <f>_xlfn.XLOOKUP(tblSales[[#This Row],[Product Code]],tblProducts[Code],tblProducts[Product / Service Name],"⚠ Unknown")</f>
        <v>Sneakers</v>
      </c>
      <c r="H1640" s="1" t="str">
        <f>_xlfn.XLOOKUP(tblSales[[#This Row],[Product Code]],tblProducts[Code],tblProducts[Category],"")</f>
        <v>Apparel &amp; Footwear</v>
      </c>
      <c r="I1640" s="4">
        <v>4</v>
      </c>
      <c r="J1640" s="5">
        <f>_xlfn.XLOOKUP(tblSales[[#This Row],[Product Code]],tblProducts[Code],tblProducts[Selling Price (excl. VAT)],0)</f>
        <v>250000</v>
      </c>
      <c r="K1640" s="5">
        <f>tblSales[[#This Row],[Qty]]*tblSales[[#This Row],[Unit Price]]</f>
        <v>1000000</v>
      </c>
      <c r="L1640" s="5">
        <f>ROUND(tblSales[[#This Row],[DPP (excl. VAT)]]*VATEff,0)</f>
        <v>110000</v>
      </c>
      <c r="M1640" s="5">
        <f>tblSales[[#This Row],[DPP (excl. VAT)]]+tblSales[[#This Row],[Output VAT]]</f>
        <v>1110000</v>
      </c>
      <c r="N1640" s="5">
        <f>tblSales[[#This Row],[Qty]]*_xlfn.XLOOKUP(tblSales[[#This Row],[Product Code]],tblProducts[Code],tblProducts[Unit Cost],0)</f>
        <v>620000</v>
      </c>
      <c r="O1640" s="4" t="s">
        <v>4865</v>
      </c>
      <c r="P1640" s="4" t="s">
        <v>4860</v>
      </c>
      <c r="Q1640" s="1" t="str">
        <f>_xlfn.XLOOKUP(tblSales[[#This Row],[Channel Code]],tblChannels[Channel Code],tblChannels[Channel Name],"")</f>
        <v>In-store</v>
      </c>
      <c r="R1640" s="1">
        <f>MONTH(tblSales[[#This Row],[Date]])</f>
        <v>4</v>
      </c>
    </row>
    <row r="1641" spans="2:18" x14ac:dyDescent="0.35">
      <c r="B1641" s="113">
        <v>46120</v>
      </c>
      <c r="C1641" s="4" t="s">
        <v>1110</v>
      </c>
      <c r="D1641" s="4" t="s">
        <v>4599</v>
      </c>
      <c r="E1641" s="1" t="str">
        <f>_xlfn.XLOOKUP(tblSales[[#This Row],[Customer ID]],tblCustomers[Customer ID],tblCustomers[Customer Name],"⚠ Unknown")</f>
        <v>PT Samudra Jaya Logistik</v>
      </c>
      <c r="F1641" s="4" t="s">
        <v>15</v>
      </c>
      <c r="G1641" s="1" t="str">
        <f>_xlfn.XLOOKUP(tblSales[[#This Row],[Product Code]],tblProducts[Code],tblProducts[Product / Service Name],"⚠ Unknown")</f>
        <v>Wireless Earbuds Pro</v>
      </c>
      <c r="H1641" s="1" t="str">
        <f>_xlfn.XLOOKUP(tblSales[[#This Row],[Product Code]],tblProducts[Code],tblProducts[Category],"")</f>
        <v>Bags &amp; Gadgets</v>
      </c>
      <c r="I1641" s="4">
        <v>24</v>
      </c>
      <c r="J1641" s="5">
        <f>_xlfn.XLOOKUP(tblSales[[#This Row],[Product Code]],tblProducts[Code],tblProducts[Selling Price (excl. VAT)],0)</f>
        <v>1250000</v>
      </c>
      <c r="K1641" s="5">
        <f>tblSales[[#This Row],[Qty]]*tblSales[[#This Row],[Unit Price]]</f>
        <v>30000000</v>
      </c>
      <c r="L1641" s="5">
        <f>ROUND(tblSales[[#This Row],[DPP (excl. VAT)]]*VATEff,0)</f>
        <v>3300000</v>
      </c>
      <c r="M1641" s="5">
        <f>tblSales[[#This Row],[DPP (excl. VAT)]]+tblSales[[#This Row],[Output VAT]]</f>
        <v>33300000</v>
      </c>
      <c r="N1641" s="5">
        <f>tblSales[[#This Row],[Qty]]*_xlfn.XLOOKUP(tblSales[[#This Row],[Product Code]],tblProducts[Code],tblProducts[Unit Cost],0)</f>
        <v>19680000</v>
      </c>
      <c r="O1641" s="4" t="s">
        <v>4867</v>
      </c>
      <c r="P1641" s="4" t="s">
        <v>4860</v>
      </c>
      <c r="Q1641" s="1" t="str">
        <f>_xlfn.XLOOKUP(tblSales[[#This Row],[Channel Code]],tblChannels[Channel Code],tblChannels[Channel Name],"")</f>
        <v>In-store</v>
      </c>
      <c r="R1641" s="1">
        <f>MONTH(tblSales[[#This Row],[Date]])</f>
        <v>4</v>
      </c>
    </row>
    <row r="1642" spans="2:18" x14ac:dyDescent="0.35">
      <c r="B1642" s="113">
        <v>46120</v>
      </c>
      <c r="C1642" s="4" t="s">
        <v>1110</v>
      </c>
      <c r="D1642" s="4" t="s">
        <v>4599</v>
      </c>
      <c r="E1642" s="1" t="str">
        <f>_xlfn.XLOOKUP(tblSales[[#This Row],[Customer ID]],tblCustomers[Customer ID],tblCustomers[Customer Name],"⚠ Unknown")</f>
        <v>PT Samudra Jaya Logistik</v>
      </c>
      <c r="F1642" s="4" t="s">
        <v>7</v>
      </c>
      <c r="G1642" s="1" t="str">
        <f>_xlfn.XLOOKUP(tblSales[[#This Row],[Product Code]],tblProducts[Code],tblProducts[Product / Service Name],"⚠ Unknown")</f>
        <v>Premium Basic T-shirt</v>
      </c>
      <c r="H1642" s="1" t="str">
        <f>_xlfn.XLOOKUP(tblSales[[#This Row],[Product Code]],tblProducts[Code],tblProducts[Category],"")</f>
        <v>Accessories &amp; Basics</v>
      </c>
      <c r="I1642" s="4">
        <v>16</v>
      </c>
      <c r="J1642" s="5">
        <f>_xlfn.XLOOKUP(tblSales[[#This Row],[Product Code]],tblProducts[Code],tblProducts[Selling Price (excl. VAT)],0)</f>
        <v>65000</v>
      </c>
      <c r="K1642" s="5">
        <f>tblSales[[#This Row],[Qty]]*tblSales[[#This Row],[Unit Price]]</f>
        <v>1040000</v>
      </c>
      <c r="L1642" s="5">
        <f>ROUND(tblSales[[#This Row],[DPP (excl. VAT)]]*VATEff,0)</f>
        <v>114400</v>
      </c>
      <c r="M1642" s="5">
        <f>tblSales[[#This Row],[DPP (excl. VAT)]]+tblSales[[#This Row],[Output VAT]]</f>
        <v>1154400</v>
      </c>
      <c r="N1642" s="5">
        <f>tblSales[[#This Row],[Qty]]*_xlfn.XLOOKUP(tblSales[[#This Row],[Product Code]],tblProducts[Code],tblProducts[Unit Cost],0)</f>
        <v>592000</v>
      </c>
      <c r="O1642" s="4" t="s">
        <v>4867</v>
      </c>
      <c r="P1642" s="4" t="s">
        <v>4860</v>
      </c>
      <c r="Q1642" s="1" t="str">
        <f>_xlfn.XLOOKUP(tblSales[[#This Row],[Channel Code]],tblChannels[Channel Code],tblChannels[Channel Name],"")</f>
        <v>In-store</v>
      </c>
      <c r="R1642" s="1">
        <f>MONTH(tblSales[[#This Row],[Date]])</f>
        <v>4</v>
      </c>
    </row>
    <row r="1643" spans="2:18" x14ac:dyDescent="0.35">
      <c r="B1643" s="113">
        <v>46120</v>
      </c>
      <c r="C1643" s="4" t="s">
        <v>1111</v>
      </c>
      <c r="D1643" s="4" t="s">
        <v>4568</v>
      </c>
      <c r="E1643" s="1" t="str">
        <f>_xlfn.XLOOKUP(tblSales[[#This Row],[Customer ID]],tblCustomers[Customer ID],tblCustomers[Customer Name],"⚠ Unknown")</f>
        <v>Walk-in Customer</v>
      </c>
      <c r="F1643" s="4" t="s">
        <v>8</v>
      </c>
      <c r="G1643" s="1" t="str">
        <f>_xlfn.XLOOKUP(tblSales[[#This Row],[Product Code]],tblProducts[Code],tblProducts[Product / Service Name],"⚠ Unknown")</f>
        <v>Casual Shorts</v>
      </c>
      <c r="H1643" s="1" t="str">
        <f>_xlfn.XLOOKUP(tblSales[[#This Row],[Product Code]],tblProducts[Code],tblProducts[Category],"")</f>
        <v>Accessories &amp; Basics</v>
      </c>
      <c r="I1643" s="4">
        <v>6</v>
      </c>
      <c r="J1643" s="5">
        <f>_xlfn.XLOOKUP(tblSales[[#This Row],[Product Code]],tblProducts[Code],tblProducts[Selling Price (excl. VAT)],0)</f>
        <v>85000</v>
      </c>
      <c r="K1643" s="5">
        <f>tblSales[[#This Row],[Qty]]*tblSales[[#This Row],[Unit Price]]</f>
        <v>510000</v>
      </c>
      <c r="L1643" s="5">
        <f>ROUND(tblSales[[#This Row],[DPP (excl. VAT)]]*VATEff,0)</f>
        <v>56100</v>
      </c>
      <c r="M1643" s="5">
        <f>tblSales[[#This Row],[DPP (excl. VAT)]]+tblSales[[#This Row],[Output VAT]]</f>
        <v>566100</v>
      </c>
      <c r="N1643" s="5">
        <f>tblSales[[#This Row],[Qty]]*_xlfn.XLOOKUP(tblSales[[#This Row],[Product Code]],tblProducts[Code],tblProducts[Unit Cost],0)</f>
        <v>300000</v>
      </c>
      <c r="O1643" s="4" t="s">
        <v>4866</v>
      </c>
      <c r="P1643" s="4" t="s">
        <v>4861</v>
      </c>
      <c r="Q1643" s="1" t="str">
        <f>_xlfn.XLOOKUP(tblSales[[#This Row],[Channel Code]],tblChannels[Channel Code],tblChannels[Channel Name],"")</f>
        <v>Marketplace</v>
      </c>
      <c r="R1643" s="1">
        <f>MONTH(tblSales[[#This Row],[Date]])</f>
        <v>4</v>
      </c>
    </row>
    <row r="1644" spans="2:18" x14ac:dyDescent="0.35">
      <c r="B1644" s="113">
        <v>46120</v>
      </c>
      <c r="C1644" s="4" t="s">
        <v>1112</v>
      </c>
      <c r="D1644" s="4" t="s">
        <v>4585</v>
      </c>
      <c r="E1644" s="1" t="str">
        <f>_xlfn.XLOOKUP(tblSales[[#This Row],[Customer ID]],tblCustomers[Customer ID],tblCustomers[Customer Name],"⚠ Unknown")</f>
        <v>CV Mitra Karya Mandiri</v>
      </c>
      <c r="F1644" s="4" t="s">
        <v>8</v>
      </c>
      <c r="G1644" s="1" t="str">
        <f>_xlfn.XLOOKUP(tblSales[[#This Row],[Product Code]],tblProducts[Code],tblProducts[Product / Service Name],"⚠ Unknown")</f>
        <v>Casual Shorts</v>
      </c>
      <c r="H1644" s="1" t="str">
        <f>_xlfn.XLOOKUP(tblSales[[#This Row],[Product Code]],tblProducts[Code],tblProducts[Category],"")</f>
        <v>Accessories &amp; Basics</v>
      </c>
      <c r="I1644" s="4">
        <v>32</v>
      </c>
      <c r="J1644" s="5">
        <f>_xlfn.XLOOKUP(tblSales[[#This Row],[Product Code]],tblProducts[Code],tblProducts[Selling Price (excl. VAT)],0)</f>
        <v>85000</v>
      </c>
      <c r="K1644" s="5">
        <f>tblSales[[#This Row],[Qty]]*tblSales[[#This Row],[Unit Price]]</f>
        <v>2720000</v>
      </c>
      <c r="L1644" s="5">
        <f>ROUND(tblSales[[#This Row],[DPP (excl. VAT)]]*VATEff,0)</f>
        <v>299200</v>
      </c>
      <c r="M1644" s="5">
        <f>tblSales[[#This Row],[DPP (excl. VAT)]]+tblSales[[#This Row],[Output VAT]]</f>
        <v>3019200</v>
      </c>
      <c r="N1644" s="5">
        <f>tblSales[[#This Row],[Qty]]*_xlfn.XLOOKUP(tblSales[[#This Row],[Product Code]],tblProducts[Code],tblProducts[Unit Cost],0)</f>
        <v>1600000</v>
      </c>
      <c r="O1644" s="4" t="s">
        <v>4867</v>
      </c>
      <c r="P1644" s="4" t="s">
        <v>4860</v>
      </c>
      <c r="Q1644" s="1" t="str">
        <f>_xlfn.XLOOKUP(tblSales[[#This Row],[Channel Code]],tblChannels[Channel Code],tblChannels[Channel Name],"")</f>
        <v>In-store</v>
      </c>
      <c r="R1644" s="1">
        <f>MONTH(tblSales[[#This Row],[Date]])</f>
        <v>4</v>
      </c>
    </row>
    <row r="1645" spans="2:18" x14ac:dyDescent="0.35">
      <c r="B1645" s="113">
        <v>46120</v>
      </c>
      <c r="C1645" s="4" t="s">
        <v>1112</v>
      </c>
      <c r="D1645" s="4" t="s">
        <v>4585</v>
      </c>
      <c r="E1645" s="1" t="str">
        <f>_xlfn.XLOOKUP(tblSales[[#This Row],[Customer ID]],tblCustomers[Customer ID],tblCustomers[Customer Name],"⚠ Unknown")</f>
        <v>CV Mitra Karya Mandiri</v>
      </c>
      <c r="F1645" s="4" t="s">
        <v>6</v>
      </c>
      <c r="G1645" s="1" t="str">
        <f>_xlfn.XLOOKUP(tblSales[[#This Row],[Product Code]],tblProducts[Code],tblProducts[Product / Service Name],"⚠ Unknown")</f>
        <v>Socks &amp; Accessories</v>
      </c>
      <c r="H1645" s="1" t="str">
        <f>_xlfn.XLOOKUP(tblSales[[#This Row],[Product Code]],tblProducts[Code],tblProducts[Category],"")</f>
        <v>Accessories &amp; Basics</v>
      </c>
      <c r="I1645" s="4">
        <v>80</v>
      </c>
      <c r="J1645" s="5">
        <f>_xlfn.XLOOKUP(tblSales[[#This Row],[Product Code]],tblProducts[Code],tblProducts[Selling Price (excl. VAT)],0)</f>
        <v>45000</v>
      </c>
      <c r="K1645" s="5">
        <f>tblSales[[#This Row],[Qty]]*tblSales[[#This Row],[Unit Price]]</f>
        <v>3600000</v>
      </c>
      <c r="L1645" s="5">
        <f>ROUND(tblSales[[#This Row],[DPP (excl. VAT)]]*VATEff,0)</f>
        <v>396000</v>
      </c>
      <c r="M1645" s="5">
        <f>tblSales[[#This Row],[DPP (excl. VAT)]]+tblSales[[#This Row],[Output VAT]]</f>
        <v>3996000</v>
      </c>
      <c r="N1645" s="5">
        <f>tblSales[[#This Row],[Qty]]*_xlfn.XLOOKUP(tblSales[[#This Row],[Product Code]],tblProducts[Code],tblProducts[Unit Cost],0)</f>
        <v>1920000</v>
      </c>
      <c r="O1645" s="4" t="s">
        <v>4867</v>
      </c>
      <c r="P1645" s="4" t="s">
        <v>4860</v>
      </c>
      <c r="Q1645" s="1" t="str">
        <f>_xlfn.XLOOKUP(tblSales[[#This Row],[Channel Code]],tblChannels[Channel Code],tblChannels[Channel Name],"")</f>
        <v>In-store</v>
      </c>
      <c r="R1645" s="1">
        <f>MONTH(tblSales[[#This Row],[Date]])</f>
        <v>4</v>
      </c>
    </row>
    <row r="1646" spans="2:18" x14ac:dyDescent="0.35">
      <c r="B1646" s="113">
        <v>46120</v>
      </c>
      <c r="C1646" s="4" t="s">
        <v>1113</v>
      </c>
      <c r="D1646" s="4" t="s">
        <v>4599</v>
      </c>
      <c r="E1646" s="1" t="str">
        <f>_xlfn.XLOOKUP(tblSales[[#This Row],[Customer ID]],tblCustomers[Customer ID],tblCustomers[Customer Name],"⚠ Unknown")</f>
        <v>PT Samudra Jaya Logistik</v>
      </c>
      <c r="F1646" s="4" t="s">
        <v>10</v>
      </c>
      <c r="G1646" s="1" t="str">
        <f>_xlfn.XLOOKUP(tblSales[[#This Row],[Product Code]],tblProducts[Code],tblProducts[Product / Service Name],"⚠ Unknown")</f>
        <v>Chino Pants</v>
      </c>
      <c r="H1646" s="1" t="str">
        <f>_xlfn.XLOOKUP(tblSales[[#This Row],[Product Code]],tblProducts[Code],tblProducts[Category],"")</f>
        <v>Apparel &amp; Footwear</v>
      </c>
      <c r="I1646" s="4">
        <v>40</v>
      </c>
      <c r="J1646" s="5">
        <f>_xlfn.XLOOKUP(tblSales[[#This Row],[Product Code]],tblProducts[Code],tblProducts[Selling Price (excl. VAT)],0)</f>
        <v>150000</v>
      </c>
      <c r="K1646" s="5">
        <f>tblSales[[#This Row],[Qty]]*tblSales[[#This Row],[Unit Price]]</f>
        <v>6000000</v>
      </c>
      <c r="L1646" s="5">
        <f>ROUND(tblSales[[#This Row],[DPP (excl. VAT)]]*VATEff,0)</f>
        <v>660000</v>
      </c>
      <c r="M1646" s="5">
        <f>tblSales[[#This Row],[DPP (excl. VAT)]]+tblSales[[#This Row],[Output VAT]]</f>
        <v>6660000</v>
      </c>
      <c r="N1646" s="5">
        <f>tblSales[[#This Row],[Qty]]*_xlfn.XLOOKUP(tblSales[[#This Row],[Product Code]],tblProducts[Code],tblProducts[Unit Cost],0)</f>
        <v>3520000</v>
      </c>
      <c r="O1646" s="4" t="s">
        <v>4867</v>
      </c>
      <c r="P1646" s="4" t="s">
        <v>4860</v>
      </c>
      <c r="Q1646" s="1" t="str">
        <f>_xlfn.XLOOKUP(tblSales[[#This Row],[Channel Code]],tblChannels[Channel Code],tblChannels[Channel Name],"")</f>
        <v>In-store</v>
      </c>
      <c r="R1646" s="1">
        <f>MONTH(tblSales[[#This Row],[Date]])</f>
        <v>4</v>
      </c>
    </row>
    <row r="1647" spans="2:18" x14ac:dyDescent="0.35">
      <c r="B1647" s="113">
        <v>46120</v>
      </c>
      <c r="C1647" s="4" t="s">
        <v>1113</v>
      </c>
      <c r="D1647" s="4" t="s">
        <v>4599</v>
      </c>
      <c r="E1647" s="1" t="str">
        <f>_xlfn.XLOOKUP(tblSales[[#This Row],[Customer ID]],tblCustomers[Customer ID],tblCustomers[Customer Name],"⚠ Unknown")</f>
        <v>PT Samudra Jaya Logistik</v>
      </c>
      <c r="F1647" s="4" t="s">
        <v>6</v>
      </c>
      <c r="G1647" s="1" t="str">
        <f>_xlfn.XLOOKUP(tblSales[[#This Row],[Product Code]],tblProducts[Code],tblProducts[Product / Service Name],"⚠ Unknown")</f>
        <v>Socks &amp; Accessories</v>
      </c>
      <c r="H1647" s="1" t="str">
        <f>_xlfn.XLOOKUP(tblSales[[#This Row],[Product Code]],tblProducts[Code],tblProducts[Category],"")</f>
        <v>Accessories &amp; Basics</v>
      </c>
      <c r="I1647" s="4">
        <v>48</v>
      </c>
      <c r="J1647" s="5">
        <f>_xlfn.XLOOKUP(tblSales[[#This Row],[Product Code]],tblProducts[Code],tblProducts[Selling Price (excl. VAT)],0)</f>
        <v>45000</v>
      </c>
      <c r="K1647" s="5">
        <f>tblSales[[#This Row],[Qty]]*tblSales[[#This Row],[Unit Price]]</f>
        <v>2160000</v>
      </c>
      <c r="L1647" s="5">
        <f>ROUND(tblSales[[#This Row],[DPP (excl. VAT)]]*VATEff,0)</f>
        <v>237600</v>
      </c>
      <c r="M1647" s="5">
        <f>tblSales[[#This Row],[DPP (excl. VAT)]]+tblSales[[#This Row],[Output VAT]]</f>
        <v>2397600</v>
      </c>
      <c r="N1647" s="5">
        <f>tblSales[[#This Row],[Qty]]*_xlfn.XLOOKUP(tblSales[[#This Row],[Product Code]],tblProducts[Code],tblProducts[Unit Cost],0)</f>
        <v>1152000</v>
      </c>
      <c r="O1647" s="4" t="s">
        <v>4867</v>
      </c>
      <c r="P1647" s="4" t="s">
        <v>4860</v>
      </c>
      <c r="Q1647" s="1" t="str">
        <f>_xlfn.XLOOKUP(tblSales[[#This Row],[Channel Code]],tblChannels[Channel Code],tblChannels[Channel Name],"")</f>
        <v>In-store</v>
      </c>
      <c r="R1647" s="1">
        <f>MONTH(tblSales[[#This Row],[Date]])</f>
        <v>4</v>
      </c>
    </row>
    <row r="1648" spans="2:18" x14ac:dyDescent="0.35">
      <c r="B1648" s="113">
        <v>46120</v>
      </c>
      <c r="C1648" s="4" t="s">
        <v>1114</v>
      </c>
      <c r="D1648" s="4" t="s">
        <v>4568</v>
      </c>
      <c r="E1648" s="1" t="str">
        <f>_xlfn.XLOOKUP(tblSales[[#This Row],[Customer ID]],tblCustomers[Customer ID],tblCustomers[Customer Name],"⚠ Unknown")</f>
        <v>Walk-in Customer</v>
      </c>
      <c r="F1648" s="4" t="s">
        <v>10</v>
      </c>
      <c r="G1648" s="1" t="str">
        <f>_xlfn.XLOOKUP(tblSales[[#This Row],[Product Code]],tblProducts[Code],tblProducts[Product / Service Name],"⚠ Unknown")</f>
        <v>Chino Pants</v>
      </c>
      <c r="H1648" s="1" t="str">
        <f>_xlfn.XLOOKUP(tblSales[[#This Row],[Product Code]],tblProducts[Code],tblProducts[Category],"")</f>
        <v>Apparel &amp; Footwear</v>
      </c>
      <c r="I1648" s="4">
        <v>9</v>
      </c>
      <c r="J1648" s="5">
        <f>_xlfn.XLOOKUP(tblSales[[#This Row],[Product Code]],tblProducts[Code],tblProducts[Selling Price (excl. VAT)],0)</f>
        <v>150000</v>
      </c>
      <c r="K1648" s="5">
        <f>tblSales[[#This Row],[Qty]]*tblSales[[#This Row],[Unit Price]]</f>
        <v>1350000</v>
      </c>
      <c r="L1648" s="5">
        <f>ROUND(tblSales[[#This Row],[DPP (excl. VAT)]]*VATEff,0)</f>
        <v>148500</v>
      </c>
      <c r="M1648" s="5">
        <f>tblSales[[#This Row],[DPP (excl. VAT)]]+tblSales[[#This Row],[Output VAT]]</f>
        <v>1498500</v>
      </c>
      <c r="N1648" s="5">
        <f>tblSales[[#This Row],[Qty]]*_xlfn.XLOOKUP(tblSales[[#This Row],[Product Code]],tblProducts[Code],tblProducts[Unit Cost],0)</f>
        <v>792000</v>
      </c>
      <c r="O1648" s="4" t="s">
        <v>4866</v>
      </c>
      <c r="P1648" s="4" t="s">
        <v>4862</v>
      </c>
      <c r="Q1648" s="1" t="str">
        <f>_xlfn.XLOOKUP(tblSales[[#This Row],[Channel Code]],tblChannels[Channel Code],tblChannels[Channel Name],"")</f>
        <v>Website &amp; Social Media</v>
      </c>
      <c r="R1648" s="1">
        <f>MONTH(tblSales[[#This Row],[Date]])</f>
        <v>4</v>
      </c>
    </row>
    <row r="1649" spans="2:18" x14ac:dyDescent="0.35">
      <c r="B1649" s="113">
        <v>46120</v>
      </c>
      <c r="C1649" s="4" t="s">
        <v>1115</v>
      </c>
      <c r="D1649" s="4" t="s">
        <v>4593</v>
      </c>
      <c r="E1649" s="1" t="str">
        <f>_xlfn.XLOOKUP(tblSales[[#This Row],[Customer ID]],tblCustomers[Customer ID],tblCustomers[Customer Name],"⚠ Unknown")</f>
        <v>PT Graha Nusa Persada</v>
      </c>
      <c r="F1649" s="4" t="s">
        <v>13</v>
      </c>
      <c r="G1649" s="1" t="str">
        <f>_xlfn.XLOOKUP(tblSales[[#This Row],[Product Code]],tblProducts[Code],tblProducts[Product / Service Name],"⚠ Unknown")</f>
        <v>Backpack</v>
      </c>
      <c r="H1649" s="1" t="str">
        <f>_xlfn.XLOOKUP(tblSales[[#This Row],[Product Code]],tblProducts[Code],tblProducts[Category],"")</f>
        <v>Bags &amp; Gadgets</v>
      </c>
      <c r="I1649" s="4">
        <v>32</v>
      </c>
      <c r="J1649" s="5">
        <f>_xlfn.XLOOKUP(tblSales[[#This Row],[Product Code]],tblProducts[Code],tblProducts[Selling Price (excl. VAT)],0)</f>
        <v>500000</v>
      </c>
      <c r="K1649" s="5">
        <f>tblSales[[#This Row],[Qty]]*tblSales[[#This Row],[Unit Price]]</f>
        <v>16000000</v>
      </c>
      <c r="L1649" s="5">
        <f>ROUND(tblSales[[#This Row],[DPP (excl. VAT)]]*VATEff,0)</f>
        <v>1760000</v>
      </c>
      <c r="M1649" s="5">
        <f>tblSales[[#This Row],[DPP (excl. VAT)]]+tblSales[[#This Row],[Output VAT]]</f>
        <v>17760000</v>
      </c>
      <c r="N1649" s="5">
        <f>tblSales[[#This Row],[Qty]]*_xlfn.XLOOKUP(tblSales[[#This Row],[Product Code]],tblProducts[Code],tblProducts[Unit Cost],0)</f>
        <v>9280000</v>
      </c>
      <c r="O1649" s="4" t="s">
        <v>4867</v>
      </c>
      <c r="P1649" s="4" t="s">
        <v>4860</v>
      </c>
      <c r="Q1649" s="1" t="str">
        <f>_xlfn.XLOOKUP(tblSales[[#This Row],[Channel Code]],tblChannels[Channel Code],tblChannels[Channel Name],"")</f>
        <v>In-store</v>
      </c>
      <c r="R1649" s="1">
        <f>MONTH(tblSales[[#This Row],[Date]])</f>
        <v>4</v>
      </c>
    </row>
    <row r="1650" spans="2:18" x14ac:dyDescent="0.35">
      <c r="B1650" s="113">
        <v>46121</v>
      </c>
      <c r="C1650" s="4" t="s">
        <v>1116</v>
      </c>
      <c r="D1650" s="4" t="s">
        <v>4568</v>
      </c>
      <c r="E1650" s="1" t="str">
        <f>_xlfn.XLOOKUP(tblSales[[#This Row],[Customer ID]],tblCustomers[Customer ID],tblCustomers[Customer Name],"⚠ Unknown")</f>
        <v>Walk-in Customer</v>
      </c>
      <c r="F1650" s="4" t="s">
        <v>9</v>
      </c>
      <c r="G1650" s="1" t="str">
        <f>_xlfn.XLOOKUP(tblSales[[#This Row],[Product Code]],tblProducts[Code],tblProducts[Product / Service Name],"⚠ Unknown")</f>
        <v>Casual Shirt</v>
      </c>
      <c r="H1650" s="1" t="str">
        <f>_xlfn.XLOOKUP(tblSales[[#This Row],[Product Code]],tblProducts[Code],tblProducts[Category],"")</f>
        <v>Apparel &amp; Footwear</v>
      </c>
      <c r="I1650" s="4">
        <v>3</v>
      </c>
      <c r="J1650" s="5">
        <f>_xlfn.XLOOKUP(tblSales[[#This Row],[Product Code]],tblProducts[Code],tblProducts[Selling Price (excl. VAT)],0)</f>
        <v>120000</v>
      </c>
      <c r="K1650" s="5">
        <f>tblSales[[#This Row],[Qty]]*tblSales[[#This Row],[Unit Price]]</f>
        <v>360000</v>
      </c>
      <c r="L1650" s="5">
        <f>ROUND(tblSales[[#This Row],[DPP (excl. VAT)]]*VATEff,0)</f>
        <v>39600</v>
      </c>
      <c r="M1650" s="5">
        <f>tblSales[[#This Row],[DPP (excl. VAT)]]+tblSales[[#This Row],[Output VAT]]</f>
        <v>399600</v>
      </c>
      <c r="N1650" s="5">
        <f>tblSales[[#This Row],[Qty]]*_xlfn.XLOOKUP(tblSales[[#This Row],[Product Code]],tblProducts[Code],tblProducts[Unit Cost],0)</f>
        <v>216000</v>
      </c>
      <c r="O1650" s="4" t="s">
        <v>4866</v>
      </c>
      <c r="P1650" s="4" t="s">
        <v>4860</v>
      </c>
      <c r="Q1650" s="1" t="str">
        <f>_xlfn.XLOOKUP(tblSales[[#This Row],[Channel Code]],tblChannels[Channel Code],tblChannels[Channel Name],"")</f>
        <v>In-store</v>
      </c>
      <c r="R1650" s="1">
        <f>MONTH(tblSales[[#This Row],[Date]])</f>
        <v>4</v>
      </c>
    </row>
    <row r="1651" spans="2:18" x14ac:dyDescent="0.35">
      <c r="B1651" s="113">
        <v>46121</v>
      </c>
      <c r="C1651" s="4" t="s">
        <v>1117</v>
      </c>
      <c r="D1651" s="4" t="s">
        <v>4568</v>
      </c>
      <c r="E1651" s="1" t="str">
        <f>_xlfn.XLOOKUP(tblSales[[#This Row],[Customer ID]],tblCustomers[Customer ID],tblCustomers[Customer Name],"⚠ Unknown")</f>
        <v>Walk-in Customer</v>
      </c>
      <c r="F1651" s="4" t="s">
        <v>15</v>
      </c>
      <c r="G1651" s="1" t="str">
        <f>_xlfn.XLOOKUP(tblSales[[#This Row],[Product Code]],tblProducts[Code],tblProducts[Product / Service Name],"⚠ Unknown")</f>
        <v>Wireless Earbuds Pro</v>
      </c>
      <c r="H1651" s="1" t="str">
        <f>_xlfn.XLOOKUP(tblSales[[#This Row],[Product Code]],tblProducts[Code],tblProducts[Category],"")</f>
        <v>Bags &amp; Gadgets</v>
      </c>
      <c r="I1651" s="4">
        <v>1</v>
      </c>
      <c r="J1651" s="5">
        <f>_xlfn.XLOOKUP(tblSales[[#This Row],[Product Code]],tblProducts[Code],tblProducts[Selling Price (excl. VAT)],0)</f>
        <v>1250000</v>
      </c>
      <c r="K1651" s="5">
        <f>tblSales[[#This Row],[Qty]]*tblSales[[#This Row],[Unit Price]]</f>
        <v>1250000</v>
      </c>
      <c r="L1651" s="5">
        <f>ROUND(tblSales[[#This Row],[DPP (excl. VAT)]]*VATEff,0)</f>
        <v>137500</v>
      </c>
      <c r="M1651" s="5">
        <f>tblSales[[#This Row],[DPP (excl. VAT)]]+tblSales[[#This Row],[Output VAT]]</f>
        <v>1387500</v>
      </c>
      <c r="N1651" s="5">
        <f>tblSales[[#This Row],[Qty]]*_xlfn.XLOOKUP(tblSales[[#This Row],[Product Code]],tblProducts[Code],tblProducts[Unit Cost],0)</f>
        <v>820000</v>
      </c>
      <c r="O1651" s="4" t="s">
        <v>4866</v>
      </c>
      <c r="P1651" s="4" t="s">
        <v>4861</v>
      </c>
      <c r="Q1651" s="1" t="str">
        <f>_xlfn.XLOOKUP(tblSales[[#This Row],[Channel Code]],tblChannels[Channel Code],tblChannels[Channel Name],"")</f>
        <v>Marketplace</v>
      </c>
      <c r="R1651" s="1">
        <f>MONTH(tblSales[[#This Row],[Date]])</f>
        <v>4</v>
      </c>
    </row>
    <row r="1652" spans="2:18" x14ac:dyDescent="0.35">
      <c r="B1652" s="113">
        <v>46121</v>
      </c>
      <c r="C1652" s="4" t="s">
        <v>1117</v>
      </c>
      <c r="D1652" s="4" t="s">
        <v>4568</v>
      </c>
      <c r="E1652" s="1" t="str">
        <f>_xlfn.XLOOKUP(tblSales[[#This Row],[Customer ID]],tblCustomers[Customer ID],tblCustomers[Customer Name],"⚠ Unknown")</f>
        <v>Walk-in Customer</v>
      </c>
      <c r="F1652" s="4" t="s">
        <v>8</v>
      </c>
      <c r="G1652" s="1" t="str">
        <f>_xlfn.XLOOKUP(tblSales[[#This Row],[Product Code]],tblProducts[Code],tblProducts[Product / Service Name],"⚠ Unknown")</f>
        <v>Casual Shorts</v>
      </c>
      <c r="H1652" s="1" t="str">
        <f>_xlfn.XLOOKUP(tblSales[[#This Row],[Product Code]],tblProducts[Code],tblProducts[Category],"")</f>
        <v>Accessories &amp; Basics</v>
      </c>
      <c r="I1652" s="4">
        <v>11</v>
      </c>
      <c r="J1652" s="5">
        <f>_xlfn.XLOOKUP(tblSales[[#This Row],[Product Code]],tblProducts[Code],tblProducts[Selling Price (excl. VAT)],0)</f>
        <v>85000</v>
      </c>
      <c r="K1652" s="5">
        <f>tblSales[[#This Row],[Qty]]*tblSales[[#This Row],[Unit Price]]</f>
        <v>935000</v>
      </c>
      <c r="L1652" s="5">
        <f>ROUND(tblSales[[#This Row],[DPP (excl. VAT)]]*VATEff,0)</f>
        <v>102850</v>
      </c>
      <c r="M1652" s="5">
        <f>tblSales[[#This Row],[DPP (excl. VAT)]]+tblSales[[#This Row],[Output VAT]]</f>
        <v>1037850</v>
      </c>
      <c r="N1652" s="5">
        <f>tblSales[[#This Row],[Qty]]*_xlfn.XLOOKUP(tblSales[[#This Row],[Product Code]],tblProducts[Code],tblProducts[Unit Cost],0)</f>
        <v>550000</v>
      </c>
      <c r="O1652" s="4" t="s">
        <v>4866</v>
      </c>
      <c r="P1652" s="4" t="s">
        <v>4861</v>
      </c>
      <c r="Q1652" s="1" t="str">
        <f>_xlfn.XLOOKUP(tblSales[[#This Row],[Channel Code]],tblChannels[Channel Code],tblChannels[Channel Name],"")</f>
        <v>Marketplace</v>
      </c>
      <c r="R1652" s="1">
        <f>MONTH(tblSales[[#This Row],[Date]])</f>
        <v>4</v>
      </c>
    </row>
    <row r="1653" spans="2:18" x14ac:dyDescent="0.35">
      <c r="B1653" s="113">
        <v>46121</v>
      </c>
      <c r="C1653" s="4" t="s">
        <v>1118</v>
      </c>
      <c r="D1653" s="4" t="s">
        <v>4568</v>
      </c>
      <c r="E1653" s="1" t="str">
        <f>_xlfn.XLOOKUP(tblSales[[#This Row],[Customer ID]],tblCustomers[Customer ID],tblCustomers[Customer Name],"⚠ Unknown")</f>
        <v>Walk-in Customer</v>
      </c>
      <c r="F1653" s="4" t="s">
        <v>8</v>
      </c>
      <c r="G1653" s="1" t="str">
        <f>_xlfn.XLOOKUP(tblSales[[#This Row],[Product Code]],tblProducts[Code],tblProducts[Product / Service Name],"⚠ Unknown")</f>
        <v>Casual Shorts</v>
      </c>
      <c r="H1653" s="1" t="str">
        <f>_xlfn.XLOOKUP(tblSales[[#This Row],[Product Code]],tblProducts[Code],tblProducts[Category],"")</f>
        <v>Accessories &amp; Basics</v>
      </c>
      <c r="I1653" s="4">
        <v>4</v>
      </c>
      <c r="J1653" s="5">
        <f>_xlfn.XLOOKUP(tblSales[[#This Row],[Product Code]],tblProducts[Code],tblProducts[Selling Price (excl. VAT)],0)</f>
        <v>85000</v>
      </c>
      <c r="K1653" s="5">
        <f>tblSales[[#This Row],[Qty]]*tblSales[[#This Row],[Unit Price]]</f>
        <v>340000</v>
      </c>
      <c r="L1653" s="5">
        <f>ROUND(tblSales[[#This Row],[DPP (excl. VAT)]]*VATEff,0)</f>
        <v>37400</v>
      </c>
      <c r="M1653" s="5">
        <f>tblSales[[#This Row],[DPP (excl. VAT)]]+tblSales[[#This Row],[Output VAT]]</f>
        <v>377400</v>
      </c>
      <c r="N1653" s="5">
        <f>tblSales[[#This Row],[Qty]]*_xlfn.XLOOKUP(tblSales[[#This Row],[Product Code]],tblProducts[Code],tblProducts[Unit Cost],0)</f>
        <v>200000</v>
      </c>
      <c r="O1653" s="4" t="s">
        <v>4866</v>
      </c>
      <c r="P1653" s="4" t="s">
        <v>4861</v>
      </c>
      <c r="Q1653" s="1" t="str">
        <f>_xlfn.XLOOKUP(tblSales[[#This Row],[Channel Code]],tblChannels[Channel Code],tblChannels[Channel Name],"")</f>
        <v>Marketplace</v>
      </c>
      <c r="R1653" s="1">
        <f>MONTH(tblSales[[#This Row],[Date]])</f>
        <v>4</v>
      </c>
    </row>
    <row r="1654" spans="2:18" x14ac:dyDescent="0.35">
      <c r="B1654" s="113">
        <v>46121</v>
      </c>
      <c r="C1654" s="4" t="s">
        <v>1119</v>
      </c>
      <c r="D1654" s="4" t="s">
        <v>4599</v>
      </c>
      <c r="E1654" s="1" t="str">
        <f>_xlfn.XLOOKUP(tblSales[[#This Row],[Customer ID]],tblCustomers[Customer ID],tblCustomers[Customer Name],"⚠ Unknown")</f>
        <v>PT Samudra Jaya Logistik</v>
      </c>
      <c r="F1654" s="4" t="s">
        <v>9</v>
      </c>
      <c r="G1654" s="1" t="str">
        <f>_xlfn.XLOOKUP(tblSales[[#This Row],[Product Code]],tblProducts[Code],tblProducts[Product / Service Name],"⚠ Unknown")</f>
        <v>Casual Shirt</v>
      </c>
      <c r="H1654" s="1" t="str">
        <f>_xlfn.XLOOKUP(tblSales[[#This Row],[Product Code]],tblProducts[Code],tblProducts[Category],"")</f>
        <v>Apparel &amp; Footwear</v>
      </c>
      <c r="I1654" s="4">
        <v>72</v>
      </c>
      <c r="J1654" s="5">
        <f>_xlfn.XLOOKUP(tblSales[[#This Row],[Product Code]],tblProducts[Code],tblProducts[Selling Price (excl. VAT)],0)</f>
        <v>120000</v>
      </c>
      <c r="K1654" s="5">
        <f>tblSales[[#This Row],[Qty]]*tblSales[[#This Row],[Unit Price]]</f>
        <v>8640000</v>
      </c>
      <c r="L1654" s="5">
        <f>ROUND(tblSales[[#This Row],[DPP (excl. VAT)]]*VATEff,0)</f>
        <v>950400</v>
      </c>
      <c r="M1654" s="5">
        <f>tblSales[[#This Row],[DPP (excl. VAT)]]+tblSales[[#This Row],[Output VAT]]</f>
        <v>9590400</v>
      </c>
      <c r="N1654" s="5">
        <f>tblSales[[#This Row],[Qty]]*_xlfn.XLOOKUP(tblSales[[#This Row],[Product Code]],tblProducts[Code],tblProducts[Unit Cost],0)</f>
        <v>5184000</v>
      </c>
      <c r="O1654" s="4" t="s">
        <v>4867</v>
      </c>
      <c r="P1654" s="4" t="s">
        <v>4860</v>
      </c>
      <c r="Q1654" s="1" t="str">
        <f>_xlfn.XLOOKUP(tblSales[[#This Row],[Channel Code]],tblChannels[Channel Code],tblChannels[Channel Name],"")</f>
        <v>In-store</v>
      </c>
      <c r="R1654" s="1">
        <f>MONTH(tblSales[[#This Row],[Date]])</f>
        <v>4</v>
      </c>
    </row>
    <row r="1655" spans="2:18" x14ac:dyDescent="0.35">
      <c r="B1655" s="113">
        <v>46121</v>
      </c>
      <c r="C1655" s="4" t="s">
        <v>1119</v>
      </c>
      <c r="D1655" s="4" t="s">
        <v>4599</v>
      </c>
      <c r="E1655" s="1" t="str">
        <f>_xlfn.XLOOKUP(tblSales[[#This Row],[Customer ID]],tblCustomers[Customer ID],tblCustomers[Customer Name],"⚠ Unknown")</f>
        <v>PT Samudra Jaya Logistik</v>
      </c>
      <c r="F1655" s="4" t="s">
        <v>14</v>
      </c>
      <c r="G1655" s="1" t="str">
        <f>_xlfn.XLOOKUP(tblSales[[#This Row],[Product Code]],tblProducts[Code],tblProducts[Product / Service Name],"⚠ Unknown")</f>
        <v>Smartwatch</v>
      </c>
      <c r="H1655" s="1" t="str">
        <f>_xlfn.XLOOKUP(tblSales[[#This Row],[Product Code]],tblProducts[Code],tblProducts[Category],"")</f>
        <v>Bags &amp; Gadgets</v>
      </c>
      <c r="I1655" s="4">
        <v>16</v>
      </c>
      <c r="J1655" s="5">
        <f>_xlfn.XLOOKUP(tblSales[[#This Row],[Product Code]],tblProducts[Code],tblProducts[Selling Price (excl. VAT)],0)</f>
        <v>850000</v>
      </c>
      <c r="K1655" s="5">
        <f>tblSales[[#This Row],[Qty]]*tblSales[[#This Row],[Unit Price]]</f>
        <v>13600000</v>
      </c>
      <c r="L1655" s="5">
        <f>ROUND(tblSales[[#This Row],[DPP (excl. VAT)]]*VATEff,0)</f>
        <v>1496000</v>
      </c>
      <c r="M1655" s="5">
        <f>tblSales[[#This Row],[DPP (excl. VAT)]]+tblSales[[#This Row],[Output VAT]]</f>
        <v>15096000</v>
      </c>
      <c r="N1655" s="5">
        <f>tblSales[[#This Row],[Qty]]*_xlfn.XLOOKUP(tblSales[[#This Row],[Product Code]],tblProducts[Code],tblProducts[Unit Cost],0)</f>
        <v>8960000</v>
      </c>
      <c r="O1655" s="4" t="s">
        <v>4867</v>
      </c>
      <c r="P1655" s="4" t="s">
        <v>4860</v>
      </c>
      <c r="Q1655" s="1" t="str">
        <f>_xlfn.XLOOKUP(tblSales[[#This Row],[Channel Code]],tblChannels[Channel Code],tblChannels[Channel Name],"")</f>
        <v>In-store</v>
      </c>
      <c r="R1655" s="1">
        <f>MONTH(tblSales[[#This Row],[Date]])</f>
        <v>4</v>
      </c>
    </row>
    <row r="1656" spans="2:18" x14ac:dyDescent="0.35">
      <c r="B1656" s="113">
        <v>46121</v>
      </c>
      <c r="C1656" s="4" t="s">
        <v>1120</v>
      </c>
      <c r="D1656" s="4" t="s">
        <v>4568</v>
      </c>
      <c r="E1656" s="1" t="str">
        <f>_xlfn.XLOOKUP(tblSales[[#This Row],[Customer ID]],tblCustomers[Customer ID],tblCustomers[Customer Name],"⚠ Unknown")</f>
        <v>Walk-in Customer</v>
      </c>
      <c r="F1656" s="4" t="s">
        <v>6</v>
      </c>
      <c r="G1656" s="1" t="str">
        <f>_xlfn.XLOOKUP(tblSales[[#This Row],[Product Code]],tblProducts[Code],tblProducts[Product / Service Name],"⚠ Unknown")</f>
        <v>Socks &amp; Accessories</v>
      </c>
      <c r="H1656" s="1" t="str">
        <f>_xlfn.XLOOKUP(tblSales[[#This Row],[Product Code]],tblProducts[Code],tblProducts[Category],"")</f>
        <v>Accessories &amp; Basics</v>
      </c>
      <c r="I1656" s="4">
        <v>12</v>
      </c>
      <c r="J1656" s="5">
        <f>_xlfn.XLOOKUP(tblSales[[#This Row],[Product Code]],tblProducts[Code],tblProducts[Selling Price (excl. VAT)],0)</f>
        <v>45000</v>
      </c>
      <c r="K1656" s="5">
        <f>tblSales[[#This Row],[Qty]]*tblSales[[#This Row],[Unit Price]]</f>
        <v>540000</v>
      </c>
      <c r="L1656" s="5">
        <f>ROUND(tblSales[[#This Row],[DPP (excl. VAT)]]*VATEff,0)</f>
        <v>59400</v>
      </c>
      <c r="M1656" s="5">
        <f>tblSales[[#This Row],[DPP (excl. VAT)]]+tblSales[[#This Row],[Output VAT]]</f>
        <v>599400</v>
      </c>
      <c r="N1656" s="5">
        <f>tblSales[[#This Row],[Qty]]*_xlfn.XLOOKUP(tblSales[[#This Row],[Product Code]],tblProducts[Code],tblProducts[Unit Cost],0)</f>
        <v>288000</v>
      </c>
      <c r="O1656" s="4" t="s">
        <v>4865</v>
      </c>
      <c r="P1656" s="4" t="s">
        <v>4860</v>
      </c>
      <c r="Q1656" s="1" t="str">
        <f>_xlfn.XLOOKUP(tblSales[[#This Row],[Channel Code]],tblChannels[Channel Code],tblChannels[Channel Name],"")</f>
        <v>In-store</v>
      </c>
      <c r="R1656" s="1">
        <f>MONTH(tblSales[[#This Row],[Date]])</f>
        <v>4</v>
      </c>
    </row>
    <row r="1657" spans="2:18" x14ac:dyDescent="0.35">
      <c r="B1657" s="113">
        <v>46121</v>
      </c>
      <c r="C1657" s="4" t="s">
        <v>1120</v>
      </c>
      <c r="D1657" s="4" t="s">
        <v>4568</v>
      </c>
      <c r="E1657" s="1" t="str">
        <f>_xlfn.XLOOKUP(tblSales[[#This Row],[Customer ID]],tblCustomers[Customer ID],tblCustomers[Customer Name],"⚠ Unknown")</f>
        <v>Walk-in Customer</v>
      </c>
      <c r="F1657" s="4" t="s">
        <v>9</v>
      </c>
      <c r="G1657" s="1" t="str">
        <f>_xlfn.XLOOKUP(tblSales[[#This Row],[Product Code]],tblProducts[Code],tblProducts[Product / Service Name],"⚠ Unknown")</f>
        <v>Casual Shirt</v>
      </c>
      <c r="H1657" s="1" t="str">
        <f>_xlfn.XLOOKUP(tblSales[[#This Row],[Product Code]],tblProducts[Code],tblProducts[Category],"")</f>
        <v>Apparel &amp; Footwear</v>
      </c>
      <c r="I1657" s="4">
        <v>9</v>
      </c>
      <c r="J1657" s="5">
        <f>_xlfn.XLOOKUP(tblSales[[#This Row],[Product Code]],tblProducts[Code],tblProducts[Selling Price (excl. VAT)],0)</f>
        <v>120000</v>
      </c>
      <c r="K1657" s="5">
        <f>tblSales[[#This Row],[Qty]]*tblSales[[#This Row],[Unit Price]]</f>
        <v>1080000</v>
      </c>
      <c r="L1657" s="5">
        <f>ROUND(tblSales[[#This Row],[DPP (excl. VAT)]]*VATEff,0)</f>
        <v>118800</v>
      </c>
      <c r="M1657" s="5">
        <f>tblSales[[#This Row],[DPP (excl. VAT)]]+tblSales[[#This Row],[Output VAT]]</f>
        <v>1198800</v>
      </c>
      <c r="N1657" s="5">
        <f>tblSales[[#This Row],[Qty]]*_xlfn.XLOOKUP(tblSales[[#This Row],[Product Code]],tblProducts[Code],tblProducts[Unit Cost],0)</f>
        <v>648000</v>
      </c>
      <c r="O1657" s="4" t="s">
        <v>4865</v>
      </c>
      <c r="P1657" s="4" t="s">
        <v>4860</v>
      </c>
      <c r="Q1657" s="1" t="str">
        <f>_xlfn.XLOOKUP(tblSales[[#This Row],[Channel Code]],tblChannels[Channel Code],tblChannels[Channel Name],"")</f>
        <v>In-store</v>
      </c>
      <c r="R1657" s="1">
        <f>MONTH(tblSales[[#This Row],[Date]])</f>
        <v>4</v>
      </c>
    </row>
    <row r="1658" spans="2:18" x14ac:dyDescent="0.35">
      <c r="B1658" s="113">
        <v>46121</v>
      </c>
      <c r="C1658" s="4" t="s">
        <v>1121</v>
      </c>
      <c r="D1658" s="4" t="s">
        <v>4568</v>
      </c>
      <c r="E1658" s="1" t="str">
        <f>_xlfn.XLOOKUP(tblSales[[#This Row],[Customer ID]],tblCustomers[Customer ID],tblCustomers[Customer Name],"⚠ Unknown")</f>
        <v>Walk-in Customer</v>
      </c>
      <c r="F1658" s="4" t="s">
        <v>6</v>
      </c>
      <c r="G1658" s="1" t="str">
        <f>_xlfn.XLOOKUP(tblSales[[#This Row],[Product Code]],tblProducts[Code],tblProducts[Product / Service Name],"⚠ Unknown")</f>
        <v>Socks &amp; Accessories</v>
      </c>
      <c r="H1658" s="1" t="str">
        <f>_xlfn.XLOOKUP(tblSales[[#This Row],[Product Code]],tblProducts[Code],tblProducts[Category],"")</f>
        <v>Accessories &amp; Basics</v>
      </c>
      <c r="I1658" s="4">
        <v>2</v>
      </c>
      <c r="J1658" s="5">
        <f>_xlfn.XLOOKUP(tblSales[[#This Row],[Product Code]],tblProducts[Code],tblProducts[Selling Price (excl. VAT)],0)</f>
        <v>45000</v>
      </c>
      <c r="K1658" s="5">
        <f>tblSales[[#This Row],[Qty]]*tblSales[[#This Row],[Unit Price]]</f>
        <v>90000</v>
      </c>
      <c r="L1658" s="5">
        <f>ROUND(tblSales[[#This Row],[DPP (excl. VAT)]]*VATEff,0)</f>
        <v>9900</v>
      </c>
      <c r="M1658" s="5">
        <f>tblSales[[#This Row],[DPP (excl. VAT)]]+tblSales[[#This Row],[Output VAT]]</f>
        <v>99900</v>
      </c>
      <c r="N1658" s="5">
        <f>tblSales[[#This Row],[Qty]]*_xlfn.XLOOKUP(tblSales[[#This Row],[Product Code]],tblProducts[Code],tblProducts[Unit Cost],0)</f>
        <v>48000</v>
      </c>
      <c r="O1658" s="4" t="s">
        <v>4866</v>
      </c>
      <c r="P1658" s="4" t="s">
        <v>4861</v>
      </c>
      <c r="Q1658" s="1" t="str">
        <f>_xlfn.XLOOKUP(tblSales[[#This Row],[Channel Code]],tblChannels[Channel Code],tblChannels[Channel Name],"")</f>
        <v>Marketplace</v>
      </c>
      <c r="R1658" s="1">
        <f>MONTH(tblSales[[#This Row],[Date]])</f>
        <v>4</v>
      </c>
    </row>
    <row r="1659" spans="2:18" x14ac:dyDescent="0.35">
      <c r="B1659" s="113">
        <v>46121</v>
      </c>
      <c r="C1659" s="4" t="s">
        <v>1121</v>
      </c>
      <c r="D1659" s="4" t="s">
        <v>4568</v>
      </c>
      <c r="E1659" s="1" t="str">
        <f>_xlfn.XLOOKUP(tblSales[[#This Row],[Customer ID]],tblCustomers[Customer ID],tblCustomers[Customer Name],"⚠ Unknown")</f>
        <v>Walk-in Customer</v>
      </c>
      <c r="F1659" s="4" t="s">
        <v>10</v>
      </c>
      <c r="G1659" s="1" t="str">
        <f>_xlfn.XLOOKUP(tblSales[[#This Row],[Product Code]],tblProducts[Code],tblProducts[Product / Service Name],"⚠ Unknown")</f>
        <v>Chino Pants</v>
      </c>
      <c r="H1659" s="1" t="str">
        <f>_xlfn.XLOOKUP(tblSales[[#This Row],[Product Code]],tblProducts[Code],tblProducts[Category],"")</f>
        <v>Apparel &amp; Footwear</v>
      </c>
      <c r="I1659" s="4">
        <v>11</v>
      </c>
      <c r="J1659" s="5">
        <f>_xlfn.XLOOKUP(tblSales[[#This Row],[Product Code]],tblProducts[Code],tblProducts[Selling Price (excl. VAT)],0)</f>
        <v>150000</v>
      </c>
      <c r="K1659" s="5">
        <f>tblSales[[#This Row],[Qty]]*tblSales[[#This Row],[Unit Price]]</f>
        <v>1650000</v>
      </c>
      <c r="L1659" s="5">
        <f>ROUND(tblSales[[#This Row],[DPP (excl. VAT)]]*VATEff,0)</f>
        <v>181500</v>
      </c>
      <c r="M1659" s="5">
        <f>tblSales[[#This Row],[DPP (excl. VAT)]]+tblSales[[#This Row],[Output VAT]]</f>
        <v>1831500</v>
      </c>
      <c r="N1659" s="5">
        <f>tblSales[[#This Row],[Qty]]*_xlfn.XLOOKUP(tblSales[[#This Row],[Product Code]],tblProducts[Code],tblProducts[Unit Cost],0)</f>
        <v>968000</v>
      </c>
      <c r="O1659" s="4" t="s">
        <v>4866</v>
      </c>
      <c r="P1659" s="4" t="s">
        <v>4861</v>
      </c>
      <c r="Q1659" s="1" t="str">
        <f>_xlfn.XLOOKUP(tblSales[[#This Row],[Channel Code]],tblChannels[Channel Code],tblChannels[Channel Name],"")</f>
        <v>Marketplace</v>
      </c>
      <c r="R1659" s="1">
        <f>MONTH(tblSales[[#This Row],[Date]])</f>
        <v>4</v>
      </c>
    </row>
    <row r="1660" spans="2:18" x14ac:dyDescent="0.35">
      <c r="B1660" s="113">
        <v>46121</v>
      </c>
      <c r="C1660" s="4" t="s">
        <v>1121</v>
      </c>
      <c r="D1660" s="4" t="s">
        <v>4568</v>
      </c>
      <c r="E1660" s="1" t="str">
        <f>_xlfn.XLOOKUP(tblSales[[#This Row],[Customer ID]],tblCustomers[Customer ID],tblCustomers[Customer Name],"⚠ Unknown")</f>
        <v>Walk-in Customer</v>
      </c>
      <c r="F1660" s="4" t="s">
        <v>8</v>
      </c>
      <c r="G1660" s="1" t="str">
        <f>_xlfn.XLOOKUP(tblSales[[#This Row],[Product Code]],tblProducts[Code],tblProducts[Product / Service Name],"⚠ Unknown")</f>
        <v>Casual Shorts</v>
      </c>
      <c r="H1660" s="1" t="str">
        <f>_xlfn.XLOOKUP(tblSales[[#This Row],[Product Code]],tblProducts[Code],tblProducts[Category],"")</f>
        <v>Accessories &amp; Basics</v>
      </c>
      <c r="I1660" s="4">
        <v>4</v>
      </c>
      <c r="J1660" s="5">
        <f>_xlfn.XLOOKUP(tblSales[[#This Row],[Product Code]],tblProducts[Code],tblProducts[Selling Price (excl. VAT)],0)</f>
        <v>85000</v>
      </c>
      <c r="K1660" s="5">
        <f>tblSales[[#This Row],[Qty]]*tblSales[[#This Row],[Unit Price]]</f>
        <v>340000</v>
      </c>
      <c r="L1660" s="5">
        <f>ROUND(tblSales[[#This Row],[DPP (excl. VAT)]]*VATEff,0)</f>
        <v>37400</v>
      </c>
      <c r="M1660" s="5">
        <f>tblSales[[#This Row],[DPP (excl. VAT)]]+tblSales[[#This Row],[Output VAT]]</f>
        <v>377400</v>
      </c>
      <c r="N1660" s="5">
        <f>tblSales[[#This Row],[Qty]]*_xlfn.XLOOKUP(tblSales[[#This Row],[Product Code]],tblProducts[Code],tblProducts[Unit Cost],0)</f>
        <v>200000</v>
      </c>
      <c r="O1660" s="4" t="s">
        <v>4866</v>
      </c>
      <c r="P1660" s="4" t="s">
        <v>4861</v>
      </c>
      <c r="Q1660" s="1" t="str">
        <f>_xlfn.XLOOKUP(tblSales[[#This Row],[Channel Code]],tblChannels[Channel Code],tblChannels[Channel Name],"")</f>
        <v>Marketplace</v>
      </c>
      <c r="R1660" s="1">
        <f>MONTH(tblSales[[#This Row],[Date]])</f>
        <v>4</v>
      </c>
    </row>
    <row r="1661" spans="2:18" x14ac:dyDescent="0.35">
      <c r="B1661" s="113">
        <v>46121</v>
      </c>
      <c r="C1661" s="4" t="s">
        <v>1122</v>
      </c>
      <c r="D1661" s="4" t="s">
        <v>4568</v>
      </c>
      <c r="E1661" s="1" t="str">
        <f>_xlfn.XLOOKUP(tblSales[[#This Row],[Customer ID]],tblCustomers[Customer ID],tblCustomers[Customer Name],"⚠ Unknown")</f>
        <v>Walk-in Customer</v>
      </c>
      <c r="F1661" s="4" t="s">
        <v>9</v>
      </c>
      <c r="G1661" s="1" t="str">
        <f>_xlfn.XLOOKUP(tblSales[[#This Row],[Product Code]],tblProducts[Code],tblProducts[Product / Service Name],"⚠ Unknown")</f>
        <v>Casual Shirt</v>
      </c>
      <c r="H1661" s="1" t="str">
        <f>_xlfn.XLOOKUP(tblSales[[#This Row],[Product Code]],tblProducts[Code],tblProducts[Category],"")</f>
        <v>Apparel &amp; Footwear</v>
      </c>
      <c r="I1661" s="4">
        <v>7</v>
      </c>
      <c r="J1661" s="5">
        <f>_xlfn.XLOOKUP(tblSales[[#This Row],[Product Code]],tblProducts[Code],tblProducts[Selling Price (excl. VAT)],0)</f>
        <v>120000</v>
      </c>
      <c r="K1661" s="5">
        <f>tblSales[[#This Row],[Qty]]*tblSales[[#This Row],[Unit Price]]</f>
        <v>840000</v>
      </c>
      <c r="L1661" s="5">
        <f>ROUND(tblSales[[#This Row],[DPP (excl. VAT)]]*VATEff,0)</f>
        <v>92400</v>
      </c>
      <c r="M1661" s="5">
        <f>tblSales[[#This Row],[DPP (excl. VAT)]]+tblSales[[#This Row],[Output VAT]]</f>
        <v>932400</v>
      </c>
      <c r="N1661" s="5">
        <f>tblSales[[#This Row],[Qty]]*_xlfn.XLOOKUP(tblSales[[#This Row],[Product Code]],tblProducts[Code],tblProducts[Unit Cost],0)</f>
        <v>504000</v>
      </c>
      <c r="O1661" s="4" t="s">
        <v>4865</v>
      </c>
      <c r="P1661" s="4" t="s">
        <v>4860</v>
      </c>
      <c r="Q1661" s="1" t="str">
        <f>_xlfn.XLOOKUP(tblSales[[#This Row],[Channel Code]],tblChannels[Channel Code],tblChannels[Channel Name],"")</f>
        <v>In-store</v>
      </c>
      <c r="R1661" s="1">
        <f>MONTH(tblSales[[#This Row],[Date]])</f>
        <v>4</v>
      </c>
    </row>
    <row r="1662" spans="2:18" x14ac:dyDescent="0.35">
      <c r="B1662" s="113">
        <v>46121</v>
      </c>
      <c r="C1662" s="4" t="s">
        <v>1123</v>
      </c>
      <c r="D1662" s="4" t="s">
        <v>4568</v>
      </c>
      <c r="E1662" s="1" t="str">
        <f>_xlfn.XLOOKUP(tblSales[[#This Row],[Customer ID]],tblCustomers[Customer ID],tblCustomers[Customer Name],"⚠ Unknown")</f>
        <v>Walk-in Customer</v>
      </c>
      <c r="F1662" s="4" t="s">
        <v>8</v>
      </c>
      <c r="G1662" s="1" t="str">
        <f>_xlfn.XLOOKUP(tblSales[[#This Row],[Product Code]],tblProducts[Code],tblProducts[Product / Service Name],"⚠ Unknown")</f>
        <v>Casual Shorts</v>
      </c>
      <c r="H1662" s="1" t="str">
        <f>_xlfn.XLOOKUP(tblSales[[#This Row],[Product Code]],tblProducts[Code],tblProducts[Category],"")</f>
        <v>Accessories &amp; Basics</v>
      </c>
      <c r="I1662" s="4">
        <v>3</v>
      </c>
      <c r="J1662" s="5">
        <f>_xlfn.XLOOKUP(tblSales[[#This Row],[Product Code]],tblProducts[Code],tblProducts[Selling Price (excl. VAT)],0)</f>
        <v>85000</v>
      </c>
      <c r="K1662" s="5">
        <f>tblSales[[#This Row],[Qty]]*tblSales[[#This Row],[Unit Price]]</f>
        <v>255000</v>
      </c>
      <c r="L1662" s="5">
        <f>ROUND(tblSales[[#This Row],[DPP (excl. VAT)]]*VATEff,0)</f>
        <v>28050</v>
      </c>
      <c r="M1662" s="5">
        <f>tblSales[[#This Row],[DPP (excl. VAT)]]+tblSales[[#This Row],[Output VAT]]</f>
        <v>283050</v>
      </c>
      <c r="N1662" s="5">
        <f>tblSales[[#This Row],[Qty]]*_xlfn.XLOOKUP(tblSales[[#This Row],[Product Code]],tblProducts[Code],tblProducts[Unit Cost],0)</f>
        <v>150000</v>
      </c>
      <c r="O1662" s="4" t="s">
        <v>4865</v>
      </c>
      <c r="P1662" s="4" t="s">
        <v>4860</v>
      </c>
      <c r="Q1662" s="1" t="str">
        <f>_xlfn.XLOOKUP(tblSales[[#This Row],[Channel Code]],tblChannels[Channel Code],tblChannels[Channel Name],"")</f>
        <v>In-store</v>
      </c>
      <c r="R1662" s="1">
        <f>MONTH(tblSales[[#This Row],[Date]])</f>
        <v>4</v>
      </c>
    </row>
    <row r="1663" spans="2:18" x14ac:dyDescent="0.35">
      <c r="B1663" s="113">
        <v>46121</v>
      </c>
      <c r="C1663" s="4" t="s">
        <v>1124</v>
      </c>
      <c r="D1663" s="4" t="s">
        <v>4648</v>
      </c>
      <c r="E1663" s="1" t="str">
        <f>_xlfn.XLOOKUP(tblSales[[#This Row],[Customer ID]],tblCustomers[Customer ID],tblCustomers[Customer Name],"⚠ Unknown")</f>
        <v>PT Lintas Benua Niaga</v>
      </c>
      <c r="F1663" s="4" t="s">
        <v>9</v>
      </c>
      <c r="G1663" s="1" t="str">
        <f>_xlfn.XLOOKUP(tblSales[[#This Row],[Product Code]],tblProducts[Code],tblProducts[Product / Service Name],"⚠ Unknown")</f>
        <v>Casual Shirt</v>
      </c>
      <c r="H1663" s="1" t="str">
        <f>_xlfn.XLOOKUP(tblSales[[#This Row],[Product Code]],tblProducts[Code],tblProducts[Category],"")</f>
        <v>Apparel &amp; Footwear</v>
      </c>
      <c r="I1663" s="4">
        <v>96</v>
      </c>
      <c r="J1663" s="5">
        <f>_xlfn.XLOOKUP(tblSales[[#This Row],[Product Code]],tblProducts[Code],tblProducts[Selling Price (excl. VAT)],0)</f>
        <v>120000</v>
      </c>
      <c r="K1663" s="5">
        <f>tblSales[[#This Row],[Qty]]*tblSales[[#This Row],[Unit Price]]</f>
        <v>11520000</v>
      </c>
      <c r="L1663" s="5">
        <f>ROUND(tblSales[[#This Row],[DPP (excl. VAT)]]*VATEff,0)</f>
        <v>1267200</v>
      </c>
      <c r="M1663" s="5">
        <f>tblSales[[#This Row],[DPP (excl. VAT)]]+tblSales[[#This Row],[Output VAT]]</f>
        <v>12787200</v>
      </c>
      <c r="N1663" s="5">
        <f>tblSales[[#This Row],[Qty]]*_xlfn.XLOOKUP(tblSales[[#This Row],[Product Code]],tblProducts[Code],tblProducts[Unit Cost],0)</f>
        <v>6912000</v>
      </c>
      <c r="O1663" s="4" t="s">
        <v>4867</v>
      </c>
      <c r="P1663" s="4" t="s">
        <v>4860</v>
      </c>
      <c r="Q1663" s="1" t="str">
        <f>_xlfn.XLOOKUP(tblSales[[#This Row],[Channel Code]],tblChannels[Channel Code],tblChannels[Channel Name],"")</f>
        <v>In-store</v>
      </c>
      <c r="R1663" s="1">
        <f>MONTH(tblSales[[#This Row],[Date]])</f>
        <v>4</v>
      </c>
    </row>
    <row r="1664" spans="2:18" x14ac:dyDescent="0.35">
      <c r="B1664" s="113">
        <v>46121</v>
      </c>
      <c r="C1664" s="4" t="s">
        <v>1125</v>
      </c>
      <c r="D1664" s="4" t="s">
        <v>4593</v>
      </c>
      <c r="E1664" s="1" t="str">
        <f>_xlfn.XLOOKUP(tblSales[[#This Row],[Customer ID]],tblCustomers[Customer ID],tblCustomers[Customer Name],"⚠ Unknown")</f>
        <v>PT Graha Nusa Persada</v>
      </c>
      <c r="F1664" s="4" t="s">
        <v>8</v>
      </c>
      <c r="G1664" s="1" t="str">
        <f>_xlfn.XLOOKUP(tblSales[[#This Row],[Product Code]],tblProducts[Code],tblProducts[Product / Service Name],"⚠ Unknown")</f>
        <v>Casual Shorts</v>
      </c>
      <c r="H1664" s="1" t="str">
        <f>_xlfn.XLOOKUP(tblSales[[#This Row],[Product Code]],tblProducts[Code],tblProducts[Category],"")</f>
        <v>Accessories &amp; Basics</v>
      </c>
      <c r="I1664" s="4">
        <v>72</v>
      </c>
      <c r="J1664" s="5">
        <f>_xlfn.XLOOKUP(tblSales[[#This Row],[Product Code]],tblProducts[Code],tblProducts[Selling Price (excl. VAT)],0)</f>
        <v>85000</v>
      </c>
      <c r="K1664" s="5">
        <f>tblSales[[#This Row],[Qty]]*tblSales[[#This Row],[Unit Price]]</f>
        <v>6120000</v>
      </c>
      <c r="L1664" s="5">
        <f>ROUND(tblSales[[#This Row],[DPP (excl. VAT)]]*VATEff,0)</f>
        <v>673200</v>
      </c>
      <c r="M1664" s="5">
        <f>tblSales[[#This Row],[DPP (excl. VAT)]]+tblSales[[#This Row],[Output VAT]]</f>
        <v>6793200</v>
      </c>
      <c r="N1664" s="5">
        <f>tblSales[[#This Row],[Qty]]*_xlfn.XLOOKUP(tblSales[[#This Row],[Product Code]],tblProducts[Code],tblProducts[Unit Cost],0)</f>
        <v>3600000</v>
      </c>
      <c r="O1664" s="4" t="s">
        <v>4867</v>
      </c>
      <c r="P1664" s="4" t="s">
        <v>4860</v>
      </c>
      <c r="Q1664" s="1" t="str">
        <f>_xlfn.XLOOKUP(tblSales[[#This Row],[Channel Code]],tblChannels[Channel Code],tblChannels[Channel Name],"")</f>
        <v>In-store</v>
      </c>
      <c r="R1664" s="1">
        <f>MONTH(tblSales[[#This Row],[Date]])</f>
        <v>4</v>
      </c>
    </row>
    <row r="1665" spans="2:18" x14ac:dyDescent="0.35">
      <c r="B1665" s="113">
        <v>46121</v>
      </c>
      <c r="C1665" s="4" t="s">
        <v>1125</v>
      </c>
      <c r="D1665" s="4" t="s">
        <v>4593</v>
      </c>
      <c r="E1665" s="1" t="str">
        <f>_xlfn.XLOOKUP(tblSales[[#This Row],[Customer ID]],tblCustomers[Customer ID],tblCustomers[Customer Name],"⚠ Unknown")</f>
        <v>PT Graha Nusa Persada</v>
      </c>
      <c r="F1665" s="4" t="s">
        <v>6</v>
      </c>
      <c r="G1665" s="1" t="str">
        <f>_xlfn.XLOOKUP(tblSales[[#This Row],[Product Code]],tblProducts[Code],tblProducts[Product / Service Name],"⚠ Unknown")</f>
        <v>Socks &amp; Accessories</v>
      </c>
      <c r="H1665" s="1" t="str">
        <f>_xlfn.XLOOKUP(tblSales[[#This Row],[Product Code]],tblProducts[Code],tblProducts[Category],"")</f>
        <v>Accessories &amp; Basics</v>
      </c>
      <c r="I1665" s="4">
        <v>72</v>
      </c>
      <c r="J1665" s="5">
        <f>_xlfn.XLOOKUP(tblSales[[#This Row],[Product Code]],tblProducts[Code],tblProducts[Selling Price (excl. VAT)],0)</f>
        <v>45000</v>
      </c>
      <c r="K1665" s="5">
        <f>tblSales[[#This Row],[Qty]]*tblSales[[#This Row],[Unit Price]]</f>
        <v>3240000</v>
      </c>
      <c r="L1665" s="5">
        <f>ROUND(tblSales[[#This Row],[DPP (excl. VAT)]]*VATEff,0)</f>
        <v>356400</v>
      </c>
      <c r="M1665" s="5">
        <f>tblSales[[#This Row],[DPP (excl. VAT)]]+tblSales[[#This Row],[Output VAT]]</f>
        <v>3596400</v>
      </c>
      <c r="N1665" s="5">
        <f>tblSales[[#This Row],[Qty]]*_xlfn.XLOOKUP(tblSales[[#This Row],[Product Code]],tblProducts[Code],tblProducts[Unit Cost],0)</f>
        <v>1728000</v>
      </c>
      <c r="O1665" s="4" t="s">
        <v>4867</v>
      </c>
      <c r="P1665" s="4" t="s">
        <v>4860</v>
      </c>
      <c r="Q1665" s="1" t="str">
        <f>_xlfn.XLOOKUP(tblSales[[#This Row],[Channel Code]],tblChannels[Channel Code],tblChannels[Channel Name],"")</f>
        <v>In-store</v>
      </c>
      <c r="R1665" s="1">
        <f>MONTH(tblSales[[#This Row],[Date]])</f>
        <v>4</v>
      </c>
    </row>
    <row r="1666" spans="2:18" x14ac:dyDescent="0.35">
      <c r="B1666" s="113">
        <v>46121</v>
      </c>
      <c r="C1666" s="4" t="s">
        <v>1125</v>
      </c>
      <c r="D1666" s="4" t="s">
        <v>4593</v>
      </c>
      <c r="E1666" s="1" t="str">
        <f>_xlfn.XLOOKUP(tblSales[[#This Row],[Customer ID]],tblCustomers[Customer ID],tblCustomers[Customer Name],"⚠ Unknown")</f>
        <v>PT Graha Nusa Persada</v>
      </c>
      <c r="F1666" s="4" t="s">
        <v>11</v>
      </c>
      <c r="G1666" s="1" t="str">
        <f>_xlfn.XLOOKUP(tblSales[[#This Row],[Product Code]],tblProducts[Code],tblProducts[Product / Service Name],"⚠ Unknown")</f>
        <v>Sneakers</v>
      </c>
      <c r="H1666" s="1" t="str">
        <f>_xlfn.XLOOKUP(tblSales[[#This Row],[Product Code]],tblProducts[Code],tblProducts[Category],"")</f>
        <v>Apparel &amp; Footwear</v>
      </c>
      <c r="I1666" s="4">
        <v>24</v>
      </c>
      <c r="J1666" s="5">
        <f>_xlfn.XLOOKUP(tblSales[[#This Row],[Product Code]],tblProducts[Code],tblProducts[Selling Price (excl. VAT)],0)</f>
        <v>250000</v>
      </c>
      <c r="K1666" s="5">
        <f>tblSales[[#This Row],[Qty]]*tblSales[[#This Row],[Unit Price]]</f>
        <v>6000000</v>
      </c>
      <c r="L1666" s="5">
        <f>ROUND(tblSales[[#This Row],[DPP (excl. VAT)]]*VATEff,0)</f>
        <v>660000</v>
      </c>
      <c r="M1666" s="5">
        <f>tblSales[[#This Row],[DPP (excl. VAT)]]+tblSales[[#This Row],[Output VAT]]</f>
        <v>6660000</v>
      </c>
      <c r="N1666" s="5">
        <f>tblSales[[#This Row],[Qty]]*_xlfn.XLOOKUP(tblSales[[#This Row],[Product Code]],tblProducts[Code],tblProducts[Unit Cost],0)</f>
        <v>3720000</v>
      </c>
      <c r="O1666" s="4" t="s">
        <v>4867</v>
      </c>
      <c r="P1666" s="4" t="s">
        <v>4860</v>
      </c>
      <c r="Q1666" s="1" t="str">
        <f>_xlfn.XLOOKUP(tblSales[[#This Row],[Channel Code]],tblChannels[Channel Code],tblChannels[Channel Name],"")</f>
        <v>In-store</v>
      </c>
      <c r="R1666" s="1">
        <f>MONTH(tblSales[[#This Row],[Date]])</f>
        <v>4</v>
      </c>
    </row>
    <row r="1667" spans="2:18" x14ac:dyDescent="0.35">
      <c r="B1667" s="113">
        <v>46121</v>
      </c>
      <c r="C1667" s="4" t="s">
        <v>1126</v>
      </c>
      <c r="D1667" s="4" t="s">
        <v>4568</v>
      </c>
      <c r="E1667" s="1" t="str">
        <f>_xlfn.XLOOKUP(tblSales[[#This Row],[Customer ID]],tblCustomers[Customer ID],tblCustomers[Customer Name],"⚠ Unknown")</f>
        <v>Walk-in Customer</v>
      </c>
      <c r="F1667" s="4" t="s">
        <v>7</v>
      </c>
      <c r="G1667" s="1" t="str">
        <f>_xlfn.XLOOKUP(tblSales[[#This Row],[Product Code]],tblProducts[Code],tblProducts[Product / Service Name],"⚠ Unknown")</f>
        <v>Premium Basic T-shirt</v>
      </c>
      <c r="H1667" s="1" t="str">
        <f>_xlfn.XLOOKUP(tblSales[[#This Row],[Product Code]],tblProducts[Code],tblProducts[Category],"")</f>
        <v>Accessories &amp; Basics</v>
      </c>
      <c r="I1667" s="4">
        <v>12</v>
      </c>
      <c r="J1667" s="5">
        <f>_xlfn.XLOOKUP(tblSales[[#This Row],[Product Code]],tblProducts[Code],tblProducts[Selling Price (excl. VAT)],0)</f>
        <v>65000</v>
      </c>
      <c r="K1667" s="5">
        <f>tblSales[[#This Row],[Qty]]*tblSales[[#This Row],[Unit Price]]</f>
        <v>780000</v>
      </c>
      <c r="L1667" s="5">
        <f>ROUND(tblSales[[#This Row],[DPP (excl. VAT)]]*VATEff,0)</f>
        <v>85800</v>
      </c>
      <c r="M1667" s="5">
        <f>tblSales[[#This Row],[DPP (excl. VAT)]]+tblSales[[#This Row],[Output VAT]]</f>
        <v>865800</v>
      </c>
      <c r="N1667" s="5">
        <f>tblSales[[#This Row],[Qty]]*_xlfn.XLOOKUP(tblSales[[#This Row],[Product Code]],tblProducts[Code],tblProducts[Unit Cost],0)</f>
        <v>444000</v>
      </c>
      <c r="O1667" s="4" t="s">
        <v>4866</v>
      </c>
      <c r="P1667" s="4" t="s">
        <v>4860</v>
      </c>
      <c r="Q1667" s="1" t="str">
        <f>_xlfn.XLOOKUP(tblSales[[#This Row],[Channel Code]],tblChannels[Channel Code],tblChannels[Channel Name],"")</f>
        <v>In-store</v>
      </c>
      <c r="R1667" s="1">
        <f>MONTH(tblSales[[#This Row],[Date]])</f>
        <v>4</v>
      </c>
    </row>
    <row r="1668" spans="2:18" x14ac:dyDescent="0.35">
      <c r="B1668" s="113">
        <v>46122</v>
      </c>
      <c r="C1668" s="4" t="s">
        <v>1127</v>
      </c>
      <c r="D1668" s="4" t="s">
        <v>4568</v>
      </c>
      <c r="E1668" s="1" t="str">
        <f>_xlfn.XLOOKUP(tblSales[[#This Row],[Customer ID]],tblCustomers[Customer ID],tblCustomers[Customer Name],"⚠ Unknown")</f>
        <v>Walk-in Customer</v>
      </c>
      <c r="F1668" s="4" t="s">
        <v>7</v>
      </c>
      <c r="G1668" s="1" t="str">
        <f>_xlfn.XLOOKUP(tblSales[[#This Row],[Product Code]],tblProducts[Code],tblProducts[Product / Service Name],"⚠ Unknown")</f>
        <v>Premium Basic T-shirt</v>
      </c>
      <c r="H1668" s="1" t="str">
        <f>_xlfn.XLOOKUP(tblSales[[#This Row],[Product Code]],tblProducts[Code],tblProducts[Category],"")</f>
        <v>Accessories &amp; Basics</v>
      </c>
      <c r="I1668" s="4">
        <v>3</v>
      </c>
      <c r="J1668" s="5">
        <f>_xlfn.XLOOKUP(tblSales[[#This Row],[Product Code]],tblProducts[Code],tblProducts[Selling Price (excl. VAT)],0)</f>
        <v>65000</v>
      </c>
      <c r="K1668" s="5">
        <f>tblSales[[#This Row],[Qty]]*tblSales[[#This Row],[Unit Price]]</f>
        <v>195000</v>
      </c>
      <c r="L1668" s="5">
        <f>ROUND(tblSales[[#This Row],[DPP (excl. VAT)]]*VATEff,0)</f>
        <v>21450</v>
      </c>
      <c r="M1668" s="5">
        <f>tblSales[[#This Row],[DPP (excl. VAT)]]+tblSales[[#This Row],[Output VAT]]</f>
        <v>216450</v>
      </c>
      <c r="N1668" s="5">
        <f>tblSales[[#This Row],[Qty]]*_xlfn.XLOOKUP(tblSales[[#This Row],[Product Code]],tblProducts[Code],tblProducts[Unit Cost],0)</f>
        <v>111000</v>
      </c>
      <c r="O1668" s="4" t="s">
        <v>4865</v>
      </c>
      <c r="P1668" s="4" t="s">
        <v>4860</v>
      </c>
      <c r="Q1668" s="1" t="str">
        <f>_xlfn.XLOOKUP(tblSales[[#This Row],[Channel Code]],tblChannels[Channel Code],tblChannels[Channel Name],"")</f>
        <v>In-store</v>
      </c>
      <c r="R1668" s="1">
        <f>MONTH(tblSales[[#This Row],[Date]])</f>
        <v>4</v>
      </c>
    </row>
    <row r="1669" spans="2:18" x14ac:dyDescent="0.35">
      <c r="B1669" s="113">
        <v>46122</v>
      </c>
      <c r="C1669" s="4" t="s">
        <v>1127</v>
      </c>
      <c r="D1669" s="4" t="s">
        <v>4568</v>
      </c>
      <c r="E1669" s="1" t="str">
        <f>_xlfn.XLOOKUP(tblSales[[#This Row],[Customer ID]],tblCustomers[Customer ID],tblCustomers[Customer Name],"⚠ Unknown")</f>
        <v>Walk-in Customer</v>
      </c>
      <c r="F1669" s="4" t="s">
        <v>8</v>
      </c>
      <c r="G1669" s="1" t="str">
        <f>_xlfn.XLOOKUP(tblSales[[#This Row],[Product Code]],tblProducts[Code],tblProducts[Product / Service Name],"⚠ Unknown")</f>
        <v>Casual Shorts</v>
      </c>
      <c r="H1669" s="1" t="str">
        <f>_xlfn.XLOOKUP(tblSales[[#This Row],[Product Code]],tblProducts[Code],tblProducts[Category],"")</f>
        <v>Accessories &amp; Basics</v>
      </c>
      <c r="I1669" s="4">
        <v>4</v>
      </c>
      <c r="J1669" s="5">
        <f>_xlfn.XLOOKUP(tblSales[[#This Row],[Product Code]],tblProducts[Code],tblProducts[Selling Price (excl. VAT)],0)</f>
        <v>85000</v>
      </c>
      <c r="K1669" s="5">
        <f>tblSales[[#This Row],[Qty]]*tblSales[[#This Row],[Unit Price]]</f>
        <v>340000</v>
      </c>
      <c r="L1669" s="5">
        <f>ROUND(tblSales[[#This Row],[DPP (excl. VAT)]]*VATEff,0)</f>
        <v>37400</v>
      </c>
      <c r="M1669" s="5">
        <f>tblSales[[#This Row],[DPP (excl. VAT)]]+tblSales[[#This Row],[Output VAT]]</f>
        <v>377400</v>
      </c>
      <c r="N1669" s="5">
        <f>tblSales[[#This Row],[Qty]]*_xlfn.XLOOKUP(tblSales[[#This Row],[Product Code]],tblProducts[Code],tblProducts[Unit Cost],0)</f>
        <v>200000</v>
      </c>
      <c r="O1669" s="4" t="s">
        <v>4865</v>
      </c>
      <c r="P1669" s="4" t="s">
        <v>4860</v>
      </c>
      <c r="Q1669" s="1" t="str">
        <f>_xlfn.XLOOKUP(tblSales[[#This Row],[Channel Code]],tblChannels[Channel Code],tblChannels[Channel Name],"")</f>
        <v>In-store</v>
      </c>
      <c r="R1669" s="1">
        <f>MONTH(tblSales[[#This Row],[Date]])</f>
        <v>4</v>
      </c>
    </row>
    <row r="1670" spans="2:18" x14ac:dyDescent="0.35">
      <c r="B1670" s="113">
        <v>46122</v>
      </c>
      <c r="C1670" s="4" t="s">
        <v>1128</v>
      </c>
      <c r="D1670" s="4" t="s">
        <v>4568</v>
      </c>
      <c r="E1670" s="1" t="str">
        <f>_xlfn.XLOOKUP(tblSales[[#This Row],[Customer ID]],tblCustomers[Customer ID],tblCustomers[Customer Name],"⚠ Unknown")</f>
        <v>Walk-in Customer</v>
      </c>
      <c r="F1670" s="4" t="s">
        <v>13</v>
      </c>
      <c r="G1670" s="1" t="str">
        <f>_xlfn.XLOOKUP(tblSales[[#This Row],[Product Code]],tblProducts[Code],tblProducts[Product / Service Name],"⚠ Unknown")</f>
        <v>Backpack</v>
      </c>
      <c r="H1670" s="1" t="str">
        <f>_xlfn.XLOOKUP(tblSales[[#This Row],[Product Code]],tblProducts[Code],tblProducts[Category],"")</f>
        <v>Bags &amp; Gadgets</v>
      </c>
      <c r="I1670" s="4">
        <v>1</v>
      </c>
      <c r="J1670" s="5">
        <f>_xlfn.XLOOKUP(tblSales[[#This Row],[Product Code]],tblProducts[Code],tblProducts[Selling Price (excl. VAT)],0)</f>
        <v>500000</v>
      </c>
      <c r="K1670" s="5">
        <f>tblSales[[#This Row],[Qty]]*tblSales[[#This Row],[Unit Price]]</f>
        <v>500000</v>
      </c>
      <c r="L1670" s="5">
        <f>ROUND(tblSales[[#This Row],[DPP (excl. VAT)]]*VATEff,0)</f>
        <v>55000</v>
      </c>
      <c r="M1670" s="5">
        <f>tblSales[[#This Row],[DPP (excl. VAT)]]+tblSales[[#This Row],[Output VAT]]</f>
        <v>555000</v>
      </c>
      <c r="N1670" s="5">
        <f>tblSales[[#This Row],[Qty]]*_xlfn.XLOOKUP(tblSales[[#This Row],[Product Code]],tblProducts[Code],tblProducts[Unit Cost],0)</f>
        <v>290000</v>
      </c>
      <c r="O1670" s="4" t="s">
        <v>4865</v>
      </c>
      <c r="P1670" s="4" t="s">
        <v>4860</v>
      </c>
      <c r="Q1670" s="1" t="str">
        <f>_xlfn.XLOOKUP(tblSales[[#This Row],[Channel Code]],tblChannels[Channel Code],tblChannels[Channel Name],"")</f>
        <v>In-store</v>
      </c>
      <c r="R1670" s="1">
        <f>MONTH(tblSales[[#This Row],[Date]])</f>
        <v>4</v>
      </c>
    </row>
    <row r="1671" spans="2:18" x14ac:dyDescent="0.35">
      <c r="B1671" s="113">
        <v>46122</v>
      </c>
      <c r="C1671" s="4" t="s">
        <v>1129</v>
      </c>
      <c r="D1671" s="4" t="s">
        <v>4568</v>
      </c>
      <c r="E1671" s="1" t="str">
        <f>_xlfn.XLOOKUP(tblSales[[#This Row],[Customer ID]],tblCustomers[Customer ID],tblCustomers[Customer Name],"⚠ Unknown")</f>
        <v>Walk-in Customer</v>
      </c>
      <c r="F1671" s="4" t="s">
        <v>7</v>
      </c>
      <c r="G1671" s="1" t="str">
        <f>_xlfn.XLOOKUP(tblSales[[#This Row],[Product Code]],tblProducts[Code],tblProducts[Product / Service Name],"⚠ Unknown")</f>
        <v>Premium Basic T-shirt</v>
      </c>
      <c r="H1671" s="1" t="str">
        <f>_xlfn.XLOOKUP(tblSales[[#This Row],[Product Code]],tblProducts[Code],tblProducts[Category],"")</f>
        <v>Accessories &amp; Basics</v>
      </c>
      <c r="I1671" s="4">
        <v>2</v>
      </c>
      <c r="J1671" s="5">
        <f>_xlfn.XLOOKUP(tblSales[[#This Row],[Product Code]],tblProducts[Code],tblProducts[Selling Price (excl. VAT)],0)</f>
        <v>65000</v>
      </c>
      <c r="K1671" s="5">
        <f>tblSales[[#This Row],[Qty]]*tblSales[[#This Row],[Unit Price]]</f>
        <v>130000</v>
      </c>
      <c r="L1671" s="5">
        <f>ROUND(tblSales[[#This Row],[DPP (excl. VAT)]]*VATEff,0)</f>
        <v>14300</v>
      </c>
      <c r="M1671" s="5">
        <f>tblSales[[#This Row],[DPP (excl. VAT)]]+tblSales[[#This Row],[Output VAT]]</f>
        <v>144300</v>
      </c>
      <c r="N1671" s="5">
        <f>tblSales[[#This Row],[Qty]]*_xlfn.XLOOKUP(tblSales[[#This Row],[Product Code]],tblProducts[Code],tblProducts[Unit Cost],0)</f>
        <v>74000</v>
      </c>
      <c r="O1671" s="4" t="s">
        <v>4866</v>
      </c>
      <c r="P1671" s="4" t="s">
        <v>4861</v>
      </c>
      <c r="Q1671" s="1" t="str">
        <f>_xlfn.XLOOKUP(tblSales[[#This Row],[Channel Code]],tblChannels[Channel Code],tblChannels[Channel Name],"")</f>
        <v>Marketplace</v>
      </c>
      <c r="R1671" s="1">
        <f>MONTH(tblSales[[#This Row],[Date]])</f>
        <v>4</v>
      </c>
    </row>
    <row r="1672" spans="2:18" x14ac:dyDescent="0.35">
      <c r="B1672" s="113">
        <v>46122</v>
      </c>
      <c r="C1672" s="4" t="s">
        <v>1129</v>
      </c>
      <c r="D1672" s="4" t="s">
        <v>4568</v>
      </c>
      <c r="E1672" s="1" t="str">
        <f>_xlfn.XLOOKUP(tblSales[[#This Row],[Customer ID]],tblCustomers[Customer ID],tblCustomers[Customer Name],"⚠ Unknown")</f>
        <v>Walk-in Customer</v>
      </c>
      <c r="F1672" s="4" t="s">
        <v>6</v>
      </c>
      <c r="G1672" s="1" t="str">
        <f>_xlfn.XLOOKUP(tblSales[[#This Row],[Product Code]],tblProducts[Code],tblProducts[Product / Service Name],"⚠ Unknown")</f>
        <v>Socks &amp; Accessories</v>
      </c>
      <c r="H1672" s="1" t="str">
        <f>_xlfn.XLOOKUP(tblSales[[#This Row],[Product Code]],tblProducts[Code],tblProducts[Category],"")</f>
        <v>Accessories &amp; Basics</v>
      </c>
      <c r="I1672" s="4">
        <v>1</v>
      </c>
      <c r="J1672" s="5">
        <f>_xlfn.XLOOKUP(tblSales[[#This Row],[Product Code]],tblProducts[Code],tblProducts[Selling Price (excl. VAT)],0)</f>
        <v>45000</v>
      </c>
      <c r="K1672" s="5">
        <f>tblSales[[#This Row],[Qty]]*tblSales[[#This Row],[Unit Price]]</f>
        <v>45000</v>
      </c>
      <c r="L1672" s="5">
        <f>ROUND(tblSales[[#This Row],[DPP (excl. VAT)]]*VATEff,0)</f>
        <v>4950</v>
      </c>
      <c r="M1672" s="5">
        <f>tblSales[[#This Row],[DPP (excl. VAT)]]+tblSales[[#This Row],[Output VAT]]</f>
        <v>49950</v>
      </c>
      <c r="N1672" s="5">
        <f>tblSales[[#This Row],[Qty]]*_xlfn.XLOOKUP(tblSales[[#This Row],[Product Code]],tblProducts[Code],tblProducts[Unit Cost],0)</f>
        <v>24000</v>
      </c>
      <c r="O1672" s="4" t="s">
        <v>4866</v>
      </c>
      <c r="P1672" s="4" t="s">
        <v>4861</v>
      </c>
      <c r="Q1672" s="1" t="str">
        <f>_xlfn.XLOOKUP(tblSales[[#This Row],[Channel Code]],tblChannels[Channel Code],tblChannels[Channel Name],"")</f>
        <v>Marketplace</v>
      </c>
      <c r="R1672" s="1">
        <f>MONTH(tblSales[[#This Row],[Date]])</f>
        <v>4</v>
      </c>
    </row>
    <row r="1673" spans="2:18" x14ac:dyDescent="0.35">
      <c r="B1673" s="113">
        <v>46122</v>
      </c>
      <c r="C1673" s="4" t="s">
        <v>1130</v>
      </c>
      <c r="D1673" s="4" t="s">
        <v>4613</v>
      </c>
      <c r="E1673" s="1" t="str">
        <f>_xlfn.XLOOKUP(tblSales[[#This Row],[Customer ID]],tblCustomers[Customer ID],tblCustomers[Customer Name],"⚠ Unknown")</f>
        <v>PT Mega Prima Distribusi</v>
      </c>
      <c r="F1673" s="4" t="s">
        <v>10</v>
      </c>
      <c r="G1673" s="1" t="str">
        <f>_xlfn.XLOOKUP(tblSales[[#This Row],[Product Code]],tblProducts[Code],tblProducts[Product / Service Name],"⚠ Unknown")</f>
        <v>Chino Pants</v>
      </c>
      <c r="H1673" s="1" t="str">
        <f>_xlfn.XLOOKUP(tblSales[[#This Row],[Product Code]],tblProducts[Code],tblProducts[Category],"")</f>
        <v>Apparel &amp; Footwear</v>
      </c>
      <c r="I1673" s="4">
        <v>56</v>
      </c>
      <c r="J1673" s="5">
        <f>_xlfn.XLOOKUP(tblSales[[#This Row],[Product Code]],tblProducts[Code],tblProducts[Selling Price (excl. VAT)],0)</f>
        <v>150000</v>
      </c>
      <c r="K1673" s="5">
        <f>tblSales[[#This Row],[Qty]]*tblSales[[#This Row],[Unit Price]]</f>
        <v>8400000</v>
      </c>
      <c r="L1673" s="5">
        <f>ROUND(tblSales[[#This Row],[DPP (excl. VAT)]]*VATEff,0)</f>
        <v>924000</v>
      </c>
      <c r="M1673" s="5">
        <f>tblSales[[#This Row],[DPP (excl. VAT)]]+tblSales[[#This Row],[Output VAT]]</f>
        <v>9324000</v>
      </c>
      <c r="N1673" s="5">
        <f>tblSales[[#This Row],[Qty]]*_xlfn.XLOOKUP(tblSales[[#This Row],[Product Code]],tblProducts[Code],tblProducts[Unit Cost],0)</f>
        <v>4928000</v>
      </c>
      <c r="O1673" s="4" t="s">
        <v>4867</v>
      </c>
      <c r="P1673" s="4" t="s">
        <v>4860</v>
      </c>
      <c r="Q1673" s="1" t="str">
        <f>_xlfn.XLOOKUP(tblSales[[#This Row],[Channel Code]],tblChannels[Channel Code],tblChannels[Channel Name],"")</f>
        <v>In-store</v>
      </c>
      <c r="R1673" s="1">
        <f>MONTH(tblSales[[#This Row],[Date]])</f>
        <v>4</v>
      </c>
    </row>
    <row r="1674" spans="2:18" x14ac:dyDescent="0.35">
      <c r="B1674" s="113">
        <v>46122</v>
      </c>
      <c r="C1674" s="4" t="s">
        <v>1131</v>
      </c>
      <c r="D1674" s="4" t="s">
        <v>4568</v>
      </c>
      <c r="E1674" s="1" t="str">
        <f>_xlfn.XLOOKUP(tblSales[[#This Row],[Customer ID]],tblCustomers[Customer ID],tblCustomers[Customer Name],"⚠ Unknown")</f>
        <v>Walk-in Customer</v>
      </c>
      <c r="F1674" s="4" t="s">
        <v>15</v>
      </c>
      <c r="G1674" s="1" t="str">
        <f>_xlfn.XLOOKUP(tblSales[[#This Row],[Product Code]],tblProducts[Code],tblProducts[Product / Service Name],"⚠ Unknown")</f>
        <v>Wireless Earbuds Pro</v>
      </c>
      <c r="H1674" s="1" t="str">
        <f>_xlfn.XLOOKUP(tblSales[[#This Row],[Product Code]],tblProducts[Code],tblProducts[Category],"")</f>
        <v>Bags &amp; Gadgets</v>
      </c>
      <c r="I1674" s="4">
        <v>2</v>
      </c>
      <c r="J1674" s="5">
        <f>_xlfn.XLOOKUP(tblSales[[#This Row],[Product Code]],tblProducts[Code],tblProducts[Selling Price (excl. VAT)],0)</f>
        <v>1250000</v>
      </c>
      <c r="K1674" s="5">
        <f>tblSales[[#This Row],[Qty]]*tblSales[[#This Row],[Unit Price]]</f>
        <v>2500000</v>
      </c>
      <c r="L1674" s="5">
        <f>ROUND(tblSales[[#This Row],[DPP (excl. VAT)]]*VATEff,0)</f>
        <v>275000</v>
      </c>
      <c r="M1674" s="5">
        <f>tblSales[[#This Row],[DPP (excl. VAT)]]+tblSales[[#This Row],[Output VAT]]</f>
        <v>2775000</v>
      </c>
      <c r="N1674" s="5">
        <f>tblSales[[#This Row],[Qty]]*_xlfn.XLOOKUP(tblSales[[#This Row],[Product Code]],tblProducts[Code],tblProducts[Unit Cost],0)</f>
        <v>1640000</v>
      </c>
      <c r="O1674" s="4" t="s">
        <v>4865</v>
      </c>
      <c r="P1674" s="4" t="s">
        <v>4860</v>
      </c>
      <c r="Q1674" s="1" t="str">
        <f>_xlfn.XLOOKUP(tblSales[[#This Row],[Channel Code]],tblChannels[Channel Code],tblChannels[Channel Name],"")</f>
        <v>In-store</v>
      </c>
      <c r="R1674" s="1">
        <f>MONTH(tblSales[[#This Row],[Date]])</f>
        <v>4</v>
      </c>
    </row>
    <row r="1675" spans="2:18" x14ac:dyDescent="0.35">
      <c r="B1675" s="113">
        <v>46122</v>
      </c>
      <c r="C1675" s="4" t="s">
        <v>1132</v>
      </c>
      <c r="D1675" s="4" t="s">
        <v>4568</v>
      </c>
      <c r="E1675" s="1" t="str">
        <f>_xlfn.XLOOKUP(tblSales[[#This Row],[Customer ID]],tblCustomers[Customer ID],tblCustomers[Customer Name],"⚠ Unknown")</f>
        <v>Walk-in Customer</v>
      </c>
      <c r="F1675" s="4" t="s">
        <v>7</v>
      </c>
      <c r="G1675" s="1" t="str">
        <f>_xlfn.XLOOKUP(tblSales[[#This Row],[Product Code]],tblProducts[Code],tblProducts[Product / Service Name],"⚠ Unknown")</f>
        <v>Premium Basic T-shirt</v>
      </c>
      <c r="H1675" s="1" t="str">
        <f>_xlfn.XLOOKUP(tblSales[[#This Row],[Product Code]],tblProducts[Code],tblProducts[Category],"")</f>
        <v>Accessories &amp; Basics</v>
      </c>
      <c r="I1675" s="4">
        <v>7</v>
      </c>
      <c r="J1675" s="5">
        <f>_xlfn.XLOOKUP(tblSales[[#This Row],[Product Code]],tblProducts[Code],tblProducts[Selling Price (excl. VAT)],0)</f>
        <v>65000</v>
      </c>
      <c r="K1675" s="5">
        <f>tblSales[[#This Row],[Qty]]*tblSales[[#This Row],[Unit Price]]</f>
        <v>455000</v>
      </c>
      <c r="L1675" s="5">
        <f>ROUND(tblSales[[#This Row],[DPP (excl. VAT)]]*VATEff,0)</f>
        <v>50050</v>
      </c>
      <c r="M1675" s="5">
        <f>tblSales[[#This Row],[DPP (excl. VAT)]]+tblSales[[#This Row],[Output VAT]]</f>
        <v>505050</v>
      </c>
      <c r="N1675" s="5">
        <f>tblSales[[#This Row],[Qty]]*_xlfn.XLOOKUP(tblSales[[#This Row],[Product Code]],tblProducts[Code],tblProducts[Unit Cost],0)</f>
        <v>259000</v>
      </c>
      <c r="O1675" s="4" t="s">
        <v>4866</v>
      </c>
      <c r="P1675" s="4" t="s">
        <v>4860</v>
      </c>
      <c r="Q1675" s="1" t="str">
        <f>_xlfn.XLOOKUP(tblSales[[#This Row],[Channel Code]],tblChannels[Channel Code],tblChannels[Channel Name],"")</f>
        <v>In-store</v>
      </c>
      <c r="R1675" s="1">
        <f>MONTH(tblSales[[#This Row],[Date]])</f>
        <v>4</v>
      </c>
    </row>
    <row r="1676" spans="2:18" x14ac:dyDescent="0.35">
      <c r="B1676" s="113">
        <v>46122</v>
      </c>
      <c r="C1676" s="4" t="s">
        <v>1133</v>
      </c>
      <c r="D1676" s="4" t="s">
        <v>4568</v>
      </c>
      <c r="E1676" s="1" t="str">
        <f>_xlfn.XLOOKUP(tblSales[[#This Row],[Customer ID]],tblCustomers[Customer ID],tblCustomers[Customer Name],"⚠ Unknown")</f>
        <v>Walk-in Customer</v>
      </c>
      <c r="F1676" s="4" t="s">
        <v>7</v>
      </c>
      <c r="G1676" s="1" t="str">
        <f>_xlfn.XLOOKUP(tblSales[[#This Row],[Product Code]],tblProducts[Code],tblProducts[Product / Service Name],"⚠ Unknown")</f>
        <v>Premium Basic T-shirt</v>
      </c>
      <c r="H1676" s="1" t="str">
        <f>_xlfn.XLOOKUP(tblSales[[#This Row],[Product Code]],tblProducts[Code],tblProducts[Category],"")</f>
        <v>Accessories &amp; Basics</v>
      </c>
      <c r="I1676" s="4">
        <v>2</v>
      </c>
      <c r="J1676" s="5">
        <f>_xlfn.XLOOKUP(tblSales[[#This Row],[Product Code]],tblProducts[Code],tblProducts[Selling Price (excl. VAT)],0)</f>
        <v>65000</v>
      </c>
      <c r="K1676" s="5">
        <f>tblSales[[#This Row],[Qty]]*tblSales[[#This Row],[Unit Price]]</f>
        <v>130000</v>
      </c>
      <c r="L1676" s="5">
        <f>ROUND(tblSales[[#This Row],[DPP (excl. VAT)]]*VATEff,0)</f>
        <v>14300</v>
      </c>
      <c r="M1676" s="5">
        <f>tblSales[[#This Row],[DPP (excl. VAT)]]+tblSales[[#This Row],[Output VAT]]</f>
        <v>144300</v>
      </c>
      <c r="N1676" s="5">
        <f>tblSales[[#This Row],[Qty]]*_xlfn.XLOOKUP(tblSales[[#This Row],[Product Code]],tblProducts[Code],tblProducts[Unit Cost],0)</f>
        <v>74000</v>
      </c>
      <c r="O1676" s="4" t="s">
        <v>4866</v>
      </c>
      <c r="P1676" s="4" t="s">
        <v>4860</v>
      </c>
      <c r="Q1676" s="1" t="str">
        <f>_xlfn.XLOOKUP(tblSales[[#This Row],[Channel Code]],tblChannels[Channel Code],tblChannels[Channel Name],"")</f>
        <v>In-store</v>
      </c>
      <c r="R1676" s="1">
        <f>MONTH(tblSales[[#This Row],[Date]])</f>
        <v>4</v>
      </c>
    </row>
    <row r="1677" spans="2:18" x14ac:dyDescent="0.35">
      <c r="B1677" s="113">
        <v>46122</v>
      </c>
      <c r="C1677" s="4" t="s">
        <v>1134</v>
      </c>
      <c r="D1677" s="4" t="s">
        <v>4606</v>
      </c>
      <c r="E1677" s="1" t="str">
        <f>_xlfn.XLOOKUP(tblSales[[#This Row],[Customer ID]],tblCustomers[Customer ID],tblCustomers[Customer Name],"⚠ Unknown")</f>
        <v>PT Arunika Digital Kreatif</v>
      </c>
      <c r="F1677" s="4" t="s">
        <v>10</v>
      </c>
      <c r="G1677" s="1" t="str">
        <f>_xlfn.XLOOKUP(tblSales[[#This Row],[Product Code]],tblProducts[Code],tblProducts[Product / Service Name],"⚠ Unknown")</f>
        <v>Chino Pants</v>
      </c>
      <c r="H1677" s="1" t="str">
        <f>_xlfn.XLOOKUP(tblSales[[#This Row],[Product Code]],tblProducts[Code],tblProducts[Category],"")</f>
        <v>Apparel &amp; Footwear</v>
      </c>
      <c r="I1677" s="4">
        <v>96</v>
      </c>
      <c r="J1677" s="5">
        <f>_xlfn.XLOOKUP(tblSales[[#This Row],[Product Code]],tblProducts[Code],tblProducts[Selling Price (excl. VAT)],0)</f>
        <v>150000</v>
      </c>
      <c r="K1677" s="5">
        <f>tblSales[[#This Row],[Qty]]*tblSales[[#This Row],[Unit Price]]</f>
        <v>14400000</v>
      </c>
      <c r="L1677" s="5">
        <f>ROUND(tblSales[[#This Row],[DPP (excl. VAT)]]*VATEff,0)</f>
        <v>1584000</v>
      </c>
      <c r="M1677" s="5">
        <f>tblSales[[#This Row],[DPP (excl. VAT)]]+tblSales[[#This Row],[Output VAT]]</f>
        <v>15984000</v>
      </c>
      <c r="N1677" s="5">
        <f>tblSales[[#This Row],[Qty]]*_xlfn.XLOOKUP(tblSales[[#This Row],[Product Code]],tblProducts[Code],tblProducts[Unit Cost],0)</f>
        <v>8448000</v>
      </c>
      <c r="O1677" s="4" t="s">
        <v>4867</v>
      </c>
      <c r="P1677" s="4" t="s">
        <v>4862</v>
      </c>
      <c r="Q1677" s="1" t="str">
        <f>_xlfn.XLOOKUP(tblSales[[#This Row],[Channel Code]],tblChannels[Channel Code],tblChannels[Channel Name],"")</f>
        <v>Website &amp; Social Media</v>
      </c>
      <c r="R1677" s="1">
        <f>MONTH(tblSales[[#This Row],[Date]])</f>
        <v>4</v>
      </c>
    </row>
    <row r="1678" spans="2:18" x14ac:dyDescent="0.35">
      <c r="B1678" s="113">
        <v>46122</v>
      </c>
      <c r="C1678" s="4" t="s">
        <v>1135</v>
      </c>
      <c r="D1678" s="4" t="s">
        <v>4568</v>
      </c>
      <c r="E1678" s="1" t="str">
        <f>_xlfn.XLOOKUP(tblSales[[#This Row],[Customer ID]],tblCustomers[Customer ID],tblCustomers[Customer Name],"⚠ Unknown")</f>
        <v>Walk-in Customer</v>
      </c>
      <c r="F1678" s="4" t="s">
        <v>14</v>
      </c>
      <c r="G1678" s="1" t="str">
        <f>_xlfn.XLOOKUP(tblSales[[#This Row],[Product Code]],tblProducts[Code],tblProducts[Product / Service Name],"⚠ Unknown")</f>
        <v>Smartwatch</v>
      </c>
      <c r="H1678" s="1" t="str">
        <f>_xlfn.XLOOKUP(tblSales[[#This Row],[Product Code]],tblProducts[Code],tblProducts[Category],"")</f>
        <v>Bags &amp; Gadgets</v>
      </c>
      <c r="I1678" s="4">
        <v>2</v>
      </c>
      <c r="J1678" s="5">
        <f>_xlfn.XLOOKUP(tblSales[[#This Row],[Product Code]],tblProducts[Code],tblProducts[Selling Price (excl. VAT)],0)</f>
        <v>850000</v>
      </c>
      <c r="K1678" s="5">
        <f>tblSales[[#This Row],[Qty]]*tblSales[[#This Row],[Unit Price]]</f>
        <v>1700000</v>
      </c>
      <c r="L1678" s="5">
        <f>ROUND(tblSales[[#This Row],[DPP (excl. VAT)]]*VATEff,0)</f>
        <v>187000</v>
      </c>
      <c r="M1678" s="5">
        <f>tblSales[[#This Row],[DPP (excl. VAT)]]+tblSales[[#This Row],[Output VAT]]</f>
        <v>1887000</v>
      </c>
      <c r="N1678" s="5">
        <f>tblSales[[#This Row],[Qty]]*_xlfn.XLOOKUP(tblSales[[#This Row],[Product Code]],tblProducts[Code],tblProducts[Unit Cost],0)</f>
        <v>1120000</v>
      </c>
      <c r="O1678" s="4" t="s">
        <v>4866</v>
      </c>
      <c r="P1678" s="4" t="s">
        <v>4861</v>
      </c>
      <c r="Q1678" s="1" t="str">
        <f>_xlfn.XLOOKUP(tblSales[[#This Row],[Channel Code]],tblChannels[Channel Code],tblChannels[Channel Name],"")</f>
        <v>Marketplace</v>
      </c>
      <c r="R1678" s="1">
        <f>MONTH(tblSales[[#This Row],[Date]])</f>
        <v>4</v>
      </c>
    </row>
    <row r="1679" spans="2:18" x14ac:dyDescent="0.35">
      <c r="B1679" s="113">
        <v>46122</v>
      </c>
      <c r="C1679" s="4" t="s">
        <v>1136</v>
      </c>
      <c r="D1679" s="4" t="s">
        <v>4568</v>
      </c>
      <c r="E1679" s="1" t="str">
        <f>_xlfn.XLOOKUP(tblSales[[#This Row],[Customer ID]],tblCustomers[Customer ID],tblCustomers[Customer Name],"⚠ Unknown")</f>
        <v>Walk-in Customer</v>
      </c>
      <c r="F1679" s="4" t="s">
        <v>8</v>
      </c>
      <c r="G1679" s="1" t="str">
        <f>_xlfn.XLOOKUP(tblSales[[#This Row],[Product Code]],tblProducts[Code],tblProducts[Product / Service Name],"⚠ Unknown")</f>
        <v>Casual Shorts</v>
      </c>
      <c r="H1679" s="1" t="str">
        <f>_xlfn.XLOOKUP(tblSales[[#This Row],[Product Code]],tblProducts[Code],tblProducts[Category],"")</f>
        <v>Accessories &amp; Basics</v>
      </c>
      <c r="I1679" s="4">
        <v>12</v>
      </c>
      <c r="J1679" s="5">
        <f>_xlfn.XLOOKUP(tblSales[[#This Row],[Product Code]],tblProducts[Code],tblProducts[Selling Price (excl. VAT)],0)</f>
        <v>85000</v>
      </c>
      <c r="K1679" s="5">
        <f>tblSales[[#This Row],[Qty]]*tblSales[[#This Row],[Unit Price]]</f>
        <v>1020000</v>
      </c>
      <c r="L1679" s="5">
        <f>ROUND(tblSales[[#This Row],[DPP (excl. VAT)]]*VATEff,0)</f>
        <v>112200</v>
      </c>
      <c r="M1679" s="5">
        <f>tblSales[[#This Row],[DPP (excl. VAT)]]+tblSales[[#This Row],[Output VAT]]</f>
        <v>1132200</v>
      </c>
      <c r="N1679" s="5">
        <f>tblSales[[#This Row],[Qty]]*_xlfn.XLOOKUP(tblSales[[#This Row],[Product Code]],tblProducts[Code],tblProducts[Unit Cost],0)</f>
        <v>600000</v>
      </c>
      <c r="O1679" s="4" t="s">
        <v>4865</v>
      </c>
      <c r="P1679" s="4" t="s">
        <v>4860</v>
      </c>
      <c r="Q1679" s="1" t="str">
        <f>_xlfn.XLOOKUP(tblSales[[#This Row],[Channel Code]],tblChannels[Channel Code],tblChannels[Channel Name],"")</f>
        <v>In-store</v>
      </c>
      <c r="R1679" s="1">
        <f>MONTH(tblSales[[#This Row],[Date]])</f>
        <v>4</v>
      </c>
    </row>
    <row r="1680" spans="2:18" x14ac:dyDescent="0.35">
      <c r="B1680" s="113">
        <v>46123</v>
      </c>
      <c r="C1680" s="4" t="s">
        <v>1137</v>
      </c>
      <c r="D1680" s="4" t="s">
        <v>4648</v>
      </c>
      <c r="E1680" s="1" t="str">
        <f>_xlfn.XLOOKUP(tblSales[[#This Row],[Customer ID]],tblCustomers[Customer ID],tblCustomers[Customer Name],"⚠ Unknown")</f>
        <v>PT Lintas Benua Niaga</v>
      </c>
      <c r="F1680" s="4" t="s">
        <v>6</v>
      </c>
      <c r="G1680" s="1" t="str">
        <f>_xlfn.XLOOKUP(tblSales[[#This Row],[Product Code]],tblProducts[Code],tblProducts[Product / Service Name],"⚠ Unknown")</f>
        <v>Socks &amp; Accessories</v>
      </c>
      <c r="H1680" s="1" t="str">
        <f>_xlfn.XLOOKUP(tblSales[[#This Row],[Product Code]],tblProducts[Code],tblProducts[Category],"")</f>
        <v>Accessories &amp; Basics</v>
      </c>
      <c r="I1680" s="4">
        <v>16</v>
      </c>
      <c r="J1680" s="5">
        <f>_xlfn.XLOOKUP(tblSales[[#This Row],[Product Code]],tblProducts[Code],tblProducts[Selling Price (excl. VAT)],0)</f>
        <v>45000</v>
      </c>
      <c r="K1680" s="5">
        <f>tblSales[[#This Row],[Qty]]*tblSales[[#This Row],[Unit Price]]</f>
        <v>720000</v>
      </c>
      <c r="L1680" s="5">
        <f>ROUND(tblSales[[#This Row],[DPP (excl. VAT)]]*VATEff,0)</f>
        <v>79200</v>
      </c>
      <c r="M1680" s="5">
        <f>tblSales[[#This Row],[DPP (excl. VAT)]]+tblSales[[#This Row],[Output VAT]]</f>
        <v>799200</v>
      </c>
      <c r="N1680" s="5">
        <f>tblSales[[#This Row],[Qty]]*_xlfn.XLOOKUP(tblSales[[#This Row],[Product Code]],tblProducts[Code],tblProducts[Unit Cost],0)</f>
        <v>384000</v>
      </c>
      <c r="O1680" s="4" t="s">
        <v>4867</v>
      </c>
      <c r="P1680" s="4" t="s">
        <v>4860</v>
      </c>
      <c r="Q1680" s="1" t="str">
        <f>_xlfn.XLOOKUP(tblSales[[#This Row],[Channel Code]],tblChannels[Channel Code],tblChannels[Channel Name],"")</f>
        <v>In-store</v>
      </c>
      <c r="R1680" s="1">
        <f>MONTH(tblSales[[#This Row],[Date]])</f>
        <v>4</v>
      </c>
    </row>
    <row r="1681" spans="2:18" x14ac:dyDescent="0.35">
      <c r="B1681" s="113">
        <v>46123</v>
      </c>
      <c r="C1681" s="4" t="s">
        <v>1138</v>
      </c>
      <c r="D1681" s="4" t="s">
        <v>4568</v>
      </c>
      <c r="E1681" s="1" t="str">
        <f>_xlfn.XLOOKUP(tblSales[[#This Row],[Customer ID]],tblCustomers[Customer ID],tblCustomers[Customer Name],"⚠ Unknown")</f>
        <v>Walk-in Customer</v>
      </c>
      <c r="F1681" s="4" t="s">
        <v>6</v>
      </c>
      <c r="G1681" s="1" t="str">
        <f>_xlfn.XLOOKUP(tblSales[[#This Row],[Product Code]],tblProducts[Code],tblProducts[Product / Service Name],"⚠ Unknown")</f>
        <v>Socks &amp; Accessories</v>
      </c>
      <c r="H1681" s="1" t="str">
        <f>_xlfn.XLOOKUP(tblSales[[#This Row],[Product Code]],tblProducts[Code],tblProducts[Category],"")</f>
        <v>Accessories &amp; Basics</v>
      </c>
      <c r="I1681" s="4">
        <v>12</v>
      </c>
      <c r="J1681" s="5">
        <f>_xlfn.XLOOKUP(tblSales[[#This Row],[Product Code]],tblProducts[Code],tblProducts[Selling Price (excl. VAT)],0)</f>
        <v>45000</v>
      </c>
      <c r="K1681" s="5">
        <f>tblSales[[#This Row],[Qty]]*tblSales[[#This Row],[Unit Price]]</f>
        <v>540000</v>
      </c>
      <c r="L1681" s="5">
        <f>ROUND(tblSales[[#This Row],[DPP (excl. VAT)]]*VATEff,0)</f>
        <v>59400</v>
      </c>
      <c r="M1681" s="5">
        <f>tblSales[[#This Row],[DPP (excl. VAT)]]+tblSales[[#This Row],[Output VAT]]</f>
        <v>599400</v>
      </c>
      <c r="N1681" s="5">
        <f>tblSales[[#This Row],[Qty]]*_xlfn.XLOOKUP(tblSales[[#This Row],[Product Code]],tblProducts[Code],tblProducts[Unit Cost],0)</f>
        <v>288000</v>
      </c>
      <c r="O1681" s="4" t="s">
        <v>4866</v>
      </c>
      <c r="P1681" s="4" t="s">
        <v>4860</v>
      </c>
      <c r="Q1681" s="1" t="str">
        <f>_xlfn.XLOOKUP(tblSales[[#This Row],[Channel Code]],tblChannels[Channel Code],tblChannels[Channel Name],"")</f>
        <v>In-store</v>
      </c>
      <c r="R1681" s="1">
        <f>MONTH(tblSales[[#This Row],[Date]])</f>
        <v>4</v>
      </c>
    </row>
    <row r="1682" spans="2:18" x14ac:dyDescent="0.35">
      <c r="B1682" s="113">
        <v>46123</v>
      </c>
      <c r="C1682" s="4" t="s">
        <v>1139</v>
      </c>
      <c r="D1682" s="4" t="s">
        <v>4578</v>
      </c>
      <c r="E1682" s="1" t="str">
        <f>_xlfn.XLOOKUP(tblSales[[#This Row],[Customer ID]],tblCustomers[Customer ID],tblCustomers[Customer Name],"⚠ Unknown")</f>
        <v>PT Bintang Timur Sejahtera</v>
      </c>
      <c r="F1682" s="4" t="s">
        <v>6</v>
      </c>
      <c r="G1682" s="1" t="str">
        <f>_xlfn.XLOOKUP(tblSales[[#This Row],[Product Code]],tblProducts[Code],tblProducts[Product / Service Name],"⚠ Unknown")</f>
        <v>Socks &amp; Accessories</v>
      </c>
      <c r="H1682" s="1" t="str">
        <f>_xlfn.XLOOKUP(tblSales[[#This Row],[Product Code]],tblProducts[Code],tblProducts[Category],"")</f>
        <v>Accessories &amp; Basics</v>
      </c>
      <c r="I1682" s="4">
        <v>24</v>
      </c>
      <c r="J1682" s="5">
        <f>_xlfn.XLOOKUP(tblSales[[#This Row],[Product Code]],tblProducts[Code],tblProducts[Selling Price (excl. VAT)],0)</f>
        <v>45000</v>
      </c>
      <c r="K1682" s="5">
        <f>tblSales[[#This Row],[Qty]]*tblSales[[#This Row],[Unit Price]]</f>
        <v>1080000</v>
      </c>
      <c r="L1682" s="5">
        <f>ROUND(tblSales[[#This Row],[DPP (excl. VAT)]]*VATEff,0)</f>
        <v>118800</v>
      </c>
      <c r="M1682" s="5">
        <f>tblSales[[#This Row],[DPP (excl. VAT)]]+tblSales[[#This Row],[Output VAT]]</f>
        <v>1198800</v>
      </c>
      <c r="N1682" s="5">
        <f>tblSales[[#This Row],[Qty]]*_xlfn.XLOOKUP(tblSales[[#This Row],[Product Code]],tblProducts[Code],tblProducts[Unit Cost],0)</f>
        <v>576000</v>
      </c>
      <c r="O1682" s="4" t="s">
        <v>4867</v>
      </c>
      <c r="P1682" s="4" t="s">
        <v>4860</v>
      </c>
      <c r="Q1682" s="1" t="str">
        <f>_xlfn.XLOOKUP(tblSales[[#This Row],[Channel Code]],tblChannels[Channel Code],tblChannels[Channel Name],"")</f>
        <v>In-store</v>
      </c>
      <c r="R1682" s="1">
        <f>MONTH(tblSales[[#This Row],[Date]])</f>
        <v>4</v>
      </c>
    </row>
    <row r="1683" spans="2:18" x14ac:dyDescent="0.35">
      <c r="B1683" s="113">
        <v>46123</v>
      </c>
      <c r="C1683" s="4" t="s">
        <v>1139</v>
      </c>
      <c r="D1683" s="4" t="s">
        <v>4578</v>
      </c>
      <c r="E1683" s="1" t="str">
        <f>_xlfn.XLOOKUP(tblSales[[#This Row],[Customer ID]],tblCustomers[Customer ID],tblCustomers[Customer Name],"⚠ Unknown")</f>
        <v>PT Bintang Timur Sejahtera</v>
      </c>
      <c r="F1683" s="4" t="s">
        <v>7</v>
      </c>
      <c r="G1683" s="1" t="str">
        <f>_xlfn.XLOOKUP(tblSales[[#This Row],[Product Code]],tblProducts[Code],tblProducts[Product / Service Name],"⚠ Unknown")</f>
        <v>Premium Basic T-shirt</v>
      </c>
      <c r="H1683" s="1" t="str">
        <f>_xlfn.XLOOKUP(tblSales[[#This Row],[Product Code]],tblProducts[Code],tblProducts[Category],"")</f>
        <v>Accessories &amp; Basics</v>
      </c>
      <c r="I1683" s="4">
        <v>16</v>
      </c>
      <c r="J1683" s="5">
        <f>_xlfn.XLOOKUP(tblSales[[#This Row],[Product Code]],tblProducts[Code],tblProducts[Selling Price (excl. VAT)],0)</f>
        <v>65000</v>
      </c>
      <c r="K1683" s="5">
        <f>tblSales[[#This Row],[Qty]]*tblSales[[#This Row],[Unit Price]]</f>
        <v>1040000</v>
      </c>
      <c r="L1683" s="5">
        <f>ROUND(tblSales[[#This Row],[DPP (excl. VAT)]]*VATEff,0)</f>
        <v>114400</v>
      </c>
      <c r="M1683" s="5">
        <f>tblSales[[#This Row],[DPP (excl. VAT)]]+tblSales[[#This Row],[Output VAT]]</f>
        <v>1154400</v>
      </c>
      <c r="N1683" s="5">
        <f>tblSales[[#This Row],[Qty]]*_xlfn.XLOOKUP(tblSales[[#This Row],[Product Code]],tblProducts[Code],tblProducts[Unit Cost],0)</f>
        <v>592000</v>
      </c>
      <c r="O1683" s="4" t="s">
        <v>4867</v>
      </c>
      <c r="P1683" s="4" t="s">
        <v>4860</v>
      </c>
      <c r="Q1683" s="1" t="str">
        <f>_xlfn.XLOOKUP(tblSales[[#This Row],[Channel Code]],tblChannels[Channel Code],tblChannels[Channel Name],"")</f>
        <v>In-store</v>
      </c>
      <c r="R1683" s="1">
        <f>MONTH(tblSales[[#This Row],[Date]])</f>
        <v>4</v>
      </c>
    </row>
    <row r="1684" spans="2:18" x14ac:dyDescent="0.35">
      <c r="B1684" s="113">
        <v>46123</v>
      </c>
      <c r="C1684" s="4" t="s">
        <v>1140</v>
      </c>
      <c r="D1684" s="4" t="s">
        <v>4568</v>
      </c>
      <c r="E1684" s="1" t="str">
        <f>_xlfn.XLOOKUP(tblSales[[#This Row],[Customer ID]],tblCustomers[Customer ID],tblCustomers[Customer Name],"⚠ Unknown")</f>
        <v>Walk-in Customer</v>
      </c>
      <c r="F1684" s="4" t="s">
        <v>12</v>
      </c>
      <c r="G1684" s="1" t="str">
        <f>_xlfn.XLOOKUP(tblSales[[#This Row],[Product Code]],tblProducts[Code],tblProducts[Product / Service Name],"⚠ Unknown")</f>
        <v>Bomber Jacket</v>
      </c>
      <c r="H1684" s="1" t="str">
        <f>_xlfn.XLOOKUP(tblSales[[#This Row],[Product Code]],tblProducts[Code],tblProducts[Category],"")</f>
        <v>Apparel &amp; Footwear</v>
      </c>
      <c r="I1684" s="4">
        <v>4</v>
      </c>
      <c r="J1684" s="5">
        <f>_xlfn.XLOOKUP(tblSales[[#This Row],[Product Code]],tblProducts[Code],tblProducts[Selling Price (excl. VAT)],0)</f>
        <v>350000</v>
      </c>
      <c r="K1684" s="5">
        <f>tblSales[[#This Row],[Qty]]*tblSales[[#This Row],[Unit Price]]</f>
        <v>1400000</v>
      </c>
      <c r="L1684" s="5">
        <f>ROUND(tblSales[[#This Row],[DPP (excl. VAT)]]*VATEff,0)</f>
        <v>154000</v>
      </c>
      <c r="M1684" s="5">
        <f>tblSales[[#This Row],[DPP (excl. VAT)]]+tblSales[[#This Row],[Output VAT]]</f>
        <v>1554000</v>
      </c>
      <c r="N1684" s="5">
        <f>tblSales[[#This Row],[Qty]]*_xlfn.XLOOKUP(tblSales[[#This Row],[Product Code]],tblProducts[Code],tblProducts[Unit Cost],0)</f>
        <v>840000</v>
      </c>
      <c r="O1684" s="4" t="s">
        <v>4866</v>
      </c>
      <c r="P1684" s="4" t="s">
        <v>4862</v>
      </c>
      <c r="Q1684" s="1" t="str">
        <f>_xlfn.XLOOKUP(tblSales[[#This Row],[Channel Code]],tblChannels[Channel Code],tblChannels[Channel Name],"")</f>
        <v>Website &amp; Social Media</v>
      </c>
      <c r="R1684" s="1">
        <f>MONTH(tblSales[[#This Row],[Date]])</f>
        <v>4</v>
      </c>
    </row>
    <row r="1685" spans="2:18" x14ac:dyDescent="0.35">
      <c r="B1685" s="113">
        <v>46123</v>
      </c>
      <c r="C1685" s="4" t="s">
        <v>1140</v>
      </c>
      <c r="D1685" s="4" t="s">
        <v>4568</v>
      </c>
      <c r="E1685" s="1" t="str">
        <f>_xlfn.XLOOKUP(tblSales[[#This Row],[Customer ID]],tblCustomers[Customer ID],tblCustomers[Customer Name],"⚠ Unknown")</f>
        <v>Walk-in Customer</v>
      </c>
      <c r="F1685" s="4" t="s">
        <v>8</v>
      </c>
      <c r="G1685" s="1" t="str">
        <f>_xlfn.XLOOKUP(tblSales[[#This Row],[Product Code]],tblProducts[Code],tblProducts[Product / Service Name],"⚠ Unknown")</f>
        <v>Casual Shorts</v>
      </c>
      <c r="H1685" s="1" t="str">
        <f>_xlfn.XLOOKUP(tblSales[[#This Row],[Product Code]],tblProducts[Code],tblProducts[Category],"")</f>
        <v>Accessories &amp; Basics</v>
      </c>
      <c r="I1685" s="4">
        <v>8</v>
      </c>
      <c r="J1685" s="5">
        <f>_xlfn.XLOOKUP(tblSales[[#This Row],[Product Code]],tblProducts[Code],tblProducts[Selling Price (excl. VAT)],0)</f>
        <v>85000</v>
      </c>
      <c r="K1685" s="5">
        <f>tblSales[[#This Row],[Qty]]*tblSales[[#This Row],[Unit Price]]</f>
        <v>680000</v>
      </c>
      <c r="L1685" s="5">
        <f>ROUND(tblSales[[#This Row],[DPP (excl. VAT)]]*VATEff,0)</f>
        <v>74800</v>
      </c>
      <c r="M1685" s="5">
        <f>tblSales[[#This Row],[DPP (excl. VAT)]]+tblSales[[#This Row],[Output VAT]]</f>
        <v>754800</v>
      </c>
      <c r="N1685" s="5">
        <f>tblSales[[#This Row],[Qty]]*_xlfn.XLOOKUP(tblSales[[#This Row],[Product Code]],tblProducts[Code],tblProducts[Unit Cost],0)</f>
        <v>400000</v>
      </c>
      <c r="O1685" s="4" t="s">
        <v>4866</v>
      </c>
      <c r="P1685" s="4" t="s">
        <v>4862</v>
      </c>
      <c r="Q1685" s="1" t="str">
        <f>_xlfn.XLOOKUP(tblSales[[#This Row],[Channel Code]],tblChannels[Channel Code],tblChannels[Channel Name],"")</f>
        <v>Website &amp; Social Media</v>
      </c>
      <c r="R1685" s="1">
        <f>MONTH(tblSales[[#This Row],[Date]])</f>
        <v>4</v>
      </c>
    </row>
    <row r="1686" spans="2:18" x14ac:dyDescent="0.35">
      <c r="B1686" s="113">
        <v>46123</v>
      </c>
      <c r="C1686" s="4" t="s">
        <v>1141</v>
      </c>
      <c r="D1686" s="4" t="s">
        <v>4568</v>
      </c>
      <c r="E1686" s="1" t="str">
        <f>_xlfn.XLOOKUP(tblSales[[#This Row],[Customer ID]],tblCustomers[Customer ID],tblCustomers[Customer Name],"⚠ Unknown")</f>
        <v>Walk-in Customer</v>
      </c>
      <c r="F1686" s="4" t="s">
        <v>13</v>
      </c>
      <c r="G1686" s="1" t="str">
        <f>_xlfn.XLOOKUP(tblSales[[#This Row],[Product Code]],tblProducts[Code],tblProducts[Product / Service Name],"⚠ Unknown")</f>
        <v>Backpack</v>
      </c>
      <c r="H1686" s="1" t="str">
        <f>_xlfn.XLOOKUP(tblSales[[#This Row],[Product Code]],tblProducts[Code],tblProducts[Category],"")</f>
        <v>Bags &amp; Gadgets</v>
      </c>
      <c r="I1686" s="4">
        <v>6</v>
      </c>
      <c r="J1686" s="5">
        <f>_xlfn.XLOOKUP(tblSales[[#This Row],[Product Code]],tblProducts[Code],tblProducts[Selling Price (excl. VAT)],0)</f>
        <v>500000</v>
      </c>
      <c r="K1686" s="5">
        <f>tblSales[[#This Row],[Qty]]*tblSales[[#This Row],[Unit Price]]</f>
        <v>3000000</v>
      </c>
      <c r="L1686" s="5">
        <f>ROUND(tblSales[[#This Row],[DPP (excl. VAT)]]*VATEff,0)</f>
        <v>330000</v>
      </c>
      <c r="M1686" s="5">
        <f>tblSales[[#This Row],[DPP (excl. VAT)]]+tblSales[[#This Row],[Output VAT]]</f>
        <v>3330000</v>
      </c>
      <c r="N1686" s="5">
        <f>tblSales[[#This Row],[Qty]]*_xlfn.XLOOKUP(tblSales[[#This Row],[Product Code]],tblProducts[Code],tblProducts[Unit Cost],0)</f>
        <v>1740000</v>
      </c>
      <c r="O1686" s="4" t="s">
        <v>4866</v>
      </c>
      <c r="P1686" s="4" t="s">
        <v>4862</v>
      </c>
      <c r="Q1686" s="1" t="str">
        <f>_xlfn.XLOOKUP(tblSales[[#This Row],[Channel Code]],tblChannels[Channel Code],tblChannels[Channel Name],"")</f>
        <v>Website &amp; Social Media</v>
      </c>
      <c r="R1686" s="1">
        <f>MONTH(tblSales[[#This Row],[Date]])</f>
        <v>4</v>
      </c>
    </row>
    <row r="1687" spans="2:18" x14ac:dyDescent="0.35">
      <c r="B1687" s="113">
        <v>46123</v>
      </c>
      <c r="C1687" s="4" t="s">
        <v>1142</v>
      </c>
      <c r="D1687" s="4" t="s">
        <v>4641</v>
      </c>
      <c r="E1687" s="1" t="str">
        <f>_xlfn.XLOOKUP(tblSales[[#This Row],[Customer ID]],tblCustomers[Customer ID],tblCustomers[Customer Name],"⚠ Unknown")</f>
        <v>PT Harmoni Pangan Lestari</v>
      </c>
      <c r="F1687" s="4" t="s">
        <v>7</v>
      </c>
      <c r="G1687" s="1" t="str">
        <f>_xlfn.XLOOKUP(tblSales[[#This Row],[Product Code]],tblProducts[Code],tblProducts[Product / Service Name],"⚠ Unknown")</f>
        <v>Premium Basic T-shirt</v>
      </c>
      <c r="H1687" s="1" t="str">
        <f>_xlfn.XLOOKUP(tblSales[[#This Row],[Product Code]],tblProducts[Code],tblProducts[Category],"")</f>
        <v>Accessories &amp; Basics</v>
      </c>
      <c r="I1687" s="4">
        <v>72</v>
      </c>
      <c r="J1687" s="5">
        <f>_xlfn.XLOOKUP(tblSales[[#This Row],[Product Code]],tblProducts[Code],tblProducts[Selling Price (excl. VAT)],0)</f>
        <v>65000</v>
      </c>
      <c r="K1687" s="5">
        <f>tblSales[[#This Row],[Qty]]*tblSales[[#This Row],[Unit Price]]</f>
        <v>4680000</v>
      </c>
      <c r="L1687" s="5">
        <f>ROUND(tblSales[[#This Row],[DPP (excl. VAT)]]*VATEff,0)</f>
        <v>514800</v>
      </c>
      <c r="M1687" s="5">
        <f>tblSales[[#This Row],[DPP (excl. VAT)]]+tblSales[[#This Row],[Output VAT]]</f>
        <v>5194800</v>
      </c>
      <c r="N1687" s="5">
        <f>tblSales[[#This Row],[Qty]]*_xlfn.XLOOKUP(tblSales[[#This Row],[Product Code]],tblProducts[Code],tblProducts[Unit Cost],0)</f>
        <v>2664000</v>
      </c>
      <c r="O1687" s="4" t="s">
        <v>4867</v>
      </c>
      <c r="P1687" s="4" t="s">
        <v>4860</v>
      </c>
      <c r="Q1687" s="1" t="str">
        <f>_xlfn.XLOOKUP(tblSales[[#This Row],[Channel Code]],tblChannels[Channel Code],tblChannels[Channel Name],"")</f>
        <v>In-store</v>
      </c>
      <c r="R1687" s="1">
        <f>MONTH(tblSales[[#This Row],[Date]])</f>
        <v>4</v>
      </c>
    </row>
    <row r="1688" spans="2:18" x14ac:dyDescent="0.35">
      <c r="B1688" s="113">
        <v>46123</v>
      </c>
      <c r="C1688" s="4" t="s">
        <v>1142</v>
      </c>
      <c r="D1688" s="4" t="s">
        <v>4641</v>
      </c>
      <c r="E1688" s="1" t="str">
        <f>_xlfn.XLOOKUP(tblSales[[#This Row],[Customer ID]],tblCustomers[Customer ID],tblCustomers[Customer Name],"⚠ Unknown")</f>
        <v>PT Harmoni Pangan Lestari</v>
      </c>
      <c r="F1688" s="4" t="s">
        <v>11</v>
      </c>
      <c r="G1688" s="1" t="str">
        <f>_xlfn.XLOOKUP(tblSales[[#This Row],[Product Code]],tblProducts[Code],tblProducts[Product / Service Name],"⚠ Unknown")</f>
        <v>Sneakers</v>
      </c>
      <c r="H1688" s="1" t="str">
        <f>_xlfn.XLOOKUP(tblSales[[#This Row],[Product Code]],tblProducts[Code],tblProducts[Category],"")</f>
        <v>Apparel &amp; Footwear</v>
      </c>
      <c r="I1688" s="4">
        <v>8</v>
      </c>
      <c r="J1688" s="5">
        <f>_xlfn.XLOOKUP(tblSales[[#This Row],[Product Code]],tblProducts[Code],tblProducts[Selling Price (excl. VAT)],0)</f>
        <v>250000</v>
      </c>
      <c r="K1688" s="5">
        <f>tblSales[[#This Row],[Qty]]*tblSales[[#This Row],[Unit Price]]</f>
        <v>2000000</v>
      </c>
      <c r="L1688" s="5">
        <f>ROUND(tblSales[[#This Row],[DPP (excl. VAT)]]*VATEff,0)</f>
        <v>220000</v>
      </c>
      <c r="M1688" s="5">
        <f>tblSales[[#This Row],[DPP (excl. VAT)]]+tblSales[[#This Row],[Output VAT]]</f>
        <v>2220000</v>
      </c>
      <c r="N1688" s="5">
        <f>tblSales[[#This Row],[Qty]]*_xlfn.XLOOKUP(tblSales[[#This Row],[Product Code]],tblProducts[Code],tblProducts[Unit Cost],0)</f>
        <v>1240000</v>
      </c>
      <c r="O1688" s="4" t="s">
        <v>4867</v>
      </c>
      <c r="P1688" s="4" t="s">
        <v>4860</v>
      </c>
      <c r="Q1688" s="1" t="str">
        <f>_xlfn.XLOOKUP(tblSales[[#This Row],[Channel Code]],tblChannels[Channel Code],tblChannels[Channel Name],"")</f>
        <v>In-store</v>
      </c>
      <c r="R1688" s="1">
        <f>MONTH(tblSales[[#This Row],[Date]])</f>
        <v>4</v>
      </c>
    </row>
    <row r="1689" spans="2:18" x14ac:dyDescent="0.35">
      <c r="B1689" s="113">
        <v>46123</v>
      </c>
      <c r="C1689" s="4" t="s">
        <v>1143</v>
      </c>
      <c r="D1689" s="4" t="s">
        <v>4568</v>
      </c>
      <c r="E1689" s="1" t="str">
        <f>_xlfn.XLOOKUP(tblSales[[#This Row],[Customer ID]],tblCustomers[Customer ID],tblCustomers[Customer Name],"⚠ Unknown")</f>
        <v>Walk-in Customer</v>
      </c>
      <c r="F1689" s="4" t="s">
        <v>8</v>
      </c>
      <c r="G1689" s="1" t="str">
        <f>_xlfn.XLOOKUP(tblSales[[#This Row],[Product Code]],tblProducts[Code],tblProducts[Product / Service Name],"⚠ Unknown")</f>
        <v>Casual Shorts</v>
      </c>
      <c r="H1689" s="1" t="str">
        <f>_xlfn.XLOOKUP(tblSales[[#This Row],[Product Code]],tblProducts[Code],tblProducts[Category],"")</f>
        <v>Accessories &amp; Basics</v>
      </c>
      <c r="I1689" s="4">
        <v>9</v>
      </c>
      <c r="J1689" s="5">
        <f>_xlfn.XLOOKUP(tblSales[[#This Row],[Product Code]],tblProducts[Code],tblProducts[Selling Price (excl. VAT)],0)</f>
        <v>85000</v>
      </c>
      <c r="K1689" s="5">
        <f>tblSales[[#This Row],[Qty]]*tblSales[[#This Row],[Unit Price]]</f>
        <v>765000</v>
      </c>
      <c r="L1689" s="5">
        <f>ROUND(tblSales[[#This Row],[DPP (excl. VAT)]]*VATEff,0)</f>
        <v>84150</v>
      </c>
      <c r="M1689" s="5">
        <f>tblSales[[#This Row],[DPP (excl. VAT)]]+tblSales[[#This Row],[Output VAT]]</f>
        <v>849150</v>
      </c>
      <c r="N1689" s="5">
        <f>tblSales[[#This Row],[Qty]]*_xlfn.XLOOKUP(tblSales[[#This Row],[Product Code]],tblProducts[Code],tblProducts[Unit Cost],0)</f>
        <v>450000</v>
      </c>
      <c r="O1689" s="4" t="s">
        <v>4866</v>
      </c>
      <c r="P1689" s="4" t="s">
        <v>4860</v>
      </c>
      <c r="Q1689" s="1" t="str">
        <f>_xlfn.XLOOKUP(tblSales[[#This Row],[Channel Code]],tblChannels[Channel Code],tblChannels[Channel Name],"")</f>
        <v>In-store</v>
      </c>
      <c r="R1689" s="1">
        <f>MONTH(tblSales[[#This Row],[Date]])</f>
        <v>4</v>
      </c>
    </row>
    <row r="1690" spans="2:18" x14ac:dyDescent="0.35">
      <c r="B1690" s="113">
        <v>46123</v>
      </c>
      <c r="C1690" s="4" t="s">
        <v>1143</v>
      </c>
      <c r="D1690" s="4" t="s">
        <v>4568</v>
      </c>
      <c r="E1690" s="1" t="str">
        <f>_xlfn.XLOOKUP(tblSales[[#This Row],[Customer ID]],tblCustomers[Customer ID],tblCustomers[Customer Name],"⚠ Unknown")</f>
        <v>Walk-in Customer</v>
      </c>
      <c r="F1690" s="4" t="s">
        <v>13</v>
      </c>
      <c r="G1690" s="1" t="str">
        <f>_xlfn.XLOOKUP(tblSales[[#This Row],[Product Code]],tblProducts[Code],tblProducts[Product / Service Name],"⚠ Unknown")</f>
        <v>Backpack</v>
      </c>
      <c r="H1690" s="1" t="str">
        <f>_xlfn.XLOOKUP(tblSales[[#This Row],[Product Code]],tblProducts[Code],tblProducts[Category],"")</f>
        <v>Bags &amp; Gadgets</v>
      </c>
      <c r="I1690" s="4">
        <v>3</v>
      </c>
      <c r="J1690" s="5">
        <f>_xlfn.XLOOKUP(tblSales[[#This Row],[Product Code]],tblProducts[Code],tblProducts[Selling Price (excl. VAT)],0)</f>
        <v>500000</v>
      </c>
      <c r="K1690" s="5">
        <f>tblSales[[#This Row],[Qty]]*tblSales[[#This Row],[Unit Price]]</f>
        <v>1500000</v>
      </c>
      <c r="L1690" s="5">
        <f>ROUND(tblSales[[#This Row],[DPP (excl. VAT)]]*VATEff,0)</f>
        <v>165000</v>
      </c>
      <c r="M1690" s="5">
        <f>tblSales[[#This Row],[DPP (excl. VAT)]]+tblSales[[#This Row],[Output VAT]]</f>
        <v>1665000</v>
      </c>
      <c r="N1690" s="5">
        <f>tblSales[[#This Row],[Qty]]*_xlfn.XLOOKUP(tblSales[[#This Row],[Product Code]],tblProducts[Code],tblProducts[Unit Cost],0)</f>
        <v>870000</v>
      </c>
      <c r="O1690" s="4" t="s">
        <v>4866</v>
      </c>
      <c r="P1690" s="4" t="s">
        <v>4860</v>
      </c>
      <c r="Q1690" s="1" t="str">
        <f>_xlfn.XLOOKUP(tblSales[[#This Row],[Channel Code]],tblChannels[Channel Code],tblChannels[Channel Name],"")</f>
        <v>In-store</v>
      </c>
      <c r="R1690" s="1">
        <f>MONTH(tblSales[[#This Row],[Date]])</f>
        <v>4</v>
      </c>
    </row>
    <row r="1691" spans="2:18" x14ac:dyDescent="0.35">
      <c r="B1691" s="113">
        <v>46123</v>
      </c>
      <c r="C1691" s="4" t="s">
        <v>1144</v>
      </c>
      <c r="D1691" s="4" t="s">
        <v>4634</v>
      </c>
      <c r="E1691" s="1" t="str">
        <f>_xlfn.XLOOKUP(tblSales[[#This Row],[Customer ID]],tblCustomers[Customer ID],tblCustomers[Customer Name],"⚠ Unknown")</f>
        <v>PT Delta Inti Selaras</v>
      </c>
      <c r="F1691" s="4" t="s">
        <v>9</v>
      </c>
      <c r="G1691" s="1" t="str">
        <f>_xlfn.XLOOKUP(tblSales[[#This Row],[Product Code]],tblProducts[Code],tblProducts[Product / Service Name],"⚠ Unknown")</f>
        <v>Casual Shirt</v>
      </c>
      <c r="H1691" s="1" t="str">
        <f>_xlfn.XLOOKUP(tblSales[[#This Row],[Product Code]],tblProducts[Code],tblProducts[Category],"")</f>
        <v>Apparel &amp; Footwear</v>
      </c>
      <c r="I1691" s="4">
        <v>64</v>
      </c>
      <c r="J1691" s="5">
        <f>_xlfn.XLOOKUP(tblSales[[#This Row],[Product Code]],tblProducts[Code],tblProducts[Selling Price (excl. VAT)],0)</f>
        <v>120000</v>
      </c>
      <c r="K1691" s="5">
        <f>tblSales[[#This Row],[Qty]]*tblSales[[#This Row],[Unit Price]]</f>
        <v>7680000</v>
      </c>
      <c r="L1691" s="5">
        <f>ROUND(tblSales[[#This Row],[DPP (excl. VAT)]]*VATEff,0)</f>
        <v>844800</v>
      </c>
      <c r="M1691" s="5">
        <f>tblSales[[#This Row],[DPP (excl. VAT)]]+tblSales[[#This Row],[Output VAT]]</f>
        <v>8524800</v>
      </c>
      <c r="N1691" s="5">
        <f>tblSales[[#This Row],[Qty]]*_xlfn.XLOOKUP(tblSales[[#This Row],[Product Code]],tblProducts[Code],tblProducts[Unit Cost],0)</f>
        <v>4608000</v>
      </c>
      <c r="O1691" s="4" t="s">
        <v>4867</v>
      </c>
      <c r="P1691" s="4" t="s">
        <v>4862</v>
      </c>
      <c r="Q1691" s="1" t="str">
        <f>_xlfn.XLOOKUP(tblSales[[#This Row],[Channel Code]],tblChannels[Channel Code],tblChannels[Channel Name],"")</f>
        <v>Website &amp; Social Media</v>
      </c>
      <c r="R1691" s="1">
        <f>MONTH(tblSales[[#This Row],[Date]])</f>
        <v>4</v>
      </c>
    </row>
    <row r="1692" spans="2:18" x14ac:dyDescent="0.35">
      <c r="B1692" s="113">
        <v>46123</v>
      </c>
      <c r="C1692" s="4" t="s">
        <v>1144</v>
      </c>
      <c r="D1692" s="4" t="s">
        <v>4634</v>
      </c>
      <c r="E1692" s="1" t="str">
        <f>_xlfn.XLOOKUP(tblSales[[#This Row],[Customer ID]],tblCustomers[Customer ID],tblCustomers[Customer Name],"⚠ Unknown")</f>
        <v>PT Delta Inti Selaras</v>
      </c>
      <c r="F1692" s="4" t="s">
        <v>8</v>
      </c>
      <c r="G1692" s="1" t="str">
        <f>_xlfn.XLOOKUP(tblSales[[#This Row],[Product Code]],tblProducts[Code],tblProducts[Product / Service Name],"⚠ Unknown")</f>
        <v>Casual Shorts</v>
      </c>
      <c r="H1692" s="1" t="str">
        <f>_xlfn.XLOOKUP(tblSales[[#This Row],[Product Code]],tblProducts[Code],tblProducts[Category],"")</f>
        <v>Accessories &amp; Basics</v>
      </c>
      <c r="I1692" s="4">
        <v>8</v>
      </c>
      <c r="J1692" s="5">
        <f>_xlfn.XLOOKUP(tblSales[[#This Row],[Product Code]],tblProducts[Code],tblProducts[Selling Price (excl. VAT)],0)</f>
        <v>85000</v>
      </c>
      <c r="K1692" s="5">
        <f>tblSales[[#This Row],[Qty]]*tblSales[[#This Row],[Unit Price]]</f>
        <v>680000</v>
      </c>
      <c r="L1692" s="5">
        <f>ROUND(tblSales[[#This Row],[DPP (excl. VAT)]]*VATEff,0)</f>
        <v>74800</v>
      </c>
      <c r="M1692" s="5">
        <f>tblSales[[#This Row],[DPP (excl. VAT)]]+tblSales[[#This Row],[Output VAT]]</f>
        <v>754800</v>
      </c>
      <c r="N1692" s="5">
        <f>tblSales[[#This Row],[Qty]]*_xlfn.XLOOKUP(tblSales[[#This Row],[Product Code]],tblProducts[Code],tblProducts[Unit Cost],0)</f>
        <v>400000</v>
      </c>
      <c r="O1692" s="4" t="s">
        <v>4867</v>
      </c>
      <c r="P1692" s="4" t="s">
        <v>4862</v>
      </c>
      <c r="Q1692" s="1" t="str">
        <f>_xlfn.XLOOKUP(tblSales[[#This Row],[Channel Code]],tblChannels[Channel Code],tblChannels[Channel Name],"")</f>
        <v>Website &amp; Social Media</v>
      </c>
      <c r="R1692" s="1">
        <f>MONTH(tblSales[[#This Row],[Date]])</f>
        <v>4</v>
      </c>
    </row>
    <row r="1693" spans="2:18" x14ac:dyDescent="0.35">
      <c r="B1693" s="113">
        <v>46123</v>
      </c>
      <c r="C1693" s="4" t="s">
        <v>1144</v>
      </c>
      <c r="D1693" s="4" t="s">
        <v>4634</v>
      </c>
      <c r="E1693" s="1" t="str">
        <f>_xlfn.XLOOKUP(tblSales[[#This Row],[Customer ID]],tblCustomers[Customer ID],tblCustomers[Customer Name],"⚠ Unknown")</f>
        <v>PT Delta Inti Selaras</v>
      </c>
      <c r="F1693" s="4" t="s">
        <v>7</v>
      </c>
      <c r="G1693" s="1" t="str">
        <f>_xlfn.XLOOKUP(tblSales[[#This Row],[Product Code]],tblProducts[Code],tblProducts[Product / Service Name],"⚠ Unknown")</f>
        <v>Premium Basic T-shirt</v>
      </c>
      <c r="H1693" s="1" t="str">
        <f>_xlfn.XLOOKUP(tblSales[[#This Row],[Product Code]],tblProducts[Code],tblProducts[Category],"")</f>
        <v>Accessories &amp; Basics</v>
      </c>
      <c r="I1693" s="4">
        <v>48</v>
      </c>
      <c r="J1693" s="5">
        <f>_xlfn.XLOOKUP(tblSales[[#This Row],[Product Code]],tblProducts[Code],tblProducts[Selling Price (excl. VAT)],0)</f>
        <v>65000</v>
      </c>
      <c r="K1693" s="5">
        <f>tblSales[[#This Row],[Qty]]*tblSales[[#This Row],[Unit Price]]</f>
        <v>3120000</v>
      </c>
      <c r="L1693" s="5">
        <f>ROUND(tblSales[[#This Row],[DPP (excl. VAT)]]*VATEff,0)</f>
        <v>343200</v>
      </c>
      <c r="M1693" s="5">
        <f>tblSales[[#This Row],[DPP (excl. VAT)]]+tblSales[[#This Row],[Output VAT]]</f>
        <v>3463200</v>
      </c>
      <c r="N1693" s="5">
        <f>tblSales[[#This Row],[Qty]]*_xlfn.XLOOKUP(tblSales[[#This Row],[Product Code]],tblProducts[Code],tblProducts[Unit Cost],0)</f>
        <v>1776000</v>
      </c>
      <c r="O1693" s="4" t="s">
        <v>4867</v>
      </c>
      <c r="P1693" s="4" t="s">
        <v>4862</v>
      </c>
      <c r="Q1693" s="1" t="str">
        <f>_xlfn.XLOOKUP(tblSales[[#This Row],[Channel Code]],tblChannels[Channel Code],tblChannels[Channel Name],"")</f>
        <v>Website &amp; Social Media</v>
      </c>
      <c r="R1693" s="1">
        <f>MONTH(tblSales[[#This Row],[Date]])</f>
        <v>4</v>
      </c>
    </row>
    <row r="1694" spans="2:18" x14ac:dyDescent="0.35">
      <c r="B1694" s="113">
        <v>46123</v>
      </c>
      <c r="C1694" s="4" t="s">
        <v>1145</v>
      </c>
      <c r="D1694" s="4" t="s">
        <v>4568</v>
      </c>
      <c r="E1694" s="1" t="str">
        <f>_xlfn.XLOOKUP(tblSales[[#This Row],[Customer ID]],tblCustomers[Customer ID],tblCustomers[Customer Name],"⚠ Unknown")</f>
        <v>Walk-in Customer</v>
      </c>
      <c r="F1694" s="4" t="s">
        <v>9</v>
      </c>
      <c r="G1694" s="1" t="str">
        <f>_xlfn.XLOOKUP(tblSales[[#This Row],[Product Code]],tblProducts[Code],tblProducts[Product / Service Name],"⚠ Unknown")</f>
        <v>Casual Shirt</v>
      </c>
      <c r="H1694" s="1" t="str">
        <f>_xlfn.XLOOKUP(tblSales[[#This Row],[Product Code]],tblProducts[Code],tblProducts[Category],"")</f>
        <v>Apparel &amp; Footwear</v>
      </c>
      <c r="I1694" s="4">
        <v>9</v>
      </c>
      <c r="J1694" s="5">
        <f>_xlfn.XLOOKUP(tblSales[[#This Row],[Product Code]],tblProducts[Code],tblProducts[Selling Price (excl. VAT)],0)</f>
        <v>120000</v>
      </c>
      <c r="K1694" s="5">
        <f>tblSales[[#This Row],[Qty]]*tblSales[[#This Row],[Unit Price]]</f>
        <v>1080000</v>
      </c>
      <c r="L1694" s="5">
        <f>ROUND(tblSales[[#This Row],[DPP (excl. VAT)]]*VATEff,0)</f>
        <v>118800</v>
      </c>
      <c r="M1694" s="5">
        <f>tblSales[[#This Row],[DPP (excl. VAT)]]+tblSales[[#This Row],[Output VAT]]</f>
        <v>1198800</v>
      </c>
      <c r="N1694" s="5">
        <f>tblSales[[#This Row],[Qty]]*_xlfn.XLOOKUP(tblSales[[#This Row],[Product Code]],tblProducts[Code],tblProducts[Unit Cost],0)</f>
        <v>648000</v>
      </c>
      <c r="O1694" s="4" t="s">
        <v>4866</v>
      </c>
      <c r="P1694" s="4" t="s">
        <v>4861</v>
      </c>
      <c r="Q1694" s="1" t="str">
        <f>_xlfn.XLOOKUP(tblSales[[#This Row],[Channel Code]],tblChannels[Channel Code],tblChannels[Channel Name],"")</f>
        <v>Marketplace</v>
      </c>
      <c r="R1694" s="1">
        <f>MONTH(tblSales[[#This Row],[Date]])</f>
        <v>4</v>
      </c>
    </row>
    <row r="1695" spans="2:18" x14ac:dyDescent="0.35">
      <c r="B1695" s="113">
        <v>46123</v>
      </c>
      <c r="C1695" s="4" t="s">
        <v>1146</v>
      </c>
      <c r="D1695" s="4" t="s">
        <v>4568</v>
      </c>
      <c r="E1695" s="1" t="str">
        <f>_xlfn.XLOOKUP(tblSales[[#This Row],[Customer ID]],tblCustomers[Customer ID],tblCustomers[Customer Name],"⚠ Unknown")</f>
        <v>Walk-in Customer</v>
      </c>
      <c r="F1695" s="4" t="s">
        <v>14</v>
      </c>
      <c r="G1695" s="1" t="str">
        <f>_xlfn.XLOOKUP(tblSales[[#This Row],[Product Code]],tblProducts[Code],tblProducts[Product / Service Name],"⚠ Unknown")</f>
        <v>Smartwatch</v>
      </c>
      <c r="H1695" s="1" t="str">
        <f>_xlfn.XLOOKUP(tblSales[[#This Row],[Product Code]],tblProducts[Code],tblProducts[Category],"")</f>
        <v>Bags &amp; Gadgets</v>
      </c>
      <c r="I1695" s="4">
        <v>2</v>
      </c>
      <c r="J1695" s="5">
        <f>_xlfn.XLOOKUP(tblSales[[#This Row],[Product Code]],tblProducts[Code],tblProducts[Selling Price (excl. VAT)],0)</f>
        <v>850000</v>
      </c>
      <c r="K1695" s="5">
        <f>tblSales[[#This Row],[Qty]]*tblSales[[#This Row],[Unit Price]]</f>
        <v>1700000</v>
      </c>
      <c r="L1695" s="5">
        <f>ROUND(tblSales[[#This Row],[DPP (excl. VAT)]]*VATEff,0)</f>
        <v>187000</v>
      </c>
      <c r="M1695" s="5">
        <f>tblSales[[#This Row],[DPP (excl. VAT)]]+tblSales[[#This Row],[Output VAT]]</f>
        <v>1887000</v>
      </c>
      <c r="N1695" s="5">
        <f>tblSales[[#This Row],[Qty]]*_xlfn.XLOOKUP(tblSales[[#This Row],[Product Code]],tblProducts[Code],tblProducts[Unit Cost],0)</f>
        <v>1120000</v>
      </c>
      <c r="O1695" s="4" t="s">
        <v>4866</v>
      </c>
      <c r="P1695" s="4" t="s">
        <v>4860</v>
      </c>
      <c r="Q1695" s="1" t="str">
        <f>_xlfn.XLOOKUP(tblSales[[#This Row],[Channel Code]],tblChannels[Channel Code],tblChannels[Channel Name],"")</f>
        <v>In-store</v>
      </c>
      <c r="R1695" s="1">
        <f>MONTH(tblSales[[#This Row],[Date]])</f>
        <v>4</v>
      </c>
    </row>
    <row r="1696" spans="2:18" x14ac:dyDescent="0.35">
      <c r="B1696" s="113">
        <v>46123</v>
      </c>
      <c r="C1696" s="4" t="s">
        <v>1147</v>
      </c>
      <c r="D1696" s="4" t="s">
        <v>4648</v>
      </c>
      <c r="E1696" s="1" t="str">
        <f>_xlfn.XLOOKUP(tblSales[[#This Row],[Customer ID]],tblCustomers[Customer ID],tblCustomers[Customer Name],"⚠ Unknown")</f>
        <v>PT Lintas Benua Niaga</v>
      </c>
      <c r="F1696" s="4" t="s">
        <v>9</v>
      </c>
      <c r="G1696" s="1" t="str">
        <f>_xlfn.XLOOKUP(tblSales[[#This Row],[Product Code]],tblProducts[Code],tblProducts[Product / Service Name],"⚠ Unknown")</f>
        <v>Casual Shirt</v>
      </c>
      <c r="H1696" s="1" t="str">
        <f>_xlfn.XLOOKUP(tblSales[[#This Row],[Product Code]],tblProducts[Code],tblProducts[Category],"")</f>
        <v>Apparel &amp; Footwear</v>
      </c>
      <c r="I1696" s="4">
        <v>88</v>
      </c>
      <c r="J1696" s="5">
        <f>_xlfn.XLOOKUP(tblSales[[#This Row],[Product Code]],tblProducts[Code],tblProducts[Selling Price (excl. VAT)],0)</f>
        <v>120000</v>
      </c>
      <c r="K1696" s="5">
        <f>tblSales[[#This Row],[Qty]]*tblSales[[#This Row],[Unit Price]]</f>
        <v>10560000</v>
      </c>
      <c r="L1696" s="5">
        <f>ROUND(tblSales[[#This Row],[DPP (excl. VAT)]]*VATEff,0)</f>
        <v>1161600</v>
      </c>
      <c r="M1696" s="5">
        <f>tblSales[[#This Row],[DPP (excl. VAT)]]+tblSales[[#This Row],[Output VAT]]</f>
        <v>11721600</v>
      </c>
      <c r="N1696" s="5">
        <f>tblSales[[#This Row],[Qty]]*_xlfn.XLOOKUP(tblSales[[#This Row],[Product Code]],tblProducts[Code],tblProducts[Unit Cost],0)</f>
        <v>6336000</v>
      </c>
      <c r="O1696" s="4" t="s">
        <v>4867</v>
      </c>
      <c r="P1696" s="4" t="s">
        <v>4860</v>
      </c>
      <c r="Q1696" s="1" t="str">
        <f>_xlfn.XLOOKUP(tblSales[[#This Row],[Channel Code]],tblChannels[Channel Code],tblChannels[Channel Name],"")</f>
        <v>In-store</v>
      </c>
      <c r="R1696" s="1">
        <f>MONTH(tblSales[[#This Row],[Date]])</f>
        <v>4</v>
      </c>
    </row>
    <row r="1697" spans="2:18" x14ac:dyDescent="0.35">
      <c r="B1697" s="113">
        <v>46123</v>
      </c>
      <c r="C1697" s="4" t="s">
        <v>1148</v>
      </c>
      <c r="D1697" s="4" t="s">
        <v>4568</v>
      </c>
      <c r="E1697" s="1" t="str">
        <f>_xlfn.XLOOKUP(tblSales[[#This Row],[Customer ID]],tblCustomers[Customer ID],tblCustomers[Customer Name],"⚠ Unknown")</f>
        <v>Walk-in Customer</v>
      </c>
      <c r="F1697" s="4" t="s">
        <v>7</v>
      </c>
      <c r="G1697" s="1" t="str">
        <f>_xlfn.XLOOKUP(tblSales[[#This Row],[Product Code]],tblProducts[Code],tblProducts[Product / Service Name],"⚠ Unknown")</f>
        <v>Premium Basic T-shirt</v>
      </c>
      <c r="H1697" s="1" t="str">
        <f>_xlfn.XLOOKUP(tblSales[[#This Row],[Product Code]],tblProducts[Code],tblProducts[Category],"")</f>
        <v>Accessories &amp; Basics</v>
      </c>
      <c r="I1697" s="4">
        <v>12</v>
      </c>
      <c r="J1697" s="5">
        <f>_xlfn.XLOOKUP(tblSales[[#This Row],[Product Code]],tblProducts[Code],tblProducts[Selling Price (excl. VAT)],0)</f>
        <v>65000</v>
      </c>
      <c r="K1697" s="5">
        <f>tblSales[[#This Row],[Qty]]*tblSales[[#This Row],[Unit Price]]</f>
        <v>780000</v>
      </c>
      <c r="L1697" s="5">
        <f>ROUND(tblSales[[#This Row],[DPP (excl. VAT)]]*VATEff,0)</f>
        <v>85800</v>
      </c>
      <c r="M1697" s="5">
        <f>tblSales[[#This Row],[DPP (excl. VAT)]]+tblSales[[#This Row],[Output VAT]]</f>
        <v>865800</v>
      </c>
      <c r="N1697" s="5">
        <f>tblSales[[#This Row],[Qty]]*_xlfn.XLOOKUP(tblSales[[#This Row],[Product Code]],tblProducts[Code],tblProducts[Unit Cost],0)</f>
        <v>444000</v>
      </c>
      <c r="O1697" s="4" t="s">
        <v>4866</v>
      </c>
      <c r="P1697" s="4" t="s">
        <v>4860</v>
      </c>
      <c r="Q1697" s="1" t="str">
        <f>_xlfn.XLOOKUP(tblSales[[#This Row],[Channel Code]],tblChannels[Channel Code],tblChannels[Channel Name],"")</f>
        <v>In-store</v>
      </c>
      <c r="R1697" s="1">
        <f>MONTH(tblSales[[#This Row],[Date]])</f>
        <v>4</v>
      </c>
    </row>
    <row r="1698" spans="2:18" x14ac:dyDescent="0.35">
      <c r="B1698" s="113">
        <v>46123</v>
      </c>
      <c r="C1698" s="4" t="s">
        <v>1149</v>
      </c>
      <c r="D1698" s="4" t="s">
        <v>4568</v>
      </c>
      <c r="E1698" s="1" t="str">
        <f>_xlfn.XLOOKUP(tblSales[[#This Row],[Customer ID]],tblCustomers[Customer ID],tblCustomers[Customer Name],"⚠ Unknown")</f>
        <v>Walk-in Customer</v>
      </c>
      <c r="F1698" s="4" t="s">
        <v>12</v>
      </c>
      <c r="G1698" s="1" t="str">
        <f>_xlfn.XLOOKUP(tblSales[[#This Row],[Product Code]],tblProducts[Code],tblProducts[Product / Service Name],"⚠ Unknown")</f>
        <v>Bomber Jacket</v>
      </c>
      <c r="H1698" s="1" t="str">
        <f>_xlfn.XLOOKUP(tblSales[[#This Row],[Product Code]],tblProducts[Code],tblProducts[Category],"")</f>
        <v>Apparel &amp; Footwear</v>
      </c>
      <c r="I1698" s="4">
        <v>4</v>
      </c>
      <c r="J1698" s="5">
        <f>_xlfn.XLOOKUP(tblSales[[#This Row],[Product Code]],tblProducts[Code],tblProducts[Selling Price (excl. VAT)],0)</f>
        <v>350000</v>
      </c>
      <c r="K1698" s="5">
        <f>tblSales[[#This Row],[Qty]]*tblSales[[#This Row],[Unit Price]]</f>
        <v>1400000</v>
      </c>
      <c r="L1698" s="5">
        <f>ROUND(tblSales[[#This Row],[DPP (excl. VAT)]]*VATEff,0)</f>
        <v>154000</v>
      </c>
      <c r="M1698" s="5">
        <f>tblSales[[#This Row],[DPP (excl. VAT)]]+tblSales[[#This Row],[Output VAT]]</f>
        <v>1554000</v>
      </c>
      <c r="N1698" s="5">
        <f>tblSales[[#This Row],[Qty]]*_xlfn.XLOOKUP(tblSales[[#This Row],[Product Code]],tblProducts[Code],tblProducts[Unit Cost],0)</f>
        <v>840000</v>
      </c>
      <c r="O1698" s="4" t="s">
        <v>4866</v>
      </c>
      <c r="P1698" s="4" t="s">
        <v>4861</v>
      </c>
      <c r="Q1698" s="1" t="str">
        <f>_xlfn.XLOOKUP(tblSales[[#This Row],[Channel Code]],tblChannels[Channel Code],tblChannels[Channel Name],"")</f>
        <v>Marketplace</v>
      </c>
      <c r="R1698" s="1">
        <f>MONTH(tblSales[[#This Row],[Date]])</f>
        <v>4</v>
      </c>
    </row>
    <row r="1699" spans="2:18" x14ac:dyDescent="0.35">
      <c r="B1699" s="113">
        <v>46123</v>
      </c>
      <c r="C1699" s="4" t="s">
        <v>1150</v>
      </c>
      <c r="D1699" s="4" t="s">
        <v>4568</v>
      </c>
      <c r="E1699" s="1" t="str">
        <f>_xlfn.XLOOKUP(tblSales[[#This Row],[Customer ID]],tblCustomers[Customer ID],tblCustomers[Customer Name],"⚠ Unknown")</f>
        <v>Walk-in Customer</v>
      </c>
      <c r="F1699" s="4" t="s">
        <v>7</v>
      </c>
      <c r="G1699" s="1" t="str">
        <f>_xlfn.XLOOKUP(tblSales[[#This Row],[Product Code]],tblProducts[Code],tblProducts[Product / Service Name],"⚠ Unknown")</f>
        <v>Premium Basic T-shirt</v>
      </c>
      <c r="H1699" s="1" t="str">
        <f>_xlfn.XLOOKUP(tblSales[[#This Row],[Product Code]],tblProducts[Code],tblProducts[Category],"")</f>
        <v>Accessories &amp; Basics</v>
      </c>
      <c r="I1699" s="4">
        <v>3</v>
      </c>
      <c r="J1699" s="5">
        <f>_xlfn.XLOOKUP(tblSales[[#This Row],[Product Code]],tblProducts[Code],tblProducts[Selling Price (excl. VAT)],0)</f>
        <v>65000</v>
      </c>
      <c r="K1699" s="5">
        <f>tblSales[[#This Row],[Qty]]*tblSales[[#This Row],[Unit Price]]</f>
        <v>195000</v>
      </c>
      <c r="L1699" s="5">
        <f>ROUND(tblSales[[#This Row],[DPP (excl. VAT)]]*VATEff,0)</f>
        <v>21450</v>
      </c>
      <c r="M1699" s="5">
        <f>tblSales[[#This Row],[DPP (excl. VAT)]]+tblSales[[#This Row],[Output VAT]]</f>
        <v>216450</v>
      </c>
      <c r="N1699" s="5">
        <f>tblSales[[#This Row],[Qty]]*_xlfn.XLOOKUP(tblSales[[#This Row],[Product Code]],tblProducts[Code],tblProducts[Unit Cost],0)</f>
        <v>111000</v>
      </c>
      <c r="O1699" s="4" t="s">
        <v>4865</v>
      </c>
      <c r="P1699" s="4" t="s">
        <v>4860</v>
      </c>
      <c r="Q1699" s="1" t="str">
        <f>_xlfn.XLOOKUP(tblSales[[#This Row],[Channel Code]],tblChannels[Channel Code],tblChannels[Channel Name],"")</f>
        <v>In-store</v>
      </c>
      <c r="R1699" s="1">
        <f>MONTH(tblSales[[#This Row],[Date]])</f>
        <v>4</v>
      </c>
    </row>
    <row r="1700" spans="2:18" x14ac:dyDescent="0.35">
      <c r="B1700" s="113">
        <v>46123</v>
      </c>
      <c r="C1700" s="4" t="s">
        <v>1150</v>
      </c>
      <c r="D1700" s="4" t="s">
        <v>4568</v>
      </c>
      <c r="E1700" s="1" t="str">
        <f>_xlfn.XLOOKUP(tblSales[[#This Row],[Customer ID]],tblCustomers[Customer ID],tblCustomers[Customer Name],"⚠ Unknown")</f>
        <v>Walk-in Customer</v>
      </c>
      <c r="F1700" s="4" t="s">
        <v>12</v>
      </c>
      <c r="G1700" s="1" t="str">
        <f>_xlfn.XLOOKUP(tblSales[[#This Row],[Product Code]],tblProducts[Code],tblProducts[Product / Service Name],"⚠ Unknown")</f>
        <v>Bomber Jacket</v>
      </c>
      <c r="H1700" s="1" t="str">
        <f>_xlfn.XLOOKUP(tblSales[[#This Row],[Product Code]],tblProducts[Code],tblProducts[Category],"")</f>
        <v>Apparel &amp; Footwear</v>
      </c>
      <c r="I1700" s="4">
        <v>4</v>
      </c>
      <c r="J1700" s="5">
        <f>_xlfn.XLOOKUP(tblSales[[#This Row],[Product Code]],tblProducts[Code],tblProducts[Selling Price (excl. VAT)],0)</f>
        <v>350000</v>
      </c>
      <c r="K1700" s="5">
        <f>tblSales[[#This Row],[Qty]]*tblSales[[#This Row],[Unit Price]]</f>
        <v>1400000</v>
      </c>
      <c r="L1700" s="5">
        <f>ROUND(tblSales[[#This Row],[DPP (excl. VAT)]]*VATEff,0)</f>
        <v>154000</v>
      </c>
      <c r="M1700" s="5">
        <f>tblSales[[#This Row],[DPP (excl. VAT)]]+tblSales[[#This Row],[Output VAT]]</f>
        <v>1554000</v>
      </c>
      <c r="N1700" s="5">
        <f>tblSales[[#This Row],[Qty]]*_xlfn.XLOOKUP(tblSales[[#This Row],[Product Code]],tblProducts[Code],tblProducts[Unit Cost],0)</f>
        <v>840000</v>
      </c>
      <c r="O1700" s="4" t="s">
        <v>4865</v>
      </c>
      <c r="P1700" s="4" t="s">
        <v>4860</v>
      </c>
      <c r="Q1700" s="1" t="str">
        <f>_xlfn.XLOOKUP(tblSales[[#This Row],[Channel Code]],tblChannels[Channel Code],tblChannels[Channel Name],"")</f>
        <v>In-store</v>
      </c>
      <c r="R1700" s="1">
        <f>MONTH(tblSales[[#This Row],[Date]])</f>
        <v>4</v>
      </c>
    </row>
    <row r="1701" spans="2:18" x14ac:dyDescent="0.35">
      <c r="B1701" s="113">
        <v>46123</v>
      </c>
      <c r="C1701" s="4" t="s">
        <v>1151</v>
      </c>
      <c r="D1701" s="4" t="s">
        <v>4568</v>
      </c>
      <c r="E1701" s="1" t="str">
        <f>_xlfn.XLOOKUP(tblSales[[#This Row],[Customer ID]],tblCustomers[Customer ID],tblCustomers[Customer Name],"⚠ Unknown")</f>
        <v>Walk-in Customer</v>
      </c>
      <c r="F1701" s="4" t="s">
        <v>10</v>
      </c>
      <c r="G1701" s="1" t="str">
        <f>_xlfn.XLOOKUP(tblSales[[#This Row],[Product Code]],tblProducts[Code],tblProducts[Product / Service Name],"⚠ Unknown")</f>
        <v>Chino Pants</v>
      </c>
      <c r="H1701" s="1" t="str">
        <f>_xlfn.XLOOKUP(tblSales[[#This Row],[Product Code]],tblProducts[Code],tblProducts[Category],"")</f>
        <v>Apparel &amp; Footwear</v>
      </c>
      <c r="I1701" s="4">
        <v>8</v>
      </c>
      <c r="J1701" s="5">
        <f>_xlfn.XLOOKUP(tblSales[[#This Row],[Product Code]],tblProducts[Code],tblProducts[Selling Price (excl. VAT)],0)</f>
        <v>150000</v>
      </c>
      <c r="K1701" s="5">
        <f>tblSales[[#This Row],[Qty]]*tblSales[[#This Row],[Unit Price]]</f>
        <v>1200000</v>
      </c>
      <c r="L1701" s="5">
        <f>ROUND(tblSales[[#This Row],[DPP (excl. VAT)]]*VATEff,0)</f>
        <v>132000</v>
      </c>
      <c r="M1701" s="5">
        <f>tblSales[[#This Row],[DPP (excl. VAT)]]+tblSales[[#This Row],[Output VAT]]</f>
        <v>1332000</v>
      </c>
      <c r="N1701" s="5">
        <f>tblSales[[#This Row],[Qty]]*_xlfn.XLOOKUP(tblSales[[#This Row],[Product Code]],tblProducts[Code],tblProducts[Unit Cost],0)</f>
        <v>704000</v>
      </c>
      <c r="O1701" s="4" t="s">
        <v>4866</v>
      </c>
      <c r="P1701" s="4" t="s">
        <v>4860</v>
      </c>
      <c r="Q1701" s="1" t="str">
        <f>_xlfn.XLOOKUP(tblSales[[#This Row],[Channel Code]],tblChannels[Channel Code],tblChannels[Channel Name],"")</f>
        <v>In-store</v>
      </c>
      <c r="R1701" s="1">
        <f>MONTH(tblSales[[#This Row],[Date]])</f>
        <v>4</v>
      </c>
    </row>
    <row r="1702" spans="2:18" x14ac:dyDescent="0.35">
      <c r="B1702" s="113">
        <v>46123</v>
      </c>
      <c r="C1702" s="4" t="s">
        <v>1151</v>
      </c>
      <c r="D1702" s="4" t="s">
        <v>4568</v>
      </c>
      <c r="E1702" s="1" t="str">
        <f>_xlfn.XLOOKUP(tblSales[[#This Row],[Customer ID]],tblCustomers[Customer ID],tblCustomers[Customer Name],"⚠ Unknown")</f>
        <v>Walk-in Customer</v>
      </c>
      <c r="F1702" s="4" t="s">
        <v>9</v>
      </c>
      <c r="G1702" s="1" t="str">
        <f>_xlfn.XLOOKUP(tblSales[[#This Row],[Product Code]],tblProducts[Code],tblProducts[Product / Service Name],"⚠ Unknown")</f>
        <v>Casual Shirt</v>
      </c>
      <c r="H1702" s="1" t="str">
        <f>_xlfn.XLOOKUP(tblSales[[#This Row],[Product Code]],tblProducts[Code],tblProducts[Category],"")</f>
        <v>Apparel &amp; Footwear</v>
      </c>
      <c r="I1702" s="4">
        <v>3</v>
      </c>
      <c r="J1702" s="5">
        <f>_xlfn.XLOOKUP(tblSales[[#This Row],[Product Code]],tblProducts[Code],tblProducts[Selling Price (excl. VAT)],0)</f>
        <v>120000</v>
      </c>
      <c r="K1702" s="5">
        <f>tblSales[[#This Row],[Qty]]*tblSales[[#This Row],[Unit Price]]</f>
        <v>360000</v>
      </c>
      <c r="L1702" s="5">
        <f>ROUND(tblSales[[#This Row],[DPP (excl. VAT)]]*VATEff,0)</f>
        <v>39600</v>
      </c>
      <c r="M1702" s="5">
        <f>tblSales[[#This Row],[DPP (excl. VAT)]]+tblSales[[#This Row],[Output VAT]]</f>
        <v>399600</v>
      </c>
      <c r="N1702" s="5">
        <f>tblSales[[#This Row],[Qty]]*_xlfn.XLOOKUP(tblSales[[#This Row],[Product Code]],tblProducts[Code],tblProducts[Unit Cost],0)</f>
        <v>216000</v>
      </c>
      <c r="O1702" s="4" t="s">
        <v>4866</v>
      </c>
      <c r="P1702" s="4" t="s">
        <v>4860</v>
      </c>
      <c r="Q1702" s="1" t="str">
        <f>_xlfn.XLOOKUP(tblSales[[#This Row],[Channel Code]],tblChannels[Channel Code],tblChannels[Channel Name],"")</f>
        <v>In-store</v>
      </c>
      <c r="R1702" s="1">
        <f>MONTH(tblSales[[#This Row],[Date]])</f>
        <v>4</v>
      </c>
    </row>
    <row r="1703" spans="2:18" x14ac:dyDescent="0.35">
      <c r="B1703" s="113">
        <v>46123</v>
      </c>
      <c r="C1703" s="4" t="s">
        <v>1151</v>
      </c>
      <c r="D1703" s="4" t="s">
        <v>4568</v>
      </c>
      <c r="E1703" s="1" t="str">
        <f>_xlfn.XLOOKUP(tblSales[[#This Row],[Customer ID]],tblCustomers[Customer ID],tblCustomers[Customer Name],"⚠ Unknown")</f>
        <v>Walk-in Customer</v>
      </c>
      <c r="F1703" s="4" t="s">
        <v>8</v>
      </c>
      <c r="G1703" s="1" t="str">
        <f>_xlfn.XLOOKUP(tblSales[[#This Row],[Product Code]],tblProducts[Code],tblProducts[Product / Service Name],"⚠ Unknown")</f>
        <v>Casual Shorts</v>
      </c>
      <c r="H1703" s="1" t="str">
        <f>_xlfn.XLOOKUP(tblSales[[#This Row],[Product Code]],tblProducts[Code],tblProducts[Category],"")</f>
        <v>Accessories &amp; Basics</v>
      </c>
      <c r="I1703" s="4">
        <v>3</v>
      </c>
      <c r="J1703" s="5">
        <f>_xlfn.XLOOKUP(tblSales[[#This Row],[Product Code]],tblProducts[Code],tblProducts[Selling Price (excl. VAT)],0)</f>
        <v>85000</v>
      </c>
      <c r="K1703" s="5">
        <f>tblSales[[#This Row],[Qty]]*tblSales[[#This Row],[Unit Price]]</f>
        <v>255000</v>
      </c>
      <c r="L1703" s="5">
        <f>ROUND(tblSales[[#This Row],[DPP (excl. VAT)]]*VATEff,0)</f>
        <v>28050</v>
      </c>
      <c r="M1703" s="5">
        <f>tblSales[[#This Row],[DPP (excl. VAT)]]+tblSales[[#This Row],[Output VAT]]</f>
        <v>283050</v>
      </c>
      <c r="N1703" s="5">
        <f>tblSales[[#This Row],[Qty]]*_xlfn.XLOOKUP(tblSales[[#This Row],[Product Code]],tblProducts[Code],tblProducts[Unit Cost],0)</f>
        <v>150000</v>
      </c>
      <c r="O1703" s="4" t="s">
        <v>4866</v>
      </c>
      <c r="P1703" s="4" t="s">
        <v>4860</v>
      </c>
      <c r="Q1703" s="1" t="str">
        <f>_xlfn.XLOOKUP(tblSales[[#This Row],[Channel Code]],tblChannels[Channel Code],tblChannels[Channel Name],"")</f>
        <v>In-store</v>
      </c>
      <c r="R1703" s="1">
        <f>MONTH(tblSales[[#This Row],[Date]])</f>
        <v>4</v>
      </c>
    </row>
    <row r="1704" spans="2:18" x14ac:dyDescent="0.35">
      <c r="B1704" s="113">
        <v>46123</v>
      </c>
      <c r="C1704" s="4" t="s">
        <v>1152</v>
      </c>
      <c r="D1704" s="4" t="s">
        <v>4613</v>
      </c>
      <c r="E1704" s="1" t="str">
        <f>_xlfn.XLOOKUP(tblSales[[#This Row],[Customer ID]],tblCustomers[Customer ID],tblCustomers[Customer Name],"⚠ Unknown")</f>
        <v>PT Mega Prima Distribusi</v>
      </c>
      <c r="F1704" s="4" t="s">
        <v>7</v>
      </c>
      <c r="G1704" s="1" t="str">
        <f>_xlfn.XLOOKUP(tblSales[[#This Row],[Product Code]],tblProducts[Code],tblProducts[Product / Service Name],"⚠ Unknown")</f>
        <v>Premium Basic T-shirt</v>
      </c>
      <c r="H1704" s="1" t="str">
        <f>_xlfn.XLOOKUP(tblSales[[#This Row],[Product Code]],tblProducts[Code],tblProducts[Category],"")</f>
        <v>Accessories &amp; Basics</v>
      </c>
      <c r="I1704" s="4">
        <v>80</v>
      </c>
      <c r="J1704" s="5">
        <f>_xlfn.XLOOKUP(tblSales[[#This Row],[Product Code]],tblProducts[Code],tblProducts[Selling Price (excl. VAT)],0)</f>
        <v>65000</v>
      </c>
      <c r="K1704" s="5">
        <f>tblSales[[#This Row],[Qty]]*tblSales[[#This Row],[Unit Price]]</f>
        <v>5200000</v>
      </c>
      <c r="L1704" s="5">
        <f>ROUND(tblSales[[#This Row],[DPP (excl. VAT)]]*VATEff,0)</f>
        <v>572000</v>
      </c>
      <c r="M1704" s="5">
        <f>tblSales[[#This Row],[DPP (excl. VAT)]]+tblSales[[#This Row],[Output VAT]]</f>
        <v>5772000</v>
      </c>
      <c r="N1704" s="5">
        <f>tblSales[[#This Row],[Qty]]*_xlfn.XLOOKUP(tblSales[[#This Row],[Product Code]],tblProducts[Code],tblProducts[Unit Cost],0)</f>
        <v>2960000</v>
      </c>
      <c r="O1704" s="4" t="s">
        <v>4867</v>
      </c>
      <c r="P1704" s="4" t="s">
        <v>4860</v>
      </c>
      <c r="Q1704" s="1" t="str">
        <f>_xlfn.XLOOKUP(tblSales[[#This Row],[Channel Code]],tblChannels[Channel Code],tblChannels[Channel Name],"")</f>
        <v>In-store</v>
      </c>
      <c r="R1704" s="1">
        <f>MONTH(tblSales[[#This Row],[Date]])</f>
        <v>4</v>
      </c>
    </row>
    <row r="1705" spans="2:18" x14ac:dyDescent="0.35">
      <c r="B1705" s="113">
        <v>46123</v>
      </c>
      <c r="C1705" s="4" t="s">
        <v>1153</v>
      </c>
      <c r="D1705" s="4" t="s">
        <v>4568</v>
      </c>
      <c r="E1705" s="1" t="str">
        <f>_xlfn.XLOOKUP(tblSales[[#This Row],[Customer ID]],tblCustomers[Customer ID],tblCustomers[Customer Name],"⚠ Unknown")</f>
        <v>Walk-in Customer</v>
      </c>
      <c r="F1705" s="4" t="s">
        <v>7</v>
      </c>
      <c r="G1705" s="1" t="str">
        <f>_xlfn.XLOOKUP(tblSales[[#This Row],[Product Code]],tblProducts[Code],tblProducts[Product / Service Name],"⚠ Unknown")</f>
        <v>Premium Basic T-shirt</v>
      </c>
      <c r="H1705" s="1" t="str">
        <f>_xlfn.XLOOKUP(tblSales[[#This Row],[Product Code]],tblProducts[Code],tblProducts[Category],"")</f>
        <v>Accessories &amp; Basics</v>
      </c>
      <c r="I1705" s="4">
        <v>1</v>
      </c>
      <c r="J1705" s="5">
        <f>_xlfn.XLOOKUP(tblSales[[#This Row],[Product Code]],tblProducts[Code],tblProducts[Selling Price (excl. VAT)],0)</f>
        <v>65000</v>
      </c>
      <c r="K1705" s="5">
        <f>tblSales[[#This Row],[Qty]]*tblSales[[#This Row],[Unit Price]]</f>
        <v>65000</v>
      </c>
      <c r="L1705" s="5">
        <f>ROUND(tblSales[[#This Row],[DPP (excl. VAT)]]*VATEff,0)</f>
        <v>7150</v>
      </c>
      <c r="M1705" s="5">
        <f>tblSales[[#This Row],[DPP (excl. VAT)]]+tblSales[[#This Row],[Output VAT]]</f>
        <v>72150</v>
      </c>
      <c r="N1705" s="5">
        <f>tblSales[[#This Row],[Qty]]*_xlfn.XLOOKUP(tblSales[[#This Row],[Product Code]],tblProducts[Code],tblProducts[Unit Cost],0)</f>
        <v>37000</v>
      </c>
      <c r="O1705" s="4" t="s">
        <v>4866</v>
      </c>
      <c r="P1705" s="4" t="s">
        <v>4861</v>
      </c>
      <c r="Q1705" s="1" t="str">
        <f>_xlfn.XLOOKUP(tblSales[[#This Row],[Channel Code]],tblChannels[Channel Code],tblChannels[Channel Name],"")</f>
        <v>Marketplace</v>
      </c>
      <c r="R1705" s="1">
        <f>MONTH(tblSales[[#This Row],[Date]])</f>
        <v>4</v>
      </c>
    </row>
    <row r="1706" spans="2:18" x14ac:dyDescent="0.35">
      <c r="B1706" s="113">
        <v>46124</v>
      </c>
      <c r="C1706" s="4" t="s">
        <v>1154</v>
      </c>
      <c r="D1706" s="4" t="s">
        <v>4568</v>
      </c>
      <c r="E1706" s="1" t="str">
        <f>_xlfn.XLOOKUP(tblSales[[#This Row],[Customer ID]],tblCustomers[Customer ID],tblCustomers[Customer Name],"⚠ Unknown")</f>
        <v>Walk-in Customer</v>
      </c>
      <c r="F1706" s="4" t="s">
        <v>10</v>
      </c>
      <c r="G1706" s="1" t="str">
        <f>_xlfn.XLOOKUP(tblSales[[#This Row],[Product Code]],tblProducts[Code],tblProducts[Product / Service Name],"⚠ Unknown")</f>
        <v>Chino Pants</v>
      </c>
      <c r="H1706" s="1" t="str">
        <f>_xlfn.XLOOKUP(tblSales[[#This Row],[Product Code]],tblProducts[Code],tblProducts[Category],"")</f>
        <v>Apparel &amp; Footwear</v>
      </c>
      <c r="I1706" s="4">
        <v>2</v>
      </c>
      <c r="J1706" s="5">
        <f>_xlfn.XLOOKUP(tblSales[[#This Row],[Product Code]],tblProducts[Code],tblProducts[Selling Price (excl. VAT)],0)</f>
        <v>150000</v>
      </c>
      <c r="K1706" s="5">
        <f>tblSales[[#This Row],[Qty]]*tblSales[[#This Row],[Unit Price]]</f>
        <v>300000</v>
      </c>
      <c r="L1706" s="5">
        <f>ROUND(tblSales[[#This Row],[DPP (excl. VAT)]]*VATEff,0)</f>
        <v>33000</v>
      </c>
      <c r="M1706" s="5">
        <f>tblSales[[#This Row],[DPP (excl. VAT)]]+tblSales[[#This Row],[Output VAT]]</f>
        <v>333000</v>
      </c>
      <c r="N1706" s="5">
        <f>tblSales[[#This Row],[Qty]]*_xlfn.XLOOKUP(tblSales[[#This Row],[Product Code]],tblProducts[Code],tblProducts[Unit Cost],0)</f>
        <v>176000</v>
      </c>
      <c r="O1706" s="4" t="s">
        <v>4866</v>
      </c>
      <c r="P1706" s="4" t="s">
        <v>4860</v>
      </c>
      <c r="Q1706" s="1" t="str">
        <f>_xlfn.XLOOKUP(tblSales[[#This Row],[Channel Code]],tblChannels[Channel Code],tblChannels[Channel Name],"")</f>
        <v>In-store</v>
      </c>
      <c r="R1706" s="1">
        <f>MONTH(tblSales[[#This Row],[Date]])</f>
        <v>4</v>
      </c>
    </row>
    <row r="1707" spans="2:18" x14ac:dyDescent="0.35">
      <c r="B1707" s="113">
        <v>46124</v>
      </c>
      <c r="C1707" s="4" t="s">
        <v>1154</v>
      </c>
      <c r="D1707" s="4" t="s">
        <v>4568</v>
      </c>
      <c r="E1707" s="1" t="str">
        <f>_xlfn.XLOOKUP(tblSales[[#This Row],[Customer ID]],tblCustomers[Customer ID],tblCustomers[Customer Name],"⚠ Unknown")</f>
        <v>Walk-in Customer</v>
      </c>
      <c r="F1707" s="4" t="s">
        <v>7</v>
      </c>
      <c r="G1707" s="1" t="str">
        <f>_xlfn.XLOOKUP(tblSales[[#This Row],[Product Code]],tblProducts[Code],tblProducts[Product / Service Name],"⚠ Unknown")</f>
        <v>Premium Basic T-shirt</v>
      </c>
      <c r="H1707" s="1" t="str">
        <f>_xlfn.XLOOKUP(tblSales[[#This Row],[Product Code]],tblProducts[Code],tblProducts[Category],"")</f>
        <v>Accessories &amp; Basics</v>
      </c>
      <c r="I1707" s="4">
        <v>12</v>
      </c>
      <c r="J1707" s="5">
        <f>_xlfn.XLOOKUP(tblSales[[#This Row],[Product Code]],tblProducts[Code],tblProducts[Selling Price (excl. VAT)],0)</f>
        <v>65000</v>
      </c>
      <c r="K1707" s="5">
        <f>tblSales[[#This Row],[Qty]]*tblSales[[#This Row],[Unit Price]]</f>
        <v>780000</v>
      </c>
      <c r="L1707" s="5">
        <f>ROUND(tblSales[[#This Row],[DPP (excl. VAT)]]*VATEff,0)</f>
        <v>85800</v>
      </c>
      <c r="M1707" s="5">
        <f>tblSales[[#This Row],[DPP (excl. VAT)]]+tblSales[[#This Row],[Output VAT]]</f>
        <v>865800</v>
      </c>
      <c r="N1707" s="5">
        <f>tblSales[[#This Row],[Qty]]*_xlfn.XLOOKUP(tblSales[[#This Row],[Product Code]],tblProducts[Code],tblProducts[Unit Cost],0)</f>
        <v>444000</v>
      </c>
      <c r="O1707" s="4" t="s">
        <v>4866</v>
      </c>
      <c r="P1707" s="4" t="s">
        <v>4860</v>
      </c>
      <c r="Q1707" s="1" t="str">
        <f>_xlfn.XLOOKUP(tblSales[[#This Row],[Channel Code]],tblChannels[Channel Code],tblChannels[Channel Name],"")</f>
        <v>In-store</v>
      </c>
      <c r="R1707" s="1">
        <f>MONTH(tblSales[[#This Row],[Date]])</f>
        <v>4</v>
      </c>
    </row>
    <row r="1708" spans="2:18" x14ac:dyDescent="0.35">
      <c r="B1708" s="113">
        <v>46124</v>
      </c>
      <c r="C1708" s="4" t="s">
        <v>1154</v>
      </c>
      <c r="D1708" s="4" t="s">
        <v>4568</v>
      </c>
      <c r="E1708" s="1" t="str">
        <f>_xlfn.XLOOKUP(tblSales[[#This Row],[Customer ID]],tblCustomers[Customer ID],tblCustomers[Customer Name],"⚠ Unknown")</f>
        <v>Walk-in Customer</v>
      </c>
      <c r="F1708" s="4" t="s">
        <v>11</v>
      </c>
      <c r="G1708" s="1" t="str">
        <f>_xlfn.XLOOKUP(tblSales[[#This Row],[Product Code]],tblProducts[Code],tblProducts[Product / Service Name],"⚠ Unknown")</f>
        <v>Sneakers</v>
      </c>
      <c r="H1708" s="1" t="str">
        <f>_xlfn.XLOOKUP(tblSales[[#This Row],[Product Code]],tblProducts[Code],tblProducts[Category],"")</f>
        <v>Apparel &amp; Footwear</v>
      </c>
      <c r="I1708" s="4">
        <v>4</v>
      </c>
      <c r="J1708" s="5">
        <f>_xlfn.XLOOKUP(tblSales[[#This Row],[Product Code]],tblProducts[Code],tblProducts[Selling Price (excl. VAT)],0)</f>
        <v>250000</v>
      </c>
      <c r="K1708" s="5">
        <f>tblSales[[#This Row],[Qty]]*tblSales[[#This Row],[Unit Price]]</f>
        <v>1000000</v>
      </c>
      <c r="L1708" s="5">
        <f>ROUND(tblSales[[#This Row],[DPP (excl. VAT)]]*VATEff,0)</f>
        <v>110000</v>
      </c>
      <c r="M1708" s="5">
        <f>tblSales[[#This Row],[DPP (excl. VAT)]]+tblSales[[#This Row],[Output VAT]]</f>
        <v>1110000</v>
      </c>
      <c r="N1708" s="5">
        <f>tblSales[[#This Row],[Qty]]*_xlfn.XLOOKUP(tblSales[[#This Row],[Product Code]],tblProducts[Code],tblProducts[Unit Cost],0)</f>
        <v>620000</v>
      </c>
      <c r="O1708" s="4" t="s">
        <v>4866</v>
      </c>
      <c r="P1708" s="4" t="s">
        <v>4860</v>
      </c>
      <c r="Q1708" s="1" t="str">
        <f>_xlfn.XLOOKUP(tblSales[[#This Row],[Channel Code]],tblChannels[Channel Code],tblChannels[Channel Name],"")</f>
        <v>In-store</v>
      </c>
      <c r="R1708" s="1">
        <f>MONTH(tblSales[[#This Row],[Date]])</f>
        <v>4</v>
      </c>
    </row>
    <row r="1709" spans="2:18" x14ac:dyDescent="0.35">
      <c r="B1709" s="113">
        <v>46124</v>
      </c>
      <c r="C1709" s="4" t="s">
        <v>1155</v>
      </c>
      <c r="D1709" s="4" t="s">
        <v>4568</v>
      </c>
      <c r="E1709" s="1" t="str">
        <f>_xlfn.XLOOKUP(tblSales[[#This Row],[Customer ID]],tblCustomers[Customer ID],tblCustomers[Customer Name],"⚠ Unknown")</f>
        <v>Walk-in Customer</v>
      </c>
      <c r="F1709" s="4" t="s">
        <v>9</v>
      </c>
      <c r="G1709" s="1" t="str">
        <f>_xlfn.XLOOKUP(tblSales[[#This Row],[Product Code]],tblProducts[Code],tblProducts[Product / Service Name],"⚠ Unknown")</f>
        <v>Casual Shirt</v>
      </c>
      <c r="H1709" s="1" t="str">
        <f>_xlfn.XLOOKUP(tblSales[[#This Row],[Product Code]],tblProducts[Code],tblProducts[Category],"")</f>
        <v>Apparel &amp; Footwear</v>
      </c>
      <c r="I1709" s="4">
        <v>9</v>
      </c>
      <c r="J1709" s="5">
        <f>_xlfn.XLOOKUP(tblSales[[#This Row],[Product Code]],tblProducts[Code],tblProducts[Selling Price (excl. VAT)],0)</f>
        <v>120000</v>
      </c>
      <c r="K1709" s="5">
        <f>tblSales[[#This Row],[Qty]]*tblSales[[#This Row],[Unit Price]]</f>
        <v>1080000</v>
      </c>
      <c r="L1709" s="5">
        <f>ROUND(tblSales[[#This Row],[DPP (excl. VAT)]]*VATEff,0)</f>
        <v>118800</v>
      </c>
      <c r="M1709" s="5">
        <f>tblSales[[#This Row],[DPP (excl. VAT)]]+tblSales[[#This Row],[Output VAT]]</f>
        <v>1198800</v>
      </c>
      <c r="N1709" s="5">
        <f>tblSales[[#This Row],[Qty]]*_xlfn.XLOOKUP(tblSales[[#This Row],[Product Code]],tblProducts[Code],tblProducts[Unit Cost],0)</f>
        <v>648000</v>
      </c>
      <c r="O1709" s="4" t="s">
        <v>4866</v>
      </c>
      <c r="P1709" s="4" t="s">
        <v>4860</v>
      </c>
      <c r="Q1709" s="1" t="str">
        <f>_xlfn.XLOOKUP(tblSales[[#This Row],[Channel Code]],tblChannels[Channel Code],tblChannels[Channel Name],"")</f>
        <v>In-store</v>
      </c>
      <c r="R1709" s="1">
        <f>MONTH(tblSales[[#This Row],[Date]])</f>
        <v>4</v>
      </c>
    </row>
    <row r="1710" spans="2:18" x14ac:dyDescent="0.35">
      <c r="B1710" s="113">
        <v>46124</v>
      </c>
      <c r="C1710" s="4" t="s">
        <v>1155</v>
      </c>
      <c r="D1710" s="4" t="s">
        <v>4568</v>
      </c>
      <c r="E1710" s="1" t="str">
        <f>_xlfn.XLOOKUP(tblSales[[#This Row],[Customer ID]],tblCustomers[Customer ID],tblCustomers[Customer Name],"⚠ Unknown")</f>
        <v>Walk-in Customer</v>
      </c>
      <c r="F1710" s="4" t="s">
        <v>12</v>
      </c>
      <c r="G1710" s="1" t="str">
        <f>_xlfn.XLOOKUP(tblSales[[#This Row],[Product Code]],tblProducts[Code],tblProducts[Product / Service Name],"⚠ Unknown")</f>
        <v>Bomber Jacket</v>
      </c>
      <c r="H1710" s="1" t="str">
        <f>_xlfn.XLOOKUP(tblSales[[#This Row],[Product Code]],tblProducts[Code],tblProducts[Category],"")</f>
        <v>Apparel &amp; Footwear</v>
      </c>
      <c r="I1710" s="4">
        <v>4</v>
      </c>
      <c r="J1710" s="5">
        <f>_xlfn.XLOOKUP(tblSales[[#This Row],[Product Code]],tblProducts[Code],tblProducts[Selling Price (excl. VAT)],0)</f>
        <v>350000</v>
      </c>
      <c r="K1710" s="5">
        <f>tblSales[[#This Row],[Qty]]*tblSales[[#This Row],[Unit Price]]</f>
        <v>1400000</v>
      </c>
      <c r="L1710" s="5">
        <f>ROUND(tblSales[[#This Row],[DPP (excl. VAT)]]*VATEff,0)</f>
        <v>154000</v>
      </c>
      <c r="M1710" s="5">
        <f>tblSales[[#This Row],[DPP (excl. VAT)]]+tblSales[[#This Row],[Output VAT]]</f>
        <v>1554000</v>
      </c>
      <c r="N1710" s="5">
        <f>tblSales[[#This Row],[Qty]]*_xlfn.XLOOKUP(tblSales[[#This Row],[Product Code]],tblProducts[Code],tblProducts[Unit Cost],0)</f>
        <v>840000</v>
      </c>
      <c r="O1710" s="4" t="s">
        <v>4866</v>
      </c>
      <c r="P1710" s="4" t="s">
        <v>4860</v>
      </c>
      <c r="Q1710" s="1" t="str">
        <f>_xlfn.XLOOKUP(tblSales[[#This Row],[Channel Code]],tblChannels[Channel Code],tblChannels[Channel Name],"")</f>
        <v>In-store</v>
      </c>
      <c r="R1710" s="1">
        <f>MONTH(tblSales[[#This Row],[Date]])</f>
        <v>4</v>
      </c>
    </row>
    <row r="1711" spans="2:18" x14ac:dyDescent="0.35">
      <c r="B1711" s="113">
        <v>46124</v>
      </c>
      <c r="C1711" s="4" t="s">
        <v>1155</v>
      </c>
      <c r="D1711" s="4" t="s">
        <v>4568</v>
      </c>
      <c r="E1711" s="1" t="str">
        <f>_xlfn.XLOOKUP(tblSales[[#This Row],[Customer ID]],tblCustomers[Customer ID],tblCustomers[Customer Name],"⚠ Unknown")</f>
        <v>Walk-in Customer</v>
      </c>
      <c r="F1711" s="4" t="s">
        <v>15</v>
      </c>
      <c r="G1711" s="1" t="str">
        <f>_xlfn.XLOOKUP(tblSales[[#This Row],[Product Code]],tblProducts[Code],tblProducts[Product / Service Name],"⚠ Unknown")</f>
        <v>Wireless Earbuds Pro</v>
      </c>
      <c r="H1711" s="1" t="str">
        <f>_xlfn.XLOOKUP(tblSales[[#This Row],[Product Code]],tblProducts[Code],tblProducts[Category],"")</f>
        <v>Bags &amp; Gadgets</v>
      </c>
      <c r="I1711" s="4">
        <v>1</v>
      </c>
      <c r="J1711" s="5">
        <f>_xlfn.XLOOKUP(tblSales[[#This Row],[Product Code]],tblProducts[Code],tblProducts[Selling Price (excl. VAT)],0)</f>
        <v>1250000</v>
      </c>
      <c r="K1711" s="5">
        <f>tblSales[[#This Row],[Qty]]*tblSales[[#This Row],[Unit Price]]</f>
        <v>1250000</v>
      </c>
      <c r="L1711" s="5">
        <f>ROUND(tblSales[[#This Row],[DPP (excl. VAT)]]*VATEff,0)</f>
        <v>137500</v>
      </c>
      <c r="M1711" s="5">
        <f>tblSales[[#This Row],[DPP (excl. VAT)]]+tblSales[[#This Row],[Output VAT]]</f>
        <v>1387500</v>
      </c>
      <c r="N1711" s="5">
        <f>tblSales[[#This Row],[Qty]]*_xlfn.XLOOKUP(tblSales[[#This Row],[Product Code]],tblProducts[Code],tblProducts[Unit Cost],0)</f>
        <v>820000</v>
      </c>
      <c r="O1711" s="4" t="s">
        <v>4866</v>
      </c>
      <c r="P1711" s="4" t="s">
        <v>4860</v>
      </c>
      <c r="Q1711" s="1" t="str">
        <f>_xlfn.XLOOKUP(tblSales[[#This Row],[Channel Code]],tblChannels[Channel Code],tblChannels[Channel Name],"")</f>
        <v>In-store</v>
      </c>
      <c r="R1711" s="1">
        <f>MONTH(tblSales[[#This Row],[Date]])</f>
        <v>4</v>
      </c>
    </row>
    <row r="1712" spans="2:18" x14ac:dyDescent="0.35">
      <c r="B1712" s="113">
        <v>46124</v>
      </c>
      <c r="C1712" s="4" t="s">
        <v>1156</v>
      </c>
      <c r="D1712" s="4" t="s">
        <v>4568</v>
      </c>
      <c r="E1712" s="1" t="str">
        <f>_xlfn.XLOOKUP(tblSales[[#This Row],[Customer ID]],tblCustomers[Customer ID],tblCustomers[Customer Name],"⚠ Unknown")</f>
        <v>Walk-in Customer</v>
      </c>
      <c r="F1712" s="4" t="s">
        <v>8</v>
      </c>
      <c r="G1712" s="1" t="str">
        <f>_xlfn.XLOOKUP(tblSales[[#This Row],[Product Code]],tblProducts[Code],tblProducts[Product / Service Name],"⚠ Unknown")</f>
        <v>Casual Shorts</v>
      </c>
      <c r="H1712" s="1" t="str">
        <f>_xlfn.XLOOKUP(tblSales[[#This Row],[Product Code]],tblProducts[Code],tblProducts[Category],"")</f>
        <v>Accessories &amp; Basics</v>
      </c>
      <c r="I1712" s="4">
        <v>3</v>
      </c>
      <c r="J1712" s="5">
        <f>_xlfn.XLOOKUP(tblSales[[#This Row],[Product Code]],tblProducts[Code],tblProducts[Selling Price (excl. VAT)],0)</f>
        <v>85000</v>
      </c>
      <c r="K1712" s="5">
        <f>tblSales[[#This Row],[Qty]]*tblSales[[#This Row],[Unit Price]]</f>
        <v>255000</v>
      </c>
      <c r="L1712" s="5">
        <f>ROUND(tblSales[[#This Row],[DPP (excl. VAT)]]*VATEff,0)</f>
        <v>28050</v>
      </c>
      <c r="M1712" s="5">
        <f>tblSales[[#This Row],[DPP (excl. VAT)]]+tblSales[[#This Row],[Output VAT]]</f>
        <v>283050</v>
      </c>
      <c r="N1712" s="5">
        <f>tblSales[[#This Row],[Qty]]*_xlfn.XLOOKUP(tblSales[[#This Row],[Product Code]],tblProducts[Code],tblProducts[Unit Cost],0)</f>
        <v>150000</v>
      </c>
      <c r="O1712" s="4" t="s">
        <v>4865</v>
      </c>
      <c r="P1712" s="4" t="s">
        <v>4860</v>
      </c>
      <c r="Q1712" s="1" t="str">
        <f>_xlfn.XLOOKUP(tblSales[[#This Row],[Channel Code]],tblChannels[Channel Code],tblChannels[Channel Name],"")</f>
        <v>In-store</v>
      </c>
      <c r="R1712" s="1">
        <f>MONTH(tblSales[[#This Row],[Date]])</f>
        <v>4</v>
      </c>
    </row>
    <row r="1713" spans="2:18" x14ac:dyDescent="0.35">
      <c r="B1713" s="113">
        <v>46124</v>
      </c>
      <c r="C1713" s="4" t="s">
        <v>1157</v>
      </c>
      <c r="D1713" s="4" t="s">
        <v>4568</v>
      </c>
      <c r="E1713" s="1" t="str">
        <f>_xlfn.XLOOKUP(tblSales[[#This Row],[Customer ID]],tblCustomers[Customer ID],tblCustomers[Customer Name],"⚠ Unknown")</f>
        <v>Walk-in Customer</v>
      </c>
      <c r="F1713" s="4" t="s">
        <v>13</v>
      </c>
      <c r="G1713" s="1" t="str">
        <f>_xlfn.XLOOKUP(tblSales[[#This Row],[Product Code]],tblProducts[Code],tblProducts[Product / Service Name],"⚠ Unknown")</f>
        <v>Backpack</v>
      </c>
      <c r="H1713" s="1" t="str">
        <f>_xlfn.XLOOKUP(tblSales[[#This Row],[Product Code]],tblProducts[Code],tblProducts[Category],"")</f>
        <v>Bags &amp; Gadgets</v>
      </c>
      <c r="I1713" s="4">
        <v>1</v>
      </c>
      <c r="J1713" s="5">
        <f>_xlfn.XLOOKUP(tblSales[[#This Row],[Product Code]],tblProducts[Code],tblProducts[Selling Price (excl. VAT)],0)</f>
        <v>500000</v>
      </c>
      <c r="K1713" s="5">
        <f>tblSales[[#This Row],[Qty]]*tblSales[[#This Row],[Unit Price]]</f>
        <v>500000</v>
      </c>
      <c r="L1713" s="5">
        <f>ROUND(tblSales[[#This Row],[DPP (excl. VAT)]]*VATEff,0)</f>
        <v>55000</v>
      </c>
      <c r="M1713" s="5">
        <f>tblSales[[#This Row],[DPP (excl. VAT)]]+tblSales[[#This Row],[Output VAT]]</f>
        <v>555000</v>
      </c>
      <c r="N1713" s="5">
        <f>tblSales[[#This Row],[Qty]]*_xlfn.XLOOKUP(tblSales[[#This Row],[Product Code]],tblProducts[Code],tblProducts[Unit Cost],0)</f>
        <v>290000</v>
      </c>
      <c r="O1713" s="4" t="s">
        <v>4865</v>
      </c>
      <c r="P1713" s="4" t="s">
        <v>4860</v>
      </c>
      <c r="Q1713" s="1" t="str">
        <f>_xlfn.XLOOKUP(tblSales[[#This Row],[Channel Code]],tblChannels[Channel Code],tblChannels[Channel Name],"")</f>
        <v>In-store</v>
      </c>
      <c r="R1713" s="1">
        <f>MONTH(tblSales[[#This Row],[Date]])</f>
        <v>4</v>
      </c>
    </row>
    <row r="1714" spans="2:18" x14ac:dyDescent="0.35">
      <c r="B1714" s="113">
        <v>46124</v>
      </c>
      <c r="C1714" s="4" t="s">
        <v>1158</v>
      </c>
      <c r="D1714" s="4" t="s">
        <v>4568</v>
      </c>
      <c r="E1714" s="1" t="str">
        <f>_xlfn.XLOOKUP(tblSales[[#This Row],[Customer ID]],tblCustomers[Customer ID],tblCustomers[Customer Name],"⚠ Unknown")</f>
        <v>Walk-in Customer</v>
      </c>
      <c r="F1714" s="4" t="s">
        <v>8</v>
      </c>
      <c r="G1714" s="1" t="str">
        <f>_xlfn.XLOOKUP(tblSales[[#This Row],[Product Code]],tblProducts[Code],tblProducts[Product / Service Name],"⚠ Unknown")</f>
        <v>Casual Shorts</v>
      </c>
      <c r="H1714" s="1" t="str">
        <f>_xlfn.XLOOKUP(tblSales[[#This Row],[Product Code]],tblProducts[Code],tblProducts[Category],"")</f>
        <v>Accessories &amp; Basics</v>
      </c>
      <c r="I1714" s="4">
        <v>6</v>
      </c>
      <c r="J1714" s="5">
        <f>_xlfn.XLOOKUP(tblSales[[#This Row],[Product Code]],tblProducts[Code],tblProducts[Selling Price (excl. VAT)],0)</f>
        <v>85000</v>
      </c>
      <c r="K1714" s="5">
        <f>tblSales[[#This Row],[Qty]]*tblSales[[#This Row],[Unit Price]]</f>
        <v>510000</v>
      </c>
      <c r="L1714" s="5">
        <f>ROUND(tblSales[[#This Row],[DPP (excl. VAT)]]*VATEff,0)</f>
        <v>56100</v>
      </c>
      <c r="M1714" s="5">
        <f>tblSales[[#This Row],[DPP (excl. VAT)]]+tblSales[[#This Row],[Output VAT]]</f>
        <v>566100</v>
      </c>
      <c r="N1714" s="5">
        <f>tblSales[[#This Row],[Qty]]*_xlfn.XLOOKUP(tblSales[[#This Row],[Product Code]],tblProducts[Code],tblProducts[Unit Cost],0)</f>
        <v>300000</v>
      </c>
      <c r="O1714" s="4" t="s">
        <v>4866</v>
      </c>
      <c r="P1714" s="4" t="s">
        <v>4860</v>
      </c>
      <c r="Q1714" s="1" t="str">
        <f>_xlfn.XLOOKUP(tblSales[[#This Row],[Channel Code]],tblChannels[Channel Code],tblChannels[Channel Name],"")</f>
        <v>In-store</v>
      </c>
      <c r="R1714" s="1">
        <f>MONTH(tblSales[[#This Row],[Date]])</f>
        <v>4</v>
      </c>
    </row>
    <row r="1715" spans="2:18" x14ac:dyDescent="0.35">
      <c r="B1715" s="113">
        <v>46124</v>
      </c>
      <c r="C1715" s="4" t="s">
        <v>1159</v>
      </c>
      <c r="D1715" s="4" t="s">
        <v>4568</v>
      </c>
      <c r="E1715" s="1" t="str">
        <f>_xlfn.XLOOKUP(tblSales[[#This Row],[Customer ID]],tblCustomers[Customer ID],tblCustomers[Customer Name],"⚠ Unknown")</f>
        <v>Walk-in Customer</v>
      </c>
      <c r="F1715" s="4" t="s">
        <v>9</v>
      </c>
      <c r="G1715" s="1" t="str">
        <f>_xlfn.XLOOKUP(tblSales[[#This Row],[Product Code]],tblProducts[Code],tblProducts[Product / Service Name],"⚠ Unknown")</f>
        <v>Casual Shirt</v>
      </c>
      <c r="H1715" s="1" t="str">
        <f>_xlfn.XLOOKUP(tblSales[[#This Row],[Product Code]],tblProducts[Code],tblProducts[Category],"")</f>
        <v>Apparel &amp; Footwear</v>
      </c>
      <c r="I1715" s="4">
        <v>6</v>
      </c>
      <c r="J1715" s="5">
        <f>_xlfn.XLOOKUP(tblSales[[#This Row],[Product Code]],tblProducts[Code],tblProducts[Selling Price (excl. VAT)],0)</f>
        <v>120000</v>
      </c>
      <c r="K1715" s="5">
        <f>tblSales[[#This Row],[Qty]]*tblSales[[#This Row],[Unit Price]]</f>
        <v>720000</v>
      </c>
      <c r="L1715" s="5">
        <f>ROUND(tblSales[[#This Row],[DPP (excl. VAT)]]*VATEff,0)</f>
        <v>79200</v>
      </c>
      <c r="M1715" s="5">
        <f>tblSales[[#This Row],[DPP (excl. VAT)]]+tblSales[[#This Row],[Output VAT]]</f>
        <v>799200</v>
      </c>
      <c r="N1715" s="5">
        <f>tblSales[[#This Row],[Qty]]*_xlfn.XLOOKUP(tblSales[[#This Row],[Product Code]],tblProducts[Code],tblProducts[Unit Cost],0)</f>
        <v>432000</v>
      </c>
      <c r="O1715" s="4" t="s">
        <v>4866</v>
      </c>
      <c r="P1715" s="4" t="s">
        <v>4861</v>
      </c>
      <c r="Q1715" s="1" t="str">
        <f>_xlfn.XLOOKUP(tblSales[[#This Row],[Channel Code]],tblChannels[Channel Code],tblChannels[Channel Name],"")</f>
        <v>Marketplace</v>
      </c>
      <c r="R1715" s="1">
        <f>MONTH(tblSales[[#This Row],[Date]])</f>
        <v>4</v>
      </c>
    </row>
    <row r="1716" spans="2:18" x14ac:dyDescent="0.35">
      <c r="B1716" s="113">
        <v>46124</v>
      </c>
      <c r="C1716" s="4" t="s">
        <v>1160</v>
      </c>
      <c r="D1716" s="4" t="s">
        <v>4568</v>
      </c>
      <c r="E1716" s="1" t="str">
        <f>_xlfn.XLOOKUP(tblSales[[#This Row],[Customer ID]],tblCustomers[Customer ID],tblCustomers[Customer Name],"⚠ Unknown")</f>
        <v>Walk-in Customer</v>
      </c>
      <c r="F1716" s="4" t="s">
        <v>10</v>
      </c>
      <c r="G1716" s="1" t="str">
        <f>_xlfn.XLOOKUP(tblSales[[#This Row],[Product Code]],tblProducts[Code],tblProducts[Product / Service Name],"⚠ Unknown")</f>
        <v>Chino Pants</v>
      </c>
      <c r="H1716" s="1" t="str">
        <f>_xlfn.XLOOKUP(tblSales[[#This Row],[Product Code]],tblProducts[Code],tblProducts[Category],"")</f>
        <v>Apparel &amp; Footwear</v>
      </c>
      <c r="I1716" s="4">
        <v>6</v>
      </c>
      <c r="J1716" s="5">
        <f>_xlfn.XLOOKUP(tblSales[[#This Row],[Product Code]],tblProducts[Code],tblProducts[Selling Price (excl. VAT)],0)</f>
        <v>150000</v>
      </c>
      <c r="K1716" s="5">
        <f>tblSales[[#This Row],[Qty]]*tblSales[[#This Row],[Unit Price]]</f>
        <v>900000</v>
      </c>
      <c r="L1716" s="5">
        <f>ROUND(tblSales[[#This Row],[DPP (excl. VAT)]]*VATEff,0)</f>
        <v>99000</v>
      </c>
      <c r="M1716" s="5">
        <f>tblSales[[#This Row],[DPP (excl. VAT)]]+tblSales[[#This Row],[Output VAT]]</f>
        <v>999000</v>
      </c>
      <c r="N1716" s="5">
        <f>tblSales[[#This Row],[Qty]]*_xlfn.XLOOKUP(tblSales[[#This Row],[Product Code]],tblProducts[Code],tblProducts[Unit Cost],0)</f>
        <v>528000</v>
      </c>
      <c r="O1716" s="4" t="s">
        <v>4865</v>
      </c>
      <c r="P1716" s="4" t="s">
        <v>4860</v>
      </c>
      <c r="Q1716" s="1" t="str">
        <f>_xlfn.XLOOKUP(tblSales[[#This Row],[Channel Code]],tblChannels[Channel Code],tblChannels[Channel Name],"")</f>
        <v>In-store</v>
      </c>
      <c r="R1716" s="1">
        <f>MONTH(tblSales[[#This Row],[Date]])</f>
        <v>4</v>
      </c>
    </row>
    <row r="1717" spans="2:18" x14ac:dyDescent="0.35">
      <c r="B1717" s="113">
        <v>46124</v>
      </c>
      <c r="C1717" s="4" t="s">
        <v>1161</v>
      </c>
      <c r="D1717" s="4" t="s">
        <v>4585</v>
      </c>
      <c r="E1717" s="1" t="str">
        <f>_xlfn.XLOOKUP(tblSales[[#This Row],[Customer ID]],tblCustomers[Customer ID],tblCustomers[Customer Name],"⚠ Unknown")</f>
        <v>CV Mitra Karya Mandiri</v>
      </c>
      <c r="F1717" s="4" t="s">
        <v>9</v>
      </c>
      <c r="G1717" s="1" t="str">
        <f>_xlfn.XLOOKUP(tblSales[[#This Row],[Product Code]],tblProducts[Code],tblProducts[Product / Service Name],"⚠ Unknown")</f>
        <v>Casual Shirt</v>
      </c>
      <c r="H1717" s="1" t="str">
        <f>_xlfn.XLOOKUP(tblSales[[#This Row],[Product Code]],tblProducts[Code],tblProducts[Category],"")</f>
        <v>Apparel &amp; Footwear</v>
      </c>
      <c r="I1717" s="4">
        <v>40</v>
      </c>
      <c r="J1717" s="5">
        <f>_xlfn.XLOOKUP(tblSales[[#This Row],[Product Code]],tblProducts[Code],tblProducts[Selling Price (excl. VAT)],0)</f>
        <v>120000</v>
      </c>
      <c r="K1717" s="5">
        <f>tblSales[[#This Row],[Qty]]*tblSales[[#This Row],[Unit Price]]</f>
        <v>4800000</v>
      </c>
      <c r="L1717" s="5">
        <f>ROUND(tblSales[[#This Row],[DPP (excl. VAT)]]*VATEff,0)</f>
        <v>528000</v>
      </c>
      <c r="M1717" s="5">
        <f>tblSales[[#This Row],[DPP (excl. VAT)]]+tblSales[[#This Row],[Output VAT]]</f>
        <v>5328000</v>
      </c>
      <c r="N1717" s="5">
        <f>tblSales[[#This Row],[Qty]]*_xlfn.XLOOKUP(tblSales[[#This Row],[Product Code]],tblProducts[Code],tblProducts[Unit Cost],0)</f>
        <v>2880000</v>
      </c>
      <c r="O1717" s="4" t="s">
        <v>4867</v>
      </c>
      <c r="P1717" s="4" t="s">
        <v>4860</v>
      </c>
      <c r="Q1717" s="1" t="str">
        <f>_xlfn.XLOOKUP(tblSales[[#This Row],[Channel Code]],tblChannels[Channel Code],tblChannels[Channel Name],"")</f>
        <v>In-store</v>
      </c>
      <c r="R1717" s="1">
        <f>MONTH(tblSales[[#This Row],[Date]])</f>
        <v>4</v>
      </c>
    </row>
    <row r="1718" spans="2:18" x14ac:dyDescent="0.35">
      <c r="B1718" s="113">
        <v>46124</v>
      </c>
      <c r="C1718" s="4" t="s">
        <v>1162</v>
      </c>
      <c r="D1718" s="4" t="s">
        <v>4568</v>
      </c>
      <c r="E1718" s="1" t="str">
        <f>_xlfn.XLOOKUP(tblSales[[#This Row],[Customer ID]],tblCustomers[Customer ID],tblCustomers[Customer Name],"⚠ Unknown")</f>
        <v>Walk-in Customer</v>
      </c>
      <c r="F1718" s="4" t="s">
        <v>8</v>
      </c>
      <c r="G1718" s="1" t="str">
        <f>_xlfn.XLOOKUP(tblSales[[#This Row],[Product Code]],tblProducts[Code],tblProducts[Product / Service Name],"⚠ Unknown")</f>
        <v>Casual Shorts</v>
      </c>
      <c r="H1718" s="1" t="str">
        <f>_xlfn.XLOOKUP(tblSales[[#This Row],[Product Code]],tblProducts[Code],tblProducts[Category],"")</f>
        <v>Accessories &amp; Basics</v>
      </c>
      <c r="I1718" s="4">
        <v>9</v>
      </c>
      <c r="J1718" s="5">
        <f>_xlfn.XLOOKUP(tblSales[[#This Row],[Product Code]],tblProducts[Code],tblProducts[Selling Price (excl. VAT)],0)</f>
        <v>85000</v>
      </c>
      <c r="K1718" s="5">
        <f>tblSales[[#This Row],[Qty]]*tblSales[[#This Row],[Unit Price]]</f>
        <v>765000</v>
      </c>
      <c r="L1718" s="5">
        <f>ROUND(tblSales[[#This Row],[DPP (excl. VAT)]]*VATEff,0)</f>
        <v>84150</v>
      </c>
      <c r="M1718" s="5">
        <f>tblSales[[#This Row],[DPP (excl. VAT)]]+tblSales[[#This Row],[Output VAT]]</f>
        <v>849150</v>
      </c>
      <c r="N1718" s="5">
        <f>tblSales[[#This Row],[Qty]]*_xlfn.XLOOKUP(tblSales[[#This Row],[Product Code]],tblProducts[Code],tblProducts[Unit Cost],0)</f>
        <v>450000</v>
      </c>
      <c r="O1718" s="4" t="s">
        <v>4865</v>
      </c>
      <c r="P1718" s="4" t="s">
        <v>4860</v>
      </c>
      <c r="Q1718" s="1" t="str">
        <f>_xlfn.XLOOKUP(tblSales[[#This Row],[Channel Code]],tblChannels[Channel Code],tblChannels[Channel Name],"")</f>
        <v>In-store</v>
      </c>
      <c r="R1718" s="1">
        <f>MONTH(tblSales[[#This Row],[Date]])</f>
        <v>4</v>
      </c>
    </row>
    <row r="1719" spans="2:18" x14ac:dyDescent="0.35">
      <c r="B1719" s="113">
        <v>46124</v>
      </c>
      <c r="C1719" s="4" t="s">
        <v>1162</v>
      </c>
      <c r="D1719" s="4" t="s">
        <v>4568</v>
      </c>
      <c r="E1719" s="1" t="str">
        <f>_xlfn.XLOOKUP(tblSales[[#This Row],[Customer ID]],tblCustomers[Customer ID],tblCustomers[Customer Name],"⚠ Unknown")</f>
        <v>Walk-in Customer</v>
      </c>
      <c r="F1719" s="4" t="s">
        <v>10</v>
      </c>
      <c r="G1719" s="1" t="str">
        <f>_xlfn.XLOOKUP(tblSales[[#This Row],[Product Code]],tblProducts[Code],tblProducts[Product / Service Name],"⚠ Unknown")</f>
        <v>Chino Pants</v>
      </c>
      <c r="H1719" s="1" t="str">
        <f>_xlfn.XLOOKUP(tblSales[[#This Row],[Product Code]],tblProducts[Code],tblProducts[Category],"")</f>
        <v>Apparel &amp; Footwear</v>
      </c>
      <c r="I1719" s="4">
        <v>1</v>
      </c>
      <c r="J1719" s="5">
        <f>_xlfn.XLOOKUP(tblSales[[#This Row],[Product Code]],tblProducts[Code],tblProducts[Selling Price (excl. VAT)],0)</f>
        <v>150000</v>
      </c>
      <c r="K1719" s="5">
        <f>tblSales[[#This Row],[Qty]]*tblSales[[#This Row],[Unit Price]]</f>
        <v>150000</v>
      </c>
      <c r="L1719" s="5">
        <f>ROUND(tblSales[[#This Row],[DPP (excl. VAT)]]*VATEff,0)</f>
        <v>16500</v>
      </c>
      <c r="M1719" s="5">
        <f>tblSales[[#This Row],[DPP (excl. VAT)]]+tblSales[[#This Row],[Output VAT]]</f>
        <v>166500</v>
      </c>
      <c r="N1719" s="5">
        <f>tblSales[[#This Row],[Qty]]*_xlfn.XLOOKUP(tblSales[[#This Row],[Product Code]],tblProducts[Code],tblProducts[Unit Cost],0)</f>
        <v>88000</v>
      </c>
      <c r="O1719" s="4" t="s">
        <v>4865</v>
      </c>
      <c r="P1719" s="4" t="s">
        <v>4860</v>
      </c>
      <c r="Q1719" s="1" t="str">
        <f>_xlfn.XLOOKUP(tblSales[[#This Row],[Channel Code]],tblChannels[Channel Code],tblChannels[Channel Name],"")</f>
        <v>In-store</v>
      </c>
      <c r="R1719" s="1">
        <f>MONTH(tblSales[[#This Row],[Date]])</f>
        <v>4</v>
      </c>
    </row>
    <row r="1720" spans="2:18" x14ac:dyDescent="0.35">
      <c r="B1720" s="113">
        <v>46124</v>
      </c>
      <c r="C1720" s="4" t="s">
        <v>1163</v>
      </c>
      <c r="D1720" s="4" t="s">
        <v>4568</v>
      </c>
      <c r="E1720" s="1" t="str">
        <f>_xlfn.XLOOKUP(tblSales[[#This Row],[Customer ID]],tblCustomers[Customer ID],tblCustomers[Customer Name],"⚠ Unknown")</f>
        <v>Walk-in Customer</v>
      </c>
      <c r="F1720" s="4" t="s">
        <v>9</v>
      </c>
      <c r="G1720" s="1" t="str">
        <f>_xlfn.XLOOKUP(tblSales[[#This Row],[Product Code]],tblProducts[Code],tblProducts[Product / Service Name],"⚠ Unknown")</f>
        <v>Casual Shirt</v>
      </c>
      <c r="H1720" s="1" t="str">
        <f>_xlfn.XLOOKUP(tblSales[[#This Row],[Product Code]],tblProducts[Code],tblProducts[Category],"")</f>
        <v>Apparel &amp; Footwear</v>
      </c>
      <c r="I1720" s="4">
        <v>12</v>
      </c>
      <c r="J1720" s="5">
        <f>_xlfn.XLOOKUP(tblSales[[#This Row],[Product Code]],tblProducts[Code],tblProducts[Selling Price (excl. VAT)],0)</f>
        <v>120000</v>
      </c>
      <c r="K1720" s="5">
        <f>tblSales[[#This Row],[Qty]]*tblSales[[#This Row],[Unit Price]]</f>
        <v>1440000</v>
      </c>
      <c r="L1720" s="5">
        <f>ROUND(tblSales[[#This Row],[DPP (excl. VAT)]]*VATEff,0)</f>
        <v>158400</v>
      </c>
      <c r="M1720" s="5">
        <f>tblSales[[#This Row],[DPP (excl. VAT)]]+tblSales[[#This Row],[Output VAT]]</f>
        <v>1598400</v>
      </c>
      <c r="N1720" s="5">
        <f>tblSales[[#This Row],[Qty]]*_xlfn.XLOOKUP(tblSales[[#This Row],[Product Code]],tblProducts[Code],tblProducts[Unit Cost],0)</f>
        <v>864000</v>
      </c>
      <c r="O1720" s="4" t="s">
        <v>4866</v>
      </c>
      <c r="P1720" s="4" t="s">
        <v>4861</v>
      </c>
      <c r="Q1720" s="1" t="str">
        <f>_xlfn.XLOOKUP(tblSales[[#This Row],[Channel Code]],tblChannels[Channel Code],tblChannels[Channel Name],"")</f>
        <v>Marketplace</v>
      </c>
      <c r="R1720" s="1">
        <f>MONTH(tblSales[[#This Row],[Date]])</f>
        <v>4</v>
      </c>
    </row>
    <row r="1721" spans="2:18" x14ac:dyDescent="0.35">
      <c r="B1721" s="113">
        <v>46124</v>
      </c>
      <c r="C1721" s="4" t="s">
        <v>1164</v>
      </c>
      <c r="D1721" s="4" t="s">
        <v>4568</v>
      </c>
      <c r="E1721" s="1" t="str">
        <f>_xlfn.XLOOKUP(tblSales[[#This Row],[Customer ID]],tblCustomers[Customer ID],tblCustomers[Customer Name],"⚠ Unknown")</f>
        <v>Walk-in Customer</v>
      </c>
      <c r="F1721" s="4" t="s">
        <v>13</v>
      </c>
      <c r="G1721" s="1" t="str">
        <f>_xlfn.XLOOKUP(tblSales[[#This Row],[Product Code]],tblProducts[Code],tblProducts[Product / Service Name],"⚠ Unknown")</f>
        <v>Backpack</v>
      </c>
      <c r="H1721" s="1" t="str">
        <f>_xlfn.XLOOKUP(tblSales[[#This Row],[Product Code]],tblProducts[Code],tblProducts[Category],"")</f>
        <v>Bags &amp; Gadgets</v>
      </c>
      <c r="I1721" s="4">
        <v>6</v>
      </c>
      <c r="J1721" s="5">
        <f>_xlfn.XLOOKUP(tblSales[[#This Row],[Product Code]],tblProducts[Code],tblProducts[Selling Price (excl. VAT)],0)</f>
        <v>500000</v>
      </c>
      <c r="K1721" s="5">
        <f>tblSales[[#This Row],[Qty]]*tblSales[[#This Row],[Unit Price]]</f>
        <v>3000000</v>
      </c>
      <c r="L1721" s="5">
        <f>ROUND(tblSales[[#This Row],[DPP (excl. VAT)]]*VATEff,0)</f>
        <v>330000</v>
      </c>
      <c r="M1721" s="5">
        <f>tblSales[[#This Row],[DPP (excl. VAT)]]+tblSales[[#This Row],[Output VAT]]</f>
        <v>3330000</v>
      </c>
      <c r="N1721" s="5">
        <f>tblSales[[#This Row],[Qty]]*_xlfn.XLOOKUP(tblSales[[#This Row],[Product Code]],tblProducts[Code],tblProducts[Unit Cost],0)</f>
        <v>1740000</v>
      </c>
      <c r="O1721" s="4" t="s">
        <v>4866</v>
      </c>
      <c r="P1721" s="4" t="s">
        <v>4861</v>
      </c>
      <c r="Q1721" s="1" t="str">
        <f>_xlfn.XLOOKUP(tblSales[[#This Row],[Channel Code]],tblChannels[Channel Code],tblChannels[Channel Name],"")</f>
        <v>Marketplace</v>
      </c>
      <c r="R1721" s="1">
        <f>MONTH(tblSales[[#This Row],[Date]])</f>
        <v>4</v>
      </c>
    </row>
    <row r="1722" spans="2:18" x14ac:dyDescent="0.35">
      <c r="B1722" s="113">
        <v>46124</v>
      </c>
      <c r="C1722" s="4" t="s">
        <v>1164</v>
      </c>
      <c r="D1722" s="4" t="s">
        <v>4568</v>
      </c>
      <c r="E1722" s="1" t="str">
        <f>_xlfn.XLOOKUP(tblSales[[#This Row],[Customer ID]],tblCustomers[Customer ID],tblCustomers[Customer Name],"⚠ Unknown")</f>
        <v>Walk-in Customer</v>
      </c>
      <c r="F1722" s="4" t="s">
        <v>11</v>
      </c>
      <c r="G1722" s="1" t="str">
        <f>_xlfn.XLOOKUP(tblSales[[#This Row],[Product Code]],tblProducts[Code],tblProducts[Product / Service Name],"⚠ Unknown")</f>
        <v>Sneakers</v>
      </c>
      <c r="H1722" s="1" t="str">
        <f>_xlfn.XLOOKUP(tblSales[[#This Row],[Product Code]],tblProducts[Code],tblProducts[Category],"")</f>
        <v>Apparel &amp; Footwear</v>
      </c>
      <c r="I1722" s="4">
        <v>4</v>
      </c>
      <c r="J1722" s="5">
        <f>_xlfn.XLOOKUP(tblSales[[#This Row],[Product Code]],tblProducts[Code],tblProducts[Selling Price (excl. VAT)],0)</f>
        <v>250000</v>
      </c>
      <c r="K1722" s="5">
        <f>tblSales[[#This Row],[Qty]]*tblSales[[#This Row],[Unit Price]]</f>
        <v>1000000</v>
      </c>
      <c r="L1722" s="5">
        <f>ROUND(tblSales[[#This Row],[DPP (excl. VAT)]]*VATEff,0)</f>
        <v>110000</v>
      </c>
      <c r="M1722" s="5">
        <f>tblSales[[#This Row],[DPP (excl. VAT)]]+tblSales[[#This Row],[Output VAT]]</f>
        <v>1110000</v>
      </c>
      <c r="N1722" s="5">
        <f>tblSales[[#This Row],[Qty]]*_xlfn.XLOOKUP(tblSales[[#This Row],[Product Code]],tblProducts[Code],tblProducts[Unit Cost],0)</f>
        <v>620000</v>
      </c>
      <c r="O1722" s="4" t="s">
        <v>4866</v>
      </c>
      <c r="P1722" s="4" t="s">
        <v>4861</v>
      </c>
      <c r="Q1722" s="1" t="str">
        <f>_xlfn.XLOOKUP(tblSales[[#This Row],[Channel Code]],tblChannels[Channel Code],tblChannels[Channel Name],"")</f>
        <v>Marketplace</v>
      </c>
      <c r="R1722" s="1">
        <f>MONTH(tblSales[[#This Row],[Date]])</f>
        <v>4</v>
      </c>
    </row>
    <row r="1723" spans="2:18" x14ac:dyDescent="0.35">
      <c r="B1723" s="113">
        <v>46124</v>
      </c>
      <c r="C1723" s="4" t="s">
        <v>1164</v>
      </c>
      <c r="D1723" s="4" t="s">
        <v>4568</v>
      </c>
      <c r="E1723" s="1" t="str">
        <f>_xlfn.XLOOKUP(tblSales[[#This Row],[Customer ID]],tblCustomers[Customer ID],tblCustomers[Customer Name],"⚠ Unknown")</f>
        <v>Walk-in Customer</v>
      </c>
      <c r="F1723" s="4" t="s">
        <v>7</v>
      </c>
      <c r="G1723" s="1" t="str">
        <f>_xlfn.XLOOKUP(tblSales[[#This Row],[Product Code]],tblProducts[Code],tblProducts[Product / Service Name],"⚠ Unknown")</f>
        <v>Premium Basic T-shirt</v>
      </c>
      <c r="H1723" s="1" t="str">
        <f>_xlfn.XLOOKUP(tblSales[[#This Row],[Product Code]],tblProducts[Code],tblProducts[Category],"")</f>
        <v>Accessories &amp; Basics</v>
      </c>
      <c r="I1723" s="4">
        <v>4</v>
      </c>
      <c r="J1723" s="5">
        <f>_xlfn.XLOOKUP(tblSales[[#This Row],[Product Code]],tblProducts[Code],tblProducts[Selling Price (excl. VAT)],0)</f>
        <v>65000</v>
      </c>
      <c r="K1723" s="5">
        <f>tblSales[[#This Row],[Qty]]*tblSales[[#This Row],[Unit Price]]</f>
        <v>260000</v>
      </c>
      <c r="L1723" s="5">
        <f>ROUND(tblSales[[#This Row],[DPP (excl. VAT)]]*VATEff,0)</f>
        <v>28600</v>
      </c>
      <c r="M1723" s="5">
        <f>tblSales[[#This Row],[DPP (excl. VAT)]]+tblSales[[#This Row],[Output VAT]]</f>
        <v>288600</v>
      </c>
      <c r="N1723" s="5">
        <f>tblSales[[#This Row],[Qty]]*_xlfn.XLOOKUP(tblSales[[#This Row],[Product Code]],tblProducts[Code],tblProducts[Unit Cost],0)</f>
        <v>148000</v>
      </c>
      <c r="O1723" s="4" t="s">
        <v>4866</v>
      </c>
      <c r="P1723" s="4" t="s">
        <v>4861</v>
      </c>
      <c r="Q1723" s="1" t="str">
        <f>_xlfn.XLOOKUP(tblSales[[#This Row],[Channel Code]],tblChannels[Channel Code],tblChannels[Channel Name],"")</f>
        <v>Marketplace</v>
      </c>
      <c r="R1723" s="1">
        <f>MONTH(tblSales[[#This Row],[Date]])</f>
        <v>4</v>
      </c>
    </row>
    <row r="1724" spans="2:18" x14ac:dyDescent="0.35">
      <c r="B1724" s="113">
        <v>46124</v>
      </c>
      <c r="C1724" s="4" t="s">
        <v>1165</v>
      </c>
      <c r="D1724" s="4" t="s">
        <v>4568</v>
      </c>
      <c r="E1724" s="1" t="str">
        <f>_xlfn.XLOOKUP(tblSales[[#This Row],[Customer ID]],tblCustomers[Customer ID],tblCustomers[Customer Name],"⚠ Unknown")</f>
        <v>Walk-in Customer</v>
      </c>
      <c r="F1724" s="4" t="s">
        <v>9</v>
      </c>
      <c r="G1724" s="1" t="str">
        <f>_xlfn.XLOOKUP(tblSales[[#This Row],[Product Code]],tblProducts[Code],tblProducts[Product / Service Name],"⚠ Unknown")</f>
        <v>Casual Shirt</v>
      </c>
      <c r="H1724" s="1" t="str">
        <f>_xlfn.XLOOKUP(tblSales[[#This Row],[Product Code]],tblProducts[Code],tblProducts[Category],"")</f>
        <v>Apparel &amp; Footwear</v>
      </c>
      <c r="I1724" s="4">
        <v>12</v>
      </c>
      <c r="J1724" s="5">
        <f>_xlfn.XLOOKUP(tblSales[[#This Row],[Product Code]],tblProducts[Code],tblProducts[Selling Price (excl. VAT)],0)</f>
        <v>120000</v>
      </c>
      <c r="K1724" s="5">
        <f>tblSales[[#This Row],[Qty]]*tblSales[[#This Row],[Unit Price]]</f>
        <v>1440000</v>
      </c>
      <c r="L1724" s="5">
        <f>ROUND(tblSales[[#This Row],[DPP (excl. VAT)]]*VATEff,0)</f>
        <v>158400</v>
      </c>
      <c r="M1724" s="5">
        <f>tblSales[[#This Row],[DPP (excl. VAT)]]+tblSales[[#This Row],[Output VAT]]</f>
        <v>1598400</v>
      </c>
      <c r="N1724" s="5">
        <f>tblSales[[#This Row],[Qty]]*_xlfn.XLOOKUP(tblSales[[#This Row],[Product Code]],tblProducts[Code],tblProducts[Unit Cost],0)</f>
        <v>864000</v>
      </c>
      <c r="O1724" s="4" t="s">
        <v>4866</v>
      </c>
      <c r="P1724" s="4" t="s">
        <v>4860</v>
      </c>
      <c r="Q1724" s="1" t="str">
        <f>_xlfn.XLOOKUP(tblSales[[#This Row],[Channel Code]],tblChannels[Channel Code],tblChannels[Channel Name],"")</f>
        <v>In-store</v>
      </c>
      <c r="R1724" s="1">
        <f>MONTH(tblSales[[#This Row],[Date]])</f>
        <v>4</v>
      </c>
    </row>
    <row r="1725" spans="2:18" x14ac:dyDescent="0.35">
      <c r="B1725" s="113">
        <v>46124</v>
      </c>
      <c r="C1725" s="4" t="s">
        <v>1166</v>
      </c>
      <c r="D1725" s="4" t="s">
        <v>4568</v>
      </c>
      <c r="E1725" s="1" t="str">
        <f>_xlfn.XLOOKUP(tblSales[[#This Row],[Customer ID]],tblCustomers[Customer ID],tblCustomers[Customer Name],"⚠ Unknown")</f>
        <v>Walk-in Customer</v>
      </c>
      <c r="F1725" s="4" t="s">
        <v>6</v>
      </c>
      <c r="G1725" s="1" t="str">
        <f>_xlfn.XLOOKUP(tblSales[[#This Row],[Product Code]],tblProducts[Code],tblProducts[Product / Service Name],"⚠ Unknown")</f>
        <v>Socks &amp; Accessories</v>
      </c>
      <c r="H1725" s="1" t="str">
        <f>_xlfn.XLOOKUP(tblSales[[#This Row],[Product Code]],tblProducts[Code],tblProducts[Category],"")</f>
        <v>Accessories &amp; Basics</v>
      </c>
      <c r="I1725" s="4">
        <v>7</v>
      </c>
      <c r="J1725" s="5">
        <f>_xlfn.XLOOKUP(tblSales[[#This Row],[Product Code]],tblProducts[Code],tblProducts[Selling Price (excl. VAT)],0)</f>
        <v>45000</v>
      </c>
      <c r="K1725" s="5">
        <f>tblSales[[#This Row],[Qty]]*tblSales[[#This Row],[Unit Price]]</f>
        <v>315000</v>
      </c>
      <c r="L1725" s="5">
        <f>ROUND(tblSales[[#This Row],[DPP (excl. VAT)]]*VATEff,0)</f>
        <v>34650</v>
      </c>
      <c r="M1725" s="5">
        <f>tblSales[[#This Row],[DPP (excl. VAT)]]+tblSales[[#This Row],[Output VAT]]</f>
        <v>349650</v>
      </c>
      <c r="N1725" s="5">
        <f>tblSales[[#This Row],[Qty]]*_xlfn.XLOOKUP(tblSales[[#This Row],[Product Code]],tblProducts[Code],tblProducts[Unit Cost],0)</f>
        <v>168000</v>
      </c>
      <c r="O1725" s="4" t="s">
        <v>4865</v>
      </c>
      <c r="P1725" s="4" t="s">
        <v>4860</v>
      </c>
      <c r="Q1725" s="1" t="str">
        <f>_xlfn.XLOOKUP(tblSales[[#This Row],[Channel Code]],tblChannels[Channel Code],tblChannels[Channel Name],"")</f>
        <v>In-store</v>
      </c>
      <c r="R1725" s="1">
        <f>MONTH(tblSales[[#This Row],[Date]])</f>
        <v>4</v>
      </c>
    </row>
    <row r="1726" spans="2:18" x14ac:dyDescent="0.35">
      <c r="B1726" s="113">
        <v>46124</v>
      </c>
      <c r="C1726" s="4" t="s">
        <v>1167</v>
      </c>
      <c r="D1726" s="4" t="s">
        <v>4593</v>
      </c>
      <c r="E1726" s="1" t="str">
        <f>_xlfn.XLOOKUP(tblSales[[#This Row],[Customer ID]],tblCustomers[Customer ID],tblCustomers[Customer Name],"⚠ Unknown")</f>
        <v>PT Graha Nusa Persada</v>
      </c>
      <c r="F1726" s="4" t="s">
        <v>14</v>
      </c>
      <c r="G1726" s="1" t="str">
        <f>_xlfn.XLOOKUP(tblSales[[#This Row],[Product Code]],tblProducts[Code],tblProducts[Product / Service Name],"⚠ Unknown")</f>
        <v>Smartwatch</v>
      </c>
      <c r="H1726" s="1" t="str">
        <f>_xlfn.XLOOKUP(tblSales[[#This Row],[Product Code]],tblProducts[Code],tblProducts[Category],"")</f>
        <v>Bags &amp; Gadgets</v>
      </c>
      <c r="I1726" s="4">
        <v>16</v>
      </c>
      <c r="J1726" s="5">
        <f>_xlfn.XLOOKUP(tblSales[[#This Row],[Product Code]],tblProducts[Code],tblProducts[Selling Price (excl. VAT)],0)</f>
        <v>850000</v>
      </c>
      <c r="K1726" s="5">
        <f>tblSales[[#This Row],[Qty]]*tblSales[[#This Row],[Unit Price]]</f>
        <v>13600000</v>
      </c>
      <c r="L1726" s="5">
        <f>ROUND(tblSales[[#This Row],[DPP (excl. VAT)]]*VATEff,0)</f>
        <v>1496000</v>
      </c>
      <c r="M1726" s="5">
        <f>tblSales[[#This Row],[DPP (excl. VAT)]]+tblSales[[#This Row],[Output VAT]]</f>
        <v>15096000</v>
      </c>
      <c r="N1726" s="5">
        <f>tblSales[[#This Row],[Qty]]*_xlfn.XLOOKUP(tblSales[[#This Row],[Product Code]],tblProducts[Code],tblProducts[Unit Cost],0)</f>
        <v>8960000</v>
      </c>
      <c r="O1726" s="4" t="s">
        <v>4867</v>
      </c>
      <c r="P1726" s="4" t="s">
        <v>4860</v>
      </c>
      <c r="Q1726" s="1" t="str">
        <f>_xlfn.XLOOKUP(tblSales[[#This Row],[Channel Code]],tblChannels[Channel Code],tblChannels[Channel Name],"")</f>
        <v>In-store</v>
      </c>
      <c r="R1726" s="1">
        <f>MONTH(tblSales[[#This Row],[Date]])</f>
        <v>4</v>
      </c>
    </row>
    <row r="1727" spans="2:18" x14ac:dyDescent="0.35">
      <c r="B1727" s="113">
        <v>46124</v>
      </c>
      <c r="C1727" s="4" t="s">
        <v>1168</v>
      </c>
      <c r="D1727" s="4" t="s">
        <v>4572</v>
      </c>
      <c r="E1727" s="1" t="str">
        <f>_xlfn.XLOOKUP(tblSales[[#This Row],[Customer ID]],tblCustomers[Customer ID],tblCustomers[Customer Name],"⚠ Unknown")</f>
        <v>PT Cahaya Abadi Makmur</v>
      </c>
      <c r="F1727" s="4" t="s">
        <v>6</v>
      </c>
      <c r="G1727" s="1" t="str">
        <f>_xlfn.XLOOKUP(tblSales[[#This Row],[Product Code]],tblProducts[Code],tblProducts[Product / Service Name],"⚠ Unknown")</f>
        <v>Socks &amp; Accessories</v>
      </c>
      <c r="H1727" s="1" t="str">
        <f>_xlfn.XLOOKUP(tblSales[[#This Row],[Product Code]],tblProducts[Code],tblProducts[Category],"")</f>
        <v>Accessories &amp; Basics</v>
      </c>
      <c r="I1727" s="4">
        <v>96</v>
      </c>
      <c r="J1727" s="5">
        <f>_xlfn.XLOOKUP(tblSales[[#This Row],[Product Code]],tblProducts[Code],tblProducts[Selling Price (excl. VAT)],0)</f>
        <v>45000</v>
      </c>
      <c r="K1727" s="5">
        <f>tblSales[[#This Row],[Qty]]*tblSales[[#This Row],[Unit Price]]</f>
        <v>4320000</v>
      </c>
      <c r="L1727" s="5">
        <f>ROUND(tblSales[[#This Row],[DPP (excl. VAT)]]*VATEff,0)</f>
        <v>475200</v>
      </c>
      <c r="M1727" s="5">
        <f>tblSales[[#This Row],[DPP (excl. VAT)]]+tblSales[[#This Row],[Output VAT]]</f>
        <v>4795200</v>
      </c>
      <c r="N1727" s="5">
        <f>tblSales[[#This Row],[Qty]]*_xlfn.XLOOKUP(tblSales[[#This Row],[Product Code]],tblProducts[Code],tblProducts[Unit Cost],0)</f>
        <v>2304000</v>
      </c>
      <c r="O1727" s="4" t="s">
        <v>4867</v>
      </c>
      <c r="P1727" s="4" t="s">
        <v>4860</v>
      </c>
      <c r="Q1727" s="1" t="str">
        <f>_xlfn.XLOOKUP(tblSales[[#This Row],[Channel Code]],tblChannels[Channel Code],tblChannels[Channel Name],"")</f>
        <v>In-store</v>
      </c>
      <c r="R1727" s="1">
        <f>MONTH(tblSales[[#This Row],[Date]])</f>
        <v>4</v>
      </c>
    </row>
    <row r="1728" spans="2:18" x14ac:dyDescent="0.35">
      <c r="B1728" s="113">
        <v>46124</v>
      </c>
      <c r="C1728" s="4" t="s">
        <v>1169</v>
      </c>
      <c r="D1728" s="4" t="s">
        <v>4568</v>
      </c>
      <c r="E1728" s="1" t="str">
        <f>_xlfn.XLOOKUP(tblSales[[#This Row],[Customer ID]],tblCustomers[Customer ID],tblCustomers[Customer Name],"⚠ Unknown")</f>
        <v>Walk-in Customer</v>
      </c>
      <c r="F1728" s="4" t="s">
        <v>10</v>
      </c>
      <c r="G1728" s="1" t="str">
        <f>_xlfn.XLOOKUP(tblSales[[#This Row],[Product Code]],tblProducts[Code],tblProducts[Product / Service Name],"⚠ Unknown")</f>
        <v>Chino Pants</v>
      </c>
      <c r="H1728" s="1" t="str">
        <f>_xlfn.XLOOKUP(tblSales[[#This Row],[Product Code]],tblProducts[Code],tblProducts[Category],"")</f>
        <v>Apparel &amp; Footwear</v>
      </c>
      <c r="I1728" s="4">
        <v>4</v>
      </c>
      <c r="J1728" s="5">
        <f>_xlfn.XLOOKUP(tblSales[[#This Row],[Product Code]],tblProducts[Code],tblProducts[Selling Price (excl. VAT)],0)</f>
        <v>150000</v>
      </c>
      <c r="K1728" s="5">
        <f>tblSales[[#This Row],[Qty]]*tblSales[[#This Row],[Unit Price]]</f>
        <v>600000</v>
      </c>
      <c r="L1728" s="5">
        <f>ROUND(tblSales[[#This Row],[DPP (excl. VAT)]]*VATEff,0)</f>
        <v>66000</v>
      </c>
      <c r="M1728" s="5">
        <f>tblSales[[#This Row],[DPP (excl. VAT)]]+tblSales[[#This Row],[Output VAT]]</f>
        <v>666000</v>
      </c>
      <c r="N1728" s="5">
        <f>tblSales[[#This Row],[Qty]]*_xlfn.XLOOKUP(tblSales[[#This Row],[Product Code]],tblProducts[Code],tblProducts[Unit Cost],0)</f>
        <v>352000</v>
      </c>
      <c r="O1728" s="4" t="s">
        <v>4865</v>
      </c>
      <c r="P1728" s="4" t="s">
        <v>4860</v>
      </c>
      <c r="Q1728" s="1" t="str">
        <f>_xlfn.XLOOKUP(tblSales[[#This Row],[Channel Code]],tblChannels[Channel Code],tblChannels[Channel Name],"")</f>
        <v>In-store</v>
      </c>
      <c r="R1728" s="1">
        <f>MONTH(tblSales[[#This Row],[Date]])</f>
        <v>4</v>
      </c>
    </row>
    <row r="1729" spans="2:18" x14ac:dyDescent="0.35">
      <c r="B1729" s="113">
        <v>46124</v>
      </c>
      <c r="C1729" s="4" t="s">
        <v>1169</v>
      </c>
      <c r="D1729" s="4" t="s">
        <v>4568</v>
      </c>
      <c r="E1729" s="1" t="str">
        <f>_xlfn.XLOOKUP(tblSales[[#This Row],[Customer ID]],tblCustomers[Customer ID],tblCustomers[Customer Name],"⚠ Unknown")</f>
        <v>Walk-in Customer</v>
      </c>
      <c r="F1729" s="4" t="s">
        <v>6</v>
      </c>
      <c r="G1729" s="1" t="str">
        <f>_xlfn.XLOOKUP(tblSales[[#This Row],[Product Code]],tblProducts[Code],tblProducts[Product / Service Name],"⚠ Unknown")</f>
        <v>Socks &amp; Accessories</v>
      </c>
      <c r="H1729" s="1" t="str">
        <f>_xlfn.XLOOKUP(tblSales[[#This Row],[Product Code]],tblProducts[Code],tblProducts[Category],"")</f>
        <v>Accessories &amp; Basics</v>
      </c>
      <c r="I1729" s="4">
        <v>4</v>
      </c>
      <c r="J1729" s="5">
        <f>_xlfn.XLOOKUP(tblSales[[#This Row],[Product Code]],tblProducts[Code],tblProducts[Selling Price (excl. VAT)],0)</f>
        <v>45000</v>
      </c>
      <c r="K1729" s="5">
        <f>tblSales[[#This Row],[Qty]]*tblSales[[#This Row],[Unit Price]]</f>
        <v>180000</v>
      </c>
      <c r="L1729" s="5">
        <f>ROUND(tblSales[[#This Row],[DPP (excl. VAT)]]*VATEff,0)</f>
        <v>19800</v>
      </c>
      <c r="M1729" s="5">
        <f>tblSales[[#This Row],[DPP (excl. VAT)]]+tblSales[[#This Row],[Output VAT]]</f>
        <v>199800</v>
      </c>
      <c r="N1729" s="5">
        <f>tblSales[[#This Row],[Qty]]*_xlfn.XLOOKUP(tblSales[[#This Row],[Product Code]],tblProducts[Code],tblProducts[Unit Cost],0)</f>
        <v>96000</v>
      </c>
      <c r="O1729" s="4" t="s">
        <v>4865</v>
      </c>
      <c r="P1729" s="4" t="s">
        <v>4860</v>
      </c>
      <c r="Q1729" s="1" t="str">
        <f>_xlfn.XLOOKUP(tblSales[[#This Row],[Channel Code]],tblChannels[Channel Code],tblChannels[Channel Name],"")</f>
        <v>In-store</v>
      </c>
      <c r="R1729" s="1">
        <f>MONTH(tblSales[[#This Row],[Date]])</f>
        <v>4</v>
      </c>
    </row>
    <row r="1730" spans="2:18" x14ac:dyDescent="0.35">
      <c r="B1730" s="113">
        <v>46125</v>
      </c>
      <c r="C1730" s="4" t="s">
        <v>1170</v>
      </c>
      <c r="D1730" s="4" t="s">
        <v>4568</v>
      </c>
      <c r="E1730" s="1" t="str">
        <f>_xlfn.XLOOKUP(tblSales[[#This Row],[Customer ID]],tblCustomers[Customer ID],tblCustomers[Customer Name],"⚠ Unknown")</f>
        <v>Walk-in Customer</v>
      </c>
      <c r="F1730" s="4" t="s">
        <v>7</v>
      </c>
      <c r="G1730" s="1" t="str">
        <f>_xlfn.XLOOKUP(tblSales[[#This Row],[Product Code]],tblProducts[Code],tblProducts[Product / Service Name],"⚠ Unknown")</f>
        <v>Premium Basic T-shirt</v>
      </c>
      <c r="H1730" s="1" t="str">
        <f>_xlfn.XLOOKUP(tblSales[[#This Row],[Product Code]],tblProducts[Code],tblProducts[Category],"")</f>
        <v>Accessories &amp; Basics</v>
      </c>
      <c r="I1730" s="4">
        <v>8</v>
      </c>
      <c r="J1730" s="5">
        <f>_xlfn.XLOOKUP(tblSales[[#This Row],[Product Code]],tblProducts[Code],tblProducts[Selling Price (excl. VAT)],0)</f>
        <v>65000</v>
      </c>
      <c r="K1730" s="5">
        <f>tblSales[[#This Row],[Qty]]*tblSales[[#This Row],[Unit Price]]</f>
        <v>520000</v>
      </c>
      <c r="L1730" s="5">
        <f>ROUND(tblSales[[#This Row],[DPP (excl. VAT)]]*VATEff,0)</f>
        <v>57200</v>
      </c>
      <c r="M1730" s="5">
        <f>tblSales[[#This Row],[DPP (excl. VAT)]]+tblSales[[#This Row],[Output VAT]]</f>
        <v>577200</v>
      </c>
      <c r="N1730" s="5">
        <f>tblSales[[#This Row],[Qty]]*_xlfn.XLOOKUP(tblSales[[#This Row],[Product Code]],tblProducts[Code],tblProducts[Unit Cost],0)</f>
        <v>296000</v>
      </c>
      <c r="O1730" s="4" t="s">
        <v>4865</v>
      </c>
      <c r="P1730" s="4" t="s">
        <v>4860</v>
      </c>
      <c r="Q1730" s="1" t="str">
        <f>_xlfn.XLOOKUP(tblSales[[#This Row],[Channel Code]],tblChannels[Channel Code],tblChannels[Channel Name],"")</f>
        <v>In-store</v>
      </c>
      <c r="R1730" s="1">
        <f>MONTH(tblSales[[#This Row],[Date]])</f>
        <v>4</v>
      </c>
    </row>
    <row r="1731" spans="2:18" x14ac:dyDescent="0.35">
      <c r="B1731" s="113">
        <v>46125</v>
      </c>
      <c r="C1731" s="4" t="s">
        <v>1171</v>
      </c>
      <c r="D1731" s="4" t="s">
        <v>4568</v>
      </c>
      <c r="E1731" s="1" t="str">
        <f>_xlfn.XLOOKUP(tblSales[[#This Row],[Customer ID]],tblCustomers[Customer ID],tblCustomers[Customer Name],"⚠ Unknown")</f>
        <v>Walk-in Customer</v>
      </c>
      <c r="F1731" s="4" t="s">
        <v>8</v>
      </c>
      <c r="G1731" s="1" t="str">
        <f>_xlfn.XLOOKUP(tblSales[[#This Row],[Product Code]],tblProducts[Code],tblProducts[Product / Service Name],"⚠ Unknown")</f>
        <v>Casual Shorts</v>
      </c>
      <c r="H1731" s="1" t="str">
        <f>_xlfn.XLOOKUP(tblSales[[#This Row],[Product Code]],tblProducts[Code],tblProducts[Category],"")</f>
        <v>Accessories &amp; Basics</v>
      </c>
      <c r="I1731" s="4">
        <v>10</v>
      </c>
      <c r="J1731" s="5">
        <f>_xlfn.XLOOKUP(tblSales[[#This Row],[Product Code]],tblProducts[Code],tblProducts[Selling Price (excl. VAT)],0)</f>
        <v>85000</v>
      </c>
      <c r="K1731" s="5">
        <f>tblSales[[#This Row],[Qty]]*tblSales[[#This Row],[Unit Price]]</f>
        <v>850000</v>
      </c>
      <c r="L1731" s="5">
        <f>ROUND(tblSales[[#This Row],[DPP (excl. VAT)]]*VATEff,0)</f>
        <v>93500</v>
      </c>
      <c r="M1731" s="5">
        <f>tblSales[[#This Row],[DPP (excl. VAT)]]+tblSales[[#This Row],[Output VAT]]</f>
        <v>943500</v>
      </c>
      <c r="N1731" s="5">
        <f>tblSales[[#This Row],[Qty]]*_xlfn.XLOOKUP(tblSales[[#This Row],[Product Code]],tblProducts[Code],tblProducts[Unit Cost],0)</f>
        <v>500000</v>
      </c>
      <c r="O1731" s="4" t="s">
        <v>4866</v>
      </c>
      <c r="P1731" s="4" t="s">
        <v>4860</v>
      </c>
      <c r="Q1731" s="1" t="str">
        <f>_xlfn.XLOOKUP(tblSales[[#This Row],[Channel Code]],tblChannels[Channel Code],tblChannels[Channel Name],"")</f>
        <v>In-store</v>
      </c>
      <c r="R1731" s="1">
        <f>MONTH(tblSales[[#This Row],[Date]])</f>
        <v>4</v>
      </c>
    </row>
    <row r="1732" spans="2:18" x14ac:dyDescent="0.35">
      <c r="B1732" s="113">
        <v>46125</v>
      </c>
      <c r="C1732" s="4" t="s">
        <v>1171</v>
      </c>
      <c r="D1732" s="4" t="s">
        <v>4568</v>
      </c>
      <c r="E1732" s="1" t="str">
        <f>_xlfn.XLOOKUP(tblSales[[#This Row],[Customer ID]],tblCustomers[Customer ID],tblCustomers[Customer Name],"⚠ Unknown")</f>
        <v>Walk-in Customer</v>
      </c>
      <c r="F1732" s="4" t="s">
        <v>6</v>
      </c>
      <c r="G1732" s="1" t="str">
        <f>_xlfn.XLOOKUP(tblSales[[#This Row],[Product Code]],tblProducts[Code],tblProducts[Product / Service Name],"⚠ Unknown")</f>
        <v>Socks &amp; Accessories</v>
      </c>
      <c r="H1732" s="1" t="str">
        <f>_xlfn.XLOOKUP(tblSales[[#This Row],[Product Code]],tblProducts[Code],tblProducts[Category],"")</f>
        <v>Accessories &amp; Basics</v>
      </c>
      <c r="I1732" s="4">
        <v>8</v>
      </c>
      <c r="J1732" s="5">
        <f>_xlfn.XLOOKUP(tblSales[[#This Row],[Product Code]],tblProducts[Code],tblProducts[Selling Price (excl. VAT)],0)</f>
        <v>45000</v>
      </c>
      <c r="K1732" s="5">
        <f>tblSales[[#This Row],[Qty]]*tblSales[[#This Row],[Unit Price]]</f>
        <v>360000</v>
      </c>
      <c r="L1732" s="5">
        <f>ROUND(tblSales[[#This Row],[DPP (excl. VAT)]]*VATEff,0)</f>
        <v>39600</v>
      </c>
      <c r="M1732" s="5">
        <f>tblSales[[#This Row],[DPP (excl. VAT)]]+tblSales[[#This Row],[Output VAT]]</f>
        <v>399600</v>
      </c>
      <c r="N1732" s="5">
        <f>tblSales[[#This Row],[Qty]]*_xlfn.XLOOKUP(tblSales[[#This Row],[Product Code]],tblProducts[Code],tblProducts[Unit Cost],0)</f>
        <v>192000</v>
      </c>
      <c r="O1732" s="4" t="s">
        <v>4866</v>
      </c>
      <c r="P1732" s="4" t="s">
        <v>4860</v>
      </c>
      <c r="Q1732" s="1" t="str">
        <f>_xlfn.XLOOKUP(tblSales[[#This Row],[Channel Code]],tblChannels[Channel Code],tblChannels[Channel Name],"")</f>
        <v>In-store</v>
      </c>
      <c r="R1732" s="1">
        <f>MONTH(tblSales[[#This Row],[Date]])</f>
        <v>4</v>
      </c>
    </row>
    <row r="1733" spans="2:18" x14ac:dyDescent="0.35">
      <c r="B1733" s="113">
        <v>46125</v>
      </c>
      <c r="C1733" s="4" t="s">
        <v>1172</v>
      </c>
      <c r="D1733" s="4" t="s">
        <v>4568</v>
      </c>
      <c r="E1733" s="1" t="str">
        <f>_xlfn.XLOOKUP(tblSales[[#This Row],[Customer ID]],tblCustomers[Customer ID],tblCustomers[Customer Name],"⚠ Unknown")</f>
        <v>Walk-in Customer</v>
      </c>
      <c r="F1733" s="4" t="s">
        <v>6</v>
      </c>
      <c r="G1733" s="1" t="str">
        <f>_xlfn.XLOOKUP(tblSales[[#This Row],[Product Code]],tblProducts[Code],tblProducts[Product / Service Name],"⚠ Unknown")</f>
        <v>Socks &amp; Accessories</v>
      </c>
      <c r="H1733" s="1" t="str">
        <f>_xlfn.XLOOKUP(tblSales[[#This Row],[Product Code]],tblProducts[Code],tblProducts[Category],"")</f>
        <v>Accessories &amp; Basics</v>
      </c>
      <c r="I1733" s="4">
        <v>12</v>
      </c>
      <c r="J1733" s="5">
        <f>_xlfn.XLOOKUP(tblSales[[#This Row],[Product Code]],tblProducts[Code],tblProducts[Selling Price (excl. VAT)],0)</f>
        <v>45000</v>
      </c>
      <c r="K1733" s="5">
        <f>tblSales[[#This Row],[Qty]]*tblSales[[#This Row],[Unit Price]]</f>
        <v>540000</v>
      </c>
      <c r="L1733" s="5">
        <f>ROUND(tblSales[[#This Row],[DPP (excl. VAT)]]*VATEff,0)</f>
        <v>59400</v>
      </c>
      <c r="M1733" s="5">
        <f>tblSales[[#This Row],[DPP (excl. VAT)]]+tblSales[[#This Row],[Output VAT]]</f>
        <v>599400</v>
      </c>
      <c r="N1733" s="5">
        <f>tblSales[[#This Row],[Qty]]*_xlfn.XLOOKUP(tblSales[[#This Row],[Product Code]],tblProducts[Code],tblProducts[Unit Cost],0)</f>
        <v>288000</v>
      </c>
      <c r="O1733" s="4" t="s">
        <v>4865</v>
      </c>
      <c r="P1733" s="4" t="s">
        <v>4860</v>
      </c>
      <c r="Q1733" s="1" t="str">
        <f>_xlfn.XLOOKUP(tblSales[[#This Row],[Channel Code]],tblChannels[Channel Code],tblChannels[Channel Name],"")</f>
        <v>In-store</v>
      </c>
      <c r="R1733" s="1">
        <f>MONTH(tblSales[[#This Row],[Date]])</f>
        <v>4</v>
      </c>
    </row>
    <row r="1734" spans="2:18" x14ac:dyDescent="0.35">
      <c r="B1734" s="113">
        <v>46125</v>
      </c>
      <c r="C1734" s="4" t="s">
        <v>1173</v>
      </c>
      <c r="D1734" s="4" t="s">
        <v>4568</v>
      </c>
      <c r="E1734" s="1" t="str">
        <f>_xlfn.XLOOKUP(tblSales[[#This Row],[Customer ID]],tblCustomers[Customer ID],tblCustomers[Customer Name],"⚠ Unknown")</f>
        <v>Walk-in Customer</v>
      </c>
      <c r="F1734" s="4" t="s">
        <v>7</v>
      </c>
      <c r="G1734" s="1" t="str">
        <f>_xlfn.XLOOKUP(tblSales[[#This Row],[Product Code]],tblProducts[Code],tblProducts[Product / Service Name],"⚠ Unknown")</f>
        <v>Premium Basic T-shirt</v>
      </c>
      <c r="H1734" s="1" t="str">
        <f>_xlfn.XLOOKUP(tblSales[[#This Row],[Product Code]],tblProducts[Code],tblProducts[Category],"")</f>
        <v>Accessories &amp; Basics</v>
      </c>
      <c r="I1734" s="4">
        <v>3</v>
      </c>
      <c r="J1734" s="5">
        <f>_xlfn.XLOOKUP(tblSales[[#This Row],[Product Code]],tblProducts[Code],tblProducts[Selling Price (excl. VAT)],0)</f>
        <v>65000</v>
      </c>
      <c r="K1734" s="5">
        <f>tblSales[[#This Row],[Qty]]*tblSales[[#This Row],[Unit Price]]</f>
        <v>195000</v>
      </c>
      <c r="L1734" s="5">
        <f>ROUND(tblSales[[#This Row],[DPP (excl. VAT)]]*VATEff,0)</f>
        <v>21450</v>
      </c>
      <c r="M1734" s="5">
        <f>tblSales[[#This Row],[DPP (excl. VAT)]]+tblSales[[#This Row],[Output VAT]]</f>
        <v>216450</v>
      </c>
      <c r="N1734" s="5">
        <f>tblSales[[#This Row],[Qty]]*_xlfn.XLOOKUP(tblSales[[#This Row],[Product Code]],tblProducts[Code],tblProducts[Unit Cost],0)</f>
        <v>111000</v>
      </c>
      <c r="O1734" s="4" t="s">
        <v>4865</v>
      </c>
      <c r="P1734" s="4" t="s">
        <v>4860</v>
      </c>
      <c r="Q1734" s="1" t="str">
        <f>_xlfn.XLOOKUP(tblSales[[#This Row],[Channel Code]],tblChannels[Channel Code],tblChannels[Channel Name],"")</f>
        <v>In-store</v>
      </c>
      <c r="R1734" s="1">
        <f>MONTH(tblSales[[#This Row],[Date]])</f>
        <v>4</v>
      </c>
    </row>
    <row r="1735" spans="2:18" x14ac:dyDescent="0.35">
      <c r="B1735" s="113">
        <v>46125</v>
      </c>
      <c r="C1735" s="4" t="s">
        <v>1174</v>
      </c>
      <c r="D1735" s="4" t="s">
        <v>4568</v>
      </c>
      <c r="E1735" s="1" t="str">
        <f>_xlfn.XLOOKUP(tblSales[[#This Row],[Customer ID]],tblCustomers[Customer ID],tblCustomers[Customer Name],"⚠ Unknown")</f>
        <v>Walk-in Customer</v>
      </c>
      <c r="F1735" s="4" t="s">
        <v>14</v>
      </c>
      <c r="G1735" s="1" t="str">
        <f>_xlfn.XLOOKUP(tblSales[[#This Row],[Product Code]],tblProducts[Code],tblProducts[Product / Service Name],"⚠ Unknown")</f>
        <v>Smartwatch</v>
      </c>
      <c r="H1735" s="1" t="str">
        <f>_xlfn.XLOOKUP(tblSales[[#This Row],[Product Code]],tblProducts[Code],tblProducts[Category],"")</f>
        <v>Bags &amp; Gadgets</v>
      </c>
      <c r="I1735" s="4">
        <v>3</v>
      </c>
      <c r="J1735" s="5">
        <f>_xlfn.XLOOKUP(tblSales[[#This Row],[Product Code]],tblProducts[Code],tblProducts[Selling Price (excl. VAT)],0)</f>
        <v>850000</v>
      </c>
      <c r="K1735" s="5">
        <f>tblSales[[#This Row],[Qty]]*tblSales[[#This Row],[Unit Price]]</f>
        <v>2550000</v>
      </c>
      <c r="L1735" s="5">
        <f>ROUND(tblSales[[#This Row],[DPP (excl. VAT)]]*VATEff,0)</f>
        <v>280500</v>
      </c>
      <c r="M1735" s="5">
        <f>tblSales[[#This Row],[DPP (excl. VAT)]]+tblSales[[#This Row],[Output VAT]]</f>
        <v>2830500</v>
      </c>
      <c r="N1735" s="5">
        <f>tblSales[[#This Row],[Qty]]*_xlfn.XLOOKUP(tblSales[[#This Row],[Product Code]],tblProducts[Code],tblProducts[Unit Cost],0)</f>
        <v>1680000</v>
      </c>
      <c r="O1735" s="4" t="s">
        <v>4865</v>
      </c>
      <c r="P1735" s="4" t="s">
        <v>4860</v>
      </c>
      <c r="Q1735" s="1" t="str">
        <f>_xlfn.XLOOKUP(tblSales[[#This Row],[Channel Code]],tblChannels[Channel Code],tblChannels[Channel Name],"")</f>
        <v>In-store</v>
      </c>
      <c r="R1735" s="1">
        <f>MONTH(tblSales[[#This Row],[Date]])</f>
        <v>4</v>
      </c>
    </row>
    <row r="1736" spans="2:18" x14ac:dyDescent="0.35">
      <c r="B1736" s="113">
        <v>46125</v>
      </c>
      <c r="C1736" s="4" t="s">
        <v>1174</v>
      </c>
      <c r="D1736" s="4" t="s">
        <v>4568</v>
      </c>
      <c r="E1736" s="1" t="str">
        <f>_xlfn.XLOOKUP(tblSales[[#This Row],[Customer ID]],tblCustomers[Customer ID],tblCustomers[Customer Name],"⚠ Unknown")</f>
        <v>Walk-in Customer</v>
      </c>
      <c r="F1736" s="4" t="s">
        <v>7</v>
      </c>
      <c r="G1736" s="1" t="str">
        <f>_xlfn.XLOOKUP(tblSales[[#This Row],[Product Code]],tblProducts[Code],tblProducts[Product / Service Name],"⚠ Unknown")</f>
        <v>Premium Basic T-shirt</v>
      </c>
      <c r="H1736" s="1" t="str">
        <f>_xlfn.XLOOKUP(tblSales[[#This Row],[Product Code]],tblProducts[Code],tblProducts[Category],"")</f>
        <v>Accessories &amp; Basics</v>
      </c>
      <c r="I1736" s="4">
        <v>5</v>
      </c>
      <c r="J1736" s="5">
        <f>_xlfn.XLOOKUP(tblSales[[#This Row],[Product Code]],tblProducts[Code],tblProducts[Selling Price (excl. VAT)],0)</f>
        <v>65000</v>
      </c>
      <c r="K1736" s="5">
        <f>tblSales[[#This Row],[Qty]]*tblSales[[#This Row],[Unit Price]]</f>
        <v>325000</v>
      </c>
      <c r="L1736" s="5">
        <f>ROUND(tblSales[[#This Row],[DPP (excl. VAT)]]*VATEff,0)</f>
        <v>35750</v>
      </c>
      <c r="M1736" s="5">
        <f>tblSales[[#This Row],[DPP (excl. VAT)]]+tblSales[[#This Row],[Output VAT]]</f>
        <v>360750</v>
      </c>
      <c r="N1736" s="5">
        <f>tblSales[[#This Row],[Qty]]*_xlfn.XLOOKUP(tblSales[[#This Row],[Product Code]],tblProducts[Code],tblProducts[Unit Cost],0)</f>
        <v>185000</v>
      </c>
      <c r="O1736" s="4" t="s">
        <v>4865</v>
      </c>
      <c r="P1736" s="4" t="s">
        <v>4860</v>
      </c>
      <c r="Q1736" s="1" t="str">
        <f>_xlfn.XLOOKUP(tblSales[[#This Row],[Channel Code]],tblChannels[Channel Code],tblChannels[Channel Name],"")</f>
        <v>In-store</v>
      </c>
      <c r="R1736" s="1">
        <f>MONTH(tblSales[[#This Row],[Date]])</f>
        <v>4</v>
      </c>
    </row>
    <row r="1737" spans="2:18" x14ac:dyDescent="0.35">
      <c r="B1737" s="113">
        <v>46125</v>
      </c>
      <c r="C1737" s="4" t="s">
        <v>1175</v>
      </c>
      <c r="D1737" s="4" t="s">
        <v>4568</v>
      </c>
      <c r="E1737" s="1" t="str">
        <f>_xlfn.XLOOKUP(tblSales[[#This Row],[Customer ID]],tblCustomers[Customer ID],tblCustomers[Customer Name],"⚠ Unknown")</f>
        <v>Walk-in Customer</v>
      </c>
      <c r="F1737" s="4" t="s">
        <v>7</v>
      </c>
      <c r="G1737" s="1" t="str">
        <f>_xlfn.XLOOKUP(tblSales[[#This Row],[Product Code]],tblProducts[Code],tblProducts[Product / Service Name],"⚠ Unknown")</f>
        <v>Premium Basic T-shirt</v>
      </c>
      <c r="H1737" s="1" t="str">
        <f>_xlfn.XLOOKUP(tblSales[[#This Row],[Product Code]],tblProducts[Code],tblProducts[Category],"")</f>
        <v>Accessories &amp; Basics</v>
      </c>
      <c r="I1737" s="4">
        <v>1</v>
      </c>
      <c r="J1737" s="5">
        <f>_xlfn.XLOOKUP(tblSales[[#This Row],[Product Code]],tblProducts[Code],tblProducts[Selling Price (excl. VAT)],0)</f>
        <v>65000</v>
      </c>
      <c r="K1737" s="5">
        <f>tblSales[[#This Row],[Qty]]*tblSales[[#This Row],[Unit Price]]</f>
        <v>65000</v>
      </c>
      <c r="L1737" s="5">
        <f>ROUND(tblSales[[#This Row],[DPP (excl. VAT)]]*VATEff,0)</f>
        <v>7150</v>
      </c>
      <c r="M1737" s="5">
        <f>tblSales[[#This Row],[DPP (excl. VAT)]]+tblSales[[#This Row],[Output VAT]]</f>
        <v>72150</v>
      </c>
      <c r="N1737" s="5">
        <f>tblSales[[#This Row],[Qty]]*_xlfn.XLOOKUP(tblSales[[#This Row],[Product Code]],tblProducts[Code],tblProducts[Unit Cost],0)</f>
        <v>37000</v>
      </c>
      <c r="O1737" s="4" t="s">
        <v>4865</v>
      </c>
      <c r="P1737" s="4" t="s">
        <v>4860</v>
      </c>
      <c r="Q1737" s="1" t="str">
        <f>_xlfn.XLOOKUP(tblSales[[#This Row],[Channel Code]],tblChannels[Channel Code],tblChannels[Channel Name],"")</f>
        <v>In-store</v>
      </c>
      <c r="R1737" s="1">
        <f>MONTH(tblSales[[#This Row],[Date]])</f>
        <v>4</v>
      </c>
    </row>
    <row r="1738" spans="2:18" x14ac:dyDescent="0.35">
      <c r="B1738" s="113">
        <v>46125</v>
      </c>
      <c r="C1738" s="4" t="s">
        <v>1175</v>
      </c>
      <c r="D1738" s="4" t="s">
        <v>4568</v>
      </c>
      <c r="E1738" s="1" t="str">
        <f>_xlfn.XLOOKUP(tblSales[[#This Row],[Customer ID]],tblCustomers[Customer ID],tblCustomers[Customer Name],"⚠ Unknown")</f>
        <v>Walk-in Customer</v>
      </c>
      <c r="F1738" s="4" t="s">
        <v>13</v>
      </c>
      <c r="G1738" s="1" t="str">
        <f>_xlfn.XLOOKUP(tblSales[[#This Row],[Product Code]],tblProducts[Code],tblProducts[Product / Service Name],"⚠ Unknown")</f>
        <v>Backpack</v>
      </c>
      <c r="H1738" s="1" t="str">
        <f>_xlfn.XLOOKUP(tblSales[[#This Row],[Product Code]],tblProducts[Code],tblProducts[Category],"")</f>
        <v>Bags &amp; Gadgets</v>
      </c>
      <c r="I1738" s="4">
        <v>6</v>
      </c>
      <c r="J1738" s="5">
        <f>_xlfn.XLOOKUP(tblSales[[#This Row],[Product Code]],tblProducts[Code],tblProducts[Selling Price (excl. VAT)],0)</f>
        <v>500000</v>
      </c>
      <c r="K1738" s="5">
        <f>tblSales[[#This Row],[Qty]]*tblSales[[#This Row],[Unit Price]]</f>
        <v>3000000</v>
      </c>
      <c r="L1738" s="5">
        <f>ROUND(tblSales[[#This Row],[DPP (excl. VAT)]]*VATEff,0)</f>
        <v>330000</v>
      </c>
      <c r="M1738" s="5">
        <f>tblSales[[#This Row],[DPP (excl. VAT)]]+tblSales[[#This Row],[Output VAT]]</f>
        <v>3330000</v>
      </c>
      <c r="N1738" s="5">
        <f>tblSales[[#This Row],[Qty]]*_xlfn.XLOOKUP(tblSales[[#This Row],[Product Code]],tblProducts[Code],tblProducts[Unit Cost],0)</f>
        <v>1740000</v>
      </c>
      <c r="O1738" s="4" t="s">
        <v>4865</v>
      </c>
      <c r="P1738" s="4" t="s">
        <v>4860</v>
      </c>
      <c r="Q1738" s="1" t="str">
        <f>_xlfn.XLOOKUP(tblSales[[#This Row],[Channel Code]],tblChannels[Channel Code],tblChannels[Channel Name],"")</f>
        <v>In-store</v>
      </c>
      <c r="R1738" s="1">
        <f>MONTH(tblSales[[#This Row],[Date]])</f>
        <v>4</v>
      </c>
    </row>
    <row r="1739" spans="2:18" x14ac:dyDescent="0.35">
      <c r="B1739" s="113">
        <v>46125</v>
      </c>
      <c r="C1739" s="4" t="s">
        <v>1176</v>
      </c>
      <c r="D1739" s="4" t="s">
        <v>4568</v>
      </c>
      <c r="E1739" s="1" t="str">
        <f>_xlfn.XLOOKUP(tblSales[[#This Row],[Customer ID]],tblCustomers[Customer ID],tblCustomers[Customer Name],"⚠ Unknown")</f>
        <v>Walk-in Customer</v>
      </c>
      <c r="F1739" s="4" t="s">
        <v>14</v>
      </c>
      <c r="G1739" s="1" t="str">
        <f>_xlfn.XLOOKUP(tblSales[[#This Row],[Product Code]],tblProducts[Code],tblProducts[Product / Service Name],"⚠ Unknown")</f>
        <v>Smartwatch</v>
      </c>
      <c r="H1739" s="1" t="str">
        <f>_xlfn.XLOOKUP(tblSales[[#This Row],[Product Code]],tblProducts[Code],tblProducts[Category],"")</f>
        <v>Bags &amp; Gadgets</v>
      </c>
      <c r="I1739" s="4">
        <v>1</v>
      </c>
      <c r="J1739" s="5">
        <f>_xlfn.XLOOKUP(tblSales[[#This Row],[Product Code]],tblProducts[Code],tblProducts[Selling Price (excl. VAT)],0)</f>
        <v>850000</v>
      </c>
      <c r="K1739" s="5">
        <f>tblSales[[#This Row],[Qty]]*tblSales[[#This Row],[Unit Price]]</f>
        <v>850000</v>
      </c>
      <c r="L1739" s="5">
        <f>ROUND(tblSales[[#This Row],[DPP (excl. VAT)]]*VATEff,0)</f>
        <v>93500</v>
      </c>
      <c r="M1739" s="5">
        <f>tblSales[[#This Row],[DPP (excl. VAT)]]+tblSales[[#This Row],[Output VAT]]</f>
        <v>943500</v>
      </c>
      <c r="N1739" s="5">
        <f>tblSales[[#This Row],[Qty]]*_xlfn.XLOOKUP(tblSales[[#This Row],[Product Code]],tblProducts[Code],tblProducts[Unit Cost],0)</f>
        <v>560000</v>
      </c>
      <c r="O1739" s="4" t="s">
        <v>4865</v>
      </c>
      <c r="P1739" s="4" t="s">
        <v>4860</v>
      </c>
      <c r="Q1739" s="1" t="str">
        <f>_xlfn.XLOOKUP(tblSales[[#This Row],[Channel Code]],tblChannels[Channel Code],tblChannels[Channel Name],"")</f>
        <v>In-store</v>
      </c>
      <c r="R1739" s="1">
        <f>MONTH(tblSales[[#This Row],[Date]])</f>
        <v>4</v>
      </c>
    </row>
    <row r="1740" spans="2:18" x14ac:dyDescent="0.35">
      <c r="B1740" s="113">
        <v>46125</v>
      </c>
      <c r="C1740" s="4" t="s">
        <v>1177</v>
      </c>
      <c r="D1740" s="4" t="s">
        <v>4585</v>
      </c>
      <c r="E1740" s="1" t="str">
        <f>_xlfn.XLOOKUP(tblSales[[#This Row],[Customer ID]],tblCustomers[Customer ID],tblCustomers[Customer Name],"⚠ Unknown")</f>
        <v>CV Mitra Karya Mandiri</v>
      </c>
      <c r="F1740" s="4" t="s">
        <v>11</v>
      </c>
      <c r="G1740" s="1" t="str">
        <f>_xlfn.XLOOKUP(tblSales[[#This Row],[Product Code]],tblProducts[Code],tblProducts[Product / Service Name],"⚠ Unknown")</f>
        <v>Sneakers</v>
      </c>
      <c r="H1740" s="1" t="str">
        <f>_xlfn.XLOOKUP(tblSales[[#This Row],[Product Code]],tblProducts[Code],tblProducts[Category],"")</f>
        <v>Apparel &amp; Footwear</v>
      </c>
      <c r="I1740" s="4">
        <v>16</v>
      </c>
      <c r="J1740" s="5">
        <f>_xlfn.XLOOKUP(tblSales[[#This Row],[Product Code]],tblProducts[Code],tblProducts[Selling Price (excl. VAT)],0)</f>
        <v>250000</v>
      </c>
      <c r="K1740" s="5">
        <f>tblSales[[#This Row],[Qty]]*tblSales[[#This Row],[Unit Price]]</f>
        <v>4000000</v>
      </c>
      <c r="L1740" s="5">
        <f>ROUND(tblSales[[#This Row],[DPP (excl. VAT)]]*VATEff,0)</f>
        <v>440000</v>
      </c>
      <c r="M1740" s="5">
        <f>tblSales[[#This Row],[DPP (excl. VAT)]]+tblSales[[#This Row],[Output VAT]]</f>
        <v>4440000</v>
      </c>
      <c r="N1740" s="5">
        <f>tblSales[[#This Row],[Qty]]*_xlfn.XLOOKUP(tblSales[[#This Row],[Product Code]],tblProducts[Code],tblProducts[Unit Cost],0)</f>
        <v>2480000</v>
      </c>
      <c r="O1740" s="4" t="s">
        <v>4867</v>
      </c>
      <c r="P1740" s="4" t="s">
        <v>4860</v>
      </c>
      <c r="Q1740" s="1" t="str">
        <f>_xlfn.XLOOKUP(tblSales[[#This Row],[Channel Code]],tblChannels[Channel Code],tblChannels[Channel Name],"")</f>
        <v>In-store</v>
      </c>
      <c r="R1740" s="1">
        <f>MONTH(tblSales[[#This Row],[Date]])</f>
        <v>4</v>
      </c>
    </row>
    <row r="1741" spans="2:18" x14ac:dyDescent="0.35">
      <c r="B1741" s="113">
        <v>46125</v>
      </c>
      <c r="C1741" s="4" t="s">
        <v>1177</v>
      </c>
      <c r="D1741" s="4" t="s">
        <v>4585</v>
      </c>
      <c r="E1741" s="1" t="str">
        <f>_xlfn.XLOOKUP(tblSales[[#This Row],[Customer ID]],tblCustomers[Customer ID],tblCustomers[Customer Name],"⚠ Unknown")</f>
        <v>CV Mitra Karya Mandiri</v>
      </c>
      <c r="F1741" s="4" t="s">
        <v>7</v>
      </c>
      <c r="G1741" s="1" t="str">
        <f>_xlfn.XLOOKUP(tblSales[[#This Row],[Product Code]],tblProducts[Code],tblProducts[Product / Service Name],"⚠ Unknown")</f>
        <v>Premium Basic T-shirt</v>
      </c>
      <c r="H1741" s="1" t="str">
        <f>_xlfn.XLOOKUP(tblSales[[#This Row],[Product Code]],tblProducts[Code],tblProducts[Category],"")</f>
        <v>Accessories &amp; Basics</v>
      </c>
      <c r="I1741" s="4">
        <v>56</v>
      </c>
      <c r="J1741" s="5">
        <f>_xlfn.XLOOKUP(tblSales[[#This Row],[Product Code]],tblProducts[Code],tblProducts[Selling Price (excl. VAT)],0)</f>
        <v>65000</v>
      </c>
      <c r="K1741" s="5">
        <f>tblSales[[#This Row],[Qty]]*tblSales[[#This Row],[Unit Price]]</f>
        <v>3640000</v>
      </c>
      <c r="L1741" s="5">
        <f>ROUND(tblSales[[#This Row],[DPP (excl. VAT)]]*VATEff,0)</f>
        <v>400400</v>
      </c>
      <c r="M1741" s="5">
        <f>tblSales[[#This Row],[DPP (excl. VAT)]]+tblSales[[#This Row],[Output VAT]]</f>
        <v>4040400</v>
      </c>
      <c r="N1741" s="5">
        <f>tblSales[[#This Row],[Qty]]*_xlfn.XLOOKUP(tblSales[[#This Row],[Product Code]],tblProducts[Code],tblProducts[Unit Cost],0)</f>
        <v>2072000</v>
      </c>
      <c r="O1741" s="4" t="s">
        <v>4867</v>
      </c>
      <c r="P1741" s="4" t="s">
        <v>4860</v>
      </c>
      <c r="Q1741" s="1" t="str">
        <f>_xlfn.XLOOKUP(tblSales[[#This Row],[Channel Code]],tblChannels[Channel Code],tblChannels[Channel Name],"")</f>
        <v>In-store</v>
      </c>
      <c r="R1741" s="1">
        <f>MONTH(tblSales[[#This Row],[Date]])</f>
        <v>4</v>
      </c>
    </row>
    <row r="1742" spans="2:18" x14ac:dyDescent="0.35">
      <c r="B1742" s="113">
        <v>46125</v>
      </c>
      <c r="C1742" s="4" t="s">
        <v>1178</v>
      </c>
      <c r="D1742" s="4" t="s">
        <v>4568</v>
      </c>
      <c r="E1742" s="1" t="str">
        <f>_xlfn.XLOOKUP(tblSales[[#This Row],[Customer ID]],tblCustomers[Customer ID],tblCustomers[Customer Name],"⚠ Unknown")</f>
        <v>Walk-in Customer</v>
      </c>
      <c r="F1742" s="4" t="s">
        <v>6</v>
      </c>
      <c r="G1742" s="1" t="str">
        <f>_xlfn.XLOOKUP(tblSales[[#This Row],[Product Code]],tblProducts[Code],tblProducts[Product / Service Name],"⚠ Unknown")</f>
        <v>Socks &amp; Accessories</v>
      </c>
      <c r="H1742" s="1" t="str">
        <f>_xlfn.XLOOKUP(tblSales[[#This Row],[Product Code]],tblProducts[Code],tblProducts[Category],"")</f>
        <v>Accessories &amp; Basics</v>
      </c>
      <c r="I1742" s="4">
        <v>1</v>
      </c>
      <c r="J1742" s="5">
        <f>_xlfn.XLOOKUP(tblSales[[#This Row],[Product Code]],tblProducts[Code],tblProducts[Selling Price (excl. VAT)],0)</f>
        <v>45000</v>
      </c>
      <c r="K1742" s="5">
        <f>tblSales[[#This Row],[Qty]]*tblSales[[#This Row],[Unit Price]]</f>
        <v>45000</v>
      </c>
      <c r="L1742" s="5">
        <f>ROUND(tblSales[[#This Row],[DPP (excl. VAT)]]*VATEff,0)</f>
        <v>4950</v>
      </c>
      <c r="M1742" s="5">
        <f>tblSales[[#This Row],[DPP (excl. VAT)]]+tblSales[[#This Row],[Output VAT]]</f>
        <v>49950</v>
      </c>
      <c r="N1742" s="5">
        <f>tblSales[[#This Row],[Qty]]*_xlfn.XLOOKUP(tblSales[[#This Row],[Product Code]],tblProducts[Code],tblProducts[Unit Cost],0)</f>
        <v>24000</v>
      </c>
      <c r="O1742" s="4" t="s">
        <v>4865</v>
      </c>
      <c r="P1742" s="4" t="s">
        <v>4860</v>
      </c>
      <c r="Q1742" s="1" t="str">
        <f>_xlfn.XLOOKUP(tblSales[[#This Row],[Channel Code]],tblChannels[Channel Code],tblChannels[Channel Name],"")</f>
        <v>In-store</v>
      </c>
      <c r="R1742" s="1">
        <f>MONTH(tblSales[[#This Row],[Date]])</f>
        <v>4</v>
      </c>
    </row>
    <row r="1743" spans="2:18" x14ac:dyDescent="0.35">
      <c r="B1743" s="113">
        <v>46125</v>
      </c>
      <c r="C1743" s="4" t="s">
        <v>1179</v>
      </c>
      <c r="D1743" s="4" t="s">
        <v>4613</v>
      </c>
      <c r="E1743" s="1" t="str">
        <f>_xlfn.XLOOKUP(tblSales[[#This Row],[Customer ID]],tblCustomers[Customer ID],tblCustomers[Customer Name],"⚠ Unknown")</f>
        <v>PT Mega Prima Distribusi</v>
      </c>
      <c r="F1743" s="4" t="s">
        <v>10</v>
      </c>
      <c r="G1743" s="1" t="str">
        <f>_xlfn.XLOOKUP(tblSales[[#This Row],[Product Code]],tblProducts[Code],tblProducts[Product / Service Name],"⚠ Unknown")</f>
        <v>Chino Pants</v>
      </c>
      <c r="H1743" s="1" t="str">
        <f>_xlfn.XLOOKUP(tblSales[[#This Row],[Product Code]],tblProducts[Code],tblProducts[Category],"")</f>
        <v>Apparel &amp; Footwear</v>
      </c>
      <c r="I1743" s="4">
        <v>96</v>
      </c>
      <c r="J1743" s="5">
        <f>_xlfn.XLOOKUP(tblSales[[#This Row],[Product Code]],tblProducts[Code],tblProducts[Selling Price (excl. VAT)],0)</f>
        <v>150000</v>
      </c>
      <c r="K1743" s="5">
        <f>tblSales[[#This Row],[Qty]]*tblSales[[#This Row],[Unit Price]]</f>
        <v>14400000</v>
      </c>
      <c r="L1743" s="5">
        <f>ROUND(tblSales[[#This Row],[DPP (excl. VAT)]]*VATEff,0)</f>
        <v>1584000</v>
      </c>
      <c r="M1743" s="5">
        <f>tblSales[[#This Row],[DPP (excl. VAT)]]+tblSales[[#This Row],[Output VAT]]</f>
        <v>15984000</v>
      </c>
      <c r="N1743" s="5">
        <f>tblSales[[#This Row],[Qty]]*_xlfn.XLOOKUP(tblSales[[#This Row],[Product Code]],tblProducts[Code],tblProducts[Unit Cost],0)</f>
        <v>8448000</v>
      </c>
      <c r="O1743" s="4" t="s">
        <v>4867</v>
      </c>
      <c r="P1743" s="4" t="s">
        <v>4860</v>
      </c>
      <c r="Q1743" s="1" t="str">
        <f>_xlfn.XLOOKUP(tblSales[[#This Row],[Channel Code]],tblChannels[Channel Code],tblChannels[Channel Name],"")</f>
        <v>In-store</v>
      </c>
      <c r="R1743" s="1">
        <f>MONTH(tblSales[[#This Row],[Date]])</f>
        <v>4</v>
      </c>
    </row>
    <row r="1744" spans="2:18" x14ac:dyDescent="0.35">
      <c r="B1744" s="113">
        <v>46126</v>
      </c>
      <c r="C1744" s="4" t="s">
        <v>1180</v>
      </c>
      <c r="D1744" s="4" t="s">
        <v>4568</v>
      </c>
      <c r="E1744" s="1" t="str">
        <f>_xlfn.XLOOKUP(tblSales[[#This Row],[Customer ID]],tblCustomers[Customer ID],tblCustomers[Customer Name],"⚠ Unknown")</f>
        <v>Walk-in Customer</v>
      </c>
      <c r="F1744" s="4" t="s">
        <v>6</v>
      </c>
      <c r="G1744" s="1" t="str">
        <f>_xlfn.XLOOKUP(tblSales[[#This Row],[Product Code]],tblProducts[Code],tblProducts[Product / Service Name],"⚠ Unknown")</f>
        <v>Socks &amp; Accessories</v>
      </c>
      <c r="H1744" s="1" t="str">
        <f>_xlfn.XLOOKUP(tblSales[[#This Row],[Product Code]],tblProducts[Code],tblProducts[Category],"")</f>
        <v>Accessories &amp; Basics</v>
      </c>
      <c r="I1744" s="4">
        <v>12</v>
      </c>
      <c r="J1744" s="5">
        <f>_xlfn.XLOOKUP(tblSales[[#This Row],[Product Code]],tblProducts[Code],tblProducts[Selling Price (excl. VAT)],0)</f>
        <v>45000</v>
      </c>
      <c r="K1744" s="5">
        <f>tblSales[[#This Row],[Qty]]*tblSales[[#This Row],[Unit Price]]</f>
        <v>540000</v>
      </c>
      <c r="L1744" s="5">
        <f>ROUND(tblSales[[#This Row],[DPP (excl. VAT)]]*VATEff,0)</f>
        <v>59400</v>
      </c>
      <c r="M1744" s="5">
        <f>tblSales[[#This Row],[DPP (excl. VAT)]]+tblSales[[#This Row],[Output VAT]]</f>
        <v>599400</v>
      </c>
      <c r="N1744" s="5">
        <f>tblSales[[#This Row],[Qty]]*_xlfn.XLOOKUP(tblSales[[#This Row],[Product Code]],tblProducts[Code],tblProducts[Unit Cost],0)</f>
        <v>288000</v>
      </c>
      <c r="O1744" s="4" t="s">
        <v>4866</v>
      </c>
      <c r="P1744" s="4" t="s">
        <v>4861</v>
      </c>
      <c r="Q1744" s="1" t="str">
        <f>_xlfn.XLOOKUP(tblSales[[#This Row],[Channel Code]],tblChannels[Channel Code],tblChannels[Channel Name],"")</f>
        <v>Marketplace</v>
      </c>
      <c r="R1744" s="1">
        <f>MONTH(tblSales[[#This Row],[Date]])</f>
        <v>4</v>
      </c>
    </row>
    <row r="1745" spans="2:18" x14ac:dyDescent="0.35">
      <c r="B1745" s="113">
        <v>46126</v>
      </c>
      <c r="C1745" s="4" t="s">
        <v>1181</v>
      </c>
      <c r="D1745" s="4" t="s">
        <v>4568</v>
      </c>
      <c r="E1745" s="1" t="str">
        <f>_xlfn.XLOOKUP(tblSales[[#This Row],[Customer ID]],tblCustomers[Customer ID],tblCustomers[Customer Name],"⚠ Unknown")</f>
        <v>Walk-in Customer</v>
      </c>
      <c r="F1745" s="4" t="s">
        <v>11</v>
      </c>
      <c r="G1745" s="1" t="str">
        <f>_xlfn.XLOOKUP(tblSales[[#This Row],[Product Code]],tblProducts[Code],tblProducts[Product / Service Name],"⚠ Unknown")</f>
        <v>Sneakers</v>
      </c>
      <c r="H1745" s="1" t="str">
        <f>_xlfn.XLOOKUP(tblSales[[#This Row],[Product Code]],tblProducts[Code],tblProducts[Category],"")</f>
        <v>Apparel &amp; Footwear</v>
      </c>
      <c r="I1745" s="4">
        <v>2</v>
      </c>
      <c r="J1745" s="5">
        <f>_xlfn.XLOOKUP(tblSales[[#This Row],[Product Code]],tblProducts[Code],tblProducts[Selling Price (excl. VAT)],0)</f>
        <v>250000</v>
      </c>
      <c r="K1745" s="5">
        <f>tblSales[[#This Row],[Qty]]*tblSales[[#This Row],[Unit Price]]</f>
        <v>500000</v>
      </c>
      <c r="L1745" s="5">
        <f>ROUND(tblSales[[#This Row],[DPP (excl. VAT)]]*VATEff,0)</f>
        <v>55000</v>
      </c>
      <c r="M1745" s="5">
        <f>tblSales[[#This Row],[DPP (excl. VAT)]]+tblSales[[#This Row],[Output VAT]]</f>
        <v>555000</v>
      </c>
      <c r="N1745" s="5">
        <f>tblSales[[#This Row],[Qty]]*_xlfn.XLOOKUP(tblSales[[#This Row],[Product Code]],tblProducts[Code],tblProducts[Unit Cost],0)</f>
        <v>310000</v>
      </c>
      <c r="O1745" s="4" t="s">
        <v>4866</v>
      </c>
      <c r="P1745" s="4" t="s">
        <v>4860</v>
      </c>
      <c r="Q1745" s="1" t="str">
        <f>_xlfn.XLOOKUP(tblSales[[#This Row],[Channel Code]],tblChannels[Channel Code],tblChannels[Channel Name],"")</f>
        <v>In-store</v>
      </c>
      <c r="R1745" s="1">
        <f>MONTH(tblSales[[#This Row],[Date]])</f>
        <v>4</v>
      </c>
    </row>
    <row r="1746" spans="2:18" x14ac:dyDescent="0.35">
      <c r="B1746" s="113">
        <v>46126</v>
      </c>
      <c r="C1746" s="4" t="s">
        <v>1182</v>
      </c>
      <c r="D1746" s="4" t="s">
        <v>4568</v>
      </c>
      <c r="E1746" s="1" t="str">
        <f>_xlfn.XLOOKUP(tblSales[[#This Row],[Customer ID]],tblCustomers[Customer ID],tblCustomers[Customer Name],"⚠ Unknown")</f>
        <v>Walk-in Customer</v>
      </c>
      <c r="F1746" s="4" t="s">
        <v>6</v>
      </c>
      <c r="G1746" s="1" t="str">
        <f>_xlfn.XLOOKUP(tblSales[[#This Row],[Product Code]],tblProducts[Code],tblProducts[Product / Service Name],"⚠ Unknown")</f>
        <v>Socks &amp; Accessories</v>
      </c>
      <c r="H1746" s="1" t="str">
        <f>_xlfn.XLOOKUP(tblSales[[#This Row],[Product Code]],tblProducts[Code],tblProducts[Category],"")</f>
        <v>Accessories &amp; Basics</v>
      </c>
      <c r="I1746" s="4">
        <v>7</v>
      </c>
      <c r="J1746" s="5">
        <f>_xlfn.XLOOKUP(tblSales[[#This Row],[Product Code]],tblProducts[Code],tblProducts[Selling Price (excl. VAT)],0)</f>
        <v>45000</v>
      </c>
      <c r="K1746" s="5">
        <f>tblSales[[#This Row],[Qty]]*tblSales[[#This Row],[Unit Price]]</f>
        <v>315000</v>
      </c>
      <c r="L1746" s="5">
        <f>ROUND(tblSales[[#This Row],[DPP (excl. VAT)]]*VATEff,0)</f>
        <v>34650</v>
      </c>
      <c r="M1746" s="5">
        <f>tblSales[[#This Row],[DPP (excl. VAT)]]+tblSales[[#This Row],[Output VAT]]</f>
        <v>349650</v>
      </c>
      <c r="N1746" s="5">
        <f>tblSales[[#This Row],[Qty]]*_xlfn.XLOOKUP(tblSales[[#This Row],[Product Code]],tblProducts[Code],tblProducts[Unit Cost],0)</f>
        <v>168000</v>
      </c>
      <c r="O1746" s="4" t="s">
        <v>4866</v>
      </c>
      <c r="P1746" s="4" t="s">
        <v>4860</v>
      </c>
      <c r="Q1746" s="1" t="str">
        <f>_xlfn.XLOOKUP(tblSales[[#This Row],[Channel Code]],tblChannels[Channel Code],tblChannels[Channel Name],"")</f>
        <v>In-store</v>
      </c>
      <c r="R1746" s="1">
        <f>MONTH(tblSales[[#This Row],[Date]])</f>
        <v>4</v>
      </c>
    </row>
    <row r="1747" spans="2:18" x14ac:dyDescent="0.35">
      <c r="B1747" s="113">
        <v>46126</v>
      </c>
      <c r="C1747" s="4" t="s">
        <v>1183</v>
      </c>
      <c r="D1747" s="4" t="s">
        <v>4568</v>
      </c>
      <c r="E1747" s="1" t="str">
        <f>_xlfn.XLOOKUP(tblSales[[#This Row],[Customer ID]],tblCustomers[Customer ID],tblCustomers[Customer Name],"⚠ Unknown")</f>
        <v>Walk-in Customer</v>
      </c>
      <c r="F1747" s="4" t="s">
        <v>9</v>
      </c>
      <c r="G1747" s="1" t="str">
        <f>_xlfn.XLOOKUP(tblSales[[#This Row],[Product Code]],tblProducts[Code],tblProducts[Product / Service Name],"⚠ Unknown")</f>
        <v>Casual Shirt</v>
      </c>
      <c r="H1747" s="1" t="str">
        <f>_xlfn.XLOOKUP(tblSales[[#This Row],[Product Code]],tblProducts[Code],tblProducts[Category],"")</f>
        <v>Apparel &amp; Footwear</v>
      </c>
      <c r="I1747" s="4">
        <v>2</v>
      </c>
      <c r="J1747" s="5">
        <f>_xlfn.XLOOKUP(tblSales[[#This Row],[Product Code]],tblProducts[Code],tblProducts[Selling Price (excl. VAT)],0)</f>
        <v>120000</v>
      </c>
      <c r="K1747" s="5">
        <f>tblSales[[#This Row],[Qty]]*tblSales[[#This Row],[Unit Price]]</f>
        <v>240000</v>
      </c>
      <c r="L1747" s="5">
        <f>ROUND(tblSales[[#This Row],[DPP (excl. VAT)]]*VATEff,0)</f>
        <v>26400</v>
      </c>
      <c r="M1747" s="5">
        <f>tblSales[[#This Row],[DPP (excl. VAT)]]+tblSales[[#This Row],[Output VAT]]</f>
        <v>266400</v>
      </c>
      <c r="N1747" s="5">
        <f>tblSales[[#This Row],[Qty]]*_xlfn.XLOOKUP(tblSales[[#This Row],[Product Code]],tblProducts[Code],tblProducts[Unit Cost],0)</f>
        <v>144000</v>
      </c>
      <c r="O1747" s="4" t="s">
        <v>4865</v>
      </c>
      <c r="P1747" s="4" t="s">
        <v>4860</v>
      </c>
      <c r="Q1747" s="1" t="str">
        <f>_xlfn.XLOOKUP(tblSales[[#This Row],[Channel Code]],tblChannels[Channel Code],tblChannels[Channel Name],"")</f>
        <v>In-store</v>
      </c>
      <c r="R1747" s="1">
        <f>MONTH(tblSales[[#This Row],[Date]])</f>
        <v>4</v>
      </c>
    </row>
    <row r="1748" spans="2:18" x14ac:dyDescent="0.35">
      <c r="B1748" s="113">
        <v>46126</v>
      </c>
      <c r="C1748" s="4" t="s">
        <v>1183</v>
      </c>
      <c r="D1748" s="4" t="s">
        <v>4568</v>
      </c>
      <c r="E1748" s="1" t="str">
        <f>_xlfn.XLOOKUP(tblSales[[#This Row],[Customer ID]],tblCustomers[Customer ID],tblCustomers[Customer Name],"⚠ Unknown")</f>
        <v>Walk-in Customer</v>
      </c>
      <c r="F1748" s="4" t="s">
        <v>6</v>
      </c>
      <c r="G1748" s="1" t="str">
        <f>_xlfn.XLOOKUP(tblSales[[#This Row],[Product Code]],tblProducts[Code],tblProducts[Product / Service Name],"⚠ Unknown")</f>
        <v>Socks &amp; Accessories</v>
      </c>
      <c r="H1748" s="1" t="str">
        <f>_xlfn.XLOOKUP(tblSales[[#This Row],[Product Code]],tblProducts[Code],tblProducts[Category],"")</f>
        <v>Accessories &amp; Basics</v>
      </c>
      <c r="I1748" s="4">
        <v>11</v>
      </c>
      <c r="J1748" s="5">
        <f>_xlfn.XLOOKUP(tblSales[[#This Row],[Product Code]],tblProducts[Code],tblProducts[Selling Price (excl. VAT)],0)</f>
        <v>45000</v>
      </c>
      <c r="K1748" s="5">
        <f>tblSales[[#This Row],[Qty]]*tblSales[[#This Row],[Unit Price]]</f>
        <v>495000</v>
      </c>
      <c r="L1748" s="5">
        <f>ROUND(tblSales[[#This Row],[DPP (excl. VAT)]]*VATEff,0)</f>
        <v>54450</v>
      </c>
      <c r="M1748" s="5">
        <f>tblSales[[#This Row],[DPP (excl. VAT)]]+tblSales[[#This Row],[Output VAT]]</f>
        <v>549450</v>
      </c>
      <c r="N1748" s="5">
        <f>tblSales[[#This Row],[Qty]]*_xlfn.XLOOKUP(tblSales[[#This Row],[Product Code]],tblProducts[Code],tblProducts[Unit Cost],0)</f>
        <v>264000</v>
      </c>
      <c r="O1748" s="4" t="s">
        <v>4865</v>
      </c>
      <c r="P1748" s="4" t="s">
        <v>4860</v>
      </c>
      <c r="Q1748" s="1" t="str">
        <f>_xlfn.XLOOKUP(tblSales[[#This Row],[Channel Code]],tblChannels[Channel Code],tblChannels[Channel Name],"")</f>
        <v>In-store</v>
      </c>
      <c r="R1748" s="1">
        <f>MONTH(tblSales[[#This Row],[Date]])</f>
        <v>4</v>
      </c>
    </row>
    <row r="1749" spans="2:18" x14ac:dyDescent="0.35">
      <c r="B1749" s="113">
        <v>46126</v>
      </c>
      <c r="C1749" s="4" t="s">
        <v>1184</v>
      </c>
      <c r="D1749" s="4" t="s">
        <v>4620</v>
      </c>
      <c r="E1749" s="1" t="str">
        <f>_xlfn.XLOOKUP(tblSales[[#This Row],[Customer ID]],tblCustomers[Customer ID],tblCustomers[Customer Name],"⚠ Unknown")</f>
        <v>CV Sumber Rejeki Utama</v>
      </c>
      <c r="F1749" s="4" t="s">
        <v>9</v>
      </c>
      <c r="G1749" s="1" t="str">
        <f>_xlfn.XLOOKUP(tblSales[[#This Row],[Product Code]],tblProducts[Code],tblProducts[Product / Service Name],"⚠ Unknown")</f>
        <v>Casual Shirt</v>
      </c>
      <c r="H1749" s="1" t="str">
        <f>_xlfn.XLOOKUP(tblSales[[#This Row],[Product Code]],tblProducts[Code],tblProducts[Category],"")</f>
        <v>Apparel &amp; Footwear</v>
      </c>
      <c r="I1749" s="4">
        <v>8</v>
      </c>
      <c r="J1749" s="5">
        <f>_xlfn.XLOOKUP(tblSales[[#This Row],[Product Code]],tblProducts[Code],tblProducts[Selling Price (excl. VAT)],0)</f>
        <v>120000</v>
      </c>
      <c r="K1749" s="5">
        <f>tblSales[[#This Row],[Qty]]*tblSales[[#This Row],[Unit Price]]</f>
        <v>960000</v>
      </c>
      <c r="L1749" s="5">
        <f>ROUND(tblSales[[#This Row],[DPP (excl. VAT)]]*VATEff,0)</f>
        <v>105600</v>
      </c>
      <c r="M1749" s="5">
        <f>tblSales[[#This Row],[DPP (excl. VAT)]]+tblSales[[#This Row],[Output VAT]]</f>
        <v>1065600</v>
      </c>
      <c r="N1749" s="5">
        <f>tblSales[[#This Row],[Qty]]*_xlfn.XLOOKUP(tblSales[[#This Row],[Product Code]],tblProducts[Code],tblProducts[Unit Cost],0)</f>
        <v>576000</v>
      </c>
      <c r="O1749" s="4" t="s">
        <v>4867</v>
      </c>
      <c r="P1749" s="4" t="s">
        <v>4860</v>
      </c>
      <c r="Q1749" s="1" t="str">
        <f>_xlfn.XLOOKUP(tblSales[[#This Row],[Channel Code]],tblChannels[Channel Code],tblChannels[Channel Name],"")</f>
        <v>In-store</v>
      </c>
      <c r="R1749" s="1">
        <f>MONTH(tblSales[[#This Row],[Date]])</f>
        <v>4</v>
      </c>
    </row>
    <row r="1750" spans="2:18" x14ac:dyDescent="0.35">
      <c r="B1750" s="113">
        <v>46126</v>
      </c>
      <c r="C1750" s="4" t="s">
        <v>1185</v>
      </c>
      <c r="D1750" s="4" t="s">
        <v>4568</v>
      </c>
      <c r="E1750" s="1" t="str">
        <f>_xlfn.XLOOKUP(tblSales[[#This Row],[Customer ID]],tblCustomers[Customer ID],tblCustomers[Customer Name],"⚠ Unknown")</f>
        <v>Walk-in Customer</v>
      </c>
      <c r="F1750" s="4" t="s">
        <v>10</v>
      </c>
      <c r="G1750" s="1" t="str">
        <f>_xlfn.XLOOKUP(tblSales[[#This Row],[Product Code]],tblProducts[Code],tblProducts[Product / Service Name],"⚠ Unknown")</f>
        <v>Chino Pants</v>
      </c>
      <c r="H1750" s="1" t="str">
        <f>_xlfn.XLOOKUP(tblSales[[#This Row],[Product Code]],tblProducts[Code],tblProducts[Category],"")</f>
        <v>Apparel &amp; Footwear</v>
      </c>
      <c r="I1750" s="4">
        <v>11</v>
      </c>
      <c r="J1750" s="5">
        <f>_xlfn.XLOOKUP(tblSales[[#This Row],[Product Code]],tblProducts[Code],tblProducts[Selling Price (excl. VAT)],0)</f>
        <v>150000</v>
      </c>
      <c r="K1750" s="5">
        <f>tblSales[[#This Row],[Qty]]*tblSales[[#This Row],[Unit Price]]</f>
        <v>1650000</v>
      </c>
      <c r="L1750" s="5">
        <f>ROUND(tblSales[[#This Row],[DPP (excl. VAT)]]*VATEff,0)</f>
        <v>181500</v>
      </c>
      <c r="M1750" s="5">
        <f>tblSales[[#This Row],[DPP (excl. VAT)]]+tblSales[[#This Row],[Output VAT]]</f>
        <v>1831500</v>
      </c>
      <c r="N1750" s="5">
        <f>tblSales[[#This Row],[Qty]]*_xlfn.XLOOKUP(tblSales[[#This Row],[Product Code]],tblProducts[Code],tblProducts[Unit Cost],0)</f>
        <v>968000</v>
      </c>
      <c r="O1750" s="4" t="s">
        <v>4866</v>
      </c>
      <c r="P1750" s="4" t="s">
        <v>4862</v>
      </c>
      <c r="Q1750" s="1" t="str">
        <f>_xlfn.XLOOKUP(tblSales[[#This Row],[Channel Code]],tblChannels[Channel Code],tblChannels[Channel Name],"")</f>
        <v>Website &amp; Social Media</v>
      </c>
      <c r="R1750" s="1">
        <f>MONTH(tblSales[[#This Row],[Date]])</f>
        <v>4</v>
      </c>
    </row>
    <row r="1751" spans="2:18" x14ac:dyDescent="0.35">
      <c r="B1751" s="113">
        <v>46126</v>
      </c>
      <c r="C1751" s="4" t="s">
        <v>1186</v>
      </c>
      <c r="D1751" s="4" t="s">
        <v>4568</v>
      </c>
      <c r="E1751" s="1" t="str">
        <f>_xlfn.XLOOKUP(tblSales[[#This Row],[Customer ID]],tblCustomers[Customer ID],tblCustomers[Customer Name],"⚠ Unknown")</f>
        <v>Walk-in Customer</v>
      </c>
      <c r="F1751" s="4" t="s">
        <v>10</v>
      </c>
      <c r="G1751" s="1" t="str">
        <f>_xlfn.XLOOKUP(tblSales[[#This Row],[Product Code]],tblProducts[Code],tblProducts[Product / Service Name],"⚠ Unknown")</f>
        <v>Chino Pants</v>
      </c>
      <c r="H1751" s="1" t="str">
        <f>_xlfn.XLOOKUP(tblSales[[#This Row],[Product Code]],tblProducts[Code],tblProducts[Category],"")</f>
        <v>Apparel &amp; Footwear</v>
      </c>
      <c r="I1751" s="4">
        <v>4</v>
      </c>
      <c r="J1751" s="5">
        <f>_xlfn.XLOOKUP(tblSales[[#This Row],[Product Code]],tblProducts[Code],tblProducts[Selling Price (excl. VAT)],0)</f>
        <v>150000</v>
      </c>
      <c r="K1751" s="5">
        <f>tblSales[[#This Row],[Qty]]*tblSales[[#This Row],[Unit Price]]</f>
        <v>600000</v>
      </c>
      <c r="L1751" s="5">
        <f>ROUND(tblSales[[#This Row],[DPP (excl. VAT)]]*VATEff,0)</f>
        <v>66000</v>
      </c>
      <c r="M1751" s="5">
        <f>tblSales[[#This Row],[DPP (excl. VAT)]]+tblSales[[#This Row],[Output VAT]]</f>
        <v>666000</v>
      </c>
      <c r="N1751" s="5">
        <f>tblSales[[#This Row],[Qty]]*_xlfn.XLOOKUP(tblSales[[#This Row],[Product Code]],tblProducts[Code],tblProducts[Unit Cost],0)</f>
        <v>352000</v>
      </c>
      <c r="O1751" s="4" t="s">
        <v>4866</v>
      </c>
      <c r="P1751" s="4" t="s">
        <v>4861</v>
      </c>
      <c r="Q1751" s="1" t="str">
        <f>_xlfn.XLOOKUP(tblSales[[#This Row],[Channel Code]],tblChannels[Channel Code],tblChannels[Channel Name],"")</f>
        <v>Marketplace</v>
      </c>
      <c r="R1751" s="1">
        <f>MONTH(tblSales[[#This Row],[Date]])</f>
        <v>4</v>
      </c>
    </row>
    <row r="1752" spans="2:18" x14ac:dyDescent="0.35">
      <c r="B1752" s="113">
        <v>46126</v>
      </c>
      <c r="C1752" s="4" t="s">
        <v>1186</v>
      </c>
      <c r="D1752" s="4" t="s">
        <v>4568</v>
      </c>
      <c r="E1752" s="1" t="str">
        <f>_xlfn.XLOOKUP(tblSales[[#This Row],[Customer ID]],tblCustomers[Customer ID],tblCustomers[Customer Name],"⚠ Unknown")</f>
        <v>Walk-in Customer</v>
      </c>
      <c r="F1752" s="4" t="s">
        <v>7</v>
      </c>
      <c r="G1752" s="1" t="str">
        <f>_xlfn.XLOOKUP(tblSales[[#This Row],[Product Code]],tblProducts[Code],tblProducts[Product / Service Name],"⚠ Unknown")</f>
        <v>Premium Basic T-shirt</v>
      </c>
      <c r="H1752" s="1" t="str">
        <f>_xlfn.XLOOKUP(tblSales[[#This Row],[Product Code]],tblProducts[Code],tblProducts[Category],"")</f>
        <v>Accessories &amp; Basics</v>
      </c>
      <c r="I1752" s="4">
        <v>11</v>
      </c>
      <c r="J1752" s="5">
        <f>_xlfn.XLOOKUP(tblSales[[#This Row],[Product Code]],tblProducts[Code],tblProducts[Selling Price (excl. VAT)],0)</f>
        <v>65000</v>
      </c>
      <c r="K1752" s="5">
        <f>tblSales[[#This Row],[Qty]]*tblSales[[#This Row],[Unit Price]]</f>
        <v>715000</v>
      </c>
      <c r="L1752" s="5">
        <f>ROUND(tblSales[[#This Row],[DPP (excl. VAT)]]*VATEff,0)</f>
        <v>78650</v>
      </c>
      <c r="M1752" s="5">
        <f>tblSales[[#This Row],[DPP (excl. VAT)]]+tblSales[[#This Row],[Output VAT]]</f>
        <v>793650</v>
      </c>
      <c r="N1752" s="5">
        <f>tblSales[[#This Row],[Qty]]*_xlfn.XLOOKUP(tblSales[[#This Row],[Product Code]],tblProducts[Code],tblProducts[Unit Cost],0)</f>
        <v>407000</v>
      </c>
      <c r="O1752" s="4" t="s">
        <v>4866</v>
      </c>
      <c r="P1752" s="4" t="s">
        <v>4861</v>
      </c>
      <c r="Q1752" s="1" t="str">
        <f>_xlfn.XLOOKUP(tblSales[[#This Row],[Channel Code]],tblChannels[Channel Code],tblChannels[Channel Name],"")</f>
        <v>Marketplace</v>
      </c>
      <c r="R1752" s="1">
        <f>MONTH(tblSales[[#This Row],[Date]])</f>
        <v>4</v>
      </c>
    </row>
    <row r="1753" spans="2:18" x14ac:dyDescent="0.35">
      <c r="B1753" s="113">
        <v>46126</v>
      </c>
      <c r="C1753" s="4" t="s">
        <v>1187</v>
      </c>
      <c r="D1753" s="4" t="s">
        <v>4568</v>
      </c>
      <c r="E1753" s="1" t="str">
        <f>_xlfn.XLOOKUP(tblSales[[#This Row],[Customer ID]],tblCustomers[Customer ID],tblCustomers[Customer Name],"⚠ Unknown")</f>
        <v>Walk-in Customer</v>
      </c>
      <c r="F1753" s="4" t="s">
        <v>6</v>
      </c>
      <c r="G1753" s="1" t="str">
        <f>_xlfn.XLOOKUP(tblSales[[#This Row],[Product Code]],tblProducts[Code],tblProducts[Product / Service Name],"⚠ Unknown")</f>
        <v>Socks &amp; Accessories</v>
      </c>
      <c r="H1753" s="1" t="str">
        <f>_xlfn.XLOOKUP(tblSales[[#This Row],[Product Code]],tblProducts[Code],tblProducts[Category],"")</f>
        <v>Accessories &amp; Basics</v>
      </c>
      <c r="I1753" s="4">
        <v>2</v>
      </c>
      <c r="J1753" s="5">
        <f>_xlfn.XLOOKUP(tblSales[[#This Row],[Product Code]],tblProducts[Code],tblProducts[Selling Price (excl. VAT)],0)</f>
        <v>45000</v>
      </c>
      <c r="K1753" s="5">
        <f>tblSales[[#This Row],[Qty]]*tblSales[[#This Row],[Unit Price]]</f>
        <v>90000</v>
      </c>
      <c r="L1753" s="5">
        <f>ROUND(tblSales[[#This Row],[DPP (excl. VAT)]]*VATEff,0)</f>
        <v>9900</v>
      </c>
      <c r="M1753" s="5">
        <f>tblSales[[#This Row],[DPP (excl. VAT)]]+tblSales[[#This Row],[Output VAT]]</f>
        <v>99900</v>
      </c>
      <c r="N1753" s="5">
        <f>tblSales[[#This Row],[Qty]]*_xlfn.XLOOKUP(tblSales[[#This Row],[Product Code]],tblProducts[Code],tblProducts[Unit Cost],0)</f>
        <v>48000</v>
      </c>
      <c r="O1753" s="4" t="s">
        <v>4865</v>
      </c>
      <c r="P1753" s="4" t="s">
        <v>4860</v>
      </c>
      <c r="Q1753" s="1" t="str">
        <f>_xlfn.XLOOKUP(tblSales[[#This Row],[Channel Code]],tblChannels[Channel Code],tblChannels[Channel Name],"")</f>
        <v>In-store</v>
      </c>
      <c r="R1753" s="1">
        <f>MONTH(tblSales[[#This Row],[Date]])</f>
        <v>4</v>
      </c>
    </row>
    <row r="1754" spans="2:18" x14ac:dyDescent="0.35">
      <c r="B1754" s="113">
        <v>46126</v>
      </c>
      <c r="C1754" s="4" t="s">
        <v>1188</v>
      </c>
      <c r="D1754" s="4" t="s">
        <v>4648</v>
      </c>
      <c r="E1754" s="1" t="str">
        <f>_xlfn.XLOOKUP(tblSales[[#This Row],[Customer ID]],tblCustomers[Customer ID],tblCustomers[Customer Name],"⚠ Unknown")</f>
        <v>PT Lintas Benua Niaga</v>
      </c>
      <c r="F1754" s="4" t="s">
        <v>7</v>
      </c>
      <c r="G1754" s="1" t="str">
        <f>_xlfn.XLOOKUP(tblSales[[#This Row],[Product Code]],tblProducts[Code],tblProducts[Product / Service Name],"⚠ Unknown")</f>
        <v>Premium Basic T-shirt</v>
      </c>
      <c r="H1754" s="1" t="str">
        <f>_xlfn.XLOOKUP(tblSales[[#This Row],[Product Code]],tblProducts[Code],tblProducts[Category],"")</f>
        <v>Accessories &amp; Basics</v>
      </c>
      <c r="I1754" s="4">
        <v>48</v>
      </c>
      <c r="J1754" s="5">
        <f>_xlfn.XLOOKUP(tblSales[[#This Row],[Product Code]],tblProducts[Code],tblProducts[Selling Price (excl. VAT)],0)</f>
        <v>65000</v>
      </c>
      <c r="K1754" s="5">
        <f>tblSales[[#This Row],[Qty]]*tblSales[[#This Row],[Unit Price]]</f>
        <v>3120000</v>
      </c>
      <c r="L1754" s="5">
        <f>ROUND(tblSales[[#This Row],[DPP (excl. VAT)]]*VATEff,0)</f>
        <v>343200</v>
      </c>
      <c r="M1754" s="5">
        <f>tblSales[[#This Row],[DPP (excl. VAT)]]+tblSales[[#This Row],[Output VAT]]</f>
        <v>3463200</v>
      </c>
      <c r="N1754" s="5">
        <f>tblSales[[#This Row],[Qty]]*_xlfn.XLOOKUP(tblSales[[#This Row],[Product Code]],tblProducts[Code],tblProducts[Unit Cost],0)</f>
        <v>1776000</v>
      </c>
      <c r="O1754" s="4" t="s">
        <v>4867</v>
      </c>
      <c r="P1754" s="4" t="s">
        <v>4860</v>
      </c>
      <c r="Q1754" s="1" t="str">
        <f>_xlfn.XLOOKUP(tblSales[[#This Row],[Channel Code]],tblChannels[Channel Code],tblChannels[Channel Name],"")</f>
        <v>In-store</v>
      </c>
      <c r="R1754" s="1">
        <f>MONTH(tblSales[[#This Row],[Date]])</f>
        <v>4</v>
      </c>
    </row>
    <row r="1755" spans="2:18" x14ac:dyDescent="0.35">
      <c r="B1755" s="113">
        <v>46126</v>
      </c>
      <c r="C1755" s="4" t="s">
        <v>1189</v>
      </c>
      <c r="D1755" s="4" t="s">
        <v>4568</v>
      </c>
      <c r="E1755" s="1" t="str">
        <f>_xlfn.XLOOKUP(tblSales[[#This Row],[Customer ID]],tblCustomers[Customer ID],tblCustomers[Customer Name],"⚠ Unknown")</f>
        <v>Walk-in Customer</v>
      </c>
      <c r="F1755" s="4" t="s">
        <v>8</v>
      </c>
      <c r="G1755" s="1" t="str">
        <f>_xlfn.XLOOKUP(tblSales[[#This Row],[Product Code]],tblProducts[Code],tblProducts[Product / Service Name],"⚠ Unknown")</f>
        <v>Casual Shorts</v>
      </c>
      <c r="H1755" s="1" t="str">
        <f>_xlfn.XLOOKUP(tblSales[[#This Row],[Product Code]],tblProducts[Code],tblProducts[Category],"")</f>
        <v>Accessories &amp; Basics</v>
      </c>
      <c r="I1755" s="4">
        <v>9</v>
      </c>
      <c r="J1755" s="5">
        <f>_xlfn.XLOOKUP(tblSales[[#This Row],[Product Code]],tblProducts[Code],tblProducts[Selling Price (excl. VAT)],0)</f>
        <v>85000</v>
      </c>
      <c r="K1755" s="5">
        <f>tblSales[[#This Row],[Qty]]*tblSales[[#This Row],[Unit Price]]</f>
        <v>765000</v>
      </c>
      <c r="L1755" s="5">
        <f>ROUND(tblSales[[#This Row],[DPP (excl. VAT)]]*VATEff,0)</f>
        <v>84150</v>
      </c>
      <c r="M1755" s="5">
        <f>tblSales[[#This Row],[DPP (excl. VAT)]]+tblSales[[#This Row],[Output VAT]]</f>
        <v>849150</v>
      </c>
      <c r="N1755" s="5">
        <f>tblSales[[#This Row],[Qty]]*_xlfn.XLOOKUP(tblSales[[#This Row],[Product Code]],tblProducts[Code],tblProducts[Unit Cost],0)</f>
        <v>450000</v>
      </c>
      <c r="O1755" s="4" t="s">
        <v>4865</v>
      </c>
      <c r="P1755" s="4" t="s">
        <v>4860</v>
      </c>
      <c r="Q1755" s="1" t="str">
        <f>_xlfn.XLOOKUP(tblSales[[#This Row],[Channel Code]],tblChannels[Channel Code],tblChannels[Channel Name],"")</f>
        <v>In-store</v>
      </c>
      <c r="R1755" s="1">
        <f>MONTH(tblSales[[#This Row],[Date]])</f>
        <v>4</v>
      </c>
    </row>
    <row r="1756" spans="2:18" x14ac:dyDescent="0.35">
      <c r="B1756" s="113">
        <v>46127</v>
      </c>
      <c r="C1756" s="4" t="s">
        <v>1190</v>
      </c>
      <c r="D1756" s="4" t="s">
        <v>4568</v>
      </c>
      <c r="E1756" s="1" t="str">
        <f>_xlfn.XLOOKUP(tblSales[[#This Row],[Customer ID]],tblCustomers[Customer ID],tblCustomers[Customer Name],"⚠ Unknown")</f>
        <v>Walk-in Customer</v>
      </c>
      <c r="F1756" s="4" t="s">
        <v>13</v>
      </c>
      <c r="G1756" s="1" t="str">
        <f>_xlfn.XLOOKUP(tblSales[[#This Row],[Product Code]],tblProducts[Code],tblProducts[Product / Service Name],"⚠ Unknown")</f>
        <v>Backpack</v>
      </c>
      <c r="H1756" s="1" t="str">
        <f>_xlfn.XLOOKUP(tblSales[[#This Row],[Product Code]],tblProducts[Code],tblProducts[Category],"")</f>
        <v>Bags &amp; Gadgets</v>
      </c>
      <c r="I1756" s="4">
        <v>2</v>
      </c>
      <c r="J1756" s="5">
        <f>_xlfn.XLOOKUP(tblSales[[#This Row],[Product Code]],tblProducts[Code],tblProducts[Selling Price (excl. VAT)],0)</f>
        <v>500000</v>
      </c>
      <c r="K1756" s="5">
        <f>tblSales[[#This Row],[Qty]]*tblSales[[#This Row],[Unit Price]]</f>
        <v>1000000</v>
      </c>
      <c r="L1756" s="5">
        <f>ROUND(tblSales[[#This Row],[DPP (excl. VAT)]]*VATEff,0)</f>
        <v>110000</v>
      </c>
      <c r="M1756" s="5">
        <f>tblSales[[#This Row],[DPP (excl. VAT)]]+tblSales[[#This Row],[Output VAT]]</f>
        <v>1110000</v>
      </c>
      <c r="N1756" s="5">
        <f>tblSales[[#This Row],[Qty]]*_xlfn.XLOOKUP(tblSales[[#This Row],[Product Code]],tblProducts[Code],tblProducts[Unit Cost],0)</f>
        <v>580000</v>
      </c>
      <c r="O1756" s="4" t="s">
        <v>4866</v>
      </c>
      <c r="P1756" s="4" t="s">
        <v>4861</v>
      </c>
      <c r="Q1756" s="1" t="str">
        <f>_xlfn.XLOOKUP(tblSales[[#This Row],[Channel Code]],tblChannels[Channel Code],tblChannels[Channel Name],"")</f>
        <v>Marketplace</v>
      </c>
      <c r="R1756" s="1">
        <f>MONTH(tblSales[[#This Row],[Date]])</f>
        <v>4</v>
      </c>
    </row>
    <row r="1757" spans="2:18" x14ac:dyDescent="0.35">
      <c r="B1757" s="113">
        <v>46127</v>
      </c>
      <c r="C1757" s="4" t="s">
        <v>1190</v>
      </c>
      <c r="D1757" s="4" t="s">
        <v>4568</v>
      </c>
      <c r="E1757" s="1" t="str">
        <f>_xlfn.XLOOKUP(tblSales[[#This Row],[Customer ID]],tblCustomers[Customer ID],tblCustomers[Customer Name],"⚠ Unknown")</f>
        <v>Walk-in Customer</v>
      </c>
      <c r="F1757" s="4" t="s">
        <v>7</v>
      </c>
      <c r="G1757" s="1" t="str">
        <f>_xlfn.XLOOKUP(tblSales[[#This Row],[Product Code]],tblProducts[Code],tblProducts[Product / Service Name],"⚠ Unknown")</f>
        <v>Premium Basic T-shirt</v>
      </c>
      <c r="H1757" s="1" t="str">
        <f>_xlfn.XLOOKUP(tblSales[[#This Row],[Product Code]],tblProducts[Code],tblProducts[Category],"")</f>
        <v>Accessories &amp; Basics</v>
      </c>
      <c r="I1757" s="4">
        <v>12</v>
      </c>
      <c r="J1757" s="5">
        <f>_xlfn.XLOOKUP(tblSales[[#This Row],[Product Code]],tblProducts[Code],tblProducts[Selling Price (excl. VAT)],0)</f>
        <v>65000</v>
      </c>
      <c r="K1757" s="5">
        <f>tblSales[[#This Row],[Qty]]*tblSales[[#This Row],[Unit Price]]</f>
        <v>780000</v>
      </c>
      <c r="L1757" s="5">
        <f>ROUND(tblSales[[#This Row],[DPP (excl. VAT)]]*VATEff,0)</f>
        <v>85800</v>
      </c>
      <c r="M1757" s="5">
        <f>tblSales[[#This Row],[DPP (excl. VAT)]]+tblSales[[#This Row],[Output VAT]]</f>
        <v>865800</v>
      </c>
      <c r="N1757" s="5">
        <f>tblSales[[#This Row],[Qty]]*_xlfn.XLOOKUP(tblSales[[#This Row],[Product Code]],tblProducts[Code],tblProducts[Unit Cost],0)</f>
        <v>444000</v>
      </c>
      <c r="O1757" s="4" t="s">
        <v>4866</v>
      </c>
      <c r="P1757" s="4" t="s">
        <v>4861</v>
      </c>
      <c r="Q1757" s="1" t="str">
        <f>_xlfn.XLOOKUP(tblSales[[#This Row],[Channel Code]],tblChannels[Channel Code],tblChannels[Channel Name],"")</f>
        <v>Marketplace</v>
      </c>
      <c r="R1757" s="1">
        <f>MONTH(tblSales[[#This Row],[Date]])</f>
        <v>4</v>
      </c>
    </row>
    <row r="1758" spans="2:18" x14ac:dyDescent="0.35">
      <c r="B1758" s="113">
        <v>46127</v>
      </c>
      <c r="C1758" s="4" t="s">
        <v>1191</v>
      </c>
      <c r="D1758" s="4" t="s">
        <v>4568</v>
      </c>
      <c r="E1758" s="1" t="str">
        <f>_xlfn.XLOOKUP(tblSales[[#This Row],[Customer ID]],tblCustomers[Customer ID],tblCustomers[Customer Name],"⚠ Unknown")</f>
        <v>Walk-in Customer</v>
      </c>
      <c r="F1758" s="4" t="s">
        <v>6</v>
      </c>
      <c r="G1758" s="1" t="str">
        <f>_xlfn.XLOOKUP(tblSales[[#This Row],[Product Code]],tblProducts[Code],tblProducts[Product / Service Name],"⚠ Unknown")</f>
        <v>Socks &amp; Accessories</v>
      </c>
      <c r="H1758" s="1" t="str">
        <f>_xlfn.XLOOKUP(tblSales[[#This Row],[Product Code]],tblProducts[Code],tblProducts[Category],"")</f>
        <v>Accessories &amp; Basics</v>
      </c>
      <c r="I1758" s="4">
        <v>7</v>
      </c>
      <c r="J1758" s="5">
        <f>_xlfn.XLOOKUP(tblSales[[#This Row],[Product Code]],tblProducts[Code],tblProducts[Selling Price (excl. VAT)],0)</f>
        <v>45000</v>
      </c>
      <c r="K1758" s="5">
        <f>tblSales[[#This Row],[Qty]]*tblSales[[#This Row],[Unit Price]]</f>
        <v>315000</v>
      </c>
      <c r="L1758" s="5">
        <f>ROUND(tblSales[[#This Row],[DPP (excl. VAT)]]*VATEff,0)</f>
        <v>34650</v>
      </c>
      <c r="M1758" s="5">
        <f>tblSales[[#This Row],[DPP (excl. VAT)]]+tblSales[[#This Row],[Output VAT]]</f>
        <v>349650</v>
      </c>
      <c r="N1758" s="5">
        <f>tblSales[[#This Row],[Qty]]*_xlfn.XLOOKUP(tblSales[[#This Row],[Product Code]],tblProducts[Code],tblProducts[Unit Cost],0)</f>
        <v>168000</v>
      </c>
      <c r="O1758" s="4" t="s">
        <v>4866</v>
      </c>
      <c r="P1758" s="4" t="s">
        <v>4862</v>
      </c>
      <c r="Q1758" s="1" t="str">
        <f>_xlfn.XLOOKUP(tblSales[[#This Row],[Channel Code]],tblChannels[Channel Code],tblChannels[Channel Name],"")</f>
        <v>Website &amp; Social Media</v>
      </c>
      <c r="R1758" s="1">
        <f>MONTH(tblSales[[#This Row],[Date]])</f>
        <v>4</v>
      </c>
    </row>
    <row r="1759" spans="2:18" x14ac:dyDescent="0.35">
      <c r="B1759" s="113">
        <v>46127</v>
      </c>
      <c r="C1759" s="4" t="s">
        <v>1192</v>
      </c>
      <c r="D1759" s="4" t="s">
        <v>4568</v>
      </c>
      <c r="E1759" s="1" t="str">
        <f>_xlfn.XLOOKUP(tblSales[[#This Row],[Customer ID]],tblCustomers[Customer ID],tblCustomers[Customer Name],"⚠ Unknown")</f>
        <v>Walk-in Customer</v>
      </c>
      <c r="F1759" s="4" t="s">
        <v>8</v>
      </c>
      <c r="G1759" s="1" t="str">
        <f>_xlfn.XLOOKUP(tblSales[[#This Row],[Product Code]],tblProducts[Code],tblProducts[Product / Service Name],"⚠ Unknown")</f>
        <v>Casual Shorts</v>
      </c>
      <c r="H1759" s="1" t="str">
        <f>_xlfn.XLOOKUP(tblSales[[#This Row],[Product Code]],tblProducts[Code],tblProducts[Category],"")</f>
        <v>Accessories &amp; Basics</v>
      </c>
      <c r="I1759" s="4">
        <v>8</v>
      </c>
      <c r="J1759" s="5">
        <f>_xlfn.XLOOKUP(tblSales[[#This Row],[Product Code]],tblProducts[Code],tblProducts[Selling Price (excl. VAT)],0)</f>
        <v>85000</v>
      </c>
      <c r="K1759" s="5">
        <f>tblSales[[#This Row],[Qty]]*tblSales[[#This Row],[Unit Price]]</f>
        <v>680000</v>
      </c>
      <c r="L1759" s="5">
        <f>ROUND(tblSales[[#This Row],[DPP (excl. VAT)]]*VATEff,0)</f>
        <v>74800</v>
      </c>
      <c r="M1759" s="5">
        <f>tblSales[[#This Row],[DPP (excl. VAT)]]+tblSales[[#This Row],[Output VAT]]</f>
        <v>754800</v>
      </c>
      <c r="N1759" s="5">
        <f>tblSales[[#This Row],[Qty]]*_xlfn.XLOOKUP(tblSales[[#This Row],[Product Code]],tblProducts[Code],tblProducts[Unit Cost],0)</f>
        <v>400000</v>
      </c>
      <c r="O1759" s="4" t="s">
        <v>4865</v>
      </c>
      <c r="P1759" s="4" t="s">
        <v>4860</v>
      </c>
      <c r="Q1759" s="1" t="str">
        <f>_xlfn.XLOOKUP(tblSales[[#This Row],[Channel Code]],tblChannels[Channel Code],tblChannels[Channel Name],"")</f>
        <v>In-store</v>
      </c>
      <c r="R1759" s="1">
        <f>MONTH(tblSales[[#This Row],[Date]])</f>
        <v>4</v>
      </c>
    </row>
    <row r="1760" spans="2:18" x14ac:dyDescent="0.35">
      <c r="B1760" s="113">
        <v>46127</v>
      </c>
      <c r="C1760" s="4" t="s">
        <v>1193</v>
      </c>
      <c r="D1760" s="4" t="s">
        <v>4568</v>
      </c>
      <c r="E1760" s="1" t="str">
        <f>_xlfn.XLOOKUP(tblSales[[#This Row],[Customer ID]],tblCustomers[Customer ID],tblCustomers[Customer Name],"⚠ Unknown")</f>
        <v>Walk-in Customer</v>
      </c>
      <c r="F1760" s="4" t="s">
        <v>7</v>
      </c>
      <c r="G1760" s="1" t="str">
        <f>_xlfn.XLOOKUP(tblSales[[#This Row],[Product Code]],tblProducts[Code],tblProducts[Product / Service Name],"⚠ Unknown")</f>
        <v>Premium Basic T-shirt</v>
      </c>
      <c r="H1760" s="1" t="str">
        <f>_xlfn.XLOOKUP(tblSales[[#This Row],[Product Code]],tblProducts[Code],tblProducts[Category],"")</f>
        <v>Accessories &amp; Basics</v>
      </c>
      <c r="I1760" s="4">
        <v>8</v>
      </c>
      <c r="J1760" s="5">
        <f>_xlfn.XLOOKUP(tblSales[[#This Row],[Product Code]],tblProducts[Code],tblProducts[Selling Price (excl. VAT)],0)</f>
        <v>65000</v>
      </c>
      <c r="K1760" s="5">
        <f>tblSales[[#This Row],[Qty]]*tblSales[[#This Row],[Unit Price]]</f>
        <v>520000</v>
      </c>
      <c r="L1760" s="5">
        <f>ROUND(tblSales[[#This Row],[DPP (excl. VAT)]]*VATEff,0)</f>
        <v>57200</v>
      </c>
      <c r="M1760" s="5">
        <f>tblSales[[#This Row],[DPP (excl. VAT)]]+tblSales[[#This Row],[Output VAT]]</f>
        <v>577200</v>
      </c>
      <c r="N1760" s="5">
        <f>tblSales[[#This Row],[Qty]]*_xlfn.XLOOKUP(tblSales[[#This Row],[Product Code]],tblProducts[Code],tblProducts[Unit Cost],0)</f>
        <v>296000</v>
      </c>
      <c r="O1760" s="4" t="s">
        <v>4865</v>
      </c>
      <c r="P1760" s="4" t="s">
        <v>4860</v>
      </c>
      <c r="Q1760" s="1" t="str">
        <f>_xlfn.XLOOKUP(tblSales[[#This Row],[Channel Code]],tblChannels[Channel Code],tblChannels[Channel Name],"")</f>
        <v>In-store</v>
      </c>
      <c r="R1760" s="1">
        <f>MONTH(tblSales[[#This Row],[Date]])</f>
        <v>4</v>
      </c>
    </row>
    <row r="1761" spans="2:18" x14ac:dyDescent="0.35">
      <c r="B1761" s="113">
        <v>46127</v>
      </c>
      <c r="C1761" s="4" t="s">
        <v>1193</v>
      </c>
      <c r="D1761" s="4" t="s">
        <v>4568</v>
      </c>
      <c r="E1761" s="1" t="str">
        <f>_xlfn.XLOOKUP(tblSales[[#This Row],[Customer ID]],tblCustomers[Customer ID],tblCustomers[Customer Name],"⚠ Unknown")</f>
        <v>Walk-in Customer</v>
      </c>
      <c r="F1761" s="4" t="s">
        <v>10</v>
      </c>
      <c r="G1761" s="1" t="str">
        <f>_xlfn.XLOOKUP(tblSales[[#This Row],[Product Code]],tblProducts[Code],tblProducts[Product / Service Name],"⚠ Unknown")</f>
        <v>Chino Pants</v>
      </c>
      <c r="H1761" s="1" t="str">
        <f>_xlfn.XLOOKUP(tblSales[[#This Row],[Product Code]],tblProducts[Code],tblProducts[Category],"")</f>
        <v>Apparel &amp; Footwear</v>
      </c>
      <c r="I1761" s="4">
        <v>7</v>
      </c>
      <c r="J1761" s="5">
        <f>_xlfn.XLOOKUP(tblSales[[#This Row],[Product Code]],tblProducts[Code],tblProducts[Selling Price (excl. VAT)],0)</f>
        <v>150000</v>
      </c>
      <c r="K1761" s="5">
        <f>tblSales[[#This Row],[Qty]]*tblSales[[#This Row],[Unit Price]]</f>
        <v>1050000</v>
      </c>
      <c r="L1761" s="5">
        <f>ROUND(tblSales[[#This Row],[DPP (excl. VAT)]]*VATEff,0)</f>
        <v>115500</v>
      </c>
      <c r="M1761" s="5">
        <f>tblSales[[#This Row],[DPP (excl. VAT)]]+tblSales[[#This Row],[Output VAT]]</f>
        <v>1165500</v>
      </c>
      <c r="N1761" s="5">
        <f>tblSales[[#This Row],[Qty]]*_xlfn.XLOOKUP(tblSales[[#This Row],[Product Code]],tblProducts[Code],tblProducts[Unit Cost],0)</f>
        <v>616000</v>
      </c>
      <c r="O1761" s="4" t="s">
        <v>4865</v>
      </c>
      <c r="P1761" s="4" t="s">
        <v>4860</v>
      </c>
      <c r="Q1761" s="1" t="str">
        <f>_xlfn.XLOOKUP(tblSales[[#This Row],[Channel Code]],tblChannels[Channel Code],tblChannels[Channel Name],"")</f>
        <v>In-store</v>
      </c>
      <c r="R1761" s="1">
        <f>MONTH(tblSales[[#This Row],[Date]])</f>
        <v>4</v>
      </c>
    </row>
    <row r="1762" spans="2:18" x14ac:dyDescent="0.35">
      <c r="B1762" s="113">
        <v>46127</v>
      </c>
      <c r="C1762" s="4" t="s">
        <v>1194</v>
      </c>
      <c r="D1762" s="4" t="s">
        <v>4568</v>
      </c>
      <c r="E1762" s="1" t="str">
        <f>_xlfn.XLOOKUP(tblSales[[#This Row],[Customer ID]],tblCustomers[Customer ID],tblCustomers[Customer Name],"⚠ Unknown")</f>
        <v>Walk-in Customer</v>
      </c>
      <c r="F1762" s="4" t="s">
        <v>9</v>
      </c>
      <c r="G1762" s="1" t="str">
        <f>_xlfn.XLOOKUP(tblSales[[#This Row],[Product Code]],tblProducts[Code],tblProducts[Product / Service Name],"⚠ Unknown")</f>
        <v>Casual Shirt</v>
      </c>
      <c r="H1762" s="1" t="str">
        <f>_xlfn.XLOOKUP(tblSales[[#This Row],[Product Code]],tblProducts[Code],tblProducts[Category],"")</f>
        <v>Apparel &amp; Footwear</v>
      </c>
      <c r="I1762" s="4">
        <v>4</v>
      </c>
      <c r="J1762" s="5">
        <f>_xlfn.XLOOKUP(tblSales[[#This Row],[Product Code]],tblProducts[Code],tblProducts[Selling Price (excl. VAT)],0)</f>
        <v>120000</v>
      </c>
      <c r="K1762" s="5">
        <f>tblSales[[#This Row],[Qty]]*tblSales[[#This Row],[Unit Price]]</f>
        <v>480000</v>
      </c>
      <c r="L1762" s="5">
        <f>ROUND(tblSales[[#This Row],[DPP (excl. VAT)]]*VATEff,0)</f>
        <v>52800</v>
      </c>
      <c r="M1762" s="5">
        <f>tblSales[[#This Row],[DPP (excl. VAT)]]+tblSales[[#This Row],[Output VAT]]</f>
        <v>532800</v>
      </c>
      <c r="N1762" s="5">
        <f>tblSales[[#This Row],[Qty]]*_xlfn.XLOOKUP(tblSales[[#This Row],[Product Code]],tblProducts[Code],tblProducts[Unit Cost],0)</f>
        <v>288000</v>
      </c>
      <c r="O1762" s="4" t="s">
        <v>4865</v>
      </c>
      <c r="P1762" s="4" t="s">
        <v>4860</v>
      </c>
      <c r="Q1762" s="1" t="str">
        <f>_xlfn.XLOOKUP(tblSales[[#This Row],[Channel Code]],tblChannels[Channel Code],tblChannels[Channel Name],"")</f>
        <v>In-store</v>
      </c>
      <c r="R1762" s="1">
        <f>MONTH(tblSales[[#This Row],[Date]])</f>
        <v>4</v>
      </c>
    </row>
    <row r="1763" spans="2:18" x14ac:dyDescent="0.35">
      <c r="B1763" s="113">
        <v>46127</v>
      </c>
      <c r="C1763" s="4" t="s">
        <v>1195</v>
      </c>
      <c r="D1763" s="4" t="s">
        <v>4568</v>
      </c>
      <c r="E1763" s="1" t="str">
        <f>_xlfn.XLOOKUP(tblSales[[#This Row],[Customer ID]],tblCustomers[Customer ID],tblCustomers[Customer Name],"⚠ Unknown")</f>
        <v>Walk-in Customer</v>
      </c>
      <c r="F1763" s="4" t="s">
        <v>8</v>
      </c>
      <c r="G1763" s="1" t="str">
        <f>_xlfn.XLOOKUP(tblSales[[#This Row],[Product Code]],tblProducts[Code],tblProducts[Product / Service Name],"⚠ Unknown")</f>
        <v>Casual Shorts</v>
      </c>
      <c r="H1763" s="1" t="str">
        <f>_xlfn.XLOOKUP(tblSales[[#This Row],[Product Code]],tblProducts[Code],tblProducts[Category],"")</f>
        <v>Accessories &amp; Basics</v>
      </c>
      <c r="I1763" s="4">
        <v>8</v>
      </c>
      <c r="J1763" s="5">
        <f>_xlfn.XLOOKUP(tblSales[[#This Row],[Product Code]],tblProducts[Code],tblProducts[Selling Price (excl. VAT)],0)</f>
        <v>85000</v>
      </c>
      <c r="K1763" s="5">
        <f>tblSales[[#This Row],[Qty]]*tblSales[[#This Row],[Unit Price]]</f>
        <v>680000</v>
      </c>
      <c r="L1763" s="5">
        <f>ROUND(tblSales[[#This Row],[DPP (excl. VAT)]]*VATEff,0)</f>
        <v>74800</v>
      </c>
      <c r="M1763" s="5">
        <f>tblSales[[#This Row],[DPP (excl. VAT)]]+tblSales[[#This Row],[Output VAT]]</f>
        <v>754800</v>
      </c>
      <c r="N1763" s="5">
        <f>tblSales[[#This Row],[Qty]]*_xlfn.XLOOKUP(tblSales[[#This Row],[Product Code]],tblProducts[Code],tblProducts[Unit Cost],0)</f>
        <v>400000</v>
      </c>
      <c r="O1763" s="4" t="s">
        <v>4866</v>
      </c>
      <c r="P1763" s="4" t="s">
        <v>4862</v>
      </c>
      <c r="Q1763" s="1" t="str">
        <f>_xlfn.XLOOKUP(tblSales[[#This Row],[Channel Code]],tblChannels[Channel Code],tblChannels[Channel Name],"")</f>
        <v>Website &amp; Social Media</v>
      </c>
      <c r="R1763" s="1">
        <f>MONTH(tblSales[[#This Row],[Date]])</f>
        <v>4</v>
      </c>
    </row>
    <row r="1764" spans="2:18" x14ac:dyDescent="0.35">
      <c r="B1764" s="113">
        <v>46127</v>
      </c>
      <c r="C1764" s="4" t="s">
        <v>1195</v>
      </c>
      <c r="D1764" s="4" t="s">
        <v>4568</v>
      </c>
      <c r="E1764" s="1" t="str">
        <f>_xlfn.XLOOKUP(tblSales[[#This Row],[Customer ID]],tblCustomers[Customer ID],tblCustomers[Customer Name],"⚠ Unknown")</f>
        <v>Walk-in Customer</v>
      </c>
      <c r="F1764" s="4" t="s">
        <v>7</v>
      </c>
      <c r="G1764" s="1" t="str">
        <f>_xlfn.XLOOKUP(tblSales[[#This Row],[Product Code]],tblProducts[Code],tblProducts[Product / Service Name],"⚠ Unknown")</f>
        <v>Premium Basic T-shirt</v>
      </c>
      <c r="H1764" s="1" t="str">
        <f>_xlfn.XLOOKUP(tblSales[[#This Row],[Product Code]],tblProducts[Code],tblProducts[Category],"")</f>
        <v>Accessories &amp; Basics</v>
      </c>
      <c r="I1764" s="4">
        <v>4</v>
      </c>
      <c r="J1764" s="5">
        <f>_xlfn.XLOOKUP(tblSales[[#This Row],[Product Code]],tblProducts[Code],tblProducts[Selling Price (excl. VAT)],0)</f>
        <v>65000</v>
      </c>
      <c r="K1764" s="5">
        <f>tblSales[[#This Row],[Qty]]*tblSales[[#This Row],[Unit Price]]</f>
        <v>260000</v>
      </c>
      <c r="L1764" s="5">
        <f>ROUND(tblSales[[#This Row],[DPP (excl. VAT)]]*VATEff,0)</f>
        <v>28600</v>
      </c>
      <c r="M1764" s="5">
        <f>tblSales[[#This Row],[DPP (excl. VAT)]]+tblSales[[#This Row],[Output VAT]]</f>
        <v>288600</v>
      </c>
      <c r="N1764" s="5">
        <f>tblSales[[#This Row],[Qty]]*_xlfn.XLOOKUP(tblSales[[#This Row],[Product Code]],tblProducts[Code],tblProducts[Unit Cost],0)</f>
        <v>148000</v>
      </c>
      <c r="O1764" s="4" t="s">
        <v>4866</v>
      </c>
      <c r="P1764" s="4" t="s">
        <v>4862</v>
      </c>
      <c r="Q1764" s="1" t="str">
        <f>_xlfn.XLOOKUP(tblSales[[#This Row],[Channel Code]],tblChannels[Channel Code],tblChannels[Channel Name],"")</f>
        <v>Website &amp; Social Media</v>
      </c>
      <c r="R1764" s="1">
        <f>MONTH(tblSales[[#This Row],[Date]])</f>
        <v>4</v>
      </c>
    </row>
    <row r="1765" spans="2:18" x14ac:dyDescent="0.35">
      <c r="B1765" s="113">
        <v>46127</v>
      </c>
      <c r="C1765" s="4" t="s">
        <v>1196</v>
      </c>
      <c r="D1765" s="4" t="s">
        <v>4568</v>
      </c>
      <c r="E1765" s="1" t="str">
        <f>_xlfn.XLOOKUP(tblSales[[#This Row],[Customer ID]],tblCustomers[Customer ID],tblCustomers[Customer Name],"⚠ Unknown")</f>
        <v>Walk-in Customer</v>
      </c>
      <c r="F1765" s="4" t="s">
        <v>8</v>
      </c>
      <c r="G1765" s="1" t="str">
        <f>_xlfn.XLOOKUP(tblSales[[#This Row],[Product Code]],tblProducts[Code],tblProducts[Product / Service Name],"⚠ Unknown")</f>
        <v>Casual Shorts</v>
      </c>
      <c r="H1765" s="1" t="str">
        <f>_xlfn.XLOOKUP(tblSales[[#This Row],[Product Code]],tblProducts[Code],tblProducts[Category],"")</f>
        <v>Accessories &amp; Basics</v>
      </c>
      <c r="I1765" s="4">
        <v>12</v>
      </c>
      <c r="J1765" s="5">
        <f>_xlfn.XLOOKUP(tblSales[[#This Row],[Product Code]],tblProducts[Code],tblProducts[Selling Price (excl. VAT)],0)</f>
        <v>85000</v>
      </c>
      <c r="K1765" s="5">
        <f>tblSales[[#This Row],[Qty]]*tblSales[[#This Row],[Unit Price]]</f>
        <v>1020000</v>
      </c>
      <c r="L1765" s="5">
        <f>ROUND(tblSales[[#This Row],[DPP (excl. VAT)]]*VATEff,0)</f>
        <v>112200</v>
      </c>
      <c r="M1765" s="5">
        <f>tblSales[[#This Row],[DPP (excl. VAT)]]+tblSales[[#This Row],[Output VAT]]</f>
        <v>1132200</v>
      </c>
      <c r="N1765" s="5">
        <f>tblSales[[#This Row],[Qty]]*_xlfn.XLOOKUP(tblSales[[#This Row],[Product Code]],tblProducts[Code],tblProducts[Unit Cost],0)</f>
        <v>600000</v>
      </c>
      <c r="O1765" s="4" t="s">
        <v>4866</v>
      </c>
      <c r="P1765" s="4" t="s">
        <v>4862</v>
      </c>
      <c r="Q1765" s="1" t="str">
        <f>_xlfn.XLOOKUP(tblSales[[#This Row],[Channel Code]],tblChannels[Channel Code],tblChannels[Channel Name],"")</f>
        <v>Website &amp; Social Media</v>
      </c>
      <c r="R1765" s="1">
        <f>MONTH(tblSales[[#This Row],[Date]])</f>
        <v>4</v>
      </c>
    </row>
    <row r="1766" spans="2:18" x14ac:dyDescent="0.35">
      <c r="B1766" s="113">
        <v>46127</v>
      </c>
      <c r="C1766" s="4" t="s">
        <v>1197</v>
      </c>
      <c r="D1766" s="4" t="s">
        <v>4648</v>
      </c>
      <c r="E1766" s="1" t="str">
        <f>_xlfn.XLOOKUP(tblSales[[#This Row],[Customer ID]],tblCustomers[Customer ID],tblCustomers[Customer Name],"⚠ Unknown")</f>
        <v>PT Lintas Benua Niaga</v>
      </c>
      <c r="F1766" s="4" t="s">
        <v>12</v>
      </c>
      <c r="G1766" s="1" t="str">
        <f>_xlfn.XLOOKUP(tblSales[[#This Row],[Product Code]],tblProducts[Code],tblProducts[Product / Service Name],"⚠ Unknown")</f>
        <v>Bomber Jacket</v>
      </c>
      <c r="H1766" s="1" t="str">
        <f>_xlfn.XLOOKUP(tblSales[[#This Row],[Product Code]],tblProducts[Code],tblProducts[Category],"")</f>
        <v>Apparel &amp; Footwear</v>
      </c>
      <c r="I1766" s="4">
        <v>32</v>
      </c>
      <c r="J1766" s="5">
        <f>_xlfn.XLOOKUP(tblSales[[#This Row],[Product Code]],tblProducts[Code],tblProducts[Selling Price (excl. VAT)],0)</f>
        <v>350000</v>
      </c>
      <c r="K1766" s="5">
        <f>tblSales[[#This Row],[Qty]]*tblSales[[#This Row],[Unit Price]]</f>
        <v>11200000</v>
      </c>
      <c r="L1766" s="5">
        <f>ROUND(tblSales[[#This Row],[DPP (excl. VAT)]]*VATEff,0)</f>
        <v>1232000</v>
      </c>
      <c r="M1766" s="5">
        <f>tblSales[[#This Row],[DPP (excl. VAT)]]+tblSales[[#This Row],[Output VAT]]</f>
        <v>12432000</v>
      </c>
      <c r="N1766" s="5">
        <f>tblSales[[#This Row],[Qty]]*_xlfn.XLOOKUP(tblSales[[#This Row],[Product Code]],tblProducts[Code],tblProducts[Unit Cost],0)</f>
        <v>6720000</v>
      </c>
      <c r="O1766" s="4" t="s">
        <v>4867</v>
      </c>
      <c r="P1766" s="4" t="s">
        <v>4860</v>
      </c>
      <c r="Q1766" s="1" t="str">
        <f>_xlfn.XLOOKUP(tblSales[[#This Row],[Channel Code]],tblChannels[Channel Code],tblChannels[Channel Name],"")</f>
        <v>In-store</v>
      </c>
      <c r="R1766" s="1">
        <f>MONTH(tblSales[[#This Row],[Date]])</f>
        <v>4</v>
      </c>
    </row>
    <row r="1767" spans="2:18" x14ac:dyDescent="0.35">
      <c r="B1767" s="113">
        <v>46127</v>
      </c>
      <c r="C1767" s="4" t="s">
        <v>1197</v>
      </c>
      <c r="D1767" s="4" t="s">
        <v>4648</v>
      </c>
      <c r="E1767" s="1" t="str">
        <f>_xlfn.XLOOKUP(tblSales[[#This Row],[Customer ID]],tblCustomers[Customer ID],tblCustomers[Customer Name],"⚠ Unknown")</f>
        <v>PT Lintas Benua Niaga</v>
      </c>
      <c r="F1767" s="4" t="s">
        <v>8</v>
      </c>
      <c r="G1767" s="1" t="str">
        <f>_xlfn.XLOOKUP(tblSales[[#This Row],[Product Code]],tblProducts[Code],tblProducts[Product / Service Name],"⚠ Unknown")</f>
        <v>Casual Shorts</v>
      </c>
      <c r="H1767" s="1" t="str">
        <f>_xlfn.XLOOKUP(tblSales[[#This Row],[Product Code]],tblProducts[Code],tblProducts[Category],"")</f>
        <v>Accessories &amp; Basics</v>
      </c>
      <c r="I1767" s="4">
        <v>80</v>
      </c>
      <c r="J1767" s="5">
        <f>_xlfn.XLOOKUP(tblSales[[#This Row],[Product Code]],tblProducts[Code],tblProducts[Selling Price (excl. VAT)],0)</f>
        <v>85000</v>
      </c>
      <c r="K1767" s="5">
        <f>tblSales[[#This Row],[Qty]]*tblSales[[#This Row],[Unit Price]]</f>
        <v>6800000</v>
      </c>
      <c r="L1767" s="5">
        <f>ROUND(tblSales[[#This Row],[DPP (excl. VAT)]]*VATEff,0)</f>
        <v>748000</v>
      </c>
      <c r="M1767" s="5">
        <f>tblSales[[#This Row],[DPP (excl. VAT)]]+tblSales[[#This Row],[Output VAT]]</f>
        <v>7548000</v>
      </c>
      <c r="N1767" s="5">
        <f>tblSales[[#This Row],[Qty]]*_xlfn.XLOOKUP(tblSales[[#This Row],[Product Code]],tblProducts[Code],tblProducts[Unit Cost],0)</f>
        <v>4000000</v>
      </c>
      <c r="O1767" s="4" t="s">
        <v>4867</v>
      </c>
      <c r="P1767" s="4" t="s">
        <v>4860</v>
      </c>
      <c r="Q1767" s="1" t="str">
        <f>_xlfn.XLOOKUP(tblSales[[#This Row],[Channel Code]],tblChannels[Channel Code],tblChannels[Channel Name],"")</f>
        <v>In-store</v>
      </c>
      <c r="R1767" s="1">
        <f>MONTH(tblSales[[#This Row],[Date]])</f>
        <v>4</v>
      </c>
    </row>
    <row r="1768" spans="2:18" x14ac:dyDescent="0.35">
      <c r="B1768" s="113">
        <v>46127</v>
      </c>
      <c r="C1768" s="4" t="s">
        <v>1198</v>
      </c>
      <c r="D1768" s="4" t="s">
        <v>4568</v>
      </c>
      <c r="E1768" s="1" t="str">
        <f>_xlfn.XLOOKUP(tblSales[[#This Row],[Customer ID]],tblCustomers[Customer ID],tblCustomers[Customer Name],"⚠ Unknown")</f>
        <v>Walk-in Customer</v>
      </c>
      <c r="F1768" s="4" t="s">
        <v>15</v>
      </c>
      <c r="G1768" s="1" t="str">
        <f>_xlfn.XLOOKUP(tblSales[[#This Row],[Product Code]],tblProducts[Code],tblProducts[Product / Service Name],"⚠ Unknown")</f>
        <v>Wireless Earbuds Pro</v>
      </c>
      <c r="H1768" s="1" t="str">
        <f>_xlfn.XLOOKUP(tblSales[[#This Row],[Product Code]],tblProducts[Code],tblProducts[Category],"")</f>
        <v>Bags &amp; Gadgets</v>
      </c>
      <c r="I1768" s="4">
        <v>1</v>
      </c>
      <c r="J1768" s="5">
        <f>_xlfn.XLOOKUP(tblSales[[#This Row],[Product Code]],tblProducts[Code],tblProducts[Selling Price (excl. VAT)],0)</f>
        <v>1250000</v>
      </c>
      <c r="K1768" s="5">
        <f>tblSales[[#This Row],[Qty]]*tblSales[[#This Row],[Unit Price]]</f>
        <v>1250000</v>
      </c>
      <c r="L1768" s="5">
        <f>ROUND(tblSales[[#This Row],[DPP (excl. VAT)]]*VATEff,0)</f>
        <v>137500</v>
      </c>
      <c r="M1768" s="5">
        <f>tblSales[[#This Row],[DPP (excl. VAT)]]+tblSales[[#This Row],[Output VAT]]</f>
        <v>1387500</v>
      </c>
      <c r="N1768" s="5">
        <f>tblSales[[#This Row],[Qty]]*_xlfn.XLOOKUP(tblSales[[#This Row],[Product Code]],tblProducts[Code],tblProducts[Unit Cost],0)</f>
        <v>820000</v>
      </c>
      <c r="O1768" s="4" t="s">
        <v>4865</v>
      </c>
      <c r="P1768" s="4" t="s">
        <v>4860</v>
      </c>
      <c r="Q1768" s="1" t="str">
        <f>_xlfn.XLOOKUP(tblSales[[#This Row],[Channel Code]],tblChannels[Channel Code],tblChannels[Channel Name],"")</f>
        <v>In-store</v>
      </c>
      <c r="R1768" s="1">
        <f>MONTH(tblSales[[#This Row],[Date]])</f>
        <v>4</v>
      </c>
    </row>
    <row r="1769" spans="2:18" x14ac:dyDescent="0.35">
      <c r="B1769" s="113">
        <v>46127</v>
      </c>
      <c r="C1769" s="4" t="s">
        <v>1198</v>
      </c>
      <c r="D1769" s="4" t="s">
        <v>4568</v>
      </c>
      <c r="E1769" s="1" t="str">
        <f>_xlfn.XLOOKUP(tblSales[[#This Row],[Customer ID]],tblCustomers[Customer ID],tblCustomers[Customer Name],"⚠ Unknown")</f>
        <v>Walk-in Customer</v>
      </c>
      <c r="F1769" s="4" t="s">
        <v>8</v>
      </c>
      <c r="G1769" s="1" t="str">
        <f>_xlfn.XLOOKUP(tblSales[[#This Row],[Product Code]],tblProducts[Code],tblProducts[Product / Service Name],"⚠ Unknown")</f>
        <v>Casual Shorts</v>
      </c>
      <c r="H1769" s="1" t="str">
        <f>_xlfn.XLOOKUP(tblSales[[#This Row],[Product Code]],tblProducts[Code],tblProducts[Category],"")</f>
        <v>Accessories &amp; Basics</v>
      </c>
      <c r="I1769" s="4">
        <v>12</v>
      </c>
      <c r="J1769" s="5">
        <f>_xlfn.XLOOKUP(tblSales[[#This Row],[Product Code]],tblProducts[Code],tblProducts[Selling Price (excl. VAT)],0)</f>
        <v>85000</v>
      </c>
      <c r="K1769" s="5">
        <f>tblSales[[#This Row],[Qty]]*tblSales[[#This Row],[Unit Price]]</f>
        <v>1020000</v>
      </c>
      <c r="L1769" s="5">
        <f>ROUND(tblSales[[#This Row],[DPP (excl. VAT)]]*VATEff,0)</f>
        <v>112200</v>
      </c>
      <c r="M1769" s="5">
        <f>tblSales[[#This Row],[DPP (excl. VAT)]]+tblSales[[#This Row],[Output VAT]]</f>
        <v>1132200</v>
      </c>
      <c r="N1769" s="5">
        <f>tblSales[[#This Row],[Qty]]*_xlfn.XLOOKUP(tblSales[[#This Row],[Product Code]],tblProducts[Code],tblProducts[Unit Cost],0)</f>
        <v>600000</v>
      </c>
      <c r="O1769" s="4" t="s">
        <v>4865</v>
      </c>
      <c r="P1769" s="4" t="s">
        <v>4860</v>
      </c>
      <c r="Q1769" s="1" t="str">
        <f>_xlfn.XLOOKUP(tblSales[[#This Row],[Channel Code]],tblChannels[Channel Code],tblChannels[Channel Name],"")</f>
        <v>In-store</v>
      </c>
      <c r="R1769" s="1">
        <f>MONTH(tblSales[[#This Row],[Date]])</f>
        <v>4</v>
      </c>
    </row>
    <row r="1770" spans="2:18" x14ac:dyDescent="0.35">
      <c r="B1770" s="113">
        <v>46127</v>
      </c>
      <c r="C1770" s="4" t="s">
        <v>1198</v>
      </c>
      <c r="D1770" s="4" t="s">
        <v>4568</v>
      </c>
      <c r="E1770" s="1" t="str">
        <f>_xlfn.XLOOKUP(tblSales[[#This Row],[Customer ID]],tblCustomers[Customer ID],tblCustomers[Customer Name],"⚠ Unknown")</f>
        <v>Walk-in Customer</v>
      </c>
      <c r="F1770" s="4" t="s">
        <v>10</v>
      </c>
      <c r="G1770" s="1" t="str">
        <f>_xlfn.XLOOKUP(tblSales[[#This Row],[Product Code]],tblProducts[Code],tblProducts[Product / Service Name],"⚠ Unknown")</f>
        <v>Chino Pants</v>
      </c>
      <c r="H1770" s="1" t="str">
        <f>_xlfn.XLOOKUP(tblSales[[#This Row],[Product Code]],tblProducts[Code],tblProducts[Category],"")</f>
        <v>Apparel &amp; Footwear</v>
      </c>
      <c r="I1770" s="4">
        <v>5</v>
      </c>
      <c r="J1770" s="5">
        <f>_xlfn.XLOOKUP(tblSales[[#This Row],[Product Code]],tblProducts[Code],tblProducts[Selling Price (excl. VAT)],0)</f>
        <v>150000</v>
      </c>
      <c r="K1770" s="5">
        <f>tblSales[[#This Row],[Qty]]*tblSales[[#This Row],[Unit Price]]</f>
        <v>750000</v>
      </c>
      <c r="L1770" s="5">
        <f>ROUND(tblSales[[#This Row],[DPP (excl. VAT)]]*VATEff,0)</f>
        <v>82500</v>
      </c>
      <c r="M1770" s="5">
        <f>tblSales[[#This Row],[DPP (excl. VAT)]]+tblSales[[#This Row],[Output VAT]]</f>
        <v>832500</v>
      </c>
      <c r="N1770" s="5">
        <f>tblSales[[#This Row],[Qty]]*_xlfn.XLOOKUP(tblSales[[#This Row],[Product Code]],tblProducts[Code],tblProducts[Unit Cost],0)</f>
        <v>440000</v>
      </c>
      <c r="O1770" s="4" t="s">
        <v>4865</v>
      </c>
      <c r="P1770" s="4" t="s">
        <v>4860</v>
      </c>
      <c r="Q1770" s="1" t="str">
        <f>_xlfn.XLOOKUP(tblSales[[#This Row],[Channel Code]],tblChannels[Channel Code],tblChannels[Channel Name],"")</f>
        <v>In-store</v>
      </c>
      <c r="R1770" s="1">
        <f>MONTH(tblSales[[#This Row],[Date]])</f>
        <v>4</v>
      </c>
    </row>
    <row r="1771" spans="2:18" x14ac:dyDescent="0.35">
      <c r="B1771" s="113">
        <v>46127</v>
      </c>
      <c r="C1771" s="4" t="s">
        <v>1199</v>
      </c>
      <c r="D1771" s="4" t="s">
        <v>4641</v>
      </c>
      <c r="E1771" s="1" t="str">
        <f>_xlfn.XLOOKUP(tblSales[[#This Row],[Customer ID]],tblCustomers[Customer ID],tblCustomers[Customer Name],"⚠ Unknown")</f>
        <v>PT Harmoni Pangan Lestari</v>
      </c>
      <c r="F1771" s="4" t="s">
        <v>8</v>
      </c>
      <c r="G1771" s="1" t="str">
        <f>_xlfn.XLOOKUP(tblSales[[#This Row],[Product Code]],tblProducts[Code],tblProducts[Product / Service Name],"⚠ Unknown")</f>
        <v>Casual Shorts</v>
      </c>
      <c r="H1771" s="1" t="str">
        <f>_xlfn.XLOOKUP(tblSales[[#This Row],[Product Code]],tblProducts[Code],tblProducts[Category],"")</f>
        <v>Accessories &amp; Basics</v>
      </c>
      <c r="I1771" s="4">
        <v>56</v>
      </c>
      <c r="J1771" s="5">
        <f>_xlfn.XLOOKUP(tblSales[[#This Row],[Product Code]],tblProducts[Code],tblProducts[Selling Price (excl. VAT)],0)</f>
        <v>85000</v>
      </c>
      <c r="K1771" s="5">
        <f>tblSales[[#This Row],[Qty]]*tblSales[[#This Row],[Unit Price]]</f>
        <v>4760000</v>
      </c>
      <c r="L1771" s="5">
        <f>ROUND(tblSales[[#This Row],[DPP (excl. VAT)]]*VATEff,0)</f>
        <v>523600</v>
      </c>
      <c r="M1771" s="5">
        <f>tblSales[[#This Row],[DPP (excl. VAT)]]+tblSales[[#This Row],[Output VAT]]</f>
        <v>5283600</v>
      </c>
      <c r="N1771" s="5">
        <f>tblSales[[#This Row],[Qty]]*_xlfn.XLOOKUP(tblSales[[#This Row],[Product Code]],tblProducts[Code],tblProducts[Unit Cost],0)</f>
        <v>2800000</v>
      </c>
      <c r="O1771" s="4" t="s">
        <v>4867</v>
      </c>
      <c r="P1771" s="4" t="s">
        <v>4860</v>
      </c>
      <c r="Q1771" s="1" t="str">
        <f>_xlfn.XLOOKUP(tblSales[[#This Row],[Channel Code]],tblChannels[Channel Code],tblChannels[Channel Name],"")</f>
        <v>In-store</v>
      </c>
      <c r="R1771" s="1">
        <f>MONTH(tblSales[[#This Row],[Date]])</f>
        <v>4</v>
      </c>
    </row>
    <row r="1772" spans="2:18" x14ac:dyDescent="0.35">
      <c r="B1772" s="113">
        <v>46127</v>
      </c>
      <c r="C1772" s="4" t="s">
        <v>1200</v>
      </c>
      <c r="D1772" s="4" t="s">
        <v>4568</v>
      </c>
      <c r="E1772" s="1" t="str">
        <f>_xlfn.XLOOKUP(tblSales[[#This Row],[Customer ID]],tblCustomers[Customer ID],tblCustomers[Customer Name],"⚠ Unknown")</f>
        <v>Walk-in Customer</v>
      </c>
      <c r="F1772" s="4" t="s">
        <v>12</v>
      </c>
      <c r="G1772" s="1" t="str">
        <f>_xlfn.XLOOKUP(tblSales[[#This Row],[Product Code]],tblProducts[Code],tblProducts[Product / Service Name],"⚠ Unknown")</f>
        <v>Bomber Jacket</v>
      </c>
      <c r="H1772" s="1" t="str">
        <f>_xlfn.XLOOKUP(tblSales[[#This Row],[Product Code]],tblProducts[Code],tblProducts[Category],"")</f>
        <v>Apparel &amp; Footwear</v>
      </c>
      <c r="I1772" s="4">
        <v>6</v>
      </c>
      <c r="J1772" s="5">
        <f>_xlfn.XLOOKUP(tblSales[[#This Row],[Product Code]],tblProducts[Code],tblProducts[Selling Price (excl. VAT)],0)</f>
        <v>350000</v>
      </c>
      <c r="K1772" s="5">
        <f>tblSales[[#This Row],[Qty]]*tblSales[[#This Row],[Unit Price]]</f>
        <v>2100000</v>
      </c>
      <c r="L1772" s="5">
        <f>ROUND(tblSales[[#This Row],[DPP (excl. VAT)]]*VATEff,0)</f>
        <v>231000</v>
      </c>
      <c r="M1772" s="5">
        <f>tblSales[[#This Row],[DPP (excl. VAT)]]+tblSales[[#This Row],[Output VAT]]</f>
        <v>2331000</v>
      </c>
      <c r="N1772" s="5">
        <f>tblSales[[#This Row],[Qty]]*_xlfn.XLOOKUP(tblSales[[#This Row],[Product Code]],tblProducts[Code],tblProducts[Unit Cost],0)</f>
        <v>1260000</v>
      </c>
      <c r="O1772" s="4" t="s">
        <v>4866</v>
      </c>
      <c r="P1772" s="4" t="s">
        <v>4862</v>
      </c>
      <c r="Q1772" s="1" t="str">
        <f>_xlfn.XLOOKUP(tblSales[[#This Row],[Channel Code]],tblChannels[Channel Code],tblChannels[Channel Name],"")</f>
        <v>Website &amp; Social Media</v>
      </c>
      <c r="R1772" s="1">
        <f>MONTH(tblSales[[#This Row],[Date]])</f>
        <v>4</v>
      </c>
    </row>
    <row r="1773" spans="2:18" x14ac:dyDescent="0.35">
      <c r="B1773" s="113">
        <v>46127</v>
      </c>
      <c r="C1773" s="4" t="s">
        <v>1201</v>
      </c>
      <c r="D1773" s="4" t="s">
        <v>4568</v>
      </c>
      <c r="E1773" s="1" t="str">
        <f>_xlfn.XLOOKUP(tblSales[[#This Row],[Customer ID]],tblCustomers[Customer ID],tblCustomers[Customer Name],"⚠ Unknown")</f>
        <v>Walk-in Customer</v>
      </c>
      <c r="F1773" s="4" t="s">
        <v>6</v>
      </c>
      <c r="G1773" s="1" t="str">
        <f>_xlfn.XLOOKUP(tblSales[[#This Row],[Product Code]],tblProducts[Code],tblProducts[Product / Service Name],"⚠ Unknown")</f>
        <v>Socks &amp; Accessories</v>
      </c>
      <c r="H1773" s="1" t="str">
        <f>_xlfn.XLOOKUP(tblSales[[#This Row],[Product Code]],tblProducts[Code],tblProducts[Category],"")</f>
        <v>Accessories &amp; Basics</v>
      </c>
      <c r="I1773" s="4">
        <v>4</v>
      </c>
      <c r="J1773" s="5">
        <f>_xlfn.XLOOKUP(tblSales[[#This Row],[Product Code]],tblProducts[Code],tblProducts[Selling Price (excl. VAT)],0)</f>
        <v>45000</v>
      </c>
      <c r="K1773" s="5">
        <f>tblSales[[#This Row],[Qty]]*tblSales[[#This Row],[Unit Price]]</f>
        <v>180000</v>
      </c>
      <c r="L1773" s="5">
        <f>ROUND(tblSales[[#This Row],[DPP (excl. VAT)]]*VATEff,0)</f>
        <v>19800</v>
      </c>
      <c r="M1773" s="5">
        <f>tblSales[[#This Row],[DPP (excl. VAT)]]+tblSales[[#This Row],[Output VAT]]</f>
        <v>199800</v>
      </c>
      <c r="N1773" s="5">
        <f>tblSales[[#This Row],[Qty]]*_xlfn.XLOOKUP(tblSales[[#This Row],[Product Code]],tblProducts[Code],tblProducts[Unit Cost],0)</f>
        <v>96000</v>
      </c>
      <c r="O1773" s="4" t="s">
        <v>4866</v>
      </c>
      <c r="P1773" s="4" t="s">
        <v>4862</v>
      </c>
      <c r="Q1773" s="1" t="str">
        <f>_xlfn.XLOOKUP(tblSales[[#This Row],[Channel Code]],tblChannels[Channel Code],tblChannels[Channel Name],"")</f>
        <v>Website &amp; Social Media</v>
      </c>
      <c r="R1773" s="1">
        <f>MONTH(tblSales[[#This Row],[Date]])</f>
        <v>4</v>
      </c>
    </row>
    <row r="1774" spans="2:18" x14ac:dyDescent="0.35">
      <c r="B1774" s="113">
        <v>46128</v>
      </c>
      <c r="C1774" s="4" t="s">
        <v>1202</v>
      </c>
      <c r="D1774" s="4" t="s">
        <v>4568</v>
      </c>
      <c r="E1774" s="1" t="str">
        <f>_xlfn.XLOOKUP(tblSales[[#This Row],[Customer ID]],tblCustomers[Customer ID],tblCustomers[Customer Name],"⚠ Unknown")</f>
        <v>Walk-in Customer</v>
      </c>
      <c r="F1774" s="4" t="s">
        <v>7</v>
      </c>
      <c r="G1774" s="1" t="str">
        <f>_xlfn.XLOOKUP(tblSales[[#This Row],[Product Code]],tblProducts[Code],tblProducts[Product / Service Name],"⚠ Unknown")</f>
        <v>Premium Basic T-shirt</v>
      </c>
      <c r="H1774" s="1" t="str">
        <f>_xlfn.XLOOKUP(tblSales[[#This Row],[Product Code]],tblProducts[Code],tblProducts[Category],"")</f>
        <v>Accessories &amp; Basics</v>
      </c>
      <c r="I1774" s="4">
        <v>11</v>
      </c>
      <c r="J1774" s="5">
        <f>_xlfn.XLOOKUP(tblSales[[#This Row],[Product Code]],tblProducts[Code],tblProducts[Selling Price (excl. VAT)],0)</f>
        <v>65000</v>
      </c>
      <c r="K1774" s="5">
        <f>tblSales[[#This Row],[Qty]]*tblSales[[#This Row],[Unit Price]]</f>
        <v>715000</v>
      </c>
      <c r="L1774" s="5">
        <f>ROUND(tblSales[[#This Row],[DPP (excl. VAT)]]*VATEff,0)</f>
        <v>78650</v>
      </c>
      <c r="M1774" s="5">
        <f>tblSales[[#This Row],[DPP (excl. VAT)]]+tblSales[[#This Row],[Output VAT]]</f>
        <v>793650</v>
      </c>
      <c r="N1774" s="5">
        <f>tblSales[[#This Row],[Qty]]*_xlfn.XLOOKUP(tblSales[[#This Row],[Product Code]],tblProducts[Code],tblProducts[Unit Cost],0)</f>
        <v>407000</v>
      </c>
      <c r="O1774" s="4" t="s">
        <v>4865</v>
      </c>
      <c r="P1774" s="4" t="s">
        <v>4860</v>
      </c>
      <c r="Q1774" s="1" t="str">
        <f>_xlfn.XLOOKUP(tblSales[[#This Row],[Channel Code]],tblChannels[Channel Code],tblChannels[Channel Name],"")</f>
        <v>In-store</v>
      </c>
      <c r="R1774" s="1">
        <f>MONTH(tblSales[[#This Row],[Date]])</f>
        <v>4</v>
      </c>
    </row>
    <row r="1775" spans="2:18" x14ac:dyDescent="0.35">
      <c r="B1775" s="113">
        <v>46128</v>
      </c>
      <c r="C1775" s="4" t="s">
        <v>1203</v>
      </c>
      <c r="D1775" s="4" t="s">
        <v>4568</v>
      </c>
      <c r="E1775" s="1" t="str">
        <f>_xlfn.XLOOKUP(tblSales[[#This Row],[Customer ID]],tblCustomers[Customer ID],tblCustomers[Customer Name],"⚠ Unknown")</f>
        <v>Walk-in Customer</v>
      </c>
      <c r="F1775" s="4" t="s">
        <v>6</v>
      </c>
      <c r="G1775" s="1" t="str">
        <f>_xlfn.XLOOKUP(tblSales[[#This Row],[Product Code]],tblProducts[Code],tblProducts[Product / Service Name],"⚠ Unknown")</f>
        <v>Socks &amp; Accessories</v>
      </c>
      <c r="H1775" s="1" t="str">
        <f>_xlfn.XLOOKUP(tblSales[[#This Row],[Product Code]],tblProducts[Code],tblProducts[Category],"")</f>
        <v>Accessories &amp; Basics</v>
      </c>
      <c r="I1775" s="4">
        <v>5</v>
      </c>
      <c r="J1775" s="5">
        <f>_xlfn.XLOOKUP(tblSales[[#This Row],[Product Code]],tblProducts[Code],tblProducts[Selling Price (excl. VAT)],0)</f>
        <v>45000</v>
      </c>
      <c r="K1775" s="5">
        <f>tblSales[[#This Row],[Qty]]*tblSales[[#This Row],[Unit Price]]</f>
        <v>225000</v>
      </c>
      <c r="L1775" s="5">
        <f>ROUND(tblSales[[#This Row],[DPP (excl. VAT)]]*VATEff,0)</f>
        <v>24750</v>
      </c>
      <c r="M1775" s="5">
        <f>tblSales[[#This Row],[DPP (excl. VAT)]]+tblSales[[#This Row],[Output VAT]]</f>
        <v>249750</v>
      </c>
      <c r="N1775" s="5">
        <f>tblSales[[#This Row],[Qty]]*_xlfn.XLOOKUP(tblSales[[#This Row],[Product Code]],tblProducts[Code],tblProducts[Unit Cost],0)</f>
        <v>120000</v>
      </c>
      <c r="O1775" s="4" t="s">
        <v>4866</v>
      </c>
      <c r="P1775" s="4" t="s">
        <v>4861</v>
      </c>
      <c r="Q1775" s="1" t="str">
        <f>_xlfn.XLOOKUP(tblSales[[#This Row],[Channel Code]],tblChannels[Channel Code],tblChannels[Channel Name],"")</f>
        <v>Marketplace</v>
      </c>
      <c r="R1775" s="1">
        <f>MONTH(tblSales[[#This Row],[Date]])</f>
        <v>4</v>
      </c>
    </row>
    <row r="1776" spans="2:18" x14ac:dyDescent="0.35">
      <c r="B1776" s="113">
        <v>46128</v>
      </c>
      <c r="C1776" s="4" t="s">
        <v>1203</v>
      </c>
      <c r="D1776" s="4" t="s">
        <v>4568</v>
      </c>
      <c r="E1776" s="1" t="str">
        <f>_xlfn.XLOOKUP(tblSales[[#This Row],[Customer ID]],tblCustomers[Customer ID],tblCustomers[Customer Name],"⚠ Unknown")</f>
        <v>Walk-in Customer</v>
      </c>
      <c r="F1776" s="4" t="s">
        <v>10</v>
      </c>
      <c r="G1776" s="1" t="str">
        <f>_xlfn.XLOOKUP(tblSales[[#This Row],[Product Code]],tblProducts[Code],tblProducts[Product / Service Name],"⚠ Unknown")</f>
        <v>Chino Pants</v>
      </c>
      <c r="H1776" s="1" t="str">
        <f>_xlfn.XLOOKUP(tblSales[[#This Row],[Product Code]],tblProducts[Code],tblProducts[Category],"")</f>
        <v>Apparel &amp; Footwear</v>
      </c>
      <c r="I1776" s="4">
        <v>10</v>
      </c>
      <c r="J1776" s="5">
        <f>_xlfn.XLOOKUP(tblSales[[#This Row],[Product Code]],tblProducts[Code],tblProducts[Selling Price (excl. VAT)],0)</f>
        <v>150000</v>
      </c>
      <c r="K1776" s="5">
        <f>tblSales[[#This Row],[Qty]]*tblSales[[#This Row],[Unit Price]]</f>
        <v>1500000</v>
      </c>
      <c r="L1776" s="5">
        <f>ROUND(tblSales[[#This Row],[DPP (excl. VAT)]]*VATEff,0)</f>
        <v>165000</v>
      </c>
      <c r="M1776" s="5">
        <f>tblSales[[#This Row],[DPP (excl. VAT)]]+tblSales[[#This Row],[Output VAT]]</f>
        <v>1665000</v>
      </c>
      <c r="N1776" s="5">
        <f>tblSales[[#This Row],[Qty]]*_xlfn.XLOOKUP(tblSales[[#This Row],[Product Code]],tblProducts[Code],tblProducts[Unit Cost],0)</f>
        <v>880000</v>
      </c>
      <c r="O1776" s="4" t="s">
        <v>4866</v>
      </c>
      <c r="P1776" s="4" t="s">
        <v>4861</v>
      </c>
      <c r="Q1776" s="1" t="str">
        <f>_xlfn.XLOOKUP(tblSales[[#This Row],[Channel Code]],tblChannels[Channel Code],tblChannels[Channel Name],"")</f>
        <v>Marketplace</v>
      </c>
      <c r="R1776" s="1">
        <f>MONTH(tblSales[[#This Row],[Date]])</f>
        <v>4</v>
      </c>
    </row>
    <row r="1777" spans="2:18" x14ac:dyDescent="0.35">
      <c r="B1777" s="113">
        <v>46128</v>
      </c>
      <c r="C1777" s="4" t="s">
        <v>1204</v>
      </c>
      <c r="D1777" s="4" t="s">
        <v>4568</v>
      </c>
      <c r="E1777" s="1" t="str">
        <f>_xlfn.XLOOKUP(tblSales[[#This Row],[Customer ID]],tblCustomers[Customer ID],tblCustomers[Customer Name],"⚠ Unknown")</f>
        <v>Walk-in Customer</v>
      </c>
      <c r="F1777" s="4" t="s">
        <v>10</v>
      </c>
      <c r="G1777" s="1" t="str">
        <f>_xlfn.XLOOKUP(tblSales[[#This Row],[Product Code]],tblProducts[Code],tblProducts[Product / Service Name],"⚠ Unknown")</f>
        <v>Chino Pants</v>
      </c>
      <c r="H1777" s="1" t="str">
        <f>_xlfn.XLOOKUP(tblSales[[#This Row],[Product Code]],tblProducts[Code],tblProducts[Category],"")</f>
        <v>Apparel &amp; Footwear</v>
      </c>
      <c r="I1777" s="4">
        <v>10</v>
      </c>
      <c r="J1777" s="5">
        <f>_xlfn.XLOOKUP(tblSales[[#This Row],[Product Code]],tblProducts[Code],tblProducts[Selling Price (excl. VAT)],0)</f>
        <v>150000</v>
      </c>
      <c r="K1777" s="5">
        <f>tblSales[[#This Row],[Qty]]*tblSales[[#This Row],[Unit Price]]</f>
        <v>1500000</v>
      </c>
      <c r="L1777" s="5">
        <f>ROUND(tblSales[[#This Row],[DPP (excl. VAT)]]*VATEff,0)</f>
        <v>165000</v>
      </c>
      <c r="M1777" s="5">
        <f>tblSales[[#This Row],[DPP (excl. VAT)]]+tblSales[[#This Row],[Output VAT]]</f>
        <v>1665000</v>
      </c>
      <c r="N1777" s="5">
        <f>tblSales[[#This Row],[Qty]]*_xlfn.XLOOKUP(tblSales[[#This Row],[Product Code]],tblProducts[Code],tblProducts[Unit Cost],0)</f>
        <v>880000</v>
      </c>
      <c r="O1777" s="4" t="s">
        <v>4866</v>
      </c>
      <c r="P1777" s="4" t="s">
        <v>4862</v>
      </c>
      <c r="Q1777" s="1" t="str">
        <f>_xlfn.XLOOKUP(tblSales[[#This Row],[Channel Code]],tblChannels[Channel Code],tblChannels[Channel Name],"")</f>
        <v>Website &amp; Social Media</v>
      </c>
      <c r="R1777" s="1">
        <f>MONTH(tblSales[[#This Row],[Date]])</f>
        <v>4</v>
      </c>
    </row>
    <row r="1778" spans="2:18" x14ac:dyDescent="0.35">
      <c r="B1778" s="113">
        <v>46128</v>
      </c>
      <c r="C1778" s="4" t="s">
        <v>1205</v>
      </c>
      <c r="D1778" s="4" t="s">
        <v>4599</v>
      </c>
      <c r="E1778" s="1" t="str">
        <f>_xlfn.XLOOKUP(tblSales[[#This Row],[Customer ID]],tblCustomers[Customer ID],tblCustomers[Customer Name],"⚠ Unknown")</f>
        <v>PT Samudra Jaya Logistik</v>
      </c>
      <c r="F1778" s="4" t="s">
        <v>6</v>
      </c>
      <c r="G1778" s="1" t="str">
        <f>_xlfn.XLOOKUP(tblSales[[#This Row],[Product Code]],tblProducts[Code],tblProducts[Product / Service Name],"⚠ Unknown")</f>
        <v>Socks &amp; Accessories</v>
      </c>
      <c r="H1778" s="1" t="str">
        <f>_xlfn.XLOOKUP(tblSales[[#This Row],[Product Code]],tblProducts[Code],tblProducts[Category],"")</f>
        <v>Accessories &amp; Basics</v>
      </c>
      <c r="I1778" s="4">
        <v>64</v>
      </c>
      <c r="J1778" s="5">
        <f>_xlfn.XLOOKUP(tblSales[[#This Row],[Product Code]],tblProducts[Code],tblProducts[Selling Price (excl. VAT)],0)</f>
        <v>45000</v>
      </c>
      <c r="K1778" s="5">
        <f>tblSales[[#This Row],[Qty]]*tblSales[[#This Row],[Unit Price]]</f>
        <v>2880000</v>
      </c>
      <c r="L1778" s="5">
        <f>ROUND(tblSales[[#This Row],[DPP (excl. VAT)]]*VATEff,0)</f>
        <v>316800</v>
      </c>
      <c r="M1778" s="5">
        <f>tblSales[[#This Row],[DPP (excl. VAT)]]+tblSales[[#This Row],[Output VAT]]</f>
        <v>3196800</v>
      </c>
      <c r="N1778" s="5">
        <f>tblSales[[#This Row],[Qty]]*_xlfn.XLOOKUP(tblSales[[#This Row],[Product Code]],tblProducts[Code],tblProducts[Unit Cost],0)</f>
        <v>1536000</v>
      </c>
      <c r="O1778" s="4" t="s">
        <v>4867</v>
      </c>
      <c r="P1778" s="4" t="s">
        <v>4860</v>
      </c>
      <c r="Q1778" s="1" t="str">
        <f>_xlfn.XLOOKUP(tblSales[[#This Row],[Channel Code]],tblChannels[Channel Code],tblChannels[Channel Name],"")</f>
        <v>In-store</v>
      </c>
      <c r="R1778" s="1">
        <f>MONTH(tblSales[[#This Row],[Date]])</f>
        <v>4</v>
      </c>
    </row>
    <row r="1779" spans="2:18" x14ac:dyDescent="0.35">
      <c r="B1779" s="113">
        <v>46128</v>
      </c>
      <c r="C1779" s="4" t="s">
        <v>1205</v>
      </c>
      <c r="D1779" s="4" t="s">
        <v>4599</v>
      </c>
      <c r="E1779" s="1" t="str">
        <f>_xlfn.XLOOKUP(tblSales[[#This Row],[Customer ID]],tblCustomers[Customer ID],tblCustomers[Customer Name],"⚠ Unknown")</f>
        <v>PT Samudra Jaya Logistik</v>
      </c>
      <c r="F1779" s="4" t="s">
        <v>7</v>
      </c>
      <c r="G1779" s="1" t="str">
        <f>_xlfn.XLOOKUP(tblSales[[#This Row],[Product Code]],tblProducts[Code],tblProducts[Product / Service Name],"⚠ Unknown")</f>
        <v>Premium Basic T-shirt</v>
      </c>
      <c r="H1779" s="1" t="str">
        <f>_xlfn.XLOOKUP(tblSales[[#This Row],[Product Code]],tblProducts[Code],tblProducts[Category],"")</f>
        <v>Accessories &amp; Basics</v>
      </c>
      <c r="I1779" s="4">
        <v>8</v>
      </c>
      <c r="J1779" s="5">
        <f>_xlfn.XLOOKUP(tblSales[[#This Row],[Product Code]],tblProducts[Code],tblProducts[Selling Price (excl. VAT)],0)</f>
        <v>65000</v>
      </c>
      <c r="K1779" s="5">
        <f>tblSales[[#This Row],[Qty]]*tblSales[[#This Row],[Unit Price]]</f>
        <v>520000</v>
      </c>
      <c r="L1779" s="5">
        <f>ROUND(tblSales[[#This Row],[DPP (excl. VAT)]]*VATEff,0)</f>
        <v>57200</v>
      </c>
      <c r="M1779" s="5">
        <f>tblSales[[#This Row],[DPP (excl. VAT)]]+tblSales[[#This Row],[Output VAT]]</f>
        <v>577200</v>
      </c>
      <c r="N1779" s="5">
        <f>tblSales[[#This Row],[Qty]]*_xlfn.XLOOKUP(tblSales[[#This Row],[Product Code]],tblProducts[Code],tblProducts[Unit Cost],0)</f>
        <v>296000</v>
      </c>
      <c r="O1779" s="4" t="s">
        <v>4867</v>
      </c>
      <c r="P1779" s="4" t="s">
        <v>4860</v>
      </c>
      <c r="Q1779" s="1" t="str">
        <f>_xlfn.XLOOKUP(tblSales[[#This Row],[Channel Code]],tblChannels[Channel Code],tblChannels[Channel Name],"")</f>
        <v>In-store</v>
      </c>
      <c r="R1779" s="1">
        <f>MONTH(tblSales[[#This Row],[Date]])</f>
        <v>4</v>
      </c>
    </row>
    <row r="1780" spans="2:18" x14ac:dyDescent="0.35">
      <c r="B1780" s="113">
        <v>46128</v>
      </c>
      <c r="C1780" s="4" t="s">
        <v>1206</v>
      </c>
      <c r="D1780" s="4" t="s">
        <v>4568</v>
      </c>
      <c r="E1780" s="1" t="str">
        <f>_xlfn.XLOOKUP(tblSales[[#This Row],[Customer ID]],tblCustomers[Customer ID],tblCustomers[Customer Name],"⚠ Unknown")</f>
        <v>Walk-in Customer</v>
      </c>
      <c r="F1780" s="4" t="s">
        <v>7</v>
      </c>
      <c r="G1780" s="1" t="str">
        <f>_xlfn.XLOOKUP(tblSales[[#This Row],[Product Code]],tblProducts[Code],tblProducts[Product / Service Name],"⚠ Unknown")</f>
        <v>Premium Basic T-shirt</v>
      </c>
      <c r="H1780" s="1" t="str">
        <f>_xlfn.XLOOKUP(tblSales[[#This Row],[Product Code]],tblProducts[Code],tblProducts[Category],"")</f>
        <v>Accessories &amp; Basics</v>
      </c>
      <c r="I1780" s="4">
        <v>11</v>
      </c>
      <c r="J1780" s="5">
        <f>_xlfn.XLOOKUP(tblSales[[#This Row],[Product Code]],tblProducts[Code],tblProducts[Selling Price (excl. VAT)],0)</f>
        <v>65000</v>
      </c>
      <c r="K1780" s="5">
        <f>tblSales[[#This Row],[Qty]]*tblSales[[#This Row],[Unit Price]]</f>
        <v>715000</v>
      </c>
      <c r="L1780" s="5">
        <f>ROUND(tblSales[[#This Row],[DPP (excl. VAT)]]*VATEff,0)</f>
        <v>78650</v>
      </c>
      <c r="M1780" s="5">
        <f>tblSales[[#This Row],[DPP (excl. VAT)]]+tblSales[[#This Row],[Output VAT]]</f>
        <v>793650</v>
      </c>
      <c r="N1780" s="5">
        <f>tblSales[[#This Row],[Qty]]*_xlfn.XLOOKUP(tblSales[[#This Row],[Product Code]],tblProducts[Code],tblProducts[Unit Cost],0)</f>
        <v>407000</v>
      </c>
      <c r="O1780" s="4" t="s">
        <v>4866</v>
      </c>
      <c r="P1780" s="4" t="s">
        <v>4861</v>
      </c>
      <c r="Q1780" s="1" t="str">
        <f>_xlfn.XLOOKUP(tblSales[[#This Row],[Channel Code]],tblChannels[Channel Code],tblChannels[Channel Name],"")</f>
        <v>Marketplace</v>
      </c>
      <c r="R1780" s="1">
        <f>MONTH(tblSales[[#This Row],[Date]])</f>
        <v>4</v>
      </c>
    </row>
    <row r="1781" spans="2:18" x14ac:dyDescent="0.35">
      <c r="B1781" s="113">
        <v>46128</v>
      </c>
      <c r="C1781" s="4" t="s">
        <v>1207</v>
      </c>
      <c r="D1781" s="4" t="s">
        <v>4568</v>
      </c>
      <c r="E1781" s="1" t="str">
        <f>_xlfn.XLOOKUP(tblSales[[#This Row],[Customer ID]],tblCustomers[Customer ID],tblCustomers[Customer Name],"⚠ Unknown")</f>
        <v>Walk-in Customer</v>
      </c>
      <c r="F1781" s="4" t="s">
        <v>8</v>
      </c>
      <c r="G1781" s="1" t="str">
        <f>_xlfn.XLOOKUP(tblSales[[#This Row],[Product Code]],tblProducts[Code],tblProducts[Product / Service Name],"⚠ Unknown")</f>
        <v>Casual Shorts</v>
      </c>
      <c r="H1781" s="1" t="str">
        <f>_xlfn.XLOOKUP(tblSales[[#This Row],[Product Code]],tblProducts[Code],tblProducts[Category],"")</f>
        <v>Accessories &amp; Basics</v>
      </c>
      <c r="I1781" s="4">
        <v>12</v>
      </c>
      <c r="J1781" s="5">
        <f>_xlfn.XLOOKUP(tblSales[[#This Row],[Product Code]],tblProducts[Code],tblProducts[Selling Price (excl. VAT)],0)</f>
        <v>85000</v>
      </c>
      <c r="K1781" s="5">
        <f>tblSales[[#This Row],[Qty]]*tblSales[[#This Row],[Unit Price]]</f>
        <v>1020000</v>
      </c>
      <c r="L1781" s="5">
        <f>ROUND(tblSales[[#This Row],[DPP (excl. VAT)]]*VATEff,0)</f>
        <v>112200</v>
      </c>
      <c r="M1781" s="5">
        <f>tblSales[[#This Row],[DPP (excl. VAT)]]+tblSales[[#This Row],[Output VAT]]</f>
        <v>1132200</v>
      </c>
      <c r="N1781" s="5">
        <f>tblSales[[#This Row],[Qty]]*_xlfn.XLOOKUP(tblSales[[#This Row],[Product Code]],tblProducts[Code],tblProducts[Unit Cost],0)</f>
        <v>600000</v>
      </c>
      <c r="O1781" s="4" t="s">
        <v>4865</v>
      </c>
      <c r="P1781" s="4" t="s">
        <v>4860</v>
      </c>
      <c r="Q1781" s="1" t="str">
        <f>_xlfn.XLOOKUP(tblSales[[#This Row],[Channel Code]],tblChannels[Channel Code],tblChannels[Channel Name],"")</f>
        <v>In-store</v>
      </c>
      <c r="R1781" s="1">
        <f>MONTH(tblSales[[#This Row],[Date]])</f>
        <v>4</v>
      </c>
    </row>
    <row r="1782" spans="2:18" x14ac:dyDescent="0.35">
      <c r="B1782" s="113">
        <v>46128</v>
      </c>
      <c r="C1782" s="4" t="s">
        <v>1207</v>
      </c>
      <c r="D1782" s="4" t="s">
        <v>4568</v>
      </c>
      <c r="E1782" s="1" t="str">
        <f>_xlfn.XLOOKUP(tblSales[[#This Row],[Customer ID]],tblCustomers[Customer ID],tblCustomers[Customer Name],"⚠ Unknown")</f>
        <v>Walk-in Customer</v>
      </c>
      <c r="F1782" s="4" t="s">
        <v>10</v>
      </c>
      <c r="G1782" s="1" t="str">
        <f>_xlfn.XLOOKUP(tblSales[[#This Row],[Product Code]],tblProducts[Code],tblProducts[Product / Service Name],"⚠ Unknown")</f>
        <v>Chino Pants</v>
      </c>
      <c r="H1782" s="1" t="str">
        <f>_xlfn.XLOOKUP(tblSales[[#This Row],[Product Code]],tblProducts[Code],tblProducts[Category],"")</f>
        <v>Apparel &amp; Footwear</v>
      </c>
      <c r="I1782" s="4">
        <v>7</v>
      </c>
      <c r="J1782" s="5">
        <f>_xlfn.XLOOKUP(tblSales[[#This Row],[Product Code]],tblProducts[Code],tblProducts[Selling Price (excl. VAT)],0)</f>
        <v>150000</v>
      </c>
      <c r="K1782" s="5">
        <f>tblSales[[#This Row],[Qty]]*tblSales[[#This Row],[Unit Price]]</f>
        <v>1050000</v>
      </c>
      <c r="L1782" s="5">
        <f>ROUND(tblSales[[#This Row],[DPP (excl. VAT)]]*VATEff,0)</f>
        <v>115500</v>
      </c>
      <c r="M1782" s="5">
        <f>tblSales[[#This Row],[DPP (excl. VAT)]]+tblSales[[#This Row],[Output VAT]]</f>
        <v>1165500</v>
      </c>
      <c r="N1782" s="5">
        <f>tblSales[[#This Row],[Qty]]*_xlfn.XLOOKUP(tblSales[[#This Row],[Product Code]],tblProducts[Code],tblProducts[Unit Cost],0)</f>
        <v>616000</v>
      </c>
      <c r="O1782" s="4" t="s">
        <v>4865</v>
      </c>
      <c r="P1782" s="4" t="s">
        <v>4860</v>
      </c>
      <c r="Q1782" s="1" t="str">
        <f>_xlfn.XLOOKUP(tblSales[[#This Row],[Channel Code]],tblChannels[Channel Code],tblChannels[Channel Name],"")</f>
        <v>In-store</v>
      </c>
      <c r="R1782" s="1">
        <f>MONTH(tblSales[[#This Row],[Date]])</f>
        <v>4</v>
      </c>
    </row>
    <row r="1783" spans="2:18" x14ac:dyDescent="0.35">
      <c r="B1783" s="113">
        <v>46128</v>
      </c>
      <c r="C1783" s="4" t="s">
        <v>1208</v>
      </c>
      <c r="D1783" s="4" t="s">
        <v>4599</v>
      </c>
      <c r="E1783" s="1" t="str">
        <f>_xlfn.XLOOKUP(tblSales[[#This Row],[Customer ID]],tblCustomers[Customer ID],tblCustomers[Customer Name],"⚠ Unknown")</f>
        <v>PT Samudra Jaya Logistik</v>
      </c>
      <c r="F1783" s="4" t="s">
        <v>11</v>
      </c>
      <c r="G1783" s="1" t="str">
        <f>_xlfn.XLOOKUP(tblSales[[#This Row],[Product Code]],tblProducts[Code],tblProducts[Product / Service Name],"⚠ Unknown")</f>
        <v>Sneakers</v>
      </c>
      <c r="H1783" s="1" t="str">
        <f>_xlfn.XLOOKUP(tblSales[[#This Row],[Product Code]],tblProducts[Code],tblProducts[Category],"")</f>
        <v>Apparel &amp; Footwear</v>
      </c>
      <c r="I1783" s="4">
        <v>16</v>
      </c>
      <c r="J1783" s="5">
        <f>_xlfn.XLOOKUP(tblSales[[#This Row],[Product Code]],tblProducts[Code],tblProducts[Selling Price (excl. VAT)],0)</f>
        <v>250000</v>
      </c>
      <c r="K1783" s="5">
        <f>tblSales[[#This Row],[Qty]]*tblSales[[#This Row],[Unit Price]]</f>
        <v>4000000</v>
      </c>
      <c r="L1783" s="5">
        <f>ROUND(tblSales[[#This Row],[DPP (excl. VAT)]]*VATEff,0)</f>
        <v>440000</v>
      </c>
      <c r="M1783" s="5">
        <f>tblSales[[#This Row],[DPP (excl. VAT)]]+tblSales[[#This Row],[Output VAT]]</f>
        <v>4440000</v>
      </c>
      <c r="N1783" s="5">
        <f>tblSales[[#This Row],[Qty]]*_xlfn.XLOOKUP(tblSales[[#This Row],[Product Code]],tblProducts[Code],tblProducts[Unit Cost],0)</f>
        <v>2480000</v>
      </c>
      <c r="O1783" s="4" t="s">
        <v>4867</v>
      </c>
      <c r="P1783" s="4" t="s">
        <v>4862</v>
      </c>
      <c r="Q1783" s="1" t="str">
        <f>_xlfn.XLOOKUP(tblSales[[#This Row],[Channel Code]],tblChannels[Channel Code],tblChannels[Channel Name],"")</f>
        <v>Website &amp; Social Media</v>
      </c>
      <c r="R1783" s="1">
        <f>MONTH(tblSales[[#This Row],[Date]])</f>
        <v>4</v>
      </c>
    </row>
    <row r="1784" spans="2:18" x14ac:dyDescent="0.35">
      <c r="B1784" s="113">
        <v>46128</v>
      </c>
      <c r="C1784" s="4" t="s">
        <v>1208</v>
      </c>
      <c r="D1784" s="4" t="s">
        <v>4599</v>
      </c>
      <c r="E1784" s="1" t="str">
        <f>_xlfn.XLOOKUP(tblSales[[#This Row],[Customer ID]],tblCustomers[Customer ID],tblCustomers[Customer Name],"⚠ Unknown")</f>
        <v>PT Samudra Jaya Logistik</v>
      </c>
      <c r="F1784" s="4" t="s">
        <v>8</v>
      </c>
      <c r="G1784" s="1" t="str">
        <f>_xlfn.XLOOKUP(tblSales[[#This Row],[Product Code]],tblProducts[Code],tblProducts[Product / Service Name],"⚠ Unknown")</f>
        <v>Casual Shorts</v>
      </c>
      <c r="H1784" s="1" t="str">
        <f>_xlfn.XLOOKUP(tblSales[[#This Row],[Product Code]],tblProducts[Code],tblProducts[Category],"")</f>
        <v>Accessories &amp; Basics</v>
      </c>
      <c r="I1784" s="4">
        <v>24</v>
      </c>
      <c r="J1784" s="5">
        <f>_xlfn.XLOOKUP(tblSales[[#This Row],[Product Code]],tblProducts[Code],tblProducts[Selling Price (excl. VAT)],0)</f>
        <v>85000</v>
      </c>
      <c r="K1784" s="5">
        <f>tblSales[[#This Row],[Qty]]*tblSales[[#This Row],[Unit Price]]</f>
        <v>2040000</v>
      </c>
      <c r="L1784" s="5">
        <f>ROUND(tblSales[[#This Row],[DPP (excl. VAT)]]*VATEff,0)</f>
        <v>224400</v>
      </c>
      <c r="M1784" s="5">
        <f>tblSales[[#This Row],[DPP (excl. VAT)]]+tblSales[[#This Row],[Output VAT]]</f>
        <v>2264400</v>
      </c>
      <c r="N1784" s="5">
        <f>tblSales[[#This Row],[Qty]]*_xlfn.XLOOKUP(tblSales[[#This Row],[Product Code]],tblProducts[Code],tblProducts[Unit Cost],0)</f>
        <v>1200000</v>
      </c>
      <c r="O1784" s="4" t="s">
        <v>4867</v>
      </c>
      <c r="P1784" s="4" t="s">
        <v>4862</v>
      </c>
      <c r="Q1784" s="1" t="str">
        <f>_xlfn.XLOOKUP(tblSales[[#This Row],[Channel Code]],tblChannels[Channel Code],tblChannels[Channel Name],"")</f>
        <v>Website &amp; Social Media</v>
      </c>
      <c r="R1784" s="1">
        <f>MONTH(tblSales[[#This Row],[Date]])</f>
        <v>4</v>
      </c>
    </row>
    <row r="1785" spans="2:18" x14ac:dyDescent="0.35">
      <c r="B1785" s="113">
        <v>46128</v>
      </c>
      <c r="C1785" s="4" t="s">
        <v>1209</v>
      </c>
      <c r="D1785" s="4" t="s">
        <v>4568</v>
      </c>
      <c r="E1785" s="1" t="str">
        <f>_xlfn.XLOOKUP(tblSales[[#This Row],[Customer ID]],tblCustomers[Customer ID],tblCustomers[Customer Name],"⚠ Unknown")</f>
        <v>Walk-in Customer</v>
      </c>
      <c r="F1785" s="4" t="s">
        <v>10</v>
      </c>
      <c r="G1785" s="1" t="str">
        <f>_xlfn.XLOOKUP(tblSales[[#This Row],[Product Code]],tblProducts[Code],tblProducts[Product / Service Name],"⚠ Unknown")</f>
        <v>Chino Pants</v>
      </c>
      <c r="H1785" s="1" t="str">
        <f>_xlfn.XLOOKUP(tblSales[[#This Row],[Product Code]],tblProducts[Code],tblProducts[Category],"")</f>
        <v>Apparel &amp; Footwear</v>
      </c>
      <c r="I1785" s="4">
        <v>11</v>
      </c>
      <c r="J1785" s="5">
        <f>_xlfn.XLOOKUP(tblSales[[#This Row],[Product Code]],tblProducts[Code],tblProducts[Selling Price (excl. VAT)],0)</f>
        <v>150000</v>
      </c>
      <c r="K1785" s="5">
        <f>tblSales[[#This Row],[Qty]]*tblSales[[#This Row],[Unit Price]]</f>
        <v>1650000</v>
      </c>
      <c r="L1785" s="5">
        <f>ROUND(tblSales[[#This Row],[DPP (excl. VAT)]]*VATEff,0)</f>
        <v>181500</v>
      </c>
      <c r="M1785" s="5">
        <f>tblSales[[#This Row],[DPP (excl. VAT)]]+tblSales[[#This Row],[Output VAT]]</f>
        <v>1831500</v>
      </c>
      <c r="N1785" s="5">
        <f>tblSales[[#This Row],[Qty]]*_xlfn.XLOOKUP(tblSales[[#This Row],[Product Code]],tblProducts[Code],tblProducts[Unit Cost],0)</f>
        <v>968000</v>
      </c>
      <c r="O1785" s="4" t="s">
        <v>4866</v>
      </c>
      <c r="P1785" s="4" t="s">
        <v>4861</v>
      </c>
      <c r="Q1785" s="1" t="str">
        <f>_xlfn.XLOOKUP(tblSales[[#This Row],[Channel Code]],tblChannels[Channel Code],tblChannels[Channel Name],"")</f>
        <v>Marketplace</v>
      </c>
      <c r="R1785" s="1">
        <f>MONTH(tblSales[[#This Row],[Date]])</f>
        <v>4</v>
      </c>
    </row>
    <row r="1786" spans="2:18" x14ac:dyDescent="0.35">
      <c r="B1786" s="113">
        <v>46128</v>
      </c>
      <c r="C1786" s="4" t="s">
        <v>1209</v>
      </c>
      <c r="D1786" s="4" t="s">
        <v>4568</v>
      </c>
      <c r="E1786" s="1" t="str">
        <f>_xlfn.XLOOKUP(tblSales[[#This Row],[Customer ID]],tblCustomers[Customer ID],tblCustomers[Customer Name],"⚠ Unknown")</f>
        <v>Walk-in Customer</v>
      </c>
      <c r="F1786" s="4" t="s">
        <v>7</v>
      </c>
      <c r="G1786" s="1" t="str">
        <f>_xlfn.XLOOKUP(tblSales[[#This Row],[Product Code]],tblProducts[Code],tblProducts[Product / Service Name],"⚠ Unknown")</f>
        <v>Premium Basic T-shirt</v>
      </c>
      <c r="H1786" s="1" t="str">
        <f>_xlfn.XLOOKUP(tblSales[[#This Row],[Product Code]],tblProducts[Code],tblProducts[Category],"")</f>
        <v>Accessories &amp; Basics</v>
      </c>
      <c r="I1786" s="4">
        <v>5</v>
      </c>
      <c r="J1786" s="5">
        <f>_xlfn.XLOOKUP(tblSales[[#This Row],[Product Code]],tblProducts[Code],tblProducts[Selling Price (excl. VAT)],0)</f>
        <v>65000</v>
      </c>
      <c r="K1786" s="5">
        <f>tblSales[[#This Row],[Qty]]*tblSales[[#This Row],[Unit Price]]</f>
        <v>325000</v>
      </c>
      <c r="L1786" s="5">
        <f>ROUND(tblSales[[#This Row],[DPP (excl. VAT)]]*VATEff,0)</f>
        <v>35750</v>
      </c>
      <c r="M1786" s="5">
        <f>tblSales[[#This Row],[DPP (excl. VAT)]]+tblSales[[#This Row],[Output VAT]]</f>
        <v>360750</v>
      </c>
      <c r="N1786" s="5">
        <f>tblSales[[#This Row],[Qty]]*_xlfn.XLOOKUP(tblSales[[#This Row],[Product Code]],tblProducts[Code],tblProducts[Unit Cost],0)</f>
        <v>185000</v>
      </c>
      <c r="O1786" s="4" t="s">
        <v>4866</v>
      </c>
      <c r="P1786" s="4" t="s">
        <v>4861</v>
      </c>
      <c r="Q1786" s="1" t="str">
        <f>_xlfn.XLOOKUP(tblSales[[#This Row],[Channel Code]],tblChannels[Channel Code],tblChannels[Channel Name],"")</f>
        <v>Marketplace</v>
      </c>
      <c r="R1786" s="1">
        <f>MONTH(tblSales[[#This Row],[Date]])</f>
        <v>4</v>
      </c>
    </row>
    <row r="1787" spans="2:18" x14ac:dyDescent="0.35">
      <c r="B1787" s="113">
        <v>46128</v>
      </c>
      <c r="C1787" s="4" t="s">
        <v>1209</v>
      </c>
      <c r="D1787" s="4" t="s">
        <v>4568</v>
      </c>
      <c r="E1787" s="1" t="str">
        <f>_xlfn.XLOOKUP(tblSales[[#This Row],[Customer ID]],tblCustomers[Customer ID],tblCustomers[Customer Name],"⚠ Unknown")</f>
        <v>Walk-in Customer</v>
      </c>
      <c r="F1787" s="4" t="s">
        <v>12</v>
      </c>
      <c r="G1787" s="1" t="str">
        <f>_xlfn.XLOOKUP(tblSales[[#This Row],[Product Code]],tblProducts[Code],tblProducts[Product / Service Name],"⚠ Unknown")</f>
        <v>Bomber Jacket</v>
      </c>
      <c r="H1787" s="1" t="str">
        <f>_xlfn.XLOOKUP(tblSales[[#This Row],[Product Code]],tblProducts[Code],tblProducts[Category],"")</f>
        <v>Apparel &amp; Footwear</v>
      </c>
      <c r="I1787" s="4">
        <v>6</v>
      </c>
      <c r="J1787" s="5">
        <f>_xlfn.XLOOKUP(tblSales[[#This Row],[Product Code]],tblProducts[Code],tblProducts[Selling Price (excl. VAT)],0)</f>
        <v>350000</v>
      </c>
      <c r="K1787" s="5">
        <f>tblSales[[#This Row],[Qty]]*tblSales[[#This Row],[Unit Price]]</f>
        <v>2100000</v>
      </c>
      <c r="L1787" s="5">
        <f>ROUND(tblSales[[#This Row],[DPP (excl. VAT)]]*VATEff,0)</f>
        <v>231000</v>
      </c>
      <c r="M1787" s="5">
        <f>tblSales[[#This Row],[DPP (excl. VAT)]]+tblSales[[#This Row],[Output VAT]]</f>
        <v>2331000</v>
      </c>
      <c r="N1787" s="5">
        <f>tblSales[[#This Row],[Qty]]*_xlfn.XLOOKUP(tblSales[[#This Row],[Product Code]],tblProducts[Code],tblProducts[Unit Cost],0)</f>
        <v>1260000</v>
      </c>
      <c r="O1787" s="4" t="s">
        <v>4866</v>
      </c>
      <c r="P1787" s="4" t="s">
        <v>4861</v>
      </c>
      <c r="Q1787" s="1" t="str">
        <f>_xlfn.XLOOKUP(tblSales[[#This Row],[Channel Code]],tblChannels[Channel Code],tblChannels[Channel Name],"")</f>
        <v>Marketplace</v>
      </c>
      <c r="R1787" s="1">
        <f>MONTH(tblSales[[#This Row],[Date]])</f>
        <v>4</v>
      </c>
    </row>
    <row r="1788" spans="2:18" x14ac:dyDescent="0.35">
      <c r="B1788" s="113">
        <v>46128</v>
      </c>
      <c r="C1788" s="4" t="s">
        <v>1210</v>
      </c>
      <c r="D1788" s="4" t="s">
        <v>4568</v>
      </c>
      <c r="E1788" s="1" t="str">
        <f>_xlfn.XLOOKUP(tblSales[[#This Row],[Customer ID]],tblCustomers[Customer ID],tblCustomers[Customer Name],"⚠ Unknown")</f>
        <v>Walk-in Customer</v>
      </c>
      <c r="F1788" s="4" t="s">
        <v>14</v>
      </c>
      <c r="G1788" s="1" t="str">
        <f>_xlfn.XLOOKUP(tblSales[[#This Row],[Product Code]],tblProducts[Code],tblProducts[Product / Service Name],"⚠ Unknown")</f>
        <v>Smartwatch</v>
      </c>
      <c r="H1788" s="1" t="str">
        <f>_xlfn.XLOOKUP(tblSales[[#This Row],[Product Code]],tblProducts[Code],tblProducts[Category],"")</f>
        <v>Bags &amp; Gadgets</v>
      </c>
      <c r="I1788" s="4">
        <v>3</v>
      </c>
      <c r="J1788" s="5">
        <f>_xlfn.XLOOKUP(tblSales[[#This Row],[Product Code]],tblProducts[Code],tblProducts[Selling Price (excl. VAT)],0)</f>
        <v>850000</v>
      </c>
      <c r="K1788" s="5">
        <f>tblSales[[#This Row],[Qty]]*tblSales[[#This Row],[Unit Price]]</f>
        <v>2550000</v>
      </c>
      <c r="L1788" s="5">
        <f>ROUND(tblSales[[#This Row],[DPP (excl. VAT)]]*VATEff,0)</f>
        <v>280500</v>
      </c>
      <c r="M1788" s="5">
        <f>tblSales[[#This Row],[DPP (excl. VAT)]]+tblSales[[#This Row],[Output VAT]]</f>
        <v>2830500</v>
      </c>
      <c r="N1788" s="5">
        <f>tblSales[[#This Row],[Qty]]*_xlfn.XLOOKUP(tblSales[[#This Row],[Product Code]],tblProducts[Code],tblProducts[Unit Cost],0)</f>
        <v>1680000</v>
      </c>
      <c r="O1788" s="4" t="s">
        <v>4865</v>
      </c>
      <c r="P1788" s="4" t="s">
        <v>4860</v>
      </c>
      <c r="Q1788" s="1" t="str">
        <f>_xlfn.XLOOKUP(tblSales[[#This Row],[Channel Code]],tblChannels[Channel Code],tblChannels[Channel Name],"")</f>
        <v>In-store</v>
      </c>
      <c r="R1788" s="1">
        <f>MONTH(tblSales[[#This Row],[Date]])</f>
        <v>4</v>
      </c>
    </row>
    <row r="1789" spans="2:18" x14ac:dyDescent="0.35">
      <c r="B1789" s="113">
        <v>46128</v>
      </c>
      <c r="C1789" s="4" t="s">
        <v>1211</v>
      </c>
      <c r="D1789" s="4" t="s">
        <v>4568</v>
      </c>
      <c r="E1789" s="1" t="str">
        <f>_xlfn.XLOOKUP(tblSales[[#This Row],[Customer ID]],tblCustomers[Customer ID],tblCustomers[Customer Name],"⚠ Unknown")</f>
        <v>Walk-in Customer</v>
      </c>
      <c r="F1789" s="4" t="s">
        <v>7</v>
      </c>
      <c r="G1789" s="1" t="str">
        <f>_xlfn.XLOOKUP(tblSales[[#This Row],[Product Code]],tblProducts[Code],tblProducts[Product / Service Name],"⚠ Unknown")</f>
        <v>Premium Basic T-shirt</v>
      </c>
      <c r="H1789" s="1" t="str">
        <f>_xlfn.XLOOKUP(tblSales[[#This Row],[Product Code]],tblProducts[Code],tblProducts[Category],"")</f>
        <v>Accessories &amp; Basics</v>
      </c>
      <c r="I1789" s="4">
        <v>10</v>
      </c>
      <c r="J1789" s="5">
        <f>_xlfn.XLOOKUP(tblSales[[#This Row],[Product Code]],tblProducts[Code],tblProducts[Selling Price (excl. VAT)],0)</f>
        <v>65000</v>
      </c>
      <c r="K1789" s="5">
        <f>tblSales[[#This Row],[Qty]]*tblSales[[#This Row],[Unit Price]]</f>
        <v>650000</v>
      </c>
      <c r="L1789" s="5">
        <f>ROUND(tblSales[[#This Row],[DPP (excl. VAT)]]*VATEff,0)</f>
        <v>71500</v>
      </c>
      <c r="M1789" s="5">
        <f>tblSales[[#This Row],[DPP (excl. VAT)]]+tblSales[[#This Row],[Output VAT]]</f>
        <v>721500</v>
      </c>
      <c r="N1789" s="5">
        <f>tblSales[[#This Row],[Qty]]*_xlfn.XLOOKUP(tblSales[[#This Row],[Product Code]],tblProducts[Code],tblProducts[Unit Cost],0)</f>
        <v>370000</v>
      </c>
      <c r="O1789" s="4" t="s">
        <v>4866</v>
      </c>
      <c r="P1789" s="4" t="s">
        <v>4860</v>
      </c>
      <c r="Q1789" s="1" t="str">
        <f>_xlfn.XLOOKUP(tblSales[[#This Row],[Channel Code]],tblChannels[Channel Code],tblChannels[Channel Name],"")</f>
        <v>In-store</v>
      </c>
      <c r="R1789" s="1">
        <f>MONTH(tblSales[[#This Row],[Date]])</f>
        <v>4</v>
      </c>
    </row>
    <row r="1790" spans="2:18" x14ac:dyDescent="0.35">
      <c r="B1790" s="113">
        <v>46128</v>
      </c>
      <c r="C1790" s="4" t="s">
        <v>1211</v>
      </c>
      <c r="D1790" s="4" t="s">
        <v>4568</v>
      </c>
      <c r="E1790" s="1" t="str">
        <f>_xlfn.XLOOKUP(tblSales[[#This Row],[Customer ID]],tblCustomers[Customer ID],tblCustomers[Customer Name],"⚠ Unknown")</f>
        <v>Walk-in Customer</v>
      </c>
      <c r="F1790" s="4" t="s">
        <v>8</v>
      </c>
      <c r="G1790" s="1" t="str">
        <f>_xlfn.XLOOKUP(tblSales[[#This Row],[Product Code]],tblProducts[Code],tblProducts[Product / Service Name],"⚠ Unknown")</f>
        <v>Casual Shorts</v>
      </c>
      <c r="H1790" s="1" t="str">
        <f>_xlfn.XLOOKUP(tblSales[[#This Row],[Product Code]],tblProducts[Code],tblProducts[Category],"")</f>
        <v>Accessories &amp; Basics</v>
      </c>
      <c r="I1790" s="4">
        <v>9</v>
      </c>
      <c r="J1790" s="5">
        <f>_xlfn.XLOOKUP(tblSales[[#This Row],[Product Code]],tblProducts[Code],tblProducts[Selling Price (excl. VAT)],0)</f>
        <v>85000</v>
      </c>
      <c r="K1790" s="5">
        <f>tblSales[[#This Row],[Qty]]*tblSales[[#This Row],[Unit Price]]</f>
        <v>765000</v>
      </c>
      <c r="L1790" s="5">
        <f>ROUND(tblSales[[#This Row],[DPP (excl. VAT)]]*VATEff,0)</f>
        <v>84150</v>
      </c>
      <c r="M1790" s="5">
        <f>tblSales[[#This Row],[DPP (excl. VAT)]]+tblSales[[#This Row],[Output VAT]]</f>
        <v>849150</v>
      </c>
      <c r="N1790" s="5">
        <f>tblSales[[#This Row],[Qty]]*_xlfn.XLOOKUP(tblSales[[#This Row],[Product Code]],tblProducts[Code],tblProducts[Unit Cost],0)</f>
        <v>450000</v>
      </c>
      <c r="O1790" s="4" t="s">
        <v>4866</v>
      </c>
      <c r="P1790" s="4" t="s">
        <v>4860</v>
      </c>
      <c r="Q1790" s="1" t="str">
        <f>_xlfn.XLOOKUP(tblSales[[#This Row],[Channel Code]],tblChannels[Channel Code],tblChannels[Channel Name],"")</f>
        <v>In-store</v>
      </c>
      <c r="R1790" s="1">
        <f>MONTH(tblSales[[#This Row],[Date]])</f>
        <v>4</v>
      </c>
    </row>
    <row r="1791" spans="2:18" x14ac:dyDescent="0.35">
      <c r="B1791" s="113">
        <v>46128</v>
      </c>
      <c r="C1791" s="4" t="s">
        <v>1211</v>
      </c>
      <c r="D1791" s="4" t="s">
        <v>4568</v>
      </c>
      <c r="E1791" s="1" t="str">
        <f>_xlfn.XLOOKUP(tblSales[[#This Row],[Customer ID]],tblCustomers[Customer ID],tblCustomers[Customer Name],"⚠ Unknown")</f>
        <v>Walk-in Customer</v>
      </c>
      <c r="F1791" s="4" t="s">
        <v>13</v>
      </c>
      <c r="G1791" s="1" t="str">
        <f>_xlfn.XLOOKUP(tblSales[[#This Row],[Product Code]],tblProducts[Code],tblProducts[Product / Service Name],"⚠ Unknown")</f>
        <v>Backpack</v>
      </c>
      <c r="H1791" s="1" t="str">
        <f>_xlfn.XLOOKUP(tblSales[[#This Row],[Product Code]],tblProducts[Code],tblProducts[Category],"")</f>
        <v>Bags &amp; Gadgets</v>
      </c>
      <c r="I1791" s="4">
        <v>4</v>
      </c>
      <c r="J1791" s="5">
        <f>_xlfn.XLOOKUP(tblSales[[#This Row],[Product Code]],tblProducts[Code],tblProducts[Selling Price (excl. VAT)],0)</f>
        <v>500000</v>
      </c>
      <c r="K1791" s="5">
        <f>tblSales[[#This Row],[Qty]]*tblSales[[#This Row],[Unit Price]]</f>
        <v>2000000</v>
      </c>
      <c r="L1791" s="5">
        <f>ROUND(tblSales[[#This Row],[DPP (excl. VAT)]]*VATEff,0)</f>
        <v>220000</v>
      </c>
      <c r="M1791" s="5">
        <f>tblSales[[#This Row],[DPP (excl. VAT)]]+tblSales[[#This Row],[Output VAT]]</f>
        <v>2220000</v>
      </c>
      <c r="N1791" s="5">
        <f>tblSales[[#This Row],[Qty]]*_xlfn.XLOOKUP(tblSales[[#This Row],[Product Code]],tblProducts[Code],tblProducts[Unit Cost],0)</f>
        <v>1160000</v>
      </c>
      <c r="O1791" s="4" t="s">
        <v>4866</v>
      </c>
      <c r="P1791" s="4" t="s">
        <v>4860</v>
      </c>
      <c r="Q1791" s="1" t="str">
        <f>_xlfn.XLOOKUP(tblSales[[#This Row],[Channel Code]],tblChannels[Channel Code],tblChannels[Channel Name],"")</f>
        <v>In-store</v>
      </c>
      <c r="R1791" s="1">
        <f>MONTH(tblSales[[#This Row],[Date]])</f>
        <v>4</v>
      </c>
    </row>
    <row r="1792" spans="2:18" x14ac:dyDescent="0.35">
      <c r="B1792" s="113">
        <v>46128</v>
      </c>
      <c r="C1792" s="4" t="s">
        <v>1212</v>
      </c>
      <c r="D1792" s="4" t="s">
        <v>4568</v>
      </c>
      <c r="E1792" s="1" t="str">
        <f>_xlfn.XLOOKUP(tblSales[[#This Row],[Customer ID]],tblCustomers[Customer ID],tblCustomers[Customer Name],"⚠ Unknown")</f>
        <v>Walk-in Customer</v>
      </c>
      <c r="F1792" s="4" t="s">
        <v>7</v>
      </c>
      <c r="G1792" s="1" t="str">
        <f>_xlfn.XLOOKUP(tblSales[[#This Row],[Product Code]],tblProducts[Code],tblProducts[Product / Service Name],"⚠ Unknown")</f>
        <v>Premium Basic T-shirt</v>
      </c>
      <c r="H1792" s="1" t="str">
        <f>_xlfn.XLOOKUP(tblSales[[#This Row],[Product Code]],tblProducts[Code],tblProducts[Category],"")</f>
        <v>Accessories &amp; Basics</v>
      </c>
      <c r="I1792" s="4">
        <v>9</v>
      </c>
      <c r="J1792" s="5">
        <f>_xlfn.XLOOKUP(tblSales[[#This Row],[Product Code]],tblProducts[Code],tblProducts[Selling Price (excl. VAT)],0)</f>
        <v>65000</v>
      </c>
      <c r="K1792" s="5">
        <f>tblSales[[#This Row],[Qty]]*tblSales[[#This Row],[Unit Price]]</f>
        <v>585000</v>
      </c>
      <c r="L1792" s="5">
        <f>ROUND(tblSales[[#This Row],[DPP (excl. VAT)]]*VATEff,0)</f>
        <v>64350</v>
      </c>
      <c r="M1792" s="5">
        <f>tblSales[[#This Row],[DPP (excl. VAT)]]+tblSales[[#This Row],[Output VAT]]</f>
        <v>649350</v>
      </c>
      <c r="N1792" s="5">
        <f>tblSales[[#This Row],[Qty]]*_xlfn.XLOOKUP(tblSales[[#This Row],[Product Code]],tblProducts[Code],tblProducts[Unit Cost],0)</f>
        <v>333000</v>
      </c>
      <c r="O1792" s="4" t="s">
        <v>4866</v>
      </c>
      <c r="P1792" s="4" t="s">
        <v>4860</v>
      </c>
      <c r="Q1792" s="1" t="str">
        <f>_xlfn.XLOOKUP(tblSales[[#This Row],[Channel Code]],tblChannels[Channel Code],tblChannels[Channel Name],"")</f>
        <v>In-store</v>
      </c>
      <c r="R1792" s="1">
        <f>MONTH(tblSales[[#This Row],[Date]])</f>
        <v>4</v>
      </c>
    </row>
    <row r="1793" spans="2:18" x14ac:dyDescent="0.35">
      <c r="B1793" s="113">
        <v>46128</v>
      </c>
      <c r="C1793" s="4" t="s">
        <v>1212</v>
      </c>
      <c r="D1793" s="4" t="s">
        <v>4568</v>
      </c>
      <c r="E1793" s="1" t="str">
        <f>_xlfn.XLOOKUP(tblSales[[#This Row],[Customer ID]],tblCustomers[Customer ID],tblCustomers[Customer Name],"⚠ Unknown")</f>
        <v>Walk-in Customer</v>
      </c>
      <c r="F1793" s="4" t="s">
        <v>6</v>
      </c>
      <c r="G1793" s="1" t="str">
        <f>_xlfn.XLOOKUP(tblSales[[#This Row],[Product Code]],tblProducts[Code],tblProducts[Product / Service Name],"⚠ Unknown")</f>
        <v>Socks &amp; Accessories</v>
      </c>
      <c r="H1793" s="1" t="str">
        <f>_xlfn.XLOOKUP(tblSales[[#This Row],[Product Code]],tblProducts[Code],tblProducts[Category],"")</f>
        <v>Accessories &amp; Basics</v>
      </c>
      <c r="I1793" s="4">
        <v>12</v>
      </c>
      <c r="J1793" s="5">
        <f>_xlfn.XLOOKUP(tblSales[[#This Row],[Product Code]],tblProducts[Code],tblProducts[Selling Price (excl. VAT)],0)</f>
        <v>45000</v>
      </c>
      <c r="K1793" s="5">
        <f>tblSales[[#This Row],[Qty]]*tblSales[[#This Row],[Unit Price]]</f>
        <v>540000</v>
      </c>
      <c r="L1793" s="5">
        <f>ROUND(tblSales[[#This Row],[DPP (excl. VAT)]]*VATEff,0)</f>
        <v>59400</v>
      </c>
      <c r="M1793" s="5">
        <f>tblSales[[#This Row],[DPP (excl. VAT)]]+tblSales[[#This Row],[Output VAT]]</f>
        <v>599400</v>
      </c>
      <c r="N1793" s="5">
        <f>tblSales[[#This Row],[Qty]]*_xlfn.XLOOKUP(tblSales[[#This Row],[Product Code]],tblProducts[Code],tblProducts[Unit Cost],0)</f>
        <v>288000</v>
      </c>
      <c r="O1793" s="4" t="s">
        <v>4866</v>
      </c>
      <c r="P1793" s="4" t="s">
        <v>4860</v>
      </c>
      <c r="Q1793" s="1" t="str">
        <f>_xlfn.XLOOKUP(tblSales[[#This Row],[Channel Code]],tblChannels[Channel Code],tblChannels[Channel Name],"")</f>
        <v>In-store</v>
      </c>
      <c r="R1793" s="1">
        <f>MONTH(tblSales[[#This Row],[Date]])</f>
        <v>4</v>
      </c>
    </row>
    <row r="1794" spans="2:18" x14ac:dyDescent="0.35">
      <c r="B1794" s="113">
        <v>46128</v>
      </c>
      <c r="C1794" s="4" t="s">
        <v>1213</v>
      </c>
      <c r="D1794" s="4" t="s">
        <v>4606</v>
      </c>
      <c r="E1794" s="1" t="str">
        <f>_xlfn.XLOOKUP(tblSales[[#This Row],[Customer ID]],tblCustomers[Customer ID],tblCustomers[Customer Name],"⚠ Unknown")</f>
        <v>PT Arunika Digital Kreatif</v>
      </c>
      <c r="F1794" s="4" t="s">
        <v>10</v>
      </c>
      <c r="G1794" s="1" t="str">
        <f>_xlfn.XLOOKUP(tblSales[[#This Row],[Product Code]],tblProducts[Code],tblProducts[Product / Service Name],"⚠ Unknown")</f>
        <v>Chino Pants</v>
      </c>
      <c r="H1794" s="1" t="str">
        <f>_xlfn.XLOOKUP(tblSales[[#This Row],[Product Code]],tblProducts[Code],tblProducts[Category],"")</f>
        <v>Apparel &amp; Footwear</v>
      </c>
      <c r="I1794" s="4">
        <v>24</v>
      </c>
      <c r="J1794" s="5">
        <f>_xlfn.XLOOKUP(tblSales[[#This Row],[Product Code]],tblProducts[Code],tblProducts[Selling Price (excl. VAT)],0)</f>
        <v>150000</v>
      </c>
      <c r="K1794" s="5">
        <f>tblSales[[#This Row],[Qty]]*tblSales[[#This Row],[Unit Price]]</f>
        <v>3600000</v>
      </c>
      <c r="L1794" s="5">
        <f>ROUND(tblSales[[#This Row],[DPP (excl. VAT)]]*VATEff,0)</f>
        <v>396000</v>
      </c>
      <c r="M1794" s="5">
        <f>tblSales[[#This Row],[DPP (excl. VAT)]]+tblSales[[#This Row],[Output VAT]]</f>
        <v>3996000</v>
      </c>
      <c r="N1794" s="5">
        <f>tblSales[[#This Row],[Qty]]*_xlfn.XLOOKUP(tblSales[[#This Row],[Product Code]],tblProducts[Code],tblProducts[Unit Cost],0)</f>
        <v>2112000</v>
      </c>
      <c r="O1794" s="4" t="s">
        <v>4867</v>
      </c>
      <c r="P1794" s="4" t="s">
        <v>4860</v>
      </c>
      <c r="Q1794" s="1" t="str">
        <f>_xlfn.XLOOKUP(tblSales[[#This Row],[Channel Code]],tblChannels[Channel Code],tblChannels[Channel Name],"")</f>
        <v>In-store</v>
      </c>
      <c r="R1794" s="1">
        <f>MONTH(tblSales[[#This Row],[Date]])</f>
        <v>4</v>
      </c>
    </row>
    <row r="1795" spans="2:18" x14ac:dyDescent="0.35">
      <c r="B1795" s="113">
        <v>46129</v>
      </c>
      <c r="C1795" s="4" t="s">
        <v>1214</v>
      </c>
      <c r="D1795" s="4" t="s">
        <v>4572</v>
      </c>
      <c r="E1795" s="1" t="str">
        <f>_xlfn.XLOOKUP(tblSales[[#This Row],[Customer ID]],tblCustomers[Customer ID],tblCustomers[Customer Name],"⚠ Unknown")</f>
        <v>PT Cahaya Abadi Makmur</v>
      </c>
      <c r="F1795" s="4" t="s">
        <v>8</v>
      </c>
      <c r="G1795" s="1" t="str">
        <f>_xlfn.XLOOKUP(tblSales[[#This Row],[Product Code]],tblProducts[Code],tblProducts[Product / Service Name],"⚠ Unknown")</f>
        <v>Casual Shorts</v>
      </c>
      <c r="H1795" s="1" t="str">
        <f>_xlfn.XLOOKUP(tblSales[[#This Row],[Product Code]],tblProducts[Code],tblProducts[Category],"")</f>
        <v>Accessories &amp; Basics</v>
      </c>
      <c r="I1795" s="4">
        <v>88</v>
      </c>
      <c r="J1795" s="5">
        <f>_xlfn.XLOOKUP(tblSales[[#This Row],[Product Code]],tblProducts[Code],tblProducts[Selling Price (excl. VAT)],0)</f>
        <v>85000</v>
      </c>
      <c r="K1795" s="5">
        <f>tblSales[[#This Row],[Qty]]*tblSales[[#This Row],[Unit Price]]</f>
        <v>7480000</v>
      </c>
      <c r="L1795" s="5">
        <f>ROUND(tblSales[[#This Row],[DPP (excl. VAT)]]*VATEff,0)</f>
        <v>822800</v>
      </c>
      <c r="M1795" s="5">
        <f>tblSales[[#This Row],[DPP (excl. VAT)]]+tblSales[[#This Row],[Output VAT]]</f>
        <v>8302800</v>
      </c>
      <c r="N1795" s="5">
        <f>tblSales[[#This Row],[Qty]]*_xlfn.XLOOKUP(tblSales[[#This Row],[Product Code]],tblProducts[Code],tblProducts[Unit Cost],0)</f>
        <v>4400000</v>
      </c>
      <c r="O1795" s="4" t="s">
        <v>4867</v>
      </c>
      <c r="P1795" s="4" t="s">
        <v>4860</v>
      </c>
      <c r="Q1795" s="1" t="str">
        <f>_xlfn.XLOOKUP(tblSales[[#This Row],[Channel Code]],tblChannels[Channel Code],tblChannels[Channel Name],"")</f>
        <v>In-store</v>
      </c>
      <c r="R1795" s="1">
        <f>MONTH(tblSales[[#This Row],[Date]])</f>
        <v>4</v>
      </c>
    </row>
    <row r="1796" spans="2:18" x14ac:dyDescent="0.35">
      <c r="B1796" s="113">
        <v>46129</v>
      </c>
      <c r="C1796" s="4" t="s">
        <v>1214</v>
      </c>
      <c r="D1796" s="4" t="s">
        <v>4572</v>
      </c>
      <c r="E1796" s="1" t="str">
        <f>_xlfn.XLOOKUP(tblSales[[#This Row],[Customer ID]],tblCustomers[Customer ID],tblCustomers[Customer Name],"⚠ Unknown")</f>
        <v>PT Cahaya Abadi Makmur</v>
      </c>
      <c r="F1796" s="4" t="s">
        <v>11</v>
      </c>
      <c r="G1796" s="1" t="str">
        <f>_xlfn.XLOOKUP(tblSales[[#This Row],[Product Code]],tblProducts[Code],tblProducts[Product / Service Name],"⚠ Unknown")</f>
        <v>Sneakers</v>
      </c>
      <c r="H1796" s="1" t="str">
        <f>_xlfn.XLOOKUP(tblSales[[#This Row],[Product Code]],tblProducts[Code],tblProducts[Category],"")</f>
        <v>Apparel &amp; Footwear</v>
      </c>
      <c r="I1796" s="4">
        <v>32</v>
      </c>
      <c r="J1796" s="5">
        <f>_xlfn.XLOOKUP(tblSales[[#This Row],[Product Code]],tblProducts[Code],tblProducts[Selling Price (excl. VAT)],0)</f>
        <v>250000</v>
      </c>
      <c r="K1796" s="5">
        <f>tblSales[[#This Row],[Qty]]*tblSales[[#This Row],[Unit Price]]</f>
        <v>8000000</v>
      </c>
      <c r="L1796" s="5">
        <f>ROUND(tblSales[[#This Row],[DPP (excl. VAT)]]*VATEff,0)</f>
        <v>880000</v>
      </c>
      <c r="M1796" s="5">
        <f>tblSales[[#This Row],[DPP (excl. VAT)]]+tblSales[[#This Row],[Output VAT]]</f>
        <v>8880000</v>
      </c>
      <c r="N1796" s="5">
        <f>tblSales[[#This Row],[Qty]]*_xlfn.XLOOKUP(tblSales[[#This Row],[Product Code]],tblProducts[Code],tblProducts[Unit Cost],0)</f>
        <v>4960000</v>
      </c>
      <c r="O1796" s="4" t="s">
        <v>4867</v>
      </c>
      <c r="P1796" s="4" t="s">
        <v>4860</v>
      </c>
      <c r="Q1796" s="1" t="str">
        <f>_xlfn.XLOOKUP(tblSales[[#This Row],[Channel Code]],tblChannels[Channel Code],tblChannels[Channel Name],"")</f>
        <v>In-store</v>
      </c>
      <c r="R1796" s="1">
        <f>MONTH(tblSales[[#This Row],[Date]])</f>
        <v>4</v>
      </c>
    </row>
    <row r="1797" spans="2:18" x14ac:dyDescent="0.35">
      <c r="B1797" s="113">
        <v>46129</v>
      </c>
      <c r="C1797" s="4" t="s">
        <v>1215</v>
      </c>
      <c r="D1797" s="4" t="s">
        <v>4568</v>
      </c>
      <c r="E1797" s="1" t="str">
        <f>_xlfn.XLOOKUP(tblSales[[#This Row],[Customer ID]],tblCustomers[Customer ID],tblCustomers[Customer Name],"⚠ Unknown")</f>
        <v>Walk-in Customer</v>
      </c>
      <c r="F1797" s="4" t="s">
        <v>9</v>
      </c>
      <c r="G1797" s="1" t="str">
        <f>_xlfn.XLOOKUP(tblSales[[#This Row],[Product Code]],tblProducts[Code],tblProducts[Product / Service Name],"⚠ Unknown")</f>
        <v>Casual Shirt</v>
      </c>
      <c r="H1797" s="1" t="str">
        <f>_xlfn.XLOOKUP(tblSales[[#This Row],[Product Code]],tblProducts[Code],tblProducts[Category],"")</f>
        <v>Apparel &amp; Footwear</v>
      </c>
      <c r="I1797" s="4">
        <v>4</v>
      </c>
      <c r="J1797" s="5">
        <f>_xlfn.XLOOKUP(tblSales[[#This Row],[Product Code]],tblProducts[Code],tblProducts[Selling Price (excl. VAT)],0)</f>
        <v>120000</v>
      </c>
      <c r="K1797" s="5">
        <f>tblSales[[#This Row],[Qty]]*tblSales[[#This Row],[Unit Price]]</f>
        <v>480000</v>
      </c>
      <c r="L1797" s="5">
        <f>ROUND(tblSales[[#This Row],[DPP (excl. VAT)]]*VATEff,0)</f>
        <v>52800</v>
      </c>
      <c r="M1797" s="5">
        <f>tblSales[[#This Row],[DPP (excl. VAT)]]+tblSales[[#This Row],[Output VAT]]</f>
        <v>532800</v>
      </c>
      <c r="N1797" s="5">
        <f>tblSales[[#This Row],[Qty]]*_xlfn.XLOOKUP(tblSales[[#This Row],[Product Code]],tblProducts[Code],tblProducts[Unit Cost],0)</f>
        <v>288000</v>
      </c>
      <c r="O1797" s="4" t="s">
        <v>4866</v>
      </c>
      <c r="P1797" s="4" t="s">
        <v>4862</v>
      </c>
      <c r="Q1797" s="1" t="str">
        <f>_xlfn.XLOOKUP(tblSales[[#This Row],[Channel Code]],tblChannels[Channel Code],tblChannels[Channel Name],"")</f>
        <v>Website &amp; Social Media</v>
      </c>
      <c r="R1797" s="1">
        <f>MONTH(tblSales[[#This Row],[Date]])</f>
        <v>4</v>
      </c>
    </row>
    <row r="1798" spans="2:18" x14ac:dyDescent="0.35">
      <c r="B1798" s="113">
        <v>46129</v>
      </c>
      <c r="C1798" s="4" t="s">
        <v>1216</v>
      </c>
      <c r="D1798" s="4" t="s">
        <v>4568</v>
      </c>
      <c r="E1798" s="1" t="str">
        <f>_xlfn.XLOOKUP(tblSales[[#This Row],[Customer ID]],tblCustomers[Customer ID],tblCustomers[Customer Name],"⚠ Unknown")</f>
        <v>Walk-in Customer</v>
      </c>
      <c r="F1798" s="4" t="s">
        <v>11</v>
      </c>
      <c r="G1798" s="1" t="str">
        <f>_xlfn.XLOOKUP(tblSales[[#This Row],[Product Code]],tblProducts[Code],tblProducts[Product / Service Name],"⚠ Unknown")</f>
        <v>Sneakers</v>
      </c>
      <c r="H1798" s="1" t="str">
        <f>_xlfn.XLOOKUP(tblSales[[#This Row],[Product Code]],tblProducts[Code],tblProducts[Category],"")</f>
        <v>Apparel &amp; Footwear</v>
      </c>
      <c r="I1798" s="4">
        <v>5</v>
      </c>
      <c r="J1798" s="5">
        <f>_xlfn.XLOOKUP(tblSales[[#This Row],[Product Code]],tblProducts[Code],tblProducts[Selling Price (excl. VAT)],0)</f>
        <v>250000</v>
      </c>
      <c r="K1798" s="5">
        <f>tblSales[[#This Row],[Qty]]*tblSales[[#This Row],[Unit Price]]</f>
        <v>1250000</v>
      </c>
      <c r="L1798" s="5">
        <f>ROUND(tblSales[[#This Row],[DPP (excl. VAT)]]*VATEff,0)</f>
        <v>137500</v>
      </c>
      <c r="M1798" s="5">
        <f>tblSales[[#This Row],[DPP (excl. VAT)]]+tblSales[[#This Row],[Output VAT]]</f>
        <v>1387500</v>
      </c>
      <c r="N1798" s="5">
        <f>tblSales[[#This Row],[Qty]]*_xlfn.XLOOKUP(tblSales[[#This Row],[Product Code]],tblProducts[Code],tblProducts[Unit Cost],0)</f>
        <v>775000</v>
      </c>
      <c r="O1798" s="4" t="s">
        <v>4865</v>
      </c>
      <c r="P1798" s="4" t="s">
        <v>4860</v>
      </c>
      <c r="Q1798" s="1" t="str">
        <f>_xlfn.XLOOKUP(tblSales[[#This Row],[Channel Code]],tblChannels[Channel Code],tblChannels[Channel Name],"")</f>
        <v>In-store</v>
      </c>
      <c r="R1798" s="1">
        <f>MONTH(tblSales[[#This Row],[Date]])</f>
        <v>4</v>
      </c>
    </row>
    <row r="1799" spans="2:18" x14ac:dyDescent="0.35">
      <c r="B1799" s="113">
        <v>46129</v>
      </c>
      <c r="C1799" s="4" t="s">
        <v>1217</v>
      </c>
      <c r="D1799" s="4" t="s">
        <v>4568</v>
      </c>
      <c r="E1799" s="1" t="str">
        <f>_xlfn.XLOOKUP(tblSales[[#This Row],[Customer ID]],tblCustomers[Customer ID],tblCustomers[Customer Name],"⚠ Unknown")</f>
        <v>Walk-in Customer</v>
      </c>
      <c r="F1799" s="4" t="s">
        <v>8</v>
      </c>
      <c r="G1799" s="1" t="str">
        <f>_xlfn.XLOOKUP(tblSales[[#This Row],[Product Code]],tblProducts[Code],tblProducts[Product / Service Name],"⚠ Unknown")</f>
        <v>Casual Shorts</v>
      </c>
      <c r="H1799" s="1" t="str">
        <f>_xlfn.XLOOKUP(tblSales[[#This Row],[Product Code]],tblProducts[Code],tblProducts[Category],"")</f>
        <v>Accessories &amp; Basics</v>
      </c>
      <c r="I1799" s="4">
        <v>6</v>
      </c>
      <c r="J1799" s="5">
        <f>_xlfn.XLOOKUP(tblSales[[#This Row],[Product Code]],tblProducts[Code],tblProducts[Selling Price (excl. VAT)],0)</f>
        <v>85000</v>
      </c>
      <c r="K1799" s="5">
        <f>tblSales[[#This Row],[Qty]]*tblSales[[#This Row],[Unit Price]]</f>
        <v>510000</v>
      </c>
      <c r="L1799" s="5">
        <f>ROUND(tblSales[[#This Row],[DPP (excl. VAT)]]*VATEff,0)</f>
        <v>56100</v>
      </c>
      <c r="M1799" s="5">
        <f>tblSales[[#This Row],[DPP (excl. VAT)]]+tblSales[[#This Row],[Output VAT]]</f>
        <v>566100</v>
      </c>
      <c r="N1799" s="5">
        <f>tblSales[[#This Row],[Qty]]*_xlfn.XLOOKUP(tblSales[[#This Row],[Product Code]],tblProducts[Code],tblProducts[Unit Cost],0)</f>
        <v>300000</v>
      </c>
      <c r="O1799" s="4" t="s">
        <v>4866</v>
      </c>
      <c r="P1799" s="4" t="s">
        <v>4862</v>
      </c>
      <c r="Q1799" s="1" t="str">
        <f>_xlfn.XLOOKUP(tblSales[[#This Row],[Channel Code]],tblChannels[Channel Code],tblChannels[Channel Name],"")</f>
        <v>Website &amp; Social Media</v>
      </c>
      <c r="R1799" s="1">
        <f>MONTH(tblSales[[#This Row],[Date]])</f>
        <v>4</v>
      </c>
    </row>
    <row r="1800" spans="2:18" x14ac:dyDescent="0.35">
      <c r="B1800" s="113">
        <v>46129</v>
      </c>
      <c r="C1800" s="4" t="s">
        <v>1218</v>
      </c>
      <c r="D1800" s="4" t="s">
        <v>4648</v>
      </c>
      <c r="E1800" s="1" t="str">
        <f>_xlfn.XLOOKUP(tblSales[[#This Row],[Customer ID]],tblCustomers[Customer ID],tblCustomers[Customer Name],"⚠ Unknown")</f>
        <v>PT Lintas Benua Niaga</v>
      </c>
      <c r="F1800" s="4" t="s">
        <v>7</v>
      </c>
      <c r="G1800" s="1" t="str">
        <f>_xlfn.XLOOKUP(tblSales[[#This Row],[Product Code]],tblProducts[Code],tblProducts[Product / Service Name],"⚠ Unknown")</f>
        <v>Premium Basic T-shirt</v>
      </c>
      <c r="H1800" s="1" t="str">
        <f>_xlfn.XLOOKUP(tblSales[[#This Row],[Product Code]],tblProducts[Code],tblProducts[Category],"")</f>
        <v>Accessories &amp; Basics</v>
      </c>
      <c r="I1800" s="4">
        <v>48</v>
      </c>
      <c r="J1800" s="5">
        <f>_xlfn.XLOOKUP(tblSales[[#This Row],[Product Code]],tblProducts[Code],tblProducts[Selling Price (excl. VAT)],0)</f>
        <v>65000</v>
      </c>
      <c r="K1800" s="5">
        <f>tblSales[[#This Row],[Qty]]*tblSales[[#This Row],[Unit Price]]</f>
        <v>3120000</v>
      </c>
      <c r="L1800" s="5">
        <f>ROUND(tblSales[[#This Row],[DPP (excl. VAT)]]*VATEff,0)</f>
        <v>343200</v>
      </c>
      <c r="M1800" s="5">
        <f>tblSales[[#This Row],[DPP (excl. VAT)]]+tblSales[[#This Row],[Output VAT]]</f>
        <v>3463200</v>
      </c>
      <c r="N1800" s="5">
        <f>tblSales[[#This Row],[Qty]]*_xlfn.XLOOKUP(tblSales[[#This Row],[Product Code]],tblProducts[Code],tblProducts[Unit Cost],0)</f>
        <v>1776000</v>
      </c>
      <c r="O1800" s="4" t="s">
        <v>4867</v>
      </c>
      <c r="P1800" s="4" t="s">
        <v>4860</v>
      </c>
      <c r="Q1800" s="1" t="str">
        <f>_xlfn.XLOOKUP(tblSales[[#This Row],[Channel Code]],tblChannels[Channel Code],tblChannels[Channel Name],"")</f>
        <v>In-store</v>
      </c>
      <c r="R1800" s="1">
        <f>MONTH(tblSales[[#This Row],[Date]])</f>
        <v>4</v>
      </c>
    </row>
    <row r="1801" spans="2:18" x14ac:dyDescent="0.35">
      <c r="B1801" s="113">
        <v>46129</v>
      </c>
      <c r="C1801" s="4" t="s">
        <v>1219</v>
      </c>
      <c r="D1801" s="4" t="s">
        <v>4568</v>
      </c>
      <c r="E1801" s="1" t="str">
        <f>_xlfn.XLOOKUP(tblSales[[#This Row],[Customer ID]],tblCustomers[Customer ID],tblCustomers[Customer Name],"⚠ Unknown")</f>
        <v>Walk-in Customer</v>
      </c>
      <c r="F1801" s="4" t="s">
        <v>7</v>
      </c>
      <c r="G1801" s="1" t="str">
        <f>_xlfn.XLOOKUP(tblSales[[#This Row],[Product Code]],tblProducts[Code],tblProducts[Product / Service Name],"⚠ Unknown")</f>
        <v>Premium Basic T-shirt</v>
      </c>
      <c r="H1801" s="1" t="str">
        <f>_xlfn.XLOOKUP(tblSales[[#This Row],[Product Code]],tblProducts[Code],tblProducts[Category],"")</f>
        <v>Accessories &amp; Basics</v>
      </c>
      <c r="I1801" s="4">
        <v>12</v>
      </c>
      <c r="J1801" s="5">
        <f>_xlfn.XLOOKUP(tblSales[[#This Row],[Product Code]],tblProducts[Code],tblProducts[Selling Price (excl. VAT)],0)</f>
        <v>65000</v>
      </c>
      <c r="K1801" s="5">
        <f>tblSales[[#This Row],[Qty]]*tblSales[[#This Row],[Unit Price]]</f>
        <v>780000</v>
      </c>
      <c r="L1801" s="5">
        <f>ROUND(tblSales[[#This Row],[DPP (excl. VAT)]]*VATEff,0)</f>
        <v>85800</v>
      </c>
      <c r="M1801" s="5">
        <f>tblSales[[#This Row],[DPP (excl. VAT)]]+tblSales[[#This Row],[Output VAT]]</f>
        <v>865800</v>
      </c>
      <c r="N1801" s="5">
        <f>tblSales[[#This Row],[Qty]]*_xlfn.XLOOKUP(tblSales[[#This Row],[Product Code]],tblProducts[Code],tblProducts[Unit Cost],0)</f>
        <v>444000</v>
      </c>
      <c r="O1801" s="4" t="s">
        <v>4866</v>
      </c>
      <c r="P1801" s="4" t="s">
        <v>4861</v>
      </c>
      <c r="Q1801" s="1" t="str">
        <f>_xlfn.XLOOKUP(tblSales[[#This Row],[Channel Code]],tblChannels[Channel Code],tblChannels[Channel Name],"")</f>
        <v>Marketplace</v>
      </c>
      <c r="R1801" s="1">
        <f>MONTH(tblSales[[#This Row],[Date]])</f>
        <v>4</v>
      </c>
    </row>
    <row r="1802" spans="2:18" x14ac:dyDescent="0.35">
      <c r="B1802" s="113">
        <v>46129</v>
      </c>
      <c r="C1802" s="4" t="s">
        <v>1220</v>
      </c>
      <c r="D1802" s="4" t="s">
        <v>4568</v>
      </c>
      <c r="E1802" s="1" t="str">
        <f>_xlfn.XLOOKUP(tblSales[[#This Row],[Customer ID]],tblCustomers[Customer ID],tblCustomers[Customer Name],"⚠ Unknown")</f>
        <v>Walk-in Customer</v>
      </c>
      <c r="F1802" s="4" t="s">
        <v>8</v>
      </c>
      <c r="G1802" s="1" t="str">
        <f>_xlfn.XLOOKUP(tblSales[[#This Row],[Product Code]],tblProducts[Code],tblProducts[Product / Service Name],"⚠ Unknown")</f>
        <v>Casual Shorts</v>
      </c>
      <c r="H1802" s="1" t="str">
        <f>_xlfn.XLOOKUP(tblSales[[#This Row],[Product Code]],tblProducts[Code],tblProducts[Category],"")</f>
        <v>Accessories &amp; Basics</v>
      </c>
      <c r="I1802" s="4">
        <v>4</v>
      </c>
      <c r="J1802" s="5">
        <f>_xlfn.XLOOKUP(tblSales[[#This Row],[Product Code]],tblProducts[Code],tblProducts[Selling Price (excl. VAT)],0)</f>
        <v>85000</v>
      </c>
      <c r="K1802" s="5">
        <f>tblSales[[#This Row],[Qty]]*tblSales[[#This Row],[Unit Price]]</f>
        <v>340000</v>
      </c>
      <c r="L1802" s="5">
        <f>ROUND(tblSales[[#This Row],[DPP (excl. VAT)]]*VATEff,0)</f>
        <v>37400</v>
      </c>
      <c r="M1802" s="5">
        <f>tblSales[[#This Row],[DPP (excl. VAT)]]+tblSales[[#This Row],[Output VAT]]</f>
        <v>377400</v>
      </c>
      <c r="N1802" s="5">
        <f>tblSales[[#This Row],[Qty]]*_xlfn.XLOOKUP(tblSales[[#This Row],[Product Code]],tblProducts[Code],tblProducts[Unit Cost],0)</f>
        <v>200000</v>
      </c>
      <c r="O1802" s="4" t="s">
        <v>4865</v>
      </c>
      <c r="P1802" s="4" t="s">
        <v>4860</v>
      </c>
      <c r="Q1802" s="1" t="str">
        <f>_xlfn.XLOOKUP(tblSales[[#This Row],[Channel Code]],tblChannels[Channel Code],tblChannels[Channel Name],"")</f>
        <v>In-store</v>
      </c>
      <c r="R1802" s="1">
        <f>MONTH(tblSales[[#This Row],[Date]])</f>
        <v>4</v>
      </c>
    </row>
    <row r="1803" spans="2:18" x14ac:dyDescent="0.35">
      <c r="B1803" s="113">
        <v>46129</v>
      </c>
      <c r="C1803" s="4" t="s">
        <v>1220</v>
      </c>
      <c r="D1803" s="4" t="s">
        <v>4568</v>
      </c>
      <c r="E1803" s="1" t="str">
        <f>_xlfn.XLOOKUP(tblSales[[#This Row],[Customer ID]],tblCustomers[Customer ID],tblCustomers[Customer Name],"⚠ Unknown")</f>
        <v>Walk-in Customer</v>
      </c>
      <c r="F1803" s="4" t="s">
        <v>7</v>
      </c>
      <c r="G1803" s="1" t="str">
        <f>_xlfn.XLOOKUP(tblSales[[#This Row],[Product Code]],tblProducts[Code],tblProducts[Product / Service Name],"⚠ Unknown")</f>
        <v>Premium Basic T-shirt</v>
      </c>
      <c r="H1803" s="1" t="str">
        <f>_xlfn.XLOOKUP(tblSales[[#This Row],[Product Code]],tblProducts[Code],tblProducts[Category],"")</f>
        <v>Accessories &amp; Basics</v>
      </c>
      <c r="I1803" s="4">
        <v>1</v>
      </c>
      <c r="J1803" s="5">
        <f>_xlfn.XLOOKUP(tblSales[[#This Row],[Product Code]],tblProducts[Code],tblProducts[Selling Price (excl. VAT)],0)</f>
        <v>65000</v>
      </c>
      <c r="K1803" s="5">
        <f>tblSales[[#This Row],[Qty]]*tblSales[[#This Row],[Unit Price]]</f>
        <v>65000</v>
      </c>
      <c r="L1803" s="5">
        <f>ROUND(tblSales[[#This Row],[DPP (excl. VAT)]]*VATEff,0)</f>
        <v>7150</v>
      </c>
      <c r="M1803" s="5">
        <f>tblSales[[#This Row],[DPP (excl. VAT)]]+tblSales[[#This Row],[Output VAT]]</f>
        <v>72150</v>
      </c>
      <c r="N1803" s="5">
        <f>tblSales[[#This Row],[Qty]]*_xlfn.XLOOKUP(tblSales[[#This Row],[Product Code]],tblProducts[Code],tblProducts[Unit Cost],0)</f>
        <v>37000</v>
      </c>
      <c r="O1803" s="4" t="s">
        <v>4865</v>
      </c>
      <c r="P1803" s="4" t="s">
        <v>4860</v>
      </c>
      <c r="Q1803" s="1" t="str">
        <f>_xlfn.XLOOKUP(tblSales[[#This Row],[Channel Code]],tblChannels[Channel Code],tblChannels[Channel Name],"")</f>
        <v>In-store</v>
      </c>
      <c r="R1803" s="1">
        <f>MONTH(tblSales[[#This Row],[Date]])</f>
        <v>4</v>
      </c>
    </row>
    <row r="1804" spans="2:18" x14ac:dyDescent="0.35">
      <c r="B1804" s="113">
        <v>46129</v>
      </c>
      <c r="C1804" s="4" t="s">
        <v>1221</v>
      </c>
      <c r="D1804" s="4" t="s">
        <v>4568</v>
      </c>
      <c r="E1804" s="1" t="str">
        <f>_xlfn.XLOOKUP(tblSales[[#This Row],[Customer ID]],tblCustomers[Customer ID],tblCustomers[Customer Name],"⚠ Unknown")</f>
        <v>Walk-in Customer</v>
      </c>
      <c r="F1804" s="4" t="s">
        <v>9</v>
      </c>
      <c r="G1804" s="1" t="str">
        <f>_xlfn.XLOOKUP(tblSales[[#This Row],[Product Code]],tblProducts[Code],tblProducts[Product / Service Name],"⚠ Unknown")</f>
        <v>Casual Shirt</v>
      </c>
      <c r="H1804" s="1" t="str">
        <f>_xlfn.XLOOKUP(tblSales[[#This Row],[Product Code]],tblProducts[Code],tblProducts[Category],"")</f>
        <v>Apparel &amp; Footwear</v>
      </c>
      <c r="I1804" s="4">
        <v>11</v>
      </c>
      <c r="J1804" s="5">
        <f>_xlfn.XLOOKUP(tblSales[[#This Row],[Product Code]],tblProducts[Code],tblProducts[Selling Price (excl. VAT)],0)</f>
        <v>120000</v>
      </c>
      <c r="K1804" s="5">
        <f>tblSales[[#This Row],[Qty]]*tblSales[[#This Row],[Unit Price]]</f>
        <v>1320000</v>
      </c>
      <c r="L1804" s="5">
        <f>ROUND(tblSales[[#This Row],[DPP (excl. VAT)]]*VATEff,0)</f>
        <v>145200</v>
      </c>
      <c r="M1804" s="5">
        <f>tblSales[[#This Row],[DPP (excl. VAT)]]+tblSales[[#This Row],[Output VAT]]</f>
        <v>1465200</v>
      </c>
      <c r="N1804" s="5">
        <f>tblSales[[#This Row],[Qty]]*_xlfn.XLOOKUP(tblSales[[#This Row],[Product Code]],tblProducts[Code],tblProducts[Unit Cost],0)</f>
        <v>792000</v>
      </c>
      <c r="O1804" s="4" t="s">
        <v>4866</v>
      </c>
      <c r="P1804" s="4" t="s">
        <v>4860</v>
      </c>
      <c r="Q1804" s="1" t="str">
        <f>_xlfn.XLOOKUP(tblSales[[#This Row],[Channel Code]],tblChannels[Channel Code],tblChannels[Channel Name],"")</f>
        <v>In-store</v>
      </c>
      <c r="R1804" s="1">
        <f>MONTH(tblSales[[#This Row],[Date]])</f>
        <v>4</v>
      </c>
    </row>
    <row r="1805" spans="2:18" x14ac:dyDescent="0.35">
      <c r="B1805" s="113">
        <v>46129</v>
      </c>
      <c r="C1805" s="4" t="s">
        <v>1222</v>
      </c>
      <c r="D1805" s="4" t="s">
        <v>4568</v>
      </c>
      <c r="E1805" s="1" t="str">
        <f>_xlfn.XLOOKUP(tblSales[[#This Row],[Customer ID]],tblCustomers[Customer ID],tblCustomers[Customer Name],"⚠ Unknown")</f>
        <v>Walk-in Customer</v>
      </c>
      <c r="F1805" s="4" t="s">
        <v>10</v>
      </c>
      <c r="G1805" s="1" t="str">
        <f>_xlfn.XLOOKUP(tblSales[[#This Row],[Product Code]],tblProducts[Code],tblProducts[Product / Service Name],"⚠ Unknown")</f>
        <v>Chino Pants</v>
      </c>
      <c r="H1805" s="1" t="str">
        <f>_xlfn.XLOOKUP(tblSales[[#This Row],[Product Code]],tblProducts[Code],tblProducts[Category],"")</f>
        <v>Apparel &amp; Footwear</v>
      </c>
      <c r="I1805" s="4">
        <v>6</v>
      </c>
      <c r="J1805" s="5">
        <f>_xlfn.XLOOKUP(tblSales[[#This Row],[Product Code]],tblProducts[Code],tblProducts[Selling Price (excl. VAT)],0)</f>
        <v>150000</v>
      </c>
      <c r="K1805" s="5">
        <f>tblSales[[#This Row],[Qty]]*tblSales[[#This Row],[Unit Price]]</f>
        <v>900000</v>
      </c>
      <c r="L1805" s="5">
        <f>ROUND(tblSales[[#This Row],[DPP (excl. VAT)]]*VATEff,0)</f>
        <v>99000</v>
      </c>
      <c r="M1805" s="5">
        <f>tblSales[[#This Row],[DPP (excl. VAT)]]+tblSales[[#This Row],[Output VAT]]</f>
        <v>999000</v>
      </c>
      <c r="N1805" s="5">
        <f>tblSales[[#This Row],[Qty]]*_xlfn.XLOOKUP(tblSales[[#This Row],[Product Code]],tblProducts[Code],tblProducts[Unit Cost],0)</f>
        <v>528000</v>
      </c>
      <c r="O1805" s="4" t="s">
        <v>4866</v>
      </c>
      <c r="P1805" s="4" t="s">
        <v>4861</v>
      </c>
      <c r="Q1805" s="1" t="str">
        <f>_xlfn.XLOOKUP(tblSales[[#This Row],[Channel Code]],tblChannels[Channel Code],tblChannels[Channel Name],"")</f>
        <v>Marketplace</v>
      </c>
      <c r="R1805" s="1">
        <f>MONTH(tblSales[[#This Row],[Date]])</f>
        <v>4</v>
      </c>
    </row>
    <row r="1806" spans="2:18" x14ac:dyDescent="0.35">
      <c r="B1806" s="113">
        <v>46129</v>
      </c>
      <c r="C1806" s="4" t="s">
        <v>1223</v>
      </c>
      <c r="D1806" s="4" t="s">
        <v>4568</v>
      </c>
      <c r="E1806" s="1" t="str">
        <f>_xlfn.XLOOKUP(tblSales[[#This Row],[Customer ID]],tblCustomers[Customer ID],tblCustomers[Customer Name],"⚠ Unknown")</f>
        <v>Walk-in Customer</v>
      </c>
      <c r="F1806" s="4" t="s">
        <v>10</v>
      </c>
      <c r="G1806" s="1" t="str">
        <f>_xlfn.XLOOKUP(tblSales[[#This Row],[Product Code]],tblProducts[Code],tblProducts[Product / Service Name],"⚠ Unknown")</f>
        <v>Chino Pants</v>
      </c>
      <c r="H1806" s="1" t="str">
        <f>_xlfn.XLOOKUP(tblSales[[#This Row],[Product Code]],tblProducts[Code],tblProducts[Category],"")</f>
        <v>Apparel &amp; Footwear</v>
      </c>
      <c r="I1806" s="4">
        <v>11</v>
      </c>
      <c r="J1806" s="5">
        <f>_xlfn.XLOOKUP(tblSales[[#This Row],[Product Code]],tblProducts[Code],tblProducts[Selling Price (excl. VAT)],0)</f>
        <v>150000</v>
      </c>
      <c r="K1806" s="5">
        <f>tblSales[[#This Row],[Qty]]*tblSales[[#This Row],[Unit Price]]</f>
        <v>1650000</v>
      </c>
      <c r="L1806" s="5">
        <f>ROUND(tblSales[[#This Row],[DPP (excl. VAT)]]*VATEff,0)</f>
        <v>181500</v>
      </c>
      <c r="M1806" s="5">
        <f>tblSales[[#This Row],[DPP (excl. VAT)]]+tblSales[[#This Row],[Output VAT]]</f>
        <v>1831500</v>
      </c>
      <c r="N1806" s="5">
        <f>tblSales[[#This Row],[Qty]]*_xlfn.XLOOKUP(tblSales[[#This Row],[Product Code]],tblProducts[Code],tblProducts[Unit Cost],0)</f>
        <v>968000</v>
      </c>
      <c r="O1806" s="4" t="s">
        <v>4866</v>
      </c>
      <c r="P1806" s="4" t="s">
        <v>4861</v>
      </c>
      <c r="Q1806" s="1" t="str">
        <f>_xlfn.XLOOKUP(tblSales[[#This Row],[Channel Code]],tblChannels[Channel Code],tblChannels[Channel Name],"")</f>
        <v>Marketplace</v>
      </c>
      <c r="R1806" s="1">
        <f>MONTH(tblSales[[#This Row],[Date]])</f>
        <v>4</v>
      </c>
    </row>
    <row r="1807" spans="2:18" x14ac:dyDescent="0.35">
      <c r="B1807" s="113">
        <v>46129</v>
      </c>
      <c r="C1807" s="4" t="s">
        <v>1224</v>
      </c>
      <c r="D1807" s="4" t="s">
        <v>4568</v>
      </c>
      <c r="E1807" s="1" t="str">
        <f>_xlfn.XLOOKUP(tblSales[[#This Row],[Customer ID]],tblCustomers[Customer ID],tblCustomers[Customer Name],"⚠ Unknown")</f>
        <v>Walk-in Customer</v>
      </c>
      <c r="F1807" s="4" t="s">
        <v>11</v>
      </c>
      <c r="G1807" s="1" t="str">
        <f>_xlfn.XLOOKUP(tblSales[[#This Row],[Product Code]],tblProducts[Code],tblProducts[Product / Service Name],"⚠ Unknown")</f>
        <v>Sneakers</v>
      </c>
      <c r="H1807" s="1" t="str">
        <f>_xlfn.XLOOKUP(tblSales[[#This Row],[Product Code]],tblProducts[Code],tblProducts[Category],"")</f>
        <v>Apparel &amp; Footwear</v>
      </c>
      <c r="I1807" s="4">
        <v>2</v>
      </c>
      <c r="J1807" s="5">
        <f>_xlfn.XLOOKUP(tblSales[[#This Row],[Product Code]],tblProducts[Code],tblProducts[Selling Price (excl. VAT)],0)</f>
        <v>250000</v>
      </c>
      <c r="K1807" s="5">
        <f>tblSales[[#This Row],[Qty]]*tblSales[[#This Row],[Unit Price]]</f>
        <v>500000</v>
      </c>
      <c r="L1807" s="5">
        <f>ROUND(tblSales[[#This Row],[DPP (excl. VAT)]]*VATEff,0)</f>
        <v>55000</v>
      </c>
      <c r="M1807" s="5">
        <f>tblSales[[#This Row],[DPP (excl. VAT)]]+tblSales[[#This Row],[Output VAT]]</f>
        <v>555000</v>
      </c>
      <c r="N1807" s="5">
        <f>tblSales[[#This Row],[Qty]]*_xlfn.XLOOKUP(tblSales[[#This Row],[Product Code]],tblProducts[Code],tblProducts[Unit Cost],0)</f>
        <v>310000</v>
      </c>
      <c r="O1807" s="4" t="s">
        <v>4865</v>
      </c>
      <c r="P1807" s="4" t="s">
        <v>4860</v>
      </c>
      <c r="Q1807" s="1" t="str">
        <f>_xlfn.XLOOKUP(tblSales[[#This Row],[Channel Code]],tblChannels[Channel Code],tblChannels[Channel Name],"")</f>
        <v>In-store</v>
      </c>
      <c r="R1807" s="1">
        <f>MONTH(tblSales[[#This Row],[Date]])</f>
        <v>4</v>
      </c>
    </row>
    <row r="1808" spans="2:18" x14ac:dyDescent="0.35">
      <c r="B1808" s="113">
        <v>46129</v>
      </c>
      <c r="C1808" s="4" t="s">
        <v>1225</v>
      </c>
      <c r="D1808" s="4" t="s">
        <v>4568</v>
      </c>
      <c r="E1808" s="1" t="str">
        <f>_xlfn.XLOOKUP(tblSales[[#This Row],[Customer ID]],tblCustomers[Customer ID],tblCustomers[Customer Name],"⚠ Unknown")</f>
        <v>Walk-in Customer</v>
      </c>
      <c r="F1808" s="4" t="s">
        <v>6</v>
      </c>
      <c r="G1808" s="1" t="str">
        <f>_xlfn.XLOOKUP(tblSales[[#This Row],[Product Code]],tblProducts[Code],tblProducts[Product / Service Name],"⚠ Unknown")</f>
        <v>Socks &amp; Accessories</v>
      </c>
      <c r="H1808" s="1" t="str">
        <f>_xlfn.XLOOKUP(tblSales[[#This Row],[Product Code]],tblProducts[Code],tblProducts[Category],"")</f>
        <v>Accessories &amp; Basics</v>
      </c>
      <c r="I1808" s="4">
        <v>7</v>
      </c>
      <c r="J1808" s="5">
        <f>_xlfn.XLOOKUP(tblSales[[#This Row],[Product Code]],tblProducts[Code],tblProducts[Selling Price (excl. VAT)],0)</f>
        <v>45000</v>
      </c>
      <c r="K1808" s="5">
        <f>tblSales[[#This Row],[Qty]]*tblSales[[#This Row],[Unit Price]]</f>
        <v>315000</v>
      </c>
      <c r="L1808" s="5">
        <f>ROUND(tblSales[[#This Row],[DPP (excl. VAT)]]*VATEff,0)</f>
        <v>34650</v>
      </c>
      <c r="M1808" s="5">
        <f>tblSales[[#This Row],[DPP (excl. VAT)]]+tblSales[[#This Row],[Output VAT]]</f>
        <v>349650</v>
      </c>
      <c r="N1808" s="5">
        <f>tblSales[[#This Row],[Qty]]*_xlfn.XLOOKUP(tblSales[[#This Row],[Product Code]],tblProducts[Code],tblProducts[Unit Cost],0)</f>
        <v>168000</v>
      </c>
      <c r="O1808" s="4" t="s">
        <v>4866</v>
      </c>
      <c r="P1808" s="4" t="s">
        <v>4862</v>
      </c>
      <c r="Q1808" s="1" t="str">
        <f>_xlfn.XLOOKUP(tblSales[[#This Row],[Channel Code]],tblChannels[Channel Code],tblChannels[Channel Name],"")</f>
        <v>Website &amp; Social Media</v>
      </c>
      <c r="R1808" s="1">
        <f>MONTH(tblSales[[#This Row],[Date]])</f>
        <v>4</v>
      </c>
    </row>
    <row r="1809" spans="2:18" x14ac:dyDescent="0.35">
      <c r="B1809" s="113">
        <v>46129</v>
      </c>
      <c r="C1809" s="4" t="s">
        <v>1226</v>
      </c>
      <c r="D1809" s="4" t="s">
        <v>4568</v>
      </c>
      <c r="E1809" s="1" t="str">
        <f>_xlfn.XLOOKUP(tblSales[[#This Row],[Customer ID]],tblCustomers[Customer ID],tblCustomers[Customer Name],"⚠ Unknown")</f>
        <v>Walk-in Customer</v>
      </c>
      <c r="F1809" s="4" t="s">
        <v>10</v>
      </c>
      <c r="G1809" s="1" t="str">
        <f>_xlfn.XLOOKUP(tblSales[[#This Row],[Product Code]],tblProducts[Code],tblProducts[Product / Service Name],"⚠ Unknown")</f>
        <v>Chino Pants</v>
      </c>
      <c r="H1809" s="1" t="str">
        <f>_xlfn.XLOOKUP(tblSales[[#This Row],[Product Code]],tblProducts[Code],tblProducts[Category],"")</f>
        <v>Apparel &amp; Footwear</v>
      </c>
      <c r="I1809" s="4">
        <v>12</v>
      </c>
      <c r="J1809" s="5">
        <f>_xlfn.XLOOKUP(tblSales[[#This Row],[Product Code]],tblProducts[Code],tblProducts[Selling Price (excl. VAT)],0)</f>
        <v>150000</v>
      </c>
      <c r="K1809" s="5">
        <f>tblSales[[#This Row],[Qty]]*tblSales[[#This Row],[Unit Price]]</f>
        <v>1800000</v>
      </c>
      <c r="L1809" s="5">
        <f>ROUND(tblSales[[#This Row],[DPP (excl. VAT)]]*VATEff,0)</f>
        <v>198000</v>
      </c>
      <c r="M1809" s="5">
        <f>tblSales[[#This Row],[DPP (excl. VAT)]]+tblSales[[#This Row],[Output VAT]]</f>
        <v>1998000</v>
      </c>
      <c r="N1809" s="5">
        <f>tblSales[[#This Row],[Qty]]*_xlfn.XLOOKUP(tblSales[[#This Row],[Product Code]],tblProducts[Code],tblProducts[Unit Cost],0)</f>
        <v>1056000</v>
      </c>
      <c r="O1809" s="4" t="s">
        <v>4865</v>
      </c>
      <c r="P1809" s="4" t="s">
        <v>4860</v>
      </c>
      <c r="Q1809" s="1" t="str">
        <f>_xlfn.XLOOKUP(tblSales[[#This Row],[Channel Code]],tblChannels[Channel Code],tblChannels[Channel Name],"")</f>
        <v>In-store</v>
      </c>
      <c r="R1809" s="1">
        <f>MONTH(tblSales[[#This Row],[Date]])</f>
        <v>4</v>
      </c>
    </row>
    <row r="1810" spans="2:18" x14ac:dyDescent="0.35">
      <c r="B1810" s="113">
        <v>46129</v>
      </c>
      <c r="C1810" s="4" t="s">
        <v>1226</v>
      </c>
      <c r="D1810" s="4" t="s">
        <v>4568</v>
      </c>
      <c r="E1810" s="1" t="str">
        <f>_xlfn.XLOOKUP(tblSales[[#This Row],[Customer ID]],tblCustomers[Customer ID],tblCustomers[Customer Name],"⚠ Unknown")</f>
        <v>Walk-in Customer</v>
      </c>
      <c r="F1810" s="4" t="s">
        <v>12</v>
      </c>
      <c r="G1810" s="1" t="str">
        <f>_xlfn.XLOOKUP(tblSales[[#This Row],[Product Code]],tblProducts[Code],tblProducts[Product / Service Name],"⚠ Unknown")</f>
        <v>Bomber Jacket</v>
      </c>
      <c r="H1810" s="1" t="str">
        <f>_xlfn.XLOOKUP(tblSales[[#This Row],[Product Code]],tblProducts[Code],tblProducts[Category],"")</f>
        <v>Apparel &amp; Footwear</v>
      </c>
      <c r="I1810" s="4">
        <v>4</v>
      </c>
      <c r="J1810" s="5">
        <f>_xlfn.XLOOKUP(tblSales[[#This Row],[Product Code]],tblProducts[Code],tblProducts[Selling Price (excl. VAT)],0)</f>
        <v>350000</v>
      </c>
      <c r="K1810" s="5">
        <f>tblSales[[#This Row],[Qty]]*tblSales[[#This Row],[Unit Price]]</f>
        <v>1400000</v>
      </c>
      <c r="L1810" s="5">
        <f>ROUND(tblSales[[#This Row],[DPP (excl. VAT)]]*VATEff,0)</f>
        <v>154000</v>
      </c>
      <c r="M1810" s="5">
        <f>tblSales[[#This Row],[DPP (excl. VAT)]]+tblSales[[#This Row],[Output VAT]]</f>
        <v>1554000</v>
      </c>
      <c r="N1810" s="5">
        <f>tblSales[[#This Row],[Qty]]*_xlfn.XLOOKUP(tblSales[[#This Row],[Product Code]],tblProducts[Code],tblProducts[Unit Cost],0)</f>
        <v>840000</v>
      </c>
      <c r="O1810" s="4" t="s">
        <v>4865</v>
      </c>
      <c r="P1810" s="4" t="s">
        <v>4860</v>
      </c>
      <c r="Q1810" s="1" t="str">
        <f>_xlfn.XLOOKUP(tblSales[[#This Row],[Channel Code]],tblChannels[Channel Code],tblChannels[Channel Name],"")</f>
        <v>In-store</v>
      </c>
      <c r="R1810" s="1">
        <f>MONTH(tblSales[[#This Row],[Date]])</f>
        <v>4</v>
      </c>
    </row>
    <row r="1811" spans="2:18" x14ac:dyDescent="0.35">
      <c r="B1811" s="113">
        <v>46129</v>
      </c>
      <c r="C1811" s="4" t="s">
        <v>1226</v>
      </c>
      <c r="D1811" s="4" t="s">
        <v>4568</v>
      </c>
      <c r="E1811" s="1" t="str">
        <f>_xlfn.XLOOKUP(tblSales[[#This Row],[Customer ID]],tblCustomers[Customer ID],tblCustomers[Customer Name],"⚠ Unknown")</f>
        <v>Walk-in Customer</v>
      </c>
      <c r="F1811" s="4" t="s">
        <v>6</v>
      </c>
      <c r="G1811" s="1" t="str">
        <f>_xlfn.XLOOKUP(tblSales[[#This Row],[Product Code]],tblProducts[Code],tblProducts[Product / Service Name],"⚠ Unknown")</f>
        <v>Socks &amp; Accessories</v>
      </c>
      <c r="H1811" s="1" t="str">
        <f>_xlfn.XLOOKUP(tblSales[[#This Row],[Product Code]],tblProducts[Code],tblProducts[Category],"")</f>
        <v>Accessories &amp; Basics</v>
      </c>
      <c r="I1811" s="4">
        <v>1</v>
      </c>
      <c r="J1811" s="5">
        <f>_xlfn.XLOOKUP(tblSales[[#This Row],[Product Code]],tblProducts[Code],tblProducts[Selling Price (excl. VAT)],0)</f>
        <v>45000</v>
      </c>
      <c r="K1811" s="5">
        <f>tblSales[[#This Row],[Qty]]*tblSales[[#This Row],[Unit Price]]</f>
        <v>45000</v>
      </c>
      <c r="L1811" s="5">
        <f>ROUND(tblSales[[#This Row],[DPP (excl. VAT)]]*VATEff,0)</f>
        <v>4950</v>
      </c>
      <c r="M1811" s="5">
        <f>tblSales[[#This Row],[DPP (excl. VAT)]]+tblSales[[#This Row],[Output VAT]]</f>
        <v>49950</v>
      </c>
      <c r="N1811" s="5">
        <f>tblSales[[#This Row],[Qty]]*_xlfn.XLOOKUP(tblSales[[#This Row],[Product Code]],tblProducts[Code],tblProducts[Unit Cost],0)</f>
        <v>24000</v>
      </c>
      <c r="O1811" s="4" t="s">
        <v>4865</v>
      </c>
      <c r="P1811" s="4" t="s">
        <v>4860</v>
      </c>
      <c r="Q1811" s="1" t="str">
        <f>_xlfn.XLOOKUP(tblSales[[#This Row],[Channel Code]],tblChannels[Channel Code],tblChannels[Channel Name],"")</f>
        <v>In-store</v>
      </c>
      <c r="R1811" s="1">
        <f>MONTH(tblSales[[#This Row],[Date]])</f>
        <v>4</v>
      </c>
    </row>
    <row r="1812" spans="2:18" x14ac:dyDescent="0.35">
      <c r="B1812" s="113">
        <v>46130</v>
      </c>
      <c r="C1812" s="4" t="s">
        <v>1227</v>
      </c>
      <c r="D1812" s="4" t="s">
        <v>4568</v>
      </c>
      <c r="E1812" s="1" t="str">
        <f>_xlfn.XLOOKUP(tblSales[[#This Row],[Customer ID]],tblCustomers[Customer ID],tblCustomers[Customer Name],"⚠ Unknown")</f>
        <v>Walk-in Customer</v>
      </c>
      <c r="F1812" s="4" t="s">
        <v>7</v>
      </c>
      <c r="G1812" s="1" t="str">
        <f>_xlfn.XLOOKUP(tblSales[[#This Row],[Product Code]],tblProducts[Code],tblProducts[Product / Service Name],"⚠ Unknown")</f>
        <v>Premium Basic T-shirt</v>
      </c>
      <c r="H1812" s="1" t="str">
        <f>_xlfn.XLOOKUP(tblSales[[#This Row],[Product Code]],tblProducts[Code],tblProducts[Category],"")</f>
        <v>Accessories &amp; Basics</v>
      </c>
      <c r="I1812" s="4">
        <v>1</v>
      </c>
      <c r="J1812" s="5">
        <f>_xlfn.XLOOKUP(tblSales[[#This Row],[Product Code]],tblProducts[Code],tblProducts[Selling Price (excl. VAT)],0)</f>
        <v>65000</v>
      </c>
      <c r="K1812" s="5">
        <f>tblSales[[#This Row],[Qty]]*tblSales[[#This Row],[Unit Price]]</f>
        <v>65000</v>
      </c>
      <c r="L1812" s="5">
        <f>ROUND(tblSales[[#This Row],[DPP (excl. VAT)]]*VATEff,0)</f>
        <v>7150</v>
      </c>
      <c r="M1812" s="5">
        <f>tblSales[[#This Row],[DPP (excl. VAT)]]+tblSales[[#This Row],[Output VAT]]</f>
        <v>72150</v>
      </c>
      <c r="N1812" s="5">
        <f>tblSales[[#This Row],[Qty]]*_xlfn.XLOOKUP(tblSales[[#This Row],[Product Code]],tblProducts[Code],tblProducts[Unit Cost],0)</f>
        <v>37000</v>
      </c>
      <c r="O1812" s="4" t="s">
        <v>4865</v>
      </c>
      <c r="P1812" s="4" t="s">
        <v>4860</v>
      </c>
      <c r="Q1812" s="1" t="str">
        <f>_xlfn.XLOOKUP(tblSales[[#This Row],[Channel Code]],tblChannels[Channel Code],tblChannels[Channel Name],"")</f>
        <v>In-store</v>
      </c>
      <c r="R1812" s="1">
        <f>MONTH(tblSales[[#This Row],[Date]])</f>
        <v>4</v>
      </c>
    </row>
    <row r="1813" spans="2:18" x14ac:dyDescent="0.35">
      <c r="B1813" s="113">
        <v>46130</v>
      </c>
      <c r="C1813" s="4" t="s">
        <v>1228</v>
      </c>
      <c r="D1813" s="4" t="s">
        <v>4599</v>
      </c>
      <c r="E1813" s="1" t="str">
        <f>_xlfn.XLOOKUP(tblSales[[#This Row],[Customer ID]],tblCustomers[Customer ID],tblCustomers[Customer Name],"⚠ Unknown")</f>
        <v>PT Samudra Jaya Logistik</v>
      </c>
      <c r="F1813" s="4" t="s">
        <v>14</v>
      </c>
      <c r="G1813" s="1" t="str">
        <f>_xlfn.XLOOKUP(tblSales[[#This Row],[Product Code]],tblProducts[Code],tblProducts[Product / Service Name],"⚠ Unknown")</f>
        <v>Smartwatch</v>
      </c>
      <c r="H1813" s="1" t="str">
        <f>_xlfn.XLOOKUP(tblSales[[#This Row],[Product Code]],tblProducts[Code],tblProducts[Category],"")</f>
        <v>Bags &amp; Gadgets</v>
      </c>
      <c r="I1813" s="4">
        <v>8</v>
      </c>
      <c r="J1813" s="5">
        <f>_xlfn.XLOOKUP(tblSales[[#This Row],[Product Code]],tblProducts[Code],tblProducts[Selling Price (excl. VAT)],0)</f>
        <v>850000</v>
      </c>
      <c r="K1813" s="5">
        <f>tblSales[[#This Row],[Qty]]*tblSales[[#This Row],[Unit Price]]</f>
        <v>6800000</v>
      </c>
      <c r="L1813" s="5">
        <f>ROUND(tblSales[[#This Row],[DPP (excl. VAT)]]*VATEff,0)</f>
        <v>748000</v>
      </c>
      <c r="M1813" s="5">
        <f>tblSales[[#This Row],[DPP (excl. VAT)]]+tblSales[[#This Row],[Output VAT]]</f>
        <v>7548000</v>
      </c>
      <c r="N1813" s="5">
        <f>tblSales[[#This Row],[Qty]]*_xlfn.XLOOKUP(tblSales[[#This Row],[Product Code]],tblProducts[Code],tblProducts[Unit Cost],0)</f>
        <v>4480000</v>
      </c>
      <c r="O1813" s="4" t="s">
        <v>4867</v>
      </c>
      <c r="P1813" s="4" t="s">
        <v>4860</v>
      </c>
      <c r="Q1813" s="1" t="str">
        <f>_xlfn.XLOOKUP(tblSales[[#This Row],[Channel Code]],tblChannels[Channel Code],tblChannels[Channel Name],"")</f>
        <v>In-store</v>
      </c>
      <c r="R1813" s="1">
        <f>MONTH(tblSales[[#This Row],[Date]])</f>
        <v>4</v>
      </c>
    </row>
    <row r="1814" spans="2:18" x14ac:dyDescent="0.35">
      <c r="B1814" s="113">
        <v>46130</v>
      </c>
      <c r="C1814" s="4" t="s">
        <v>1228</v>
      </c>
      <c r="D1814" s="4" t="s">
        <v>4599</v>
      </c>
      <c r="E1814" s="1" t="str">
        <f>_xlfn.XLOOKUP(tblSales[[#This Row],[Customer ID]],tblCustomers[Customer ID],tblCustomers[Customer Name],"⚠ Unknown")</f>
        <v>PT Samudra Jaya Logistik</v>
      </c>
      <c r="F1814" s="4" t="s">
        <v>8</v>
      </c>
      <c r="G1814" s="1" t="str">
        <f>_xlfn.XLOOKUP(tblSales[[#This Row],[Product Code]],tblProducts[Code],tblProducts[Product / Service Name],"⚠ Unknown")</f>
        <v>Casual Shorts</v>
      </c>
      <c r="H1814" s="1" t="str">
        <f>_xlfn.XLOOKUP(tblSales[[#This Row],[Product Code]],tblProducts[Code],tblProducts[Category],"")</f>
        <v>Accessories &amp; Basics</v>
      </c>
      <c r="I1814" s="4">
        <v>48</v>
      </c>
      <c r="J1814" s="5">
        <f>_xlfn.XLOOKUP(tblSales[[#This Row],[Product Code]],tblProducts[Code],tblProducts[Selling Price (excl. VAT)],0)</f>
        <v>85000</v>
      </c>
      <c r="K1814" s="5">
        <f>tblSales[[#This Row],[Qty]]*tblSales[[#This Row],[Unit Price]]</f>
        <v>4080000</v>
      </c>
      <c r="L1814" s="5">
        <f>ROUND(tblSales[[#This Row],[DPP (excl. VAT)]]*VATEff,0)</f>
        <v>448800</v>
      </c>
      <c r="M1814" s="5">
        <f>tblSales[[#This Row],[DPP (excl. VAT)]]+tblSales[[#This Row],[Output VAT]]</f>
        <v>4528800</v>
      </c>
      <c r="N1814" s="5">
        <f>tblSales[[#This Row],[Qty]]*_xlfn.XLOOKUP(tblSales[[#This Row],[Product Code]],tblProducts[Code],tblProducts[Unit Cost],0)</f>
        <v>2400000</v>
      </c>
      <c r="O1814" s="4" t="s">
        <v>4867</v>
      </c>
      <c r="P1814" s="4" t="s">
        <v>4860</v>
      </c>
      <c r="Q1814" s="1" t="str">
        <f>_xlfn.XLOOKUP(tblSales[[#This Row],[Channel Code]],tblChannels[Channel Code],tblChannels[Channel Name],"")</f>
        <v>In-store</v>
      </c>
      <c r="R1814" s="1">
        <f>MONTH(tblSales[[#This Row],[Date]])</f>
        <v>4</v>
      </c>
    </row>
    <row r="1815" spans="2:18" x14ac:dyDescent="0.35">
      <c r="B1815" s="113">
        <v>46130</v>
      </c>
      <c r="C1815" s="4" t="s">
        <v>1229</v>
      </c>
      <c r="D1815" s="4" t="s">
        <v>4568</v>
      </c>
      <c r="E1815" s="1" t="str">
        <f>_xlfn.XLOOKUP(tblSales[[#This Row],[Customer ID]],tblCustomers[Customer ID],tblCustomers[Customer Name],"⚠ Unknown")</f>
        <v>Walk-in Customer</v>
      </c>
      <c r="F1815" s="4" t="s">
        <v>8</v>
      </c>
      <c r="G1815" s="1" t="str">
        <f>_xlfn.XLOOKUP(tblSales[[#This Row],[Product Code]],tblProducts[Code],tblProducts[Product / Service Name],"⚠ Unknown")</f>
        <v>Casual Shorts</v>
      </c>
      <c r="H1815" s="1" t="str">
        <f>_xlfn.XLOOKUP(tblSales[[#This Row],[Product Code]],tblProducts[Code],tblProducts[Category],"")</f>
        <v>Accessories &amp; Basics</v>
      </c>
      <c r="I1815" s="4">
        <v>12</v>
      </c>
      <c r="J1815" s="5">
        <f>_xlfn.XLOOKUP(tblSales[[#This Row],[Product Code]],tblProducts[Code],tblProducts[Selling Price (excl. VAT)],0)</f>
        <v>85000</v>
      </c>
      <c r="K1815" s="5">
        <f>tblSales[[#This Row],[Qty]]*tblSales[[#This Row],[Unit Price]]</f>
        <v>1020000</v>
      </c>
      <c r="L1815" s="5">
        <f>ROUND(tblSales[[#This Row],[DPP (excl. VAT)]]*VATEff,0)</f>
        <v>112200</v>
      </c>
      <c r="M1815" s="5">
        <f>tblSales[[#This Row],[DPP (excl. VAT)]]+tblSales[[#This Row],[Output VAT]]</f>
        <v>1132200</v>
      </c>
      <c r="N1815" s="5">
        <f>tblSales[[#This Row],[Qty]]*_xlfn.XLOOKUP(tblSales[[#This Row],[Product Code]],tblProducts[Code],tblProducts[Unit Cost],0)</f>
        <v>600000</v>
      </c>
      <c r="O1815" s="4" t="s">
        <v>4865</v>
      </c>
      <c r="P1815" s="4" t="s">
        <v>4860</v>
      </c>
      <c r="Q1815" s="1" t="str">
        <f>_xlfn.XLOOKUP(tblSales[[#This Row],[Channel Code]],tblChannels[Channel Code],tblChannels[Channel Name],"")</f>
        <v>In-store</v>
      </c>
      <c r="R1815" s="1">
        <f>MONTH(tblSales[[#This Row],[Date]])</f>
        <v>4</v>
      </c>
    </row>
    <row r="1816" spans="2:18" x14ac:dyDescent="0.35">
      <c r="B1816" s="113">
        <v>46130</v>
      </c>
      <c r="C1816" s="4" t="s">
        <v>1230</v>
      </c>
      <c r="D1816" s="4" t="s">
        <v>4568</v>
      </c>
      <c r="E1816" s="1" t="str">
        <f>_xlfn.XLOOKUP(tblSales[[#This Row],[Customer ID]],tblCustomers[Customer ID],tblCustomers[Customer Name],"⚠ Unknown")</f>
        <v>Walk-in Customer</v>
      </c>
      <c r="F1816" s="4" t="s">
        <v>8</v>
      </c>
      <c r="G1816" s="1" t="str">
        <f>_xlfn.XLOOKUP(tblSales[[#This Row],[Product Code]],tblProducts[Code],tblProducts[Product / Service Name],"⚠ Unknown")</f>
        <v>Casual Shorts</v>
      </c>
      <c r="H1816" s="1" t="str">
        <f>_xlfn.XLOOKUP(tblSales[[#This Row],[Product Code]],tblProducts[Code],tblProducts[Category],"")</f>
        <v>Accessories &amp; Basics</v>
      </c>
      <c r="I1816" s="4">
        <v>1</v>
      </c>
      <c r="J1816" s="5">
        <f>_xlfn.XLOOKUP(tblSales[[#This Row],[Product Code]],tblProducts[Code],tblProducts[Selling Price (excl. VAT)],0)</f>
        <v>85000</v>
      </c>
      <c r="K1816" s="5">
        <f>tblSales[[#This Row],[Qty]]*tblSales[[#This Row],[Unit Price]]</f>
        <v>85000</v>
      </c>
      <c r="L1816" s="5">
        <f>ROUND(tblSales[[#This Row],[DPP (excl. VAT)]]*VATEff,0)</f>
        <v>9350</v>
      </c>
      <c r="M1816" s="5">
        <f>tblSales[[#This Row],[DPP (excl. VAT)]]+tblSales[[#This Row],[Output VAT]]</f>
        <v>94350</v>
      </c>
      <c r="N1816" s="5">
        <f>tblSales[[#This Row],[Qty]]*_xlfn.XLOOKUP(tblSales[[#This Row],[Product Code]],tblProducts[Code],tblProducts[Unit Cost],0)</f>
        <v>50000</v>
      </c>
      <c r="O1816" s="4" t="s">
        <v>4866</v>
      </c>
      <c r="P1816" s="4" t="s">
        <v>4862</v>
      </c>
      <c r="Q1816" s="1" t="str">
        <f>_xlfn.XLOOKUP(tblSales[[#This Row],[Channel Code]],tblChannels[Channel Code],tblChannels[Channel Name],"")</f>
        <v>Website &amp; Social Media</v>
      </c>
      <c r="R1816" s="1">
        <f>MONTH(tblSales[[#This Row],[Date]])</f>
        <v>4</v>
      </c>
    </row>
    <row r="1817" spans="2:18" x14ac:dyDescent="0.35">
      <c r="B1817" s="113">
        <v>46130</v>
      </c>
      <c r="C1817" s="4" t="s">
        <v>1231</v>
      </c>
      <c r="D1817" s="4" t="s">
        <v>4568</v>
      </c>
      <c r="E1817" s="1" t="str">
        <f>_xlfn.XLOOKUP(tblSales[[#This Row],[Customer ID]],tblCustomers[Customer ID],tblCustomers[Customer Name],"⚠ Unknown")</f>
        <v>Walk-in Customer</v>
      </c>
      <c r="F1817" s="4" t="s">
        <v>6</v>
      </c>
      <c r="G1817" s="1" t="str">
        <f>_xlfn.XLOOKUP(tblSales[[#This Row],[Product Code]],tblProducts[Code],tblProducts[Product / Service Name],"⚠ Unknown")</f>
        <v>Socks &amp; Accessories</v>
      </c>
      <c r="H1817" s="1" t="str">
        <f>_xlfn.XLOOKUP(tblSales[[#This Row],[Product Code]],tblProducts[Code],tblProducts[Category],"")</f>
        <v>Accessories &amp; Basics</v>
      </c>
      <c r="I1817" s="4">
        <v>8</v>
      </c>
      <c r="J1817" s="5">
        <f>_xlfn.XLOOKUP(tblSales[[#This Row],[Product Code]],tblProducts[Code],tblProducts[Selling Price (excl. VAT)],0)</f>
        <v>45000</v>
      </c>
      <c r="K1817" s="5">
        <f>tblSales[[#This Row],[Qty]]*tblSales[[#This Row],[Unit Price]]</f>
        <v>360000</v>
      </c>
      <c r="L1817" s="5">
        <f>ROUND(tblSales[[#This Row],[DPP (excl. VAT)]]*VATEff,0)</f>
        <v>39600</v>
      </c>
      <c r="M1817" s="5">
        <f>tblSales[[#This Row],[DPP (excl. VAT)]]+tblSales[[#This Row],[Output VAT]]</f>
        <v>399600</v>
      </c>
      <c r="N1817" s="5">
        <f>tblSales[[#This Row],[Qty]]*_xlfn.XLOOKUP(tblSales[[#This Row],[Product Code]],tblProducts[Code],tblProducts[Unit Cost],0)</f>
        <v>192000</v>
      </c>
      <c r="O1817" s="4" t="s">
        <v>4866</v>
      </c>
      <c r="P1817" s="4" t="s">
        <v>4861</v>
      </c>
      <c r="Q1817" s="1" t="str">
        <f>_xlfn.XLOOKUP(tblSales[[#This Row],[Channel Code]],tblChannels[Channel Code],tblChannels[Channel Name],"")</f>
        <v>Marketplace</v>
      </c>
      <c r="R1817" s="1">
        <f>MONTH(tblSales[[#This Row],[Date]])</f>
        <v>4</v>
      </c>
    </row>
    <row r="1818" spans="2:18" x14ac:dyDescent="0.35">
      <c r="B1818" s="113">
        <v>46130</v>
      </c>
      <c r="C1818" s="4" t="s">
        <v>1232</v>
      </c>
      <c r="D1818" s="4" t="s">
        <v>4568</v>
      </c>
      <c r="E1818" s="1" t="str">
        <f>_xlfn.XLOOKUP(tblSales[[#This Row],[Customer ID]],tblCustomers[Customer ID],tblCustomers[Customer Name],"⚠ Unknown")</f>
        <v>Walk-in Customer</v>
      </c>
      <c r="F1818" s="4" t="s">
        <v>8</v>
      </c>
      <c r="G1818" s="1" t="str">
        <f>_xlfn.XLOOKUP(tblSales[[#This Row],[Product Code]],tblProducts[Code],tblProducts[Product / Service Name],"⚠ Unknown")</f>
        <v>Casual Shorts</v>
      </c>
      <c r="H1818" s="1" t="str">
        <f>_xlfn.XLOOKUP(tblSales[[#This Row],[Product Code]],tblProducts[Code],tblProducts[Category],"")</f>
        <v>Accessories &amp; Basics</v>
      </c>
      <c r="I1818" s="4">
        <v>1</v>
      </c>
      <c r="J1818" s="5">
        <f>_xlfn.XLOOKUP(tblSales[[#This Row],[Product Code]],tblProducts[Code],tblProducts[Selling Price (excl. VAT)],0)</f>
        <v>85000</v>
      </c>
      <c r="K1818" s="5">
        <f>tblSales[[#This Row],[Qty]]*tblSales[[#This Row],[Unit Price]]</f>
        <v>85000</v>
      </c>
      <c r="L1818" s="5">
        <f>ROUND(tblSales[[#This Row],[DPP (excl. VAT)]]*VATEff,0)</f>
        <v>9350</v>
      </c>
      <c r="M1818" s="5">
        <f>tblSales[[#This Row],[DPP (excl. VAT)]]+tblSales[[#This Row],[Output VAT]]</f>
        <v>94350</v>
      </c>
      <c r="N1818" s="5">
        <f>tblSales[[#This Row],[Qty]]*_xlfn.XLOOKUP(tblSales[[#This Row],[Product Code]],tblProducts[Code],tblProducts[Unit Cost],0)</f>
        <v>50000</v>
      </c>
      <c r="O1818" s="4" t="s">
        <v>4865</v>
      </c>
      <c r="P1818" s="4" t="s">
        <v>4860</v>
      </c>
      <c r="Q1818" s="1" t="str">
        <f>_xlfn.XLOOKUP(tblSales[[#This Row],[Channel Code]],tblChannels[Channel Code],tblChannels[Channel Name],"")</f>
        <v>In-store</v>
      </c>
      <c r="R1818" s="1">
        <f>MONTH(tblSales[[#This Row],[Date]])</f>
        <v>4</v>
      </c>
    </row>
    <row r="1819" spans="2:18" x14ac:dyDescent="0.35">
      <c r="B1819" s="113">
        <v>46130</v>
      </c>
      <c r="C1819" s="4" t="s">
        <v>1233</v>
      </c>
      <c r="D1819" s="4" t="s">
        <v>4568</v>
      </c>
      <c r="E1819" s="1" t="str">
        <f>_xlfn.XLOOKUP(tblSales[[#This Row],[Customer ID]],tblCustomers[Customer ID],tblCustomers[Customer Name],"⚠ Unknown")</f>
        <v>Walk-in Customer</v>
      </c>
      <c r="F1819" s="4" t="s">
        <v>13</v>
      </c>
      <c r="G1819" s="1" t="str">
        <f>_xlfn.XLOOKUP(tblSales[[#This Row],[Product Code]],tblProducts[Code],tblProducts[Product / Service Name],"⚠ Unknown")</f>
        <v>Backpack</v>
      </c>
      <c r="H1819" s="1" t="str">
        <f>_xlfn.XLOOKUP(tblSales[[#This Row],[Product Code]],tblProducts[Code],tblProducts[Category],"")</f>
        <v>Bags &amp; Gadgets</v>
      </c>
      <c r="I1819" s="4">
        <v>1</v>
      </c>
      <c r="J1819" s="5">
        <f>_xlfn.XLOOKUP(tblSales[[#This Row],[Product Code]],tblProducts[Code],tblProducts[Selling Price (excl. VAT)],0)</f>
        <v>500000</v>
      </c>
      <c r="K1819" s="5">
        <f>tblSales[[#This Row],[Qty]]*tblSales[[#This Row],[Unit Price]]</f>
        <v>500000</v>
      </c>
      <c r="L1819" s="5">
        <f>ROUND(tblSales[[#This Row],[DPP (excl. VAT)]]*VATEff,0)</f>
        <v>55000</v>
      </c>
      <c r="M1819" s="5">
        <f>tblSales[[#This Row],[DPP (excl. VAT)]]+tblSales[[#This Row],[Output VAT]]</f>
        <v>555000</v>
      </c>
      <c r="N1819" s="5">
        <f>tblSales[[#This Row],[Qty]]*_xlfn.XLOOKUP(tblSales[[#This Row],[Product Code]],tblProducts[Code],tblProducts[Unit Cost],0)</f>
        <v>290000</v>
      </c>
      <c r="O1819" s="4" t="s">
        <v>4865</v>
      </c>
      <c r="P1819" s="4" t="s">
        <v>4860</v>
      </c>
      <c r="Q1819" s="1" t="str">
        <f>_xlfn.XLOOKUP(tblSales[[#This Row],[Channel Code]],tblChannels[Channel Code],tblChannels[Channel Name],"")</f>
        <v>In-store</v>
      </c>
      <c r="R1819" s="1">
        <f>MONTH(tblSales[[#This Row],[Date]])</f>
        <v>4</v>
      </c>
    </row>
    <row r="1820" spans="2:18" x14ac:dyDescent="0.35">
      <c r="B1820" s="113">
        <v>46130</v>
      </c>
      <c r="C1820" s="4" t="s">
        <v>1233</v>
      </c>
      <c r="D1820" s="4" t="s">
        <v>4568</v>
      </c>
      <c r="E1820" s="1" t="str">
        <f>_xlfn.XLOOKUP(tblSales[[#This Row],[Customer ID]],tblCustomers[Customer ID],tblCustomers[Customer Name],"⚠ Unknown")</f>
        <v>Walk-in Customer</v>
      </c>
      <c r="F1820" s="4" t="s">
        <v>8</v>
      </c>
      <c r="G1820" s="1" t="str">
        <f>_xlfn.XLOOKUP(tblSales[[#This Row],[Product Code]],tblProducts[Code],tblProducts[Product / Service Name],"⚠ Unknown")</f>
        <v>Casual Shorts</v>
      </c>
      <c r="H1820" s="1" t="str">
        <f>_xlfn.XLOOKUP(tblSales[[#This Row],[Product Code]],tblProducts[Code],tblProducts[Category],"")</f>
        <v>Accessories &amp; Basics</v>
      </c>
      <c r="I1820" s="4">
        <v>9</v>
      </c>
      <c r="J1820" s="5">
        <f>_xlfn.XLOOKUP(tblSales[[#This Row],[Product Code]],tblProducts[Code],tblProducts[Selling Price (excl. VAT)],0)</f>
        <v>85000</v>
      </c>
      <c r="K1820" s="5">
        <f>tblSales[[#This Row],[Qty]]*tblSales[[#This Row],[Unit Price]]</f>
        <v>765000</v>
      </c>
      <c r="L1820" s="5">
        <f>ROUND(tblSales[[#This Row],[DPP (excl. VAT)]]*VATEff,0)</f>
        <v>84150</v>
      </c>
      <c r="M1820" s="5">
        <f>tblSales[[#This Row],[DPP (excl. VAT)]]+tblSales[[#This Row],[Output VAT]]</f>
        <v>849150</v>
      </c>
      <c r="N1820" s="5">
        <f>tblSales[[#This Row],[Qty]]*_xlfn.XLOOKUP(tblSales[[#This Row],[Product Code]],tblProducts[Code],tblProducts[Unit Cost],0)</f>
        <v>450000</v>
      </c>
      <c r="O1820" s="4" t="s">
        <v>4865</v>
      </c>
      <c r="P1820" s="4" t="s">
        <v>4860</v>
      </c>
      <c r="Q1820" s="1" t="str">
        <f>_xlfn.XLOOKUP(tblSales[[#This Row],[Channel Code]],tblChannels[Channel Code],tblChannels[Channel Name],"")</f>
        <v>In-store</v>
      </c>
      <c r="R1820" s="1">
        <f>MONTH(tblSales[[#This Row],[Date]])</f>
        <v>4</v>
      </c>
    </row>
    <row r="1821" spans="2:18" x14ac:dyDescent="0.35">
      <c r="B1821" s="113">
        <v>46130</v>
      </c>
      <c r="C1821" s="4" t="s">
        <v>1234</v>
      </c>
      <c r="D1821" s="4" t="s">
        <v>4568</v>
      </c>
      <c r="E1821" s="1" t="str">
        <f>_xlfn.XLOOKUP(tblSales[[#This Row],[Customer ID]],tblCustomers[Customer ID],tblCustomers[Customer Name],"⚠ Unknown")</f>
        <v>Walk-in Customer</v>
      </c>
      <c r="F1821" s="4" t="s">
        <v>12</v>
      </c>
      <c r="G1821" s="1" t="str">
        <f>_xlfn.XLOOKUP(tblSales[[#This Row],[Product Code]],tblProducts[Code],tblProducts[Product / Service Name],"⚠ Unknown")</f>
        <v>Bomber Jacket</v>
      </c>
      <c r="H1821" s="1" t="str">
        <f>_xlfn.XLOOKUP(tblSales[[#This Row],[Product Code]],tblProducts[Code],tblProducts[Category],"")</f>
        <v>Apparel &amp; Footwear</v>
      </c>
      <c r="I1821" s="4">
        <v>3</v>
      </c>
      <c r="J1821" s="5">
        <f>_xlfn.XLOOKUP(tblSales[[#This Row],[Product Code]],tblProducts[Code],tblProducts[Selling Price (excl. VAT)],0)</f>
        <v>350000</v>
      </c>
      <c r="K1821" s="5">
        <f>tblSales[[#This Row],[Qty]]*tblSales[[#This Row],[Unit Price]]</f>
        <v>1050000</v>
      </c>
      <c r="L1821" s="5">
        <f>ROUND(tblSales[[#This Row],[DPP (excl. VAT)]]*VATEff,0)</f>
        <v>115500</v>
      </c>
      <c r="M1821" s="5">
        <f>tblSales[[#This Row],[DPP (excl. VAT)]]+tblSales[[#This Row],[Output VAT]]</f>
        <v>1165500</v>
      </c>
      <c r="N1821" s="5">
        <f>tblSales[[#This Row],[Qty]]*_xlfn.XLOOKUP(tblSales[[#This Row],[Product Code]],tblProducts[Code],tblProducts[Unit Cost],0)</f>
        <v>630000</v>
      </c>
      <c r="O1821" s="4" t="s">
        <v>4865</v>
      </c>
      <c r="P1821" s="4" t="s">
        <v>4860</v>
      </c>
      <c r="Q1821" s="1" t="str">
        <f>_xlfn.XLOOKUP(tblSales[[#This Row],[Channel Code]],tblChannels[Channel Code],tblChannels[Channel Name],"")</f>
        <v>In-store</v>
      </c>
      <c r="R1821" s="1">
        <f>MONTH(tblSales[[#This Row],[Date]])</f>
        <v>4</v>
      </c>
    </row>
    <row r="1822" spans="2:18" x14ac:dyDescent="0.35">
      <c r="B1822" s="113">
        <v>46130</v>
      </c>
      <c r="C1822" s="4" t="s">
        <v>1235</v>
      </c>
      <c r="D1822" s="4" t="s">
        <v>4568</v>
      </c>
      <c r="E1822" s="1" t="str">
        <f>_xlfn.XLOOKUP(tblSales[[#This Row],[Customer ID]],tblCustomers[Customer ID],tblCustomers[Customer Name],"⚠ Unknown")</f>
        <v>Walk-in Customer</v>
      </c>
      <c r="F1822" s="4" t="s">
        <v>15</v>
      </c>
      <c r="G1822" s="1" t="str">
        <f>_xlfn.XLOOKUP(tblSales[[#This Row],[Product Code]],tblProducts[Code],tblProducts[Product / Service Name],"⚠ Unknown")</f>
        <v>Wireless Earbuds Pro</v>
      </c>
      <c r="H1822" s="1" t="str">
        <f>_xlfn.XLOOKUP(tblSales[[#This Row],[Product Code]],tblProducts[Code],tblProducts[Category],"")</f>
        <v>Bags &amp; Gadgets</v>
      </c>
      <c r="I1822" s="4">
        <v>3</v>
      </c>
      <c r="J1822" s="5">
        <f>_xlfn.XLOOKUP(tblSales[[#This Row],[Product Code]],tblProducts[Code],tblProducts[Selling Price (excl. VAT)],0)</f>
        <v>1250000</v>
      </c>
      <c r="K1822" s="5">
        <f>tblSales[[#This Row],[Qty]]*tblSales[[#This Row],[Unit Price]]</f>
        <v>3750000</v>
      </c>
      <c r="L1822" s="5">
        <f>ROUND(tblSales[[#This Row],[DPP (excl. VAT)]]*VATEff,0)</f>
        <v>412500</v>
      </c>
      <c r="M1822" s="5">
        <f>tblSales[[#This Row],[DPP (excl. VAT)]]+tblSales[[#This Row],[Output VAT]]</f>
        <v>4162500</v>
      </c>
      <c r="N1822" s="5">
        <f>tblSales[[#This Row],[Qty]]*_xlfn.XLOOKUP(tblSales[[#This Row],[Product Code]],tblProducts[Code],tblProducts[Unit Cost],0)</f>
        <v>2460000</v>
      </c>
      <c r="O1822" s="4" t="s">
        <v>4866</v>
      </c>
      <c r="P1822" s="4" t="s">
        <v>4861</v>
      </c>
      <c r="Q1822" s="1" t="str">
        <f>_xlfn.XLOOKUP(tblSales[[#This Row],[Channel Code]],tblChannels[Channel Code],tblChannels[Channel Name],"")</f>
        <v>Marketplace</v>
      </c>
      <c r="R1822" s="1">
        <f>MONTH(tblSales[[#This Row],[Date]])</f>
        <v>4</v>
      </c>
    </row>
    <row r="1823" spans="2:18" x14ac:dyDescent="0.35">
      <c r="B1823" s="113">
        <v>46130</v>
      </c>
      <c r="C1823" s="4" t="s">
        <v>1236</v>
      </c>
      <c r="D1823" s="4" t="s">
        <v>4568</v>
      </c>
      <c r="E1823" s="1" t="str">
        <f>_xlfn.XLOOKUP(tblSales[[#This Row],[Customer ID]],tblCustomers[Customer ID],tblCustomers[Customer Name],"⚠ Unknown")</f>
        <v>Walk-in Customer</v>
      </c>
      <c r="F1823" s="4" t="s">
        <v>14</v>
      </c>
      <c r="G1823" s="1" t="str">
        <f>_xlfn.XLOOKUP(tblSales[[#This Row],[Product Code]],tblProducts[Code],tblProducts[Product / Service Name],"⚠ Unknown")</f>
        <v>Smartwatch</v>
      </c>
      <c r="H1823" s="1" t="str">
        <f>_xlfn.XLOOKUP(tblSales[[#This Row],[Product Code]],tblProducts[Code],tblProducts[Category],"")</f>
        <v>Bags &amp; Gadgets</v>
      </c>
      <c r="I1823" s="4">
        <v>1</v>
      </c>
      <c r="J1823" s="5">
        <f>_xlfn.XLOOKUP(tblSales[[#This Row],[Product Code]],tblProducts[Code],tblProducts[Selling Price (excl. VAT)],0)</f>
        <v>850000</v>
      </c>
      <c r="K1823" s="5">
        <f>tblSales[[#This Row],[Qty]]*tblSales[[#This Row],[Unit Price]]</f>
        <v>850000</v>
      </c>
      <c r="L1823" s="5">
        <f>ROUND(tblSales[[#This Row],[DPP (excl. VAT)]]*VATEff,0)</f>
        <v>93500</v>
      </c>
      <c r="M1823" s="5">
        <f>tblSales[[#This Row],[DPP (excl. VAT)]]+tblSales[[#This Row],[Output VAT]]</f>
        <v>943500</v>
      </c>
      <c r="N1823" s="5">
        <f>tblSales[[#This Row],[Qty]]*_xlfn.XLOOKUP(tblSales[[#This Row],[Product Code]],tblProducts[Code],tblProducts[Unit Cost],0)</f>
        <v>560000</v>
      </c>
      <c r="O1823" s="4" t="s">
        <v>4866</v>
      </c>
      <c r="P1823" s="4" t="s">
        <v>4861</v>
      </c>
      <c r="Q1823" s="1" t="str">
        <f>_xlfn.XLOOKUP(tblSales[[#This Row],[Channel Code]],tblChannels[Channel Code],tblChannels[Channel Name],"")</f>
        <v>Marketplace</v>
      </c>
      <c r="R1823" s="1">
        <f>MONTH(tblSales[[#This Row],[Date]])</f>
        <v>4</v>
      </c>
    </row>
    <row r="1824" spans="2:18" x14ac:dyDescent="0.35">
      <c r="B1824" s="113">
        <v>46130</v>
      </c>
      <c r="C1824" s="4" t="s">
        <v>1237</v>
      </c>
      <c r="D1824" s="4" t="s">
        <v>4572</v>
      </c>
      <c r="E1824" s="1" t="str">
        <f>_xlfn.XLOOKUP(tblSales[[#This Row],[Customer ID]],tblCustomers[Customer ID],tblCustomers[Customer Name],"⚠ Unknown")</f>
        <v>PT Cahaya Abadi Makmur</v>
      </c>
      <c r="F1824" s="4" t="s">
        <v>13</v>
      </c>
      <c r="G1824" s="1" t="str">
        <f>_xlfn.XLOOKUP(tblSales[[#This Row],[Product Code]],tblProducts[Code],tblProducts[Product / Service Name],"⚠ Unknown")</f>
        <v>Backpack</v>
      </c>
      <c r="H1824" s="1" t="str">
        <f>_xlfn.XLOOKUP(tblSales[[#This Row],[Product Code]],tblProducts[Code],tblProducts[Category],"")</f>
        <v>Bags &amp; Gadgets</v>
      </c>
      <c r="I1824" s="4">
        <v>24</v>
      </c>
      <c r="J1824" s="5">
        <f>_xlfn.XLOOKUP(tblSales[[#This Row],[Product Code]],tblProducts[Code],tblProducts[Selling Price (excl. VAT)],0)</f>
        <v>500000</v>
      </c>
      <c r="K1824" s="5">
        <f>tblSales[[#This Row],[Qty]]*tblSales[[#This Row],[Unit Price]]</f>
        <v>12000000</v>
      </c>
      <c r="L1824" s="5">
        <f>ROUND(tblSales[[#This Row],[DPP (excl. VAT)]]*VATEff,0)</f>
        <v>1320000</v>
      </c>
      <c r="M1824" s="5">
        <f>tblSales[[#This Row],[DPP (excl. VAT)]]+tblSales[[#This Row],[Output VAT]]</f>
        <v>13320000</v>
      </c>
      <c r="N1824" s="5">
        <f>tblSales[[#This Row],[Qty]]*_xlfn.XLOOKUP(tblSales[[#This Row],[Product Code]],tblProducts[Code],tblProducts[Unit Cost],0)</f>
        <v>6960000</v>
      </c>
      <c r="O1824" s="4" t="s">
        <v>4867</v>
      </c>
      <c r="P1824" s="4" t="s">
        <v>4860</v>
      </c>
      <c r="Q1824" s="1" t="str">
        <f>_xlfn.XLOOKUP(tblSales[[#This Row],[Channel Code]],tblChannels[Channel Code],tblChannels[Channel Name],"")</f>
        <v>In-store</v>
      </c>
      <c r="R1824" s="1">
        <f>MONTH(tblSales[[#This Row],[Date]])</f>
        <v>4</v>
      </c>
    </row>
    <row r="1825" spans="2:18" x14ac:dyDescent="0.35">
      <c r="B1825" s="113">
        <v>46130</v>
      </c>
      <c r="C1825" s="4" t="s">
        <v>1238</v>
      </c>
      <c r="D1825" s="4" t="s">
        <v>4568</v>
      </c>
      <c r="E1825" s="1" t="str">
        <f>_xlfn.XLOOKUP(tblSales[[#This Row],[Customer ID]],tblCustomers[Customer ID],tblCustomers[Customer Name],"⚠ Unknown")</f>
        <v>Walk-in Customer</v>
      </c>
      <c r="F1825" s="4" t="s">
        <v>9</v>
      </c>
      <c r="G1825" s="1" t="str">
        <f>_xlfn.XLOOKUP(tblSales[[#This Row],[Product Code]],tblProducts[Code],tblProducts[Product / Service Name],"⚠ Unknown")</f>
        <v>Casual Shirt</v>
      </c>
      <c r="H1825" s="1" t="str">
        <f>_xlfn.XLOOKUP(tblSales[[#This Row],[Product Code]],tblProducts[Code],tblProducts[Category],"")</f>
        <v>Apparel &amp; Footwear</v>
      </c>
      <c r="I1825" s="4">
        <v>4</v>
      </c>
      <c r="J1825" s="5">
        <f>_xlfn.XLOOKUP(tblSales[[#This Row],[Product Code]],tblProducts[Code],tblProducts[Selling Price (excl. VAT)],0)</f>
        <v>120000</v>
      </c>
      <c r="K1825" s="5">
        <f>tblSales[[#This Row],[Qty]]*tblSales[[#This Row],[Unit Price]]</f>
        <v>480000</v>
      </c>
      <c r="L1825" s="5">
        <f>ROUND(tblSales[[#This Row],[DPP (excl. VAT)]]*VATEff,0)</f>
        <v>52800</v>
      </c>
      <c r="M1825" s="5">
        <f>tblSales[[#This Row],[DPP (excl. VAT)]]+tblSales[[#This Row],[Output VAT]]</f>
        <v>532800</v>
      </c>
      <c r="N1825" s="5">
        <f>tblSales[[#This Row],[Qty]]*_xlfn.XLOOKUP(tblSales[[#This Row],[Product Code]],tblProducts[Code],tblProducts[Unit Cost],0)</f>
        <v>288000</v>
      </c>
      <c r="O1825" s="4" t="s">
        <v>4865</v>
      </c>
      <c r="P1825" s="4" t="s">
        <v>4860</v>
      </c>
      <c r="Q1825" s="1" t="str">
        <f>_xlfn.XLOOKUP(tblSales[[#This Row],[Channel Code]],tblChannels[Channel Code],tblChannels[Channel Name],"")</f>
        <v>In-store</v>
      </c>
      <c r="R1825" s="1">
        <f>MONTH(tblSales[[#This Row],[Date]])</f>
        <v>4</v>
      </c>
    </row>
    <row r="1826" spans="2:18" x14ac:dyDescent="0.35">
      <c r="B1826" s="113">
        <v>46130</v>
      </c>
      <c r="C1826" s="4" t="s">
        <v>1239</v>
      </c>
      <c r="D1826" s="4" t="s">
        <v>4568</v>
      </c>
      <c r="E1826" s="1" t="str">
        <f>_xlfn.XLOOKUP(tblSales[[#This Row],[Customer ID]],tblCustomers[Customer ID],tblCustomers[Customer Name],"⚠ Unknown")</f>
        <v>Walk-in Customer</v>
      </c>
      <c r="F1826" s="4" t="s">
        <v>13</v>
      </c>
      <c r="G1826" s="1" t="str">
        <f>_xlfn.XLOOKUP(tblSales[[#This Row],[Product Code]],tblProducts[Code],tblProducts[Product / Service Name],"⚠ Unknown")</f>
        <v>Backpack</v>
      </c>
      <c r="H1826" s="1" t="str">
        <f>_xlfn.XLOOKUP(tblSales[[#This Row],[Product Code]],tblProducts[Code],tblProducts[Category],"")</f>
        <v>Bags &amp; Gadgets</v>
      </c>
      <c r="I1826" s="4">
        <v>3</v>
      </c>
      <c r="J1826" s="5">
        <f>_xlfn.XLOOKUP(tblSales[[#This Row],[Product Code]],tblProducts[Code],tblProducts[Selling Price (excl. VAT)],0)</f>
        <v>500000</v>
      </c>
      <c r="K1826" s="5">
        <f>tblSales[[#This Row],[Qty]]*tblSales[[#This Row],[Unit Price]]</f>
        <v>1500000</v>
      </c>
      <c r="L1826" s="5">
        <f>ROUND(tblSales[[#This Row],[DPP (excl. VAT)]]*VATEff,0)</f>
        <v>165000</v>
      </c>
      <c r="M1826" s="5">
        <f>tblSales[[#This Row],[DPP (excl. VAT)]]+tblSales[[#This Row],[Output VAT]]</f>
        <v>1665000</v>
      </c>
      <c r="N1826" s="5">
        <f>tblSales[[#This Row],[Qty]]*_xlfn.XLOOKUP(tblSales[[#This Row],[Product Code]],tblProducts[Code],tblProducts[Unit Cost],0)</f>
        <v>870000</v>
      </c>
      <c r="O1826" s="4" t="s">
        <v>4866</v>
      </c>
      <c r="P1826" s="4" t="s">
        <v>4860</v>
      </c>
      <c r="Q1826" s="1" t="str">
        <f>_xlfn.XLOOKUP(tblSales[[#This Row],[Channel Code]],tblChannels[Channel Code],tblChannels[Channel Name],"")</f>
        <v>In-store</v>
      </c>
      <c r="R1826" s="1">
        <f>MONTH(tblSales[[#This Row],[Date]])</f>
        <v>4</v>
      </c>
    </row>
    <row r="1827" spans="2:18" x14ac:dyDescent="0.35">
      <c r="B1827" s="113">
        <v>46130</v>
      </c>
      <c r="C1827" s="4" t="s">
        <v>1239</v>
      </c>
      <c r="D1827" s="4" t="s">
        <v>4568</v>
      </c>
      <c r="E1827" s="1" t="str">
        <f>_xlfn.XLOOKUP(tblSales[[#This Row],[Customer ID]],tblCustomers[Customer ID],tblCustomers[Customer Name],"⚠ Unknown")</f>
        <v>Walk-in Customer</v>
      </c>
      <c r="F1827" s="4" t="s">
        <v>14</v>
      </c>
      <c r="G1827" s="1" t="str">
        <f>_xlfn.XLOOKUP(tblSales[[#This Row],[Product Code]],tblProducts[Code],tblProducts[Product / Service Name],"⚠ Unknown")</f>
        <v>Smartwatch</v>
      </c>
      <c r="H1827" s="1" t="str">
        <f>_xlfn.XLOOKUP(tblSales[[#This Row],[Product Code]],tblProducts[Code],tblProducts[Category],"")</f>
        <v>Bags &amp; Gadgets</v>
      </c>
      <c r="I1827" s="4">
        <v>3</v>
      </c>
      <c r="J1827" s="5">
        <f>_xlfn.XLOOKUP(tblSales[[#This Row],[Product Code]],tblProducts[Code],tblProducts[Selling Price (excl. VAT)],0)</f>
        <v>850000</v>
      </c>
      <c r="K1827" s="5">
        <f>tblSales[[#This Row],[Qty]]*tblSales[[#This Row],[Unit Price]]</f>
        <v>2550000</v>
      </c>
      <c r="L1827" s="5">
        <f>ROUND(tblSales[[#This Row],[DPP (excl. VAT)]]*VATEff,0)</f>
        <v>280500</v>
      </c>
      <c r="M1827" s="5">
        <f>tblSales[[#This Row],[DPP (excl. VAT)]]+tblSales[[#This Row],[Output VAT]]</f>
        <v>2830500</v>
      </c>
      <c r="N1827" s="5">
        <f>tblSales[[#This Row],[Qty]]*_xlfn.XLOOKUP(tblSales[[#This Row],[Product Code]],tblProducts[Code],tblProducts[Unit Cost],0)</f>
        <v>1680000</v>
      </c>
      <c r="O1827" s="4" t="s">
        <v>4866</v>
      </c>
      <c r="P1827" s="4" t="s">
        <v>4860</v>
      </c>
      <c r="Q1827" s="1" t="str">
        <f>_xlfn.XLOOKUP(tblSales[[#This Row],[Channel Code]],tblChannels[Channel Code],tblChannels[Channel Name],"")</f>
        <v>In-store</v>
      </c>
      <c r="R1827" s="1">
        <f>MONTH(tblSales[[#This Row],[Date]])</f>
        <v>4</v>
      </c>
    </row>
    <row r="1828" spans="2:18" x14ac:dyDescent="0.35">
      <c r="B1828" s="113">
        <v>46130</v>
      </c>
      <c r="C1828" s="4" t="s">
        <v>1239</v>
      </c>
      <c r="D1828" s="4" t="s">
        <v>4568</v>
      </c>
      <c r="E1828" s="1" t="str">
        <f>_xlfn.XLOOKUP(tblSales[[#This Row],[Customer ID]],tblCustomers[Customer ID],tblCustomers[Customer Name],"⚠ Unknown")</f>
        <v>Walk-in Customer</v>
      </c>
      <c r="F1828" s="4" t="s">
        <v>9</v>
      </c>
      <c r="G1828" s="1" t="str">
        <f>_xlfn.XLOOKUP(tblSales[[#This Row],[Product Code]],tblProducts[Code],tblProducts[Product / Service Name],"⚠ Unknown")</f>
        <v>Casual Shirt</v>
      </c>
      <c r="H1828" s="1" t="str">
        <f>_xlfn.XLOOKUP(tblSales[[#This Row],[Product Code]],tblProducts[Code],tblProducts[Category],"")</f>
        <v>Apparel &amp; Footwear</v>
      </c>
      <c r="I1828" s="4">
        <v>3</v>
      </c>
      <c r="J1828" s="5">
        <f>_xlfn.XLOOKUP(tblSales[[#This Row],[Product Code]],tblProducts[Code],tblProducts[Selling Price (excl. VAT)],0)</f>
        <v>120000</v>
      </c>
      <c r="K1828" s="5">
        <f>tblSales[[#This Row],[Qty]]*tblSales[[#This Row],[Unit Price]]</f>
        <v>360000</v>
      </c>
      <c r="L1828" s="5">
        <f>ROUND(tblSales[[#This Row],[DPP (excl. VAT)]]*VATEff,0)</f>
        <v>39600</v>
      </c>
      <c r="M1828" s="5">
        <f>tblSales[[#This Row],[DPP (excl. VAT)]]+tblSales[[#This Row],[Output VAT]]</f>
        <v>399600</v>
      </c>
      <c r="N1828" s="5">
        <f>tblSales[[#This Row],[Qty]]*_xlfn.XLOOKUP(tblSales[[#This Row],[Product Code]],tblProducts[Code],tblProducts[Unit Cost],0)</f>
        <v>216000</v>
      </c>
      <c r="O1828" s="4" t="s">
        <v>4866</v>
      </c>
      <c r="P1828" s="4" t="s">
        <v>4860</v>
      </c>
      <c r="Q1828" s="1" t="str">
        <f>_xlfn.XLOOKUP(tblSales[[#This Row],[Channel Code]],tblChannels[Channel Code],tblChannels[Channel Name],"")</f>
        <v>In-store</v>
      </c>
      <c r="R1828" s="1">
        <f>MONTH(tblSales[[#This Row],[Date]])</f>
        <v>4</v>
      </c>
    </row>
    <row r="1829" spans="2:18" x14ac:dyDescent="0.35">
      <c r="B1829" s="113">
        <v>46130</v>
      </c>
      <c r="C1829" s="4" t="s">
        <v>1240</v>
      </c>
      <c r="D1829" s="4" t="s">
        <v>4568</v>
      </c>
      <c r="E1829" s="1" t="str">
        <f>_xlfn.XLOOKUP(tblSales[[#This Row],[Customer ID]],tblCustomers[Customer ID],tblCustomers[Customer Name],"⚠ Unknown")</f>
        <v>Walk-in Customer</v>
      </c>
      <c r="F1829" s="4" t="s">
        <v>9</v>
      </c>
      <c r="G1829" s="1" t="str">
        <f>_xlfn.XLOOKUP(tblSales[[#This Row],[Product Code]],tblProducts[Code],tblProducts[Product / Service Name],"⚠ Unknown")</f>
        <v>Casual Shirt</v>
      </c>
      <c r="H1829" s="1" t="str">
        <f>_xlfn.XLOOKUP(tblSales[[#This Row],[Product Code]],tblProducts[Code],tblProducts[Category],"")</f>
        <v>Apparel &amp; Footwear</v>
      </c>
      <c r="I1829" s="4">
        <v>2</v>
      </c>
      <c r="J1829" s="5">
        <f>_xlfn.XLOOKUP(tblSales[[#This Row],[Product Code]],tblProducts[Code],tblProducts[Selling Price (excl. VAT)],0)</f>
        <v>120000</v>
      </c>
      <c r="K1829" s="5">
        <f>tblSales[[#This Row],[Qty]]*tblSales[[#This Row],[Unit Price]]</f>
        <v>240000</v>
      </c>
      <c r="L1829" s="5">
        <f>ROUND(tblSales[[#This Row],[DPP (excl. VAT)]]*VATEff,0)</f>
        <v>26400</v>
      </c>
      <c r="M1829" s="5">
        <f>tblSales[[#This Row],[DPP (excl. VAT)]]+tblSales[[#This Row],[Output VAT]]</f>
        <v>266400</v>
      </c>
      <c r="N1829" s="5">
        <f>tblSales[[#This Row],[Qty]]*_xlfn.XLOOKUP(tblSales[[#This Row],[Product Code]],tblProducts[Code],tblProducts[Unit Cost],0)</f>
        <v>144000</v>
      </c>
      <c r="O1829" s="4" t="s">
        <v>4866</v>
      </c>
      <c r="P1829" s="4" t="s">
        <v>4860</v>
      </c>
      <c r="Q1829" s="1" t="str">
        <f>_xlfn.XLOOKUP(tblSales[[#This Row],[Channel Code]],tblChannels[Channel Code],tblChannels[Channel Name],"")</f>
        <v>In-store</v>
      </c>
      <c r="R1829" s="1">
        <f>MONTH(tblSales[[#This Row],[Date]])</f>
        <v>4</v>
      </c>
    </row>
    <row r="1830" spans="2:18" x14ac:dyDescent="0.35">
      <c r="B1830" s="113">
        <v>46131</v>
      </c>
      <c r="C1830" s="4" t="s">
        <v>1241</v>
      </c>
      <c r="D1830" s="4" t="s">
        <v>4568</v>
      </c>
      <c r="E1830" s="1" t="str">
        <f>_xlfn.XLOOKUP(tblSales[[#This Row],[Customer ID]],tblCustomers[Customer ID],tblCustomers[Customer Name],"⚠ Unknown")</f>
        <v>Walk-in Customer</v>
      </c>
      <c r="F1830" s="4" t="s">
        <v>7</v>
      </c>
      <c r="G1830" s="1" t="str">
        <f>_xlfn.XLOOKUP(tblSales[[#This Row],[Product Code]],tblProducts[Code],tblProducts[Product / Service Name],"⚠ Unknown")</f>
        <v>Premium Basic T-shirt</v>
      </c>
      <c r="H1830" s="1" t="str">
        <f>_xlfn.XLOOKUP(tblSales[[#This Row],[Product Code]],tblProducts[Code],tblProducts[Category],"")</f>
        <v>Accessories &amp; Basics</v>
      </c>
      <c r="I1830" s="4">
        <v>11</v>
      </c>
      <c r="J1830" s="5">
        <f>_xlfn.XLOOKUP(tblSales[[#This Row],[Product Code]],tblProducts[Code],tblProducts[Selling Price (excl. VAT)],0)</f>
        <v>65000</v>
      </c>
      <c r="K1830" s="5">
        <f>tblSales[[#This Row],[Qty]]*tblSales[[#This Row],[Unit Price]]</f>
        <v>715000</v>
      </c>
      <c r="L1830" s="5">
        <f>ROUND(tblSales[[#This Row],[DPP (excl. VAT)]]*VATEff,0)</f>
        <v>78650</v>
      </c>
      <c r="M1830" s="5">
        <f>tblSales[[#This Row],[DPP (excl. VAT)]]+tblSales[[#This Row],[Output VAT]]</f>
        <v>793650</v>
      </c>
      <c r="N1830" s="5">
        <f>tblSales[[#This Row],[Qty]]*_xlfn.XLOOKUP(tblSales[[#This Row],[Product Code]],tblProducts[Code],tblProducts[Unit Cost],0)</f>
        <v>407000</v>
      </c>
      <c r="O1830" s="4" t="s">
        <v>4866</v>
      </c>
      <c r="P1830" s="4" t="s">
        <v>4861</v>
      </c>
      <c r="Q1830" s="1" t="str">
        <f>_xlfn.XLOOKUP(tblSales[[#This Row],[Channel Code]],tblChannels[Channel Code],tblChannels[Channel Name],"")</f>
        <v>Marketplace</v>
      </c>
      <c r="R1830" s="1">
        <f>MONTH(tblSales[[#This Row],[Date]])</f>
        <v>4</v>
      </c>
    </row>
    <row r="1831" spans="2:18" x14ac:dyDescent="0.35">
      <c r="B1831" s="113">
        <v>46131</v>
      </c>
      <c r="C1831" s="4" t="s">
        <v>1242</v>
      </c>
      <c r="D1831" s="4" t="s">
        <v>4593</v>
      </c>
      <c r="E1831" s="1" t="str">
        <f>_xlfn.XLOOKUP(tblSales[[#This Row],[Customer ID]],tblCustomers[Customer ID],tblCustomers[Customer Name],"⚠ Unknown")</f>
        <v>PT Graha Nusa Persada</v>
      </c>
      <c r="F1831" s="4" t="s">
        <v>10</v>
      </c>
      <c r="G1831" s="1" t="str">
        <f>_xlfn.XLOOKUP(tblSales[[#This Row],[Product Code]],tblProducts[Code],tblProducts[Product / Service Name],"⚠ Unknown")</f>
        <v>Chino Pants</v>
      </c>
      <c r="H1831" s="1" t="str">
        <f>_xlfn.XLOOKUP(tblSales[[#This Row],[Product Code]],tblProducts[Code],tblProducts[Category],"")</f>
        <v>Apparel &amp; Footwear</v>
      </c>
      <c r="I1831" s="4">
        <v>24</v>
      </c>
      <c r="J1831" s="5">
        <f>_xlfn.XLOOKUP(tblSales[[#This Row],[Product Code]],tblProducts[Code],tblProducts[Selling Price (excl. VAT)],0)</f>
        <v>150000</v>
      </c>
      <c r="K1831" s="5">
        <f>tblSales[[#This Row],[Qty]]*tblSales[[#This Row],[Unit Price]]</f>
        <v>3600000</v>
      </c>
      <c r="L1831" s="5">
        <f>ROUND(tblSales[[#This Row],[DPP (excl. VAT)]]*VATEff,0)</f>
        <v>396000</v>
      </c>
      <c r="M1831" s="5">
        <f>tblSales[[#This Row],[DPP (excl. VAT)]]+tblSales[[#This Row],[Output VAT]]</f>
        <v>3996000</v>
      </c>
      <c r="N1831" s="5">
        <f>tblSales[[#This Row],[Qty]]*_xlfn.XLOOKUP(tblSales[[#This Row],[Product Code]],tblProducts[Code],tblProducts[Unit Cost],0)</f>
        <v>2112000</v>
      </c>
      <c r="O1831" s="4" t="s">
        <v>4867</v>
      </c>
      <c r="P1831" s="4" t="s">
        <v>4860</v>
      </c>
      <c r="Q1831" s="1" t="str">
        <f>_xlfn.XLOOKUP(tblSales[[#This Row],[Channel Code]],tblChannels[Channel Code],tblChannels[Channel Name],"")</f>
        <v>In-store</v>
      </c>
      <c r="R1831" s="1">
        <f>MONTH(tblSales[[#This Row],[Date]])</f>
        <v>4</v>
      </c>
    </row>
    <row r="1832" spans="2:18" x14ac:dyDescent="0.35">
      <c r="B1832" s="113">
        <v>46131</v>
      </c>
      <c r="C1832" s="4" t="s">
        <v>1243</v>
      </c>
      <c r="D1832" s="4" t="s">
        <v>4568</v>
      </c>
      <c r="E1832" s="1" t="str">
        <f>_xlfn.XLOOKUP(tblSales[[#This Row],[Customer ID]],tblCustomers[Customer ID],tblCustomers[Customer Name],"⚠ Unknown")</f>
        <v>Walk-in Customer</v>
      </c>
      <c r="F1832" s="4" t="s">
        <v>9</v>
      </c>
      <c r="G1832" s="1" t="str">
        <f>_xlfn.XLOOKUP(tblSales[[#This Row],[Product Code]],tblProducts[Code],tblProducts[Product / Service Name],"⚠ Unknown")</f>
        <v>Casual Shirt</v>
      </c>
      <c r="H1832" s="1" t="str">
        <f>_xlfn.XLOOKUP(tblSales[[#This Row],[Product Code]],tblProducts[Code],tblProducts[Category],"")</f>
        <v>Apparel &amp; Footwear</v>
      </c>
      <c r="I1832" s="4">
        <v>6</v>
      </c>
      <c r="J1832" s="5">
        <f>_xlfn.XLOOKUP(tblSales[[#This Row],[Product Code]],tblProducts[Code],tblProducts[Selling Price (excl. VAT)],0)</f>
        <v>120000</v>
      </c>
      <c r="K1832" s="5">
        <f>tblSales[[#This Row],[Qty]]*tblSales[[#This Row],[Unit Price]]</f>
        <v>720000</v>
      </c>
      <c r="L1832" s="5">
        <f>ROUND(tblSales[[#This Row],[DPP (excl. VAT)]]*VATEff,0)</f>
        <v>79200</v>
      </c>
      <c r="M1832" s="5">
        <f>tblSales[[#This Row],[DPP (excl. VAT)]]+tblSales[[#This Row],[Output VAT]]</f>
        <v>799200</v>
      </c>
      <c r="N1832" s="5">
        <f>tblSales[[#This Row],[Qty]]*_xlfn.XLOOKUP(tblSales[[#This Row],[Product Code]],tblProducts[Code],tblProducts[Unit Cost],0)</f>
        <v>432000</v>
      </c>
      <c r="O1832" s="4" t="s">
        <v>4866</v>
      </c>
      <c r="P1832" s="4" t="s">
        <v>4860</v>
      </c>
      <c r="Q1832" s="1" t="str">
        <f>_xlfn.XLOOKUP(tblSales[[#This Row],[Channel Code]],tblChannels[Channel Code],tblChannels[Channel Name],"")</f>
        <v>In-store</v>
      </c>
      <c r="R1832" s="1">
        <f>MONTH(tblSales[[#This Row],[Date]])</f>
        <v>4</v>
      </c>
    </row>
    <row r="1833" spans="2:18" x14ac:dyDescent="0.35">
      <c r="B1833" s="113">
        <v>46131</v>
      </c>
      <c r="C1833" s="4" t="s">
        <v>1243</v>
      </c>
      <c r="D1833" s="4" t="s">
        <v>4568</v>
      </c>
      <c r="E1833" s="1" t="str">
        <f>_xlfn.XLOOKUP(tblSales[[#This Row],[Customer ID]],tblCustomers[Customer ID],tblCustomers[Customer Name],"⚠ Unknown")</f>
        <v>Walk-in Customer</v>
      </c>
      <c r="F1833" s="4" t="s">
        <v>8</v>
      </c>
      <c r="G1833" s="1" t="str">
        <f>_xlfn.XLOOKUP(tblSales[[#This Row],[Product Code]],tblProducts[Code],tblProducts[Product / Service Name],"⚠ Unknown")</f>
        <v>Casual Shorts</v>
      </c>
      <c r="H1833" s="1" t="str">
        <f>_xlfn.XLOOKUP(tblSales[[#This Row],[Product Code]],tblProducts[Code],tblProducts[Category],"")</f>
        <v>Accessories &amp; Basics</v>
      </c>
      <c r="I1833" s="4">
        <v>8</v>
      </c>
      <c r="J1833" s="5">
        <f>_xlfn.XLOOKUP(tblSales[[#This Row],[Product Code]],tblProducts[Code],tblProducts[Selling Price (excl. VAT)],0)</f>
        <v>85000</v>
      </c>
      <c r="K1833" s="5">
        <f>tblSales[[#This Row],[Qty]]*tblSales[[#This Row],[Unit Price]]</f>
        <v>680000</v>
      </c>
      <c r="L1833" s="5">
        <f>ROUND(tblSales[[#This Row],[DPP (excl. VAT)]]*VATEff,0)</f>
        <v>74800</v>
      </c>
      <c r="M1833" s="5">
        <f>tblSales[[#This Row],[DPP (excl. VAT)]]+tblSales[[#This Row],[Output VAT]]</f>
        <v>754800</v>
      </c>
      <c r="N1833" s="5">
        <f>tblSales[[#This Row],[Qty]]*_xlfn.XLOOKUP(tblSales[[#This Row],[Product Code]],tblProducts[Code],tblProducts[Unit Cost],0)</f>
        <v>400000</v>
      </c>
      <c r="O1833" s="4" t="s">
        <v>4866</v>
      </c>
      <c r="P1833" s="4" t="s">
        <v>4860</v>
      </c>
      <c r="Q1833" s="1" t="str">
        <f>_xlfn.XLOOKUP(tblSales[[#This Row],[Channel Code]],tblChannels[Channel Code],tblChannels[Channel Name],"")</f>
        <v>In-store</v>
      </c>
      <c r="R1833" s="1">
        <f>MONTH(tblSales[[#This Row],[Date]])</f>
        <v>4</v>
      </c>
    </row>
    <row r="1834" spans="2:18" x14ac:dyDescent="0.35">
      <c r="B1834" s="113">
        <v>46131</v>
      </c>
      <c r="C1834" s="4" t="s">
        <v>1243</v>
      </c>
      <c r="D1834" s="4" t="s">
        <v>4568</v>
      </c>
      <c r="E1834" s="1" t="str">
        <f>_xlfn.XLOOKUP(tblSales[[#This Row],[Customer ID]],tblCustomers[Customer ID],tblCustomers[Customer Name],"⚠ Unknown")</f>
        <v>Walk-in Customer</v>
      </c>
      <c r="F1834" s="4" t="s">
        <v>7</v>
      </c>
      <c r="G1834" s="1" t="str">
        <f>_xlfn.XLOOKUP(tblSales[[#This Row],[Product Code]],tblProducts[Code],tblProducts[Product / Service Name],"⚠ Unknown")</f>
        <v>Premium Basic T-shirt</v>
      </c>
      <c r="H1834" s="1" t="str">
        <f>_xlfn.XLOOKUP(tblSales[[#This Row],[Product Code]],tblProducts[Code],tblProducts[Category],"")</f>
        <v>Accessories &amp; Basics</v>
      </c>
      <c r="I1834" s="4">
        <v>3</v>
      </c>
      <c r="J1834" s="5">
        <f>_xlfn.XLOOKUP(tblSales[[#This Row],[Product Code]],tblProducts[Code],tblProducts[Selling Price (excl. VAT)],0)</f>
        <v>65000</v>
      </c>
      <c r="K1834" s="5">
        <f>tblSales[[#This Row],[Qty]]*tblSales[[#This Row],[Unit Price]]</f>
        <v>195000</v>
      </c>
      <c r="L1834" s="5">
        <f>ROUND(tblSales[[#This Row],[DPP (excl. VAT)]]*VATEff,0)</f>
        <v>21450</v>
      </c>
      <c r="M1834" s="5">
        <f>tblSales[[#This Row],[DPP (excl. VAT)]]+tblSales[[#This Row],[Output VAT]]</f>
        <v>216450</v>
      </c>
      <c r="N1834" s="5">
        <f>tblSales[[#This Row],[Qty]]*_xlfn.XLOOKUP(tblSales[[#This Row],[Product Code]],tblProducts[Code],tblProducts[Unit Cost],0)</f>
        <v>111000</v>
      </c>
      <c r="O1834" s="4" t="s">
        <v>4866</v>
      </c>
      <c r="P1834" s="4" t="s">
        <v>4860</v>
      </c>
      <c r="Q1834" s="1" t="str">
        <f>_xlfn.XLOOKUP(tblSales[[#This Row],[Channel Code]],tblChannels[Channel Code],tblChannels[Channel Name],"")</f>
        <v>In-store</v>
      </c>
      <c r="R1834" s="1">
        <f>MONTH(tblSales[[#This Row],[Date]])</f>
        <v>4</v>
      </c>
    </row>
    <row r="1835" spans="2:18" x14ac:dyDescent="0.35">
      <c r="B1835" s="113">
        <v>46131</v>
      </c>
      <c r="C1835" s="4" t="s">
        <v>1244</v>
      </c>
      <c r="D1835" s="4" t="s">
        <v>4568</v>
      </c>
      <c r="E1835" s="1" t="str">
        <f>_xlfn.XLOOKUP(tblSales[[#This Row],[Customer ID]],tblCustomers[Customer ID],tblCustomers[Customer Name],"⚠ Unknown")</f>
        <v>Walk-in Customer</v>
      </c>
      <c r="F1835" s="4" t="s">
        <v>14</v>
      </c>
      <c r="G1835" s="1" t="str">
        <f>_xlfn.XLOOKUP(tblSales[[#This Row],[Product Code]],tblProducts[Code],tblProducts[Product / Service Name],"⚠ Unknown")</f>
        <v>Smartwatch</v>
      </c>
      <c r="H1835" s="1" t="str">
        <f>_xlfn.XLOOKUP(tblSales[[#This Row],[Product Code]],tblProducts[Code],tblProducts[Category],"")</f>
        <v>Bags &amp; Gadgets</v>
      </c>
      <c r="I1835" s="4">
        <v>2</v>
      </c>
      <c r="J1835" s="5">
        <f>_xlfn.XLOOKUP(tblSales[[#This Row],[Product Code]],tblProducts[Code],tblProducts[Selling Price (excl. VAT)],0)</f>
        <v>850000</v>
      </c>
      <c r="K1835" s="5">
        <f>tblSales[[#This Row],[Qty]]*tblSales[[#This Row],[Unit Price]]</f>
        <v>1700000</v>
      </c>
      <c r="L1835" s="5">
        <f>ROUND(tblSales[[#This Row],[DPP (excl. VAT)]]*VATEff,0)</f>
        <v>187000</v>
      </c>
      <c r="M1835" s="5">
        <f>tblSales[[#This Row],[DPP (excl. VAT)]]+tblSales[[#This Row],[Output VAT]]</f>
        <v>1887000</v>
      </c>
      <c r="N1835" s="5">
        <f>tblSales[[#This Row],[Qty]]*_xlfn.XLOOKUP(tblSales[[#This Row],[Product Code]],tblProducts[Code],tblProducts[Unit Cost],0)</f>
        <v>1120000</v>
      </c>
      <c r="O1835" s="4" t="s">
        <v>4866</v>
      </c>
      <c r="P1835" s="4" t="s">
        <v>4860</v>
      </c>
      <c r="Q1835" s="1" t="str">
        <f>_xlfn.XLOOKUP(tblSales[[#This Row],[Channel Code]],tblChannels[Channel Code],tblChannels[Channel Name],"")</f>
        <v>In-store</v>
      </c>
      <c r="R1835" s="1">
        <f>MONTH(tblSales[[#This Row],[Date]])</f>
        <v>4</v>
      </c>
    </row>
    <row r="1836" spans="2:18" x14ac:dyDescent="0.35">
      <c r="B1836" s="113">
        <v>46131</v>
      </c>
      <c r="C1836" s="4" t="s">
        <v>1245</v>
      </c>
      <c r="D1836" s="4" t="s">
        <v>4599</v>
      </c>
      <c r="E1836" s="1" t="str">
        <f>_xlfn.XLOOKUP(tblSales[[#This Row],[Customer ID]],tblCustomers[Customer ID],tblCustomers[Customer Name],"⚠ Unknown")</f>
        <v>PT Samudra Jaya Logistik</v>
      </c>
      <c r="F1836" s="4" t="s">
        <v>8</v>
      </c>
      <c r="G1836" s="1" t="str">
        <f>_xlfn.XLOOKUP(tblSales[[#This Row],[Product Code]],tblProducts[Code],tblProducts[Product / Service Name],"⚠ Unknown")</f>
        <v>Casual Shorts</v>
      </c>
      <c r="H1836" s="1" t="str">
        <f>_xlfn.XLOOKUP(tblSales[[#This Row],[Product Code]],tblProducts[Code],tblProducts[Category],"")</f>
        <v>Accessories &amp; Basics</v>
      </c>
      <c r="I1836" s="4">
        <v>88</v>
      </c>
      <c r="J1836" s="5">
        <f>_xlfn.XLOOKUP(tblSales[[#This Row],[Product Code]],tblProducts[Code],tblProducts[Selling Price (excl. VAT)],0)</f>
        <v>85000</v>
      </c>
      <c r="K1836" s="5">
        <f>tblSales[[#This Row],[Qty]]*tblSales[[#This Row],[Unit Price]]</f>
        <v>7480000</v>
      </c>
      <c r="L1836" s="5">
        <f>ROUND(tblSales[[#This Row],[DPP (excl. VAT)]]*VATEff,0)</f>
        <v>822800</v>
      </c>
      <c r="M1836" s="5">
        <f>tblSales[[#This Row],[DPP (excl. VAT)]]+tblSales[[#This Row],[Output VAT]]</f>
        <v>8302800</v>
      </c>
      <c r="N1836" s="5">
        <f>tblSales[[#This Row],[Qty]]*_xlfn.XLOOKUP(tblSales[[#This Row],[Product Code]],tblProducts[Code],tblProducts[Unit Cost],0)</f>
        <v>4400000</v>
      </c>
      <c r="O1836" s="4" t="s">
        <v>4867</v>
      </c>
      <c r="P1836" s="4" t="s">
        <v>4860</v>
      </c>
      <c r="Q1836" s="1" t="str">
        <f>_xlfn.XLOOKUP(tblSales[[#This Row],[Channel Code]],tblChannels[Channel Code],tblChannels[Channel Name],"")</f>
        <v>In-store</v>
      </c>
      <c r="R1836" s="1">
        <f>MONTH(tblSales[[#This Row],[Date]])</f>
        <v>4</v>
      </c>
    </row>
    <row r="1837" spans="2:18" x14ac:dyDescent="0.35">
      <c r="B1837" s="113">
        <v>46131</v>
      </c>
      <c r="C1837" s="4" t="s">
        <v>1246</v>
      </c>
      <c r="D1837" s="4" t="s">
        <v>4568</v>
      </c>
      <c r="E1837" s="1" t="str">
        <f>_xlfn.XLOOKUP(tblSales[[#This Row],[Customer ID]],tblCustomers[Customer ID],tblCustomers[Customer Name],"⚠ Unknown")</f>
        <v>Walk-in Customer</v>
      </c>
      <c r="F1837" s="4" t="s">
        <v>7</v>
      </c>
      <c r="G1837" s="1" t="str">
        <f>_xlfn.XLOOKUP(tblSales[[#This Row],[Product Code]],tblProducts[Code],tblProducts[Product / Service Name],"⚠ Unknown")</f>
        <v>Premium Basic T-shirt</v>
      </c>
      <c r="H1837" s="1" t="str">
        <f>_xlfn.XLOOKUP(tblSales[[#This Row],[Product Code]],tblProducts[Code],tblProducts[Category],"")</f>
        <v>Accessories &amp; Basics</v>
      </c>
      <c r="I1837" s="4">
        <v>2</v>
      </c>
      <c r="J1837" s="5">
        <f>_xlfn.XLOOKUP(tblSales[[#This Row],[Product Code]],tblProducts[Code],tblProducts[Selling Price (excl. VAT)],0)</f>
        <v>65000</v>
      </c>
      <c r="K1837" s="5">
        <f>tblSales[[#This Row],[Qty]]*tblSales[[#This Row],[Unit Price]]</f>
        <v>130000</v>
      </c>
      <c r="L1837" s="5">
        <f>ROUND(tblSales[[#This Row],[DPP (excl. VAT)]]*VATEff,0)</f>
        <v>14300</v>
      </c>
      <c r="M1837" s="5">
        <f>tblSales[[#This Row],[DPP (excl. VAT)]]+tblSales[[#This Row],[Output VAT]]</f>
        <v>144300</v>
      </c>
      <c r="N1837" s="5">
        <f>tblSales[[#This Row],[Qty]]*_xlfn.XLOOKUP(tblSales[[#This Row],[Product Code]],tblProducts[Code],tblProducts[Unit Cost],0)</f>
        <v>74000</v>
      </c>
      <c r="O1837" s="4" t="s">
        <v>4865</v>
      </c>
      <c r="P1837" s="4" t="s">
        <v>4860</v>
      </c>
      <c r="Q1837" s="1" t="str">
        <f>_xlfn.XLOOKUP(tblSales[[#This Row],[Channel Code]],tblChannels[Channel Code],tblChannels[Channel Name],"")</f>
        <v>In-store</v>
      </c>
      <c r="R1837" s="1">
        <f>MONTH(tblSales[[#This Row],[Date]])</f>
        <v>4</v>
      </c>
    </row>
    <row r="1838" spans="2:18" x14ac:dyDescent="0.35">
      <c r="B1838" s="113">
        <v>46131</v>
      </c>
      <c r="C1838" s="4" t="s">
        <v>1246</v>
      </c>
      <c r="D1838" s="4" t="s">
        <v>4568</v>
      </c>
      <c r="E1838" s="1" t="str">
        <f>_xlfn.XLOOKUP(tblSales[[#This Row],[Customer ID]],tblCustomers[Customer ID],tblCustomers[Customer Name],"⚠ Unknown")</f>
        <v>Walk-in Customer</v>
      </c>
      <c r="F1838" s="4" t="s">
        <v>11</v>
      </c>
      <c r="G1838" s="1" t="str">
        <f>_xlfn.XLOOKUP(tblSales[[#This Row],[Product Code]],tblProducts[Code],tblProducts[Product / Service Name],"⚠ Unknown")</f>
        <v>Sneakers</v>
      </c>
      <c r="H1838" s="1" t="str">
        <f>_xlfn.XLOOKUP(tblSales[[#This Row],[Product Code]],tblProducts[Code],tblProducts[Category],"")</f>
        <v>Apparel &amp; Footwear</v>
      </c>
      <c r="I1838" s="4">
        <v>5</v>
      </c>
      <c r="J1838" s="5">
        <f>_xlfn.XLOOKUP(tblSales[[#This Row],[Product Code]],tblProducts[Code],tblProducts[Selling Price (excl. VAT)],0)</f>
        <v>250000</v>
      </c>
      <c r="K1838" s="5">
        <f>tblSales[[#This Row],[Qty]]*tblSales[[#This Row],[Unit Price]]</f>
        <v>1250000</v>
      </c>
      <c r="L1838" s="5">
        <f>ROUND(tblSales[[#This Row],[DPP (excl. VAT)]]*VATEff,0)</f>
        <v>137500</v>
      </c>
      <c r="M1838" s="5">
        <f>tblSales[[#This Row],[DPP (excl. VAT)]]+tblSales[[#This Row],[Output VAT]]</f>
        <v>1387500</v>
      </c>
      <c r="N1838" s="5">
        <f>tblSales[[#This Row],[Qty]]*_xlfn.XLOOKUP(tblSales[[#This Row],[Product Code]],tblProducts[Code],tblProducts[Unit Cost],0)</f>
        <v>775000</v>
      </c>
      <c r="O1838" s="4" t="s">
        <v>4865</v>
      </c>
      <c r="P1838" s="4" t="s">
        <v>4860</v>
      </c>
      <c r="Q1838" s="1" t="str">
        <f>_xlfn.XLOOKUP(tblSales[[#This Row],[Channel Code]],tblChannels[Channel Code],tblChannels[Channel Name],"")</f>
        <v>In-store</v>
      </c>
      <c r="R1838" s="1">
        <f>MONTH(tblSales[[#This Row],[Date]])</f>
        <v>4</v>
      </c>
    </row>
    <row r="1839" spans="2:18" x14ac:dyDescent="0.35">
      <c r="B1839" s="113">
        <v>46131</v>
      </c>
      <c r="C1839" s="4" t="s">
        <v>1247</v>
      </c>
      <c r="D1839" s="4" t="s">
        <v>4627</v>
      </c>
      <c r="E1839" s="1" t="str">
        <f>_xlfn.XLOOKUP(tblSales[[#This Row],[Customer ID]],tblCustomers[Customer ID],tblCustomers[Customer Name],"⚠ Unknown")</f>
        <v>PT Kencana Wira Usaha</v>
      </c>
      <c r="F1839" s="4" t="s">
        <v>10</v>
      </c>
      <c r="G1839" s="1" t="str">
        <f>_xlfn.XLOOKUP(tblSales[[#This Row],[Product Code]],tblProducts[Code],tblProducts[Product / Service Name],"⚠ Unknown")</f>
        <v>Chino Pants</v>
      </c>
      <c r="H1839" s="1" t="str">
        <f>_xlfn.XLOOKUP(tblSales[[#This Row],[Product Code]],tblProducts[Code],tblProducts[Category],"")</f>
        <v>Apparel &amp; Footwear</v>
      </c>
      <c r="I1839" s="4">
        <v>56</v>
      </c>
      <c r="J1839" s="5">
        <f>_xlfn.XLOOKUP(tblSales[[#This Row],[Product Code]],tblProducts[Code],tblProducts[Selling Price (excl. VAT)],0)</f>
        <v>150000</v>
      </c>
      <c r="K1839" s="5">
        <f>tblSales[[#This Row],[Qty]]*tblSales[[#This Row],[Unit Price]]</f>
        <v>8400000</v>
      </c>
      <c r="L1839" s="5">
        <f>ROUND(tblSales[[#This Row],[DPP (excl. VAT)]]*VATEff,0)</f>
        <v>924000</v>
      </c>
      <c r="M1839" s="5">
        <f>tblSales[[#This Row],[DPP (excl. VAT)]]+tblSales[[#This Row],[Output VAT]]</f>
        <v>9324000</v>
      </c>
      <c r="N1839" s="5">
        <f>tblSales[[#This Row],[Qty]]*_xlfn.XLOOKUP(tblSales[[#This Row],[Product Code]],tblProducts[Code],tblProducts[Unit Cost],0)</f>
        <v>4928000</v>
      </c>
      <c r="O1839" s="4" t="s">
        <v>4867</v>
      </c>
      <c r="P1839" s="4" t="s">
        <v>4860</v>
      </c>
      <c r="Q1839" s="1" t="str">
        <f>_xlfn.XLOOKUP(tblSales[[#This Row],[Channel Code]],tblChannels[Channel Code],tblChannels[Channel Name],"")</f>
        <v>In-store</v>
      </c>
      <c r="R1839" s="1">
        <f>MONTH(tblSales[[#This Row],[Date]])</f>
        <v>4</v>
      </c>
    </row>
    <row r="1840" spans="2:18" x14ac:dyDescent="0.35">
      <c r="B1840" s="113">
        <v>46131</v>
      </c>
      <c r="C1840" s="4" t="s">
        <v>1247</v>
      </c>
      <c r="D1840" s="4" t="s">
        <v>4627</v>
      </c>
      <c r="E1840" s="1" t="str">
        <f>_xlfn.XLOOKUP(tblSales[[#This Row],[Customer ID]],tblCustomers[Customer ID],tblCustomers[Customer Name],"⚠ Unknown")</f>
        <v>PT Kencana Wira Usaha</v>
      </c>
      <c r="F1840" s="4" t="s">
        <v>9</v>
      </c>
      <c r="G1840" s="1" t="str">
        <f>_xlfn.XLOOKUP(tblSales[[#This Row],[Product Code]],tblProducts[Code],tblProducts[Product / Service Name],"⚠ Unknown")</f>
        <v>Casual Shirt</v>
      </c>
      <c r="H1840" s="1" t="str">
        <f>_xlfn.XLOOKUP(tblSales[[#This Row],[Product Code]],tblProducts[Code],tblProducts[Category],"")</f>
        <v>Apparel &amp; Footwear</v>
      </c>
      <c r="I1840" s="4">
        <v>96</v>
      </c>
      <c r="J1840" s="5">
        <f>_xlfn.XLOOKUP(tblSales[[#This Row],[Product Code]],tblProducts[Code],tblProducts[Selling Price (excl. VAT)],0)</f>
        <v>120000</v>
      </c>
      <c r="K1840" s="5">
        <f>tblSales[[#This Row],[Qty]]*tblSales[[#This Row],[Unit Price]]</f>
        <v>11520000</v>
      </c>
      <c r="L1840" s="5">
        <f>ROUND(tblSales[[#This Row],[DPP (excl. VAT)]]*VATEff,0)</f>
        <v>1267200</v>
      </c>
      <c r="M1840" s="5">
        <f>tblSales[[#This Row],[DPP (excl. VAT)]]+tblSales[[#This Row],[Output VAT]]</f>
        <v>12787200</v>
      </c>
      <c r="N1840" s="5">
        <f>tblSales[[#This Row],[Qty]]*_xlfn.XLOOKUP(tblSales[[#This Row],[Product Code]],tblProducts[Code],tblProducts[Unit Cost],0)</f>
        <v>6912000</v>
      </c>
      <c r="O1840" s="4" t="s">
        <v>4867</v>
      </c>
      <c r="P1840" s="4" t="s">
        <v>4860</v>
      </c>
      <c r="Q1840" s="1" t="str">
        <f>_xlfn.XLOOKUP(tblSales[[#This Row],[Channel Code]],tblChannels[Channel Code],tblChannels[Channel Name],"")</f>
        <v>In-store</v>
      </c>
      <c r="R1840" s="1">
        <f>MONTH(tblSales[[#This Row],[Date]])</f>
        <v>4</v>
      </c>
    </row>
    <row r="1841" spans="2:18" x14ac:dyDescent="0.35">
      <c r="B1841" s="113">
        <v>46131</v>
      </c>
      <c r="C1841" s="4" t="s">
        <v>1247</v>
      </c>
      <c r="D1841" s="4" t="s">
        <v>4627</v>
      </c>
      <c r="E1841" s="1" t="str">
        <f>_xlfn.XLOOKUP(tblSales[[#This Row],[Customer ID]],tblCustomers[Customer ID],tblCustomers[Customer Name],"⚠ Unknown")</f>
        <v>PT Kencana Wira Usaha</v>
      </c>
      <c r="F1841" s="4" t="s">
        <v>6</v>
      </c>
      <c r="G1841" s="1" t="str">
        <f>_xlfn.XLOOKUP(tblSales[[#This Row],[Product Code]],tblProducts[Code],tblProducts[Product / Service Name],"⚠ Unknown")</f>
        <v>Socks &amp; Accessories</v>
      </c>
      <c r="H1841" s="1" t="str">
        <f>_xlfn.XLOOKUP(tblSales[[#This Row],[Product Code]],tblProducts[Code],tblProducts[Category],"")</f>
        <v>Accessories &amp; Basics</v>
      </c>
      <c r="I1841" s="4">
        <v>80</v>
      </c>
      <c r="J1841" s="5">
        <f>_xlfn.XLOOKUP(tblSales[[#This Row],[Product Code]],tblProducts[Code],tblProducts[Selling Price (excl. VAT)],0)</f>
        <v>45000</v>
      </c>
      <c r="K1841" s="5">
        <f>tblSales[[#This Row],[Qty]]*tblSales[[#This Row],[Unit Price]]</f>
        <v>3600000</v>
      </c>
      <c r="L1841" s="5">
        <f>ROUND(tblSales[[#This Row],[DPP (excl. VAT)]]*VATEff,0)</f>
        <v>396000</v>
      </c>
      <c r="M1841" s="5">
        <f>tblSales[[#This Row],[DPP (excl. VAT)]]+tblSales[[#This Row],[Output VAT]]</f>
        <v>3996000</v>
      </c>
      <c r="N1841" s="5">
        <f>tblSales[[#This Row],[Qty]]*_xlfn.XLOOKUP(tblSales[[#This Row],[Product Code]],tblProducts[Code],tblProducts[Unit Cost],0)</f>
        <v>1920000</v>
      </c>
      <c r="O1841" s="4" t="s">
        <v>4867</v>
      </c>
      <c r="P1841" s="4" t="s">
        <v>4860</v>
      </c>
      <c r="Q1841" s="1" t="str">
        <f>_xlfn.XLOOKUP(tblSales[[#This Row],[Channel Code]],tblChannels[Channel Code],tblChannels[Channel Name],"")</f>
        <v>In-store</v>
      </c>
      <c r="R1841" s="1">
        <f>MONTH(tblSales[[#This Row],[Date]])</f>
        <v>4</v>
      </c>
    </row>
    <row r="1842" spans="2:18" x14ac:dyDescent="0.35">
      <c r="B1842" s="113">
        <v>46131</v>
      </c>
      <c r="C1842" s="4" t="s">
        <v>1248</v>
      </c>
      <c r="D1842" s="4" t="s">
        <v>4568</v>
      </c>
      <c r="E1842" s="1" t="str">
        <f>_xlfn.XLOOKUP(tblSales[[#This Row],[Customer ID]],tblCustomers[Customer ID],tblCustomers[Customer Name],"⚠ Unknown")</f>
        <v>Walk-in Customer</v>
      </c>
      <c r="F1842" s="4" t="s">
        <v>10</v>
      </c>
      <c r="G1842" s="1" t="str">
        <f>_xlfn.XLOOKUP(tblSales[[#This Row],[Product Code]],tblProducts[Code],tblProducts[Product / Service Name],"⚠ Unknown")</f>
        <v>Chino Pants</v>
      </c>
      <c r="H1842" s="1" t="str">
        <f>_xlfn.XLOOKUP(tblSales[[#This Row],[Product Code]],tblProducts[Code],tblProducts[Category],"")</f>
        <v>Apparel &amp; Footwear</v>
      </c>
      <c r="I1842" s="4">
        <v>5</v>
      </c>
      <c r="J1842" s="5">
        <f>_xlfn.XLOOKUP(tblSales[[#This Row],[Product Code]],tblProducts[Code],tblProducts[Selling Price (excl. VAT)],0)</f>
        <v>150000</v>
      </c>
      <c r="K1842" s="5">
        <f>tblSales[[#This Row],[Qty]]*tblSales[[#This Row],[Unit Price]]</f>
        <v>750000</v>
      </c>
      <c r="L1842" s="5">
        <f>ROUND(tblSales[[#This Row],[DPP (excl. VAT)]]*VATEff,0)</f>
        <v>82500</v>
      </c>
      <c r="M1842" s="5">
        <f>tblSales[[#This Row],[DPP (excl. VAT)]]+tblSales[[#This Row],[Output VAT]]</f>
        <v>832500</v>
      </c>
      <c r="N1842" s="5">
        <f>tblSales[[#This Row],[Qty]]*_xlfn.XLOOKUP(tblSales[[#This Row],[Product Code]],tblProducts[Code],tblProducts[Unit Cost],0)</f>
        <v>440000</v>
      </c>
      <c r="O1842" s="4" t="s">
        <v>4866</v>
      </c>
      <c r="P1842" s="4" t="s">
        <v>4861</v>
      </c>
      <c r="Q1842" s="1" t="str">
        <f>_xlfn.XLOOKUP(tblSales[[#This Row],[Channel Code]],tblChannels[Channel Code],tblChannels[Channel Name],"")</f>
        <v>Marketplace</v>
      </c>
      <c r="R1842" s="1">
        <f>MONTH(tblSales[[#This Row],[Date]])</f>
        <v>4</v>
      </c>
    </row>
    <row r="1843" spans="2:18" x14ac:dyDescent="0.35">
      <c r="B1843" s="113">
        <v>46131</v>
      </c>
      <c r="C1843" s="4" t="s">
        <v>1249</v>
      </c>
      <c r="D1843" s="4" t="s">
        <v>4568</v>
      </c>
      <c r="E1843" s="1" t="str">
        <f>_xlfn.XLOOKUP(tblSales[[#This Row],[Customer ID]],tblCustomers[Customer ID],tblCustomers[Customer Name],"⚠ Unknown")</f>
        <v>Walk-in Customer</v>
      </c>
      <c r="F1843" s="4" t="s">
        <v>11</v>
      </c>
      <c r="G1843" s="1" t="str">
        <f>_xlfn.XLOOKUP(tblSales[[#This Row],[Product Code]],tblProducts[Code],tblProducts[Product / Service Name],"⚠ Unknown")</f>
        <v>Sneakers</v>
      </c>
      <c r="H1843" s="1" t="str">
        <f>_xlfn.XLOOKUP(tblSales[[#This Row],[Product Code]],tblProducts[Code],tblProducts[Category],"")</f>
        <v>Apparel &amp; Footwear</v>
      </c>
      <c r="I1843" s="4">
        <v>2</v>
      </c>
      <c r="J1843" s="5">
        <f>_xlfn.XLOOKUP(tblSales[[#This Row],[Product Code]],tblProducts[Code],tblProducts[Selling Price (excl. VAT)],0)</f>
        <v>250000</v>
      </c>
      <c r="K1843" s="5">
        <f>tblSales[[#This Row],[Qty]]*tblSales[[#This Row],[Unit Price]]</f>
        <v>500000</v>
      </c>
      <c r="L1843" s="5">
        <f>ROUND(tblSales[[#This Row],[DPP (excl. VAT)]]*VATEff,0)</f>
        <v>55000</v>
      </c>
      <c r="M1843" s="5">
        <f>tblSales[[#This Row],[DPP (excl. VAT)]]+tblSales[[#This Row],[Output VAT]]</f>
        <v>555000</v>
      </c>
      <c r="N1843" s="5">
        <f>tblSales[[#This Row],[Qty]]*_xlfn.XLOOKUP(tblSales[[#This Row],[Product Code]],tblProducts[Code],tblProducts[Unit Cost],0)</f>
        <v>310000</v>
      </c>
      <c r="O1843" s="4" t="s">
        <v>4866</v>
      </c>
      <c r="P1843" s="4" t="s">
        <v>4861</v>
      </c>
      <c r="Q1843" s="1" t="str">
        <f>_xlfn.XLOOKUP(tblSales[[#This Row],[Channel Code]],tblChannels[Channel Code],tblChannels[Channel Name],"")</f>
        <v>Marketplace</v>
      </c>
      <c r="R1843" s="1">
        <f>MONTH(tblSales[[#This Row],[Date]])</f>
        <v>4</v>
      </c>
    </row>
    <row r="1844" spans="2:18" x14ac:dyDescent="0.35">
      <c r="B1844" s="113">
        <v>46131</v>
      </c>
      <c r="C1844" s="4" t="s">
        <v>1250</v>
      </c>
      <c r="D1844" s="4" t="s">
        <v>4568</v>
      </c>
      <c r="E1844" s="1" t="str">
        <f>_xlfn.XLOOKUP(tblSales[[#This Row],[Customer ID]],tblCustomers[Customer ID],tblCustomers[Customer Name],"⚠ Unknown")</f>
        <v>Walk-in Customer</v>
      </c>
      <c r="F1844" s="4" t="s">
        <v>7</v>
      </c>
      <c r="G1844" s="1" t="str">
        <f>_xlfn.XLOOKUP(tblSales[[#This Row],[Product Code]],tblProducts[Code],tblProducts[Product / Service Name],"⚠ Unknown")</f>
        <v>Premium Basic T-shirt</v>
      </c>
      <c r="H1844" s="1" t="str">
        <f>_xlfn.XLOOKUP(tblSales[[#This Row],[Product Code]],tblProducts[Code],tblProducts[Category],"")</f>
        <v>Accessories &amp; Basics</v>
      </c>
      <c r="I1844" s="4">
        <v>6</v>
      </c>
      <c r="J1844" s="5">
        <f>_xlfn.XLOOKUP(tblSales[[#This Row],[Product Code]],tblProducts[Code],tblProducts[Selling Price (excl. VAT)],0)</f>
        <v>65000</v>
      </c>
      <c r="K1844" s="5">
        <f>tblSales[[#This Row],[Qty]]*tblSales[[#This Row],[Unit Price]]</f>
        <v>390000</v>
      </c>
      <c r="L1844" s="5">
        <f>ROUND(tblSales[[#This Row],[DPP (excl. VAT)]]*VATEff,0)</f>
        <v>42900</v>
      </c>
      <c r="M1844" s="5">
        <f>tblSales[[#This Row],[DPP (excl. VAT)]]+tblSales[[#This Row],[Output VAT]]</f>
        <v>432900</v>
      </c>
      <c r="N1844" s="5">
        <f>tblSales[[#This Row],[Qty]]*_xlfn.XLOOKUP(tblSales[[#This Row],[Product Code]],tblProducts[Code],tblProducts[Unit Cost],0)</f>
        <v>222000</v>
      </c>
      <c r="O1844" s="4" t="s">
        <v>4865</v>
      </c>
      <c r="P1844" s="4" t="s">
        <v>4860</v>
      </c>
      <c r="Q1844" s="1" t="str">
        <f>_xlfn.XLOOKUP(tblSales[[#This Row],[Channel Code]],tblChannels[Channel Code],tblChannels[Channel Name],"")</f>
        <v>In-store</v>
      </c>
      <c r="R1844" s="1">
        <f>MONTH(tblSales[[#This Row],[Date]])</f>
        <v>4</v>
      </c>
    </row>
    <row r="1845" spans="2:18" x14ac:dyDescent="0.35">
      <c r="B1845" s="113">
        <v>46131</v>
      </c>
      <c r="C1845" s="4" t="s">
        <v>1251</v>
      </c>
      <c r="D1845" s="4" t="s">
        <v>4613</v>
      </c>
      <c r="E1845" s="1" t="str">
        <f>_xlfn.XLOOKUP(tblSales[[#This Row],[Customer ID]],tblCustomers[Customer ID],tblCustomers[Customer Name],"⚠ Unknown")</f>
        <v>PT Mega Prima Distribusi</v>
      </c>
      <c r="F1845" s="4" t="s">
        <v>7</v>
      </c>
      <c r="G1845" s="1" t="str">
        <f>_xlfn.XLOOKUP(tblSales[[#This Row],[Product Code]],tblProducts[Code],tblProducts[Product / Service Name],"⚠ Unknown")</f>
        <v>Premium Basic T-shirt</v>
      </c>
      <c r="H1845" s="1" t="str">
        <f>_xlfn.XLOOKUP(tblSales[[#This Row],[Product Code]],tblProducts[Code],tblProducts[Category],"")</f>
        <v>Accessories &amp; Basics</v>
      </c>
      <c r="I1845" s="4">
        <v>88</v>
      </c>
      <c r="J1845" s="5">
        <f>_xlfn.XLOOKUP(tblSales[[#This Row],[Product Code]],tblProducts[Code],tblProducts[Selling Price (excl. VAT)],0)</f>
        <v>65000</v>
      </c>
      <c r="K1845" s="5">
        <f>tblSales[[#This Row],[Qty]]*tblSales[[#This Row],[Unit Price]]</f>
        <v>5720000</v>
      </c>
      <c r="L1845" s="5">
        <f>ROUND(tblSales[[#This Row],[DPP (excl. VAT)]]*VATEff,0)</f>
        <v>629200</v>
      </c>
      <c r="M1845" s="5">
        <f>tblSales[[#This Row],[DPP (excl. VAT)]]+tblSales[[#This Row],[Output VAT]]</f>
        <v>6349200</v>
      </c>
      <c r="N1845" s="5">
        <f>tblSales[[#This Row],[Qty]]*_xlfn.XLOOKUP(tblSales[[#This Row],[Product Code]],tblProducts[Code],tblProducts[Unit Cost],0)</f>
        <v>3256000</v>
      </c>
      <c r="O1845" s="4" t="s">
        <v>4867</v>
      </c>
      <c r="P1845" s="4" t="s">
        <v>4860</v>
      </c>
      <c r="Q1845" s="1" t="str">
        <f>_xlfn.XLOOKUP(tblSales[[#This Row],[Channel Code]],tblChannels[Channel Code],tblChannels[Channel Name],"")</f>
        <v>In-store</v>
      </c>
      <c r="R1845" s="1">
        <f>MONTH(tblSales[[#This Row],[Date]])</f>
        <v>4</v>
      </c>
    </row>
    <row r="1846" spans="2:18" x14ac:dyDescent="0.35">
      <c r="B1846" s="113">
        <v>46131</v>
      </c>
      <c r="C1846" s="4" t="s">
        <v>1251</v>
      </c>
      <c r="D1846" s="4" t="s">
        <v>4613</v>
      </c>
      <c r="E1846" s="1" t="str">
        <f>_xlfn.XLOOKUP(tblSales[[#This Row],[Customer ID]],tblCustomers[Customer ID],tblCustomers[Customer Name],"⚠ Unknown")</f>
        <v>PT Mega Prima Distribusi</v>
      </c>
      <c r="F1846" s="4" t="s">
        <v>6</v>
      </c>
      <c r="G1846" s="1" t="str">
        <f>_xlfn.XLOOKUP(tblSales[[#This Row],[Product Code]],tblProducts[Code],tblProducts[Product / Service Name],"⚠ Unknown")</f>
        <v>Socks &amp; Accessories</v>
      </c>
      <c r="H1846" s="1" t="str">
        <f>_xlfn.XLOOKUP(tblSales[[#This Row],[Product Code]],tblProducts[Code],tblProducts[Category],"")</f>
        <v>Accessories &amp; Basics</v>
      </c>
      <c r="I1846" s="4">
        <v>64</v>
      </c>
      <c r="J1846" s="5">
        <f>_xlfn.XLOOKUP(tblSales[[#This Row],[Product Code]],tblProducts[Code],tblProducts[Selling Price (excl. VAT)],0)</f>
        <v>45000</v>
      </c>
      <c r="K1846" s="5">
        <f>tblSales[[#This Row],[Qty]]*tblSales[[#This Row],[Unit Price]]</f>
        <v>2880000</v>
      </c>
      <c r="L1846" s="5">
        <f>ROUND(tblSales[[#This Row],[DPP (excl. VAT)]]*VATEff,0)</f>
        <v>316800</v>
      </c>
      <c r="M1846" s="5">
        <f>tblSales[[#This Row],[DPP (excl. VAT)]]+tblSales[[#This Row],[Output VAT]]</f>
        <v>3196800</v>
      </c>
      <c r="N1846" s="5">
        <f>tblSales[[#This Row],[Qty]]*_xlfn.XLOOKUP(tblSales[[#This Row],[Product Code]],tblProducts[Code],tblProducts[Unit Cost],0)</f>
        <v>1536000</v>
      </c>
      <c r="O1846" s="4" t="s">
        <v>4867</v>
      </c>
      <c r="P1846" s="4" t="s">
        <v>4860</v>
      </c>
      <c r="Q1846" s="1" t="str">
        <f>_xlfn.XLOOKUP(tblSales[[#This Row],[Channel Code]],tblChannels[Channel Code],tblChannels[Channel Name],"")</f>
        <v>In-store</v>
      </c>
      <c r="R1846" s="1">
        <f>MONTH(tblSales[[#This Row],[Date]])</f>
        <v>4</v>
      </c>
    </row>
    <row r="1847" spans="2:18" x14ac:dyDescent="0.35">
      <c r="B1847" s="113">
        <v>46131</v>
      </c>
      <c r="C1847" s="4" t="s">
        <v>1252</v>
      </c>
      <c r="D1847" s="4" t="s">
        <v>4568</v>
      </c>
      <c r="E1847" s="1" t="str">
        <f>_xlfn.XLOOKUP(tblSales[[#This Row],[Customer ID]],tblCustomers[Customer ID],tblCustomers[Customer Name],"⚠ Unknown")</f>
        <v>Walk-in Customer</v>
      </c>
      <c r="F1847" s="4" t="s">
        <v>9</v>
      </c>
      <c r="G1847" s="1" t="str">
        <f>_xlfn.XLOOKUP(tblSales[[#This Row],[Product Code]],tblProducts[Code],tblProducts[Product / Service Name],"⚠ Unknown")</f>
        <v>Casual Shirt</v>
      </c>
      <c r="H1847" s="1" t="str">
        <f>_xlfn.XLOOKUP(tblSales[[#This Row],[Product Code]],tblProducts[Code],tblProducts[Category],"")</f>
        <v>Apparel &amp; Footwear</v>
      </c>
      <c r="I1847" s="4">
        <v>3</v>
      </c>
      <c r="J1847" s="5">
        <f>_xlfn.XLOOKUP(tblSales[[#This Row],[Product Code]],tblProducts[Code],tblProducts[Selling Price (excl. VAT)],0)</f>
        <v>120000</v>
      </c>
      <c r="K1847" s="5">
        <f>tblSales[[#This Row],[Qty]]*tblSales[[#This Row],[Unit Price]]</f>
        <v>360000</v>
      </c>
      <c r="L1847" s="5">
        <f>ROUND(tblSales[[#This Row],[DPP (excl. VAT)]]*VATEff,0)</f>
        <v>39600</v>
      </c>
      <c r="M1847" s="5">
        <f>tblSales[[#This Row],[DPP (excl. VAT)]]+tblSales[[#This Row],[Output VAT]]</f>
        <v>399600</v>
      </c>
      <c r="N1847" s="5">
        <f>tblSales[[#This Row],[Qty]]*_xlfn.XLOOKUP(tblSales[[#This Row],[Product Code]],tblProducts[Code],tblProducts[Unit Cost],0)</f>
        <v>216000</v>
      </c>
      <c r="O1847" s="4" t="s">
        <v>4866</v>
      </c>
      <c r="P1847" s="4" t="s">
        <v>4862</v>
      </c>
      <c r="Q1847" s="1" t="str">
        <f>_xlfn.XLOOKUP(tblSales[[#This Row],[Channel Code]],tblChannels[Channel Code],tblChannels[Channel Name],"")</f>
        <v>Website &amp; Social Media</v>
      </c>
      <c r="R1847" s="1">
        <f>MONTH(tblSales[[#This Row],[Date]])</f>
        <v>4</v>
      </c>
    </row>
    <row r="1848" spans="2:18" x14ac:dyDescent="0.35">
      <c r="B1848" s="113">
        <v>46131</v>
      </c>
      <c r="C1848" s="4" t="s">
        <v>1253</v>
      </c>
      <c r="D1848" s="4" t="s">
        <v>4568</v>
      </c>
      <c r="E1848" s="1" t="str">
        <f>_xlfn.XLOOKUP(tblSales[[#This Row],[Customer ID]],tblCustomers[Customer ID],tblCustomers[Customer Name],"⚠ Unknown")</f>
        <v>Walk-in Customer</v>
      </c>
      <c r="F1848" s="4" t="s">
        <v>15</v>
      </c>
      <c r="G1848" s="1" t="str">
        <f>_xlfn.XLOOKUP(tblSales[[#This Row],[Product Code]],tblProducts[Code],tblProducts[Product / Service Name],"⚠ Unknown")</f>
        <v>Wireless Earbuds Pro</v>
      </c>
      <c r="H1848" s="1" t="str">
        <f>_xlfn.XLOOKUP(tblSales[[#This Row],[Product Code]],tblProducts[Code],tblProducts[Category],"")</f>
        <v>Bags &amp; Gadgets</v>
      </c>
      <c r="I1848" s="4">
        <v>1</v>
      </c>
      <c r="J1848" s="5">
        <f>_xlfn.XLOOKUP(tblSales[[#This Row],[Product Code]],tblProducts[Code],tblProducts[Selling Price (excl. VAT)],0)</f>
        <v>1250000</v>
      </c>
      <c r="K1848" s="5">
        <f>tblSales[[#This Row],[Qty]]*tblSales[[#This Row],[Unit Price]]</f>
        <v>1250000</v>
      </c>
      <c r="L1848" s="5">
        <f>ROUND(tblSales[[#This Row],[DPP (excl. VAT)]]*VATEff,0)</f>
        <v>137500</v>
      </c>
      <c r="M1848" s="5">
        <f>tblSales[[#This Row],[DPP (excl. VAT)]]+tblSales[[#This Row],[Output VAT]]</f>
        <v>1387500</v>
      </c>
      <c r="N1848" s="5">
        <f>tblSales[[#This Row],[Qty]]*_xlfn.XLOOKUP(tblSales[[#This Row],[Product Code]],tblProducts[Code],tblProducts[Unit Cost],0)</f>
        <v>820000</v>
      </c>
      <c r="O1848" s="4" t="s">
        <v>4865</v>
      </c>
      <c r="P1848" s="4" t="s">
        <v>4860</v>
      </c>
      <c r="Q1848" s="1" t="str">
        <f>_xlfn.XLOOKUP(tblSales[[#This Row],[Channel Code]],tblChannels[Channel Code],tblChannels[Channel Name],"")</f>
        <v>In-store</v>
      </c>
      <c r="R1848" s="1">
        <f>MONTH(tblSales[[#This Row],[Date]])</f>
        <v>4</v>
      </c>
    </row>
    <row r="1849" spans="2:18" x14ac:dyDescent="0.35">
      <c r="B1849" s="113">
        <v>46132</v>
      </c>
      <c r="C1849" s="4" t="s">
        <v>1254</v>
      </c>
      <c r="D1849" s="4" t="s">
        <v>4634</v>
      </c>
      <c r="E1849" s="1" t="str">
        <f>_xlfn.XLOOKUP(tblSales[[#This Row],[Customer ID]],tblCustomers[Customer ID],tblCustomers[Customer Name],"⚠ Unknown")</f>
        <v>PT Delta Inti Selaras</v>
      </c>
      <c r="F1849" s="4" t="s">
        <v>11</v>
      </c>
      <c r="G1849" s="1" t="str">
        <f>_xlfn.XLOOKUP(tblSales[[#This Row],[Product Code]],tblProducts[Code],tblProducts[Product / Service Name],"⚠ Unknown")</f>
        <v>Sneakers</v>
      </c>
      <c r="H1849" s="1" t="str">
        <f>_xlfn.XLOOKUP(tblSales[[#This Row],[Product Code]],tblProducts[Code],tblProducts[Category],"")</f>
        <v>Apparel &amp; Footwear</v>
      </c>
      <c r="I1849" s="4">
        <v>48</v>
      </c>
      <c r="J1849" s="5">
        <f>_xlfn.XLOOKUP(tblSales[[#This Row],[Product Code]],tblProducts[Code],tblProducts[Selling Price (excl. VAT)],0)</f>
        <v>250000</v>
      </c>
      <c r="K1849" s="5">
        <f>tblSales[[#This Row],[Qty]]*tblSales[[#This Row],[Unit Price]]</f>
        <v>12000000</v>
      </c>
      <c r="L1849" s="5">
        <f>ROUND(tblSales[[#This Row],[DPP (excl. VAT)]]*VATEff,0)</f>
        <v>1320000</v>
      </c>
      <c r="M1849" s="5">
        <f>tblSales[[#This Row],[DPP (excl. VAT)]]+tblSales[[#This Row],[Output VAT]]</f>
        <v>13320000</v>
      </c>
      <c r="N1849" s="5">
        <f>tblSales[[#This Row],[Qty]]*_xlfn.XLOOKUP(tblSales[[#This Row],[Product Code]],tblProducts[Code],tblProducts[Unit Cost],0)</f>
        <v>7440000</v>
      </c>
      <c r="O1849" s="4" t="s">
        <v>4867</v>
      </c>
      <c r="P1849" s="4" t="s">
        <v>4860</v>
      </c>
      <c r="Q1849" s="1" t="str">
        <f>_xlfn.XLOOKUP(tblSales[[#This Row],[Channel Code]],tblChannels[Channel Code],tblChannels[Channel Name],"")</f>
        <v>In-store</v>
      </c>
      <c r="R1849" s="1">
        <f>MONTH(tblSales[[#This Row],[Date]])</f>
        <v>4</v>
      </c>
    </row>
    <row r="1850" spans="2:18" x14ac:dyDescent="0.35">
      <c r="B1850" s="113">
        <v>46132</v>
      </c>
      <c r="C1850" s="4" t="s">
        <v>1255</v>
      </c>
      <c r="D1850" s="4" t="s">
        <v>4606</v>
      </c>
      <c r="E1850" s="1" t="str">
        <f>_xlfn.XLOOKUP(tblSales[[#This Row],[Customer ID]],tblCustomers[Customer ID],tblCustomers[Customer Name],"⚠ Unknown")</f>
        <v>PT Arunika Digital Kreatif</v>
      </c>
      <c r="F1850" s="4" t="s">
        <v>7</v>
      </c>
      <c r="G1850" s="1" t="str">
        <f>_xlfn.XLOOKUP(tblSales[[#This Row],[Product Code]],tblProducts[Code],tblProducts[Product / Service Name],"⚠ Unknown")</f>
        <v>Premium Basic T-shirt</v>
      </c>
      <c r="H1850" s="1" t="str">
        <f>_xlfn.XLOOKUP(tblSales[[#This Row],[Product Code]],tblProducts[Code],tblProducts[Category],"")</f>
        <v>Accessories &amp; Basics</v>
      </c>
      <c r="I1850" s="4">
        <v>24</v>
      </c>
      <c r="J1850" s="5">
        <f>_xlfn.XLOOKUP(tblSales[[#This Row],[Product Code]],tblProducts[Code],tblProducts[Selling Price (excl. VAT)],0)</f>
        <v>65000</v>
      </c>
      <c r="K1850" s="5">
        <f>tblSales[[#This Row],[Qty]]*tblSales[[#This Row],[Unit Price]]</f>
        <v>1560000</v>
      </c>
      <c r="L1850" s="5">
        <f>ROUND(tblSales[[#This Row],[DPP (excl. VAT)]]*VATEff,0)</f>
        <v>171600</v>
      </c>
      <c r="M1850" s="5">
        <f>tblSales[[#This Row],[DPP (excl. VAT)]]+tblSales[[#This Row],[Output VAT]]</f>
        <v>1731600</v>
      </c>
      <c r="N1850" s="5">
        <f>tblSales[[#This Row],[Qty]]*_xlfn.XLOOKUP(tblSales[[#This Row],[Product Code]],tblProducts[Code],tblProducts[Unit Cost],0)</f>
        <v>888000</v>
      </c>
      <c r="O1850" s="4" t="s">
        <v>4867</v>
      </c>
      <c r="P1850" s="4" t="s">
        <v>4860</v>
      </c>
      <c r="Q1850" s="1" t="str">
        <f>_xlfn.XLOOKUP(tblSales[[#This Row],[Channel Code]],tblChannels[Channel Code],tblChannels[Channel Name],"")</f>
        <v>In-store</v>
      </c>
      <c r="R1850" s="1">
        <f>MONTH(tblSales[[#This Row],[Date]])</f>
        <v>4</v>
      </c>
    </row>
    <row r="1851" spans="2:18" x14ac:dyDescent="0.35">
      <c r="B1851" s="113">
        <v>46132</v>
      </c>
      <c r="C1851" s="4" t="s">
        <v>1256</v>
      </c>
      <c r="D1851" s="4" t="s">
        <v>4568</v>
      </c>
      <c r="E1851" s="1" t="str">
        <f>_xlfn.XLOOKUP(tblSales[[#This Row],[Customer ID]],tblCustomers[Customer ID],tblCustomers[Customer Name],"⚠ Unknown")</f>
        <v>Walk-in Customer</v>
      </c>
      <c r="F1851" s="4" t="s">
        <v>9</v>
      </c>
      <c r="G1851" s="1" t="str">
        <f>_xlfn.XLOOKUP(tblSales[[#This Row],[Product Code]],tblProducts[Code],tblProducts[Product / Service Name],"⚠ Unknown")</f>
        <v>Casual Shirt</v>
      </c>
      <c r="H1851" s="1" t="str">
        <f>_xlfn.XLOOKUP(tblSales[[#This Row],[Product Code]],tblProducts[Code],tblProducts[Category],"")</f>
        <v>Apparel &amp; Footwear</v>
      </c>
      <c r="I1851" s="4">
        <v>1</v>
      </c>
      <c r="J1851" s="5">
        <f>_xlfn.XLOOKUP(tblSales[[#This Row],[Product Code]],tblProducts[Code],tblProducts[Selling Price (excl. VAT)],0)</f>
        <v>120000</v>
      </c>
      <c r="K1851" s="5">
        <f>tblSales[[#This Row],[Qty]]*tblSales[[#This Row],[Unit Price]]</f>
        <v>120000</v>
      </c>
      <c r="L1851" s="5">
        <f>ROUND(tblSales[[#This Row],[DPP (excl. VAT)]]*VATEff,0)</f>
        <v>13200</v>
      </c>
      <c r="M1851" s="5">
        <f>tblSales[[#This Row],[DPP (excl. VAT)]]+tblSales[[#This Row],[Output VAT]]</f>
        <v>133200</v>
      </c>
      <c r="N1851" s="5">
        <f>tblSales[[#This Row],[Qty]]*_xlfn.XLOOKUP(tblSales[[#This Row],[Product Code]],tblProducts[Code],tblProducts[Unit Cost],0)</f>
        <v>72000</v>
      </c>
      <c r="O1851" s="4" t="s">
        <v>4866</v>
      </c>
      <c r="P1851" s="4" t="s">
        <v>4860</v>
      </c>
      <c r="Q1851" s="1" t="str">
        <f>_xlfn.XLOOKUP(tblSales[[#This Row],[Channel Code]],tblChannels[Channel Code],tblChannels[Channel Name],"")</f>
        <v>In-store</v>
      </c>
      <c r="R1851" s="1">
        <f>MONTH(tblSales[[#This Row],[Date]])</f>
        <v>4</v>
      </c>
    </row>
    <row r="1852" spans="2:18" x14ac:dyDescent="0.35">
      <c r="B1852" s="113">
        <v>46132</v>
      </c>
      <c r="C1852" s="4" t="s">
        <v>1257</v>
      </c>
      <c r="D1852" s="4" t="s">
        <v>4568</v>
      </c>
      <c r="E1852" s="1" t="str">
        <f>_xlfn.XLOOKUP(tblSales[[#This Row],[Customer ID]],tblCustomers[Customer ID],tblCustomers[Customer Name],"⚠ Unknown")</f>
        <v>Walk-in Customer</v>
      </c>
      <c r="F1852" s="4" t="s">
        <v>13</v>
      </c>
      <c r="G1852" s="1" t="str">
        <f>_xlfn.XLOOKUP(tblSales[[#This Row],[Product Code]],tblProducts[Code],tblProducts[Product / Service Name],"⚠ Unknown")</f>
        <v>Backpack</v>
      </c>
      <c r="H1852" s="1" t="str">
        <f>_xlfn.XLOOKUP(tblSales[[#This Row],[Product Code]],tblProducts[Code],tblProducts[Category],"")</f>
        <v>Bags &amp; Gadgets</v>
      </c>
      <c r="I1852" s="4">
        <v>5</v>
      </c>
      <c r="J1852" s="5">
        <f>_xlfn.XLOOKUP(tblSales[[#This Row],[Product Code]],tblProducts[Code],tblProducts[Selling Price (excl. VAT)],0)</f>
        <v>500000</v>
      </c>
      <c r="K1852" s="5">
        <f>tblSales[[#This Row],[Qty]]*tblSales[[#This Row],[Unit Price]]</f>
        <v>2500000</v>
      </c>
      <c r="L1852" s="5">
        <f>ROUND(tblSales[[#This Row],[DPP (excl. VAT)]]*VATEff,0)</f>
        <v>275000</v>
      </c>
      <c r="M1852" s="5">
        <f>tblSales[[#This Row],[DPP (excl. VAT)]]+tblSales[[#This Row],[Output VAT]]</f>
        <v>2775000</v>
      </c>
      <c r="N1852" s="5">
        <f>tblSales[[#This Row],[Qty]]*_xlfn.XLOOKUP(tblSales[[#This Row],[Product Code]],tblProducts[Code],tblProducts[Unit Cost],0)</f>
        <v>1450000</v>
      </c>
      <c r="O1852" s="4" t="s">
        <v>4866</v>
      </c>
      <c r="P1852" s="4" t="s">
        <v>4861</v>
      </c>
      <c r="Q1852" s="1" t="str">
        <f>_xlfn.XLOOKUP(tblSales[[#This Row],[Channel Code]],tblChannels[Channel Code],tblChannels[Channel Name],"")</f>
        <v>Marketplace</v>
      </c>
      <c r="R1852" s="1">
        <f>MONTH(tblSales[[#This Row],[Date]])</f>
        <v>4</v>
      </c>
    </row>
    <row r="1853" spans="2:18" x14ac:dyDescent="0.35">
      <c r="B1853" s="113">
        <v>46132</v>
      </c>
      <c r="C1853" s="4" t="s">
        <v>1258</v>
      </c>
      <c r="D1853" s="4" t="s">
        <v>4568</v>
      </c>
      <c r="E1853" s="1" t="str">
        <f>_xlfn.XLOOKUP(tblSales[[#This Row],[Customer ID]],tblCustomers[Customer ID],tblCustomers[Customer Name],"⚠ Unknown")</f>
        <v>Walk-in Customer</v>
      </c>
      <c r="F1853" s="4" t="s">
        <v>12</v>
      </c>
      <c r="G1853" s="1" t="str">
        <f>_xlfn.XLOOKUP(tblSales[[#This Row],[Product Code]],tblProducts[Code],tblProducts[Product / Service Name],"⚠ Unknown")</f>
        <v>Bomber Jacket</v>
      </c>
      <c r="H1853" s="1" t="str">
        <f>_xlfn.XLOOKUP(tblSales[[#This Row],[Product Code]],tblProducts[Code],tblProducts[Category],"")</f>
        <v>Apparel &amp; Footwear</v>
      </c>
      <c r="I1853" s="4">
        <v>6</v>
      </c>
      <c r="J1853" s="5">
        <f>_xlfn.XLOOKUP(tblSales[[#This Row],[Product Code]],tblProducts[Code],tblProducts[Selling Price (excl. VAT)],0)</f>
        <v>350000</v>
      </c>
      <c r="K1853" s="5">
        <f>tblSales[[#This Row],[Qty]]*tblSales[[#This Row],[Unit Price]]</f>
        <v>2100000</v>
      </c>
      <c r="L1853" s="5">
        <f>ROUND(tblSales[[#This Row],[DPP (excl. VAT)]]*VATEff,0)</f>
        <v>231000</v>
      </c>
      <c r="M1853" s="5">
        <f>tblSales[[#This Row],[DPP (excl. VAT)]]+tblSales[[#This Row],[Output VAT]]</f>
        <v>2331000</v>
      </c>
      <c r="N1853" s="5">
        <f>tblSales[[#This Row],[Qty]]*_xlfn.XLOOKUP(tblSales[[#This Row],[Product Code]],tblProducts[Code],tblProducts[Unit Cost],0)</f>
        <v>1260000</v>
      </c>
      <c r="O1853" s="4" t="s">
        <v>4866</v>
      </c>
      <c r="P1853" s="4" t="s">
        <v>4861</v>
      </c>
      <c r="Q1853" s="1" t="str">
        <f>_xlfn.XLOOKUP(tblSales[[#This Row],[Channel Code]],tblChannels[Channel Code],tblChannels[Channel Name],"")</f>
        <v>Marketplace</v>
      </c>
      <c r="R1853" s="1">
        <f>MONTH(tblSales[[#This Row],[Date]])</f>
        <v>4</v>
      </c>
    </row>
    <row r="1854" spans="2:18" x14ac:dyDescent="0.35">
      <c r="B1854" s="113">
        <v>46132</v>
      </c>
      <c r="C1854" s="4" t="s">
        <v>1258</v>
      </c>
      <c r="D1854" s="4" t="s">
        <v>4568</v>
      </c>
      <c r="E1854" s="1" t="str">
        <f>_xlfn.XLOOKUP(tblSales[[#This Row],[Customer ID]],tblCustomers[Customer ID],tblCustomers[Customer Name],"⚠ Unknown")</f>
        <v>Walk-in Customer</v>
      </c>
      <c r="F1854" s="4" t="s">
        <v>10</v>
      </c>
      <c r="G1854" s="1" t="str">
        <f>_xlfn.XLOOKUP(tblSales[[#This Row],[Product Code]],tblProducts[Code],tblProducts[Product / Service Name],"⚠ Unknown")</f>
        <v>Chino Pants</v>
      </c>
      <c r="H1854" s="1" t="str">
        <f>_xlfn.XLOOKUP(tblSales[[#This Row],[Product Code]],tblProducts[Code],tblProducts[Category],"")</f>
        <v>Apparel &amp; Footwear</v>
      </c>
      <c r="I1854" s="4">
        <v>6</v>
      </c>
      <c r="J1854" s="5">
        <f>_xlfn.XLOOKUP(tblSales[[#This Row],[Product Code]],tblProducts[Code],tblProducts[Selling Price (excl. VAT)],0)</f>
        <v>150000</v>
      </c>
      <c r="K1854" s="5">
        <f>tblSales[[#This Row],[Qty]]*tblSales[[#This Row],[Unit Price]]</f>
        <v>900000</v>
      </c>
      <c r="L1854" s="5">
        <f>ROUND(tblSales[[#This Row],[DPP (excl. VAT)]]*VATEff,0)</f>
        <v>99000</v>
      </c>
      <c r="M1854" s="5">
        <f>tblSales[[#This Row],[DPP (excl. VAT)]]+tblSales[[#This Row],[Output VAT]]</f>
        <v>999000</v>
      </c>
      <c r="N1854" s="5">
        <f>tblSales[[#This Row],[Qty]]*_xlfn.XLOOKUP(tblSales[[#This Row],[Product Code]],tblProducts[Code],tblProducts[Unit Cost],0)</f>
        <v>528000</v>
      </c>
      <c r="O1854" s="4" t="s">
        <v>4866</v>
      </c>
      <c r="P1854" s="4" t="s">
        <v>4861</v>
      </c>
      <c r="Q1854" s="1" t="str">
        <f>_xlfn.XLOOKUP(tblSales[[#This Row],[Channel Code]],tblChannels[Channel Code],tblChannels[Channel Name],"")</f>
        <v>Marketplace</v>
      </c>
      <c r="R1854" s="1">
        <f>MONTH(tblSales[[#This Row],[Date]])</f>
        <v>4</v>
      </c>
    </row>
    <row r="1855" spans="2:18" x14ac:dyDescent="0.35">
      <c r="B1855" s="113">
        <v>46132</v>
      </c>
      <c r="C1855" s="4" t="s">
        <v>1259</v>
      </c>
      <c r="D1855" s="4" t="s">
        <v>4568</v>
      </c>
      <c r="E1855" s="1" t="str">
        <f>_xlfn.XLOOKUP(tblSales[[#This Row],[Customer ID]],tblCustomers[Customer ID],tblCustomers[Customer Name],"⚠ Unknown")</f>
        <v>Walk-in Customer</v>
      </c>
      <c r="F1855" s="4" t="s">
        <v>8</v>
      </c>
      <c r="G1855" s="1" t="str">
        <f>_xlfn.XLOOKUP(tblSales[[#This Row],[Product Code]],tblProducts[Code],tblProducts[Product / Service Name],"⚠ Unknown")</f>
        <v>Casual Shorts</v>
      </c>
      <c r="H1855" s="1" t="str">
        <f>_xlfn.XLOOKUP(tblSales[[#This Row],[Product Code]],tblProducts[Code],tblProducts[Category],"")</f>
        <v>Accessories &amp; Basics</v>
      </c>
      <c r="I1855" s="4">
        <v>8</v>
      </c>
      <c r="J1855" s="5">
        <f>_xlfn.XLOOKUP(tblSales[[#This Row],[Product Code]],tblProducts[Code],tblProducts[Selling Price (excl. VAT)],0)</f>
        <v>85000</v>
      </c>
      <c r="K1855" s="5">
        <f>tblSales[[#This Row],[Qty]]*tblSales[[#This Row],[Unit Price]]</f>
        <v>680000</v>
      </c>
      <c r="L1855" s="5">
        <f>ROUND(tblSales[[#This Row],[DPP (excl. VAT)]]*VATEff,0)</f>
        <v>74800</v>
      </c>
      <c r="M1855" s="5">
        <f>tblSales[[#This Row],[DPP (excl. VAT)]]+tblSales[[#This Row],[Output VAT]]</f>
        <v>754800</v>
      </c>
      <c r="N1855" s="5">
        <f>tblSales[[#This Row],[Qty]]*_xlfn.XLOOKUP(tblSales[[#This Row],[Product Code]],tblProducts[Code],tblProducts[Unit Cost],0)</f>
        <v>400000</v>
      </c>
      <c r="O1855" s="4" t="s">
        <v>4866</v>
      </c>
      <c r="P1855" s="4" t="s">
        <v>4860</v>
      </c>
      <c r="Q1855" s="1" t="str">
        <f>_xlfn.XLOOKUP(tblSales[[#This Row],[Channel Code]],tblChannels[Channel Code],tblChannels[Channel Name],"")</f>
        <v>In-store</v>
      </c>
      <c r="R1855" s="1">
        <f>MONTH(tblSales[[#This Row],[Date]])</f>
        <v>4</v>
      </c>
    </row>
    <row r="1856" spans="2:18" x14ac:dyDescent="0.35">
      <c r="B1856" s="113">
        <v>46132</v>
      </c>
      <c r="C1856" s="4" t="s">
        <v>1259</v>
      </c>
      <c r="D1856" s="4" t="s">
        <v>4568</v>
      </c>
      <c r="E1856" s="1" t="str">
        <f>_xlfn.XLOOKUP(tblSales[[#This Row],[Customer ID]],tblCustomers[Customer ID],tblCustomers[Customer Name],"⚠ Unknown")</f>
        <v>Walk-in Customer</v>
      </c>
      <c r="F1856" s="4" t="s">
        <v>11</v>
      </c>
      <c r="G1856" s="1" t="str">
        <f>_xlfn.XLOOKUP(tblSales[[#This Row],[Product Code]],tblProducts[Code],tblProducts[Product / Service Name],"⚠ Unknown")</f>
        <v>Sneakers</v>
      </c>
      <c r="H1856" s="1" t="str">
        <f>_xlfn.XLOOKUP(tblSales[[#This Row],[Product Code]],tblProducts[Code],tblProducts[Category],"")</f>
        <v>Apparel &amp; Footwear</v>
      </c>
      <c r="I1856" s="4">
        <v>2</v>
      </c>
      <c r="J1856" s="5">
        <f>_xlfn.XLOOKUP(tblSales[[#This Row],[Product Code]],tblProducts[Code],tblProducts[Selling Price (excl. VAT)],0)</f>
        <v>250000</v>
      </c>
      <c r="K1856" s="5">
        <f>tblSales[[#This Row],[Qty]]*tblSales[[#This Row],[Unit Price]]</f>
        <v>500000</v>
      </c>
      <c r="L1856" s="5">
        <f>ROUND(tblSales[[#This Row],[DPP (excl. VAT)]]*VATEff,0)</f>
        <v>55000</v>
      </c>
      <c r="M1856" s="5">
        <f>tblSales[[#This Row],[DPP (excl. VAT)]]+tblSales[[#This Row],[Output VAT]]</f>
        <v>555000</v>
      </c>
      <c r="N1856" s="5">
        <f>tblSales[[#This Row],[Qty]]*_xlfn.XLOOKUP(tblSales[[#This Row],[Product Code]],tblProducts[Code],tblProducts[Unit Cost],0)</f>
        <v>310000</v>
      </c>
      <c r="O1856" s="4" t="s">
        <v>4866</v>
      </c>
      <c r="P1856" s="4" t="s">
        <v>4860</v>
      </c>
      <c r="Q1856" s="1" t="str">
        <f>_xlfn.XLOOKUP(tblSales[[#This Row],[Channel Code]],tblChannels[Channel Code],tblChannels[Channel Name],"")</f>
        <v>In-store</v>
      </c>
      <c r="R1856" s="1">
        <f>MONTH(tblSales[[#This Row],[Date]])</f>
        <v>4</v>
      </c>
    </row>
    <row r="1857" spans="2:18" x14ac:dyDescent="0.35">
      <c r="B1857" s="113">
        <v>46132</v>
      </c>
      <c r="C1857" s="4" t="s">
        <v>1260</v>
      </c>
      <c r="D1857" s="4" t="s">
        <v>4568</v>
      </c>
      <c r="E1857" s="1" t="str">
        <f>_xlfn.XLOOKUP(tblSales[[#This Row],[Customer ID]],tblCustomers[Customer ID],tblCustomers[Customer Name],"⚠ Unknown")</f>
        <v>Walk-in Customer</v>
      </c>
      <c r="F1857" s="4" t="s">
        <v>15</v>
      </c>
      <c r="G1857" s="1" t="str">
        <f>_xlfn.XLOOKUP(tblSales[[#This Row],[Product Code]],tblProducts[Code],tblProducts[Product / Service Name],"⚠ Unknown")</f>
        <v>Wireless Earbuds Pro</v>
      </c>
      <c r="H1857" s="1" t="str">
        <f>_xlfn.XLOOKUP(tblSales[[#This Row],[Product Code]],tblProducts[Code],tblProducts[Category],"")</f>
        <v>Bags &amp; Gadgets</v>
      </c>
      <c r="I1857" s="4">
        <v>3</v>
      </c>
      <c r="J1857" s="5">
        <f>_xlfn.XLOOKUP(tblSales[[#This Row],[Product Code]],tblProducts[Code],tblProducts[Selling Price (excl. VAT)],0)</f>
        <v>1250000</v>
      </c>
      <c r="K1857" s="5">
        <f>tblSales[[#This Row],[Qty]]*tblSales[[#This Row],[Unit Price]]</f>
        <v>3750000</v>
      </c>
      <c r="L1857" s="5">
        <f>ROUND(tblSales[[#This Row],[DPP (excl. VAT)]]*VATEff,0)</f>
        <v>412500</v>
      </c>
      <c r="M1857" s="5">
        <f>tblSales[[#This Row],[DPP (excl. VAT)]]+tblSales[[#This Row],[Output VAT]]</f>
        <v>4162500</v>
      </c>
      <c r="N1857" s="5">
        <f>tblSales[[#This Row],[Qty]]*_xlfn.XLOOKUP(tblSales[[#This Row],[Product Code]],tblProducts[Code],tblProducts[Unit Cost],0)</f>
        <v>2460000</v>
      </c>
      <c r="O1857" s="4" t="s">
        <v>4866</v>
      </c>
      <c r="P1857" s="4" t="s">
        <v>4860</v>
      </c>
      <c r="Q1857" s="1" t="str">
        <f>_xlfn.XLOOKUP(tblSales[[#This Row],[Channel Code]],tblChannels[Channel Code],tblChannels[Channel Name],"")</f>
        <v>In-store</v>
      </c>
      <c r="R1857" s="1">
        <f>MONTH(tblSales[[#This Row],[Date]])</f>
        <v>4</v>
      </c>
    </row>
    <row r="1858" spans="2:18" x14ac:dyDescent="0.35">
      <c r="B1858" s="113">
        <v>46132</v>
      </c>
      <c r="C1858" s="4" t="s">
        <v>1260</v>
      </c>
      <c r="D1858" s="4" t="s">
        <v>4568</v>
      </c>
      <c r="E1858" s="1" t="str">
        <f>_xlfn.XLOOKUP(tblSales[[#This Row],[Customer ID]],tblCustomers[Customer ID],tblCustomers[Customer Name],"⚠ Unknown")</f>
        <v>Walk-in Customer</v>
      </c>
      <c r="F1858" s="4" t="s">
        <v>12</v>
      </c>
      <c r="G1858" s="1" t="str">
        <f>_xlfn.XLOOKUP(tblSales[[#This Row],[Product Code]],tblProducts[Code],tblProducts[Product / Service Name],"⚠ Unknown")</f>
        <v>Bomber Jacket</v>
      </c>
      <c r="H1858" s="1" t="str">
        <f>_xlfn.XLOOKUP(tblSales[[#This Row],[Product Code]],tblProducts[Code],tblProducts[Category],"")</f>
        <v>Apparel &amp; Footwear</v>
      </c>
      <c r="I1858" s="4">
        <v>1</v>
      </c>
      <c r="J1858" s="5">
        <f>_xlfn.XLOOKUP(tblSales[[#This Row],[Product Code]],tblProducts[Code],tblProducts[Selling Price (excl. VAT)],0)</f>
        <v>350000</v>
      </c>
      <c r="K1858" s="5">
        <f>tblSales[[#This Row],[Qty]]*tblSales[[#This Row],[Unit Price]]</f>
        <v>350000</v>
      </c>
      <c r="L1858" s="5">
        <f>ROUND(tblSales[[#This Row],[DPP (excl. VAT)]]*VATEff,0)</f>
        <v>38500</v>
      </c>
      <c r="M1858" s="5">
        <f>tblSales[[#This Row],[DPP (excl. VAT)]]+tblSales[[#This Row],[Output VAT]]</f>
        <v>388500</v>
      </c>
      <c r="N1858" s="5">
        <f>tblSales[[#This Row],[Qty]]*_xlfn.XLOOKUP(tblSales[[#This Row],[Product Code]],tblProducts[Code],tblProducts[Unit Cost],0)</f>
        <v>210000</v>
      </c>
      <c r="O1858" s="4" t="s">
        <v>4866</v>
      </c>
      <c r="P1858" s="4" t="s">
        <v>4860</v>
      </c>
      <c r="Q1858" s="1" t="str">
        <f>_xlfn.XLOOKUP(tblSales[[#This Row],[Channel Code]],tblChannels[Channel Code],tblChannels[Channel Name],"")</f>
        <v>In-store</v>
      </c>
      <c r="R1858" s="1">
        <f>MONTH(tblSales[[#This Row],[Date]])</f>
        <v>4</v>
      </c>
    </row>
    <row r="1859" spans="2:18" x14ac:dyDescent="0.35">
      <c r="B1859" s="113">
        <v>46132</v>
      </c>
      <c r="C1859" s="4" t="s">
        <v>1260</v>
      </c>
      <c r="D1859" s="4" t="s">
        <v>4568</v>
      </c>
      <c r="E1859" s="1" t="str">
        <f>_xlfn.XLOOKUP(tblSales[[#This Row],[Customer ID]],tblCustomers[Customer ID],tblCustomers[Customer Name],"⚠ Unknown")</f>
        <v>Walk-in Customer</v>
      </c>
      <c r="F1859" s="4" t="s">
        <v>8</v>
      </c>
      <c r="G1859" s="1" t="str">
        <f>_xlfn.XLOOKUP(tblSales[[#This Row],[Product Code]],tblProducts[Code],tblProducts[Product / Service Name],"⚠ Unknown")</f>
        <v>Casual Shorts</v>
      </c>
      <c r="H1859" s="1" t="str">
        <f>_xlfn.XLOOKUP(tblSales[[#This Row],[Product Code]],tblProducts[Code],tblProducts[Category],"")</f>
        <v>Accessories &amp; Basics</v>
      </c>
      <c r="I1859" s="4">
        <v>12</v>
      </c>
      <c r="J1859" s="5">
        <f>_xlfn.XLOOKUP(tblSales[[#This Row],[Product Code]],tblProducts[Code],tblProducts[Selling Price (excl. VAT)],0)</f>
        <v>85000</v>
      </c>
      <c r="K1859" s="5">
        <f>tblSales[[#This Row],[Qty]]*tblSales[[#This Row],[Unit Price]]</f>
        <v>1020000</v>
      </c>
      <c r="L1859" s="5">
        <f>ROUND(tblSales[[#This Row],[DPP (excl. VAT)]]*VATEff,0)</f>
        <v>112200</v>
      </c>
      <c r="M1859" s="5">
        <f>tblSales[[#This Row],[DPP (excl. VAT)]]+tblSales[[#This Row],[Output VAT]]</f>
        <v>1132200</v>
      </c>
      <c r="N1859" s="5">
        <f>tblSales[[#This Row],[Qty]]*_xlfn.XLOOKUP(tblSales[[#This Row],[Product Code]],tblProducts[Code],tblProducts[Unit Cost],0)</f>
        <v>600000</v>
      </c>
      <c r="O1859" s="4" t="s">
        <v>4866</v>
      </c>
      <c r="P1859" s="4" t="s">
        <v>4860</v>
      </c>
      <c r="Q1859" s="1" t="str">
        <f>_xlfn.XLOOKUP(tblSales[[#This Row],[Channel Code]],tblChannels[Channel Code],tblChannels[Channel Name],"")</f>
        <v>In-store</v>
      </c>
      <c r="R1859" s="1">
        <f>MONTH(tblSales[[#This Row],[Date]])</f>
        <v>4</v>
      </c>
    </row>
    <row r="1860" spans="2:18" x14ac:dyDescent="0.35">
      <c r="B1860" s="113">
        <v>46132</v>
      </c>
      <c r="C1860" s="4" t="s">
        <v>1261</v>
      </c>
      <c r="D1860" s="4" t="s">
        <v>4578</v>
      </c>
      <c r="E1860" s="1" t="str">
        <f>_xlfn.XLOOKUP(tblSales[[#This Row],[Customer ID]],tblCustomers[Customer ID],tblCustomers[Customer Name],"⚠ Unknown")</f>
        <v>PT Bintang Timur Sejahtera</v>
      </c>
      <c r="F1860" s="4" t="s">
        <v>9</v>
      </c>
      <c r="G1860" s="1" t="str">
        <f>_xlfn.XLOOKUP(tblSales[[#This Row],[Product Code]],tblProducts[Code],tblProducts[Product / Service Name],"⚠ Unknown")</f>
        <v>Casual Shirt</v>
      </c>
      <c r="H1860" s="1" t="str">
        <f>_xlfn.XLOOKUP(tblSales[[#This Row],[Product Code]],tblProducts[Code],tblProducts[Category],"")</f>
        <v>Apparel &amp; Footwear</v>
      </c>
      <c r="I1860" s="4">
        <v>56</v>
      </c>
      <c r="J1860" s="5">
        <f>_xlfn.XLOOKUP(tblSales[[#This Row],[Product Code]],tblProducts[Code],tblProducts[Selling Price (excl. VAT)],0)</f>
        <v>120000</v>
      </c>
      <c r="K1860" s="5">
        <f>tblSales[[#This Row],[Qty]]*tblSales[[#This Row],[Unit Price]]</f>
        <v>6720000</v>
      </c>
      <c r="L1860" s="5">
        <f>ROUND(tblSales[[#This Row],[DPP (excl. VAT)]]*VATEff,0)</f>
        <v>739200</v>
      </c>
      <c r="M1860" s="5">
        <f>tblSales[[#This Row],[DPP (excl. VAT)]]+tblSales[[#This Row],[Output VAT]]</f>
        <v>7459200</v>
      </c>
      <c r="N1860" s="5">
        <f>tblSales[[#This Row],[Qty]]*_xlfn.XLOOKUP(tblSales[[#This Row],[Product Code]],tblProducts[Code],tblProducts[Unit Cost],0)</f>
        <v>4032000</v>
      </c>
      <c r="O1860" s="4" t="s">
        <v>4867</v>
      </c>
      <c r="P1860" s="4" t="s">
        <v>4860</v>
      </c>
      <c r="Q1860" s="1" t="str">
        <f>_xlfn.XLOOKUP(tblSales[[#This Row],[Channel Code]],tblChannels[Channel Code],tblChannels[Channel Name],"")</f>
        <v>In-store</v>
      </c>
      <c r="R1860" s="1">
        <f>MONTH(tblSales[[#This Row],[Date]])</f>
        <v>4</v>
      </c>
    </row>
    <row r="1861" spans="2:18" x14ac:dyDescent="0.35">
      <c r="B1861" s="113">
        <v>46132</v>
      </c>
      <c r="C1861" s="4" t="s">
        <v>1262</v>
      </c>
      <c r="D1861" s="4" t="s">
        <v>4568</v>
      </c>
      <c r="E1861" s="1" t="str">
        <f>_xlfn.XLOOKUP(tblSales[[#This Row],[Customer ID]],tblCustomers[Customer ID],tblCustomers[Customer Name],"⚠ Unknown")</f>
        <v>Walk-in Customer</v>
      </c>
      <c r="F1861" s="4" t="s">
        <v>6</v>
      </c>
      <c r="G1861" s="1" t="str">
        <f>_xlfn.XLOOKUP(tblSales[[#This Row],[Product Code]],tblProducts[Code],tblProducts[Product / Service Name],"⚠ Unknown")</f>
        <v>Socks &amp; Accessories</v>
      </c>
      <c r="H1861" s="1" t="str">
        <f>_xlfn.XLOOKUP(tblSales[[#This Row],[Product Code]],tblProducts[Code],tblProducts[Category],"")</f>
        <v>Accessories &amp; Basics</v>
      </c>
      <c r="I1861" s="4">
        <v>7</v>
      </c>
      <c r="J1861" s="5">
        <f>_xlfn.XLOOKUP(tblSales[[#This Row],[Product Code]],tblProducts[Code],tblProducts[Selling Price (excl. VAT)],0)</f>
        <v>45000</v>
      </c>
      <c r="K1861" s="5">
        <f>tblSales[[#This Row],[Qty]]*tblSales[[#This Row],[Unit Price]]</f>
        <v>315000</v>
      </c>
      <c r="L1861" s="5">
        <f>ROUND(tblSales[[#This Row],[DPP (excl. VAT)]]*VATEff,0)</f>
        <v>34650</v>
      </c>
      <c r="M1861" s="5">
        <f>tblSales[[#This Row],[DPP (excl. VAT)]]+tblSales[[#This Row],[Output VAT]]</f>
        <v>349650</v>
      </c>
      <c r="N1861" s="5">
        <f>tblSales[[#This Row],[Qty]]*_xlfn.XLOOKUP(tblSales[[#This Row],[Product Code]],tblProducts[Code],tblProducts[Unit Cost],0)</f>
        <v>168000</v>
      </c>
      <c r="O1861" s="4" t="s">
        <v>4866</v>
      </c>
      <c r="P1861" s="4" t="s">
        <v>4860</v>
      </c>
      <c r="Q1861" s="1" t="str">
        <f>_xlfn.XLOOKUP(tblSales[[#This Row],[Channel Code]],tblChannels[Channel Code],tblChannels[Channel Name],"")</f>
        <v>In-store</v>
      </c>
      <c r="R1861" s="1">
        <f>MONTH(tblSales[[#This Row],[Date]])</f>
        <v>4</v>
      </c>
    </row>
    <row r="1862" spans="2:18" x14ac:dyDescent="0.35">
      <c r="B1862" s="113">
        <v>46132</v>
      </c>
      <c r="C1862" s="4" t="s">
        <v>1262</v>
      </c>
      <c r="D1862" s="4" t="s">
        <v>4568</v>
      </c>
      <c r="E1862" s="1" t="str">
        <f>_xlfn.XLOOKUP(tblSales[[#This Row],[Customer ID]],tblCustomers[Customer ID],tblCustomers[Customer Name],"⚠ Unknown")</f>
        <v>Walk-in Customer</v>
      </c>
      <c r="F1862" s="4" t="s">
        <v>9</v>
      </c>
      <c r="G1862" s="1" t="str">
        <f>_xlfn.XLOOKUP(tblSales[[#This Row],[Product Code]],tblProducts[Code],tblProducts[Product / Service Name],"⚠ Unknown")</f>
        <v>Casual Shirt</v>
      </c>
      <c r="H1862" s="1" t="str">
        <f>_xlfn.XLOOKUP(tblSales[[#This Row],[Product Code]],tblProducts[Code],tblProducts[Category],"")</f>
        <v>Apparel &amp; Footwear</v>
      </c>
      <c r="I1862" s="4">
        <v>6</v>
      </c>
      <c r="J1862" s="5">
        <f>_xlfn.XLOOKUP(tblSales[[#This Row],[Product Code]],tblProducts[Code],tblProducts[Selling Price (excl. VAT)],0)</f>
        <v>120000</v>
      </c>
      <c r="K1862" s="5">
        <f>tblSales[[#This Row],[Qty]]*tblSales[[#This Row],[Unit Price]]</f>
        <v>720000</v>
      </c>
      <c r="L1862" s="5">
        <f>ROUND(tblSales[[#This Row],[DPP (excl. VAT)]]*VATEff,0)</f>
        <v>79200</v>
      </c>
      <c r="M1862" s="5">
        <f>tblSales[[#This Row],[DPP (excl. VAT)]]+tblSales[[#This Row],[Output VAT]]</f>
        <v>799200</v>
      </c>
      <c r="N1862" s="5">
        <f>tblSales[[#This Row],[Qty]]*_xlfn.XLOOKUP(tblSales[[#This Row],[Product Code]],tblProducts[Code],tblProducts[Unit Cost],0)</f>
        <v>432000</v>
      </c>
      <c r="O1862" s="4" t="s">
        <v>4866</v>
      </c>
      <c r="P1862" s="4" t="s">
        <v>4860</v>
      </c>
      <c r="Q1862" s="1" t="str">
        <f>_xlfn.XLOOKUP(tblSales[[#This Row],[Channel Code]],tblChannels[Channel Code],tblChannels[Channel Name],"")</f>
        <v>In-store</v>
      </c>
      <c r="R1862" s="1">
        <f>MONTH(tblSales[[#This Row],[Date]])</f>
        <v>4</v>
      </c>
    </row>
    <row r="1863" spans="2:18" x14ac:dyDescent="0.35">
      <c r="B1863" s="113">
        <v>46132</v>
      </c>
      <c r="C1863" s="4" t="s">
        <v>1263</v>
      </c>
      <c r="D1863" s="4" t="s">
        <v>4568</v>
      </c>
      <c r="E1863" s="1" t="str">
        <f>_xlfn.XLOOKUP(tblSales[[#This Row],[Customer ID]],tblCustomers[Customer ID],tblCustomers[Customer Name],"⚠ Unknown")</f>
        <v>Walk-in Customer</v>
      </c>
      <c r="F1863" s="4" t="s">
        <v>10</v>
      </c>
      <c r="G1863" s="1" t="str">
        <f>_xlfn.XLOOKUP(tblSales[[#This Row],[Product Code]],tblProducts[Code],tblProducts[Product / Service Name],"⚠ Unknown")</f>
        <v>Chino Pants</v>
      </c>
      <c r="H1863" s="1" t="str">
        <f>_xlfn.XLOOKUP(tblSales[[#This Row],[Product Code]],tblProducts[Code],tblProducts[Category],"")</f>
        <v>Apparel &amp; Footwear</v>
      </c>
      <c r="I1863" s="4">
        <v>4</v>
      </c>
      <c r="J1863" s="5">
        <f>_xlfn.XLOOKUP(tblSales[[#This Row],[Product Code]],tblProducts[Code],tblProducts[Selling Price (excl. VAT)],0)</f>
        <v>150000</v>
      </c>
      <c r="K1863" s="5">
        <f>tblSales[[#This Row],[Qty]]*tblSales[[#This Row],[Unit Price]]</f>
        <v>600000</v>
      </c>
      <c r="L1863" s="5">
        <f>ROUND(tblSales[[#This Row],[DPP (excl. VAT)]]*VATEff,0)</f>
        <v>66000</v>
      </c>
      <c r="M1863" s="5">
        <f>tblSales[[#This Row],[DPP (excl. VAT)]]+tblSales[[#This Row],[Output VAT]]</f>
        <v>666000</v>
      </c>
      <c r="N1863" s="5">
        <f>tblSales[[#This Row],[Qty]]*_xlfn.XLOOKUP(tblSales[[#This Row],[Product Code]],tblProducts[Code],tblProducts[Unit Cost],0)</f>
        <v>352000</v>
      </c>
      <c r="O1863" s="4" t="s">
        <v>4866</v>
      </c>
      <c r="P1863" s="4" t="s">
        <v>4861</v>
      </c>
      <c r="Q1863" s="1" t="str">
        <f>_xlfn.XLOOKUP(tblSales[[#This Row],[Channel Code]],tblChannels[Channel Code],tblChannels[Channel Name],"")</f>
        <v>Marketplace</v>
      </c>
      <c r="R1863" s="1">
        <f>MONTH(tblSales[[#This Row],[Date]])</f>
        <v>4</v>
      </c>
    </row>
    <row r="1864" spans="2:18" x14ac:dyDescent="0.35">
      <c r="B1864" s="113">
        <v>46133</v>
      </c>
      <c r="C1864" s="4" t="s">
        <v>1264</v>
      </c>
      <c r="D1864" s="4" t="s">
        <v>4568</v>
      </c>
      <c r="E1864" s="1" t="str">
        <f>_xlfn.XLOOKUP(tblSales[[#This Row],[Customer ID]],tblCustomers[Customer ID],tblCustomers[Customer Name],"⚠ Unknown")</f>
        <v>Walk-in Customer</v>
      </c>
      <c r="F1864" s="4" t="s">
        <v>6</v>
      </c>
      <c r="G1864" s="1" t="str">
        <f>_xlfn.XLOOKUP(tblSales[[#This Row],[Product Code]],tblProducts[Code],tblProducts[Product / Service Name],"⚠ Unknown")</f>
        <v>Socks &amp; Accessories</v>
      </c>
      <c r="H1864" s="1" t="str">
        <f>_xlfn.XLOOKUP(tblSales[[#This Row],[Product Code]],tblProducts[Code],tblProducts[Category],"")</f>
        <v>Accessories &amp; Basics</v>
      </c>
      <c r="I1864" s="4">
        <v>11</v>
      </c>
      <c r="J1864" s="5">
        <f>_xlfn.XLOOKUP(tblSales[[#This Row],[Product Code]],tblProducts[Code],tblProducts[Selling Price (excl. VAT)],0)</f>
        <v>45000</v>
      </c>
      <c r="K1864" s="5">
        <f>tblSales[[#This Row],[Qty]]*tblSales[[#This Row],[Unit Price]]</f>
        <v>495000</v>
      </c>
      <c r="L1864" s="5">
        <f>ROUND(tblSales[[#This Row],[DPP (excl. VAT)]]*VATEff,0)</f>
        <v>54450</v>
      </c>
      <c r="M1864" s="5">
        <f>tblSales[[#This Row],[DPP (excl. VAT)]]+tblSales[[#This Row],[Output VAT]]</f>
        <v>549450</v>
      </c>
      <c r="N1864" s="5">
        <f>tblSales[[#This Row],[Qty]]*_xlfn.XLOOKUP(tblSales[[#This Row],[Product Code]],tblProducts[Code],tblProducts[Unit Cost],0)</f>
        <v>264000</v>
      </c>
      <c r="O1864" s="4" t="s">
        <v>4865</v>
      </c>
      <c r="P1864" s="4" t="s">
        <v>4860</v>
      </c>
      <c r="Q1864" s="1" t="str">
        <f>_xlfn.XLOOKUP(tblSales[[#This Row],[Channel Code]],tblChannels[Channel Code],tblChannels[Channel Name],"")</f>
        <v>In-store</v>
      </c>
      <c r="R1864" s="1">
        <f>MONTH(tblSales[[#This Row],[Date]])</f>
        <v>4</v>
      </c>
    </row>
    <row r="1865" spans="2:18" x14ac:dyDescent="0.35">
      <c r="B1865" s="113">
        <v>46133</v>
      </c>
      <c r="C1865" s="4" t="s">
        <v>1265</v>
      </c>
      <c r="D1865" s="4" t="s">
        <v>4568</v>
      </c>
      <c r="E1865" s="1" t="str">
        <f>_xlfn.XLOOKUP(tblSales[[#This Row],[Customer ID]],tblCustomers[Customer ID],tblCustomers[Customer Name],"⚠ Unknown")</f>
        <v>Walk-in Customer</v>
      </c>
      <c r="F1865" s="4" t="s">
        <v>11</v>
      </c>
      <c r="G1865" s="1" t="str">
        <f>_xlfn.XLOOKUP(tblSales[[#This Row],[Product Code]],tblProducts[Code],tblProducts[Product / Service Name],"⚠ Unknown")</f>
        <v>Sneakers</v>
      </c>
      <c r="H1865" s="1" t="str">
        <f>_xlfn.XLOOKUP(tblSales[[#This Row],[Product Code]],tblProducts[Code],tblProducts[Category],"")</f>
        <v>Apparel &amp; Footwear</v>
      </c>
      <c r="I1865" s="4">
        <v>6</v>
      </c>
      <c r="J1865" s="5">
        <f>_xlfn.XLOOKUP(tblSales[[#This Row],[Product Code]],tblProducts[Code],tblProducts[Selling Price (excl. VAT)],0)</f>
        <v>250000</v>
      </c>
      <c r="K1865" s="5">
        <f>tblSales[[#This Row],[Qty]]*tblSales[[#This Row],[Unit Price]]</f>
        <v>1500000</v>
      </c>
      <c r="L1865" s="5">
        <f>ROUND(tblSales[[#This Row],[DPP (excl. VAT)]]*VATEff,0)</f>
        <v>165000</v>
      </c>
      <c r="M1865" s="5">
        <f>tblSales[[#This Row],[DPP (excl. VAT)]]+tblSales[[#This Row],[Output VAT]]</f>
        <v>1665000</v>
      </c>
      <c r="N1865" s="5">
        <f>tblSales[[#This Row],[Qty]]*_xlfn.XLOOKUP(tblSales[[#This Row],[Product Code]],tblProducts[Code],tblProducts[Unit Cost],0)</f>
        <v>930000</v>
      </c>
      <c r="O1865" s="4" t="s">
        <v>4866</v>
      </c>
      <c r="P1865" s="4" t="s">
        <v>4861</v>
      </c>
      <c r="Q1865" s="1" t="str">
        <f>_xlfn.XLOOKUP(tblSales[[#This Row],[Channel Code]],tblChannels[Channel Code],tblChannels[Channel Name],"")</f>
        <v>Marketplace</v>
      </c>
      <c r="R1865" s="1">
        <f>MONTH(tblSales[[#This Row],[Date]])</f>
        <v>4</v>
      </c>
    </row>
    <row r="1866" spans="2:18" x14ac:dyDescent="0.35">
      <c r="B1866" s="113">
        <v>46133</v>
      </c>
      <c r="C1866" s="4" t="s">
        <v>1265</v>
      </c>
      <c r="D1866" s="4" t="s">
        <v>4568</v>
      </c>
      <c r="E1866" s="1" t="str">
        <f>_xlfn.XLOOKUP(tblSales[[#This Row],[Customer ID]],tblCustomers[Customer ID],tblCustomers[Customer Name],"⚠ Unknown")</f>
        <v>Walk-in Customer</v>
      </c>
      <c r="F1866" s="4" t="s">
        <v>6</v>
      </c>
      <c r="G1866" s="1" t="str">
        <f>_xlfn.XLOOKUP(tblSales[[#This Row],[Product Code]],tblProducts[Code],tblProducts[Product / Service Name],"⚠ Unknown")</f>
        <v>Socks &amp; Accessories</v>
      </c>
      <c r="H1866" s="1" t="str">
        <f>_xlfn.XLOOKUP(tblSales[[#This Row],[Product Code]],tblProducts[Code],tblProducts[Category],"")</f>
        <v>Accessories &amp; Basics</v>
      </c>
      <c r="I1866" s="4">
        <v>8</v>
      </c>
      <c r="J1866" s="5">
        <f>_xlfn.XLOOKUP(tblSales[[#This Row],[Product Code]],tblProducts[Code],tblProducts[Selling Price (excl. VAT)],0)</f>
        <v>45000</v>
      </c>
      <c r="K1866" s="5">
        <f>tblSales[[#This Row],[Qty]]*tblSales[[#This Row],[Unit Price]]</f>
        <v>360000</v>
      </c>
      <c r="L1866" s="5">
        <f>ROUND(tblSales[[#This Row],[DPP (excl. VAT)]]*VATEff,0)</f>
        <v>39600</v>
      </c>
      <c r="M1866" s="5">
        <f>tblSales[[#This Row],[DPP (excl. VAT)]]+tblSales[[#This Row],[Output VAT]]</f>
        <v>399600</v>
      </c>
      <c r="N1866" s="5">
        <f>tblSales[[#This Row],[Qty]]*_xlfn.XLOOKUP(tblSales[[#This Row],[Product Code]],tblProducts[Code],tblProducts[Unit Cost],0)</f>
        <v>192000</v>
      </c>
      <c r="O1866" s="4" t="s">
        <v>4866</v>
      </c>
      <c r="P1866" s="4" t="s">
        <v>4861</v>
      </c>
      <c r="Q1866" s="1" t="str">
        <f>_xlfn.XLOOKUP(tblSales[[#This Row],[Channel Code]],tblChannels[Channel Code],tblChannels[Channel Name],"")</f>
        <v>Marketplace</v>
      </c>
      <c r="R1866" s="1">
        <f>MONTH(tblSales[[#This Row],[Date]])</f>
        <v>4</v>
      </c>
    </row>
    <row r="1867" spans="2:18" x14ac:dyDescent="0.35">
      <c r="B1867" s="113">
        <v>46133</v>
      </c>
      <c r="C1867" s="4" t="s">
        <v>1266</v>
      </c>
      <c r="D1867" s="4" t="s">
        <v>4568</v>
      </c>
      <c r="E1867" s="1" t="str">
        <f>_xlfn.XLOOKUP(tblSales[[#This Row],[Customer ID]],tblCustomers[Customer ID],tblCustomers[Customer Name],"⚠ Unknown")</f>
        <v>Walk-in Customer</v>
      </c>
      <c r="F1867" s="4" t="s">
        <v>9</v>
      </c>
      <c r="G1867" s="1" t="str">
        <f>_xlfn.XLOOKUP(tblSales[[#This Row],[Product Code]],tblProducts[Code],tblProducts[Product / Service Name],"⚠ Unknown")</f>
        <v>Casual Shirt</v>
      </c>
      <c r="H1867" s="1" t="str">
        <f>_xlfn.XLOOKUP(tblSales[[#This Row],[Product Code]],tblProducts[Code],tblProducts[Category],"")</f>
        <v>Apparel &amp; Footwear</v>
      </c>
      <c r="I1867" s="4">
        <v>12</v>
      </c>
      <c r="J1867" s="5">
        <f>_xlfn.XLOOKUP(tblSales[[#This Row],[Product Code]],tblProducts[Code],tblProducts[Selling Price (excl. VAT)],0)</f>
        <v>120000</v>
      </c>
      <c r="K1867" s="5">
        <f>tblSales[[#This Row],[Qty]]*tblSales[[#This Row],[Unit Price]]</f>
        <v>1440000</v>
      </c>
      <c r="L1867" s="5">
        <f>ROUND(tblSales[[#This Row],[DPP (excl. VAT)]]*VATEff,0)</f>
        <v>158400</v>
      </c>
      <c r="M1867" s="5">
        <f>tblSales[[#This Row],[DPP (excl. VAT)]]+tblSales[[#This Row],[Output VAT]]</f>
        <v>1598400</v>
      </c>
      <c r="N1867" s="5">
        <f>tblSales[[#This Row],[Qty]]*_xlfn.XLOOKUP(tblSales[[#This Row],[Product Code]],tblProducts[Code],tblProducts[Unit Cost],0)</f>
        <v>864000</v>
      </c>
      <c r="O1867" s="4" t="s">
        <v>4865</v>
      </c>
      <c r="P1867" s="4" t="s">
        <v>4860</v>
      </c>
      <c r="Q1867" s="1" t="str">
        <f>_xlfn.XLOOKUP(tblSales[[#This Row],[Channel Code]],tblChannels[Channel Code],tblChannels[Channel Name],"")</f>
        <v>In-store</v>
      </c>
      <c r="R1867" s="1">
        <f>MONTH(tblSales[[#This Row],[Date]])</f>
        <v>4</v>
      </c>
    </row>
    <row r="1868" spans="2:18" x14ac:dyDescent="0.35">
      <c r="B1868" s="113">
        <v>46133</v>
      </c>
      <c r="C1868" s="4" t="s">
        <v>1267</v>
      </c>
      <c r="D1868" s="4" t="s">
        <v>4568</v>
      </c>
      <c r="E1868" s="1" t="str">
        <f>_xlfn.XLOOKUP(tblSales[[#This Row],[Customer ID]],tblCustomers[Customer ID],tblCustomers[Customer Name],"⚠ Unknown")</f>
        <v>Walk-in Customer</v>
      </c>
      <c r="F1868" s="4" t="s">
        <v>8</v>
      </c>
      <c r="G1868" s="1" t="str">
        <f>_xlfn.XLOOKUP(tblSales[[#This Row],[Product Code]],tblProducts[Code],tblProducts[Product / Service Name],"⚠ Unknown")</f>
        <v>Casual Shorts</v>
      </c>
      <c r="H1868" s="1" t="str">
        <f>_xlfn.XLOOKUP(tblSales[[#This Row],[Product Code]],tblProducts[Code],tblProducts[Category],"")</f>
        <v>Accessories &amp; Basics</v>
      </c>
      <c r="I1868" s="4">
        <v>10</v>
      </c>
      <c r="J1868" s="5">
        <f>_xlfn.XLOOKUP(tblSales[[#This Row],[Product Code]],tblProducts[Code],tblProducts[Selling Price (excl. VAT)],0)</f>
        <v>85000</v>
      </c>
      <c r="K1868" s="5">
        <f>tblSales[[#This Row],[Qty]]*tblSales[[#This Row],[Unit Price]]</f>
        <v>850000</v>
      </c>
      <c r="L1868" s="5">
        <f>ROUND(tblSales[[#This Row],[DPP (excl. VAT)]]*VATEff,0)</f>
        <v>93500</v>
      </c>
      <c r="M1868" s="5">
        <f>tblSales[[#This Row],[DPP (excl. VAT)]]+tblSales[[#This Row],[Output VAT]]</f>
        <v>943500</v>
      </c>
      <c r="N1868" s="5">
        <f>tblSales[[#This Row],[Qty]]*_xlfn.XLOOKUP(tblSales[[#This Row],[Product Code]],tblProducts[Code],tblProducts[Unit Cost],0)</f>
        <v>500000</v>
      </c>
      <c r="O1868" s="4" t="s">
        <v>4865</v>
      </c>
      <c r="P1868" s="4" t="s">
        <v>4860</v>
      </c>
      <c r="Q1868" s="1" t="str">
        <f>_xlfn.XLOOKUP(tblSales[[#This Row],[Channel Code]],tblChannels[Channel Code],tblChannels[Channel Name],"")</f>
        <v>In-store</v>
      </c>
      <c r="R1868" s="1">
        <f>MONTH(tblSales[[#This Row],[Date]])</f>
        <v>4</v>
      </c>
    </row>
    <row r="1869" spans="2:18" x14ac:dyDescent="0.35">
      <c r="B1869" s="113">
        <v>46133</v>
      </c>
      <c r="C1869" s="4" t="s">
        <v>1268</v>
      </c>
      <c r="D1869" s="4" t="s">
        <v>4568</v>
      </c>
      <c r="E1869" s="1" t="str">
        <f>_xlfn.XLOOKUP(tblSales[[#This Row],[Customer ID]],tblCustomers[Customer ID],tblCustomers[Customer Name],"⚠ Unknown")</f>
        <v>Walk-in Customer</v>
      </c>
      <c r="F1869" s="4" t="s">
        <v>7</v>
      </c>
      <c r="G1869" s="1" t="str">
        <f>_xlfn.XLOOKUP(tblSales[[#This Row],[Product Code]],tblProducts[Code],tblProducts[Product / Service Name],"⚠ Unknown")</f>
        <v>Premium Basic T-shirt</v>
      </c>
      <c r="H1869" s="1" t="str">
        <f>_xlfn.XLOOKUP(tblSales[[#This Row],[Product Code]],tblProducts[Code],tblProducts[Category],"")</f>
        <v>Accessories &amp; Basics</v>
      </c>
      <c r="I1869" s="4">
        <v>9</v>
      </c>
      <c r="J1869" s="5">
        <f>_xlfn.XLOOKUP(tblSales[[#This Row],[Product Code]],tblProducts[Code],tblProducts[Selling Price (excl. VAT)],0)</f>
        <v>65000</v>
      </c>
      <c r="K1869" s="5">
        <f>tblSales[[#This Row],[Qty]]*tblSales[[#This Row],[Unit Price]]</f>
        <v>585000</v>
      </c>
      <c r="L1869" s="5">
        <f>ROUND(tblSales[[#This Row],[DPP (excl. VAT)]]*VATEff,0)</f>
        <v>64350</v>
      </c>
      <c r="M1869" s="5">
        <f>tblSales[[#This Row],[DPP (excl. VAT)]]+tblSales[[#This Row],[Output VAT]]</f>
        <v>649350</v>
      </c>
      <c r="N1869" s="5">
        <f>tblSales[[#This Row],[Qty]]*_xlfn.XLOOKUP(tblSales[[#This Row],[Product Code]],tblProducts[Code],tblProducts[Unit Cost],0)</f>
        <v>333000</v>
      </c>
      <c r="O1869" s="4" t="s">
        <v>4865</v>
      </c>
      <c r="P1869" s="4" t="s">
        <v>4860</v>
      </c>
      <c r="Q1869" s="1" t="str">
        <f>_xlfn.XLOOKUP(tblSales[[#This Row],[Channel Code]],tblChannels[Channel Code],tblChannels[Channel Name],"")</f>
        <v>In-store</v>
      </c>
      <c r="R1869" s="1">
        <f>MONTH(tblSales[[#This Row],[Date]])</f>
        <v>4</v>
      </c>
    </row>
    <row r="1870" spans="2:18" x14ac:dyDescent="0.35">
      <c r="B1870" s="113">
        <v>46133</v>
      </c>
      <c r="C1870" s="4" t="s">
        <v>1268</v>
      </c>
      <c r="D1870" s="4" t="s">
        <v>4568</v>
      </c>
      <c r="E1870" s="1" t="str">
        <f>_xlfn.XLOOKUP(tblSales[[#This Row],[Customer ID]],tblCustomers[Customer ID],tblCustomers[Customer Name],"⚠ Unknown")</f>
        <v>Walk-in Customer</v>
      </c>
      <c r="F1870" s="4" t="s">
        <v>6</v>
      </c>
      <c r="G1870" s="1" t="str">
        <f>_xlfn.XLOOKUP(tblSales[[#This Row],[Product Code]],tblProducts[Code],tblProducts[Product / Service Name],"⚠ Unknown")</f>
        <v>Socks &amp; Accessories</v>
      </c>
      <c r="H1870" s="1" t="str">
        <f>_xlfn.XLOOKUP(tblSales[[#This Row],[Product Code]],tblProducts[Code],tblProducts[Category],"")</f>
        <v>Accessories &amp; Basics</v>
      </c>
      <c r="I1870" s="4">
        <v>2</v>
      </c>
      <c r="J1870" s="5">
        <f>_xlfn.XLOOKUP(tblSales[[#This Row],[Product Code]],tblProducts[Code],tblProducts[Selling Price (excl. VAT)],0)</f>
        <v>45000</v>
      </c>
      <c r="K1870" s="5">
        <f>tblSales[[#This Row],[Qty]]*tblSales[[#This Row],[Unit Price]]</f>
        <v>90000</v>
      </c>
      <c r="L1870" s="5">
        <f>ROUND(tblSales[[#This Row],[DPP (excl. VAT)]]*VATEff,0)</f>
        <v>9900</v>
      </c>
      <c r="M1870" s="5">
        <f>tblSales[[#This Row],[DPP (excl. VAT)]]+tblSales[[#This Row],[Output VAT]]</f>
        <v>99900</v>
      </c>
      <c r="N1870" s="5">
        <f>tblSales[[#This Row],[Qty]]*_xlfn.XLOOKUP(tblSales[[#This Row],[Product Code]],tblProducts[Code],tblProducts[Unit Cost],0)</f>
        <v>48000</v>
      </c>
      <c r="O1870" s="4" t="s">
        <v>4865</v>
      </c>
      <c r="P1870" s="4" t="s">
        <v>4860</v>
      </c>
      <c r="Q1870" s="1" t="str">
        <f>_xlfn.XLOOKUP(tblSales[[#This Row],[Channel Code]],tblChannels[Channel Code],tblChannels[Channel Name],"")</f>
        <v>In-store</v>
      </c>
      <c r="R1870" s="1">
        <f>MONTH(tblSales[[#This Row],[Date]])</f>
        <v>4</v>
      </c>
    </row>
    <row r="1871" spans="2:18" x14ac:dyDescent="0.35">
      <c r="B1871" s="113">
        <v>46133</v>
      </c>
      <c r="C1871" s="4" t="s">
        <v>1269</v>
      </c>
      <c r="D1871" s="4" t="s">
        <v>4568</v>
      </c>
      <c r="E1871" s="1" t="str">
        <f>_xlfn.XLOOKUP(tblSales[[#This Row],[Customer ID]],tblCustomers[Customer ID],tblCustomers[Customer Name],"⚠ Unknown")</f>
        <v>Walk-in Customer</v>
      </c>
      <c r="F1871" s="4" t="s">
        <v>6</v>
      </c>
      <c r="G1871" s="1" t="str">
        <f>_xlfn.XLOOKUP(tblSales[[#This Row],[Product Code]],tblProducts[Code],tblProducts[Product / Service Name],"⚠ Unknown")</f>
        <v>Socks &amp; Accessories</v>
      </c>
      <c r="H1871" s="1" t="str">
        <f>_xlfn.XLOOKUP(tblSales[[#This Row],[Product Code]],tblProducts[Code],tblProducts[Category],"")</f>
        <v>Accessories &amp; Basics</v>
      </c>
      <c r="I1871" s="4">
        <v>12</v>
      </c>
      <c r="J1871" s="5">
        <f>_xlfn.XLOOKUP(tblSales[[#This Row],[Product Code]],tblProducts[Code],tblProducts[Selling Price (excl. VAT)],0)</f>
        <v>45000</v>
      </c>
      <c r="K1871" s="5">
        <f>tblSales[[#This Row],[Qty]]*tblSales[[#This Row],[Unit Price]]</f>
        <v>540000</v>
      </c>
      <c r="L1871" s="5">
        <f>ROUND(tblSales[[#This Row],[DPP (excl. VAT)]]*VATEff,0)</f>
        <v>59400</v>
      </c>
      <c r="M1871" s="5">
        <f>tblSales[[#This Row],[DPP (excl. VAT)]]+tblSales[[#This Row],[Output VAT]]</f>
        <v>599400</v>
      </c>
      <c r="N1871" s="5">
        <f>tblSales[[#This Row],[Qty]]*_xlfn.XLOOKUP(tblSales[[#This Row],[Product Code]],tblProducts[Code],tblProducts[Unit Cost],0)</f>
        <v>288000</v>
      </c>
      <c r="O1871" s="4" t="s">
        <v>4866</v>
      </c>
      <c r="P1871" s="4" t="s">
        <v>4861</v>
      </c>
      <c r="Q1871" s="1" t="str">
        <f>_xlfn.XLOOKUP(tblSales[[#This Row],[Channel Code]],tblChannels[Channel Code],tblChannels[Channel Name],"")</f>
        <v>Marketplace</v>
      </c>
      <c r="R1871" s="1">
        <f>MONTH(tblSales[[#This Row],[Date]])</f>
        <v>4</v>
      </c>
    </row>
    <row r="1872" spans="2:18" x14ac:dyDescent="0.35">
      <c r="B1872" s="113">
        <v>46133</v>
      </c>
      <c r="C1872" s="4" t="s">
        <v>1270</v>
      </c>
      <c r="D1872" s="4" t="s">
        <v>4568</v>
      </c>
      <c r="E1872" s="1" t="str">
        <f>_xlfn.XLOOKUP(tblSales[[#This Row],[Customer ID]],tblCustomers[Customer ID],tblCustomers[Customer Name],"⚠ Unknown")</f>
        <v>Walk-in Customer</v>
      </c>
      <c r="F1872" s="4" t="s">
        <v>11</v>
      </c>
      <c r="G1872" s="1" t="str">
        <f>_xlfn.XLOOKUP(tblSales[[#This Row],[Product Code]],tblProducts[Code],tblProducts[Product / Service Name],"⚠ Unknown")</f>
        <v>Sneakers</v>
      </c>
      <c r="H1872" s="1" t="str">
        <f>_xlfn.XLOOKUP(tblSales[[#This Row],[Product Code]],tblProducts[Code],tblProducts[Category],"")</f>
        <v>Apparel &amp; Footwear</v>
      </c>
      <c r="I1872" s="4">
        <v>6</v>
      </c>
      <c r="J1872" s="5">
        <f>_xlfn.XLOOKUP(tblSales[[#This Row],[Product Code]],tblProducts[Code],tblProducts[Selling Price (excl. VAT)],0)</f>
        <v>250000</v>
      </c>
      <c r="K1872" s="5">
        <f>tblSales[[#This Row],[Qty]]*tblSales[[#This Row],[Unit Price]]</f>
        <v>1500000</v>
      </c>
      <c r="L1872" s="5">
        <f>ROUND(tblSales[[#This Row],[DPP (excl. VAT)]]*VATEff,0)</f>
        <v>165000</v>
      </c>
      <c r="M1872" s="5">
        <f>tblSales[[#This Row],[DPP (excl. VAT)]]+tblSales[[#This Row],[Output VAT]]</f>
        <v>1665000</v>
      </c>
      <c r="N1872" s="5">
        <f>tblSales[[#This Row],[Qty]]*_xlfn.XLOOKUP(tblSales[[#This Row],[Product Code]],tblProducts[Code],tblProducts[Unit Cost],0)</f>
        <v>930000</v>
      </c>
      <c r="O1872" s="4" t="s">
        <v>4866</v>
      </c>
      <c r="P1872" s="4" t="s">
        <v>4861</v>
      </c>
      <c r="Q1872" s="1" t="str">
        <f>_xlfn.XLOOKUP(tblSales[[#This Row],[Channel Code]],tblChannels[Channel Code],tblChannels[Channel Name],"")</f>
        <v>Marketplace</v>
      </c>
      <c r="R1872" s="1">
        <f>MONTH(tblSales[[#This Row],[Date]])</f>
        <v>4</v>
      </c>
    </row>
    <row r="1873" spans="2:18" x14ac:dyDescent="0.35">
      <c r="B1873" s="113">
        <v>46133</v>
      </c>
      <c r="C1873" s="4" t="s">
        <v>1271</v>
      </c>
      <c r="D1873" s="4" t="s">
        <v>4568</v>
      </c>
      <c r="E1873" s="1" t="str">
        <f>_xlfn.XLOOKUP(tblSales[[#This Row],[Customer ID]],tblCustomers[Customer ID],tblCustomers[Customer Name],"⚠ Unknown")</f>
        <v>Walk-in Customer</v>
      </c>
      <c r="F1873" s="4" t="s">
        <v>8</v>
      </c>
      <c r="G1873" s="1" t="str">
        <f>_xlfn.XLOOKUP(tblSales[[#This Row],[Product Code]],tblProducts[Code],tblProducts[Product / Service Name],"⚠ Unknown")</f>
        <v>Casual Shorts</v>
      </c>
      <c r="H1873" s="1" t="str">
        <f>_xlfn.XLOOKUP(tblSales[[#This Row],[Product Code]],tblProducts[Code],tblProducts[Category],"")</f>
        <v>Accessories &amp; Basics</v>
      </c>
      <c r="I1873" s="4">
        <v>4</v>
      </c>
      <c r="J1873" s="5">
        <f>_xlfn.XLOOKUP(tblSales[[#This Row],[Product Code]],tblProducts[Code],tblProducts[Selling Price (excl. VAT)],0)</f>
        <v>85000</v>
      </c>
      <c r="K1873" s="5">
        <f>tblSales[[#This Row],[Qty]]*tblSales[[#This Row],[Unit Price]]</f>
        <v>340000</v>
      </c>
      <c r="L1873" s="5">
        <f>ROUND(tblSales[[#This Row],[DPP (excl. VAT)]]*VATEff,0)</f>
        <v>37400</v>
      </c>
      <c r="M1873" s="5">
        <f>tblSales[[#This Row],[DPP (excl. VAT)]]+tblSales[[#This Row],[Output VAT]]</f>
        <v>377400</v>
      </c>
      <c r="N1873" s="5">
        <f>tblSales[[#This Row],[Qty]]*_xlfn.XLOOKUP(tblSales[[#This Row],[Product Code]],tblProducts[Code],tblProducts[Unit Cost],0)</f>
        <v>200000</v>
      </c>
      <c r="O1873" s="4" t="s">
        <v>4866</v>
      </c>
      <c r="P1873" s="4" t="s">
        <v>4860</v>
      </c>
      <c r="Q1873" s="1" t="str">
        <f>_xlfn.XLOOKUP(tblSales[[#This Row],[Channel Code]],tblChannels[Channel Code],tblChannels[Channel Name],"")</f>
        <v>In-store</v>
      </c>
      <c r="R1873" s="1">
        <f>MONTH(tblSales[[#This Row],[Date]])</f>
        <v>4</v>
      </c>
    </row>
    <row r="1874" spans="2:18" x14ac:dyDescent="0.35">
      <c r="B1874" s="113">
        <v>46133</v>
      </c>
      <c r="C1874" s="4" t="s">
        <v>1271</v>
      </c>
      <c r="D1874" s="4" t="s">
        <v>4568</v>
      </c>
      <c r="E1874" s="1" t="str">
        <f>_xlfn.XLOOKUP(tblSales[[#This Row],[Customer ID]],tblCustomers[Customer ID],tblCustomers[Customer Name],"⚠ Unknown")</f>
        <v>Walk-in Customer</v>
      </c>
      <c r="F1874" s="4" t="s">
        <v>6</v>
      </c>
      <c r="G1874" s="1" t="str">
        <f>_xlfn.XLOOKUP(tblSales[[#This Row],[Product Code]],tblProducts[Code],tblProducts[Product / Service Name],"⚠ Unknown")</f>
        <v>Socks &amp; Accessories</v>
      </c>
      <c r="H1874" s="1" t="str">
        <f>_xlfn.XLOOKUP(tblSales[[#This Row],[Product Code]],tblProducts[Code],tblProducts[Category],"")</f>
        <v>Accessories &amp; Basics</v>
      </c>
      <c r="I1874" s="4">
        <v>9</v>
      </c>
      <c r="J1874" s="5">
        <f>_xlfn.XLOOKUP(tblSales[[#This Row],[Product Code]],tblProducts[Code],tblProducts[Selling Price (excl. VAT)],0)</f>
        <v>45000</v>
      </c>
      <c r="K1874" s="5">
        <f>tblSales[[#This Row],[Qty]]*tblSales[[#This Row],[Unit Price]]</f>
        <v>405000</v>
      </c>
      <c r="L1874" s="5">
        <f>ROUND(tblSales[[#This Row],[DPP (excl. VAT)]]*VATEff,0)</f>
        <v>44550</v>
      </c>
      <c r="M1874" s="5">
        <f>tblSales[[#This Row],[DPP (excl. VAT)]]+tblSales[[#This Row],[Output VAT]]</f>
        <v>449550</v>
      </c>
      <c r="N1874" s="5">
        <f>tblSales[[#This Row],[Qty]]*_xlfn.XLOOKUP(tblSales[[#This Row],[Product Code]],tblProducts[Code],tblProducts[Unit Cost],0)</f>
        <v>216000</v>
      </c>
      <c r="O1874" s="4" t="s">
        <v>4866</v>
      </c>
      <c r="P1874" s="4" t="s">
        <v>4860</v>
      </c>
      <c r="Q1874" s="1" t="str">
        <f>_xlfn.XLOOKUP(tblSales[[#This Row],[Channel Code]],tblChannels[Channel Code],tblChannels[Channel Name],"")</f>
        <v>In-store</v>
      </c>
      <c r="R1874" s="1">
        <f>MONTH(tblSales[[#This Row],[Date]])</f>
        <v>4</v>
      </c>
    </row>
    <row r="1875" spans="2:18" x14ac:dyDescent="0.35">
      <c r="B1875" s="113">
        <v>46133</v>
      </c>
      <c r="C1875" s="4" t="s">
        <v>1272</v>
      </c>
      <c r="D1875" s="4" t="s">
        <v>4568</v>
      </c>
      <c r="E1875" s="1" t="str">
        <f>_xlfn.XLOOKUP(tblSales[[#This Row],[Customer ID]],tblCustomers[Customer ID],tblCustomers[Customer Name],"⚠ Unknown")</f>
        <v>Walk-in Customer</v>
      </c>
      <c r="F1875" s="4" t="s">
        <v>15</v>
      </c>
      <c r="G1875" s="1" t="str">
        <f>_xlfn.XLOOKUP(tblSales[[#This Row],[Product Code]],tblProducts[Code],tblProducts[Product / Service Name],"⚠ Unknown")</f>
        <v>Wireless Earbuds Pro</v>
      </c>
      <c r="H1875" s="1" t="str">
        <f>_xlfn.XLOOKUP(tblSales[[#This Row],[Product Code]],tblProducts[Code],tblProducts[Category],"")</f>
        <v>Bags &amp; Gadgets</v>
      </c>
      <c r="I1875" s="4">
        <v>3</v>
      </c>
      <c r="J1875" s="5">
        <f>_xlfn.XLOOKUP(tblSales[[#This Row],[Product Code]],tblProducts[Code],tblProducts[Selling Price (excl. VAT)],0)</f>
        <v>1250000</v>
      </c>
      <c r="K1875" s="5">
        <f>tblSales[[#This Row],[Qty]]*tblSales[[#This Row],[Unit Price]]</f>
        <v>3750000</v>
      </c>
      <c r="L1875" s="5">
        <f>ROUND(tblSales[[#This Row],[DPP (excl. VAT)]]*VATEff,0)</f>
        <v>412500</v>
      </c>
      <c r="M1875" s="5">
        <f>tblSales[[#This Row],[DPP (excl. VAT)]]+tblSales[[#This Row],[Output VAT]]</f>
        <v>4162500</v>
      </c>
      <c r="N1875" s="5">
        <f>tblSales[[#This Row],[Qty]]*_xlfn.XLOOKUP(tblSales[[#This Row],[Product Code]],tblProducts[Code],tblProducts[Unit Cost],0)</f>
        <v>2460000</v>
      </c>
      <c r="O1875" s="4" t="s">
        <v>4866</v>
      </c>
      <c r="P1875" s="4" t="s">
        <v>4860</v>
      </c>
      <c r="Q1875" s="1" t="str">
        <f>_xlfn.XLOOKUP(tblSales[[#This Row],[Channel Code]],tblChannels[Channel Code],tblChannels[Channel Name],"")</f>
        <v>In-store</v>
      </c>
      <c r="R1875" s="1">
        <f>MONTH(tblSales[[#This Row],[Date]])</f>
        <v>4</v>
      </c>
    </row>
    <row r="1876" spans="2:18" x14ac:dyDescent="0.35">
      <c r="B1876" s="113">
        <v>46133</v>
      </c>
      <c r="C1876" s="4" t="s">
        <v>1273</v>
      </c>
      <c r="D1876" s="4" t="s">
        <v>4568</v>
      </c>
      <c r="E1876" s="1" t="str">
        <f>_xlfn.XLOOKUP(tblSales[[#This Row],[Customer ID]],tblCustomers[Customer ID],tblCustomers[Customer Name],"⚠ Unknown")</f>
        <v>Walk-in Customer</v>
      </c>
      <c r="F1876" s="4" t="s">
        <v>8</v>
      </c>
      <c r="G1876" s="1" t="str">
        <f>_xlfn.XLOOKUP(tblSales[[#This Row],[Product Code]],tblProducts[Code],tblProducts[Product / Service Name],"⚠ Unknown")</f>
        <v>Casual Shorts</v>
      </c>
      <c r="H1876" s="1" t="str">
        <f>_xlfn.XLOOKUP(tblSales[[#This Row],[Product Code]],tblProducts[Code],tblProducts[Category],"")</f>
        <v>Accessories &amp; Basics</v>
      </c>
      <c r="I1876" s="4">
        <v>12</v>
      </c>
      <c r="J1876" s="5">
        <f>_xlfn.XLOOKUP(tblSales[[#This Row],[Product Code]],tblProducts[Code],tblProducts[Selling Price (excl. VAT)],0)</f>
        <v>85000</v>
      </c>
      <c r="K1876" s="5">
        <f>tblSales[[#This Row],[Qty]]*tblSales[[#This Row],[Unit Price]]</f>
        <v>1020000</v>
      </c>
      <c r="L1876" s="5">
        <f>ROUND(tblSales[[#This Row],[DPP (excl. VAT)]]*VATEff,0)</f>
        <v>112200</v>
      </c>
      <c r="M1876" s="5">
        <f>tblSales[[#This Row],[DPP (excl. VAT)]]+tblSales[[#This Row],[Output VAT]]</f>
        <v>1132200</v>
      </c>
      <c r="N1876" s="5">
        <f>tblSales[[#This Row],[Qty]]*_xlfn.XLOOKUP(tblSales[[#This Row],[Product Code]],tblProducts[Code],tblProducts[Unit Cost],0)</f>
        <v>600000</v>
      </c>
      <c r="O1876" s="4" t="s">
        <v>4866</v>
      </c>
      <c r="P1876" s="4" t="s">
        <v>4861</v>
      </c>
      <c r="Q1876" s="1" t="str">
        <f>_xlfn.XLOOKUP(tblSales[[#This Row],[Channel Code]],tblChannels[Channel Code],tblChannels[Channel Name],"")</f>
        <v>Marketplace</v>
      </c>
      <c r="R1876" s="1">
        <f>MONTH(tblSales[[#This Row],[Date]])</f>
        <v>4</v>
      </c>
    </row>
    <row r="1877" spans="2:18" x14ac:dyDescent="0.35">
      <c r="B1877" s="113">
        <v>46133</v>
      </c>
      <c r="C1877" s="4" t="s">
        <v>1274</v>
      </c>
      <c r="D1877" s="4" t="s">
        <v>4568</v>
      </c>
      <c r="E1877" s="1" t="str">
        <f>_xlfn.XLOOKUP(tblSales[[#This Row],[Customer ID]],tblCustomers[Customer ID],tblCustomers[Customer Name],"⚠ Unknown")</f>
        <v>Walk-in Customer</v>
      </c>
      <c r="F1877" s="4" t="s">
        <v>8</v>
      </c>
      <c r="G1877" s="1" t="str">
        <f>_xlfn.XLOOKUP(tblSales[[#This Row],[Product Code]],tblProducts[Code],tblProducts[Product / Service Name],"⚠ Unknown")</f>
        <v>Casual Shorts</v>
      </c>
      <c r="H1877" s="1" t="str">
        <f>_xlfn.XLOOKUP(tblSales[[#This Row],[Product Code]],tblProducts[Code],tblProducts[Category],"")</f>
        <v>Accessories &amp; Basics</v>
      </c>
      <c r="I1877" s="4">
        <v>6</v>
      </c>
      <c r="J1877" s="5">
        <f>_xlfn.XLOOKUP(tblSales[[#This Row],[Product Code]],tblProducts[Code],tblProducts[Selling Price (excl. VAT)],0)</f>
        <v>85000</v>
      </c>
      <c r="K1877" s="5">
        <f>tblSales[[#This Row],[Qty]]*tblSales[[#This Row],[Unit Price]]</f>
        <v>510000</v>
      </c>
      <c r="L1877" s="5">
        <f>ROUND(tblSales[[#This Row],[DPP (excl. VAT)]]*VATEff,0)</f>
        <v>56100</v>
      </c>
      <c r="M1877" s="5">
        <f>tblSales[[#This Row],[DPP (excl. VAT)]]+tblSales[[#This Row],[Output VAT]]</f>
        <v>566100</v>
      </c>
      <c r="N1877" s="5">
        <f>tblSales[[#This Row],[Qty]]*_xlfn.XLOOKUP(tblSales[[#This Row],[Product Code]],tblProducts[Code],tblProducts[Unit Cost],0)</f>
        <v>300000</v>
      </c>
      <c r="O1877" s="4" t="s">
        <v>4865</v>
      </c>
      <c r="P1877" s="4" t="s">
        <v>4860</v>
      </c>
      <c r="Q1877" s="1" t="str">
        <f>_xlfn.XLOOKUP(tblSales[[#This Row],[Channel Code]],tblChannels[Channel Code],tblChannels[Channel Name],"")</f>
        <v>In-store</v>
      </c>
      <c r="R1877" s="1">
        <f>MONTH(tblSales[[#This Row],[Date]])</f>
        <v>4</v>
      </c>
    </row>
    <row r="1878" spans="2:18" x14ac:dyDescent="0.35">
      <c r="B1878" s="113">
        <v>46134</v>
      </c>
      <c r="C1878" s="4" t="s">
        <v>1275</v>
      </c>
      <c r="D1878" s="4" t="s">
        <v>4568</v>
      </c>
      <c r="E1878" s="1" t="str">
        <f>_xlfn.XLOOKUP(tblSales[[#This Row],[Customer ID]],tblCustomers[Customer ID],tblCustomers[Customer Name],"⚠ Unknown")</f>
        <v>Walk-in Customer</v>
      </c>
      <c r="F1878" s="4" t="s">
        <v>6</v>
      </c>
      <c r="G1878" s="1" t="str">
        <f>_xlfn.XLOOKUP(tblSales[[#This Row],[Product Code]],tblProducts[Code],tblProducts[Product / Service Name],"⚠ Unknown")</f>
        <v>Socks &amp; Accessories</v>
      </c>
      <c r="H1878" s="1" t="str">
        <f>_xlfn.XLOOKUP(tblSales[[#This Row],[Product Code]],tblProducts[Code],tblProducts[Category],"")</f>
        <v>Accessories &amp; Basics</v>
      </c>
      <c r="I1878" s="4">
        <v>4</v>
      </c>
      <c r="J1878" s="5">
        <f>_xlfn.XLOOKUP(tblSales[[#This Row],[Product Code]],tblProducts[Code],tblProducts[Selling Price (excl. VAT)],0)</f>
        <v>45000</v>
      </c>
      <c r="K1878" s="5">
        <f>tblSales[[#This Row],[Qty]]*tblSales[[#This Row],[Unit Price]]</f>
        <v>180000</v>
      </c>
      <c r="L1878" s="5">
        <f>ROUND(tblSales[[#This Row],[DPP (excl. VAT)]]*VATEff,0)</f>
        <v>19800</v>
      </c>
      <c r="M1878" s="5">
        <f>tblSales[[#This Row],[DPP (excl. VAT)]]+tblSales[[#This Row],[Output VAT]]</f>
        <v>199800</v>
      </c>
      <c r="N1878" s="5">
        <f>tblSales[[#This Row],[Qty]]*_xlfn.XLOOKUP(tblSales[[#This Row],[Product Code]],tblProducts[Code],tblProducts[Unit Cost],0)</f>
        <v>96000</v>
      </c>
      <c r="O1878" s="4" t="s">
        <v>4866</v>
      </c>
      <c r="P1878" s="4" t="s">
        <v>4862</v>
      </c>
      <c r="Q1878" s="1" t="str">
        <f>_xlfn.XLOOKUP(tblSales[[#This Row],[Channel Code]],tblChannels[Channel Code],tblChannels[Channel Name],"")</f>
        <v>Website &amp; Social Media</v>
      </c>
      <c r="R1878" s="1">
        <f>MONTH(tblSales[[#This Row],[Date]])</f>
        <v>4</v>
      </c>
    </row>
    <row r="1879" spans="2:18" x14ac:dyDescent="0.35">
      <c r="B1879" s="113">
        <v>46134</v>
      </c>
      <c r="C1879" s="4" t="s">
        <v>1276</v>
      </c>
      <c r="D1879" s="4" t="s">
        <v>4568</v>
      </c>
      <c r="E1879" s="1" t="str">
        <f>_xlfn.XLOOKUP(tblSales[[#This Row],[Customer ID]],tblCustomers[Customer ID],tblCustomers[Customer Name],"⚠ Unknown")</f>
        <v>Walk-in Customer</v>
      </c>
      <c r="F1879" s="4" t="s">
        <v>11</v>
      </c>
      <c r="G1879" s="1" t="str">
        <f>_xlfn.XLOOKUP(tblSales[[#This Row],[Product Code]],tblProducts[Code],tblProducts[Product / Service Name],"⚠ Unknown")</f>
        <v>Sneakers</v>
      </c>
      <c r="H1879" s="1" t="str">
        <f>_xlfn.XLOOKUP(tblSales[[#This Row],[Product Code]],tblProducts[Code],tblProducts[Category],"")</f>
        <v>Apparel &amp; Footwear</v>
      </c>
      <c r="I1879" s="4">
        <v>2</v>
      </c>
      <c r="J1879" s="5">
        <f>_xlfn.XLOOKUP(tblSales[[#This Row],[Product Code]],tblProducts[Code],tblProducts[Selling Price (excl. VAT)],0)</f>
        <v>250000</v>
      </c>
      <c r="K1879" s="5">
        <f>tblSales[[#This Row],[Qty]]*tblSales[[#This Row],[Unit Price]]</f>
        <v>500000</v>
      </c>
      <c r="L1879" s="5">
        <f>ROUND(tblSales[[#This Row],[DPP (excl. VAT)]]*VATEff,0)</f>
        <v>55000</v>
      </c>
      <c r="M1879" s="5">
        <f>tblSales[[#This Row],[DPP (excl. VAT)]]+tblSales[[#This Row],[Output VAT]]</f>
        <v>555000</v>
      </c>
      <c r="N1879" s="5">
        <f>tblSales[[#This Row],[Qty]]*_xlfn.XLOOKUP(tblSales[[#This Row],[Product Code]],tblProducts[Code],tblProducts[Unit Cost],0)</f>
        <v>310000</v>
      </c>
      <c r="O1879" s="4" t="s">
        <v>4865</v>
      </c>
      <c r="P1879" s="4" t="s">
        <v>4860</v>
      </c>
      <c r="Q1879" s="1" t="str">
        <f>_xlfn.XLOOKUP(tblSales[[#This Row],[Channel Code]],tblChannels[Channel Code],tblChannels[Channel Name],"")</f>
        <v>In-store</v>
      </c>
      <c r="R1879" s="1">
        <f>MONTH(tblSales[[#This Row],[Date]])</f>
        <v>4</v>
      </c>
    </row>
    <row r="1880" spans="2:18" x14ac:dyDescent="0.35">
      <c r="B1880" s="113">
        <v>46134</v>
      </c>
      <c r="C1880" s="4" t="s">
        <v>1276</v>
      </c>
      <c r="D1880" s="4" t="s">
        <v>4568</v>
      </c>
      <c r="E1880" s="1" t="str">
        <f>_xlfn.XLOOKUP(tblSales[[#This Row],[Customer ID]],tblCustomers[Customer ID],tblCustomers[Customer Name],"⚠ Unknown")</f>
        <v>Walk-in Customer</v>
      </c>
      <c r="F1880" s="4" t="s">
        <v>6</v>
      </c>
      <c r="G1880" s="1" t="str">
        <f>_xlfn.XLOOKUP(tblSales[[#This Row],[Product Code]],tblProducts[Code],tblProducts[Product / Service Name],"⚠ Unknown")</f>
        <v>Socks &amp; Accessories</v>
      </c>
      <c r="H1880" s="1" t="str">
        <f>_xlfn.XLOOKUP(tblSales[[#This Row],[Product Code]],tblProducts[Code],tblProducts[Category],"")</f>
        <v>Accessories &amp; Basics</v>
      </c>
      <c r="I1880" s="4">
        <v>9</v>
      </c>
      <c r="J1880" s="5">
        <f>_xlfn.XLOOKUP(tblSales[[#This Row],[Product Code]],tblProducts[Code],tblProducts[Selling Price (excl. VAT)],0)</f>
        <v>45000</v>
      </c>
      <c r="K1880" s="5">
        <f>tblSales[[#This Row],[Qty]]*tblSales[[#This Row],[Unit Price]]</f>
        <v>405000</v>
      </c>
      <c r="L1880" s="5">
        <f>ROUND(tblSales[[#This Row],[DPP (excl. VAT)]]*VATEff,0)</f>
        <v>44550</v>
      </c>
      <c r="M1880" s="5">
        <f>tblSales[[#This Row],[DPP (excl. VAT)]]+tblSales[[#This Row],[Output VAT]]</f>
        <v>449550</v>
      </c>
      <c r="N1880" s="5">
        <f>tblSales[[#This Row],[Qty]]*_xlfn.XLOOKUP(tblSales[[#This Row],[Product Code]],tblProducts[Code],tblProducts[Unit Cost],0)</f>
        <v>216000</v>
      </c>
      <c r="O1880" s="4" t="s">
        <v>4865</v>
      </c>
      <c r="P1880" s="4" t="s">
        <v>4860</v>
      </c>
      <c r="Q1880" s="1" t="str">
        <f>_xlfn.XLOOKUP(tblSales[[#This Row],[Channel Code]],tblChannels[Channel Code],tblChannels[Channel Name],"")</f>
        <v>In-store</v>
      </c>
      <c r="R1880" s="1">
        <f>MONTH(tblSales[[#This Row],[Date]])</f>
        <v>4</v>
      </c>
    </row>
    <row r="1881" spans="2:18" x14ac:dyDescent="0.35">
      <c r="B1881" s="113">
        <v>46134</v>
      </c>
      <c r="C1881" s="4" t="s">
        <v>1277</v>
      </c>
      <c r="D1881" s="4" t="s">
        <v>4568</v>
      </c>
      <c r="E1881" s="1" t="str">
        <f>_xlfn.XLOOKUP(tblSales[[#This Row],[Customer ID]],tblCustomers[Customer ID],tblCustomers[Customer Name],"⚠ Unknown")</f>
        <v>Walk-in Customer</v>
      </c>
      <c r="F1881" s="4" t="s">
        <v>6</v>
      </c>
      <c r="G1881" s="1" t="str">
        <f>_xlfn.XLOOKUP(tblSales[[#This Row],[Product Code]],tblProducts[Code],tblProducts[Product / Service Name],"⚠ Unknown")</f>
        <v>Socks &amp; Accessories</v>
      </c>
      <c r="H1881" s="1" t="str">
        <f>_xlfn.XLOOKUP(tblSales[[#This Row],[Product Code]],tblProducts[Code],tblProducts[Category],"")</f>
        <v>Accessories &amp; Basics</v>
      </c>
      <c r="I1881" s="4">
        <v>11</v>
      </c>
      <c r="J1881" s="5">
        <f>_xlfn.XLOOKUP(tblSales[[#This Row],[Product Code]],tblProducts[Code],tblProducts[Selling Price (excl. VAT)],0)</f>
        <v>45000</v>
      </c>
      <c r="K1881" s="5">
        <f>tblSales[[#This Row],[Qty]]*tblSales[[#This Row],[Unit Price]]</f>
        <v>495000</v>
      </c>
      <c r="L1881" s="5">
        <f>ROUND(tblSales[[#This Row],[DPP (excl. VAT)]]*VATEff,0)</f>
        <v>54450</v>
      </c>
      <c r="M1881" s="5">
        <f>tblSales[[#This Row],[DPP (excl. VAT)]]+tblSales[[#This Row],[Output VAT]]</f>
        <v>549450</v>
      </c>
      <c r="N1881" s="5">
        <f>tblSales[[#This Row],[Qty]]*_xlfn.XLOOKUP(tblSales[[#This Row],[Product Code]],tblProducts[Code],tblProducts[Unit Cost],0)</f>
        <v>264000</v>
      </c>
      <c r="O1881" s="4" t="s">
        <v>4866</v>
      </c>
      <c r="P1881" s="4" t="s">
        <v>4860</v>
      </c>
      <c r="Q1881" s="1" t="str">
        <f>_xlfn.XLOOKUP(tblSales[[#This Row],[Channel Code]],tblChannels[Channel Code],tblChannels[Channel Name],"")</f>
        <v>In-store</v>
      </c>
      <c r="R1881" s="1">
        <f>MONTH(tblSales[[#This Row],[Date]])</f>
        <v>4</v>
      </c>
    </row>
    <row r="1882" spans="2:18" x14ac:dyDescent="0.35">
      <c r="B1882" s="113">
        <v>46134</v>
      </c>
      <c r="C1882" s="4" t="s">
        <v>1277</v>
      </c>
      <c r="D1882" s="4" t="s">
        <v>4568</v>
      </c>
      <c r="E1882" s="1" t="str">
        <f>_xlfn.XLOOKUP(tblSales[[#This Row],[Customer ID]],tblCustomers[Customer ID],tblCustomers[Customer Name],"⚠ Unknown")</f>
        <v>Walk-in Customer</v>
      </c>
      <c r="F1882" s="4" t="s">
        <v>8</v>
      </c>
      <c r="G1882" s="1" t="str">
        <f>_xlfn.XLOOKUP(tblSales[[#This Row],[Product Code]],tblProducts[Code],tblProducts[Product / Service Name],"⚠ Unknown")</f>
        <v>Casual Shorts</v>
      </c>
      <c r="H1882" s="1" t="str">
        <f>_xlfn.XLOOKUP(tblSales[[#This Row],[Product Code]],tblProducts[Code],tblProducts[Category],"")</f>
        <v>Accessories &amp; Basics</v>
      </c>
      <c r="I1882" s="4">
        <v>9</v>
      </c>
      <c r="J1882" s="5">
        <f>_xlfn.XLOOKUP(tblSales[[#This Row],[Product Code]],tblProducts[Code],tblProducts[Selling Price (excl. VAT)],0)</f>
        <v>85000</v>
      </c>
      <c r="K1882" s="5">
        <f>tblSales[[#This Row],[Qty]]*tblSales[[#This Row],[Unit Price]]</f>
        <v>765000</v>
      </c>
      <c r="L1882" s="5">
        <f>ROUND(tblSales[[#This Row],[DPP (excl. VAT)]]*VATEff,0)</f>
        <v>84150</v>
      </c>
      <c r="M1882" s="5">
        <f>tblSales[[#This Row],[DPP (excl. VAT)]]+tblSales[[#This Row],[Output VAT]]</f>
        <v>849150</v>
      </c>
      <c r="N1882" s="5">
        <f>tblSales[[#This Row],[Qty]]*_xlfn.XLOOKUP(tblSales[[#This Row],[Product Code]],tblProducts[Code],tblProducts[Unit Cost],0)</f>
        <v>450000</v>
      </c>
      <c r="O1882" s="4" t="s">
        <v>4866</v>
      </c>
      <c r="P1882" s="4" t="s">
        <v>4860</v>
      </c>
      <c r="Q1882" s="1" t="str">
        <f>_xlfn.XLOOKUP(tblSales[[#This Row],[Channel Code]],tblChannels[Channel Code],tblChannels[Channel Name],"")</f>
        <v>In-store</v>
      </c>
      <c r="R1882" s="1">
        <f>MONTH(tblSales[[#This Row],[Date]])</f>
        <v>4</v>
      </c>
    </row>
    <row r="1883" spans="2:18" x14ac:dyDescent="0.35">
      <c r="B1883" s="113">
        <v>46134</v>
      </c>
      <c r="C1883" s="4" t="s">
        <v>1278</v>
      </c>
      <c r="D1883" s="4" t="s">
        <v>4648</v>
      </c>
      <c r="E1883" s="1" t="str">
        <f>_xlfn.XLOOKUP(tblSales[[#This Row],[Customer ID]],tblCustomers[Customer ID],tblCustomers[Customer Name],"⚠ Unknown")</f>
        <v>PT Lintas Benua Niaga</v>
      </c>
      <c r="F1883" s="4" t="s">
        <v>11</v>
      </c>
      <c r="G1883" s="1" t="str">
        <f>_xlfn.XLOOKUP(tblSales[[#This Row],[Product Code]],tblProducts[Code],tblProducts[Product / Service Name],"⚠ Unknown")</f>
        <v>Sneakers</v>
      </c>
      <c r="H1883" s="1" t="str">
        <f>_xlfn.XLOOKUP(tblSales[[#This Row],[Product Code]],tblProducts[Code],tblProducts[Category],"")</f>
        <v>Apparel &amp; Footwear</v>
      </c>
      <c r="I1883" s="4">
        <v>8</v>
      </c>
      <c r="J1883" s="5">
        <f>_xlfn.XLOOKUP(tblSales[[#This Row],[Product Code]],tblProducts[Code],tblProducts[Selling Price (excl. VAT)],0)</f>
        <v>250000</v>
      </c>
      <c r="K1883" s="5">
        <f>tblSales[[#This Row],[Qty]]*tblSales[[#This Row],[Unit Price]]</f>
        <v>2000000</v>
      </c>
      <c r="L1883" s="5">
        <f>ROUND(tblSales[[#This Row],[DPP (excl. VAT)]]*VATEff,0)</f>
        <v>220000</v>
      </c>
      <c r="M1883" s="5">
        <f>tblSales[[#This Row],[DPP (excl. VAT)]]+tblSales[[#This Row],[Output VAT]]</f>
        <v>2220000</v>
      </c>
      <c r="N1883" s="5">
        <f>tblSales[[#This Row],[Qty]]*_xlfn.XLOOKUP(tblSales[[#This Row],[Product Code]],tblProducts[Code],tblProducts[Unit Cost],0)</f>
        <v>1240000</v>
      </c>
      <c r="O1883" s="4" t="s">
        <v>4867</v>
      </c>
      <c r="P1883" s="4" t="s">
        <v>4860</v>
      </c>
      <c r="Q1883" s="1" t="str">
        <f>_xlfn.XLOOKUP(tblSales[[#This Row],[Channel Code]],tblChannels[Channel Code],tblChannels[Channel Name],"")</f>
        <v>In-store</v>
      </c>
      <c r="R1883" s="1">
        <f>MONTH(tblSales[[#This Row],[Date]])</f>
        <v>4</v>
      </c>
    </row>
    <row r="1884" spans="2:18" x14ac:dyDescent="0.35">
      <c r="B1884" s="113">
        <v>46134</v>
      </c>
      <c r="C1884" s="4" t="s">
        <v>1279</v>
      </c>
      <c r="D1884" s="4" t="s">
        <v>4568</v>
      </c>
      <c r="E1884" s="1" t="str">
        <f>_xlfn.XLOOKUP(tblSales[[#This Row],[Customer ID]],tblCustomers[Customer ID],tblCustomers[Customer Name],"⚠ Unknown")</f>
        <v>Walk-in Customer</v>
      </c>
      <c r="F1884" s="4" t="s">
        <v>6</v>
      </c>
      <c r="G1884" s="1" t="str">
        <f>_xlfn.XLOOKUP(tblSales[[#This Row],[Product Code]],tblProducts[Code],tblProducts[Product / Service Name],"⚠ Unknown")</f>
        <v>Socks &amp; Accessories</v>
      </c>
      <c r="H1884" s="1" t="str">
        <f>_xlfn.XLOOKUP(tblSales[[#This Row],[Product Code]],tblProducts[Code],tblProducts[Category],"")</f>
        <v>Accessories &amp; Basics</v>
      </c>
      <c r="I1884" s="4">
        <v>10</v>
      </c>
      <c r="J1884" s="5">
        <f>_xlfn.XLOOKUP(tblSales[[#This Row],[Product Code]],tblProducts[Code],tblProducts[Selling Price (excl. VAT)],0)</f>
        <v>45000</v>
      </c>
      <c r="K1884" s="5">
        <f>tblSales[[#This Row],[Qty]]*tblSales[[#This Row],[Unit Price]]</f>
        <v>450000</v>
      </c>
      <c r="L1884" s="5">
        <f>ROUND(tblSales[[#This Row],[DPP (excl. VAT)]]*VATEff,0)</f>
        <v>49500</v>
      </c>
      <c r="M1884" s="5">
        <f>tblSales[[#This Row],[DPP (excl. VAT)]]+tblSales[[#This Row],[Output VAT]]</f>
        <v>499500</v>
      </c>
      <c r="N1884" s="5">
        <f>tblSales[[#This Row],[Qty]]*_xlfn.XLOOKUP(tblSales[[#This Row],[Product Code]],tblProducts[Code],tblProducts[Unit Cost],0)</f>
        <v>240000</v>
      </c>
      <c r="O1884" s="4" t="s">
        <v>4866</v>
      </c>
      <c r="P1884" s="4" t="s">
        <v>4861</v>
      </c>
      <c r="Q1884" s="1" t="str">
        <f>_xlfn.XLOOKUP(tblSales[[#This Row],[Channel Code]],tblChannels[Channel Code],tblChannels[Channel Name],"")</f>
        <v>Marketplace</v>
      </c>
      <c r="R1884" s="1">
        <f>MONTH(tblSales[[#This Row],[Date]])</f>
        <v>4</v>
      </c>
    </row>
    <row r="1885" spans="2:18" x14ac:dyDescent="0.35">
      <c r="B1885" s="113">
        <v>46134</v>
      </c>
      <c r="C1885" s="4" t="s">
        <v>1280</v>
      </c>
      <c r="D1885" s="4" t="s">
        <v>4568</v>
      </c>
      <c r="E1885" s="1" t="str">
        <f>_xlfn.XLOOKUP(tblSales[[#This Row],[Customer ID]],tblCustomers[Customer ID],tblCustomers[Customer Name],"⚠ Unknown")</f>
        <v>Walk-in Customer</v>
      </c>
      <c r="F1885" s="4" t="s">
        <v>7</v>
      </c>
      <c r="G1885" s="1" t="str">
        <f>_xlfn.XLOOKUP(tblSales[[#This Row],[Product Code]],tblProducts[Code],tblProducts[Product / Service Name],"⚠ Unknown")</f>
        <v>Premium Basic T-shirt</v>
      </c>
      <c r="H1885" s="1" t="str">
        <f>_xlfn.XLOOKUP(tblSales[[#This Row],[Product Code]],tblProducts[Code],tblProducts[Category],"")</f>
        <v>Accessories &amp; Basics</v>
      </c>
      <c r="I1885" s="4">
        <v>4</v>
      </c>
      <c r="J1885" s="5">
        <f>_xlfn.XLOOKUP(tblSales[[#This Row],[Product Code]],tblProducts[Code],tblProducts[Selling Price (excl. VAT)],0)</f>
        <v>65000</v>
      </c>
      <c r="K1885" s="5">
        <f>tblSales[[#This Row],[Qty]]*tblSales[[#This Row],[Unit Price]]</f>
        <v>260000</v>
      </c>
      <c r="L1885" s="5">
        <f>ROUND(tblSales[[#This Row],[DPP (excl. VAT)]]*VATEff,0)</f>
        <v>28600</v>
      </c>
      <c r="M1885" s="5">
        <f>tblSales[[#This Row],[DPP (excl. VAT)]]+tblSales[[#This Row],[Output VAT]]</f>
        <v>288600</v>
      </c>
      <c r="N1885" s="5">
        <f>tblSales[[#This Row],[Qty]]*_xlfn.XLOOKUP(tblSales[[#This Row],[Product Code]],tblProducts[Code],tblProducts[Unit Cost],0)</f>
        <v>148000</v>
      </c>
      <c r="O1885" s="4" t="s">
        <v>4866</v>
      </c>
      <c r="P1885" s="4" t="s">
        <v>4861</v>
      </c>
      <c r="Q1885" s="1" t="str">
        <f>_xlfn.XLOOKUP(tblSales[[#This Row],[Channel Code]],tblChannels[Channel Code],tblChannels[Channel Name],"")</f>
        <v>Marketplace</v>
      </c>
      <c r="R1885" s="1">
        <f>MONTH(tblSales[[#This Row],[Date]])</f>
        <v>4</v>
      </c>
    </row>
    <row r="1886" spans="2:18" x14ac:dyDescent="0.35">
      <c r="B1886" s="113">
        <v>46134</v>
      </c>
      <c r="C1886" s="4" t="s">
        <v>1281</v>
      </c>
      <c r="D1886" s="4" t="s">
        <v>4568</v>
      </c>
      <c r="E1886" s="1" t="str">
        <f>_xlfn.XLOOKUP(tblSales[[#This Row],[Customer ID]],tblCustomers[Customer ID],tblCustomers[Customer Name],"⚠ Unknown")</f>
        <v>Walk-in Customer</v>
      </c>
      <c r="F1886" s="4" t="s">
        <v>10</v>
      </c>
      <c r="G1886" s="1" t="str">
        <f>_xlfn.XLOOKUP(tblSales[[#This Row],[Product Code]],tblProducts[Code],tblProducts[Product / Service Name],"⚠ Unknown")</f>
        <v>Chino Pants</v>
      </c>
      <c r="H1886" s="1" t="str">
        <f>_xlfn.XLOOKUP(tblSales[[#This Row],[Product Code]],tblProducts[Code],tblProducts[Category],"")</f>
        <v>Apparel &amp; Footwear</v>
      </c>
      <c r="I1886" s="4">
        <v>1</v>
      </c>
      <c r="J1886" s="5">
        <f>_xlfn.XLOOKUP(tblSales[[#This Row],[Product Code]],tblProducts[Code],tblProducts[Selling Price (excl. VAT)],0)</f>
        <v>150000</v>
      </c>
      <c r="K1886" s="5">
        <f>tblSales[[#This Row],[Qty]]*tblSales[[#This Row],[Unit Price]]</f>
        <v>150000</v>
      </c>
      <c r="L1886" s="5">
        <f>ROUND(tblSales[[#This Row],[DPP (excl. VAT)]]*VATEff,0)</f>
        <v>16500</v>
      </c>
      <c r="M1886" s="5">
        <f>tblSales[[#This Row],[DPP (excl. VAT)]]+tblSales[[#This Row],[Output VAT]]</f>
        <v>166500</v>
      </c>
      <c r="N1886" s="5">
        <f>tblSales[[#This Row],[Qty]]*_xlfn.XLOOKUP(tblSales[[#This Row],[Product Code]],tblProducts[Code],tblProducts[Unit Cost],0)</f>
        <v>88000</v>
      </c>
      <c r="O1886" s="4" t="s">
        <v>4866</v>
      </c>
      <c r="P1886" s="4" t="s">
        <v>4862</v>
      </c>
      <c r="Q1886" s="1" t="str">
        <f>_xlfn.XLOOKUP(tblSales[[#This Row],[Channel Code]],tblChannels[Channel Code],tblChannels[Channel Name],"")</f>
        <v>Website &amp; Social Media</v>
      </c>
      <c r="R1886" s="1">
        <f>MONTH(tblSales[[#This Row],[Date]])</f>
        <v>4</v>
      </c>
    </row>
    <row r="1887" spans="2:18" x14ac:dyDescent="0.35">
      <c r="B1887" s="113">
        <v>46134</v>
      </c>
      <c r="C1887" s="4" t="s">
        <v>1282</v>
      </c>
      <c r="D1887" s="4" t="s">
        <v>4568</v>
      </c>
      <c r="E1887" s="1" t="str">
        <f>_xlfn.XLOOKUP(tblSales[[#This Row],[Customer ID]],tblCustomers[Customer ID],tblCustomers[Customer Name],"⚠ Unknown")</f>
        <v>Walk-in Customer</v>
      </c>
      <c r="F1887" s="4" t="s">
        <v>6</v>
      </c>
      <c r="G1887" s="1" t="str">
        <f>_xlfn.XLOOKUP(tblSales[[#This Row],[Product Code]],tblProducts[Code],tblProducts[Product / Service Name],"⚠ Unknown")</f>
        <v>Socks &amp; Accessories</v>
      </c>
      <c r="H1887" s="1" t="str">
        <f>_xlfn.XLOOKUP(tblSales[[#This Row],[Product Code]],tblProducts[Code],tblProducts[Category],"")</f>
        <v>Accessories &amp; Basics</v>
      </c>
      <c r="I1887" s="4">
        <v>3</v>
      </c>
      <c r="J1887" s="5">
        <f>_xlfn.XLOOKUP(tblSales[[#This Row],[Product Code]],tblProducts[Code],tblProducts[Selling Price (excl. VAT)],0)</f>
        <v>45000</v>
      </c>
      <c r="K1887" s="5">
        <f>tblSales[[#This Row],[Qty]]*tblSales[[#This Row],[Unit Price]]</f>
        <v>135000</v>
      </c>
      <c r="L1887" s="5">
        <f>ROUND(tblSales[[#This Row],[DPP (excl. VAT)]]*VATEff,0)</f>
        <v>14850</v>
      </c>
      <c r="M1887" s="5">
        <f>tblSales[[#This Row],[DPP (excl. VAT)]]+tblSales[[#This Row],[Output VAT]]</f>
        <v>149850</v>
      </c>
      <c r="N1887" s="5">
        <f>tblSales[[#This Row],[Qty]]*_xlfn.XLOOKUP(tblSales[[#This Row],[Product Code]],tblProducts[Code],tblProducts[Unit Cost],0)</f>
        <v>72000</v>
      </c>
      <c r="O1887" s="4" t="s">
        <v>4865</v>
      </c>
      <c r="P1887" s="4" t="s">
        <v>4860</v>
      </c>
      <c r="Q1887" s="1" t="str">
        <f>_xlfn.XLOOKUP(tblSales[[#This Row],[Channel Code]],tblChannels[Channel Code],tblChannels[Channel Name],"")</f>
        <v>In-store</v>
      </c>
      <c r="R1887" s="1">
        <f>MONTH(tblSales[[#This Row],[Date]])</f>
        <v>4</v>
      </c>
    </row>
    <row r="1888" spans="2:18" x14ac:dyDescent="0.35">
      <c r="B1888" s="113">
        <v>46134</v>
      </c>
      <c r="C1888" s="4" t="s">
        <v>1282</v>
      </c>
      <c r="D1888" s="4" t="s">
        <v>4568</v>
      </c>
      <c r="E1888" s="1" t="str">
        <f>_xlfn.XLOOKUP(tblSales[[#This Row],[Customer ID]],tblCustomers[Customer ID],tblCustomers[Customer Name],"⚠ Unknown")</f>
        <v>Walk-in Customer</v>
      </c>
      <c r="F1888" s="4" t="s">
        <v>9</v>
      </c>
      <c r="G1888" s="1" t="str">
        <f>_xlfn.XLOOKUP(tblSales[[#This Row],[Product Code]],tblProducts[Code],tblProducts[Product / Service Name],"⚠ Unknown")</f>
        <v>Casual Shirt</v>
      </c>
      <c r="H1888" s="1" t="str">
        <f>_xlfn.XLOOKUP(tblSales[[#This Row],[Product Code]],tblProducts[Code],tblProducts[Category],"")</f>
        <v>Apparel &amp; Footwear</v>
      </c>
      <c r="I1888" s="4">
        <v>8</v>
      </c>
      <c r="J1888" s="5">
        <f>_xlfn.XLOOKUP(tblSales[[#This Row],[Product Code]],tblProducts[Code],tblProducts[Selling Price (excl. VAT)],0)</f>
        <v>120000</v>
      </c>
      <c r="K1888" s="5">
        <f>tblSales[[#This Row],[Qty]]*tblSales[[#This Row],[Unit Price]]</f>
        <v>960000</v>
      </c>
      <c r="L1888" s="5">
        <f>ROUND(tblSales[[#This Row],[DPP (excl. VAT)]]*VATEff,0)</f>
        <v>105600</v>
      </c>
      <c r="M1888" s="5">
        <f>tblSales[[#This Row],[DPP (excl. VAT)]]+tblSales[[#This Row],[Output VAT]]</f>
        <v>1065600</v>
      </c>
      <c r="N1888" s="5">
        <f>tblSales[[#This Row],[Qty]]*_xlfn.XLOOKUP(tblSales[[#This Row],[Product Code]],tblProducts[Code],tblProducts[Unit Cost],0)</f>
        <v>576000</v>
      </c>
      <c r="O1888" s="4" t="s">
        <v>4865</v>
      </c>
      <c r="P1888" s="4" t="s">
        <v>4860</v>
      </c>
      <c r="Q1888" s="1" t="str">
        <f>_xlfn.XLOOKUP(tblSales[[#This Row],[Channel Code]],tblChannels[Channel Code],tblChannels[Channel Name],"")</f>
        <v>In-store</v>
      </c>
      <c r="R1888" s="1">
        <f>MONTH(tblSales[[#This Row],[Date]])</f>
        <v>4</v>
      </c>
    </row>
    <row r="1889" spans="2:18" x14ac:dyDescent="0.35">
      <c r="B1889" s="113">
        <v>46134</v>
      </c>
      <c r="C1889" s="4" t="s">
        <v>1283</v>
      </c>
      <c r="D1889" s="4" t="s">
        <v>4568</v>
      </c>
      <c r="E1889" s="1" t="str">
        <f>_xlfn.XLOOKUP(tblSales[[#This Row],[Customer ID]],tblCustomers[Customer ID],tblCustomers[Customer Name],"⚠ Unknown")</f>
        <v>Walk-in Customer</v>
      </c>
      <c r="F1889" s="4" t="s">
        <v>14</v>
      </c>
      <c r="G1889" s="1" t="str">
        <f>_xlfn.XLOOKUP(tblSales[[#This Row],[Product Code]],tblProducts[Code],tblProducts[Product / Service Name],"⚠ Unknown")</f>
        <v>Smartwatch</v>
      </c>
      <c r="H1889" s="1" t="str">
        <f>_xlfn.XLOOKUP(tblSales[[#This Row],[Product Code]],tblProducts[Code],tblProducts[Category],"")</f>
        <v>Bags &amp; Gadgets</v>
      </c>
      <c r="I1889" s="4">
        <v>3</v>
      </c>
      <c r="J1889" s="5">
        <f>_xlfn.XLOOKUP(tblSales[[#This Row],[Product Code]],tblProducts[Code],tblProducts[Selling Price (excl. VAT)],0)</f>
        <v>850000</v>
      </c>
      <c r="K1889" s="5">
        <f>tblSales[[#This Row],[Qty]]*tblSales[[#This Row],[Unit Price]]</f>
        <v>2550000</v>
      </c>
      <c r="L1889" s="5">
        <f>ROUND(tblSales[[#This Row],[DPP (excl. VAT)]]*VATEff,0)</f>
        <v>280500</v>
      </c>
      <c r="M1889" s="5">
        <f>tblSales[[#This Row],[DPP (excl. VAT)]]+tblSales[[#This Row],[Output VAT]]</f>
        <v>2830500</v>
      </c>
      <c r="N1889" s="5">
        <f>tblSales[[#This Row],[Qty]]*_xlfn.XLOOKUP(tblSales[[#This Row],[Product Code]],tblProducts[Code],tblProducts[Unit Cost],0)</f>
        <v>1680000</v>
      </c>
      <c r="O1889" s="4" t="s">
        <v>4866</v>
      </c>
      <c r="P1889" s="4" t="s">
        <v>4862</v>
      </c>
      <c r="Q1889" s="1" t="str">
        <f>_xlfn.XLOOKUP(tblSales[[#This Row],[Channel Code]],tblChannels[Channel Code],tblChannels[Channel Name],"")</f>
        <v>Website &amp; Social Media</v>
      </c>
      <c r="R1889" s="1">
        <f>MONTH(tblSales[[#This Row],[Date]])</f>
        <v>4</v>
      </c>
    </row>
    <row r="1890" spans="2:18" x14ac:dyDescent="0.35">
      <c r="B1890" s="113">
        <v>46134</v>
      </c>
      <c r="C1890" s="4" t="s">
        <v>1284</v>
      </c>
      <c r="D1890" s="4" t="s">
        <v>4606</v>
      </c>
      <c r="E1890" s="1" t="str">
        <f>_xlfn.XLOOKUP(tblSales[[#This Row],[Customer ID]],tblCustomers[Customer ID],tblCustomers[Customer Name],"⚠ Unknown")</f>
        <v>PT Arunika Digital Kreatif</v>
      </c>
      <c r="F1890" s="4" t="s">
        <v>11</v>
      </c>
      <c r="G1890" s="1" t="str">
        <f>_xlfn.XLOOKUP(tblSales[[#This Row],[Product Code]],tblProducts[Code],tblProducts[Product / Service Name],"⚠ Unknown")</f>
        <v>Sneakers</v>
      </c>
      <c r="H1890" s="1" t="str">
        <f>_xlfn.XLOOKUP(tblSales[[#This Row],[Product Code]],tblProducts[Code],tblProducts[Category],"")</f>
        <v>Apparel &amp; Footwear</v>
      </c>
      <c r="I1890" s="4">
        <v>32</v>
      </c>
      <c r="J1890" s="5">
        <f>_xlfn.XLOOKUP(tblSales[[#This Row],[Product Code]],tblProducts[Code],tblProducts[Selling Price (excl. VAT)],0)</f>
        <v>250000</v>
      </c>
      <c r="K1890" s="5">
        <f>tblSales[[#This Row],[Qty]]*tblSales[[#This Row],[Unit Price]]</f>
        <v>8000000</v>
      </c>
      <c r="L1890" s="5">
        <f>ROUND(tblSales[[#This Row],[DPP (excl. VAT)]]*VATEff,0)</f>
        <v>880000</v>
      </c>
      <c r="M1890" s="5">
        <f>tblSales[[#This Row],[DPP (excl. VAT)]]+tblSales[[#This Row],[Output VAT]]</f>
        <v>8880000</v>
      </c>
      <c r="N1890" s="5">
        <f>tblSales[[#This Row],[Qty]]*_xlfn.XLOOKUP(tblSales[[#This Row],[Product Code]],tblProducts[Code],tblProducts[Unit Cost],0)</f>
        <v>4960000</v>
      </c>
      <c r="O1890" s="4" t="s">
        <v>4867</v>
      </c>
      <c r="P1890" s="4" t="s">
        <v>4860</v>
      </c>
      <c r="Q1890" s="1" t="str">
        <f>_xlfn.XLOOKUP(tblSales[[#This Row],[Channel Code]],tblChannels[Channel Code],tblChannels[Channel Name],"")</f>
        <v>In-store</v>
      </c>
      <c r="R1890" s="1">
        <f>MONTH(tblSales[[#This Row],[Date]])</f>
        <v>4</v>
      </c>
    </row>
    <row r="1891" spans="2:18" x14ac:dyDescent="0.35">
      <c r="B1891" s="113">
        <v>46135</v>
      </c>
      <c r="C1891" s="4" t="s">
        <v>1285</v>
      </c>
      <c r="D1891" s="4" t="s">
        <v>4568</v>
      </c>
      <c r="E1891" s="1" t="str">
        <f>_xlfn.XLOOKUP(tblSales[[#This Row],[Customer ID]],tblCustomers[Customer ID],tblCustomers[Customer Name],"⚠ Unknown")</f>
        <v>Walk-in Customer</v>
      </c>
      <c r="F1891" s="4" t="s">
        <v>7</v>
      </c>
      <c r="G1891" s="1" t="str">
        <f>_xlfn.XLOOKUP(tblSales[[#This Row],[Product Code]],tblProducts[Code],tblProducts[Product / Service Name],"⚠ Unknown")</f>
        <v>Premium Basic T-shirt</v>
      </c>
      <c r="H1891" s="1" t="str">
        <f>_xlfn.XLOOKUP(tblSales[[#This Row],[Product Code]],tblProducts[Code],tblProducts[Category],"")</f>
        <v>Accessories &amp; Basics</v>
      </c>
      <c r="I1891" s="4">
        <v>12</v>
      </c>
      <c r="J1891" s="5">
        <f>_xlfn.XLOOKUP(tblSales[[#This Row],[Product Code]],tblProducts[Code],tblProducts[Selling Price (excl. VAT)],0)</f>
        <v>65000</v>
      </c>
      <c r="K1891" s="5">
        <f>tblSales[[#This Row],[Qty]]*tblSales[[#This Row],[Unit Price]]</f>
        <v>780000</v>
      </c>
      <c r="L1891" s="5">
        <f>ROUND(tblSales[[#This Row],[DPP (excl. VAT)]]*VATEff,0)</f>
        <v>85800</v>
      </c>
      <c r="M1891" s="5">
        <f>tblSales[[#This Row],[DPP (excl. VAT)]]+tblSales[[#This Row],[Output VAT]]</f>
        <v>865800</v>
      </c>
      <c r="N1891" s="5">
        <f>tblSales[[#This Row],[Qty]]*_xlfn.XLOOKUP(tblSales[[#This Row],[Product Code]],tblProducts[Code],tblProducts[Unit Cost],0)</f>
        <v>444000</v>
      </c>
      <c r="O1891" s="4" t="s">
        <v>4865</v>
      </c>
      <c r="P1891" s="4" t="s">
        <v>4860</v>
      </c>
      <c r="Q1891" s="1" t="str">
        <f>_xlfn.XLOOKUP(tblSales[[#This Row],[Channel Code]],tblChannels[Channel Code],tblChannels[Channel Name],"")</f>
        <v>In-store</v>
      </c>
      <c r="R1891" s="1">
        <f>MONTH(tblSales[[#This Row],[Date]])</f>
        <v>4</v>
      </c>
    </row>
    <row r="1892" spans="2:18" x14ac:dyDescent="0.35">
      <c r="B1892" s="113">
        <v>46135</v>
      </c>
      <c r="C1892" s="4" t="s">
        <v>1286</v>
      </c>
      <c r="D1892" s="4" t="s">
        <v>4568</v>
      </c>
      <c r="E1892" s="1" t="str">
        <f>_xlfn.XLOOKUP(tblSales[[#This Row],[Customer ID]],tblCustomers[Customer ID],tblCustomers[Customer Name],"⚠ Unknown")</f>
        <v>Walk-in Customer</v>
      </c>
      <c r="F1892" s="4" t="s">
        <v>6</v>
      </c>
      <c r="G1892" s="1" t="str">
        <f>_xlfn.XLOOKUP(tblSales[[#This Row],[Product Code]],tblProducts[Code],tblProducts[Product / Service Name],"⚠ Unknown")</f>
        <v>Socks &amp; Accessories</v>
      </c>
      <c r="H1892" s="1" t="str">
        <f>_xlfn.XLOOKUP(tblSales[[#This Row],[Product Code]],tblProducts[Code],tblProducts[Category],"")</f>
        <v>Accessories &amp; Basics</v>
      </c>
      <c r="I1892" s="4">
        <v>8</v>
      </c>
      <c r="J1892" s="5">
        <f>_xlfn.XLOOKUP(tblSales[[#This Row],[Product Code]],tblProducts[Code],tblProducts[Selling Price (excl. VAT)],0)</f>
        <v>45000</v>
      </c>
      <c r="K1892" s="5">
        <f>tblSales[[#This Row],[Qty]]*tblSales[[#This Row],[Unit Price]]</f>
        <v>360000</v>
      </c>
      <c r="L1892" s="5">
        <f>ROUND(tblSales[[#This Row],[DPP (excl. VAT)]]*VATEff,0)</f>
        <v>39600</v>
      </c>
      <c r="M1892" s="5">
        <f>tblSales[[#This Row],[DPP (excl. VAT)]]+tblSales[[#This Row],[Output VAT]]</f>
        <v>399600</v>
      </c>
      <c r="N1892" s="5">
        <f>tblSales[[#This Row],[Qty]]*_xlfn.XLOOKUP(tblSales[[#This Row],[Product Code]],tblProducts[Code],tblProducts[Unit Cost],0)</f>
        <v>192000</v>
      </c>
      <c r="O1892" s="4" t="s">
        <v>4865</v>
      </c>
      <c r="P1892" s="4" t="s">
        <v>4860</v>
      </c>
      <c r="Q1892" s="1" t="str">
        <f>_xlfn.XLOOKUP(tblSales[[#This Row],[Channel Code]],tblChannels[Channel Code],tblChannels[Channel Name],"")</f>
        <v>In-store</v>
      </c>
      <c r="R1892" s="1">
        <f>MONTH(tblSales[[#This Row],[Date]])</f>
        <v>4</v>
      </c>
    </row>
    <row r="1893" spans="2:18" x14ac:dyDescent="0.35">
      <c r="B1893" s="113">
        <v>46135</v>
      </c>
      <c r="C1893" s="4" t="s">
        <v>1287</v>
      </c>
      <c r="D1893" s="4" t="s">
        <v>4648</v>
      </c>
      <c r="E1893" s="1" t="str">
        <f>_xlfn.XLOOKUP(tblSales[[#This Row],[Customer ID]],tblCustomers[Customer ID],tblCustomers[Customer Name],"⚠ Unknown")</f>
        <v>PT Lintas Benua Niaga</v>
      </c>
      <c r="F1893" s="4" t="s">
        <v>12</v>
      </c>
      <c r="G1893" s="1" t="str">
        <f>_xlfn.XLOOKUP(tblSales[[#This Row],[Product Code]],tblProducts[Code],tblProducts[Product / Service Name],"⚠ Unknown")</f>
        <v>Bomber Jacket</v>
      </c>
      <c r="H1893" s="1" t="str">
        <f>_xlfn.XLOOKUP(tblSales[[#This Row],[Product Code]],tblProducts[Code],tblProducts[Category],"")</f>
        <v>Apparel &amp; Footwear</v>
      </c>
      <c r="I1893" s="4">
        <v>32</v>
      </c>
      <c r="J1893" s="5">
        <f>_xlfn.XLOOKUP(tblSales[[#This Row],[Product Code]],tblProducts[Code],tblProducts[Selling Price (excl. VAT)],0)</f>
        <v>350000</v>
      </c>
      <c r="K1893" s="5">
        <f>tblSales[[#This Row],[Qty]]*tblSales[[#This Row],[Unit Price]]</f>
        <v>11200000</v>
      </c>
      <c r="L1893" s="5">
        <f>ROUND(tblSales[[#This Row],[DPP (excl. VAT)]]*VATEff,0)</f>
        <v>1232000</v>
      </c>
      <c r="M1893" s="5">
        <f>tblSales[[#This Row],[DPP (excl. VAT)]]+tblSales[[#This Row],[Output VAT]]</f>
        <v>12432000</v>
      </c>
      <c r="N1893" s="5">
        <f>tblSales[[#This Row],[Qty]]*_xlfn.XLOOKUP(tblSales[[#This Row],[Product Code]],tblProducts[Code],tblProducts[Unit Cost],0)</f>
        <v>6720000</v>
      </c>
      <c r="O1893" s="4" t="s">
        <v>4867</v>
      </c>
      <c r="P1893" s="4" t="s">
        <v>4860</v>
      </c>
      <c r="Q1893" s="1" t="str">
        <f>_xlfn.XLOOKUP(tblSales[[#This Row],[Channel Code]],tblChannels[Channel Code],tblChannels[Channel Name],"")</f>
        <v>In-store</v>
      </c>
      <c r="R1893" s="1">
        <f>MONTH(tblSales[[#This Row],[Date]])</f>
        <v>4</v>
      </c>
    </row>
    <row r="1894" spans="2:18" x14ac:dyDescent="0.35">
      <c r="B1894" s="113">
        <v>46135</v>
      </c>
      <c r="C1894" s="4" t="s">
        <v>1287</v>
      </c>
      <c r="D1894" s="4" t="s">
        <v>4648</v>
      </c>
      <c r="E1894" s="1" t="str">
        <f>_xlfn.XLOOKUP(tblSales[[#This Row],[Customer ID]],tblCustomers[Customer ID],tblCustomers[Customer Name],"⚠ Unknown")</f>
        <v>PT Lintas Benua Niaga</v>
      </c>
      <c r="F1894" s="4" t="s">
        <v>6</v>
      </c>
      <c r="G1894" s="1" t="str">
        <f>_xlfn.XLOOKUP(tblSales[[#This Row],[Product Code]],tblProducts[Code],tblProducts[Product / Service Name],"⚠ Unknown")</f>
        <v>Socks &amp; Accessories</v>
      </c>
      <c r="H1894" s="1" t="str">
        <f>_xlfn.XLOOKUP(tblSales[[#This Row],[Product Code]],tblProducts[Code],tblProducts[Category],"")</f>
        <v>Accessories &amp; Basics</v>
      </c>
      <c r="I1894" s="4">
        <v>56</v>
      </c>
      <c r="J1894" s="5">
        <f>_xlfn.XLOOKUP(tblSales[[#This Row],[Product Code]],tblProducts[Code],tblProducts[Selling Price (excl. VAT)],0)</f>
        <v>45000</v>
      </c>
      <c r="K1894" s="5">
        <f>tblSales[[#This Row],[Qty]]*tblSales[[#This Row],[Unit Price]]</f>
        <v>2520000</v>
      </c>
      <c r="L1894" s="5">
        <f>ROUND(tblSales[[#This Row],[DPP (excl. VAT)]]*VATEff,0)</f>
        <v>277200</v>
      </c>
      <c r="M1894" s="5">
        <f>tblSales[[#This Row],[DPP (excl. VAT)]]+tblSales[[#This Row],[Output VAT]]</f>
        <v>2797200</v>
      </c>
      <c r="N1894" s="5">
        <f>tblSales[[#This Row],[Qty]]*_xlfn.XLOOKUP(tblSales[[#This Row],[Product Code]],tblProducts[Code],tblProducts[Unit Cost],0)</f>
        <v>1344000</v>
      </c>
      <c r="O1894" s="4" t="s">
        <v>4867</v>
      </c>
      <c r="P1894" s="4" t="s">
        <v>4860</v>
      </c>
      <c r="Q1894" s="1" t="str">
        <f>_xlfn.XLOOKUP(tblSales[[#This Row],[Channel Code]],tblChannels[Channel Code],tblChannels[Channel Name],"")</f>
        <v>In-store</v>
      </c>
      <c r="R1894" s="1">
        <f>MONTH(tblSales[[#This Row],[Date]])</f>
        <v>4</v>
      </c>
    </row>
    <row r="1895" spans="2:18" x14ac:dyDescent="0.35">
      <c r="B1895" s="113">
        <v>46135</v>
      </c>
      <c r="C1895" s="4" t="s">
        <v>1288</v>
      </c>
      <c r="D1895" s="4" t="s">
        <v>4568</v>
      </c>
      <c r="E1895" s="1" t="str">
        <f>_xlfn.XLOOKUP(tblSales[[#This Row],[Customer ID]],tblCustomers[Customer ID],tblCustomers[Customer Name],"⚠ Unknown")</f>
        <v>Walk-in Customer</v>
      </c>
      <c r="F1895" s="4" t="s">
        <v>11</v>
      </c>
      <c r="G1895" s="1" t="str">
        <f>_xlfn.XLOOKUP(tblSales[[#This Row],[Product Code]],tblProducts[Code],tblProducts[Product / Service Name],"⚠ Unknown")</f>
        <v>Sneakers</v>
      </c>
      <c r="H1895" s="1" t="str">
        <f>_xlfn.XLOOKUP(tblSales[[#This Row],[Product Code]],tblProducts[Code],tblProducts[Category],"")</f>
        <v>Apparel &amp; Footwear</v>
      </c>
      <c r="I1895" s="4">
        <v>1</v>
      </c>
      <c r="J1895" s="5">
        <f>_xlfn.XLOOKUP(tblSales[[#This Row],[Product Code]],tblProducts[Code],tblProducts[Selling Price (excl. VAT)],0)</f>
        <v>250000</v>
      </c>
      <c r="K1895" s="5">
        <f>tblSales[[#This Row],[Qty]]*tblSales[[#This Row],[Unit Price]]</f>
        <v>250000</v>
      </c>
      <c r="L1895" s="5">
        <f>ROUND(tblSales[[#This Row],[DPP (excl. VAT)]]*VATEff,0)</f>
        <v>27500</v>
      </c>
      <c r="M1895" s="5">
        <f>tblSales[[#This Row],[DPP (excl. VAT)]]+tblSales[[#This Row],[Output VAT]]</f>
        <v>277500</v>
      </c>
      <c r="N1895" s="5">
        <f>tblSales[[#This Row],[Qty]]*_xlfn.XLOOKUP(tblSales[[#This Row],[Product Code]],tblProducts[Code],tblProducts[Unit Cost],0)</f>
        <v>155000</v>
      </c>
      <c r="O1895" s="4" t="s">
        <v>4866</v>
      </c>
      <c r="P1895" s="4" t="s">
        <v>4862</v>
      </c>
      <c r="Q1895" s="1" t="str">
        <f>_xlfn.XLOOKUP(tblSales[[#This Row],[Channel Code]],tblChannels[Channel Code],tblChannels[Channel Name],"")</f>
        <v>Website &amp; Social Media</v>
      </c>
      <c r="R1895" s="1">
        <f>MONTH(tblSales[[#This Row],[Date]])</f>
        <v>4</v>
      </c>
    </row>
    <row r="1896" spans="2:18" x14ac:dyDescent="0.35">
      <c r="B1896" s="113">
        <v>46135</v>
      </c>
      <c r="C1896" s="4" t="s">
        <v>1289</v>
      </c>
      <c r="D1896" s="4" t="s">
        <v>4568</v>
      </c>
      <c r="E1896" s="1" t="str">
        <f>_xlfn.XLOOKUP(tblSales[[#This Row],[Customer ID]],tblCustomers[Customer ID],tblCustomers[Customer Name],"⚠ Unknown")</f>
        <v>Walk-in Customer</v>
      </c>
      <c r="F1896" s="4" t="s">
        <v>7</v>
      </c>
      <c r="G1896" s="1" t="str">
        <f>_xlfn.XLOOKUP(tblSales[[#This Row],[Product Code]],tblProducts[Code],tblProducts[Product / Service Name],"⚠ Unknown")</f>
        <v>Premium Basic T-shirt</v>
      </c>
      <c r="H1896" s="1" t="str">
        <f>_xlfn.XLOOKUP(tblSales[[#This Row],[Product Code]],tblProducts[Code],tblProducts[Category],"")</f>
        <v>Accessories &amp; Basics</v>
      </c>
      <c r="I1896" s="4">
        <v>4</v>
      </c>
      <c r="J1896" s="5">
        <f>_xlfn.XLOOKUP(tblSales[[#This Row],[Product Code]],tblProducts[Code],tblProducts[Selling Price (excl. VAT)],0)</f>
        <v>65000</v>
      </c>
      <c r="K1896" s="5">
        <f>tblSales[[#This Row],[Qty]]*tblSales[[#This Row],[Unit Price]]</f>
        <v>260000</v>
      </c>
      <c r="L1896" s="5">
        <f>ROUND(tblSales[[#This Row],[DPP (excl. VAT)]]*VATEff,0)</f>
        <v>28600</v>
      </c>
      <c r="M1896" s="5">
        <f>tblSales[[#This Row],[DPP (excl. VAT)]]+tblSales[[#This Row],[Output VAT]]</f>
        <v>288600</v>
      </c>
      <c r="N1896" s="5">
        <f>tblSales[[#This Row],[Qty]]*_xlfn.XLOOKUP(tblSales[[#This Row],[Product Code]],tblProducts[Code],tblProducts[Unit Cost],0)</f>
        <v>148000</v>
      </c>
      <c r="O1896" s="4" t="s">
        <v>4865</v>
      </c>
      <c r="P1896" s="4" t="s">
        <v>4860</v>
      </c>
      <c r="Q1896" s="1" t="str">
        <f>_xlfn.XLOOKUP(tblSales[[#This Row],[Channel Code]],tblChannels[Channel Code],tblChannels[Channel Name],"")</f>
        <v>In-store</v>
      </c>
      <c r="R1896" s="1">
        <f>MONTH(tblSales[[#This Row],[Date]])</f>
        <v>4</v>
      </c>
    </row>
    <row r="1897" spans="2:18" x14ac:dyDescent="0.35">
      <c r="B1897" s="113">
        <v>46135</v>
      </c>
      <c r="C1897" s="4" t="s">
        <v>1290</v>
      </c>
      <c r="D1897" s="4" t="s">
        <v>4568</v>
      </c>
      <c r="E1897" s="1" t="str">
        <f>_xlfn.XLOOKUP(tblSales[[#This Row],[Customer ID]],tblCustomers[Customer ID],tblCustomers[Customer Name],"⚠ Unknown")</f>
        <v>Walk-in Customer</v>
      </c>
      <c r="F1897" s="4" t="s">
        <v>13</v>
      </c>
      <c r="G1897" s="1" t="str">
        <f>_xlfn.XLOOKUP(tblSales[[#This Row],[Product Code]],tblProducts[Code],tblProducts[Product / Service Name],"⚠ Unknown")</f>
        <v>Backpack</v>
      </c>
      <c r="H1897" s="1" t="str">
        <f>_xlfn.XLOOKUP(tblSales[[#This Row],[Product Code]],tblProducts[Code],tblProducts[Category],"")</f>
        <v>Bags &amp; Gadgets</v>
      </c>
      <c r="I1897" s="4">
        <v>4</v>
      </c>
      <c r="J1897" s="5">
        <f>_xlfn.XLOOKUP(tblSales[[#This Row],[Product Code]],tblProducts[Code],tblProducts[Selling Price (excl. VAT)],0)</f>
        <v>500000</v>
      </c>
      <c r="K1897" s="5">
        <f>tblSales[[#This Row],[Qty]]*tblSales[[#This Row],[Unit Price]]</f>
        <v>2000000</v>
      </c>
      <c r="L1897" s="5">
        <f>ROUND(tblSales[[#This Row],[DPP (excl. VAT)]]*VATEff,0)</f>
        <v>220000</v>
      </c>
      <c r="M1897" s="5">
        <f>tblSales[[#This Row],[DPP (excl. VAT)]]+tblSales[[#This Row],[Output VAT]]</f>
        <v>2220000</v>
      </c>
      <c r="N1897" s="5">
        <f>tblSales[[#This Row],[Qty]]*_xlfn.XLOOKUP(tblSales[[#This Row],[Product Code]],tblProducts[Code],tblProducts[Unit Cost],0)</f>
        <v>1160000</v>
      </c>
      <c r="O1897" s="4" t="s">
        <v>4865</v>
      </c>
      <c r="P1897" s="4" t="s">
        <v>4860</v>
      </c>
      <c r="Q1897" s="1" t="str">
        <f>_xlfn.XLOOKUP(tblSales[[#This Row],[Channel Code]],tblChannels[Channel Code],tblChannels[Channel Name],"")</f>
        <v>In-store</v>
      </c>
      <c r="R1897" s="1">
        <f>MONTH(tblSales[[#This Row],[Date]])</f>
        <v>4</v>
      </c>
    </row>
    <row r="1898" spans="2:18" x14ac:dyDescent="0.35">
      <c r="B1898" s="113">
        <v>46135</v>
      </c>
      <c r="C1898" s="4" t="s">
        <v>1291</v>
      </c>
      <c r="D1898" s="4" t="s">
        <v>4568</v>
      </c>
      <c r="E1898" s="1" t="str">
        <f>_xlfn.XLOOKUP(tblSales[[#This Row],[Customer ID]],tblCustomers[Customer ID],tblCustomers[Customer Name],"⚠ Unknown")</f>
        <v>Walk-in Customer</v>
      </c>
      <c r="F1898" s="4" t="s">
        <v>13</v>
      </c>
      <c r="G1898" s="1" t="str">
        <f>_xlfn.XLOOKUP(tblSales[[#This Row],[Product Code]],tblProducts[Code],tblProducts[Product / Service Name],"⚠ Unknown")</f>
        <v>Backpack</v>
      </c>
      <c r="H1898" s="1" t="str">
        <f>_xlfn.XLOOKUP(tblSales[[#This Row],[Product Code]],tblProducts[Code],tblProducts[Category],"")</f>
        <v>Bags &amp; Gadgets</v>
      </c>
      <c r="I1898" s="4">
        <v>1</v>
      </c>
      <c r="J1898" s="5">
        <f>_xlfn.XLOOKUP(tblSales[[#This Row],[Product Code]],tblProducts[Code],tblProducts[Selling Price (excl. VAT)],0)</f>
        <v>500000</v>
      </c>
      <c r="K1898" s="5">
        <f>tblSales[[#This Row],[Qty]]*tblSales[[#This Row],[Unit Price]]</f>
        <v>500000</v>
      </c>
      <c r="L1898" s="5">
        <f>ROUND(tblSales[[#This Row],[DPP (excl. VAT)]]*VATEff,0)</f>
        <v>55000</v>
      </c>
      <c r="M1898" s="5">
        <f>tblSales[[#This Row],[DPP (excl. VAT)]]+tblSales[[#This Row],[Output VAT]]</f>
        <v>555000</v>
      </c>
      <c r="N1898" s="5">
        <f>tblSales[[#This Row],[Qty]]*_xlfn.XLOOKUP(tblSales[[#This Row],[Product Code]],tblProducts[Code],tblProducts[Unit Cost],0)</f>
        <v>290000</v>
      </c>
      <c r="O1898" s="4" t="s">
        <v>4865</v>
      </c>
      <c r="P1898" s="4" t="s">
        <v>4860</v>
      </c>
      <c r="Q1898" s="1" t="str">
        <f>_xlfn.XLOOKUP(tblSales[[#This Row],[Channel Code]],tblChannels[Channel Code],tblChannels[Channel Name],"")</f>
        <v>In-store</v>
      </c>
      <c r="R1898" s="1">
        <f>MONTH(tblSales[[#This Row],[Date]])</f>
        <v>4</v>
      </c>
    </row>
    <row r="1899" spans="2:18" x14ac:dyDescent="0.35">
      <c r="B1899" s="113">
        <v>46135</v>
      </c>
      <c r="C1899" s="4" t="s">
        <v>1292</v>
      </c>
      <c r="D1899" s="4" t="s">
        <v>4568</v>
      </c>
      <c r="E1899" s="1" t="str">
        <f>_xlfn.XLOOKUP(tblSales[[#This Row],[Customer ID]],tblCustomers[Customer ID],tblCustomers[Customer Name],"⚠ Unknown")</f>
        <v>Walk-in Customer</v>
      </c>
      <c r="F1899" s="4" t="s">
        <v>9</v>
      </c>
      <c r="G1899" s="1" t="str">
        <f>_xlfn.XLOOKUP(tblSales[[#This Row],[Product Code]],tblProducts[Code],tblProducts[Product / Service Name],"⚠ Unknown")</f>
        <v>Casual Shirt</v>
      </c>
      <c r="H1899" s="1" t="str">
        <f>_xlfn.XLOOKUP(tblSales[[#This Row],[Product Code]],tblProducts[Code],tblProducts[Category],"")</f>
        <v>Apparel &amp; Footwear</v>
      </c>
      <c r="I1899" s="4">
        <v>1</v>
      </c>
      <c r="J1899" s="5">
        <f>_xlfn.XLOOKUP(tblSales[[#This Row],[Product Code]],tblProducts[Code],tblProducts[Selling Price (excl. VAT)],0)</f>
        <v>120000</v>
      </c>
      <c r="K1899" s="5">
        <f>tblSales[[#This Row],[Qty]]*tblSales[[#This Row],[Unit Price]]</f>
        <v>120000</v>
      </c>
      <c r="L1899" s="5">
        <f>ROUND(tblSales[[#This Row],[DPP (excl. VAT)]]*VATEff,0)</f>
        <v>13200</v>
      </c>
      <c r="M1899" s="5">
        <f>tblSales[[#This Row],[DPP (excl. VAT)]]+tblSales[[#This Row],[Output VAT]]</f>
        <v>133200</v>
      </c>
      <c r="N1899" s="5">
        <f>tblSales[[#This Row],[Qty]]*_xlfn.XLOOKUP(tblSales[[#This Row],[Product Code]],tblProducts[Code],tblProducts[Unit Cost],0)</f>
        <v>72000</v>
      </c>
      <c r="O1899" s="4" t="s">
        <v>4866</v>
      </c>
      <c r="P1899" s="4" t="s">
        <v>4861</v>
      </c>
      <c r="Q1899" s="1" t="str">
        <f>_xlfn.XLOOKUP(tblSales[[#This Row],[Channel Code]],tblChannels[Channel Code],tblChannels[Channel Name],"")</f>
        <v>Marketplace</v>
      </c>
      <c r="R1899" s="1">
        <f>MONTH(tblSales[[#This Row],[Date]])</f>
        <v>4</v>
      </c>
    </row>
    <row r="1900" spans="2:18" x14ac:dyDescent="0.35">
      <c r="B1900" s="113">
        <v>46135</v>
      </c>
      <c r="C1900" s="4" t="s">
        <v>1293</v>
      </c>
      <c r="D1900" s="4" t="s">
        <v>4578</v>
      </c>
      <c r="E1900" s="1" t="str">
        <f>_xlfn.XLOOKUP(tblSales[[#This Row],[Customer ID]],tblCustomers[Customer ID],tblCustomers[Customer Name],"⚠ Unknown")</f>
        <v>PT Bintang Timur Sejahtera</v>
      </c>
      <c r="F1900" s="4" t="s">
        <v>11</v>
      </c>
      <c r="G1900" s="1" t="str">
        <f>_xlfn.XLOOKUP(tblSales[[#This Row],[Product Code]],tblProducts[Code],tblProducts[Product / Service Name],"⚠ Unknown")</f>
        <v>Sneakers</v>
      </c>
      <c r="H1900" s="1" t="str">
        <f>_xlfn.XLOOKUP(tblSales[[#This Row],[Product Code]],tblProducts[Code],tblProducts[Category],"")</f>
        <v>Apparel &amp; Footwear</v>
      </c>
      <c r="I1900" s="4">
        <v>32</v>
      </c>
      <c r="J1900" s="5">
        <f>_xlfn.XLOOKUP(tblSales[[#This Row],[Product Code]],tblProducts[Code],tblProducts[Selling Price (excl. VAT)],0)</f>
        <v>250000</v>
      </c>
      <c r="K1900" s="5">
        <f>tblSales[[#This Row],[Qty]]*tblSales[[#This Row],[Unit Price]]</f>
        <v>8000000</v>
      </c>
      <c r="L1900" s="5">
        <f>ROUND(tblSales[[#This Row],[DPP (excl. VAT)]]*VATEff,0)</f>
        <v>880000</v>
      </c>
      <c r="M1900" s="5">
        <f>tblSales[[#This Row],[DPP (excl. VAT)]]+tblSales[[#This Row],[Output VAT]]</f>
        <v>8880000</v>
      </c>
      <c r="N1900" s="5">
        <f>tblSales[[#This Row],[Qty]]*_xlfn.XLOOKUP(tblSales[[#This Row],[Product Code]],tblProducts[Code],tblProducts[Unit Cost],0)</f>
        <v>4960000</v>
      </c>
      <c r="O1900" s="4" t="s">
        <v>4867</v>
      </c>
      <c r="P1900" s="4" t="s">
        <v>4860</v>
      </c>
      <c r="Q1900" s="1" t="str">
        <f>_xlfn.XLOOKUP(tblSales[[#This Row],[Channel Code]],tblChannels[Channel Code],tblChannels[Channel Name],"")</f>
        <v>In-store</v>
      </c>
      <c r="R1900" s="1">
        <f>MONTH(tblSales[[#This Row],[Date]])</f>
        <v>4</v>
      </c>
    </row>
    <row r="1901" spans="2:18" x14ac:dyDescent="0.35">
      <c r="B1901" s="113">
        <v>46135</v>
      </c>
      <c r="C1901" s="4" t="s">
        <v>1293</v>
      </c>
      <c r="D1901" s="4" t="s">
        <v>4578</v>
      </c>
      <c r="E1901" s="1" t="str">
        <f>_xlfn.XLOOKUP(tblSales[[#This Row],[Customer ID]],tblCustomers[Customer ID],tblCustomers[Customer Name],"⚠ Unknown")</f>
        <v>PT Bintang Timur Sejahtera</v>
      </c>
      <c r="F1901" s="4" t="s">
        <v>7</v>
      </c>
      <c r="G1901" s="1" t="str">
        <f>_xlfn.XLOOKUP(tblSales[[#This Row],[Product Code]],tblProducts[Code],tblProducts[Product / Service Name],"⚠ Unknown")</f>
        <v>Premium Basic T-shirt</v>
      </c>
      <c r="H1901" s="1" t="str">
        <f>_xlfn.XLOOKUP(tblSales[[#This Row],[Product Code]],tblProducts[Code],tblProducts[Category],"")</f>
        <v>Accessories &amp; Basics</v>
      </c>
      <c r="I1901" s="4">
        <v>56</v>
      </c>
      <c r="J1901" s="5">
        <f>_xlfn.XLOOKUP(tblSales[[#This Row],[Product Code]],tblProducts[Code],tblProducts[Selling Price (excl. VAT)],0)</f>
        <v>65000</v>
      </c>
      <c r="K1901" s="5">
        <f>tblSales[[#This Row],[Qty]]*tblSales[[#This Row],[Unit Price]]</f>
        <v>3640000</v>
      </c>
      <c r="L1901" s="5">
        <f>ROUND(tblSales[[#This Row],[DPP (excl. VAT)]]*VATEff,0)</f>
        <v>400400</v>
      </c>
      <c r="M1901" s="5">
        <f>tblSales[[#This Row],[DPP (excl. VAT)]]+tblSales[[#This Row],[Output VAT]]</f>
        <v>4040400</v>
      </c>
      <c r="N1901" s="5">
        <f>tblSales[[#This Row],[Qty]]*_xlfn.XLOOKUP(tblSales[[#This Row],[Product Code]],tblProducts[Code],tblProducts[Unit Cost],0)</f>
        <v>2072000</v>
      </c>
      <c r="O1901" s="4" t="s">
        <v>4867</v>
      </c>
      <c r="P1901" s="4" t="s">
        <v>4860</v>
      </c>
      <c r="Q1901" s="1" t="str">
        <f>_xlfn.XLOOKUP(tblSales[[#This Row],[Channel Code]],tblChannels[Channel Code],tblChannels[Channel Name],"")</f>
        <v>In-store</v>
      </c>
      <c r="R1901" s="1">
        <f>MONTH(tblSales[[#This Row],[Date]])</f>
        <v>4</v>
      </c>
    </row>
    <row r="1902" spans="2:18" x14ac:dyDescent="0.35">
      <c r="B1902" s="113">
        <v>46135</v>
      </c>
      <c r="C1902" s="4" t="s">
        <v>1294</v>
      </c>
      <c r="D1902" s="4" t="s">
        <v>4568</v>
      </c>
      <c r="E1902" s="1" t="str">
        <f>_xlfn.XLOOKUP(tblSales[[#This Row],[Customer ID]],tblCustomers[Customer ID],tblCustomers[Customer Name],"⚠ Unknown")</f>
        <v>Walk-in Customer</v>
      </c>
      <c r="F1902" s="4" t="s">
        <v>8</v>
      </c>
      <c r="G1902" s="1" t="str">
        <f>_xlfn.XLOOKUP(tblSales[[#This Row],[Product Code]],tblProducts[Code],tblProducts[Product / Service Name],"⚠ Unknown")</f>
        <v>Casual Shorts</v>
      </c>
      <c r="H1902" s="1" t="str">
        <f>_xlfn.XLOOKUP(tblSales[[#This Row],[Product Code]],tblProducts[Code],tblProducts[Category],"")</f>
        <v>Accessories &amp; Basics</v>
      </c>
      <c r="I1902" s="4">
        <v>2</v>
      </c>
      <c r="J1902" s="5">
        <f>_xlfn.XLOOKUP(tblSales[[#This Row],[Product Code]],tblProducts[Code],tblProducts[Selling Price (excl. VAT)],0)</f>
        <v>85000</v>
      </c>
      <c r="K1902" s="5">
        <f>tblSales[[#This Row],[Qty]]*tblSales[[#This Row],[Unit Price]]</f>
        <v>170000</v>
      </c>
      <c r="L1902" s="5">
        <f>ROUND(tblSales[[#This Row],[DPP (excl. VAT)]]*VATEff,0)</f>
        <v>18700</v>
      </c>
      <c r="M1902" s="5">
        <f>tblSales[[#This Row],[DPP (excl. VAT)]]+tblSales[[#This Row],[Output VAT]]</f>
        <v>188700</v>
      </c>
      <c r="N1902" s="5">
        <f>tblSales[[#This Row],[Qty]]*_xlfn.XLOOKUP(tblSales[[#This Row],[Product Code]],tblProducts[Code],tblProducts[Unit Cost],0)</f>
        <v>100000</v>
      </c>
      <c r="O1902" s="4" t="s">
        <v>4866</v>
      </c>
      <c r="P1902" s="4" t="s">
        <v>4861</v>
      </c>
      <c r="Q1902" s="1" t="str">
        <f>_xlfn.XLOOKUP(tblSales[[#This Row],[Channel Code]],tblChannels[Channel Code],tblChannels[Channel Name],"")</f>
        <v>Marketplace</v>
      </c>
      <c r="R1902" s="1">
        <f>MONTH(tblSales[[#This Row],[Date]])</f>
        <v>4</v>
      </c>
    </row>
    <row r="1903" spans="2:18" x14ac:dyDescent="0.35">
      <c r="B1903" s="113">
        <v>46135</v>
      </c>
      <c r="C1903" s="4" t="s">
        <v>1295</v>
      </c>
      <c r="D1903" s="4" t="s">
        <v>4641</v>
      </c>
      <c r="E1903" s="1" t="str">
        <f>_xlfn.XLOOKUP(tblSales[[#This Row],[Customer ID]],tblCustomers[Customer ID],tblCustomers[Customer Name],"⚠ Unknown")</f>
        <v>PT Harmoni Pangan Lestari</v>
      </c>
      <c r="F1903" s="4" t="s">
        <v>10</v>
      </c>
      <c r="G1903" s="1" t="str">
        <f>_xlfn.XLOOKUP(tblSales[[#This Row],[Product Code]],tblProducts[Code],tblProducts[Product / Service Name],"⚠ Unknown")</f>
        <v>Chino Pants</v>
      </c>
      <c r="H1903" s="1" t="str">
        <f>_xlfn.XLOOKUP(tblSales[[#This Row],[Product Code]],tblProducts[Code],tblProducts[Category],"")</f>
        <v>Apparel &amp; Footwear</v>
      </c>
      <c r="I1903" s="4">
        <v>96</v>
      </c>
      <c r="J1903" s="5">
        <f>_xlfn.XLOOKUP(tblSales[[#This Row],[Product Code]],tblProducts[Code],tblProducts[Selling Price (excl. VAT)],0)</f>
        <v>150000</v>
      </c>
      <c r="K1903" s="5">
        <f>tblSales[[#This Row],[Qty]]*tblSales[[#This Row],[Unit Price]]</f>
        <v>14400000</v>
      </c>
      <c r="L1903" s="5">
        <f>ROUND(tblSales[[#This Row],[DPP (excl. VAT)]]*VATEff,0)</f>
        <v>1584000</v>
      </c>
      <c r="M1903" s="5">
        <f>tblSales[[#This Row],[DPP (excl. VAT)]]+tblSales[[#This Row],[Output VAT]]</f>
        <v>15984000</v>
      </c>
      <c r="N1903" s="5">
        <f>tblSales[[#This Row],[Qty]]*_xlfn.XLOOKUP(tblSales[[#This Row],[Product Code]],tblProducts[Code],tblProducts[Unit Cost],0)</f>
        <v>8448000</v>
      </c>
      <c r="O1903" s="4" t="s">
        <v>4867</v>
      </c>
      <c r="P1903" s="4" t="s">
        <v>4860</v>
      </c>
      <c r="Q1903" s="1" t="str">
        <f>_xlfn.XLOOKUP(tblSales[[#This Row],[Channel Code]],tblChannels[Channel Code],tblChannels[Channel Name],"")</f>
        <v>In-store</v>
      </c>
      <c r="R1903" s="1">
        <f>MONTH(tblSales[[#This Row],[Date]])</f>
        <v>4</v>
      </c>
    </row>
    <row r="1904" spans="2:18" x14ac:dyDescent="0.35">
      <c r="B1904" s="113">
        <v>46136</v>
      </c>
      <c r="C1904" s="4" t="s">
        <v>1296</v>
      </c>
      <c r="D1904" s="4" t="s">
        <v>4568</v>
      </c>
      <c r="E1904" s="1" t="str">
        <f>_xlfn.XLOOKUP(tblSales[[#This Row],[Customer ID]],tblCustomers[Customer ID],tblCustomers[Customer Name],"⚠ Unknown")</f>
        <v>Walk-in Customer</v>
      </c>
      <c r="F1904" s="4" t="s">
        <v>6</v>
      </c>
      <c r="G1904" s="1" t="str">
        <f>_xlfn.XLOOKUP(tblSales[[#This Row],[Product Code]],tblProducts[Code],tblProducts[Product / Service Name],"⚠ Unknown")</f>
        <v>Socks &amp; Accessories</v>
      </c>
      <c r="H1904" s="1" t="str">
        <f>_xlfn.XLOOKUP(tblSales[[#This Row],[Product Code]],tblProducts[Code],tblProducts[Category],"")</f>
        <v>Accessories &amp; Basics</v>
      </c>
      <c r="I1904" s="4">
        <v>4</v>
      </c>
      <c r="J1904" s="5">
        <f>_xlfn.XLOOKUP(tblSales[[#This Row],[Product Code]],tblProducts[Code],tblProducts[Selling Price (excl. VAT)],0)</f>
        <v>45000</v>
      </c>
      <c r="K1904" s="5">
        <f>tblSales[[#This Row],[Qty]]*tblSales[[#This Row],[Unit Price]]</f>
        <v>180000</v>
      </c>
      <c r="L1904" s="5">
        <f>ROUND(tblSales[[#This Row],[DPP (excl. VAT)]]*VATEff,0)</f>
        <v>19800</v>
      </c>
      <c r="M1904" s="5">
        <f>tblSales[[#This Row],[DPP (excl. VAT)]]+tblSales[[#This Row],[Output VAT]]</f>
        <v>199800</v>
      </c>
      <c r="N1904" s="5">
        <f>tblSales[[#This Row],[Qty]]*_xlfn.XLOOKUP(tblSales[[#This Row],[Product Code]],tblProducts[Code],tblProducts[Unit Cost],0)</f>
        <v>96000</v>
      </c>
      <c r="O1904" s="4" t="s">
        <v>4866</v>
      </c>
      <c r="P1904" s="4" t="s">
        <v>4861</v>
      </c>
      <c r="Q1904" s="1" t="str">
        <f>_xlfn.XLOOKUP(tblSales[[#This Row],[Channel Code]],tblChannels[Channel Code],tblChannels[Channel Name],"")</f>
        <v>Marketplace</v>
      </c>
      <c r="R1904" s="1">
        <f>MONTH(tblSales[[#This Row],[Date]])</f>
        <v>4</v>
      </c>
    </row>
    <row r="1905" spans="2:18" x14ac:dyDescent="0.35">
      <c r="B1905" s="113">
        <v>46136</v>
      </c>
      <c r="C1905" s="4" t="s">
        <v>1297</v>
      </c>
      <c r="D1905" s="4" t="s">
        <v>4648</v>
      </c>
      <c r="E1905" s="1" t="str">
        <f>_xlfn.XLOOKUP(tblSales[[#This Row],[Customer ID]],tblCustomers[Customer ID],tblCustomers[Customer Name],"⚠ Unknown")</f>
        <v>PT Lintas Benua Niaga</v>
      </c>
      <c r="F1905" s="4" t="s">
        <v>7</v>
      </c>
      <c r="G1905" s="1" t="str">
        <f>_xlfn.XLOOKUP(tblSales[[#This Row],[Product Code]],tblProducts[Code],tblProducts[Product / Service Name],"⚠ Unknown")</f>
        <v>Premium Basic T-shirt</v>
      </c>
      <c r="H1905" s="1" t="str">
        <f>_xlfn.XLOOKUP(tblSales[[#This Row],[Product Code]],tblProducts[Code],tblProducts[Category],"")</f>
        <v>Accessories &amp; Basics</v>
      </c>
      <c r="I1905" s="4">
        <v>72</v>
      </c>
      <c r="J1905" s="5">
        <f>_xlfn.XLOOKUP(tblSales[[#This Row],[Product Code]],tblProducts[Code],tblProducts[Selling Price (excl. VAT)],0)</f>
        <v>65000</v>
      </c>
      <c r="K1905" s="5">
        <f>tblSales[[#This Row],[Qty]]*tblSales[[#This Row],[Unit Price]]</f>
        <v>4680000</v>
      </c>
      <c r="L1905" s="5">
        <f>ROUND(tblSales[[#This Row],[DPP (excl. VAT)]]*VATEff,0)</f>
        <v>514800</v>
      </c>
      <c r="M1905" s="5">
        <f>tblSales[[#This Row],[DPP (excl. VAT)]]+tblSales[[#This Row],[Output VAT]]</f>
        <v>5194800</v>
      </c>
      <c r="N1905" s="5">
        <f>tblSales[[#This Row],[Qty]]*_xlfn.XLOOKUP(tblSales[[#This Row],[Product Code]],tblProducts[Code],tblProducts[Unit Cost],0)</f>
        <v>2664000</v>
      </c>
      <c r="O1905" s="4" t="s">
        <v>4867</v>
      </c>
      <c r="P1905" s="4" t="s">
        <v>4860</v>
      </c>
      <c r="Q1905" s="1" t="str">
        <f>_xlfn.XLOOKUP(tblSales[[#This Row],[Channel Code]],tblChannels[Channel Code],tblChannels[Channel Name],"")</f>
        <v>In-store</v>
      </c>
      <c r="R1905" s="1">
        <f>MONTH(tblSales[[#This Row],[Date]])</f>
        <v>4</v>
      </c>
    </row>
    <row r="1906" spans="2:18" x14ac:dyDescent="0.35">
      <c r="B1906" s="113">
        <v>46136</v>
      </c>
      <c r="C1906" s="4" t="s">
        <v>1298</v>
      </c>
      <c r="D1906" s="4" t="s">
        <v>4613</v>
      </c>
      <c r="E1906" s="1" t="str">
        <f>_xlfn.XLOOKUP(tblSales[[#This Row],[Customer ID]],tblCustomers[Customer ID],tblCustomers[Customer Name],"⚠ Unknown")</f>
        <v>PT Mega Prima Distribusi</v>
      </c>
      <c r="F1906" s="4" t="s">
        <v>6</v>
      </c>
      <c r="G1906" s="1" t="str">
        <f>_xlfn.XLOOKUP(tblSales[[#This Row],[Product Code]],tblProducts[Code],tblProducts[Product / Service Name],"⚠ Unknown")</f>
        <v>Socks &amp; Accessories</v>
      </c>
      <c r="H1906" s="1" t="str">
        <f>_xlfn.XLOOKUP(tblSales[[#This Row],[Product Code]],tblProducts[Code],tblProducts[Category],"")</f>
        <v>Accessories &amp; Basics</v>
      </c>
      <c r="I1906" s="4">
        <v>40</v>
      </c>
      <c r="J1906" s="5">
        <f>_xlfn.XLOOKUP(tblSales[[#This Row],[Product Code]],tblProducts[Code],tblProducts[Selling Price (excl. VAT)],0)</f>
        <v>45000</v>
      </c>
      <c r="K1906" s="5">
        <f>tblSales[[#This Row],[Qty]]*tblSales[[#This Row],[Unit Price]]</f>
        <v>1800000</v>
      </c>
      <c r="L1906" s="5">
        <f>ROUND(tblSales[[#This Row],[DPP (excl. VAT)]]*VATEff,0)</f>
        <v>198000</v>
      </c>
      <c r="M1906" s="5">
        <f>tblSales[[#This Row],[DPP (excl. VAT)]]+tblSales[[#This Row],[Output VAT]]</f>
        <v>1998000</v>
      </c>
      <c r="N1906" s="5">
        <f>tblSales[[#This Row],[Qty]]*_xlfn.XLOOKUP(tblSales[[#This Row],[Product Code]],tblProducts[Code],tblProducts[Unit Cost],0)</f>
        <v>960000</v>
      </c>
      <c r="O1906" s="4" t="s">
        <v>4867</v>
      </c>
      <c r="P1906" s="4" t="s">
        <v>4860</v>
      </c>
      <c r="Q1906" s="1" t="str">
        <f>_xlfn.XLOOKUP(tblSales[[#This Row],[Channel Code]],tblChannels[Channel Code],tblChannels[Channel Name],"")</f>
        <v>In-store</v>
      </c>
      <c r="R1906" s="1">
        <f>MONTH(tblSales[[#This Row],[Date]])</f>
        <v>4</v>
      </c>
    </row>
    <row r="1907" spans="2:18" x14ac:dyDescent="0.35">
      <c r="B1907" s="113">
        <v>46136</v>
      </c>
      <c r="C1907" s="4" t="s">
        <v>1299</v>
      </c>
      <c r="D1907" s="4" t="s">
        <v>4568</v>
      </c>
      <c r="E1907" s="1" t="str">
        <f>_xlfn.XLOOKUP(tblSales[[#This Row],[Customer ID]],tblCustomers[Customer ID],tblCustomers[Customer Name],"⚠ Unknown")</f>
        <v>Walk-in Customer</v>
      </c>
      <c r="F1907" s="4" t="s">
        <v>13</v>
      </c>
      <c r="G1907" s="1" t="str">
        <f>_xlfn.XLOOKUP(tblSales[[#This Row],[Product Code]],tblProducts[Code],tblProducts[Product / Service Name],"⚠ Unknown")</f>
        <v>Backpack</v>
      </c>
      <c r="H1907" s="1" t="str">
        <f>_xlfn.XLOOKUP(tblSales[[#This Row],[Product Code]],tblProducts[Code],tblProducts[Category],"")</f>
        <v>Bags &amp; Gadgets</v>
      </c>
      <c r="I1907" s="4">
        <v>3</v>
      </c>
      <c r="J1907" s="5">
        <f>_xlfn.XLOOKUP(tblSales[[#This Row],[Product Code]],tblProducts[Code],tblProducts[Selling Price (excl. VAT)],0)</f>
        <v>500000</v>
      </c>
      <c r="K1907" s="5">
        <f>tblSales[[#This Row],[Qty]]*tblSales[[#This Row],[Unit Price]]</f>
        <v>1500000</v>
      </c>
      <c r="L1907" s="5">
        <f>ROUND(tblSales[[#This Row],[DPP (excl. VAT)]]*VATEff,0)</f>
        <v>165000</v>
      </c>
      <c r="M1907" s="5">
        <f>tblSales[[#This Row],[DPP (excl. VAT)]]+tblSales[[#This Row],[Output VAT]]</f>
        <v>1665000</v>
      </c>
      <c r="N1907" s="5">
        <f>tblSales[[#This Row],[Qty]]*_xlfn.XLOOKUP(tblSales[[#This Row],[Product Code]],tblProducts[Code],tblProducts[Unit Cost],0)</f>
        <v>870000</v>
      </c>
      <c r="O1907" s="4" t="s">
        <v>4865</v>
      </c>
      <c r="P1907" s="4" t="s">
        <v>4860</v>
      </c>
      <c r="Q1907" s="1" t="str">
        <f>_xlfn.XLOOKUP(tblSales[[#This Row],[Channel Code]],tblChannels[Channel Code],tblChannels[Channel Name],"")</f>
        <v>In-store</v>
      </c>
      <c r="R1907" s="1">
        <f>MONTH(tblSales[[#This Row],[Date]])</f>
        <v>4</v>
      </c>
    </row>
    <row r="1908" spans="2:18" x14ac:dyDescent="0.35">
      <c r="B1908" s="113">
        <v>46136</v>
      </c>
      <c r="C1908" s="4" t="s">
        <v>1300</v>
      </c>
      <c r="D1908" s="4" t="s">
        <v>4568</v>
      </c>
      <c r="E1908" s="1" t="str">
        <f>_xlfn.XLOOKUP(tblSales[[#This Row],[Customer ID]],tblCustomers[Customer ID],tblCustomers[Customer Name],"⚠ Unknown")</f>
        <v>Walk-in Customer</v>
      </c>
      <c r="F1908" s="4" t="s">
        <v>7</v>
      </c>
      <c r="G1908" s="1" t="str">
        <f>_xlfn.XLOOKUP(tblSales[[#This Row],[Product Code]],tblProducts[Code],tblProducts[Product / Service Name],"⚠ Unknown")</f>
        <v>Premium Basic T-shirt</v>
      </c>
      <c r="H1908" s="1" t="str">
        <f>_xlfn.XLOOKUP(tblSales[[#This Row],[Product Code]],tblProducts[Code],tblProducts[Category],"")</f>
        <v>Accessories &amp; Basics</v>
      </c>
      <c r="I1908" s="4">
        <v>4</v>
      </c>
      <c r="J1908" s="5">
        <f>_xlfn.XLOOKUP(tblSales[[#This Row],[Product Code]],tblProducts[Code],tblProducts[Selling Price (excl. VAT)],0)</f>
        <v>65000</v>
      </c>
      <c r="K1908" s="5">
        <f>tblSales[[#This Row],[Qty]]*tblSales[[#This Row],[Unit Price]]</f>
        <v>260000</v>
      </c>
      <c r="L1908" s="5">
        <f>ROUND(tblSales[[#This Row],[DPP (excl. VAT)]]*VATEff,0)</f>
        <v>28600</v>
      </c>
      <c r="M1908" s="5">
        <f>tblSales[[#This Row],[DPP (excl. VAT)]]+tblSales[[#This Row],[Output VAT]]</f>
        <v>288600</v>
      </c>
      <c r="N1908" s="5">
        <f>tblSales[[#This Row],[Qty]]*_xlfn.XLOOKUP(tblSales[[#This Row],[Product Code]],tblProducts[Code],tblProducts[Unit Cost],0)</f>
        <v>148000</v>
      </c>
      <c r="O1908" s="4" t="s">
        <v>4866</v>
      </c>
      <c r="P1908" s="4" t="s">
        <v>4861</v>
      </c>
      <c r="Q1908" s="1" t="str">
        <f>_xlfn.XLOOKUP(tblSales[[#This Row],[Channel Code]],tblChannels[Channel Code],tblChannels[Channel Name],"")</f>
        <v>Marketplace</v>
      </c>
      <c r="R1908" s="1">
        <f>MONTH(tblSales[[#This Row],[Date]])</f>
        <v>4</v>
      </c>
    </row>
    <row r="1909" spans="2:18" x14ac:dyDescent="0.35">
      <c r="B1909" s="113">
        <v>46136</v>
      </c>
      <c r="C1909" s="4" t="s">
        <v>1301</v>
      </c>
      <c r="D1909" s="4" t="s">
        <v>4568</v>
      </c>
      <c r="E1909" s="1" t="str">
        <f>_xlfn.XLOOKUP(tblSales[[#This Row],[Customer ID]],tblCustomers[Customer ID],tblCustomers[Customer Name],"⚠ Unknown")</f>
        <v>Walk-in Customer</v>
      </c>
      <c r="F1909" s="4" t="s">
        <v>9</v>
      </c>
      <c r="G1909" s="1" t="str">
        <f>_xlfn.XLOOKUP(tblSales[[#This Row],[Product Code]],tblProducts[Code],tblProducts[Product / Service Name],"⚠ Unknown")</f>
        <v>Casual Shirt</v>
      </c>
      <c r="H1909" s="1" t="str">
        <f>_xlfn.XLOOKUP(tblSales[[#This Row],[Product Code]],tblProducts[Code],tblProducts[Category],"")</f>
        <v>Apparel &amp; Footwear</v>
      </c>
      <c r="I1909" s="4">
        <v>6</v>
      </c>
      <c r="J1909" s="5">
        <f>_xlfn.XLOOKUP(tblSales[[#This Row],[Product Code]],tblProducts[Code],tblProducts[Selling Price (excl. VAT)],0)</f>
        <v>120000</v>
      </c>
      <c r="K1909" s="5">
        <f>tblSales[[#This Row],[Qty]]*tblSales[[#This Row],[Unit Price]]</f>
        <v>720000</v>
      </c>
      <c r="L1909" s="5">
        <f>ROUND(tblSales[[#This Row],[DPP (excl. VAT)]]*VATEff,0)</f>
        <v>79200</v>
      </c>
      <c r="M1909" s="5">
        <f>tblSales[[#This Row],[DPP (excl. VAT)]]+tblSales[[#This Row],[Output VAT]]</f>
        <v>799200</v>
      </c>
      <c r="N1909" s="5">
        <f>tblSales[[#This Row],[Qty]]*_xlfn.XLOOKUP(tblSales[[#This Row],[Product Code]],tblProducts[Code],tblProducts[Unit Cost],0)</f>
        <v>432000</v>
      </c>
      <c r="O1909" s="4" t="s">
        <v>4866</v>
      </c>
      <c r="P1909" s="4" t="s">
        <v>4861</v>
      </c>
      <c r="Q1909" s="1" t="str">
        <f>_xlfn.XLOOKUP(tblSales[[#This Row],[Channel Code]],tblChannels[Channel Code],tblChannels[Channel Name],"")</f>
        <v>Marketplace</v>
      </c>
      <c r="R1909" s="1">
        <f>MONTH(tblSales[[#This Row],[Date]])</f>
        <v>4</v>
      </c>
    </row>
    <row r="1910" spans="2:18" x14ac:dyDescent="0.35">
      <c r="B1910" s="113">
        <v>46136</v>
      </c>
      <c r="C1910" s="4" t="s">
        <v>1302</v>
      </c>
      <c r="D1910" s="4" t="s">
        <v>4568</v>
      </c>
      <c r="E1910" s="1" t="str">
        <f>_xlfn.XLOOKUP(tblSales[[#This Row],[Customer ID]],tblCustomers[Customer ID],tblCustomers[Customer Name],"⚠ Unknown")</f>
        <v>Walk-in Customer</v>
      </c>
      <c r="F1910" s="4" t="s">
        <v>6</v>
      </c>
      <c r="G1910" s="1" t="str">
        <f>_xlfn.XLOOKUP(tblSales[[#This Row],[Product Code]],tblProducts[Code],tblProducts[Product / Service Name],"⚠ Unknown")</f>
        <v>Socks &amp; Accessories</v>
      </c>
      <c r="H1910" s="1" t="str">
        <f>_xlfn.XLOOKUP(tblSales[[#This Row],[Product Code]],tblProducts[Code],tblProducts[Category],"")</f>
        <v>Accessories &amp; Basics</v>
      </c>
      <c r="I1910" s="4">
        <v>11</v>
      </c>
      <c r="J1910" s="5">
        <f>_xlfn.XLOOKUP(tblSales[[#This Row],[Product Code]],tblProducts[Code],tblProducts[Selling Price (excl. VAT)],0)</f>
        <v>45000</v>
      </c>
      <c r="K1910" s="5">
        <f>tblSales[[#This Row],[Qty]]*tblSales[[#This Row],[Unit Price]]</f>
        <v>495000</v>
      </c>
      <c r="L1910" s="5">
        <f>ROUND(tblSales[[#This Row],[DPP (excl. VAT)]]*VATEff,0)</f>
        <v>54450</v>
      </c>
      <c r="M1910" s="5">
        <f>tblSales[[#This Row],[DPP (excl. VAT)]]+tblSales[[#This Row],[Output VAT]]</f>
        <v>549450</v>
      </c>
      <c r="N1910" s="5">
        <f>tblSales[[#This Row],[Qty]]*_xlfn.XLOOKUP(tblSales[[#This Row],[Product Code]],tblProducts[Code],tblProducts[Unit Cost],0)</f>
        <v>264000</v>
      </c>
      <c r="O1910" s="4" t="s">
        <v>4866</v>
      </c>
      <c r="P1910" s="4" t="s">
        <v>4860</v>
      </c>
      <c r="Q1910" s="1" t="str">
        <f>_xlfn.XLOOKUP(tblSales[[#This Row],[Channel Code]],tblChannels[Channel Code],tblChannels[Channel Name],"")</f>
        <v>In-store</v>
      </c>
      <c r="R1910" s="1">
        <f>MONTH(tblSales[[#This Row],[Date]])</f>
        <v>4</v>
      </c>
    </row>
    <row r="1911" spans="2:18" x14ac:dyDescent="0.35">
      <c r="B1911" s="113">
        <v>46136</v>
      </c>
      <c r="C1911" s="4" t="s">
        <v>1302</v>
      </c>
      <c r="D1911" s="4" t="s">
        <v>4568</v>
      </c>
      <c r="E1911" s="1" t="str">
        <f>_xlfn.XLOOKUP(tblSales[[#This Row],[Customer ID]],tblCustomers[Customer ID],tblCustomers[Customer Name],"⚠ Unknown")</f>
        <v>Walk-in Customer</v>
      </c>
      <c r="F1911" s="4" t="s">
        <v>7</v>
      </c>
      <c r="G1911" s="1" t="str">
        <f>_xlfn.XLOOKUP(tblSales[[#This Row],[Product Code]],tblProducts[Code],tblProducts[Product / Service Name],"⚠ Unknown")</f>
        <v>Premium Basic T-shirt</v>
      </c>
      <c r="H1911" s="1" t="str">
        <f>_xlfn.XLOOKUP(tblSales[[#This Row],[Product Code]],tblProducts[Code],tblProducts[Category],"")</f>
        <v>Accessories &amp; Basics</v>
      </c>
      <c r="I1911" s="4">
        <v>3</v>
      </c>
      <c r="J1911" s="5">
        <f>_xlfn.XLOOKUP(tblSales[[#This Row],[Product Code]],tblProducts[Code],tblProducts[Selling Price (excl. VAT)],0)</f>
        <v>65000</v>
      </c>
      <c r="K1911" s="5">
        <f>tblSales[[#This Row],[Qty]]*tblSales[[#This Row],[Unit Price]]</f>
        <v>195000</v>
      </c>
      <c r="L1911" s="5">
        <f>ROUND(tblSales[[#This Row],[DPP (excl. VAT)]]*VATEff,0)</f>
        <v>21450</v>
      </c>
      <c r="M1911" s="5">
        <f>tblSales[[#This Row],[DPP (excl. VAT)]]+tblSales[[#This Row],[Output VAT]]</f>
        <v>216450</v>
      </c>
      <c r="N1911" s="5">
        <f>tblSales[[#This Row],[Qty]]*_xlfn.XLOOKUP(tblSales[[#This Row],[Product Code]],tblProducts[Code],tblProducts[Unit Cost],0)</f>
        <v>111000</v>
      </c>
      <c r="O1911" s="4" t="s">
        <v>4866</v>
      </c>
      <c r="P1911" s="4" t="s">
        <v>4860</v>
      </c>
      <c r="Q1911" s="1" t="str">
        <f>_xlfn.XLOOKUP(tblSales[[#This Row],[Channel Code]],tblChannels[Channel Code],tblChannels[Channel Name],"")</f>
        <v>In-store</v>
      </c>
      <c r="R1911" s="1">
        <f>MONTH(tblSales[[#This Row],[Date]])</f>
        <v>4</v>
      </c>
    </row>
    <row r="1912" spans="2:18" x14ac:dyDescent="0.35">
      <c r="B1912" s="113">
        <v>46136</v>
      </c>
      <c r="C1912" s="4" t="s">
        <v>1303</v>
      </c>
      <c r="D1912" s="4" t="s">
        <v>4568</v>
      </c>
      <c r="E1912" s="1" t="str">
        <f>_xlfn.XLOOKUP(tblSales[[#This Row],[Customer ID]],tblCustomers[Customer ID],tblCustomers[Customer Name],"⚠ Unknown")</f>
        <v>Walk-in Customer</v>
      </c>
      <c r="F1912" s="4" t="s">
        <v>7</v>
      </c>
      <c r="G1912" s="1" t="str">
        <f>_xlfn.XLOOKUP(tblSales[[#This Row],[Product Code]],tblProducts[Code],tblProducts[Product / Service Name],"⚠ Unknown")</f>
        <v>Premium Basic T-shirt</v>
      </c>
      <c r="H1912" s="1" t="str">
        <f>_xlfn.XLOOKUP(tblSales[[#This Row],[Product Code]],tblProducts[Code],tblProducts[Category],"")</f>
        <v>Accessories &amp; Basics</v>
      </c>
      <c r="I1912" s="4">
        <v>6</v>
      </c>
      <c r="J1912" s="5">
        <f>_xlfn.XLOOKUP(tblSales[[#This Row],[Product Code]],tblProducts[Code],tblProducts[Selling Price (excl. VAT)],0)</f>
        <v>65000</v>
      </c>
      <c r="K1912" s="5">
        <f>tblSales[[#This Row],[Qty]]*tblSales[[#This Row],[Unit Price]]</f>
        <v>390000</v>
      </c>
      <c r="L1912" s="5">
        <f>ROUND(tblSales[[#This Row],[DPP (excl. VAT)]]*VATEff,0)</f>
        <v>42900</v>
      </c>
      <c r="M1912" s="5">
        <f>tblSales[[#This Row],[DPP (excl. VAT)]]+tblSales[[#This Row],[Output VAT]]</f>
        <v>432900</v>
      </c>
      <c r="N1912" s="5">
        <f>tblSales[[#This Row],[Qty]]*_xlfn.XLOOKUP(tblSales[[#This Row],[Product Code]],tblProducts[Code],tblProducts[Unit Cost],0)</f>
        <v>222000</v>
      </c>
      <c r="O1912" s="4" t="s">
        <v>4865</v>
      </c>
      <c r="P1912" s="4" t="s">
        <v>4860</v>
      </c>
      <c r="Q1912" s="1" t="str">
        <f>_xlfn.XLOOKUP(tblSales[[#This Row],[Channel Code]],tblChannels[Channel Code],tblChannels[Channel Name],"")</f>
        <v>In-store</v>
      </c>
      <c r="R1912" s="1">
        <f>MONTH(tblSales[[#This Row],[Date]])</f>
        <v>4</v>
      </c>
    </row>
    <row r="1913" spans="2:18" x14ac:dyDescent="0.35">
      <c r="B1913" s="113">
        <v>46136</v>
      </c>
      <c r="C1913" s="4" t="s">
        <v>1303</v>
      </c>
      <c r="D1913" s="4" t="s">
        <v>4568</v>
      </c>
      <c r="E1913" s="1" t="str">
        <f>_xlfn.XLOOKUP(tblSales[[#This Row],[Customer ID]],tblCustomers[Customer ID],tblCustomers[Customer Name],"⚠ Unknown")</f>
        <v>Walk-in Customer</v>
      </c>
      <c r="F1913" s="4" t="s">
        <v>6</v>
      </c>
      <c r="G1913" s="1" t="str">
        <f>_xlfn.XLOOKUP(tblSales[[#This Row],[Product Code]],tblProducts[Code],tblProducts[Product / Service Name],"⚠ Unknown")</f>
        <v>Socks &amp; Accessories</v>
      </c>
      <c r="H1913" s="1" t="str">
        <f>_xlfn.XLOOKUP(tblSales[[#This Row],[Product Code]],tblProducts[Code],tblProducts[Category],"")</f>
        <v>Accessories &amp; Basics</v>
      </c>
      <c r="I1913" s="4">
        <v>4</v>
      </c>
      <c r="J1913" s="5">
        <f>_xlfn.XLOOKUP(tblSales[[#This Row],[Product Code]],tblProducts[Code],tblProducts[Selling Price (excl. VAT)],0)</f>
        <v>45000</v>
      </c>
      <c r="K1913" s="5">
        <f>tblSales[[#This Row],[Qty]]*tblSales[[#This Row],[Unit Price]]</f>
        <v>180000</v>
      </c>
      <c r="L1913" s="5">
        <f>ROUND(tblSales[[#This Row],[DPP (excl. VAT)]]*VATEff,0)</f>
        <v>19800</v>
      </c>
      <c r="M1913" s="5">
        <f>tblSales[[#This Row],[DPP (excl. VAT)]]+tblSales[[#This Row],[Output VAT]]</f>
        <v>199800</v>
      </c>
      <c r="N1913" s="5">
        <f>tblSales[[#This Row],[Qty]]*_xlfn.XLOOKUP(tblSales[[#This Row],[Product Code]],tblProducts[Code],tblProducts[Unit Cost],0)</f>
        <v>96000</v>
      </c>
      <c r="O1913" s="4" t="s">
        <v>4865</v>
      </c>
      <c r="P1913" s="4" t="s">
        <v>4860</v>
      </c>
      <c r="Q1913" s="1" t="str">
        <f>_xlfn.XLOOKUP(tblSales[[#This Row],[Channel Code]],tblChannels[Channel Code],tblChannels[Channel Name],"")</f>
        <v>In-store</v>
      </c>
      <c r="R1913" s="1">
        <f>MONTH(tblSales[[#This Row],[Date]])</f>
        <v>4</v>
      </c>
    </row>
    <row r="1914" spans="2:18" x14ac:dyDescent="0.35">
      <c r="B1914" s="113">
        <v>46136</v>
      </c>
      <c r="C1914" s="4" t="s">
        <v>1303</v>
      </c>
      <c r="D1914" s="4" t="s">
        <v>4568</v>
      </c>
      <c r="E1914" s="1" t="str">
        <f>_xlfn.XLOOKUP(tblSales[[#This Row],[Customer ID]],tblCustomers[Customer ID],tblCustomers[Customer Name],"⚠ Unknown")</f>
        <v>Walk-in Customer</v>
      </c>
      <c r="F1914" s="4" t="s">
        <v>10</v>
      </c>
      <c r="G1914" s="1" t="str">
        <f>_xlfn.XLOOKUP(tblSales[[#This Row],[Product Code]],tblProducts[Code],tblProducts[Product / Service Name],"⚠ Unknown")</f>
        <v>Chino Pants</v>
      </c>
      <c r="H1914" s="1" t="str">
        <f>_xlfn.XLOOKUP(tblSales[[#This Row],[Product Code]],tblProducts[Code],tblProducts[Category],"")</f>
        <v>Apparel &amp; Footwear</v>
      </c>
      <c r="I1914" s="4">
        <v>6</v>
      </c>
      <c r="J1914" s="5">
        <f>_xlfn.XLOOKUP(tblSales[[#This Row],[Product Code]],tblProducts[Code],tblProducts[Selling Price (excl. VAT)],0)</f>
        <v>150000</v>
      </c>
      <c r="K1914" s="5">
        <f>tblSales[[#This Row],[Qty]]*tblSales[[#This Row],[Unit Price]]</f>
        <v>900000</v>
      </c>
      <c r="L1914" s="5">
        <f>ROUND(tblSales[[#This Row],[DPP (excl. VAT)]]*VATEff,0)</f>
        <v>99000</v>
      </c>
      <c r="M1914" s="5">
        <f>tblSales[[#This Row],[DPP (excl. VAT)]]+tblSales[[#This Row],[Output VAT]]</f>
        <v>999000</v>
      </c>
      <c r="N1914" s="5">
        <f>tblSales[[#This Row],[Qty]]*_xlfn.XLOOKUP(tblSales[[#This Row],[Product Code]],tblProducts[Code],tblProducts[Unit Cost],0)</f>
        <v>528000</v>
      </c>
      <c r="O1914" s="4" t="s">
        <v>4865</v>
      </c>
      <c r="P1914" s="4" t="s">
        <v>4860</v>
      </c>
      <c r="Q1914" s="1" t="str">
        <f>_xlfn.XLOOKUP(tblSales[[#This Row],[Channel Code]],tblChannels[Channel Code],tblChannels[Channel Name],"")</f>
        <v>In-store</v>
      </c>
      <c r="R1914" s="1">
        <f>MONTH(tblSales[[#This Row],[Date]])</f>
        <v>4</v>
      </c>
    </row>
    <row r="1915" spans="2:18" x14ac:dyDescent="0.35">
      <c r="B1915" s="113">
        <v>46136</v>
      </c>
      <c r="C1915" s="4" t="s">
        <v>1304</v>
      </c>
      <c r="D1915" s="4" t="s">
        <v>4568</v>
      </c>
      <c r="E1915" s="1" t="str">
        <f>_xlfn.XLOOKUP(tblSales[[#This Row],[Customer ID]],tblCustomers[Customer ID],tblCustomers[Customer Name],"⚠ Unknown")</f>
        <v>Walk-in Customer</v>
      </c>
      <c r="F1915" s="4" t="s">
        <v>7</v>
      </c>
      <c r="G1915" s="1" t="str">
        <f>_xlfn.XLOOKUP(tblSales[[#This Row],[Product Code]],tblProducts[Code],tblProducts[Product / Service Name],"⚠ Unknown")</f>
        <v>Premium Basic T-shirt</v>
      </c>
      <c r="H1915" s="1" t="str">
        <f>_xlfn.XLOOKUP(tblSales[[#This Row],[Product Code]],tblProducts[Code],tblProducts[Category],"")</f>
        <v>Accessories &amp; Basics</v>
      </c>
      <c r="I1915" s="4">
        <v>5</v>
      </c>
      <c r="J1915" s="5">
        <f>_xlfn.XLOOKUP(tblSales[[#This Row],[Product Code]],tblProducts[Code],tblProducts[Selling Price (excl. VAT)],0)</f>
        <v>65000</v>
      </c>
      <c r="K1915" s="5">
        <f>tblSales[[#This Row],[Qty]]*tblSales[[#This Row],[Unit Price]]</f>
        <v>325000</v>
      </c>
      <c r="L1915" s="5">
        <f>ROUND(tblSales[[#This Row],[DPP (excl. VAT)]]*VATEff,0)</f>
        <v>35750</v>
      </c>
      <c r="M1915" s="5">
        <f>tblSales[[#This Row],[DPP (excl. VAT)]]+tblSales[[#This Row],[Output VAT]]</f>
        <v>360750</v>
      </c>
      <c r="N1915" s="5">
        <f>tblSales[[#This Row],[Qty]]*_xlfn.XLOOKUP(tblSales[[#This Row],[Product Code]],tblProducts[Code],tblProducts[Unit Cost],0)</f>
        <v>185000</v>
      </c>
      <c r="O1915" s="4" t="s">
        <v>4866</v>
      </c>
      <c r="P1915" s="4" t="s">
        <v>4860</v>
      </c>
      <c r="Q1915" s="1" t="str">
        <f>_xlfn.XLOOKUP(tblSales[[#This Row],[Channel Code]],tblChannels[Channel Code],tblChannels[Channel Name],"")</f>
        <v>In-store</v>
      </c>
      <c r="R1915" s="1">
        <f>MONTH(tblSales[[#This Row],[Date]])</f>
        <v>4</v>
      </c>
    </row>
    <row r="1916" spans="2:18" x14ac:dyDescent="0.35">
      <c r="B1916" s="113">
        <v>46136</v>
      </c>
      <c r="C1916" s="4" t="s">
        <v>1305</v>
      </c>
      <c r="D1916" s="4" t="s">
        <v>4568</v>
      </c>
      <c r="E1916" s="1" t="str">
        <f>_xlfn.XLOOKUP(tblSales[[#This Row],[Customer ID]],tblCustomers[Customer ID],tblCustomers[Customer Name],"⚠ Unknown")</f>
        <v>Walk-in Customer</v>
      </c>
      <c r="F1916" s="4" t="s">
        <v>8</v>
      </c>
      <c r="G1916" s="1" t="str">
        <f>_xlfn.XLOOKUP(tblSales[[#This Row],[Product Code]],tblProducts[Code],tblProducts[Product / Service Name],"⚠ Unknown")</f>
        <v>Casual Shorts</v>
      </c>
      <c r="H1916" s="1" t="str">
        <f>_xlfn.XLOOKUP(tblSales[[#This Row],[Product Code]],tblProducts[Code],tblProducts[Category],"")</f>
        <v>Accessories &amp; Basics</v>
      </c>
      <c r="I1916" s="4">
        <v>5</v>
      </c>
      <c r="J1916" s="5">
        <f>_xlfn.XLOOKUP(tblSales[[#This Row],[Product Code]],tblProducts[Code],tblProducts[Selling Price (excl. VAT)],0)</f>
        <v>85000</v>
      </c>
      <c r="K1916" s="5">
        <f>tblSales[[#This Row],[Qty]]*tblSales[[#This Row],[Unit Price]]</f>
        <v>425000</v>
      </c>
      <c r="L1916" s="5">
        <f>ROUND(tblSales[[#This Row],[DPP (excl. VAT)]]*VATEff,0)</f>
        <v>46750</v>
      </c>
      <c r="M1916" s="5">
        <f>tblSales[[#This Row],[DPP (excl. VAT)]]+tblSales[[#This Row],[Output VAT]]</f>
        <v>471750</v>
      </c>
      <c r="N1916" s="5">
        <f>tblSales[[#This Row],[Qty]]*_xlfn.XLOOKUP(tblSales[[#This Row],[Product Code]],tblProducts[Code],tblProducts[Unit Cost],0)</f>
        <v>250000</v>
      </c>
      <c r="O1916" s="4" t="s">
        <v>4865</v>
      </c>
      <c r="P1916" s="4" t="s">
        <v>4860</v>
      </c>
      <c r="Q1916" s="1" t="str">
        <f>_xlfn.XLOOKUP(tblSales[[#This Row],[Channel Code]],tblChannels[Channel Code],tblChannels[Channel Name],"")</f>
        <v>In-store</v>
      </c>
      <c r="R1916" s="1">
        <f>MONTH(tblSales[[#This Row],[Date]])</f>
        <v>4</v>
      </c>
    </row>
    <row r="1917" spans="2:18" x14ac:dyDescent="0.35">
      <c r="B1917" s="113">
        <v>46136</v>
      </c>
      <c r="C1917" s="4" t="s">
        <v>1306</v>
      </c>
      <c r="D1917" s="4" t="s">
        <v>4606</v>
      </c>
      <c r="E1917" s="1" t="str">
        <f>_xlfn.XLOOKUP(tblSales[[#This Row],[Customer ID]],tblCustomers[Customer ID],tblCustomers[Customer Name],"⚠ Unknown")</f>
        <v>PT Arunika Digital Kreatif</v>
      </c>
      <c r="F1917" s="4" t="s">
        <v>10</v>
      </c>
      <c r="G1917" s="1" t="str">
        <f>_xlfn.XLOOKUP(tblSales[[#This Row],[Product Code]],tblProducts[Code],tblProducts[Product / Service Name],"⚠ Unknown")</f>
        <v>Chino Pants</v>
      </c>
      <c r="H1917" s="1" t="str">
        <f>_xlfn.XLOOKUP(tblSales[[#This Row],[Product Code]],tblProducts[Code],tblProducts[Category],"")</f>
        <v>Apparel &amp; Footwear</v>
      </c>
      <c r="I1917" s="4">
        <v>32</v>
      </c>
      <c r="J1917" s="5">
        <f>_xlfn.XLOOKUP(tblSales[[#This Row],[Product Code]],tblProducts[Code],tblProducts[Selling Price (excl. VAT)],0)</f>
        <v>150000</v>
      </c>
      <c r="K1917" s="5">
        <f>tblSales[[#This Row],[Qty]]*tblSales[[#This Row],[Unit Price]]</f>
        <v>4800000</v>
      </c>
      <c r="L1917" s="5">
        <f>ROUND(tblSales[[#This Row],[DPP (excl. VAT)]]*VATEff,0)</f>
        <v>528000</v>
      </c>
      <c r="M1917" s="5">
        <f>tblSales[[#This Row],[DPP (excl. VAT)]]+tblSales[[#This Row],[Output VAT]]</f>
        <v>5328000</v>
      </c>
      <c r="N1917" s="5">
        <f>tblSales[[#This Row],[Qty]]*_xlfn.XLOOKUP(tblSales[[#This Row],[Product Code]],tblProducts[Code],tblProducts[Unit Cost],0)</f>
        <v>2816000</v>
      </c>
      <c r="O1917" s="4" t="s">
        <v>4867</v>
      </c>
      <c r="P1917" s="4" t="s">
        <v>4860</v>
      </c>
      <c r="Q1917" s="1" t="str">
        <f>_xlfn.XLOOKUP(tblSales[[#This Row],[Channel Code]],tblChannels[Channel Code],tblChannels[Channel Name],"")</f>
        <v>In-store</v>
      </c>
      <c r="R1917" s="1">
        <f>MONTH(tblSales[[#This Row],[Date]])</f>
        <v>4</v>
      </c>
    </row>
    <row r="1918" spans="2:18" x14ac:dyDescent="0.35">
      <c r="B1918" s="113">
        <v>46136</v>
      </c>
      <c r="C1918" s="4" t="s">
        <v>1306</v>
      </c>
      <c r="D1918" s="4" t="s">
        <v>4606</v>
      </c>
      <c r="E1918" s="1" t="str">
        <f>_xlfn.XLOOKUP(tblSales[[#This Row],[Customer ID]],tblCustomers[Customer ID],tblCustomers[Customer Name],"⚠ Unknown")</f>
        <v>PT Arunika Digital Kreatif</v>
      </c>
      <c r="F1918" s="4" t="s">
        <v>6</v>
      </c>
      <c r="G1918" s="1" t="str">
        <f>_xlfn.XLOOKUP(tblSales[[#This Row],[Product Code]],tblProducts[Code],tblProducts[Product / Service Name],"⚠ Unknown")</f>
        <v>Socks &amp; Accessories</v>
      </c>
      <c r="H1918" s="1" t="str">
        <f>_xlfn.XLOOKUP(tblSales[[#This Row],[Product Code]],tblProducts[Code],tblProducts[Category],"")</f>
        <v>Accessories &amp; Basics</v>
      </c>
      <c r="I1918" s="4">
        <v>80</v>
      </c>
      <c r="J1918" s="5">
        <f>_xlfn.XLOOKUP(tblSales[[#This Row],[Product Code]],tblProducts[Code],tblProducts[Selling Price (excl. VAT)],0)</f>
        <v>45000</v>
      </c>
      <c r="K1918" s="5">
        <f>tblSales[[#This Row],[Qty]]*tblSales[[#This Row],[Unit Price]]</f>
        <v>3600000</v>
      </c>
      <c r="L1918" s="5">
        <f>ROUND(tblSales[[#This Row],[DPP (excl. VAT)]]*VATEff,0)</f>
        <v>396000</v>
      </c>
      <c r="M1918" s="5">
        <f>tblSales[[#This Row],[DPP (excl. VAT)]]+tblSales[[#This Row],[Output VAT]]</f>
        <v>3996000</v>
      </c>
      <c r="N1918" s="5">
        <f>tblSales[[#This Row],[Qty]]*_xlfn.XLOOKUP(tblSales[[#This Row],[Product Code]],tblProducts[Code],tblProducts[Unit Cost],0)</f>
        <v>1920000</v>
      </c>
      <c r="O1918" s="4" t="s">
        <v>4867</v>
      </c>
      <c r="P1918" s="4" t="s">
        <v>4860</v>
      </c>
      <c r="Q1918" s="1" t="str">
        <f>_xlfn.XLOOKUP(tblSales[[#This Row],[Channel Code]],tblChannels[Channel Code],tblChannels[Channel Name],"")</f>
        <v>In-store</v>
      </c>
      <c r="R1918" s="1">
        <f>MONTH(tblSales[[#This Row],[Date]])</f>
        <v>4</v>
      </c>
    </row>
    <row r="1919" spans="2:18" x14ac:dyDescent="0.35">
      <c r="B1919" s="113">
        <v>46137</v>
      </c>
      <c r="C1919" s="4" t="s">
        <v>1307</v>
      </c>
      <c r="D1919" s="4" t="s">
        <v>4568</v>
      </c>
      <c r="E1919" s="1" t="str">
        <f>_xlfn.XLOOKUP(tblSales[[#This Row],[Customer ID]],tblCustomers[Customer ID],tblCustomers[Customer Name],"⚠ Unknown")</f>
        <v>Walk-in Customer</v>
      </c>
      <c r="F1919" s="4" t="s">
        <v>6</v>
      </c>
      <c r="G1919" s="1" t="str">
        <f>_xlfn.XLOOKUP(tblSales[[#This Row],[Product Code]],tblProducts[Code],tblProducts[Product / Service Name],"⚠ Unknown")</f>
        <v>Socks &amp; Accessories</v>
      </c>
      <c r="H1919" s="1" t="str">
        <f>_xlfn.XLOOKUP(tblSales[[#This Row],[Product Code]],tblProducts[Code],tblProducts[Category],"")</f>
        <v>Accessories &amp; Basics</v>
      </c>
      <c r="I1919" s="4">
        <v>2</v>
      </c>
      <c r="J1919" s="5">
        <f>_xlfn.XLOOKUP(tblSales[[#This Row],[Product Code]],tblProducts[Code],tblProducts[Selling Price (excl. VAT)],0)</f>
        <v>45000</v>
      </c>
      <c r="K1919" s="5">
        <f>tblSales[[#This Row],[Qty]]*tblSales[[#This Row],[Unit Price]]</f>
        <v>90000</v>
      </c>
      <c r="L1919" s="5">
        <f>ROUND(tblSales[[#This Row],[DPP (excl. VAT)]]*VATEff,0)</f>
        <v>9900</v>
      </c>
      <c r="M1919" s="5">
        <f>tblSales[[#This Row],[DPP (excl. VAT)]]+tblSales[[#This Row],[Output VAT]]</f>
        <v>99900</v>
      </c>
      <c r="N1919" s="5">
        <f>tblSales[[#This Row],[Qty]]*_xlfn.XLOOKUP(tblSales[[#This Row],[Product Code]],tblProducts[Code],tblProducts[Unit Cost],0)</f>
        <v>48000</v>
      </c>
      <c r="O1919" s="4" t="s">
        <v>4866</v>
      </c>
      <c r="P1919" s="4" t="s">
        <v>4861</v>
      </c>
      <c r="Q1919" s="1" t="str">
        <f>_xlfn.XLOOKUP(tblSales[[#This Row],[Channel Code]],tblChannels[Channel Code],tblChannels[Channel Name],"")</f>
        <v>Marketplace</v>
      </c>
      <c r="R1919" s="1">
        <f>MONTH(tblSales[[#This Row],[Date]])</f>
        <v>4</v>
      </c>
    </row>
    <row r="1920" spans="2:18" x14ac:dyDescent="0.35">
      <c r="B1920" s="113">
        <v>46137</v>
      </c>
      <c r="C1920" s="4" t="s">
        <v>1308</v>
      </c>
      <c r="D1920" s="4" t="s">
        <v>4568</v>
      </c>
      <c r="E1920" s="1" t="str">
        <f>_xlfn.XLOOKUP(tblSales[[#This Row],[Customer ID]],tblCustomers[Customer ID],tblCustomers[Customer Name],"⚠ Unknown")</f>
        <v>Walk-in Customer</v>
      </c>
      <c r="F1920" s="4" t="s">
        <v>11</v>
      </c>
      <c r="G1920" s="1" t="str">
        <f>_xlfn.XLOOKUP(tblSales[[#This Row],[Product Code]],tblProducts[Code],tblProducts[Product / Service Name],"⚠ Unknown")</f>
        <v>Sneakers</v>
      </c>
      <c r="H1920" s="1" t="str">
        <f>_xlfn.XLOOKUP(tblSales[[#This Row],[Product Code]],tblProducts[Code],tblProducts[Category],"")</f>
        <v>Apparel &amp; Footwear</v>
      </c>
      <c r="I1920" s="4">
        <v>5</v>
      </c>
      <c r="J1920" s="5">
        <f>_xlfn.XLOOKUP(tblSales[[#This Row],[Product Code]],tblProducts[Code],tblProducts[Selling Price (excl. VAT)],0)</f>
        <v>250000</v>
      </c>
      <c r="K1920" s="5">
        <f>tblSales[[#This Row],[Qty]]*tblSales[[#This Row],[Unit Price]]</f>
        <v>1250000</v>
      </c>
      <c r="L1920" s="5">
        <f>ROUND(tblSales[[#This Row],[DPP (excl. VAT)]]*VATEff,0)</f>
        <v>137500</v>
      </c>
      <c r="M1920" s="5">
        <f>tblSales[[#This Row],[DPP (excl. VAT)]]+tblSales[[#This Row],[Output VAT]]</f>
        <v>1387500</v>
      </c>
      <c r="N1920" s="5">
        <f>tblSales[[#This Row],[Qty]]*_xlfn.XLOOKUP(tblSales[[#This Row],[Product Code]],tblProducts[Code],tblProducts[Unit Cost],0)</f>
        <v>775000</v>
      </c>
      <c r="O1920" s="4" t="s">
        <v>4866</v>
      </c>
      <c r="P1920" s="4" t="s">
        <v>4861</v>
      </c>
      <c r="Q1920" s="1" t="str">
        <f>_xlfn.XLOOKUP(tblSales[[#This Row],[Channel Code]],tblChannels[Channel Code],tblChannels[Channel Name],"")</f>
        <v>Marketplace</v>
      </c>
      <c r="R1920" s="1">
        <f>MONTH(tblSales[[#This Row],[Date]])</f>
        <v>4</v>
      </c>
    </row>
    <row r="1921" spans="2:18" x14ac:dyDescent="0.35">
      <c r="B1921" s="113">
        <v>46137</v>
      </c>
      <c r="C1921" s="4" t="s">
        <v>1309</v>
      </c>
      <c r="D1921" s="4" t="s">
        <v>4641</v>
      </c>
      <c r="E1921" s="1" t="str">
        <f>_xlfn.XLOOKUP(tblSales[[#This Row],[Customer ID]],tblCustomers[Customer ID],tblCustomers[Customer Name],"⚠ Unknown")</f>
        <v>PT Harmoni Pangan Lestari</v>
      </c>
      <c r="F1921" s="4" t="s">
        <v>14</v>
      </c>
      <c r="G1921" s="1" t="str">
        <f>_xlfn.XLOOKUP(tblSales[[#This Row],[Product Code]],tblProducts[Code],tblProducts[Product / Service Name],"⚠ Unknown")</f>
        <v>Smartwatch</v>
      </c>
      <c r="H1921" s="1" t="str">
        <f>_xlfn.XLOOKUP(tblSales[[#This Row],[Product Code]],tblProducts[Code],tblProducts[Category],"")</f>
        <v>Bags &amp; Gadgets</v>
      </c>
      <c r="I1921" s="4">
        <v>24</v>
      </c>
      <c r="J1921" s="5">
        <f>_xlfn.XLOOKUP(tblSales[[#This Row],[Product Code]],tblProducts[Code],tblProducts[Selling Price (excl. VAT)],0)</f>
        <v>850000</v>
      </c>
      <c r="K1921" s="5">
        <f>tblSales[[#This Row],[Qty]]*tblSales[[#This Row],[Unit Price]]</f>
        <v>20400000</v>
      </c>
      <c r="L1921" s="5">
        <f>ROUND(tblSales[[#This Row],[DPP (excl. VAT)]]*VATEff,0)</f>
        <v>2244000</v>
      </c>
      <c r="M1921" s="5">
        <f>tblSales[[#This Row],[DPP (excl. VAT)]]+tblSales[[#This Row],[Output VAT]]</f>
        <v>22644000</v>
      </c>
      <c r="N1921" s="5">
        <f>tblSales[[#This Row],[Qty]]*_xlfn.XLOOKUP(tblSales[[#This Row],[Product Code]],tblProducts[Code],tblProducts[Unit Cost],0)</f>
        <v>13440000</v>
      </c>
      <c r="O1921" s="4" t="s">
        <v>4867</v>
      </c>
      <c r="P1921" s="4" t="s">
        <v>4860</v>
      </c>
      <c r="Q1921" s="1" t="str">
        <f>_xlfn.XLOOKUP(tblSales[[#This Row],[Channel Code]],tblChannels[Channel Code],tblChannels[Channel Name],"")</f>
        <v>In-store</v>
      </c>
      <c r="R1921" s="1">
        <f>MONTH(tblSales[[#This Row],[Date]])</f>
        <v>4</v>
      </c>
    </row>
    <row r="1922" spans="2:18" x14ac:dyDescent="0.35">
      <c r="B1922" s="113">
        <v>46137</v>
      </c>
      <c r="C1922" s="4" t="s">
        <v>1310</v>
      </c>
      <c r="D1922" s="4" t="s">
        <v>4568</v>
      </c>
      <c r="E1922" s="1" t="str">
        <f>_xlfn.XLOOKUP(tblSales[[#This Row],[Customer ID]],tblCustomers[Customer ID],tblCustomers[Customer Name],"⚠ Unknown")</f>
        <v>Walk-in Customer</v>
      </c>
      <c r="F1922" s="4" t="s">
        <v>13</v>
      </c>
      <c r="G1922" s="1" t="str">
        <f>_xlfn.XLOOKUP(tblSales[[#This Row],[Product Code]],tblProducts[Code],tblProducts[Product / Service Name],"⚠ Unknown")</f>
        <v>Backpack</v>
      </c>
      <c r="H1922" s="1" t="str">
        <f>_xlfn.XLOOKUP(tblSales[[#This Row],[Product Code]],tblProducts[Code],tblProducts[Category],"")</f>
        <v>Bags &amp; Gadgets</v>
      </c>
      <c r="I1922" s="4">
        <v>1</v>
      </c>
      <c r="J1922" s="5">
        <f>_xlfn.XLOOKUP(tblSales[[#This Row],[Product Code]],tblProducts[Code],tblProducts[Selling Price (excl. VAT)],0)</f>
        <v>500000</v>
      </c>
      <c r="K1922" s="5">
        <f>tblSales[[#This Row],[Qty]]*tblSales[[#This Row],[Unit Price]]</f>
        <v>500000</v>
      </c>
      <c r="L1922" s="5">
        <f>ROUND(tblSales[[#This Row],[DPP (excl. VAT)]]*VATEff,0)</f>
        <v>55000</v>
      </c>
      <c r="M1922" s="5">
        <f>tblSales[[#This Row],[DPP (excl. VAT)]]+tblSales[[#This Row],[Output VAT]]</f>
        <v>555000</v>
      </c>
      <c r="N1922" s="5">
        <f>tblSales[[#This Row],[Qty]]*_xlfn.XLOOKUP(tblSales[[#This Row],[Product Code]],tblProducts[Code],tblProducts[Unit Cost],0)</f>
        <v>290000</v>
      </c>
      <c r="O1922" s="4" t="s">
        <v>4865</v>
      </c>
      <c r="P1922" s="4" t="s">
        <v>4860</v>
      </c>
      <c r="Q1922" s="1" t="str">
        <f>_xlfn.XLOOKUP(tblSales[[#This Row],[Channel Code]],tblChannels[Channel Code],tblChannels[Channel Name],"")</f>
        <v>In-store</v>
      </c>
      <c r="R1922" s="1">
        <f>MONTH(tblSales[[#This Row],[Date]])</f>
        <v>4</v>
      </c>
    </row>
    <row r="1923" spans="2:18" x14ac:dyDescent="0.35">
      <c r="B1923" s="113">
        <v>46137</v>
      </c>
      <c r="C1923" s="4" t="s">
        <v>1311</v>
      </c>
      <c r="D1923" s="4" t="s">
        <v>4568</v>
      </c>
      <c r="E1923" s="1" t="str">
        <f>_xlfn.XLOOKUP(tblSales[[#This Row],[Customer ID]],tblCustomers[Customer ID],tblCustomers[Customer Name],"⚠ Unknown")</f>
        <v>Walk-in Customer</v>
      </c>
      <c r="F1923" s="4" t="s">
        <v>6</v>
      </c>
      <c r="G1923" s="1" t="str">
        <f>_xlfn.XLOOKUP(tblSales[[#This Row],[Product Code]],tblProducts[Code],tblProducts[Product / Service Name],"⚠ Unknown")</f>
        <v>Socks &amp; Accessories</v>
      </c>
      <c r="H1923" s="1" t="str">
        <f>_xlfn.XLOOKUP(tblSales[[#This Row],[Product Code]],tblProducts[Code],tblProducts[Category],"")</f>
        <v>Accessories &amp; Basics</v>
      </c>
      <c r="I1923" s="4">
        <v>6</v>
      </c>
      <c r="J1923" s="5">
        <f>_xlfn.XLOOKUP(tblSales[[#This Row],[Product Code]],tblProducts[Code],tblProducts[Selling Price (excl. VAT)],0)</f>
        <v>45000</v>
      </c>
      <c r="K1923" s="5">
        <f>tblSales[[#This Row],[Qty]]*tblSales[[#This Row],[Unit Price]]</f>
        <v>270000</v>
      </c>
      <c r="L1923" s="5">
        <f>ROUND(tblSales[[#This Row],[DPP (excl. VAT)]]*VATEff,0)</f>
        <v>29700</v>
      </c>
      <c r="M1923" s="5">
        <f>tblSales[[#This Row],[DPP (excl. VAT)]]+tblSales[[#This Row],[Output VAT]]</f>
        <v>299700</v>
      </c>
      <c r="N1923" s="5">
        <f>tblSales[[#This Row],[Qty]]*_xlfn.XLOOKUP(tblSales[[#This Row],[Product Code]],tblProducts[Code],tblProducts[Unit Cost],0)</f>
        <v>144000</v>
      </c>
      <c r="O1923" s="4" t="s">
        <v>4866</v>
      </c>
      <c r="P1923" s="4" t="s">
        <v>4860</v>
      </c>
      <c r="Q1923" s="1" t="str">
        <f>_xlfn.XLOOKUP(tblSales[[#This Row],[Channel Code]],tblChannels[Channel Code],tblChannels[Channel Name],"")</f>
        <v>In-store</v>
      </c>
      <c r="R1923" s="1">
        <f>MONTH(tblSales[[#This Row],[Date]])</f>
        <v>4</v>
      </c>
    </row>
    <row r="1924" spans="2:18" x14ac:dyDescent="0.35">
      <c r="B1924" s="113">
        <v>46137</v>
      </c>
      <c r="C1924" s="4" t="s">
        <v>1311</v>
      </c>
      <c r="D1924" s="4" t="s">
        <v>4568</v>
      </c>
      <c r="E1924" s="1" t="str">
        <f>_xlfn.XLOOKUP(tblSales[[#This Row],[Customer ID]],tblCustomers[Customer ID],tblCustomers[Customer Name],"⚠ Unknown")</f>
        <v>Walk-in Customer</v>
      </c>
      <c r="F1924" s="4" t="s">
        <v>10</v>
      </c>
      <c r="G1924" s="1" t="str">
        <f>_xlfn.XLOOKUP(tblSales[[#This Row],[Product Code]],tblProducts[Code],tblProducts[Product / Service Name],"⚠ Unknown")</f>
        <v>Chino Pants</v>
      </c>
      <c r="H1924" s="1" t="str">
        <f>_xlfn.XLOOKUP(tblSales[[#This Row],[Product Code]],tblProducts[Code],tblProducts[Category],"")</f>
        <v>Apparel &amp; Footwear</v>
      </c>
      <c r="I1924" s="4">
        <v>1</v>
      </c>
      <c r="J1924" s="5">
        <f>_xlfn.XLOOKUP(tblSales[[#This Row],[Product Code]],tblProducts[Code],tblProducts[Selling Price (excl. VAT)],0)</f>
        <v>150000</v>
      </c>
      <c r="K1924" s="5">
        <f>tblSales[[#This Row],[Qty]]*tblSales[[#This Row],[Unit Price]]</f>
        <v>150000</v>
      </c>
      <c r="L1924" s="5">
        <f>ROUND(tblSales[[#This Row],[DPP (excl. VAT)]]*VATEff,0)</f>
        <v>16500</v>
      </c>
      <c r="M1924" s="5">
        <f>tblSales[[#This Row],[DPP (excl. VAT)]]+tblSales[[#This Row],[Output VAT]]</f>
        <v>166500</v>
      </c>
      <c r="N1924" s="5">
        <f>tblSales[[#This Row],[Qty]]*_xlfn.XLOOKUP(tblSales[[#This Row],[Product Code]],tblProducts[Code],tblProducts[Unit Cost],0)</f>
        <v>88000</v>
      </c>
      <c r="O1924" s="4" t="s">
        <v>4866</v>
      </c>
      <c r="P1924" s="4" t="s">
        <v>4860</v>
      </c>
      <c r="Q1924" s="1" t="str">
        <f>_xlfn.XLOOKUP(tblSales[[#This Row],[Channel Code]],tblChannels[Channel Code],tblChannels[Channel Name],"")</f>
        <v>In-store</v>
      </c>
      <c r="R1924" s="1">
        <f>MONTH(tblSales[[#This Row],[Date]])</f>
        <v>4</v>
      </c>
    </row>
    <row r="1925" spans="2:18" x14ac:dyDescent="0.35">
      <c r="B1925" s="113">
        <v>46137</v>
      </c>
      <c r="C1925" s="4" t="s">
        <v>1312</v>
      </c>
      <c r="D1925" s="4" t="s">
        <v>4568</v>
      </c>
      <c r="E1925" s="1" t="str">
        <f>_xlfn.XLOOKUP(tblSales[[#This Row],[Customer ID]],tblCustomers[Customer ID],tblCustomers[Customer Name],"⚠ Unknown")</f>
        <v>Walk-in Customer</v>
      </c>
      <c r="F1925" s="4" t="s">
        <v>8</v>
      </c>
      <c r="G1925" s="1" t="str">
        <f>_xlfn.XLOOKUP(tblSales[[#This Row],[Product Code]],tblProducts[Code],tblProducts[Product / Service Name],"⚠ Unknown")</f>
        <v>Casual Shorts</v>
      </c>
      <c r="H1925" s="1" t="str">
        <f>_xlfn.XLOOKUP(tblSales[[#This Row],[Product Code]],tblProducts[Code],tblProducts[Category],"")</f>
        <v>Accessories &amp; Basics</v>
      </c>
      <c r="I1925" s="4">
        <v>11</v>
      </c>
      <c r="J1925" s="5">
        <f>_xlfn.XLOOKUP(tblSales[[#This Row],[Product Code]],tblProducts[Code],tblProducts[Selling Price (excl. VAT)],0)</f>
        <v>85000</v>
      </c>
      <c r="K1925" s="5">
        <f>tblSales[[#This Row],[Qty]]*tblSales[[#This Row],[Unit Price]]</f>
        <v>935000</v>
      </c>
      <c r="L1925" s="5">
        <f>ROUND(tblSales[[#This Row],[DPP (excl. VAT)]]*VATEff,0)</f>
        <v>102850</v>
      </c>
      <c r="M1925" s="5">
        <f>tblSales[[#This Row],[DPP (excl. VAT)]]+tblSales[[#This Row],[Output VAT]]</f>
        <v>1037850</v>
      </c>
      <c r="N1925" s="5">
        <f>tblSales[[#This Row],[Qty]]*_xlfn.XLOOKUP(tblSales[[#This Row],[Product Code]],tblProducts[Code],tblProducts[Unit Cost],0)</f>
        <v>550000</v>
      </c>
      <c r="O1925" s="4" t="s">
        <v>4866</v>
      </c>
      <c r="P1925" s="4" t="s">
        <v>4860</v>
      </c>
      <c r="Q1925" s="1" t="str">
        <f>_xlfn.XLOOKUP(tblSales[[#This Row],[Channel Code]],tblChannels[Channel Code],tblChannels[Channel Name],"")</f>
        <v>In-store</v>
      </c>
      <c r="R1925" s="1">
        <f>MONTH(tblSales[[#This Row],[Date]])</f>
        <v>4</v>
      </c>
    </row>
    <row r="1926" spans="2:18" x14ac:dyDescent="0.35">
      <c r="B1926" s="113">
        <v>46137</v>
      </c>
      <c r="C1926" s="4" t="s">
        <v>1313</v>
      </c>
      <c r="D1926" s="4" t="s">
        <v>4572</v>
      </c>
      <c r="E1926" s="1" t="str">
        <f>_xlfn.XLOOKUP(tblSales[[#This Row],[Customer ID]],tblCustomers[Customer ID],tblCustomers[Customer Name],"⚠ Unknown")</f>
        <v>PT Cahaya Abadi Makmur</v>
      </c>
      <c r="F1926" s="4" t="s">
        <v>9</v>
      </c>
      <c r="G1926" s="1" t="str">
        <f>_xlfn.XLOOKUP(tblSales[[#This Row],[Product Code]],tblProducts[Code],tblProducts[Product / Service Name],"⚠ Unknown")</f>
        <v>Casual Shirt</v>
      </c>
      <c r="H1926" s="1" t="str">
        <f>_xlfn.XLOOKUP(tblSales[[#This Row],[Product Code]],tblProducts[Code],tblProducts[Category],"")</f>
        <v>Apparel &amp; Footwear</v>
      </c>
      <c r="I1926" s="4">
        <v>8</v>
      </c>
      <c r="J1926" s="5">
        <f>_xlfn.XLOOKUP(tblSales[[#This Row],[Product Code]],tblProducts[Code],tblProducts[Selling Price (excl. VAT)],0)</f>
        <v>120000</v>
      </c>
      <c r="K1926" s="5">
        <f>tblSales[[#This Row],[Qty]]*tblSales[[#This Row],[Unit Price]]</f>
        <v>960000</v>
      </c>
      <c r="L1926" s="5">
        <f>ROUND(tblSales[[#This Row],[DPP (excl. VAT)]]*VATEff,0)</f>
        <v>105600</v>
      </c>
      <c r="M1926" s="5">
        <f>tblSales[[#This Row],[DPP (excl. VAT)]]+tblSales[[#This Row],[Output VAT]]</f>
        <v>1065600</v>
      </c>
      <c r="N1926" s="5">
        <f>tblSales[[#This Row],[Qty]]*_xlfn.XLOOKUP(tblSales[[#This Row],[Product Code]],tblProducts[Code],tblProducts[Unit Cost],0)</f>
        <v>576000</v>
      </c>
      <c r="O1926" s="4" t="s">
        <v>4867</v>
      </c>
      <c r="P1926" s="4" t="s">
        <v>4860</v>
      </c>
      <c r="Q1926" s="1" t="str">
        <f>_xlfn.XLOOKUP(tblSales[[#This Row],[Channel Code]],tblChannels[Channel Code],tblChannels[Channel Name],"")</f>
        <v>In-store</v>
      </c>
      <c r="R1926" s="1">
        <f>MONTH(tblSales[[#This Row],[Date]])</f>
        <v>4</v>
      </c>
    </row>
    <row r="1927" spans="2:18" x14ac:dyDescent="0.35">
      <c r="B1927" s="113">
        <v>46137</v>
      </c>
      <c r="C1927" s="4" t="s">
        <v>1314</v>
      </c>
      <c r="D1927" s="4" t="s">
        <v>4568</v>
      </c>
      <c r="E1927" s="1" t="str">
        <f>_xlfn.XLOOKUP(tblSales[[#This Row],[Customer ID]],tblCustomers[Customer ID],tblCustomers[Customer Name],"⚠ Unknown")</f>
        <v>Walk-in Customer</v>
      </c>
      <c r="F1927" s="4" t="s">
        <v>6</v>
      </c>
      <c r="G1927" s="1" t="str">
        <f>_xlfn.XLOOKUP(tblSales[[#This Row],[Product Code]],tblProducts[Code],tblProducts[Product / Service Name],"⚠ Unknown")</f>
        <v>Socks &amp; Accessories</v>
      </c>
      <c r="H1927" s="1" t="str">
        <f>_xlfn.XLOOKUP(tblSales[[#This Row],[Product Code]],tblProducts[Code],tblProducts[Category],"")</f>
        <v>Accessories &amp; Basics</v>
      </c>
      <c r="I1927" s="4">
        <v>1</v>
      </c>
      <c r="J1927" s="5">
        <f>_xlfn.XLOOKUP(tblSales[[#This Row],[Product Code]],tblProducts[Code],tblProducts[Selling Price (excl. VAT)],0)</f>
        <v>45000</v>
      </c>
      <c r="K1927" s="5">
        <f>tblSales[[#This Row],[Qty]]*tblSales[[#This Row],[Unit Price]]</f>
        <v>45000</v>
      </c>
      <c r="L1927" s="5">
        <f>ROUND(tblSales[[#This Row],[DPP (excl. VAT)]]*VATEff,0)</f>
        <v>4950</v>
      </c>
      <c r="M1927" s="5">
        <f>tblSales[[#This Row],[DPP (excl. VAT)]]+tblSales[[#This Row],[Output VAT]]</f>
        <v>49950</v>
      </c>
      <c r="N1927" s="5">
        <f>tblSales[[#This Row],[Qty]]*_xlfn.XLOOKUP(tblSales[[#This Row],[Product Code]],tblProducts[Code],tblProducts[Unit Cost],0)</f>
        <v>24000</v>
      </c>
      <c r="O1927" s="4" t="s">
        <v>4866</v>
      </c>
      <c r="P1927" s="4" t="s">
        <v>4860</v>
      </c>
      <c r="Q1927" s="1" t="str">
        <f>_xlfn.XLOOKUP(tblSales[[#This Row],[Channel Code]],tblChannels[Channel Code],tblChannels[Channel Name],"")</f>
        <v>In-store</v>
      </c>
      <c r="R1927" s="1">
        <f>MONTH(tblSales[[#This Row],[Date]])</f>
        <v>4</v>
      </c>
    </row>
    <row r="1928" spans="2:18" x14ac:dyDescent="0.35">
      <c r="B1928" s="113">
        <v>46137</v>
      </c>
      <c r="C1928" s="4" t="s">
        <v>1314</v>
      </c>
      <c r="D1928" s="4" t="s">
        <v>4568</v>
      </c>
      <c r="E1928" s="1" t="str">
        <f>_xlfn.XLOOKUP(tblSales[[#This Row],[Customer ID]],tblCustomers[Customer ID],tblCustomers[Customer Name],"⚠ Unknown")</f>
        <v>Walk-in Customer</v>
      </c>
      <c r="F1928" s="4" t="s">
        <v>10</v>
      </c>
      <c r="G1928" s="1" t="str">
        <f>_xlfn.XLOOKUP(tblSales[[#This Row],[Product Code]],tblProducts[Code],tblProducts[Product / Service Name],"⚠ Unknown")</f>
        <v>Chino Pants</v>
      </c>
      <c r="H1928" s="1" t="str">
        <f>_xlfn.XLOOKUP(tblSales[[#This Row],[Product Code]],tblProducts[Code],tblProducts[Category],"")</f>
        <v>Apparel &amp; Footwear</v>
      </c>
      <c r="I1928" s="4">
        <v>4</v>
      </c>
      <c r="J1928" s="5">
        <f>_xlfn.XLOOKUP(tblSales[[#This Row],[Product Code]],tblProducts[Code],tblProducts[Selling Price (excl. VAT)],0)</f>
        <v>150000</v>
      </c>
      <c r="K1928" s="5">
        <f>tblSales[[#This Row],[Qty]]*tblSales[[#This Row],[Unit Price]]</f>
        <v>600000</v>
      </c>
      <c r="L1928" s="5">
        <f>ROUND(tblSales[[#This Row],[DPP (excl. VAT)]]*VATEff,0)</f>
        <v>66000</v>
      </c>
      <c r="M1928" s="5">
        <f>tblSales[[#This Row],[DPP (excl. VAT)]]+tblSales[[#This Row],[Output VAT]]</f>
        <v>666000</v>
      </c>
      <c r="N1928" s="5">
        <f>tblSales[[#This Row],[Qty]]*_xlfn.XLOOKUP(tblSales[[#This Row],[Product Code]],tblProducts[Code],tblProducts[Unit Cost],0)</f>
        <v>352000</v>
      </c>
      <c r="O1928" s="4" t="s">
        <v>4866</v>
      </c>
      <c r="P1928" s="4" t="s">
        <v>4860</v>
      </c>
      <c r="Q1928" s="1" t="str">
        <f>_xlfn.XLOOKUP(tblSales[[#This Row],[Channel Code]],tblChannels[Channel Code],tblChannels[Channel Name],"")</f>
        <v>In-store</v>
      </c>
      <c r="R1928" s="1">
        <f>MONTH(tblSales[[#This Row],[Date]])</f>
        <v>4</v>
      </c>
    </row>
    <row r="1929" spans="2:18" x14ac:dyDescent="0.35">
      <c r="B1929" s="113">
        <v>46137</v>
      </c>
      <c r="C1929" s="4" t="s">
        <v>1314</v>
      </c>
      <c r="D1929" s="4" t="s">
        <v>4568</v>
      </c>
      <c r="E1929" s="1" t="str">
        <f>_xlfn.XLOOKUP(tblSales[[#This Row],[Customer ID]],tblCustomers[Customer ID],tblCustomers[Customer Name],"⚠ Unknown")</f>
        <v>Walk-in Customer</v>
      </c>
      <c r="F1929" s="4" t="s">
        <v>8</v>
      </c>
      <c r="G1929" s="1" t="str">
        <f>_xlfn.XLOOKUP(tblSales[[#This Row],[Product Code]],tblProducts[Code],tblProducts[Product / Service Name],"⚠ Unknown")</f>
        <v>Casual Shorts</v>
      </c>
      <c r="H1929" s="1" t="str">
        <f>_xlfn.XLOOKUP(tblSales[[#This Row],[Product Code]],tblProducts[Code],tblProducts[Category],"")</f>
        <v>Accessories &amp; Basics</v>
      </c>
      <c r="I1929" s="4">
        <v>6</v>
      </c>
      <c r="J1929" s="5">
        <f>_xlfn.XLOOKUP(tblSales[[#This Row],[Product Code]],tblProducts[Code],tblProducts[Selling Price (excl. VAT)],0)</f>
        <v>85000</v>
      </c>
      <c r="K1929" s="5">
        <f>tblSales[[#This Row],[Qty]]*tblSales[[#This Row],[Unit Price]]</f>
        <v>510000</v>
      </c>
      <c r="L1929" s="5">
        <f>ROUND(tblSales[[#This Row],[DPP (excl. VAT)]]*VATEff,0)</f>
        <v>56100</v>
      </c>
      <c r="M1929" s="5">
        <f>tblSales[[#This Row],[DPP (excl. VAT)]]+tblSales[[#This Row],[Output VAT]]</f>
        <v>566100</v>
      </c>
      <c r="N1929" s="5">
        <f>tblSales[[#This Row],[Qty]]*_xlfn.XLOOKUP(tblSales[[#This Row],[Product Code]],tblProducts[Code],tblProducts[Unit Cost],0)</f>
        <v>300000</v>
      </c>
      <c r="O1929" s="4" t="s">
        <v>4866</v>
      </c>
      <c r="P1929" s="4" t="s">
        <v>4860</v>
      </c>
      <c r="Q1929" s="1" t="str">
        <f>_xlfn.XLOOKUP(tblSales[[#This Row],[Channel Code]],tblChannels[Channel Code],tblChannels[Channel Name],"")</f>
        <v>In-store</v>
      </c>
      <c r="R1929" s="1">
        <f>MONTH(tblSales[[#This Row],[Date]])</f>
        <v>4</v>
      </c>
    </row>
    <row r="1930" spans="2:18" x14ac:dyDescent="0.35">
      <c r="B1930" s="113">
        <v>46137</v>
      </c>
      <c r="C1930" s="4" t="s">
        <v>1315</v>
      </c>
      <c r="D1930" s="4" t="s">
        <v>4568</v>
      </c>
      <c r="E1930" s="1" t="str">
        <f>_xlfn.XLOOKUP(tblSales[[#This Row],[Customer ID]],tblCustomers[Customer ID],tblCustomers[Customer Name],"⚠ Unknown")</f>
        <v>Walk-in Customer</v>
      </c>
      <c r="F1930" s="4" t="s">
        <v>6</v>
      </c>
      <c r="G1930" s="1" t="str">
        <f>_xlfn.XLOOKUP(tblSales[[#This Row],[Product Code]],tblProducts[Code],tblProducts[Product / Service Name],"⚠ Unknown")</f>
        <v>Socks &amp; Accessories</v>
      </c>
      <c r="H1930" s="1" t="str">
        <f>_xlfn.XLOOKUP(tblSales[[#This Row],[Product Code]],tblProducts[Code],tblProducts[Category],"")</f>
        <v>Accessories &amp; Basics</v>
      </c>
      <c r="I1930" s="4">
        <v>3</v>
      </c>
      <c r="J1930" s="5">
        <f>_xlfn.XLOOKUP(tblSales[[#This Row],[Product Code]],tblProducts[Code],tblProducts[Selling Price (excl. VAT)],0)</f>
        <v>45000</v>
      </c>
      <c r="K1930" s="5">
        <f>tblSales[[#This Row],[Qty]]*tblSales[[#This Row],[Unit Price]]</f>
        <v>135000</v>
      </c>
      <c r="L1930" s="5">
        <f>ROUND(tblSales[[#This Row],[DPP (excl. VAT)]]*VATEff,0)</f>
        <v>14850</v>
      </c>
      <c r="M1930" s="5">
        <f>tblSales[[#This Row],[DPP (excl. VAT)]]+tblSales[[#This Row],[Output VAT]]</f>
        <v>149850</v>
      </c>
      <c r="N1930" s="5">
        <f>tblSales[[#This Row],[Qty]]*_xlfn.XLOOKUP(tblSales[[#This Row],[Product Code]],tblProducts[Code],tblProducts[Unit Cost],0)</f>
        <v>72000</v>
      </c>
      <c r="O1930" s="4" t="s">
        <v>4865</v>
      </c>
      <c r="P1930" s="4" t="s">
        <v>4860</v>
      </c>
      <c r="Q1930" s="1" t="str">
        <f>_xlfn.XLOOKUP(tblSales[[#This Row],[Channel Code]],tblChannels[Channel Code],tblChannels[Channel Name],"")</f>
        <v>In-store</v>
      </c>
      <c r="R1930" s="1">
        <f>MONTH(tblSales[[#This Row],[Date]])</f>
        <v>4</v>
      </c>
    </row>
    <row r="1931" spans="2:18" x14ac:dyDescent="0.35">
      <c r="B1931" s="113">
        <v>46137</v>
      </c>
      <c r="C1931" s="4" t="s">
        <v>1316</v>
      </c>
      <c r="D1931" s="4" t="s">
        <v>4568</v>
      </c>
      <c r="E1931" s="1" t="str">
        <f>_xlfn.XLOOKUP(tblSales[[#This Row],[Customer ID]],tblCustomers[Customer ID],tblCustomers[Customer Name],"⚠ Unknown")</f>
        <v>Walk-in Customer</v>
      </c>
      <c r="F1931" s="4" t="s">
        <v>10</v>
      </c>
      <c r="G1931" s="1" t="str">
        <f>_xlfn.XLOOKUP(tblSales[[#This Row],[Product Code]],tblProducts[Code],tblProducts[Product / Service Name],"⚠ Unknown")</f>
        <v>Chino Pants</v>
      </c>
      <c r="H1931" s="1" t="str">
        <f>_xlfn.XLOOKUP(tblSales[[#This Row],[Product Code]],tblProducts[Code],tblProducts[Category],"")</f>
        <v>Apparel &amp; Footwear</v>
      </c>
      <c r="I1931" s="4">
        <v>10</v>
      </c>
      <c r="J1931" s="5">
        <f>_xlfn.XLOOKUP(tblSales[[#This Row],[Product Code]],tblProducts[Code],tblProducts[Selling Price (excl. VAT)],0)</f>
        <v>150000</v>
      </c>
      <c r="K1931" s="5">
        <f>tblSales[[#This Row],[Qty]]*tblSales[[#This Row],[Unit Price]]</f>
        <v>1500000</v>
      </c>
      <c r="L1931" s="5">
        <f>ROUND(tblSales[[#This Row],[DPP (excl. VAT)]]*VATEff,0)</f>
        <v>165000</v>
      </c>
      <c r="M1931" s="5">
        <f>tblSales[[#This Row],[DPP (excl. VAT)]]+tblSales[[#This Row],[Output VAT]]</f>
        <v>1665000</v>
      </c>
      <c r="N1931" s="5">
        <f>tblSales[[#This Row],[Qty]]*_xlfn.XLOOKUP(tblSales[[#This Row],[Product Code]],tblProducts[Code],tblProducts[Unit Cost],0)</f>
        <v>880000</v>
      </c>
      <c r="O1931" s="4" t="s">
        <v>4866</v>
      </c>
      <c r="P1931" s="4" t="s">
        <v>4862</v>
      </c>
      <c r="Q1931" s="1" t="str">
        <f>_xlfn.XLOOKUP(tblSales[[#This Row],[Channel Code]],tblChannels[Channel Code],tblChannels[Channel Name],"")</f>
        <v>Website &amp; Social Media</v>
      </c>
      <c r="R1931" s="1">
        <f>MONTH(tblSales[[#This Row],[Date]])</f>
        <v>4</v>
      </c>
    </row>
    <row r="1932" spans="2:18" x14ac:dyDescent="0.35">
      <c r="B1932" s="113">
        <v>46137</v>
      </c>
      <c r="C1932" s="4" t="s">
        <v>1317</v>
      </c>
      <c r="D1932" s="4" t="s">
        <v>4599</v>
      </c>
      <c r="E1932" s="1" t="str">
        <f>_xlfn.XLOOKUP(tblSales[[#This Row],[Customer ID]],tblCustomers[Customer ID],tblCustomers[Customer Name],"⚠ Unknown")</f>
        <v>PT Samudra Jaya Logistik</v>
      </c>
      <c r="F1932" s="4" t="s">
        <v>8</v>
      </c>
      <c r="G1932" s="1" t="str">
        <f>_xlfn.XLOOKUP(tblSales[[#This Row],[Product Code]],tblProducts[Code],tblProducts[Product / Service Name],"⚠ Unknown")</f>
        <v>Casual Shorts</v>
      </c>
      <c r="H1932" s="1" t="str">
        <f>_xlfn.XLOOKUP(tblSales[[#This Row],[Product Code]],tblProducts[Code],tblProducts[Category],"")</f>
        <v>Accessories &amp; Basics</v>
      </c>
      <c r="I1932" s="4">
        <v>24</v>
      </c>
      <c r="J1932" s="5">
        <f>_xlfn.XLOOKUP(tblSales[[#This Row],[Product Code]],tblProducts[Code],tblProducts[Selling Price (excl. VAT)],0)</f>
        <v>85000</v>
      </c>
      <c r="K1932" s="5">
        <f>tblSales[[#This Row],[Qty]]*tblSales[[#This Row],[Unit Price]]</f>
        <v>2040000</v>
      </c>
      <c r="L1932" s="5">
        <f>ROUND(tblSales[[#This Row],[DPP (excl. VAT)]]*VATEff,0)</f>
        <v>224400</v>
      </c>
      <c r="M1932" s="5">
        <f>tblSales[[#This Row],[DPP (excl. VAT)]]+tblSales[[#This Row],[Output VAT]]</f>
        <v>2264400</v>
      </c>
      <c r="N1932" s="5">
        <f>tblSales[[#This Row],[Qty]]*_xlfn.XLOOKUP(tblSales[[#This Row],[Product Code]],tblProducts[Code],tblProducts[Unit Cost],0)</f>
        <v>1200000</v>
      </c>
      <c r="O1932" s="4" t="s">
        <v>4867</v>
      </c>
      <c r="P1932" s="4" t="s">
        <v>4860</v>
      </c>
      <c r="Q1932" s="1" t="str">
        <f>_xlfn.XLOOKUP(tblSales[[#This Row],[Channel Code]],tblChannels[Channel Code],tblChannels[Channel Name],"")</f>
        <v>In-store</v>
      </c>
      <c r="R1932" s="1">
        <f>MONTH(tblSales[[#This Row],[Date]])</f>
        <v>4</v>
      </c>
    </row>
    <row r="1933" spans="2:18" x14ac:dyDescent="0.35">
      <c r="B1933" s="113">
        <v>46137</v>
      </c>
      <c r="C1933" s="4" t="s">
        <v>1318</v>
      </c>
      <c r="D1933" s="4" t="s">
        <v>4613</v>
      </c>
      <c r="E1933" s="1" t="str">
        <f>_xlfn.XLOOKUP(tblSales[[#This Row],[Customer ID]],tblCustomers[Customer ID],tblCustomers[Customer Name],"⚠ Unknown")</f>
        <v>PT Mega Prima Distribusi</v>
      </c>
      <c r="F1933" s="4" t="s">
        <v>6</v>
      </c>
      <c r="G1933" s="1" t="str">
        <f>_xlfn.XLOOKUP(tblSales[[#This Row],[Product Code]],tblProducts[Code],tblProducts[Product / Service Name],"⚠ Unknown")</f>
        <v>Socks &amp; Accessories</v>
      </c>
      <c r="H1933" s="1" t="str">
        <f>_xlfn.XLOOKUP(tblSales[[#This Row],[Product Code]],tblProducts[Code],tblProducts[Category],"")</f>
        <v>Accessories &amp; Basics</v>
      </c>
      <c r="I1933" s="4">
        <v>48</v>
      </c>
      <c r="J1933" s="5">
        <f>_xlfn.XLOOKUP(tblSales[[#This Row],[Product Code]],tblProducts[Code],tblProducts[Selling Price (excl. VAT)],0)</f>
        <v>45000</v>
      </c>
      <c r="K1933" s="5">
        <f>tblSales[[#This Row],[Qty]]*tblSales[[#This Row],[Unit Price]]</f>
        <v>2160000</v>
      </c>
      <c r="L1933" s="5">
        <f>ROUND(tblSales[[#This Row],[DPP (excl. VAT)]]*VATEff,0)</f>
        <v>237600</v>
      </c>
      <c r="M1933" s="5">
        <f>tblSales[[#This Row],[DPP (excl. VAT)]]+tblSales[[#This Row],[Output VAT]]</f>
        <v>2397600</v>
      </c>
      <c r="N1933" s="5">
        <f>tblSales[[#This Row],[Qty]]*_xlfn.XLOOKUP(tblSales[[#This Row],[Product Code]],tblProducts[Code],tblProducts[Unit Cost],0)</f>
        <v>1152000</v>
      </c>
      <c r="O1933" s="4" t="s">
        <v>4867</v>
      </c>
      <c r="P1933" s="4" t="s">
        <v>4860</v>
      </c>
      <c r="Q1933" s="1" t="str">
        <f>_xlfn.XLOOKUP(tblSales[[#This Row],[Channel Code]],tblChannels[Channel Code],tblChannels[Channel Name],"")</f>
        <v>In-store</v>
      </c>
      <c r="R1933" s="1">
        <f>MONTH(tblSales[[#This Row],[Date]])</f>
        <v>4</v>
      </c>
    </row>
    <row r="1934" spans="2:18" x14ac:dyDescent="0.35">
      <c r="B1934" s="113">
        <v>46137</v>
      </c>
      <c r="C1934" s="4" t="s">
        <v>1319</v>
      </c>
      <c r="D1934" s="4" t="s">
        <v>4568</v>
      </c>
      <c r="E1934" s="1" t="str">
        <f>_xlfn.XLOOKUP(tblSales[[#This Row],[Customer ID]],tblCustomers[Customer ID],tblCustomers[Customer Name],"⚠ Unknown")</f>
        <v>Walk-in Customer</v>
      </c>
      <c r="F1934" s="4" t="s">
        <v>7</v>
      </c>
      <c r="G1934" s="1" t="str">
        <f>_xlfn.XLOOKUP(tblSales[[#This Row],[Product Code]],tblProducts[Code],tblProducts[Product / Service Name],"⚠ Unknown")</f>
        <v>Premium Basic T-shirt</v>
      </c>
      <c r="H1934" s="1" t="str">
        <f>_xlfn.XLOOKUP(tblSales[[#This Row],[Product Code]],tblProducts[Code],tblProducts[Category],"")</f>
        <v>Accessories &amp; Basics</v>
      </c>
      <c r="I1934" s="4">
        <v>12</v>
      </c>
      <c r="J1934" s="5">
        <f>_xlfn.XLOOKUP(tblSales[[#This Row],[Product Code]],tblProducts[Code],tblProducts[Selling Price (excl. VAT)],0)</f>
        <v>65000</v>
      </c>
      <c r="K1934" s="5">
        <f>tblSales[[#This Row],[Qty]]*tblSales[[#This Row],[Unit Price]]</f>
        <v>780000</v>
      </c>
      <c r="L1934" s="5">
        <f>ROUND(tblSales[[#This Row],[DPP (excl. VAT)]]*VATEff,0)</f>
        <v>85800</v>
      </c>
      <c r="M1934" s="5">
        <f>tblSales[[#This Row],[DPP (excl. VAT)]]+tblSales[[#This Row],[Output VAT]]</f>
        <v>865800</v>
      </c>
      <c r="N1934" s="5">
        <f>tblSales[[#This Row],[Qty]]*_xlfn.XLOOKUP(tblSales[[#This Row],[Product Code]],tblProducts[Code],tblProducts[Unit Cost],0)</f>
        <v>444000</v>
      </c>
      <c r="O1934" s="4" t="s">
        <v>4866</v>
      </c>
      <c r="P1934" s="4" t="s">
        <v>4861</v>
      </c>
      <c r="Q1934" s="1" t="str">
        <f>_xlfn.XLOOKUP(tblSales[[#This Row],[Channel Code]],tblChannels[Channel Code],tblChannels[Channel Name],"")</f>
        <v>Marketplace</v>
      </c>
      <c r="R1934" s="1">
        <f>MONTH(tblSales[[#This Row],[Date]])</f>
        <v>4</v>
      </c>
    </row>
    <row r="1935" spans="2:18" x14ac:dyDescent="0.35">
      <c r="B1935" s="113">
        <v>46137</v>
      </c>
      <c r="C1935" s="4" t="s">
        <v>1319</v>
      </c>
      <c r="D1935" s="4" t="s">
        <v>4568</v>
      </c>
      <c r="E1935" s="1" t="str">
        <f>_xlfn.XLOOKUP(tblSales[[#This Row],[Customer ID]],tblCustomers[Customer ID],tblCustomers[Customer Name],"⚠ Unknown")</f>
        <v>Walk-in Customer</v>
      </c>
      <c r="F1935" s="4" t="s">
        <v>10</v>
      </c>
      <c r="G1935" s="1" t="str">
        <f>_xlfn.XLOOKUP(tblSales[[#This Row],[Product Code]],tblProducts[Code],tblProducts[Product / Service Name],"⚠ Unknown")</f>
        <v>Chino Pants</v>
      </c>
      <c r="H1935" s="1" t="str">
        <f>_xlfn.XLOOKUP(tblSales[[#This Row],[Product Code]],tblProducts[Code],tblProducts[Category],"")</f>
        <v>Apparel &amp; Footwear</v>
      </c>
      <c r="I1935" s="4">
        <v>10</v>
      </c>
      <c r="J1935" s="5">
        <f>_xlfn.XLOOKUP(tblSales[[#This Row],[Product Code]],tblProducts[Code],tblProducts[Selling Price (excl. VAT)],0)</f>
        <v>150000</v>
      </c>
      <c r="K1935" s="5">
        <f>tblSales[[#This Row],[Qty]]*tblSales[[#This Row],[Unit Price]]</f>
        <v>1500000</v>
      </c>
      <c r="L1935" s="5">
        <f>ROUND(tblSales[[#This Row],[DPP (excl. VAT)]]*VATEff,0)</f>
        <v>165000</v>
      </c>
      <c r="M1935" s="5">
        <f>tblSales[[#This Row],[DPP (excl. VAT)]]+tblSales[[#This Row],[Output VAT]]</f>
        <v>1665000</v>
      </c>
      <c r="N1935" s="5">
        <f>tblSales[[#This Row],[Qty]]*_xlfn.XLOOKUP(tblSales[[#This Row],[Product Code]],tblProducts[Code],tblProducts[Unit Cost],0)</f>
        <v>880000</v>
      </c>
      <c r="O1935" s="4" t="s">
        <v>4866</v>
      </c>
      <c r="P1935" s="4" t="s">
        <v>4861</v>
      </c>
      <c r="Q1935" s="1" t="str">
        <f>_xlfn.XLOOKUP(tblSales[[#This Row],[Channel Code]],tblChannels[Channel Code],tblChannels[Channel Name],"")</f>
        <v>Marketplace</v>
      </c>
      <c r="R1935" s="1">
        <f>MONTH(tblSales[[#This Row],[Date]])</f>
        <v>4</v>
      </c>
    </row>
    <row r="1936" spans="2:18" x14ac:dyDescent="0.35">
      <c r="B1936" s="113">
        <v>46137</v>
      </c>
      <c r="C1936" s="4" t="s">
        <v>1319</v>
      </c>
      <c r="D1936" s="4" t="s">
        <v>4568</v>
      </c>
      <c r="E1936" s="1" t="str">
        <f>_xlfn.XLOOKUP(tblSales[[#This Row],[Customer ID]],tblCustomers[Customer ID],tblCustomers[Customer Name],"⚠ Unknown")</f>
        <v>Walk-in Customer</v>
      </c>
      <c r="F1936" s="4" t="s">
        <v>9</v>
      </c>
      <c r="G1936" s="1" t="str">
        <f>_xlfn.XLOOKUP(tblSales[[#This Row],[Product Code]],tblProducts[Code],tblProducts[Product / Service Name],"⚠ Unknown")</f>
        <v>Casual Shirt</v>
      </c>
      <c r="H1936" s="1" t="str">
        <f>_xlfn.XLOOKUP(tblSales[[#This Row],[Product Code]],tblProducts[Code],tblProducts[Category],"")</f>
        <v>Apparel &amp; Footwear</v>
      </c>
      <c r="I1936" s="4">
        <v>9</v>
      </c>
      <c r="J1936" s="5">
        <f>_xlfn.XLOOKUP(tblSales[[#This Row],[Product Code]],tblProducts[Code],tblProducts[Selling Price (excl. VAT)],0)</f>
        <v>120000</v>
      </c>
      <c r="K1936" s="5">
        <f>tblSales[[#This Row],[Qty]]*tblSales[[#This Row],[Unit Price]]</f>
        <v>1080000</v>
      </c>
      <c r="L1936" s="5">
        <f>ROUND(tblSales[[#This Row],[DPP (excl. VAT)]]*VATEff,0)</f>
        <v>118800</v>
      </c>
      <c r="M1936" s="5">
        <f>tblSales[[#This Row],[DPP (excl. VAT)]]+tblSales[[#This Row],[Output VAT]]</f>
        <v>1198800</v>
      </c>
      <c r="N1936" s="5">
        <f>tblSales[[#This Row],[Qty]]*_xlfn.XLOOKUP(tblSales[[#This Row],[Product Code]],tblProducts[Code],tblProducts[Unit Cost],0)</f>
        <v>648000</v>
      </c>
      <c r="O1936" s="4" t="s">
        <v>4866</v>
      </c>
      <c r="P1936" s="4" t="s">
        <v>4861</v>
      </c>
      <c r="Q1936" s="1" t="str">
        <f>_xlfn.XLOOKUP(tblSales[[#This Row],[Channel Code]],tblChannels[Channel Code],tblChannels[Channel Name],"")</f>
        <v>Marketplace</v>
      </c>
      <c r="R1936" s="1">
        <f>MONTH(tblSales[[#This Row],[Date]])</f>
        <v>4</v>
      </c>
    </row>
    <row r="1937" spans="2:18" x14ac:dyDescent="0.35">
      <c r="B1937" s="113">
        <v>46137</v>
      </c>
      <c r="C1937" s="4" t="s">
        <v>1320</v>
      </c>
      <c r="D1937" s="4" t="s">
        <v>4568</v>
      </c>
      <c r="E1937" s="1" t="str">
        <f>_xlfn.XLOOKUP(tblSales[[#This Row],[Customer ID]],tblCustomers[Customer ID],tblCustomers[Customer Name],"⚠ Unknown")</f>
        <v>Walk-in Customer</v>
      </c>
      <c r="F1937" s="4" t="s">
        <v>6</v>
      </c>
      <c r="G1937" s="1" t="str">
        <f>_xlfn.XLOOKUP(tblSales[[#This Row],[Product Code]],tblProducts[Code],tblProducts[Product / Service Name],"⚠ Unknown")</f>
        <v>Socks &amp; Accessories</v>
      </c>
      <c r="H1937" s="1" t="str">
        <f>_xlfn.XLOOKUP(tblSales[[#This Row],[Product Code]],tblProducts[Code],tblProducts[Category],"")</f>
        <v>Accessories &amp; Basics</v>
      </c>
      <c r="I1937" s="4">
        <v>8</v>
      </c>
      <c r="J1937" s="5">
        <f>_xlfn.XLOOKUP(tblSales[[#This Row],[Product Code]],tblProducts[Code],tblProducts[Selling Price (excl. VAT)],0)</f>
        <v>45000</v>
      </c>
      <c r="K1937" s="5">
        <f>tblSales[[#This Row],[Qty]]*tblSales[[#This Row],[Unit Price]]</f>
        <v>360000</v>
      </c>
      <c r="L1937" s="5">
        <f>ROUND(tblSales[[#This Row],[DPP (excl. VAT)]]*VATEff,0)</f>
        <v>39600</v>
      </c>
      <c r="M1937" s="5">
        <f>tblSales[[#This Row],[DPP (excl. VAT)]]+tblSales[[#This Row],[Output VAT]]</f>
        <v>399600</v>
      </c>
      <c r="N1937" s="5">
        <f>tblSales[[#This Row],[Qty]]*_xlfn.XLOOKUP(tblSales[[#This Row],[Product Code]],tblProducts[Code],tblProducts[Unit Cost],0)</f>
        <v>192000</v>
      </c>
      <c r="O1937" s="4" t="s">
        <v>4866</v>
      </c>
      <c r="P1937" s="4" t="s">
        <v>4861</v>
      </c>
      <c r="Q1937" s="1" t="str">
        <f>_xlfn.XLOOKUP(tblSales[[#This Row],[Channel Code]],tblChannels[Channel Code],tblChannels[Channel Name],"")</f>
        <v>Marketplace</v>
      </c>
      <c r="R1937" s="1">
        <f>MONTH(tblSales[[#This Row],[Date]])</f>
        <v>4</v>
      </c>
    </row>
    <row r="1938" spans="2:18" x14ac:dyDescent="0.35">
      <c r="B1938" s="113">
        <v>46137</v>
      </c>
      <c r="C1938" s="4" t="s">
        <v>1320</v>
      </c>
      <c r="D1938" s="4" t="s">
        <v>4568</v>
      </c>
      <c r="E1938" s="1" t="str">
        <f>_xlfn.XLOOKUP(tblSales[[#This Row],[Customer ID]],tblCustomers[Customer ID],tblCustomers[Customer Name],"⚠ Unknown")</f>
        <v>Walk-in Customer</v>
      </c>
      <c r="F1938" s="4" t="s">
        <v>8</v>
      </c>
      <c r="G1938" s="1" t="str">
        <f>_xlfn.XLOOKUP(tblSales[[#This Row],[Product Code]],tblProducts[Code],tblProducts[Product / Service Name],"⚠ Unknown")</f>
        <v>Casual Shorts</v>
      </c>
      <c r="H1938" s="1" t="str">
        <f>_xlfn.XLOOKUP(tblSales[[#This Row],[Product Code]],tblProducts[Code],tblProducts[Category],"")</f>
        <v>Accessories &amp; Basics</v>
      </c>
      <c r="I1938" s="4">
        <v>10</v>
      </c>
      <c r="J1938" s="5">
        <f>_xlfn.XLOOKUP(tblSales[[#This Row],[Product Code]],tblProducts[Code],tblProducts[Selling Price (excl. VAT)],0)</f>
        <v>85000</v>
      </c>
      <c r="K1938" s="5">
        <f>tblSales[[#This Row],[Qty]]*tblSales[[#This Row],[Unit Price]]</f>
        <v>850000</v>
      </c>
      <c r="L1938" s="5">
        <f>ROUND(tblSales[[#This Row],[DPP (excl. VAT)]]*VATEff,0)</f>
        <v>93500</v>
      </c>
      <c r="M1938" s="5">
        <f>tblSales[[#This Row],[DPP (excl. VAT)]]+tblSales[[#This Row],[Output VAT]]</f>
        <v>943500</v>
      </c>
      <c r="N1938" s="5">
        <f>tblSales[[#This Row],[Qty]]*_xlfn.XLOOKUP(tblSales[[#This Row],[Product Code]],tblProducts[Code],tblProducts[Unit Cost],0)</f>
        <v>500000</v>
      </c>
      <c r="O1938" s="4" t="s">
        <v>4866</v>
      </c>
      <c r="P1938" s="4" t="s">
        <v>4861</v>
      </c>
      <c r="Q1938" s="1" t="str">
        <f>_xlfn.XLOOKUP(tblSales[[#This Row],[Channel Code]],tblChannels[Channel Code],tblChannels[Channel Name],"")</f>
        <v>Marketplace</v>
      </c>
      <c r="R1938" s="1">
        <f>MONTH(tblSales[[#This Row],[Date]])</f>
        <v>4</v>
      </c>
    </row>
    <row r="1939" spans="2:18" x14ac:dyDescent="0.35">
      <c r="B1939" s="113">
        <v>46137</v>
      </c>
      <c r="C1939" s="4" t="s">
        <v>1321</v>
      </c>
      <c r="D1939" s="4" t="s">
        <v>4613</v>
      </c>
      <c r="E1939" s="1" t="str">
        <f>_xlfn.XLOOKUP(tblSales[[#This Row],[Customer ID]],tblCustomers[Customer ID],tblCustomers[Customer Name],"⚠ Unknown")</f>
        <v>PT Mega Prima Distribusi</v>
      </c>
      <c r="F1939" s="4" t="s">
        <v>8</v>
      </c>
      <c r="G1939" s="1" t="str">
        <f>_xlfn.XLOOKUP(tblSales[[#This Row],[Product Code]],tblProducts[Code],tblProducts[Product / Service Name],"⚠ Unknown")</f>
        <v>Casual Shorts</v>
      </c>
      <c r="H1939" s="1" t="str">
        <f>_xlfn.XLOOKUP(tblSales[[#This Row],[Product Code]],tblProducts[Code],tblProducts[Category],"")</f>
        <v>Accessories &amp; Basics</v>
      </c>
      <c r="I1939" s="4">
        <v>48</v>
      </c>
      <c r="J1939" s="5">
        <f>_xlfn.XLOOKUP(tblSales[[#This Row],[Product Code]],tblProducts[Code],tblProducts[Selling Price (excl. VAT)],0)</f>
        <v>85000</v>
      </c>
      <c r="K1939" s="5">
        <f>tblSales[[#This Row],[Qty]]*tblSales[[#This Row],[Unit Price]]</f>
        <v>4080000</v>
      </c>
      <c r="L1939" s="5">
        <f>ROUND(tblSales[[#This Row],[DPP (excl. VAT)]]*VATEff,0)</f>
        <v>448800</v>
      </c>
      <c r="M1939" s="5">
        <f>tblSales[[#This Row],[DPP (excl. VAT)]]+tblSales[[#This Row],[Output VAT]]</f>
        <v>4528800</v>
      </c>
      <c r="N1939" s="5">
        <f>tblSales[[#This Row],[Qty]]*_xlfn.XLOOKUP(tblSales[[#This Row],[Product Code]],tblProducts[Code],tblProducts[Unit Cost],0)</f>
        <v>2400000</v>
      </c>
      <c r="O1939" s="4" t="s">
        <v>4867</v>
      </c>
      <c r="P1939" s="4" t="s">
        <v>4860</v>
      </c>
      <c r="Q1939" s="1" t="str">
        <f>_xlfn.XLOOKUP(tblSales[[#This Row],[Channel Code]],tblChannels[Channel Code],tblChannels[Channel Name],"")</f>
        <v>In-store</v>
      </c>
      <c r="R1939" s="1">
        <f>MONTH(tblSales[[#This Row],[Date]])</f>
        <v>4</v>
      </c>
    </row>
    <row r="1940" spans="2:18" x14ac:dyDescent="0.35">
      <c r="B1940" s="113">
        <v>46138</v>
      </c>
      <c r="C1940" s="4" t="s">
        <v>1322</v>
      </c>
      <c r="D1940" s="4" t="s">
        <v>4568</v>
      </c>
      <c r="E1940" s="1" t="str">
        <f>_xlfn.XLOOKUP(tblSales[[#This Row],[Customer ID]],tblCustomers[Customer ID],tblCustomers[Customer Name],"⚠ Unknown")</f>
        <v>Walk-in Customer</v>
      </c>
      <c r="F1940" s="4" t="s">
        <v>10</v>
      </c>
      <c r="G1940" s="1" t="str">
        <f>_xlfn.XLOOKUP(tblSales[[#This Row],[Product Code]],tblProducts[Code],tblProducts[Product / Service Name],"⚠ Unknown")</f>
        <v>Chino Pants</v>
      </c>
      <c r="H1940" s="1" t="str">
        <f>_xlfn.XLOOKUP(tblSales[[#This Row],[Product Code]],tblProducts[Code],tblProducts[Category],"")</f>
        <v>Apparel &amp; Footwear</v>
      </c>
      <c r="I1940" s="4">
        <v>6</v>
      </c>
      <c r="J1940" s="5">
        <f>_xlfn.XLOOKUP(tblSales[[#This Row],[Product Code]],tblProducts[Code],tblProducts[Selling Price (excl. VAT)],0)</f>
        <v>150000</v>
      </c>
      <c r="K1940" s="5">
        <f>tblSales[[#This Row],[Qty]]*tblSales[[#This Row],[Unit Price]]</f>
        <v>900000</v>
      </c>
      <c r="L1940" s="5">
        <f>ROUND(tblSales[[#This Row],[DPP (excl. VAT)]]*VATEff,0)</f>
        <v>99000</v>
      </c>
      <c r="M1940" s="5">
        <f>tblSales[[#This Row],[DPP (excl. VAT)]]+tblSales[[#This Row],[Output VAT]]</f>
        <v>999000</v>
      </c>
      <c r="N1940" s="5">
        <f>tblSales[[#This Row],[Qty]]*_xlfn.XLOOKUP(tblSales[[#This Row],[Product Code]],tblProducts[Code],tblProducts[Unit Cost],0)</f>
        <v>528000</v>
      </c>
      <c r="O1940" s="4" t="s">
        <v>4866</v>
      </c>
      <c r="P1940" s="4" t="s">
        <v>4861</v>
      </c>
      <c r="Q1940" s="1" t="str">
        <f>_xlfn.XLOOKUP(tblSales[[#This Row],[Channel Code]],tblChannels[Channel Code],tblChannels[Channel Name],"")</f>
        <v>Marketplace</v>
      </c>
      <c r="R1940" s="1">
        <f>MONTH(tblSales[[#This Row],[Date]])</f>
        <v>4</v>
      </c>
    </row>
    <row r="1941" spans="2:18" x14ac:dyDescent="0.35">
      <c r="B1941" s="113">
        <v>46138</v>
      </c>
      <c r="C1941" s="4" t="s">
        <v>1323</v>
      </c>
      <c r="D1941" s="4" t="s">
        <v>4568</v>
      </c>
      <c r="E1941" s="1" t="str">
        <f>_xlfn.XLOOKUP(tblSales[[#This Row],[Customer ID]],tblCustomers[Customer ID],tblCustomers[Customer Name],"⚠ Unknown")</f>
        <v>Walk-in Customer</v>
      </c>
      <c r="F1941" s="4" t="s">
        <v>6</v>
      </c>
      <c r="G1941" s="1" t="str">
        <f>_xlfn.XLOOKUP(tblSales[[#This Row],[Product Code]],tblProducts[Code],tblProducts[Product / Service Name],"⚠ Unknown")</f>
        <v>Socks &amp; Accessories</v>
      </c>
      <c r="H1941" s="1" t="str">
        <f>_xlfn.XLOOKUP(tblSales[[#This Row],[Product Code]],tblProducts[Code],tblProducts[Category],"")</f>
        <v>Accessories &amp; Basics</v>
      </c>
      <c r="I1941" s="4">
        <v>2</v>
      </c>
      <c r="J1941" s="5">
        <f>_xlfn.XLOOKUP(tblSales[[#This Row],[Product Code]],tblProducts[Code],tblProducts[Selling Price (excl. VAT)],0)</f>
        <v>45000</v>
      </c>
      <c r="K1941" s="5">
        <f>tblSales[[#This Row],[Qty]]*tblSales[[#This Row],[Unit Price]]</f>
        <v>90000</v>
      </c>
      <c r="L1941" s="5">
        <f>ROUND(tblSales[[#This Row],[DPP (excl. VAT)]]*VATEff,0)</f>
        <v>9900</v>
      </c>
      <c r="M1941" s="5">
        <f>tblSales[[#This Row],[DPP (excl. VAT)]]+tblSales[[#This Row],[Output VAT]]</f>
        <v>99900</v>
      </c>
      <c r="N1941" s="5">
        <f>tblSales[[#This Row],[Qty]]*_xlfn.XLOOKUP(tblSales[[#This Row],[Product Code]],tblProducts[Code],tblProducts[Unit Cost],0)</f>
        <v>48000</v>
      </c>
      <c r="O1941" s="4" t="s">
        <v>4865</v>
      </c>
      <c r="P1941" s="4" t="s">
        <v>4860</v>
      </c>
      <c r="Q1941" s="1" t="str">
        <f>_xlfn.XLOOKUP(tblSales[[#This Row],[Channel Code]],tblChannels[Channel Code],tblChannels[Channel Name],"")</f>
        <v>In-store</v>
      </c>
      <c r="R1941" s="1">
        <f>MONTH(tblSales[[#This Row],[Date]])</f>
        <v>4</v>
      </c>
    </row>
    <row r="1942" spans="2:18" x14ac:dyDescent="0.35">
      <c r="B1942" s="113">
        <v>46138</v>
      </c>
      <c r="C1942" s="4" t="s">
        <v>1324</v>
      </c>
      <c r="D1942" s="4" t="s">
        <v>4568</v>
      </c>
      <c r="E1942" s="1" t="str">
        <f>_xlfn.XLOOKUP(tblSales[[#This Row],[Customer ID]],tblCustomers[Customer ID],tblCustomers[Customer Name],"⚠ Unknown")</f>
        <v>Walk-in Customer</v>
      </c>
      <c r="F1942" s="4" t="s">
        <v>10</v>
      </c>
      <c r="G1942" s="1" t="str">
        <f>_xlfn.XLOOKUP(tblSales[[#This Row],[Product Code]],tblProducts[Code],tblProducts[Product / Service Name],"⚠ Unknown")</f>
        <v>Chino Pants</v>
      </c>
      <c r="H1942" s="1" t="str">
        <f>_xlfn.XLOOKUP(tblSales[[#This Row],[Product Code]],tblProducts[Code],tblProducts[Category],"")</f>
        <v>Apparel &amp; Footwear</v>
      </c>
      <c r="I1942" s="4">
        <v>11</v>
      </c>
      <c r="J1942" s="5">
        <f>_xlfn.XLOOKUP(tblSales[[#This Row],[Product Code]],tblProducts[Code],tblProducts[Selling Price (excl. VAT)],0)</f>
        <v>150000</v>
      </c>
      <c r="K1942" s="5">
        <f>tblSales[[#This Row],[Qty]]*tblSales[[#This Row],[Unit Price]]</f>
        <v>1650000</v>
      </c>
      <c r="L1942" s="5">
        <f>ROUND(tblSales[[#This Row],[DPP (excl. VAT)]]*VATEff,0)</f>
        <v>181500</v>
      </c>
      <c r="M1942" s="5">
        <f>tblSales[[#This Row],[DPP (excl. VAT)]]+tblSales[[#This Row],[Output VAT]]</f>
        <v>1831500</v>
      </c>
      <c r="N1942" s="5">
        <f>tblSales[[#This Row],[Qty]]*_xlfn.XLOOKUP(tblSales[[#This Row],[Product Code]],tblProducts[Code],tblProducts[Unit Cost],0)</f>
        <v>968000</v>
      </c>
      <c r="O1942" s="4" t="s">
        <v>4865</v>
      </c>
      <c r="P1942" s="4" t="s">
        <v>4860</v>
      </c>
      <c r="Q1942" s="1" t="str">
        <f>_xlfn.XLOOKUP(tblSales[[#This Row],[Channel Code]],tblChannels[Channel Code],tblChannels[Channel Name],"")</f>
        <v>In-store</v>
      </c>
      <c r="R1942" s="1">
        <f>MONTH(tblSales[[#This Row],[Date]])</f>
        <v>4</v>
      </c>
    </row>
    <row r="1943" spans="2:18" x14ac:dyDescent="0.35">
      <c r="B1943" s="113">
        <v>46138</v>
      </c>
      <c r="C1943" s="4" t="s">
        <v>1325</v>
      </c>
      <c r="D1943" s="4" t="s">
        <v>4568</v>
      </c>
      <c r="E1943" s="1" t="str">
        <f>_xlfn.XLOOKUP(tblSales[[#This Row],[Customer ID]],tblCustomers[Customer ID],tblCustomers[Customer Name],"⚠ Unknown")</f>
        <v>Walk-in Customer</v>
      </c>
      <c r="F1943" s="4" t="s">
        <v>11</v>
      </c>
      <c r="G1943" s="1" t="str">
        <f>_xlfn.XLOOKUP(tblSales[[#This Row],[Product Code]],tblProducts[Code],tblProducts[Product / Service Name],"⚠ Unknown")</f>
        <v>Sneakers</v>
      </c>
      <c r="H1943" s="1" t="str">
        <f>_xlfn.XLOOKUP(tblSales[[#This Row],[Product Code]],tblProducts[Code],tblProducts[Category],"")</f>
        <v>Apparel &amp; Footwear</v>
      </c>
      <c r="I1943" s="4">
        <v>4</v>
      </c>
      <c r="J1943" s="5">
        <f>_xlfn.XLOOKUP(tblSales[[#This Row],[Product Code]],tblProducts[Code],tblProducts[Selling Price (excl. VAT)],0)</f>
        <v>250000</v>
      </c>
      <c r="K1943" s="5">
        <f>tblSales[[#This Row],[Qty]]*tblSales[[#This Row],[Unit Price]]</f>
        <v>1000000</v>
      </c>
      <c r="L1943" s="5">
        <f>ROUND(tblSales[[#This Row],[DPP (excl. VAT)]]*VATEff,0)</f>
        <v>110000</v>
      </c>
      <c r="M1943" s="5">
        <f>tblSales[[#This Row],[DPP (excl. VAT)]]+tblSales[[#This Row],[Output VAT]]</f>
        <v>1110000</v>
      </c>
      <c r="N1943" s="5">
        <f>tblSales[[#This Row],[Qty]]*_xlfn.XLOOKUP(tblSales[[#This Row],[Product Code]],tblProducts[Code],tblProducts[Unit Cost],0)</f>
        <v>620000</v>
      </c>
      <c r="O1943" s="4" t="s">
        <v>4866</v>
      </c>
      <c r="P1943" s="4" t="s">
        <v>4862</v>
      </c>
      <c r="Q1943" s="1" t="str">
        <f>_xlfn.XLOOKUP(tblSales[[#This Row],[Channel Code]],tblChannels[Channel Code],tblChannels[Channel Name],"")</f>
        <v>Website &amp; Social Media</v>
      </c>
      <c r="R1943" s="1">
        <f>MONTH(tblSales[[#This Row],[Date]])</f>
        <v>4</v>
      </c>
    </row>
    <row r="1944" spans="2:18" x14ac:dyDescent="0.35">
      <c r="B1944" s="113">
        <v>46138</v>
      </c>
      <c r="C1944" s="4" t="s">
        <v>1326</v>
      </c>
      <c r="D1944" s="4" t="s">
        <v>4568</v>
      </c>
      <c r="E1944" s="1" t="str">
        <f>_xlfn.XLOOKUP(tblSales[[#This Row],[Customer ID]],tblCustomers[Customer ID],tblCustomers[Customer Name],"⚠ Unknown")</f>
        <v>Walk-in Customer</v>
      </c>
      <c r="F1944" s="4" t="s">
        <v>8</v>
      </c>
      <c r="G1944" s="1" t="str">
        <f>_xlfn.XLOOKUP(tblSales[[#This Row],[Product Code]],tblProducts[Code],tblProducts[Product / Service Name],"⚠ Unknown")</f>
        <v>Casual Shorts</v>
      </c>
      <c r="H1944" s="1" t="str">
        <f>_xlfn.XLOOKUP(tblSales[[#This Row],[Product Code]],tblProducts[Code],tblProducts[Category],"")</f>
        <v>Accessories &amp; Basics</v>
      </c>
      <c r="I1944" s="4">
        <v>12</v>
      </c>
      <c r="J1944" s="5">
        <f>_xlfn.XLOOKUP(tblSales[[#This Row],[Product Code]],tblProducts[Code],tblProducts[Selling Price (excl. VAT)],0)</f>
        <v>85000</v>
      </c>
      <c r="K1944" s="5">
        <f>tblSales[[#This Row],[Qty]]*tblSales[[#This Row],[Unit Price]]</f>
        <v>1020000</v>
      </c>
      <c r="L1944" s="5">
        <f>ROUND(tblSales[[#This Row],[DPP (excl. VAT)]]*VATEff,0)</f>
        <v>112200</v>
      </c>
      <c r="M1944" s="5">
        <f>tblSales[[#This Row],[DPP (excl. VAT)]]+tblSales[[#This Row],[Output VAT]]</f>
        <v>1132200</v>
      </c>
      <c r="N1944" s="5">
        <f>tblSales[[#This Row],[Qty]]*_xlfn.XLOOKUP(tblSales[[#This Row],[Product Code]],tblProducts[Code],tblProducts[Unit Cost],0)</f>
        <v>600000</v>
      </c>
      <c r="O1944" s="4" t="s">
        <v>4865</v>
      </c>
      <c r="P1944" s="4" t="s">
        <v>4860</v>
      </c>
      <c r="Q1944" s="1" t="str">
        <f>_xlfn.XLOOKUP(tblSales[[#This Row],[Channel Code]],tblChannels[Channel Code],tblChannels[Channel Name],"")</f>
        <v>In-store</v>
      </c>
      <c r="R1944" s="1">
        <f>MONTH(tblSales[[#This Row],[Date]])</f>
        <v>4</v>
      </c>
    </row>
    <row r="1945" spans="2:18" x14ac:dyDescent="0.35">
      <c r="B1945" s="113">
        <v>46138</v>
      </c>
      <c r="C1945" s="4" t="s">
        <v>5211</v>
      </c>
      <c r="D1945" s="4" t="s">
        <v>4578</v>
      </c>
      <c r="E1945" s="1" t="str">
        <f>_xlfn.XLOOKUP(tblSales[[#This Row],[Customer ID]],tblCustomers[Customer ID],tblCustomers[Customer Name],"⚠ Unknown")</f>
        <v>PT Bintang Timur Sejahtera</v>
      </c>
      <c r="F1945" s="4" t="s">
        <v>8</v>
      </c>
      <c r="G1945" s="1" t="str">
        <f>_xlfn.XLOOKUP(tblSales[[#This Row],[Product Code]],tblProducts[Code],tblProducts[Product / Service Name],"⚠ Unknown")</f>
        <v>Casual Shorts</v>
      </c>
      <c r="H1945" s="1" t="str">
        <f>_xlfn.XLOOKUP(tblSales[[#This Row],[Product Code]],tblProducts[Code],tblProducts[Category],"")</f>
        <v>Accessories &amp; Basics</v>
      </c>
      <c r="I1945" s="4">
        <v>16</v>
      </c>
      <c r="J1945" s="5">
        <f>_xlfn.XLOOKUP(tblSales[[#This Row],[Product Code]],tblProducts[Code],tblProducts[Selling Price (excl. VAT)],0)</f>
        <v>85000</v>
      </c>
      <c r="K1945" s="5">
        <f>tblSales[[#This Row],[Qty]]*tblSales[[#This Row],[Unit Price]]</f>
        <v>1360000</v>
      </c>
      <c r="L1945" s="5">
        <f>ROUND(tblSales[[#This Row],[DPP (excl. VAT)]]*VATEff,0)</f>
        <v>149600</v>
      </c>
      <c r="M1945" s="5">
        <f>tblSales[[#This Row],[DPP (excl. VAT)]]+tblSales[[#This Row],[Output VAT]]</f>
        <v>1509600</v>
      </c>
      <c r="N1945" s="5">
        <f>tblSales[[#This Row],[Qty]]*_xlfn.XLOOKUP(tblSales[[#This Row],[Product Code]],tblProducts[Code],tblProducts[Unit Cost],0)</f>
        <v>800000</v>
      </c>
      <c r="O1945" s="4" t="s">
        <v>4867</v>
      </c>
      <c r="P1945" s="4" t="s">
        <v>4860</v>
      </c>
      <c r="Q1945" s="1" t="str">
        <f>_xlfn.XLOOKUP(tblSales[[#This Row],[Channel Code]],tblChannels[Channel Code],tblChannels[Channel Name],"")</f>
        <v>In-store</v>
      </c>
      <c r="R1945" s="1">
        <f>MONTH(tblSales[[#This Row],[Date]])</f>
        <v>4</v>
      </c>
    </row>
    <row r="1946" spans="2:18" x14ac:dyDescent="0.35">
      <c r="B1946" s="113">
        <v>46138</v>
      </c>
      <c r="C1946" s="4" t="s">
        <v>5212</v>
      </c>
      <c r="D1946" s="4" t="s">
        <v>4568</v>
      </c>
      <c r="E1946" s="1" t="str">
        <f>_xlfn.XLOOKUP(tblSales[[#This Row],[Customer ID]],tblCustomers[Customer ID],tblCustomers[Customer Name],"⚠ Unknown")</f>
        <v>Walk-in Customer</v>
      </c>
      <c r="F1946" s="4" t="s">
        <v>11</v>
      </c>
      <c r="G1946" s="1" t="str">
        <f>_xlfn.XLOOKUP(tblSales[[#This Row],[Product Code]],tblProducts[Code],tblProducts[Product / Service Name],"⚠ Unknown")</f>
        <v>Sneakers</v>
      </c>
      <c r="H1946" s="1" t="str">
        <f>_xlfn.XLOOKUP(tblSales[[#This Row],[Product Code]],tblProducts[Code],tblProducts[Category],"")</f>
        <v>Apparel &amp; Footwear</v>
      </c>
      <c r="I1946" s="4">
        <v>6</v>
      </c>
      <c r="J1946" s="5">
        <f>_xlfn.XLOOKUP(tblSales[[#This Row],[Product Code]],tblProducts[Code],tblProducts[Selling Price (excl. VAT)],0)</f>
        <v>250000</v>
      </c>
      <c r="K1946" s="5">
        <f>tblSales[[#This Row],[Qty]]*tblSales[[#This Row],[Unit Price]]</f>
        <v>1500000</v>
      </c>
      <c r="L1946" s="5">
        <f>ROUND(tblSales[[#This Row],[DPP (excl. VAT)]]*VATEff,0)</f>
        <v>165000</v>
      </c>
      <c r="M1946" s="5">
        <f>tblSales[[#This Row],[DPP (excl. VAT)]]+tblSales[[#This Row],[Output VAT]]</f>
        <v>1665000</v>
      </c>
      <c r="N1946" s="5">
        <f>tblSales[[#This Row],[Qty]]*_xlfn.XLOOKUP(tblSales[[#This Row],[Product Code]],tblProducts[Code],tblProducts[Unit Cost],0)</f>
        <v>930000</v>
      </c>
      <c r="O1946" s="4" t="s">
        <v>4866</v>
      </c>
      <c r="P1946" s="4" t="s">
        <v>4860</v>
      </c>
      <c r="Q1946" s="1" t="str">
        <f>_xlfn.XLOOKUP(tblSales[[#This Row],[Channel Code]],tblChannels[Channel Code],tblChannels[Channel Name],"")</f>
        <v>In-store</v>
      </c>
      <c r="R1946" s="1">
        <f>MONTH(tblSales[[#This Row],[Date]])</f>
        <v>4</v>
      </c>
    </row>
    <row r="1947" spans="2:18" x14ac:dyDescent="0.35">
      <c r="B1947" s="113">
        <v>46138</v>
      </c>
      <c r="C1947" s="4" t="s">
        <v>5212</v>
      </c>
      <c r="D1947" s="4" t="s">
        <v>4568</v>
      </c>
      <c r="E1947" s="1" t="str">
        <f>_xlfn.XLOOKUP(tblSales[[#This Row],[Customer ID]],tblCustomers[Customer ID],tblCustomers[Customer Name],"⚠ Unknown")</f>
        <v>Walk-in Customer</v>
      </c>
      <c r="F1947" s="4" t="s">
        <v>9</v>
      </c>
      <c r="G1947" s="1" t="str">
        <f>_xlfn.XLOOKUP(tblSales[[#This Row],[Product Code]],tblProducts[Code],tblProducts[Product / Service Name],"⚠ Unknown")</f>
        <v>Casual Shirt</v>
      </c>
      <c r="H1947" s="1" t="str">
        <f>_xlfn.XLOOKUP(tblSales[[#This Row],[Product Code]],tblProducts[Code],tblProducts[Category],"")</f>
        <v>Apparel &amp; Footwear</v>
      </c>
      <c r="I1947" s="4">
        <v>7</v>
      </c>
      <c r="J1947" s="5">
        <f>_xlfn.XLOOKUP(tblSales[[#This Row],[Product Code]],tblProducts[Code],tblProducts[Selling Price (excl. VAT)],0)</f>
        <v>120000</v>
      </c>
      <c r="K1947" s="5">
        <f>tblSales[[#This Row],[Qty]]*tblSales[[#This Row],[Unit Price]]</f>
        <v>840000</v>
      </c>
      <c r="L1947" s="5">
        <f>ROUND(tblSales[[#This Row],[DPP (excl. VAT)]]*VATEff,0)</f>
        <v>92400</v>
      </c>
      <c r="M1947" s="5">
        <f>tblSales[[#This Row],[DPP (excl. VAT)]]+tblSales[[#This Row],[Output VAT]]</f>
        <v>932400</v>
      </c>
      <c r="N1947" s="5">
        <f>tblSales[[#This Row],[Qty]]*_xlfn.XLOOKUP(tblSales[[#This Row],[Product Code]],tblProducts[Code],tblProducts[Unit Cost],0)</f>
        <v>504000</v>
      </c>
      <c r="O1947" s="4" t="s">
        <v>4866</v>
      </c>
      <c r="P1947" s="4" t="s">
        <v>4860</v>
      </c>
      <c r="Q1947" s="1" t="str">
        <f>_xlfn.XLOOKUP(tblSales[[#This Row],[Channel Code]],tblChannels[Channel Code],tblChannels[Channel Name],"")</f>
        <v>In-store</v>
      </c>
      <c r="R1947" s="1">
        <f>MONTH(tblSales[[#This Row],[Date]])</f>
        <v>4</v>
      </c>
    </row>
    <row r="1948" spans="2:18" x14ac:dyDescent="0.35">
      <c r="B1948" s="113">
        <v>46138</v>
      </c>
      <c r="C1948" s="4" t="s">
        <v>5212</v>
      </c>
      <c r="D1948" s="4" t="s">
        <v>4568</v>
      </c>
      <c r="E1948" s="1" t="str">
        <f>_xlfn.XLOOKUP(tblSales[[#This Row],[Customer ID]],tblCustomers[Customer ID],tblCustomers[Customer Name],"⚠ Unknown")</f>
        <v>Walk-in Customer</v>
      </c>
      <c r="F1948" s="4" t="s">
        <v>15</v>
      </c>
      <c r="G1948" s="1" t="str">
        <f>_xlfn.XLOOKUP(tblSales[[#This Row],[Product Code]],tblProducts[Code],tblProducts[Product / Service Name],"⚠ Unknown")</f>
        <v>Wireless Earbuds Pro</v>
      </c>
      <c r="H1948" s="1" t="str">
        <f>_xlfn.XLOOKUP(tblSales[[#This Row],[Product Code]],tblProducts[Code],tblProducts[Category],"")</f>
        <v>Bags &amp; Gadgets</v>
      </c>
      <c r="I1948" s="4">
        <v>3</v>
      </c>
      <c r="J1948" s="5">
        <f>_xlfn.XLOOKUP(tblSales[[#This Row],[Product Code]],tblProducts[Code],tblProducts[Selling Price (excl. VAT)],0)</f>
        <v>1250000</v>
      </c>
      <c r="K1948" s="5">
        <f>tblSales[[#This Row],[Qty]]*tblSales[[#This Row],[Unit Price]]</f>
        <v>3750000</v>
      </c>
      <c r="L1948" s="5">
        <f>ROUND(tblSales[[#This Row],[DPP (excl. VAT)]]*VATEff,0)</f>
        <v>412500</v>
      </c>
      <c r="M1948" s="5">
        <f>tblSales[[#This Row],[DPP (excl. VAT)]]+tblSales[[#This Row],[Output VAT]]</f>
        <v>4162500</v>
      </c>
      <c r="N1948" s="5">
        <f>tblSales[[#This Row],[Qty]]*_xlfn.XLOOKUP(tblSales[[#This Row],[Product Code]],tblProducts[Code],tblProducts[Unit Cost],0)</f>
        <v>2460000</v>
      </c>
      <c r="O1948" s="4" t="s">
        <v>4866</v>
      </c>
      <c r="P1948" s="4" t="s">
        <v>4860</v>
      </c>
      <c r="Q1948" s="1" t="str">
        <f>_xlfn.XLOOKUP(tblSales[[#This Row],[Channel Code]],tblChannels[Channel Code],tblChannels[Channel Name],"")</f>
        <v>In-store</v>
      </c>
      <c r="R1948" s="1">
        <f>MONTH(tblSales[[#This Row],[Date]])</f>
        <v>4</v>
      </c>
    </row>
    <row r="1949" spans="2:18" x14ac:dyDescent="0.35">
      <c r="B1949" s="113">
        <v>46138</v>
      </c>
      <c r="C1949" s="4" t="s">
        <v>5213</v>
      </c>
      <c r="D1949" s="4" t="s">
        <v>4568</v>
      </c>
      <c r="E1949" s="1" t="str">
        <f>_xlfn.XLOOKUP(tblSales[[#This Row],[Customer ID]],tblCustomers[Customer ID],tblCustomers[Customer Name],"⚠ Unknown")</f>
        <v>Walk-in Customer</v>
      </c>
      <c r="F1949" s="4" t="s">
        <v>14</v>
      </c>
      <c r="G1949" s="1" t="str">
        <f>_xlfn.XLOOKUP(tblSales[[#This Row],[Product Code]],tblProducts[Code],tblProducts[Product / Service Name],"⚠ Unknown")</f>
        <v>Smartwatch</v>
      </c>
      <c r="H1949" s="1" t="str">
        <f>_xlfn.XLOOKUP(tblSales[[#This Row],[Product Code]],tblProducts[Code],tblProducts[Category],"")</f>
        <v>Bags &amp; Gadgets</v>
      </c>
      <c r="I1949" s="4">
        <v>3</v>
      </c>
      <c r="J1949" s="5">
        <f>_xlfn.XLOOKUP(tblSales[[#This Row],[Product Code]],tblProducts[Code],tblProducts[Selling Price (excl. VAT)],0)</f>
        <v>850000</v>
      </c>
      <c r="K1949" s="5">
        <f>tblSales[[#This Row],[Qty]]*tblSales[[#This Row],[Unit Price]]</f>
        <v>2550000</v>
      </c>
      <c r="L1949" s="5">
        <f>ROUND(tblSales[[#This Row],[DPP (excl. VAT)]]*VATEff,0)</f>
        <v>280500</v>
      </c>
      <c r="M1949" s="5">
        <f>tblSales[[#This Row],[DPP (excl. VAT)]]+tblSales[[#This Row],[Output VAT]]</f>
        <v>2830500</v>
      </c>
      <c r="N1949" s="5">
        <f>tblSales[[#This Row],[Qty]]*_xlfn.XLOOKUP(tblSales[[#This Row],[Product Code]],tblProducts[Code],tblProducts[Unit Cost],0)</f>
        <v>1680000</v>
      </c>
      <c r="O1949" s="4" t="s">
        <v>4865</v>
      </c>
      <c r="P1949" s="4" t="s">
        <v>4860</v>
      </c>
      <c r="Q1949" s="1" t="str">
        <f>_xlfn.XLOOKUP(tblSales[[#This Row],[Channel Code]],tblChannels[Channel Code],tblChannels[Channel Name],"")</f>
        <v>In-store</v>
      </c>
      <c r="R1949" s="1">
        <f>MONTH(tblSales[[#This Row],[Date]])</f>
        <v>4</v>
      </c>
    </row>
    <row r="1950" spans="2:18" x14ac:dyDescent="0.35">
      <c r="B1950" s="113">
        <v>46138</v>
      </c>
      <c r="C1950" s="4" t="s">
        <v>5213</v>
      </c>
      <c r="D1950" s="4" t="s">
        <v>4568</v>
      </c>
      <c r="E1950" s="1" t="str">
        <f>_xlfn.XLOOKUP(tblSales[[#This Row],[Customer ID]],tblCustomers[Customer ID],tblCustomers[Customer Name],"⚠ Unknown")</f>
        <v>Walk-in Customer</v>
      </c>
      <c r="F1950" s="4" t="s">
        <v>11</v>
      </c>
      <c r="G1950" s="1" t="str">
        <f>_xlfn.XLOOKUP(tblSales[[#This Row],[Product Code]],tblProducts[Code],tblProducts[Product / Service Name],"⚠ Unknown")</f>
        <v>Sneakers</v>
      </c>
      <c r="H1950" s="1" t="str">
        <f>_xlfn.XLOOKUP(tblSales[[#This Row],[Product Code]],tblProducts[Code],tblProducts[Category],"")</f>
        <v>Apparel &amp; Footwear</v>
      </c>
      <c r="I1950" s="4">
        <v>2</v>
      </c>
      <c r="J1950" s="5">
        <f>_xlfn.XLOOKUP(tblSales[[#This Row],[Product Code]],tblProducts[Code],tblProducts[Selling Price (excl. VAT)],0)</f>
        <v>250000</v>
      </c>
      <c r="K1950" s="5">
        <f>tblSales[[#This Row],[Qty]]*tblSales[[#This Row],[Unit Price]]</f>
        <v>500000</v>
      </c>
      <c r="L1950" s="5">
        <f>ROUND(tblSales[[#This Row],[DPP (excl. VAT)]]*VATEff,0)</f>
        <v>55000</v>
      </c>
      <c r="M1950" s="5">
        <f>tblSales[[#This Row],[DPP (excl. VAT)]]+tblSales[[#This Row],[Output VAT]]</f>
        <v>555000</v>
      </c>
      <c r="N1950" s="5">
        <f>tblSales[[#This Row],[Qty]]*_xlfn.XLOOKUP(tblSales[[#This Row],[Product Code]],tblProducts[Code],tblProducts[Unit Cost],0)</f>
        <v>310000</v>
      </c>
      <c r="O1950" s="4" t="s">
        <v>4865</v>
      </c>
      <c r="P1950" s="4" t="s">
        <v>4860</v>
      </c>
      <c r="Q1950" s="1" t="str">
        <f>_xlfn.XLOOKUP(tblSales[[#This Row],[Channel Code]],tblChannels[Channel Code],tblChannels[Channel Name],"")</f>
        <v>In-store</v>
      </c>
      <c r="R1950" s="1">
        <f>MONTH(tblSales[[#This Row],[Date]])</f>
        <v>4</v>
      </c>
    </row>
    <row r="1951" spans="2:18" x14ac:dyDescent="0.35">
      <c r="B1951" s="113">
        <v>46138</v>
      </c>
      <c r="C1951" s="4" t="s">
        <v>5214</v>
      </c>
      <c r="D1951" s="4" t="s">
        <v>4568</v>
      </c>
      <c r="E1951" s="1" t="str">
        <f>_xlfn.XLOOKUP(tblSales[[#This Row],[Customer ID]],tblCustomers[Customer ID],tblCustomers[Customer Name],"⚠ Unknown")</f>
        <v>Walk-in Customer</v>
      </c>
      <c r="F1951" s="4" t="s">
        <v>8</v>
      </c>
      <c r="G1951" s="1" t="str">
        <f>_xlfn.XLOOKUP(tblSales[[#This Row],[Product Code]],tblProducts[Code],tblProducts[Product / Service Name],"⚠ Unknown")</f>
        <v>Casual Shorts</v>
      </c>
      <c r="H1951" s="1" t="str">
        <f>_xlfn.XLOOKUP(tblSales[[#This Row],[Product Code]],tblProducts[Code],tblProducts[Category],"")</f>
        <v>Accessories &amp; Basics</v>
      </c>
      <c r="I1951" s="4">
        <v>5</v>
      </c>
      <c r="J1951" s="5">
        <f>_xlfn.XLOOKUP(tblSales[[#This Row],[Product Code]],tblProducts[Code],tblProducts[Selling Price (excl. VAT)],0)</f>
        <v>85000</v>
      </c>
      <c r="K1951" s="5">
        <f>tblSales[[#This Row],[Qty]]*tblSales[[#This Row],[Unit Price]]</f>
        <v>425000</v>
      </c>
      <c r="L1951" s="5">
        <f>ROUND(tblSales[[#This Row],[DPP (excl. VAT)]]*VATEff,0)</f>
        <v>46750</v>
      </c>
      <c r="M1951" s="5">
        <f>tblSales[[#This Row],[DPP (excl. VAT)]]+tblSales[[#This Row],[Output VAT]]</f>
        <v>471750</v>
      </c>
      <c r="N1951" s="5">
        <f>tblSales[[#This Row],[Qty]]*_xlfn.XLOOKUP(tblSales[[#This Row],[Product Code]],tblProducts[Code],tblProducts[Unit Cost],0)</f>
        <v>250000</v>
      </c>
      <c r="O1951" s="4" t="s">
        <v>4865</v>
      </c>
      <c r="P1951" s="4" t="s">
        <v>4860</v>
      </c>
      <c r="Q1951" s="1" t="str">
        <f>_xlfn.XLOOKUP(tblSales[[#This Row],[Channel Code]],tblChannels[Channel Code],tblChannels[Channel Name],"")</f>
        <v>In-store</v>
      </c>
      <c r="R1951" s="1">
        <f>MONTH(tblSales[[#This Row],[Date]])</f>
        <v>4</v>
      </c>
    </row>
    <row r="1952" spans="2:18" x14ac:dyDescent="0.35">
      <c r="B1952" s="113">
        <v>46138</v>
      </c>
      <c r="C1952" s="4" t="s">
        <v>5215</v>
      </c>
      <c r="D1952" s="4" t="s">
        <v>4568</v>
      </c>
      <c r="E1952" s="1" t="str">
        <f>_xlfn.XLOOKUP(tblSales[[#This Row],[Customer ID]],tblCustomers[Customer ID],tblCustomers[Customer Name],"⚠ Unknown")</f>
        <v>Walk-in Customer</v>
      </c>
      <c r="F1952" s="4" t="s">
        <v>9</v>
      </c>
      <c r="G1952" s="1" t="str">
        <f>_xlfn.XLOOKUP(tblSales[[#This Row],[Product Code]],tblProducts[Code],tblProducts[Product / Service Name],"⚠ Unknown")</f>
        <v>Casual Shirt</v>
      </c>
      <c r="H1952" s="1" t="str">
        <f>_xlfn.XLOOKUP(tblSales[[#This Row],[Product Code]],tblProducts[Code],tblProducts[Category],"")</f>
        <v>Apparel &amp; Footwear</v>
      </c>
      <c r="I1952" s="4">
        <v>3</v>
      </c>
      <c r="J1952" s="5">
        <f>_xlfn.XLOOKUP(tblSales[[#This Row],[Product Code]],tblProducts[Code],tblProducts[Selling Price (excl. VAT)],0)</f>
        <v>120000</v>
      </c>
      <c r="K1952" s="5">
        <f>tblSales[[#This Row],[Qty]]*tblSales[[#This Row],[Unit Price]]</f>
        <v>360000</v>
      </c>
      <c r="L1952" s="5">
        <f>ROUND(tblSales[[#This Row],[DPP (excl. VAT)]]*VATEff,0)</f>
        <v>39600</v>
      </c>
      <c r="M1952" s="5">
        <f>tblSales[[#This Row],[DPP (excl. VAT)]]+tblSales[[#This Row],[Output VAT]]</f>
        <v>399600</v>
      </c>
      <c r="N1952" s="5">
        <f>tblSales[[#This Row],[Qty]]*_xlfn.XLOOKUP(tblSales[[#This Row],[Product Code]],tblProducts[Code],tblProducts[Unit Cost],0)</f>
        <v>216000</v>
      </c>
      <c r="O1952" s="4" t="s">
        <v>4866</v>
      </c>
      <c r="P1952" s="4" t="s">
        <v>4861</v>
      </c>
      <c r="Q1952" s="1" t="str">
        <f>_xlfn.XLOOKUP(tblSales[[#This Row],[Channel Code]],tblChannels[Channel Code],tblChannels[Channel Name],"")</f>
        <v>Marketplace</v>
      </c>
      <c r="R1952" s="1">
        <f>MONTH(tblSales[[#This Row],[Date]])</f>
        <v>4</v>
      </c>
    </row>
    <row r="1953" spans="2:18" x14ac:dyDescent="0.35">
      <c r="B1953" s="113">
        <v>46138</v>
      </c>
      <c r="C1953" s="4" t="s">
        <v>5216</v>
      </c>
      <c r="D1953" s="4" t="s">
        <v>4568</v>
      </c>
      <c r="E1953" s="1" t="str">
        <f>_xlfn.XLOOKUP(tblSales[[#This Row],[Customer ID]],tblCustomers[Customer ID],tblCustomers[Customer Name],"⚠ Unknown")</f>
        <v>Walk-in Customer</v>
      </c>
      <c r="F1953" s="4" t="s">
        <v>11</v>
      </c>
      <c r="G1953" s="1" t="str">
        <f>_xlfn.XLOOKUP(tblSales[[#This Row],[Product Code]],tblProducts[Code],tblProducts[Product / Service Name],"⚠ Unknown")</f>
        <v>Sneakers</v>
      </c>
      <c r="H1953" s="1" t="str">
        <f>_xlfn.XLOOKUP(tblSales[[#This Row],[Product Code]],tblProducts[Code],tblProducts[Category],"")</f>
        <v>Apparel &amp; Footwear</v>
      </c>
      <c r="I1953" s="4">
        <v>3</v>
      </c>
      <c r="J1953" s="5">
        <f>_xlfn.XLOOKUP(tblSales[[#This Row],[Product Code]],tblProducts[Code],tblProducts[Selling Price (excl. VAT)],0)</f>
        <v>250000</v>
      </c>
      <c r="K1953" s="5">
        <f>tblSales[[#This Row],[Qty]]*tblSales[[#This Row],[Unit Price]]</f>
        <v>750000</v>
      </c>
      <c r="L1953" s="5">
        <f>ROUND(tblSales[[#This Row],[DPP (excl. VAT)]]*VATEff,0)</f>
        <v>82500</v>
      </c>
      <c r="M1953" s="5">
        <f>tblSales[[#This Row],[DPP (excl. VAT)]]+tblSales[[#This Row],[Output VAT]]</f>
        <v>832500</v>
      </c>
      <c r="N1953" s="5">
        <f>tblSales[[#This Row],[Qty]]*_xlfn.XLOOKUP(tblSales[[#This Row],[Product Code]],tblProducts[Code],tblProducts[Unit Cost],0)</f>
        <v>465000</v>
      </c>
      <c r="O1953" s="4" t="s">
        <v>4866</v>
      </c>
      <c r="P1953" s="4" t="s">
        <v>4860</v>
      </c>
      <c r="Q1953" s="1" t="str">
        <f>_xlfn.XLOOKUP(tblSales[[#This Row],[Channel Code]],tblChannels[Channel Code],tblChannels[Channel Name],"")</f>
        <v>In-store</v>
      </c>
      <c r="R1953" s="1">
        <f>MONTH(tblSales[[#This Row],[Date]])</f>
        <v>4</v>
      </c>
    </row>
    <row r="1954" spans="2:18" x14ac:dyDescent="0.35">
      <c r="B1954" s="113">
        <v>46138</v>
      </c>
      <c r="C1954" s="4" t="s">
        <v>5216</v>
      </c>
      <c r="D1954" s="4" t="s">
        <v>4568</v>
      </c>
      <c r="E1954" s="1" t="str">
        <f>_xlfn.XLOOKUP(tblSales[[#This Row],[Customer ID]],tblCustomers[Customer ID],tblCustomers[Customer Name],"⚠ Unknown")</f>
        <v>Walk-in Customer</v>
      </c>
      <c r="F1954" s="4" t="s">
        <v>7</v>
      </c>
      <c r="G1954" s="1" t="str">
        <f>_xlfn.XLOOKUP(tblSales[[#This Row],[Product Code]],tblProducts[Code],tblProducts[Product / Service Name],"⚠ Unknown")</f>
        <v>Premium Basic T-shirt</v>
      </c>
      <c r="H1954" s="1" t="str">
        <f>_xlfn.XLOOKUP(tblSales[[#This Row],[Product Code]],tblProducts[Code],tblProducts[Category],"")</f>
        <v>Accessories &amp; Basics</v>
      </c>
      <c r="I1954" s="4">
        <v>3</v>
      </c>
      <c r="J1954" s="5">
        <f>_xlfn.XLOOKUP(tblSales[[#This Row],[Product Code]],tblProducts[Code],tblProducts[Selling Price (excl. VAT)],0)</f>
        <v>65000</v>
      </c>
      <c r="K1954" s="5">
        <f>tblSales[[#This Row],[Qty]]*tblSales[[#This Row],[Unit Price]]</f>
        <v>195000</v>
      </c>
      <c r="L1954" s="5">
        <f>ROUND(tblSales[[#This Row],[DPP (excl. VAT)]]*VATEff,0)</f>
        <v>21450</v>
      </c>
      <c r="M1954" s="5">
        <f>tblSales[[#This Row],[DPP (excl. VAT)]]+tblSales[[#This Row],[Output VAT]]</f>
        <v>216450</v>
      </c>
      <c r="N1954" s="5">
        <f>tblSales[[#This Row],[Qty]]*_xlfn.XLOOKUP(tblSales[[#This Row],[Product Code]],tblProducts[Code],tblProducts[Unit Cost],0)</f>
        <v>111000</v>
      </c>
      <c r="O1954" s="4" t="s">
        <v>4866</v>
      </c>
      <c r="P1954" s="4" t="s">
        <v>4860</v>
      </c>
      <c r="Q1954" s="1" t="str">
        <f>_xlfn.XLOOKUP(tblSales[[#This Row],[Channel Code]],tblChannels[Channel Code],tblChannels[Channel Name],"")</f>
        <v>In-store</v>
      </c>
      <c r="R1954" s="1">
        <f>MONTH(tblSales[[#This Row],[Date]])</f>
        <v>4</v>
      </c>
    </row>
    <row r="1955" spans="2:18" x14ac:dyDescent="0.35">
      <c r="B1955" s="113">
        <v>46138</v>
      </c>
      <c r="C1955" s="4" t="s">
        <v>5217</v>
      </c>
      <c r="D1955" s="4" t="s">
        <v>4568</v>
      </c>
      <c r="E1955" s="1" t="str">
        <f>_xlfn.XLOOKUP(tblSales[[#This Row],[Customer ID]],tblCustomers[Customer ID],tblCustomers[Customer Name],"⚠ Unknown")</f>
        <v>Walk-in Customer</v>
      </c>
      <c r="F1955" s="4" t="s">
        <v>10</v>
      </c>
      <c r="G1955" s="1" t="str">
        <f>_xlfn.XLOOKUP(tblSales[[#This Row],[Product Code]],tblProducts[Code],tblProducts[Product / Service Name],"⚠ Unknown")</f>
        <v>Chino Pants</v>
      </c>
      <c r="H1955" s="1" t="str">
        <f>_xlfn.XLOOKUP(tblSales[[#This Row],[Product Code]],tblProducts[Code],tblProducts[Category],"")</f>
        <v>Apparel &amp; Footwear</v>
      </c>
      <c r="I1955" s="4">
        <v>2</v>
      </c>
      <c r="J1955" s="5">
        <f>_xlfn.XLOOKUP(tblSales[[#This Row],[Product Code]],tblProducts[Code],tblProducts[Selling Price (excl. VAT)],0)</f>
        <v>150000</v>
      </c>
      <c r="K1955" s="5">
        <f>tblSales[[#This Row],[Qty]]*tblSales[[#This Row],[Unit Price]]</f>
        <v>300000</v>
      </c>
      <c r="L1955" s="5">
        <f>ROUND(tblSales[[#This Row],[DPP (excl. VAT)]]*VATEff,0)</f>
        <v>33000</v>
      </c>
      <c r="M1955" s="5">
        <f>tblSales[[#This Row],[DPP (excl. VAT)]]+tblSales[[#This Row],[Output VAT]]</f>
        <v>333000</v>
      </c>
      <c r="N1955" s="5">
        <f>tblSales[[#This Row],[Qty]]*_xlfn.XLOOKUP(tblSales[[#This Row],[Product Code]],tblProducts[Code],tblProducts[Unit Cost],0)</f>
        <v>176000</v>
      </c>
      <c r="O1955" s="4" t="s">
        <v>4865</v>
      </c>
      <c r="P1955" s="4" t="s">
        <v>4860</v>
      </c>
      <c r="Q1955" s="1" t="str">
        <f>_xlfn.XLOOKUP(tblSales[[#This Row],[Channel Code]],tblChannels[Channel Code],tblChannels[Channel Name],"")</f>
        <v>In-store</v>
      </c>
      <c r="R1955" s="1">
        <f>MONTH(tblSales[[#This Row],[Date]])</f>
        <v>4</v>
      </c>
    </row>
    <row r="1956" spans="2:18" x14ac:dyDescent="0.35">
      <c r="B1956" s="113">
        <v>46138</v>
      </c>
      <c r="C1956" s="4" t="s">
        <v>5218</v>
      </c>
      <c r="D1956" s="4" t="s">
        <v>4568</v>
      </c>
      <c r="E1956" s="1" t="str">
        <f>_xlfn.XLOOKUP(tblSales[[#This Row],[Customer ID]],tblCustomers[Customer ID],tblCustomers[Customer Name],"⚠ Unknown")</f>
        <v>Walk-in Customer</v>
      </c>
      <c r="F1956" s="4" t="s">
        <v>9</v>
      </c>
      <c r="G1956" s="1" t="str">
        <f>_xlfn.XLOOKUP(tblSales[[#This Row],[Product Code]],tblProducts[Code],tblProducts[Product / Service Name],"⚠ Unknown")</f>
        <v>Casual Shirt</v>
      </c>
      <c r="H1956" s="1" t="str">
        <f>_xlfn.XLOOKUP(tblSales[[#This Row],[Product Code]],tblProducts[Code],tblProducts[Category],"")</f>
        <v>Apparel &amp; Footwear</v>
      </c>
      <c r="I1956" s="4">
        <v>9</v>
      </c>
      <c r="J1956" s="5">
        <f>_xlfn.XLOOKUP(tblSales[[#This Row],[Product Code]],tblProducts[Code],tblProducts[Selling Price (excl. VAT)],0)</f>
        <v>120000</v>
      </c>
      <c r="K1956" s="5">
        <f>tblSales[[#This Row],[Qty]]*tblSales[[#This Row],[Unit Price]]</f>
        <v>1080000</v>
      </c>
      <c r="L1956" s="5">
        <f>ROUND(tblSales[[#This Row],[DPP (excl. VAT)]]*VATEff,0)</f>
        <v>118800</v>
      </c>
      <c r="M1956" s="5">
        <f>tblSales[[#This Row],[DPP (excl. VAT)]]+tblSales[[#This Row],[Output VAT]]</f>
        <v>1198800</v>
      </c>
      <c r="N1956" s="5">
        <f>tblSales[[#This Row],[Qty]]*_xlfn.XLOOKUP(tblSales[[#This Row],[Product Code]],tblProducts[Code],tblProducts[Unit Cost],0)</f>
        <v>648000</v>
      </c>
      <c r="O1956" s="4" t="s">
        <v>4866</v>
      </c>
      <c r="P1956" s="4" t="s">
        <v>4860</v>
      </c>
      <c r="Q1956" s="1" t="str">
        <f>_xlfn.XLOOKUP(tblSales[[#This Row],[Channel Code]],tblChannels[Channel Code],tblChannels[Channel Name],"")</f>
        <v>In-store</v>
      </c>
      <c r="R1956" s="1">
        <f>MONTH(tblSales[[#This Row],[Date]])</f>
        <v>4</v>
      </c>
    </row>
    <row r="1957" spans="2:18" x14ac:dyDescent="0.35">
      <c r="B1957" s="113">
        <v>46138</v>
      </c>
      <c r="C1957" s="4" t="s">
        <v>5219</v>
      </c>
      <c r="D1957" s="4" t="s">
        <v>4572</v>
      </c>
      <c r="E1957" s="1" t="str">
        <f>_xlfn.XLOOKUP(tblSales[[#This Row],[Customer ID]],tblCustomers[Customer ID],tblCustomers[Customer Name],"⚠ Unknown")</f>
        <v>PT Cahaya Abadi Makmur</v>
      </c>
      <c r="F1957" s="4" t="s">
        <v>8</v>
      </c>
      <c r="G1957" s="1" t="str">
        <f>_xlfn.XLOOKUP(tblSales[[#This Row],[Product Code]],tblProducts[Code],tblProducts[Product / Service Name],"⚠ Unknown")</f>
        <v>Casual Shorts</v>
      </c>
      <c r="H1957" s="1" t="str">
        <f>_xlfn.XLOOKUP(tblSales[[#This Row],[Product Code]],tblProducts[Code],tblProducts[Category],"")</f>
        <v>Accessories &amp; Basics</v>
      </c>
      <c r="I1957" s="4">
        <v>64</v>
      </c>
      <c r="J1957" s="5">
        <f>_xlfn.XLOOKUP(tblSales[[#This Row],[Product Code]],tblProducts[Code],tblProducts[Selling Price (excl. VAT)],0)</f>
        <v>85000</v>
      </c>
      <c r="K1957" s="5">
        <f>tblSales[[#This Row],[Qty]]*tblSales[[#This Row],[Unit Price]]</f>
        <v>5440000</v>
      </c>
      <c r="L1957" s="5">
        <f>ROUND(tblSales[[#This Row],[DPP (excl. VAT)]]*VATEff,0)</f>
        <v>598400</v>
      </c>
      <c r="M1957" s="5">
        <f>tblSales[[#This Row],[DPP (excl. VAT)]]+tblSales[[#This Row],[Output VAT]]</f>
        <v>6038400</v>
      </c>
      <c r="N1957" s="5">
        <f>tblSales[[#This Row],[Qty]]*_xlfn.XLOOKUP(tblSales[[#This Row],[Product Code]],tblProducts[Code],tblProducts[Unit Cost],0)</f>
        <v>3200000</v>
      </c>
      <c r="O1957" s="4" t="s">
        <v>4867</v>
      </c>
      <c r="P1957" s="4" t="s">
        <v>4860</v>
      </c>
      <c r="Q1957" s="1" t="str">
        <f>_xlfn.XLOOKUP(tblSales[[#This Row],[Channel Code]],tblChannels[Channel Code],tblChannels[Channel Name],"")</f>
        <v>In-store</v>
      </c>
      <c r="R1957" s="1">
        <f>MONTH(tblSales[[#This Row],[Date]])</f>
        <v>4</v>
      </c>
    </row>
    <row r="1958" spans="2:18" x14ac:dyDescent="0.35">
      <c r="B1958" s="113">
        <v>46138</v>
      </c>
      <c r="C1958" s="4" t="s">
        <v>5219</v>
      </c>
      <c r="D1958" s="4" t="s">
        <v>4572</v>
      </c>
      <c r="E1958" s="1" t="str">
        <f>_xlfn.XLOOKUP(tblSales[[#This Row],[Customer ID]],tblCustomers[Customer ID],tblCustomers[Customer Name],"⚠ Unknown")</f>
        <v>PT Cahaya Abadi Makmur</v>
      </c>
      <c r="F1958" s="4" t="s">
        <v>11</v>
      </c>
      <c r="G1958" s="1" t="str">
        <f>_xlfn.XLOOKUP(tblSales[[#This Row],[Product Code]],tblProducts[Code],tblProducts[Product / Service Name],"⚠ Unknown")</f>
        <v>Sneakers</v>
      </c>
      <c r="H1958" s="1" t="str">
        <f>_xlfn.XLOOKUP(tblSales[[#This Row],[Product Code]],tblProducts[Code],tblProducts[Category],"")</f>
        <v>Apparel &amp; Footwear</v>
      </c>
      <c r="I1958" s="4">
        <v>24</v>
      </c>
      <c r="J1958" s="5">
        <f>_xlfn.XLOOKUP(tblSales[[#This Row],[Product Code]],tblProducts[Code],tblProducts[Selling Price (excl. VAT)],0)</f>
        <v>250000</v>
      </c>
      <c r="K1958" s="5">
        <f>tblSales[[#This Row],[Qty]]*tblSales[[#This Row],[Unit Price]]</f>
        <v>6000000</v>
      </c>
      <c r="L1958" s="5">
        <f>ROUND(tblSales[[#This Row],[DPP (excl. VAT)]]*VATEff,0)</f>
        <v>660000</v>
      </c>
      <c r="M1958" s="5">
        <f>tblSales[[#This Row],[DPP (excl. VAT)]]+tblSales[[#This Row],[Output VAT]]</f>
        <v>6660000</v>
      </c>
      <c r="N1958" s="5">
        <f>tblSales[[#This Row],[Qty]]*_xlfn.XLOOKUP(tblSales[[#This Row],[Product Code]],tblProducts[Code],tblProducts[Unit Cost],0)</f>
        <v>3720000</v>
      </c>
      <c r="O1958" s="4" t="s">
        <v>4867</v>
      </c>
      <c r="P1958" s="4" t="s">
        <v>4860</v>
      </c>
      <c r="Q1958" s="1" t="str">
        <f>_xlfn.XLOOKUP(tblSales[[#This Row],[Channel Code]],tblChannels[Channel Code],tblChannels[Channel Name],"")</f>
        <v>In-store</v>
      </c>
      <c r="R1958" s="1">
        <f>MONTH(tblSales[[#This Row],[Date]])</f>
        <v>4</v>
      </c>
    </row>
    <row r="1959" spans="2:18" x14ac:dyDescent="0.35">
      <c r="B1959" s="113">
        <v>46139</v>
      </c>
      <c r="C1959" s="4" t="s">
        <v>5220</v>
      </c>
      <c r="D1959" s="4" t="s">
        <v>4568</v>
      </c>
      <c r="E1959" s="1" t="str">
        <f>_xlfn.XLOOKUP(tblSales[[#This Row],[Customer ID]],tblCustomers[Customer ID],tblCustomers[Customer Name],"⚠ Unknown")</f>
        <v>Walk-in Customer</v>
      </c>
      <c r="F1959" s="4" t="s">
        <v>12</v>
      </c>
      <c r="G1959" s="1" t="str">
        <f>_xlfn.XLOOKUP(tblSales[[#This Row],[Product Code]],tblProducts[Code],tblProducts[Product / Service Name],"⚠ Unknown")</f>
        <v>Bomber Jacket</v>
      </c>
      <c r="H1959" s="1" t="str">
        <f>_xlfn.XLOOKUP(tblSales[[#This Row],[Product Code]],tblProducts[Code],tblProducts[Category],"")</f>
        <v>Apparel &amp; Footwear</v>
      </c>
      <c r="I1959" s="4">
        <v>1</v>
      </c>
      <c r="J1959" s="5">
        <f>_xlfn.XLOOKUP(tblSales[[#This Row],[Product Code]],tblProducts[Code],tblProducts[Selling Price (excl. VAT)],0)</f>
        <v>350000</v>
      </c>
      <c r="K1959" s="5">
        <f>tblSales[[#This Row],[Qty]]*tblSales[[#This Row],[Unit Price]]</f>
        <v>350000</v>
      </c>
      <c r="L1959" s="5">
        <f>ROUND(tblSales[[#This Row],[DPP (excl. VAT)]]*VATEff,0)</f>
        <v>38500</v>
      </c>
      <c r="M1959" s="5">
        <f>tblSales[[#This Row],[DPP (excl. VAT)]]+tblSales[[#This Row],[Output VAT]]</f>
        <v>388500</v>
      </c>
      <c r="N1959" s="5">
        <f>tblSales[[#This Row],[Qty]]*_xlfn.XLOOKUP(tblSales[[#This Row],[Product Code]],tblProducts[Code],tblProducts[Unit Cost],0)</f>
        <v>210000</v>
      </c>
      <c r="O1959" s="4" t="s">
        <v>4866</v>
      </c>
      <c r="P1959" s="4" t="s">
        <v>4860</v>
      </c>
      <c r="Q1959" s="1" t="str">
        <f>_xlfn.XLOOKUP(tblSales[[#This Row],[Channel Code]],tblChannels[Channel Code],tblChannels[Channel Name],"")</f>
        <v>In-store</v>
      </c>
      <c r="R1959" s="1">
        <f>MONTH(tblSales[[#This Row],[Date]])</f>
        <v>4</v>
      </c>
    </row>
    <row r="1960" spans="2:18" x14ac:dyDescent="0.35">
      <c r="B1960" s="113">
        <v>46139</v>
      </c>
      <c r="C1960" s="4" t="s">
        <v>5221</v>
      </c>
      <c r="D1960" s="4" t="s">
        <v>4568</v>
      </c>
      <c r="E1960" s="1" t="str">
        <f>_xlfn.XLOOKUP(tblSales[[#This Row],[Customer ID]],tblCustomers[Customer ID],tblCustomers[Customer Name],"⚠ Unknown")</f>
        <v>Walk-in Customer</v>
      </c>
      <c r="F1960" s="4" t="s">
        <v>7</v>
      </c>
      <c r="G1960" s="1" t="str">
        <f>_xlfn.XLOOKUP(tblSales[[#This Row],[Product Code]],tblProducts[Code],tblProducts[Product / Service Name],"⚠ Unknown")</f>
        <v>Premium Basic T-shirt</v>
      </c>
      <c r="H1960" s="1" t="str">
        <f>_xlfn.XLOOKUP(tblSales[[#This Row],[Product Code]],tblProducts[Code],tblProducts[Category],"")</f>
        <v>Accessories &amp; Basics</v>
      </c>
      <c r="I1960" s="4">
        <v>9</v>
      </c>
      <c r="J1960" s="5">
        <f>_xlfn.XLOOKUP(tblSales[[#This Row],[Product Code]],tblProducts[Code],tblProducts[Selling Price (excl. VAT)],0)</f>
        <v>65000</v>
      </c>
      <c r="K1960" s="5">
        <f>tblSales[[#This Row],[Qty]]*tblSales[[#This Row],[Unit Price]]</f>
        <v>585000</v>
      </c>
      <c r="L1960" s="5">
        <f>ROUND(tblSales[[#This Row],[DPP (excl. VAT)]]*VATEff,0)</f>
        <v>64350</v>
      </c>
      <c r="M1960" s="5">
        <f>tblSales[[#This Row],[DPP (excl. VAT)]]+tblSales[[#This Row],[Output VAT]]</f>
        <v>649350</v>
      </c>
      <c r="N1960" s="5">
        <f>tblSales[[#This Row],[Qty]]*_xlfn.XLOOKUP(tblSales[[#This Row],[Product Code]],tblProducts[Code],tblProducts[Unit Cost],0)</f>
        <v>333000</v>
      </c>
      <c r="O1960" s="4" t="s">
        <v>4865</v>
      </c>
      <c r="P1960" s="4" t="s">
        <v>4860</v>
      </c>
      <c r="Q1960" s="1" t="str">
        <f>_xlfn.XLOOKUP(tblSales[[#This Row],[Channel Code]],tblChannels[Channel Code],tblChannels[Channel Name],"")</f>
        <v>In-store</v>
      </c>
      <c r="R1960" s="1">
        <f>MONTH(tblSales[[#This Row],[Date]])</f>
        <v>4</v>
      </c>
    </row>
    <row r="1961" spans="2:18" x14ac:dyDescent="0.35">
      <c r="B1961" s="113">
        <v>46139</v>
      </c>
      <c r="C1961" s="4" t="s">
        <v>5222</v>
      </c>
      <c r="D1961" s="4" t="s">
        <v>4568</v>
      </c>
      <c r="E1961" s="1" t="str">
        <f>_xlfn.XLOOKUP(tblSales[[#This Row],[Customer ID]],tblCustomers[Customer ID],tblCustomers[Customer Name],"⚠ Unknown")</f>
        <v>Walk-in Customer</v>
      </c>
      <c r="F1961" s="4" t="s">
        <v>6</v>
      </c>
      <c r="G1961" s="1" t="str">
        <f>_xlfn.XLOOKUP(tblSales[[#This Row],[Product Code]],tblProducts[Code],tblProducts[Product / Service Name],"⚠ Unknown")</f>
        <v>Socks &amp; Accessories</v>
      </c>
      <c r="H1961" s="1" t="str">
        <f>_xlfn.XLOOKUP(tblSales[[#This Row],[Product Code]],tblProducts[Code],tblProducts[Category],"")</f>
        <v>Accessories &amp; Basics</v>
      </c>
      <c r="I1961" s="4">
        <v>4</v>
      </c>
      <c r="J1961" s="5">
        <f>_xlfn.XLOOKUP(tblSales[[#This Row],[Product Code]],tblProducts[Code],tblProducts[Selling Price (excl. VAT)],0)</f>
        <v>45000</v>
      </c>
      <c r="K1961" s="5">
        <f>tblSales[[#This Row],[Qty]]*tblSales[[#This Row],[Unit Price]]</f>
        <v>180000</v>
      </c>
      <c r="L1961" s="5">
        <f>ROUND(tblSales[[#This Row],[DPP (excl. VAT)]]*VATEff,0)</f>
        <v>19800</v>
      </c>
      <c r="M1961" s="5">
        <f>tblSales[[#This Row],[DPP (excl. VAT)]]+tblSales[[#This Row],[Output VAT]]</f>
        <v>199800</v>
      </c>
      <c r="N1961" s="5">
        <f>tblSales[[#This Row],[Qty]]*_xlfn.XLOOKUP(tblSales[[#This Row],[Product Code]],tblProducts[Code],tblProducts[Unit Cost],0)</f>
        <v>96000</v>
      </c>
      <c r="O1961" s="4" t="s">
        <v>4865</v>
      </c>
      <c r="P1961" s="4" t="s">
        <v>4860</v>
      </c>
      <c r="Q1961" s="1" t="str">
        <f>_xlfn.XLOOKUP(tblSales[[#This Row],[Channel Code]],tblChannels[Channel Code],tblChannels[Channel Name],"")</f>
        <v>In-store</v>
      </c>
      <c r="R1961" s="1">
        <f>MONTH(tblSales[[#This Row],[Date]])</f>
        <v>4</v>
      </c>
    </row>
    <row r="1962" spans="2:18" x14ac:dyDescent="0.35">
      <c r="B1962" s="113">
        <v>46139</v>
      </c>
      <c r="C1962" s="4" t="s">
        <v>5223</v>
      </c>
      <c r="D1962" s="4" t="s">
        <v>4568</v>
      </c>
      <c r="E1962" s="1" t="str">
        <f>_xlfn.XLOOKUP(tblSales[[#This Row],[Customer ID]],tblCustomers[Customer ID],tblCustomers[Customer Name],"⚠ Unknown")</f>
        <v>Walk-in Customer</v>
      </c>
      <c r="F1962" s="4" t="s">
        <v>11</v>
      </c>
      <c r="G1962" s="1" t="str">
        <f>_xlfn.XLOOKUP(tblSales[[#This Row],[Product Code]],tblProducts[Code],tblProducts[Product / Service Name],"⚠ Unknown")</f>
        <v>Sneakers</v>
      </c>
      <c r="H1962" s="1" t="str">
        <f>_xlfn.XLOOKUP(tblSales[[#This Row],[Product Code]],tblProducts[Code],tblProducts[Category],"")</f>
        <v>Apparel &amp; Footwear</v>
      </c>
      <c r="I1962" s="4">
        <v>3</v>
      </c>
      <c r="J1962" s="5">
        <f>_xlfn.XLOOKUP(tblSales[[#This Row],[Product Code]],tblProducts[Code],tblProducts[Selling Price (excl. VAT)],0)</f>
        <v>250000</v>
      </c>
      <c r="K1962" s="5">
        <f>tblSales[[#This Row],[Qty]]*tblSales[[#This Row],[Unit Price]]</f>
        <v>750000</v>
      </c>
      <c r="L1962" s="5">
        <f>ROUND(tblSales[[#This Row],[DPP (excl. VAT)]]*VATEff,0)</f>
        <v>82500</v>
      </c>
      <c r="M1962" s="5">
        <f>tblSales[[#This Row],[DPP (excl. VAT)]]+tblSales[[#This Row],[Output VAT]]</f>
        <v>832500</v>
      </c>
      <c r="N1962" s="5">
        <f>tblSales[[#This Row],[Qty]]*_xlfn.XLOOKUP(tblSales[[#This Row],[Product Code]],tblProducts[Code],tblProducts[Unit Cost],0)</f>
        <v>465000</v>
      </c>
      <c r="O1962" s="4" t="s">
        <v>4866</v>
      </c>
      <c r="P1962" s="4" t="s">
        <v>4862</v>
      </c>
      <c r="Q1962" s="1" t="str">
        <f>_xlfn.XLOOKUP(tblSales[[#This Row],[Channel Code]],tblChannels[Channel Code],tblChannels[Channel Name],"")</f>
        <v>Website &amp; Social Media</v>
      </c>
      <c r="R1962" s="1">
        <f>MONTH(tblSales[[#This Row],[Date]])</f>
        <v>4</v>
      </c>
    </row>
    <row r="1963" spans="2:18" x14ac:dyDescent="0.35">
      <c r="B1963" s="113">
        <v>46139</v>
      </c>
      <c r="C1963" s="4" t="s">
        <v>5224</v>
      </c>
      <c r="D1963" s="4" t="s">
        <v>4568</v>
      </c>
      <c r="E1963" s="1" t="str">
        <f>_xlfn.XLOOKUP(tblSales[[#This Row],[Customer ID]],tblCustomers[Customer ID],tblCustomers[Customer Name],"⚠ Unknown")</f>
        <v>Walk-in Customer</v>
      </c>
      <c r="F1963" s="4" t="s">
        <v>6</v>
      </c>
      <c r="G1963" s="1" t="str">
        <f>_xlfn.XLOOKUP(tblSales[[#This Row],[Product Code]],tblProducts[Code],tblProducts[Product / Service Name],"⚠ Unknown")</f>
        <v>Socks &amp; Accessories</v>
      </c>
      <c r="H1963" s="1" t="str">
        <f>_xlfn.XLOOKUP(tblSales[[#This Row],[Product Code]],tblProducts[Code],tblProducts[Category],"")</f>
        <v>Accessories &amp; Basics</v>
      </c>
      <c r="I1963" s="4">
        <v>7</v>
      </c>
      <c r="J1963" s="5">
        <f>_xlfn.XLOOKUP(tblSales[[#This Row],[Product Code]],tblProducts[Code],tblProducts[Selling Price (excl. VAT)],0)</f>
        <v>45000</v>
      </c>
      <c r="K1963" s="5">
        <f>tblSales[[#This Row],[Qty]]*tblSales[[#This Row],[Unit Price]]</f>
        <v>315000</v>
      </c>
      <c r="L1963" s="5">
        <f>ROUND(tblSales[[#This Row],[DPP (excl. VAT)]]*VATEff,0)</f>
        <v>34650</v>
      </c>
      <c r="M1963" s="5">
        <f>tblSales[[#This Row],[DPP (excl. VAT)]]+tblSales[[#This Row],[Output VAT]]</f>
        <v>349650</v>
      </c>
      <c r="N1963" s="5">
        <f>tblSales[[#This Row],[Qty]]*_xlfn.XLOOKUP(tblSales[[#This Row],[Product Code]],tblProducts[Code],tblProducts[Unit Cost],0)</f>
        <v>168000</v>
      </c>
      <c r="O1963" s="4" t="s">
        <v>4865</v>
      </c>
      <c r="P1963" s="4" t="s">
        <v>4860</v>
      </c>
      <c r="Q1963" s="1" t="str">
        <f>_xlfn.XLOOKUP(tblSales[[#This Row],[Channel Code]],tblChannels[Channel Code],tblChannels[Channel Name],"")</f>
        <v>In-store</v>
      </c>
      <c r="R1963" s="1">
        <f>MONTH(tblSales[[#This Row],[Date]])</f>
        <v>4</v>
      </c>
    </row>
    <row r="1964" spans="2:18" x14ac:dyDescent="0.35">
      <c r="B1964" s="113">
        <v>46139</v>
      </c>
      <c r="C1964" s="4" t="s">
        <v>5224</v>
      </c>
      <c r="D1964" s="4" t="s">
        <v>4568</v>
      </c>
      <c r="E1964" s="1" t="str">
        <f>_xlfn.XLOOKUP(tblSales[[#This Row],[Customer ID]],tblCustomers[Customer ID],tblCustomers[Customer Name],"⚠ Unknown")</f>
        <v>Walk-in Customer</v>
      </c>
      <c r="F1964" s="4" t="s">
        <v>15</v>
      </c>
      <c r="G1964" s="1" t="str">
        <f>_xlfn.XLOOKUP(tblSales[[#This Row],[Product Code]],tblProducts[Code],tblProducts[Product / Service Name],"⚠ Unknown")</f>
        <v>Wireless Earbuds Pro</v>
      </c>
      <c r="H1964" s="1" t="str">
        <f>_xlfn.XLOOKUP(tblSales[[#This Row],[Product Code]],tblProducts[Code],tblProducts[Category],"")</f>
        <v>Bags &amp; Gadgets</v>
      </c>
      <c r="I1964" s="4">
        <v>2</v>
      </c>
      <c r="J1964" s="5">
        <f>_xlfn.XLOOKUP(tblSales[[#This Row],[Product Code]],tblProducts[Code],tblProducts[Selling Price (excl. VAT)],0)</f>
        <v>1250000</v>
      </c>
      <c r="K1964" s="5">
        <f>tblSales[[#This Row],[Qty]]*tblSales[[#This Row],[Unit Price]]</f>
        <v>2500000</v>
      </c>
      <c r="L1964" s="5">
        <f>ROUND(tblSales[[#This Row],[DPP (excl. VAT)]]*VATEff,0)</f>
        <v>275000</v>
      </c>
      <c r="M1964" s="5">
        <f>tblSales[[#This Row],[DPP (excl. VAT)]]+tblSales[[#This Row],[Output VAT]]</f>
        <v>2775000</v>
      </c>
      <c r="N1964" s="5">
        <f>tblSales[[#This Row],[Qty]]*_xlfn.XLOOKUP(tblSales[[#This Row],[Product Code]],tblProducts[Code],tblProducts[Unit Cost],0)</f>
        <v>1640000</v>
      </c>
      <c r="O1964" s="4" t="s">
        <v>4865</v>
      </c>
      <c r="P1964" s="4" t="s">
        <v>4860</v>
      </c>
      <c r="Q1964" s="1" t="str">
        <f>_xlfn.XLOOKUP(tblSales[[#This Row],[Channel Code]],tblChannels[Channel Code],tblChannels[Channel Name],"")</f>
        <v>In-store</v>
      </c>
      <c r="R1964" s="1">
        <f>MONTH(tblSales[[#This Row],[Date]])</f>
        <v>4</v>
      </c>
    </row>
    <row r="1965" spans="2:18" x14ac:dyDescent="0.35">
      <c r="B1965" s="113">
        <v>46139</v>
      </c>
      <c r="C1965" s="4" t="s">
        <v>5225</v>
      </c>
      <c r="D1965" s="4" t="s">
        <v>4613</v>
      </c>
      <c r="E1965" s="1" t="str">
        <f>_xlfn.XLOOKUP(tblSales[[#This Row],[Customer ID]],tblCustomers[Customer ID],tblCustomers[Customer Name],"⚠ Unknown")</f>
        <v>PT Mega Prima Distribusi</v>
      </c>
      <c r="F1965" s="4" t="s">
        <v>6</v>
      </c>
      <c r="G1965" s="1" t="str">
        <f>_xlfn.XLOOKUP(tblSales[[#This Row],[Product Code]],tblProducts[Code],tblProducts[Product / Service Name],"⚠ Unknown")</f>
        <v>Socks &amp; Accessories</v>
      </c>
      <c r="H1965" s="1" t="str">
        <f>_xlfn.XLOOKUP(tblSales[[#This Row],[Product Code]],tblProducts[Code],tblProducts[Category],"")</f>
        <v>Accessories &amp; Basics</v>
      </c>
      <c r="I1965" s="4">
        <v>64</v>
      </c>
      <c r="J1965" s="5">
        <f>_xlfn.XLOOKUP(tblSales[[#This Row],[Product Code]],tblProducts[Code],tblProducts[Selling Price (excl. VAT)],0)</f>
        <v>45000</v>
      </c>
      <c r="K1965" s="5">
        <f>tblSales[[#This Row],[Qty]]*tblSales[[#This Row],[Unit Price]]</f>
        <v>2880000</v>
      </c>
      <c r="L1965" s="5">
        <f>ROUND(tblSales[[#This Row],[DPP (excl. VAT)]]*VATEff,0)</f>
        <v>316800</v>
      </c>
      <c r="M1965" s="5">
        <f>tblSales[[#This Row],[DPP (excl. VAT)]]+tblSales[[#This Row],[Output VAT]]</f>
        <v>3196800</v>
      </c>
      <c r="N1965" s="5">
        <f>tblSales[[#This Row],[Qty]]*_xlfn.XLOOKUP(tblSales[[#This Row],[Product Code]],tblProducts[Code],tblProducts[Unit Cost],0)</f>
        <v>1536000</v>
      </c>
      <c r="O1965" s="4" t="s">
        <v>4867</v>
      </c>
      <c r="P1965" s="4" t="s">
        <v>4860</v>
      </c>
      <c r="Q1965" s="1" t="str">
        <f>_xlfn.XLOOKUP(tblSales[[#This Row],[Channel Code]],tblChannels[Channel Code],tblChannels[Channel Name],"")</f>
        <v>In-store</v>
      </c>
      <c r="R1965" s="1">
        <f>MONTH(tblSales[[#This Row],[Date]])</f>
        <v>4</v>
      </c>
    </row>
    <row r="1966" spans="2:18" x14ac:dyDescent="0.35">
      <c r="B1966" s="113">
        <v>46139</v>
      </c>
      <c r="C1966" s="4" t="s">
        <v>5226</v>
      </c>
      <c r="D1966" s="4" t="s">
        <v>4568</v>
      </c>
      <c r="E1966" s="1" t="str">
        <f>_xlfn.XLOOKUP(tblSales[[#This Row],[Customer ID]],tblCustomers[Customer ID],tblCustomers[Customer Name],"⚠ Unknown")</f>
        <v>Walk-in Customer</v>
      </c>
      <c r="F1966" s="4" t="s">
        <v>13</v>
      </c>
      <c r="G1966" s="1" t="str">
        <f>_xlfn.XLOOKUP(tblSales[[#This Row],[Product Code]],tblProducts[Code],tblProducts[Product / Service Name],"⚠ Unknown")</f>
        <v>Backpack</v>
      </c>
      <c r="H1966" s="1" t="str">
        <f>_xlfn.XLOOKUP(tblSales[[#This Row],[Product Code]],tblProducts[Code],tblProducts[Category],"")</f>
        <v>Bags &amp; Gadgets</v>
      </c>
      <c r="I1966" s="4">
        <v>6</v>
      </c>
      <c r="J1966" s="5">
        <f>_xlfn.XLOOKUP(tblSales[[#This Row],[Product Code]],tblProducts[Code],tblProducts[Selling Price (excl. VAT)],0)</f>
        <v>500000</v>
      </c>
      <c r="K1966" s="5">
        <f>tblSales[[#This Row],[Qty]]*tblSales[[#This Row],[Unit Price]]</f>
        <v>3000000</v>
      </c>
      <c r="L1966" s="5">
        <f>ROUND(tblSales[[#This Row],[DPP (excl. VAT)]]*VATEff,0)</f>
        <v>330000</v>
      </c>
      <c r="M1966" s="5">
        <f>tblSales[[#This Row],[DPP (excl. VAT)]]+tblSales[[#This Row],[Output VAT]]</f>
        <v>3330000</v>
      </c>
      <c r="N1966" s="5">
        <f>tblSales[[#This Row],[Qty]]*_xlfn.XLOOKUP(tblSales[[#This Row],[Product Code]],tblProducts[Code],tblProducts[Unit Cost],0)</f>
        <v>1740000</v>
      </c>
      <c r="O1966" s="4" t="s">
        <v>4865</v>
      </c>
      <c r="P1966" s="4" t="s">
        <v>4860</v>
      </c>
      <c r="Q1966" s="1" t="str">
        <f>_xlfn.XLOOKUP(tblSales[[#This Row],[Channel Code]],tblChannels[Channel Code],tblChannels[Channel Name],"")</f>
        <v>In-store</v>
      </c>
      <c r="R1966" s="1">
        <f>MONTH(tblSales[[#This Row],[Date]])</f>
        <v>4</v>
      </c>
    </row>
    <row r="1967" spans="2:18" x14ac:dyDescent="0.35">
      <c r="B1967" s="113">
        <v>46139</v>
      </c>
      <c r="C1967" s="4" t="s">
        <v>5226</v>
      </c>
      <c r="D1967" s="4" t="s">
        <v>4568</v>
      </c>
      <c r="E1967" s="1" t="str">
        <f>_xlfn.XLOOKUP(tblSales[[#This Row],[Customer ID]],tblCustomers[Customer ID],tblCustomers[Customer Name],"⚠ Unknown")</f>
        <v>Walk-in Customer</v>
      </c>
      <c r="F1967" s="4" t="s">
        <v>6</v>
      </c>
      <c r="G1967" s="1" t="str">
        <f>_xlfn.XLOOKUP(tblSales[[#This Row],[Product Code]],tblProducts[Code],tblProducts[Product / Service Name],"⚠ Unknown")</f>
        <v>Socks &amp; Accessories</v>
      </c>
      <c r="H1967" s="1" t="str">
        <f>_xlfn.XLOOKUP(tblSales[[#This Row],[Product Code]],tblProducts[Code],tblProducts[Category],"")</f>
        <v>Accessories &amp; Basics</v>
      </c>
      <c r="I1967" s="4">
        <v>8</v>
      </c>
      <c r="J1967" s="5">
        <f>_xlfn.XLOOKUP(tblSales[[#This Row],[Product Code]],tblProducts[Code],tblProducts[Selling Price (excl. VAT)],0)</f>
        <v>45000</v>
      </c>
      <c r="K1967" s="5">
        <f>tblSales[[#This Row],[Qty]]*tblSales[[#This Row],[Unit Price]]</f>
        <v>360000</v>
      </c>
      <c r="L1967" s="5">
        <f>ROUND(tblSales[[#This Row],[DPP (excl. VAT)]]*VATEff,0)</f>
        <v>39600</v>
      </c>
      <c r="M1967" s="5">
        <f>tblSales[[#This Row],[DPP (excl. VAT)]]+tblSales[[#This Row],[Output VAT]]</f>
        <v>399600</v>
      </c>
      <c r="N1967" s="5">
        <f>tblSales[[#This Row],[Qty]]*_xlfn.XLOOKUP(tblSales[[#This Row],[Product Code]],tblProducts[Code],tblProducts[Unit Cost],0)</f>
        <v>192000</v>
      </c>
      <c r="O1967" s="4" t="s">
        <v>4865</v>
      </c>
      <c r="P1967" s="4" t="s">
        <v>4860</v>
      </c>
      <c r="Q1967" s="1" t="str">
        <f>_xlfn.XLOOKUP(tblSales[[#This Row],[Channel Code]],tblChannels[Channel Code],tblChannels[Channel Name],"")</f>
        <v>In-store</v>
      </c>
      <c r="R1967" s="1">
        <f>MONTH(tblSales[[#This Row],[Date]])</f>
        <v>4</v>
      </c>
    </row>
    <row r="1968" spans="2:18" x14ac:dyDescent="0.35">
      <c r="B1968" s="113">
        <v>46139</v>
      </c>
      <c r="C1968" s="4" t="s">
        <v>5226</v>
      </c>
      <c r="D1968" s="4" t="s">
        <v>4568</v>
      </c>
      <c r="E1968" s="1" t="str">
        <f>_xlfn.XLOOKUP(tblSales[[#This Row],[Customer ID]],tblCustomers[Customer ID],tblCustomers[Customer Name],"⚠ Unknown")</f>
        <v>Walk-in Customer</v>
      </c>
      <c r="F1968" s="4" t="s">
        <v>7</v>
      </c>
      <c r="G1968" s="1" t="str">
        <f>_xlfn.XLOOKUP(tblSales[[#This Row],[Product Code]],tblProducts[Code],tblProducts[Product / Service Name],"⚠ Unknown")</f>
        <v>Premium Basic T-shirt</v>
      </c>
      <c r="H1968" s="1" t="str">
        <f>_xlfn.XLOOKUP(tblSales[[#This Row],[Product Code]],tblProducts[Code],tblProducts[Category],"")</f>
        <v>Accessories &amp; Basics</v>
      </c>
      <c r="I1968" s="4">
        <v>12</v>
      </c>
      <c r="J1968" s="5">
        <f>_xlfn.XLOOKUP(tblSales[[#This Row],[Product Code]],tblProducts[Code],tblProducts[Selling Price (excl. VAT)],0)</f>
        <v>65000</v>
      </c>
      <c r="K1968" s="5">
        <f>tblSales[[#This Row],[Qty]]*tblSales[[#This Row],[Unit Price]]</f>
        <v>780000</v>
      </c>
      <c r="L1968" s="5">
        <f>ROUND(tblSales[[#This Row],[DPP (excl. VAT)]]*VATEff,0)</f>
        <v>85800</v>
      </c>
      <c r="M1968" s="5">
        <f>tblSales[[#This Row],[DPP (excl. VAT)]]+tblSales[[#This Row],[Output VAT]]</f>
        <v>865800</v>
      </c>
      <c r="N1968" s="5">
        <f>tblSales[[#This Row],[Qty]]*_xlfn.XLOOKUP(tblSales[[#This Row],[Product Code]],tblProducts[Code],tblProducts[Unit Cost],0)</f>
        <v>444000</v>
      </c>
      <c r="O1968" s="4" t="s">
        <v>4865</v>
      </c>
      <c r="P1968" s="4" t="s">
        <v>4860</v>
      </c>
      <c r="Q1968" s="1" t="str">
        <f>_xlfn.XLOOKUP(tblSales[[#This Row],[Channel Code]],tblChannels[Channel Code],tblChannels[Channel Name],"")</f>
        <v>In-store</v>
      </c>
      <c r="R1968" s="1">
        <f>MONTH(tblSales[[#This Row],[Date]])</f>
        <v>4</v>
      </c>
    </row>
    <row r="1969" spans="2:18" x14ac:dyDescent="0.35">
      <c r="B1969" s="113">
        <v>46139</v>
      </c>
      <c r="C1969" s="4" t="s">
        <v>5227</v>
      </c>
      <c r="D1969" s="4" t="s">
        <v>4568</v>
      </c>
      <c r="E1969" s="1" t="str">
        <f>_xlfn.XLOOKUP(tblSales[[#This Row],[Customer ID]],tblCustomers[Customer ID],tblCustomers[Customer Name],"⚠ Unknown")</f>
        <v>Walk-in Customer</v>
      </c>
      <c r="F1969" s="4" t="s">
        <v>6</v>
      </c>
      <c r="G1969" s="1" t="str">
        <f>_xlfn.XLOOKUP(tblSales[[#This Row],[Product Code]],tblProducts[Code],tblProducts[Product / Service Name],"⚠ Unknown")</f>
        <v>Socks &amp; Accessories</v>
      </c>
      <c r="H1969" s="1" t="str">
        <f>_xlfn.XLOOKUP(tblSales[[#This Row],[Product Code]],tblProducts[Code],tblProducts[Category],"")</f>
        <v>Accessories &amp; Basics</v>
      </c>
      <c r="I1969" s="4">
        <v>9</v>
      </c>
      <c r="J1969" s="5">
        <f>_xlfn.XLOOKUP(tblSales[[#This Row],[Product Code]],tblProducts[Code],tblProducts[Selling Price (excl. VAT)],0)</f>
        <v>45000</v>
      </c>
      <c r="K1969" s="5">
        <f>tblSales[[#This Row],[Qty]]*tblSales[[#This Row],[Unit Price]]</f>
        <v>405000</v>
      </c>
      <c r="L1969" s="5">
        <f>ROUND(tblSales[[#This Row],[DPP (excl. VAT)]]*VATEff,0)</f>
        <v>44550</v>
      </c>
      <c r="M1969" s="5">
        <f>tblSales[[#This Row],[DPP (excl. VAT)]]+tblSales[[#This Row],[Output VAT]]</f>
        <v>449550</v>
      </c>
      <c r="N1969" s="5">
        <f>tblSales[[#This Row],[Qty]]*_xlfn.XLOOKUP(tblSales[[#This Row],[Product Code]],tblProducts[Code],tblProducts[Unit Cost],0)</f>
        <v>216000</v>
      </c>
      <c r="O1969" s="4" t="s">
        <v>4865</v>
      </c>
      <c r="P1969" s="4" t="s">
        <v>4860</v>
      </c>
      <c r="Q1969" s="1" t="str">
        <f>_xlfn.XLOOKUP(tblSales[[#This Row],[Channel Code]],tblChannels[Channel Code],tblChannels[Channel Name],"")</f>
        <v>In-store</v>
      </c>
      <c r="R1969" s="1">
        <f>MONTH(tblSales[[#This Row],[Date]])</f>
        <v>4</v>
      </c>
    </row>
    <row r="1970" spans="2:18" x14ac:dyDescent="0.35">
      <c r="B1970" s="113">
        <v>46139</v>
      </c>
      <c r="C1970" s="4" t="s">
        <v>5227</v>
      </c>
      <c r="D1970" s="4" t="s">
        <v>4568</v>
      </c>
      <c r="E1970" s="1" t="str">
        <f>_xlfn.XLOOKUP(tblSales[[#This Row],[Customer ID]],tblCustomers[Customer ID],tblCustomers[Customer Name],"⚠ Unknown")</f>
        <v>Walk-in Customer</v>
      </c>
      <c r="F1970" s="4" t="s">
        <v>7</v>
      </c>
      <c r="G1970" s="1" t="str">
        <f>_xlfn.XLOOKUP(tblSales[[#This Row],[Product Code]],tblProducts[Code],tblProducts[Product / Service Name],"⚠ Unknown")</f>
        <v>Premium Basic T-shirt</v>
      </c>
      <c r="H1970" s="1" t="str">
        <f>_xlfn.XLOOKUP(tblSales[[#This Row],[Product Code]],tblProducts[Code],tblProducts[Category],"")</f>
        <v>Accessories &amp; Basics</v>
      </c>
      <c r="I1970" s="4">
        <v>6</v>
      </c>
      <c r="J1970" s="5">
        <f>_xlfn.XLOOKUP(tblSales[[#This Row],[Product Code]],tblProducts[Code],tblProducts[Selling Price (excl. VAT)],0)</f>
        <v>65000</v>
      </c>
      <c r="K1970" s="5">
        <f>tblSales[[#This Row],[Qty]]*tblSales[[#This Row],[Unit Price]]</f>
        <v>390000</v>
      </c>
      <c r="L1970" s="5">
        <f>ROUND(tblSales[[#This Row],[DPP (excl. VAT)]]*VATEff,0)</f>
        <v>42900</v>
      </c>
      <c r="M1970" s="5">
        <f>tblSales[[#This Row],[DPP (excl. VAT)]]+tblSales[[#This Row],[Output VAT]]</f>
        <v>432900</v>
      </c>
      <c r="N1970" s="5">
        <f>tblSales[[#This Row],[Qty]]*_xlfn.XLOOKUP(tblSales[[#This Row],[Product Code]],tblProducts[Code],tblProducts[Unit Cost],0)</f>
        <v>222000</v>
      </c>
      <c r="O1970" s="4" t="s">
        <v>4865</v>
      </c>
      <c r="P1970" s="4" t="s">
        <v>4860</v>
      </c>
      <c r="Q1970" s="1" t="str">
        <f>_xlfn.XLOOKUP(tblSales[[#This Row],[Channel Code]],tblChannels[Channel Code],tblChannels[Channel Name],"")</f>
        <v>In-store</v>
      </c>
      <c r="R1970" s="1">
        <f>MONTH(tblSales[[#This Row],[Date]])</f>
        <v>4</v>
      </c>
    </row>
    <row r="1971" spans="2:18" x14ac:dyDescent="0.35">
      <c r="B1971" s="113">
        <v>46139</v>
      </c>
      <c r="C1971" s="4" t="s">
        <v>5228</v>
      </c>
      <c r="D1971" s="4" t="s">
        <v>4568</v>
      </c>
      <c r="E1971" s="1" t="str">
        <f>_xlfn.XLOOKUP(tblSales[[#This Row],[Customer ID]],tblCustomers[Customer ID],tblCustomers[Customer Name],"⚠ Unknown")</f>
        <v>Walk-in Customer</v>
      </c>
      <c r="F1971" s="4" t="s">
        <v>8</v>
      </c>
      <c r="G1971" s="1" t="str">
        <f>_xlfn.XLOOKUP(tblSales[[#This Row],[Product Code]],tblProducts[Code],tblProducts[Product / Service Name],"⚠ Unknown")</f>
        <v>Casual Shorts</v>
      </c>
      <c r="H1971" s="1" t="str">
        <f>_xlfn.XLOOKUP(tblSales[[#This Row],[Product Code]],tblProducts[Code],tblProducts[Category],"")</f>
        <v>Accessories &amp; Basics</v>
      </c>
      <c r="I1971" s="4">
        <v>10</v>
      </c>
      <c r="J1971" s="5">
        <f>_xlfn.XLOOKUP(tblSales[[#This Row],[Product Code]],tblProducts[Code],tblProducts[Selling Price (excl. VAT)],0)</f>
        <v>85000</v>
      </c>
      <c r="K1971" s="5">
        <f>tblSales[[#This Row],[Qty]]*tblSales[[#This Row],[Unit Price]]</f>
        <v>850000</v>
      </c>
      <c r="L1971" s="5">
        <f>ROUND(tblSales[[#This Row],[DPP (excl. VAT)]]*VATEff,0)</f>
        <v>93500</v>
      </c>
      <c r="M1971" s="5">
        <f>tblSales[[#This Row],[DPP (excl. VAT)]]+tblSales[[#This Row],[Output VAT]]</f>
        <v>943500</v>
      </c>
      <c r="N1971" s="5">
        <f>tblSales[[#This Row],[Qty]]*_xlfn.XLOOKUP(tblSales[[#This Row],[Product Code]],tblProducts[Code],tblProducts[Unit Cost],0)</f>
        <v>500000</v>
      </c>
      <c r="O1971" s="4" t="s">
        <v>4866</v>
      </c>
      <c r="P1971" s="4" t="s">
        <v>4861</v>
      </c>
      <c r="Q1971" s="1" t="str">
        <f>_xlfn.XLOOKUP(tblSales[[#This Row],[Channel Code]],tblChannels[Channel Code],tblChannels[Channel Name],"")</f>
        <v>Marketplace</v>
      </c>
      <c r="R1971" s="1">
        <f>MONTH(tblSales[[#This Row],[Date]])</f>
        <v>4</v>
      </c>
    </row>
    <row r="1972" spans="2:18" x14ac:dyDescent="0.35">
      <c r="B1972" s="113">
        <v>46140</v>
      </c>
      <c r="C1972" s="4" t="s">
        <v>5229</v>
      </c>
      <c r="D1972" s="4" t="s">
        <v>4568</v>
      </c>
      <c r="E1972" s="1" t="str">
        <f>_xlfn.XLOOKUP(tblSales[[#This Row],[Customer ID]],tblCustomers[Customer ID],tblCustomers[Customer Name],"⚠ Unknown")</f>
        <v>Walk-in Customer</v>
      </c>
      <c r="F1972" s="4" t="s">
        <v>7</v>
      </c>
      <c r="G1972" s="1" t="str">
        <f>_xlfn.XLOOKUP(tblSales[[#This Row],[Product Code]],tblProducts[Code],tblProducts[Product / Service Name],"⚠ Unknown")</f>
        <v>Premium Basic T-shirt</v>
      </c>
      <c r="H1972" s="1" t="str">
        <f>_xlfn.XLOOKUP(tblSales[[#This Row],[Product Code]],tblProducts[Code],tblProducts[Category],"")</f>
        <v>Accessories &amp; Basics</v>
      </c>
      <c r="I1972" s="4">
        <v>7</v>
      </c>
      <c r="J1972" s="5">
        <f>_xlfn.XLOOKUP(tblSales[[#This Row],[Product Code]],tblProducts[Code],tblProducts[Selling Price (excl. VAT)],0)</f>
        <v>65000</v>
      </c>
      <c r="K1972" s="5">
        <f>tblSales[[#This Row],[Qty]]*tblSales[[#This Row],[Unit Price]]</f>
        <v>455000</v>
      </c>
      <c r="L1972" s="5">
        <f>ROUND(tblSales[[#This Row],[DPP (excl. VAT)]]*VATEff,0)</f>
        <v>50050</v>
      </c>
      <c r="M1972" s="5">
        <f>tblSales[[#This Row],[DPP (excl. VAT)]]+tblSales[[#This Row],[Output VAT]]</f>
        <v>505050</v>
      </c>
      <c r="N1972" s="5">
        <f>tblSales[[#This Row],[Qty]]*_xlfn.XLOOKUP(tblSales[[#This Row],[Product Code]],tblProducts[Code],tblProducts[Unit Cost],0)</f>
        <v>259000</v>
      </c>
      <c r="O1972" s="4" t="s">
        <v>4865</v>
      </c>
      <c r="P1972" s="4" t="s">
        <v>4860</v>
      </c>
      <c r="Q1972" s="1" t="str">
        <f>_xlfn.XLOOKUP(tblSales[[#This Row],[Channel Code]],tblChannels[Channel Code],tblChannels[Channel Name],"")</f>
        <v>In-store</v>
      </c>
      <c r="R1972" s="1">
        <f>MONTH(tblSales[[#This Row],[Date]])</f>
        <v>4</v>
      </c>
    </row>
    <row r="1973" spans="2:18" x14ac:dyDescent="0.35">
      <c r="B1973" s="113">
        <v>46140</v>
      </c>
      <c r="C1973" s="4" t="s">
        <v>5230</v>
      </c>
      <c r="D1973" s="4" t="s">
        <v>4568</v>
      </c>
      <c r="E1973" s="1" t="str">
        <f>_xlfn.XLOOKUP(tblSales[[#This Row],[Customer ID]],tblCustomers[Customer ID],tblCustomers[Customer Name],"⚠ Unknown")</f>
        <v>Walk-in Customer</v>
      </c>
      <c r="F1973" s="4" t="s">
        <v>7</v>
      </c>
      <c r="G1973" s="1" t="str">
        <f>_xlfn.XLOOKUP(tblSales[[#This Row],[Product Code]],tblProducts[Code],tblProducts[Product / Service Name],"⚠ Unknown")</f>
        <v>Premium Basic T-shirt</v>
      </c>
      <c r="H1973" s="1" t="str">
        <f>_xlfn.XLOOKUP(tblSales[[#This Row],[Product Code]],tblProducts[Code],tblProducts[Category],"")</f>
        <v>Accessories &amp; Basics</v>
      </c>
      <c r="I1973" s="4">
        <v>5</v>
      </c>
      <c r="J1973" s="5">
        <f>_xlfn.XLOOKUP(tblSales[[#This Row],[Product Code]],tblProducts[Code],tblProducts[Selling Price (excl. VAT)],0)</f>
        <v>65000</v>
      </c>
      <c r="K1973" s="5">
        <f>tblSales[[#This Row],[Qty]]*tblSales[[#This Row],[Unit Price]]</f>
        <v>325000</v>
      </c>
      <c r="L1973" s="5">
        <f>ROUND(tblSales[[#This Row],[DPP (excl. VAT)]]*VATEff,0)</f>
        <v>35750</v>
      </c>
      <c r="M1973" s="5">
        <f>tblSales[[#This Row],[DPP (excl. VAT)]]+tblSales[[#This Row],[Output VAT]]</f>
        <v>360750</v>
      </c>
      <c r="N1973" s="5">
        <f>tblSales[[#This Row],[Qty]]*_xlfn.XLOOKUP(tblSales[[#This Row],[Product Code]],tblProducts[Code],tblProducts[Unit Cost],0)</f>
        <v>185000</v>
      </c>
      <c r="O1973" s="4" t="s">
        <v>4866</v>
      </c>
      <c r="P1973" s="4" t="s">
        <v>4861</v>
      </c>
      <c r="Q1973" s="1" t="str">
        <f>_xlfn.XLOOKUP(tblSales[[#This Row],[Channel Code]],tblChannels[Channel Code],tblChannels[Channel Name],"")</f>
        <v>Marketplace</v>
      </c>
      <c r="R1973" s="1">
        <f>MONTH(tblSales[[#This Row],[Date]])</f>
        <v>4</v>
      </c>
    </row>
    <row r="1974" spans="2:18" x14ac:dyDescent="0.35">
      <c r="B1974" s="113">
        <v>46140</v>
      </c>
      <c r="C1974" s="4" t="s">
        <v>5230</v>
      </c>
      <c r="D1974" s="4" t="s">
        <v>4568</v>
      </c>
      <c r="E1974" s="1" t="str">
        <f>_xlfn.XLOOKUP(tblSales[[#This Row],[Customer ID]],tblCustomers[Customer ID],tblCustomers[Customer Name],"⚠ Unknown")</f>
        <v>Walk-in Customer</v>
      </c>
      <c r="F1974" s="4" t="s">
        <v>10</v>
      </c>
      <c r="G1974" s="1" t="str">
        <f>_xlfn.XLOOKUP(tblSales[[#This Row],[Product Code]],tblProducts[Code],tblProducts[Product / Service Name],"⚠ Unknown")</f>
        <v>Chino Pants</v>
      </c>
      <c r="H1974" s="1" t="str">
        <f>_xlfn.XLOOKUP(tblSales[[#This Row],[Product Code]],tblProducts[Code],tblProducts[Category],"")</f>
        <v>Apparel &amp; Footwear</v>
      </c>
      <c r="I1974" s="4">
        <v>8</v>
      </c>
      <c r="J1974" s="5">
        <f>_xlfn.XLOOKUP(tblSales[[#This Row],[Product Code]],tblProducts[Code],tblProducts[Selling Price (excl. VAT)],0)</f>
        <v>150000</v>
      </c>
      <c r="K1974" s="5">
        <f>tblSales[[#This Row],[Qty]]*tblSales[[#This Row],[Unit Price]]</f>
        <v>1200000</v>
      </c>
      <c r="L1974" s="5">
        <f>ROUND(tblSales[[#This Row],[DPP (excl. VAT)]]*VATEff,0)</f>
        <v>132000</v>
      </c>
      <c r="M1974" s="5">
        <f>tblSales[[#This Row],[DPP (excl. VAT)]]+tblSales[[#This Row],[Output VAT]]</f>
        <v>1332000</v>
      </c>
      <c r="N1974" s="5">
        <f>tblSales[[#This Row],[Qty]]*_xlfn.XLOOKUP(tblSales[[#This Row],[Product Code]],tblProducts[Code],tblProducts[Unit Cost],0)</f>
        <v>704000</v>
      </c>
      <c r="O1974" s="4" t="s">
        <v>4866</v>
      </c>
      <c r="P1974" s="4" t="s">
        <v>4861</v>
      </c>
      <c r="Q1974" s="1" t="str">
        <f>_xlfn.XLOOKUP(tblSales[[#This Row],[Channel Code]],tblChannels[Channel Code],tblChannels[Channel Name],"")</f>
        <v>Marketplace</v>
      </c>
      <c r="R1974" s="1">
        <f>MONTH(tblSales[[#This Row],[Date]])</f>
        <v>4</v>
      </c>
    </row>
    <row r="1975" spans="2:18" x14ac:dyDescent="0.35">
      <c r="B1975" s="113">
        <v>46140</v>
      </c>
      <c r="C1975" s="4" t="s">
        <v>5230</v>
      </c>
      <c r="D1975" s="4" t="s">
        <v>4568</v>
      </c>
      <c r="E1975" s="1" t="str">
        <f>_xlfn.XLOOKUP(tblSales[[#This Row],[Customer ID]],tblCustomers[Customer ID],tblCustomers[Customer Name],"⚠ Unknown")</f>
        <v>Walk-in Customer</v>
      </c>
      <c r="F1975" s="4" t="s">
        <v>8</v>
      </c>
      <c r="G1975" s="1" t="str">
        <f>_xlfn.XLOOKUP(tblSales[[#This Row],[Product Code]],tblProducts[Code],tblProducts[Product / Service Name],"⚠ Unknown")</f>
        <v>Casual Shorts</v>
      </c>
      <c r="H1975" s="1" t="str">
        <f>_xlfn.XLOOKUP(tblSales[[#This Row],[Product Code]],tblProducts[Code],tblProducts[Category],"")</f>
        <v>Accessories &amp; Basics</v>
      </c>
      <c r="I1975" s="4">
        <v>8</v>
      </c>
      <c r="J1975" s="5">
        <f>_xlfn.XLOOKUP(tblSales[[#This Row],[Product Code]],tblProducts[Code],tblProducts[Selling Price (excl. VAT)],0)</f>
        <v>85000</v>
      </c>
      <c r="K1975" s="5">
        <f>tblSales[[#This Row],[Qty]]*tblSales[[#This Row],[Unit Price]]</f>
        <v>680000</v>
      </c>
      <c r="L1975" s="5">
        <f>ROUND(tblSales[[#This Row],[DPP (excl. VAT)]]*VATEff,0)</f>
        <v>74800</v>
      </c>
      <c r="M1975" s="5">
        <f>tblSales[[#This Row],[DPP (excl. VAT)]]+tblSales[[#This Row],[Output VAT]]</f>
        <v>754800</v>
      </c>
      <c r="N1975" s="5">
        <f>tblSales[[#This Row],[Qty]]*_xlfn.XLOOKUP(tblSales[[#This Row],[Product Code]],tblProducts[Code],tblProducts[Unit Cost],0)</f>
        <v>400000</v>
      </c>
      <c r="O1975" s="4" t="s">
        <v>4866</v>
      </c>
      <c r="P1975" s="4" t="s">
        <v>4861</v>
      </c>
      <c r="Q1975" s="1" t="str">
        <f>_xlfn.XLOOKUP(tblSales[[#This Row],[Channel Code]],tblChannels[Channel Code],tblChannels[Channel Name],"")</f>
        <v>Marketplace</v>
      </c>
      <c r="R1975" s="1">
        <f>MONTH(tblSales[[#This Row],[Date]])</f>
        <v>4</v>
      </c>
    </row>
    <row r="1976" spans="2:18" x14ac:dyDescent="0.35">
      <c r="B1976" s="113">
        <v>46140</v>
      </c>
      <c r="C1976" s="4" t="s">
        <v>5231</v>
      </c>
      <c r="D1976" s="4" t="s">
        <v>4568</v>
      </c>
      <c r="E1976" s="1" t="str">
        <f>_xlfn.XLOOKUP(tblSales[[#This Row],[Customer ID]],tblCustomers[Customer ID],tblCustomers[Customer Name],"⚠ Unknown")</f>
        <v>Walk-in Customer</v>
      </c>
      <c r="F1976" s="4" t="s">
        <v>7</v>
      </c>
      <c r="G1976" s="1" t="str">
        <f>_xlfn.XLOOKUP(tblSales[[#This Row],[Product Code]],tblProducts[Code],tblProducts[Product / Service Name],"⚠ Unknown")</f>
        <v>Premium Basic T-shirt</v>
      </c>
      <c r="H1976" s="1" t="str">
        <f>_xlfn.XLOOKUP(tblSales[[#This Row],[Product Code]],tblProducts[Code],tblProducts[Category],"")</f>
        <v>Accessories &amp; Basics</v>
      </c>
      <c r="I1976" s="4">
        <v>2</v>
      </c>
      <c r="J1976" s="5">
        <f>_xlfn.XLOOKUP(tblSales[[#This Row],[Product Code]],tblProducts[Code],tblProducts[Selling Price (excl. VAT)],0)</f>
        <v>65000</v>
      </c>
      <c r="K1976" s="5">
        <f>tblSales[[#This Row],[Qty]]*tblSales[[#This Row],[Unit Price]]</f>
        <v>130000</v>
      </c>
      <c r="L1976" s="5">
        <f>ROUND(tblSales[[#This Row],[DPP (excl. VAT)]]*VATEff,0)</f>
        <v>14300</v>
      </c>
      <c r="M1976" s="5">
        <f>tblSales[[#This Row],[DPP (excl. VAT)]]+tblSales[[#This Row],[Output VAT]]</f>
        <v>144300</v>
      </c>
      <c r="N1976" s="5">
        <f>tblSales[[#This Row],[Qty]]*_xlfn.XLOOKUP(tblSales[[#This Row],[Product Code]],tblProducts[Code],tblProducts[Unit Cost],0)</f>
        <v>74000</v>
      </c>
      <c r="O1976" s="4" t="s">
        <v>4866</v>
      </c>
      <c r="P1976" s="4" t="s">
        <v>4862</v>
      </c>
      <c r="Q1976" s="1" t="str">
        <f>_xlfn.XLOOKUP(tblSales[[#This Row],[Channel Code]],tblChannels[Channel Code],tblChannels[Channel Name],"")</f>
        <v>Website &amp; Social Media</v>
      </c>
      <c r="R1976" s="1">
        <f>MONTH(tblSales[[#This Row],[Date]])</f>
        <v>4</v>
      </c>
    </row>
    <row r="1977" spans="2:18" x14ac:dyDescent="0.35">
      <c r="B1977" s="113">
        <v>46140</v>
      </c>
      <c r="C1977" s="4" t="s">
        <v>5231</v>
      </c>
      <c r="D1977" s="4" t="s">
        <v>4568</v>
      </c>
      <c r="E1977" s="1" t="str">
        <f>_xlfn.XLOOKUP(tblSales[[#This Row],[Customer ID]],tblCustomers[Customer ID],tblCustomers[Customer Name],"⚠ Unknown")</f>
        <v>Walk-in Customer</v>
      </c>
      <c r="F1977" s="4" t="s">
        <v>8</v>
      </c>
      <c r="G1977" s="1" t="str">
        <f>_xlfn.XLOOKUP(tblSales[[#This Row],[Product Code]],tblProducts[Code],tblProducts[Product / Service Name],"⚠ Unknown")</f>
        <v>Casual Shorts</v>
      </c>
      <c r="H1977" s="1" t="str">
        <f>_xlfn.XLOOKUP(tblSales[[#This Row],[Product Code]],tblProducts[Code],tblProducts[Category],"")</f>
        <v>Accessories &amp; Basics</v>
      </c>
      <c r="I1977" s="4">
        <v>4</v>
      </c>
      <c r="J1977" s="5">
        <f>_xlfn.XLOOKUP(tblSales[[#This Row],[Product Code]],tblProducts[Code],tblProducts[Selling Price (excl. VAT)],0)</f>
        <v>85000</v>
      </c>
      <c r="K1977" s="5">
        <f>tblSales[[#This Row],[Qty]]*tblSales[[#This Row],[Unit Price]]</f>
        <v>340000</v>
      </c>
      <c r="L1977" s="5">
        <f>ROUND(tblSales[[#This Row],[DPP (excl. VAT)]]*VATEff,0)</f>
        <v>37400</v>
      </c>
      <c r="M1977" s="5">
        <f>tblSales[[#This Row],[DPP (excl. VAT)]]+tblSales[[#This Row],[Output VAT]]</f>
        <v>377400</v>
      </c>
      <c r="N1977" s="5">
        <f>tblSales[[#This Row],[Qty]]*_xlfn.XLOOKUP(tblSales[[#This Row],[Product Code]],tblProducts[Code],tblProducts[Unit Cost],0)</f>
        <v>200000</v>
      </c>
      <c r="O1977" s="4" t="s">
        <v>4866</v>
      </c>
      <c r="P1977" s="4" t="s">
        <v>4862</v>
      </c>
      <c r="Q1977" s="1" t="str">
        <f>_xlfn.XLOOKUP(tblSales[[#This Row],[Channel Code]],tblChannels[Channel Code],tblChannels[Channel Name],"")</f>
        <v>Website &amp; Social Media</v>
      </c>
      <c r="R1977" s="1">
        <f>MONTH(tblSales[[#This Row],[Date]])</f>
        <v>4</v>
      </c>
    </row>
    <row r="1978" spans="2:18" x14ac:dyDescent="0.35">
      <c r="B1978" s="113">
        <v>46140</v>
      </c>
      <c r="C1978" s="4" t="s">
        <v>5232</v>
      </c>
      <c r="D1978" s="4" t="s">
        <v>4568</v>
      </c>
      <c r="E1978" s="1" t="str">
        <f>_xlfn.XLOOKUP(tblSales[[#This Row],[Customer ID]],tblCustomers[Customer ID],tblCustomers[Customer Name],"⚠ Unknown")</f>
        <v>Walk-in Customer</v>
      </c>
      <c r="F1978" s="4" t="s">
        <v>7</v>
      </c>
      <c r="G1978" s="1" t="str">
        <f>_xlfn.XLOOKUP(tblSales[[#This Row],[Product Code]],tblProducts[Code],tblProducts[Product / Service Name],"⚠ Unknown")</f>
        <v>Premium Basic T-shirt</v>
      </c>
      <c r="H1978" s="1" t="str">
        <f>_xlfn.XLOOKUP(tblSales[[#This Row],[Product Code]],tblProducts[Code],tblProducts[Category],"")</f>
        <v>Accessories &amp; Basics</v>
      </c>
      <c r="I1978" s="4">
        <v>12</v>
      </c>
      <c r="J1978" s="5">
        <f>_xlfn.XLOOKUP(tblSales[[#This Row],[Product Code]],tblProducts[Code],tblProducts[Selling Price (excl. VAT)],0)</f>
        <v>65000</v>
      </c>
      <c r="K1978" s="5">
        <f>tblSales[[#This Row],[Qty]]*tblSales[[#This Row],[Unit Price]]</f>
        <v>780000</v>
      </c>
      <c r="L1978" s="5">
        <f>ROUND(tblSales[[#This Row],[DPP (excl. VAT)]]*VATEff,0)</f>
        <v>85800</v>
      </c>
      <c r="M1978" s="5">
        <f>tblSales[[#This Row],[DPP (excl. VAT)]]+tblSales[[#This Row],[Output VAT]]</f>
        <v>865800</v>
      </c>
      <c r="N1978" s="5">
        <f>tblSales[[#This Row],[Qty]]*_xlfn.XLOOKUP(tblSales[[#This Row],[Product Code]],tblProducts[Code],tblProducts[Unit Cost],0)</f>
        <v>444000</v>
      </c>
      <c r="O1978" s="4" t="s">
        <v>4866</v>
      </c>
      <c r="P1978" s="4" t="s">
        <v>4862</v>
      </c>
      <c r="Q1978" s="1" t="str">
        <f>_xlfn.XLOOKUP(tblSales[[#This Row],[Channel Code]],tblChannels[Channel Code],tblChannels[Channel Name],"")</f>
        <v>Website &amp; Social Media</v>
      </c>
      <c r="R1978" s="1">
        <f>MONTH(tblSales[[#This Row],[Date]])</f>
        <v>4</v>
      </c>
    </row>
    <row r="1979" spans="2:18" x14ac:dyDescent="0.35">
      <c r="B1979" s="113">
        <v>46140</v>
      </c>
      <c r="C1979" s="4" t="s">
        <v>5233</v>
      </c>
      <c r="D1979" s="4" t="s">
        <v>4568</v>
      </c>
      <c r="E1979" s="1" t="str">
        <f>_xlfn.XLOOKUP(tblSales[[#This Row],[Customer ID]],tblCustomers[Customer ID],tblCustomers[Customer Name],"⚠ Unknown")</f>
        <v>Walk-in Customer</v>
      </c>
      <c r="F1979" s="4" t="s">
        <v>11</v>
      </c>
      <c r="G1979" s="1" t="str">
        <f>_xlfn.XLOOKUP(tblSales[[#This Row],[Product Code]],tblProducts[Code],tblProducts[Product / Service Name],"⚠ Unknown")</f>
        <v>Sneakers</v>
      </c>
      <c r="H1979" s="1" t="str">
        <f>_xlfn.XLOOKUP(tblSales[[#This Row],[Product Code]],tblProducts[Code],tblProducts[Category],"")</f>
        <v>Apparel &amp; Footwear</v>
      </c>
      <c r="I1979" s="4">
        <v>4</v>
      </c>
      <c r="J1979" s="5">
        <f>_xlfn.XLOOKUP(tblSales[[#This Row],[Product Code]],tblProducts[Code],tblProducts[Selling Price (excl. VAT)],0)</f>
        <v>250000</v>
      </c>
      <c r="K1979" s="5">
        <f>tblSales[[#This Row],[Qty]]*tblSales[[#This Row],[Unit Price]]</f>
        <v>1000000</v>
      </c>
      <c r="L1979" s="5">
        <f>ROUND(tblSales[[#This Row],[DPP (excl. VAT)]]*VATEff,0)</f>
        <v>110000</v>
      </c>
      <c r="M1979" s="5">
        <f>tblSales[[#This Row],[DPP (excl. VAT)]]+tblSales[[#This Row],[Output VAT]]</f>
        <v>1110000</v>
      </c>
      <c r="N1979" s="5">
        <f>tblSales[[#This Row],[Qty]]*_xlfn.XLOOKUP(tblSales[[#This Row],[Product Code]],tblProducts[Code],tblProducts[Unit Cost],0)</f>
        <v>620000</v>
      </c>
      <c r="O1979" s="4" t="s">
        <v>4866</v>
      </c>
      <c r="P1979" s="4" t="s">
        <v>4861</v>
      </c>
      <c r="Q1979" s="1" t="str">
        <f>_xlfn.XLOOKUP(tblSales[[#This Row],[Channel Code]],tblChannels[Channel Code],tblChannels[Channel Name],"")</f>
        <v>Marketplace</v>
      </c>
      <c r="R1979" s="1">
        <f>MONTH(tblSales[[#This Row],[Date]])</f>
        <v>4</v>
      </c>
    </row>
    <row r="1980" spans="2:18" x14ac:dyDescent="0.35">
      <c r="B1980" s="113">
        <v>46140</v>
      </c>
      <c r="C1980" s="4" t="s">
        <v>5234</v>
      </c>
      <c r="D1980" s="4" t="s">
        <v>4585</v>
      </c>
      <c r="E1980" s="1" t="str">
        <f>_xlfn.XLOOKUP(tblSales[[#This Row],[Customer ID]],tblCustomers[Customer ID],tblCustomers[Customer Name],"⚠ Unknown")</f>
        <v>CV Mitra Karya Mandiri</v>
      </c>
      <c r="F1980" s="4" t="s">
        <v>8</v>
      </c>
      <c r="G1980" s="1" t="str">
        <f>_xlfn.XLOOKUP(tblSales[[#This Row],[Product Code]],tblProducts[Code],tblProducts[Product / Service Name],"⚠ Unknown")</f>
        <v>Casual Shorts</v>
      </c>
      <c r="H1980" s="1" t="str">
        <f>_xlfn.XLOOKUP(tblSales[[#This Row],[Product Code]],tblProducts[Code],tblProducts[Category],"")</f>
        <v>Accessories &amp; Basics</v>
      </c>
      <c r="I1980" s="4">
        <v>64</v>
      </c>
      <c r="J1980" s="5">
        <f>_xlfn.XLOOKUP(tblSales[[#This Row],[Product Code]],tblProducts[Code],tblProducts[Selling Price (excl. VAT)],0)</f>
        <v>85000</v>
      </c>
      <c r="K1980" s="5">
        <f>tblSales[[#This Row],[Qty]]*tblSales[[#This Row],[Unit Price]]</f>
        <v>5440000</v>
      </c>
      <c r="L1980" s="5">
        <f>ROUND(tblSales[[#This Row],[DPP (excl. VAT)]]*VATEff,0)</f>
        <v>598400</v>
      </c>
      <c r="M1980" s="5">
        <f>tblSales[[#This Row],[DPP (excl. VAT)]]+tblSales[[#This Row],[Output VAT]]</f>
        <v>6038400</v>
      </c>
      <c r="N1980" s="5">
        <f>tblSales[[#This Row],[Qty]]*_xlfn.XLOOKUP(tblSales[[#This Row],[Product Code]],tblProducts[Code],tblProducts[Unit Cost],0)</f>
        <v>3200000</v>
      </c>
      <c r="O1980" s="4" t="s">
        <v>4867</v>
      </c>
      <c r="P1980" s="4" t="s">
        <v>4860</v>
      </c>
      <c r="Q1980" s="1" t="str">
        <f>_xlfn.XLOOKUP(tblSales[[#This Row],[Channel Code]],tblChannels[Channel Code],tblChannels[Channel Name],"")</f>
        <v>In-store</v>
      </c>
      <c r="R1980" s="1">
        <f>MONTH(tblSales[[#This Row],[Date]])</f>
        <v>4</v>
      </c>
    </row>
    <row r="1981" spans="2:18" x14ac:dyDescent="0.35">
      <c r="B1981" s="113">
        <v>46140</v>
      </c>
      <c r="C1981" s="4" t="s">
        <v>5234</v>
      </c>
      <c r="D1981" s="4" t="s">
        <v>4585</v>
      </c>
      <c r="E1981" s="1" t="str">
        <f>_xlfn.XLOOKUP(tblSales[[#This Row],[Customer ID]],tblCustomers[Customer ID],tblCustomers[Customer Name],"⚠ Unknown")</f>
        <v>CV Mitra Karya Mandiri</v>
      </c>
      <c r="F1981" s="4" t="s">
        <v>9</v>
      </c>
      <c r="G1981" s="1" t="str">
        <f>_xlfn.XLOOKUP(tblSales[[#This Row],[Product Code]],tblProducts[Code],tblProducts[Product / Service Name],"⚠ Unknown")</f>
        <v>Casual Shirt</v>
      </c>
      <c r="H1981" s="1" t="str">
        <f>_xlfn.XLOOKUP(tblSales[[#This Row],[Product Code]],tblProducts[Code],tblProducts[Category],"")</f>
        <v>Apparel &amp; Footwear</v>
      </c>
      <c r="I1981" s="4">
        <v>40</v>
      </c>
      <c r="J1981" s="5">
        <f>_xlfn.XLOOKUP(tblSales[[#This Row],[Product Code]],tblProducts[Code],tblProducts[Selling Price (excl. VAT)],0)</f>
        <v>120000</v>
      </c>
      <c r="K1981" s="5">
        <f>tblSales[[#This Row],[Qty]]*tblSales[[#This Row],[Unit Price]]</f>
        <v>4800000</v>
      </c>
      <c r="L1981" s="5">
        <f>ROUND(tblSales[[#This Row],[DPP (excl. VAT)]]*VATEff,0)</f>
        <v>528000</v>
      </c>
      <c r="M1981" s="5">
        <f>tblSales[[#This Row],[DPP (excl. VAT)]]+tblSales[[#This Row],[Output VAT]]</f>
        <v>5328000</v>
      </c>
      <c r="N1981" s="5">
        <f>tblSales[[#This Row],[Qty]]*_xlfn.XLOOKUP(tblSales[[#This Row],[Product Code]],tblProducts[Code],tblProducts[Unit Cost],0)</f>
        <v>2880000</v>
      </c>
      <c r="O1981" s="4" t="s">
        <v>4867</v>
      </c>
      <c r="P1981" s="4" t="s">
        <v>4860</v>
      </c>
      <c r="Q1981" s="1" t="str">
        <f>_xlfn.XLOOKUP(tblSales[[#This Row],[Channel Code]],tblChannels[Channel Code],tblChannels[Channel Name],"")</f>
        <v>In-store</v>
      </c>
      <c r="R1981" s="1">
        <f>MONTH(tblSales[[#This Row],[Date]])</f>
        <v>4</v>
      </c>
    </row>
    <row r="1982" spans="2:18" x14ac:dyDescent="0.35">
      <c r="B1982" s="113">
        <v>46140</v>
      </c>
      <c r="C1982" s="4" t="s">
        <v>5235</v>
      </c>
      <c r="D1982" s="4" t="s">
        <v>4585</v>
      </c>
      <c r="E1982" s="1" t="str">
        <f>_xlfn.XLOOKUP(tblSales[[#This Row],[Customer ID]],tblCustomers[Customer ID],tblCustomers[Customer Name],"⚠ Unknown")</f>
        <v>CV Mitra Karya Mandiri</v>
      </c>
      <c r="F1982" s="4" t="s">
        <v>12</v>
      </c>
      <c r="G1982" s="1" t="str">
        <f>_xlfn.XLOOKUP(tblSales[[#This Row],[Product Code]],tblProducts[Code],tblProducts[Product / Service Name],"⚠ Unknown")</f>
        <v>Bomber Jacket</v>
      </c>
      <c r="H1982" s="1" t="str">
        <f>_xlfn.XLOOKUP(tblSales[[#This Row],[Product Code]],tblProducts[Code],tblProducts[Category],"")</f>
        <v>Apparel &amp; Footwear</v>
      </c>
      <c r="I1982" s="4">
        <v>24</v>
      </c>
      <c r="J1982" s="5">
        <f>_xlfn.XLOOKUP(tblSales[[#This Row],[Product Code]],tblProducts[Code],tblProducts[Selling Price (excl. VAT)],0)</f>
        <v>350000</v>
      </c>
      <c r="K1982" s="5">
        <f>tblSales[[#This Row],[Qty]]*tblSales[[#This Row],[Unit Price]]</f>
        <v>8400000</v>
      </c>
      <c r="L1982" s="5">
        <f>ROUND(tblSales[[#This Row],[DPP (excl. VAT)]]*VATEff,0)</f>
        <v>924000</v>
      </c>
      <c r="M1982" s="5">
        <f>tblSales[[#This Row],[DPP (excl. VAT)]]+tblSales[[#This Row],[Output VAT]]</f>
        <v>9324000</v>
      </c>
      <c r="N1982" s="5">
        <f>tblSales[[#This Row],[Qty]]*_xlfn.XLOOKUP(tblSales[[#This Row],[Product Code]],tblProducts[Code],tblProducts[Unit Cost],0)</f>
        <v>5040000</v>
      </c>
      <c r="O1982" s="4" t="s">
        <v>4867</v>
      </c>
      <c r="P1982" s="4" t="s">
        <v>4860</v>
      </c>
      <c r="Q1982" s="1" t="str">
        <f>_xlfn.XLOOKUP(tblSales[[#This Row],[Channel Code]],tblChannels[Channel Code],tblChannels[Channel Name],"")</f>
        <v>In-store</v>
      </c>
      <c r="R1982" s="1">
        <f>MONTH(tblSales[[#This Row],[Date]])</f>
        <v>4</v>
      </c>
    </row>
    <row r="1983" spans="2:18" x14ac:dyDescent="0.35">
      <c r="B1983" s="113">
        <v>46140</v>
      </c>
      <c r="C1983" s="4" t="s">
        <v>5235</v>
      </c>
      <c r="D1983" s="4" t="s">
        <v>4585</v>
      </c>
      <c r="E1983" s="1" t="str">
        <f>_xlfn.XLOOKUP(tblSales[[#This Row],[Customer ID]],tblCustomers[Customer ID],tblCustomers[Customer Name],"⚠ Unknown")</f>
        <v>CV Mitra Karya Mandiri</v>
      </c>
      <c r="F1983" s="4" t="s">
        <v>7</v>
      </c>
      <c r="G1983" s="1" t="str">
        <f>_xlfn.XLOOKUP(tblSales[[#This Row],[Product Code]],tblProducts[Code],tblProducts[Product / Service Name],"⚠ Unknown")</f>
        <v>Premium Basic T-shirt</v>
      </c>
      <c r="H1983" s="1" t="str">
        <f>_xlfn.XLOOKUP(tblSales[[#This Row],[Product Code]],tblProducts[Code],tblProducts[Category],"")</f>
        <v>Accessories &amp; Basics</v>
      </c>
      <c r="I1983" s="4">
        <v>32</v>
      </c>
      <c r="J1983" s="5">
        <f>_xlfn.XLOOKUP(tblSales[[#This Row],[Product Code]],tblProducts[Code],tblProducts[Selling Price (excl. VAT)],0)</f>
        <v>65000</v>
      </c>
      <c r="K1983" s="5">
        <f>tblSales[[#This Row],[Qty]]*tblSales[[#This Row],[Unit Price]]</f>
        <v>2080000</v>
      </c>
      <c r="L1983" s="5">
        <f>ROUND(tblSales[[#This Row],[DPP (excl. VAT)]]*VATEff,0)</f>
        <v>228800</v>
      </c>
      <c r="M1983" s="5">
        <f>tblSales[[#This Row],[DPP (excl. VAT)]]+tblSales[[#This Row],[Output VAT]]</f>
        <v>2308800</v>
      </c>
      <c r="N1983" s="5">
        <f>tblSales[[#This Row],[Qty]]*_xlfn.XLOOKUP(tblSales[[#This Row],[Product Code]],tblProducts[Code],tblProducts[Unit Cost],0)</f>
        <v>1184000</v>
      </c>
      <c r="O1983" s="4" t="s">
        <v>4867</v>
      </c>
      <c r="P1983" s="4" t="s">
        <v>4860</v>
      </c>
      <c r="Q1983" s="1" t="str">
        <f>_xlfn.XLOOKUP(tblSales[[#This Row],[Channel Code]],tblChannels[Channel Code],tblChannels[Channel Name],"")</f>
        <v>In-store</v>
      </c>
      <c r="R1983" s="1">
        <f>MONTH(tblSales[[#This Row],[Date]])</f>
        <v>4</v>
      </c>
    </row>
    <row r="1984" spans="2:18" x14ac:dyDescent="0.35">
      <c r="B1984" s="113">
        <v>46140</v>
      </c>
      <c r="C1984" s="4" t="s">
        <v>5236</v>
      </c>
      <c r="D1984" s="4" t="s">
        <v>4572</v>
      </c>
      <c r="E1984" s="1" t="str">
        <f>_xlfn.XLOOKUP(tblSales[[#This Row],[Customer ID]],tblCustomers[Customer ID],tblCustomers[Customer Name],"⚠ Unknown")</f>
        <v>PT Cahaya Abadi Makmur</v>
      </c>
      <c r="F1984" s="4" t="s">
        <v>12</v>
      </c>
      <c r="G1984" s="1" t="str">
        <f>_xlfn.XLOOKUP(tblSales[[#This Row],[Product Code]],tblProducts[Code],tblProducts[Product / Service Name],"⚠ Unknown")</f>
        <v>Bomber Jacket</v>
      </c>
      <c r="H1984" s="1" t="str">
        <f>_xlfn.XLOOKUP(tblSales[[#This Row],[Product Code]],tblProducts[Code],tblProducts[Category],"")</f>
        <v>Apparel &amp; Footwear</v>
      </c>
      <c r="I1984" s="4">
        <v>24</v>
      </c>
      <c r="J1984" s="5">
        <f>_xlfn.XLOOKUP(tblSales[[#This Row],[Product Code]],tblProducts[Code],tblProducts[Selling Price (excl. VAT)],0)</f>
        <v>350000</v>
      </c>
      <c r="K1984" s="5">
        <f>tblSales[[#This Row],[Qty]]*tblSales[[#This Row],[Unit Price]]</f>
        <v>8400000</v>
      </c>
      <c r="L1984" s="5">
        <f>ROUND(tblSales[[#This Row],[DPP (excl. VAT)]]*VATEff,0)</f>
        <v>924000</v>
      </c>
      <c r="M1984" s="5">
        <f>tblSales[[#This Row],[DPP (excl. VAT)]]+tblSales[[#This Row],[Output VAT]]</f>
        <v>9324000</v>
      </c>
      <c r="N1984" s="5">
        <f>tblSales[[#This Row],[Qty]]*_xlfn.XLOOKUP(tblSales[[#This Row],[Product Code]],tblProducts[Code],tblProducts[Unit Cost],0)</f>
        <v>5040000</v>
      </c>
      <c r="O1984" s="4" t="s">
        <v>4867</v>
      </c>
      <c r="P1984" s="4" t="s">
        <v>4862</v>
      </c>
      <c r="Q1984" s="1" t="str">
        <f>_xlfn.XLOOKUP(tblSales[[#This Row],[Channel Code]],tblChannels[Channel Code],tblChannels[Channel Name],"")</f>
        <v>Website &amp; Social Media</v>
      </c>
      <c r="R1984" s="1">
        <f>MONTH(tblSales[[#This Row],[Date]])</f>
        <v>4</v>
      </c>
    </row>
    <row r="1985" spans="2:18" x14ac:dyDescent="0.35">
      <c r="B1985" s="113">
        <v>46140</v>
      </c>
      <c r="C1985" s="4" t="s">
        <v>5236</v>
      </c>
      <c r="D1985" s="4" t="s">
        <v>4572</v>
      </c>
      <c r="E1985" s="1" t="str">
        <f>_xlfn.XLOOKUP(tblSales[[#This Row],[Customer ID]],tblCustomers[Customer ID],tblCustomers[Customer Name],"⚠ Unknown")</f>
        <v>PT Cahaya Abadi Makmur</v>
      </c>
      <c r="F1985" s="4" t="s">
        <v>8</v>
      </c>
      <c r="G1985" s="1" t="str">
        <f>_xlfn.XLOOKUP(tblSales[[#This Row],[Product Code]],tblProducts[Code],tblProducts[Product / Service Name],"⚠ Unknown")</f>
        <v>Casual Shorts</v>
      </c>
      <c r="H1985" s="1" t="str">
        <f>_xlfn.XLOOKUP(tblSales[[#This Row],[Product Code]],tblProducts[Code],tblProducts[Category],"")</f>
        <v>Accessories &amp; Basics</v>
      </c>
      <c r="I1985" s="4">
        <v>88</v>
      </c>
      <c r="J1985" s="5">
        <f>_xlfn.XLOOKUP(tblSales[[#This Row],[Product Code]],tblProducts[Code],tblProducts[Selling Price (excl. VAT)],0)</f>
        <v>85000</v>
      </c>
      <c r="K1985" s="5">
        <f>tblSales[[#This Row],[Qty]]*tblSales[[#This Row],[Unit Price]]</f>
        <v>7480000</v>
      </c>
      <c r="L1985" s="5">
        <f>ROUND(tblSales[[#This Row],[DPP (excl. VAT)]]*VATEff,0)</f>
        <v>822800</v>
      </c>
      <c r="M1985" s="5">
        <f>tblSales[[#This Row],[DPP (excl. VAT)]]+tblSales[[#This Row],[Output VAT]]</f>
        <v>8302800</v>
      </c>
      <c r="N1985" s="5">
        <f>tblSales[[#This Row],[Qty]]*_xlfn.XLOOKUP(tblSales[[#This Row],[Product Code]],tblProducts[Code],tblProducts[Unit Cost],0)</f>
        <v>4400000</v>
      </c>
      <c r="O1985" s="4" t="s">
        <v>4867</v>
      </c>
      <c r="P1985" s="4" t="s">
        <v>4862</v>
      </c>
      <c r="Q1985" s="1" t="str">
        <f>_xlfn.XLOOKUP(tblSales[[#This Row],[Channel Code]],tblChannels[Channel Code],tblChannels[Channel Name],"")</f>
        <v>Website &amp; Social Media</v>
      </c>
      <c r="R1985" s="1">
        <f>MONTH(tblSales[[#This Row],[Date]])</f>
        <v>4</v>
      </c>
    </row>
    <row r="1986" spans="2:18" x14ac:dyDescent="0.35">
      <c r="B1986" s="113">
        <v>46140</v>
      </c>
      <c r="C1986" s="4" t="s">
        <v>5237</v>
      </c>
      <c r="D1986" s="4" t="s">
        <v>4568</v>
      </c>
      <c r="E1986" s="1" t="str">
        <f>_xlfn.XLOOKUP(tblSales[[#This Row],[Customer ID]],tblCustomers[Customer ID],tblCustomers[Customer Name],"⚠ Unknown")</f>
        <v>Walk-in Customer</v>
      </c>
      <c r="F1986" s="4" t="s">
        <v>7</v>
      </c>
      <c r="G1986" s="1" t="str">
        <f>_xlfn.XLOOKUP(tblSales[[#This Row],[Product Code]],tblProducts[Code],tblProducts[Product / Service Name],"⚠ Unknown")</f>
        <v>Premium Basic T-shirt</v>
      </c>
      <c r="H1986" s="1" t="str">
        <f>_xlfn.XLOOKUP(tblSales[[#This Row],[Product Code]],tblProducts[Code],tblProducts[Category],"")</f>
        <v>Accessories &amp; Basics</v>
      </c>
      <c r="I1986" s="4">
        <v>1</v>
      </c>
      <c r="J1986" s="5">
        <f>_xlfn.XLOOKUP(tblSales[[#This Row],[Product Code]],tblProducts[Code],tblProducts[Selling Price (excl. VAT)],0)</f>
        <v>65000</v>
      </c>
      <c r="K1986" s="5">
        <f>tblSales[[#This Row],[Qty]]*tblSales[[#This Row],[Unit Price]]</f>
        <v>65000</v>
      </c>
      <c r="L1986" s="5">
        <f>ROUND(tblSales[[#This Row],[DPP (excl. VAT)]]*VATEff,0)</f>
        <v>7150</v>
      </c>
      <c r="M1986" s="5">
        <f>tblSales[[#This Row],[DPP (excl. VAT)]]+tblSales[[#This Row],[Output VAT]]</f>
        <v>72150</v>
      </c>
      <c r="N1986" s="5">
        <f>tblSales[[#This Row],[Qty]]*_xlfn.XLOOKUP(tblSales[[#This Row],[Product Code]],tblProducts[Code],tblProducts[Unit Cost],0)</f>
        <v>37000</v>
      </c>
      <c r="O1986" s="4" t="s">
        <v>4866</v>
      </c>
      <c r="P1986" s="4" t="s">
        <v>4861</v>
      </c>
      <c r="Q1986" s="1" t="str">
        <f>_xlfn.XLOOKUP(tblSales[[#This Row],[Channel Code]],tblChannels[Channel Code],tblChannels[Channel Name],"")</f>
        <v>Marketplace</v>
      </c>
      <c r="R1986" s="1">
        <f>MONTH(tblSales[[#This Row],[Date]])</f>
        <v>4</v>
      </c>
    </row>
    <row r="1987" spans="2:18" x14ac:dyDescent="0.35">
      <c r="B1987" s="113">
        <v>46140</v>
      </c>
      <c r="C1987" s="4" t="s">
        <v>5237</v>
      </c>
      <c r="D1987" s="4" t="s">
        <v>4568</v>
      </c>
      <c r="E1987" s="1" t="str">
        <f>_xlfn.XLOOKUP(tblSales[[#This Row],[Customer ID]],tblCustomers[Customer ID],tblCustomers[Customer Name],"⚠ Unknown")</f>
        <v>Walk-in Customer</v>
      </c>
      <c r="F1987" s="4" t="s">
        <v>15</v>
      </c>
      <c r="G1987" s="1" t="str">
        <f>_xlfn.XLOOKUP(tblSales[[#This Row],[Product Code]],tblProducts[Code],tblProducts[Product / Service Name],"⚠ Unknown")</f>
        <v>Wireless Earbuds Pro</v>
      </c>
      <c r="H1987" s="1" t="str">
        <f>_xlfn.XLOOKUP(tblSales[[#This Row],[Product Code]],tblProducts[Code],tblProducts[Category],"")</f>
        <v>Bags &amp; Gadgets</v>
      </c>
      <c r="I1987" s="4">
        <v>1</v>
      </c>
      <c r="J1987" s="5">
        <f>_xlfn.XLOOKUP(tblSales[[#This Row],[Product Code]],tblProducts[Code],tblProducts[Selling Price (excl. VAT)],0)</f>
        <v>1250000</v>
      </c>
      <c r="K1987" s="5">
        <f>tblSales[[#This Row],[Qty]]*tblSales[[#This Row],[Unit Price]]</f>
        <v>1250000</v>
      </c>
      <c r="L1987" s="5">
        <f>ROUND(tblSales[[#This Row],[DPP (excl. VAT)]]*VATEff,0)</f>
        <v>137500</v>
      </c>
      <c r="M1987" s="5">
        <f>tblSales[[#This Row],[DPP (excl. VAT)]]+tblSales[[#This Row],[Output VAT]]</f>
        <v>1387500</v>
      </c>
      <c r="N1987" s="5">
        <f>tblSales[[#This Row],[Qty]]*_xlfn.XLOOKUP(tblSales[[#This Row],[Product Code]],tblProducts[Code],tblProducts[Unit Cost],0)</f>
        <v>820000</v>
      </c>
      <c r="O1987" s="4" t="s">
        <v>4866</v>
      </c>
      <c r="P1987" s="4" t="s">
        <v>4861</v>
      </c>
      <c r="Q1987" s="1" t="str">
        <f>_xlfn.XLOOKUP(tblSales[[#This Row],[Channel Code]],tblChannels[Channel Code],tblChannels[Channel Name],"")</f>
        <v>Marketplace</v>
      </c>
      <c r="R1987" s="1">
        <f>MONTH(tblSales[[#This Row],[Date]])</f>
        <v>4</v>
      </c>
    </row>
    <row r="1988" spans="2:18" x14ac:dyDescent="0.35">
      <c r="B1988" s="113">
        <v>46140</v>
      </c>
      <c r="C1988" s="4" t="s">
        <v>5237</v>
      </c>
      <c r="D1988" s="4" t="s">
        <v>4568</v>
      </c>
      <c r="E1988" s="1" t="str">
        <f>_xlfn.XLOOKUP(tblSales[[#This Row],[Customer ID]],tblCustomers[Customer ID],tblCustomers[Customer Name],"⚠ Unknown")</f>
        <v>Walk-in Customer</v>
      </c>
      <c r="F1988" s="4" t="s">
        <v>14</v>
      </c>
      <c r="G1988" s="1" t="str">
        <f>_xlfn.XLOOKUP(tblSales[[#This Row],[Product Code]],tblProducts[Code],tblProducts[Product / Service Name],"⚠ Unknown")</f>
        <v>Smartwatch</v>
      </c>
      <c r="H1988" s="1" t="str">
        <f>_xlfn.XLOOKUP(tblSales[[#This Row],[Product Code]],tblProducts[Code],tblProducts[Category],"")</f>
        <v>Bags &amp; Gadgets</v>
      </c>
      <c r="I1988" s="4">
        <v>1</v>
      </c>
      <c r="J1988" s="5">
        <f>_xlfn.XLOOKUP(tblSales[[#This Row],[Product Code]],tblProducts[Code],tblProducts[Selling Price (excl. VAT)],0)</f>
        <v>850000</v>
      </c>
      <c r="K1988" s="5">
        <f>tblSales[[#This Row],[Qty]]*tblSales[[#This Row],[Unit Price]]</f>
        <v>850000</v>
      </c>
      <c r="L1988" s="5">
        <f>ROUND(tblSales[[#This Row],[DPP (excl. VAT)]]*VATEff,0)</f>
        <v>93500</v>
      </c>
      <c r="M1988" s="5">
        <f>tblSales[[#This Row],[DPP (excl. VAT)]]+tblSales[[#This Row],[Output VAT]]</f>
        <v>943500</v>
      </c>
      <c r="N1988" s="5">
        <f>tblSales[[#This Row],[Qty]]*_xlfn.XLOOKUP(tblSales[[#This Row],[Product Code]],tblProducts[Code],tblProducts[Unit Cost],0)</f>
        <v>560000</v>
      </c>
      <c r="O1988" s="4" t="s">
        <v>4866</v>
      </c>
      <c r="P1988" s="4" t="s">
        <v>4861</v>
      </c>
      <c r="Q1988" s="1" t="str">
        <f>_xlfn.XLOOKUP(tblSales[[#This Row],[Channel Code]],tblChannels[Channel Code],tblChannels[Channel Name],"")</f>
        <v>Marketplace</v>
      </c>
      <c r="R1988" s="1">
        <f>MONTH(tblSales[[#This Row],[Date]])</f>
        <v>4</v>
      </c>
    </row>
    <row r="1989" spans="2:18" x14ac:dyDescent="0.35">
      <c r="B1989" s="113">
        <v>46140</v>
      </c>
      <c r="C1989" s="4" t="s">
        <v>5238</v>
      </c>
      <c r="D1989" s="4" t="s">
        <v>4568</v>
      </c>
      <c r="E1989" s="1" t="str">
        <f>_xlfn.XLOOKUP(tblSales[[#This Row],[Customer ID]],tblCustomers[Customer ID],tblCustomers[Customer Name],"⚠ Unknown")</f>
        <v>Walk-in Customer</v>
      </c>
      <c r="F1989" s="4" t="s">
        <v>6</v>
      </c>
      <c r="G1989" s="1" t="str">
        <f>_xlfn.XLOOKUP(tblSales[[#This Row],[Product Code]],tblProducts[Code],tblProducts[Product / Service Name],"⚠ Unknown")</f>
        <v>Socks &amp; Accessories</v>
      </c>
      <c r="H1989" s="1" t="str">
        <f>_xlfn.XLOOKUP(tblSales[[#This Row],[Product Code]],tblProducts[Code],tblProducts[Category],"")</f>
        <v>Accessories &amp; Basics</v>
      </c>
      <c r="I1989" s="4">
        <v>2</v>
      </c>
      <c r="J1989" s="5">
        <f>_xlfn.XLOOKUP(tblSales[[#This Row],[Product Code]],tblProducts[Code],tblProducts[Selling Price (excl. VAT)],0)</f>
        <v>45000</v>
      </c>
      <c r="K1989" s="5">
        <f>tblSales[[#This Row],[Qty]]*tblSales[[#This Row],[Unit Price]]</f>
        <v>90000</v>
      </c>
      <c r="L1989" s="5">
        <f>ROUND(tblSales[[#This Row],[DPP (excl. VAT)]]*VATEff,0)</f>
        <v>9900</v>
      </c>
      <c r="M1989" s="5">
        <f>tblSales[[#This Row],[DPP (excl. VAT)]]+tblSales[[#This Row],[Output VAT]]</f>
        <v>99900</v>
      </c>
      <c r="N1989" s="5">
        <f>tblSales[[#This Row],[Qty]]*_xlfn.XLOOKUP(tblSales[[#This Row],[Product Code]],tblProducts[Code],tblProducts[Unit Cost],0)</f>
        <v>48000</v>
      </c>
      <c r="O1989" s="4" t="s">
        <v>4866</v>
      </c>
      <c r="P1989" s="4" t="s">
        <v>4860</v>
      </c>
      <c r="Q1989" s="1" t="str">
        <f>_xlfn.XLOOKUP(tblSales[[#This Row],[Channel Code]],tblChannels[Channel Code],tblChannels[Channel Name],"")</f>
        <v>In-store</v>
      </c>
      <c r="R1989" s="1">
        <f>MONTH(tblSales[[#This Row],[Date]])</f>
        <v>4</v>
      </c>
    </row>
    <row r="1990" spans="2:18" x14ac:dyDescent="0.35">
      <c r="B1990" s="113">
        <v>46140</v>
      </c>
      <c r="C1990" s="4" t="s">
        <v>5238</v>
      </c>
      <c r="D1990" s="4" t="s">
        <v>4568</v>
      </c>
      <c r="E1990" s="1" t="str">
        <f>_xlfn.XLOOKUP(tblSales[[#This Row],[Customer ID]],tblCustomers[Customer ID],tblCustomers[Customer Name],"⚠ Unknown")</f>
        <v>Walk-in Customer</v>
      </c>
      <c r="F1990" s="4" t="s">
        <v>8</v>
      </c>
      <c r="G1990" s="1" t="str">
        <f>_xlfn.XLOOKUP(tblSales[[#This Row],[Product Code]],tblProducts[Code],tblProducts[Product / Service Name],"⚠ Unknown")</f>
        <v>Casual Shorts</v>
      </c>
      <c r="H1990" s="1" t="str">
        <f>_xlfn.XLOOKUP(tblSales[[#This Row],[Product Code]],tblProducts[Code],tblProducts[Category],"")</f>
        <v>Accessories &amp; Basics</v>
      </c>
      <c r="I1990" s="4">
        <v>4</v>
      </c>
      <c r="J1990" s="5">
        <f>_xlfn.XLOOKUP(tblSales[[#This Row],[Product Code]],tblProducts[Code],tblProducts[Selling Price (excl. VAT)],0)</f>
        <v>85000</v>
      </c>
      <c r="K1990" s="5">
        <f>tblSales[[#This Row],[Qty]]*tblSales[[#This Row],[Unit Price]]</f>
        <v>340000</v>
      </c>
      <c r="L1990" s="5">
        <f>ROUND(tblSales[[#This Row],[DPP (excl. VAT)]]*VATEff,0)</f>
        <v>37400</v>
      </c>
      <c r="M1990" s="5">
        <f>tblSales[[#This Row],[DPP (excl. VAT)]]+tblSales[[#This Row],[Output VAT]]</f>
        <v>377400</v>
      </c>
      <c r="N1990" s="5">
        <f>tblSales[[#This Row],[Qty]]*_xlfn.XLOOKUP(tblSales[[#This Row],[Product Code]],tblProducts[Code],tblProducts[Unit Cost],0)</f>
        <v>200000</v>
      </c>
      <c r="O1990" s="4" t="s">
        <v>4866</v>
      </c>
      <c r="P1990" s="4" t="s">
        <v>4860</v>
      </c>
      <c r="Q1990" s="1" t="str">
        <f>_xlfn.XLOOKUP(tblSales[[#This Row],[Channel Code]],tblChannels[Channel Code],tblChannels[Channel Name],"")</f>
        <v>In-store</v>
      </c>
      <c r="R1990" s="1">
        <f>MONTH(tblSales[[#This Row],[Date]])</f>
        <v>4</v>
      </c>
    </row>
    <row r="1991" spans="2:18" x14ac:dyDescent="0.35">
      <c r="B1991" s="113">
        <v>46140</v>
      </c>
      <c r="C1991" s="4" t="s">
        <v>5238</v>
      </c>
      <c r="D1991" s="4" t="s">
        <v>4568</v>
      </c>
      <c r="E1991" s="1" t="str">
        <f>_xlfn.XLOOKUP(tblSales[[#This Row],[Customer ID]],tblCustomers[Customer ID],tblCustomers[Customer Name],"⚠ Unknown")</f>
        <v>Walk-in Customer</v>
      </c>
      <c r="F1991" s="4" t="s">
        <v>9</v>
      </c>
      <c r="G1991" s="1" t="str">
        <f>_xlfn.XLOOKUP(tblSales[[#This Row],[Product Code]],tblProducts[Code],tblProducts[Product / Service Name],"⚠ Unknown")</f>
        <v>Casual Shirt</v>
      </c>
      <c r="H1991" s="1" t="str">
        <f>_xlfn.XLOOKUP(tblSales[[#This Row],[Product Code]],tblProducts[Code],tblProducts[Category],"")</f>
        <v>Apparel &amp; Footwear</v>
      </c>
      <c r="I1991" s="4">
        <v>1</v>
      </c>
      <c r="J1991" s="5">
        <f>_xlfn.XLOOKUP(tblSales[[#This Row],[Product Code]],tblProducts[Code],tblProducts[Selling Price (excl. VAT)],0)</f>
        <v>120000</v>
      </c>
      <c r="K1991" s="5">
        <f>tblSales[[#This Row],[Qty]]*tblSales[[#This Row],[Unit Price]]</f>
        <v>120000</v>
      </c>
      <c r="L1991" s="5">
        <f>ROUND(tblSales[[#This Row],[DPP (excl. VAT)]]*VATEff,0)</f>
        <v>13200</v>
      </c>
      <c r="M1991" s="5">
        <f>tblSales[[#This Row],[DPP (excl. VAT)]]+tblSales[[#This Row],[Output VAT]]</f>
        <v>133200</v>
      </c>
      <c r="N1991" s="5">
        <f>tblSales[[#This Row],[Qty]]*_xlfn.XLOOKUP(tblSales[[#This Row],[Product Code]],tblProducts[Code],tblProducts[Unit Cost],0)</f>
        <v>72000</v>
      </c>
      <c r="O1991" s="4" t="s">
        <v>4866</v>
      </c>
      <c r="P1991" s="4" t="s">
        <v>4860</v>
      </c>
      <c r="Q1991" s="1" t="str">
        <f>_xlfn.XLOOKUP(tblSales[[#This Row],[Channel Code]],tblChannels[Channel Code],tblChannels[Channel Name],"")</f>
        <v>In-store</v>
      </c>
      <c r="R1991" s="1">
        <f>MONTH(tblSales[[#This Row],[Date]])</f>
        <v>4</v>
      </c>
    </row>
    <row r="1992" spans="2:18" x14ac:dyDescent="0.35">
      <c r="B1992" s="113">
        <v>46140</v>
      </c>
      <c r="C1992" s="4" t="s">
        <v>5239</v>
      </c>
      <c r="D1992" s="4" t="s">
        <v>4568</v>
      </c>
      <c r="E1992" s="1" t="str">
        <f>_xlfn.XLOOKUP(tblSales[[#This Row],[Customer ID]],tblCustomers[Customer ID],tblCustomers[Customer Name],"⚠ Unknown")</f>
        <v>Walk-in Customer</v>
      </c>
      <c r="F1992" s="4" t="s">
        <v>11</v>
      </c>
      <c r="G1992" s="1" t="str">
        <f>_xlfn.XLOOKUP(tblSales[[#This Row],[Product Code]],tblProducts[Code],tblProducts[Product / Service Name],"⚠ Unknown")</f>
        <v>Sneakers</v>
      </c>
      <c r="H1992" s="1" t="str">
        <f>_xlfn.XLOOKUP(tblSales[[#This Row],[Product Code]],tblProducts[Code],tblProducts[Category],"")</f>
        <v>Apparel &amp; Footwear</v>
      </c>
      <c r="I1992" s="4">
        <v>6</v>
      </c>
      <c r="J1992" s="5">
        <f>_xlfn.XLOOKUP(tblSales[[#This Row],[Product Code]],tblProducts[Code],tblProducts[Selling Price (excl. VAT)],0)</f>
        <v>250000</v>
      </c>
      <c r="K1992" s="5">
        <f>tblSales[[#This Row],[Qty]]*tblSales[[#This Row],[Unit Price]]</f>
        <v>1500000</v>
      </c>
      <c r="L1992" s="5">
        <f>ROUND(tblSales[[#This Row],[DPP (excl. VAT)]]*VATEff,0)</f>
        <v>165000</v>
      </c>
      <c r="M1992" s="5">
        <f>tblSales[[#This Row],[DPP (excl. VAT)]]+tblSales[[#This Row],[Output VAT]]</f>
        <v>1665000</v>
      </c>
      <c r="N1992" s="5">
        <f>tblSales[[#This Row],[Qty]]*_xlfn.XLOOKUP(tblSales[[#This Row],[Product Code]],tblProducts[Code],tblProducts[Unit Cost],0)</f>
        <v>930000</v>
      </c>
      <c r="O1992" s="4" t="s">
        <v>4865</v>
      </c>
      <c r="P1992" s="4" t="s">
        <v>4860</v>
      </c>
      <c r="Q1992" s="1" t="str">
        <f>_xlfn.XLOOKUP(tblSales[[#This Row],[Channel Code]],tblChannels[Channel Code],tblChannels[Channel Name],"")</f>
        <v>In-store</v>
      </c>
      <c r="R1992" s="1">
        <f>MONTH(tblSales[[#This Row],[Date]])</f>
        <v>4</v>
      </c>
    </row>
    <row r="1993" spans="2:18" x14ac:dyDescent="0.35">
      <c r="B1993" s="113">
        <v>46140</v>
      </c>
      <c r="C1993" s="4" t="s">
        <v>5240</v>
      </c>
      <c r="D1993" s="4" t="s">
        <v>4599</v>
      </c>
      <c r="E1993" s="1" t="str">
        <f>_xlfn.XLOOKUP(tblSales[[#This Row],[Customer ID]],tblCustomers[Customer ID],tblCustomers[Customer Name],"⚠ Unknown")</f>
        <v>PT Samudra Jaya Logistik</v>
      </c>
      <c r="F1993" s="4" t="s">
        <v>6</v>
      </c>
      <c r="G1993" s="1" t="str">
        <f>_xlfn.XLOOKUP(tblSales[[#This Row],[Product Code]],tblProducts[Code],tblProducts[Product / Service Name],"⚠ Unknown")</f>
        <v>Socks &amp; Accessories</v>
      </c>
      <c r="H1993" s="1" t="str">
        <f>_xlfn.XLOOKUP(tblSales[[#This Row],[Product Code]],tblProducts[Code],tblProducts[Category],"")</f>
        <v>Accessories &amp; Basics</v>
      </c>
      <c r="I1993" s="4">
        <v>24</v>
      </c>
      <c r="J1993" s="5">
        <f>_xlfn.XLOOKUP(tblSales[[#This Row],[Product Code]],tblProducts[Code],tblProducts[Selling Price (excl. VAT)],0)</f>
        <v>45000</v>
      </c>
      <c r="K1993" s="5">
        <f>tblSales[[#This Row],[Qty]]*tblSales[[#This Row],[Unit Price]]</f>
        <v>1080000</v>
      </c>
      <c r="L1993" s="5">
        <f>ROUND(tblSales[[#This Row],[DPP (excl. VAT)]]*VATEff,0)</f>
        <v>118800</v>
      </c>
      <c r="M1993" s="5">
        <f>tblSales[[#This Row],[DPP (excl. VAT)]]+tblSales[[#This Row],[Output VAT]]</f>
        <v>1198800</v>
      </c>
      <c r="N1993" s="5">
        <f>tblSales[[#This Row],[Qty]]*_xlfn.XLOOKUP(tblSales[[#This Row],[Product Code]],tblProducts[Code],tblProducts[Unit Cost],0)</f>
        <v>576000</v>
      </c>
      <c r="O1993" s="4" t="s">
        <v>4867</v>
      </c>
      <c r="P1993" s="4" t="s">
        <v>4862</v>
      </c>
      <c r="Q1993" s="1" t="str">
        <f>_xlfn.XLOOKUP(tblSales[[#This Row],[Channel Code]],tblChannels[Channel Code],tblChannels[Channel Name],"")</f>
        <v>Website &amp; Social Media</v>
      </c>
      <c r="R1993" s="1">
        <f>MONTH(tblSales[[#This Row],[Date]])</f>
        <v>4</v>
      </c>
    </row>
    <row r="1994" spans="2:18" x14ac:dyDescent="0.35">
      <c r="B1994" s="113">
        <v>46141</v>
      </c>
      <c r="C1994" s="4" t="s">
        <v>5241</v>
      </c>
      <c r="D1994" s="4" t="s">
        <v>4568</v>
      </c>
      <c r="E1994" s="1" t="str">
        <f>_xlfn.XLOOKUP(tblSales[[#This Row],[Customer ID]],tblCustomers[Customer ID],tblCustomers[Customer Name],"⚠ Unknown")</f>
        <v>Walk-in Customer</v>
      </c>
      <c r="F1994" s="4" t="s">
        <v>10</v>
      </c>
      <c r="G1994" s="1" t="str">
        <f>_xlfn.XLOOKUP(tblSales[[#This Row],[Product Code]],tblProducts[Code],tblProducts[Product / Service Name],"⚠ Unknown")</f>
        <v>Chino Pants</v>
      </c>
      <c r="H1994" s="1" t="str">
        <f>_xlfn.XLOOKUP(tblSales[[#This Row],[Product Code]],tblProducts[Code],tblProducts[Category],"")</f>
        <v>Apparel &amp; Footwear</v>
      </c>
      <c r="I1994" s="4">
        <v>9</v>
      </c>
      <c r="J1994" s="5">
        <f>_xlfn.XLOOKUP(tblSales[[#This Row],[Product Code]],tblProducts[Code],tblProducts[Selling Price (excl. VAT)],0)</f>
        <v>150000</v>
      </c>
      <c r="K1994" s="5">
        <f>tblSales[[#This Row],[Qty]]*tblSales[[#This Row],[Unit Price]]</f>
        <v>1350000</v>
      </c>
      <c r="L1994" s="5">
        <f>ROUND(tblSales[[#This Row],[DPP (excl. VAT)]]*VATEff,0)</f>
        <v>148500</v>
      </c>
      <c r="M1994" s="5">
        <f>tblSales[[#This Row],[DPP (excl. VAT)]]+tblSales[[#This Row],[Output VAT]]</f>
        <v>1498500</v>
      </c>
      <c r="N1994" s="5">
        <f>tblSales[[#This Row],[Qty]]*_xlfn.XLOOKUP(tblSales[[#This Row],[Product Code]],tblProducts[Code],tblProducts[Unit Cost],0)</f>
        <v>792000</v>
      </c>
      <c r="O1994" s="4" t="s">
        <v>4865</v>
      </c>
      <c r="P1994" s="4" t="s">
        <v>4860</v>
      </c>
      <c r="Q1994" s="1" t="str">
        <f>_xlfn.XLOOKUP(tblSales[[#This Row],[Channel Code]],tblChannels[Channel Code],tblChannels[Channel Name],"")</f>
        <v>In-store</v>
      </c>
      <c r="R1994" s="1">
        <f>MONTH(tblSales[[#This Row],[Date]])</f>
        <v>4</v>
      </c>
    </row>
    <row r="1995" spans="2:18" x14ac:dyDescent="0.35">
      <c r="B1995" s="113">
        <v>46141</v>
      </c>
      <c r="C1995" s="4" t="s">
        <v>5242</v>
      </c>
      <c r="D1995" s="4" t="s">
        <v>4568</v>
      </c>
      <c r="E1995" s="1" t="str">
        <f>_xlfn.XLOOKUP(tblSales[[#This Row],[Customer ID]],tblCustomers[Customer ID],tblCustomers[Customer Name],"⚠ Unknown")</f>
        <v>Walk-in Customer</v>
      </c>
      <c r="F1995" s="4" t="s">
        <v>12</v>
      </c>
      <c r="G1995" s="1" t="str">
        <f>_xlfn.XLOOKUP(tblSales[[#This Row],[Product Code]],tblProducts[Code],tblProducts[Product / Service Name],"⚠ Unknown")</f>
        <v>Bomber Jacket</v>
      </c>
      <c r="H1995" s="1" t="str">
        <f>_xlfn.XLOOKUP(tblSales[[#This Row],[Product Code]],tblProducts[Code],tblProducts[Category],"")</f>
        <v>Apparel &amp; Footwear</v>
      </c>
      <c r="I1995" s="4">
        <v>1</v>
      </c>
      <c r="J1995" s="5">
        <f>_xlfn.XLOOKUP(tblSales[[#This Row],[Product Code]],tblProducts[Code],tblProducts[Selling Price (excl. VAT)],0)</f>
        <v>350000</v>
      </c>
      <c r="K1995" s="5">
        <f>tblSales[[#This Row],[Qty]]*tblSales[[#This Row],[Unit Price]]</f>
        <v>350000</v>
      </c>
      <c r="L1995" s="5">
        <f>ROUND(tblSales[[#This Row],[DPP (excl. VAT)]]*VATEff,0)</f>
        <v>38500</v>
      </c>
      <c r="M1995" s="5">
        <f>tblSales[[#This Row],[DPP (excl. VAT)]]+tblSales[[#This Row],[Output VAT]]</f>
        <v>388500</v>
      </c>
      <c r="N1995" s="5">
        <f>tblSales[[#This Row],[Qty]]*_xlfn.XLOOKUP(tblSales[[#This Row],[Product Code]],tblProducts[Code],tblProducts[Unit Cost],0)</f>
        <v>210000</v>
      </c>
      <c r="O1995" s="4" t="s">
        <v>4865</v>
      </c>
      <c r="P1995" s="4" t="s">
        <v>4860</v>
      </c>
      <c r="Q1995" s="1" t="str">
        <f>_xlfn.XLOOKUP(tblSales[[#This Row],[Channel Code]],tblChannels[Channel Code],tblChannels[Channel Name],"")</f>
        <v>In-store</v>
      </c>
      <c r="R1995" s="1">
        <f>MONTH(tblSales[[#This Row],[Date]])</f>
        <v>4</v>
      </c>
    </row>
    <row r="1996" spans="2:18" x14ac:dyDescent="0.35">
      <c r="B1996" s="113">
        <v>46141</v>
      </c>
      <c r="C1996" s="4" t="s">
        <v>5243</v>
      </c>
      <c r="D1996" s="4" t="s">
        <v>4568</v>
      </c>
      <c r="E1996" s="1" t="str">
        <f>_xlfn.XLOOKUP(tblSales[[#This Row],[Customer ID]],tblCustomers[Customer ID],tblCustomers[Customer Name],"⚠ Unknown")</f>
        <v>Walk-in Customer</v>
      </c>
      <c r="F1996" s="4" t="s">
        <v>12</v>
      </c>
      <c r="G1996" s="1" t="str">
        <f>_xlfn.XLOOKUP(tblSales[[#This Row],[Product Code]],tblProducts[Code],tblProducts[Product / Service Name],"⚠ Unknown")</f>
        <v>Bomber Jacket</v>
      </c>
      <c r="H1996" s="1" t="str">
        <f>_xlfn.XLOOKUP(tblSales[[#This Row],[Product Code]],tblProducts[Code],tblProducts[Category],"")</f>
        <v>Apparel &amp; Footwear</v>
      </c>
      <c r="I1996" s="4">
        <v>1</v>
      </c>
      <c r="J1996" s="5">
        <f>_xlfn.XLOOKUP(tblSales[[#This Row],[Product Code]],tblProducts[Code],tblProducts[Selling Price (excl. VAT)],0)</f>
        <v>350000</v>
      </c>
      <c r="K1996" s="5">
        <f>tblSales[[#This Row],[Qty]]*tblSales[[#This Row],[Unit Price]]</f>
        <v>350000</v>
      </c>
      <c r="L1996" s="5">
        <f>ROUND(tblSales[[#This Row],[DPP (excl. VAT)]]*VATEff,0)</f>
        <v>38500</v>
      </c>
      <c r="M1996" s="5">
        <f>tblSales[[#This Row],[DPP (excl. VAT)]]+tblSales[[#This Row],[Output VAT]]</f>
        <v>388500</v>
      </c>
      <c r="N1996" s="5">
        <f>tblSales[[#This Row],[Qty]]*_xlfn.XLOOKUP(tblSales[[#This Row],[Product Code]],tblProducts[Code],tblProducts[Unit Cost],0)</f>
        <v>210000</v>
      </c>
      <c r="O1996" s="4" t="s">
        <v>4866</v>
      </c>
      <c r="P1996" s="4" t="s">
        <v>4861</v>
      </c>
      <c r="Q1996" s="1" t="str">
        <f>_xlfn.XLOOKUP(tblSales[[#This Row],[Channel Code]],tblChannels[Channel Code],tblChannels[Channel Name],"")</f>
        <v>Marketplace</v>
      </c>
      <c r="R1996" s="1">
        <f>MONTH(tblSales[[#This Row],[Date]])</f>
        <v>4</v>
      </c>
    </row>
    <row r="1997" spans="2:18" x14ac:dyDescent="0.35">
      <c r="B1997" s="113">
        <v>46141</v>
      </c>
      <c r="C1997" s="4" t="s">
        <v>5244</v>
      </c>
      <c r="D1997" s="4" t="s">
        <v>4641</v>
      </c>
      <c r="E1997" s="1" t="str">
        <f>_xlfn.XLOOKUP(tblSales[[#This Row],[Customer ID]],tblCustomers[Customer ID],tblCustomers[Customer Name],"⚠ Unknown")</f>
        <v>PT Harmoni Pangan Lestari</v>
      </c>
      <c r="F1997" s="4" t="s">
        <v>11</v>
      </c>
      <c r="G1997" s="1" t="str">
        <f>_xlfn.XLOOKUP(tblSales[[#This Row],[Product Code]],tblProducts[Code],tblProducts[Product / Service Name],"⚠ Unknown")</f>
        <v>Sneakers</v>
      </c>
      <c r="H1997" s="1" t="str">
        <f>_xlfn.XLOOKUP(tblSales[[#This Row],[Product Code]],tblProducts[Code],tblProducts[Category],"")</f>
        <v>Apparel &amp; Footwear</v>
      </c>
      <c r="I1997" s="4">
        <v>8</v>
      </c>
      <c r="J1997" s="5">
        <f>_xlfn.XLOOKUP(tblSales[[#This Row],[Product Code]],tblProducts[Code],tblProducts[Selling Price (excl. VAT)],0)</f>
        <v>250000</v>
      </c>
      <c r="K1997" s="5">
        <f>tblSales[[#This Row],[Qty]]*tblSales[[#This Row],[Unit Price]]</f>
        <v>2000000</v>
      </c>
      <c r="L1997" s="5">
        <f>ROUND(tblSales[[#This Row],[DPP (excl. VAT)]]*VATEff,0)</f>
        <v>220000</v>
      </c>
      <c r="M1997" s="5">
        <f>tblSales[[#This Row],[DPP (excl. VAT)]]+tblSales[[#This Row],[Output VAT]]</f>
        <v>2220000</v>
      </c>
      <c r="N1997" s="5">
        <f>tblSales[[#This Row],[Qty]]*_xlfn.XLOOKUP(tblSales[[#This Row],[Product Code]],tblProducts[Code],tblProducts[Unit Cost],0)</f>
        <v>1240000</v>
      </c>
      <c r="O1997" s="4" t="s">
        <v>4867</v>
      </c>
      <c r="P1997" s="4" t="s">
        <v>4860</v>
      </c>
      <c r="Q1997" s="1" t="str">
        <f>_xlfn.XLOOKUP(tblSales[[#This Row],[Channel Code]],tblChannels[Channel Code],tblChannels[Channel Name],"")</f>
        <v>In-store</v>
      </c>
      <c r="R1997" s="1">
        <f>MONTH(tblSales[[#This Row],[Date]])</f>
        <v>4</v>
      </c>
    </row>
    <row r="1998" spans="2:18" x14ac:dyDescent="0.35">
      <c r="B1998" s="113">
        <v>46141</v>
      </c>
      <c r="C1998" s="4" t="s">
        <v>5245</v>
      </c>
      <c r="D1998" s="4" t="s">
        <v>4568</v>
      </c>
      <c r="E1998" s="1" t="str">
        <f>_xlfn.XLOOKUP(tblSales[[#This Row],[Customer ID]],tblCustomers[Customer ID],tblCustomers[Customer Name],"⚠ Unknown")</f>
        <v>Walk-in Customer</v>
      </c>
      <c r="F1998" s="4" t="s">
        <v>15</v>
      </c>
      <c r="G1998" s="1" t="str">
        <f>_xlfn.XLOOKUP(tblSales[[#This Row],[Product Code]],tblProducts[Code],tblProducts[Product / Service Name],"⚠ Unknown")</f>
        <v>Wireless Earbuds Pro</v>
      </c>
      <c r="H1998" s="1" t="str">
        <f>_xlfn.XLOOKUP(tblSales[[#This Row],[Product Code]],tblProducts[Code],tblProducts[Category],"")</f>
        <v>Bags &amp; Gadgets</v>
      </c>
      <c r="I1998" s="4">
        <v>2</v>
      </c>
      <c r="J1998" s="5">
        <f>_xlfn.XLOOKUP(tblSales[[#This Row],[Product Code]],tblProducts[Code],tblProducts[Selling Price (excl. VAT)],0)</f>
        <v>1250000</v>
      </c>
      <c r="K1998" s="5">
        <f>tblSales[[#This Row],[Qty]]*tblSales[[#This Row],[Unit Price]]</f>
        <v>2500000</v>
      </c>
      <c r="L1998" s="5">
        <f>ROUND(tblSales[[#This Row],[DPP (excl. VAT)]]*VATEff,0)</f>
        <v>275000</v>
      </c>
      <c r="M1998" s="5">
        <f>tblSales[[#This Row],[DPP (excl. VAT)]]+tblSales[[#This Row],[Output VAT]]</f>
        <v>2775000</v>
      </c>
      <c r="N1998" s="5">
        <f>tblSales[[#This Row],[Qty]]*_xlfn.XLOOKUP(tblSales[[#This Row],[Product Code]],tblProducts[Code],tblProducts[Unit Cost],0)</f>
        <v>1640000</v>
      </c>
      <c r="O1998" s="4" t="s">
        <v>4866</v>
      </c>
      <c r="P1998" s="4" t="s">
        <v>4862</v>
      </c>
      <c r="Q1998" s="1" t="str">
        <f>_xlfn.XLOOKUP(tblSales[[#This Row],[Channel Code]],tblChannels[Channel Code],tblChannels[Channel Name],"")</f>
        <v>Website &amp; Social Media</v>
      </c>
      <c r="R1998" s="1">
        <f>MONTH(tblSales[[#This Row],[Date]])</f>
        <v>4</v>
      </c>
    </row>
    <row r="1999" spans="2:18" x14ac:dyDescent="0.35">
      <c r="B1999" s="113">
        <v>46141</v>
      </c>
      <c r="C1999" s="4" t="s">
        <v>5246</v>
      </c>
      <c r="D1999" s="4" t="s">
        <v>4593</v>
      </c>
      <c r="E1999" s="1" t="str">
        <f>_xlfn.XLOOKUP(tblSales[[#This Row],[Customer ID]],tblCustomers[Customer ID],tblCustomers[Customer Name],"⚠ Unknown")</f>
        <v>PT Graha Nusa Persada</v>
      </c>
      <c r="F1999" s="4" t="s">
        <v>6</v>
      </c>
      <c r="G1999" s="1" t="str">
        <f>_xlfn.XLOOKUP(tblSales[[#This Row],[Product Code]],tblProducts[Code],tblProducts[Product / Service Name],"⚠ Unknown")</f>
        <v>Socks &amp; Accessories</v>
      </c>
      <c r="H1999" s="1" t="str">
        <f>_xlfn.XLOOKUP(tblSales[[#This Row],[Product Code]],tblProducts[Code],tblProducts[Category],"")</f>
        <v>Accessories &amp; Basics</v>
      </c>
      <c r="I1999" s="4">
        <v>64</v>
      </c>
      <c r="J1999" s="5">
        <f>_xlfn.XLOOKUP(tblSales[[#This Row],[Product Code]],tblProducts[Code],tblProducts[Selling Price (excl. VAT)],0)</f>
        <v>45000</v>
      </c>
      <c r="K1999" s="5">
        <f>tblSales[[#This Row],[Qty]]*tblSales[[#This Row],[Unit Price]]</f>
        <v>2880000</v>
      </c>
      <c r="L1999" s="5">
        <f>ROUND(tblSales[[#This Row],[DPP (excl. VAT)]]*VATEff,0)</f>
        <v>316800</v>
      </c>
      <c r="M1999" s="5">
        <f>tblSales[[#This Row],[DPP (excl. VAT)]]+tblSales[[#This Row],[Output VAT]]</f>
        <v>3196800</v>
      </c>
      <c r="N1999" s="5">
        <f>tblSales[[#This Row],[Qty]]*_xlfn.XLOOKUP(tblSales[[#This Row],[Product Code]],tblProducts[Code],tblProducts[Unit Cost],0)</f>
        <v>1536000</v>
      </c>
      <c r="O1999" s="4" t="s">
        <v>4867</v>
      </c>
      <c r="P1999" s="4" t="s">
        <v>4860</v>
      </c>
      <c r="Q1999" s="1" t="str">
        <f>_xlfn.XLOOKUP(tblSales[[#This Row],[Channel Code]],tblChannels[Channel Code],tblChannels[Channel Name],"")</f>
        <v>In-store</v>
      </c>
      <c r="R1999" s="1">
        <f>MONTH(tblSales[[#This Row],[Date]])</f>
        <v>4</v>
      </c>
    </row>
    <row r="2000" spans="2:18" x14ac:dyDescent="0.35">
      <c r="B2000" s="113">
        <v>46141</v>
      </c>
      <c r="C2000" s="4" t="s">
        <v>5246</v>
      </c>
      <c r="D2000" s="4" t="s">
        <v>4593</v>
      </c>
      <c r="E2000" s="1" t="str">
        <f>_xlfn.XLOOKUP(tblSales[[#This Row],[Customer ID]],tblCustomers[Customer ID],tblCustomers[Customer Name],"⚠ Unknown")</f>
        <v>PT Graha Nusa Persada</v>
      </c>
      <c r="F2000" s="4" t="s">
        <v>14</v>
      </c>
      <c r="G2000" s="1" t="str">
        <f>_xlfn.XLOOKUP(tblSales[[#This Row],[Product Code]],tblProducts[Code],tblProducts[Product / Service Name],"⚠ Unknown")</f>
        <v>Smartwatch</v>
      </c>
      <c r="H2000" s="1" t="str">
        <f>_xlfn.XLOOKUP(tblSales[[#This Row],[Product Code]],tblProducts[Code],tblProducts[Category],"")</f>
        <v>Bags &amp; Gadgets</v>
      </c>
      <c r="I2000" s="4">
        <v>8</v>
      </c>
      <c r="J2000" s="5">
        <f>_xlfn.XLOOKUP(tblSales[[#This Row],[Product Code]],tblProducts[Code],tblProducts[Selling Price (excl. VAT)],0)</f>
        <v>850000</v>
      </c>
      <c r="K2000" s="5">
        <f>tblSales[[#This Row],[Qty]]*tblSales[[#This Row],[Unit Price]]</f>
        <v>6800000</v>
      </c>
      <c r="L2000" s="5">
        <f>ROUND(tblSales[[#This Row],[DPP (excl. VAT)]]*VATEff,0)</f>
        <v>748000</v>
      </c>
      <c r="M2000" s="5">
        <f>tblSales[[#This Row],[DPP (excl. VAT)]]+tblSales[[#This Row],[Output VAT]]</f>
        <v>7548000</v>
      </c>
      <c r="N2000" s="5">
        <f>tblSales[[#This Row],[Qty]]*_xlfn.XLOOKUP(tblSales[[#This Row],[Product Code]],tblProducts[Code],tblProducts[Unit Cost],0)</f>
        <v>4480000</v>
      </c>
      <c r="O2000" s="4" t="s">
        <v>4867</v>
      </c>
      <c r="P2000" s="4" t="s">
        <v>4860</v>
      </c>
      <c r="Q2000" s="1" t="str">
        <f>_xlfn.XLOOKUP(tblSales[[#This Row],[Channel Code]],tblChannels[Channel Code],tblChannels[Channel Name],"")</f>
        <v>In-store</v>
      </c>
      <c r="R2000" s="1">
        <f>MONTH(tblSales[[#This Row],[Date]])</f>
        <v>4</v>
      </c>
    </row>
    <row r="2001" spans="2:18" x14ac:dyDescent="0.35">
      <c r="B2001" s="113">
        <v>46141</v>
      </c>
      <c r="C2001" s="4" t="s">
        <v>5246</v>
      </c>
      <c r="D2001" s="4" t="s">
        <v>4593</v>
      </c>
      <c r="E2001" s="1" t="str">
        <f>_xlfn.XLOOKUP(tblSales[[#This Row],[Customer ID]],tblCustomers[Customer ID],tblCustomers[Customer Name],"⚠ Unknown")</f>
        <v>PT Graha Nusa Persada</v>
      </c>
      <c r="F2001" s="4" t="s">
        <v>15</v>
      </c>
      <c r="G2001" s="1" t="str">
        <f>_xlfn.XLOOKUP(tblSales[[#This Row],[Product Code]],tblProducts[Code],tblProducts[Product / Service Name],"⚠ Unknown")</f>
        <v>Wireless Earbuds Pro</v>
      </c>
      <c r="H2001" s="1" t="str">
        <f>_xlfn.XLOOKUP(tblSales[[#This Row],[Product Code]],tblProducts[Code],tblProducts[Category],"")</f>
        <v>Bags &amp; Gadgets</v>
      </c>
      <c r="I2001" s="4">
        <v>16</v>
      </c>
      <c r="J2001" s="5">
        <f>_xlfn.XLOOKUP(tblSales[[#This Row],[Product Code]],tblProducts[Code],tblProducts[Selling Price (excl. VAT)],0)</f>
        <v>1250000</v>
      </c>
      <c r="K2001" s="5">
        <f>tblSales[[#This Row],[Qty]]*tblSales[[#This Row],[Unit Price]]</f>
        <v>20000000</v>
      </c>
      <c r="L2001" s="5">
        <f>ROUND(tblSales[[#This Row],[DPP (excl. VAT)]]*VATEff,0)</f>
        <v>2200000</v>
      </c>
      <c r="M2001" s="5">
        <f>tblSales[[#This Row],[DPP (excl. VAT)]]+tblSales[[#This Row],[Output VAT]]</f>
        <v>22200000</v>
      </c>
      <c r="N2001" s="5">
        <f>tblSales[[#This Row],[Qty]]*_xlfn.XLOOKUP(tblSales[[#This Row],[Product Code]],tblProducts[Code],tblProducts[Unit Cost],0)</f>
        <v>13120000</v>
      </c>
      <c r="O2001" s="4" t="s">
        <v>4867</v>
      </c>
      <c r="P2001" s="4" t="s">
        <v>4860</v>
      </c>
      <c r="Q2001" s="1" t="str">
        <f>_xlfn.XLOOKUP(tblSales[[#This Row],[Channel Code]],tblChannels[Channel Code],tblChannels[Channel Name],"")</f>
        <v>In-store</v>
      </c>
      <c r="R2001" s="1">
        <f>MONTH(tblSales[[#This Row],[Date]])</f>
        <v>4</v>
      </c>
    </row>
    <row r="2002" spans="2:18" x14ac:dyDescent="0.35">
      <c r="B2002" s="113">
        <v>46141</v>
      </c>
      <c r="C2002" s="4" t="s">
        <v>5247</v>
      </c>
      <c r="D2002" s="4" t="s">
        <v>4568</v>
      </c>
      <c r="E2002" s="1" t="str">
        <f>_xlfn.XLOOKUP(tblSales[[#This Row],[Customer ID]],tblCustomers[Customer ID],tblCustomers[Customer Name],"⚠ Unknown")</f>
        <v>Walk-in Customer</v>
      </c>
      <c r="F2002" s="4" t="s">
        <v>8</v>
      </c>
      <c r="G2002" s="1" t="str">
        <f>_xlfn.XLOOKUP(tblSales[[#This Row],[Product Code]],tblProducts[Code],tblProducts[Product / Service Name],"⚠ Unknown")</f>
        <v>Casual Shorts</v>
      </c>
      <c r="H2002" s="1" t="str">
        <f>_xlfn.XLOOKUP(tblSales[[#This Row],[Product Code]],tblProducts[Code],tblProducts[Category],"")</f>
        <v>Accessories &amp; Basics</v>
      </c>
      <c r="I2002" s="4">
        <v>7</v>
      </c>
      <c r="J2002" s="5">
        <f>_xlfn.XLOOKUP(tblSales[[#This Row],[Product Code]],tblProducts[Code],tblProducts[Selling Price (excl. VAT)],0)</f>
        <v>85000</v>
      </c>
      <c r="K2002" s="5">
        <f>tblSales[[#This Row],[Qty]]*tblSales[[#This Row],[Unit Price]]</f>
        <v>595000</v>
      </c>
      <c r="L2002" s="5">
        <f>ROUND(tblSales[[#This Row],[DPP (excl. VAT)]]*VATEff,0)</f>
        <v>65450</v>
      </c>
      <c r="M2002" s="5">
        <f>tblSales[[#This Row],[DPP (excl. VAT)]]+tblSales[[#This Row],[Output VAT]]</f>
        <v>660450</v>
      </c>
      <c r="N2002" s="5">
        <f>tblSales[[#This Row],[Qty]]*_xlfn.XLOOKUP(tblSales[[#This Row],[Product Code]],tblProducts[Code],tblProducts[Unit Cost],0)</f>
        <v>350000</v>
      </c>
      <c r="O2002" s="4" t="s">
        <v>4866</v>
      </c>
      <c r="P2002" s="4" t="s">
        <v>4861</v>
      </c>
      <c r="Q2002" s="1" t="str">
        <f>_xlfn.XLOOKUP(tblSales[[#This Row],[Channel Code]],tblChannels[Channel Code],tblChannels[Channel Name],"")</f>
        <v>Marketplace</v>
      </c>
      <c r="R2002" s="1">
        <f>MONTH(tblSales[[#This Row],[Date]])</f>
        <v>4</v>
      </c>
    </row>
    <row r="2003" spans="2:18" x14ac:dyDescent="0.35">
      <c r="B2003" s="113">
        <v>46141</v>
      </c>
      <c r="C2003" s="4" t="s">
        <v>5248</v>
      </c>
      <c r="D2003" s="4" t="s">
        <v>4593</v>
      </c>
      <c r="E2003" s="1" t="str">
        <f>_xlfn.XLOOKUP(tblSales[[#This Row],[Customer ID]],tblCustomers[Customer ID],tblCustomers[Customer Name],"⚠ Unknown")</f>
        <v>PT Graha Nusa Persada</v>
      </c>
      <c r="F2003" s="4" t="s">
        <v>6</v>
      </c>
      <c r="G2003" s="1" t="str">
        <f>_xlfn.XLOOKUP(tblSales[[#This Row],[Product Code]],tblProducts[Code],tblProducts[Product / Service Name],"⚠ Unknown")</f>
        <v>Socks &amp; Accessories</v>
      </c>
      <c r="H2003" s="1" t="str">
        <f>_xlfn.XLOOKUP(tblSales[[#This Row],[Product Code]],tblProducts[Code],tblProducts[Category],"")</f>
        <v>Accessories &amp; Basics</v>
      </c>
      <c r="I2003" s="4">
        <v>80</v>
      </c>
      <c r="J2003" s="5">
        <f>_xlfn.XLOOKUP(tblSales[[#This Row],[Product Code]],tblProducts[Code],tblProducts[Selling Price (excl. VAT)],0)</f>
        <v>45000</v>
      </c>
      <c r="K2003" s="5">
        <f>tblSales[[#This Row],[Qty]]*tblSales[[#This Row],[Unit Price]]</f>
        <v>3600000</v>
      </c>
      <c r="L2003" s="5">
        <f>ROUND(tblSales[[#This Row],[DPP (excl. VAT)]]*VATEff,0)</f>
        <v>396000</v>
      </c>
      <c r="M2003" s="5">
        <f>tblSales[[#This Row],[DPP (excl. VAT)]]+tblSales[[#This Row],[Output VAT]]</f>
        <v>3996000</v>
      </c>
      <c r="N2003" s="5">
        <f>tblSales[[#This Row],[Qty]]*_xlfn.XLOOKUP(tblSales[[#This Row],[Product Code]],tblProducts[Code],tblProducts[Unit Cost],0)</f>
        <v>1920000</v>
      </c>
      <c r="O2003" s="4" t="s">
        <v>4867</v>
      </c>
      <c r="P2003" s="4" t="s">
        <v>4860</v>
      </c>
      <c r="Q2003" s="1" t="str">
        <f>_xlfn.XLOOKUP(tblSales[[#This Row],[Channel Code]],tblChannels[Channel Code],tblChannels[Channel Name],"")</f>
        <v>In-store</v>
      </c>
      <c r="R2003" s="1">
        <f>MONTH(tblSales[[#This Row],[Date]])</f>
        <v>4</v>
      </c>
    </row>
    <row r="2004" spans="2:18" x14ac:dyDescent="0.35">
      <c r="B2004" s="113">
        <v>46141</v>
      </c>
      <c r="C2004" s="4" t="s">
        <v>5249</v>
      </c>
      <c r="D2004" s="4" t="s">
        <v>4578</v>
      </c>
      <c r="E2004" s="1" t="str">
        <f>_xlfn.XLOOKUP(tblSales[[#This Row],[Customer ID]],tblCustomers[Customer ID],tblCustomers[Customer Name],"⚠ Unknown")</f>
        <v>PT Bintang Timur Sejahtera</v>
      </c>
      <c r="F2004" s="4" t="s">
        <v>12</v>
      </c>
      <c r="G2004" s="1" t="str">
        <f>_xlfn.XLOOKUP(tblSales[[#This Row],[Product Code]],tblProducts[Code],tblProducts[Product / Service Name],"⚠ Unknown")</f>
        <v>Bomber Jacket</v>
      </c>
      <c r="H2004" s="1" t="str">
        <f>_xlfn.XLOOKUP(tblSales[[#This Row],[Product Code]],tblProducts[Code],tblProducts[Category],"")</f>
        <v>Apparel &amp; Footwear</v>
      </c>
      <c r="I2004" s="4">
        <v>32</v>
      </c>
      <c r="J2004" s="5">
        <f>_xlfn.XLOOKUP(tblSales[[#This Row],[Product Code]],tblProducts[Code],tblProducts[Selling Price (excl. VAT)],0)</f>
        <v>350000</v>
      </c>
      <c r="K2004" s="5">
        <f>tblSales[[#This Row],[Qty]]*tblSales[[#This Row],[Unit Price]]</f>
        <v>11200000</v>
      </c>
      <c r="L2004" s="5">
        <f>ROUND(tblSales[[#This Row],[DPP (excl. VAT)]]*VATEff,0)</f>
        <v>1232000</v>
      </c>
      <c r="M2004" s="5">
        <f>tblSales[[#This Row],[DPP (excl. VAT)]]+tblSales[[#This Row],[Output VAT]]</f>
        <v>12432000</v>
      </c>
      <c r="N2004" s="5">
        <f>tblSales[[#This Row],[Qty]]*_xlfn.XLOOKUP(tblSales[[#This Row],[Product Code]],tblProducts[Code],tblProducts[Unit Cost],0)</f>
        <v>6720000</v>
      </c>
      <c r="O2004" s="4" t="s">
        <v>4867</v>
      </c>
      <c r="P2004" s="4" t="s">
        <v>4860</v>
      </c>
      <c r="Q2004" s="1" t="str">
        <f>_xlfn.XLOOKUP(tblSales[[#This Row],[Channel Code]],tblChannels[Channel Code],tblChannels[Channel Name],"")</f>
        <v>In-store</v>
      </c>
      <c r="R2004" s="1">
        <f>MONTH(tblSales[[#This Row],[Date]])</f>
        <v>4</v>
      </c>
    </row>
    <row r="2005" spans="2:18" x14ac:dyDescent="0.35">
      <c r="B2005" s="113">
        <v>46141</v>
      </c>
      <c r="C2005" s="4" t="s">
        <v>5250</v>
      </c>
      <c r="D2005" s="4" t="s">
        <v>4568</v>
      </c>
      <c r="E2005" s="1" t="str">
        <f>_xlfn.XLOOKUP(tblSales[[#This Row],[Customer ID]],tblCustomers[Customer ID],tblCustomers[Customer Name],"⚠ Unknown")</f>
        <v>Walk-in Customer</v>
      </c>
      <c r="F2005" s="4" t="s">
        <v>8</v>
      </c>
      <c r="G2005" s="1" t="str">
        <f>_xlfn.XLOOKUP(tblSales[[#This Row],[Product Code]],tblProducts[Code],tblProducts[Product / Service Name],"⚠ Unknown")</f>
        <v>Casual Shorts</v>
      </c>
      <c r="H2005" s="1" t="str">
        <f>_xlfn.XLOOKUP(tblSales[[#This Row],[Product Code]],tblProducts[Code],tblProducts[Category],"")</f>
        <v>Accessories &amp; Basics</v>
      </c>
      <c r="I2005" s="4">
        <v>3</v>
      </c>
      <c r="J2005" s="5">
        <f>_xlfn.XLOOKUP(tblSales[[#This Row],[Product Code]],tblProducts[Code],tblProducts[Selling Price (excl. VAT)],0)</f>
        <v>85000</v>
      </c>
      <c r="K2005" s="5">
        <f>tblSales[[#This Row],[Qty]]*tblSales[[#This Row],[Unit Price]]</f>
        <v>255000</v>
      </c>
      <c r="L2005" s="5">
        <f>ROUND(tblSales[[#This Row],[DPP (excl. VAT)]]*VATEff,0)</f>
        <v>28050</v>
      </c>
      <c r="M2005" s="5">
        <f>tblSales[[#This Row],[DPP (excl. VAT)]]+tblSales[[#This Row],[Output VAT]]</f>
        <v>283050</v>
      </c>
      <c r="N2005" s="5">
        <f>tblSales[[#This Row],[Qty]]*_xlfn.XLOOKUP(tblSales[[#This Row],[Product Code]],tblProducts[Code],tblProducts[Unit Cost],0)</f>
        <v>150000</v>
      </c>
      <c r="O2005" s="4" t="s">
        <v>4866</v>
      </c>
      <c r="P2005" s="4" t="s">
        <v>4861</v>
      </c>
      <c r="Q2005" s="1" t="str">
        <f>_xlfn.XLOOKUP(tblSales[[#This Row],[Channel Code]],tblChannels[Channel Code],tblChannels[Channel Name],"")</f>
        <v>Marketplace</v>
      </c>
      <c r="R2005" s="1">
        <f>MONTH(tblSales[[#This Row],[Date]])</f>
        <v>4</v>
      </c>
    </row>
    <row r="2006" spans="2:18" x14ac:dyDescent="0.35">
      <c r="B2006" s="113">
        <v>46141</v>
      </c>
      <c r="C2006" s="4" t="s">
        <v>5251</v>
      </c>
      <c r="D2006" s="4" t="s">
        <v>4568</v>
      </c>
      <c r="E2006" s="1" t="str">
        <f>_xlfn.XLOOKUP(tblSales[[#This Row],[Customer ID]],tblCustomers[Customer ID],tblCustomers[Customer Name],"⚠ Unknown")</f>
        <v>Walk-in Customer</v>
      </c>
      <c r="F2006" s="4" t="s">
        <v>13</v>
      </c>
      <c r="G2006" s="1" t="str">
        <f>_xlfn.XLOOKUP(tblSales[[#This Row],[Product Code]],tblProducts[Code],tblProducts[Product / Service Name],"⚠ Unknown")</f>
        <v>Backpack</v>
      </c>
      <c r="H2006" s="1" t="str">
        <f>_xlfn.XLOOKUP(tblSales[[#This Row],[Product Code]],tblProducts[Code],tblProducts[Category],"")</f>
        <v>Bags &amp; Gadgets</v>
      </c>
      <c r="I2006" s="4">
        <v>4</v>
      </c>
      <c r="J2006" s="5">
        <f>_xlfn.XLOOKUP(tblSales[[#This Row],[Product Code]],tblProducts[Code],tblProducts[Selling Price (excl. VAT)],0)</f>
        <v>500000</v>
      </c>
      <c r="K2006" s="5">
        <f>tblSales[[#This Row],[Qty]]*tblSales[[#This Row],[Unit Price]]</f>
        <v>2000000</v>
      </c>
      <c r="L2006" s="5">
        <f>ROUND(tblSales[[#This Row],[DPP (excl. VAT)]]*VATEff,0)</f>
        <v>220000</v>
      </c>
      <c r="M2006" s="5">
        <f>tblSales[[#This Row],[DPP (excl. VAT)]]+tblSales[[#This Row],[Output VAT]]</f>
        <v>2220000</v>
      </c>
      <c r="N2006" s="5">
        <f>tblSales[[#This Row],[Qty]]*_xlfn.XLOOKUP(tblSales[[#This Row],[Product Code]],tblProducts[Code],tblProducts[Unit Cost],0)</f>
        <v>1160000</v>
      </c>
      <c r="O2006" s="4" t="s">
        <v>4865</v>
      </c>
      <c r="P2006" s="4" t="s">
        <v>4860</v>
      </c>
      <c r="Q2006" s="1" t="str">
        <f>_xlfn.XLOOKUP(tblSales[[#This Row],[Channel Code]],tblChannels[Channel Code],tblChannels[Channel Name],"")</f>
        <v>In-store</v>
      </c>
      <c r="R2006" s="1">
        <f>MONTH(tblSales[[#This Row],[Date]])</f>
        <v>4</v>
      </c>
    </row>
    <row r="2007" spans="2:18" x14ac:dyDescent="0.35">
      <c r="B2007" s="113">
        <v>46141</v>
      </c>
      <c r="C2007" s="4" t="s">
        <v>5252</v>
      </c>
      <c r="D2007" s="4" t="s">
        <v>4627</v>
      </c>
      <c r="E2007" s="1" t="str">
        <f>_xlfn.XLOOKUP(tblSales[[#This Row],[Customer ID]],tblCustomers[Customer ID],tblCustomers[Customer Name],"⚠ Unknown")</f>
        <v>PT Kencana Wira Usaha</v>
      </c>
      <c r="F2007" s="4" t="s">
        <v>9</v>
      </c>
      <c r="G2007" s="1" t="str">
        <f>_xlfn.XLOOKUP(tblSales[[#This Row],[Product Code]],tblProducts[Code],tblProducts[Product / Service Name],"⚠ Unknown")</f>
        <v>Casual Shirt</v>
      </c>
      <c r="H2007" s="1" t="str">
        <f>_xlfn.XLOOKUP(tblSales[[#This Row],[Product Code]],tblProducts[Code],tblProducts[Category],"")</f>
        <v>Apparel &amp; Footwear</v>
      </c>
      <c r="I2007" s="4">
        <v>8</v>
      </c>
      <c r="J2007" s="5">
        <f>_xlfn.XLOOKUP(tblSales[[#This Row],[Product Code]],tblProducts[Code],tblProducts[Selling Price (excl. VAT)],0)</f>
        <v>120000</v>
      </c>
      <c r="K2007" s="5">
        <f>tblSales[[#This Row],[Qty]]*tblSales[[#This Row],[Unit Price]]</f>
        <v>960000</v>
      </c>
      <c r="L2007" s="5">
        <f>ROUND(tblSales[[#This Row],[DPP (excl. VAT)]]*VATEff,0)</f>
        <v>105600</v>
      </c>
      <c r="M2007" s="5">
        <f>tblSales[[#This Row],[DPP (excl. VAT)]]+tblSales[[#This Row],[Output VAT]]</f>
        <v>1065600</v>
      </c>
      <c r="N2007" s="5">
        <f>tblSales[[#This Row],[Qty]]*_xlfn.XLOOKUP(tblSales[[#This Row],[Product Code]],tblProducts[Code],tblProducts[Unit Cost],0)</f>
        <v>576000</v>
      </c>
      <c r="O2007" s="4" t="s">
        <v>4867</v>
      </c>
      <c r="P2007" s="4" t="s">
        <v>4860</v>
      </c>
      <c r="Q2007" s="1" t="str">
        <f>_xlfn.XLOOKUP(tblSales[[#This Row],[Channel Code]],tblChannels[Channel Code],tblChannels[Channel Name],"")</f>
        <v>In-store</v>
      </c>
      <c r="R2007" s="1">
        <f>MONTH(tblSales[[#This Row],[Date]])</f>
        <v>4</v>
      </c>
    </row>
    <row r="2008" spans="2:18" x14ac:dyDescent="0.35">
      <c r="B2008" s="113">
        <v>46141</v>
      </c>
      <c r="C2008" s="4" t="s">
        <v>5252</v>
      </c>
      <c r="D2008" s="4" t="s">
        <v>4627</v>
      </c>
      <c r="E2008" s="1" t="str">
        <f>_xlfn.XLOOKUP(tblSales[[#This Row],[Customer ID]],tblCustomers[Customer ID],tblCustomers[Customer Name],"⚠ Unknown")</f>
        <v>PT Kencana Wira Usaha</v>
      </c>
      <c r="F2008" s="4" t="s">
        <v>6</v>
      </c>
      <c r="G2008" s="1" t="str">
        <f>_xlfn.XLOOKUP(tblSales[[#This Row],[Product Code]],tblProducts[Code],tblProducts[Product / Service Name],"⚠ Unknown")</f>
        <v>Socks &amp; Accessories</v>
      </c>
      <c r="H2008" s="1" t="str">
        <f>_xlfn.XLOOKUP(tblSales[[#This Row],[Product Code]],tblProducts[Code],tblProducts[Category],"")</f>
        <v>Accessories &amp; Basics</v>
      </c>
      <c r="I2008" s="4">
        <v>88</v>
      </c>
      <c r="J2008" s="5">
        <f>_xlfn.XLOOKUP(tblSales[[#This Row],[Product Code]],tblProducts[Code],tblProducts[Selling Price (excl. VAT)],0)</f>
        <v>45000</v>
      </c>
      <c r="K2008" s="5">
        <f>tblSales[[#This Row],[Qty]]*tblSales[[#This Row],[Unit Price]]</f>
        <v>3960000</v>
      </c>
      <c r="L2008" s="5">
        <f>ROUND(tblSales[[#This Row],[DPP (excl. VAT)]]*VATEff,0)</f>
        <v>435600</v>
      </c>
      <c r="M2008" s="5">
        <f>tblSales[[#This Row],[DPP (excl. VAT)]]+tblSales[[#This Row],[Output VAT]]</f>
        <v>4395600</v>
      </c>
      <c r="N2008" s="5">
        <f>tblSales[[#This Row],[Qty]]*_xlfn.XLOOKUP(tblSales[[#This Row],[Product Code]],tblProducts[Code],tblProducts[Unit Cost],0)</f>
        <v>2112000</v>
      </c>
      <c r="O2008" s="4" t="s">
        <v>4867</v>
      </c>
      <c r="P2008" s="4" t="s">
        <v>4860</v>
      </c>
      <c r="Q2008" s="1" t="str">
        <f>_xlfn.XLOOKUP(tblSales[[#This Row],[Channel Code]],tblChannels[Channel Code],tblChannels[Channel Name],"")</f>
        <v>In-store</v>
      </c>
      <c r="R2008" s="1">
        <f>MONTH(tblSales[[#This Row],[Date]])</f>
        <v>4</v>
      </c>
    </row>
    <row r="2009" spans="2:18" x14ac:dyDescent="0.35">
      <c r="B2009" s="113">
        <v>46142</v>
      </c>
      <c r="C2009" s="4" t="s">
        <v>5253</v>
      </c>
      <c r="D2009" s="4" t="s">
        <v>4568</v>
      </c>
      <c r="E2009" s="1" t="str">
        <f>_xlfn.XLOOKUP(tblSales[[#This Row],[Customer ID]],tblCustomers[Customer ID],tblCustomers[Customer Name],"⚠ Unknown")</f>
        <v>Walk-in Customer</v>
      </c>
      <c r="F2009" s="4" t="s">
        <v>11</v>
      </c>
      <c r="G2009" s="1" t="str">
        <f>_xlfn.XLOOKUP(tblSales[[#This Row],[Product Code]],tblProducts[Code],tblProducts[Product / Service Name],"⚠ Unknown")</f>
        <v>Sneakers</v>
      </c>
      <c r="H2009" s="1" t="str">
        <f>_xlfn.XLOOKUP(tblSales[[#This Row],[Product Code]],tblProducts[Code],tblProducts[Category],"")</f>
        <v>Apparel &amp; Footwear</v>
      </c>
      <c r="I2009" s="4">
        <v>5</v>
      </c>
      <c r="J2009" s="5">
        <f>_xlfn.XLOOKUP(tblSales[[#This Row],[Product Code]],tblProducts[Code],tblProducts[Selling Price (excl. VAT)],0)</f>
        <v>250000</v>
      </c>
      <c r="K2009" s="5">
        <f>tblSales[[#This Row],[Qty]]*tblSales[[#This Row],[Unit Price]]</f>
        <v>1250000</v>
      </c>
      <c r="L2009" s="5">
        <f>ROUND(tblSales[[#This Row],[DPP (excl. VAT)]]*VATEff,0)</f>
        <v>137500</v>
      </c>
      <c r="M2009" s="5">
        <f>tblSales[[#This Row],[DPP (excl. VAT)]]+tblSales[[#This Row],[Output VAT]]</f>
        <v>1387500</v>
      </c>
      <c r="N2009" s="5">
        <f>tblSales[[#This Row],[Qty]]*_xlfn.XLOOKUP(tblSales[[#This Row],[Product Code]],tblProducts[Code],tblProducts[Unit Cost],0)</f>
        <v>775000</v>
      </c>
      <c r="O2009" s="4" t="s">
        <v>4865</v>
      </c>
      <c r="P2009" s="4" t="s">
        <v>4860</v>
      </c>
      <c r="Q2009" s="1" t="str">
        <f>_xlfn.XLOOKUP(tblSales[[#This Row],[Channel Code]],tblChannels[Channel Code],tblChannels[Channel Name],"")</f>
        <v>In-store</v>
      </c>
      <c r="R2009" s="1">
        <f>MONTH(tblSales[[#This Row],[Date]])</f>
        <v>4</v>
      </c>
    </row>
    <row r="2010" spans="2:18" x14ac:dyDescent="0.35">
      <c r="B2010" s="113">
        <v>46142</v>
      </c>
      <c r="C2010" s="4" t="s">
        <v>5254</v>
      </c>
      <c r="D2010" s="4" t="s">
        <v>4568</v>
      </c>
      <c r="E2010" s="1" t="str">
        <f>_xlfn.XLOOKUP(tblSales[[#This Row],[Customer ID]],tblCustomers[Customer ID],tblCustomers[Customer Name],"⚠ Unknown")</f>
        <v>Walk-in Customer</v>
      </c>
      <c r="F2010" s="4" t="s">
        <v>15</v>
      </c>
      <c r="G2010" s="1" t="str">
        <f>_xlfn.XLOOKUP(tblSales[[#This Row],[Product Code]],tblProducts[Code],tblProducts[Product / Service Name],"⚠ Unknown")</f>
        <v>Wireless Earbuds Pro</v>
      </c>
      <c r="H2010" s="1" t="str">
        <f>_xlfn.XLOOKUP(tblSales[[#This Row],[Product Code]],tblProducts[Code],tblProducts[Category],"")</f>
        <v>Bags &amp; Gadgets</v>
      </c>
      <c r="I2010" s="4">
        <v>1</v>
      </c>
      <c r="J2010" s="5">
        <f>_xlfn.XLOOKUP(tblSales[[#This Row],[Product Code]],tblProducts[Code],tblProducts[Selling Price (excl. VAT)],0)</f>
        <v>1250000</v>
      </c>
      <c r="K2010" s="5">
        <f>tblSales[[#This Row],[Qty]]*tblSales[[#This Row],[Unit Price]]</f>
        <v>1250000</v>
      </c>
      <c r="L2010" s="5">
        <f>ROUND(tblSales[[#This Row],[DPP (excl. VAT)]]*VATEff,0)</f>
        <v>137500</v>
      </c>
      <c r="M2010" s="5">
        <f>tblSales[[#This Row],[DPP (excl. VAT)]]+tblSales[[#This Row],[Output VAT]]</f>
        <v>1387500</v>
      </c>
      <c r="N2010" s="5">
        <f>tblSales[[#This Row],[Qty]]*_xlfn.XLOOKUP(tblSales[[#This Row],[Product Code]],tblProducts[Code],tblProducts[Unit Cost],0)</f>
        <v>820000</v>
      </c>
      <c r="O2010" s="4" t="s">
        <v>4865</v>
      </c>
      <c r="P2010" s="4" t="s">
        <v>4860</v>
      </c>
      <c r="Q2010" s="1" t="str">
        <f>_xlfn.XLOOKUP(tblSales[[#This Row],[Channel Code]],tblChannels[Channel Code],tblChannels[Channel Name],"")</f>
        <v>In-store</v>
      </c>
      <c r="R2010" s="1">
        <f>MONTH(tblSales[[#This Row],[Date]])</f>
        <v>4</v>
      </c>
    </row>
    <row r="2011" spans="2:18" x14ac:dyDescent="0.35">
      <c r="B2011" s="113">
        <v>46142</v>
      </c>
      <c r="C2011" s="4" t="s">
        <v>5255</v>
      </c>
      <c r="D2011" s="4" t="s">
        <v>4599</v>
      </c>
      <c r="E2011" s="1" t="str">
        <f>_xlfn.XLOOKUP(tblSales[[#This Row],[Customer ID]],tblCustomers[Customer ID],tblCustomers[Customer Name],"⚠ Unknown")</f>
        <v>PT Samudra Jaya Logistik</v>
      </c>
      <c r="F2011" s="4" t="s">
        <v>11</v>
      </c>
      <c r="G2011" s="1" t="str">
        <f>_xlfn.XLOOKUP(tblSales[[#This Row],[Product Code]],tblProducts[Code],tblProducts[Product / Service Name],"⚠ Unknown")</f>
        <v>Sneakers</v>
      </c>
      <c r="H2011" s="1" t="str">
        <f>_xlfn.XLOOKUP(tblSales[[#This Row],[Product Code]],tblProducts[Code],tblProducts[Category],"")</f>
        <v>Apparel &amp; Footwear</v>
      </c>
      <c r="I2011" s="4">
        <v>16</v>
      </c>
      <c r="J2011" s="5">
        <f>_xlfn.XLOOKUP(tblSales[[#This Row],[Product Code]],tblProducts[Code],tblProducts[Selling Price (excl. VAT)],0)</f>
        <v>250000</v>
      </c>
      <c r="K2011" s="5">
        <f>tblSales[[#This Row],[Qty]]*tblSales[[#This Row],[Unit Price]]</f>
        <v>4000000</v>
      </c>
      <c r="L2011" s="5">
        <f>ROUND(tblSales[[#This Row],[DPP (excl. VAT)]]*VATEff,0)</f>
        <v>440000</v>
      </c>
      <c r="M2011" s="5">
        <f>tblSales[[#This Row],[DPP (excl. VAT)]]+tblSales[[#This Row],[Output VAT]]</f>
        <v>4440000</v>
      </c>
      <c r="N2011" s="5">
        <f>tblSales[[#This Row],[Qty]]*_xlfn.XLOOKUP(tblSales[[#This Row],[Product Code]],tblProducts[Code],tblProducts[Unit Cost],0)</f>
        <v>2480000</v>
      </c>
      <c r="O2011" s="4" t="s">
        <v>4867</v>
      </c>
      <c r="P2011" s="4" t="s">
        <v>4860</v>
      </c>
      <c r="Q2011" s="1" t="str">
        <f>_xlfn.XLOOKUP(tblSales[[#This Row],[Channel Code]],tblChannels[Channel Code],tblChannels[Channel Name],"")</f>
        <v>In-store</v>
      </c>
      <c r="R2011" s="1">
        <f>MONTH(tblSales[[#This Row],[Date]])</f>
        <v>4</v>
      </c>
    </row>
    <row r="2012" spans="2:18" x14ac:dyDescent="0.35">
      <c r="B2012" s="113">
        <v>46142</v>
      </c>
      <c r="C2012" s="4" t="s">
        <v>5256</v>
      </c>
      <c r="D2012" s="4" t="s">
        <v>4568</v>
      </c>
      <c r="E2012" s="1" t="str">
        <f>_xlfn.XLOOKUP(tblSales[[#This Row],[Customer ID]],tblCustomers[Customer ID],tblCustomers[Customer Name],"⚠ Unknown")</f>
        <v>Walk-in Customer</v>
      </c>
      <c r="F2012" s="4" t="s">
        <v>6</v>
      </c>
      <c r="G2012" s="1" t="str">
        <f>_xlfn.XLOOKUP(tblSales[[#This Row],[Product Code]],tblProducts[Code],tblProducts[Product / Service Name],"⚠ Unknown")</f>
        <v>Socks &amp; Accessories</v>
      </c>
      <c r="H2012" s="1" t="str">
        <f>_xlfn.XLOOKUP(tblSales[[#This Row],[Product Code]],tblProducts[Code],tblProducts[Category],"")</f>
        <v>Accessories &amp; Basics</v>
      </c>
      <c r="I2012" s="4">
        <v>10</v>
      </c>
      <c r="J2012" s="5">
        <f>_xlfn.XLOOKUP(tblSales[[#This Row],[Product Code]],tblProducts[Code],tblProducts[Selling Price (excl. VAT)],0)</f>
        <v>45000</v>
      </c>
      <c r="K2012" s="5">
        <f>tblSales[[#This Row],[Qty]]*tblSales[[#This Row],[Unit Price]]</f>
        <v>450000</v>
      </c>
      <c r="L2012" s="5">
        <f>ROUND(tblSales[[#This Row],[DPP (excl. VAT)]]*VATEff,0)</f>
        <v>49500</v>
      </c>
      <c r="M2012" s="5">
        <f>tblSales[[#This Row],[DPP (excl. VAT)]]+tblSales[[#This Row],[Output VAT]]</f>
        <v>499500</v>
      </c>
      <c r="N2012" s="5">
        <f>tblSales[[#This Row],[Qty]]*_xlfn.XLOOKUP(tblSales[[#This Row],[Product Code]],tblProducts[Code],tblProducts[Unit Cost],0)</f>
        <v>240000</v>
      </c>
      <c r="O2012" s="4" t="s">
        <v>4865</v>
      </c>
      <c r="P2012" s="4" t="s">
        <v>4860</v>
      </c>
      <c r="Q2012" s="1" t="str">
        <f>_xlfn.XLOOKUP(tblSales[[#This Row],[Channel Code]],tblChannels[Channel Code],tblChannels[Channel Name],"")</f>
        <v>In-store</v>
      </c>
      <c r="R2012" s="1">
        <f>MONTH(tblSales[[#This Row],[Date]])</f>
        <v>4</v>
      </c>
    </row>
    <row r="2013" spans="2:18" x14ac:dyDescent="0.35">
      <c r="B2013" s="113">
        <v>46142</v>
      </c>
      <c r="C2013" s="4" t="s">
        <v>5257</v>
      </c>
      <c r="D2013" s="4" t="s">
        <v>4568</v>
      </c>
      <c r="E2013" s="1" t="str">
        <f>_xlfn.XLOOKUP(tblSales[[#This Row],[Customer ID]],tblCustomers[Customer ID],tblCustomers[Customer Name],"⚠ Unknown")</f>
        <v>Walk-in Customer</v>
      </c>
      <c r="F2013" s="4" t="s">
        <v>14</v>
      </c>
      <c r="G2013" s="1" t="str">
        <f>_xlfn.XLOOKUP(tblSales[[#This Row],[Product Code]],tblProducts[Code],tblProducts[Product / Service Name],"⚠ Unknown")</f>
        <v>Smartwatch</v>
      </c>
      <c r="H2013" s="1" t="str">
        <f>_xlfn.XLOOKUP(tblSales[[#This Row],[Product Code]],tblProducts[Code],tblProducts[Category],"")</f>
        <v>Bags &amp; Gadgets</v>
      </c>
      <c r="I2013" s="4">
        <v>2</v>
      </c>
      <c r="J2013" s="5">
        <f>_xlfn.XLOOKUP(tblSales[[#This Row],[Product Code]],tblProducts[Code],tblProducts[Selling Price (excl. VAT)],0)</f>
        <v>850000</v>
      </c>
      <c r="K2013" s="5">
        <f>tblSales[[#This Row],[Qty]]*tblSales[[#This Row],[Unit Price]]</f>
        <v>1700000</v>
      </c>
      <c r="L2013" s="5">
        <f>ROUND(tblSales[[#This Row],[DPP (excl. VAT)]]*VATEff,0)</f>
        <v>187000</v>
      </c>
      <c r="M2013" s="5">
        <f>tblSales[[#This Row],[DPP (excl. VAT)]]+tblSales[[#This Row],[Output VAT]]</f>
        <v>1887000</v>
      </c>
      <c r="N2013" s="5">
        <f>tblSales[[#This Row],[Qty]]*_xlfn.XLOOKUP(tblSales[[#This Row],[Product Code]],tblProducts[Code],tblProducts[Unit Cost],0)</f>
        <v>1120000</v>
      </c>
      <c r="O2013" s="4" t="s">
        <v>4866</v>
      </c>
      <c r="P2013" s="4" t="s">
        <v>4861</v>
      </c>
      <c r="Q2013" s="1" t="str">
        <f>_xlfn.XLOOKUP(tblSales[[#This Row],[Channel Code]],tblChannels[Channel Code],tblChannels[Channel Name],"")</f>
        <v>Marketplace</v>
      </c>
      <c r="R2013" s="1">
        <f>MONTH(tblSales[[#This Row],[Date]])</f>
        <v>4</v>
      </c>
    </row>
    <row r="2014" spans="2:18" x14ac:dyDescent="0.35">
      <c r="B2014" s="113">
        <v>46142</v>
      </c>
      <c r="C2014" s="4" t="s">
        <v>5258</v>
      </c>
      <c r="D2014" s="4" t="s">
        <v>4568</v>
      </c>
      <c r="E2014" s="1" t="str">
        <f>_xlfn.XLOOKUP(tblSales[[#This Row],[Customer ID]],tblCustomers[Customer ID],tblCustomers[Customer Name],"⚠ Unknown")</f>
        <v>Walk-in Customer</v>
      </c>
      <c r="F2014" s="4" t="s">
        <v>6</v>
      </c>
      <c r="G2014" s="1" t="str">
        <f>_xlfn.XLOOKUP(tblSales[[#This Row],[Product Code]],tblProducts[Code],tblProducts[Product / Service Name],"⚠ Unknown")</f>
        <v>Socks &amp; Accessories</v>
      </c>
      <c r="H2014" s="1" t="str">
        <f>_xlfn.XLOOKUP(tblSales[[#This Row],[Product Code]],tblProducts[Code],tblProducts[Category],"")</f>
        <v>Accessories &amp; Basics</v>
      </c>
      <c r="I2014" s="4">
        <v>8</v>
      </c>
      <c r="J2014" s="5">
        <f>_xlfn.XLOOKUP(tblSales[[#This Row],[Product Code]],tblProducts[Code],tblProducts[Selling Price (excl. VAT)],0)</f>
        <v>45000</v>
      </c>
      <c r="K2014" s="5">
        <f>tblSales[[#This Row],[Qty]]*tblSales[[#This Row],[Unit Price]]</f>
        <v>360000</v>
      </c>
      <c r="L2014" s="5">
        <f>ROUND(tblSales[[#This Row],[DPP (excl. VAT)]]*VATEff,0)</f>
        <v>39600</v>
      </c>
      <c r="M2014" s="5">
        <f>tblSales[[#This Row],[DPP (excl. VAT)]]+tblSales[[#This Row],[Output VAT]]</f>
        <v>399600</v>
      </c>
      <c r="N2014" s="5">
        <f>tblSales[[#This Row],[Qty]]*_xlfn.XLOOKUP(tblSales[[#This Row],[Product Code]],tblProducts[Code],tblProducts[Unit Cost],0)</f>
        <v>192000</v>
      </c>
      <c r="O2014" s="4" t="s">
        <v>4866</v>
      </c>
      <c r="P2014" s="4" t="s">
        <v>4862</v>
      </c>
      <c r="Q2014" s="1" t="str">
        <f>_xlfn.XLOOKUP(tblSales[[#This Row],[Channel Code]],tblChannels[Channel Code],tblChannels[Channel Name],"")</f>
        <v>Website &amp; Social Media</v>
      </c>
      <c r="R2014" s="1">
        <f>MONTH(tblSales[[#This Row],[Date]])</f>
        <v>4</v>
      </c>
    </row>
    <row r="2015" spans="2:18" x14ac:dyDescent="0.35">
      <c r="B2015" s="113">
        <v>46142</v>
      </c>
      <c r="C2015" s="4" t="s">
        <v>5259</v>
      </c>
      <c r="D2015" s="4" t="s">
        <v>4606</v>
      </c>
      <c r="E2015" s="1" t="str">
        <f>_xlfn.XLOOKUP(tblSales[[#This Row],[Customer ID]],tblCustomers[Customer ID],tblCustomers[Customer Name],"⚠ Unknown")</f>
        <v>PT Arunika Digital Kreatif</v>
      </c>
      <c r="F2015" s="4" t="s">
        <v>15</v>
      </c>
      <c r="G2015" s="1" t="str">
        <f>_xlfn.XLOOKUP(tblSales[[#This Row],[Product Code]],tblProducts[Code],tblProducts[Product / Service Name],"⚠ Unknown")</f>
        <v>Wireless Earbuds Pro</v>
      </c>
      <c r="H2015" s="1" t="str">
        <f>_xlfn.XLOOKUP(tblSales[[#This Row],[Product Code]],tblProducts[Code],tblProducts[Category],"")</f>
        <v>Bags &amp; Gadgets</v>
      </c>
      <c r="I2015" s="4">
        <v>16</v>
      </c>
      <c r="J2015" s="5">
        <f>_xlfn.XLOOKUP(tblSales[[#This Row],[Product Code]],tblProducts[Code],tblProducts[Selling Price (excl. VAT)],0)</f>
        <v>1250000</v>
      </c>
      <c r="K2015" s="5">
        <f>tblSales[[#This Row],[Qty]]*tblSales[[#This Row],[Unit Price]]</f>
        <v>20000000</v>
      </c>
      <c r="L2015" s="5">
        <f>ROUND(tblSales[[#This Row],[DPP (excl. VAT)]]*VATEff,0)</f>
        <v>2200000</v>
      </c>
      <c r="M2015" s="5">
        <f>tblSales[[#This Row],[DPP (excl. VAT)]]+tblSales[[#This Row],[Output VAT]]</f>
        <v>22200000</v>
      </c>
      <c r="N2015" s="5">
        <f>tblSales[[#This Row],[Qty]]*_xlfn.XLOOKUP(tblSales[[#This Row],[Product Code]],tblProducts[Code],tblProducts[Unit Cost],0)</f>
        <v>13120000</v>
      </c>
      <c r="O2015" s="4" t="s">
        <v>4867</v>
      </c>
      <c r="P2015" s="4" t="s">
        <v>4862</v>
      </c>
      <c r="Q2015" s="1" t="str">
        <f>_xlfn.XLOOKUP(tblSales[[#This Row],[Channel Code]],tblChannels[Channel Code],tblChannels[Channel Name],"")</f>
        <v>Website &amp; Social Media</v>
      </c>
      <c r="R2015" s="1">
        <f>MONTH(tblSales[[#This Row],[Date]])</f>
        <v>4</v>
      </c>
    </row>
    <row r="2016" spans="2:18" x14ac:dyDescent="0.35">
      <c r="B2016" s="113">
        <v>46142</v>
      </c>
      <c r="C2016" s="4" t="s">
        <v>5259</v>
      </c>
      <c r="D2016" s="4" t="s">
        <v>4606</v>
      </c>
      <c r="E2016" s="1" t="str">
        <f>_xlfn.XLOOKUP(tblSales[[#This Row],[Customer ID]],tblCustomers[Customer ID],tblCustomers[Customer Name],"⚠ Unknown")</f>
        <v>PT Arunika Digital Kreatif</v>
      </c>
      <c r="F2016" s="4" t="s">
        <v>9</v>
      </c>
      <c r="G2016" s="1" t="str">
        <f>_xlfn.XLOOKUP(tblSales[[#This Row],[Product Code]],tblProducts[Code],tblProducts[Product / Service Name],"⚠ Unknown")</f>
        <v>Casual Shirt</v>
      </c>
      <c r="H2016" s="1" t="str">
        <f>_xlfn.XLOOKUP(tblSales[[#This Row],[Product Code]],tblProducts[Code],tblProducts[Category],"")</f>
        <v>Apparel &amp; Footwear</v>
      </c>
      <c r="I2016" s="4">
        <v>8</v>
      </c>
      <c r="J2016" s="5">
        <f>_xlfn.XLOOKUP(tblSales[[#This Row],[Product Code]],tblProducts[Code],tblProducts[Selling Price (excl. VAT)],0)</f>
        <v>120000</v>
      </c>
      <c r="K2016" s="5">
        <f>tblSales[[#This Row],[Qty]]*tblSales[[#This Row],[Unit Price]]</f>
        <v>960000</v>
      </c>
      <c r="L2016" s="5">
        <f>ROUND(tblSales[[#This Row],[DPP (excl. VAT)]]*VATEff,0)</f>
        <v>105600</v>
      </c>
      <c r="M2016" s="5">
        <f>tblSales[[#This Row],[DPP (excl. VAT)]]+tblSales[[#This Row],[Output VAT]]</f>
        <v>1065600</v>
      </c>
      <c r="N2016" s="5">
        <f>tblSales[[#This Row],[Qty]]*_xlfn.XLOOKUP(tblSales[[#This Row],[Product Code]],tblProducts[Code],tblProducts[Unit Cost],0)</f>
        <v>576000</v>
      </c>
      <c r="O2016" s="4" t="s">
        <v>4867</v>
      </c>
      <c r="P2016" s="4" t="s">
        <v>4862</v>
      </c>
      <c r="Q2016" s="1" t="str">
        <f>_xlfn.XLOOKUP(tblSales[[#This Row],[Channel Code]],tblChannels[Channel Code],tblChannels[Channel Name],"")</f>
        <v>Website &amp; Social Media</v>
      </c>
      <c r="R2016" s="1">
        <f>MONTH(tblSales[[#This Row],[Date]])</f>
        <v>4</v>
      </c>
    </row>
    <row r="2017" spans="2:18" x14ac:dyDescent="0.35">
      <c r="B2017" s="113">
        <v>46142</v>
      </c>
      <c r="C2017" s="4" t="s">
        <v>5260</v>
      </c>
      <c r="D2017" s="4" t="s">
        <v>4568</v>
      </c>
      <c r="E2017" s="1" t="str">
        <f>_xlfn.XLOOKUP(tblSales[[#This Row],[Customer ID]],tblCustomers[Customer ID],tblCustomers[Customer Name],"⚠ Unknown")</f>
        <v>Walk-in Customer</v>
      </c>
      <c r="F2017" s="4" t="s">
        <v>8</v>
      </c>
      <c r="G2017" s="1" t="str">
        <f>_xlfn.XLOOKUP(tblSales[[#This Row],[Product Code]],tblProducts[Code],tblProducts[Product / Service Name],"⚠ Unknown")</f>
        <v>Casual Shorts</v>
      </c>
      <c r="H2017" s="1" t="str">
        <f>_xlfn.XLOOKUP(tblSales[[#This Row],[Product Code]],tblProducts[Code],tblProducts[Category],"")</f>
        <v>Accessories &amp; Basics</v>
      </c>
      <c r="I2017" s="4">
        <v>9</v>
      </c>
      <c r="J2017" s="5">
        <f>_xlfn.XLOOKUP(tblSales[[#This Row],[Product Code]],tblProducts[Code],tblProducts[Selling Price (excl. VAT)],0)</f>
        <v>85000</v>
      </c>
      <c r="K2017" s="5">
        <f>tblSales[[#This Row],[Qty]]*tblSales[[#This Row],[Unit Price]]</f>
        <v>765000</v>
      </c>
      <c r="L2017" s="5">
        <f>ROUND(tblSales[[#This Row],[DPP (excl. VAT)]]*VATEff,0)</f>
        <v>84150</v>
      </c>
      <c r="M2017" s="5">
        <f>tblSales[[#This Row],[DPP (excl. VAT)]]+tblSales[[#This Row],[Output VAT]]</f>
        <v>849150</v>
      </c>
      <c r="N2017" s="5">
        <f>tblSales[[#This Row],[Qty]]*_xlfn.XLOOKUP(tblSales[[#This Row],[Product Code]],tblProducts[Code],tblProducts[Unit Cost],0)</f>
        <v>450000</v>
      </c>
      <c r="O2017" s="4" t="s">
        <v>4865</v>
      </c>
      <c r="P2017" s="4" t="s">
        <v>4860</v>
      </c>
      <c r="Q2017" s="1" t="str">
        <f>_xlfn.XLOOKUP(tblSales[[#This Row],[Channel Code]],tblChannels[Channel Code],tblChannels[Channel Name],"")</f>
        <v>In-store</v>
      </c>
      <c r="R2017" s="1">
        <f>MONTH(tblSales[[#This Row],[Date]])</f>
        <v>4</v>
      </c>
    </row>
    <row r="2018" spans="2:18" x14ac:dyDescent="0.35">
      <c r="B2018" s="113">
        <v>46142</v>
      </c>
      <c r="C2018" s="4" t="s">
        <v>5261</v>
      </c>
      <c r="D2018" s="4" t="s">
        <v>4568</v>
      </c>
      <c r="E2018" s="1" t="str">
        <f>_xlfn.XLOOKUP(tblSales[[#This Row],[Customer ID]],tblCustomers[Customer ID],tblCustomers[Customer Name],"⚠ Unknown")</f>
        <v>Walk-in Customer</v>
      </c>
      <c r="F2018" s="4" t="s">
        <v>9</v>
      </c>
      <c r="G2018" s="1" t="str">
        <f>_xlfn.XLOOKUP(tblSales[[#This Row],[Product Code]],tblProducts[Code],tblProducts[Product / Service Name],"⚠ Unknown")</f>
        <v>Casual Shirt</v>
      </c>
      <c r="H2018" s="1" t="str">
        <f>_xlfn.XLOOKUP(tblSales[[#This Row],[Product Code]],tblProducts[Code],tblProducts[Category],"")</f>
        <v>Apparel &amp; Footwear</v>
      </c>
      <c r="I2018" s="4">
        <v>9</v>
      </c>
      <c r="J2018" s="5">
        <f>_xlfn.XLOOKUP(tblSales[[#This Row],[Product Code]],tblProducts[Code],tblProducts[Selling Price (excl. VAT)],0)</f>
        <v>120000</v>
      </c>
      <c r="K2018" s="5">
        <f>tblSales[[#This Row],[Qty]]*tblSales[[#This Row],[Unit Price]]</f>
        <v>1080000</v>
      </c>
      <c r="L2018" s="5">
        <f>ROUND(tblSales[[#This Row],[DPP (excl. VAT)]]*VATEff,0)</f>
        <v>118800</v>
      </c>
      <c r="M2018" s="5">
        <f>tblSales[[#This Row],[DPP (excl. VAT)]]+tblSales[[#This Row],[Output VAT]]</f>
        <v>1198800</v>
      </c>
      <c r="N2018" s="5">
        <f>tblSales[[#This Row],[Qty]]*_xlfn.XLOOKUP(tblSales[[#This Row],[Product Code]],tblProducts[Code],tblProducts[Unit Cost],0)</f>
        <v>648000</v>
      </c>
      <c r="O2018" s="4" t="s">
        <v>4865</v>
      </c>
      <c r="P2018" s="4" t="s">
        <v>4860</v>
      </c>
      <c r="Q2018" s="1" t="str">
        <f>_xlfn.XLOOKUP(tblSales[[#This Row],[Channel Code]],tblChannels[Channel Code],tblChannels[Channel Name],"")</f>
        <v>In-store</v>
      </c>
      <c r="R2018" s="1">
        <f>MONTH(tblSales[[#This Row],[Date]])</f>
        <v>4</v>
      </c>
    </row>
    <row r="2019" spans="2:18" x14ac:dyDescent="0.35">
      <c r="B2019" s="113">
        <v>46142</v>
      </c>
      <c r="C2019" s="4" t="s">
        <v>5262</v>
      </c>
      <c r="D2019" s="4" t="s">
        <v>4648</v>
      </c>
      <c r="E2019" s="1" t="str">
        <f>_xlfn.XLOOKUP(tblSales[[#This Row],[Customer ID]],tblCustomers[Customer ID],tblCustomers[Customer Name],"⚠ Unknown")</f>
        <v>PT Lintas Benua Niaga</v>
      </c>
      <c r="F2019" s="4" t="s">
        <v>15</v>
      </c>
      <c r="G2019" s="1" t="str">
        <f>_xlfn.XLOOKUP(tblSales[[#This Row],[Product Code]],tblProducts[Code],tblProducts[Product / Service Name],"⚠ Unknown")</f>
        <v>Wireless Earbuds Pro</v>
      </c>
      <c r="H2019" s="1" t="str">
        <f>_xlfn.XLOOKUP(tblSales[[#This Row],[Product Code]],tblProducts[Code],tblProducts[Category],"")</f>
        <v>Bags &amp; Gadgets</v>
      </c>
      <c r="I2019" s="4">
        <v>8</v>
      </c>
      <c r="J2019" s="5">
        <f>_xlfn.XLOOKUP(tblSales[[#This Row],[Product Code]],tblProducts[Code],tblProducts[Selling Price (excl. VAT)],0)</f>
        <v>1250000</v>
      </c>
      <c r="K2019" s="5">
        <f>tblSales[[#This Row],[Qty]]*tblSales[[#This Row],[Unit Price]]</f>
        <v>10000000</v>
      </c>
      <c r="L2019" s="5">
        <f>ROUND(tblSales[[#This Row],[DPP (excl. VAT)]]*VATEff,0)</f>
        <v>1100000</v>
      </c>
      <c r="M2019" s="5">
        <f>tblSales[[#This Row],[DPP (excl. VAT)]]+tblSales[[#This Row],[Output VAT]]</f>
        <v>11100000</v>
      </c>
      <c r="N2019" s="5">
        <f>tblSales[[#This Row],[Qty]]*_xlfn.XLOOKUP(tblSales[[#This Row],[Product Code]],tblProducts[Code],tblProducts[Unit Cost],0)</f>
        <v>6560000</v>
      </c>
      <c r="O2019" s="4" t="s">
        <v>4867</v>
      </c>
      <c r="P2019" s="4" t="s">
        <v>4860</v>
      </c>
      <c r="Q2019" s="1" t="str">
        <f>_xlfn.XLOOKUP(tblSales[[#This Row],[Channel Code]],tblChannels[Channel Code],tblChannels[Channel Name],"")</f>
        <v>In-store</v>
      </c>
      <c r="R2019" s="1">
        <f>MONTH(tblSales[[#This Row],[Date]])</f>
        <v>4</v>
      </c>
    </row>
    <row r="2020" spans="2:18" x14ac:dyDescent="0.35">
      <c r="B2020" s="113">
        <v>46142</v>
      </c>
      <c r="C2020" s="4" t="s">
        <v>5263</v>
      </c>
      <c r="D2020" s="4" t="s">
        <v>4613</v>
      </c>
      <c r="E2020" s="1" t="str">
        <f>_xlfn.XLOOKUP(tblSales[[#This Row],[Customer ID]],tblCustomers[Customer ID],tblCustomers[Customer Name],"⚠ Unknown")</f>
        <v>PT Mega Prima Distribusi</v>
      </c>
      <c r="F2020" s="4" t="s">
        <v>6</v>
      </c>
      <c r="G2020" s="1" t="str">
        <f>_xlfn.XLOOKUP(tblSales[[#This Row],[Product Code]],tblProducts[Code],tblProducts[Product / Service Name],"⚠ Unknown")</f>
        <v>Socks &amp; Accessories</v>
      </c>
      <c r="H2020" s="1" t="str">
        <f>_xlfn.XLOOKUP(tblSales[[#This Row],[Product Code]],tblProducts[Code],tblProducts[Category],"")</f>
        <v>Accessories &amp; Basics</v>
      </c>
      <c r="I2020" s="4">
        <v>96</v>
      </c>
      <c r="J2020" s="5">
        <f>_xlfn.XLOOKUP(tblSales[[#This Row],[Product Code]],tblProducts[Code],tblProducts[Selling Price (excl. VAT)],0)</f>
        <v>45000</v>
      </c>
      <c r="K2020" s="5">
        <f>tblSales[[#This Row],[Qty]]*tblSales[[#This Row],[Unit Price]]</f>
        <v>4320000</v>
      </c>
      <c r="L2020" s="5">
        <f>ROUND(tblSales[[#This Row],[DPP (excl. VAT)]]*VATEff,0)</f>
        <v>475200</v>
      </c>
      <c r="M2020" s="5">
        <f>tblSales[[#This Row],[DPP (excl. VAT)]]+tblSales[[#This Row],[Output VAT]]</f>
        <v>4795200</v>
      </c>
      <c r="N2020" s="5">
        <f>tblSales[[#This Row],[Qty]]*_xlfn.XLOOKUP(tblSales[[#This Row],[Product Code]],tblProducts[Code],tblProducts[Unit Cost],0)</f>
        <v>2304000</v>
      </c>
      <c r="O2020" s="4" t="s">
        <v>4867</v>
      </c>
      <c r="P2020" s="4" t="s">
        <v>4860</v>
      </c>
      <c r="Q2020" s="1" t="str">
        <f>_xlfn.XLOOKUP(tblSales[[#This Row],[Channel Code]],tblChannels[Channel Code],tblChannels[Channel Name],"")</f>
        <v>In-store</v>
      </c>
      <c r="R2020" s="1">
        <f>MONTH(tblSales[[#This Row],[Date]])</f>
        <v>4</v>
      </c>
    </row>
    <row r="2021" spans="2:18" x14ac:dyDescent="0.35">
      <c r="B2021" s="113">
        <v>46143</v>
      </c>
      <c r="C2021" s="4" t="s">
        <v>1327</v>
      </c>
      <c r="D2021" s="4" t="s">
        <v>4568</v>
      </c>
      <c r="E2021" s="1" t="str">
        <f>_xlfn.XLOOKUP(tblSales[[#This Row],[Customer ID]],tblCustomers[Customer ID],tblCustomers[Customer Name],"⚠ Unknown")</f>
        <v>Walk-in Customer</v>
      </c>
      <c r="F2021" s="4" t="s">
        <v>6</v>
      </c>
      <c r="G2021" s="1" t="str">
        <f>_xlfn.XLOOKUP(tblSales[[#This Row],[Product Code]],tblProducts[Code],tblProducts[Product / Service Name],"⚠ Unknown")</f>
        <v>Socks &amp; Accessories</v>
      </c>
      <c r="H2021" s="1" t="str">
        <f>_xlfn.XLOOKUP(tblSales[[#This Row],[Product Code]],tblProducts[Code],tblProducts[Category],"")</f>
        <v>Accessories &amp; Basics</v>
      </c>
      <c r="I2021" s="4">
        <v>2</v>
      </c>
      <c r="J2021" s="5">
        <f>_xlfn.XLOOKUP(tblSales[[#This Row],[Product Code]],tblProducts[Code],tblProducts[Selling Price (excl. VAT)],0)</f>
        <v>45000</v>
      </c>
      <c r="K2021" s="5">
        <f>tblSales[[#This Row],[Qty]]*tblSales[[#This Row],[Unit Price]]</f>
        <v>90000</v>
      </c>
      <c r="L2021" s="5">
        <f>ROUND(tblSales[[#This Row],[DPP (excl. VAT)]]*VATEff,0)</f>
        <v>9900</v>
      </c>
      <c r="M2021" s="5">
        <f>tblSales[[#This Row],[DPP (excl. VAT)]]+tblSales[[#This Row],[Output VAT]]</f>
        <v>99900</v>
      </c>
      <c r="N2021" s="5">
        <f>tblSales[[#This Row],[Qty]]*_xlfn.XLOOKUP(tblSales[[#This Row],[Product Code]],tblProducts[Code],tblProducts[Unit Cost],0)</f>
        <v>48000</v>
      </c>
      <c r="O2021" s="4" t="s">
        <v>4866</v>
      </c>
      <c r="P2021" s="4" t="s">
        <v>4861</v>
      </c>
      <c r="Q2021" s="1" t="str">
        <f>_xlfn.XLOOKUP(tblSales[[#This Row],[Channel Code]],tblChannels[Channel Code],tblChannels[Channel Name],"")</f>
        <v>Marketplace</v>
      </c>
      <c r="R2021" s="1">
        <f>MONTH(tblSales[[#This Row],[Date]])</f>
        <v>5</v>
      </c>
    </row>
    <row r="2022" spans="2:18" x14ac:dyDescent="0.35">
      <c r="B2022" s="113">
        <v>46143</v>
      </c>
      <c r="C2022" s="4" t="s">
        <v>1327</v>
      </c>
      <c r="D2022" s="4" t="s">
        <v>4568</v>
      </c>
      <c r="E2022" s="1" t="str">
        <f>_xlfn.XLOOKUP(tblSales[[#This Row],[Customer ID]],tblCustomers[Customer ID],tblCustomers[Customer Name],"⚠ Unknown")</f>
        <v>Walk-in Customer</v>
      </c>
      <c r="F2022" s="4" t="s">
        <v>8</v>
      </c>
      <c r="G2022" s="1" t="str">
        <f>_xlfn.XLOOKUP(tblSales[[#This Row],[Product Code]],tblProducts[Code],tblProducts[Product / Service Name],"⚠ Unknown")</f>
        <v>Casual Shorts</v>
      </c>
      <c r="H2022" s="1" t="str">
        <f>_xlfn.XLOOKUP(tblSales[[#This Row],[Product Code]],tblProducts[Code],tblProducts[Category],"")</f>
        <v>Accessories &amp; Basics</v>
      </c>
      <c r="I2022" s="4">
        <v>1</v>
      </c>
      <c r="J2022" s="5">
        <f>_xlfn.XLOOKUP(tblSales[[#This Row],[Product Code]],tblProducts[Code],tblProducts[Selling Price (excl. VAT)],0)</f>
        <v>85000</v>
      </c>
      <c r="K2022" s="5">
        <f>tblSales[[#This Row],[Qty]]*tblSales[[#This Row],[Unit Price]]</f>
        <v>85000</v>
      </c>
      <c r="L2022" s="5">
        <f>ROUND(tblSales[[#This Row],[DPP (excl. VAT)]]*VATEff,0)</f>
        <v>9350</v>
      </c>
      <c r="M2022" s="5">
        <f>tblSales[[#This Row],[DPP (excl. VAT)]]+tblSales[[#This Row],[Output VAT]]</f>
        <v>94350</v>
      </c>
      <c r="N2022" s="5">
        <f>tblSales[[#This Row],[Qty]]*_xlfn.XLOOKUP(tblSales[[#This Row],[Product Code]],tblProducts[Code],tblProducts[Unit Cost],0)</f>
        <v>50000</v>
      </c>
      <c r="O2022" s="4" t="s">
        <v>4866</v>
      </c>
      <c r="P2022" s="4" t="s">
        <v>4861</v>
      </c>
      <c r="Q2022" s="1" t="str">
        <f>_xlfn.XLOOKUP(tblSales[[#This Row],[Channel Code]],tblChannels[Channel Code],tblChannels[Channel Name],"")</f>
        <v>Marketplace</v>
      </c>
      <c r="R2022" s="1">
        <f>MONTH(tblSales[[#This Row],[Date]])</f>
        <v>5</v>
      </c>
    </row>
    <row r="2023" spans="2:18" x14ac:dyDescent="0.35">
      <c r="B2023" s="113">
        <v>46143</v>
      </c>
      <c r="C2023" s="4" t="s">
        <v>1328</v>
      </c>
      <c r="D2023" s="4" t="s">
        <v>4568</v>
      </c>
      <c r="E2023" s="1" t="str">
        <f>_xlfn.XLOOKUP(tblSales[[#This Row],[Customer ID]],tblCustomers[Customer ID],tblCustomers[Customer Name],"⚠ Unknown")</f>
        <v>Walk-in Customer</v>
      </c>
      <c r="F2023" s="4" t="s">
        <v>7</v>
      </c>
      <c r="G2023" s="1" t="str">
        <f>_xlfn.XLOOKUP(tblSales[[#This Row],[Product Code]],tblProducts[Code],tblProducts[Product / Service Name],"⚠ Unknown")</f>
        <v>Premium Basic T-shirt</v>
      </c>
      <c r="H2023" s="1" t="str">
        <f>_xlfn.XLOOKUP(tblSales[[#This Row],[Product Code]],tblProducts[Code],tblProducts[Category],"")</f>
        <v>Accessories &amp; Basics</v>
      </c>
      <c r="I2023" s="4">
        <v>1</v>
      </c>
      <c r="J2023" s="5">
        <f>_xlfn.XLOOKUP(tblSales[[#This Row],[Product Code]],tblProducts[Code],tblProducts[Selling Price (excl. VAT)],0)</f>
        <v>65000</v>
      </c>
      <c r="K2023" s="5">
        <f>tblSales[[#This Row],[Qty]]*tblSales[[#This Row],[Unit Price]]</f>
        <v>65000</v>
      </c>
      <c r="L2023" s="5">
        <f>ROUND(tblSales[[#This Row],[DPP (excl. VAT)]]*VATEff,0)</f>
        <v>7150</v>
      </c>
      <c r="M2023" s="5">
        <f>tblSales[[#This Row],[DPP (excl. VAT)]]+tblSales[[#This Row],[Output VAT]]</f>
        <v>72150</v>
      </c>
      <c r="N2023" s="5">
        <f>tblSales[[#This Row],[Qty]]*_xlfn.XLOOKUP(tblSales[[#This Row],[Product Code]],tblProducts[Code],tblProducts[Unit Cost],0)</f>
        <v>37000</v>
      </c>
      <c r="O2023" s="4" t="s">
        <v>4866</v>
      </c>
      <c r="P2023" s="4" t="s">
        <v>4861</v>
      </c>
      <c r="Q2023" s="1" t="str">
        <f>_xlfn.XLOOKUP(tblSales[[#This Row],[Channel Code]],tblChannels[Channel Code],tblChannels[Channel Name],"")</f>
        <v>Marketplace</v>
      </c>
      <c r="R2023" s="1">
        <f>MONTH(tblSales[[#This Row],[Date]])</f>
        <v>5</v>
      </c>
    </row>
    <row r="2024" spans="2:18" x14ac:dyDescent="0.35">
      <c r="B2024" s="113">
        <v>46143</v>
      </c>
      <c r="C2024" s="4" t="s">
        <v>1329</v>
      </c>
      <c r="D2024" s="4" t="s">
        <v>4568</v>
      </c>
      <c r="E2024" s="1" t="str">
        <f>_xlfn.XLOOKUP(tblSales[[#This Row],[Customer ID]],tblCustomers[Customer ID],tblCustomers[Customer Name],"⚠ Unknown")</f>
        <v>Walk-in Customer</v>
      </c>
      <c r="F2024" s="4" t="s">
        <v>6</v>
      </c>
      <c r="G2024" s="1" t="str">
        <f>_xlfn.XLOOKUP(tblSales[[#This Row],[Product Code]],tblProducts[Code],tblProducts[Product / Service Name],"⚠ Unknown")</f>
        <v>Socks &amp; Accessories</v>
      </c>
      <c r="H2024" s="1" t="str">
        <f>_xlfn.XLOOKUP(tblSales[[#This Row],[Product Code]],tblProducts[Code],tblProducts[Category],"")</f>
        <v>Accessories &amp; Basics</v>
      </c>
      <c r="I2024" s="4">
        <v>7</v>
      </c>
      <c r="J2024" s="5">
        <f>_xlfn.XLOOKUP(tblSales[[#This Row],[Product Code]],tblProducts[Code],tblProducts[Selling Price (excl. VAT)],0)</f>
        <v>45000</v>
      </c>
      <c r="K2024" s="5">
        <f>tblSales[[#This Row],[Qty]]*tblSales[[#This Row],[Unit Price]]</f>
        <v>315000</v>
      </c>
      <c r="L2024" s="5">
        <f>ROUND(tblSales[[#This Row],[DPP (excl. VAT)]]*VATEff,0)</f>
        <v>34650</v>
      </c>
      <c r="M2024" s="5">
        <f>tblSales[[#This Row],[DPP (excl. VAT)]]+tblSales[[#This Row],[Output VAT]]</f>
        <v>349650</v>
      </c>
      <c r="N2024" s="5">
        <f>tblSales[[#This Row],[Qty]]*_xlfn.XLOOKUP(tblSales[[#This Row],[Product Code]],tblProducts[Code],tblProducts[Unit Cost],0)</f>
        <v>168000</v>
      </c>
      <c r="O2024" s="4" t="s">
        <v>4866</v>
      </c>
      <c r="P2024" s="4" t="s">
        <v>4862</v>
      </c>
      <c r="Q2024" s="1" t="str">
        <f>_xlfn.XLOOKUP(tblSales[[#This Row],[Channel Code]],tblChannels[Channel Code],tblChannels[Channel Name],"")</f>
        <v>Website &amp; Social Media</v>
      </c>
      <c r="R2024" s="1">
        <f>MONTH(tblSales[[#This Row],[Date]])</f>
        <v>5</v>
      </c>
    </row>
    <row r="2025" spans="2:18" x14ac:dyDescent="0.35">
      <c r="B2025" s="113">
        <v>46143</v>
      </c>
      <c r="C2025" s="4" t="s">
        <v>1330</v>
      </c>
      <c r="D2025" s="4" t="s">
        <v>4568</v>
      </c>
      <c r="E2025" s="1" t="str">
        <f>_xlfn.XLOOKUP(tblSales[[#This Row],[Customer ID]],tblCustomers[Customer ID],tblCustomers[Customer Name],"⚠ Unknown")</f>
        <v>Walk-in Customer</v>
      </c>
      <c r="F2025" s="4" t="s">
        <v>6</v>
      </c>
      <c r="G2025" s="1" t="str">
        <f>_xlfn.XLOOKUP(tblSales[[#This Row],[Product Code]],tblProducts[Code],tblProducts[Product / Service Name],"⚠ Unknown")</f>
        <v>Socks &amp; Accessories</v>
      </c>
      <c r="H2025" s="1" t="str">
        <f>_xlfn.XLOOKUP(tblSales[[#This Row],[Product Code]],tblProducts[Code],tblProducts[Category],"")</f>
        <v>Accessories &amp; Basics</v>
      </c>
      <c r="I2025" s="4">
        <v>11</v>
      </c>
      <c r="J2025" s="5">
        <f>_xlfn.XLOOKUP(tblSales[[#This Row],[Product Code]],tblProducts[Code],tblProducts[Selling Price (excl. VAT)],0)</f>
        <v>45000</v>
      </c>
      <c r="K2025" s="5">
        <f>tblSales[[#This Row],[Qty]]*tblSales[[#This Row],[Unit Price]]</f>
        <v>495000</v>
      </c>
      <c r="L2025" s="5">
        <f>ROUND(tblSales[[#This Row],[DPP (excl. VAT)]]*VATEff,0)</f>
        <v>54450</v>
      </c>
      <c r="M2025" s="5">
        <f>tblSales[[#This Row],[DPP (excl. VAT)]]+tblSales[[#This Row],[Output VAT]]</f>
        <v>549450</v>
      </c>
      <c r="N2025" s="5">
        <f>tblSales[[#This Row],[Qty]]*_xlfn.XLOOKUP(tblSales[[#This Row],[Product Code]],tblProducts[Code],tblProducts[Unit Cost],0)</f>
        <v>264000</v>
      </c>
      <c r="O2025" s="4" t="s">
        <v>4866</v>
      </c>
      <c r="P2025" s="4" t="s">
        <v>4860</v>
      </c>
      <c r="Q2025" s="1" t="str">
        <f>_xlfn.XLOOKUP(tblSales[[#This Row],[Channel Code]],tblChannels[Channel Code],tblChannels[Channel Name],"")</f>
        <v>In-store</v>
      </c>
      <c r="R2025" s="1">
        <f>MONTH(tblSales[[#This Row],[Date]])</f>
        <v>5</v>
      </c>
    </row>
    <row r="2026" spans="2:18" x14ac:dyDescent="0.35">
      <c r="B2026" s="113">
        <v>46143</v>
      </c>
      <c r="C2026" s="4" t="s">
        <v>1331</v>
      </c>
      <c r="D2026" s="4" t="s">
        <v>4572</v>
      </c>
      <c r="E2026" s="1" t="str">
        <f>_xlfn.XLOOKUP(tblSales[[#This Row],[Customer ID]],tblCustomers[Customer ID],tblCustomers[Customer Name],"⚠ Unknown")</f>
        <v>PT Cahaya Abadi Makmur</v>
      </c>
      <c r="F2026" s="4" t="s">
        <v>10</v>
      </c>
      <c r="G2026" s="1" t="str">
        <f>_xlfn.XLOOKUP(tblSales[[#This Row],[Product Code]],tblProducts[Code],tblProducts[Product / Service Name],"⚠ Unknown")</f>
        <v>Chino Pants</v>
      </c>
      <c r="H2026" s="1" t="str">
        <f>_xlfn.XLOOKUP(tblSales[[#This Row],[Product Code]],tblProducts[Code],tblProducts[Category],"")</f>
        <v>Apparel &amp; Footwear</v>
      </c>
      <c r="I2026" s="4">
        <v>72</v>
      </c>
      <c r="J2026" s="5">
        <f>_xlfn.XLOOKUP(tblSales[[#This Row],[Product Code]],tblProducts[Code],tblProducts[Selling Price (excl. VAT)],0)</f>
        <v>150000</v>
      </c>
      <c r="K2026" s="5">
        <f>tblSales[[#This Row],[Qty]]*tblSales[[#This Row],[Unit Price]]</f>
        <v>10800000</v>
      </c>
      <c r="L2026" s="5">
        <f>ROUND(tblSales[[#This Row],[DPP (excl. VAT)]]*VATEff,0)</f>
        <v>1188000</v>
      </c>
      <c r="M2026" s="5">
        <f>tblSales[[#This Row],[DPP (excl. VAT)]]+tblSales[[#This Row],[Output VAT]]</f>
        <v>11988000</v>
      </c>
      <c r="N2026" s="5">
        <f>tblSales[[#This Row],[Qty]]*_xlfn.XLOOKUP(tblSales[[#This Row],[Product Code]],tblProducts[Code],tblProducts[Unit Cost],0)</f>
        <v>6336000</v>
      </c>
      <c r="O2026" s="4" t="s">
        <v>4867</v>
      </c>
      <c r="P2026" s="4" t="s">
        <v>4860</v>
      </c>
      <c r="Q2026" s="1" t="str">
        <f>_xlfn.XLOOKUP(tblSales[[#This Row],[Channel Code]],tblChannels[Channel Code],tblChannels[Channel Name],"")</f>
        <v>In-store</v>
      </c>
      <c r="R2026" s="1">
        <f>MONTH(tblSales[[#This Row],[Date]])</f>
        <v>5</v>
      </c>
    </row>
    <row r="2027" spans="2:18" x14ac:dyDescent="0.35">
      <c r="B2027" s="113">
        <v>46143</v>
      </c>
      <c r="C2027" s="4" t="s">
        <v>1331</v>
      </c>
      <c r="D2027" s="4" t="s">
        <v>4572</v>
      </c>
      <c r="E2027" s="1" t="str">
        <f>_xlfn.XLOOKUP(tblSales[[#This Row],[Customer ID]],tblCustomers[Customer ID],tblCustomers[Customer Name],"⚠ Unknown")</f>
        <v>PT Cahaya Abadi Makmur</v>
      </c>
      <c r="F2027" s="4" t="s">
        <v>15</v>
      </c>
      <c r="G2027" s="1" t="str">
        <f>_xlfn.XLOOKUP(tblSales[[#This Row],[Product Code]],tblProducts[Code],tblProducts[Product / Service Name],"⚠ Unknown")</f>
        <v>Wireless Earbuds Pro</v>
      </c>
      <c r="H2027" s="1" t="str">
        <f>_xlfn.XLOOKUP(tblSales[[#This Row],[Product Code]],tblProducts[Code],tblProducts[Category],"")</f>
        <v>Bags &amp; Gadgets</v>
      </c>
      <c r="I2027" s="4">
        <v>8</v>
      </c>
      <c r="J2027" s="5">
        <f>_xlfn.XLOOKUP(tblSales[[#This Row],[Product Code]],tblProducts[Code],tblProducts[Selling Price (excl. VAT)],0)</f>
        <v>1250000</v>
      </c>
      <c r="K2027" s="5">
        <f>tblSales[[#This Row],[Qty]]*tblSales[[#This Row],[Unit Price]]</f>
        <v>10000000</v>
      </c>
      <c r="L2027" s="5">
        <f>ROUND(tblSales[[#This Row],[DPP (excl. VAT)]]*VATEff,0)</f>
        <v>1100000</v>
      </c>
      <c r="M2027" s="5">
        <f>tblSales[[#This Row],[DPP (excl. VAT)]]+tblSales[[#This Row],[Output VAT]]</f>
        <v>11100000</v>
      </c>
      <c r="N2027" s="5">
        <f>tblSales[[#This Row],[Qty]]*_xlfn.XLOOKUP(tblSales[[#This Row],[Product Code]],tblProducts[Code],tblProducts[Unit Cost],0)</f>
        <v>6560000</v>
      </c>
      <c r="O2027" s="4" t="s">
        <v>4867</v>
      </c>
      <c r="P2027" s="4" t="s">
        <v>4860</v>
      </c>
      <c r="Q2027" s="1" t="str">
        <f>_xlfn.XLOOKUP(tblSales[[#This Row],[Channel Code]],tblChannels[Channel Code],tblChannels[Channel Name],"")</f>
        <v>In-store</v>
      </c>
      <c r="R2027" s="1">
        <f>MONTH(tblSales[[#This Row],[Date]])</f>
        <v>5</v>
      </c>
    </row>
    <row r="2028" spans="2:18" x14ac:dyDescent="0.35">
      <c r="B2028" s="113">
        <v>46143</v>
      </c>
      <c r="C2028" s="4" t="s">
        <v>1332</v>
      </c>
      <c r="D2028" s="4" t="s">
        <v>4568</v>
      </c>
      <c r="E2028" s="1" t="str">
        <f>_xlfn.XLOOKUP(tblSales[[#This Row],[Customer ID]],tblCustomers[Customer ID],tblCustomers[Customer Name],"⚠ Unknown")</f>
        <v>Walk-in Customer</v>
      </c>
      <c r="F2028" s="4" t="s">
        <v>8</v>
      </c>
      <c r="G2028" s="1" t="str">
        <f>_xlfn.XLOOKUP(tblSales[[#This Row],[Product Code]],tblProducts[Code],tblProducts[Product / Service Name],"⚠ Unknown")</f>
        <v>Casual Shorts</v>
      </c>
      <c r="H2028" s="1" t="str">
        <f>_xlfn.XLOOKUP(tblSales[[#This Row],[Product Code]],tblProducts[Code],tblProducts[Category],"")</f>
        <v>Accessories &amp; Basics</v>
      </c>
      <c r="I2028" s="4">
        <v>7</v>
      </c>
      <c r="J2028" s="5">
        <f>_xlfn.XLOOKUP(tblSales[[#This Row],[Product Code]],tblProducts[Code],tblProducts[Selling Price (excl. VAT)],0)</f>
        <v>85000</v>
      </c>
      <c r="K2028" s="5">
        <f>tblSales[[#This Row],[Qty]]*tblSales[[#This Row],[Unit Price]]</f>
        <v>595000</v>
      </c>
      <c r="L2028" s="5">
        <f>ROUND(tblSales[[#This Row],[DPP (excl. VAT)]]*VATEff,0)</f>
        <v>65450</v>
      </c>
      <c r="M2028" s="5">
        <f>tblSales[[#This Row],[DPP (excl. VAT)]]+tblSales[[#This Row],[Output VAT]]</f>
        <v>660450</v>
      </c>
      <c r="N2028" s="5">
        <f>tblSales[[#This Row],[Qty]]*_xlfn.XLOOKUP(tblSales[[#This Row],[Product Code]],tblProducts[Code],tblProducts[Unit Cost],0)</f>
        <v>350000</v>
      </c>
      <c r="O2028" s="4" t="s">
        <v>4866</v>
      </c>
      <c r="P2028" s="4" t="s">
        <v>4861</v>
      </c>
      <c r="Q2028" s="1" t="str">
        <f>_xlfn.XLOOKUP(tblSales[[#This Row],[Channel Code]],tblChannels[Channel Code],tblChannels[Channel Name],"")</f>
        <v>Marketplace</v>
      </c>
      <c r="R2028" s="1">
        <f>MONTH(tblSales[[#This Row],[Date]])</f>
        <v>5</v>
      </c>
    </row>
    <row r="2029" spans="2:18" x14ac:dyDescent="0.35">
      <c r="B2029" s="113">
        <v>46143</v>
      </c>
      <c r="C2029" s="4" t="s">
        <v>1333</v>
      </c>
      <c r="D2029" s="4" t="s">
        <v>4568</v>
      </c>
      <c r="E2029" s="1" t="str">
        <f>_xlfn.XLOOKUP(tblSales[[#This Row],[Customer ID]],tblCustomers[Customer ID],tblCustomers[Customer Name],"⚠ Unknown")</f>
        <v>Walk-in Customer</v>
      </c>
      <c r="F2029" s="4" t="s">
        <v>6</v>
      </c>
      <c r="G2029" s="1" t="str">
        <f>_xlfn.XLOOKUP(tblSales[[#This Row],[Product Code]],tblProducts[Code],tblProducts[Product / Service Name],"⚠ Unknown")</f>
        <v>Socks &amp; Accessories</v>
      </c>
      <c r="H2029" s="1" t="str">
        <f>_xlfn.XLOOKUP(tblSales[[#This Row],[Product Code]],tblProducts[Code],tblProducts[Category],"")</f>
        <v>Accessories &amp; Basics</v>
      </c>
      <c r="I2029" s="4">
        <v>11</v>
      </c>
      <c r="J2029" s="5">
        <f>_xlfn.XLOOKUP(tblSales[[#This Row],[Product Code]],tblProducts[Code],tblProducts[Selling Price (excl. VAT)],0)</f>
        <v>45000</v>
      </c>
      <c r="K2029" s="5">
        <f>tblSales[[#This Row],[Qty]]*tblSales[[#This Row],[Unit Price]]</f>
        <v>495000</v>
      </c>
      <c r="L2029" s="5">
        <f>ROUND(tblSales[[#This Row],[DPP (excl. VAT)]]*VATEff,0)</f>
        <v>54450</v>
      </c>
      <c r="M2029" s="5">
        <f>tblSales[[#This Row],[DPP (excl. VAT)]]+tblSales[[#This Row],[Output VAT]]</f>
        <v>549450</v>
      </c>
      <c r="N2029" s="5">
        <f>tblSales[[#This Row],[Qty]]*_xlfn.XLOOKUP(tblSales[[#This Row],[Product Code]],tblProducts[Code],tblProducts[Unit Cost],0)</f>
        <v>264000</v>
      </c>
      <c r="O2029" s="4" t="s">
        <v>4866</v>
      </c>
      <c r="P2029" s="4" t="s">
        <v>4861</v>
      </c>
      <c r="Q2029" s="1" t="str">
        <f>_xlfn.XLOOKUP(tblSales[[#This Row],[Channel Code]],tblChannels[Channel Code],tblChannels[Channel Name],"")</f>
        <v>Marketplace</v>
      </c>
      <c r="R2029" s="1">
        <f>MONTH(tblSales[[#This Row],[Date]])</f>
        <v>5</v>
      </c>
    </row>
    <row r="2030" spans="2:18" x14ac:dyDescent="0.35">
      <c r="B2030" s="113">
        <v>46143</v>
      </c>
      <c r="C2030" s="4" t="s">
        <v>1333</v>
      </c>
      <c r="D2030" s="4" t="s">
        <v>4568</v>
      </c>
      <c r="E2030" s="1" t="str">
        <f>_xlfn.XLOOKUP(tblSales[[#This Row],[Customer ID]],tblCustomers[Customer ID],tblCustomers[Customer Name],"⚠ Unknown")</f>
        <v>Walk-in Customer</v>
      </c>
      <c r="F2030" s="4" t="s">
        <v>11</v>
      </c>
      <c r="G2030" s="1" t="str">
        <f>_xlfn.XLOOKUP(tblSales[[#This Row],[Product Code]],tblProducts[Code],tblProducts[Product / Service Name],"⚠ Unknown")</f>
        <v>Sneakers</v>
      </c>
      <c r="H2030" s="1" t="str">
        <f>_xlfn.XLOOKUP(tblSales[[#This Row],[Product Code]],tblProducts[Code],tblProducts[Category],"")</f>
        <v>Apparel &amp; Footwear</v>
      </c>
      <c r="I2030" s="4">
        <v>2</v>
      </c>
      <c r="J2030" s="5">
        <f>_xlfn.XLOOKUP(tblSales[[#This Row],[Product Code]],tblProducts[Code],tblProducts[Selling Price (excl. VAT)],0)</f>
        <v>250000</v>
      </c>
      <c r="K2030" s="5">
        <f>tblSales[[#This Row],[Qty]]*tblSales[[#This Row],[Unit Price]]</f>
        <v>500000</v>
      </c>
      <c r="L2030" s="5">
        <f>ROUND(tblSales[[#This Row],[DPP (excl. VAT)]]*VATEff,0)</f>
        <v>55000</v>
      </c>
      <c r="M2030" s="5">
        <f>tblSales[[#This Row],[DPP (excl. VAT)]]+tblSales[[#This Row],[Output VAT]]</f>
        <v>555000</v>
      </c>
      <c r="N2030" s="5">
        <f>tblSales[[#This Row],[Qty]]*_xlfn.XLOOKUP(tblSales[[#This Row],[Product Code]],tblProducts[Code],tblProducts[Unit Cost],0)</f>
        <v>310000</v>
      </c>
      <c r="O2030" s="4" t="s">
        <v>4866</v>
      </c>
      <c r="P2030" s="4" t="s">
        <v>4861</v>
      </c>
      <c r="Q2030" s="1" t="str">
        <f>_xlfn.XLOOKUP(tblSales[[#This Row],[Channel Code]],tblChannels[Channel Code],tblChannels[Channel Name],"")</f>
        <v>Marketplace</v>
      </c>
      <c r="R2030" s="1">
        <f>MONTH(tblSales[[#This Row],[Date]])</f>
        <v>5</v>
      </c>
    </row>
    <row r="2031" spans="2:18" x14ac:dyDescent="0.35">
      <c r="B2031" s="113">
        <v>46143</v>
      </c>
      <c r="C2031" s="4" t="s">
        <v>1334</v>
      </c>
      <c r="D2031" s="4" t="s">
        <v>4568</v>
      </c>
      <c r="E2031" s="1" t="str">
        <f>_xlfn.XLOOKUP(tblSales[[#This Row],[Customer ID]],tblCustomers[Customer ID],tblCustomers[Customer Name],"⚠ Unknown")</f>
        <v>Walk-in Customer</v>
      </c>
      <c r="F2031" s="4" t="s">
        <v>12</v>
      </c>
      <c r="G2031" s="1" t="str">
        <f>_xlfn.XLOOKUP(tblSales[[#This Row],[Product Code]],tblProducts[Code],tblProducts[Product / Service Name],"⚠ Unknown")</f>
        <v>Bomber Jacket</v>
      </c>
      <c r="H2031" s="1" t="str">
        <f>_xlfn.XLOOKUP(tblSales[[#This Row],[Product Code]],tblProducts[Code],tblProducts[Category],"")</f>
        <v>Apparel &amp; Footwear</v>
      </c>
      <c r="I2031" s="4">
        <v>3</v>
      </c>
      <c r="J2031" s="5">
        <f>_xlfn.XLOOKUP(tblSales[[#This Row],[Product Code]],tblProducts[Code],tblProducts[Selling Price (excl. VAT)],0)</f>
        <v>350000</v>
      </c>
      <c r="K2031" s="5">
        <f>tblSales[[#This Row],[Qty]]*tblSales[[#This Row],[Unit Price]]</f>
        <v>1050000</v>
      </c>
      <c r="L2031" s="5">
        <f>ROUND(tblSales[[#This Row],[DPP (excl. VAT)]]*VATEff,0)</f>
        <v>115500</v>
      </c>
      <c r="M2031" s="5">
        <f>tblSales[[#This Row],[DPP (excl. VAT)]]+tblSales[[#This Row],[Output VAT]]</f>
        <v>1165500</v>
      </c>
      <c r="N2031" s="5">
        <f>tblSales[[#This Row],[Qty]]*_xlfn.XLOOKUP(tblSales[[#This Row],[Product Code]],tblProducts[Code],tblProducts[Unit Cost],0)</f>
        <v>630000</v>
      </c>
      <c r="O2031" s="4" t="s">
        <v>4866</v>
      </c>
      <c r="P2031" s="4" t="s">
        <v>4861</v>
      </c>
      <c r="Q2031" s="1" t="str">
        <f>_xlfn.XLOOKUP(tblSales[[#This Row],[Channel Code]],tblChannels[Channel Code],tblChannels[Channel Name],"")</f>
        <v>Marketplace</v>
      </c>
      <c r="R2031" s="1">
        <f>MONTH(tblSales[[#This Row],[Date]])</f>
        <v>5</v>
      </c>
    </row>
    <row r="2032" spans="2:18" x14ac:dyDescent="0.35">
      <c r="B2032" s="113">
        <v>46143</v>
      </c>
      <c r="C2032" s="4" t="s">
        <v>1334</v>
      </c>
      <c r="D2032" s="4" t="s">
        <v>4568</v>
      </c>
      <c r="E2032" s="1" t="str">
        <f>_xlfn.XLOOKUP(tblSales[[#This Row],[Customer ID]],tblCustomers[Customer ID],tblCustomers[Customer Name],"⚠ Unknown")</f>
        <v>Walk-in Customer</v>
      </c>
      <c r="F2032" s="4" t="s">
        <v>8</v>
      </c>
      <c r="G2032" s="1" t="str">
        <f>_xlfn.XLOOKUP(tblSales[[#This Row],[Product Code]],tblProducts[Code],tblProducts[Product / Service Name],"⚠ Unknown")</f>
        <v>Casual Shorts</v>
      </c>
      <c r="H2032" s="1" t="str">
        <f>_xlfn.XLOOKUP(tblSales[[#This Row],[Product Code]],tblProducts[Code],tblProducts[Category],"")</f>
        <v>Accessories &amp; Basics</v>
      </c>
      <c r="I2032" s="4">
        <v>4</v>
      </c>
      <c r="J2032" s="5">
        <f>_xlfn.XLOOKUP(tblSales[[#This Row],[Product Code]],tblProducts[Code],tblProducts[Selling Price (excl. VAT)],0)</f>
        <v>85000</v>
      </c>
      <c r="K2032" s="5">
        <f>tblSales[[#This Row],[Qty]]*tblSales[[#This Row],[Unit Price]]</f>
        <v>340000</v>
      </c>
      <c r="L2032" s="5">
        <f>ROUND(tblSales[[#This Row],[DPP (excl. VAT)]]*VATEff,0)</f>
        <v>37400</v>
      </c>
      <c r="M2032" s="5">
        <f>tblSales[[#This Row],[DPP (excl. VAT)]]+tblSales[[#This Row],[Output VAT]]</f>
        <v>377400</v>
      </c>
      <c r="N2032" s="5">
        <f>tblSales[[#This Row],[Qty]]*_xlfn.XLOOKUP(tblSales[[#This Row],[Product Code]],tblProducts[Code],tblProducts[Unit Cost],0)</f>
        <v>200000</v>
      </c>
      <c r="O2032" s="4" t="s">
        <v>4866</v>
      </c>
      <c r="P2032" s="4" t="s">
        <v>4861</v>
      </c>
      <c r="Q2032" s="1" t="str">
        <f>_xlfn.XLOOKUP(tblSales[[#This Row],[Channel Code]],tblChannels[Channel Code],tblChannels[Channel Name],"")</f>
        <v>Marketplace</v>
      </c>
      <c r="R2032" s="1">
        <f>MONTH(tblSales[[#This Row],[Date]])</f>
        <v>5</v>
      </c>
    </row>
    <row r="2033" spans="2:18" x14ac:dyDescent="0.35">
      <c r="B2033" s="113">
        <v>46143</v>
      </c>
      <c r="C2033" s="4" t="s">
        <v>1335</v>
      </c>
      <c r="D2033" s="4" t="s">
        <v>4572</v>
      </c>
      <c r="E2033" s="1" t="str">
        <f>_xlfn.XLOOKUP(tblSales[[#This Row],[Customer ID]],tblCustomers[Customer ID],tblCustomers[Customer Name],"⚠ Unknown")</f>
        <v>PT Cahaya Abadi Makmur</v>
      </c>
      <c r="F2033" s="4" t="s">
        <v>9</v>
      </c>
      <c r="G2033" s="1" t="str">
        <f>_xlfn.XLOOKUP(tblSales[[#This Row],[Product Code]],tblProducts[Code],tblProducts[Product / Service Name],"⚠ Unknown")</f>
        <v>Casual Shirt</v>
      </c>
      <c r="H2033" s="1" t="str">
        <f>_xlfn.XLOOKUP(tblSales[[#This Row],[Product Code]],tblProducts[Code],tblProducts[Category],"")</f>
        <v>Apparel &amp; Footwear</v>
      </c>
      <c r="I2033" s="4">
        <v>88</v>
      </c>
      <c r="J2033" s="5">
        <f>_xlfn.XLOOKUP(tblSales[[#This Row],[Product Code]],tblProducts[Code],tblProducts[Selling Price (excl. VAT)],0)</f>
        <v>120000</v>
      </c>
      <c r="K2033" s="5">
        <f>tblSales[[#This Row],[Qty]]*tblSales[[#This Row],[Unit Price]]</f>
        <v>10560000</v>
      </c>
      <c r="L2033" s="5">
        <f>ROUND(tblSales[[#This Row],[DPP (excl. VAT)]]*VATEff,0)</f>
        <v>1161600</v>
      </c>
      <c r="M2033" s="5">
        <f>tblSales[[#This Row],[DPP (excl. VAT)]]+tblSales[[#This Row],[Output VAT]]</f>
        <v>11721600</v>
      </c>
      <c r="N2033" s="5">
        <f>tblSales[[#This Row],[Qty]]*_xlfn.XLOOKUP(tblSales[[#This Row],[Product Code]],tblProducts[Code],tblProducts[Unit Cost],0)</f>
        <v>6336000</v>
      </c>
      <c r="O2033" s="4" t="s">
        <v>4867</v>
      </c>
      <c r="P2033" s="4" t="s">
        <v>4860</v>
      </c>
      <c r="Q2033" s="1" t="str">
        <f>_xlfn.XLOOKUP(tblSales[[#This Row],[Channel Code]],tblChannels[Channel Code],tblChannels[Channel Name],"")</f>
        <v>In-store</v>
      </c>
      <c r="R2033" s="1">
        <f>MONTH(tblSales[[#This Row],[Date]])</f>
        <v>5</v>
      </c>
    </row>
    <row r="2034" spans="2:18" x14ac:dyDescent="0.35">
      <c r="B2034" s="113">
        <v>46143</v>
      </c>
      <c r="C2034" s="4" t="s">
        <v>1336</v>
      </c>
      <c r="D2034" s="4" t="s">
        <v>4568</v>
      </c>
      <c r="E2034" s="1" t="str">
        <f>_xlfn.XLOOKUP(tblSales[[#This Row],[Customer ID]],tblCustomers[Customer ID],tblCustomers[Customer Name],"⚠ Unknown")</f>
        <v>Walk-in Customer</v>
      </c>
      <c r="F2034" s="4" t="s">
        <v>6</v>
      </c>
      <c r="G2034" s="1" t="str">
        <f>_xlfn.XLOOKUP(tblSales[[#This Row],[Product Code]],tblProducts[Code],tblProducts[Product / Service Name],"⚠ Unknown")</f>
        <v>Socks &amp; Accessories</v>
      </c>
      <c r="H2034" s="1" t="str">
        <f>_xlfn.XLOOKUP(tblSales[[#This Row],[Product Code]],tblProducts[Code],tblProducts[Category],"")</f>
        <v>Accessories &amp; Basics</v>
      </c>
      <c r="I2034" s="4">
        <v>10</v>
      </c>
      <c r="J2034" s="5">
        <f>_xlfn.XLOOKUP(tblSales[[#This Row],[Product Code]],tblProducts[Code],tblProducts[Selling Price (excl. VAT)],0)</f>
        <v>45000</v>
      </c>
      <c r="K2034" s="5">
        <f>tblSales[[#This Row],[Qty]]*tblSales[[#This Row],[Unit Price]]</f>
        <v>450000</v>
      </c>
      <c r="L2034" s="5">
        <f>ROUND(tblSales[[#This Row],[DPP (excl. VAT)]]*VATEff,0)</f>
        <v>49500</v>
      </c>
      <c r="M2034" s="5">
        <f>tblSales[[#This Row],[DPP (excl. VAT)]]+tblSales[[#This Row],[Output VAT]]</f>
        <v>499500</v>
      </c>
      <c r="N2034" s="5">
        <f>tblSales[[#This Row],[Qty]]*_xlfn.XLOOKUP(tblSales[[#This Row],[Product Code]],tblProducts[Code],tblProducts[Unit Cost],0)</f>
        <v>240000</v>
      </c>
      <c r="O2034" s="4" t="s">
        <v>4866</v>
      </c>
      <c r="P2034" s="4" t="s">
        <v>4861</v>
      </c>
      <c r="Q2034" s="1" t="str">
        <f>_xlfn.XLOOKUP(tblSales[[#This Row],[Channel Code]],tblChannels[Channel Code],tblChannels[Channel Name],"")</f>
        <v>Marketplace</v>
      </c>
      <c r="R2034" s="1">
        <f>MONTH(tblSales[[#This Row],[Date]])</f>
        <v>5</v>
      </c>
    </row>
    <row r="2035" spans="2:18" x14ac:dyDescent="0.35">
      <c r="B2035" s="113">
        <v>46143</v>
      </c>
      <c r="C2035" s="4" t="s">
        <v>1337</v>
      </c>
      <c r="D2035" s="4" t="s">
        <v>4568</v>
      </c>
      <c r="E2035" s="1" t="str">
        <f>_xlfn.XLOOKUP(tblSales[[#This Row],[Customer ID]],tblCustomers[Customer ID],tblCustomers[Customer Name],"⚠ Unknown")</f>
        <v>Walk-in Customer</v>
      </c>
      <c r="F2035" s="4" t="s">
        <v>7</v>
      </c>
      <c r="G2035" s="1" t="str">
        <f>_xlfn.XLOOKUP(tblSales[[#This Row],[Product Code]],tblProducts[Code],tblProducts[Product / Service Name],"⚠ Unknown")</f>
        <v>Premium Basic T-shirt</v>
      </c>
      <c r="H2035" s="1" t="str">
        <f>_xlfn.XLOOKUP(tblSales[[#This Row],[Product Code]],tblProducts[Code],tblProducts[Category],"")</f>
        <v>Accessories &amp; Basics</v>
      </c>
      <c r="I2035" s="4">
        <v>10</v>
      </c>
      <c r="J2035" s="5">
        <f>_xlfn.XLOOKUP(tblSales[[#This Row],[Product Code]],tblProducts[Code],tblProducts[Selling Price (excl. VAT)],0)</f>
        <v>65000</v>
      </c>
      <c r="K2035" s="5">
        <f>tblSales[[#This Row],[Qty]]*tblSales[[#This Row],[Unit Price]]</f>
        <v>650000</v>
      </c>
      <c r="L2035" s="5">
        <f>ROUND(tblSales[[#This Row],[DPP (excl. VAT)]]*VATEff,0)</f>
        <v>71500</v>
      </c>
      <c r="M2035" s="5">
        <f>tblSales[[#This Row],[DPP (excl. VAT)]]+tblSales[[#This Row],[Output VAT]]</f>
        <v>721500</v>
      </c>
      <c r="N2035" s="5">
        <f>tblSales[[#This Row],[Qty]]*_xlfn.XLOOKUP(tblSales[[#This Row],[Product Code]],tblProducts[Code],tblProducts[Unit Cost],0)</f>
        <v>370000</v>
      </c>
      <c r="O2035" s="4" t="s">
        <v>4866</v>
      </c>
      <c r="P2035" s="4" t="s">
        <v>4861</v>
      </c>
      <c r="Q2035" s="1" t="str">
        <f>_xlfn.XLOOKUP(tblSales[[#This Row],[Channel Code]],tblChannels[Channel Code],tblChannels[Channel Name],"")</f>
        <v>Marketplace</v>
      </c>
      <c r="R2035" s="1">
        <f>MONTH(tblSales[[#This Row],[Date]])</f>
        <v>5</v>
      </c>
    </row>
    <row r="2036" spans="2:18" x14ac:dyDescent="0.35">
      <c r="B2036" s="113">
        <v>46144</v>
      </c>
      <c r="C2036" s="4" t="s">
        <v>1338</v>
      </c>
      <c r="D2036" s="4" t="s">
        <v>4627</v>
      </c>
      <c r="E2036" s="1" t="str">
        <f>_xlfn.XLOOKUP(tblSales[[#This Row],[Customer ID]],tblCustomers[Customer ID],tblCustomers[Customer Name],"⚠ Unknown")</f>
        <v>PT Kencana Wira Usaha</v>
      </c>
      <c r="F2036" s="4" t="s">
        <v>7</v>
      </c>
      <c r="G2036" s="1" t="str">
        <f>_xlfn.XLOOKUP(tblSales[[#This Row],[Product Code]],tblProducts[Code],tblProducts[Product / Service Name],"⚠ Unknown")</f>
        <v>Premium Basic T-shirt</v>
      </c>
      <c r="H2036" s="1" t="str">
        <f>_xlfn.XLOOKUP(tblSales[[#This Row],[Product Code]],tblProducts[Code],tblProducts[Category],"")</f>
        <v>Accessories &amp; Basics</v>
      </c>
      <c r="I2036" s="4">
        <v>88</v>
      </c>
      <c r="J2036" s="5">
        <f>_xlfn.XLOOKUP(tblSales[[#This Row],[Product Code]],tblProducts[Code],tblProducts[Selling Price (excl. VAT)],0)</f>
        <v>65000</v>
      </c>
      <c r="K2036" s="5">
        <f>tblSales[[#This Row],[Qty]]*tblSales[[#This Row],[Unit Price]]</f>
        <v>5720000</v>
      </c>
      <c r="L2036" s="5">
        <f>ROUND(tblSales[[#This Row],[DPP (excl. VAT)]]*VATEff,0)</f>
        <v>629200</v>
      </c>
      <c r="M2036" s="5">
        <f>tblSales[[#This Row],[DPP (excl. VAT)]]+tblSales[[#This Row],[Output VAT]]</f>
        <v>6349200</v>
      </c>
      <c r="N2036" s="5">
        <f>tblSales[[#This Row],[Qty]]*_xlfn.XLOOKUP(tblSales[[#This Row],[Product Code]],tblProducts[Code],tblProducts[Unit Cost],0)</f>
        <v>3256000</v>
      </c>
      <c r="O2036" s="4" t="s">
        <v>4867</v>
      </c>
      <c r="P2036" s="4" t="s">
        <v>4860</v>
      </c>
      <c r="Q2036" s="1" t="str">
        <f>_xlfn.XLOOKUP(tblSales[[#This Row],[Channel Code]],tblChannels[Channel Code],tblChannels[Channel Name],"")</f>
        <v>In-store</v>
      </c>
      <c r="R2036" s="1">
        <f>MONTH(tblSales[[#This Row],[Date]])</f>
        <v>5</v>
      </c>
    </row>
    <row r="2037" spans="2:18" x14ac:dyDescent="0.35">
      <c r="B2037" s="113">
        <v>46144</v>
      </c>
      <c r="C2037" s="4" t="s">
        <v>1339</v>
      </c>
      <c r="D2037" s="4" t="s">
        <v>4568</v>
      </c>
      <c r="E2037" s="1" t="str">
        <f>_xlfn.XLOOKUP(tblSales[[#This Row],[Customer ID]],tblCustomers[Customer ID],tblCustomers[Customer Name],"⚠ Unknown")</f>
        <v>Walk-in Customer</v>
      </c>
      <c r="F2037" s="4" t="s">
        <v>7</v>
      </c>
      <c r="G2037" s="1" t="str">
        <f>_xlfn.XLOOKUP(tblSales[[#This Row],[Product Code]],tblProducts[Code],tblProducts[Product / Service Name],"⚠ Unknown")</f>
        <v>Premium Basic T-shirt</v>
      </c>
      <c r="H2037" s="1" t="str">
        <f>_xlfn.XLOOKUP(tblSales[[#This Row],[Product Code]],tblProducts[Code],tblProducts[Category],"")</f>
        <v>Accessories &amp; Basics</v>
      </c>
      <c r="I2037" s="4">
        <v>8</v>
      </c>
      <c r="J2037" s="5">
        <f>_xlfn.XLOOKUP(tblSales[[#This Row],[Product Code]],tblProducts[Code],tblProducts[Selling Price (excl. VAT)],0)</f>
        <v>65000</v>
      </c>
      <c r="K2037" s="5">
        <f>tblSales[[#This Row],[Qty]]*tblSales[[#This Row],[Unit Price]]</f>
        <v>520000</v>
      </c>
      <c r="L2037" s="5">
        <f>ROUND(tblSales[[#This Row],[DPP (excl. VAT)]]*VATEff,0)</f>
        <v>57200</v>
      </c>
      <c r="M2037" s="5">
        <f>tblSales[[#This Row],[DPP (excl. VAT)]]+tblSales[[#This Row],[Output VAT]]</f>
        <v>577200</v>
      </c>
      <c r="N2037" s="5">
        <f>tblSales[[#This Row],[Qty]]*_xlfn.XLOOKUP(tblSales[[#This Row],[Product Code]],tblProducts[Code],tblProducts[Unit Cost],0)</f>
        <v>296000</v>
      </c>
      <c r="O2037" s="4" t="s">
        <v>4866</v>
      </c>
      <c r="P2037" s="4" t="s">
        <v>4861</v>
      </c>
      <c r="Q2037" s="1" t="str">
        <f>_xlfn.XLOOKUP(tblSales[[#This Row],[Channel Code]],tblChannels[Channel Code],tblChannels[Channel Name],"")</f>
        <v>Marketplace</v>
      </c>
      <c r="R2037" s="1">
        <f>MONTH(tblSales[[#This Row],[Date]])</f>
        <v>5</v>
      </c>
    </row>
    <row r="2038" spans="2:18" x14ac:dyDescent="0.35">
      <c r="B2038" s="113">
        <v>46144</v>
      </c>
      <c r="C2038" s="4" t="s">
        <v>1339</v>
      </c>
      <c r="D2038" s="4" t="s">
        <v>4568</v>
      </c>
      <c r="E2038" s="1" t="str">
        <f>_xlfn.XLOOKUP(tblSales[[#This Row],[Customer ID]],tblCustomers[Customer ID],tblCustomers[Customer Name],"⚠ Unknown")</f>
        <v>Walk-in Customer</v>
      </c>
      <c r="F2038" s="4" t="s">
        <v>9</v>
      </c>
      <c r="G2038" s="1" t="str">
        <f>_xlfn.XLOOKUP(tblSales[[#This Row],[Product Code]],tblProducts[Code],tblProducts[Product / Service Name],"⚠ Unknown")</f>
        <v>Casual Shirt</v>
      </c>
      <c r="H2038" s="1" t="str">
        <f>_xlfn.XLOOKUP(tblSales[[#This Row],[Product Code]],tblProducts[Code],tblProducts[Category],"")</f>
        <v>Apparel &amp; Footwear</v>
      </c>
      <c r="I2038" s="4">
        <v>5</v>
      </c>
      <c r="J2038" s="5">
        <f>_xlfn.XLOOKUP(tblSales[[#This Row],[Product Code]],tblProducts[Code],tblProducts[Selling Price (excl. VAT)],0)</f>
        <v>120000</v>
      </c>
      <c r="K2038" s="5">
        <f>tblSales[[#This Row],[Qty]]*tblSales[[#This Row],[Unit Price]]</f>
        <v>600000</v>
      </c>
      <c r="L2038" s="5">
        <f>ROUND(tblSales[[#This Row],[DPP (excl. VAT)]]*VATEff,0)</f>
        <v>66000</v>
      </c>
      <c r="M2038" s="5">
        <f>tblSales[[#This Row],[DPP (excl. VAT)]]+tblSales[[#This Row],[Output VAT]]</f>
        <v>666000</v>
      </c>
      <c r="N2038" s="5">
        <f>tblSales[[#This Row],[Qty]]*_xlfn.XLOOKUP(tblSales[[#This Row],[Product Code]],tblProducts[Code],tblProducts[Unit Cost],0)</f>
        <v>360000</v>
      </c>
      <c r="O2038" s="4" t="s">
        <v>4866</v>
      </c>
      <c r="P2038" s="4" t="s">
        <v>4861</v>
      </c>
      <c r="Q2038" s="1" t="str">
        <f>_xlfn.XLOOKUP(tblSales[[#This Row],[Channel Code]],tblChannels[Channel Code],tblChannels[Channel Name],"")</f>
        <v>Marketplace</v>
      </c>
      <c r="R2038" s="1">
        <f>MONTH(tblSales[[#This Row],[Date]])</f>
        <v>5</v>
      </c>
    </row>
    <row r="2039" spans="2:18" x14ac:dyDescent="0.35">
      <c r="B2039" s="113">
        <v>46144</v>
      </c>
      <c r="C2039" s="4" t="s">
        <v>1340</v>
      </c>
      <c r="D2039" s="4" t="s">
        <v>4572</v>
      </c>
      <c r="E2039" s="1" t="str">
        <f>_xlfn.XLOOKUP(tblSales[[#This Row],[Customer ID]],tblCustomers[Customer ID],tblCustomers[Customer Name],"⚠ Unknown")</f>
        <v>PT Cahaya Abadi Makmur</v>
      </c>
      <c r="F2039" s="4" t="s">
        <v>6</v>
      </c>
      <c r="G2039" s="1" t="str">
        <f>_xlfn.XLOOKUP(tblSales[[#This Row],[Product Code]],tblProducts[Code],tblProducts[Product / Service Name],"⚠ Unknown")</f>
        <v>Socks &amp; Accessories</v>
      </c>
      <c r="H2039" s="1" t="str">
        <f>_xlfn.XLOOKUP(tblSales[[#This Row],[Product Code]],tblProducts[Code],tblProducts[Category],"")</f>
        <v>Accessories &amp; Basics</v>
      </c>
      <c r="I2039" s="4">
        <v>16</v>
      </c>
      <c r="J2039" s="5">
        <f>_xlfn.XLOOKUP(tblSales[[#This Row],[Product Code]],tblProducts[Code],tblProducts[Selling Price (excl. VAT)],0)</f>
        <v>45000</v>
      </c>
      <c r="K2039" s="5">
        <f>tblSales[[#This Row],[Qty]]*tblSales[[#This Row],[Unit Price]]</f>
        <v>720000</v>
      </c>
      <c r="L2039" s="5">
        <f>ROUND(tblSales[[#This Row],[DPP (excl. VAT)]]*VATEff,0)</f>
        <v>79200</v>
      </c>
      <c r="M2039" s="5">
        <f>tblSales[[#This Row],[DPP (excl. VAT)]]+tblSales[[#This Row],[Output VAT]]</f>
        <v>799200</v>
      </c>
      <c r="N2039" s="5">
        <f>tblSales[[#This Row],[Qty]]*_xlfn.XLOOKUP(tblSales[[#This Row],[Product Code]],tblProducts[Code],tblProducts[Unit Cost],0)</f>
        <v>384000</v>
      </c>
      <c r="O2039" s="4" t="s">
        <v>4867</v>
      </c>
      <c r="P2039" s="4" t="s">
        <v>4862</v>
      </c>
      <c r="Q2039" s="1" t="str">
        <f>_xlfn.XLOOKUP(tblSales[[#This Row],[Channel Code]],tblChannels[Channel Code],tblChannels[Channel Name],"")</f>
        <v>Website &amp; Social Media</v>
      </c>
      <c r="R2039" s="1">
        <f>MONTH(tblSales[[#This Row],[Date]])</f>
        <v>5</v>
      </c>
    </row>
    <row r="2040" spans="2:18" x14ac:dyDescent="0.35">
      <c r="B2040" s="113">
        <v>46144</v>
      </c>
      <c r="C2040" s="4" t="s">
        <v>1341</v>
      </c>
      <c r="D2040" s="4" t="s">
        <v>4634</v>
      </c>
      <c r="E2040" s="1" t="str">
        <f>_xlfn.XLOOKUP(tblSales[[#This Row],[Customer ID]],tblCustomers[Customer ID],tblCustomers[Customer Name],"⚠ Unknown")</f>
        <v>PT Delta Inti Selaras</v>
      </c>
      <c r="F2040" s="4" t="s">
        <v>12</v>
      </c>
      <c r="G2040" s="1" t="str">
        <f>_xlfn.XLOOKUP(tblSales[[#This Row],[Product Code]],tblProducts[Code],tblProducts[Product / Service Name],"⚠ Unknown")</f>
        <v>Bomber Jacket</v>
      </c>
      <c r="H2040" s="1" t="str">
        <f>_xlfn.XLOOKUP(tblSales[[#This Row],[Product Code]],tblProducts[Code],tblProducts[Category],"")</f>
        <v>Apparel &amp; Footwear</v>
      </c>
      <c r="I2040" s="4">
        <v>16</v>
      </c>
      <c r="J2040" s="5">
        <f>_xlfn.XLOOKUP(tblSales[[#This Row],[Product Code]],tblProducts[Code],tblProducts[Selling Price (excl. VAT)],0)</f>
        <v>350000</v>
      </c>
      <c r="K2040" s="5">
        <f>tblSales[[#This Row],[Qty]]*tblSales[[#This Row],[Unit Price]]</f>
        <v>5600000</v>
      </c>
      <c r="L2040" s="5">
        <f>ROUND(tblSales[[#This Row],[DPP (excl. VAT)]]*VATEff,0)</f>
        <v>616000</v>
      </c>
      <c r="M2040" s="5">
        <f>tblSales[[#This Row],[DPP (excl. VAT)]]+tblSales[[#This Row],[Output VAT]]</f>
        <v>6216000</v>
      </c>
      <c r="N2040" s="5">
        <f>tblSales[[#This Row],[Qty]]*_xlfn.XLOOKUP(tblSales[[#This Row],[Product Code]],tblProducts[Code],tblProducts[Unit Cost],0)</f>
        <v>3360000</v>
      </c>
      <c r="O2040" s="4" t="s">
        <v>4867</v>
      </c>
      <c r="P2040" s="4" t="s">
        <v>4862</v>
      </c>
      <c r="Q2040" s="1" t="str">
        <f>_xlfn.XLOOKUP(tblSales[[#This Row],[Channel Code]],tblChannels[Channel Code],tblChannels[Channel Name],"")</f>
        <v>Website &amp; Social Media</v>
      </c>
      <c r="R2040" s="1">
        <f>MONTH(tblSales[[#This Row],[Date]])</f>
        <v>5</v>
      </c>
    </row>
    <row r="2041" spans="2:18" x14ac:dyDescent="0.35">
      <c r="B2041" s="113">
        <v>46144</v>
      </c>
      <c r="C2041" s="4" t="s">
        <v>1342</v>
      </c>
      <c r="D2041" s="4" t="s">
        <v>4578</v>
      </c>
      <c r="E2041" s="1" t="str">
        <f>_xlfn.XLOOKUP(tblSales[[#This Row],[Customer ID]],tblCustomers[Customer ID],tblCustomers[Customer Name],"⚠ Unknown")</f>
        <v>PT Bintang Timur Sejahtera</v>
      </c>
      <c r="F2041" s="4" t="s">
        <v>11</v>
      </c>
      <c r="G2041" s="1" t="str">
        <f>_xlfn.XLOOKUP(tblSales[[#This Row],[Product Code]],tblProducts[Code],tblProducts[Product / Service Name],"⚠ Unknown")</f>
        <v>Sneakers</v>
      </c>
      <c r="H2041" s="1" t="str">
        <f>_xlfn.XLOOKUP(tblSales[[#This Row],[Product Code]],tblProducts[Code],tblProducts[Category],"")</f>
        <v>Apparel &amp; Footwear</v>
      </c>
      <c r="I2041" s="4">
        <v>40</v>
      </c>
      <c r="J2041" s="5">
        <f>_xlfn.XLOOKUP(tblSales[[#This Row],[Product Code]],tblProducts[Code],tblProducts[Selling Price (excl. VAT)],0)</f>
        <v>250000</v>
      </c>
      <c r="K2041" s="5">
        <f>tblSales[[#This Row],[Qty]]*tblSales[[#This Row],[Unit Price]]</f>
        <v>10000000</v>
      </c>
      <c r="L2041" s="5">
        <f>ROUND(tblSales[[#This Row],[DPP (excl. VAT)]]*VATEff,0)</f>
        <v>1100000</v>
      </c>
      <c r="M2041" s="5">
        <f>tblSales[[#This Row],[DPP (excl. VAT)]]+tblSales[[#This Row],[Output VAT]]</f>
        <v>11100000</v>
      </c>
      <c r="N2041" s="5">
        <f>tblSales[[#This Row],[Qty]]*_xlfn.XLOOKUP(tblSales[[#This Row],[Product Code]],tblProducts[Code],tblProducts[Unit Cost],0)</f>
        <v>6200000</v>
      </c>
      <c r="O2041" s="4" t="s">
        <v>4867</v>
      </c>
      <c r="P2041" s="4" t="s">
        <v>4860</v>
      </c>
      <c r="Q2041" s="1" t="str">
        <f>_xlfn.XLOOKUP(tblSales[[#This Row],[Channel Code]],tblChannels[Channel Code],tblChannels[Channel Name],"")</f>
        <v>In-store</v>
      </c>
      <c r="R2041" s="1">
        <f>MONTH(tblSales[[#This Row],[Date]])</f>
        <v>5</v>
      </c>
    </row>
    <row r="2042" spans="2:18" x14ac:dyDescent="0.35">
      <c r="B2042" s="113">
        <v>46144</v>
      </c>
      <c r="C2042" s="4" t="s">
        <v>1343</v>
      </c>
      <c r="D2042" s="4" t="s">
        <v>4568</v>
      </c>
      <c r="E2042" s="1" t="str">
        <f>_xlfn.XLOOKUP(tblSales[[#This Row],[Customer ID]],tblCustomers[Customer ID],tblCustomers[Customer Name],"⚠ Unknown")</f>
        <v>Walk-in Customer</v>
      </c>
      <c r="F2042" s="4" t="s">
        <v>6</v>
      </c>
      <c r="G2042" s="1" t="str">
        <f>_xlfn.XLOOKUP(tblSales[[#This Row],[Product Code]],tblProducts[Code],tblProducts[Product / Service Name],"⚠ Unknown")</f>
        <v>Socks &amp; Accessories</v>
      </c>
      <c r="H2042" s="1" t="str">
        <f>_xlfn.XLOOKUP(tblSales[[#This Row],[Product Code]],tblProducts[Code],tblProducts[Category],"")</f>
        <v>Accessories &amp; Basics</v>
      </c>
      <c r="I2042" s="4">
        <v>3</v>
      </c>
      <c r="J2042" s="5">
        <f>_xlfn.XLOOKUP(tblSales[[#This Row],[Product Code]],tblProducts[Code],tblProducts[Selling Price (excl. VAT)],0)</f>
        <v>45000</v>
      </c>
      <c r="K2042" s="5">
        <f>tblSales[[#This Row],[Qty]]*tblSales[[#This Row],[Unit Price]]</f>
        <v>135000</v>
      </c>
      <c r="L2042" s="5">
        <f>ROUND(tblSales[[#This Row],[DPP (excl. VAT)]]*VATEff,0)</f>
        <v>14850</v>
      </c>
      <c r="M2042" s="5">
        <f>tblSales[[#This Row],[DPP (excl. VAT)]]+tblSales[[#This Row],[Output VAT]]</f>
        <v>149850</v>
      </c>
      <c r="N2042" s="5">
        <f>tblSales[[#This Row],[Qty]]*_xlfn.XLOOKUP(tblSales[[#This Row],[Product Code]],tblProducts[Code],tblProducts[Unit Cost],0)</f>
        <v>72000</v>
      </c>
      <c r="O2042" s="4" t="s">
        <v>4866</v>
      </c>
      <c r="P2042" s="4" t="s">
        <v>4861</v>
      </c>
      <c r="Q2042" s="1" t="str">
        <f>_xlfn.XLOOKUP(tblSales[[#This Row],[Channel Code]],tblChannels[Channel Code],tblChannels[Channel Name],"")</f>
        <v>Marketplace</v>
      </c>
      <c r="R2042" s="1">
        <f>MONTH(tblSales[[#This Row],[Date]])</f>
        <v>5</v>
      </c>
    </row>
    <row r="2043" spans="2:18" x14ac:dyDescent="0.35">
      <c r="B2043" s="113">
        <v>46144</v>
      </c>
      <c r="C2043" s="4" t="s">
        <v>1343</v>
      </c>
      <c r="D2043" s="4" t="s">
        <v>4568</v>
      </c>
      <c r="E2043" s="1" t="str">
        <f>_xlfn.XLOOKUP(tblSales[[#This Row],[Customer ID]],tblCustomers[Customer ID],tblCustomers[Customer Name],"⚠ Unknown")</f>
        <v>Walk-in Customer</v>
      </c>
      <c r="F2043" s="4" t="s">
        <v>11</v>
      </c>
      <c r="G2043" s="1" t="str">
        <f>_xlfn.XLOOKUP(tblSales[[#This Row],[Product Code]],tblProducts[Code],tblProducts[Product / Service Name],"⚠ Unknown")</f>
        <v>Sneakers</v>
      </c>
      <c r="H2043" s="1" t="str">
        <f>_xlfn.XLOOKUP(tblSales[[#This Row],[Product Code]],tblProducts[Code],tblProducts[Category],"")</f>
        <v>Apparel &amp; Footwear</v>
      </c>
      <c r="I2043" s="4">
        <v>2</v>
      </c>
      <c r="J2043" s="5">
        <f>_xlfn.XLOOKUP(tblSales[[#This Row],[Product Code]],tblProducts[Code],tblProducts[Selling Price (excl. VAT)],0)</f>
        <v>250000</v>
      </c>
      <c r="K2043" s="5">
        <f>tblSales[[#This Row],[Qty]]*tblSales[[#This Row],[Unit Price]]</f>
        <v>500000</v>
      </c>
      <c r="L2043" s="5">
        <f>ROUND(tblSales[[#This Row],[DPP (excl. VAT)]]*VATEff,0)</f>
        <v>55000</v>
      </c>
      <c r="M2043" s="5">
        <f>tblSales[[#This Row],[DPP (excl. VAT)]]+tblSales[[#This Row],[Output VAT]]</f>
        <v>555000</v>
      </c>
      <c r="N2043" s="5">
        <f>tblSales[[#This Row],[Qty]]*_xlfn.XLOOKUP(tblSales[[#This Row],[Product Code]],tblProducts[Code],tblProducts[Unit Cost],0)</f>
        <v>310000</v>
      </c>
      <c r="O2043" s="4" t="s">
        <v>4866</v>
      </c>
      <c r="P2043" s="4" t="s">
        <v>4861</v>
      </c>
      <c r="Q2043" s="1" t="str">
        <f>_xlfn.XLOOKUP(tblSales[[#This Row],[Channel Code]],tblChannels[Channel Code],tblChannels[Channel Name],"")</f>
        <v>Marketplace</v>
      </c>
      <c r="R2043" s="1">
        <f>MONTH(tblSales[[#This Row],[Date]])</f>
        <v>5</v>
      </c>
    </row>
    <row r="2044" spans="2:18" x14ac:dyDescent="0.35">
      <c r="B2044" s="113">
        <v>46144</v>
      </c>
      <c r="C2044" s="4" t="s">
        <v>1343</v>
      </c>
      <c r="D2044" s="4" t="s">
        <v>4568</v>
      </c>
      <c r="E2044" s="1" t="str">
        <f>_xlfn.XLOOKUP(tblSales[[#This Row],[Customer ID]],tblCustomers[Customer ID],tblCustomers[Customer Name],"⚠ Unknown")</f>
        <v>Walk-in Customer</v>
      </c>
      <c r="F2044" s="4" t="s">
        <v>7</v>
      </c>
      <c r="G2044" s="1" t="str">
        <f>_xlfn.XLOOKUP(tblSales[[#This Row],[Product Code]],tblProducts[Code],tblProducts[Product / Service Name],"⚠ Unknown")</f>
        <v>Premium Basic T-shirt</v>
      </c>
      <c r="H2044" s="1" t="str">
        <f>_xlfn.XLOOKUP(tblSales[[#This Row],[Product Code]],tblProducts[Code],tblProducts[Category],"")</f>
        <v>Accessories &amp; Basics</v>
      </c>
      <c r="I2044" s="4">
        <v>12</v>
      </c>
      <c r="J2044" s="5">
        <f>_xlfn.XLOOKUP(tblSales[[#This Row],[Product Code]],tblProducts[Code],tblProducts[Selling Price (excl. VAT)],0)</f>
        <v>65000</v>
      </c>
      <c r="K2044" s="5">
        <f>tblSales[[#This Row],[Qty]]*tblSales[[#This Row],[Unit Price]]</f>
        <v>780000</v>
      </c>
      <c r="L2044" s="5">
        <f>ROUND(tblSales[[#This Row],[DPP (excl. VAT)]]*VATEff,0)</f>
        <v>85800</v>
      </c>
      <c r="M2044" s="5">
        <f>tblSales[[#This Row],[DPP (excl. VAT)]]+tblSales[[#This Row],[Output VAT]]</f>
        <v>865800</v>
      </c>
      <c r="N2044" s="5">
        <f>tblSales[[#This Row],[Qty]]*_xlfn.XLOOKUP(tblSales[[#This Row],[Product Code]],tblProducts[Code],tblProducts[Unit Cost],0)</f>
        <v>444000</v>
      </c>
      <c r="O2044" s="4" t="s">
        <v>4866</v>
      </c>
      <c r="P2044" s="4" t="s">
        <v>4861</v>
      </c>
      <c r="Q2044" s="1" t="str">
        <f>_xlfn.XLOOKUP(tblSales[[#This Row],[Channel Code]],tblChannels[Channel Code],tblChannels[Channel Name],"")</f>
        <v>Marketplace</v>
      </c>
      <c r="R2044" s="1">
        <f>MONTH(tblSales[[#This Row],[Date]])</f>
        <v>5</v>
      </c>
    </row>
    <row r="2045" spans="2:18" x14ac:dyDescent="0.35">
      <c r="B2045" s="113">
        <v>46144</v>
      </c>
      <c r="C2045" s="4" t="s">
        <v>1344</v>
      </c>
      <c r="D2045" s="4" t="s">
        <v>4568</v>
      </c>
      <c r="E2045" s="1" t="str">
        <f>_xlfn.XLOOKUP(tblSales[[#This Row],[Customer ID]],tblCustomers[Customer ID],tblCustomers[Customer Name],"⚠ Unknown")</f>
        <v>Walk-in Customer</v>
      </c>
      <c r="F2045" s="4" t="s">
        <v>11</v>
      </c>
      <c r="G2045" s="1" t="str">
        <f>_xlfn.XLOOKUP(tblSales[[#This Row],[Product Code]],tblProducts[Code],tblProducts[Product / Service Name],"⚠ Unknown")</f>
        <v>Sneakers</v>
      </c>
      <c r="H2045" s="1" t="str">
        <f>_xlfn.XLOOKUP(tblSales[[#This Row],[Product Code]],tblProducts[Code],tblProducts[Category],"")</f>
        <v>Apparel &amp; Footwear</v>
      </c>
      <c r="I2045" s="4">
        <v>3</v>
      </c>
      <c r="J2045" s="5">
        <f>_xlfn.XLOOKUP(tblSales[[#This Row],[Product Code]],tblProducts[Code],tblProducts[Selling Price (excl. VAT)],0)</f>
        <v>250000</v>
      </c>
      <c r="K2045" s="5">
        <f>tblSales[[#This Row],[Qty]]*tblSales[[#This Row],[Unit Price]]</f>
        <v>750000</v>
      </c>
      <c r="L2045" s="5">
        <f>ROUND(tblSales[[#This Row],[DPP (excl. VAT)]]*VATEff,0)</f>
        <v>82500</v>
      </c>
      <c r="M2045" s="5">
        <f>tblSales[[#This Row],[DPP (excl. VAT)]]+tblSales[[#This Row],[Output VAT]]</f>
        <v>832500</v>
      </c>
      <c r="N2045" s="5">
        <f>tblSales[[#This Row],[Qty]]*_xlfn.XLOOKUP(tblSales[[#This Row],[Product Code]],tblProducts[Code],tblProducts[Unit Cost],0)</f>
        <v>465000</v>
      </c>
      <c r="O2045" s="4" t="s">
        <v>4865</v>
      </c>
      <c r="P2045" s="4" t="s">
        <v>4860</v>
      </c>
      <c r="Q2045" s="1" t="str">
        <f>_xlfn.XLOOKUP(tblSales[[#This Row],[Channel Code]],tblChannels[Channel Code],tblChannels[Channel Name],"")</f>
        <v>In-store</v>
      </c>
      <c r="R2045" s="1">
        <f>MONTH(tblSales[[#This Row],[Date]])</f>
        <v>5</v>
      </c>
    </row>
    <row r="2046" spans="2:18" x14ac:dyDescent="0.35">
      <c r="B2046" s="113">
        <v>46144</v>
      </c>
      <c r="C2046" s="4" t="s">
        <v>1344</v>
      </c>
      <c r="D2046" s="4" t="s">
        <v>4568</v>
      </c>
      <c r="E2046" s="1" t="str">
        <f>_xlfn.XLOOKUP(tblSales[[#This Row],[Customer ID]],tblCustomers[Customer ID],tblCustomers[Customer Name],"⚠ Unknown")</f>
        <v>Walk-in Customer</v>
      </c>
      <c r="F2046" s="4" t="s">
        <v>9</v>
      </c>
      <c r="G2046" s="1" t="str">
        <f>_xlfn.XLOOKUP(tblSales[[#This Row],[Product Code]],tblProducts[Code],tblProducts[Product / Service Name],"⚠ Unknown")</f>
        <v>Casual Shirt</v>
      </c>
      <c r="H2046" s="1" t="str">
        <f>_xlfn.XLOOKUP(tblSales[[#This Row],[Product Code]],tblProducts[Code],tblProducts[Category],"")</f>
        <v>Apparel &amp; Footwear</v>
      </c>
      <c r="I2046" s="4">
        <v>9</v>
      </c>
      <c r="J2046" s="5">
        <f>_xlfn.XLOOKUP(tblSales[[#This Row],[Product Code]],tblProducts[Code],tblProducts[Selling Price (excl. VAT)],0)</f>
        <v>120000</v>
      </c>
      <c r="K2046" s="5">
        <f>tblSales[[#This Row],[Qty]]*tblSales[[#This Row],[Unit Price]]</f>
        <v>1080000</v>
      </c>
      <c r="L2046" s="5">
        <f>ROUND(tblSales[[#This Row],[DPP (excl. VAT)]]*VATEff,0)</f>
        <v>118800</v>
      </c>
      <c r="M2046" s="5">
        <f>tblSales[[#This Row],[DPP (excl. VAT)]]+tblSales[[#This Row],[Output VAT]]</f>
        <v>1198800</v>
      </c>
      <c r="N2046" s="5">
        <f>tblSales[[#This Row],[Qty]]*_xlfn.XLOOKUP(tblSales[[#This Row],[Product Code]],tblProducts[Code],tblProducts[Unit Cost],0)</f>
        <v>648000</v>
      </c>
      <c r="O2046" s="4" t="s">
        <v>4865</v>
      </c>
      <c r="P2046" s="4" t="s">
        <v>4860</v>
      </c>
      <c r="Q2046" s="1" t="str">
        <f>_xlfn.XLOOKUP(tblSales[[#This Row],[Channel Code]],tblChannels[Channel Code],tblChannels[Channel Name],"")</f>
        <v>In-store</v>
      </c>
      <c r="R2046" s="1">
        <f>MONTH(tblSales[[#This Row],[Date]])</f>
        <v>5</v>
      </c>
    </row>
    <row r="2047" spans="2:18" x14ac:dyDescent="0.35">
      <c r="B2047" s="113">
        <v>46144</v>
      </c>
      <c r="C2047" s="4" t="s">
        <v>1344</v>
      </c>
      <c r="D2047" s="4" t="s">
        <v>4568</v>
      </c>
      <c r="E2047" s="1" t="str">
        <f>_xlfn.XLOOKUP(tblSales[[#This Row],[Customer ID]],tblCustomers[Customer ID],tblCustomers[Customer Name],"⚠ Unknown")</f>
        <v>Walk-in Customer</v>
      </c>
      <c r="F2047" s="4" t="s">
        <v>13</v>
      </c>
      <c r="G2047" s="1" t="str">
        <f>_xlfn.XLOOKUP(tblSales[[#This Row],[Product Code]],tblProducts[Code],tblProducts[Product / Service Name],"⚠ Unknown")</f>
        <v>Backpack</v>
      </c>
      <c r="H2047" s="1" t="str">
        <f>_xlfn.XLOOKUP(tblSales[[#This Row],[Product Code]],tblProducts[Code],tblProducts[Category],"")</f>
        <v>Bags &amp; Gadgets</v>
      </c>
      <c r="I2047" s="4">
        <v>5</v>
      </c>
      <c r="J2047" s="5">
        <f>_xlfn.XLOOKUP(tblSales[[#This Row],[Product Code]],tblProducts[Code],tblProducts[Selling Price (excl. VAT)],0)</f>
        <v>500000</v>
      </c>
      <c r="K2047" s="5">
        <f>tblSales[[#This Row],[Qty]]*tblSales[[#This Row],[Unit Price]]</f>
        <v>2500000</v>
      </c>
      <c r="L2047" s="5">
        <f>ROUND(tblSales[[#This Row],[DPP (excl. VAT)]]*VATEff,0)</f>
        <v>275000</v>
      </c>
      <c r="M2047" s="5">
        <f>tblSales[[#This Row],[DPP (excl. VAT)]]+tblSales[[#This Row],[Output VAT]]</f>
        <v>2775000</v>
      </c>
      <c r="N2047" s="5">
        <f>tblSales[[#This Row],[Qty]]*_xlfn.XLOOKUP(tblSales[[#This Row],[Product Code]],tblProducts[Code],tblProducts[Unit Cost],0)</f>
        <v>1450000</v>
      </c>
      <c r="O2047" s="4" t="s">
        <v>4865</v>
      </c>
      <c r="P2047" s="4" t="s">
        <v>4860</v>
      </c>
      <c r="Q2047" s="1" t="str">
        <f>_xlfn.XLOOKUP(tblSales[[#This Row],[Channel Code]],tblChannels[Channel Code],tblChannels[Channel Name],"")</f>
        <v>In-store</v>
      </c>
      <c r="R2047" s="1">
        <f>MONTH(tblSales[[#This Row],[Date]])</f>
        <v>5</v>
      </c>
    </row>
    <row r="2048" spans="2:18" x14ac:dyDescent="0.35">
      <c r="B2048" s="113">
        <v>46144</v>
      </c>
      <c r="C2048" s="4" t="s">
        <v>1345</v>
      </c>
      <c r="D2048" s="4" t="s">
        <v>4568</v>
      </c>
      <c r="E2048" s="1" t="str">
        <f>_xlfn.XLOOKUP(tblSales[[#This Row],[Customer ID]],tblCustomers[Customer ID],tblCustomers[Customer Name],"⚠ Unknown")</f>
        <v>Walk-in Customer</v>
      </c>
      <c r="F2048" s="4" t="s">
        <v>7</v>
      </c>
      <c r="G2048" s="1" t="str">
        <f>_xlfn.XLOOKUP(tblSales[[#This Row],[Product Code]],tblProducts[Code],tblProducts[Product / Service Name],"⚠ Unknown")</f>
        <v>Premium Basic T-shirt</v>
      </c>
      <c r="H2048" s="1" t="str">
        <f>_xlfn.XLOOKUP(tblSales[[#This Row],[Product Code]],tblProducts[Code],tblProducts[Category],"")</f>
        <v>Accessories &amp; Basics</v>
      </c>
      <c r="I2048" s="4">
        <v>4</v>
      </c>
      <c r="J2048" s="5">
        <f>_xlfn.XLOOKUP(tblSales[[#This Row],[Product Code]],tblProducts[Code],tblProducts[Selling Price (excl. VAT)],0)</f>
        <v>65000</v>
      </c>
      <c r="K2048" s="5">
        <f>tblSales[[#This Row],[Qty]]*tblSales[[#This Row],[Unit Price]]</f>
        <v>260000</v>
      </c>
      <c r="L2048" s="5">
        <f>ROUND(tblSales[[#This Row],[DPP (excl. VAT)]]*VATEff,0)</f>
        <v>28600</v>
      </c>
      <c r="M2048" s="5">
        <f>tblSales[[#This Row],[DPP (excl. VAT)]]+tblSales[[#This Row],[Output VAT]]</f>
        <v>288600</v>
      </c>
      <c r="N2048" s="5">
        <f>tblSales[[#This Row],[Qty]]*_xlfn.XLOOKUP(tblSales[[#This Row],[Product Code]],tblProducts[Code],tblProducts[Unit Cost],0)</f>
        <v>148000</v>
      </c>
      <c r="O2048" s="4" t="s">
        <v>4865</v>
      </c>
      <c r="P2048" s="4" t="s">
        <v>4860</v>
      </c>
      <c r="Q2048" s="1" t="str">
        <f>_xlfn.XLOOKUP(tblSales[[#This Row],[Channel Code]],tblChannels[Channel Code],tblChannels[Channel Name],"")</f>
        <v>In-store</v>
      </c>
      <c r="R2048" s="1">
        <f>MONTH(tblSales[[#This Row],[Date]])</f>
        <v>5</v>
      </c>
    </row>
    <row r="2049" spans="2:18" x14ac:dyDescent="0.35">
      <c r="B2049" s="113">
        <v>46144</v>
      </c>
      <c r="C2049" s="4" t="s">
        <v>1346</v>
      </c>
      <c r="D2049" s="4" t="s">
        <v>4568</v>
      </c>
      <c r="E2049" s="1" t="str">
        <f>_xlfn.XLOOKUP(tblSales[[#This Row],[Customer ID]],tblCustomers[Customer ID],tblCustomers[Customer Name],"⚠ Unknown")</f>
        <v>Walk-in Customer</v>
      </c>
      <c r="F2049" s="4" t="s">
        <v>10</v>
      </c>
      <c r="G2049" s="1" t="str">
        <f>_xlfn.XLOOKUP(tblSales[[#This Row],[Product Code]],tblProducts[Code],tblProducts[Product / Service Name],"⚠ Unknown")</f>
        <v>Chino Pants</v>
      </c>
      <c r="H2049" s="1" t="str">
        <f>_xlfn.XLOOKUP(tblSales[[#This Row],[Product Code]],tblProducts[Code],tblProducts[Category],"")</f>
        <v>Apparel &amp; Footwear</v>
      </c>
      <c r="I2049" s="4">
        <v>4</v>
      </c>
      <c r="J2049" s="5">
        <f>_xlfn.XLOOKUP(tblSales[[#This Row],[Product Code]],tblProducts[Code],tblProducts[Selling Price (excl. VAT)],0)</f>
        <v>150000</v>
      </c>
      <c r="K2049" s="5">
        <f>tblSales[[#This Row],[Qty]]*tblSales[[#This Row],[Unit Price]]</f>
        <v>600000</v>
      </c>
      <c r="L2049" s="5">
        <f>ROUND(tblSales[[#This Row],[DPP (excl. VAT)]]*VATEff,0)</f>
        <v>66000</v>
      </c>
      <c r="M2049" s="5">
        <f>tblSales[[#This Row],[DPP (excl. VAT)]]+tblSales[[#This Row],[Output VAT]]</f>
        <v>666000</v>
      </c>
      <c r="N2049" s="5">
        <f>tblSales[[#This Row],[Qty]]*_xlfn.XLOOKUP(tblSales[[#This Row],[Product Code]],tblProducts[Code],tblProducts[Unit Cost],0)</f>
        <v>352000</v>
      </c>
      <c r="O2049" s="4" t="s">
        <v>4866</v>
      </c>
      <c r="P2049" s="4" t="s">
        <v>4860</v>
      </c>
      <c r="Q2049" s="1" t="str">
        <f>_xlfn.XLOOKUP(tblSales[[#This Row],[Channel Code]],tblChannels[Channel Code],tblChannels[Channel Name],"")</f>
        <v>In-store</v>
      </c>
      <c r="R2049" s="1">
        <f>MONTH(tblSales[[#This Row],[Date]])</f>
        <v>5</v>
      </c>
    </row>
    <row r="2050" spans="2:18" x14ac:dyDescent="0.35">
      <c r="B2050" s="113">
        <v>46144</v>
      </c>
      <c r="C2050" s="4" t="s">
        <v>1347</v>
      </c>
      <c r="D2050" s="4" t="s">
        <v>4572</v>
      </c>
      <c r="E2050" s="1" t="str">
        <f>_xlfn.XLOOKUP(tblSales[[#This Row],[Customer ID]],tblCustomers[Customer ID],tblCustomers[Customer Name],"⚠ Unknown")</f>
        <v>PT Cahaya Abadi Makmur</v>
      </c>
      <c r="F2050" s="4" t="s">
        <v>9</v>
      </c>
      <c r="G2050" s="1" t="str">
        <f>_xlfn.XLOOKUP(tblSales[[#This Row],[Product Code]],tblProducts[Code],tblProducts[Product / Service Name],"⚠ Unknown")</f>
        <v>Casual Shirt</v>
      </c>
      <c r="H2050" s="1" t="str">
        <f>_xlfn.XLOOKUP(tblSales[[#This Row],[Product Code]],tblProducts[Code],tblProducts[Category],"")</f>
        <v>Apparel &amp; Footwear</v>
      </c>
      <c r="I2050" s="4">
        <v>56</v>
      </c>
      <c r="J2050" s="5">
        <f>_xlfn.XLOOKUP(tblSales[[#This Row],[Product Code]],tblProducts[Code],tblProducts[Selling Price (excl. VAT)],0)</f>
        <v>120000</v>
      </c>
      <c r="K2050" s="5">
        <f>tblSales[[#This Row],[Qty]]*tblSales[[#This Row],[Unit Price]]</f>
        <v>6720000</v>
      </c>
      <c r="L2050" s="5">
        <f>ROUND(tblSales[[#This Row],[DPP (excl. VAT)]]*VATEff,0)</f>
        <v>739200</v>
      </c>
      <c r="M2050" s="5">
        <f>tblSales[[#This Row],[DPP (excl. VAT)]]+tblSales[[#This Row],[Output VAT]]</f>
        <v>7459200</v>
      </c>
      <c r="N2050" s="5">
        <f>tblSales[[#This Row],[Qty]]*_xlfn.XLOOKUP(tblSales[[#This Row],[Product Code]],tblProducts[Code],tblProducts[Unit Cost],0)</f>
        <v>4032000</v>
      </c>
      <c r="O2050" s="4" t="s">
        <v>4867</v>
      </c>
      <c r="P2050" s="4" t="s">
        <v>4860</v>
      </c>
      <c r="Q2050" s="1" t="str">
        <f>_xlfn.XLOOKUP(tblSales[[#This Row],[Channel Code]],tblChannels[Channel Code],tblChannels[Channel Name],"")</f>
        <v>In-store</v>
      </c>
      <c r="R2050" s="1">
        <f>MONTH(tblSales[[#This Row],[Date]])</f>
        <v>5</v>
      </c>
    </row>
    <row r="2051" spans="2:18" x14ac:dyDescent="0.35">
      <c r="B2051" s="113">
        <v>46144</v>
      </c>
      <c r="C2051" s="4" t="s">
        <v>1348</v>
      </c>
      <c r="D2051" s="4" t="s">
        <v>4568</v>
      </c>
      <c r="E2051" s="1" t="str">
        <f>_xlfn.XLOOKUP(tblSales[[#This Row],[Customer ID]],tblCustomers[Customer ID],tblCustomers[Customer Name],"⚠ Unknown")</f>
        <v>Walk-in Customer</v>
      </c>
      <c r="F2051" s="4" t="s">
        <v>13</v>
      </c>
      <c r="G2051" s="1" t="str">
        <f>_xlfn.XLOOKUP(tblSales[[#This Row],[Product Code]],tblProducts[Code],tblProducts[Product / Service Name],"⚠ Unknown")</f>
        <v>Backpack</v>
      </c>
      <c r="H2051" s="1" t="str">
        <f>_xlfn.XLOOKUP(tblSales[[#This Row],[Product Code]],tblProducts[Code],tblProducts[Category],"")</f>
        <v>Bags &amp; Gadgets</v>
      </c>
      <c r="I2051" s="4">
        <v>6</v>
      </c>
      <c r="J2051" s="5">
        <f>_xlfn.XLOOKUP(tblSales[[#This Row],[Product Code]],tblProducts[Code],tblProducts[Selling Price (excl. VAT)],0)</f>
        <v>500000</v>
      </c>
      <c r="K2051" s="5">
        <f>tblSales[[#This Row],[Qty]]*tblSales[[#This Row],[Unit Price]]</f>
        <v>3000000</v>
      </c>
      <c r="L2051" s="5">
        <f>ROUND(tblSales[[#This Row],[DPP (excl. VAT)]]*VATEff,0)</f>
        <v>330000</v>
      </c>
      <c r="M2051" s="5">
        <f>tblSales[[#This Row],[DPP (excl. VAT)]]+tblSales[[#This Row],[Output VAT]]</f>
        <v>3330000</v>
      </c>
      <c r="N2051" s="5">
        <f>tblSales[[#This Row],[Qty]]*_xlfn.XLOOKUP(tblSales[[#This Row],[Product Code]],tblProducts[Code],tblProducts[Unit Cost],0)</f>
        <v>1740000</v>
      </c>
      <c r="O2051" s="4" t="s">
        <v>4866</v>
      </c>
      <c r="P2051" s="4" t="s">
        <v>4860</v>
      </c>
      <c r="Q2051" s="1" t="str">
        <f>_xlfn.XLOOKUP(tblSales[[#This Row],[Channel Code]],tblChannels[Channel Code],tblChannels[Channel Name],"")</f>
        <v>In-store</v>
      </c>
      <c r="R2051" s="1">
        <f>MONTH(tblSales[[#This Row],[Date]])</f>
        <v>5</v>
      </c>
    </row>
    <row r="2052" spans="2:18" x14ac:dyDescent="0.35">
      <c r="B2052" s="113">
        <v>46144</v>
      </c>
      <c r="C2052" s="4" t="s">
        <v>1348</v>
      </c>
      <c r="D2052" s="4" t="s">
        <v>4568</v>
      </c>
      <c r="E2052" s="1" t="str">
        <f>_xlfn.XLOOKUP(tblSales[[#This Row],[Customer ID]],tblCustomers[Customer ID],tblCustomers[Customer Name],"⚠ Unknown")</f>
        <v>Walk-in Customer</v>
      </c>
      <c r="F2052" s="4" t="s">
        <v>15</v>
      </c>
      <c r="G2052" s="1" t="str">
        <f>_xlfn.XLOOKUP(tblSales[[#This Row],[Product Code]],tblProducts[Code],tblProducts[Product / Service Name],"⚠ Unknown")</f>
        <v>Wireless Earbuds Pro</v>
      </c>
      <c r="H2052" s="1" t="str">
        <f>_xlfn.XLOOKUP(tblSales[[#This Row],[Product Code]],tblProducts[Code],tblProducts[Category],"")</f>
        <v>Bags &amp; Gadgets</v>
      </c>
      <c r="I2052" s="4">
        <v>3</v>
      </c>
      <c r="J2052" s="5">
        <f>_xlfn.XLOOKUP(tblSales[[#This Row],[Product Code]],tblProducts[Code],tblProducts[Selling Price (excl. VAT)],0)</f>
        <v>1250000</v>
      </c>
      <c r="K2052" s="5">
        <f>tblSales[[#This Row],[Qty]]*tblSales[[#This Row],[Unit Price]]</f>
        <v>3750000</v>
      </c>
      <c r="L2052" s="5">
        <f>ROUND(tblSales[[#This Row],[DPP (excl. VAT)]]*VATEff,0)</f>
        <v>412500</v>
      </c>
      <c r="M2052" s="5">
        <f>tblSales[[#This Row],[DPP (excl. VAT)]]+tblSales[[#This Row],[Output VAT]]</f>
        <v>4162500</v>
      </c>
      <c r="N2052" s="5">
        <f>tblSales[[#This Row],[Qty]]*_xlfn.XLOOKUP(tblSales[[#This Row],[Product Code]],tblProducts[Code],tblProducts[Unit Cost],0)</f>
        <v>2460000</v>
      </c>
      <c r="O2052" s="4" t="s">
        <v>4866</v>
      </c>
      <c r="P2052" s="4" t="s">
        <v>4860</v>
      </c>
      <c r="Q2052" s="1" t="str">
        <f>_xlfn.XLOOKUP(tblSales[[#This Row],[Channel Code]],tblChannels[Channel Code],tblChannels[Channel Name],"")</f>
        <v>In-store</v>
      </c>
      <c r="R2052" s="1">
        <f>MONTH(tblSales[[#This Row],[Date]])</f>
        <v>5</v>
      </c>
    </row>
    <row r="2053" spans="2:18" x14ac:dyDescent="0.35">
      <c r="B2053" s="113">
        <v>46144</v>
      </c>
      <c r="C2053" s="4" t="s">
        <v>1348</v>
      </c>
      <c r="D2053" s="4" t="s">
        <v>4568</v>
      </c>
      <c r="E2053" s="1" t="str">
        <f>_xlfn.XLOOKUP(tblSales[[#This Row],[Customer ID]],tblCustomers[Customer ID],tblCustomers[Customer Name],"⚠ Unknown")</f>
        <v>Walk-in Customer</v>
      </c>
      <c r="F2053" s="4" t="s">
        <v>6</v>
      </c>
      <c r="G2053" s="1" t="str">
        <f>_xlfn.XLOOKUP(tblSales[[#This Row],[Product Code]],tblProducts[Code],tblProducts[Product / Service Name],"⚠ Unknown")</f>
        <v>Socks &amp; Accessories</v>
      </c>
      <c r="H2053" s="1" t="str">
        <f>_xlfn.XLOOKUP(tblSales[[#This Row],[Product Code]],tblProducts[Code],tblProducts[Category],"")</f>
        <v>Accessories &amp; Basics</v>
      </c>
      <c r="I2053" s="4">
        <v>11</v>
      </c>
      <c r="J2053" s="5">
        <f>_xlfn.XLOOKUP(tblSales[[#This Row],[Product Code]],tblProducts[Code],tblProducts[Selling Price (excl. VAT)],0)</f>
        <v>45000</v>
      </c>
      <c r="K2053" s="5">
        <f>tblSales[[#This Row],[Qty]]*tblSales[[#This Row],[Unit Price]]</f>
        <v>495000</v>
      </c>
      <c r="L2053" s="5">
        <f>ROUND(tblSales[[#This Row],[DPP (excl. VAT)]]*VATEff,0)</f>
        <v>54450</v>
      </c>
      <c r="M2053" s="5">
        <f>tblSales[[#This Row],[DPP (excl. VAT)]]+tblSales[[#This Row],[Output VAT]]</f>
        <v>549450</v>
      </c>
      <c r="N2053" s="5">
        <f>tblSales[[#This Row],[Qty]]*_xlfn.XLOOKUP(tblSales[[#This Row],[Product Code]],tblProducts[Code],tblProducts[Unit Cost],0)</f>
        <v>264000</v>
      </c>
      <c r="O2053" s="4" t="s">
        <v>4866</v>
      </c>
      <c r="P2053" s="4" t="s">
        <v>4860</v>
      </c>
      <c r="Q2053" s="1" t="str">
        <f>_xlfn.XLOOKUP(tblSales[[#This Row],[Channel Code]],tblChannels[Channel Code],tblChannels[Channel Name],"")</f>
        <v>In-store</v>
      </c>
      <c r="R2053" s="1">
        <f>MONTH(tblSales[[#This Row],[Date]])</f>
        <v>5</v>
      </c>
    </row>
    <row r="2054" spans="2:18" x14ac:dyDescent="0.35">
      <c r="B2054" s="113">
        <v>46144</v>
      </c>
      <c r="C2054" s="4" t="s">
        <v>1349</v>
      </c>
      <c r="D2054" s="4" t="s">
        <v>4568</v>
      </c>
      <c r="E2054" s="1" t="str">
        <f>_xlfn.XLOOKUP(tblSales[[#This Row],[Customer ID]],tblCustomers[Customer ID],tblCustomers[Customer Name],"⚠ Unknown")</f>
        <v>Walk-in Customer</v>
      </c>
      <c r="F2054" s="4" t="s">
        <v>8</v>
      </c>
      <c r="G2054" s="1" t="str">
        <f>_xlfn.XLOOKUP(tblSales[[#This Row],[Product Code]],tblProducts[Code],tblProducts[Product / Service Name],"⚠ Unknown")</f>
        <v>Casual Shorts</v>
      </c>
      <c r="H2054" s="1" t="str">
        <f>_xlfn.XLOOKUP(tblSales[[#This Row],[Product Code]],tblProducts[Code],tblProducts[Category],"")</f>
        <v>Accessories &amp; Basics</v>
      </c>
      <c r="I2054" s="4">
        <v>2</v>
      </c>
      <c r="J2054" s="5">
        <f>_xlfn.XLOOKUP(tblSales[[#This Row],[Product Code]],tblProducts[Code],tblProducts[Selling Price (excl. VAT)],0)</f>
        <v>85000</v>
      </c>
      <c r="K2054" s="5">
        <f>tblSales[[#This Row],[Qty]]*tblSales[[#This Row],[Unit Price]]</f>
        <v>170000</v>
      </c>
      <c r="L2054" s="5">
        <f>ROUND(tblSales[[#This Row],[DPP (excl. VAT)]]*VATEff,0)</f>
        <v>18700</v>
      </c>
      <c r="M2054" s="5">
        <f>tblSales[[#This Row],[DPP (excl. VAT)]]+tblSales[[#This Row],[Output VAT]]</f>
        <v>188700</v>
      </c>
      <c r="N2054" s="5">
        <f>tblSales[[#This Row],[Qty]]*_xlfn.XLOOKUP(tblSales[[#This Row],[Product Code]],tblProducts[Code],tblProducts[Unit Cost],0)</f>
        <v>100000</v>
      </c>
      <c r="O2054" s="4" t="s">
        <v>4865</v>
      </c>
      <c r="P2054" s="4" t="s">
        <v>4860</v>
      </c>
      <c r="Q2054" s="1" t="str">
        <f>_xlfn.XLOOKUP(tblSales[[#This Row],[Channel Code]],tblChannels[Channel Code],tblChannels[Channel Name],"")</f>
        <v>In-store</v>
      </c>
      <c r="R2054" s="1">
        <f>MONTH(tblSales[[#This Row],[Date]])</f>
        <v>5</v>
      </c>
    </row>
    <row r="2055" spans="2:18" x14ac:dyDescent="0.35">
      <c r="B2055" s="113">
        <v>46144</v>
      </c>
      <c r="C2055" s="4" t="s">
        <v>1350</v>
      </c>
      <c r="D2055" s="4" t="s">
        <v>4568</v>
      </c>
      <c r="E2055" s="1" t="str">
        <f>_xlfn.XLOOKUP(tblSales[[#This Row],[Customer ID]],tblCustomers[Customer ID],tblCustomers[Customer Name],"⚠ Unknown")</f>
        <v>Walk-in Customer</v>
      </c>
      <c r="F2055" s="4" t="s">
        <v>11</v>
      </c>
      <c r="G2055" s="1" t="str">
        <f>_xlfn.XLOOKUP(tblSales[[#This Row],[Product Code]],tblProducts[Code],tblProducts[Product / Service Name],"⚠ Unknown")</f>
        <v>Sneakers</v>
      </c>
      <c r="H2055" s="1" t="str">
        <f>_xlfn.XLOOKUP(tblSales[[#This Row],[Product Code]],tblProducts[Code],tblProducts[Category],"")</f>
        <v>Apparel &amp; Footwear</v>
      </c>
      <c r="I2055" s="4">
        <v>3</v>
      </c>
      <c r="J2055" s="5">
        <f>_xlfn.XLOOKUP(tblSales[[#This Row],[Product Code]],tblProducts[Code],tblProducts[Selling Price (excl. VAT)],0)</f>
        <v>250000</v>
      </c>
      <c r="K2055" s="5">
        <f>tblSales[[#This Row],[Qty]]*tblSales[[#This Row],[Unit Price]]</f>
        <v>750000</v>
      </c>
      <c r="L2055" s="5">
        <f>ROUND(tblSales[[#This Row],[DPP (excl. VAT)]]*VATEff,0)</f>
        <v>82500</v>
      </c>
      <c r="M2055" s="5">
        <f>tblSales[[#This Row],[DPP (excl. VAT)]]+tblSales[[#This Row],[Output VAT]]</f>
        <v>832500</v>
      </c>
      <c r="N2055" s="5">
        <f>tblSales[[#This Row],[Qty]]*_xlfn.XLOOKUP(tblSales[[#This Row],[Product Code]],tblProducts[Code],tblProducts[Unit Cost],0)</f>
        <v>465000</v>
      </c>
      <c r="O2055" s="4" t="s">
        <v>4866</v>
      </c>
      <c r="P2055" s="4" t="s">
        <v>4862</v>
      </c>
      <c r="Q2055" s="1" t="str">
        <f>_xlfn.XLOOKUP(tblSales[[#This Row],[Channel Code]],tblChannels[Channel Code],tblChannels[Channel Name],"")</f>
        <v>Website &amp; Social Media</v>
      </c>
      <c r="R2055" s="1">
        <f>MONTH(tblSales[[#This Row],[Date]])</f>
        <v>5</v>
      </c>
    </row>
    <row r="2056" spans="2:18" x14ac:dyDescent="0.35">
      <c r="B2056" s="113">
        <v>46144</v>
      </c>
      <c r="C2056" s="4" t="s">
        <v>1351</v>
      </c>
      <c r="D2056" s="4" t="s">
        <v>4568</v>
      </c>
      <c r="E2056" s="1" t="str">
        <f>_xlfn.XLOOKUP(tblSales[[#This Row],[Customer ID]],tblCustomers[Customer ID],tblCustomers[Customer Name],"⚠ Unknown")</f>
        <v>Walk-in Customer</v>
      </c>
      <c r="F2056" s="4" t="s">
        <v>10</v>
      </c>
      <c r="G2056" s="1" t="str">
        <f>_xlfn.XLOOKUP(tblSales[[#This Row],[Product Code]],tblProducts[Code],tblProducts[Product / Service Name],"⚠ Unknown")</f>
        <v>Chino Pants</v>
      </c>
      <c r="H2056" s="1" t="str">
        <f>_xlfn.XLOOKUP(tblSales[[#This Row],[Product Code]],tblProducts[Code],tblProducts[Category],"")</f>
        <v>Apparel &amp; Footwear</v>
      </c>
      <c r="I2056" s="4">
        <v>1</v>
      </c>
      <c r="J2056" s="5">
        <f>_xlfn.XLOOKUP(tblSales[[#This Row],[Product Code]],tblProducts[Code],tblProducts[Selling Price (excl. VAT)],0)</f>
        <v>150000</v>
      </c>
      <c r="K2056" s="5">
        <f>tblSales[[#This Row],[Qty]]*tblSales[[#This Row],[Unit Price]]</f>
        <v>150000</v>
      </c>
      <c r="L2056" s="5">
        <f>ROUND(tblSales[[#This Row],[DPP (excl. VAT)]]*VATEff,0)</f>
        <v>16500</v>
      </c>
      <c r="M2056" s="5">
        <f>tblSales[[#This Row],[DPP (excl. VAT)]]+tblSales[[#This Row],[Output VAT]]</f>
        <v>166500</v>
      </c>
      <c r="N2056" s="5">
        <f>tblSales[[#This Row],[Qty]]*_xlfn.XLOOKUP(tblSales[[#This Row],[Product Code]],tblProducts[Code],tblProducts[Unit Cost],0)</f>
        <v>88000</v>
      </c>
      <c r="O2056" s="4" t="s">
        <v>4866</v>
      </c>
      <c r="P2056" s="4" t="s">
        <v>4860</v>
      </c>
      <c r="Q2056" s="1" t="str">
        <f>_xlfn.XLOOKUP(tblSales[[#This Row],[Channel Code]],tblChannels[Channel Code],tblChannels[Channel Name],"")</f>
        <v>In-store</v>
      </c>
      <c r="R2056" s="1">
        <f>MONTH(tblSales[[#This Row],[Date]])</f>
        <v>5</v>
      </c>
    </row>
    <row r="2057" spans="2:18" x14ac:dyDescent="0.35">
      <c r="B2057" s="113">
        <v>46144</v>
      </c>
      <c r="C2057" s="4" t="s">
        <v>1352</v>
      </c>
      <c r="D2057" s="4" t="s">
        <v>4568</v>
      </c>
      <c r="E2057" s="1" t="str">
        <f>_xlfn.XLOOKUP(tblSales[[#This Row],[Customer ID]],tblCustomers[Customer ID],tblCustomers[Customer Name],"⚠ Unknown")</f>
        <v>Walk-in Customer</v>
      </c>
      <c r="F2057" s="4" t="s">
        <v>8</v>
      </c>
      <c r="G2057" s="1" t="str">
        <f>_xlfn.XLOOKUP(tblSales[[#This Row],[Product Code]],tblProducts[Code],tblProducts[Product / Service Name],"⚠ Unknown")</f>
        <v>Casual Shorts</v>
      </c>
      <c r="H2057" s="1" t="str">
        <f>_xlfn.XLOOKUP(tblSales[[#This Row],[Product Code]],tblProducts[Code],tblProducts[Category],"")</f>
        <v>Accessories &amp; Basics</v>
      </c>
      <c r="I2057" s="4">
        <v>11</v>
      </c>
      <c r="J2057" s="5">
        <f>_xlfn.XLOOKUP(tblSales[[#This Row],[Product Code]],tblProducts[Code],tblProducts[Selling Price (excl. VAT)],0)</f>
        <v>85000</v>
      </c>
      <c r="K2057" s="5">
        <f>tblSales[[#This Row],[Qty]]*tblSales[[#This Row],[Unit Price]]</f>
        <v>935000</v>
      </c>
      <c r="L2057" s="5">
        <f>ROUND(tblSales[[#This Row],[DPP (excl. VAT)]]*VATEff,0)</f>
        <v>102850</v>
      </c>
      <c r="M2057" s="5">
        <f>tblSales[[#This Row],[DPP (excl. VAT)]]+tblSales[[#This Row],[Output VAT]]</f>
        <v>1037850</v>
      </c>
      <c r="N2057" s="5">
        <f>tblSales[[#This Row],[Qty]]*_xlfn.XLOOKUP(tblSales[[#This Row],[Product Code]],tblProducts[Code],tblProducts[Unit Cost],0)</f>
        <v>550000</v>
      </c>
      <c r="O2057" s="4" t="s">
        <v>4865</v>
      </c>
      <c r="P2057" s="4" t="s">
        <v>4860</v>
      </c>
      <c r="Q2057" s="1" t="str">
        <f>_xlfn.XLOOKUP(tblSales[[#This Row],[Channel Code]],tblChannels[Channel Code],tblChannels[Channel Name],"")</f>
        <v>In-store</v>
      </c>
      <c r="R2057" s="1">
        <f>MONTH(tblSales[[#This Row],[Date]])</f>
        <v>5</v>
      </c>
    </row>
    <row r="2058" spans="2:18" x14ac:dyDescent="0.35">
      <c r="B2058" s="113">
        <v>46144</v>
      </c>
      <c r="C2058" s="4" t="s">
        <v>1352</v>
      </c>
      <c r="D2058" s="4" t="s">
        <v>4568</v>
      </c>
      <c r="E2058" s="1" t="str">
        <f>_xlfn.XLOOKUP(tblSales[[#This Row],[Customer ID]],tblCustomers[Customer ID],tblCustomers[Customer Name],"⚠ Unknown")</f>
        <v>Walk-in Customer</v>
      </c>
      <c r="F2058" s="4" t="s">
        <v>6</v>
      </c>
      <c r="G2058" s="1" t="str">
        <f>_xlfn.XLOOKUP(tblSales[[#This Row],[Product Code]],tblProducts[Code],tblProducts[Product / Service Name],"⚠ Unknown")</f>
        <v>Socks &amp; Accessories</v>
      </c>
      <c r="H2058" s="1" t="str">
        <f>_xlfn.XLOOKUP(tblSales[[#This Row],[Product Code]],tblProducts[Code],tblProducts[Category],"")</f>
        <v>Accessories &amp; Basics</v>
      </c>
      <c r="I2058" s="4">
        <v>8</v>
      </c>
      <c r="J2058" s="5">
        <f>_xlfn.XLOOKUP(tblSales[[#This Row],[Product Code]],tblProducts[Code],tblProducts[Selling Price (excl. VAT)],0)</f>
        <v>45000</v>
      </c>
      <c r="K2058" s="5">
        <f>tblSales[[#This Row],[Qty]]*tblSales[[#This Row],[Unit Price]]</f>
        <v>360000</v>
      </c>
      <c r="L2058" s="5">
        <f>ROUND(tblSales[[#This Row],[DPP (excl. VAT)]]*VATEff,0)</f>
        <v>39600</v>
      </c>
      <c r="M2058" s="5">
        <f>tblSales[[#This Row],[DPP (excl. VAT)]]+tblSales[[#This Row],[Output VAT]]</f>
        <v>399600</v>
      </c>
      <c r="N2058" s="5">
        <f>tblSales[[#This Row],[Qty]]*_xlfn.XLOOKUP(tblSales[[#This Row],[Product Code]],tblProducts[Code],tblProducts[Unit Cost],0)</f>
        <v>192000</v>
      </c>
      <c r="O2058" s="4" t="s">
        <v>4865</v>
      </c>
      <c r="P2058" s="4" t="s">
        <v>4860</v>
      </c>
      <c r="Q2058" s="1" t="str">
        <f>_xlfn.XLOOKUP(tblSales[[#This Row],[Channel Code]],tblChannels[Channel Code],tblChannels[Channel Name],"")</f>
        <v>In-store</v>
      </c>
      <c r="R2058" s="1">
        <f>MONTH(tblSales[[#This Row],[Date]])</f>
        <v>5</v>
      </c>
    </row>
    <row r="2059" spans="2:18" x14ac:dyDescent="0.35">
      <c r="B2059" s="113">
        <v>46144</v>
      </c>
      <c r="C2059" s="4" t="s">
        <v>1352</v>
      </c>
      <c r="D2059" s="4" t="s">
        <v>4568</v>
      </c>
      <c r="E2059" s="1" t="str">
        <f>_xlfn.XLOOKUP(tblSales[[#This Row],[Customer ID]],tblCustomers[Customer ID],tblCustomers[Customer Name],"⚠ Unknown")</f>
        <v>Walk-in Customer</v>
      </c>
      <c r="F2059" s="4" t="s">
        <v>7</v>
      </c>
      <c r="G2059" s="1" t="str">
        <f>_xlfn.XLOOKUP(tblSales[[#This Row],[Product Code]],tblProducts[Code],tblProducts[Product / Service Name],"⚠ Unknown")</f>
        <v>Premium Basic T-shirt</v>
      </c>
      <c r="H2059" s="1" t="str">
        <f>_xlfn.XLOOKUP(tblSales[[#This Row],[Product Code]],tblProducts[Code],tblProducts[Category],"")</f>
        <v>Accessories &amp; Basics</v>
      </c>
      <c r="I2059" s="4">
        <v>3</v>
      </c>
      <c r="J2059" s="5">
        <f>_xlfn.XLOOKUP(tblSales[[#This Row],[Product Code]],tblProducts[Code],tblProducts[Selling Price (excl. VAT)],0)</f>
        <v>65000</v>
      </c>
      <c r="K2059" s="5">
        <f>tblSales[[#This Row],[Qty]]*tblSales[[#This Row],[Unit Price]]</f>
        <v>195000</v>
      </c>
      <c r="L2059" s="5">
        <f>ROUND(tblSales[[#This Row],[DPP (excl. VAT)]]*VATEff,0)</f>
        <v>21450</v>
      </c>
      <c r="M2059" s="5">
        <f>tblSales[[#This Row],[DPP (excl. VAT)]]+tblSales[[#This Row],[Output VAT]]</f>
        <v>216450</v>
      </c>
      <c r="N2059" s="5">
        <f>tblSales[[#This Row],[Qty]]*_xlfn.XLOOKUP(tblSales[[#This Row],[Product Code]],tblProducts[Code],tblProducts[Unit Cost],0)</f>
        <v>111000</v>
      </c>
      <c r="O2059" s="4" t="s">
        <v>4865</v>
      </c>
      <c r="P2059" s="4" t="s">
        <v>4860</v>
      </c>
      <c r="Q2059" s="1" t="str">
        <f>_xlfn.XLOOKUP(tblSales[[#This Row],[Channel Code]],tblChannels[Channel Code],tblChannels[Channel Name],"")</f>
        <v>In-store</v>
      </c>
      <c r="R2059" s="1">
        <f>MONTH(tblSales[[#This Row],[Date]])</f>
        <v>5</v>
      </c>
    </row>
    <row r="2060" spans="2:18" x14ac:dyDescent="0.35">
      <c r="B2060" s="113">
        <v>46144</v>
      </c>
      <c r="C2060" s="4" t="s">
        <v>1353</v>
      </c>
      <c r="D2060" s="4" t="s">
        <v>4568</v>
      </c>
      <c r="E2060" s="1" t="str">
        <f>_xlfn.XLOOKUP(tblSales[[#This Row],[Customer ID]],tblCustomers[Customer ID],tblCustomers[Customer Name],"⚠ Unknown")</f>
        <v>Walk-in Customer</v>
      </c>
      <c r="F2060" s="4" t="s">
        <v>10</v>
      </c>
      <c r="G2060" s="1" t="str">
        <f>_xlfn.XLOOKUP(tblSales[[#This Row],[Product Code]],tblProducts[Code],tblProducts[Product / Service Name],"⚠ Unknown")</f>
        <v>Chino Pants</v>
      </c>
      <c r="H2060" s="1" t="str">
        <f>_xlfn.XLOOKUP(tblSales[[#This Row],[Product Code]],tblProducts[Code],tblProducts[Category],"")</f>
        <v>Apparel &amp; Footwear</v>
      </c>
      <c r="I2060" s="4">
        <v>10</v>
      </c>
      <c r="J2060" s="5">
        <f>_xlfn.XLOOKUP(tblSales[[#This Row],[Product Code]],tblProducts[Code],tblProducts[Selling Price (excl. VAT)],0)</f>
        <v>150000</v>
      </c>
      <c r="K2060" s="5">
        <f>tblSales[[#This Row],[Qty]]*tblSales[[#This Row],[Unit Price]]</f>
        <v>1500000</v>
      </c>
      <c r="L2060" s="5">
        <f>ROUND(tblSales[[#This Row],[DPP (excl. VAT)]]*VATEff,0)</f>
        <v>165000</v>
      </c>
      <c r="M2060" s="5">
        <f>tblSales[[#This Row],[DPP (excl. VAT)]]+tblSales[[#This Row],[Output VAT]]</f>
        <v>1665000</v>
      </c>
      <c r="N2060" s="5">
        <f>tblSales[[#This Row],[Qty]]*_xlfn.XLOOKUP(tblSales[[#This Row],[Product Code]],tblProducts[Code],tblProducts[Unit Cost],0)</f>
        <v>880000</v>
      </c>
      <c r="O2060" s="4" t="s">
        <v>4865</v>
      </c>
      <c r="P2060" s="4" t="s">
        <v>4860</v>
      </c>
      <c r="Q2060" s="1" t="str">
        <f>_xlfn.XLOOKUP(tblSales[[#This Row],[Channel Code]],tblChannels[Channel Code],tblChannels[Channel Name],"")</f>
        <v>In-store</v>
      </c>
      <c r="R2060" s="1">
        <f>MONTH(tblSales[[#This Row],[Date]])</f>
        <v>5</v>
      </c>
    </row>
    <row r="2061" spans="2:18" x14ac:dyDescent="0.35">
      <c r="B2061" s="113">
        <v>46145</v>
      </c>
      <c r="C2061" s="4" t="s">
        <v>1354</v>
      </c>
      <c r="D2061" s="4" t="s">
        <v>4568</v>
      </c>
      <c r="E2061" s="1" t="str">
        <f>_xlfn.XLOOKUP(tblSales[[#This Row],[Customer ID]],tblCustomers[Customer ID],tblCustomers[Customer Name],"⚠ Unknown")</f>
        <v>Walk-in Customer</v>
      </c>
      <c r="F2061" s="4" t="s">
        <v>8</v>
      </c>
      <c r="G2061" s="1" t="str">
        <f>_xlfn.XLOOKUP(tblSales[[#This Row],[Product Code]],tblProducts[Code],tblProducts[Product / Service Name],"⚠ Unknown")</f>
        <v>Casual Shorts</v>
      </c>
      <c r="H2061" s="1" t="str">
        <f>_xlfn.XLOOKUP(tblSales[[#This Row],[Product Code]],tblProducts[Code],tblProducts[Category],"")</f>
        <v>Accessories &amp; Basics</v>
      </c>
      <c r="I2061" s="4">
        <v>8</v>
      </c>
      <c r="J2061" s="5">
        <f>_xlfn.XLOOKUP(tblSales[[#This Row],[Product Code]],tblProducts[Code],tblProducts[Selling Price (excl. VAT)],0)</f>
        <v>85000</v>
      </c>
      <c r="K2061" s="5">
        <f>tblSales[[#This Row],[Qty]]*tblSales[[#This Row],[Unit Price]]</f>
        <v>680000</v>
      </c>
      <c r="L2061" s="5">
        <f>ROUND(tblSales[[#This Row],[DPP (excl. VAT)]]*VATEff,0)</f>
        <v>74800</v>
      </c>
      <c r="M2061" s="5">
        <f>tblSales[[#This Row],[DPP (excl. VAT)]]+tblSales[[#This Row],[Output VAT]]</f>
        <v>754800</v>
      </c>
      <c r="N2061" s="5">
        <f>tblSales[[#This Row],[Qty]]*_xlfn.XLOOKUP(tblSales[[#This Row],[Product Code]],tblProducts[Code],tblProducts[Unit Cost],0)</f>
        <v>400000</v>
      </c>
      <c r="O2061" s="4" t="s">
        <v>4865</v>
      </c>
      <c r="P2061" s="4" t="s">
        <v>4860</v>
      </c>
      <c r="Q2061" s="1" t="str">
        <f>_xlfn.XLOOKUP(tblSales[[#This Row],[Channel Code]],tblChannels[Channel Code],tblChannels[Channel Name],"")</f>
        <v>In-store</v>
      </c>
      <c r="R2061" s="1">
        <f>MONTH(tblSales[[#This Row],[Date]])</f>
        <v>5</v>
      </c>
    </row>
    <row r="2062" spans="2:18" x14ac:dyDescent="0.35">
      <c r="B2062" s="113">
        <v>46145</v>
      </c>
      <c r="C2062" s="4" t="s">
        <v>1354</v>
      </c>
      <c r="D2062" s="4" t="s">
        <v>4568</v>
      </c>
      <c r="E2062" s="1" t="str">
        <f>_xlfn.XLOOKUP(tblSales[[#This Row],[Customer ID]],tblCustomers[Customer ID],tblCustomers[Customer Name],"⚠ Unknown")</f>
        <v>Walk-in Customer</v>
      </c>
      <c r="F2062" s="4" t="s">
        <v>6</v>
      </c>
      <c r="G2062" s="1" t="str">
        <f>_xlfn.XLOOKUP(tblSales[[#This Row],[Product Code]],tblProducts[Code],tblProducts[Product / Service Name],"⚠ Unknown")</f>
        <v>Socks &amp; Accessories</v>
      </c>
      <c r="H2062" s="1" t="str">
        <f>_xlfn.XLOOKUP(tblSales[[#This Row],[Product Code]],tblProducts[Code],tblProducts[Category],"")</f>
        <v>Accessories &amp; Basics</v>
      </c>
      <c r="I2062" s="4">
        <v>7</v>
      </c>
      <c r="J2062" s="5">
        <f>_xlfn.XLOOKUP(tblSales[[#This Row],[Product Code]],tblProducts[Code],tblProducts[Selling Price (excl. VAT)],0)</f>
        <v>45000</v>
      </c>
      <c r="K2062" s="5">
        <f>tblSales[[#This Row],[Qty]]*tblSales[[#This Row],[Unit Price]]</f>
        <v>315000</v>
      </c>
      <c r="L2062" s="5">
        <f>ROUND(tblSales[[#This Row],[DPP (excl. VAT)]]*VATEff,0)</f>
        <v>34650</v>
      </c>
      <c r="M2062" s="5">
        <f>tblSales[[#This Row],[DPP (excl. VAT)]]+tblSales[[#This Row],[Output VAT]]</f>
        <v>349650</v>
      </c>
      <c r="N2062" s="5">
        <f>tblSales[[#This Row],[Qty]]*_xlfn.XLOOKUP(tblSales[[#This Row],[Product Code]],tblProducts[Code],tblProducts[Unit Cost],0)</f>
        <v>168000</v>
      </c>
      <c r="O2062" s="4" t="s">
        <v>4865</v>
      </c>
      <c r="P2062" s="4" t="s">
        <v>4860</v>
      </c>
      <c r="Q2062" s="1" t="str">
        <f>_xlfn.XLOOKUP(tblSales[[#This Row],[Channel Code]],tblChannels[Channel Code],tblChannels[Channel Name],"")</f>
        <v>In-store</v>
      </c>
      <c r="R2062" s="1">
        <f>MONTH(tblSales[[#This Row],[Date]])</f>
        <v>5</v>
      </c>
    </row>
    <row r="2063" spans="2:18" x14ac:dyDescent="0.35">
      <c r="B2063" s="113">
        <v>46145</v>
      </c>
      <c r="C2063" s="4" t="s">
        <v>1355</v>
      </c>
      <c r="D2063" s="4" t="s">
        <v>4568</v>
      </c>
      <c r="E2063" s="1" t="str">
        <f>_xlfn.XLOOKUP(tblSales[[#This Row],[Customer ID]],tblCustomers[Customer ID],tblCustomers[Customer Name],"⚠ Unknown")</f>
        <v>Walk-in Customer</v>
      </c>
      <c r="F2063" s="4" t="s">
        <v>12</v>
      </c>
      <c r="G2063" s="1" t="str">
        <f>_xlfn.XLOOKUP(tblSales[[#This Row],[Product Code]],tblProducts[Code],tblProducts[Product / Service Name],"⚠ Unknown")</f>
        <v>Bomber Jacket</v>
      </c>
      <c r="H2063" s="1" t="str">
        <f>_xlfn.XLOOKUP(tblSales[[#This Row],[Product Code]],tblProducts[Code],tblProducts[Category],"")</f>
        <v>Apparel &amp; Footwear</v>
      </c>
      <c r="I2063" s="4">
        <v>5</v>
      </c>
      <c r="J2063" s="5">
        <f>_xlfn.XLOOKUP(tblSales[[#This Row],[Product Code]],tblProducts[Code],tblProducts[Selling Price (excl. VAT)],0)</f>
        <v>350000</v>
      </c>
      <c r="K2063" s="5">
        <f>tblSales[[#This Row],[Qty]]*tblSales[[#This Row],[Unit Price]]</f>
        <v>1750000</v>
      </c>
      <c r="L2063" s="5">
        <f>ROUND(tblSales[[#This Row],[DPP (excl. VAT)]]*VATEff,0)</f>
        <v>192500</v>
      </c>
      <c r="M2063" s="5">
        <f>tblSales[[#This Row],[DPP (excl. VAT)]]+tblSales[[#This Row],[Output VAT]]</f>
        <v>1942500</v>
      </c>
      <c r="N2063" s="5">
        <f>tblSales[[#This Row],[Qty]]*_xlfn.XLOOKUP(tblSales[[#This Row],[Product Code]],tblProducts[Code],tblProducts[Unit Cost],0)</f>
        <v>1050000</v>
      </c>
      <c r="O2063" s="4" t="s">
        <v>4866</v>
      </c>
      <c r="P2063" s="4" t="s">
        <v>4860</v>
      </c>
      <c r="Q2063" s="1" t="str">
        <f>_xlfn.XLOOKUP(tblSales[[#This Row],[Channel Code]],tblChannels[Channel Code],tblChannels[Channel Name],"")</f>
        <v>In-store</v>
      </c>
      <c r="R2063" s="1">
        <f>MONTH(tblSales[[#This Row],[Date]])</f>
        <v>5</v>
      </c>
    </row>
    <row r="2064" spans="2:18" x14ac:dyDescent="0.35">
      <c r="B2064" s="113">
        <v>46145</v>
      </c>
      <c r="C2064" s="4" t="s">
        <v>1356</v>
      </c>
      <c r="D2064" s="4" t="s">
        <v>4568</v>
      </c>
      <c r="E2064" s="1" t="str">
        <f>_xlfn.XLOOKUP(tblSales[[#This Row],[Customer ID]],tblCustomers[Customer ID],tblCustomers[Customer Name],"⚠ Unknown")</f>
        <v>Walk-in Customer</v>
      </c>
      <c r="F2064" s="4" t="s">
        <v>8</v>
      </c>
      <c r="G2064" s="1" t="str">
        <f>_xlfn.XLOOKUP(tblSales[[#This Row],[Product Code]],tblProducts[Code],tblProducts[Product / Service Name],"⚠ Unknown")</f>
        <v>Casual Shorts</v>
      </c>
      <c r="H2064" s="1" t="str">
        <f>_xlfn.XLOOKUP(tblSales[[#This Row],[Product Code]],tblProducts[Code],tblProducts[Category],"")</f>
        <v>Accessories &amp; Basics</v>
      </c>
      <c r="I2064" s="4">
        <v>3</v>
      </c>
      <c r="J2064" s="5">
        <f>_xlfn.XLOOKUP(tblSales[[#This Row],[Product Code]],tblProducts[Code],tblProducts[Selling Price (excl. VAT)],0)</f>
        <v>85000</v>
      </c>
      <c r="K2064" s="5">
        <f>tblSales[[#This Row],[Qty]]*tblSales[[#This Row],[Unit Price]]</f>
        <v>255000</v>
      </c>
      <c r="L2064" s="5">
        <f>ROUND(tblSales[[#This Row],[DPP (excl. VAT)]]*VATEff,0)</f>
        <v>28050</v>
      </c>
      <c r="M2064" s="5">
        <f>tblSales[[#This Row],[DPP (excl. VAT)]]+tblSales[[#This Row],[Output VAT]]</f>
        <v>283050</v>
      </c>
      <c r="N2064" s="5">
        <f>tblSales[[#This Row],[Qty]]*_xlfn.XLOOKUP(tblSales[[#This Row],[Product Code]],tblProducts[Code],tblProducts[Unit Cost],0)</f>
        <v>150000</v>
      </c>
      <c r="O2064" s="4" t="s">
        <v>4866</v>
      </c>
      <c r="P2064" s="4" t="s">
        <v>4862</v>
      </c>
      <c r="Q2064" s="1" t="str">
        <f>_xlfn.XLOOKUP(tblSales[[#This Row],[Channel Code]],tblChannels[Channel Code],tblChannels[Channel Name],"")</f>
        <v>Website &amp; Social Media</v>
      </c>
      <c r="R2064" s="1">
        <f>MONTH(tblSales[[#This Row],[Date]])</f>
        <v>5</v>
      </c>
    </row>
    <row r="2065" spans="2:18" x14ac:dyDescent="0.35">
      <c r="B2065" s="113">
        <v>46145</v>
      </c>
      <c r="C2065" s="4" t="s">
        <v>1357</v>
      </c>
      <c r="D2065" s="4" t="s">
        <v>4568</v>
      </c>
      <c r="E2065" s="1" t="str">
        <f>_xlfn.XLOOKUP(tblSales[[#This Row],[Customer ID]],tblCustomers[Customer ID],tblCustomers[Customer Name],"⚠ Unknown")</f>
        <v>Walk-in Customer</v>
      </c>
      <c r="F2065" s="4" t="s">
        <v>8</v>
      </c>
      <c r="G2065" s="1" t="str">
        <f>_xlfn.XLOOKUP(tblSales[[#This Row],[Product Code]],tblProducts[Code],tblProducts[Product / Service Name],"⚠ Unknown")</f>
        <v>Casual Shorts</v>
      </c>
      <c r="H2065" s="1" t="str">
        <f>_xlfn.XLOOKUP(tblSales[[#This Row],[Product Code]],tblProducts[Code],tblProducts[Category],"")</f>
        <v>Accessories &amp; Basics</v>
      </c>
      <c r="I2065" s="4">
        <v>6</v>
      </c>
      <c r="J2065" s="5">
        <f>_xlfn.XLOOKUP(tblSales[[#This Row],[Product Code]],tblProducts[Code],tblProducts[Selling Price (excl. VAT)],0)</f>
        <v>85000</v>
      </c>
      <c r="K2065" s="5">
        <f>tblSales[[#This Row],[Qty]]*tblSales[[#This Row],[Unit Price]]</f>
        <v>510000</v>
      </c>
      <c r="L2065" s="5">
        <f>ROUND(tblSales[[#This Row],[DPP (excl. VAT)]]*VATEff,0)</f>
        <v>56100</v>
      </c>
      <c r="M2065" s="5">
        <f>tblSales[[#This Row],[DPP (excl. VAT)]]+tblSales[[#This Row],[Output VAT]]</f>
        <v>566100</v>
      </c>
      <c r="N2065" s="5">
        <f>tblSales[[#This Row],[Qty]]*_xlfn.XLOOKUP(tblSales[[#This Row],[Product Code]],tblProducts[Code],tblProducts[Unit Cost],0)</f>
        <v>300000</v>
      </c>
      <c r="O2065" s="4" t="s">
        <v>4866</v>
      </c>
      <c r="P2065" s="4" t="s">
        <v>4860</v>
      </c>
      <c r="Q2065" s="1" t="str">
        <f>_xlfn.XLOOKUP(tblSales[[#This Row],[Channel Code]],tblChannels[Channel Code],tblChannels[Channel Name],"")</f>
        <v>In-store</v>
      </c>
      <c r="R2065" s="1">
        <f>MONTH(tblSales[[#This Row],[Date]])</f>
        <v>5</v>
      </c>
    </row>
    <row r="2066" spans="2:18" x14ac:dyDescent="0.35">
      <c r="B2066" s="113">
        <v>46145</v>
      </c>
      <c r="C2066" s="4" t="s">
        <v>1358</v>
      </c>
      <c r="D2066" s="4" t="s">
        <v>4599</v>
      </c>
      <c r="E2066" s="1" t="str">
        <f>_xlfn.XLOOKUP(tblSales[[#This Row],[Customer ID]],tblCustomers[Customer ID],tblCustomers[Customer Name],"⚠ Unknown")</f>
        <v>PT Samudra Jaya Logistik</v>
      </c>
      <c r="F2066" s="4" t="s">
        <v>8</v>
      </c>
      <c r="G2066" s="1" t="str">
        <f>_xlfn.XLOOKUP(tblSales[[#This Row],[Product Code]],tblProducts[Code],tblProducts[Product / Service Name],"⚠ Unknown")</f>
        <v>Casual Shorts</v>
      </c>
      <c r="H2066" s="1" t="str">
        <f>_xlfn.XLOOKUP(tblSales[[#This Row],[Product Code]],tblProducts[Code],tblProducts[Category],"")</f>
        <v>Accessories &amp; Basics</v>
      </c>
      <c r="I2066" s="4">
        <v>24</v>
      </c>
      <c r="J2066" s="5">
        <f>_xlfn.XLOOKUP(tblSales[[#This Row],[Product Code]],tblProducts[Code],tblProducts[Selling Price (excl. VAT)],0)</f>
        <v>85000</v>
      </c>
      <c r="K2066" s="5">
        <f>tblSales[[#This Row],[Qty]]*tblSales[[#This Row],[Unit Price]]</f>
        <v>2040000</v>
      </c>
      <c r="L2066" s="5">
        <f>ROUND(tblSales[[#This Row],[DPP (excl. VAT)]]*VATEff,0)</f>
        <v>224400</v>
      </c>
      <c r="M2066" s="5">
        <f>tblSales[[#This Row],[DPP (excl. VAT)]]+tblSales[[#This Row],[Output VAT]]</f>
        <v>2264400</v>
      </c>
      <c r="N2066" s="5">
        <f>tblSales[[#This Row],[Qty]]*_xlfn.XLOOKUP(tblSales[[#This Row],[Product Code]],tblProducts[Code],tblProducts[Unit Cost],0)</f>
        <v>1200000</v>
      </c>
      <c r="O2066" s="4" t="s">
        <v>4867</v>
      </c>
      <c r="P2066" s="4" t="s">
        <v>4860</v>
      </c>
      <c r="Q2066" s="1" t="str">
        <f>_xlfn.XLOOKUP(tblSales[[#This Row],[Channel Code]],tblChannels[Channel Code],tblChannels[Channel Name],"")</f>
        <v>In-store</v>
      </c>
      <c r="R2066" s="1">
        <f>MONTH(tblSales[[#This Row],[Date]])</f>
        <v>5</v>
      </c>
    </row>
    <row r="2067" spans="2:18" x14ac:dyDescent="0.35">
      <c r="B2067" s="113">
        <v>46145</v>
      </c>
      <c r="C2067" s="4" t="s">
        <v>1358</v>
      </c>
      <c r="D2067" s="4" t="s">
        <v>4599</v>
      </c>
      <c r="E2067" s="1" t="str">
        <f>_xlfn.XLOOKUP(tblSales[[#This Row],[Customer ID]],tblCustomers[Customer ID],tblCustomers[Customer Name],"⚠ Unknown")</f>
        <v>PT Samudra Jaya Logistik</v>
      </c>
      <c r="F2067" s="4" t="s">
        <v>6</v>
      </c>
      <c r="G2067" s="1" t="str">
        <f>_xlfn.XLOOKUP(tblSales[[#This Row],[Product Code]],tblProducts[Code],tblProducts[Product / Service Name],"⚠ Unknown")</f>
        <v>Socks &amp; Accessories</v>
      </c>
      <c r="H2067" s="1" t="str">
        <f>_xlfn.XLOOKUP(tblSales[[#This Row],[Product Code]],tblProducts[Code],tblProducts[Category],"")</f>
        <v>Accessories &amp; Basics</v>
      </c>
      <c r="I2067" s="4">
        <v>48</v>
      </c>
      <c r="J2067" s="5">
        <f>_xlfn.XLOOKUP(tblSales[[#This Row],[Product Code]],tblProducts[Code],tblProducts[Selling Price (excl. VAT)],0)</f>
        <v>45000</v>
      </c>
      <c r="K2067" s="5">
        <f>tblSales[[#This Row],[Qty]]*tblSales[[#This Row],[Unit Price]]</f>
        <v>2160000</v>
      </c>
      <c r="L2067" s="5">
        <f>ROUND(tblSales[[#This Row],[DPP (excl. VAT)]]*VATEff,0)</f>
        <v>237600</v>
      </c>
      <c r="M2067" s="5">
        <f>tblSales[[#This Row],[DPP (excl. VAT)]]+tblSales[[#This Row],[Output VAT]]</f>
        <v>2397600</v>
      </c>
      <c r="N2067" s="5">
        <f>tblSales[[#This Row],[Qty]]*_xlfn.XLOOKUP(tblSales[[#This Row],[Product Code]],tblProducts[Code],tblProducts[Unit Cost],0)</f>
        <v>1152000</v>
      </c>
      <c r="O2067" s="4" t="s">
        <v>4867</v>
      </c>
      <c r="P2067" s="4" t="s">
        <v>4860</v>
      </c>
      <c r="Q2067" s="1" t="str">
        <f>_xlfn.XLOOKUP(tblSales[[#This Row],[Channel Code]],tblChannels[Channel Code],tblChannels[Channel Name],"")</f>
        <v>In-store</v>
      </c>
      <c r="R2067" s="1">
        <f>MONTH(tblSales[[#This Row],[Date]])</f>
        <v>5</v>
      </c>
    </row>
    <row r="2068" spans="2:18" x14ac:dyDescent="0.35">
      <c r="B2068" s="113">
        <v>46145</v>
      </c>
      <c r="C2068" s="4" t="s">
        <v>1358</v>
      </c>
      <c r="D2068" s="4" t="s">
        <v>4599</v>
      </c>
      <c r="E2068" s="1" t="str">
        <f>_xlfn.XLOOKUP(tblSales[[#This Row],[Customer ID]],tblCustomers[Customer ID],tblCustomers[Customer Name],"⚠ Unknown")</f>
        <v>PT Samudra Jaya Logistik</v>
      </c>
      <c r="F2068" s="4" t="s">
        <v>11</v>
      </c>
      <c r="G2068" s="1" t="str">
        <f>_xlfn.XLOOKUP(tblSales[[#This Row],[Product Code]],tblProducts[Code],tblProducts[Product / Service Name],"⚠ Unknown")</f>
        <v>Sneakers</v>
      </c>
      <c r="H2068" s="1" t="str">
        <f>_xlfn.XLOOKUP(tblSales[[#This Row],[Product Code]],tblProducts[Code],tblProducts[Category],"")</f>
        <v>Apparel &amp; Footwear</v>
      </c>
      <c r="I2068" s="4">
        <v>40</v>
      </c>
      <c r="J2068" s="5">
        <f>_xlfn.XLOOKUP(tblSales[[#This Row],[Product Code]],tblProducts[Code],tblProducts[Selling Price (excl. VAT)],0)</f>
        <v>250000</v>
      </c>
      <c r="K2068" s="5">
        <f>tblSales[[#This Row],[Qty]]*tblSales[[#This Row],[Unit Price]]</f>
        <v>10000000</v>
      </c>
      <c r="L2068" s="5">
        <f>ROUND(tblSales[[#This Row],[DPP (excl. VAT)]]*VATEff,0)</f>
        <v>1100000</v>
      </c>
      <c r="M2068" s="5">
        <f>tblSales[[#This Row],[DPP (excl. VAT)]]+tblSales[[#This Row],[Output VAT]]</f>
        <v>11100000</v>
      </c>
      <c r="N2068" s="5">
        <f>tblSales[[#This Row],[Qty]]*_xlfn.XLOOKUP(tblSales[[#This Row],[Product Code]],tblProducts[Code],tblProducts[Unit Cost],0)</f>
        <v>6200000</v>
      </c>
      <c r="O2068" s="4" t="s">
        <v>4867</v>
      </c>
      <c r="P2068" s="4" t="s">
        <v>4860</v>
      </c>
      <c r="Q2068" s="1" t="str">
        <f>_xlfn.XLOOKUP(tblSales[[#This Row],[Channel Code]],tblChannels[Channel Code],tblChannels[Channel Name],"")</f>
        <v>In-store</v>
      </c>
      <c r="R2068" s="1">
        <f>MONTH(tblSales[[#This Row],[Date]])</f>
        <v>5</v>
      </c>
    </row>
    <row r="2069" spans="2:18" x14ac:dyDescent="0.35">
      <c r="B2069" s="113">
        <v>46145</v>
      </c>
      <c r="C2069" s="4" t="s">
        <v>1359</v>
      </c>
      <c r="D2069" s="4" t="s">
        <v>4568</v>
      </c>
      <c r="E2069" s="1" t="str">
        <f>_xlfn.XLOOKUP(tblSales[[#This Row],[Customer ID]],tblCustomers[Customer ID],tblCustomers[Customer Name],"⚠ Unknown")</f>
        <v>Walk-in Customer</v>
      </c>
      <c r="F2069" s="4" t="s">
        <v>13</v>
      </c>
      <c r="G2069" s="1" t="str">
        <f>_xlfn.XLOOKUP(tblSales[[#This Row],[Product Code]],tblProducts[Code],tblProducts[Product / Service Name],"⚠ Unknown")</f>
        <v>Backpack</v>
      </c>
      <c r="H2069" s="1" t="str">
        <f>_xlfn.XLOOKUP(tblSales[[#This Row],[Product Code]],tblProducts[Code],tblProducts[Category],"")</f>
        <v>Bags &amp; Gadgets</v>
      </c>
      <c r="I2069" s="4">
        <v>1</v>
      </c>
      <c r="J2069" s="5">
        <f>_xlfn.XLOOKUP(tblSales[[#This Row],[Product Code]],tblProducts[Code],tblProducts[Selling Price (excl. VAT)],0)</f>
        <v>500000</v>
      </c>
      <c r="K2069" s="5">
        <f>tblSales[[#This Row],[Qty]]*tblSales[[#This Row],[Unit Price]]</f>
        <v>500000</v>
      </c>
      <c r="L2069" s="5">
        <f>ROUND(tblSales[[#This Row],[DPP (excl. VAT)]]*VATEff,0)</f>
        <v>55000</v>
      </c>
      <c r="M2069" s="5">
        <f>tblSales[[#This Row],[DPP (excl. VAT)]]+tblSales[[#This Row],[Output VAT]]</f>
        <v>555000</v>
      </c>
      <c r="N2069" s="5">
        <f>tblSales[[#This Row],[Qty]]*_xlfn.XLOOKUP(tblSales[[#This Row],[Product Code]],tblProducts[Code],tblProducts[Unit Cost],0)</f>
        <v>290000</v>
      </c>
      <c r="O2069" s="4" t="s">
        <v>4866</v>
      </c>
      <c r="P2069" s="4" t="s">
        <v>4860</v>
      </c>
      <c r="Q2069" s="1" t="str">
        <f>_xlfn.XLOOKUP(tblSales[[#This Row],[Channel Code]],tblChannels[Channel Code],tblChannels[Channel Name],"")</f>
        <v>In-store</v>
      </c>
      <c r="R2069" s="1">
        <f>MONTH(tblSales[[#This Row],[Date]])</f>
        <v>5</v>
      </c>
    </row>
    <row r="2070" spans="2:18" x14ac:dyDescent="0.35">
      <c r="B2070" s="113">
        <v>46145</v>
      </c>
      <c r="C2070" s="4" t="s">
        <v>1360</v>
      </c>
      <c r="D2070" s="4" t="s">
        <v>4568</v>
      </c>
      <c r="E2070" s="1" t="str">
        <f>_xlfn.XLOOKUP(tblSales[[#This Row],[Customer ID]],tblCustomers[Customer ID],tblCustomers[Customer Name],"⚠ Unknown")</f>
        <v>Walk-in Customer</v>
      </c>
      <c r="F2070" s="4" t="s">
        <v>8</v>
      </c>
      <c r="G2070" s="1" t="str">
        <f>_xlfn.XLOOKUP(tblSales[[#This Row],[Product Code]],tblProducts[Code],tblProducts[Product / Service Name],"⚠ Unknown")</f>
        <v>Casual Shorts</v>
      </c>
      <c r="H2070" s="1" t="str">
        <f>_xlfn.XLOOKUP(tblSales[[#This Row],[Product Code]],tblProducts[Code],tblProducts[Category],"")</f>
        <v>Accessories &amp; Basics</v>
      </c>
      <c r="I2070" s="4">
        <v>5</v>
      </c>
      <c r="J2070" s="5">
        <f>_xlfn.XLOOKUP(tblSales[[#This Row],[Product Code]],tblProducts[Code],tblProducts[Selling Price (excl. VAT)],0)</f>
        <v>85000</v>
      </c>
      <c r="K2070" s="5">
        <f>tblSales[[#This Row],[Qty]]*tblSales[[#This Row],[Unit Price]]</f>
        <v>425000</v>
      </c>
      <c r="L2070" s="5">
        <f>ROUND(tblSales[[#This Row],[DPP (excl. VAT)]]*VATEff,0)</f>
        <v>46750</v>
      </c>
      <c r="M2070" s="5">
        <f>tblSales[[#This Row],[DPP (excl. VAT)]]+tblSales[[#This Row],[Output VAT]]</f>
        <v>471750</v>
      </c>
      <c r="N2070" s="5">
        <f>tblSales[[#This Row],[Qty]]*_xlfn.XLOOKUP(tblSales[[#This Row],[Product Code]],tblProducts[Code],tblProducts[Unit Cost],0)</f>
        <v>250000</v>
      </c>
      <c r="O2070" s="4" t="s">
        <v>4866</v>
      </c>
      <c r="P2070" s="4" t="s">
        <v>4861</v>
      </c>
      <c r="Q2070" s="1" t="str">
        <f>_xlfn.XLOOKUP(tblSales[[#This Row],[Channel Code]],tblChannels[Channel Code],tblChannels[Channel Name],"")</f>
        <v>Marketplace</v>
      </c>
      <c r="R2070" s="1">
        <f>MONTH(tblSales[[#This Row],[Date]])</f>
        <v>5</v>
      </c>
    </row>
    <row r="2071" spans="2:18" x14ac:dyDescent="0.35">
      <c r="B2071" s="113">
        <v>46145</v>
      </c>
      <c r="C2071" s="4" t="s">
        <v>1361</v>
      </c>
      <c r="D2071" s="4" t="s">
        <v>4568</v>
      </c>
      <c r="E2071" s="1" t="str">
        <f>_xlfn.XLOOKUP(tblSales[[#This Row],[Customer ID]],tblCustomers[Customer ID],tblCustomers[Customer Name],"⚠ Unknown")</f>
        <v>Walk-in Customer</v>
      </c>
      <c r="F2071" s="4" t="s">
        <v>10</v>
      </c>
      <c r="G2071" s="1" t="str">
        <f>_xlfn.XLOOKUP(tblSales[[#This Row],[Product Code]],tblProducts[Code],tblProducts[Product / Service Name],"⚠ Unknown")</f>
        <v>Chino Pants</v>
      </c>
      <c r="H2071" s="1" t="str">
        <f>_xlfn.XLOOKUP(tblSales[[#This Row],[Product Code]],tblProducts[Code],tblProducts[Category],"")</f>
        <v>Apparel &amp; Footwear</v>
      </c>
      <c r="I2071" s="4">
        <v>3</v>
      </c>
      <c r="J2071" s="5">
        <f>_xlfn.XLOOKUP(tblSales[[#This Row],[Product Code]],tblProducts[Code],tblProducts[Selling Price (excl. VAT)],0)</f>
        <v>150000</v>
      </c>
      <c r="K2071" s="5">
        <f>tblSales[[#This Row],[Qty]]*tblSales[[#This Row],[Unit Price]]</f>
        <v>450000</v>
      </c>
      <c r="L2071" s="5">
        <f>ROUND(tblSales[[#This Row],[DPP (excl. VAT)]]*VATEff,0)</f>
        <v>49500</v>
      </c>
      <c r="M2071" s="5">
        <f>tblSales[[#This Row],[DPP (excl. VAT)]]+tblSales[[#This Row],[Output VAT]]</f>
        <v>499500</v>
      </c>
      <c r="N2071" s="5">
        <f>tblSales[[#This Row],[Qty]]*_xlfn.XLOOKUP(tblSales[[#This Row],[Product Code]],tblProducts[Code],tblProducts[Unit Cost],0)</f>
        <v>264000</v>
      </c>
      <c r="O2071" s="4" t="s">
        <v>4865</v>
      </c>
      <c r="P2071" s="4" t="s">
        <v>4860</v>
      </c>
      <c r="Q2071" s="1" t="str">
        <f>_xlfn.XLOOKUP(tblSales[[#This Row],[Channel Code]],tblChannels[Channel Code],tblChannels[Channel Name],"")</f>
        <v>In-store</v>
      </c>
      <c r="R2071" s="1">
        <f>MONTH(tblSales[[#This Row],[Date]])</f>
        <v>5</v>
      </c>
    </row>
    <row r="2072" spans="2:18" x14ac:dyDescent="0.35">
      <c r="B2072" s="113">
        <v>46145</v>
      </c>
      <c r="C2072" s="4" t="s">
        <v>1362</v>
      </c>
      <c r="D2072" s="4" t="s">
        <v>4585</v>
      </c>
      <c r="E2072" s="1" t="str">
        <f>_xlfn.XLOOKUP(tblSales[[#This Row],[Customer ID]],tblCustomers[Customer ID],tblCustomers[Customer Name],"⚠ Unknown")</f>
        <v>CV Mitra Karya Mandiri</v>
      </c>
      <c r="F2072" s="4" t="s">
        <v>6</v>
      </c>
      <c r="G2072" s="1" t="str">
        <f>_xlfn.XLOOKUP(tblSales[[#This Row],[Product Code]],tblProducts[Code],tblProducts[Product / Service Name],"⚠ Unknown")</f>
        <v>Socks &amp; Accessories</v>
      </c>
      <c r="H2072" s="1" t="str">
        <f>_xlfn.XLOOKUP(tblSales[[#This Row],[Product Code]],tblProducts[Code],tblProducts[Category],"")</f>
        <v>Accessories &amp; Basics</v>
      </c>
      <c r="I2072" s="4">
        <v>80</v>
      </c>
      <c r="J2072" s="5">
        <f>_xlfn.XLOOKUP(tblSales[[#This Row],[Product Code]],tblProducts[Code],tblProducts[Selling Price (excl. VAT)],0)</f>
        <v>45000</v>
      </c>
      <c r="K2072" s="5">
        <f>tblSales[[#This Row],[Qty]]*tblSales[[#This Row],[Unit Price]]</f>
        <v>3600000</v>
      </c>
      <c r="L2072" s="5">
        <f>ROUND(tblSales[[#This Row],[DPP (excl. VAT)]]*VATEff,0)</f>
        <v>396000</v>
      </c>
      <c r="M2072" s="5">
        <f>tblSales[[#This Row],[DPP (excl. VAT)]]+tblSales[[#This Row],[Output VAT]]</f>
        <v>3996000</v>
      </c>
      <c r="N2072" s="5">
        <f>tblSales[[#This Row],[Qty]]*_xlfn.XLOOKUP(tblSales[[#This Row],[Product Code]],tblProducts[Code],tblProducts[Unit Cost],0)</f>
        <v>1920000</v>
      </c>
      <c r="O2072" s="4" t="s">
        <v>4867</v>
      </c>
      <c r="P2072" s="4" t="s">
        <v>4860</v>
      </c>
      <c r="Q2072" s="1" t="str">
        <f>_xlfn.XLOOKUP(tblSales[[#This Row],[Channel Code]],tblChannels[Channel Code],tblChannels[Channel Name],"")</f>
        <v>In-store</v>
      </c>
      <c r="R2072" s="1">
        <f>MONTH(tblSales[[#This Row],[Date]])</f>
        <v>5</v>
      </c>
    </row>
    <row r="2073" spans="2:18" x14ac:dyDescent="0.35">
      <c r="B2073" s="113">
        <v>46145</v>
      </c>
      <c r="C2073" s="4" t="s">
        <v>1363</v>
      </c>
      <c r="D2073" s="4" t="s">
        <v>4568</v>
      </c>
      <c r="E2073" s="1" t="str">
        <f>_xlfn.XLOOKUP(tblSales[[#This Row],[Customer ID]],tblCustomers[Customer ID],tblCustomers[Customer Name],"⚠ Unknown")</f>
        <v>Walk-in Customer</v>
      </c>
      <c r="F2073" s="4" t="s">
        <v>12</v>
      </c>
      <c r="G2073" s="1" t="str">
        <f>_xlfn.XLOOKUP(tblSales[[#This Row],[Product Code]],tblProducts[Code],tblProducts[Product / Service Name],"⚠ Unknown")</f>
        <v>Bomber Jacket</v>
      </c>
      <c r="H2073" s="1" t="str">
        <f>_xlfn.XLOOKUP(tblSales[[#This Row],[Product Code]],tblProducts[Code],tblProducts[Category],"")</f>
        <v>Apparel &amp; Footwear</v>
      </c>
      <c r="I2073" s="4">
        <v>2</v>
      </c>
      <c r="J2073" s="5">
        <f>_xlfn.XLOOKUP(tblSales[[#This Row],[Product Code]],tblProducts[Code],tblProducts[Selling Price (excl. VAT)],0)</f>
        <v>350000</v>
      </c>
      <c r="K2073" s="5">
        <f>tblSales[[#This Row],[Qty]]*tblSales[[#This Row],[Unit Price]]</f>
        <v>700000</v>
      </c>
      <c r="L2073" s="5">
        <f>ROUND(tblSales[[#This Row],[DPP (excl. VAT)]]*VATEff,0)</f>
        <v>77000</v>
      </c>
      <c r="M2073" s="5">
        <f>tblSales[[#This Row],[DPP (excl. VAT)]]+tblSales[[#This Row],[Output VAT]]</f>
        <v>777000</v>
      </c>
      <c r="N2073" s="5">
        <f>tblSales[[#This Row],[Qty]]*_xlfn.XLOOKUP(tblSales[[#This Row],[Product Code]],tblProducts[Code],tblProducts[Unit Cost],0)</f>
        <v>420000</v>
      </c>
      <c r="O2073" s="4" t="s">
        <v>4865</v>
      </c>
      <c r="P2073" s="4" t="s">
        <v>4860</v>
      </c>
      <c r="Q2073" s="1" t="str">
        <f>_xlfn.XLOOKUP(tblSales[[#This Row],[Channel Code]],tblChannels[Channel Code],tblChannels[Channel Name],"")</f>
        <v>In-store</v>
      </c>
      <c r="R2073" s="1">
        <f>MONTH(tblSales[[#This Row],[Date]])</f>
        <v>5</v>
      </c>
    </row>
    <row r="2074" spans="2:18" x14ac:dyDescent="0.35">
      <c r="B2074" s="113">
        <v>46145</v>
      </c>
      <c r="C2074" s="4" t="s">
        <v>1363</v>
      </c>
      <c r="D2074" s="4" t="s">
        <v>4568</v>
      </c>
      <c r="E2074" s="1" t="str">
        <f>_xlfn.XLOOKUP(tblSales[[#This Row],[Customer ID]],tblCustomers[Customer ID],tblCustomers[Customer Name],"⚠ Unknown")</f>
        <v>Walk-in Customer</v>
      </c>
      <c r="F2074" s="4" t="s">
        <v>6</v>
      </c>
      <c r="G2074" s="1" t="str">
        <f>_xlfn.XLOOKUP(tblSales[[#This Row],[Product Code]],tblProducts[Code],tblProducts[Product / Service Name],"⚠ Unknown")</f>
        <v>Socks &amp; Accessories</v>
      </c>
      <c r="H2074" s="1" t="str">
        <f>_xlfn.XLOOKUP(tblSales[[#This Row],[Product Code]],tblProducts[Code],tblProducts[Category],"")</f>
        <v>Accessories &amp; Basics</v>
      </c>
      <c r="I2074" s="4">
        <v>1</v>
      </c>
      <c r="J2074" s="5">
        <f>_xlfn.XLOOKUP(tblSales[[#This Row],[Product Code]],tblProducts[Code],tblProducts[Selling Price (excl. VAT)],0)</f>
        <v>45000</v>
      </c>
      <c r="K2074" s="5">
        <f>tblSales[[#This Row],[Qty]]*tblSales[[#This Row],[Unit Price]]</f>
        <v>45000</v>
      </c>
      <c r="L2074" s="5">
        <f>ROUND(tblSales[[#This Row],[DPP (excl. VAT)]]*VATEff,0)</f>
        <v>4950</v>
      </c>
      <c r="M2074" s="5">
        <f>tblSales[[#This Row],[DPP (excl. VAT)]]+tblSales[[#This Row],[Output VAT]]</f>
        <v>49950</v>
      </c>
      <c r="N2074" s="5">
        <f>tblSales[[#This Row],[Qty]]*_xlfn.XLOOKUP(tblSales[[#This Row],[Product Code]],tblProducts[Code],tblProducts[Unit Cost],0)</f>
        <v>24000</v>
      </c>
      <c r="O2074" s="4" t="s">
        <v>4865</v>
      </c>
      <c r="P2074" s="4" t="s">
        <v>4860</v>
      </c>
      <c r="Q2074" s="1" t="str">
        <f>_xlfn.XLOOKUP(tblSales[[#This Row],[Channel Code]],tblChannels[Channel Code],tblChannels[Channel Name],"")</f>
        <v>In-store</v>
      </c>
      <c r="R2074" s="1">
        <f>MONTH(tblSales[[#This Row],[Date]])</f>
        <v>5</v>
      </c>
    </row>
    <row r="2075" spans="2:18" x14ac:dyDescent="0.35">
      <c r="B2075" s="113">
        <v>46145</v>
      </c>
      <c r="C2075" s="4" t="s">
        <v>1364</v>
      </c>
      <c r="D2075" s="4" t="s">
        <v>4606</v>
      </c>
      <c r="E2075" s="1" t="str">
        <f>_xlfn.XLOOKUP(tblSales[[#This Row],[Customer ID]],tblCustomers[Customer ID],tblCustomers[Customer Name],"⚠ Unknown")</f>
        <v>PT Arunika Digital Kreatif</v>
      </c>
      <c r="F2075" s="4" t="s">
        <v>10</v>
      </c>
      <c r="G2075" s="1" t="str">
        <f>_xlfn.XLOOKUP(tblSales[[#This Row],[Product Code]],tblProducts[Code],tblProducts[Product / Service Name],"⚠ Unknown")</f>
        <v>Chino Pants</v>
      </c>
      <c r="H2075" s="1" t="str">
        <f>_xlfn.XLOOKUP(tblSales[[#This Row],[Product Code]],tblProducts[Code],tblProducts[Category],"")</f>
        <v>Apparel &amp; Footwear</v>
      </c>
      <c r="I2075" s="4">
        <v>56</v>
      </c>
      <c r="J2075" s="5">
        <f>_xlfn.XLOOKUP(tblSales[[#This Row],[Product Code]],tblProducts[Code],tblProducts[Selling Price (excl. VAT)],0)</f>
        <v>150000</v>
      </c>
      <c r="K2075" s="5">
        <f>tblSales[[#This Row],[Qty]]*tblSales[[#This Row],[Unit Price]]</f>
        <v>8400000</v>
      </c>
      <c r="L2075" s="5">
        <f>ROUND(tblSales[[#This Row],[DPP (excl. VAT)]]*VATEff,0)</f>
        <v>924000</v>
      </c>
      <c r="M2075" s="5">
        <f>tblSales[[#This Row],[DPP (excl. VAT)]]+tblSales[[#This Row],[Output VAT]]</f>
        <v>9324000</v>
      </c>
      <c r="N2075" s="5">
        <f>tblSales[[#This Row],[Qty]]*_xlfn.XLOOKUP(tblSales[[#This Row],[Product Code]],tblProducts[Code],tblProducts[Unit Cost],0)</f>
        <v>4928000</v>
      </c>
      <c r="O2075" s="4" t="s">
        <v>4867</v>
      </c>
      <c r="P2075" s="4" t="s">
        <v>4862</v>
      </c>
      <c r="Q2075" s="1" t="str">
        <f>_xlfn.XLOOKUP(tblSales[[#This Row],[Channel Code]],tblChannels[Channel Code],tblChannels[Channel Name],"")</f>
        <v>Website &amp; Social Media</v>
      </c>
      <c r="R2075" s="1">
        <f>MONTH(tblSales[[#This Row],[Date]])</f>
        <v>5</v>
      </c>
    </row>
    <row r="2076" spans="2:18" x14ac:dyDescent="0.35">
      <c r="B2076" s="113">
        <v>46145</v>
      </c>
      <c r="C2076" s="4" t="s">
        <v>1365</v>
      </c>
      <c r="D2076" s="4" t="s">
        <v>4568</v>
      </c>
      <c r="E2076" s="1" t="str">
        <f>_xlfn.XLOOKUP(tblSales[[#This Row],[Customer ID]],tblCustomers[Customer ID],tblCustomers[Customer Name],"⚠ Unknown")</f>
        <v>Walk-in Customer</v>
      </c>
      <c r="F2076" s="4" t="s">
        <v>7</v>
      </c>
      <c r="G2076" s="1" t="str">
        <f>_xlfn.XLOOKUP(tblSales[[#This Row],[Product Code]],tblProducts[Code],tblProducts[Product / Service Name],"⚠ Unknown")</f>
        <v>Premium Basic T-shirt</v>
      </c>
      <c r="H2076" s="1" t="str">
        <f>_xlfn.XLOOKUP(tblSales[[#This Row],[Product Code]],tblProducts[Code],tblProducts[Category],"")</f>
        <v>Accessories &amp; Basics</v>
      </c>
      <c r="I2076" s="4">
        <v>1</v>
      </c>
      <c r="J2076" s="5">
        <f>_xlfn.XLOOKUP(tblSales[[#This Row],[Product Code]],tblProducts[Code],tblProducts[Selling Price (excl. VAT)],0)</f>
        <v>65000</v>
      </c>
      <c r="K2076" s="5">
        <f>tblSales[[#This Row],[Qty]]*tblSales[[#This Row],[Unit Price]]</f>
        <v>65000</v>
      </c>
      <c r="L2076" s="5">
        <f>ROUND(tblSales[[#This Row],[DPP (excl. VAT)]]*VATEff,0)</f>
        <v>7150</v>
      </c>
      <c r="M2076" s="5">
        <f>tblSales[[#This Row],[DPP (excl. VAT)]]+tblSales[[#This Row],[Output VAT]]</f>
        <v>72150</v>
      </c>
      <c r="N2076" s="5">
        <f>tblSales[[#This Row],[Qty]]*_xlfn.XLOOKUP(tblSales[[#This Row],[Product Code]],tblProducts[Code],tblProducts[Unit Cost],0)</f>
        <v>37000</v>
      </c>
      <c r="O2076" s="4" t="s">
        <v>4866</v>
      </c>
      <c r="P2076" s="4" t="s">
        <v>4861</v>
      </c>
      <c r="Q2076" s="1" t="str">
        <f>_xlfn.XLOOKUP(tblSales[[#This Row],[Channel Code]],tblChannels[Channel Code],tblChannels[Channel Name],"")</f>
        <v>Marketplace</v>
      </c>
      <c r="R2076" s="1">
        <f>MONTH(tblSales[[#This Row],[Date]])</f>
        <v>5</v>
      </c>
    </row>
    <row r="2077" spans="2:18" x14ac:dyDescent="0.35">
      <c r="B2077" s="113">
        <v>46145</v>
      </c>
      <c r="C2077" s="4" t="s">
        <v>1365</v>
      </c>
      <c r="D2077" s="4" t="s">
        <v>4568</v>
      </c>
      <c r="E2077" s="1" t="str">
        <f>_xlfn.XLOOKUP(tblSales[[#This Row],[Customer ID]],tblCustomers[Customer ID],tblCustomers[Customer Name],"⚠ Unknown")</f>
        <v>Walk-in Customer</v>
      </c>
      <c r="F2077" s="4" t="s">
        <v>13</v>
      </c>
      <c r="G2077" s="1" t="str">
        <f>_xlfn.XLOOKUP(tblSales[[#This Row],[Product Code]],tblProducts[Code],tblProducts[Product / Service Name],"⚠ Unknown")</f>
        <v>Backpack</v>
      </c>
      <c r="H2077" s="1" t="str">
        <f>_xlfn.XLOOKUP(tblSales[[#This Row],[Product Code]],tblProducts[Code],tblProducts[Category],"")</f>
        <v>Bags &amp; Gadgets</v>
      </c>
      <c r="I2077" s="4">
        <v>5</v>
      </c>
      <c r="J2077" s="5">
        <f>_xlfn.XLOOKUP(tblSales[[#This Row],[Product Code]],tblProducts[Code],tblProducts[Selling Price (excl. VAT)],0)</f>
        <v>500000</v>
      </c>
      <c r="K2077" s="5">
        <f>tblSales[[#This Row],[Qty]]*tblSales[[#This Row],[Unit Price]]</f>
        <v>2500000</v>
      </c>
      <c r="L2077" s="5">
        <f>ROUND(tblSales[[#This Row],[DPP (excl. VAT)]]*VATEff,0)</f>
        <v>275000</v>
      </c>
      <c r="M2077" s="5">
        <f>tblSales[[#This Row],[DPP (excl. VAT)]]+tblSales[[#This Row],[Output VAT]]</f>
        <v>2775000</v>
      </c>
      <c r="N2077" s="5">
        <f>tblSales[[#This Row],[Qty]]*_xlfn.XLOOKUP(tblSales[[#This Row],[Product Code]],tblProducts[Code],tblProducts[Unit Cost],0)</f>
        <v>1450000</v>
      </c>
      <c r="O2077" s="4" t="s">
        <v>4866</v>
      </c>
      <c r="P2077" s="4" t="s">
        <v>4861</v>
      </c>
      <c r="Q2077" s="1" t="str">
        <f>_xlfn.XLOOKUP(tblSales[[#This Row],[Channel Code]],tblChannels[Channel Code],tblChannels[Channel Name],"")</f>
        <v>Marketplace</v>
      </c>
      <c r="R2077" s="1">
        <f>MONTH(tblSales[[#This Row],[Date]])</f>
        <v>5</v>
      </c>
    </row>
    <row r="2078" spans="2:18" x14ac:dyDescent="0.35">
      <c r="B2078" s="113">
        <v>46145</v>
      </c>
      <c r="C2078" s="4" t="s">
        <v>1366</v>
      </c>
      <c r="D2078" s="4" t="s">
        <v>4568</v>
      </c>
      <c r="E2078" s="1" t="str">
        <f>_xlfn.XLOOKUP(tblSales[[#This Row],[Customer ID]],tblCustomers[Customer ID],tblCustomers[Customer Name],"⚠ Unknown")</f>
        <v>Walk-in Customer</v>
      </c>
      <c r="F2078" s="4" t="s">
        <v>8</v>
      </c>
      <c r="G2078" s="1" t="str">
        <f>_xlfn.XLOOKUP(tblSales[[#This Row],[Product Code]],tblProducts[Code],tblProducts[Product / Service Name],"⚠ Unknown")</f>
        <v>Casual Shorts</v>
      </c>
      <c r="H2078" s="1" t="str">
        <f>_xlfn.XLOOKUP(tblSales[[#This Row],[Product Code]],tblProducts[Code],tblProducts[Category],"")</f>
        <v>Accessories &amp; Basics</v>
      </c>
      <c r="I2078" s="4">
        <v>3</v>
      </c>
      <c r="J2078" s="5">
        <f>_xlfn.XLOOKUP(tblSales[[#This Row],[Product Code]],tblProducts[Code],tblProducts[Selling Price (excl. VAT)],0)</f>
        <v>85000</v>
      </c>
      <c r="K2078" s="5">
        <f>tblSales[[#This Row],[Qty]]*tblSales[[#This Row],[Unit Price]]</f>
        <v>255000</v>
      </c>
      <c r="L2078" s="5">
        <f>ROUND(tblSales[[#This Row],[DPP (excl. VAT)]]*VATEff,0)</f>
        <v>28050</v>
      </c>
      <c r="M2078" s="5">
        <f>tblSales[[#This Row],[DPP (excl. VAT)]]+tblSales[[#This Row],[Output VAT]]</f>
        <v>283050</v>
      </c>
      <c r="N2078" s="5">
        <f>tblSales[[#This Row],[Qty]]*_xlfn.XLOOKUP(tblSales[[#This Row],[Product Code]],tblProducts[Code],tblProducts[Unit Cost],0)</f>
        <v>150000</v>
      </c>
      <c r="O2078" s="4" t="s">
        <v>4866</v>
      </c>
      <c r="P2078" s="4" t="s">
        <v>4861</v>
      </c>
      <c r="Q2078" s="1" t="str">
        <f>_xlfn.XLOOKUP(tblSales[[#This Row],[Channel Code]],tblChannels[Channel Code],tblChannels[Channel Name],"")</f>
        <v>Marketplace</v>
      </c>
      <c r="R2078" s="1">
        <f>MONTH(tblSales[[#This Row],[Date]])</f>
        <v>5</v>
      </c>
    </row>
    <row r="2079" spans="2:18" x14ac:dyDescent="0.35">
      <c r="B2079" s="113">
        <v>46145</v>
      </c>
      <c r="C2079" s="4" t="s">
        <v>1366</v>
      </c>
      <c r="D2079" s="4" t="s">
        <v>4568</v>
      </c>
      <c r="E2079" s="1" t="str">
        <f>_xlfn.XLOOKUP(tblSales[[#This Row],[Customer ID]],tblCustomers[Customer ID],tblCustomers[Customer Name],"⚠ Unknown")</f>
        <v>Walk-in Customer</v>
      </c>
      <c r="F2079" s="4" t="s">
        <v>9</v>
      </c>
      <c r="G2079" s="1" t="str">
        <f>_xlfn.XLOOKUP(tblSales[[#This Row],[Product Code]],tblProducts[Code],tblProducts[Product / Service Name],"⚠ Unknown")</f>
        <v>Casual Shirt</v>
      </c>
      <c r="H2079" s="1" t="str">
        <f>_xlfn.XLOOKUP(tblSales[[#This Row],[Product Code]],tblProducts[Code],tblProducts[Category],"")</f>
        <v>Apparel &amp; Footwear</v>
      </c>
      <c r="I2079" s="4">
        <v>10</v>
      </c>
      <c r="J2079" s="5">
        <f>_xlfn.XLOOKUP(tblSales[[#This Row],[Product Code]],tblProducts[Code],tblProducts[Selling Price (excl. VAT)],0)</f>
        <v>120000</v>
      </c>
      <c r="K2079" s="5">
        <f>tblSales[[#This Row],[Qty]]*tblSales[[#This Row],[Unit Price]]</f>
        <v>1200000</v>
      </c>
      <c r="L2079" s="5">
        <f>ROUND(tblSales[[#This Row],[DPP (excl. VAT)]]*VATEff,0)</f>
        <v>132000</v>
      </c>
      <c r="M2079" s="5">
        <f>tblSales[[#This Row],[DPP (excl. VAT)]]+tblSales[[#This Row],[Output VAT]]</f>
        <v>1332000</v>
      </c>
      <c r="N2079" s="5">
        <f>tblSales[[#This Row],[Qty]]*_xlfn.XLOOKUP(tblSales[[#This Row],[Product Code]],tblProducts[Code],tblProducts[Unit Cost],0)</f>
        <v>720000</v>
      </c>
      <c r="O2079" s="4" t="s">
        <v>4866</v>
      </c>
      <c r="P2079" s="4" t="s">
        <v>4861</v>
      </c>
      <c r="Q2079" s="1" t="str">
        <f>_xlfn.XLOOKUP(tblSales[[#This Row],[Channel Code]],tblChannels[Channel Code],tblChannels[Channel Name],"")</f>
        <v>Marketplace</v>
      </c>
      <c r="R2079" s="1">
        <f>MONTH(tblSales[[#This Row],[Date]])</f>
        <v>5</v>
      </c>
    </row>
    <row r="2080" spans="2:18" x14ac:dyDescent="0.35">
      <c r="B2080" s="113">
        <v>46146</v>
      </c>
      <c r="C2080" s="4" t="s">
        <v>1367</v>
      </c>
      <c r="D2080" s="4" t="s">
        <v>4568</v>
      </c>
      <c r="E2080" s="1" t="str">
        <f>_xlfn.XLOOKUP(tblSales[[#This Row],[Customer ID]],tblCustomers[Customer ID],tblCustomers[Customer Name],"⚠ Unknown")</f>
        <v>Walk-in Customer</v>
      </c>
      <c r="F2080" s="4" t="s">
        <v>12</v>
      </c>
      <c r="G2080" s="1" t="str">
        <f>_xlfn.XLOOKUP(tblSales[[#This Row],[Product Code]],tblProducts[Code],tblProducts[Product / Service Name],"⚠ Unknown")</f>
        <v>Bomber Jacket</v>
      </c>
      <c r="H2080" s="1" t="str">
        <f>_xlfn.XLOOKUP(tblSales[[#This Row],[Product Code]],tblProducts[Code],tblProducts[Category],"")</f>
        <v>Apparel &amp; Footwear</v>
      </c>
      <c r="I2080" s="4">
        <v>5</v>
      </c>
      <c r="J2080" s="5">
        <f>_xlfn.XLOOKUP(tblSales[[#This Row],[Product Code]],tblProducts[Code],tblProducts[Selling Price (excl. VAT)],0)</f>
        <v>350000</v>
      </c>
      <c r="K2080" s="5">
        <f>tblSales[[#This Row],[Qty]]*tblSales[[#This Row],[Unit Price]]</f>
        <v>1750000</v>
      </c>
      <c r="L2080" s="5">
        <f>ROUND(tblSales[[#This Row],[DPP (excl. VAT)]]*VATEff,0)</f>
        <v>192500</v>
      </c>
      <c r="M2080" s="5">
        <f>tblSales[[#This Row],[DPP (excl. VAT)]]+tblSales[[#This Row],[Output VAT]]</f>
        <v>1942500</v>
      </c>
      <c r="N2080" s="5">
        <f>tblSales[[#This Row],[Qty]]*_xlfn.XLOOKUP(tblSales[[#This Row],[Product Code]],tblProducts[Code],tblProducts[Unit Cost],0)</f>
        <v>1050000</v>
      </c>
      <c r="O2080" s="4" t="s">
        <v>4866</v>
      </c>
      <c r="P2080" s="4" t="s">
        <v>4860</v>
      </c>
      <c r="Q2080" s="1" t="str">
        <f>_xlfn.XLOOKUP(tblSales[[#This Row],[Channel Code]],tblChannels[Channel Code],tblChannels[Channel Name],"")</f>
        <v>In-store</v>
      </c>
      <c r="R2080" s="1">
        <f>MONTH(tblSales[[#This Row],[Date]])</f>
        <v>5</v>
      </c>
    </row>
    <row r="2081" spans="2:18" x14ac:dyDescent="0.35">
      <c r="B2081" s="113">
        <v>46146</v>
      </c>
      <c r="C2081" s="4" t="s">
        <v>1368</v>
      </c>
      <c r="D2081" s="4" t="s">
        <v>4568</v>
      </c>
      <c r="E2081" s="1" t="str">
        <f>_xlfn.XLOOKUP(tblSales[[#This Row],[Customer ID]],tblCustomers[Customer ID],tblCustomers[Customer Name],"⚠ Unknown")</f>
        <v>Walk-in Customer</v>
      </c>
      <c r="F2081" s="4" t="s">
        <v>9</v>
      </c>
      <c r="G2081" s="1" t="str">
        <f>_xlfn.XLOOKUP(tblSales[[#This Row],[Product Code]],tblProducts[Code],tblProducts[Product / Service Name],"⚠ Unknown")</f>
        <v>Casual Shirt</v>
      </c>
      <c r="H2081" s="1" t="str">
        <f>_xlfn.XLOOKUP(tblSales[[#This Row],[Product Code]],tblProducts[Code],tblProducts[Category],"")</f>
        <v>Apparel &amp; Footwear</v>
      </c>
      <c r="I2081" s="4">
        <v>8</v>
      </c>
      <c r="J2081" s="5">
        <f>_xlfn.XLOOKUP(tblSales[[#This Row],[Product Code]],tblProducts[Code],tblProducts[Selling Price (excl. VAT)],0)</f>
        <v>120000</v>
      </c>
      <c r="K2081" s="5">
        <f>tblSales[[#This Row],[Qty]]*tblSales[[#This Row],[Unit Price]]</f>
        <v>960000</v>
      </c>
      <c r="L2081" s="5">
        <f>ROUND(tblSales[[#This Row],[DPP (excl. VAT)]]*VATEff,0)</f>
        <v>105600</v>
      </c>
      <c r="M2081" s="5">
        <f>tblSales[[#This Row],[DPP (excl. VAT)]]+tblSales[[#This Row],[Output VAT]]</f>
        <v>1065600</v>
      </c>
      <c r="N2081" s="5">
        <f>tblSales[[#This Row],[Qty]]*_xlfn.XLOOKUP(tblSales[[#This Row],[Product Code]],tblProducts[Code],tblProducts[Unit Cost],0)</f>
        <v>576000</v>
      </c>
      <c r="O2081" s="4" t="s">
        <v>4866</v>
      </c>
      <c r="P2081" s="4" t="s">
        <v>4862</v>
      </c>
      <c r="Q2081" s="1" t="str">
        <f>_xlfn.XLOOKUP(tblSales[[#This Row],[Channel Code]],tblChannels[Channel Code],tblChannels[Channel Name],"")</f>
        <v>Website &amp; Social Media</v>
      </c>
      <c r="R2081" s="1">
        <f>MONTH(tblSales[[#This Row],[Date]])</f>
        <v>5</v>
      </c>
    </row>
    <row r="2082" spans="2:18" x14ac:dyDescent="0.35">
      <c r="B2082" s="113">
        <v>46146</v>
      </c>
      <c r="C2082" s="4" t="s">
        <v>1369</v>
      </c>
      <c r="D2082" s="4" t="s">
        <v>4568</v>
      </c>
      <c r="E2082" s="1" t="str">
        <f>_xlfn.XLOOKUP(tblSales[[#This Row],[Customer ID]],tblCustomers[Customer ID],tblCustomers[Customer Name],"⚠ Unknown")</f>
        <v>Walk-in Customer</v>
      </c>
      <c r="F2082" s="4" t="s">
        <v>10</v>
      </c>
      <c r="G2082" s="1" t="str">
        <f>_xlfn.XLOOKUP(tblSales[[#This Row],[Product Code]],tblProducts[Code],tblProducts[Product / Service Name],"⚠ Unknown")</f>
        <v>Chino Pants</v>
      </c>
      <c r="H2082" s="1" t="str">
        <f>_xlfn.XLOOKUP(tblSales[[#This Row],[Product Code]],tblProducts[Code],tblProducts[Category],"")</f>
        <v>Apparel &amp; Footwear</v>
      </c>
      <c r="I2082" s="4">
        <v>6</v>
      </c>
      <c r="J2082" s="5">
        <f>_xlfn.XLOOKUP(tblSales[[#This Row],[Product Code]],tblProducts[Code],tblProducts[Selling Price (excl. VAT)],0)</f>
        <v>150000</v>
      </c>
      <c r="K2082" s="5">
        <f>tblSales[[#This Row],[Qty]]*tblSales[[#This Row],[Unit Price]]</f>
        <v>900000</v>
      </c>
      <c r="L2082" s="5">
        <f>ROUND(tblSales[[#This Row],[DPP (excl. VAT)]]*VATEff,0)</f>
        <v>99000</v>
      </c>
      <c r="M2082" s="5">
        <f>tblSales[[#This Row],[DPP (excl. VAT)]]+tblSales[[#This Row],[Output VAT]]</f>
        <v>999000</v>
      </c>
      <c r="N2082" s="5">
        <f>tblSales[[#This Row],[Qty]]*_xlfn.XLOOKUP(tblSales[[#This Row],[Product Code]],tblProducts[Code],tblProducts[Unit Cost],0)</f>
        <v>528000</v>
      </c>
      <c r="O2082" s="4" t="s">
        <v>4865</v>
      </c>
      <c r="P2082" s="4" t="s">
        <v>4860</v>
      </c>
      <c r="Q2082" s="1" t="str">
        <f>_xlfn.XLOOKUP(tblSales[[#This Row],[Channel Code]],tblChannels[Channel Code],tblChannels[Channel Name],"")</f>
        <v>In-store</v>
      </c>
      <c r="R2082" s="1">
        <f>MONTH(tblSales[[#This Row],[Date]])</f>
        <v>5</v>
      </c>
    </row>
    <row r="2083" spans="2:18" x14ac:dyDescent="0.35">
      <c r="B2083" s="113">
        <v>46146</v>
      </c>
      <c r="C2083" s="4" t="s">
        <v>1369</v>
      </c>
      <c r="D2083" s="4" t="s">
        <v>4568</v>
      </c>
      <c r="E2083" s="1" t="str">
        <f>_xlfn.XLOOKUP(tblSales[[#This Row],[Customer ID]],tblCustomers[Customer ID],tblCustomers[Customer Name],"⚠ Unknown")</f>
        <v>Walk-in Customer</v>
      </c>
      <c r="F2083" s="4" t="s">
        <v>9</v>
      </c>
      <c r="G2083" s="1" t="str">
        <f>_xlfn.XLOOKUP(tblSales[[#This Row],[Product Code]],tblProducts[Code],tblProducts[Product / Service Name],"⚠ Unknown")</f>
        <v>Casual Shirt</v>
      </c>
      <c r="H2083" s="1" t="str">
        <f>_xlfn.XLOOKUP(tblSales[[#This Row],[Product Code]],tblProducts[Code],tblProducts[Category],"")</f>
        <v>Apparel &amp; Footwear</v>
      </c>
      <c r="I2083" s="4">
        <v>8</v>
      </c>
      <c r="J2083" s="5">
        <f>_xlfn.XLOOKUP(tblSales[[#This Row],[Product Code]],tblProducts[Code],tblProducts[Selling Price (excl. VAT)],0)</f>
        <v>120000</v>
      </c>
      <c r="K2083" s="5">
        <f>tblSales[[#This Row],[Qty]]*tblSales[[#This Row],[Unit Price]]</f>
        <v>960000</v>
      </c>
      <c r="L2083" s="5">
        <f>ROUND(tblSales[[#This Row],[DPP (excl. VAT)]]*VATEff,0)</f>
        <v>105600</v>
      </c>
      <c r="M2083" s="5">
        <f>tblSales[[#This Row],[DPP (excl. VAT)]]+tblSales[[#This Row],[Output VAT]]</f>
        <v>1065600</v>
      </c>
      <c r="N2083" s="5">
        <f>tblSales[[#This Row],[Qty]]*_xlfn.XLOOKUP(tblSales[[#This Row],[Product Code]],tblProducts[Code],tblProducts[Unit Cost],0)</f>
        <v>576000</v>
      </c>
      <c r="O2083" s="4" t="s">
        <v>4865</v>
      </c>
      <c r="P2083" s="4" t="s">
        <v>4860</v>
      </c>
      <c r="Q2083" s="1" t="str">
        <f>_xlfn.XLOOKUP(tblSales[[#This Row],[Channel Code]],tblChannels[Channel Code],tblChannels[Channel Name],"")</f>
        <v>In-store</v>
      </c>
      <c r="R2083" s="1">
        <f>MONTH(tblSales[[#This Row],[Date]])</f>
        <v>5</v>
      </c>
    </row>
    <row r="2084" spans="2:18" x14ac:dyDescent="0.35">
      <c r="B2084" s="113">
        <v>46146</v>
      </c>
      <c r="C2084" s="4" t="s">
        <v>1370</v>
      </c>
      <c r="D2084" s="4" t="s">
        <v>4568</v>
      </c>
      <c r="E2084" s="1" t="str">
        <f>_xlfn.XLOOKUP(tblSales[[#This Row],[Customer ID]],tblCustomers[Customer ID],tblCustomers[Customer Name],"⚠ Unknown")</f>
        <v>Walk-in Customer</v>
      </c>
      <c r="F2084" s="4" t="s">
        <v>13</v>
      </c>
      <c r="G2084" s="1" t="str">
        <f>_xlfn.XLOOKUP(tblSales[[#This Row],[Product Code]],tblProducts[Code],tblProducts[Product / Service Name],"⚠ Unknown")</f>
        <v>Backpack</v>
      </c>
      <c r="H2084" s="1" t="str">
        <f>_xlfn.XLOOKUP(tblSales[[#This Row],[Product Code]],tblProducts[Code],tblProducts[Category],"")</f>
        <v>Bags &amp; Gadgets</v>
      </c>
      <c r="I2084" s="4">
        <v>5</v>
      </c>
      <c r="J2084" s="5">
        <f>_xlfn.XLOOKUP(tblSales[[#This Row],[Product Code]],tblProducts[Code],tblProducts[Selling Price (excl. VAT)],0)</f>
        <v>500000</v>
      </c>
      <c r="K2084" s="5">
        <f>tblSales[[#This Row],[Qty]]*tblSales[[#This Row],[Unit Price]]</f>
        <v>2500000</v>
      </c>
      <c r="L2084" s="5">
        <f>ROUND(tblSales[[#This Row],[DPP (excl. VAT)]]*VATEff,0)</f>
        <v>275000</v>
      </c>
      <c r="M2084" s="5">
        <f>tblSales[[#This Row],[DPP (excl. VAT)]]+tblSales[[#This Row],[Output VAT]]</f>
        <v>2775000</v>
      </c>
      <c r="N2084" s="5">
        <f>tblSales[[#This Row],[Qty]]*_xlfn.XLOOKUP(tblSales[[#This Row],[Product Code]],tblProducts[Code],tblProducts[Unit Cost],0)</f>
        <v>1450000</v>
      </c>
      <c r="O2084" s="4" t="s">
        <v>4865</v>
      </c>
      <c r="P2084" s="4" t="s">
        <v>4860</v>
      </c>
      <c r="Q2084" s="1" t="str">
        <f>_xlfn.XLOOKUP(tblSales[[#This Row],[Channel Code]],tblChannels[Channel Code],tblChannels[Channel Name],"")</f>
        <v>In-store</v>
      </c>
      <c r="R2084" s="1">
        <f>MONTH(tblSales[[#This Row],[Date]])</f>
        <v>5</v>
      </c>
    </row>
    <row r="2085" spans="2:18" x14ac:dyDescent="0.35">
      <c r="B2085" s="113">
        <v>46146</v>
      </c>
      <c r="C2085" s="4" t="s">
        <v>1370</v>
      </c>
      <c r="D2085" s="4" t="s">
        <v>4568</v>
      </c>
      <c r="E2085" s="1" t="str">
        <f>_xlfn.XLOOKUP(tblSales[[#This Row],[Customer ID]],tblCustomers[Customer ID],tblCustomers[Customer Name],"⚠ Unknown")</f>
        <v>Walk-in Customer</v>
      </c>
      <c r="F2085" s="4" t="s">
        <v>15</v>
      </c>
      <c r="G2085" s="1" t="str">
        <f>_xlfn.XLOOKUP(tblSales[[#This Row],[Product Code]],tblProducts[Code],tblProducts[Product / Service Name],"⚠ Unknown")</f>
        <v>Wireless Earbuds Pro</v>
      </c>
      <c r="H2085" s="1" t="str">
        <f>_xlfn.XLOOKUP(tblSales[[#This Row],[Product Code]],tblProducts[Code],tblProducts[Category],"")</f>
        <v>Bags &amp; Gadgets</v>
      </c>
      <c r="I2085" s="4">
        <v>1</v>
      </c>
      <c r="J2085" s="5">
        <f>_xlfn.XLOOKUP(tblSales[[#This Row],[Product Code]],tblProducts[Code],tblProducts[Selling Price (excl. VAT)],0)</f>
        <v>1250000</v>
      </c>
      <c r="K2085" s="5">
        <f>tblSales[[#This Row],[Qty]]*tblSales[[#This Row],[Unit Price]]</f>
        <v>1250000</v>
      </c>
      <c r="L2085" s="5">
        <f>ROUND(tblSales[[#This Row],[DPP (excl. VAT)]]*VATEff,0)</f>
        <v>137500</v>
      </c>
      <c r="M2085" s="5">
        <f>tblSales[[#This Row],[DPP (excl. VAT)]]+tblSales[[#This Row],[Output VAT]]</f>
        <v>1387500</v>
      </c>
      <c r="N2085" s="5">
        <f>tblSales[[#This Row],[Qty]]*_xlfn.XLOOKUP(tblSales[[#This Row],[Product Code]],tblProducts[Code],tblProducts[Unit Cost],0)</f>
        <v>820000</v>
      </c>
      <c r="O2085" s="4" t="s">
        <v>4865</v>
      </c>
      <c r="P2085" s="4" t="s">
        <v>4860</v>
      </c>
      <c r="Q2085" s="1" t="str">
        <f>_xlfn.XLOOKUP(tblSales[[#This Row],[Channel Code]],tblChannels[Channel Code],tblChannels[Channel Name],"")</f>
        <v>In-store</v>
      </c>
      <c r="R2085" s="1">
        <f>MONTH(tblSales[[#This Row],[Date]])</f>
        <v>5</v>
      </c>
    </row>
    <row r="2086" spans="2:18" x14ac:dyDescent="0.35">
      <c r="B2086" s="113">
        <v>46146</v>
      </c>
      <c r="C2086" s="4" t="s">
        <v>1370</v>
      </c>
      <c r="D2086" s="4" t="s">
        <v>4568</v>
      </c>
      <c r="E2086" s="1" t="str">
        <f>_xlfn.XLOOKUP(tblSales[[#This Row],[Customer ID]],tblCustomers[Customer ID],tblCustomers[Customer Name],"⚠ Unknown")</f>
        <v>Walk-in Customer</v>
      </c>
      <c r="F2086" s="4" t="s">
        <v>6</v>
      </c>
      <c r="G2086" s="1" t="str">
        <f>_xlfn.XLOOKUP(tblSales[[#This Row],[Product Code]],tblProducts[Code],tblProducts[Product / Service Name],"⚠ Unknown")</f>
        <v>Socks &amp; Accessories</v>
      </c>
      <c r="H2086" s="1" t="str">
        <f>_xlfn.XLOOKUP(tblSales[[#This Row],[Product Code]],tblProducts[Code],tblProducts[Category],"")</f>
        <v>Accessories &amp; Basics</v>
      </c>
      <c r="I2086" s="4">
        <v>11</v>
      </c>
      <c r="J2086" s="5">
        <f>_xlfn.XLOOKUP(tblSales[[#This Row],[Product Code]],tblProducts[Code],tblProducts[Selling Price (excl. VAT)],0)</f>
        <v>45000</v>
      </c>
      <c r="K2086" s="5">
        <f>tblSales[[#This Row],[Qty]]*tblSales[[#This Row],[Unit Price]]</f>
        <v>495000</v>
      </c>
      <c r="L2086" s="5">
        <f>ROUND(tblSales[[#This Row],[DPP (excl. VAT)]]*VATEff,0)</f>
        <v>54450</v>
      </c>
      <c r="M2086" s="5">
        <f>tblSales[[#This Row],[DPP (excl. VAT)]]+tblSales[[#This Row],[Output VAT]]</f>
        <v>549450</v>
      </c>
      <c r="N2086" s="5">
        <f>tblSales[[#This Row],[Qty]]*_xlfn.XLOOKUP(tblSales[[#This Row],[Product Code]],tblProducts[Code],tblProducts[Unit Cost],0)</f>
        <v>264000</v>
      </c>
      <c r="O2086" s="4" t="s">
        <v>4865</v>
      </c>
      <c r="P2086" s="4" t="s">
        <v>4860</v>
      </c>
      <c r="Q2086" s="1" t="str">
        <f>_xlfn.XLOOKUP(tblSales[[#This Row],[Channel Code]],tblChannels[Channel Code],tblChannels[Channel Name],"")</f>
        <v>In-store</v>
      </c>
      <c r="R2086" s="1">
        <f>MONTH(tblSales[[#This Row],[Date]])</f>
        <v>5</v>
      </c>
    </row>
    <row r="2087" spans="2:18" x14ac:dyDescent="0.35">
      <c r="B2087" s="113">
        <v>46146</v>
      </c>
      <c r="C2087" s="4" t="s">
        <v>1371</v>
      </c>
      <c r="D2087" s="4" t="s">
        <v>4568</v>
      </c>
      <c r="E2087" s="1" t="str">
        <f>_xlfn.XLOOKUP(tblSales[[#This Row],[Customer ID]],tblCustomers[Customer ID],tblCustomers[Customer Name],"⚠ Unknown")</f>
        <v>Walk-in Customer</v>
      </c>
      <c r="F2087" s="4" t="s">
        <v>10</v>
      </c>
      <c r="G2087" s="1" t="str">
        <f>_xlfn.XLOOKUP(tblSales[[#This Row],[Product Code]],tblProducts[Code],tblProducts[Product / Service Name],"⚠ Unknown")</f>
        <v>Chino Pants</v>
      </c>
      <c r="H2087" s="1" t="str">
        <f>_xlfn.XLOOKUP(tblSales[[#This Row],[Product Code]],tblProducts[Code],tblProducts[Category],"")</f>
        <v>Apparel &amp; Footwear</v>
      </c>
      <c r="I2087" s="4">
        <v>5</v>
      </c>
      <c r="J2087" s="5">
        <f>_xlfn.XLOOKUP(tblSales[[#This Row],[Product Code]],tblProducts[Code],tblProducts[Selling Price (excl. VAT)],0)</f>
        <v>150000</v>
      </c>
      <c r="K2087" s="5">
        <f>tblSales[[#This Row],[Qty]]*tblSales[[#This Row],[Unit Price]]</f>
        <v>750000</v>
      </c>
      <c r="L2087" s="5">
        <f>ROUND(tblSales[[#This Row],[DPP (excl. VAT)]]*VATEff,0)</f>
        <v>82500</v>
      </c>
      <c r="M2087" s="5">
        <f>tblSales[[#This Row],[DPP (excl. VAT)]]+tblSales[[#This Row],[Output VAT]]</f>
        <v>832500</v>
      </c>
      <c r="N2087" s="5">
        <f>tblSales[[#This Row],[Qty]]*_xlfn.XLOOKUP(tblSales[[#This Row],[Product Code]],tblProducts[Code],tblProducts[Unit Cost],0)</f>
        <v>440000</v>
      </c>
      <c r="O2087" s="4" t="s">
        <v>4866</v>
      </c>
      <c r="P2087" s="4" t="s">
        <v>4862</v>
      </c>
      <c r="Q2087" s="1" t="str">
        <f>_xlfn.XLOOKUP(tblSales[[#This Row],[Channel Code]],tblChannels[Channel Code],tblChannels[Channel Name],"")</f>
        <v>Website &amp; Social Media</v>
      </c>
      <c r="R2087" s="1">
        <f>MONTH(tblSales[[#This Row],[Date]])</f>
        <v>5</v>
      </c>
    </row>
    <row r="2088" spans="2:18" x14ac:dyDescent="0.35">
      <c r="B2088" s="113">
        <v>46146</v>
      </c>
      <c r="C2088" s="4" t="s">
        <v>1372</v>
      </c>
      <c r="D2088" s="4" t="s">
        <v>4568</v>
      </c>
      <c r="E2088" s="1" t="str">
        <f>_xlfn.XLOOKUP(tblSales[[#This Row],[Customer ID]],tblCustomers[Customer ID],tblCustomers[Customer Name],"⚠ Unknown")</f>
        <v>Walk-in Customer</v>
      </c>
      <c r="F2088" s="4" t="s">
        <v>6</v>
      </c>
      <c r="G2088" s="1" t="str">
        <f>_xlfn.XLOOKUP(tblSales[[#This Row],[Product Code]],tblProducts[Code],tblProducts[Product / Service Name],"⚠ Unknown")</f>
        <v>Socks &amp; Accessories</v>
      </c>
      <c r="H2088" s="1" t="str">
        <f>_xlfn.XLOOKUP(tblSales[[#This Row],[Product Code]],tblProducts[Code],tblProducts[Category],"")</f>
        <v>Accessories &amp; Basics</v>
      </c>
      <c r="I2088" s="4">
        <v>9</v>
      </c>
      <c r="J2088" s="5">
        <f>_xlfn.XLOOKUP(tblSales[[#This Row],[Product Code]],tblProducts[Code],tblProducts[Selling Price (excl. VAT)],0)</f>
        <v>45000</v>
      </c>
      <c r="K2088" s="5">
        <f>tblSales[[#This Row],[Qty]]*tblSales[[#This Row],[Unit Price]]</f>
        <v>405000</v>
      </c>
      <c r="L2088" s="5">
        <f>ROUND(tblSales[[#This Row],[DPP (excl. VAT)]]*VATEff,0)</f>
        <v>44550</v>
      </c>
      <c r="M2088" s="5">
        <f>tblSales[[#This Row],[DPP (excl. VAT)]]+tblSales[[#This Row],[Output VAT]]</f>
        <v>449550</v>
      </c>
      <c r="N2088" s="5">
        <f>tblSales[[#This Row],[Qty]]*_xlfn.XLOOKUP(tblSales[[#This Row],[Product Code]],tblProducts[Code],tblProducts[Unit Cost],0)</f>
        <v>216000</v>
      </c>
      <c r="O2088" s="4" t="s">
        <v>4865</v>
      </c>
      <c r="P2088" s="4" t="s">
        <v>4860</v>
      </c>
      <c r="Q2088" s="1" t="str">
        <f>_xlfn.XLOOKUP(tblSales[[#This Row],[Channel Code]],tblChannels[Channel Code],tblChannels[Channel Name],"")</f>
        <v>In-store</v>
      </c>
      <c r="R2088" s="1">
        <f>MONTH(tblSales[[#This Row],[Date]])</f>
        <v>5</v>
      </c>
    </row>
    <row r="2089" spans="2:18" x14ac:dyDescent="0.35">
      <c r="B2089" s="113">
        <v>46146</v>
      </c>
      <c r="C2089" s="4" t="s">
        <v>1372</v>
      </c>
      <c r="D2089" s="4" t="s">
        <v>4568</v>
      </c>
      <c r="E2089" s="1" t="str">
        <f>_xlfn.XLOOKUP(tblSales[[#This Row],[Customer ID]],tblCustomers[Customer ID],tblCustomers[Customer Name],"⚠ Unknown")</f>
        <v>Walk-in Customer</v>
      </c>
      <c r="F2089" s="4" t="s">
        <v>11</v>
      </c>
      <c r="G2089" s="1" t="str">
        <f>_xlfn.XLOOKUP(tblSales[[#This Row],[Product Code]],tblProducts[Code],tblProducts[Product / Service Name],"⚠ Unknown")</f>
        <v>Sneakers</v>
      </c>
      <c r="H2089" s="1" t="str">
        <f>_xlfn.XLOOKUP(tblSales[[#This Row],[Product Code]],tblProducts[Code],tblProducts[Category],"")</f>
        <v>Apparel &amp; Footwear</v>
      </c>
      <c r="I2089" s="4">
        <v>5</v>
      </c>
      <c r="J2089" s="5">
        <f>_xlfn.XLOOKUP(tblSales[[#This Row],[Product Code]],tblProducts[Code],tblProducts[Selling Price (excl. VAT)],0)</f>
        <v>250000</v>
      </c>
      <c r="K2089" s="5">
        <f>tblSales[[#This Row],[Qty]]*tblSales[[#This Row],[Unit Price]]</f>
        <v>1250000</v>
      </c>
      <c r="L2089" s="5">
        <f>ROUND(tblSales[[#This Row],[DPP (excl. VAT)]]*VATEff,0)</f>
        <v>137500</v>
      </c>
      <c r="M2089" s="5">
        <f>tblSales[[#This Row],[DPP (excl. VAT)]]+tblSales[[#This Row],[Output VAT]]</f>
        <v>1387500</v>
      </c>
      <c r="N2089" s="5">
        <f>tblSales[[#This Row],[Qty]]*_xlfn.XLOOKUP(tblSales[[#This Row],[Product Code]],tblProducts[Code],tblProducts[Unit Cost],0)</f>
        <v>775000</v>
      </c>
      <c r="O2089" s="4" t="s">
        <v>4865</v>
      </c>
      <c r="P2089" s="4" t="s">
        <v>4860</v>
      </c>
      <c r="Q2089" s="1" t="str">
        <f>_xlfn.XLOOKUP(tblSales[[#This Row],[Channel Code]],tblChannels[Channel Code],tblChannels[Channel Name],"")</f>
        <v>In-store</v>
      </c>
      <c r="R2089" s="1">
        <f>MONTH(tblSales[[#This Row],[Date]])</f>
        <v>5</v>
      </c>
    </row>
    <row r="2090" spans="2:18" x14ac:dyDescent="0.35">
      <c r="B2090" s="113">
        <v>46146</v>
      </c>
      <c r="C2090" s="4" t="s">
        <v>1372</v>
      </c>
      <c r="D2090" s="4" t="s">
        <v>4568</v>
      </c>
      <c r="E2090" s="1" t="str">
        <f>_xlfn.XLOOKUP(tblSales[[#This Row],[Customer ID]],tblCustomers[Customer ID],tblCustomers[Customer Name],"⚠ Unknown")</f>
        <v>Walk-in Customer</v>
      </c>
      <c r="F2090" s="4" t="s">
        <v>15</v>
      </c>
      <c r="G2090" s="1" t="str">
        <f>_xlfn.XLOOKUP(tblSales[[#This Row],[Product Code]],tblProducts[Code],tblProducts[Product / Service Name],"⚠ Unknown")</f>
        <v>Wireless Earbuds Pro</v>
      </c>
      <c r="H2090" s="1" t="str">
        <f>_xlfn.XLOOKUP(tblSales[[#This Row],[Product Code]],tblProducts[Code],tblProducts[Category],"")</f>
        <v>Bags &amp; Gadgets</v>
      </c>
      <c r="I2090" s="4">
        <v>3</v>
      </c>
      <c r="J2090" s="5">
        <f>_xlfn.XLOOKUP(tblSales[[#This Row],[Product Code]],tblProducts[Code],tblProducts[Selling Price (excl. VAT)],0)</f>
        <v>1250000</v>
      </c>
      <c r="K2090" s="5">
        <f>tblSales[[#This Row],[Qty]]*tblSales[[#This Row],[Unit Price]]</f>
        <v>3750000</v>
      </c>
      <c r="L2090" s="5">
        <f>ROUND(tblSales[[#This Row],[DPP (excl. VAT)]]*VATEff,0)</f>
        <v>412500</v>
      </c>
      <c r="M2090" s="5">
        <f>tblSales[[#This Row],[DPP (excl. VAT)]]+tblSales[[#This Row],[Output VAT]]</f>
        <v>4162500</v>
      </c>
      <c r="N2090" s="5">
        <f>tblSales[[#This Row],[Qty]]*_xlfn.XLOOKUP(tblSales[[#This Row],[Product Code]],tblProducts[Code],tblProducts[Unit Cost],0)</f>
        <v>2460000</v>
      </c>
      <c r="O2090" s="4" t="s">
        <v>4865</v>
      </c>
      <c r="P2090" s="4" t="s">
        <v>4860</v>
      </c>
      <c r="Q2090" s="1" t="str">
        <f>_xlfn.XLOOKUP(tblSales[[#This Row],[Channel Code]],tblChannels[Channel Code],tblChannels[Channel Name],"")</f>
        <v>In-store</v>
      </c>
      <c r="R2090" s="1">
        <f>MONTH(tblSales[[#This Row],[Date]])</f>
        <v>5</v>
      </c>
    </row>
    <row r="2091" spans="2:18" x14ac:dyDescent="0.35">
      <c r="B2091" s="113">
        <v>46146</v>
      </c>
      <c r="C2091" s="4" t="s">
        <v>1373</v>
      </c>
      <c r="D2091" s="4" t="s">
        <v>4568</v>
      </c>
      <c r="E2091" s="1" t="str">
        <f>_xlfn.XLOOKUP(tblSales[[#This Row],[Customer ID]],tblCustomers[Customer ID],tblCustomers[Customer Name],"⚠ Unknown")</f>
        <v>Walk-in Customer</v>
      </c>
      <c r="F2091" s="4" t="s">
        <v>15</v>
      </c>
      <c r="G2091" s="1" t="str">
        <f>_xlfn.XLOOKUP(tblSales[[#This Row],[Product Code]],tblProducts[Code],tblProducts[Product / Service Name],"⚠ Unknown")</f>
        <v>Wireless Earbuds Pro</v>
      </c>
      <c r="H2091" s="1" t="str">
        <f>_xlfn.XLOOKUP(tblSales[[#This Row],[Product Code]],tblProducts[Code],tblProducts[Category],"")</f>
        <v>Bags &amp; Gadgets</v>
      </c>
      <c r="I2091" s="4">
        <v>3</v>
      </c>
      <c r="J2091" s="5">
        <f>_xlfn.XLOOKUP(tblSales[[#This Row],[Product Code]],tblProducts[Code],tblProducts[Selling Price (excl. VAT)],0)</f>
        <v>1250000</v>
      </c>
      <c r="K2091" s="5">
        <f>tblSales[[#This Row],[Qty]]*tblSales[[#This Row],[Unit Price]]</f>
        <v>3750000</v>
      </c>
      <c r="L2091" s="5">
        <f>ROUND(tblSales[[#This Row],[DPP (excl. VAT)]]*VATEff,0)</f>
        <v>412500</v>
      </c>
      <c r="M2091" s="5">
        <f>tblSales[[#This Row],[DPP (excl. VAT)]]+tblSales[[#This Row],[Output VAT]]</f>
        <v>4162500</v>
      </c>
      <c r="N2091" s="5">
        <f>tblSales[[#This Row],[Qty]]*_xlfn.XLOOKUP(tblSales[[#This Row],[Product Code]],tblProducts[Code],tblProducts[Unit Cost],0)</f>
        <v>2460000</v>
      </c>
      <c r="O2091" s="4" t="s">
        <v>4865</v>
      </c>
      <c r="P2091" s="4" t="s">
        <v>4860</v>
      </c>
      <c r="Q2091" s="1" t="str">
        <f>_xlfn.XLOOKUP(tblSales[[#This Row],[Channel Code]],tblChannels[Channel Code],tblChannels[Channel Name],"")</f>
        <v>In-store</v>
      </c>
      <c r="R2091" s="1">
        <f>MONTH(tblSales[[#This Row],[Date]])</f>
        <v>5</v>
      </c>
    </row>
    <row r="2092" spans="2:18" x14ac:dyDescent="0.35">
      <c r="B2092" s="113">
        <v>46146</v>
      </c>
      <c r="C2092" s="4" t="s">
        <v>1373</v>
      </c>
      <c r="D2092" s="4" t="s">
        <v>4568</v>
      </c>
      <c r="E2092" s="1" t="str">
        <f>_xlfn.XLOOKUP(tblSales[[#This Row],[Customer ID]],tblCustomers[Customer ID],tblCustomers[Customer Name],"⚠ Unknown")</f>
        <v>Walk-in Customer</v>
      </c>
      <c r="F2092" s="4" t="s">
        <v>8</v>
      </c>
      <c r="G2092" s="1" t="str">
        <f>_xlfn.XLOOKUP(tblSales[[#This Row],[Product Code]],tblProducts[Code],tblProducts[Product / Service Name],"⚠ Unknown")</f>
        <v>Casual Shorts</v>
      </c>
      <c r="H2092" s="1" t="str">
        <f>_xlfn.XLOOKUP(tblSales[[#This Row],[Product Code]],tblProducts[Code],tblProducts[Category],"")</f>
        <v>Accessories &amp; Basics</v>
      </c>
      <c r="I2092" s="4">
        <v>4</v>
      </c>
      <c r="J2092" s="5">
        <f>_xlfn.XLOOKUP(tblSales[[#This Row],[Product Code]],tblProducts[Code],tblProducts[Selling Price (excl. VAT)],0)</f>
        <v>85000</v>
      </c>
      <c r="K2092" s="5">
        <f>tblSales[[#This Row],[Qty]]*tblSales[[#This Row],[Unit Price]]</f>
        <v>340000</v>
      </c>
      <c r="L2092" s="5">
        <f>ROUND(tblSales[[#This Row],[DPP (excl. VAT)]]*VATEff,0)</f>
        <v>37400</v>
      </c>
      <c r="M2092" s="5">
        <f>tblSales[[#This Row],[DPP (excl. VAT)]]+tblSales[[#This Row],[Output VAT]]</f>
        <v>377400</v>
      </c>
      <c r="N2092" s="5">
        <f>tblSales[[#This Row],[Qty]]*_xlfn.XLOOKUP(tblSales[[#This Row],[Product Code]],tblProducts[Code],tblProducts[Unit Cost],0)</f>
        <v>200000</v>
      </c>
      <c r="O2092" s="4" t="s">
        <v>4865</v>
      </c>
      <c r="P2092" s="4" t="s">
        <v>4860</v>
      </c>
      <c r="Q2092" s="1" t="str">
        <f>_xlfn.XLOOKUP(tblSales[[#This Row],[Channel Code]],tblChannels[Channel Code],tblChannels[Channel Name],"")</f>
        <v>In-store</v>
      </c>
      <c r="R2092" s="1">
        <f>MONTH(tblSales[[#This Row],[Date]])</f>
        <v>5</v>
      </c>
    </row>
    <row r="2093" spans="2:18" x14ac:dyDescent="0.35">
      <c r="B2093" s="113">
        <v>46146</v>
      </c>
      <c r="C2093" s="4" t="s">
        <v>1374</v>
      </c>
      <c r="D2093" s="4" t="s">
        <v>4568</v>
      </c>
      <c r="E2093" s="1" t="str">
        <f>_xlfn.XLOOKUP(tblSales[[#This Row],[Customer ID]],tblCustomers[Customer ID],tblCustomers[Customer Name],"⚠ Unknown")</f>
        <v>Walk-in Customer</v>
      </c>
      <c r="F2093" s="4" t="s">
        <v>8</v>
      </c>
      <c r="G2093" s="1" t="str">
        <f>_xlfn.XLOOKUP(tblSales[[#This Row],[Product Code]],tblProducts[Code],tblProducts[Product / Service Name],"⚠ Unknown")</f>
        <v>Casual Shorts</v>
      </c>
      <c r="H2093" s="1" t="str">
        <f>_xlfn.XLOOKUP(tblSales[[#This Row],[Product Code]],tblProducts[Code],tblProducts[Category],"")</f>
        <v>Accessories &amp; Basics</v>
      </c>
      <c r="I2093" s="4">
        <v>3</v>
      </c>
      <c r="J2093" s="5">
        <f>_xlfn.XLOOKUP(tblSales[[#This Row],[Product Code]],tblProducts[Code],tblProducts[Selling Price (excl. VAT)],0)</f>
        <v>85000</v>
      </c>
      <c r="K2093" s="5">
        <f>tblSales[[#This Row],[Qty]]*tblSales[[#This Row],[Unit Price]]</f>
        <v>255000</v>
      </c>
      <c r="L2093" s="5">
        <f>ROUND(tblSales[[#This Row],[DPP (excl. VAT)]]*VATEff,0)</f>
        <v>28050</v>
      </c>
      <c r="M2093" s="5">
        <f>tblSales[[#This Row],[DPP (excl. VAT)]]+tblSales[[#This Row],[Output VAT]]</f>
        <v>283050</v>
      </c>
      <c r="N2093" s="5">
        <f>tblSales[[#This Row],[Qty]]*_xlfn.XLOOKUP(tblSales[[#This Row],[Product Code]],tblProducts[Code],tblProducts[Unit Cost],0)</f>
        <v>150000</v>
      </c>
      <c r="O2093" s="4" t="s">
        <v>4865</v>
      </c>
      <c r="P2093" s="4" t="s">
        <v>4860</v>
      </c>
      <c r="Q2093" s="1" t="str">
        <f>_xlfn.XLOOKUP(tblSales[[#This Row],[Channel Code]],tblChannels[Channel Code],tblChannels[Channel Name],"")</f>
        <v>In-store</v>
      </c>
      <c r="R2093" s="1">
        <f>MONTH(tblSales[[#This Row],[Date]])</f>
        <v>5</v>
      </c>
    </row>
    <row r="2094" spans="2:18" x14ac:dyDescent="0.35">
      <c r="B2094" s="113">
        <v>46146</v>
      </c>
      <c r="C2094" s="4" t="s">
        <v>1375</v>
      </c>
      <c r="D2094" s="4" t="s">
        <v>4568</v>
      </c>
      <c r="E2094" s="1" t="str">
        <f>_xlfn.XLOOKUP(tblSales[[#This Row],[Customer ID]],tblCustomers[Customer ID],tblCustomers[Customer Name],"⚠ Unknown")</f>
        <v>Walk-in Customer</v>
      </c>
      <c r="F2094" s="4" t="s">
        <v>8</v>
      </c>
      <c r="G2094" s="1" t="str">
        <f>_xlfn.XLOOKUP(tblSales[[#This Row],[Product Code]],tblProducts[Code],tblProducts[Product / Service Name],"⚠ Unknown")</f>
        <v>Casual Shorts</v>
      </c>
      <c r="H2094" s="1" t="str">
        <f>_xlfn.XLOOKUP(tblSales[[#This Row],[Product Code]],tblProducts[Code],tblProducts[Category],"")</f>
        <v>Accessories &amp; Basics</v>
      </c>
      <c r="I2094" s="4">
        <v>2</v>
      </c>
      <c r="J2094" s="5">
        <f>_xlfn.XLOOKUP(tblSales[[#This Row],[Product Code]],tblProducts[Code],tblProducts[Selling Price (excl. VAT)],0)</f>
        <v>85000</v>
      </c>
      <c r="K2094" s="5">
        <f>tblSales[[#This Row],[Qty]]*tblSales[[#This Row],[Unit Price]]</f>
        <v>170000</v>
      </c>
      <c r="L2094" s="5">
        <f>ROUND(tblSales[[#This Row],[DPP (excl. VAT)]]*VATEff,0)</f>
        <v>18700</v>
      </c>
      <c r="M2094" s="5">
        <f>tblSales[[#This Row],[DPP (excl. VAT)]]+tblSales[[#This Row],[Output VAT]]</f>
        <v>188700</v>
      </c>
      <c r="N2094" s="5">
        <f>tblSales[[#This Row],[Qty]]*_xlfn.XLOOKUP(tblSales[[#This Row],[Product Code]],tblProducts[Code],tblProducts[Unit Cost],0)</f>
        <v>100000</v>
      </c>
      <c r="O2094" s="4" t="s">
        <v>4866</v>
      </c>
      <c r="P2094" s="4" t="s">
        <v>4860</v>
      </c>
      <c r="Q2094" s="1" t="str">
        <f>_xlfn.XLOOKUP(tblSales[[#This Row],[Channel Code]],tblChannels[Channel Code],tblChannels[Channel Name],"")</f>
        <v>In-store</v>
      </c>
      <c r="R2094" s="1">
        <f>MONTH(tblSales[[#This Row],[Date]])</f>
        <v>5</v>
      </c>
    </row>
    <row r="2095" spans="2:18" x14ac:dyDescent="0.35">
      <c r="B2095" s="113">
        <v>46147</v>
      </c>
      <c r="C2095" s="4" t="s">
        <v>1376</v>
      </c>
      <c r="D2095" s="4" t="s">
        <v>4568</v>
      </c>
      <c r="E2095" s="1" t="str">
        <f>_xlfn.XLOOKUP(tblSales[[#This Row],[Customer ID]],tblCustomers[Customer ID],tblCustomers[Customer Name],"⚠ Unknown")</f>
        <v>Walk-in Customer</v>
      </c>
      <c r="F2095" s="4" t="s">
        <v>6</v>
      </c>
      <c r="G2095" s="1" t="str">
        <f>_xlfn.XLOOKUP(tblSales[[#This Row],[Product Code]],tblProducts[Code],tblProducts[Product / Service Name],"⚠ Unknown")</f>
        <v>Socks &amp; Accessories</v>
      </c>
      <c r="H2095" s="1" t="str">
        <f>_xlfn.XLOOKUP(tblSales[[#This Row],[Product Code]],tblProducts[Code],tblProducts[Category],"")</f>
        <v>Accessories &amp; Basics</v>
      </c>
      <c r="I2095" s="4">
        <v>8</v>
      </c>
      <c r="J2095" s="5">
        <f>_xlfn.XLOOKUP(tblSales[[#This Row],[Product Code]],tblProducts[Code],tblProducts[Selling Price (excl. VAT)],0)</f>
        <v>45000</v>
      </c>
      <c r="K2095" s="5">
        <f>tblSales[[#This Row],[Qty]]*tblSales[[#This Row],[Unit Price]]</f>
        <v>360000</v>
      </c>
      <c r="L2095" s="5">
        <f>ROUND(tblSales[[#This Row],[DPP (excl. VAT)]]*VATEff,0)</f>
        <v>39600</v>
      </c>
      <c r="M2095" s="5">
        <f>tblSales[[#This Row],[DPP (excl. VAT)]]+tblSales[[#This Row],[Output VAT]]</f>
        <v>399600</v>
      </c>
      <c r="N2095" s="5">
        <f>tblSales[[#This Row],[Qty]]*_xlfn.XLOOKUP(tblSales[[#This Row],[Product Code]],tblProducts[Code],tblProducts[Unit Cost],0)</f>
        <v>192000</v>
      </c>
      <c r="O2095" s="4" t="s">
        <v>4865</v>
      </c>
      <c r="P2095" s="4" t="s">
        <v>4860</v>
      </c>
      <c r="Q2095" s="1" t="str">
        <f>_xlfn.XLOOKUP(tblSales[[#This Row],[Channel Code]],tblChannels[Channel Code],tblChannels[Channel Name],"")</f>
        <v>In-store</v>
      </c>
      <c r="R2095" s="1">
        <f>MONTH(tblSales[[#This Row],[Date]])</f>
        <v>5</v>
      </c>
    </row>
    <row r="2096" spans="2:18" x14ac:dyDescent="0.35">
      <c r="B2096" s="113">
        <v>46147</v>
      </c>
      <c r="C2096" s="4" t="s">
        <v>1377</v>
      </c>
      <c r="D2096" s="4" t="s">
        <v>4568</v>
      </c>
      <c r="E2096" s="1" t="str">
        <f>_xlfn.XLOOKUP(tblSales[[#This Row],[Customer ID]],tblCustomers[Customer ID],tblCustomers[Customer Name],"⚠ Unknown")</f>
        <v>Walk-in Customer</v>
      </c>
      <c r="F2096" s="4" t="s">
        <v>6</v>
      </c>
      <c r="G2096" s="1" t="str">
        <f>_xlfn.XLOOKUP(tblSales[[#This Row],[Product Code]],tblProducts[Code],tblProducts[Product / Service Name],"⚠ Unknown")</f>
        <v>Socks &amp; Accessories</v>
      </c>
      <c r="H2096" s="1" t="str">
        <f>_xlfn.XLOOKUP(tblSales[[#This Row],[Product Code]],tblProducts[Code],tblProducts[Category],"")</f>
        <v>Accessories &amp; Basics</v>
      </c>
      <c r="I2096" s="4">
        <v>2</v>
      </c>
      <c r="J2096" s="5">
        <f>_xlfn.XLOOKUP(tblSales[[#This Row],[Product Code]],tblProducts[Code],tblProducts[Selling Price (excl. VAT)],0)</f>
        <v>45000</v>
      </c>
      <c r="K2096" s="5">
        <f>tblSales[[#This Row],[Qty]]*tblSales[[#This Row],[Unit Price]]</f>
        <v>90000</v>
      </c>
      <c r="L2096" s="5">
        <f>ROUND(tblSales[[#This Row],[DPP (excl. VAT)]]*VATEff,0)</f>
        <v>9900</v>
      </c>
      <c r="M2096" s="5">
        <f>tblSales[[#This Row],[DPP (excl. VAT)]]+tblSales[[#This Row],[Output VAT]]</f>
        <v>99900</v>
      </c>
      <c r="N2096" s="5">
        <f>tblSales[[#This Row],[Qty]]*_xlfn.XLOOKUP(tblSales[[#This Row],[Product Code]],tblProducts[Code],tblProducts[Unit Cost],0)</f>
        <v>48000</v>
      </c>
      <c r="O2096" s="4" t="s">
        <v>4865</v>
      </c>
      <c r="P2096" s="4" t="s">
        <v>4860</v>
      </c>
      <c r="Q2096" s="1" t="str">
        <f>_xlfn.XLOOKUP(tblSales[[#This Row],[Channel Code]],tblChannels[Channel Code],tblChannels[Channel Name],"")</f>
        <v>In-store</v>
      </c>
      <c r="R2096" s="1">
        <f>MONTH(tblSales[[#This Row],[Date]])</f>
        <v>5</v>
      </c>
    </row>
    <row r="2097" spans="2:18" x14ac:dyDescent="0.35">
      <c r="B2097" s="113">
        <v>46147</v>
      </c>
      <c r="C2097" s="4" t="s">
        <v>1378</v>
      </c>
      <c r="D2097" s="4" t="s">
        <v>4568</v>
      </c>
      <c r="E2097" s="1" t="str">
        <f>_xlfn.XLOOKUP(tblSales[[#This Row],[Customer ID]],tblCustomers[Customer ID],tblCustomers[Customer Name],"⚠ Unknown")</f>
        <v>Walk-in Customer</v>
      </c>
      <c r="F2097" s="4" t="s">
        <v>10</v>
      </c>
      <c r="G2097" s="1" t="str">
        <f>_xlfn.XLOOKUP(tblSales[[#This Row],[Product Code]],tblProducts[Code],tblProducts[Product / Service Name],"⚠ Unknown")</f>
        <v>Chino Pants</v>
      </c>
      <c r="H2097" s="1" t="str">
        <f>_xlfn.XLOOKUP(tblSales[[#This Row],[Product Code]],tblProducts[Code],tblProducts[Category],"")</f>
        <v>Apparel &amp; Footwear</v>
      </c>
      <c r="I2097" s="4">
        <v>10</v>
      </c>
      <c r="J2097" s="5">
        <f>_xlfn.XLOOKUP(tblSales[[#This Row],[Product Code]],tblProducts[Code],tblProducts[Selling Price (excl. VAT)],0)</f>
        <v>150000</v>
      </c>
      <c r="K2097" s="5">
        <f>tblSales[[#This Row],[Qty]]*tblSales[[#This Row],[Unit Price]]</f>
        <v>1500000</v>
      </c>
      <c r="L2097" s="5">
        <f>ROUND(tblSales[[#This Row],[DPP (excl. VAT)]]*VATEff,0)</f>
        <v>165000</v>
      </c>
      <c r="M2097" s="5">
        <f>tblSales[[#This Row],[DPP (excl. VAT)]]+tblSales[[#This Row],[Output VAT]]</f>
        <v>1665000</v>
      </c>
      <c r="N2097" s="5">
        <f>tblSales[[#This Row],[Qty]]*_xlfn.XLOOKUP(tblSales[[#This Row],[Product Code]],tblProducts[Code],tblProducts[Unit Cost],0)</f>
        <v>880000</v>
      </c>
      <c r="O2097" s="4" t="s">
        <v>4865</v>
      </c>
      <c r="P2097" s="4" t="s">
        <v>4860</v>
      </c>
      <c r="Q2097" s="1" t="str">
        <f>_xlfn.XLOOKUP(tblSales[[#This Row],[Channel Code]],tblChannels[Channel Code],tblChannels[Channel Name],"")</f>
        <v>In-store</v>
      </c>
      <c r="R2097" s="1">
        <f>MONTH(tblSales[[#This Row],[Date]])</f>
        <v>5</v>
      </c>
    </row>
    <row r="2098" spans="2:18" x14ac:dyDescent="0.35">
      <c r="B2098" s="113">
        <v>46147</v>
      </c>
      <c r="C2098" s="4" t="s">
        <v>1379</v>
      </c>
      <c r="D2098" s="4" t="s">
        <v>4568</v>
      </c>
      <c r="E2098" s="1" t="str">
        <f>_xlfn.XLOOKUP(tblSales[[#This Row],[Customer ID]],tblCustomers[Customer ID],tblCustomers[Customer Name],"⚠ Unknown")</f>
        <v>Walk-in Customer</v>
      </c>
      <c r="F2098" s="4" t="s">
        <v>8</v>
      </c>
      <c r="G2098" s="1" t="str">
        <f>_xlfn.XLOOKUP(tblSales[[#This Row],[Product Code]],tblProducts[Code],tblProducts[Product / Service Name],"⚠ Unknown")</f>
        <v>Casual Shorts</v>
      </c>
      <c r="H2098" s="1" t="str">
        <f>_xlfn.XLOOKUP(tblSales[[#This Row],[Product Code]],tblProducts[Code],tblProducts[Category],"")</f>
        <v>Accessories &amp; Basics</v>
      </c>
      <c r="I2098" s="4">
        <v>11</v>
      </c>
      <c r="J2098" s="5">
        <f>_xlfn.XLOOKUP(tblSales[[#This Row],[Product Code]],tblProducts[Code],tblProducts[Selling Price (excl. VAT)],0)</f>
        <v>85000</v>
      </c>
      <c r="K2098" s="5">
        <f>tblSales[[#This Row],[Qty]]*tblSales[[#This Row],[Unit Price]]</f>
        <v>935000</v>
      </c>
      <c r="L2098" s="5">
        <f>ROUND(tblSales[[#This Row],[DPP (excl. VAT)]]*VATEff,0)</f>
        <v>102850</v>
      </c>
      <c r="M2098" s="5">
        <f>tblSales[[#This Row],[DPP (excl. VAT)]]+tblSales[[#This Row],[Output VAT]]</f>
        <v>1037850</v>
      </c>
      <c r="N2098" s="5">
        <f>tblSales[[#This Row],[Qty]]*_xlfn.XLOOKUP(tblSales[[#This Row],[Product Code]],tblProducts[Code],tblProducts[Unit Cost],0)</f>
        <v>550000</v>
      </c>
      <c r="O2098" s="4" t="s">
        <v>4865</v>
      </c>
      <c r="P2098" s="4" t="s">
        <v>4860</v>
      </c>
      <c r="Q2098" s="1" t="str">
        <f>_xlfn.XLOOKUP(tblSales[[#This Row],[Channel Code]],tblChannels[Channel Code],tblChannels[Channel Name],"")</f>
        <v>In-store</v>
      </c>
      <c r="R2098" s="1">
        <f>MONTH(tblSales[[#This Row],[Date]])</f>
        <v>5</v>
      </c>
    </row>
    <row r="2099" spans="2:18" x14ac:dyDescent="0.35">
      <c r="B2099" s="113">
        <v>46147</v>
      </c>
      <c r="C2099" s="4" t="s">
        <v>1380</v>
      </c>
      <c r="D2099" s="4" t="s">
        <v>4648</v>
      </c>
      <c r="E2099" s="1" t="str">
        <f>_xlfn.XLOOKUP(tblSales[[#This Row],[Customer ID]],tblCustomers[Customer ID],tblCustomers[Customer Name],"⚠ Unknown")</f>
        <v>PT Lintas Benua Niaga</v>
      </c>
      <c r="F2099" s="4" t="s">
        <v>6</v>
      </c>
      <c r="G2099" s="1" t="str">
        <f>_xlfn.XLOOKUP(tblSales[[#This Row],[Product Code]],tblProducts[Code],tblProducts[Product / Service Name],"⚠ Unknown")</f>
        <v>Socks &amp; Accessories</v>
      </c>
      <c r="H2099" s="1" t="str">
        <f>_xlfn.XLOOKUP(tblSales[[#This Row],[Product Code]],tblProducts[Code],tblProducts[Category],"")</f>
        <v>Accessories &amp; Basics</v>
      </c>
      <c r="I2099" s="4">
        <v>96</v>
      </c>
      <c r="J2099" s="5">
        <f>_xlfn.XLOOKUP(tblSales[[#This Row],[Product Code]],tblProducts[Code],tblProducts[Selling Price (excl. VAT)],0)</f>
        <v>45000</v>
      </c>
      <c r="K2099" s="5">
        <f>tblSales[[#This Row],[Qty]]*tblSales[[#This Row],[Unit Price]]</f>
        <v>4320000</v>
      </c>
      <c r="L2099" s="5">
        <f>ROUND(tblSales[[#This Row],[DPP (excl. VAT)]]*VATEff,0)</f>
        <v>475200</v>
      </c>
      <c r="M2099" s="5">
        <f>tblSales[[#This Row],[DPP (excl. VAT)]]+tblSales[[#This Row],[Output VAT]]</f>
        <v>4795200</v>
      </c>
      <c r="N2099" s="5">
        <f>tblSales[[#This Row],[Qty]]*_xlfn.XLOOKUP(tblSales[[#This Row],[Product Code]],tblProducts[Code],tblProducts[Unit Cost],0)</f>
        <v>2304000</v>
      </c>
      <c r="O2099" s="4" t="s">
        <v>4867</v>
      </c>
      <c r="P2099" s="4" t="s">
        <v>4860</v>
      </c>
      <c r="Q2099" s="1" t="str">
        <f>_xlfn.XLOOKUP(tblSales[[#This Row],[Channel Code]],tblChannels[Channel Code],tblChannels[Channel Name],"")</f>
        <v>In-store</v>
      </c>
      <c r="R2099" s="1">
        <f>MONTH(tblSales[[#This Row],[Date]])</f>
        <v>5</v>
      </c>
    </row>
    <row r="2100" spans="2:18" x14ac:dyDescent="0.35">
      <c r="B2100" s="113">
        <v>46147</v>
      </c>
      <c r="C2100" s="4" t="s">
        <v>1381</v>
      </c>
      <c r="D2100" s="4" t="s">
        <v>4568</v>
      </c>
      <c r="E2100" s="1" t="str">
        <f>_xlfn.XLOOKUP(tblSales[[#This Row],[Customer ID]],tblCustomers[Customer ID],tblCustomers[Customer Name],"⚠ Unknown")</f>
        <v>Walk-in Customer</v>
      </c>
      <c r="F2100" s="4" t="s">
        <v>13</v>
      </c>
      <c r="G2100" s="1" t="str">
        <f>_xlfn.XLOOKUP(tblSales[[#This Row],[Product Code]],tblProducts[Code],tblProducts[Product / Service Name],"⚠ Unknown")</f>
        <v>Backpack</v>
      </c>
      <c r="H2100" s="1" t="str">
        <f>_xlfn.XLOOKUP(tblSales[[#This Row],[Product Code]],tblProducts[Code],tblProducts[Category],"")</f>
        <v>Bags &amp; Gadgets</v>
      </c>
      <c r="I2100" s="4">
        <v>2</v>
      </c>
      <c r="J2100" s="5">
        <f>_xlfn.XLOOKUP(tblSales[[#This Row],[Product Code]],tblProducts[Code],tblProducts[Selling Price (excl. VAT)],0)</f>
        <v>500000</v>
      </c>
      <c r="K2100" s="5">
        <f>tblSales[[#This Row],[Qty]]*tblSales[[#This Row],[Unit Price]]</f>
        <v>1000000</v>
      </c>
      <c r="L2100" s="5">
        <f>ROUND(tblSales[[#This Row],[DPP (excl. VAT)]]*VATEff,0)</f>
        <v>110000</v>
      </c>
      <c r="M2100" s="5">
        <f>tblSales[[#This Row],[DPP (excl. VAT)]]+tblSales[[#This Row],[Output VAT]]</f>
        <v>1110000</v>
      </c>
      <c r="N2100" s="5">
        <f>tblSales[[#This Row],[Qty]]*_xlfn.XLOOKUP(tblSales[[#This Row],[Product Code]],tblProducts[Code],tblProducts[Unit Cost],0)</f>
        <v>580000</v>
      </c>
      <c r="O2100" s="4" t="s">
        <v>4866</v>
      </c>
      <c r="P2100" s="4" t="s">
        <v>4860</v>
      </c>
      <c r="Q2100" s="1" t="str">
        <f>_xlfn.XLOOKUP(tblSales[[#This Row],[Channel Code]],tblChannels[Channel Code],tblChannels[Channel Name],"")</f>
        <v>In-store</v>
      </c>
      <c r="R2100" s="1">
        <f>MONTH(tblSales[[#This Row],[Date]])</f>
        <v>5</v>
      </c>
    </row>
    <row r="2101" spans="2:18" x14ac:dyDescent="0.35">
      <c r="B2101" s="113">
        <v>46147</v>
      </c>
      <c r="C2101" s="4" t="s">
        <v>1382</v>
      </c>
      <c r="D2101" s="4" t="s">
        <v>4627</v>
      </c>
      <c r="E2101" s="1" t="str">
        <f>_xlfn.XLOOKUP(tblSales[[#This Row],[Customer ID]],tblCustomers[Customer ID],tblCustomers[Customer Name],"⚠ Unknown")</f>
        <v>PT Kencana Wira Usaha</v>
      </c>
      <c r="F2101" s="4" t="s">
        <v>7</v>
      </c>
      <c r="G2101" s="1" t="str">
        <f>_xlfn.XLOOKUP(tblSales[[#This Row],[Product Code]],tblProducts[Code],tblProducts[Product / Service Name],"⚠ Unknown")</f>
        <v>Premium Basic T-shirt</v>
      </c>
      <c r="H2101" s="1" t="str">
        <f>_xlfn.XLOOKUP(tblSales[[#This Row],[Product Code]],tblProducts[Code],tblProducts[Category],"")</f>
        <v>Accessories &amp; Basics</v>
      </c>
      <c r="I2101" s="4">
        <v>24</v>
      </c>
      <c r="J2101" s="5">
        <f>_xlfn.XLOOKUP(tblSales[[#This Row],[Product Code]],tblProducts[Code],tblProducts[Selling Price (excl. VAT)],0)</f>
        <v>65000</v>
      </c>
      <c r="K2101" s="5">
        <f>tblSales[[#This Row],[Qty]]*tblSales[[#This Row],[Unit Price]]</f>
        <v>1560000</v>
      </c>
      <c r="L2101" s="5">
        <f>ROUND(tblSales[[#This Row],[DPP (excl. VAT)]]*VATEff,0)</f>
        <v>171600</v>
      </c>
      <c r="M2101" s="5">
        <f>tblSales[[#This Row],[DPP (excl. VAT)]]+tblSales[[#This Row],[Output VAT]]</f>
        <v>1731600</v>
      </c>
      <c r="N2101" s="5">
        <f>tblSales[[#This Row],[Qty]]*_xlfn.XLOOKUP(tblSales[[#This Row],[Product Code]],tblProducts[Code],tblProducts[Unit Cost],0)</f>
        <v>888000</v>
      </c>
      <c r="O2101" s="4" t="s">
        <v>4867</v>
      </c>
      <c r="P2101" s="4" t="s">
        <v>4860</v>
      </c>
      <c r="Q2101" s="1" t="str">
        <f>_xlfn.XLOOKUP(tblSales[[#This Row],[Channel Code]],tblChannels[Channel Code],tblChannels[Channel Name],"")</f>
        <v>In-store</v>
      </c>
      <c r="R2101" s="1">
        <f>MONTH(tblSales[[#This Row],[Date]])</f>
        <v>5</v>
      </c>
    </row>
    <row r="2102" spans="2:18" x14ac:dyDescent="0.35">
      <c r="B2102" s="113">
        <v>46147</v>
      </c>
      <c r="C2102" s="4" t="s">
        <v>1382</v>
      </c>
      <c r="D2102" s="4" t="s">
        <v>4627</v>
      </c>
      <c r="E2102" s="1" t="str">
        <f>_xlfn.XLOOKUP(tblSales[[#This Row],[Customer ID]],tblCustomers[Customer ID],tblCustomers[Customer Name],"⚠ Unknown")</f>
        <v>PT Kencana Wira Usaha</v>
      </c>
      <c r="F2102" s="4" t="s">
        <v>14</v>
      </c>
      <c r="G2102" s="1" t="str">
        <f>_xlfn.XLOOKUP(tblSales[[#This Row],[Product Code]],tblProducts[Code],tblProducts[Product / Service Name],"⚠ Unknown")</f>
        <v>Smartwatch</v>
      </c>
      <c r="H2102" s="1" t="str">
        <f>_xlfn.XLOOKUP(tblSales[[#This Row],[Product Code]],tblProducts[Code],tblProducts[Category],"")</f>
        <v>Bags &amp; Gadgets</v>
      </c>
      <c r="I2102" s="4">
        <v>8</v>
      </c>
      <c r="J2102" s="5">
        <f>_xlfn.XLOOKUP(tblSales[[#This Row],[Product Code]],tblProducts[Code],tblProducts[Selling Price (excl. VAT)],0)</f>
        <v>850000</v>
      </c>
      <c r="K2102" s="5">
        <f>tblSales[[#This Row],[Qty]]*tblSales[[#This Row],[Unit Price]]</f>
        <v>6800000</v>
      </c>
      <c r="L2102" s="5">
        <f>ROUND(tblSales[[#This Row],[DPP (excl. VAT)]]*VATEff,0)</f>
        <v>748000</v>
      </c>
      <c r="M2102" s="5">
        <f>tblSales[[#This Row],[DPP (excl. VAT)]]+tblSales[[#This Row],[Output VAT]]</f>
        <v>7548000</v>
      </c>
      <c r="N2102" s="5">
        <f>tblSales[[#This Row],[Qty]]*_xlfn.XLOOKUP(tblSales[[#This Row],[Product Code]],tblProducts[Code],tblProducts[Unit Cost],0)</f>
        <v>4480000</v>
      </c>
      <c r="O2102" s="4" t="s">
        <v>4867</v>
      </c>
      <c r="P2102" s="4" t="s">
        <v>4860</v>
      </c>
      <c r="Q2102" s="1" t="str">
        <f>_xlfn.XLOOKUP(tblSales[[#This Row],[Channel Code]],tblChannels[Channel Code],tblChannels[Channel Name],"")</f>
        <v>In-store</v>
      </c>
      <c r="R2102" s="1">
        <f>MONTH(tblSales[[#This Row],[Date]])</f>
        <v>5</v>
      </c>
    </row>
    <row r="2103" spans="2:18" x14ac:dyDescent="0.35">
      <c r="B2103" s="113">
        <v>46147</v>
      </c>
      <c r="C2103" s="4" t="s">
        <v>1382</v>
      </c>
      <c r="D2103" s="4" t="s">
        <v>4627</v>
      </c>
      <c r="E2103" s="1" t="str">
        <f>_xlfn.XLOOKUP(tblSales[[#This Row],[Customer ID]],tblCustomers[Customer ID],tblCustomers[Customer Name],"⚠ Unknown")</f>
        <v>PT Kencana Wira Usaha</v>
      </c>
      <c r="F2103" s="4" t="s">
        <v>9</v>
      </c>
      <c r="G2103" s="1" t="str">
        <f>_xlfn.XLOOKUP(tblSales[[#This Row],[Product Code]],tblProducts[Code],tblProducts[Product / Service Name],"⚠ Unknown")</f>
        <v>Casual Shirt</v>
      </c>
      <c r="H2103" s="1" t="str">
        <f>_xlfn.XLOOKUP(tblSales[[#This Row],[Product Code]],tblProducts[Code],tblProducts[Category],"")</f>
        <v>Apparel &amp; Footwear</v>
      </c>
      <c r="I2103" s="4">
        <v>88</v>
      </c>
      <c r="J2103" s="5">
        <f>_xlfn.XLOOKUP(tblSales[[#This Row],[Product Code]],tblProducts[Code],tblProducts[Selling Price (excl. VAT)],0)</f>
        <v>120000</v>
      </c>
      <c r="K2103" s="5">
        <f>tblSales[[#This Row],[Qty]]*tblSales[[#This Row],[Unit Price]]</f>
        <v>10560000</v>
      </c>
      <c r="L2103" s="5">
        <f>ROUND(tblSales[[#This Row],[DPP (excl. VAT)]]*VATEff,0)</f>
        <v>1161600</v>
      </c>
      <c r="M2103" s="5">
        <f>tblSales[[#This Row],[DPP (excl. VAT)]]+tblSales[[#This Row],[Output VAT]]</f>
        <v>11721600</v>
      </c>
      <c r="N2103" s="5">
        <f>tblSales[[#This Row],[Qty]]*_xlfn.XLOOKUP(tblSales[[#This Row],[Product Code]],tblProducts[Code],tblProducts[Unit Cost],0)</f>
        <v>6336000</v>
      </c>
      <c r="O2103" s="4" t="s">
        <v>4867</v>
      </c>
      <c r="P2103" s="4" t="s">
        <v>4860</v>
      </c>
      <c r="Q2103" s="1" t="str">
        <f>_xlfn.XLOOKUP(tblSales[[#This Row],[Channel Code]],tblChannels[Channel Code],tblChannels[Channel Name],"")</f>
        <v>In-store</v>
      </c>
      <c r="R2103" s="1">
        <f>MONTH(tblSales[[#This Row],[Date]])</f>
        <v>5</v>
      </c>
    </row>
    <row r="2104" spans="2:18" x14ac:dyDescent="0.35">
      <c r="B2104" s="113">
        <v>46147</v>
      </c>
      <c r="C2104" s="4" t="s">
        <v>1383</v>
      </c>
      <c r="D2104" s="4" t="s">
        <v>4585</v>
      </c>
      <c r="E2104" s="1" t="str">
        <f>_xlfn.XLOOKUP(tblSales[[#This Row],[Customer ID]],tblCustomers[Customer ID],tblCustomers[Customer Name],"⚠ Unknown")</f>
        <v>CV Mitra Karya Mandiri</v>
      </c>
      <c r="F2104" s="4" t="s">
        <v>6</v>
      </c>
      <c r="G2104" s="1" t="str">
        <f>_xlfn.XLOOKUP(tblSales[[#This Row],[Product Code]],tblProducts[Code],tblProducts[Product / Service Name],"⚠ Unknown")</f>
        <v>Socks &amp; Accessories</v>
      </c>
      <c r="H2104" s="1" t="str">
        <f>_xlfn.XLOOKUP(tblSales[[#This Row],[Product Code]],tblProducts[Code],tblProducts[Category],"")</f>
        <v>Accessories &amp; Basics</v>
      </c>
      <c r="I2104" s="4">
        <v>72</v>
      </c>
      <c r="J2104" s="5">
        <f>_xlfn.XLOOKUP(tblSales[[#This Row],[Product Code]],tblProducts[Code],tblProducts[Selling Price (excl. VAT)],0)</f>
        <v>45000</v>
      </c>
      <c r="K2104" s="5">
        <f>tblSales[[#This Row],[Qty]]*tblSales[[#This Row],[Unit Price]]</f>
        <v>3240000</v>
      </c>
      <c r="L2104" s="5">
        <f>ROUND(tblSales[[#This Row],[DPP (excl. VAT)]]*VATEff,0)</f>
        <v>356400</v>
      </c>
      <c r="M2104" s="5">
        <f>tblSales[[#This Row],[DPP (excl. VAT)]]+tblSales[[#This Row],[Output VAT]]</f>
        <v>3596400</v>
      </c>
      <c r="N2104" s="5">
        <f>tblSales[[#This Row],[Qty]]*_xlfn.XLOOKUP(tblSales[[#This Row],[Product Code]],tblProducts[Code],tblProducts[Unit Cost],0)</f>
        <v>1728000</v>
      </c>
      <c r="O2104" s="4" t="s">
        <v>4867</v>
      </c>
      <c r="P2104" s="4" t="s">
        <v>4860</v>
      </c>
      <c r="Q2104" s="1" t="str">
        <f>_xlfn.XLOOKUP(tblSales[[#This Row],[Channel Code]],tblChannels[Channel Code],tblChannels[Channel Name],"")</f>
        <v>In-store</v>
      </c>
      <c r="R2104" s="1">
        <f>MONTH(tblSales[[#This Row],[Date]])</f>
        <v>5</v>
      </c>
    </row>
    <row r="2105" spans="2:18" x14ac:dyDescent="0.35">
      <c r="B2105" s="113">
        <v>46147</v>
      </c>
      <c r="C2105" s="4" t="s">
        <v>1384</v>
      </c>
      <c r="D2105" s="4" t="s">
        <v>4568</v>
      </c>
      <c r="E2105" s="1" t="str">
        <f>_xlfn.XLOOKUP(tblSales[[#This Row],[Customer ID]],tblCustomers[Customer ID],tblCustomers[Customer Name],"⚠ Unknown")</f>
        <v>Walk-in Customer</v>
      </c>
      <c r="F2105" s="4" t="s">
        <v>9</v>
      </c>
      <c r="G2105" s="1" t="str">
        <f>_xlfn.XLOOKUP(tblSales[[#This Row],[Product Code]],tblProducts[Code],tblProducts[Product / Service Name],"⚠ Unknown")</f>
        <v>Casual Shirt</v>
      </c>
      <c r="H2105" s="1" t="str">
        <f>_xlfn.XLOOKUP(tblSales[[#This Row],[Product Code]],tblProducts[Code],tblProducts[Category],"")</f>
        <v>Apparel &amp; Footwear</v>
      </c>
      <c r="I2105" s="4">
        <v>5</v>
      </c>
      <c r="J2105" s="5">
        <f>_xlfn.XLOOKUP(tblSales[[#This Row],[Product Code]],tblProducts[Code],tblProducts[Selling Price (excl. VAT)],0)</f>
        <v>120000</v>
      </c>
      <c r="K2105" s="5">
        <f>tblSales[[#This Row],[Qty]]*tblSales[[#This Row],[Unit Price]]</f>
        <v>600000</v>
      </c>
      <c r="L2105" s="5">
        <f>ROUND(tblSales[[#This Row],[DPP (excl. VAT)]]*VATEff,0)</f>
        <v>66000</v>
      </c>
      <c r="M2105" s="5">
        <f>tblSales[[#This Row],[DPP (excl. VAT)]]+tblSales[[#This Row],[Output VAT]]</f>
        <v>666000</v>
      </c>
      <c r="N2105" s="5">
        <f>tblSales[[#This Row],[Qty]]*_xlfn.XLOOKUP(tblSales[[#This Row],[Product Code]],tblProducts[Code],tblProducts[Unit Cost],0)</f>
        <v>360000</v>
      </c>
      <c r="O2105" s="4" t="s">
        <v>4865</v>
      </c>
      <c r="P2105" s="4" t="s">
        <v>4860</v>
      </c>
      <c r="Q2105" s="1" t="str">
        <f>_xlfn.XLOOKUP(tblSales[[#This Row],[Channel Code]],tblChannels[Channel Code],tblChannels[Channel Name],"")</f>
        <v>In-store</v>
      </c>
      <c r="R2105" s="1">
        <f>MONTH(tblSales[[#This Row],[Date]])</f>
        <v>5</v>
      </c>
    </row>
    <row r="2106" spans="2:18" x14ac:dyDescent="0.35">
      <c r="B2106" s="113">
        <v>46148</v>
      </c>
      <c r="C2106" s="4" t="s">
        <v>1385</v>
      </c>
      <c r="D2106" s="4" t="s">
        <v>4568</v>
      </c>
      <c r="E2106" s="1" t="str">
        <f>_xlfn.XLOOKUP(tblSales[[#This Row],[Customer ID]],tblCustomers[Customer ID],tblCustomers[Customer Name],"⚠ Unknown")</f>
        <v>Walk-in Customer</v>
      </c>
      <c r="F2106" s="4" t="s">
        <v>8</v>
      </c>
      <c r="G2106" s="1" t="str">
        <f>_xlfn.XLOOKUP(tblSales[[#This Row],[Product Code]],tblProducts[Code],tblProducts[Product / Service Name],"⚠ Unknown")</f>
        <v>Casual Shorts</v>
      </c>
      <c r="H2106" s="1" t="str">
        <f>_xlfn.XLOOKUP(tblSales[[#This Row],[Product Code]],tblProducts[Code],tblProducts[Category],"")</f>
        <v>Accessories &amp; Basics</v>
      </c>
      <c r="I2106" s="4">
        <v>12</v>
      </c>
      <c r="J2106" s="5">
        <f>_xlfn.XLOOKUP(tblSales[[#This Row],[Product Code]],tblProducts[Code],tblProducts[Selling Price (excl. VAT)],0)</f>
        <v>85000</v>
      </c>
      <c r="K2106" s="5">
        <f>tblSales[[#This Row],[Qty]]*tblSales[[#This Row],[Unit Price]]</f>
        <v>1020000</v>
      </c>
      <c r="L2106" s="5">
        <f>ROUND(tblSales[[#This Row],[DPP (excl. VAT)]]*VATEff,0)</f>
        <v>112200</v>
      </c>
      <c r="M2106" s="5">
        <f>tblSales[[#This Row],[DPP (excl. VAT)]]+tblSales[[#This Row],[Output VAT]]</f>
        <v>1132200</v>
      </c>
      <c r="N2106" s="5">
        <f>tblSales[[#This Row],[Qty]]*_xlfn.XLOOKUP(tblSales[[#This Row],[Product Code]],tblProducts[Code],tblProducts[Unit Cost],0)</f>
        <v>600000</v>
      </c>
      <c r="O2106" s="4" t="s">
        <v>4866</v>
      </c>
      <c r="P2106" s="4" t="s">
        <v>4862</v>
      </c>
      <c r="Q2106" s="1" t="str">
        <f>_xlfn.XLOOKUP(tblSales[[#This Row],[Channel Code]],tblChannels[Channel Code],tblChannels[Channel Name],"")</f>
        <v>Website &amp; Social Media</v>
      </c>
      <c r="R2106" s="1">
        <f>MONTH(tblSales[[#This Row],[Date]])</f>
        <v>5</v>
      </c>
    </row>
    <row r="2107" spans="2:18" x14ac:dyDescent="0.35">
      <c r="B2107" s="113">
        <v>46148</v>
      </c>
      <c r="C2107" s="4" t="s">
        <v>1385</v>
      </c>
      <c r="D2107" s="4" t="s">
        <v>4568</v>
      </c>
      <c r="E2107" s="1" t="str">
        <f>_xlfn.XLOOKUP(tblSales[[#This Row],[Customer ID]],tblCustomers[Customer ID],tblCustomers[Customer Name],"⚠ Unknown")</f>
        <v>Walk-in Customer</v>
      </c>
      <c r="F2107" s="4" t="s">
        <v>14</v>
      </c>
      <c r="G2107" s="1" t="str">
        <f>_xlfn.XLOOKUP(tblSales[[#This Row],[Product Code]],tblProducts[Code],tblProducts[Product / Service Name],"⚠ Unknown")</f>
        <v>Smartwatch</v>
      </c>
      <c r="H2107" s="1" t="str">
        <f>_xlfn.XLOOKUP(tblSales[[#This Row],[Product Code]],tblProducts[Code],tblProducts[Category],"")</f>
        <v>Bags &amp; Gadgets</v>
      </c>
      <c r="I2107" s="4">
        <v>2</v>
      </c>
      <c r="J2107" s="5">
        <f>_xlfn.XLOOKUP(tblSales[[#This Row],[Product Code]],tblProducts[Code],tblProducts[Selling Price (excl. VAT)],0)</f>
        <v>850000</v>
      </c>
      <c r="K2107" s="5">
        <f>tblSales[[#This Row],[Qty]]*tblSales[[#This Row],[Unit Price]]</f>
        <v>1700000</v>
      </c>
      <c r="L2107" s="5">
        <f>ROUND(tblSales[[#This Row],[DPP (excl. VAT)]]*VATEff,0)</f>
        <v>187000</v>
      </c>
      <c r="M2107" s="5">
        <f>tblSales[[#This Row],[DPP (excl. VAT)]]+tblSales[[#This Row],[Output VAT]]</f>
        <v>1887000</v>
      </c>
      <c r="N2107" s="5">
        <f>tblSales[[#This Row],[Qty]]*_xlfn.XLOOKUP(tblSales[[#This Row],[Product Code]],tblProducts[Code],tblProducts[Unit Cost],0)</f>
        <v>1120000</v>
      </c>
      <c r="O2107" s="4" t="s">
        <v>4866</v>
      </c>
      <c r="P2107" s="4" t="s">
        <v>4862</v>
      </c>
      <c r="Q2107" s="1" t="str">
        <f>_xlfn.XLOOKUP(tblSales[[#This Row],[Channel Code]],tblChannels[Channel Code],tblChannels[Channel Name],"")</f>
        <v>Website &amp; Social Media</v>
      </c>
      <c r="R2107" s="1">
        <f>MONTH(tblSales[[#This Row],[Date]])</f>
        <v>5</v>
      </c>
    </row>
    <row r="2108" spans="2:18" x14ac:dyDescent="0.35">
      <c r="B2108" s="113">
        <v>46148</v>
      </c>
      <c r="C2108" s="4" t="s">
        <v>1386</v>
      </c>
      <c r="D2108" s="4" t="s">
        <v>4568</v>
      </c>
      <c r="E2108" s="1" t="str">
        <f>_xlfn.XLOOKUP(tblSales[[#This Row],[Customer ID]],tblCustomers[Customer ID],tblCustomers[Customer Name],"⚠ Unknown")</f>
        <v>Walk-in Customer</v>
      </c>
      <c r="F2108" s="4" t="s">
        <v>8</v>
      </c>
      <c r="G2108" s="1" t="str">
        <f>_xlfn.XLOOKUP(tblSales[[#This Row],[Product Code]],tblProducts[Code],tblProducts[Product / Service Name],"⚠ Unknown")</f>
        <v>Casual Shorts</v>
      </c>
      <c r="H2108" s="1" t="str">
        <f>_xlfn.XLOOKUP(tblSales[[#This Row],[Product Code]],tblProducts[Code],tblProducts[Category],"")</f>
        <v>Accessories &amp; Basics</v>
      </c>
      <c r="I2108" s="4">
        <v>2</v>
      </c>
      <c r="J2108" s="5">
        <f>_xlfn.XLOOKUP(tblSales[[#This Row],[Product Code]],tblProducts[Code],tblProducts[Selling Price (excl. VAT)],0)</f>
        <v>85000</v>
      </c>
      <c r="K2108" s="5">
        <f>tblSales[[#This Row],[Qty]]*tblSales[[#This Row],[Unit Price]]</f>
        <v>170000</v>
      </c>
      <c r="L2108" s="5">
        <f>ROUND(tblSales[[#This Row],[DPP (excl. VAT)]]*VATEff,0)</f>
        <v>18700</v>
      </c>
      <c r="M2108" s="5">
        <f>tblSales[[#This Row],[DPP (excl. VAT)]]+tblSales[[#This Row],[Output VAT]]</f>
        <v>188700</v>
      </c>
      <c r="N2108" s="5">
        <f>tblSales[[#This Row],[Qty]]*_xlfn.XLOOKUP(tblSales[[#This Row],[Product Code]],tblProducts[Code],tblProducts[Unit Cost],0)</f>
        <v>100000</v>
      </c>
      <c r="O2108" s="4" t="s">
        <v>4865</v>
      </c>
      <c r="P2108" s="4" t="s">
        <v>4860</v>
      </c>
      <c r="Q2108" s="1" t="str">
        <f>_xlfn.XLOOKUP(tblSales[[#This Row],[Channel Code]],tblChannels[Channel Code],tblChannels[Channel Name],"")</f>
        <v>In-store</v>
      </c>
      <c r="R2108" s="1">
        <f>MONTH(tblSales[[#This Row],[Date]])</f>
        <v>5</v>
      </c>
    </row>
    <row r="2109" spans="2:18" x14ac:dyDescent="0.35">
      <c r="B2109" s="113">
        <v>46148</v>
      </c>
      <c r="C2109" s="4" t="s">
        <v>1387</v>
      </c>
      <c r="D2109" s="4" t="s">
        <v>4613</v>
      </c>
      <c r="E2109" s="1" t="str">
        <f>_xlfn.XLOOKUP(tblSales[[#This Row],[Customer ID]],tblCustomers[Customer ID],tblCustomers[Customer Name],"⚠ Unknown")</f>
        <v>PT Mega Prima Distribusi</v>
      </c>
      <c r="F2109" s="4" t="s">
        <v>9</v>
      </c>
      <c r="G2109" s="1" t="str">
        <f>_xlfn.XLOOKUP(tblSales[[#This Row],[Product Code]],tblProducts[Code],tblProducts[Product / Service Name],"⚠ Unknown")</f>
        <v>Casual Shirt</v>
      </c>
      <c r="H2109" s="1" t="str">
        <f>_xlfn.XLOOKUP(tblSales[[#This Row],[Product Code]],tblProducts[Code],tblProducts[Category],"")</f>
        <v>Apparel &amp; Footwear</v>
      </c>
      <c r="I2109" s="4">
        <v>24</v>
      </c>
      <c r="J2109" s="5">
        <f>_xlfn.XLOOKUP(tblSales[[#This Row],[Product Code]],tblProducts[Code],tblProducts[Selling Price (excl. VAT)],0)</f>
        <v>120000</v>
      </c>
      <c r="K2109" s="5">
        <f>tblSales[[#This Row],[Qty]]*tblSales[[#This Row],[Unit Price]]</f>
        <v>2880000</v>
      </c>
      <c r="L2109" s="5">
        <f>ROUND(tblSales[[#This Row],[DPP (excl. VAT)]]*VATEff,0)</f>
        <v>316800</v>
      </c>
      <c r="M2109" s="5">
        <f>tblSales[[#This Row],[DPP (excl. VAT)]]+tblSales[[#This Row],[Output VAT]]</f>
        <v>3196800</v>
      </c>
      <c r="N2109" s="5">
        <f>tblSales[[#This Row],[Qty]]*_xlfn.XLOOKUP(tblSales[[#This Row],[Product Code]],tblProducts[Code],tblProducts[Unit Cost],0)</f>
        <v>1728000</v>
      </c>
      <c r="O2109" s="4" t="s">
        <v>4867</v>
      </c>
      <c r="P2109" s="4" t="s">
        <v>4860</v>
      </c>
      <c r="Q2109" s="1" t="str">
        <f>_xlfn.XLOOKUP(tblSales[[#This Row],[Channel Code]],tblChannels[Channel Code],tblChannels[Channel Name],"")</f>
        <v>In-store</v>
      </c>
      <c r="R2109" s="1">
        <f>MONTH(tblSales[[#This Row],[Date]])</f>
        <v>5</v>
      </c>
    </row>
    <row r="2110" spans="2:18" x14ac:dyDescent="0.35">
      <c r="B2110" s="113">
        <v>46148</v>
      </c>
      <c r="C2110" s="4" t="s">
        <v>1388</v>
      </c>
      <c r="D2110" s="4" t="s">
        <v>4568</v>
      </c>
      <c r="E2110" s="1" t="str">
        <f>_xlfn.XLOOKUP(tblSales[[#This Row],[Customer ID]],tblCustomers[Customer ID],tblCustomers[Customer Name],"⚠ Unknown")</f>
        <v>Walk-in Customer</v>
      </c>
      <c r="F2110" s="4" t="s">
        <v>8</v>
      </c>
      <c r="G2110" s="1" t="str">
        <f>_xlfn.XLOOKUP(tblSales[[#This Row],[Product Code]],tblProducts[Code],tblProducts[Product / Service Name],"⚠ Unknown")</f>
        <v>Casual Shorts</v>
      </c>
      <c r="H2110" s="1" t="str">
        <f>_xlfn.XLOOKUP(tblSales[[#This Row],[Product Code]],tblProducts[Code],tblProducts[Category],"")</f>
        <v>Accessories &amp; Basics</v>
      </c>
      <c r="I2110" s="4">
        <v>1</v>
      </c>
      <c r="J2110" s="5">
        <f>_xlfn.XLOOKUP(tblSales[[#This Row],[Product Code]],tblProducts[Code],tblProducts[Selling Price (excl. VAT)],0)</f>
        <v>85000</v>
      </c>
      <c r="K2110" s="5">
        <f>tblSales[[#This Row],[Qty]]*tblSales[[#This Row],[Unit Price]]</f>
        <v>85000</v>
      </c>
      <c r="L2110" s="5">
        <f>ROUND(tblSales[[#This Row],[DPP (excl. VAT)]]*VATEff,0)</f>
        <v>9350</v>
      </c>
      <c r="M2110" s="5">
        <f>tblSales[[#This Row],[DPP (excl. VAT)]]+tblSales[[#This Row],[Output VAT]]</f>
        <v>94350</v>
      </c>
      <c r="N2110" s="5">
        <f>tblSales[[#This Row],[Qty]]*_xlfn.XLOOKUP(tblSales[[#This Row],[Product Code]],tblProducts[Code],tblProducts[Unit Cost],0)</f>
        <v>50000</v>
      </c>
      <c r="O2110" s="4" t="s">
        <v>4865</v>
      </c>
      <c r="P2110" s="4" t="s">
        <v>4860</v>
      </c>
      <c r="Q2110" s="1" t="str">
        <f>_xlfn.XLOOKUP(tblSales[[#This Row],[Channel Code]],tblChannels[Channel Code],tblChannels[Channel Name],"")</f>
        <v>In-store</v>
      </c>
      <c r="R2110" s="1">
        <f>MONTH(tblSales[[#This Row],[Date]])</f>
        <v>5</v>
      </c>
    </row>
    <row r="2111" spans="2:18" x14ac:dyDescent="0.35">
      <c r="B2111" s="113">
        <v>46148</v>
      </c>
      <c r="C2111" s="4" t="s">
        <v>1389</v>
      </c>
      <c r="D2111" s="4" t="s">
        <v>4568</v>
      </c>
      <c r="E2111" s="1" t="str">
        <f>_xlfn.XLOOKUP(tblSales[[#This Row],[Customer ID]],tblCustomers[Customer ID],tblCustomers[Customer Name],"⚠ Unknown")</f>
        <v>Walk-in Customer</v>
      </c>
      <c r="F2111" s="4" t="s">
        <v>8</v>
      </c>
      <c r="G2111" s="1" t="str">
        <f>_xlfn.XLOOKUP(tblSales[[#This Row],[Product Code]],tblProducts[Code],tblProducts[Product / Service Name],"⚠ Unknown")</f>
        <v>Casual Shorts</v>
      </c>
      <c r="H2111" s="1" t="str">
        <f>_xlfn.XLOOKUP(tblSales[[#This Row],[Product Code]],tblProducts[Code],tblProducts[Category],"")</f>
        <v>Accessories &amp; Basics</v>
      </c>
      <c r="I2111" s="4">
        <v>11</v>
      </c>
      <c r="J2111" s="5">
        <f>_xlfn.XLOOKUP(tblSales[[#This Row],[Product Code]],tblProducts[Code],tblProducts[Selling Price (excl. VAT)],0)</f>
        <v>85000</v>
      </c>
      <c r="K2111" s="5">
        <f>tblSales[[#This Row],[Qty]]*tblSales[[#This Row],[Unit Price]]</f>
        <v>935000</v>
      </c>
      <c r="L2111" s="5">
        <f>ROUND(tblSales[[#This Row],[DPP (excl. VAT)]]*VATEff,0)</f>
        <v>102850</v>
      </c>
      <c r="M2111" s="5">
        <f>tblSales[[#This Row],[DPP (excl. VAT)]]+tblSales[[#This Row],[Output VAT]]</f>
        <v>1037850</v>
      </c>
      <c r="N2111" s="5">
        <f>tblSales[[#This Row],[Qty]]*_xlfn.XLOOKUP(tblSales[[#This Row],[Product Code]],tblProducts[Code],tblProducts[Unit Cost],0)</f>
        <v>550000</v>
      </c>
      <c r="O2111" s="4" t="s">
        <v>4866</v>
      </c>
      <c r="P2111" s="4" t="s">
        <v>4861</v>
      </c>
      <c r="Q2111" s="1" t="str">
        <f>_xlfn.XLOOKUP(tblSales[[#This Row],[Channel Code]],tblChannels[Channel Code],tblChannels[Channel Name],"")</f>
        <v>Marketplace</v>
      </c>
      <c r="R2111" s="1">
        <f>MONTH(tblSales[[#This Row],[Date]])</f>
        <v>5</v>
      </c>
    </row>
    <row r="2112" spans="2:18" x14ac:dyDescent="0.35">
      <c r="B2112" s="113">
        <v>46148</v>
      </c>
      <c r="C2112" s="4" t="s">
        <v>1389</v>
      </c>
      <c r="D2112" s="4" t="s">
        <v>4568</v>
      </c>
      <c r="E2112" s="1" t="str">
        <f>_xlfn.XLOOKUP(tblSales[[#This Row],[Customer ID]],tblCustomers[Customer ID],tblCustomers[Customer Name],"⚠ Unknown")</f>
        <v>Walk-in Customer</v>
      </c>
      <c r="F2112" s="4" t="s">
        <v>12</v>
      </c>
      <c r="G2112" s="1" t="str">
        <f>_xlfn.XLOOKUP(tblSales[[#This Row],[Product Code]],tblProducts[Code],tblProducts[Product / Service Name],"⚠ Unknown")</f>
        <v>Bomber Jacket</v>
      </c>
      <c r="H2112" s="1" t="str">
        <f>_xlfn.XLOOKUP(tblSales[[#This Row],[Product Code]],tblProducts[Code],tblProducts[Category],"")</f>
        <v>Apparel &amp; Footwear</v>
      </c>
      <c r="I2112" s="4">
        <v>6</v>
      </c>
      <c r="J2112" s="5">
        <f>_xlfn.XLOOKUP(tblSales[[#This Row],[Product Code]],tblProducts[Code],tblProducts[Selling Price (excl. VAT)],0)</f>
        <v>350000</v>
      </c>
      <c r="K2112" s="5">
        <f>tblSales[[#This Row],[Qty]]*tblSales[[#This Row],[Unit Price]]</f>
        <v>2100000</v>
      </c>
      <c r="L2112" s="5">
        <f>ROUND(tblSales[[#This Row],[DPP (excl. VAT)]]*VATEff,0)</f>
        <v>231000</v>
      </c>
      <c r="M2112" s="5">
        <f>tblSales[[#This Row],[DPP (excl. VAT)]]+tblSales[[#This Row],[Output VAT]]</f>
        <v>2331000</v>
      </c>
      <c r="N2112" s="5">
        <f>tblSales[[#This Row],[Qty]]*_xlfn.XLOOKUP(tblSales[[#This Row],[Product Code]],tblProducts[Code],tblProducts[Unit Cost],0)</f>
        <v>1260000</v>
      </c>
      <c r="O2112" s="4" t="s">
        <v>4866</v>
      </c>
      <c r="P2112" s="4" t="s">
        <v>4861</v>
      </c>
      <c r="Q2112" s="1" t="str">
        <f>_xlfn.XLOOKUP(tblSales[[#This Row],[Channel Code]],tblChannels[Channel Code],tblChannels[Channel Name],"")</f>
        <v>Marketplace</v>
      </c>
      <c r="R2112" s="1">
        <f>MONTH(tblSales[[#This Row],[Date]])</f>
        <v>5</v>
      </c>
    </row>
    <row r="2113" spans="2:18" x14ac:dyDescent="0.35">
      <c r="B2113" s="113">
        <v>46148</v>
      </c>
      <c r="C2113" s="4" t="s">
        <v>1390</v>
      </c>
      <c r="D2113" s="4" t="s">
        <v>4568</v>
      </c>
      <c r="E2113" s="1" t="str">
        <f>_xlfn.XLOOKUP(tblSales[[#This Row],[Customer ID]],tblCustomers[Customer ID],tblCustomers[Customer Name],"⚠ Unknown")</f>
        <v>Walk-in Customer</v>
      </c>
      <c r="F2113" s="4" t="s">
        <v>7</v>
      </c>
      <c r="G2113" s="1" t="str">
        <f>_xlfn.XLOOKUP(tblSales[[#This Row],[Product Code]],tblProducts[Code],tblProducts[Product / Service Name],"⚠ Unknown")</f>
        <v>Premium Basic T-shirt</v>
      </c>
      <c r="H2113" s="1" t="str">
        <f>_xlfn.XLOOKUP(tblSales[[#This Row],[Product Code]],tblProducts[Code],tblProducts[Category],"")</f>
        <v>Accessories &amp; Basics</v>
      </c>
      <c r="I2113" s="4">
        <v>3</v>
      </c>
      <c r="J2113" s="5">
        <f>_xlfn.XLOOKUP(tblSales[[#This Row],[Product Code]],tblProducts[Code],tblProducts[Selling Price (excl. VAT)],0)</f>
        <v>65000</v>
      </c>
      <c r="K2113" s="5">
        <f>tblSales[[#This Row],[Qty]]*tblSales[[#This Row],[Unit Price]]</f>
        <v>195000</v>
      </c>
      <c r="L2113" s="5">
        <f>ROUND(tblSales[[#This Row],[DPP (excl. VAT)]]*VATEff,0)</f>
        <v>21450</v>
      </c>
      <c r="M2113" s="5">
        <f>tblSales[[#This Row],[DPP (excl. VAT)]]+tblSales[[#This Row],[Output VAT]]</f>
        <v>216450</v>
      </c>
      <c r="N2113" s="5">
        <f>tblSales[[#This Row],[Qty]]*_xlfn.XLOOKUP(tblSales[[#This Row],[Product Code]],tblProducts[Code],tblProducts[Unit Cost],0)</f>
        <v>111000</v>
      </c>
      <c r="O2113" s="4" t="s">
        <v>4865</v>
      </c>
      <c r="P2113" s="4" t="s">
        <v>4860</v>
      </c>
      <c r="Q2113" s="1" t="str">
        <f>_xlfn.XLOOKUP(tblSales[[#This Row],[Channel Code]],tblChannels[Channel Code],tblChannels[Channel Name],"")</f>
        <v>In-store</v>
      </c>
      <c r="R2113" s="1">
        <f>MONTH(tblSales[[#This Row],[Date]])</f>
        <v>5</v>
      </c>
    </row>
    <row r="2114" spans="2:18" x14ac:dyDescent="0.35">
      <c r="B2114" s="113">
        <v>46148</v>
      </c>
      <c r="C2114" s="4" t="s">
        <v>1391</v>
      </c>
      <c r="D2114" s="4" t="s">
        <v>4568</v>
      </c>
      <c r="E2114" s="1" t="str">
        <f>_xlfn.XLOOKUP(tblSales[[#This Row],[Customer ID]],tblCustomers[Customer ID],tblCustomers[Customer Name],"⚠ Unknown")</f>
        <v>Walk-in Customer</v>
      </c>
      <c r="F2114" s="4" t="s">
        <v>14</v>
      </c>
      <c r="G2114" s="1" t="str">
        <f>_xlfn.XLOOKUP(tblSales[[#This Row],[Product Code]],tblProducts[Code],tblProducts[Product / Service Name],"⚠ Unknown")</f>
        <v>Smartwatch</v>
      </c>
      <c r="H2114" s="1" t="str">
        <f>_xlfn.XLOOKUP(tblSales[[#This Row],[Product Code]],tblProducts[Code],tblProducts[Category],"")</f>
        <v>Bags &amp; Gadgets</v>
      </c>
      <c r="I2114" s="4">
        <v>2</v>
      </c>
      <c r="J2114" s="5">
        <f>_xlfn.XLOOKUP(tblSales[[#This Row],[Product Code]],tblProducts[Code],tblProducts[Selling Price (excl. VAT)],0)</f>
        <v>850000</v>
      </c>
      <c r="K2114" s="5">
        <f>tblSales[[#This Row],[Qty]]*tblSales[[#This Row],[Unit Price]]</f>
        <v>1700000</v>
      </c>
      <c r="L2114" s="5">
        <f>ROUND(tblSales[[#This Row],[DPP (excl. VAT)]]*VATEff,0)</f>
        <v>187000</v>
      </c>
      <c r="M2114" s="5">
        <f>tblSales[[#This Row],[DPP (excl. VAT)]]+tblSales[[#This Row],[Output VAT]]</f>
        <v>1887000</v>
      </c>
      <c r="N2114" s="5">
        <f>tblSales[[#This Row],[Qty]]*_xlfn.XLOOKUP(tblSales[[#This Row],[Product Code]],tblProducts[Code],tblProducts[Unit Cost],0)</f>
        <v>1120000</v>
      </c>
      <c r="O2114" s="4" t="s">
        <v>4865</v>
      </c>
      <c r="P2114" s="4" t="s">
        <v>4860</v>
      </c>
      <c r="Q2114" s="1" t="str">
        <f>_xlfn.XLOOKUP(tblSales[[#This Row],[Channel Code]],tblChannels[Channel Code],tblChannels[Channel Name],"")</f>
        <v>In-store</v>
      </c>
      <c r="R2114" s="1">
        <f>MONTH(tblSales[[#This Row],[Date]])</f>
        <v>5</v>
      </c>
    </row>
    <row r="2115" spans="2:18" x14ac:dyDescent="0.35">
      <c r="B2115" s="113">
        <v>46148</v>
      </c>
      <c r="C2115" s="4" t="s">
        <v>1392</v>
      </c>
      <c r="D2115" s="4" t="s">
        <v>4599</v>
      </c>
      <c r="E2115" s="1" t="str">
        <f>_xlfn.XLOOKUP(tblSales[[#This Row],[Customer ID]],tblCustomers[Customer ID],tblCustomers[Customer Name],"⚠ Unknown")</f>
        <v>PT Samudra Jaya Logistik</v>
      </c>
      <c r="F2115" s="4" t="s">
        <v>6</v>
      </c>
      <c r="G2115" s="1" t="str">
        <f>_xlfn.XLOOKUP(tblSales[[#This Row],[Product Code]],tblProducts[Code],tblProducts[Product / Service Name],"⚠ Unknown")</f>
        <v>Socks &amp; Accessories</v>
      </c>
      <c r="H2115" s="1" t="str">
        <f>_xlfn.XLOOKUP(tblSales[[#This Row],[Product Code]],tblProducts[Code],tblProducts[Category],"")</f>
        <v>Accessories &amp; Basics</v>
      </c>
      <c r="I2115" s="4">
        <v>24</v>
      </c>
      <c r="J2115" s="5">
        <f>_xlfn.XLOOKUP(tblSales[[#This Row],[Product Code]],tblProducts[Code],tblProducts[Selling Price (excl. VAT)],0)</f>
        <v>45000</v>
      </c>
      <c r="K2115" s="5">
        <f>tblSales[[#This Row],[Qty]]*tblSales[[#This Row],[Unit Price]]</f>
        <v>1080000</v>
      </c>
      <c r="L2115" s="5">
        <f>ROUND(tblSales[[#This Row],[DPP (excl. VAT)]]*VATEff,0)</f>
        <v>118800</v>
      </c>
      <c r="M2115" s="5">
        <f>tblSales[[#This Row],[DPP (excl. VAT)]]+tblSales[[#This Row],[Output VAT]]</f>
        <v>1198800</v>
      </c>
      <c r="N2115" s="5">
        <f>tblSales[[#This Row],[Qty]]*_xlfn.XLOOKUP(tblSales[[#This Row],[Product Code]],tblProducts[Code],tblProducts[Unit Cost],0)</f>
        <v>576000</v>
      </c>
      <c r="O2115" s="4" t="s">
        <v>4867</v>
      </c>
      <c r="P2115" s="4" t="s">
        <v>4862</v>
      </c>
      <c r="Q2115" s="1" t="str">
        <f>_xlfn.XLOOKUP(tblSales[[#This Row],[Channel Code]],tblChannels[Channel Code],tblChannels[Channel Name],"")</f>
        <v>Website &amp; Social Media</v>
      </c>
      <c r="R2115" s="1">
        <f>MONTH(tblSales[[#This Row],[Date]])</f>
        <v>5</v>
      </c>
    </row>
    <row r="2116" spans="2:18" x14ac:dyDescent="0.35">
      <c r="B2116" s="113">
        <v>46148</v>
      </c>
      <c r="C2116" s="4" t="s">
        <v>1393</v>
      </c>
      <c r="D2116" s="4" t="s">
        <v>4568</v>
      </c>
      <c r="E2116" s="1" t="str">
        <f>_xlfn.XLOOKUP(tblSales[[#This Row],[Customer ID]],tblCustomers[Customer ID],tblCustomers[Customer Name],"⚠ Unknown")</f>
        <v>Walk-in Customer</v>
      </c>
      <c r="F2116" s="4" t="s">
        <v>8</v>
      </c>
      <c r="G2116" s="1" t="str">
        <f>_xlfn.XLOOKUP(tblSales[[#This Row],[Product Code]],tblProducts[Code],tblProducts[Product / Service Name],"⚠ Unknown")</f>
        <v>Casual Shorts</v>
      </c>
      <c r="H2116" s="1" t="str">
        <f>_xlfn.XLOOKUP(tblSales[[#This Row],[Product Code]],tblProducts[Code],tblProducts[Category],"")</f>
        <v>Accessories &amp; Basics</v>
      </c>
      <c r="I2116" s="4">
        <v>7</v>
      </c>
      <c r="J2116" s="5">
        <f>_xlfn.XLOOKUP(tblSales[[#This Row],[Product Code]],tblProducts[Code],tblProducts[Selling Price (excl. VAT)],0)</f>
        <v>85000</v>
      </c>
      <c r="K2116" s="5">
        <f>tblSales[[#This Row],[Qty]]*tblSales[[#This Row],[Unit Price]]</f>
        <v>595000</v>
      </c>
      <c r="L2116" s="5">
        <f>ROUND(tblSales[[#This Row],[DPP (excl. VAT)]]*VATEff,0)</f>
        <v>65450</v>
      </c>
      <c r="M2116" s="5">
        <f>tblSales[[#This Row],[DPP (excl. VAT)]]+tblSales[[#This Row],[Output VAT]]</f>
        <v>660450</v>
      </c>
      <c r="N2116" s="5">
        <f>tblSales[[#This Row],[Qty]]*_xlfn.XLOOKUP(tblSales[[#This Row],[Product Code]],tblProducts[Code],tblProducts[Unit Cost],0)</f>
        <v>350000</v>
      </c>
      <c r="O2116" s="4" t="s">
        <v>4865</v>
      </c>
      <c r="P2116" s="4" t="s">
        <v>4860</v>
      </c>
      <c r="Q2116" s="1" t="str">
        <f>_xlfn.XLOOKUP(tblSales[[#This Row],[Channel Code]],tblChannels[Channel Code],tblChannels[Channel Name],"")</f>
        <v>In-store</v>
      </c>
      <c r="R2116" s="1">
        <f>MONTH(tblSales[[#This Row],[Date]])</f>
        <v>5</v>
      </c>
    </row>
    <row r="2117" spans="2:18" x14ac:dyDescent="0.35">
      <c r="B2117" s="113">
        <v>46149</v>
      </c>
      <c r="C2117" s="4" t="s">
        <v>1394</v>
      </c>
      <c r="D2117" s="4" t="s">
        <v>4568</v>
      </c>
      <c r="E2117" s="1" t="str">
        <f>_xlfn.XLOOKUP(tblSales[[#This Row],[Customer ID]],tblCustomers[Customer ID],tblCustomers[Customer Name],"⚠ Unknown")</f>
        <v>Walk-in Customer</v>
      </c>
      <c r="F2117" s="4" t="s">
        <v>11</v>
      </c>
      <c r="G2117" s="1" t="str">
        <f>_xlfn.XLOOKUP(tblSales[[#This Row],[Product Code]],tblProducts[Code],tblProducts[Product / Service Name],"⚠ Unknown")</f>
        <v>Sneakers</v>
      </c>
      <c r="H2117" s="1" t="str">
        <f>_xlfn.XLOOKUP(tblSales[[#This Row],[Product Code]],tblProducts[Code],tblProducts[Category],"")</f>
        <v>Apparel &amp; Footwear</v>
      </c>
      <c r="I2117" s="4">
        <v>6</v>
      </c>
      <c r="J2117" s="5">
        <f>_xlfn.XLOOKUP(tblSales[[#This Row],[Product Code]],tblProducts[Code],tblProducts[Selling Price (excl. VAT)],0)</f>
        <v>250000</v>
      </c>
      <c r="K2117" s="5">
        <f>tblSales[[#This Row],[Qty]]*tblSales[[#This Row],[Unit Price]]</f>
        <v>1500000</v>
      </c>
      <c r="L2117" s="5">
        <f>ROUND(tblSales[[#This Row],[DPP (excl. VAT)]]*VATEff,0)</f>
        <v>165000</v>
      </c>
      <c r="M2117" s="5">
        <f>tblSales[[#This Row],[DPP (excl. VAT)]]+tblSales[[#This Row],[Output VAT]]</f>
        <v>1665000</v>
      </c>
      <c r="N2117" s="5">
        <f>tblSales[[#This Row],[Qty]]*_xlfn.XLOOKUP(tblSales[[#This Row],[Product Code]],tblProducts[Code],tblProducts[Unit Cost],0)</f>
        <v>930000</v>
      </c>
      <c r="O2117" s="4" t="s">
        <v>4866</v>
      </c>
      <c r="P2117" s="4" t="s">
        <v>4860</v>
      </c>
      <c r="Q2117" s="1" t="str">
        <f>_xlfn.XLOOKUP(tblSales[[#This Row],[Channel Code]],tblChannels[Channel Code],tblChannels[Channel Name],"")</f>
        <v>In-store</v>
      </c>
      <c r="R2117" s="1">
        <f>MONTH(tblSales[[#This Row],[Date]])</f>
        <v>5</v>
      </c>
    </row>
    <row r="2118" spans="2:18" x14ac:dyDescent="0.35">
      <c r="B2118" s="113">
        <v>46149</v>
      </c>
      <c r="C2118" s="4" t="s">
        <v>1395</v>
      </c>
      <c r="D2118" s="4" t="s">
        <v>4568</v>
      </c>
      <c r="E2118" s="1" t="str">
        <f>_xlfn.XLOOKUP(tblSales[[#This Row],[Customer ID]],tblCustomers[Customer ID],tblCustomers[Customer Name],"⚠ Unknown")</f>
        <v>Walk-in Customer</v>
      </c>
      <c r="F2118" s="4" t="s">
        <v>14</v>
      </c>
      <c r="G2118" s="1" t="str">
        <f>_xlfn.XLOOKUP(tblSales[[#This Row],[Product Code]],tblProducts[Code],tblProducts[Product / Service Name],"⚠ Unknown")</f>
        <v>Smartwatch</v>
      </c>
      <c r="H2118" s="1" t="str">
        <f>_xlfn.XLOOKUP(tblSales[[#This Row],[Product Code]],tblProducts[Code],tblProducts[Category],"")</f>
        <v>Bags &amp; Gadgets</v>
      </c>
      <c r="I2118" s="4">
        <v>2</v>
      </c>
      <c r="J2118" s="5">
        <f>_xlfn.XLOOKUP(tblSales[[#This Row],[Product Code]],tblProducts[Code],tblProducts[Selling Price (excl. VAT)],0)</f>
        <v>850000</v>
      </c>
      <c r="K2118" s="5">
        <f>tblSales[[#This Row],[Qty]]*tblSales[[#This Row],[Unit Price]]</f>
        <v>1700000</v>
      </c>
      <c r="L2118" s="5">
        <f>ROUND(tblSales[[#This Row],[DPP (excl. VAT)]]*VATEff,0)</f>
        <v>187000</v>
      </c>
      <c r="M2118" s="5">
        <f>tblSales[[#This Row],[DPP (excl. VAT)]]+tblSales[[#This Row],[Output VAT]]</f>
        <v>1887000</v>
      </c>
      <c r="N2118" s="5">
        <f>tblSales[[#This Row],[Qty]]*_xlfn.XLOOKUP(tblSales[[#This Row],[Product Code]],tblProducts[Code],tblProducts[Unit Cost],0)</f>
        <v>1120000</v>
      </c>
      <c r="O2118" s="4" t="s">
        <v>4866</v>
      </c>
      <c r="P2118" s="4" t="s">
        <v>4860</v>
      </c>
      <c r="Q2118" s="1" t="str">
        <f>_xlfn.XLOOKUP(tblSales[[#This Row],[Channel Code]],tblChannels[Channel Code],tblChannels[Channel Name],"")</f>
        <v>In-store</v>
      </c>
      <c r="R2118" s="1">
        <f>MONTH(tblSales[[#This Row],[Date]])</f>
        <v>5</v>
      </c>
    </row>
    <row r="2119" spans="2:18" x14ac:dyDescent="0.35">
      <c r="B2119" s="113">
        <v>46149</v>
      </c>
      <c r="C2119" s="4" t="s">
        <v>1396</v>
      </c>
      <c r="D2119" s="4" t="s">
        <v>4568</v>
      </c>
      <c r="E2119" s="1" t="str">
        <f>_xlfn.XLOOKUP(tblSales[[#This Row],[Customer ID]],tblCustomers[Customer ID],tblCustomers[Customer Name],"⚠ Unknown")</f>
        <v>Walk-in Customer</v>
      </c>
      <c r="F2119" s="4" t="s">
        <v>8</v>
      </c>
      <c r="G2119" s="1" t="str">
        <f>_xlfn.XLOOKUP(tblSales[[#This Row],[Product Code]],tblProducts[Code],tblProducts[Product / Service Name],"⚠ Unknown")</f>
        <v>Casual Shorts</v>
      </c>
      <c r="H2119" s="1" t="str">
        <f>_xlfn.XLOOKUP(tblSales[[#This Row],[Product Code]],tblProducts[Code],tblProducts[Category],"")</f>
        <v>Accessories &amp; Basics</v>
      </c>
      <c r="I2119" s="4">
        <v>9</v>
      </c>
      <c r="J2119" s="5">
        <f>_xlfn.XLOOKUP(tblSales[[#This Row],[Product Code]],tblProducts[Code],tblProducts[Selling Price (excl. VAT)],0)</f>
        <v>85000</v>
      </c>
      <c r="K2119" s="5">
        <f>tblSales[[#This Row],[Qty]]*tblSales[[#This Row],[Unit Price]]</f>
        <v>765000</v>
      </c>
      <c r="L2119" s="5">
        <f>ROUND(tblSales[[#This Row],[DPP (excl. VAT)]]*VATEff,0)</f>
        <v>84150</v>
      </c>
      <c r="M2119" s="5">
        <f>tblSales[[#This Row],[DPP (excl. VAT)]]+tblSales[[#This Row],[Output VAT]]</f>
        <v>849150</v>
      </c>
      <c r="N2119" s="5">
        <f>tblSales[[#This Row],[Qty]]*_xlfn.XLOOKUP(tblSales[[#This Row],[Product Code]],tblProducts[Code],tblProducts[Unit Cost],0)</f>
        <v>450000</v>
      </c>
      <c r="O2119" s="4" t="s">
        <v>4865</v>
      </c>
      <c r="P2119" s="4" t="s">
        <v>4860</v>
      </c>
      <c r="Q2119" s="1" t="str">
        <f>_xlfn.XLOOKUP(tblSales[[#This Row],[Channel Code]],tblChannels[Channel Code],tblChannels[Channel Name],"")</f>
        <v>In-store</v>
      </c>
      <c r="R2119" s="1">
        <f>MONTH(tblSales[[#This Row],[Date]])</f>
        <v>5</v>
      </c>
    </row>
    <row r="2120" spans="2:18" x14ac:dyDescent="0.35">
      <c r="B2120" s="113">
        <v>46149</v>
      </c>
      <c r="C2120" s="4" t="s">
        <v>1397</v>
      </c>
      <c r="D2120" s="4" t="s">
        <v>4568</v>
      </c>
      <c r="E2120" s="1" t="str">
        <f>_xlfn.XLOOKUP(tblSales[[#This Row],[Customer ID]],tblCustomers[Customer ID],tblCustomers[Customer Name],"⚠ Unknown")</f>
        <v>Walk-in Customer</v>
      </c>
      <c r="F2120" s="4" t="s">
        <v>8</v>
      </c>
      <c r="G2120" s="1" t="str">
        <f>_xlfn.XLOOKUP(tblSales[[#This Row],[Product Code]],tblProducts[Code],tblProducts[Product / Service Name],"⚠ Unknown")</f>
        <v>Casual Shorts</v>
      </c>
      <c r="H2120" s="1" t="str">
        <f>_xlfn.XLOOKUP(tblSales[[#This Row],[Product Code]],tblProducts[Code],tblProducts[Category],"")</f>
        <v>Accessories &amp; Basics</v>
      </c>
      <c r="I2120" s="4">
        <v>12</v>
      </c>
      <c r="J2120" s="5">
        <f>_xlfn.XLOOKUP(tblSales[[#This Row],[Product Code]],tblProducts[Code],tblProducts[Selling Price (excl. VAT)],0)</f>
        <v>85000</v>
      </c>
      <c r="K2120" s="5">
        <f>tblSales[[#This Row],[Qty]]*tblSales[[#This Row],[Unit Price]]</f>
        <v>1020000</v>
      </c>
      <c r="L2120" s="5">
        <f>ROUND(tblSales[[#This Row],[DPP (excl. VAT)]]*VATEff,0)</f>
        <v>112200</v>
      </c>
      <c r="M2120" s="5">
        <f>tblSales[[#This Row],[DPP (excl. VAT)]]+tblSales[[#This Row],[Output VAT]]</f>
        <v>1132200</v>
      </c>
      <c r="N2120" s="5">
        <f>tblSales[[#This Row],[Qty]]*_xlfn.XLOOKUP(tblSales[[#This Row],[Product Code]],tblProducts[Code],tblProducts[Unit Cost],0)</f>
        <v>600000</v>
      </c>
      <c r="O2120" s="4" t="s">
        <v>4866</v>
      </c>
      <c r="P2120" s="4" t="s">
        <v>4861</v>
      </c>
      <c r="Q2120" s="1" t="str">
        <f>_xlfn.XLOOKUP(tblSales[[#This Row],[Channel Code]],tblChannels[Channel Code],tblChannels[Channel Name],"")</f>
        <v>Marketplace</v>
      </c>
      <c r="R2120" s="1">
        <f>MONTH(tblSales[[#This Row],[Date]])</f>
        <v>5</v>
      </c>
    </row>
    <row r="2121" spans="2:18" x14ac:dyDescent="0.35">
      <c r="B2121" s="113">
        <v>46149</v>
      </c>
      <c r="C2121" s="4" t="s">
        <v>1398</v>
      </c>
      <c r="D2121" s="4" t="s">
        <v>4585</v>
      </c>
      <c r="E2121" s="1" t="str">
        <f>_xlfn.XLOOKUP(tblSales[[#This Row],[Customer ID]],tblCustomers[Customer ID],tblCustomers[Customer Name],"⚠ Unknown")</f>
        <v>CV Mitra Karya Mandiri</v>
      </c>
      <c r="F2121" s="4" t="s">
        <v>10</v>
      </c>
      <c r="G2121" s="1" t="str">
        <f>_xlfn.XLOOKUP(tblSales[[#This Row],[Product Code]],tblProducts[Code],tblProducts[Product / Service Name],"⚠ Unknown")</f>
        <v>Chino Pants</v>
      </c>
      <c r="H2121" s="1" t="str">
        <f>_xlfn.XLOOKUP(tblSales[[#This Row],[Product Code]],tblProducts[Code],tblProducts[Category],"")</f>
        <v>Apparel &amp; Footwear</v>
      </c>
      <c r="I2121" s="4">
        <v>56</v>
      </c>
      <c r="J2121" s="5">
        <f>_xlfn.XLOOKUP(tblSales[[#This Row],[Product Code]],tblProducts[Code],tblProducts[Selling Price (excl. VAT)],0)</f>
        <v>150000</v>
      </c>
      <c r="K2121" s="5">
        <f>tblSales[[#This Row],[Qty]]*tblSales[[#This Row],[Unit Price]]</f>
        <v>8400000</v>
      </c>
      <c r="L2121" s="5">
        <f>ROUND(tblSales[[#This Row],[DPP (excl. VAT)]]*VATEff,0)</f>
        <v>924000</v>
      </c>
      <c r="M2121" s="5">
        <f>tblSales[[#This Row],[DPP (excl. VAT)]]+tblSales[[#This Row],[Output VAT]]</f>
        <v>9324000</v>
      </c>
      <c r="N2121" s="5">
        <f>tblSales[[#This Row],[Qty]]*_xlfn.XLOOKUP(tblSales[[#This Row],[Product Code]],tblProducts[Code],tblProducts[Unit Cost],0)</f>
        <v>4928000</v>
      </c>
      <c r="O2121" s="4" t="s">
        <v>4867</v>
      </c>
      <c r="P2121" s="4" t="s">
        <v>4860</v>
      </c>
      <c r="Q2121" s="1" t="str">
        <f>_xlfn.XLOOKUP(tblSales[[#This Row],[Channel Code]],tblChannels[Channel Code],tblChannels[Channel Name],"")</f>
        <v>In-store</v>
      </c>
      <c r="R2121" s="1">
        <f>MONTH(tblSales[[#This Row],[Date]])</f>
        <v>5</v>
      </c>
    </row>
    <row r="2122" spans="2:18" x14ac:dyDescent="0.35">
      <c r="B2122" s="113">
        <v>46149</v>
      </c>
      <c r="C2122" s="4" t="s">
        <v>1399</v>
      </c>
      <c r="D2122" s="4" t="s">
        <v>4568</v>
      </c>
      <c r="E2122" s="1" t="str">
        <f>_xlfn.XLOOKUP(tblSales[[#This Row],[Customer ID]],tblCustomers[Customer ID],tblCustomers[Customer Name],"⚠ Unknown")</f>
        <v>Walk-in Customer</v>
      </c>
      <c r="F2122" s="4" t="s">
        <v>9</v>
      </c>
      <c r="G2122" s="1" t="str">
        <f>_xlfn.XLOOKUP(tblSales[[#This Row],[Product Code]],tblProducts[Code],tblProducts[Product / Service Name],"⚠ Unknown")</f>
        <v>Casual Shirt</v>
      </c>
      <c r="H2122" s="1" t="str">
        <f>_xlfn.XLOOKUP(tblSales[[#This Row],[Product Code]],tblProducts[Code],tblProducts[Category],"")</f>
        <v>Apparel &amp; Footwear</v>
      </c>
      <c r="I2122" s="4">
        <v>7</v>
      </c>
      <c r="J2122" s="5">
        <f>_xlfn.XLOOKUP(tblSales[[#This Row],[Product Code]],tblProducts[Code],tblProducts[Selling Price (excl. VAT)],0)</f>
        <v>120000</v>
      </c>
      <c r="K2122" s="5">
        <f>tblSales[[#This Row],[Qty]]*tblSales[[#This Row],[Unit Price]]</f>
        <v>840000</v>
      </c>
      <c r="L2122" s="5">
        <f>ROUND(tblSales[[#This Row],[DPP (excl. VAT)]]*VATEff,0)</f>
        <v>92400</v>
      </c>
      <c r="M2122" s="5">
        <f>tblSales[[#This Row],[DPP (excl. VAT)]]+tblSales[[#This Row],[Output VAT]]</f>
        <v>932400</v>
      </c>
      <c r="N2122" s="5">
        <f>tblSales[[#This Row],[Qty]]*_xlfn.XLOOKUP(tblSales[[#This Row],[Product Code]],tblProducts[Code],tblProducts[Unit Cost],0)</f>
        <v>504000</v>
      </c>
      <c r="O2122" s="4" t="s">
        <v>4865</v>
      </c>
      <c r="P2122" s="4" t="s">
        <v>4860</v>
      </c>
      <c r="Q2122" s="1" t="str">
        <f>_xlfn.XLOOKUP(tblSales[[#This Row],[Channel Code]],tblChannels[Channel Code],tblChannels[Channel Name],"")</f>
        <v>In-store</v>
      </c>
      <c r="R2122" s="1">
        <f>MONTH(tblSales[[#This Row],[Date]])</f>
        <v>5</v>
      </c>
    </row>
    <row r="2123" spans="2:18" x14ac:dyDescent="0.35">
      <c r="B2123" s="113">
        <v>46149</v>
      </c>
      <c r="C2123" s="4" t="s">
        <v>1400</v>
      </c>
      <c r="D2123" s="4" t="s">
        <v>4620</v>
      </c>
      <c r="E2123" s="1" t="str">
        <f>_xlfn.XLOOKUP(tblSales[[#This Row],[Customer ID]],tblCustomers[Customer ID],tblCustomers[Customer Name],"⚠ Unknown")</f>
        <v>CV Sumber Rejeki Utama</v>
      </c>
      <c r="F2123" s="4" t="s">
        <v>8</v>
      </c>
      <c r="G2123" s="1" t="str">
        <f>_xlfn.XLOOKUP(tblSales[[#This Row],[Product Code]],tblProducts[Code],tblProducts[Product / Service Name],"⚠ Unknown")</f>
        <v>Casual Shorts</v>
      </c>
      <c r="H2123" s="1" t="str">
        <f>_xlfn.XLOOKUP(tblSales[[#This Row],[Product Code]],tblProducts[Code],tblProducts[Category],"")</f>
        <v>Accessories &amp; Basics</v>
      </c>
      <c r="I2123" s="4">
        <v>8</v>
      </c>
      <c r="J2123" s="5">
        <f>_xlfn.XLOOKUP(tblSales[[#This Row],[Product Code]],tblProducts[Code],tblProducts[Selling Price (excl. VAT)],0)</f>
        <v>85000</v>
      </c>
      <c r="K2123" s="5">
        <f>tblSales[[#This Row],[Qty]]*tblSales[[#This Row],[Unit Price]]</f>
        <v>680000</v>
      </c>
      <c r="L2123" s="5">
        <f>ROUND(tblSales[[#This Row],[DPP (excl. VAT)]]*VATEff,0)</f>
        <v>74800</v>
      </c>
      <c r="M2123" s="5">
        <f>tblSales[[#This Row],[DPP (excl. VAT)]]+tblSales[[#This Row],[Output VAT]]</f>
        <v>754800</v>
      </c>
      <c r="N2123" s="5">
        <f>tblSales[[#This Row],[Qty]]*_xlfn.XLOOKUP(tblSales[[#This Row],[Product Code]],tblProducts[Code],tblProducts[Unit Cost],0)</f>
        <v>400000</v>
      </c>
      <c r="O2123" s="4" t="s">
        <v>4867</v>
      </c>
      <c r="P2123" s="4" t="s">
        <v>4860</v>
      </c>
      <c r="Q2123" s="1" t="str">
        <f>_xlfn.XLOOKUP(tblSales[[#This Row],[Channel Code]],tblChannels[Channel Code],tblChannels[Channel Name],"")</f>
        <v>In-store</v>
      </c>
      <c r="R2123" s="1">
        <f>MONTH(tblSales[[#This Row],[Date]])</f>
        <v>5</v>
      </c>
    </row>
    <row r="2124" spans="2:18" x14ac:dyDescent="0.35">
      <c r="B2124" s="113">
        <v>46149</v>
      </c>
      <c r="C2124" s="4" t="s">
        <v>1401</v>
      </c>
      <c r="D2124" s="4" t="s">
        <v>4568</v>
      </c>
      <c r="E2124" s="1" t="str">
        <f>_xlfn.XLOOKUP(tblSales[[#This Row],[Customer ID]],tblCustomers[Customer ID],tblCustomers[Customer Name],"⚠ Unknown")</f>
        <v>Walk-in Customer</v>
      </c>
      <c r="F2124" s="4" t="s">
        <v>14</v>
      </c>
      <c r="G2124" s="1" t="str">
        <f>_xlfn.XLOOKUP(tblSales[[#This Row],[Product Code]],tblProducts[Code],tblProducts[Product / Service Name],"⚠ Unknown")</f>
        <v>Smartwatch</v>
      </c>
      <c r="H2124" s="1" t="str">
        <f>_xlfn.XLOOKUP(tblSales[[#This Row],[Product Code]],tblProducts[Code],tblProducts[Category],"")</f>
        <v>Bags &amp; Gadgets</v>
      </c>
      <c r="I2124" s="4">
        <v>1</v>
      </c>
      <c r="J2124" s="5">
        <f>_xlfn.XLOOKUP(tblSales[[#This Row],[Product Code]],tblProducts[Code],tblProducts[Selling Price (excl. VAT)],0)</f>
        <v>850000</v>
      </c>
      <c r="K2124" s="5">
        <f>tblSales[[#This Row],[Qty]]*tblSales[[#This Row],[Unit Price]]</f>
        <v>850000</v>
      </c>
      <c r="L2124" s="5">
        <f>ROUND(tblSales[[#This Row],[DPP (excl. VAT)]]*VATEff,0)</f>
        <v>93500</v>
      </c>
      <c r="M2124" s="5">
        <f>tblSales[[#This Row],[DPP (excl. VAT)]]+tblSales[[#This Row],[Output VAT]]</f>
        <v>943500</v>
      </c>
      <c r="N2124" s="5">
        <f>tblSales[[#This Row],[Qty]]*_xlfn.XLOOKUP(tblSales[[#This Row],[Product Code]],tblProducts[Code],tblProducts[Unit Cost],0)</f>
        <v>560000</v>
      </c>
      <c r="O2124" s="4" t="s">
        <v>4865</v>
      </c>
      <c r="P2124" s="4" t="s">
        <v>4860</v>
      </c>
      <c r="Q2124" s="1" t="str">
        <f>_xlfn.XLOOKUP(tblSales[[#This Row],[Channel Code]],tblChannels[Channel Code],tblChannels[Channel Name],"")</f>
        <v>In-store</v>
      </c>
      <c r="R2124" s="1">
        <f>MONTH(tblSales[[#This Row],[Date]])</f>
        <v>5</v>
      </c>
    </row>
    <row r="2125" spans="2:18" x14ac:dyDescent="0.35">
      <c r="B2125" s="113">
        <v>46149</v>
      </c>
      <c r="C2125" s="4" t="s">
        <v>1402</v>
      </c>
      <c r="D2125" s="4" t="s">
        <v>4568</v>
      </c>
      <c r="E2125" s="1" t="str">
        <f>_xlfn.XLOOKUP(tblSales[[#This Row],[Customer ID]],tblCustomers[Customer ID],tblCustomers[Customer Name],"⚠ Unknown")</f>
        <v>Walk-in Customer</v>
      </c>
      <c r="F2125" s="4" t="s">
        <v>10</v>
      </c>
      <c r="G2125" s="1" t="str">
        <f>_xlfn.XLOOKUP(tblSales[[#This Row],[Product Code]],tblProducts[Code],tblProducts[Product / Service Name],"⚠ Unknown")</f>
        <v>Chino Pants</v>
      </c>
      <c r="H2125" s="1" t="str">
        <f>_xlfn.XLOOKUP(tblSales[[#This Row],[Product Code]],tblProducts[Code],tblProducts[Category],"")</f>
        <v>Apparel &amp; Footwear</v>
      </c>
      <c r="I2125" s="4">
        <v>8</v>
      </c>
      <c r="J2125" s="5">
        <f>_xlfn.XLOOKUP(tblSales[[#This Row],[Product Code]],tblProducts[Code],tblProducts[Selling Price (excl. VAT)],0)</f>
        <v>150000</v>
      </c>
      <c r="K2125" s="5">
        <f>tblSales[[#This Row],[Qty]]*tblSales[[#This Row],[Unit Price]]</f>
        <v>1200000</v>
      </c>
      <c r="L2125" s="5">
        <f>ROUND(tblSales[[#This Row],[DPP (excl. VAT)]]*VATEff,0)</f>
        <v>132000</v>
      </c>
      <c r="M2125" s="5">
        <f>tblSales[[#This Row],[DPP (excl. VAT)]]+tblSales[[#This Row],[Output VAT]]</f>
        <v>1332000</v>
      </c>
      <c r="N2125" s="5">
        <f>tblSales[[#This Row],[Qty]]*_xlfn.XLOOKUP(tblSales[[#This Row],[Product Code]],tblProducts[Code],tblProducts[Unit Cost],0)</f>
        <v>704000</v>
      </c>
      <c r="O2125" s="4" t="s">
        <v>4866</v>
      </c>
      <c r="P2125" s="4" t="s">
        <v>4860</v>
      </c>
      <c r="Q2125" s="1" t="str">
        <f>_xlfn.XLOOKUP(tblSales[[#This Row],[Channel Code]],tblChannels[Channel Code],tblChannels[Channel Name],"")</f>
        <v>In-store</v>
      </c>
      <c r="R2125" s="1">
        <f>MONTH(tblSales[[#This Row],[Date]])</f>
        <v>5</v>
      </c>
    </row>
    <row r="2126" spans="2:18" x14ac:dyDescent="0.35">
      <c r="B2126" s="113">
        <v>46150</v>
      </c>
      <c r="C2126" s="4" t="s">
        <v>1403</v>
      </c>
      <c r="D2126" s="4" t="s">
        <v>4627</v>
      </c>
      <c r="E2126" s="1" t="str">
        <f>_xlfn.XLOOKUP(tblSales[[#This Row],[Customer ID]],tblCustomers[Customer ID],tblCustomers[Customer Name],"⚠ Unknown")</f>
        <v>PT Kencana Wira Usaha</v>
      </c>
      <c r="F2126" s="4" t="s">
        <v>9</v>
      </c>
      <c r="G2126" s="1" t="str">
        <f>_xlfn.XLOOKUP(tblSales[[#This Row],[Product Code]],tblProducts[Code],tblProducts[Product / Service Name],"⚠ Unknown")</f>
        <v>Casual Shirt</v>
      </c>
      <c r="H2126" s="1" t="str">
        <f>_xlfn.XLOOKUP(tblSales[[#This Row],[Product Code]],tblProducts[Code],tblProducts[Category],"")</f>
        <v>Apparel &amp; Footwear</v>
      </c>
      <c r="I2126" s="4">
        <v>24</v>
      </c>
      <c r="J2126" s="5">
        <f>_xlfn.XLOOKUP(tblSales[[#This Row],[Product Code]],tblProducts[Code],tblProducts[Selling Price (excl. VAT)],0)</f>
        <v>120000</v>
      </c>
      <c r="K2126" s="5">
        <f>tblSales[[#This Row],[Qty]]*tblSales[[#This Row],[Unit Price]]</f>
        <v>2880000</v>
      </c>
      <c r="L2126" s="5">
        <f>ROUND(tblSales[[#This Row],[DPP (excl. VAT)]]*VATEff,0)</f>
        <v>316800</v>
      </c>
      <c r="M2126" s="5">
        <f>tblSales[[#This Row],[DPP (excl. VAT)]]+tblSales[[#This Row],[Output VAT]]</f>
        <v>3196800</v>
      </c>
      <c r="N2126" s="5">
        <f>tblSales[[#This Row],[Qty]]*_xlfn.XLOOKUP(tblSales[[#This Row],[Product Code]],tblProducts[Code],tblProducts[Unit Cost],0)</f>
        <v>1728000</v>
      </c>
      <c r="O2126" s="4" t="s">
        <v>4867</v>
      </c>
      <c r="P2126" s="4" t="s">
        <v>4860</v>
      </c>
      <c r="Q2126" s="1" t="str">
        <f>_xlfn.XLOOKUP(tblSales[[#This Row],[Channel Code]],tblChannels[Channel Code],tblChannels[Channel Name],"")</f>
        <v>In-store</v>
      </c>
      <c r="R2126" s="1">
        <f>MONTH(tblSales[[#This Row],[Date]])</f>
        <v>5</v>
      </c>
    </row>
    <row r="2127" spans="2:18" x14ac:dyDescent="0.35">
      <c r="B2127" s="113">
        <v>46150</v>
      </c>
      <c r="C2127" s="4" t="s">
        <v>1404</v>
      </c>
      <c r="D2127" s="4" t="s">
        <v>4568</v>
      </c>
      <c r="E2127" s="1" t="str">
        <f>_xlfn.XLOOKUP(tblSales[[#This Row],[Customer ID]],tblCustomers[Customer ID],tblCustomers[Customer Name],"⚠ Unknown")</f>
        <v>Walk-in Customer</v>
      </c>
      <c r="F2127" s="4" t="s">
        <v>6</v>
      </c>
      <c r="G2127" s="1" t="str">
        <f>_xlfn.XLOOKUP(tblSales[[#This Row],[Product Code]],tblProducts[Code],tblProducts[Product / Service Name],"⚠ Unknown")</f>
        <v>Socks &amp; Accessories</v>
      </c>
      <c r="H2127" s="1" t="str">
        <f>_xlfn.XLOOKUP(tblSales[[#This Row],[Product Code]],tblProducts[Code],tblProducts[Category],"")</f>
        <v>Accessories &amp; Basics</v>
      </c>
      <c r="I2127" s="4">
        <v>11</v>
      </c>
      <c r="J2127" s="5">
        <f>_xlfn.XLOOKUP(tblSales[[#This Row],[Product Code]],tblProducts[Code],tblProducts[Selling Price (excl. VAT)],0)</f>
        <v>45000</v>
      </c>
      <c r="K2127" s="5">
        <f>tblSales[[#This Row],[Qty]]*tblSales[[#This Row],[Unit Price]]</f>
        <v>495000</v>
      </c>
      <c r="L2127" s="5">
        <f>ROUND(tblSales[[#This Row],[DPP (excl. VAT)]]*VATEff,0)</f>
        <v>54450</v>
      </c>
      <c r="M2127" s="5">
        <f>tblSales[[#This Row],[DPP (excl. VAT)]]+tblSales[[#This Row],[Output VAT]]</f>
        <v>549450</v>
      </c>
      <c r="N2127" s="5">
        <f>tblSales[[#This Row],[Qty]]*_xlfn.XLOOKUP(tblSales[[#This Row],[Product Code]],tblProducts[Code],tblProducts[Unit Cost],0)</f>
        <v>264000</v>
      </c>
      <c r="O2127" s="4" t="s">
        <v>4866</v>
      </c>
      <c r="P2127" s="4" t="s">
        <v>4862</v>
      </c>
      <c r="Q2127" s="1" t="str">
        <f>_xlfn.XLOOKUP(tblSales[[#This Row],[Channel Code]],tblChannels[Channel Code],tblChannels[Channel Name],"")</f>
        <v>Website &amp; Social Media</v>
      </c>
      <c r="R2127" s="1">
        <f>MONTH(tblSales[[#This Row],[Date]])</f>
        <v>5</v>
      </c>
    </row>
    <row r="2128" spans="2:18" x14ac:dyDescent="0.35">
      <c r="B2128" s="113">
        <v>46150</v>
      </c>
      <c r="C2128" s="4" t="s">
        <v>1405</v>
      </c>
      <c r="D2128" s="4" t="s">
        <v>4568</v>
      </c>
      <c r="E2128" s="1" t="str">
        <f>_xlfn.XLOOKUP(tblSales[[#This Row],[Customer ID]],tblCustomers[Customer ID],tblCustomers[Customer Name],"⚠ Unknown")</f>
        <v>Walk-in Customer</v>
      </c>
      <c r="F2128" s="4" t="s">
        <v>11</v>
      </c>
      <c r="G2128" s="1" t="str">
        <f>_xlfn.XLOOKUP(tblSales[[#This Row],[Product Code]],tblProducts[Code],tblProducts[Product / Service Name],"⚠ Unknown")</f>
        <v>Sneakers</v>
      </c>
      <c r="H2128" s="1" t="str">
        <f>_xlfn.XLOOKUP(tblSales[[#This Row],[Product Code]],tblProducts[Code],tblProducts[Category],"")</f>
        <v>Apparel &amp; Footwear</v>
      </c>
      <c r="I2128" s="4">
        <v>3</v>
      </c>
      <c r="J2128" s="5">
        <f>_xlfn.XLOOKUP(tblSales[[#This Row],[Product Code]],tblProducts[Code],tblProducts[Selling Price (excl. VAT)],0)</f>
        <v>250000</v>
      </c>
      <c r="K2128" s="5">
        <f>tblSales[[#This Row],[Qty]]*tblSales[[#This Row],[Unit Price]]</f>
        <v>750000</v>
      </c>
      <c r="L2128" s="5">
        <f>ROUND(tblSales[[#This Row],[DPP (excl. VAT)]]*VATEff,0)</f>
        <v>82500</v>
      </c>
      <c r="M2128" s="5">
        <f>tblSales[[#This Row],[DPP (excl. VAT)]]+tblSales[[#This Row],[Output VAT]]</f>
        <v>832500</v>
      </c>
      <c r="N2128" s="5">
        <f>tblSales[[#This Row],[Qty]]*_xlfn.XLOOKUP(tblSales[[#This Row],[Product Code]],tblProducts[Code],tblProducts[Unit Cost],0)</f>
        <v>465000</v>
      </c>
      <c r="O2128" s="4" t="s">
        <v>4865</v>
      </c>
      <c r="P2128" s="4" t="s">
        <v>4860</v>
      </c>
      <c r="Q2128" s="1" t="str">
        <f>_xlfn.XLOOKUP(tblSales[[#This Row],[Channel Code]],tblChannels[Channel Code],tblChannels[Channel Name],"")</f>
        <v>In-store</v>
      </c>
      <c r="R2128" s="1">
        <f>MONTH(tblSales[[#This Row],[Date]])</f>
        <v>5</v>
      </c>
    </row>
    <row r="2129" spans="2:18" x14ac:dyDescent="0.35">
      <c r="B2129" s="113">
        <v>46150</v>
      </c>
      <c r="C2129" s="4" t="s">
        <v>1406</v>
      </c>
      <c r="D2129" s="4" t="s">
        <v>4568</v>
      </c>
      <c r="E2129" s="1" t="str">
        <f>_xlfn.XLOOKUP(tblSales[[#This Row],[Customer ID]],tblCustomers[Customer ID],tblCustomers[Customer Name],"⚠ Unknown")</f>
        <v>Walk-in Customer</v>
      </c>
      <c r="F2129" s="4" t="s">
        <v>11</v>
      </c>
      <c r="G2129" s="1" t="str">
        <f>_xlfn.XLOOKUP(tblSales[[#This Row],[Product Code]],tblProducts[Code],tblProducts[Product / Service Name],"⚠ Unknown")</f>
        <v>Sneakers</v>
      </c>
      <c r="H2129" s="1" t="str">
        <f>_xlfn.XLOOKUP(tblSales[[#This Row],[Product Code]],tblProducts[Code],tblProducts[Category],"")</f>
        <v>Apparel &amp; Footwear</v>
      </c>
      <c r="I2129" s="4">
        <v>5</v>
      </c>
      <c r="J2129" s="5">
        <f>_xlfn.XLOOKUP(tblSales[[#This Row],[Product Code]],tblProducts[Code],tblProducts[Selling Price (excl. VAT)],0)</f>
        <v>250000</v>
      </c>
      <c r="K2129" s="5">
        <f>tblSales[[#This Row],[Qty]]*tblSales[[#This Row],[Unit Price]]</f>
        <v>1250000</v>
      </c>
      <c r="L2129" s="5">
        <f>ROUND(tblSales[[#This Row],[DPP (excl. VAT)]]*VATEff,0)</f>
        <v>137500</v>
      </c>
      <c r="M2129" s="5">
        <f>tblSales[[#This Row],[DPP (excl. VAT)]]+tblSales[[#This Row],[Output VAT]]</f>
        <v>1387500</v>
      </c>
      <c r="N2129" s="5">
        <f>tblSales[[#This Row],[Qty]]*_xlfn.XLOOKUP(tblSales[[#This Row],[Product Code]],tblProducts[Code],tblProducts[Unit Cost],0)</f>
        <v>775000</v>
      </c>
      <c r="O2129" s="4" t="s">
        <v>4866</v>
      </c>
      <c r="P2129" s="4" t="s">
        <v>4860</v>
      </c>
      <c r="Q2129" s="1" t="str">
        <f>_xlfn.XLOOKUP(tblSales[[#This Row],[Channel Code]],tblChannels[Channel Code],tblChannels[Channel Name],"")</f>
        <v>In-store</v>
      </c>
      <c r="R2129" s="1">
        <f>MONTH(tblSales[[#This Row],[Date]])</f>
        <v>5</v>
      </c>
    </row>
    <row r="2130" spans="2:18" x14ac:dyDescent="0.35">
      <c r="B2130" s="113">
        <v>46150</v>
      </c>
      <c r="C2130" s="4" t="s">
        <v>1407</v>
      </c>
      <c r="D2130" s="4" t="s">
        <v>4568</v>
      </c>
      <c r="E2130" s="1" t="str">
        <f>_xlfn.XLOOKUP(tblSales[[#This Row],[Customer ID]],tblCustomers[Customer ID],tblCustomers[Customer Name],"⚠ Unknown")</f>
        <v>Walk-in Customer</v>
      </c>
      <c r="F2130" s="4" t="s">
        <v>10</v>
      </c>
      <c r="G2130" s="1" t="str">
        <f>_xlfn.XLOOKUP(tblSales[[#This Row],[Product Code]],tblProducts[Code],tblProducts[Product / Service Name],"⚠ Unknown")</f>
        <v>Chino Pants</v>
      </c>
      <c r="H2130" s="1" t="str">
        <f>_xlfn.XLOOKUP(tblSales[[#This Row],[Product Code]],tblProducts[Code],tblProducts[Category],"")</f>
        <v>Apparel &amp; Footwear</v>
      </c>
      <c r="I2130" s="4">
        <v>1</v>
      </c>
      <c r="J2130" s="5">
        <f>_xlfn.XLOOKUP(tblSales[[#This Row],[Product Code]],tblProducts[Code],tblProducts[Selling Price (excl. VAT)],0)</f>
        <v>150000</v>
      </c>
      <c r="K2130" s="5">
        <f>tblSales[[#This Row],[Qty]]*tblSales[[#This Row],[Unit Price]]</f>
        <v>150000</v>
      </c>
      <c r="L2130" s="5">
        <f>ROUND(tblSales[[#This Row],[DPP (excl. VAT)]]*VATEff,0)</f>
        <v>16500</v>
      </c>
      <c r="M2130" s="5">
        <f>tblSales[[#This Row],[DPP (excl. VAT)]]+tblSales[[#This Row],[Output VAT]]</f>
        <v>166500</v>
      </c>
      <c r="N2130" s="5">
        <f>tblSales[[#This Row],[Qty]]*_xlfn.XLOOKUP(tblSales[[#This Row],[Product Code]],tblProducts[Code],tblProducts[Unit Cost],0)</f>
        <v>88000</v>
      </c>
      <c r="O2130" s="4" t="s">
        <v>4866</v>
      </c>
      <c r="P2130" s="4" t="s">
        <v>4862</v>
      </c>
      <c r="Q2130" s="1" t="str">
        <f>_xlfn.XLOOKUP(tblSales[[#This Row],[Channel Code]],tblChannels[Channel Code],tblChannels[Channel Name],"")</f>
        <v>Website &amp; Social Media</v>
      </c>
      <c r="R2130" s="1">
        <f>MONTH(tblSales[[#This Row],[Date]])</f>
        <v>5</v>
      </c>
    </row>
    <row r="2131" spans="2:18" x14ac:dyDescent="0.35">
      <c r="B2131" s="113">
        <v>46150</v>
      </c>
      <c r="C2131" s="4" t="s">
        <v>1407</v>
      </c>
      <c r="D2131" s="4" t="s">
        <v>4568</v>
      </c>
      <c r="E2131" s="1" t="str">
        <f>_xlfn.XLOOKUP(tblSales[[#This Row],[Customer ID]],tblCustomers[Customer ID],tblCustomers[Customer Name],"⚠ Unknown")</f>
        <v>Walk-in Customer</v>
      </c>
      <c r="F2131" s="4" t="s">
        <v>9</v>
      </c>
      <c r="G2131" s="1" t="str">
        <f>_xlfn.XLOOKUP(tblSales[[#This Row],[Product Code]],tblProducts[Code],tblProducts[Product / Service Name],"⚠ Unknown")</f>
        <v>Casual Shirt</v>
      </c>
      <c r="H2131" s="1" t="str">
        <f>_xlfn.XLOOKUP(tblSales[[#This Row],[Product Code]],tblProducts[Code],tblProducts[Category],"")</f>
        <v>Apparel &amp; Footwear</v>
      </c>
      <c r="I2131" s="4">
        <v>12</v>
      </c>
      <c r="J2131" s="5">
        <f>_xlfn.XLOOKUP(tblSales[[#This Row],[Product Code]],tblProducts[Code],tblProducts[Selling Price (excl. VAT)],0)</f>
        <v>120000</v>
      </c>
      <c r="K2131" s="5">
        <f>tblSales[[#This Row],[Qty]]*tblSales[[#This Row],[Unit Price]]</f>
        <v>1440000</v>
      </c>
      <c r="L2131" s="5">
        <f>ROUND(tblSales[[#This Row],[DPP (excl. VAT)]]*VATEff,0)</f>
        <v>158400</v>
      </c>
      <c r="M2131" s="5">
        <f>tblSales[[#This Row],[DPP (excl. VAT)]]+tblSales[[#This Row],[Output VAT]]</f>
        <v>1598400</v>
      </c>
      <c r="N2131" s="5">
        <f>tblSales[[#This Row],[Qty]]*_xlfn.XLOOKUP(tblSales[[#This Row],[Product Code]],tblProducts[Code],tblProducts[Unit Cost],0)</f>
        <v>864000</v>
      </c>
      <c r="O2131" s="4" t="s">
        <v>4866</v>
      </c>
      <c r="P2131" s="4" t="s">
        <v>4862</v>
      </c>
      <c r="Q2131" s="1" t="str">
        <f>_xlfn.XLOOKUP(tblSales[[#This Row],[Channel Code]],tblChannels[Channel Code],tblChannels[Channel Name],"")</f>
        <v>Website &amp; Social Media</v>
      </c>
      <c r="R2131" s="1">
        <f>MONTH(tblSales[[#This Row],[Date]])</f>
        <v>5</v>
      </c>
    </row>
    <row r="2132" spans="2:18" x14ac:dyDescent="0.35">
      <c r="B2132" s="113">
        <v>46150</v>
      </c>
      <c r="C2132" s="4" t="s">
        <v>1408</v>
      </c>
      <c r="D2132" s="4" t="s">
        <v>4568</v>
      </c>
      <c r="E2132" s="1" t="str">
        <f>_xlfn.XLOOKUP(tblSales[[#This Row],[Customer ID]],tblCustomers[Customer ID],tblCustomers[Customer Name],"⚠ Unknown")</f>
        <v>Walk-in Customer</v>
      </c>
      <c r="F2132" s="4" t="s">
        <v>6</v>
      </c>
      <c r="G2132" s="1" t="str">
        <f>_xlfn.XLOOKUP(tblSales[[#This Row],[Product Code]],tblProducts[Code],tblProducts[Product / Service Name],"⚠ Unknown")</f>
        <v>Socks &amp; Accessories</v>
      </c>
      <c r="H2132" s="1" t="str">
        <f>_xlfn.XLOOKUP(tblSales[[#This Row],[Product Code]],tblProducts[Code],tblProducts[Category],"")</f>
        <v>Accessories &amp; Basics</v>
      </c>
      <c r="I2132" s="4">
        <v>7</v>
      </c>
      <c r="J2132" s="5">
        <f>_xlfn.XLOOKUP(tblSales[[#This Row],[Product Code]],tblProducts[Code],tblProducts[Selling Price (excl. VAT)],0)</f>
        <v>45000</v>
      </c>
      <c r="K2132" s="5">
        <f>tblSales[[#This Row],[Qty]]*tblSales[[#This Row],[Unit Price]]</f>
        <v>315000</v>
      </c>
      <c r="L2132" s="5">
        <f>ROUND(tblSales[[#This Row],[DPP (excl. VAT)]]*VATEff,0)</f>
        <v>34650</v>
      </c>
      <c r="M2132" s="5">
        <f>tblSales[[#This Row],[DPP (excl. VAT)]]+tblSales[[#This Row],[Output VAT]]</f>
        <v>349650</v>
      </c>
      <c r="N2132" s="5">
        <f>tblSales[[#This Row],[Qty]]*_xlfn.XLOOKUP(tblSales[[#This Row],[Product Code]],tblProducts[Code],tblProducts[Unit Cost],0)</f>
        <v>168000</v>
      </c>
      <c r="O2132" s="4" t="s">
        <v>4866</v>
      </c>
      <c r="P2132" s="4" t="s">
        <v>4862</v>
      </c>
      <c r="Q2132" s="1" t="str">
        <f>_xlfn.XLOOKUP(tblSales[[#This Row],[Channel Code]],tblChannels[Channel Code],tblChannels[Channel Name],"")</f>
        <v>Website &amp; Social Media</v>
      </c>
      <c r="R2132" s="1">
        <f>MONTH(tblSales[[#This Row],[Date]])</f>
        <v>5</v>
      </c>
    </row>
    <row r="2133" spans="2:18" x14ac:dyDescent="0.35">
      <c r="B2133" s="113">
        <v>46150</v>
      </c>
      <c r="C2133" s="4" t="s">
        <v>1409</v>
      </c>
      <c r="D2133" s="4" t="s">
        <v>4599</v>
      </c>
      <c r="E2133" s="1" t="str">
        <f>_xlfn.XLOOKUP(tblSales[[#This Row],[Customer ID]],tblCustomers[Customer ID],tblCustomers[Customer Name],"⚠ Unknown")</f>
        <v>PT Samudra Jaya Logistik</v>
      </c>
      <c r="F2133" s="4" t="s">
        <v>7</v>
      </c>
      <c r="G2133" s="1" t="str">
        <f>_xlfn.XLOOKUP(tblSales[[#This Row],[Product Code]],tblProducts[Code],tblProducts[Product / Service Name],"⚠ Unknown")</f>
        <v>Premium Basic T-shirt</v>
      </c>
      <c r="H2133" s="1" t="str">
        <f>_xlfn.XLOOKUP(tblSales[[#This Row],[Product Code]],tblProducts[Code],tblProducts[Category],"")</f>
        <v>Accessories &amp; Basics</v>
      </c>
      <c r="I2133" s="4">
        <v>80</v>
      </c>
      <c r="J2133" s="5">
        <f>_xlfn.XLOOKUP(tblSales[[#This Row],[Product Code]],tblProducts[Code],tblProducts[Selling Price (excl. VAT)],0)</f>
        <v>65000</v>
      </c>
      <c r="K2133" s="5">
        <f>tblSales[[#This Row],[Qty]]*tblSales[[#This Row],[Unit Price]]</f>
        <v>5200000</v>
      </c>
      <c r="L2133" s="5">
        <f>ROUND(tblSales[[#This Row],[DPP (excl. VAT)]]*VATEff,0)</f>
        <v>572000</v>
      </c>
      <c r="M2133" s="5">
        <f>tblSales[[#This Row],[DPP (excl. VAT)]]+tblSales[[#This Row],[Output VAT]]</f>
        <v>5772000</v>
      </c>
      <c r="N2133" s="5">
        <f>tblSales[[#This Row],[Qty]]*_xlfn.XLOOKUP(tblSales[[#This Row],[Product Code]],tblProducts[Code],tblProducts[Unit Cost],0)</f>
        <v>2960000</v>
      </c>
      <c r="O2133" s="4" t="s">
        <v>4867</v>
      </c>
      <c r="P2133" s="4" t="s">
        <v>4860</v>
      </c>
      <c r="Q2133" s="1" t="str">
        <f>_xlfn.XLOOKUP(tblSales[[#This Row],[Channel Code]],tblChannels[Channel Code],tblChannels[Channel Name],"")</f>
        <v>In-store</v>
      </c>
      <c r="R2133" s="1">
        <f>MONTH(tblSales[[#This Row],[Date]])</f>
        <v>5</v>
      </c>
    </row>
    <row r="2134" spans="2:18" x14ac:dyDescent="0.35">
      <c r="B2134" s="113">
        <v>46150</v>
      </c>
      <c r="C2134" s="4" t="s">
        <v>1409</v>
      </c>
      <c r="D2134" s="4" t="s">
        <v>4599</v>
      </c>
      <c r="E2134" s="1" t="str">
        <f>_xlfn.XLOOKUP(tblSales[[#This Row],[Customer ID]],tblCustomers[Customer ID],tblCustomers[Customer Name],"⚠ Unknown")</f>
        <v>PT Samudra Jaya Logistik</v>
      </c>
      <c r="F2134" s="4" t="s">
        <v>6</v>
      </c>
      <c r="G2134" s="1" t="str">
        <f>_xlfn.XLOOKUP(tblSales[[#This Row],[Product Code]],tblProducts[Code],tblProducts[Product / Service Name],"⚠ Unknown")</f>
        <v>Socks &amp; Accessories</v>
      </c>
      <c r="H2134" s="1" t="str">
        <f>_xlfn.XLOOKUP(tblSales[[#This Row],[Product Code]],tblProducts[Code],tblProducts[Category],"")</f>
        <v>Accessories &amp; Basics</v>
      </c>
      <c r="I2134" s="4">
        <v>96</v>
      </c>
      <c r="J2134" s="5">
        <f>_xlfn.XLOOKUP(tblSales[[#This Row],[Product Code]],tblProducts[Code],tblProducts[Selling Price (excl. VAT)],0)</f>
        <v>45000</v>
      </c>
      <c r="K2134" s="5">
        <f>tblSales[[#This Row],[Qty]]*tblSales[[#This Row],[Unit Price]]</f>
        <v>4320000</v>
      </c>
      <c r="L2134" s="5">
        <f>ROUND(tblSales[[#This Row],[DPP (excl. VAT)]]*VATEff,0)</f>
        <v>475200</v>
      </c>
      <c r="M2134" s="5">
        <f>tblSales[[#This Row],[DPP (excl. VAT)]]+tblSales[[#This Row],[Output VAT]]</f>
        <v>4795200</v>
      </c>
      <c r="N2134" s="5">
        <f>tblSales[[#This Row],[Qty]]*_xlfn.XLOOKUP(tblSales[[#This Row],[Product Code]],tblProducts[Code],tblProducts[Unit Cost],0)</f>
        <v>2304000</v>
      </c>
      <c r="O2134" s="4" t="s">
        <v>4867</v>
      </c>
      <c r="P2134" s="4" t="s">
        <v>4860</v>
      </c>
      <c r="Q2134" s="1" t="str">
        <f>_xlfn.XLOOKUP(tblSales[[#This Row],[Channel Code]],tblChannels[Channel Code],tblChannels[Channel Name],"")</f>
        <v>In-store</v>
      </c>
      <c r="R2134" s="1">
        <f>MONTH(tblSales[[#This Row],[Date]])</f>
        <v>5</v>
      </c>
    </row>
    <row r="2135" spans="2:18" x14ac:dyDescent="0.35">
      <c r="B2135" s="113">
        <v>46150</v>
      </c>
      <c r="C2135" s="4" t="s">
        <v>1409</v>
      </c>
      <c r="D2135" s="4" t="s">
        <v>4599</v>
      </c>
      <c r="E2135" s="1" t="str">
        <f>_xlfn.XLOOKUP(tblSales[[#This Row],[Customer ID]],tblCustomers[Customer ID],tblCustomers[Customer Name],"⚠ Unknown")</f>
        <v>PT Samudra Jaya Logistik</v>
      </c>
      <c r="F2135" s="4" t="s">
        <v>10</v>
      </c>
      <c r="G2135" s="1" t="str">
        <f>_xlfn.XLOOKUP(tblSales[[#This Row],[Product Code]],tblProducts[Code],tblProducts[Product / Service Name],"⚠ Unknown")</f>
        <v>Chino Pants</v>
      </c>
      <c r="H2135" s="1" t="str">
        <f>_xlfn.XLOOKUP(tblSales[[#This Row],[Product Code]],tblProducts[Code],tblProducts[Category],"")</f>
        <v>Apparel &amp; Footwear</v>
      </c>
      <c r="I2135" s="4">
        <v>16</v>
      </c>
      <c r="J2135" s="5">
        <f>_xlfn.XLOOKUP(tblSales[[#This Row],[Product Code]],tblProducts[Code],tblProducts[Selling Price (excl. VAT)],0)</f>
        <v>150000</v>
      </c>
      <c r="K2135" s="5">
        <f>tblSales[[#This Row],[Qty]]*tblSales[[#This Row],[Unit Price]]</f>
        <v>2400000</v>
      </c>
      <c r="L2135" s="5">
        <f>ROUND(tblSales[[#This Row],[DPP (excl. VAT)]]*VATEff,0)</f>
        <v>264000</v>
      </c>
      <c r="M2135" s="5">
        <f>tblSales[[#This Row],[DPP (excl. VAT)]]+tblSales[[#This Row],[Output VAT]]</f>
        <v>2664000</v>
      </c>
      <c r="N2135" s="5">
        <f>tblSales[[#This Row],[Qty]]*_xlfn.XLOOKUP(tblSales[[#This Row],[Product Code]],tblProducts[Code],tblProducts[Unit Cost],0)</f>
        <v>1408000</v>
      </c>
      <c r="O2135" s="4" t="s">
        <v>4867</v>
      </c>
      <c r="P2135" s="4" t="s">
        <v>4860</v>
      </c>
      <c r="Q2135" s="1" t="str">
        <f>_xlfn.XLOOKUP(tblSales[[#This Row],[Channel Code]],tblChannels[Channel Code],tblChannels[Channel Name],"")</f>
        <v>In-store</v>
      </c>
      <c r="R2135" s="1">
        <f>MONTH(tblSales[[#This Row],[Date]])</f>
        <v>5</v>
      </c>
    </row>
    <row r="2136" spans="2:18" x14ac:dyDescent="0.35">
      <c r="B2136" s="113">
        <v>46150</v>
      </c>
      <c r="C2136" s="4" t="s">
        <v>1410</v>
      </c>
      <c r="D2136" s="4" t="s">
        <v>4568</v>
      </c>
      <c r="E2136" s="1" t="str">
        <f>_xlfn.XLOOKUP(tblSales[[#This Row],[Customer ID]],tblCustomers[Customer ID],tblCustomers[Customer Name],"⚠ Unknown")</f>
        <v>Walk-in Customer</v>
      </c>
      <c r="F2136" s="4" t="s">
        <v>11</v>
      </c>
      <c r="G2136" s="1" t="str">
        <f>_xlfn.XLOOKUP(tblSales[[#This Row],[Product Code]],tblProducts[Code],tblProducts[Product / Service Name],"⚠ Unknown")</f>
        <v>Sneakers</v>
      </c>
      <c r="H2136" s="1" t="str">
        <f>_xlfn.XLOOKUP(tblSales[[#This Row],[Product Code]],tblProducts[Code],tblProducts[Category],"")</f>
        <v>Apparel &amp; Footwear</v>
      </c>
      <c r="I2136" s="4">
        <v>5</v>
      </c>
      <c r="J2136" s="5">
        <f>_xlfn.XLOOKUP(tblSales[[#This Row],[Product Code]],tblProducts[Code],tblProducts[Selling Price (excl. VAT)],0)</f>
        <v>250000</v>
      </c>
      <c r="K2136" s="5">
        <f>tblSales[[#This Row],[Qty]]*tblSales[[#This Row],[Unit Price]]</f>
        <v>1250000</v>
      </c>
      <c r="L2136" s="5">
        <f>ROUND(tblSales[[#This Row],[DPP (excl. VAT)]]*VATEff,0)</f>
        <v>137500</v>
      </c>
      <c r="M2136" s="5">
        <f>tblSales[[#This Row],[DPP (excl. VAT)]]+tblSales[[#This Row],[Output VAT]]</f>
        <v>1387500</v>
      </c>
      <c r="N2136" s="5">
        <f>tblSales[[#This Row],[Qty]]*_xlfn.XLOOKUP(tblSales[[#This Row],[Product Code]],tblProducts[Code],tblProducts[Unit Cost],0)</f>
        <v>775000</v>
      </c>
      <c r="O2136" s="4" t="s">
        <v>4865</v>
      </c>
      <c r="P2136" s="4" t="s">
        <v>4860</v>
      </c>
      <c r="Q2136" s="1" t="str">
        <f>_xlfn.XLOOKUP(tblSales[[#This Row],[Channel Code]],tblChannels[Channel Code],tblChannels[Channel Name],"")</f>
        <v>In-store</v>
      </c>
      <c r="R2136" s="1">
        <f>MONTH(tblSales[[#This Row],[Date]])</f>
        <v>5</v>
      </c>
    </row>
    <row r="2137" spans="2:18" x14ac:dyDescent="0.35">
      <c r="B2137" s="113">
        <v>46150</v>
      </c>
      <c r="C2137" s="4" t="s">
        <v>1411</v>
      </c>
      <c r="D2137" s="4" t="s">
        <v>4568</v>
      </c>
      <c r="E2137" s="1" t="str">
        <f>_xlfn.XLOOKUP(tblSales[[#This Row],[Customer ID]],tblCustomers[Customer ID],tblCustomers[Customer Name],"⚠ Unknown")</f>
        <v>Walk-in Customer</v>
      </c>
      <c r="F2137" s="4" t="s">
        <v>13</v>
      </c>
      <c r="G2137" s="1" t="str">
        <f>_xlfn.XLOOKUP(tblSales[[#This Row],[Product Code]],tblProducts[Code],tblProducts[Product / Service Name],"⚠ Unknown")</f>
        <v>Backpack</v>
      </c>
      <c r="H2137" s="1" t="str">
        <f>_xlfn.XLOOKUP(tblSales[[#This Row],[Product Code]],tblProducts[Code],tblProducts[Category],"")</f>
        <v>Bags &amp; Gadgets</v>
      </c>
      <c r="I2137" s="4">
        <v>6</v>
      </c>
      <c r="J2137" s="5">
        <f>_xlfn.XLOOKUP(tblSales[[#This Row],[Product Code]],tblProducts[Code],tblProducts[Selling Price (excl. VAT)],0)</f>
        <v>500000</v>
      </c>
      <c r="K2137" s="5">
        <f>tblSales[[#This Row],[Qty]]*tblSales[[#This Row],[Unit Price]]</f>
        <v>3000000</v>
      </c>
      <c r="L2137" s="5">
        <f>ROUND(tblSales[[#This Row],[DPP (excl. VAT)]]*VATEff,0)</f>
        <v>330000</v>
      </c>
      <c r="M2137" s="5">
        <f>tblSales[[#This Row],[DPP (excl. VAT)]]+tblSales[[#This Row],[Output VAT]]</f>
        <v>3330000</v>
      </c>
      <c r="N2137" s="5">
        <f>tblSales[[#This Row],[Qty]]*_xlfn.XLOOKUP(tblSales[[#This Row],[Product Code]],tblProducts[Code],tblProducts[Unit Cost],0)</f>
        <v>1740000</v>
      </c>
      <c r="O2137" s="4" t="s">
        <v>4865</v>
      </c>
      <c r="P2137" s="4" t="s">
        <v>4860</v>
      </c>
      <c r="Q2137" s="1" t="str">
        <f>_xlfn.XLOOKUP(tblSales[[#This Row],[Channel Code]],tblChannels[Channel Code],tblChannels[Channel Name],"")</f>
        <v>In-store</v>
      </c>
      <c r="R2137" s="1">
        <f>MONTH(tblSales[[#This Row],[Date]])</f>
        <v>5</v>
      </c>
    </row>
    <row r="2138" spans="2:18" x14ac:dyDescent="0.35">
      <c r="B2138" s="113">
        <v>46150</v>
      </c>
      <c r="C2138" s="4" t="s">
        <v>1412</v>
      </c>
      <c r="D2138" s="4" t="s">
        <v>4568</v>
      </c>
      <c r="E2138" s="1" t="str">
        <f>_xlfn.XLOOKUP(tblSales[[#This Row],[Customer ID]],tblCustomers[Customer ID],tblCustomers[Customer Name],"⚠ Unknown")</f>
        <v>Walk-in Customer</v>
      </c>
      <c r="F2138" s="4" t="s">
        <v>12</v>
      </c>
      <c r="G2138" s="1" t="str">
        <f>_xlfn.XLOOKUP(tblSales[[#This Row],[Product Code]],tblProducts[Code],tblProducts[Product / Service Name],"⚠ Unknown")</f>
        <v>Bomber Jacket</v>
      </c>
      <c r="H2138" s="1" t="str">
        <f>_xlfn.XLOOKUP(tblSales[[#This Row],[Product Code]],tblProducts[Code],tblProducts[Category],"")</f>
        <v>Apparel &amp; Footwear</v>
      </c>
      <c r="I2138" s="4">
        <v>4</v>
      </c>
      <c r="J2138" s="5">
        <f>_xlfn.XLOOKUP(tblSales[[#This Row],[Product Code]],tblProducts[Code],tblProducts[Selling Price (excl. VAT)],0)</f>
        <v>350000</v>
      </c>
      <c r="K2138" s="5">
        <f>tblSales[[#This Row],[Qty]]*tblSales[[#This Row],[Unit Price]]</f>
        <v>1400000</v>
      </c>
      <c r="L2138" s="5">
        <f>ROUND(tblSales[[#This Row],[DPP (excl. VAT)]]*VATEff,0)</f>
        <v>154000</v>
      </c>
      <c r="M2138" s="5">
        <f>tblSales[[#This Row],[DPP (excl. VAT)]]+tblSales[[#This Row],[Output VAT]]</f>
        <v>1554000</v>
      </c>
      <c r="N2138" s="5">
        <f>tblSales[[#This Row],[Qty]]*_xlfn.XLOOKUP(tblSales[[#This Row],[Product Code]],tblProducts[Code],tblProducts[Unit Cost],0)</f>
        <v>840000</v>
      </c>
      <c r="O2138" s="4" t="s">
        <v>4866</v>
      </c>
      <c r="P2138" s="4" t="s">
        <v>4860</v>
      </c>
      <c r="Q2138" s="1" t="str">
        <f>_xlfn.XLOOKUP(tblSales[[#This Row],[Channel Code]],tblChannels[Channel Code],tblChannels[Channel Name],"")</f>
        <v>In-store</v>
      </c>
      <c r="R2138" s="1">
        <f>MONTH(tblSales[[#This Row],[Date]])</f>
        <v>5</v>
      </c>
    </row>
    <row r="2139" spans="2:18" x14ac:dyDescent="0.35">
      <c r="B2139" s="113">
        <v>46150</v>
      </c>
      <c r="C2139" s="4" t="s">
        <v>1412</v>
      </c>
      <c r="D2139" s="4" t="s">
        <v>4568</v>
      </c>
      <c r="E2139" s="1" t="str">
        <f>_xlfn.XLOOKUP(tblSales[[#This Row],[Customer ID]],tblCustomers[Customer ID],tblCustomers[Customer Name],"⚠ Unknown")</f>
        <v>Walk-in Customer</v>
      </c>
      <c r="F2139" s="4" t="s">
        <v>9</v>
      </c>
      <c r="G2139" s="1" t="str">
        <f>_xlfn.XLOOKUP(tblSales[[#This Row],[Product Code]],tblProducts[Code],tblProducts[Product / Service Name],"⚠ Unknown")</f>
        <v>Casual Shirt</v>
      </c>
      <c r="H2139" s="1" t="str">
        <f>_xlfn.XLOOKUP(tblSales[[#This Row],[Product Code]],tblProducts[Code],tblProducts[Category],"")</f>
        <v>Apparel &amp; Footwear</v>
      </c>
      <c r="I2139" s="4">
        <v>7</v>
      </c>
      <c r="J2139" s="5">
        <f>_xlfn.XLOOKUP(tblSales[[#This Row],[Product Code]],tblProducts[Code],tblProducts[Selling Price (excl. VAT)],0)</f>
        <v>120000</v>
      </c>
      <c r="K2139" s="5">
        <f>tblSales[[#This Row],[Qty]]*tblSales[[#This Row],[Unit Price]]</f>
        <v>840000</v>
      </c>
      <c r="L2139" s="5">
        <f>ROUND(tblSales[[#This Row],[DPP (excl. VAT)]]*VATEff,0)</f>
        <v>92400</v>
      </c>
      <c r="M2139" s="5">
        <f>tblSales[[#This Row],[DPP (excl. VAT)]]+tblSales[[#This Row],[Output VAT]]</f>
        <v>932400</v>
      </c>
      <c r="N2139" s="5">
        <f>tblSales[[#This Row],[Qty]]*_xlfn.XLOOKUP(tblSales[[#This Row],[Product Code]],tblProducts[Code],tblProducts[Unit Cost],0)</f>
        <v>504000</v>
      </c>
      <c r="O2139" s="4" t="s">
        <v>4866</v>
      </c>
      <c r="P2139" s="4" t="s">
        <v>4860</v>
      </c>
      <c r="Q2139" s="1" t="str">
        <f>_xlfn.XLOOKUP(tblSales[[#This Row],[Channel Code]],tblChannels[Channel Code],tblChannels[Channel Name],"")</f>
        <v>In-store</v>
      </c>
      <c r="R2139" s="1">
        <f>MONTH(tblSales[[#This Row],[Date]])</f>
        <v>5</v>
      </c>
    </row>
    <row r="2140" spans="2:18" x14ac:dyDescent="0.35">
      <c r="B2140" s="113">
        <v>46150</v>
      </c>
      <c r="C2140" s="4" t="s">
        <v>1413</v>
      </c>
      <c r="D2140" s="4" t="s">
        <v>4568</v>
      </c>
      <c r="E2140" s="1" t="str">
        <f>_xlfn.XLOOKUP(tblSales[[#This Row],[Customer ID]],tblCustomers[Customer ID],tblCustomers[Customer Name],"⚠ Unknown")</f>
        <v>Walk-in Customer</v>
      </c>
      <c r="F2140" s="4" t="s">
        <v>13</v>
      </c>
      <c r="G2140" s="1" t="str">
        <f>_xlfn.XLOOKUP(tblSales[[#This Row],[Product Code]],tblProducts[Code],tblProducts[Product / Service Name],"⚠ Unknown")</f>
        <v>Backpack</v>
      </c>
      <c r="H2140" s="1" t="str">
        <f>_xlfn.XLOOKUP(tblSales[[#This Row],[Product Code]],tblProducts[Code],tblProducts[Category],"")</f>
        <v>Bags &amp; Gadgets</v>
      </c>
      <c r="I2140" s="4">
        <v>5</v>
      </c>
      <c r="J2140" s="5">
        <f>_xlfn.XLOOKUP(tblSales[[#This Row],[Product Code]],tblProducts[Code],tblProducts[Selling Price (excl. VAT)],0)</f>
        <v>500000</v>
      </c>
      <c r="K2140" s="5">
        <f>tblSales[[#This Row],[Qty]]*tblSales[[#This Row],[Unit Price]]</f>
        <v>2500000</v>
      </c>
      <c r="L2140" s="5">
        <f>ROUND(tblSales[[#This Row],[DPP (excl. VAT)]]*VATEff,0)</f>
        <v>275000</v>
      </c>
      <c r="M2140" s="5">
        <f>tblSales[[#This Row],[DPP (excl. VAT)]]+tblSales[[#This Row],[Output VAT]]</f>
        <v>2775000</v>
      </c>
      <c r="N2140" s="5">
        <f>tblSales[[#This Row],[Qty]]*_xlfn.XLOOKUP(tblSales[[#This Row],[Product Code]],tblProducts[Code],tblProducts[Unit Cost],0)</f>
        <v>1450000</v>
      </c>
      <c r="O2140" s="4" t="s">
        <v>4865</v>
      </c>
      <c r="P2140" s="4" t="s">
        <v>4860</v>
      </c>
      <c r="Q2140" s="1" t="str">
        <f>_xlfn.XLOOKUP(tblSales[[#This Row],[Channel Code]],tblChannels[Channel Code],tblChannels[Channel Name],"")</f>
        <v>In-store</v>
      </c>
      <c r="R2140" s="1">
        <f>MONTH(tblSales[[#This Row],[Date]])</f>
        <v>5</v>
      </c>
    </row>
    <row r="2141" spans="2:18" x14ac:dyDescent="0.35">
      <c r="B2141" s="113">
        <v>46151</v>
      </c>
      <c r="C2141" s="4" t="s">
        <v>1414</v>
      </c>
      <c r="D2141" s="4" t="s">
        <v>4568</v>
      </c>
      <c r="E2141" s="1" t="str">
        <f>_xlfn.XLOOKUP(tblSales[[#This Row],[Customer ID]],tblCustomers[Customer ID],tblCustomers[Customer Name],"⚠ Unknown")</f>
        <v>Walk-in Customer</v>
      </c>
      <c r="F2141" s="4" t="s">
        <v>6</v>
      </c>
      <c r="G2141" s="1" t="str">
        <f>_xlfn.XLOOKUP(tblSales[[#This Row],[Product Code]],tblProducts[Code],tblProducts[Product / Service Name],"⚠ Unknown")</f>
        <v>Socks &amp; Accessories</v>
      </c>
      <c r="H2141" s="1" t="str">
        <f>_xlfn.XLOOKUP(tblSales[[#This Row],[Product Code]],tblProducts[Code],tblProducts[Category],"")</f>
        <v>Accessories &amp; Basics</v>
      </c>
      <c r="I2141" s="4">
        <v>10</v>
      </c>
      <c r="J2141" s="5">
        <f>_xlfn.XLOOKUP(tblSales[[#This Row],[Product Code]],tblProducts[Code],tblProducts[Selling Price (excl. VAT)],0)</f>
        <v>45000</v>
      </c>
      <c r="K2141" s="5">
        <f>tblSales[[#This Row],[Qty]]*tblSales[[#This Row],[Unit Price]]</f>
        <v>450000</v>
      </c>
      <c r="L2141" s="5">
        <f>ROUND(tblSales[[#This Row],[DPP (excl. VAT)]]*VATEff,0)</f>
        <v>49500</v>
      </c>
      <c r="M2141" s="5">
        <f>tblSales[[#This Row],[DPP (excl. VAT)]]+tblSales[[#This Row],[Output VAT]]</f>
        <v>499500</v>
      </c>
      <c r="N2141" s="5">
        <f>tblSales[[#This Row],[Qty]]*_xlfn.XLOOKUP(tblSales[[#This Row],[Product Code]],tblProducts[Code],tblProducts[Unit Cost],0)</f>
        <v>240000</v>
      </c>
      <c r="O2141" s="4" t="s">
        <v>4865</v>
      </c>
      <c r="P2141" s="4" t="s">
        <v>4860</v>
      </c>
      <c r="Q2141" s="1" t="str">
        <f>_xlfn.XLOOKUP(tblSales[[#This Row],[Channel Code]],tblChannels[Channel Code],tblChannels[Channel Name],"")</f>
        <v>In-store</v>
      </c>
      <c r="R2141" s="1">
        <f>MONTH(tblSales[[#This Row],[Date]])</f>
        <v>5</v>
      </c>
    </row>
    <row r="2142" spans="2:18" x14ac:dyDescent="0.35">
      <c r="B2142" s="113">
        <v>46151</v>
      </c>
      <c r="C2142" s="4" t="s">
        <v>1414</v>
      </c>
      <c r="D2142" s="4" t="s">
        <v>4568</v>
      </c>
      <c r="E2142" s="1" t="str">
        <f>_xlfn.XLOOKUP(tblSales[[#This Row],[Customer ID]],tblCustomers[Customer ID],tblCustomers[Customer Name],"⚠ Unknown")</f>
        <v>Walk-in Customer</v>
      </c>
      <c r="F2142" s="4" t="s">
        <v>7</v>
      </c>
      <c r="G2142" s="1" t="str">
        <f>_xlfn.XLOOKUP(tblSales[[#This Row],[Product Code]],tblProducts[Code],tblProducts[Product / Service Name],"⚠ Unknown")</f>
        <v>Premium Basic T-shirt</v>
      </c>
      <c r="H2142" s="1" t="str">
        <f>_xlfn.XLOOKUP(tblSales[[#This Row],[Product Code]],tblProducts[Code],tblProducts[Category],"")</f>
        <v>Accessories &amp; Basics</v>
      </c>
      <c r="I2142" s="4">
        <v>4</v>
      </c>
      <c r="J2142" s="5">
        <f>_xlfn.XLOOKUP(tblSales[[#This Row],[Product Code]],tblProducts[Code],tblProducts[Selling Price (excl. VAT)],0)</f>
        <v>65000</v>
      </c>
      <c r="K2142" s="5">
        <f>tblSales[[#This Row],[Qty]]*tblSales[[#This Row],[Unit Price]]</f>
        <v>260000</v>
      </c>
      <c r="L2142" s="5">
        <f>ROUND(tblSales[[#This Row],[DPP (excl. VAT)]]*VATEff,0)</f>
        <v>28600</v>
      </c>
      <c r="M2142" s="5">
        <f>tblSales[[#This Row],[DPP (excl. VAT)]]+tblSales[[#This Row],[Output VAT]]</f>
        <v>288600</v>
      </c>
      <c r="N2142" s="5">
        <f>tblSales[[#This Row],[Qty]]*_xlfn.XLOOKUP(tblSales[[#This Row],[Product Code]],tblProducts[Code],tblProducts[Unit Cost],0)</f>
        <v>148000</v>
      </c>
      <c r="O2142" s="4" t="s">
        <v>4865</v>
      </c>
      <c r="P2142" s="4" t="s">
        <v>4860</v>
      </c>
      <c r="Q2142" s="1" t="str">
        <f>_xlfn.XLOOKUP(tblSales[[#This Row],[Channel Code]],tblChannels[Channel Code],tblChannels[Channel Name],"")</f>
        <v>In-store</v>
      </c>
      <c r="R2142" s="1">
        <f>MONTH(tblSales[[#This Row],[Date]])</f>
        <v>5</v>
      </c>
    </row>
    <row r="2143" spans="2:18" x14ac:dyDescent="0.35">
      <c r="B2143" s="113">
        <v>46151</v>
      </c>
      <c r="C2143" s="4" t="s">
        <v>1415</v>
      </c>
      <c r="D2143" s="4" t="s">
        <v>4568</v>
      </c>
      <c r="E2143" s="1" t="str">
        <f>_xlfn.XLOOKUP(tblSales[[#This Row],[Customer ID]],tblCustomers[Customer ID],tblCustomers[Customer Name],"⚠ Unknown")</f>
        <v>Walk-in Customer</v>
      </c>
      <c r="F2143" s="4" t="s">
        <v>8</v>
      </c>
      <c r="G2143" s="1" t="str">
        <f>_xlfn.XLOOKUP(tblSales[[#This Row],[Product Code]],tblProducts[Code],tblProducts[Product / Service Name],"⚠ Unknown")</f>
        <v>Casual Shorts</v>
      </c>
      <c r="H2143" s="1" t="str">
        <f>_xlfn.XLOOKUP(tblSales[[#This Row],[Product Code]],tblProducts[Code],tblProducts[Category],"")</f>
        <v>Accessories &amp; Basics</v>
      </c>
      <c r="I2143" s="4">
        <v>4</v>
      </c>
      <c r="J2143" s="5">
        <f>_xlfn.XLOOKUP(tblSales[[#This Row],[Product Code]],tblProducts[Code],tblProducts[Selling Price (excl. VAT)],0)</f>
        <v>85000</v>
      </c>
      <c r="K2143" s="5">
        <f>tblSales[[#This Row],[Qty]]*tblSales[[#This Row],[Unit Price]]</f>
        <v>340000</v>
      </c>
      <c r="L2143" s="5">
        <f>ROUND(tblSales[[#This Row],[DPP (excl. VAT)]]*VATEff,0)</f>
        <v>37400</v>
      </c>
      <c r="M2143" s="5">
        <f>tblSales[[#This Row],[DPP (excl. VAT)]]+tblSales[[#This Row],[Output VAT]]</f>
        <v>377400</v>
      </c>
      <c r="N2143" s="5">
        <f>tblSales[[#This Row],[Qty]]*_xlfn.XLOOKUP(tblSales[[#This Row],[Product Code]],tblProducts[Code],tblProducts[Unit Cost],0)</f>
        <v>200000</v>
      </c>
      <c r="O2143" s="4" t="s">
        <v>4866</v>
      </c>
      <c r="P2143" s="4" t="s">
        <v>4861</v>
      </c>
      <c r="Q2143" s="1" t="str">
        <f>_xlfn.XLOOKUP(tblSales[[#This Row],[Channel Code]],tblChannels[Channel Code],tblChannels[Channel Name],"")</f>
        <v>Marketplace</v>
      </c>
      <c r="R2143" s="1">
        <f>MONTH(tblSales[[#This Row],[Date]])</f>
        <v>5</v>
      </c>
    </row>
    <row r="2144" spans="2:18" x14ac:dyDescent="0.35">
      <c r="B2144" s="113">
        <v>46151</v>
      </c>
      <c r="C2144" s="4" t="s">
        <v>1416</v>
      </c>
      <c r="D2144" s="4" t="s">
        <v>4593</v>
      </c>
      <c r="E2144" s="1" t="str">
        <f>_xlfn.XLOOKUP(tblSales[[#This Row],[Customer ID]],tblCustomers[Customer ID],tblCustomers[Customer Name],"⚠ Unknown")</f>
        <v>PT Graha Nusa Persada</v>
      </c>
      <c r="F2144" s="4" t="s">
        <v>11</v>
      </c>
      <c r="G2144" s="1" t="str">
        <f>_xlfn.XLOOKUP(tblSales[[#This Row],[Product Code]],tblProducts[Code],tblProducts[Product / Service Name],"⚠ Unknown")</f>
        <v>Sneakers</v>
      </c>
      <c r="H2144" s="1" t="str">
        <f>_xlfn.XLOOKUP(tblSales[[#This Row],[Product Code]],tblProducts[Code],tblProducts[Category],"")</f>
        <v>Apparel &amp; Footwear</v>
      </c>
      <c r="I2144" s="4">
        <v>40</v>
      </c>
      <c r="J2144" s="5">
        <f>_xlfn.XLOOKUP(tblSales[[#This Row],[Product Code]],tblProducts[Code],tblProducts[Selling Price (excl. VAT)],0)</f>
        <v>250000</v>
      </c>
      <c r="K2144" s="5">
        <f>tblSales[[#This Row],[Qty]]*tblSales[[#This Row],[Unit Price]]</f>
        <v>10000000</v>
      </c>
      <c r="L2144" s="5">
        <f>ROUND(tblSales[[#This Row],[DPP (excl. VAT)]]*VATEff,0)</f>
        <v>1100000</v>
      </c>
      <c r="M2144" s="5">
        <f>tblSales[[#This Row],[DPP (excl. VAT)]]+tblSales[[#This Row],[Output VAT]]</f>
        <v>11100000</v>
      </c>
      <c r="N2144" s="5">
        <f>tblSales[[#This Row],[Qty]]*_xlfn.XLOOKUP(tblSales[[#This Row],[Product Code]],tblProducts[Code],tblProducts[Unit Cost],0)</f>
        <v>6200000</v>
      </c>
      <c r="O2144" s="4" t="s">
        <v>4867</v>
      </c>
      <c r="P2144" s="4" t="s">
        <v>4860</v>
      </c>
      <c r="Q2144" s="1" t="str">
        <f>_xlfn.XLOOKUP(tblSales[[#This Row],[Channel Code]],tblChannels[Channel Code],tblChannels[Channel Name],"")</f>
        <v>In-store</v>
      </c>
      <c r="R2144" s="1">
        <f>MONTH(tblSales[[#This Row],[Date]])</f>
        <v>5</v>
      </c>
    </row>
    <row r="2145" spans="2:18" x14ac:dyDescent="0.35">
      <c r="B2145" s="113">
        <v>46151</v>
      </c>
      <c r="C2145" s="4" t="s">
        <v>1417</v>
      </c>
      <c r="D2145" s="4" t="s">
        <v>4572</v>
      </c>
      <c r="E2145" s="1" t="str">
        <f>_xlfn.XLOOKUP(tblSales[[#This Row],[Customer ID]],tblCustomers[Customer ID],tblCustomers[Customer Name],"⚠ Unknown")</f>
        <v>PT Cahaya Abadi Makmur</v>
      </c>
      <c r="F2145" s="4" t="s">
        <v>10</v>
      </c>
      <c r="G2145" s="1" t="str">
        <f>_xlfn.XLOOKUP(tblSales[[#This Row],[Product Code]],tblProducts[Code],tblProducts[Product / Service Name],"⚠ Unknown")</f>
        <v>Chino Pants</v>
      </c>
      <c r="H2145" s="1" t="str">
        <f>_xlfn.XLOOKUP(tblSales[[#This Row],[Product Code]],tblProducts[Code],tblProducts[Category],"")</f>
        <v>Apparel &amp; Footwear</v>
      </c>
      <c r="I2145" s="4">
        <v>96</v>
      </c>
      <c r="J2145" s="5">
        <f>_xlfn.XLOOKUP(tblSales[[#This Row],[Product Code]],tblProducts[Code],tblProducts[Selling Price (excl. VAT)],0)</f>
        <v>150000</v>
      </c>
      <c r="K2145" s="5">
        <f>tblSales[[#This Row],[Qty]]*tblSales[[#This Row],[Unit Price]]</f>
        <v>14400000</v>
      </c>
      <c r="L2145" s="5">
        <f>ROUND(tblSales[[#This Row],[DPP (excl. VAT)]]*VATEff,0)</f>
        <v>1584000</v>
      </c>
      <c r="M2145" s="5">
        <f>tblSales[[#This Row],[DPP (excl. VAT)]]+tblSales[[#This Row],[Output VAT]]</f>
        <v>15984000</v>
      </c>
      <c r="N2145" s="5">
        <f>tblSales[[#This Row],[Qty]]*_xlfn.XLOOKUP(tblSales[[#This Row],[Product Code]],tblProducts[Code],tblProducts[Unit Cost],0)</f>
        <v>8448000</v>
      </c>
      <c r="O2145" s="4" t="s">
        <v>4867</v>
      </c>
      <c r="P2145" s="4" t="s">
        <v>4860</v>
      </c>
      <c r="Q2145" s="1" t="str">
        <f>_xlfn.XLOOKUP(tblSales[[#This Row],[Channel Code]],tblChannels[Channel Code],tblChannels[Channel Name],"")</f>
        <v>In-store</v>
      </c>
      <c r="R2145" s="1">
        <f>MONTH(tblSales[[#This Row],[Date]])</f>
        <v>5</v>
      </c>
    </row>
    <row r="2146" spans="2:18" x14ac:dyDescent="0.35">
      <c r="B2146" s="113">
        <v>46151</v>
      </c>
      <c r="C2146" s="4" t="s">
        <v>1418</v>
      </c>
      <c r="D2146" s="4" t="s">
        <v>4572</v>
      </c>
      <c r="E2146" s="1" t="str">
        <f>_xlfn.XLOOKUP(tblSales[[#This Row],[Customer ID]],tblCustomers[Customer ID],tblCustomers[Customer Name],"⚠ Unknown")</f>
        <v>PT Cahaya Abadi Makmur</v>
      </c>
      <c r="F2146" s="4" t="s">
        <v>9</v>
      </c>
      <c r="G2146" s="1" t="str">
        <f>_xlfn.XLOOKUP(tblSales[[#This Row],[Product Code]],tblProducts[Code],tblProducts[Product / Service Name],"⚠ Unknown")</f>
        <v>Casual Shirt</v>
      </c>
      <c r="H2146" s="1" t="str">
        <f>_xlfn.XLOOKUP(tblSales[[#This Row],[Product Code]],tblProducts[Code],tblProducts[Category],"")</f>
        <v>Apparel &amp; Footwear</v>
      </c>
      <c r="I2146" s="4">
        <v>64</v>
      </c>
      <c r="J2146" s="5">
        <f>_xlfn.XLOOKUP(tblSales[[#This Row],[Product Code]],tblProducts[Code],tblProducts[Selling Price (excl. VAT)],0)</f>
        <v>120000</v>
      </c>
      <c r="K2146" s="5">
        <f>tblSales[[#This Row],[Qty]]*tblSales[[#This Row],[Unit Price]]</f>
        <v>7680000</v>
      </c>
      <c r="L2146" s="5">
        <f>ROUND(tblSales[[#This Row],[DPP (excl. VAT)]]*VATEff,0)</f>
        <v>844800</v>
      </c>
      <c r="M2146" s="5">
        <f>tblSales[[#This Row],[DPP (excl. VAT)]]+tblSales[[#This Row],[Output VAT]]</f>
        <v>8524800</v>
      </c>
      <c r="N2146" s="5">
        <f>tblSales[[#This Row],[Qty]]*_xlfn.XLOOKUP(tblSales[[#This Row],[Product Code]],tblProducts[Code],tblProducts[Unit Cost],0)</f>
        <v>4608000</v>
      </c>
      <c r="O2146" s="4" t="s">
        <v>4867</v>
      </c>
      <c r="P2146" s="4" t="s">
        <v>4860</v>
      </c>
      <c r="Q2146" s="1" t="str">
        <f>_xlfn.XLOOKUP(tblSales[[#This Row],[Channel Code]],tblChannels[Channel Code],tblChannels[Channel Name],"")</f>
        <v>In-store</v>
      </c>
      <c r="R2146" s="1">
        <f>MONTH(tblSales[[#This Row],[Date]])</f>
        <v>5</v>
      </c>
    </row>
    <row r="2147" spans="2:18" x14ac:dyDescent="0.35">
      <c r="B2147" s="113">
        <v>46151</v>
      </c>
      <c r="C2147" s="4" t="s">
        <v>1419</v>
      </c>
      <c r="D2147" s="4" t="s">
        <v>4568</v>
      </c>
      <c r="E2147" s="1" t="str">
        <f>_xlfn.XLOOKUP(tblSales[[#This Row],[Customer ID]],tblCustomers[Customer ID],tblCustomers[Customer Name],"⚠ Unknown")</f>
        <v>Walk-in Customer</v>
      </c>
      <c r="F2147" s="4" t="s">
        <v>12</v>
      </c>
      <c r="G2147" s="1" t="str">
        <f>_xlfn.XLOOKUP(tblSales[[#This Row],[Product Code]],tblProducts[Code],tblProducts[Product / Service Name],"⚠ Unknown")</f>
        <v>Bomber Jacket</v>
      </c>
      <c r="H2147" s="1" t="str">
        <f>_xlfn.XLOOKUP(tblSales[[#This Row],[Product Code]],tblProducts[Code],tblProducts[Category],"")</f>
        <v>Apparel &amp; Footwear</v>
      </c>
      <c r="I2147" s="4">
        <v>6</v>
      </c>
      <c r="J2147" s="5">
        <f>_xlfn.XLOOKUP(tblSales[[#This Row],[Product Code]],tblProducts[Code],tblProducts[Selling Price (excl. VAT)],0)</f>
        <v>350000</v>
      </c>
      <c r="K2147" s="5">
        <f>tblSales[[#This Row],[Qty]]*tblSales[[#This Row],[Unit Price]]</f>
        <v>2100000</v>
      </c>
      <c r="L2147" s="5">
        <f>ROUND(tblSales[[#This Row],[DPP (excl. VAT)]]*VATEff,0)</f>
        <v>231000</v>
      </c>
      <c r="M2147" s="5">
        <f>tblSales[[#This Row],[DPP (excl. VAT)]]+tblSales[[#This Row],[Output VAT]]</f>
        <v>2331000</v>
      </c>
      <c r="N2147" s="5">
        <f>tblSales[[#This Row],[Qty]]*_xlfn.XLOOKUP(tblSales[[#This Row],[Product Code]],tblProducts[Code],tblProducts[Unit Cost],0)</f>
        <v>1260000</v>
      </c>
      <c r="O2147" s="4" t="s">
        <v>4865</v>
      </c>
      <c r="P2147" s="4" t="s">
        <v>4860</v>
      </c>
      <c r="Q2147" s="1" t="str">
        <f>_xlfn.XLOOKUP(tblSales[[#This Row],[Channel Code]],tblChannels[Channel Code],tblChannels[Channel Name],"")</f>
        <v>In-store</v>
      </c>
      <c r="R2147" s="1">
        <f>MONTH(tblSales[[#This Row],[Date]])</f>
        <v>5</v>
      </c>
    </row>
    <row r="2148" spans="2:18" x14ac:dyDescent="0.35">
      <c r="B2148" s="113">
        <v>46151</v>
      </c>
      <c r="C2148" s="4" t="s">
        <v>1420</v>
      </c>
      <c r="D2148" s="4" t="s">
        <v>4568</v>
      </c>
      <c r="E2148" s="1" t="str">
        <f>_xlfn.XLOOKUP(tblSales[[#This Row],[Customer ID]],tblCustomers[Customer ID],tblCustomers[Customer Name],"⚠ Unknown")</f>
        <v>Walk-in Customer</v>
      </c>
      <c r="F2148" s="4" t="s">
        <v>6</v>
      </c>
      <c r="G2148" s="1" t="str">
        <f>_xlfn.XLOOKUP(tblSales[[#This Row],[Product Code]],tblProducts[Code],tblProducts[Product / Service Name],"⚠ Unknown")</f>
        <v>Socks &amp; Accessories</v>
      </c>
      <c r="H2148" s="1" t="str">
        <f>_xlfn.XLOOKUP(tblSales[[#This Row],[Product Code]],tblProducts[Code],tblProducts[Category],"")</f>
        <v>Accessories &amp; Basics</v>
      </c>
      <c r="I2148" s="4">
        <v>2</v>
      </c>
      <c r="J2148" s="5">
        <f>_xlfn.XLOOKUP(tblSales[[#This Row],[Product Code]],tblProducts[Code],tblProducts[Selling Price (excl. VAT)],0)</f>
        <v>45000</v>
      </c>
      <c r="K2148" s="5">
        <f>tblSales[[#This Row],[Qty]]*tblSales[[#This Row],[Unit Price]]</f>
        <v>90000</v>
      </c>
      <c r="L2148" s="5">
        <f>ROUND(tblSales[[#This Row],[DPP (excl. VAT)]]*VATEff,0)</f>
        <v>9900</v>
      </c>
      <c r="M2148" s="5">
        <f>tblSales[[#This Row],[DPP (excl. VAT)]]+tblSales[[#This Row],[Output VAT]]</f>
        <v>99900</v>
      </c>
      <c r="N2148" s="5">
        <f>tblSales[[#This Row],[Qty]]*_xlfn.XLOOKUP(tblSales[[#This Row],[Product Code]],tblProducts[Code],tblProducts[Unit Cost],0)</f>
        <v>48000</v>
      </c>
      <c r="O2148" s="4" t="s">
        <v>4866</v>
      </c>
      <c r="P2148" s="4" t="s">
        <v>4862</v>
      </c>
      <c r="Q2148" s="1" t="str">
        <f>_xlfn.XLOOKUP(tblSales[[#This Row],[Channel Code]],tblChannels[Channel Code],tblChannels[Channel Name],"")</f>
        <v>Website &amp; Social Media</v>
      </c>
      <c r="R2148" s="1">
        <f>MONTH(tblSales[[#This Row],[Date]])</f>
        <v>5</v>
      </c>
    </row>
    <row r="2149" spans="2:18" x14ac:dyDescent="0.35">
      <c r="B2149" s="113">
        <v>46151</v>
      </c>
      <c r="C2149" s="4" t="s">
        <v>1420</v>
      </c>
      <c r="D2149" s="4" t="s">
        <v>4568</v>
      </c>
      <c r="E2149" s="1" t="str">
        <f>_xlfn.XLOOKUP(tblSales[[#This Row],[Customer ID]],tblCustomers[Customer ID],tblCustomers[Customer Name],"⚠ Unknown")</f>
        <v>Walk-in Customer</v>
      </c>
      <c r="F2149" s="4" t="s">
        <v>10</v>
      </c>
      <c r="G2149" s="1" t="str">
        <f>_xlfn.XLOOKUP(tblSales[[#This Row],[Product Code]],tblProducts[Code],tblProducts[Product / Service Name],"⚠ Unknown")</f>
        <v>Chino Pants</v>
      </c>
      <c r="H2149" s="1" t="str">
        <f>_xlfn.XLOOKUP(tblSales[[#This Row],[Product Code]],tblProducts[Code],tblProducts[Category],"")</f>
        <v>Apparel &amp; Footwear</v>
      </c>
      <c r="I2149" s="4">
        <v>7</v>
      </c>
      <c r="J2149" s="5">
        <f>_xlfn.XLOOKUP(tblSales[[#This Row],[Product Code]],tblProducts[Code],tblProducts[Selling Price (excl. VAT)],0)</f>
        <v>150000</v>
      </c>
      <c r="K2149" s="5">
        <f>tblSales[[#This Row],[Qty]]*tblSales[[#This Row],[Unit Price]]</f>
        <v>1050000</v>
      </c>
      <c r="L2149" s="5">
        <f>ROUND(tblSales[[#This Row],[DPP (excl. VAT)]]*VATEff,0)</f>
        <v>115500</v>
      </c>
      <c r="M2149" s="5">
        <f>tblSales[[#This Row],[DPP (excl. VAT)]]+tblSales[[#This Row],[Output VAT]]</f>
        <v>1165500</v>
      </c>
      <c r="N2149" s="5">
        <f>tblSales[[#This Row],[Qty]]*_xlfn.XLOOKUP(tblSales[[#This Row],[Product Code]],tblProducts[Code],tblProducts[Unit Cost],0)</f>
        <v>616000</v>
      </c>
      <c r="O2149" s="4" t="s">
        <v>4866</v>
      </c>
      <c r="P2149" s="4" t="s">
        <v>4862</v>
      </c>
      <c r="Q2149" s="1" t="str">
        <f>_xlfn.XLOOKUP(tblSales[[#This Row],[Channel Code]],tblChannels[Channel Code],tblChannels[Channel Name],"")</f>
        <v>Website &amp; Social Media</v>
      </c>
      <c r="R2149" s="1">
        <f>MONTH(tblSales[[#This Row],[Date]])</f>
        <v>5</v>
      </c>
    </row>
    <row r="2150" spans="2:18" x14ac:dyDescent="0.35">
      <c r="B2150" s="113">
        <v>46151</v>
      </c>
      <c r="C2150" s="4" t="s">
        <v>1421</v>
      </c>
      <c r="D2150" s="4" t="s">
        <v>4648</v>
      </c>
      <c r="E2150" s="1" t="str">
        <f>_xlfn.XLOOKUP(tblSales[[#This Row],[Customer ID]],tblCustomers[Customer ID],tblCustomers[Customer Name],"⚠ Unknown")</f>
        <v>PT Lintas Benua Niaga</v>
      </c>
      <c r="F2150" s="4" t="s">
        <v>7</v>
      </c>
      <c r="G2150" s="1" t="str">
        <f>_xlfn.XLOOKUP(tblSales[[#This Row],[Product Code]],tblProducts[Code],tblProducts[Product / Service Name],"⚠ Unknown")</f>
        <v>Premium Basic T-shirt</v>
      </c>
      <c r="H2150" s="1" t="str">
        <f>_xlfn.XLOOKUP(tblSales[[#This Row],[Product Code]],tblProducts[Code],tblProducts[Category],"")</f>
        <v>Accessories &amp; Basics</v>
      </c>
      <c r="I2150" s="4">
        <v>56</v>
      </c>
      <c r="J2150" s="5">
        <f>_xlfn.XLOOKUP(tblSales[[#This Row],[Product Code]],tblProducts[Code],tblProducts[Selling Price (excl. VAT)],0)</f>
        <v>65000</v>
      </c>
      <c r="K2150" s="5">
        <f>tblSales[[#This Row],[Qty]]*tblSales[[#This Row],[Unit Price]]</f>
        <v>3640000</v>
      </c>
      <c r="L2150" s="5">
        <f>ROUND(tblSales[[#This Row],[DPP (excl. VAT)]]*VATEff,0)</f>
        <v>400400</v>
      </c>
      <c r="M2150" s="5">
        <f>tblSales[[#This Row],[DPP (excl. VAT)]]+tblSales[[#This Row],[Output VAT]]</f>
        <v>4040400</v>
      </c>
      <c r="N2150" s="5">
        <f>tblSales[[#This Row],[Qty]]*_xlfn.XLOOKUP(tblSales[[#This Row],[Product Code]],tblProducts[Code],tblProducts[Unit Cost],0)</f>
        <v>2072000</v>
      </c>
      <c r="O2150" s="4" t="s">
        <v>4867</v>
      </c>
      <c r="P2150" s="4" t="s">
        <v>4860</v>
      </c>
      <c r="Q2150" s="1" t="str">
        <f>_xlfn.XLOOKUP(tblSales[[#This Row],[Channel Code]],tblChannels[Channel Code],tblChannels[Channel Name],"")</f>
        <v>In-store</v>
      </c>
      <c r="R2150" s="1">
        <f>MONTH(tblSales[[#This Row],[Date]])</f>
        <v>5</v>
      </c>
    </row>
    <row r="2151" spans="2:18" x14ac:dyDescent="0.35">
      <c r="B2151" s="113">
        <v>46151</v>
      </c>
      <c r="C2151" s="4" t="s">
        <v>1422</v>
      </c>
      <c r="D2151" s="4" t="s">
        <v>4568</v>
      </c>
      <c r="E2151" s="1" t="str">
        <f>_xlfn.XLOOKUP(tblSales[[#This Row],[Customer ID]],tblCustomers[Customer ID],tblCustomers[Customer Name],"⚠ Unknown")</f>
        <v>Walk-in Customer</v>
      </c>
      <c r="F2151" s="4" t="s">
        <v>11</v>
      </c>
      <c r="G2151" s="1" t="str">
        <f>_xlfn.XLOOKUP(tblSales[[#This Row],[Product Code]],tblProducts[Code],tblProducts[Product / Service Name],"⚠ Unknown")</f>
        <v>Sneakers</v>
      </c>
      <c r="H2151" s="1" t="str">
        <f>_xlfn.XLOOKUP(tblSales[[#This Row],[Product Code]],tblProducts[Code],tblProducts[Category],"")</f>
        <v>Apparel &amp; Footwear</v>
      </c>
      <c r="I2151" s="4">
        <v>6</v>
      </c>
      <c r="J2151" s="5">
        <f>_xlfn.XLOOKUP(tblSales[[#This Row],[Product Code]],tblProducts[Code],tblProducts[Selling Price (excl. VAT)],0)</f>
        <v>250000</v>
      </c>
      <c r="K2151" s="5">
        <f>tblSales[[#This Row],[Qty]]*tblSales[[#This Row],[Unit Price]]</f>
        <v>1500000</v>
      </c>
      <c r="L2151" s="5">
        <f>ROUND(tblSales[[#This Row],[DPP (excl. VAT)]]*VATEff,0)</f>
        <v>165000</v>
      </c>
      <c r="M2151" s="5">
        <f>tblSales[[#This Row],[DPP (excl. VAT)]]+tblSales[[#This Row],[Output VAT]]</f>
        <v>1665000</v>
      </c>
      <c r="N2151" s="5">
        <f>tblSales[[#This Row],[Qty]]*_xlfn.XLOOKUP(tblSales[[#This Row],[Product Code]],tblProducts[Code],tblProducts[Unit Cost],0)</f>
        <v>930000</v>
      </c>
      <c r="O2151" s="4" t="s">
        <v>4865</v>
      </c>
      <c r="P2151" s="4" t="s">
        <v>4860</v>
      </c>
      <c r="Q2151" s="1" t="str">
        <f>_xlfn.XLOOKUP(tblSales[[#This Row],[Channel Code]],tblChannels[Channel Code],tblChannels[Channel Name],"")</f>
        <v>In-store</v>
      </c>
      <c r="R2151" s="1">
        <f>MONTH(tblSales[[#This Row],[Date]])</f>
        <v>5</v>
      </c>
    </row>
    <row r="2152" spans="2:18" x14ac:dyDescent="0.35">
      <c r="B2152" s="113">
        <v>46151</v>
      </c>
      <c r="C2152" s="4" t="s">
        <v>1422</v>
      </c>
      <c r="D2152" s="4" t="s">
        <v>4568</v>
      </c>
      <c r="E2152" s="1" t="str">
        <f>_xlfn.XLOOKUP(tblSales[[#This Row],[Customer ID]],tblCustomers[Customer ID],tblCustomers[Customer Name],"⚠ Unknown")</f>
        <v>Walk-in Customer</v>
      </c>
      <c r="F2152" s="4" t="s">
        <v>9</v>
      </c>
      <c r="G2152" s="1" t="str">
        <f>_xlfn.XLOOKUP(tblSales[[#This Row],[Product Code]],tblProducts[Code],tblProducts[Product / Service Name],"⚠ Unknown")</f>
        <v>Casual Shirt</v>
      </c>
      <c r="H2152" s="1" t="str">
        <f>_xlfn.XLOOKUP(tblSales[[#This Row],[Product Code]],tblProducts[Code],tblProducts[Category],"")</f>
        <v>Apparel &amp; Footwear</v>
      </c>
      <c r="I2152" s="4">
        <v>2</v>
      </c>
      <c r="J2152" s="5">
        <f>_xlfn.XLOOKUP(tblSales[[#This Row],[Product Code]],tblProducts[Code],tblProducts[Selling Price (excl. VAT)],0)</f>
        <v>120000</v>
      </c>
      <c r="K2152" s="5">
        <f>tblSales[[#This Row],[Qty]]*tblSales[[#This Row],[Unit Price]]</f>
        <v>240000</v>
      </c>
      <c r="L2152" s="5">
        <f>ROUND(tblSales[[#This Row],[DPP (excl. VAT)]]*VATEff,0)</f>
        <v>26400</v>
      </c>
      <c r="M2152" s="5">
        <f>tblSales[[#This Row],[DPP (excl. VAT)]]+tblSales[[#This Row],[Output VAT]]</f>
        <v>266400</v>
      </c>
      <c r="N2152" s="5">
        <f>tblSales[[#This Row],[Qty]]*_xlfn.XLOOKUP(tblSales[[#This Row],[Product Code]],tblProducts[Code],tblProducts[Unit Cost],0)</f>
        <v>144000</v>
      </c>
      <c r="O2152" s="4" t="s">
        <v>4865</v>
      </c>
      <c r="P2152" s="4" t="s">
        <v>4860</v>
      </c>
      <c r="Q2152" s="1" t="str">
        <f>_xlfn.XLOOKUP(tblSales[[#This Row],[Channel Code]],tblChannels[Channel Code],tblChannels[Channel Name],"")</f>
        <v>In-store</v>
      </c>
      <c r="R2152" s="1">
        <f>MONTH(tblSales[[#This Row],[Date]])</f>
        <v>5</v>
      </c>
    </row>
    <row r="2153" spans="2:18" x14ac:dyDescent="0.35">
      <c r="B2153" s="113">
        <v>46151</v>
      </c>
      <c r="C2153" s="4" t="s">
        <v>1423</v>
      </c>
      <c r="D2153" s="4" t="s">
        <v>4568</v>
      </c>
      <c r="E2153" s="1" t="str">
        <f>_xlfn.XLOOKUP(tblSales[[#This Row],[Customer ID]],tblCustomers[Customer ID],tblCustomers[Customer Name],"⚠ Unknown")</f>
        <v>Walk-in Customer</v>
      </c>
      <c r="F2153" s="4" t="s">
        <v>7</v>
      </c>
      <c r="G2153" s="1" t="str">
        <f>_xlfn.XLOOKUP(tblSales[[#This Row],[Product Code]],tblProducts[Code],tblProducts[Product / Service Name],"⚠ Unknown")</f>
        <v>Premium Basic T-shirt</v>
      </c>
      <c r="H2153" s="1" t="str">
        <f>_xlfn.XLOOKUP(tblSales[[#This Row],[Product Code]],tblProducts[Code],tblProducts[Category],"")</f>
        <v>Accessories &amp; Basics</v>
      </c>
      <c r="I2153" s="4">
        <v>7</v>
      </c>
      <c r="J2153" s="5">
        <f>_xlfn.XLOOKUP(tblSales[[#This Row],[Product Code]],tblProducts[Code],tblProducts[Selling Price (excl. VAT)],0)</f>
        <v>65000</v>
      </c>
      <c r="K2153" s="5">
        <f>tblSales[[#This Row],[Qty]]*tblSales[[#This Row],[Unit Price]]</f>
        <v>455000</v>
      </c>
      <c r="L2153" s="5">
        <f>ROUND(tblSales[[#This Row],[DPP (excl. VAT)]]*VATEff,0)</f>
        <v>50050</v>
      </c>
      <c r="M2153" s="5">
        <f>tblSales[[#This Row],[DPP (excl. VAT)]]+tblSales[[#This Row],[Output VAT]]</f>
        <v>505050</v>
      </c>
      <c r="N2153" s="5">
        <f>tblSales[[#This Row],[Qty]]*_xlfn.XLOOKUP(tblSales[[#This Row],[Product Code]],tblProducts[Code],tblProducts[Unit Cost],0)</f>
        <v>259000</v>
      </c>
      <c r="O2153" s="4" t="s">
        <v>4865</v>
      </c>
      <c r="P2153" s="4" t="s">
        <v>4860</v>
      </c>
      <c r="Q2153" s="1" t="str">
        <f>_xlfn.XLOOKUP(tblSales[[#This Row],[Channel Code]],tblChannels[Channel Code],tblChannels[Channel Name],"")</f>
        <v>In-store</v>
      </c>
      <c r="R2153" s="1">
        <f>MONTH(tblSales[[#This Row],[Date]])</f>
        <v>5</v>
      </c>
    </row>
    <row r="2154" spans="2:18" x14ac:dyDescent="0.35">
      <c r="B2154" s="113">
        <v>46151</v>
      </c>
      <c r="C2154" s="4" t="s">
        <v>1424</v>
      </c>
      <c r="D2154" s="4" t="s">
        <v>4568</v>
      </c>
      <c r="E2154" s="1" t="str">
        <f>_xlfn.XLOOKUP(tblSales[[#This Row],[Customer ID]],tblCustomers[Customer ID],tblCustomers[Customer Name],"⚠ Unknown")</f>
        <v>Walk-in Customer</v>
      </c>
      <c r="F2154" s="4" t="s">
        <v>11</v>
      </c>
      <c r="G2154" s="1" t="str">
        <f>_xlfn.XLOOKUP(tblSales[[#This Row],[Product Code]],tblProducts[Code],tblProducts[Product / Service Name],"⚠ Unknown")</f>
        <v>Sneakers</v>
      </c>
      <c r="H2154" s="1" t="str">
        <f>_xlfn.XLOOKUP(tblSales[[#This Row],[Product Code]],tblProducts[Code],tblProducts[Category],"")</f>
        <v>Apparel &amp; Footwear</v>
      </c>
      <c r="I2154" s="4">
        <v>3</v>
      </c>
      <c r="J2154" s="5">
        <f>_xlfn.XLOOKUP(tblSales[[#This Row],[Product Code]],tblProducts[Code],tblProducts[Selling Price (excl. VAT)],0)</f>
        <v>250000</v>
      </c>
      <c r="K2154" s="5">
        <f>tblSales[[#This Row],[Qty]]*tblSales[[#This Row],[Unit Price]]</f>
        <v>750000</v>
      </c>
      <c r="L2154" s="5">
        <f>ROUND(tblSales[[#This Row],[DPP (excl. VAT)]]*VATEff,0)</f>
        <v>82500</v>
      </c>
      <c r="M2154" s="5">
        <f>tblSales[[#This Row],[DPP (excl. VAT)]]+tblSales[[#This Row],[Output VAT]]</f>
        <v>832500</v>
      </c>
      <c r="N2154" s="5">
        <f>tblSales[[#This Row],[Qty]]*_xlfn.XLOOKUP(tblSales[[#This Row],[Product Code]],tblProducts[Code],tblProducts[Unit Cost],0)</f>
        <v>465000</v>
      </c>
      <c r="O2154" s="4" t="s">
        <v>4865</v>
      </c>
      <c r="P2154" s="4" t="s">
        <v>4860</v>
      </c>
      <c r="Q2154" s="1" t="str">
        <f>_xlfn.XLOOKUP(tblSales[[#This Row],[Channel Code]],tblChannels[Channel Code],tblChannels[Channel Name],"")</f>
        <v>In-store</v>
      </c>
      <c r="R2154" s="1">
        <f>MONTH(tblSales[[#This Row],[Date]])</f>
        <v>5</v>
      </c>
    </row>
    <row r="2155" spans="2:18" x14ac:dyDescent="0.35">
      <c r="B2155" s="113">
        <v>46151</v>
      </c>
      <c r="C2155" s="4" t="s">
        <v>1424</v>
      </c>
      <c r="D2155" s="4" t="s">
        <v>4568</v>
      </c>
      <c r="E2155" s="1" t="str">
        <f>_xlfn.XLOOKUP(tblSales[[#This Row],[Customer ID]],tblCustomers[Customer ID],tblCustomers[Customer Name],"⚠ Unknown")</f>
        <v>Walk-in Customer</v>
      </c>
      <c r="F2155" s="4" t="s">
        <v>9</v>
      </c>
      <c r="G2155" s="1" t="str">
        <f>_xlfn.XLOOKUP(tblSales[[#This Row],[Product Code]],tblProducts[Code],tblProducts[Product / Service Name],"⚠ Unknown")</f>
        <v>Casual Shirt</v>
      </c>
      <c r="H2155" s="1" t="str">
        <f>_xlfn.XLOOKUP(tblSales[[#This Row],[Product Code]],tblProducts[Code],tblProducts[Category],"")</f>
        <v>Apparel &amp; Footwear</v>
      </c>
      <c r="I2155" s="4">
        <v>4</v>
      </c>
      <c r="J2155" s="5">
        <f>_xlfn.XLOOKUP(tblSales[[#This Row],[Product Code]],tblProducts[Code],tblProducts[Selling Price (excl. VAT)],0)</f>
        <v>120000</v>
      </c>
      <c r="K2155" s="5">
        <f>tblSales[[#This Row],[Qty]]*tblSales[[#This Row],[Unit Price]]</f>
        <v>480000</v>
      </c>
      <c r="L2155" s="5">
        <f>ROUND(tblSales[[#This Row],[DPP (excl. VAT)]]*VATEff,0)</f>
        <v>52800</v>
      </c>
      <c r="M2155" s="5">
        <f>tblSales[[#This Row],[DPP (excl. VAT)]]+tblSales[[#This Row],[Output VAT]]</f>
        <v>532800</v>
      </c>
      <c r="N2155" s="5">
        <f>tblSales[[#This Row],[Qty]]*_xlfn.XLOOKUP(tblSales[[#This Row],[Product Code]],tblProducts[Code],tblProducts[Unit Cost],0)</f>
        <v>288000</v>
      </c>
      <c r="O2155" s="4" t="s">
        <v>4865</v>
      </c>
      <c r="P2155" s="4" t="s">
        <v>4860</v>
      </c>
      <c r="Q2155" s="1" t="str">
        <f>_xlfn.XLOOKUP(tblSales[[#This Row],[Channel Code]],tblChannels[Channel Code],tblChannels[Channel Name],"")</f>
        <v>In-store</v>
      </c>
      <c r="R2155" s="1">
        <f>MONTH(tblSales[[#This Row],[Date]])</f>
        <v>5</v>
      </c>
    </row>
    <row r="2156" spans="2:18" x14ac:dyDescent="0.35">
      <c r="B2156" s="113">
        <v>46151</v>
      </c>
      <c r="C2156" s="4" t="s">
        <v>1425</v>
      </c>
      <c r="D2156" s="4" t="s">
        <v>4585</v>
      </c>
      <c r="E2156" s="1" t="str">
        <f>_xlfn.XLOOKUP(tblSales[[#This Row],[Customer ID]],tblCustomers[Customer ID],tblCustomers[Customer Name],"⚠ Unknown")</f>
        <v>CV Mitra Karya Mandiri</v>
      </c>
      <c r="F2156" s="4" t="s">
        <v>7</v>
      </c>
      <c r="G2156" s="1" t="str">
        <f>_xlfn.XLOOKUP(tblSales[[#This Row],[Product Code]],tblProducts[Code],tblProducts[Product / Service Name],"⚠ Unknown")</f>
        <v>Premium Basic T-shirt</v>
      </c>
      <c r="H2156" s="1" t="str">
        <f>_xlfn.XLOOKUP(tblSales[[#This Row],[Product Code]],tblProducts[Code],tblProducts[Category],"")</f>
        <v>Accessories &amp; Basics</v>
      </c>
      <c r="I2156" s="4">
        <v>24</v>
      </c>
      <c r="J2156" s="5">
        <f>_xlfn.XLOOKUP(tblSales[[#This Row],[Product Code]],tblProducts[Code],tblProducts[Selling Price (excl. VAT)],0)</f>
        <v>65000</v>
      </c>
      <c r="K2156" s="5">
        <f>tblSales[[#This Row],[Qty]]*tblSales[[#This Row],[Unit Price]]</f>
        <v>1560000</v>
      </c>
      <c r="L2156" s="5">
        <f>ROUND(tblSales[[#This Row],[DPP (excl. VAT)]]*VATEff,0)</f>
        <v>171600</v>
      </c>
      <c r="M2156" s="5">
        <f>tblSales[[#This Row],[DPP (excl. VAT)]]+tblSales[[#This Row],[Output VAT]]</f>
        <v>1731600</v>
      </c>
      <c r="N2156" s="5">
        <f>tblSales[[#This Row],[Qty]]*_xlfn.XLOOKUP(tblSales[[#This Row],[Product Code]],tblProducts[Code],tblProducts[Unit Cost],0)</f>
        <v>888000</v>
      </c>
      <c r="O2156" s="4" t="s">
        <v>4867</v>
      </c>
      <c r="P2156" s="4" t="s">
        <v>4860</v>
      </c>
      <c r="Q2156" s="1" t="str">
        <f>_xlfn.XLOOKUP(tblSales[[#This Row],[Channel Code]],tblChannels[Channel Code],tblChannels[Channel Name],"")</f>
        <v>In-store</v>
      </c>
      <c r="R2156" s="1">
        <f>MONTH(tblSales[[#This Row],[Date]])</f>
        <v>5</v>
      </c>
    </row>
    <row r="2157" spans="2:18" x14ac:dyDescent="0.35">
      <c r="B2157" s="113">
        <v>46151</v>
      </c>
      <c r="C2157" s="4" t="s">
        <v>1426</v>
      </c>
      <c r="D2157" s="4" t="s">
        <v>4568</v>
      </c>
      <c r="E2157" s="1" t="str">
        <f>_xlfn.XLOOKUP(tblSales[[#This Row],[Customer ID]],tblCustomers[Customer ID],tblCustomers[Customer Name],"⚠ Unknown")</f>
        <v>Walk-in Customer</v>
      </c>
      <c r="F2157" s="4" t="s">
        <v>8</v>
      </c>
      <c r="G2157" s="1" t="str">
        <f>_xlfn.XLOOKUP(tblSales[[#This Row],[Product Code]],tblProducts[Code],tblProducts[Product / Service Name],"⚠ Unknown")</f>
        <v>Casual Shorts</v>
      </c>
      <c r="H2157" s="1" t="str">
        <f>_xlfn.XLOOKUP(tblSales[[#This Row],[Product Code]],tblProducts[Code],tblProducts[Category],"")</f>
        <v>Accessories &amp; Basics</v>
      </c>
      <c r="I2157" s="4">
        <v>7</v>
      </c>
      <c r="J2157" s="5">
        <f>_xlfn.XLOOKUP(tblSales[[#This Row],[Product Code]],tblProducts[Code],tblProducts[Selling Price (excl. VAT)],0)</f>
        <v>85000</v>
      </c>
      <c r="K2157" s="5">
        <f>tblSales[[#This Row],[Qty]]*tblSales[[#This Row],[Unit Price]]</f>
        <v>595000</v>
      </c>
      <c r="L2157" s="5">
        <f>ROUND(tblSales[[#This Row],[DPP (excl. VAT)]]*VATEff,0)</f>
        <v>65450</v>
      </c>
      <c r="M2157" s="5">
        <f>tblSales[[#This Row],[DPP (excl. VAT)]]+tblSales[[#This Row],[Output VAT]]</f>
        <v>660450</v>
      </c>
      <c r="N2157" s="5">
        <f>tblSales[[#This Row],[Qty]]*_xlfn.XLOOKUP(tblSales[[#This Row],[Product Code]],tblProducts[Code],tblProducts[Unit Cost],0)</f>
        <v>350000</v>
      </c>
      <c r="O2157" s="4" t="s">
        <v>4865</v>
      </c>
      <c r="P2157" s="4" t="s">
        <v>4860</v>
      </c>
      <c r="Q2157" s="1" t="str">
        <f>_xlfn.XLOOKUP(tblSales[[#This Row],[Channel Code]],tblChannels[Channel Code],tblChannels[Channel Name],"")</f>
        <v>In-store</v>
      </c>
      <c r="R2157" s="1">
        <f>MONTH(tblSales[[#This Row],[Date]])</f>
        <v>5</v>
      </c>
    </row>
    <row r="2158" spans="2:18" x14ac:dyDescent="0.35">
      <c r="B2158" s="113">
        <v>46152</v>
      </c>
      <c r="C2158" s="4" t="s">
        <v>1427</v>
      </c>
      <c r="D2158" s="4" t="s">
        <v>4568</v>
      </c>
      <c r="E2158" s="1" t="str">
        <f>_xlfn.XLOOKUP(tblSales[[#This Row],[Customer ID]],tblCustomers[Customer ID],tblCustomers[Customer Name],"⚠ Unknown")</f>
        <v>Walk-in Customer</v>
      </c>
      <c r="F2158" s="4" t="s">
        <v>6</v>
      </c>
      <c r="G2158" s="1" t="str">
        <f>_xlfn.XLOOKUP(tblSales[[#This Row],[Product Code]],tblProducts[Code],tblProducts[Product / Service Name],"⚠ Unknown")</f>
        <v>Socks &amp; Accessories</v>
      </c>
      <c r="H2158" s="1" t="str">
        <f>_xlfn.XLOOKUP(tblSales[[#This Row],[Product Code]],tblProducts[Code],tblProducts[Category],"")</f>
        <v>Accessories &amp; Basics</v>
      </c>
      <c r="I2158" s="4">
        <v>8</v>
      </c>
      <c r="J2158" s="5">
        <f>_xlfn.XLOOKUP(tblSales[[#This Row],[Product Code]],tblProducts[Code],tblProducts[Selling Price (excl. VAT)],0)</f>
        <v>45000</v>
      </c>
      <c r="K2158" s="5">
        <f>tblSales[[#This Row],[Qty]]*tblSales[[#This Row],[Unit Price]]</f>
        <v>360000</v>
      </c>
      <c r="L2158" s="5">
        <f>ROUND(tblSales[[#This Row],[DPP (excl. VAT)]]*VATEff,0)</f>
        <v>39600</v>
      </c>
      <c r="M2158" s="5">
        <f>tblSales[[#This Row],[DPP (excl. VAT)]]+tblSales[[#This Row],[Output VAT]]</f>
        <v>399600</v>
      </c>
      <c r="N2158" s="5">
        <f>tblSales[[#This Row],[Qty]]*_xlfn.XLOOKUP(tblSales[[#This Row],[Product Code]],tblProducts[Code],tblProducts[Unit Cost],0)</f>
        <v>192000</v>
      </c>
      <c r="O2158" s="4" t="s">
        <v>4866</v>
      </c>
      <c r="P2158" s="4" t="s">
        <v>4862</v>
      </c>
      <c r="Q2158" s="1" t="str">
        <f>_xlfn.XLOOKUP(tblSales[[#This Row],[Channel Code]],tblChannels[Channel Code],tblChannels[Channel Name],"")</f>
        <v>Website &amp; Social Media</v>
      </c>
      <c r="R2158" s="1">
        <f>MONTH(tblSales[[#This Row],[Date]])</f>
        <v>5</v>
      </c>
    </row>
    <row r="2159" spans="2:18" x14ac:dyDescent="0.35">
      <c r="B2159" s="113">
        <v>46152</v>
      </c>
      <c r="C2159" s="4" t="s">
        <v>1428</v>
      </c>
      <c r="D2159" s="4" t="s">
        <v>4568</v>
      </c>
      <c r="E2159" s="1" t="str">
        <f>_xlfn.XLOOKUP(tblSales[[#This Row],[Customer ID]],tblCustomers[Customer ID],tblCustomers[Customer Name],"⚠ Unknown")</f>
        <v>Walk-in Customer</v>
      </c>
      <c r="F2159" s="4" t="s">
        <v>7</v>
      </c>
      <c r="G2159" s="1" t="str">
        <f>_xlfn.XLOOKUP(tblSales[[#This Row],[Product Code]],tblProducts[Code],tblProducts[Product / Service Name],"⚠ Unknown")</f>
        <v>Premium Basic T-shirt</v>
      </c>
      <c r="H2159" s="1" t="str">
        <f>_xlfn.XLOOKUP(tblSales[[#This Row],[Product Code]],tblProducts[Code],tblProducts[Category],"")</f>
        <v>Accessories &amp; Basics</v>
      </c>
      <c r="I2159" s="4">
        <v>11</v>
      </c>
      <c r="J2159" s="5">
        <f>_xlfn.XLOOKUP(tblSales[[#This Row],[Product Code]],tblProducts[Code],tblProducts[Selling Price (excl. VAT)],0)</f>
        <v>65000</v>
      </c>
      <c r="K2159" s="5">
        <f>tblSales[[#This Row],[Qty]]*tblSales[[#This Row],[Unit Price]]</f>
        <v>715000</v>
      </c>
      <c r="L2159" s="5">
        <f>ROUND(tblSales[[#This Row],[DPP (excl. VAT)]]*VATEff,0)</f>
        <v>78650</v>
      </c>
      <c r="M2159" s="5">
        <f>tblSales[[#This Row],[DPP (excl. VAT)]]+tblSales[[#This Row],[Output VAT]]</f>
        <v>793650</v>
      </c>
      <c r="N2159" s="5">
        <f>tblSales[[#This Row],[Qty]]*_xlfn.XLOOKUP(tblSales[[#This Row],[Product Code]],tblProducts[Code],tblProducts[Unit Cost],0)</f>
        <v>407000</v>
      </c>
      <c r="O2159" s="4" t="s">
        <v>4865</v>
      </c>
      <c r="P2159" s="4" t="s">
        <v>4860</v>
      </c>
      <c r="Q2159" s="1" t="str">
        <f>_xlfn.XLOOKUP(tblSales[[#This Row],[Channel Code]],tblChannels[Channel Code],tblChannels[Channel Name],"")</f>
        <v>In-store</v>
      </c>
      <c r="R2159" s="1">
        <f>MONTH(tblSales[[#This Row],[Date]])</f>
        <v>5</v>
      </c>
    </row>
    <row r="2160" spans="2:18" x14ac:dyDescent="0.35">
      <c r="B2160" s="113">
        <v>46152</v>
      </c>
      <c r="C2160" s="4" t="s">
        <v>1429</v>
      </c>
      <c r="D2160" s="4" t="s">
        <v>4568</v>
      </c>
      <c r="E2160" s="1" t="str">
        <f>_xlfn.XLOOKUP(tblSales[[#This Row],[Customer ID]],tblCustomers[Customer ID],tblCustomers[Customer Name],"⚠ Unknown")</f>
        <v>Walk-in Customer</v>
      </c>
      <c r="F2160" s="4" t="s">
        <v>14</v>
      </c>
      <c r="G2160" s="1" t="str">
        <f>_xlfn.XLOOKUP(tblSales[[#This Row],[Product Code]],tblProducts[Code],tblProducts[Product / Service Name],"⚠ Unknown")</f>
        <v>Smartwatch</v>
      </c>
      <c r="H2160" s="1" t="str">
        <f>_xlfn.XLOOKUP(tblSales[[#This Row],[Product Code]],tblProducts[Code],tblProducts[Category],"")</f>
        <v>Bags &amp; Gadgets</v>
      </c>
      <c r="I2160" s="4">
        <v>3</v>
      </c>
      <c r="J2160" s="5">
        <f>_xlfn.XLOOKUP(tblSales[[#This Row],[Product Code]],tblProducts[Code],tblProducts[Selling Price (excl. VAT)],0)</f>
        <v>850000</v>
      </c>
      <c r="K2160" s="5">
        <f>tblSales[[#This Row],[Qty]]*tblSales[[#This Row],[Unit Price]]</f>
        <v>2550000</v>
      </c>
      <c r="L2160" s="5">
        <f>ROUND(tblSales[[#This Row],[DPP (excl. VAT)]]*VATEff,0)</f>
        <v>280500</v>
      </c>
      <c r="M2160" s="5">
        <f>tblSales[[#This Row],[DPP (excl. VAT)]]+tblSales[[#This Row],[Output VAT]]</f>
        <v>2830500</v>
      </c>
      <c r="N2160" s="5">
        <f>tblSales[[#This Row],[Qty]]*_xlfn.XLOOKUP(tblSales[[#This Row],[Product Code]],tblProducts[Code],tblProducts[Unit Cost],0)</f>
        <v>1680000</v>
      </c>
      <c r="O2160" s="4" t="s">
        <v>4866</v>
      </c>
      <c r="P2160" s="4" t="s">
        <v>4860</v>
      </c>
      <c r="Q2160" s="1" t="str">
        <f>_xlfn.XLOOKUP(tblSales[[#This Row],[Channel Code]],tblChannels[Channel Code],tblChannels[Channel Name],"")</f>
        <v>In-store</v>
      </c>
      <c r="R2160" s="1">
        <f>MONTH(tblSales[[#This Row],[Date]])</f>
        <v>5</v>
      </c>
    </row>
    <row r="2161" spans="2:18" x14ac:dyDescent="0.35">
      <c r="B2161" s="113">
        <v>46152</v>
      </c>
      <c r="C2161" s="4" t="s">
        <v>1430</v>
      </c>
      <c r="D2161" s="4" t="s">
        <v>4641</v>
      </c>
      <c r="E2161" s="1" t="str">
        <f>_xlfn.XLOOKUP(tblSales[[#This Row],[Customer ID]],tblCustomers[Customer ID],tblCustomers[Customer Name],"⚠ Unknown")</f>
        <v>PT Harmoni Pangan Lestari</v>
      </c>
      <c r="F2161" s="4" t="s">
        <v>14</v>
      </c>
      <c r="G2161" s="1" t="str">
        <f>_xlfn.XLOOKUP(tblSales[[#This Row],[Product Code]],tblProducts[Code],tblProducts[Product / Service Name],"⚠ Unknown")</f>
        <v>Smartwatch</v>
      </c>
      <c r="H2161" s="1" t="str">
        <f>_xlfn.XLOOKUP(tblSales[[#This Row],[Product Code]],tblProducts[Code],tblProducts[Category],"")</f>
        <v>Bags &amp; Gadgets</v>
      </c>
      <c r="I2161" s="4">
        <v>8</v>
      </c>
      <c r="J2161" s="5">
        <f>_xlfn.XLOOKUP(tblSales[[#This Row],[Product Code]],tblProducts[Code],tblProducts[Selling Price (excl. VAT)],0)</f>
        <v>850000</v>
      </c>
      <c r="K2161" s="5">
        <f>tblSales[[#This Row],[Qty]]*tblSales[[#This Row],[Unit Price]]</f>
        <v>6800000</v>
      </c>
      <c r="L2161" s="5">
        <f>ROUND(tblSales[[#This Row],[DPP (excl. VAT)]]*VATEff,0)</f>
        <v>748000</v>
      </c>
      <c r="M2161" s="5">
        <f>tblSales[[#This Row],[DPP (excl. VAT)]]+tblSales[[#This Row],[Output VAT]]</f>
        <v>7548000</v>
      </c>
      <c r="N2161" s="5">
        <f>tblSales[[#This Row],[Qty]]*_xlfn.XLOOKUP(tblSales[[#This Row],[Product Code]],tblProducts[Code],tblProducts[Unit Cost],0)</f>
        <v>4480000</v>
      </c>
      <c r="O2161" s="4" t="s">
        <v>4867</v>
      </c>
      <c r="P2161" s="4" t="s">
        <v>4862</v>
      </c>
      <c r="Q2161" s="1" t="str">
        <f>_xlfn.XLOOKUP(tblSales[[#This Row],[Channel Code]],tblChannels[Channel Code],tblChannels[Channel Name],"")</f>
        <v>Website &amp; Social Media</v>
      </c>
      <c r="R2161" s="1">
        <f>MONTH(tblSales[[#This Row],[Date]])</f>
        <v>5</v>
      </c>
    </row>
    <row r="2162" spans="2:18" x14ac:dyDescent="0.35">
      <c r="B2162" s="113">
        <v>46152</v>
      </c>
      <c r="C2162" s="4" t="s">
        <v>1431</v>
      </c>
      <c r="D2162" s="4" t="s">
        <v>4568</v>
      </c>
      <c r="E2162" s="1" t="str">
        <f>_xlfn.XLOOKUP(tblSales[[#This Row],[Customer ID]],tblCustomers[Customer ID],tblCustomers[Customer Name],"⚠ Unknown")</f>
        <v>Walk-in Customer</v>
      </c>
      <c r="F2162" s="4" t="s">
        <v>6</v>
      </c>
      <c r="G2162" s="1" t="str">
        <f>_xlfn.XLOOKUP(tblSales[[#This Row],[Product Code]],tblProducts[Code],tblProducts[Product / Service Name],"⚠ Unknown")</f>
        <v>Socks &amp; Accessories</v>
      </c>
      <c r="H2162" s="1" t="str">
        <f>_xlfn.XLOOKUP(tblSales[[#This Row],[Product Code]],tblProducts[Code],tblProducts[Category],"")</f>
        <v>Accessories &amp; Basics</v>
      </c>
      <c r="I2162" s="4">
        <v>10</v>
      </c>
      <c r="J2162" s="5">
        <f>_xlfn.XLOOKUP(tblSales[[#This Row],[Product Code]],tblProducts[Code],tblProducts[Selling Price (excl. VAT)],0)</f>
        <v>45000</v>
      </c>
      <c r="K2162" s="5">
        <f>tblSales[[#This Row],[Qty]]*tblSales[[#This Row],[Unit Price]]</f>
        <v>450000</v>
      </c>
      <c r="L2162" s="5">
        <f>ROUND(tblSales[[#This Row],[DPP (excl. VAT)]]*VATEff,0)</f>
        <v>49500</v>
      </c>
      <c r="M2162" s="5">
        <f>tblSales[[#This Row],[DPP (excl. VAT)]]+tblSales[[#This Row],[Output VAT]]</f>
        <v>499500</v>
      </c>
      <c r="N2162" s="5">
        <f>tblSales[[#This Row],[Qty]]*_xlfn.XLOOKUP(tblSales[[#This Row],[Product Code]],tblProducts[Code],tblProducts[Unit Cost],0)</f>
        <v>240000</v>
      </c>
      <c r="O2162" s="4" t="s">
        <v>4865</v>
      </c>
      <c r="P2162" s="4" t="s">
        <v>4860</v>
      </c>
      <c r="Q2162" s="1" t="str">
        <f>_xlfn.XLOOKUP(tblSales[[#This Row],[Channel Code]],tblChannels[Channel Code],tblChannels[Channel Name],"")</f>
        <v>In-store</v>
      </c>
      <c r="R2162" s="1">
        <f>MONTH(tblSales[[#This Row],[Date]])</f>
        <v>5</v>
      </c>
    </row>
    <row r="2163" spans="2:18" x14ac:dyDescent="0.35">
      <c r="B2163" s="113">
        <v>46152</v>
      </c>
      <c r="C2163" s="4" t="s">
        <v>1431</v>
      </c>
      <c r="D2163" s="4" t="s">
        <v>4568</v>
      </c>
      <c r="E2163" s="1" t="str">
        <f>_xlfn.XLOOKUP(tblSales[[#This Row],[Customer ID]],tblCustomers[Customer ID],tblCustomers[Customer Name],"⚠ Unknown")</f>
        <v>Walk-in Customer</v>
      </c>
      <c r="F2163" s="4" t="s">
        <v>8</v>
      </c>
      <c r="G2163" s="1" t="str">
        <f>_xlfn.XLOOKUP(tblSales[[#This Row],[Product Code]],tblProducts[Code],tblProducts[Product / Service Name],"⚠ Unknown")</f>
        <v>Casual Shorts</v>
      </c>
      <c r="H2163" s="1" t="str">
        <f>_xlfn.XLOOKUP(tblSales[[#This Row],[Product Code]],tblProducts[Code],tblProducts[Category],"")</f>
        <v>Accessories &amp; Basics</v>
      </c>
      <c r="I2163" s="4">
        <v>2</v>
      </c>
      <c r="J2163" s="5">
        <f>_xlfn.XLOOKUP(tblSales[[#This Row],[Product Code]],tblProducts[Code],tblProducts[Selling Price (excl. VAT)],0)</f>
        <v>85000</v>
      </c>
      <c r="K2163" s="5">
        <f>tblSales[[#This Row],[Qty]]*tblSales[[#This Row],[Unit Price]]</f>
        <v>170000</v>
      </c>
      <c r="L2163" s="5">
        <f>ROUND(tblSales[[#This Row],[DPP (excl. VAT)]]*VATEff,0)</f>
        <v>18700</v>
      </c>
      <c r="M2163" s="5">
        <f>tblSales[[#This Row],[DPP (excl. VAT)]]+tblSales[[#This Row],[Output VAT]]</f>
        <v>188700</v>
      </c>
      <c r="N2163" s="5">
        <f>tblSales[[#This Row],[Qty]]*_xlfn.XLOOKUP(tblSales[[#This Row],[Product Code]],tblProducts[Code],tblProducts[Unit Cost],0)</f>
        <v>100000</v>
      </c>
      <c r="O2163" s="4" t="s">
        <v>4865</v>
      </c>
      <c r="P2163" s="4" t="s">
        <v>4860</v>
      </c>
      <c r="Q2163" s="1" t="str">
        <f>_xlfn.XLOOKUP(tblSales[[#This Row],[Channel Code]],tblChannels[Channel Code],tblChannels[Channel Name],"")</f>
        <v>In-store</v>
      </c>
      <c r="R2163" s="1">
        <f>MONTH(tblSales[[#This Row],[Date]])</f>
        <v>5</v>
      </c>
    </row>
    <row r="2164" spans="2:18" x14ac:dyDescent="0.35">
      <c r="B2164" s="113">
        <v>46152</v>
      </c>
      <c r="C2164" s="4" t="s">
        <v>1431</v>
      </c>
      <c r="D2164" s="4" t="s">
        <v>4568</v>
      </c>
      <c r="E2164" s="1" t="str">
        <f>_xlfn.XLOOKUP(tblSales[[#This Row],[Customer ID]],tblCustomers[Customer ID],tblCustomers[Customer Name],"⚠ Unknown")</f>
        <v>Walk-in Customer</v>
      </c>
      <c r="F2164" s="4" t="s">
        <v>9</v>
      </c>
      <c r="G2164" s="1" t="str">
        <f>_xlfn.XLOOKUP(tblSales[[#This Row],[Product Code]],tblProducts[Code],tblProducts[Product / Service Name],"⚠ Unknown")</f>
        <v>Casual Shirt</v>
      </c>
      <c r="H2164" s="1" t="str">
        <f>_xlfn.XLOOKUP(tblSales[[#This Row],[Product Code]],tblProducts[Code],tblProducts[Category],"")</f>
        <v>Apparel &amp; Footwear</v>
      </c>
      <c r="I2164" s="4">
        <v>11</v>
      </c>
      <c r="J2164" s="5">
        <f>_xlfn.XLOOKUP(tblSales[[#This Row],[Product Code]],tblProducts[Code],tblProducts[Selling Price (excl. VAT)],0)</f>
        <v>120000</v>
      </c>
      <c r="K2164" s="5">
        <f>tblSales[[#This Row],[Qty]]*tblSales[[#This Row],[Unit Price]]</f>
        <v>1320000</v>
      </c>
      <c r="L2164" s="5">
        <f>ROUND(tblSales[[#This Row],[DPP (excl. VAT)]]*VATEff,0)</f>
        <v>145200</v>
      </c>
      <c r="M2164" s="5">
        <f>tblSales[[#This Row],[DPP (excl. VAT)]]+tblSales[[#This Row],[Output VAT]]</f>
        <v>1465200</v>
      </c>
      <c r="N2164" s="5">
        <f>tblSales[[#This Row],[Qty]]*_xlfn.XLOOKUP(tblSales[[#This Row],[Product Code]],tblProducts[Code],tblProducts[Unit Cost],0)</f>
        <v>792000</v>
      </c>
      <c r="O2164" s="4" t="s">
        <v>4865</v>
      </c>
      <c r="P2164" s="4" t="s">
        <v>4860</v>
      </c>
      <c r="Q2164" s="1" t="str">
        <f>_xlfn.XLOOKUP(tblSales[[#This Row],[Channel Code]],tblChannels[Channel Code],tblChannels[Channel Name],"")</f>
        <v>In-store</v>
      </c>
      <c r="R2164" s="1">
        <f>MONTH(tblSales[[#This Row],[Date]])</f>
        <v>5</v>
      </c>
    </row>
    <row r="2165" spans="2:18" x14ac:dyDescent="0.35">
      <c r="B2165" s="113">
        <v>46152</v>
      </c>
      <c r="C2165" s="4" t="s">
        <v>1432</v>
      </c>
      <c r="D2165" s="4" t="s">
        <v>4568</v>
      </c>
      <c r="E2165" s="1" t="str">
        <f>_xlfn.XLOOKUP(tblSales[[#This Row],[Customer ID]],tblCustomers[Customer ID],tblCustomers[Customer Name],"⚠ Unknown")</f>
        <v>Walk-in Customer</v>
      </c>
      <c r="F2165" s="4" t="s">
        <v>8</v>
      </c>
      <c r="G2165" s="1" t="str">
        <f>_xlfn.XLOOKUP(tblSales[[#This Row],[Product Code]],tblProducts[Code],tblProducts[Product / Service Name],"⚠ Unknown")</f>
        <v>Casual Shorts</v>
      </c>
      <c r="H2165" s="1" t="str">
        <f>_xlfn.XLOOKUP(tblSales[[#This Row],[Product Code]],tblProducts[Code],tblProducts[Category],"")</f>
        <v>Accessories &amp; Basics</v>
      </c>
      <c r="I2165" s="4">
        <v>5</v>
      </c>
      <c r="J2165" s="5">
        <f>_xlfn.XLOOKUP(tblSales[[#This Row],[Product Code]],tblProducts[Code],tblProducts[Selling Price (excl. VAT)],0)</f>
        <v>85000</v>
      </c>
      <c r="K2165" s="5">
        <f>tblSales[[#This Row],[Qty]]*tblSales[[#This Row],[Unit Price]]</f>
        <v>425000</v>
      </c>
      <c r="L2165" s="5">
        <f>ROUND(tblSales[[#This Row],[DPP (excl. VAT)]]*VATEff,0)</f>
        <v>46750</v>
      </c>
      <c r="M2165" s="5">
        <f>tblSales[[#This Row],[DPP (excl. VAT)]]+tblSales[[#This Row],[Output VAT]]</f>
        <v>471750</v>
      </c>
      <c r="N2165" s="5">
        <f>tblSales[[#This Row],[Qty]]*_xlfn.XLOOKUP(tblSales[[#This Row],[Product Code]],tblProducts[Code],tblProducts[Unit Cost],0)</f>
        <v>250000</v>
      </c>
      <c r="O2165" s="4" t="s">
        <v>4866</v>
      </c>
      <c r="P2165" s="4" t="s">
        <v>4860</v>
      </c>
      <c r="Q2165" s="1" t="str">
        <f>_xlfn.XLOOKUP(tblSales[[#This Row],[Channel Code]],tblChannels[Channel Code],tblChannels[Channel Name],"")</f>
        <v>In-store</v>
      </c>
      <c r="R2165" s="1">
        <f>MONTH(tblSales[[#This Row],[Date]])</f>
        <v>5</v>
      </c>
    </row>
    <row r="2166" spans="2:18" x14ac:dyDescent="0.35">
      <c r="B2166" s="113">
        <v>46152</v>
      </c>
      <c r="C2166" s="4" t="s">
        <v>1432</v>
      </c>
      <c r="D2166" s="4" t="s">
        <v>4568</v>
      </c>
      <c r="E2166" s="1" t="str">
        <f>_xlfn.XLOOKUP(tblSales[[#This Row],[Customer ID]],tblCustomers[Customer ID],tblCustomers[Customer Name],"⚠ Unknown")</f>
        <v>Walk-in Customer</v>
      </c>
      <c r="F2166" s="4" t="s">
        <v>7</v>
      </c>
      <c r="G2166" s="1" t="str">
        <f>_xlfn.XLOOKUP(tblSales[[#This Row],[Product Code]],tblProducts[Code],tblProducts[Product / Service Name],"⚠ Unknown")</f>
        <v>Premium Basic T-shirt</v>
      </c>
      <c r="H2166" s="1" t="str">
        <f>_xlfn.XLOOKUP(tblSales[[#This Row],[Product Code]],tblProducts[Code],tblProducts[Category],"")</f>
        <v>Accessories &amp; Basics</v>
      </c>
      <c r="I2166" s="4">
        <v>9</v>
      </c>
      <c r="J2166" s="5">
        <f>_xlfn.XLOOKUP(tblSales[[#This Row],[Product Code]],tblProducts[Code],tblProducts[Selling Price (excl. VAT)],0)</f>
        <v>65000</v>
      </c>
      <c r="K2166" s="5">
        <f>tblSales[[#This Row],[Qty]]*tblSales[[#This Row],[Unit Price]]</f>
        <v>585000</v>
      </c>
      <c r="L2166" s="5">
        <f>ROUND(tblSales[[#This Row],[DPP (excl. VAT)]]*VATEff,0)</f>
        <v>64350</v>
      </c>
      <c r="M2166" s="5">
        <f>tblSales[[#This Row],[DPP (excl. VAT)]]+tblSales[[#This Row],[Output VAT]]</f>
        <v>649350</v>
      </c>
      <c r="N2166" s="5">
        <f>tblSales[[#This Row],[Qty]]*_xlfn.XLOOKUP(tblSales[[#This Row],[Product Code]],tblProducts[Code],tblProducts[Unit Cost],0)</f>
        <v>333000</v>
      </c>
      <c r="O2166" s="4" t="s">
        <v>4866</v>
      </c>
      <c r="P2166" s="4" t="s">
        <v>4860</v>
      </c>
      <c r="Q2166" s="1" t="str">
        <f>_xlfn.XLOOKUP(tblSales[[#This Row],[Channel Code]],tblChannels[Channel Code],tblChannels[Channel Name],"")</f>
        <v>In-store</v>
      </c>
      <c r="R2166" s="1">
        <f>MONTH(tblSales[[#This Row],[Date]])</f>
        <v>5</v>
      </c>
    </row>
    <row r="2167" spans="2:18" x14ac:dyDescent="0.35">
      <c r="B2167" s="113">
        <v>46152</v>
      </c>
      <c r="C2167" s="4" t="s">
        <v>1433</v>
      </c>
      <c r="D2167" s="4" t="s">
        <v>4568</v>
      </c>
      <c r="E2167" s="1" t="str">
        <f>_xlfn.XLOOKUP(tblSales[[#This Row],[Customer ID]],tblCustomers[Customer ID],tblCustomers[Customer Name],"⚠ Unknown")</f>
        <v>Walk-in Customer</v>
      </c>
      <c r="F2167" s="4" t="s">
        <v>10</v>
      </c>
      <c r="G2167" s="1" t="str">
        <f>_xlfn.XLOOKUP(tblSales[[#This Row],[Product Code]],tblProducts[Code],tblProducts[Product / Service Name],"⚠ Unknown")</f>
        <v>Chino Pants</v>
      </c>
      <c r="H2167" s="1" t="str">
        <f>_xlfn.XLOOKUP(tblSales[[#This Row],[Product Code]],tblProducts[Code],tblProducts[Category],"")</f>
        <v>Apparel &amp; Footwear</v>
      </c>
      <c r="I2167" s="4">
        <v>12</v>
      </c>
      <c r="J2167" s="5">
        <f>_xlfn.XLOOKUP(tblSales[[#This Row],[Product Code]],tblProducts[Code],tblProducts[Selling Price (excl. VAT)],0)</f>
        <v>150000</v>
      </c>
      <c r="K2167" s="5">
        <f>tblSales[[#This Row],[Qty]]*tblSales[[#This Row],[Unit Price]]</f>
        <v>1800000</v>
      </c>
      <c r="L2167" s="5">
        <f>ROUND(tblSales[[#This Row],[DPP (excl. VAT)]]*VATEff,0)</f>
        <v>198000</v>
      </c>
      <c r="M2167" s="5">
        <f>tblSales[[#This Row],[DPP (excl. VAT)]]+tblSales[[#This Row],[Output VAT]]</f>
        <v>1998000</v>
      </c>
      <c r="N2167" s="5">
        <f>tblSales[[#This Row],[Qty]]*_xlfn.XLOOKUP(tblSales[[#This Row],[Product Code]],tblProducts[Code],tblProducts[Unit Cost],0)</f>
        <v>1056000</v>
      </c>
      <c r="O2167" s="4" t="s">
        <v>4865</v>
      </c>
      <c r="P2167" s="4" t="s">
        <v>4860</v>
      </c>
      <c r="Q2167" s="1" t="str">
        <f>_xlfn.XLOOKUP(tblSales[[#This Row],[Channel Code]],tblChannels[Channel Code],tblChannels[Channel Name],"")</f>
        <v>In-store</v>
      </c>
      <c r="R2167" s="1">
        <f>MONTH(tblSales[[#This Row],[Date]])</f>
        <v>5</v>
      </c>
    </row>
    <row r="2168" spans="2:18" x14ac:dyDescent="0.35">
      <c r="B2168" s="113">
        <v>46152</v>
      </c>
      <c r="C2168" s="4" t="s">
        <v>1433</v>
      </c>
      <c r="D2168" s="4" t="s">
        <v>4568</v>
      </c>
      <c r="E2168" s="1" t="str">
        <f>_xlfn.XLOOKUP(tblSales[[#This Row],[Customer ID]],tblCustomers[Customer ID],tblCustomers[Customer Name],"⚠ Unknown")</f>
        <v>Walk-in Customer</v>
      </c>
      <c r="F2168" s="4" t="s">
        <v>6</v>
      </c>
      <c r="G2168" s="1" t="str">
        <f>_xlfn.XLOOKUP(tblSales[[#This Row],[Product Code]],tblProducts[Code],tblProducts[Product / Service Name],"⚠ Unknown")</f>
        <v>Socks &amp; Accessories</v>
      </c>
      <c r="H2168" s="1" t="str">
        <f>_xlfn.XLOOKUP(tblSales[[#This Row],[Product Code]],tblProducts[Code],tblProducts[Category],"")</f>
        <v>Accessories &amp; Basics</v>
      </c>
      <c r="I2168" s="4">
        <v>3</v>
      </c>
      <c r="J2168" s="5">
        <f>_xlfn.XLOOKUP(tblSales[[#This Row],[Product Code]],tblProducts[Code],tblProducts[Selling Price (excl. VAT)],0)</f>
        <v>45000</v>
      </c>
      <c r="K2168" s="5">
        <f>tblSales[[#This Row],[Qty]]*tblSales[[#This Row],[Unit Price]]</f>
        <v>135000</v>
      </c>
      <c r="L2168" s="5">
        <f>ROUND(tblSales[[#This Row],[DPP (excl. VAT)]]*VATEff,0)</f>
        <v>14850</v>
      </c>
      <c r="M2168" s="5">
        <f>tblSales[[#This Row],[DPP (excl. VAT)]]+tblSales[[#This Row],[Output VAT]]</f>
        <v>149850</v>
      </c>
      <c r="N2168" s="5">
        <f>tblSales[[#This Row],[Qty]]*_xlfn.XLOOKUP(tblSales[[#This Row],[Product Code]],tblProducts[Code],tblProducts[Unit Cost],0)</f>
        <v>72000</v>
      </c>
      <c r="O2168" s="4" t="s">
        <v>4865</v>
      </c>
      <c r="P2168" s="4" t="s">
        <v>4860</v>
      </c>
      <c r="Q2168" s="1" t="str">
        <f>_xlfn.XLOOKUP(tblSales[[#This Row],[Channel Code]],tblChannels[Channel Code],tblChannels[Channel Name],"")</f>
        <v>In-store</v>
      </c>
      <c r="R2168" s="1">
        <f>MONTH(tblSales[[#This Row],[Date]])</f>
        <v>5</v>
      </c>
    </row>
    <row r="2169" spans="2:18" x14ac:dyDescent="0.35">
      <c r="B2169" s="113">
        <v>46152</v>
      </c>
      <c r="C2169" s="4" t="s">
        <v>1434</v>
      </c>
      <c r="D2169" s="4" t="s">
        <v>4568</v>
      </c>
      <c r="E2169" s="1" t="str">
        <f>_xlfn.XLOOKUP(tblSales[[#This Row],[Customer ID]],tblCustomers[Customer ID],tblCustomers[Customer Name],"⚠ Unknown")</f>
        <v>Walk-in Customer</v>
      </c>
      <c r="F2169" s="4" t="s">
        <v>15</v>
      </c>
      <c r="G2169" s="1" t="str">
        <f>_xlfn.XLOOKUP(tblSales[[#This Row],[Product Code]],tblProducts[Code],tblProducts[Product / Service Name],"⚠ Unknown")</f>
        <v>Wireless Earbuds Pro</v>
      </c>
      <c r="H2169" s="1" t="str">
        <f>_xlfn.XLOOKUP(tblSales[[#This Row],[Product Code]],tblProducts[Code],tblProducts[Category],"")</f>
        <v>Bags &amp; Gadgets</v>
      </c>
      <c r="I2169" s="4">
        <v>3</v>
      </c>
      <c r="J2169" s="5">
        <f>_xlfn.XLOOKUP(tblSales[[#This Row],[Product Code]],tblProducts[Code],tblProducts[Selling Price (excl. VAT)],0)</f>
        <v>1250000</v>
      </c>
      <c r="K2169" s="5">
        <f>tblSales[[#This Row],[Qty]]*tblSales[[#This Row],[Unit Price]]</f>
        <v>3750000</v>
      </c>
      <c r="L2169" s="5">
        <f>ROUND(tblSales[[#This Row],[DPP (excl. VAT)]]*VATEff,0)</f>
        <v>412500</v>
      </c>
      <c r="M2169" s="5">
        <f>tblSales[[#This Row],[DPP (excl. VAT)]]+tblSales[[#This Row],[Output VAT]]</f>
        <v>4162500</v>
      </c>
      <c r="N2169" s="5">
        <f>tblSales[[#This Row],[Qty]]*_xlfn.XLOOKUP(tblSales[[#This Row],[Product Code]],tblProducts[Code],tblProducts[Unit Cost],0)</f>
        <v>2460000</v>
      </c>
      <c r="O2169" s="4" t="s">
        <v>4866</v>
      </c>
      <c r="P2169" s="4" t="s">
        <v>4860</v>
      </c>
      <c r="Q2169" s="1" t="str">
        <f>_xlfn.XLOOKUP(tblSales[[#This Row],[Channel Code]],tblChannels[Channel Code],tblChannels[Channel Name],"")</f>
        <v>In-store</v>
      </c>
      <c r="R2169" s="1">
        <f>MONTH(tblSales[[#This Row],[Date]])</f>
        <v>5</v>
      </c>
    </row>
    <row r="2170" spans="2:18" x14ac:dyDescent="0.35">
      <c r="B2170" s="113">
        <v>46152</v>
      </c>
      <c r="C2170" s="4" t="s">
        <v>1435</v>
      </c>
      <c r="D2170" s="4" t="s">
        <v>4568</v>
      </c>
      <c r="E2170" s="1" t="str">
        <f>_xlfn.XLOOKUP(tblSales[[#This Row],[Customer ID]],tblCustomers[Customer ID],tblCustomers[Customer Name],"⚠ Unknown")</f>
        <v>Walk-in Customer</v>
      </c>
      <c r="F2170" s="4" t="s">
        <v>10</v>
      </c>
      <c r="G2170" s="1" t="str">
        <f>_xlfn.XLOOKUP(tblSales[[#This Row],[Product Code]],tblProducts[Code],tblProducts[Product / Service Name],"⚠ Unknown")</f>
        <v>Chino Pants</v>
      </c>
      <c r="H2170" s="1" t="str">
        <f>_xlfn.XLOOKUP(tblSales[[#This Row],[Product Code]],tblProducts[Code],tblProducts[Category],"")</f>
        <v>Apparel &amp; Footwear</v>
      </c>
      <c r="I2170" s="4">
        <v>2</v>
      </c>
      <c r="J2170" s="5">
        <f>_xlfn.XLOOKUP(tblSales[[#This Row],[Product Code]],tblProducts[Code],tblProducts[Selling Price (excl. VAT)],0)</f>
        <v>150000</v>
      </c>
      <c r="K2170" s="5">
        <f>tblSales[[#This Row],[Qty]]*tblSales[[#This Row],[Unit Price]]</f>
        <v>300000</v>
      </c>
      <c r="L2170" s="5">
        <f>ROUND(tblSales[[#This Row],[DPP (excl. VAT)]]*VATEff,0)</f>
        <v>33000</v>
      </c>
      <c r="M2170" s="5">
        <f>tblSales[[#This Row],[DPP (excl. VAT)]]+tblSales[[#This Row],[Output VAT]]</f>
        <v>333000</v>
      </c>
      <c r="N2170" s="5">
        <f>tblSales[[#This Row],[Qty]]*_xlfn.XLOOKUP(tblSales[[#This Row],[Product Code]],tblProducts[Code],tblProducts[Unit Cost],0)</f>
        <v>176000</v>
      </c>
      <c r="O2170" s="4" t="s">
        <v>4866</v>
      </c>
      <c r="P2170" s="4" t="s">
        <v>4860</v>
      </c>
      <c r="Q2170" s="1" t="str">
        <f>_xlfn.XLOOKUP(tblSales[[#This Row],[Channel Code]],tblChannels[Channel Code],tblChannels[Channel Name],"")</f>
        <v>In-store</v>
      </c>
      <c r="R2170" s="1">
        <f>MONTH(tblSales[[#This Row],[Date]])</f>
        <v>5</v>
      </c>
    </row>
    <row r="2171" spans="2:18" x14ac:dyDescent="0.35">
      <c r="B2171" s="113">
        <v>46152</v>
      </c>
      <c r="C2171" s="4" t="s">
        <v>1436</v>
      </c>
      <c r="D2171" s="4" t="s">
        <v>4568</v>
      </c>
      <c r="E2171" s="1" t="str">
        <f>_xlfn.XLOOKUP(tblSales[[#This Row],[Customer ID]],tblCustomers[Customer ID],tblCustomers[Customer Name],"⚠ Unknown")</f>
        <v>Walk-in Customer</v>
      </c>
      <c r="F2171" s="4" t="s">
        <v>8</v>
      </c>
      <c r="G2171" s="1" t="str">
        <f>_xlfn.XLOOKUP(tblSales[[#This Row],[Product Code]],tblProducts[Code],tblProducts[Product / Service Name],"⚠ Unknown")</f>
        <v>Casual Shorts</v>
      </c>
      <c r="H2171" s="1" t="str">
        <f>_xlfn.XLOOKUP(tblSales[[#This Row],[Product Code]],tblProducts[Code],tblProducts[Category],"")</f>
        <v>Accessories &amp; Basics</v>
      </c>
      <c r="I2171" s="4">
        <v>11</v>
      </c>
      <c r="J2171" s="5">
        <f>_xlfn.XLOOKUP(tblSales[[#This Row],[Product Code]],tblProducts[Code],tblProducts[Selling Price (excl. VAT)],0)</f>
        <v>85000</v>
      </c>
      <c r="K2171" s="5">
        <f>tblSales[[#This Row],[Qty]]*tblSales[[#This Row],[Unit Price]]</f>
        <v>935000</v>
      </c>
      <c r="L2171" s="5">
        <f>ROUND(tblSales[[#This Row],[DPP (excl. VAT)]]*VATEff,0)</f>
        <v>102850</v>
      </c>
      <c r="M2171" s="5">
        <f>tblSales[[#This Row],[DPP (excl. VAT)]]+tblSales[[#This Row],[Output VAT]]</f>
        <v>1037850</v>
      </c>
      <c r="N2171" s="5">
        <f>tblSales[[#This Row],[Qty]]*_xlfn.XLOOKUP(tblSales[[#This Row],[Product Code]],tblProducts[Code],tblProducts[Unit Cost],0)</f>
        <v>550000</v>
      </c>
      <c r="O2171" s="4" t="s">
        <v>4866</v>
      </c>
      <c r="P2171" s="4" t="s">
        <v>4862</v>
      </c>
      <c r="Q2171" s="1" t="str">
        <f>_xlfn.XLOOKUP(tblSales[[#This Row],[Channel Code]],tblChannels[Channel Code],tblChannels[Channel Name],"")</f>
        <v>Website &amp; Social Media</v>
      </c>
      <c r="R2171" s="1">
        <f>MONTH(tblSales[[#This Row],[Date]])</f>
        <v>5</v>
      </c>
    </row>
    <row r="2172" spans="2:18" x14ac:dyDescent="0.35">
      <c r="B2172" s="113">
        <v>46152</v>
      </c>
      <c r="C2172" s="4" t="s">
        <v>1436</v>
      </c>
      <c r="D2172" s="4" t="s">
        <v>4568</v>
      </c>
      <c r="E2172" s="1" t="str">
        <f>_xlfn.XLOOKUP(tblSales[[#This Row],[Customer ID]],tblCustomers[Customer ID],tblCustomers[Customer Name],"⚠ Unknown")</f>
        <v>Walk-in Customer</v>
      </c>
      <c r="F2172" s="4" t="s">
        <v>9</v>
      </c>
      <c r="G2172" s="1" t="str">
        <f>_xlfn.XLOOKUP(tblSales[[#This Row],[Product Code]],tblProducts[Code],tblProducts[Product / Service Name],"⚠ Unknown")</f>
        <v>Casual Shirt</v>
      </c>
      <c r="H2172" s="1" t="str">
        <f>_xlfn.XLOOKUP(tblSales[[#This Row],[Product Code]],tblProducts[Code],tblProducts[Category],"")</f>
        <v>Apparel &amp; Footwear</v>
      </c>
      <c r="I2172" s="4">
        <v>8</v>
      </c>
      <c r="J2172" s="5">
        <f>_xlfn.XLOOKUP(tblSales[[#This Row],[Product Code]],tblProducts[Code],tblProducts[Selling Price (excl. VAT)],0)</f>
        <v>120000</v>
      </c>
      <c r="K2172" s="5">
        <f>tblSales[[#This Row],[Qty]]*tblSales[[#This Row],[Unit Price]]</f>
        <v>960000</v>
      </c>
      <c r="L2172" s="5">
        <f>ROUND(tblSales[[#This Row],[DPP (excl. VAT)]]*VATEff,0)</f>
        <v>105600</v>
      </c>
      <c r="M2172" s="5">
        <f>tblSales[[#This Row],[DPP (excl. VAT)]]+tblSales[[#This Row],[Output VAT]]</f>
        <v>1065600</v>
      </c>
      <c r="N2172" s="5">
        <f>tblSales[[#This Row],[Qty]]*_xlfn.XLOOKUP(tblSales[[#This Row],[Product Code]],tblProducts[Code],tblProducts[Unit Cost],0)</f>
        <v>576000</v>
      </c>
      <c r="O2172" s="4" t="s">
        <v>4866</v>
      </c>
      <c r="P2172" s="4" t="s">
        <v>4862</v>
      </c>
      <c r="Q2172" s="1" t="str">
        <f>_xlfn.XLOOKUP(tblSales[[#This Row],[Channel Code]],tblChannels[Channel Code],tblChannels[Channel Name],"")</f>
        <v>Website &amp; Social Media</v>
      </c>
      <c r="R2172" s="1">
        <f>MONTH(tblSales[[#This Row],[Date]])</f>
        <v>5</v>
      </c>
    </row>
    <row r="2173" spans="2:18" x14ac:dyDescent="0.35">
      <c r="B2173" s="113">
        <v>46152</v>
      </c>
      <c r="C2173" s="4" t="s">
        <v>1436</v>
      </c>
      <c r="D2173" s="4" t="s">
        <v>4568</v>
      </c>
      <c r="E2173" s="1" t="str">
        <f>_xlfn.XLOOKUP(tblSales[[#This Row],[Customer ID]],tblCustomers[Customer ID],tblCustomers[Customer Name],"⚠ Unknown")</f>
        <v>Walk-in Customer</v>
      </c>
      <c r="F2173" s="4" t="s">
        <v>7</v>
      </c>
      <c r="G2173" s="1" t="str">
        <f>_xlfn.XLOOKUP(tblSales[[#This Row],[Product Code]],tblProducts[Code],tblProducts[Product / Service Name],"⚠ Unknown")</f>
        <v>Premium Basic T-shirt</v>
      </c>
      <c r="H2173" s="1" t="str">
        <f>_xlfn.XLOOKUP(tblSales[[#This Row],[Product Code]],tblProducts[Code],tblProducts[Category],"")</f>
        <v>Accessories &amp; Basics</v>
      </c>
      <c r="I2173" s="4">
        <v>7</v>
      </c>
      <c r="J2173" s="5">
        <f>_xlfn.XLOOKUP(tblSales[[#This Row],[Product Code]],tblProducts[Code],tblProducts[Selling Price (excl. VAT)],0)</f>
        <v>65000</v>
      </c>
      <c r="K2173" s="5">
        <f>tblSales[[#This Row],[Qty]]*tblSales[[#This Row],[Unit Price]]</f>
        <v>455000</v>
      </c>
      <c r="L2173" s="5">
        <f>ROUND(tblSales[[#This Row],[DPP (excl. VAT)]]*VATEff,0)</f>
        <v>50050</v>
      </c>
      <c r="M2173" s="5">
        <f>tblSales[[#This Row],[DPP (excl. VAT)]]+tblSales[[#This Row],[Output VAT]]</f>
        <v>505050</v>
      </c>
      <c r="N2173" s="5">
        <f>tblSales[[#This Row],[Qty]]*_xlfn.XLOOKUP(tblSales[[#This Row],[Product Code]],tblProducts[Code],tblProducts[Unit Cost],0)</f>
        <v>259000</v>
      </c>
      <c r="O2173" s="4" t="s">
        <v>4866</v>
      </c>
      <c r="P2173" s="4" t="s">
        <v>4862</v>
      </c>
      <c r="Q2173" s="1" t="str">
        <f>_xlfn.XLOOKUP(tblSales[[#This Row],[Channel Code]],tblChannels[Channel Code],tblChannels[Channel Name],"")</f>
        <v>Website &amp; Social Media</v>
      </c>
      <c r="R2173" s="1">
        <f>MONTH(tblSales[[#This Row],[Date]])</f>
        <v>5</v>
      </c>
    </row>
    <row r="2174" spans="2:18" x14ac:dyDescent="0.35">
      <c r="B2174" s="113">
        <v>46152</v>
      </c>
      <c r="C2174" s="4" t="s">
        <v>1437</v>
      </c>
      <c r="D2174" s="4" t="s">
        <v>4568</v>
      </c>
      <c r="E2174" s="1" t="str">
        <f>_xlfn.XLOOKUP(tblSales[[#This Row],[Customer ID]],tblCustomers[Customer ID],tblCustomers[Customer Name],"⚠ Unknown")</f>
        <v>Walk-in Customer</v>
      </c>
      <c r="F2174" s="4" t="s">
        <v>15</v>
      </c>
      <c r="G2174" s="1" t="str">
        <f>_xlfn.XLOOKUP(tblSales[[#This Row],[Product Code]],tblProducts[Code],tblProducts[Product / Service Name],"⚠ Unknown")</f>
        <v>Wireless Earbuds Pro</v>
      </c>
      <c r="H2174" s="1" t="str">
        <f>_xlfn.XLOOKUP(tblSales[[#This Row],[Product Code]],tblProducts[Code],tblProducts[Category],"")</f>
        <v>Bags &amp; Gadgets</v>
      </c>
      <c r="I2174" s="4">
        <v>1</v>
      </c>
      <c r="J2174" s="5">
        <f>_xlfn.XLOOKUP(tblSales[[#This Row],[Product Code]],tblProducts[Code],tblProducts[Selling Price (excl. VAT)],0)</f>
        <v>1250000</v>
      </c>
      <c r="K2174" s="5">
        <f>tblSales[[#This Row],[Qty]]*tblSales[[#This Row],[Unit Price]]</f>
        <v>1250000</v>
      </c>
      <c r="L2174" s="5">
        <f>ROUND(tblSales[[#This Row],[DPP (excl. VAT)]]*VATEff,0)</f>
        <v>137500</v>
      </c>
      <c r="M2174" s="5">
        <f>tblSales[[#This Row],[DPP (excl. VAT)]]+tblSales[[#This Row],[Output VAT]]</f>
        <v>1387500</v>
      </c>
      <c r="N2174" s="5">
        <f>tblSales[[#This Row],[Qty]]*_xlfn.XLOOKUP(tblSales[[#This Row],[Product Code]],tblProducts[Code],tblProducts[Unit Cost],0)</f>
        <v>820000</v>
      </c>
      <c r="O2174" s="4" t="s">
        <v>4865</v>
      </c>
      <c r="P2174" s="4" t="s">
        <v>4860</v>
      </c>
      <c r="Q2174" s="1" t="str">
        <f>_xlfn.XLOOKUP(tblSales[[#This Row],[Channel Code]],tblChannels[Channel Code],tblChannels[Channel Name],"")</f>
        <v>In-store</v>
      </c>
      <c r="R2174" s="1">
        <f>MONTH(tblSales[[#This Row],[Date]])</f>
        <v>5</v>
      </c>
    </row>
    <row r="2175" spans="2:18" x14ac:dyDescent="0.35">
      <c r="B2175" s="113">
        <v>46152</v>
      </c>
      <c r="C2175" s="4" t="s">
        <v>1437</v>
      </c>
      <c r="D2175" s="4" t="s">
        <v>4568</v>
      </c>
      <c r="E2175" s="1" t="str">
        <f>_xlfn.XLOOKUP(tblSales[[#This Row],[Customer ID]],tblCustomers[Customer ID],tblCustomers[Customer Name],"⚠ Unknown")</f>
        <v>Walk-in Customer</v>
      </c>
      <c r="F2175" s="4" t="s">
        <v>11</v>
      </c>
      <c r="G2175" s="1" t="str">
        <f>_xlfn.XLOOKUP(tblSales[[#This Row],[Product Code]],tblProducts[Code],tblProducts[Product / Service Name],"⚠ Unknown")</f>
        <v>Sneakers</v>
      </c>
      <c r="H2175" s="1" t="str">
        <f>_xlfn.XLOOKUP(tblSales[[#This Row],[Product Code]],tblProducts[Code],tblProducts[Category],"")</f>
        <v>Apparel &amp; Footwear</v>
      </c>
      <c r="I2175" s="4">
        <v>3</v>
      </c>
      <c r="J2175" s="5">
        <f>_xlfn.XLOOKUP(tblSales[[#This Row],[Product Code]],tblProducts[Code],tblProducts[Selling Price (excl. VAT)],0)</f>
        <v>250000</v>
      </c>
      <c r="K2175" s="5">
        <f>tblSales[[#This Row],[Qty]]*tblSales[[#This Row],[Unit Price]]</f>
        <v>750000</v>
      </c>
      <c r="L2175" s="5">
        <f>ROUND(tblSales[[#This Row],[DPP (excl. VAT)]]*VATEff,0)</f>
        <v>82500</v>
      </c>
      <c r="M2175" s="5">
        <f>tblSales[[#This Row],[DPP (excl. VAT)]]+tblSales[[#This Row],[Output VAT]]</f>
        <v>832500</v>
      </c>
      <c r="N2175" s="5">
        <f>tblSales[[#This Row],[Qty]]*_xlfn.XLOOKUP(tblSales[[#This Row],[Product Code]],tblProducts[Code],tblProducts[Unit Cost],0)</f>
        <v>465000</v>
      </c>
      <c r="O2175" s="4" t="s">
        <v>4865</v>
      </c>
      <c r="P2175" s="4" t="s">
        <v>4860</v>
      </c>
      <c r="Q2175" s="1" t="str">
        <f>_xlfn.XLOOKUP(tblSales[[#This Row],[Channel Code]],tblChannels[Channel Code],tblChannels[Channel Name],"")</f>
        <v>In-store</v>
      </c>
      <c r="R2175" s="1">
        <f>MONTH(tblSales[[#This Row],[Date]])</f>
        <v>5</v>
      </c>
    </row>
    <row r="2176" spans="2:18" x14ac:dyDescent="0.35">
      <c r="B2176" s="113">
        <v>46153</v>
      </c>
      <c r="C2176" s="4" t="s">
        <v>1438</v>
      </c>
      <c r="D2176" s="4" t="s">
        <v>4568</v>
      </c>
      <c r="E2176" s="1" t="str">
        <f>_xlfn.XLOOKUP(tblSales[[#This Row],[Customer ID]],tblCustomers[Customer ID],tblCustomers[Customer Name],"⚠ Unknown")</f>
        <v>Walk-in Customer</v>
      </c>
      <c r="F2176" s="4" t="s">
        <v>6</v>
      </c>
      <c r="G2176" s="1" t="str">
        <f>_xlfn.XLOOKUP(tblSales[[#This Row],[Product Code]],tblProducts[Code],tblProducts[Product / Service Name],"⚠ Unknown")</f>
        <v>Socks &amp; Accessories</v>
      </c>
      <c r="H2176" s="1" t="str">
        <f>_xlfn.XLOOKUP(tblSales[[#This Row],[Product Code]],tblProducts[Code],tblProducts[Category],"")</f>
        <v>Accessories &amp; Basics</v>
      </c>
      <c r="I2176" s="4">
        <v>9</v>
      </c>
      <c r="J2176" s="5">
        <f>_xlfn.XLOOKUP(tblSales[[#This Row],[Product Code]],tblProducts[Code],tblProducts[Selling Price (excl. VAT)],0)</f>
        <v>45000</v>
      </c>
      <c r="K2176" s="5">
        <f>tblSales[[#This Row],[Qty]]*tblSales[[#This Row],[Unit Price]]</f>
        <v>405000</v>
      </c>
      <c r="L2176" s="5">
        <f>ROUND(tblSales[[#This Row],[DPP (excl. VAT)]]*VATEff,0)</f>
        <v>44550</v>
      </c>
      <c r="M2176" s="5">
        <f>tblSales[[#This Row],[DPP (excl. VAT)]]+tblSales[[#This Row],[Output VAT]]</f>
        <v>449550</v>
      </c>
      <c r="N2176" s="5">
        <f>tblSales[[#This Row],[Qty]]*_xlfn.XLOOKUP(tblSales[[#This Row],[Product Code]],tblProducts[Code],tblProducts[Unit Cost],0)</f>
        <v>216000</v>
      </c>
      <c r="O2176" s="4" t="s">
        <v>4866</v>
      </c>
      <c r="P2176" s="4" t="s">
        <v>4860</v>
      </c>
      <c r="Q2176" s="1" t="str">
        <f>_xlfn.XLOOKUP(tblSales[[#This Row],[Channel Code]],tblChannels[Channel Code],tblChannels[Channel Name],"")</f>
        <v>In-store</v>
      </c>
      <c r="R2176" s="1">
        <f>MONTH(tblSales[[#This Row],[Date]])</f>
        <v>5</v>
      </c>
    </row>
    <row r="2177" spans="2:18" x14ac:dyDescent="0.35">
      <c r="B2177" s="113">
        <v>46153</v>
      </c>
      <c r="C2177" s="4" t="s">
        <v>1439</v>
      </c>
      <c r="D2177" s="4" t="s">
        <v>4568</v>
      </c>
      <c r="E2177" s="1" t="str">
        <f>_xlfn.XLOOKUP(tblSales[[#This Row],[Customer ID]],tblCustomers[Customer ID],tblCustomers[Customer Name],"⚠ Unknown")</f>
        <v>Walk-in Customer</v>
      </c>
      <c r="F2177" s="4" t="s">
        <v>7</v>
      </c>
      <c r="G2177" s="1" t="str">
        <f>_xlfn.XLOOKUP(tblSales[[#This Row],[Product Code]],tblProducts[Code],tblProducts[Product / Service Name],"⚠ Unknown")</f>
        <v>Premium Basic T-shirt</v>
      </c>
      <c r="H2177" s="1" t="str">
        <f>_xlfn.XLOOKUP(tblSales[[#This Row],[Product Code]],tblProducts[Code],tblProducts[Category],"")</f>
        <v>Accessories &amp; Basics</v>
      </c>
      <c r="I2177" s="4">
        <v>1</v>
      </c>
      <c r="J2177" s="5">
        <f>_xlfn.XLOOKUP(tblSales[[#This Row],[Product Code]],tblProducts[Code],tblProducts[Selling Price (excl. VAT)],0)</f>
        <v>65000</v>
      </c>
      <c r="K2177" s="5">
        <f>tblSales[[#This Row],[Qty]]*tblSales[[#This Row],[Unit Price]]</f>
        <v>65000</v>
      </c>
      <c r="L2177" s="5">
        <f>ROUND(tblSales[[#This Row],[DPP (excl. VAT)]]*VATEff,0)</f>
        <v>7150</v>
      </c>
      <c r="M2177" s="5">
        <f>tblSales[[#This Row],[DPP (excl. VAT)]]+tblSales[[#This Row],[Output VAT]]</f>
        <v>72150</v>
      </c>
      <c r="N2177" s="5">
        <f>tblSales[[#This Row],[Qty]]*_xlfn.XLOOKUP(tblSales[[#This Row],[Product Code]],tblProducts[Code],tblProducts[Unit Cost],0)</f>
        <v>37000</v>
      </c>
      <c r="O2177" s="4" t="s">
        <v>4866</v>
      </c>
      <c r="P2177" s="4" t="s">
        <v>4861</v>
      </c>
      <c r="Q2177" s="1" t="str">
        <f>_xlfn.XLOOKUP(tblSales[[#This Row],[Channel Code]],tblChannels[Channel Code],tblChannels[Channel Name],"")</f>
        <v>Marketplace</v>
      </c>
      <c r="R2177" s="1">
        <f>MONTH(tblSales[[#This Row],[Date]])</f>
        <v>5</v>
      </c>
    </row>
    <row r="2178" spans="2:18" x14ac:dyDescent="0.35">
      <c r="B2178" s="113">
        <v>46153</v>
      </c>
      <c r="C2178" s="4" t="s">
        <v>1440</v>
      </c>
      <c r="D2178" s="4" t="s">
        <v>4568</v>
      </c>
      <c r="E2178" s="1" t="str">
        <f>_xlfn.XLOOKUP(tblSales[[#This Row],[Customer ID]],tblCustomers[Customer ID],tblCustomers[Customer Name],"⚠ Unknown")</f>
        <v>Walk-in Customer</v>
      </c>
      <c r="F2178" s="4" t="s">
        <v>13</v>
      </c>
      <c r="G2178" s="1" t="str">
        <f>_xlfn.XLOOKUP(tblSales[[#This Row],[Product Code]],tblProducts[Code],tblProducts[Product / Service Name],"⚠ Unknown")</f>
        <v>Backpack</v>
      </c>
      <c r="H2178" s="1" t="str">
        <f>_xlfn.XLOOKUP(tblSales[[#This Row],[Product Code]],tblProducts[Code],tblProducts[Category],"")</f>
        <v>Bags &amp; Gadgets</v>
      </c>
      <c r="I2178" s="4">
        <v>1</v>
      </c>
      <c r="J2178" s="5">
        <f>_xlfn.XLOOKUP(tblSales[[#This Row],[Product Code]],tblProducts[Code],tblProducts[Selling Price (excl. VAT)],0)</f>
        <v>500000</v>
      </c>
      <c r="K2178" s="5">
        <f>tblSales[[#This Row],[Qty]]*tblSales[[#This Row],[Unit Price]]</f>
        <v>500000</v>
      </c>
      <c r="L2178" s="5">
        <f>ROUND(tblSales[[#This Row],[DPP (excl. VAT)]]*VATEff,0)</f>
        <v>55000</v>
      </c>
      <c r="M2178" s="5">
        <f>tblSales[[#This Row],[DPP (excl. VAT)]]+tblSales[[#This Row],[Output VAT]]</f>
        <v>555000</v>
      </c>
      <c r="N2178" s="5">
        <f>tblSales[[#This Row],[Qty]]*_xlfn.XLOOKUP(tblSales[[#This Row],[Product Code]],tblProducts[Code],tblProducts[Unit Cost],0)</f>
        <v>290000</v>
      </c>
      <c r="O2178" s="4" t="s">
        <v>4865</v>
      </c>
      <c r="P2178" s="4" t="s">
        <v>4860</v>
      </c>
      <c r="Q2178" s="1" t="str">
        <f>_xlfn.XLOOKUP(tblSales[[#This Row],[Channel Code]],tblChannels[Channel Code],tblChannels[Channel Name],"")</f>
        <v>In-store</v>
      </c>
      <c r="R2178" s="1">
        <f>MONTH(tblSales[[#This Row],[Date]])</f>
        <v>5</v>
      </c>
    </row>
    <row r="2179" spans="2:18" x14ac:dyDescent="0.35">
      <c r="B2179" s="113">
        <v>46153</v>
      </c>
      <c r="C2179" s="4" t="s">
        <v>1440</v>
      </c>
      <c r="D2179" s="4" t="s">
        <v>4568</v>
      </c>
      <c r="E2179" s="1" t="str">
        <f>_xlfn.XLOOKUP(tblSales[[#This Row],[Customer ID]],tblCustomers[Customer ID],tblCustomers[Customer Name],"⚠ Unknown")</f>
        <v>Walk-in Customer</v>
      </c>
      <c r="F2179" s="4" t="s">
        <v>6</v>
      </c>
      <c r="G2179" s="1" t="str">
        <f>_xlfn.XLOOKUP(tblSales[[#This Row],[Product Code]],tblProducts[Code],tblProducts[Product / Service Name],"⚠ Unknown")</f>
        <v>Socks &amp; Accessories</v>
      </c>
      <c r="H2179" s="1" t="str">
        <f>_xlfn.XLOOKUP(tblSales[[#This Row],[Product Code]],tblProducts[Code],tblProducts[Category],"")</f>
        <v>Accessories &amp; Basics</v>
      </c>
      <c r="I2179" s="4">
        <v>11</v>
      </c>
      <c r="J2179" s="5">
        <f>_xlfn.XLOOKUP(tblSales[[#This Row],[Product Code]],tblProducts[Code],tblProducts[Selling Price (excl. VAT)],0)</f>
        <v>45000</v>
      </c>
      <c r="K2179" s="5">
        <f>tblSales[[#This Row],[Qty]]*tblSales[[#This Row],[Unit Price]]</f>
        <v>495000</v>
      </c>
      <c r="L2179" s="5">
        <f>ROUND(tblSales[[#This Row],[DPP (excl. VAT)]]*VATEff,0)</f>
        <v>54450</v>
      </c>
      <c r="M2179" s="5">
        <f>tblSales[[#This Row],[DPP (excl. VAT)]]+tblSales[[#This Row],[Output VAT]]</f>
        <v>549450</v>
      </c>
      <c r="N2179" s="5">
        <f>tblSales[[#This Row],[Qty]]*_xlfn.XLOOKUP(tblSales[[#This Row],[Product Code]],tblProducts[Code],tblProducts[Unit Cost],0)</f>
        <v>264000</v>
      </c>
      <c r="O2179" s="4" t="s">
        <v>4865</v>
      </c>
      <c r="P2179" s="4" t="s">
        <v>4860</v>
      </c>
      <c r="Q2179" s="1" t="str">
        <f>_xlfn.XLOOKUP(tblSales[[#This Row],[Channel Code]],tblChannels[Channel Code],tblChannels[Channel Name],"")</f>
        <v>In-store</v>
      </c>
      <c r="R2179" s="1">
        <f>MONTH(tblSales[[#This Row],[Date]])</f>
        <v>5</v>
      </c>
    </row>
    <row r="2180" spans="2:18" x14ac:dyDescent="0.35">
      <c r="B2180" s="113">
        <v>46153</v>
      </c>
      <c r="C2180" s="4" t="s">
        <v>1440</v>
      </c>
      <c r="D2180" s="4" t="s">
        <v>4568</v>
      </c>
      <c r="E2180" s="1" t="str">
        <f>_xlfn.XLOOKUP(tblSales[[#This Row],[Customer ID]],tblCustomers[Customer ID],tblCustomers[Customer Name],"⚠ Unknown")</f>
        <v>Walk-in Customer</v>
      </c>
      <c r="F2180" s="4" t="s">
        <v>10</v>
      </c>
      <c r="G2180" s="1" t="str">
        <f>_xlfn.XLOOKUP(tblSales[[#This Row],[Product Code]],tblProducts[Code],tblProducts[Product / Service Name],"⚠ Unknown")</f>
        <v>Chino Pants</v>
      </c>
      <c r="H2180" s="1" t="str">
        <f>_xlfn.XLOOKUP(tblSales[[#This Row],[Product Code]],tblProducts[Code],tblProducts[Category],"")</f>
        <v>Apparel &amp; Footwear</v>
      </c>
      <c r="I2180" s="4">
        <v>1</v>
      </c>
      <c r="J2180" s="5">
        <f>_xlfn.XLOOKUP(tblSales[[#This Row],[Product Code]],tblProducts[Code],tblProducts[Selling Price (excl. VAT)],0)</f>
        <v>150000</v>
      </c>
      <c r="K2180" s="5">
        <f>tblSales[[#This Row],[Qty]]*tblSales[[#This Row],[Unit Price]]</f>
        <v>150000</v>
      </c>
      <c r="L2180" s="5">
        <f>ROUND(tblSales[[#This Row],[DPP (excl. VAT)]]*VATEff,0)</f>
        <v>16500</v>
      </c>
      <c r="M2180" s="5">
        <f>tblSales[[#This Row],[DPP (excl. VAT)]]+tblSales[[#This Row],[Output VAT]]</f>
        <v>166500</v>
      </c>
      <c r="N2180" s="5">
        <f>tblSales[[#This Row],[Qty]]*_xlfn.XLOOKUP(tblSales[[#This Row],[Product Code]],tblProducts[Code],tblProducts[Unit Cost],0)</f>
        <v>88000</v>
      </c>
      <c r="O2180" s="4" t="s">
        <v>4865</v>
      </c>
      <c r="P2180" s="4" t="s">
        <v>4860</v>
      </c>
      <c r="Q2180" s="1" t="str">
        <f>_xlfn.XLOOKUP(tblSales[[#This Row],[Channel Code]],tblChannels[Channel Code],tblChannels[Channel Name],"")</f>
        <v>In-store</v>
      </c>
      <c r="R2180" s="1">
        <f>MONTH(tblSales[[#This Row],[Date]])</f>
        <v>5</v>
      </c>
    </row>
    <row r="2181" spans="2:18" x14ac:dyDescent="0.35">
      <c r="B2181" s="113">
        <v>46153</v>
      </c>
      <c r="C2181" s="4" t="s">
        <v>1441</v>
      </c>
      <c r="D2181" s="4" t="s">
        <v>4572</v>
      </c>
      <c r="E2181" s="1" t="str">
        <f>_xlfn.XLOOKUP(tblSales[[#This Row],[Customer ID]],tblCustomers[Customer ID],tblCustomers[Customer Name],"⚠ Unknown")</f>
        <v>PT Cahaya Abadi Makmur</v>
      </c>
      <c r="F2181" s="4" t="s">
        <v>9</v>
      </c>
      <c r="G2181" s="1" t="str">
        <f>_xlfn.XLOOKUP(tblSales[[#This Row],[Product Code]],tblProducts[Code],tblProducts[Product / Service Name],"⚠ Unknown")</f>
        <v>Casual Shirt</v>
      </c>
      <c r="H2181" s="1" t="str">
        <f>_xlfn.XLOOKUP(tblSales[[#This Row],[Product Code]],tblProducts[Code],tblProducts[Category],"")</f>
        <v>Apparel &amp; Footwear</v>
      </c>
      <c r="I2181" s="4">
        <v>24</v>
      </c>
      <c r="J2181" s="5">
        <f>_xlfn.XLOOKUP(tblSales[[#This Row],[Product Code]],tblProducts[Code],tblProducts[Selling Price (excl. VAT)],0)</f>
        <v>120000</v>
      </c>
      <c r="K2181" s="5">
        <f>tblSales[[#This Row],[Qty]]*tblSales[[#This Row],[Unit Price]]</f>
        <v>2880000</v>
      </c>
      <c r="L2181" s="5">
        <f>ROUND(tblSales[[#This Row],[DPP (excl. VAT)]]*VATEff,0)</f>
        <v>316800</v>
      </c>
      <c r="M2181" s="5">
        <f>tblSales[[#This Row],[DPP (excl. VAT)]]+tblSales[[#This Row],[Output VAT]]</f>
        <v>3196800</v>
      </c>
      <c r="N2181" s="5">
        <f>tblSales[[#This Row],[Qty]]*_xlfn.XLOOKUP(tblSales[[#This Row],[Product Code]],tblProducts[Code],tblProducts[Unit Cost],0)</f>
        <v>1728000</v>
      </c>
      <c r="O2181" s="4" t="s">
        <v>4867</v>
      </c>
      <c r="P2181" s="4" t="s">
        <v>4860</v>
      </c>
      <c r="Q2181" s="1" t="str">
        <f>_xlfn.XLOOKUP(tblSales[[#This Row],[Channel Code]],tblChannels[Channel Code],tblChannels[Channel Name],"")</f>
        <v>In-store</v>
      </c>
      <c r="R2181" s="1">
        <f>MONTH(tblSales[[#This Row],[Date]])</f>
        <v>5</v>
      </c>
    </row>
    <row r="2182" spans="2:18" x14ac:dyDescent="0.35">
      <c r="B2182" s="113">
        <v>46153</v>
      </c>
      <c r="C2182" s="4" t="s">
        <v>1442</v>
      </c>
      <c r="D2182" s="4" t="s">
        <v>4568</v>
      </c>
      <c r="E2182" s="1" t="str">
        <f>_xlfn.XLOOKUP(tblSales[[#This Row],[Customer ID]],tblCustomers[Customer ID],tblCustomers[Customer Name],"⚠ Unknown")</f>
        <v>Walk-in Customer</v>
      </c>
      <c r="F2182" s="4" t="s">
        <v>8</v>
      </c>
      <c r="G2182" s="1" t="str">
        <f>_xlfn.XLOOKUP(tblSales[[#This Row],[Product Code]],tblProducts[Code],tblProducts[Product / Service Name],"⚠ Unknown")</f>
        <v>Casual Shorts</v>
      </c>
      <c r="H2182" s="1" t="str">
        <f>_xlfn.XLOOKUP(tblSales[[#This Row],[Product Code]],tblProducts[Code],tblProducts[Category],"")</f>
        <v>Accessories &amp; Basics</v>
      </c>
      <c r="I2182" s="4">
        <v>12</v>
      </c>
      <c r="J2182" s="5">
        <f>_xlfn.XLOOKUP(tblSales[[#This Row],[Product Code]],tblProducts[Code],tblProducts[Selling Price (excl. VAT)],0)</f>
        <v>85000</v>
      </c>
      <c r="K2182" s="5">
        <f>tblSales[[#This Row],[Qty]]*tblSales[[#This Row],[Unit Price]]</f>
        <v>1020000</v>
      </c>
      <c r="L2182" s="5">
        <f>ROUND(tblSales[[#This Row],[DPP (excl. VAT)]]*VATEff,0)</f>
        <v>112200</v>
      </c>
      <c r="M2182" s="5">
        <f>tblSales[[#This Row],[DPP (excl. VAT)]]+tblSales[[#This Row],[Output VAT]]</f>
        <v>1132200</v>
      </c>
      <c r="N2182" s="5">
        <f>tblSales[[#This Row],[Qty]]*_xlfn.XLOOKUP(tblSales[[#This Row],[Product Code]],tblProducts[Code],tblProducts[Unit Cost],0)</f>
        <v>600000</v>
      </c>
      <c r="O2182" s="4" t="s">
        <v>4866</v>
      </c>
      <c r="P2182" s="4" t="s">
        <v>4862</v>
      </c>
      <c r="Q2182" s="1" t="str">
        <f>_xlfn.XLOOKUP(tblSales[[#This Row],[Channel Code]],tblChannels[Channel Code],tblChannels[Channel Name],"")</f>
        <v>Website &amp; Social Media</v>
      </c>
      <c r="R2182" s="1">
        <f>MONTH(tblSales[[#This Row],[Date]])</f>
        <v>5</v>
      </c>
    </row>
    <row r="2183" spans="2:18" x14ac:dyDescent="0.35">
      <c r="B2183" s="113">
        <v>46153</v>
      </c>
      <c r="C2183" s="4" t="s">
        <v>1442</v>
      </c>
      <c r="D2183" s="4" t="s">
        <v>4568</v>
      </c>
      <c r="E2183" s="1" t="str">
        <f>_xlfn.XLOOKUP(tblSales[[#This Row],[Customer ID]],tblCustomers[Customer ID],tblCustomers[Customer Name],"⚠ Unknown")</f>
        <v>Walk-in Customer</v>
      </c>
      <c r="F2183" s="4" t="s">
        <v>7</v>
      </c>
      <c r="G2183" s="1" t="str">
        <f>_xlfn.XLOOKUP(tblSales[[#This Row],[Product Code]],tblProducts[Code],tblProducts[Product / Service Name],"⚠ Unknown")</f>
        <v>Premium Basic T-shirt</v>
      </c>
      <c r="H2183" s="1" t="str">
        <f>_xlfn.XLOOKUP(tblSales[[#This Row],[Product Code]],tblProducts[Code],tblProducts[Category],"")</f>
        <v>Accessories &amp; Basics</v>
      </c>
      <c r="I2183" s="4">
        <v>7</v>
      </c>
      <c r="J2183" s="5">
        <f>_xlfn.XLOOKUP(tblSales[[#This Row],[Product Code]],tblProducts[Code],tblProducts[Selling Price (excl. VAT)],0)</f>
        <v>65000</v>
      </c>
      <c r="K2183" s="5">
        <f>tblSales[[#This Row],[Qty]]*tblSales[[#This Row],[Unit Price]]</f>
        <v>455000</v>
      </c>
      <c r="L2183" s="5">
        <f>ROUND(tblSales[[#This Row],[DPP (excl. VAT)]]*VATEff,0)</f>
        <v>50050</v>
      </c>
      <c r="M2183" s="5">
        <f>tblSales[[#This Row],[DPP (excl. VAT)]]+tblSales[[#This Row],[Output VAT]]</f>
        <v>505050</v>
      </c>
      <c r="N2183" s="5">
        <f>tblSales[[#This Row],[Qty]]*_xlfn.XLOOKUP(tblSales[[#This Row],[Product Code]],tblProducts[Code],tblProducts[Unit Cost],0)</f>
        <v>259000</v>
      </c>
      <c r="O2183" s="4" t="s">
        <v>4866</v>
      </c>
      <c r="P2183" s="4" t="s">
        <v>4862</v>
      </c>
      <c r="Q2183" s="1" t="str">
        <f>_xlfn.XLOOKUP(tblSales[[#This Row],[Channel Code]],tblChannels[Channel Code],tblChannels[Channel Name],"")</f>
        <v>Website &amp; Social Media</v>
      </c>
      <c r="R2183" s="1">
        <f>MONTH(tblSales[[#This Row],[Date]])</f>
        <v>5</v>
      </c>
    </row>
    <row r="2184" spans="2:18" x14ac:dyDescent="0.35">
      <c r="B2184" s="113">
        <v>46153</v>
      </c>
      <c r="C2184" s="4" t="s">
        <v>1443</v>
      </c>
      <c r="D2184" s="4" t="s">
        <v>4568</v>
      </c>
      <c r="E2184" s="1" t="str">
        <f>_xlfn.XLOOKUP(tblSales[[#This Row],[Customer ID]],tblCustomers[Customer ID],tblCustomers[Customer Name],"⚠ Unknown")</f>
        <v>Walk-in Customer</v>
      </c>
      <c r="F2184" s="4" t="s">
        <v>12</v>
      </c>
      <c r="G2184" s="1" t="str">
        <f>_xlfn.XLOOKUP(tblSales[[#This Row],[Product Code]],tblProducts[Code],tblProducts[Product / Service Name],"⚠ Unknown")</f>
        <v>Bomber Jacket</v>
      </c>
      <c r="H2184" s="1" t="str">
        <f>_xlfn.XLOOKUP(tblSales[[#This Row],[Product Code]],tblProducts[Code],tblProducts[Category],"")</f>
        <v>Apparel &amp; Footwear</v>
      </c>
      <c r="I2184" s="4">
        <v>4</v>
      </c>
      <c r="J2184" s="5">
        <f>_xlfn.XLOOKUP(tblSales[[#This Row],[Product Code]],tblProducts[Code],tblProducts[Selling Price (excl. VAT)],0)</f>
        <v>350000</v>
      </c>
      <c r="K2184" s="5">
        <f>tblSales[[#This Row],[Qty]]*tblSales[[#This Row],[Unit Price]]</f>
        <v>1400000</v>
      </c>
      <c r="L2184" s="5">
        <f>ROUND(tblSales[[#This Row],[DPP (excl. VAT)]]*VATEff,0)</f>
        <v>154000</v>
      </c>
      <c r="M2184" s="5">
        <f>tblSales[[#This Row],[DPP (excl. VAT)]]+tblSales[[#This Row],[Output VAT]]</f>
        <v>1554000</v>
      </c>
      <c r="N2184" s="5">
        <f>tblSales[[#This Row],[Qty]]*_xlfn.XLOOKUP(tblSales[[#This Row],[Product Code]],tblProducts[Code],tblProducts[Unit Cost],0)</f>
        <v>840000</v>
      </c>
      <c r="O2184" s="4" t="s">
        <v>4866</v>
      </c>
      <c r="P2184" s="4" t="s">
        <v>4861</v>
      </c>
      <c r="Q2184" s="1" t="str">
        <f>_xlfn.XLOOKUP(tblSales[[#This Row],[Channel Code]],tblChannels[Channel Code],tblChannels[Channel Name],"")</f>
        <v>Marketplace</v>
      </c>
      <c r="R2184" s="1">
        <f>MONTH(tblSales[[#This Row],[Date]])</f>
        <v>5</v>
      </c>
    </row>
    <row r="2185" spans="2:18" x14ac:dyDescent="0.35">
      <c r="B2185" s="113">
        <v>46153</v>
      </c>
      <c r="C2185" s="4" t="s">
        <v>1444</v>
      </c>
      <c r="D2185" s="4" t="s">
        <v>4568</v>
      </c>
      <c r="E2185" s="1" t="str">
        <f>_xlfn.XLOOKUP(tblSales[[#This Row],[Customer ID]],tblCustomers[Customer ID],tblCustomers[Customer Name],"⚠ Unknown")</f>
        <v>Walk-in Customer</v>
      </c>
      <c r="F2185" s="4" t="s">
        <v>13</v>
      </c>
      <c r="G2185" s="1" t="str">
        <f>_xlfn.XLOOKUP(tblSales[[#This Row],[Product Code]],tblProducts[Code],tblProducts[Product / Service Name],"⚠ Unknown")</f>
        <v>Backpack</v>
      </c>
      <c r="H2185" s="1" t="str">
        <f>_xlfn.XLOOKUP(tblSales[[#This Row],[Product Code]],tblProducts[Code],tblProducts[Category],"")</f>
        <v>Bags &amp; Gadgets</v>
      </c>
      <c r="I2185" s="4">
        <v>5</v>
      </c>
      <c r="J2185" s="5">
        <f>_xlfn.XLOOKUP(tblSales[[#This Row],[Product Code]],tblProducts[Code],tblProducts[Selling Price (excl. VAT)],0)</f>
        <v>500000</v>
      </c>
      <c r="K2185" s="5">
        <f>tblSales[[#This Row],[Qty]]*tblSales[[#This Row],[Unit Price]]</f>
        <v>2500000</v>
      </c>
      <c r="L2185" s="5">
        <f>ROUND(tblSales[[#This Row],[DPP (excl. VAT)]]*VATEff,0)</f>
        <v>275000</v>
      </c>
      <c r="M2185" s="5">
        <f>tblSales[[#This Row],[DPP (excl. VAT)]]+tblSales[[#This Row],[Output VAT]]</f>
        <v>2775000</v>
      </c>
      <c r="N2185" s="5">
        <f>tblSales[[#This Row],[Qty]]*_xlfn.XLOOKUP(tblSales[[#This Row],[Product Code]],tblProducts[Code],tblProducts[Unit Cost],0)</f>
        <v>1450000</v>
      </c>
      <c r="O2185" s="4" t="s">
        <v>4865</v>
      </c>
      <c r="P2185" s="4" t="s">
        <v>4860</v>
      </c>
      <c r="Q2185" s="1" t="str">
        <f>_xlfn.XLOOKUP(tblSales[[#This Row],[Channel Code]],tblChannels[Channel Code],tblChannels[Channel Name],"")</f>
        <v>In-store</v>
      </c>
      <c r="R2185" s="1">
        <f>MONTH(tblSales[[#This Row],[Date]])</f>
        <v>5</v>
      </c>
    </row>
    <row r="2186" spans="2:18" x14ac:dyDescent="0.35">
      <c r="B2186" s="113">
        <v>46153</v>
      </c>
      <c r="C2186" s="4" t="s">
        <v>1445</v>
      </c>
      <c r="D2186" s="4" t="s">
        <v>4578</v>
      </c>
      <c r="E2186" s="1" t="str">
        <f>_xlfn.XLOOKUP(tblSales[[#This Row],[Customer ID]],tblCustomers[Customer ID],tblCustomers[Customer Name],"⚠ Unknown")</f>
        <v>PT Bintang Timur Sejahtera</v>
      </c>
      <c r="F2186" s="4" t="s">
        <v>10</v>
      </c>
      <c r="G2186" s="1" t="str">
        <f>_xlfn.XLOOKUP(tblSales[[#This Row],[Product Code]],tblProducts[Code],tblProducts[Product / Service Name],"⚠ Unknown")</f>
        <v>Chino Pants</v>
      </c>
      <c r="H2186" s="1" t="str">
        <f>_xlfn.XLOOKUP(tblSales[[#This Row],[Product Code]],tblProducts[Code],tblProducts[Category],"")</f>
        <v>Apparel &amp; Footwear</v>
      </c>
      <c r="I2186" s="4">
        <v>64</v>
      </c>
      <c r="J2186" s="5">
        <f>_xlfn.XLOOKUP(tblSales[[#This Row],[Product Code]],tblProducts[Code],tblProducts[Selling Price (excl. VAT)],0)</f>
        <v>150000</v>
      </c>
      <c r="K2186" s="5">
        <f>tblSales[[#This Row],[Qty]]*tblSales[[#This Row],[Unit Price]]</f>
        <v>9600000</v>
      </c>
      <c r="L2186" s="5">
        <f>ROUND(tblSales[[#This Row],[DPP (excl. VAT)]]*VATEff,0)</f>
        <v>1056000</v>
      </c>
      <c r="M2186" s="5">
        <f>tblSales[[#This Row],[DPP (excl. VAT)]]+tblSales[[#This Row],[Output VAT]]</f>
        <v>10656000</v>
      </c>
      <c r="N2186" s="5">
        <f>tblSales[[#This Row],[Qty]]*_xlfn.XLOOKUP(tblSales[[#This Row],[Product Code]],tblProducts[Code],tblProducts[Unit Cost],0)</f>
        <v>5632000</v>
      </c>
      <c r="O2186" s="4" t="s">
        <v>4867</v>
      </c>
      <c r="P2186" s="4" t="s">
        <v>4860</v>
      </c>
      <c r="Q2186" s="1" t="str">
        <f>_xlfn.XLOOKUP(tblSales[[#This Row],[Channel Code]],tblChannels[Channel Code],tblChannels[Channel Name],"")</f>
        <v>In-store</v>
      </c>
      <c r="R2186" s="1">
        <f>MONTH(tblSales[[#This Row],[Date]])</f>
        <v>5</v>
      </c>
    </row>
    <row r="2187" spans="2:18" x14ac:dyDescent="0.35">
      <c r="B2187" s="113">
        <v>46153</v>
      </c>
      <c r="C2187" s="4" t="s">
        <v>1445</v>
      </c>
      <c r="D2187" s="4" t="s">
        <v>4578</v>
      </c>
      <c r="E2187" s="1" t="str">
        <f>_xlfn.XLOOKUP(tblSales[[#This Row],[Customer ID]],tblCustomers[Customer ID],tblCustomers[Customer Name],"⚠ Unknown")</f>
        <v>PT Bintang Timur Sejahtera</v>
      </c>
      <c r="F2187" s="4" t="s">
        <v>12</v>
      </c>
      <c r="G2187" s="1" t="str">
        <f>_xlfn.XLOOKUP(tblSales[[#This Row],[Product Code]],tblProducts[Code],tblProducts[Product / Service Name],"⚠ Unknown")</f>
        <v>Bomber Jacket</v>
      </c>
      <c r="H2187" s="1" t="str">
        <f>_xlfn.XLOOKUP(tblSales[[#This Row],[Product Code]],tblProducts[Code],tblProducts[Category],"")</f>
        <v>Apparel &amp; Footwear</v>
      </c>
      <c r="I2187" s="4">
        <v>16</v>
      </c>
      <c r="J2187" s="5">
        <f>_xlfn.XLOOKUP(tblSales[[#This Row],[Product Code]],tblProducts[Code],tblProducts[Selling Price (excl. VAT)],0)</f>
        <v>350000</v>
      </c>
      <c r="K2187" s="5">
        <f>tblSales[[#This Row],[Qty]]*tblSales[[#This Row],[Unit Price]]</f>
        <v>5600000</v>
      </c>
      <c r="L2187" s="5">
        <f>ROUND(tblSales[[#This Row],[DPP (excl. VAT)]]*VATEff,0)</f>
        <v>616000</v>
      </c>
      <c r="M2187" s="5">
        <f>tblSales[[#This Row],[DPP (excl. VAT)]]+tblSales[[#This Row],[Output VAT]]</f>
        <v>6216000</v>
      </c>
      <c r="N2187" s="5">
        <f>tblSales[[#This Row],[Qty]]*_xlfn.XLOOKUP(tblSales[[#This Row],[Product Code]],tblProducts[Code],tblProducts[Unit Cost],0)</f>
        <v>3360000</v>
      </c>
      <c r="O2187" s="4" t="s">
        <v>4867</v>
      </c>
      <c r="P2187" s="4" t="s">
        <v>4860</v>
      </c>
      <c r="Q2187" s="1" t="str">
        <f>_xlfn.XLOOKUP(tblSales[[#This Row],[Channel Code]],tblChannels[Channel Code],tblChannels[Channel Name],"")</f>
        <v>In-store</v>
      </c>
      <c r="R2187" s="1">
        <f>MONTH(tblSales[[#This Row],[Date]])</f>
        <v>5</v>
      </c>
    </row>
    <row r="2188" spans="2:18" x14ac:dyDescent="0.35">
      <c r="B2188" s="113">
        <v>46153</v>
      </c>
      <c r="C2188" s="4" t="s">
        <v>1446</v>
      </c>
      <c r="D2188" s="4" t="s">
        <v>4568</v>
      </c>
      <c r="E2188" s="1" t="str">
        <f>_xlfn.XLOOKUP(tblSales[[#This Row],[Customer ID]],tblCustomers[Customer ID],tblCustomers[Customer Name],"⚠ Unknown")</f>
        <v>Walk-in Customer</v>
      </c>
      <c r="F2188" s="4" t="s">
        <v>11</v>
      </c>
      <c r="G2188" s="1" t="str">
        <f>_xlfn.XLOOKUP(tblSales[[#This Row],[Product Code]],tblProducts[Code],tblProducts[Product / Service Name],"⚠ Unknown")</f>
        <v>Sneakers</v>
      </c>
      <c r="H2188" s="1" t="str">
        <f>_xlfn.XLOOKUP(tblSales[[#This Row],[Product Code]],tblProducts[Code],tblProducts[Category],"")</f>
        <v>Apparel &amp; Footwear</v>
      </c>
      <c r="I2188" s="4">
        <v>6</v>
      </c>
      <c r="J2188" s="5">
        <f>_xlfn.XLOOKUP(tblSales[[#This Row],[Product Code]],tblProducts[Code],tblProducts[Selling Price (excl. VAT)],0)</f>
        <v>250000</v>
      </c>
      <c r="K2188" s="5">
        <f>tblSales[[#This Row],[Qty]]*tblSales[[#This Row],[Unit Price]]</f>
        <v>1500000</v>
      </c>
      <c r="L2188" s="5">
        <f>ROUND(tblSales[[#This Row],[DPP (excl. VAT)]]*VATEff,0)</f>
        <v>165000</v>
      </c>
      <c r="M2188" s="5">
        <f>tblSales[[#This Row],[DPP (excl. VAT)]]+tblSales[[#This Row],[Output VAT]]</f>
        <v>1665000</v>
      </c>
      <c r="N2188" s="5">
        <f>tblSales[[#This Row],[Qty]]*_xlfn.XLOOKUP(tblSales[[#This Row],[Product Code]],tblProducts[Code],tblProducts[Unit Cost],0)</f>
        <v>930000</v>
      </c>
      <c r="O2188" s="4" t="s">
        <v>4865</v>
      </c>
      <c r="P2188" s="4" t="s">
        <v>4860</v>
      </c>
      <c r="Q2188" s="1" t="str">
        <f>_xlfn.XLOOKUP(tblSales[[#This Row],[Channel Code]],tblChannels[Channel Code],tblChannels[Channel Name],"")</f>
        <v>In-store</v>
      </c>
      <c r="R2188" s="1">
        <f>MONTH(tblSales[[#This Row],[Date]])</f>
        <v>5</v>
      </c>
    </row>
    <row r="2189" spans="2:18" x14ac:dyDescent="0.35">
      <c r="B2189" s="113">
        <v>46153</v>
      </c>
      <c r="C2189" s="4" t="s">
        <v>1447</v>
      </c>
      <c r="D2189" s="4" t="s">
        <v>4568</v>
      </c>
      <c r="E2189" s="1" t="str">
        <f>_xlfn.XLOOKUP(tblSales[[#This Row],[Customer ID]],tblCustomers[Customer ID],tblCustomers[Customer Name],"⚠ Unknown")</f>
        <v>Walk-in Customer</v>
      </c>
      <c r="F2189" s="4" t="s">
        <v>12</v>
      </c>
      <c r="G2189" s="1" t="str">
        <f>_xlfn.XLOOKUP(tblSales[[#This Row],[Product Code]],tblProducts[Code],tblProducts[Product / Service Name],"⚠ Unknown")</f>
        <v>Bomber Jacket</v>
      </c>
      <c r="H2189" s="1" t="str">
        <f>_xlfn.XLOOKUP(tblSales[[#This Row],[Product Code]],tblProducts[Code],tblProducts[Category],"")</f>
        <v>Apparel &amp; Footwear</v>
      </c>
      <c r="I2189" s="4">
        <v>1</v>
      </c>
      <c r="J2189" s="5">
        <f>_xlfn.XLOOKUP(tblSales[[#This Row],[Product Code]],tblProducts[Code],tblProducts[Selling Price (excl. VAT)],0)</f>
        <v>350000</v>
      </c>
      <c r="K2189" s="5">
        <f>tblSales[[#This Row],[Qty]]*tblSales[[#This Row],[Unit Price]]</f>
        <v>350000</v>
      </c>
      <c r="L2189" s="5">
        <f>ROUND(tblSales[[#This Row],[DPP (excl. VAT)]]*VATEff,0)</f>
        <v>38500</v>
      </c>
      <c r="M2189" s="5">
        <f>tblSales[[#This Row],[DPP (excl. VAT)]]+tblSales[[#This Row],[Output VAT]]</f>
        <v>388500</v>
      </c>
      <c r="N2189" s="5">
        <f>tblSales[[#This Row],[Qty]]*_xlfn.XLOOKUP(tblSales[[#This Row],[Product Code]],tblProducts[Code],tblProducts[Unit Cost],0)</f>
        <v>210000</v>
      </c>
      <c r="O2189" s="4" t="s">
        <v>4866</v>
      </c>
      <c r="P2189" s="4" t="s">
        <v>4860</v>
      </c>
      <c r="Q2189" s="1" t="str">
        <f>_xlfn.XLOOKUP(tblSales[[#This Row],[Channel Code]],tblChannels[Channel Code],tblChannels[Channel Name],"")</f>
        <v>In-store</v>
      </c>
      <c r="R2189" s="1">
        <f>MONTH(tblSales[[#This Row],[Date]])</f>
        <v>5</v>
      </c>
    </row>
    <row r="2190" spans="2:18" x14ac:dyDescent="0.35">
      <c r="B2190" s="113">
        <v>46153</v>
      </c>
      <c r="C2190" s="4" t="s">
        <v>1448</v>
      </c>
      <c r="D2190" s="4" t="s">
        <v>4568</v>
      </c>
      <c r="E2190" s="1" t="str">
        <f>_xlfn.XLOOKUP(tblSales[[#This Row],[Customer ID]],tblCustomers[Customer ID],tblCustomers[Customer Name],"⚠ Unknown")</f>
        <v>Walk-in Customer</v>
      </c>
      <c r="F2190" s="4" t="s">
        <v>11</v>
      </c>
      <c r="G2190" s="1" t="str">
        <f>_xlfn.XLOOKUP(tblSales[[#This Row],[Product Code]],tblProducts[Code],tblProducts[Product / Service Name],"⚠ Unknown")</f>
        <v>Sneakers</v>
      </c>
      <c r="H2190" s="1" t="str">
        <f>_xlfn.XLOOKUP(tblSales[[#This Row],[Product Code]],tblProducts[Code],tblProducts[Category],"")</f>
        <v>Apparel &amp; Footwear</v>
      </c>
      <c r="I2190" s="4">
        <v>2</v>
      </c>
      <c r="J2190" s="5">
        <f>_xlfn.XLOOKUP(tblSales[[#This Row],[Product Code]],tblProducts[Code],tblProducts[Selling Price (excl. VAT)],0)</f>
        <v>250000</v>
      </c>
      <c r="K2190" s="5">
        <f>tblSales[[#This Row],[Qty]]*tblSales[[#This Row],[Unit Price]]</f>
        <v>500000</v>
      </c>
      <c r="L2190" s="5">
        <f>ROUND(tblSales[[#This Row],[DPP (excl. VAT)]]*VATEff,0)</f>
        <v>55000</v>
      </c>
      <c r="M2190" s="5">
        <f>tblSales[[#This Row],[DPP (excl. VAT)]]+tblSales[[#This Row],[Output VAT]]</f>
        <v>555000</v>
      </c>
      <c r="N2190" s="5">
        <f>tblSales[[#This Row],[Qty]]*_xlfn.XLOOKUP(tblSales[[#This Row],[Product Code]],tblProducts[Code],tblProducts[Unit Cost],0)</f>
        <v>310000</v>
      </c>
      <c r="O2190" s="4" t="s">
        <v>4865</v>
      </c>
      <c r="P2190" s="4" t="s">
        <v>4860</v>
      </c>
      <c r="Q2190" s="1" t="str">
        <f>_xlfn.XLOOKUP(tblSales[[#This Row],[Channel Code]],tblChannels[Channel Code],tblChannels[Channel Name],"")</f>
        <v>In-store</v>
      </c>
      <c r="R2190" s="1">
        <f>MONTH(tblSales[[#This Row],[Date]])</f>
        <v>5</v>
      </c>
    </row>
    <row r="2191" spans="2:18" x14ac:dyDescent="0.35">
      <c r="B2191" s="113">
        <v>46154</v>
      </c>
      <c r="C2191" s="4" t="s">
        <v>1449</v>
      </c>
      <c r="D2191" s="4" t="s">
        <v>4568</v>
      </c>
      <c r="E2191" s="1" t="str">
        <f>_xlfn.XLOOKUP(tblSales[[#This Row],[Customer ID]],tblCustomers[Customer ID],tblCustomers[Customer Name],"⚠ Unknown")</f>
        <v>Walk-in Customer</v>
      </c>
      <c r="F2191" s="4" t="s">
        <v>6</v>
      </c>
      <c r="G2191" s="1" t="str">
        <f>_xlfn.XLOOKUP(tblSales[[#This Row],[Product Code]],tblProducts[Code],tblProducts[Product / Service Name],"⚠ Unknown")</f>
        <v>Socks &amp; Accessories</v>
      </c>
      <c r="H2191" s="1" t="str">
        <f>_xlfn.XLOOKUP(tblSales[[#This Row],[Product Code]],tblProducts[Code],tblProducts[Category],"")</f>
        <v>Accessories &amp; Basics</v>
      </c>
      <c r="I2191" s="4">
        <v>10</v>
      </c>
      <c r="J2191" s="5">
        <f>_xlfn.XLOOKUP(tblSales[[#This Row],[Product Code]],tblProducts[Code],tblProducts[Selling Price (excl. VAT)],0)</f>
        <v>45000</v>
      </c>
      <c r="K2191" s="5">
        <f>tblSales[[#This Row],[Qty]]*tblSales[[#This Row],[Unit Price]]</f>
        <v>450000</v>
      </c>
      <c r="L2191" s="5">
        <f>ROUND(tblSales[[#This Row],[DPP (excl. VAT)]]*VATEff,0)</f>
        <v>49500</v>
      </c>
      <c r="M2191" s="5">
        <f>tblSales[[#This Row],[DPP (excl. VAT)]]+tblSales[[#This Row],[Output VAT]]</f>
        <v>499500</v>
      </c>
      <c r="N2191" s="5">
        <f>tblSales[[#This Row],[Qty]]*_xlfn.XLOOKUP(tblSales[[#This Row],[Product Code]],tblProducts[Code],tblProducts[Unit Cost],0)</f>
        <v>240000</v>
      </c>
      <c r="O2191" s="4" t="s">
        <v>4865</v>
      </c>
      <c r="P2191" s="4" t="s">
        <v>4860</v>
      </c>
      <c r="Q2191" s="1" t="str">
        <f>_xlfn.XLOOKUP(tblSales[[#This Row],[Channel Code]],tblChannels[Channel Code],tblChannels[Channel Name],"")</f>
        <v>In-store</v>
      </c>
      <c r="R2191" s="1">
        <f>MONTH(tblSales[[#This Row],[Date]])</f>
        <v>5</v>
      </c>
    </row>
    <row r="2192" spans="2:18" x14ac:dyDescent="0.35">
      <c r="B2192" s="113">
        <v>46154</v>
      </c>
      <c r="C2192" s="4" t="s">
        <v>1450</v>
      </c>
      <c r="D2192" s="4" t="s">
        <v>4568</v>
      </c>
      <c r="E2192" s="1" t="str">
        <f>_xlfn.XLOOKUP(tblSales[[#This Row],[Customer ID]],tblCustomers[Customer ID],tblCustomers[Customer Name],"⚠ Unknown")</f>
        <v>Walk-in Customer</v>
      </c>
      <c r="F2192" s="4" t="s">
        <v>11</v>
      </c>
      <c r="G2192" s="1" t="str">
        <f>_xlfn.XLOOKUP(tblSales[[#This Row],[Product Code]],tblProducts[Code],tblProducts[Product / Service Name],"⚠ Unknown")</f>
        <v>Sneakers</v>
      </c>
      <c r="H2192" s="1" t="str">
        <f>_xlfn.XLOOKUP(tblSales[[#This Row],[Product Code]],tblProducts[Code],tblProducts[Category],"")</f>
        <v>Apparel &amp; Footwear</v>
      </c>
      <c r="I2192" s="4">
        <v>4</v>
      </c>
      <c r="J2192" s="5">
        <f>_xlfn.XLOOKUP(tblSales[[#This Row],[Product Code]],tblProducts[Code],tblProducts[Selling Price (excl. VAT)],0)</f>
        <v>250000</v>
      </c>
      <c r="K2192" s="5">
        <f>tblSales[[#This Row],[Qty]]*tblSales[[#This Row],[Unit Price]]</f>
        <v>1000000</v>
      </c>
      <c r="L2192" s="5">
        <f>ROUND(tblSales[[#This Row],[DPP (excl. VAT)]]*VATEff,0)</f>
        <v>110000</v>
      </c>
      <c r="M2192" s="5">
        <f>tblSales[[#This Row],[DPP (excl. VAT)]]+tblSales[[#This Row],[Output VAT]]</f>
        <v>1110000</v>
      </c>
      <c r="N2192" s="5">
        <f>tblSales[[#This Row],[Qty]]*_xlfn.XLOOKUP(tblSales[[#This Row],[Product Code]],tblProducts[Code],tblProducts[Unit Cost],0)</f>
        <v>620000</v>
      </c>
      <c r="O2192" s="4" t="s">
        <v>4866</v>
      </c>
      <c r="P2192" s="4" t="s">
        <v>4860</v>
      </c>
      <c r="Q2192" s="1" t="str">
        <f>_xlfn.XLOOKUP(tblSales[[#This Row],[Channel Code]],tblChannels[Channel Code],tblChannels[Channel Name],"")</f>
        <v>In-store</v>
      </c>
      <c r="R2192" s="1">
        <f>MONTH(tblSales[[#This Row],[Date]])</f>
        <v>5</v>
      </c>
    </row>
    <row r="2193" spans="2:18" x14ac:dyDescent="0.35">
      <c r="B2193" s="113">
        <v>46154</v>
      </c>
      <c r="C2193" s="4" t="s">
        <v>1451</v>
      </c>
      <c r="D2193" s="4" t="s">
        <v>4568</v>
      </c>
      <c r="E2193" s="1" t="str">
        <f>_xlfn.XLOOKUP(tblSales[[#This Row],[Customer ID]],tblCustomers[Customer ID],tblCustomers[Customer Name],"⚠ Unknown")</f>
        <v>Walk-in Customer</v>
      </c>
      <c r="F2193" s="4" t="s">
        <v>10</v>
      </c>
      <c r="G2193" s="1" t="str">
        <f>_xlfn.XLOOKUP(tblSales[[#This Row],[Product Code]],tblProducts[Code],tblProducts[Product / Service Name],"⚠ Unknown")</f>
        <v>Chino Pants</v>
      </c>
      <c r="H2193" s="1" t="str">
        <f>_xlfn.XLOOKUP(tblSales[[#This Row],[Product Code]],tblProducts[Code],tblProducts[Category],"")</f>
        <v>Apparel &amp; Footwear</v>
      </c>
      <c r="I2193" s="4">
        <v>5</v>
      </c>
      <c r="J2193" s="5">
        <f>_xlfn.XLOOKUP(tblSales[[#This Row],[Product Code]],tblProducts[Code],tblProducts[Selling Price (excl. VAT)],0)</f>
        <v>150000</v>
      </c>
      <c r="K2193" s="5">
        <f>tblSales[[#This Row],[Qty]]*tblSales[[#This Row],[Unit Price]]</f>
        <v>750000</v>
      </c>
      <c r="L2193" s="5">
        <f>ROUND(tblSales[[#This Row],[DPP (excl. VAT)]]*VATEff,0)</f>
        <v>82500</v>
      </c>
      <c r="M2193" s="5">
        <f>tblSales[[#This Row],[DPP (excl. VAT)]]+tblSales[[#This Row],[Output VAT]]</f>
        <v>832500</v>
      </c>
      <c r="N2193" s="5">
        <f>tblSales[[#This Row],[Qty]]*_xlfn.XLOOKUP(tblSales[[#This Row],[Product Code]],tblProducts[Code],tblProducts[Unit Cost],0)</f>
        <v>440000</v>
      </c>
      <c r="O2193" s="4" t="s">
        <v>4865</v>
      </c>
      <c r="P2193" s="4" t="s">
        <v>4860</v>
      </c>
      <c r="Q2193" s="1" t="str">
        <f>_xlfn.XLOOKUP(tblSales[[#This Row],[Channel Code]],tblChannels[Channel Code],tblChannels[Channel Name],"")</f>
        <v>In-store</v>
      </c>
      <c r="R2193" s="1">
        <f>MONTH(tblSales[[#This Row],[Date]])</f>
        <v>5</v>
      </c>
    </row>
    <row r="2194" spans="2:18" x14ac:dyDescent="0.35">
      <c r="B2194" s="113">
        <v>46154</v>
      </c>
      <c r="C2194" s="4" t="s">
        <v>1452</v>
      </c>
      <c r="D2194" s="4" t="s">
        <v>4568</v>
      </c>
      <c r="E2194" s="1" t="str">
        <f>_xlfn.XLOOKUP(tblSales[[#This Row],[Customer ID]],tblCustomers[Customer ID],tblCustomers[Customer Name],"⚠ Unknown")</f>
        <v>Walk-in Customer</v>
      </c>
      <c r="F2194" s="4" t="s">
        <v>7</v>
      </c>
      <c r="G2194" s="1" t="str">
        <f>_xlfn.XLOOKUP(tblSales[[#This Row],[Product Code]],tblProducts[Code],tblProducts[Product / Service Name],"⚠ Unknown")</f>
        <v>Premium Basic T-shirt</v>
      </c>
      <c r="H2194" s="1" t="str">
        <f>_xlfn.XLOOKUP(tblSales[[#This Row],[Product Code]],tblProducts[Code],tblProducts[Category],"")</f>
        <v>Accessories &amp; Basics</v>
      </c>
      <c r="I2194" s="4">
        <v>7</v>
      </c>
      <c r="J2194" s="5">
        <f>_xlfn.XLOOKUP(tblSales[[#This Row],[Product Code]],tblProducts[Code],tblProducts[Selling Price (excl. VAT)],0)</f>
        <v>65000</v>
      </c>
      <c r="K2194" s="5">
        <f>tblSales[[#This Row],[Qty]]*tblSales[[#This Row],[Unit Price]]</f>
        <v>455000</v>
      </c>
      <c r="L2194" s="5">
        <f>ROUND(tblSales[[#This Row],[DPP (excl. VAT)]]*VATEff,0)</f>
        <v>50050</v>
      </c>
      <c r="M2194" s="5">
        <f>tblSales[[#This Row],[DPP (excl. VAT)]]+tblSales[[#This Row],[Output VAT]]</f>
        <v>505050</v>
      </c>
      <c r="N2194" s="5">
        <f>tblSales[[#This Row],[Qty]]*_xlfn.XLOOKUP(tblSales[[#This Row],[Product Code]],tblProducts[Code],tblProducts[Unit Cost],0)</f>
        <v>259000</v>
      </c>
      <c r="O2194" s="4" t="s">
        <v>4866</v>
      </c>
      <c r="P2194" s="4" t="s">
        <v>4860</v>
      </c>
      <c r="Q2194" s="1" t="str">
        <f>_xlfn.XLOOKUP(tblSales[[#This Row],[Channel Code]],tblChannels[Channel Code],tblChannels[Channel Name],"")</f>
        <v>In-store</v>
      </c>
      <c r="R2194" s="1">
        <f>MONTH(tblSales[[#This Row],[Date]])</f>
        <v>5</v>
      </c>
    </row>
    <row r="2195" spans="2:18" x14ac:dyDescent="0.35">
      <c r="B2195" s="113">
        <v>46154</v>
      </c>
      <c r="C2195" s="4" t="s">
        <v>1453</v>
      </c>
      <c r="D2195" s="4" t="s">
        <v>4568</v>
      </c>
      <c r="E2195" s="1" t="str">
        <f>_xlfn.XLOOKUP(tblSales[[#This Row],[Customer ID]],tblCustomers[Customer ID],tblCustomers[Customer Name],"⚠ Unknown")</f>
        <v>Walk-in Customer</v>
      </c>
      <c r="F2195" s="4" t="s">
        <v>9</v>
      </c>
      <c r="G2195" s="1" t="str">
        <f>_xlfn.XLOOKUP(tblSales[[#This Row],[Product Code]],tblProducts[Code],tblProducts[Product / Service Name],"⚠ Unknown")</f>
        <v>Casual Shirt</v>
      </c>
      <c r="H2195" s="1" t="str">
        <f>_xlfn.XLOOKUP(tblSales[[#This Row],[Product Code]],tblProducts[Code],tblProducts[Category],"")</f>
        <v>Apparel &amp; Footwear</v>
      </c>
      <c r="I2195" s="4">
        <v>5</v>
      </c>
      <c r="J2195" s="5">
        <f>_xlfn.XLOOKUP(tblSales[[#This Row],[Product Code]],tblProducts[Code],tblProducts[Selling Price (excl. VAT)],0)</f>
        <v>120000</v>
      </c>
      <c r="K2195" s="5">
        <f>tblSales[[#This Row],[Qty]]*tblSales[[#This Row],[Unit Price]]</f>
        <v>600000</v>
      </c>
      <c r="L2195" s="5">
        <f>ROUND(tblSales[[#This Row],[DPP (excl. VAT)]]*VATEff,0)</f>
        <v>66000</v>
      </c>
      <c r="M2195" s="5">
        <f>tblSales[[#This Row],[DPP (excl. VAT)]]+tblSales[[#This Row],[Output VAT]]</f>
        <v>666000</v>
      </c>
      <c r="N2195" s="5">
        <f>tblSales[[#This Row],[Qty]]*_xlfn.XLOOKUP(tblSales[[#This Row],[Product Code]],tblProducts[Code],tblProducts[Unit Cost],0)</f>
        <v>360000</v>
      </c>
      <c r="O2195" s="4" t="s">
        <v>4865</v>
      </c>
      <c r="P2195" s="4" t="s">
        <v>4860</v>
      </c>
      <c r="Q2195" s="1" t="str">
        <f>_xlfn.XLOOKUP(tblSales[[#This Row],[Channel Code]],tblChannels[Channel Code],tblChannels[Channel Name],"")</f>
        <v>In-store</v>
      </c>
      <c r="R2195" s="1">
        <f>MONTH(tblSales[[#This Row],[Date]])</f>
        <v>5</v>
      </c>
    </row>
    <row r="2196" spans="2:18" x14ac:dyDescent="0.35">
      <c r="B2196" s="113">
        <v>46154</v>
      </c>
      <c r="C2196" s="4" t="s">
        <v>1454</v>
      </c>
      <c r="D2196" s="4" t="s">
        <v>4568</v>
      </c>
      <c r="E2196" s="1" t="str">
        <f>_xlfn.XLOOKUP(tblSales[[#This Row],[Customer ID]],tblCustomers[Customer ID],tblCustomers[Customer Name],"⚠ Unknown")</f>
        <v>Walk-in Customer</v>
      </c>
      <c r="F2196" s="4" t="s">
        <v>10</v>
      </c>
      <c r="G2196" s="1" t="str">
        <f>_xlfn.XLOOKUP(tblSales[[#This Row],[Product Code]],tblProducts[Code],tblProducts[Product / Service Name],"⚠ Unknown")</f>
        <v>Chino Pants</v>
      </c>
      <c r="H2196" s="1" t="str">
        <f>_xlfn.XLOOKUP(tblSales[[#This Row],[Product Code]],tblProducts[Code],tblProducts[Category],"")</f>
        <v>Apparel &amp; Footwear</v>
      </c>
      <c r="I2196" s="4">
        <v>8</v>
      </c>
      <c r="J2196" s="5">
        <f>_xlfn.XLOOKUP(tblSales[[#This Row],[Product Code]],tblProducts[Code],tblProducts[Selling Price (excl. VAT)],0)</f>
        <v>150000</v>
      </c>
      <c r="K2196" s="5">
        <f>tblSales[[#This Row],[Qty]]*tblSales[[#This Row],[Unit Price]]</f>
        <v>1200000</v>
      </c>
      <c r="L2196" s="5">
        <f>ROUND(tblSales[[#This Row],[DPP (excl. VAT)]]*VATEff,0)</f>
        <v>132000</v>
      </c>
      <c r="M2196" s="5">
        <f>tblSales[[#This Row],[DPP (excl. VAT)]]+tblSales[[#This Row],[Output VAT]]</f>
        <v>1332000</v>
      </c>
      <c r="N2196" s="5">
        <f>tblSales[[#This Row],[Qty]]*_xlfn.XLOOKUP(tblSales[[#This Row],[Product Code]],tblProducts[Code],tblProducts[Unit Cost],0)</f>
        <v>704000</v>
      </c>
      <c r="O2196" s="4" t="s">
        <v>4866</v>
      </c>
      <c r="P2196" s="4" t="s">
        <v>4860</v>
      </c>
      <c r="Q2196" s="1" t="str">
        <f>_xlfn.XLOOKUP(tblSales[[#This Row],[Channel Code]],tblChannels[Channel Code],tblChannels[Channel Name],"")</f>
        <v>In-store</v>
      </c>
      <c r="R2196" s="1">
        <f>MONTH(tblSales[[#This Row],[Date]])</f>
        <v>5</v>
      </c>
    </row>
    <row r="2197" spans="2:18" x14ac:dyDescent="0.35">
      <c r="B2197" s="113">
        <v>46154</v>
      </c>
      <c r="C2197" s="4" t="s">
        <v>1455</v>
      </c>
      <c r="D2197" s="4" t="s">
        <v>4606</v>
      </c>
      <c r="E2197" s="1" t="str">
        <f>_xlfn.XLOOKUP(tblSales[[#This Row],[Customer ID]],tblCustomers[Customer ID],tblCustomers[Customer Name],"⚠ Unknown")</f>
        <v>PT Arunika Digital Kreatif</v>
      </c>
      <c r="F2197" s="4" t="s">
        <v>9</v>
      </c>
      <c r="G2197" s="1" t="str">
        <f>_xlfn.XLOOKUP(tblSales[[#This Row],[Product Code]],tblProducts[Code],tblProducts[Product / Service Name],"⚠ Unknown")</f>
        <v>Casual Shirt</v>
      </c>
      <c r="H2197" s="1" t="str">
        <f>_xlfn.XLOOKUP(tblSales[[#This Row],[Product Code]],tblProducts[Code],tblProducts[Category],"")</f>
        <v>Apparel &amp; Footwear</v>
      </c>
      <c r="I2197" s="4">
        <v>96</v>
      </c>
      <c r="J2197" s="5">
        <f>_xlfn.XLOOKUP(tblSales[[#This Row],[Product Code]],tblProducts[Code],tblProducts[Selling Price (excl. VAT)],0)</f>
        <v>120000</v>
      </c>
      <c r="K2197" s="5">
        <f>tblSales[[#This Row],[Qty]]*tblSales[[#This Row],[Unit Price]]</f>
        <v>11520000</v>
      </c>
      <c r="L2197" s="5">
        <f>ROUND(tblSales[[#This Row],[DPP (excl. VAT)]]*VATEff,0)</f>
        <v>1267200</v>
      </c>
      <c r="M2197" s="5">
        <f>tblSales[[#This Row],[DPP (excl. VAT)]]+tblSales[[#This Row],[Output VAT]]</f>
        <v>12787200</v>
      </c>
      <c r="N2197" s="5">
        <f>tblSales[[#This Row],[Qty]]*_xlfn.XLOOKUP(tblSales[[#This Row],[Product Code]],tblProducts[Code],tblProducts[Unit Cost],0)</f>
        <v>6912000</v>
      </c>
      <c r="O2197" s="4" t="s">
        <v>4867</v>
      </c>
      <c r="P2197" s="4" t="s">
        <v>4860</v>
      </c>
      <c r="Q2197" s="1" t="str">
        <f>_xlfn.XLOOKUP(tblSales[[#This Row],[Channel Code]],tblChannels[Channel Code],tblChannels[Channel Name],"")</f>
        <v>In-store</v>
      </c>
      <c r="R2197" s="1">
        <f>MONTH(tblSales[[#This Row],[Date]])</f>
        <v>5</v>
      </c>
    </row>
    <row r="2198" spans="2:18" x14ac:dyDescent="0.35">
      <c r="B2198" s="113">
        <v>46154</v>
      </c>
      <c r="C2198" s="4" t="s">
        <v>1456</v>
      </c>
      <c r="D2198" s="4" t="s">
        <v>4620</v>
      </c>
      <c r="E2198" s="1" t="str">
        <f>_xlfn.XLOOKUP(tblSales[[#This Row],[Customer ID]],tblCustomers[Customer ID],tblCustomers[Customer Name],"⚠ Unknown")</f>
        <v>CV Sumber Rejeki Utama</v>
      </c>
      <c r="F2198" s="4" t="s">
        <v>9</v>
      </c>
      <c r="G2198" s="1" t="str">
        <f>_xlfn.XLOOKUP(tblSales[[#This Row],[Product Code]],tblProducts[Code],tblProducts[Product / Service Name],"⚠ Unknown")</f>
        <v>Casual Shirt</v>
      </c>
      <c r="H2198" s="1" t="str">
        <f>_xlfn.XLOOKUP(tblSales[[#This Row],[Product Code]],tblProducts[Code],tblProducts[Category],"")</f>
        <v>Apparel &amp; Footwear</v>
      </c>
      <c r="I2198" s="4">
        <v>56</v>
      </c>
      <c r="J2198" s="5">
        <f>_xlfn.XLOOKUP(tblSales[[#This Row],[Product Code]],tblProducts[Code],tblProducts[Selling Price (excl. VAT)],0)</f>
        <v>120000</v>
      </c>
      <c r="K2198" s="5">
        <f>tblSales[[#This Row],[Qty]]*tblSales[[#This Row],[Unit Price]]</f>
        <v>6720000</v>
      </c>
      <c r="L2198" s="5">
        <f>ROUND(tblSales[[#This Row],[DPP (excl. VAT)]]*VATEff,0)</f>
        <v>739200</v>
      </c>
      <c r="M2198" s="5">
        <f>tblSales[[#This Row],[DPP (excl. VAT)]]+tblSales[[#This Row],[Output VAT]]</f>
        <v>7459200</v>
      </c>
      <c r="N2198" s="5">
        <f>tblSales[[#This Row],[Qty]]*_xlfn.XLOOKUP(tblSales[[#This Row],[Product Code]],tblProducts[Code],tblProducts[Unit Cost],0)</f>
        <v>4032000</v>
      </c>
      <c r="O2198" s="4" t="s">
        <v>4867</v>
      </c>
      <c r="P2198" s="4" t="s">
        <v>4862</v>
      </c>
      <c r="Q2198" s="1" t="str">
        <f>_xlfn.XLOOKUP(tblSales[[#This Row],[Channel Code]],tblChannels[Channel Code],tblChannels[Channel Name],"")</f>
        <v>Website &amp; Social Media</v>
      </c>
      <c r="R2198" s="1">
        <f>MONTH(tblSales[[#This Row],[Date]])</f>
        <v>5</v>
      </c>
    </row>
    <row r="2199" spans="2:18" x14ac:dyDescent="0.35">
      <c r="B2199" s="113">
        <v>46154</v>
      </c>
      <c r="C2199" s="4" t="s">
        <v>1457</v>
      </c>
      <c r="D2199" s="4" t="s">
        <v>4568</v>
      </c>
      <c r="E2199" s="1" t="str">
        <f>_xlfn.XLOOKUP(tblSales[[#This Row],[Customer ID]],tblCustomers[Customer ID],tblCustomers[Customer Name],"⚠ Unknown")</f>
        <v>Walk-in Customer</v>
      </c>
      <c r="F2199" s="4" t="s">
        <v>12</v>
      </c>
      <c r="G2199" s="1" t="str">
        <f>_xlfn.XLOOKUP(tblSales[[#This Row],[Product Code]],tblProducts[Code],tblProducts[Product / Service Name],"⚠ Unknown")</f>
        <v>Bomber Jacket</v>
      </c>
      <c r="H2199" s="1" t="str">
        <f>_xlfn.XLOOKUP(tblSales[[#This Row],[Product Code]],tblProducts[Code],tblProducts[Category],"")</f>
        <v>Apparel &amp; Footwear</v>
      </c>
      <c r="I2199" s="4">
        <v>3</v>
      </c>
      <c r="J2199" s="5">
        <f>_xlfn.XLOOKUP(tblSales[[#This Row],[Product Code]],tblProducts[Code],tblProducts[Selling Price (excl. VAT)],0)</f>
        <v>350000</v>
      </c>
      <c r="K2199" s="5">
        <f>tblSales[[#This Row],[Qty]]*tblSales[[#This Row],[Unit Price]]</f>
        <v>1050000</v>
      </c>
      <c r="L2199" s="5">
        <f>ROUND(tblSales[[#This Row],[DPP (excl. VAT)]]*VATEff,0)</f>
        <v>115500</v>
      </c>
      <c r="M2199" s="5">
        <f>tblSales[[#This Row],[DPP (excl. VAT)]]+tblSales[[#This Row],[Output VAT]]</f>
        <v>1165500</v>
      </c>
      <c r="N2199" s="5">
        <f>tblSales[[#This Row],[Qty]]*_xlfn.XLOOKUP(tblSales[[#This Row],[Product Code]],tblProducts[Code],tblProducts[Unit Cost],0)</f>
        <v>630000</v>
      </c>
      <c r="O2199" s="4" t="s">
        <v>4865</v>
      </c>
      <c r="P2199" s="4" t="s">
        <v>4860</v>
      </c>
      <c r="Q2199" s="1" t="str">
        <f>_xlfn.XLOOKUP(tblSales[[#This Row],[Channel Code]],tblChannels[Channel Code],tblChannels[Channel Name],"")</f>
        <v>In-store</v>
      </c>
      <c r="R2199" s="1">
        <f>MONTH(tblSales[[#This Row],[Date]])</f>
        <v>5</v>
      </c>
    </row>
    <row r="2200" spans="2:18" x14ac:dyDescent="0.35">
      <c r="B2200" s="113">
        <v>46154</v>
      </c>
      <c r="C2200" s="4" t="s">
        <v>1458</v>
      </c>
      <c r="D2200" s="4" t="s">
        <v>4599</v>
      </c>
      <c r="E2200" s="1" t="str">
        <f>_xlfn.XLOOKUP(tblSales[[#This Row],[Customer ID]],tblCustomers[Customer ID],tblCustomers[Customer Name],"⚠ Unknown")</f>
        <v>PT Samudra Jaya Logistik</v>
      </c>
      <c r="F2200" s="4" t="s">
        <v>15</v>
      </c>
      <c r="G2200" s="1" t="str">
        <f>_xlfn.XLOOKUP(tblSales[[#This Row],[Product Code]],tblProducts[Code],tblProducts[Product / Service Name],"⚠ Unknown")</f>
        <v>Wireless Earbuds Pro</v>
      </c>
      <c r="H2200" s="1" t="str">
        <f>_xlfn.XLOOKUP(tblSales[[#This Row],[Product Code]],tblProducts[Code],tblProducts[Category],"")</f>
        <v>Bags &amp; Gadgets</v>
      </c>
      <c r="I2200" s="4">
        <v>8</v>
      </c>
      <c r="J2200" s="5">
        <f>_xlfn.XLOOKUP(tblSales[[#This Row],[Product Code]],tblProducts[Code],tblProducts[Selling Price (excl. VAT)],0)</f>
        <v>1250000</v>
      </c>
      <c r="K2200" s="5">
        <f>tblSales[[#This Row],[Qty]]*tblSales[[#This Row],[Unit Price]]</f>
        <v>10000000</v>
      </c>
      <c r="L2200" s="5">
        <f>ROUND(tblSales[[#This Row],[DPP (excl. VAT)]]*VATEff,0)</f>
        <v>1100000</v>
      </c>
      <c r="M2200" s="5">
        <f>tblSales[[#This Row],[DPP (excl. VAT)]]+tblSales[[#This Row],[Output VAT]]</f>
        <v>11100000</v>
      </c>
      <c r="N2200" s="5">
        <f>tblSales[[#This Row],[Qty]]*_xlfn.XLOOKUP(tblSales[[#This Row],[Product Code]],tblProducts[Code],tblProducts[Unit Cost],0)</f>
        <v>6560000</v>
      </c>
      <c r="O2200" s="4" t="s">
        <v>4867</v>
      </c>
      <c r="P2200" s="4" t="s">
        <v>4862</v>
      </c>
      <c r="Q2200" s="1" t="str">
        <f>_xlfn.XLOOKUP(tblSales[[#This Row],[Channel Code]],tblChannels[Channel Code],tblChannels[Channel Name],"")</f>
        <v>Website &amp; Social Media</v>
      </c>
      <c r="R2200" s="1">
        <f>MONTH(tblSales[[#This Row],[Date]])</f>
        <v>5</v>
      </c>
    </row>
    <row r="2201" spans="2:18" x14ac:dyDescent="0.35">
      <c r="B2201" s="113">
        <v>46154</v>
      </c>
      <c r="C2201" s="4" t="s">
        <v>1458</v>
      </c>
      <c r="D2201" s="4" t="s">
        <v>4599</v>
      </c>
      <c r="E2201" s="1" t="str">
        <f>_xlfn.XLOOKUP(tblSales[[#This Row],[Customer ID]],tblCustomers[Customer ID],tblCustomers[Customer Name],"⚠ Unknown")</f>
        <v>PT Samudra Jaya Logistik</v>
      </c>
      <c r="F2201" s="4" t="s">
        <v>10</v>
      </c>
      <c r="G2201" s="1" t="str">
        <f>_xlfn.XLOOKUP(tblSales[[#This Row],[Product Code]],tblProducts[Code],tblProducts[Product / Service Name],"⚠ Unknown")</f>
        <v>Chino Pants</v>
      </c>
      <c r="H2201" s="1" t="str">
        <f>_xlfn.XLOOKUP(tblSales[[#This Row],[Product Code]],tblProducts[Code],tblProducts[Category],"")</f>
        <v>Apparel &amp; Footwear</v>
      </c>
      <c r="I2201" s="4">
        <v>64</v>
      </c>
      <c r="J2201" s="5">
        <f>_xlfn.XLOOKUP(tblSales[[#This Row],[Product Code]],tblProducts[Code],tblProducts[Selling Price (excl. VAT)],0)</f>
        <v>150000</v>
      </c>
      <c r="K2201" s="5">
        <f>tblSales[[#This Row],[Qty]]*tblSales[[#This Row],[Unit Price]]</f>
        <v>9600000</v>
      </c>
      <c r="L2201" s="5">
        <f>ROUND(tblSales[[#This Row],[DPP (excl. VAT)]]*VATEff,0)</f>
        <v>1056000</v>
      </c>
      <c r="M2201" s="5">
        <f>tblSales[[#This Row],[DPP (excl. VAT)]]+tblSales[[#This Row],[Output VAT]]</f>
        <v>10656000</v>
      </c>
      <c r="N2201" s="5">
        <f>tblSales[[#This Row],[Qty]]*_xlfn.XLOOKUP(tblSales[[#This Row],[Product Code]],tblProducts[Code],tblProducts[Unit Cost],0)</f>
        <v>5632000</v>
      </c>
      <c r="O2201" s="4" t="s">
        <v>4867</v>
      </c>
      <c r="P2201" s="4" t="s">
        <v>4862</v>
      </c>
      <c r="Q2201" s="1" t="str">
        <f>_xlfn.XLOOKUP(tblSales[[#This Row],[Channel Code]],tblChannels[Channel Code],tblChannels[Channel Name],"")</f>
        <v>Website &amp; Social Media</v>
      </c>
      <c r="R2201" s="1">
        <f>MONTH(tblSales[[#This Row],[Date]])</f>
        <v>5</v>
      </c>
    </row>
    <row r="2202" spans="2:18" x14ac:dyDescent="0.35">
      <c r="B2202" s="113">
        <v>46155</v>
      </c>
      <c r="C2202" s="4" t="s">
        <v>1459</v>
      </c>
      <c r="D2202" s="4" t="s">
        <v>4606</v>
      </c>
      <c r="E2202" s="1" t="str">
        <f>_xlfn.XLOOKUP(tblSales[[#This Row],[Customer ID]],tblCustomers[Customer ID],tblCustomers[Customer Name],"⚠ Unknown")</f>
        <v>PT Arunika Digital Kreatif</v>
      </c>
      <c r="F2202" s="4" t="s">
        <v>11</v>
      </c>
      <c r="G2202" s="1" t="str">
        <f>_xlfn.XLOOKUP(tblSales[[#This Row],[Product Code]],tblProducts[Code],tblProducts[Product / Service Name],"⚠ Unknown")</f>
        <v>Sneakers</v>
      </c>
      <c r="H2202" s="1" t="str">
        <f>_xlfn.XLOOKUP(tblSales[[#This Row],[Product Code]],tblProducts[Code],tblProducts[Category],"")</f>
        <v>Apparel &amp; Footwear</v>
      </c>
      <c r="I2202" s="4">
        <v>24</v>
      </c>
      <c r="J2202" s="5">
        <f>_xlfn.XLOOKUP(tblSales[[#This Row],[Product Code]],tblProducts[Code],tblProducts[Selling Price (excl. VAT)],0)</f>
        <v>250000</v>
      </c>
      <c r="K2202" s="5">
        <f>tblSales[[#This Row],[Qty]]*tblSales[[#This Row],[Unit Price]]</f>
        <v>6000000</v>
      </c>
      <c r="L2202" s="5">
        <f>ROUND(tblSales[[#This Row],[DPP (excl. VAT)]]*VATEff,0)</f>
        <v>660000</v>
      </c>
      <c r="M2202" s="5">
        <f>tblSales[[#This Row],[DPP (excl. VAT)]]+tblSales[[#This Row],[Output VAT]]</f>
        <v>6660000</v>
      </c>
      <c r="N2202" s="5">
        <f>tblSales[[#This Row],[Qty]]*_xlfn.XLOOKUP(tblSales[[#This Row],[Product Code]],tblProducts[Code],tblProducts[Unit Cost],0)</f>
        <v>3720000</v>
      </c>
      <c r="O2202" s="4" t="s">
        <v>4867</v>
      </c>
      <c r="P2202" s="4" t="s">
        <v>4860</v>
      </c>
      <c r="Q2202" s="1" t="str">
        <f>_xlfn.XLOOKUP(tblSales[[#This Row],[Channel Code]],tblChannels[Channel Code],tblChannels[Channel Name],"")</f>
        <v>In-store</v>
      </c>
      <c r="R2202" s="1">
        <f>MONTH(tblSales[[#This Row],[Date]])</f>
        <v>5</v>
      </c>
    </row>
    <row r="2203" spans="2:18" x14ac:dyDescent="0.35">
      <c r="B2203" s="113">
        <v>46155</v>
      </c>
      <c r="C2203" s="4" t="s">
        <v>1460</v>
      </c>
      <c r="D2203" s="4" t="s">
        <v>4568</v>
      </c>
      <c r="E2203" s="1" t="str">
        <f>_xlfn.XLOOKUP(tblSales[[#This Row],[Customer ID]],tblCustomers[Customer ID],tblCustomers[Customer Name],"⚠ Unknown")</f>
        <v>Walk-in Customer</v>
      </c>
      <c r="F2203" s="4" t="s">
        <v>10</v>
      </c>
      <c r="G2203" s="1" t="str">
        <f>_xlfn.XLOOKUP(tblSales[[#This Row],[Product Code]],tblProducts[Code],tblProducts[Product / Service Name],"⚠ Unknown")</f>
        <v>Chino Pants</v>
      </c>
      <c r="H2203" s="1" t="str">
        <f>_xlfn.XLOOKUP(tblSales[[#This Row],[Product Code]],tblProducts[Code],tblProducts[Category],"")</f>
        <v>Apparel &amp; Footwear</v>
      </c>
      <c r="I2203" s="4">
        <v>9</v>
      </c>
      <c r="J2203" s="5">
        <f>_xlfn.XLOOKUP(tblSales[[#This Row],[Product Code]],tblProducts[Code],tblProducts[Selling Price (excl. VAT)],0)</f>
        <v>150000</v>
      </c>
      <c r="K2203" s="5">
        <f>tblSales[[#This Row],[Qty]]*tblSales[[#This Row],[Unit Price]]</f>
        <v>1350000</v>
      </c>
      <c r="L2203" s="5">
        <f>ROUND(tblSales[[#This Row],[DPP (excl. VAT)]]*VATEff,0)</f>
        <v>148500</v>
      </c>
      <c r="M2203" s="5">
        <f>tblSales[[#This Row],[DPP (excl. VAT)]]+tblSales[[#This Row],[Output VAT]]</f>
        <v>1498500</v>
      </c>
      <c r="N2203" s="5">
        <f>tblSales[[#This Row],[Qty]]*_xlfn.XLOOKUP(tblSales[[#This Row],[Product Code]],tblProducts[Code],tblProducts[Unit Cost],0)</f>
        <v>792000</v>
      </c>
      <c r="O2203" s="4" t="s">
        <v>4866</v>
      </c>
      <c r="P2203" s="4" t="s">
        <v>4862</v>
      </c>
      <c r="Q2203" s="1" t="str">
        <f>_xlfn.XLOOKUP(tblSales[[#This Row],[Channel Code]],tblChannels[Channel Code],tblChannels[Channel Name],"")</f>
        <v>Website &amp; Social Media</v>
      </c>
      <c r="R2203" s="1">
        <f>MONTH(tblSales[[#This Row],[Date]])</f>
        <v>5</v>
      </c>
    </row>
    <row r="2204" spans="2:18" x14ac:dyDescent="0.35">
      <c r="B2204" s="113">
        <v>46155</v>
      </c>
      <c r="C2204" s="4" t="s">
        <v>1461</v>
      </c>
      <c r="D2204" s="4" t="s">
        <v>4606</v>
      </c>
      <c r="E2204" s="1" t="str">
        <f>_xlfn.XLOOKUP(tblSales[[#This Row],[Customer ID]],tblCustomers[Customer ID],tblCustomers[Customer Name],"⚠ Unknown")</f>
        <v>PT Arunika Digital Kreatif</v>
      </c>
      <c r="F2204" s="4" t="s">
        <v>9</v>
      </c>
      <c r="G2204" s="1" t="str">
        <f>_xlfn.XLOOKUP(tblSales[[#This Row],[Product Code]],tblProducts[Code],tblProducts[Product / Service Name],"⚠ Unknown")</f>
        <v>Casual Shirt</v>
      </c>
      <c r="H2204" s="1" t="str">
        <f>_xlfn.XLOOKUP(tblSales[[#This Row],[Product Code]],tblProducts[Code],tblProducts[Category],"")</f>
        <v>Apparel &amp; Footwear</v>
      </c>
      <c r="I2204" s="4">
        <v>32</v>
      </c>
      <c r="J2204" s="5">
        <f>_xlfn.XLOOKUP(tblSales[[#This Row],[Product Code]],tblProducts[Code],tblProducts[Selling Price (excl. VAT)],0)</f>
        <v>120000</v>
      </c>
      <c r="K2204" s="5">
        <f>tblSales[[#This Row],[Qty]]*tblSales[[#This Row],[Unit Price]]</f>
        <v>3840000</v>
      </c>
      <c r="L2204" s="5">
        <f>ROUND(tblSales[[#This Row],[DPP (excl. VAT)]]*VATEff,0)</f>
        <v>422400</v>
      </c>
      <c r="M2204" s="5">
        <f>tblSales[[#This Row],[DPP (excl. VAT)]]+tblSales[[#This Row],[Output VAT]]</f>
        <v>4262400</v>
      </c>
      <c r="N2204" s="5">
        <f>tblSales[[#This Row],[Qty]]*_xlfn.XLOOKUP(tblSales[[#This Row],[Product Code]],tblProducts[Code],tblProducts[Unit Cost],0)</f>
        <v>2304000</v>
      </c>
      <c r="O2204" s="4" t="s">
        <v>4867</v>
      </c>
      <c r="P2204" s="4" t="s">
        <v>4860</v>
      </c>
      <c r="Q2204" s="1" t="str">
        <f>_xlfn.XLOOKUP(tblSales[[#This Row],[Channel Code]],tblChannels[Channel Code],tblChannels[Channel Name],"")</f>
        <v>In-store</v>
      </c>
      <c r="R2204" s="1">
        <f>MONTH(tblSales[[#This Row],[Date]])</f>
        <v>5</v>
      </c>
    </row>
    <row r="2205" spans="2:18" x14ac:dyDescent="0.35">
      <c r="B2205" s="113">
        <v>46155</v>
      </c>
      <c r="C2205" s="4" t="s">
        <v>1461</v>
      </c>
      <c r="D2205" s="4" t="s">
        <v>4606</v>
      </c>
      <c r="E2205" s="1" t="str">
        <f>_xlfn.XLOOKUP(tblSales[[#This Row],[Customer ID]],tblCustomers[Customer ID],tblCustomers[Customer Name],"⚠ Unknown")</f>
        <v>PT Arunika Digital Kreatif</v>
      </c>
      <c r="F2205" s="4" t="s">
        <v>11</v>
      </c>
      <c r="G2205" s="1" t="str">
        <f>_xlfn.XLOOKUP(tblSales[[#This Row],[Product Code]],tblProducts[Code],tblProducts[Product / Service Name],"⚠ Unknown")</f>
        <v>Sneakers</v>
      </c>
      <c r="H2205" s="1" t="str">
        <f>_xlfn.XLOOKUP(tblSales[[#This Row],[Product Code]],tblProducts[Code],tblProducts[Category],"")</f>
        <v>Apparel &amp; Footwear</v>
      </c>
      <c r="I2205" s="4">
        <v>8</v>
      </c>
      <c r="J2205" s="5">
        <f>_xlfn.XLOOKUP(tblSales[[#This Row],[Product Code]],tblProducts[Code],tblProducts[Selling Price (excl. VAT)],0)</f>
        <v>250000</v>
      </c>
      <c r="K2205" s="5">
        <f>tblSales[[#This Row],[Qty]]*tblSales[[#This Row],[Unit Price]]</f>
        <v>2000000</v>
      </c>
      <c r="L2205" s="5">
        <f>ROUND(tblSales[[#This Row],[DPP (excl. VAT)]]*VATEff,0)</f>
        <v>220000</v>
      </c>
      <c r="M2205" s="5">
        <f>tblSales[[#This Row],[DPP (excl. VAT)]]+tblSales[[#This Row],[Output VAT]]</f>
        <v>2220000</v>
      </c>
      <c r="N2205" s="5">
        <f>tblSales[[#This Row],[Qty]]*_xlfn.XLOOKUP(tblSales[[#This Row],[Product Code]],tblProducts[Code],tblProducts[Unit Cost],0)</f>
        <v>1240000</v>
      </c>
      <c r="O2205" s="4" t="s">
        <v>4867</v>
      </c>
      <c r="P2205" s="4" t="s">
        <v>4860</v>
      </c>
      <c r="Q2205" s="1" t="str">
        <f>_xlfn.XLOOKUP(tblSales[[#This Row],[Channel Code]],tblChannels[Channel Code],tblChannels[Channel Name],"")</f>
        <v>In-store</v>
      </c>
      <c r="R2205" s="1">
        <f>MONTH(tblSales[[#This Row],[Date]])</f>
        <v>5</v>
      </c>
    </row>
    <row r="2206" spans="2:18" x14ac:dyDescent="0.35">
      <c r="B2206" s="113">
        <v>46155</v>
      </c>
      <c r="C2206" s="4" t="s">
        <v>1461</v>
      </c>
      <c r="D2206" s="4" t="s">
        <v>4606</v>
      </c>
      <c r="E2206" s="1" t="str">
        <f>_xlfn.XLOOKUP(tblSales[[#This Row],[Customer ID]],tblCustomers[Customer ID],tblCustomers[Customer Name],"⚠ Unknown")</f>
        <v>PT Arunika Digital Kreatif</v>
      </c>
      <c r="F2206" s="4" t="s">
        <v>6</v>
      </c>
      <c r="G2206" s="1" t="str">
        <f>_xlfn.XLOOKUP(tblSales[[#This Row],[Product Code]],tblProducts[Code],tblProducts[Product / Service Name],"⚠ Unknown")</f>
        <v>Socks &amp; Accessories</v>
      </c>
      <c r="H2206" s="1" t="str">
        <f>_xlfn.XLOOKUP(tblSales[[#This Row],[Product Code]],tblProducts[Code],tblProducts[Category],"")</f>
        <v>Accessories &amp; Basics</v>
      </c>
      <c r="I2206" s="4">
        <v>88</v>
      </c>
      <c r="J2206" s="5">
        <f>_xlfn.XLOOKUP(tblSales[[#This Row],[Product Code]],tblProducts[Code],tblProducts[Selling Price (excl. VAT)],0)</f>
        <v>45000</v>
      </c>
      <c r="K2206" s="5">
        <f>tblSales[[#This Row],[Qty]]*tblSales[[#This Row],[Unit Price]]</f>
        <v>3960000</v>
      </c>
      <c r="L2206" s="5">
        <f>ROUND(tblSales[[#This Row],[DPP (excl. VAT)]]*VATEff,0)</f>
        <v>435600</v>
      </c>
      <c r="M2206" s="5">
        <f>tblSales[[#This Row],[DPP (excl. VAT)]]+tblSales[[#This Row],[Output VAT]]</f>
        <v>4395600</v>
      </c>
      <c r="N2206" s="5">
        <f>tblSales[[#This Row],[Qty]]*_xlfn.XLOOKUP(tblSales[[#This Row],[Product Code]],tblProducts[Code],tblProducts[Unit Cost],0)</f>
        <v>2112000</v>
      </c>
      <c r="O2206" s="4" t="s">
        <v>4867</v>
      </c>
      <c r="P2206" s="4" t="s">
        <v>4860</v>
      </c>
      <c r="Q2206" s="1" t="str">
        <f>_xlfn.XLOOKUP(tblSales[[#This Row],[Channel Code]],tblChannels[Channel Code],tblChannels[Channel Name],"")</f>
        <v>In-store</v>
      </c>
      <c r="R2206" s="1">
        <f>MONTH(tblSales[[#This Row],[Date]])</f>
        <v>5</v>
      </c>
    </row>
    <row r="2207" spans="2:18" x14ac:dyDescent="0.35">
      <c r="B2207" s="113">
        <v>46155</v>
      </c>
      <c r="C2207" s="4" t="s">
        <v>1462</v>
      </c>
      <c r="D2207" s="4" t="s">
        <v>4568</v>
      </c>
      <c r="E2207" s="1" t="str">
        <f>_xlfn.XLOOKUP(tblSales[[#This Row],[Customer ID]],tblCustomers[Customer ID],tblCustomers[Customer Name],"⚠ Unknown")</f>
        <v>Walk-in Customer</v>
      </c>
      <c r="F2207" s="4" t="s">
        <v>8</v>
      </c>
      <c r="G2207" s="1" t="str">
        <f>_xlfn.XLOOKUP(tblSales[[#This Row],[Product Code]],tblProducts[Code],tblProducts[Product / Service Name],"⚠ Unknown")</f>
        <v>Casual Shorts</v>
      </c>
      <c r="H2207" s="1" t="str">
        <f>_xlfn.XLOOKUP(tblSales[[#This Row],[Product Code]],tblProducts[Code],tblProducts[Category],"")</f>
        <v>Accessories &amp; Basics</v>
      </c>
      <c r="I2207" s="4">
        <v>12</v>
      </c>
      <c r="J2207" s="5">
        <f>_xlfn.XLOOKUP(tblSales[[#This Row],[Product Code]],tblProducts[Code],tblProducts[Selling Price (excl. VAT)],0)</f>
        <v>85000</v>
      </c>
      <c r="K2207" s="5">
        <f>tblSales[[#This Row],[Qty]]*tblSales[[#This Row],[Unit Price]]</f>
        <v>1020000</v>
      </c>
      <c r="L2207" s="5">
        <f>ROUND(tblSales[[#This Row],[DPP (excl. VAT)]]*VATEff,0)</f>
        <v>112200</v>
      </c>
      <c r="M2207" s="5">
        <f>tblSales[[#This Row],[DPP (excl. VAT)]]+tblSales[[#This Row],[Output VAT]]</f>
        <v>1132200</v>
      </c>
      <c r="N2207" s="5">
        <f>tblSales[[#This Row],[Qty]]*_xlfn.XLOOKUP(tblSales[[#This Row],[Product Code]],tblProducts[Code],tblProducts[Unit Cost],0)</f>
        <v>600000</v>
      </c>
      <c r="O2207" s="4" t="s">
        <v>4865</v>
      </c>
      <c r="P2207" s="4" t="s">
        <v>4860</v>
      </c>
      <c r="Q2207" s="1" t="str">
        <f>_xlfn.XLOOKUP(tblSales[[#This Row],[Channel Code]],tblChannels[Channel Code],tblChannels[Channel Name],"")</f>
        <v>In-store</v>
      </c>
      <c r="R2207" s="1">
        <f>MONTH(tblSales[[#This Row],[Date]])</f>
        <v>5</v>
      </c>
    </row>
    <row r="2208" spans="2:18" x14ac:dyDescent="0.35">
      <c r="B2208" s="113">
        <v>46155</v>
      </c>
      <c r="C2208" s="4" t="s">
        <v>1463</v>
      </c>
      <c r="D2208" s="4" t="s">
        <v>4585</v>
      </c>
      <c r="E2208" s="1" t="str">
        <f>_xlfn.XLOOKUP(tblSales[[#This Row],[Customer ID]],tblCustomers[Customer ID],tblCustomers[Customer Name],"⚠ Unknown")</f>
        <v>CV Mitra Karya Mandiri</v>
      </c>
      <c r="F2208" s="4" t="s">
        <v>15</v>
      </c>
      <c r="G2208" s="1" t="str">
        <f>_xlfn.XLOOKUP(tblSales[[#This Row],[Product Code]],tblProducts[Code],tblProducts[Product / Service Name],"⚠ Unknown")</f>
        <v>Wireless Earbuds Pro</v>
      </c>
      <c r="H2208" s="1" t="str">
        <f>_xlfn.XLOOKUP(tblSales[[#This Row],[Product Code]],tblProducts[Code],tblProducts[Category],"")</f>
        <v>Bags &amp; Gadgets</v>
      </c>
      <c r="I2208" s="4">
        <v>24</v>
      </c>
      <c r="J2208" s="5">
        <f>_xlfn.XLOOKUP(tblSales[[#This Row],[Product Code]],tblProducts[Code],tblProducts[Selling Price (excl. VAT)],0)</f>
        <v>1250000</v>
      </c>
      <c r="K2208" s="5">
        <f>tblSales[[#This Row],[Qty]]*tblSales[[#This Row],[Unit Price]]</f>
        <v>30000000</v>
      </c>
      <c r="L2208" s="5">
        <f>ROUND(tblSales[[#This Row],[DPP (excl. VAT)]]*VATEff,0)</f>
        <v>3300000</v>
      </c>
      <c r="M2208" s="5">
        <f>tblSales[[#This Row],[DPP (excl. VAT)]]+tblSales[[#This Row],[Output VAT]]</f>
        <v>33300000</v>
      </c>
      <c r="N2208" s="5">
        <f>tblSales[[#This Row],[Qty]]*_xlfn.XLOOKUP(tblSales[[#This Row],[Product Code]],tblProducts[Code],tblProducts[Unit Cost],0)</f>
        <v>19680000</v>
      </c>
      <c r="O2208" s="4" t="s">
        <v>4867</v>
      </c>
      <c r="P2208" s="4" t="s">
        <v>4860</v>
      </c>
      <c r="Q2208" s="1" t="str">
        <f>_xlfn.XLOOKUP(tblSales[[#This Row],[Channel Code]],tblChannels[Channel Code],tblChannels[Channel Name],"")</f>
        <v>In-store</v>
      </c>
      <c r="R2208" s="1">
        <f>MONTH(tblSales[[#This Row],[Date]])</f>
        <v>5</v>
      </c>
    </row>
    <row r="2209" spans="2:18" x14ac:dyDescent="0.35">
      <c r="B2209" s="113">
        <v>46155</v>
      </c>
      <c r="C2209" s="4" t="s">
        <v>1464</v>
      </c>
      <c r="D2209" s="4" t="s">
        <v>4568</v>
      </c>
      <c r="E2209" s="1" t="str">
        <f>_xlfn.XLOOKUP(tblSales[[#This Row],[Customer ID]],tblCustomers[Customer ID],tblCustomers[Customer Name],"⚠ Unknown")</f>
        <v>Walk-in Customer</v>
      </c>
      <c r="F2209" s="4" t="s">
        <v>6</v>
      </c>
      <c r="G2209" s="1" t="str">
        <f>_xlfn.XLOOKUP(tblSales[[#This Row],[Product Code]],tblProducts[Code],tblProducts[Product / Service Name],"⚠ Unknown")</f>
        <v>Socks &amp; Accessories</v>
      </c>
      <c r="H2209" s="1" t="str">
        <f>_xlfn.XLOOKUP(tblSales[[#This Row],[Product Code]],tblProducts[Code],tblProducts[Category],"")</f>
        <v>Accessories &amp; Basics</v>
      </c>
      <c r="I2209" s="4">
        <v>6</v>
      </c>
      <c r="J2209" s="5">
        <f>_xlfn.XLOOKUP(tblSales[[#This Row],[Product Code]],tblProducts[Code],tblProducts[Selling Price (excl. VAT)],0)</f>
        <v>45000</v>
      </c>
      <c r="K2209" s="5">
        <f>tblSales[[#This Row],[Qty]]*tblSales[[#This Row],[Unit Price]]</f>
        <v>270000</v>
      </c>
      <c r="L2209" s="5">
        <f>ROUND(tblSales[[#This Row],[DPP (excl. VAT)]]*VATEff,0)</f>
        <v>29700</v>
      </c>
      <c r="M2209" s="5">
        <f>tblSales[[#This Row],[DPP (excl. VAT)]]+tblSales[[#This Row],[Output VAT]]</f>
        <v>299700</v>
      </c>
      <c r="N2209" s="5">
        <f>tblSales[[#This Row],[Qty]]*_xlfn.XLOOKUP(tblSales[[#This Row],[Product Code]],tblProducts[Code],tblProducts[Unit Cost],0)</f>
        <v>144000</v>
      </c>
      <c r="O2209" s="4" t="s">
        <v>4866</v>
      </c>
      <c r="P2209" s="4" t="s">
        <v>4860</v>
      </c>
      <c r="Q2209" s="1" t="str">
        <f>_xlfn.XLOOKUP(tblSales[[#This Row],[Channel Code]],tblChannels[Channel Code],tblChannels[Channel Name],"")</f>
        <v>In-store</v>
      </c>
      <c r="R2209" s="1">
        <f>MONTH(tblSales[[#This Row],[Date]])</f>
        <v>5</v>
      </c>
    </row>
    <row r="2210" spans="2:18" x14ac:dyDescent="0.35">
      <c r="B2210" s="113">
        <v>46155</v>
      </c>
      <c r="C2210" s="4" t="s">
        <v>1464</v>
      </c>
      <c r="D2210" s="4" t="s">
        <v>4568</v>
      </c>
      <c r="E2210" s="1" t="str">
        <f>_xlfn.XLOOKUP(tblSales[[#This Row],[Customer ID]],tblCustomers[Customer ID],tblCustomers[Customer Name],"⚠ Unknown")</f>
        <v>Walk-in Customer</v>
      </c>
      <c r="F2210" s="4" t="s">
        <v>7</v>
      </c>
      <c r="G2210" s="1" t="str">
        <f>_xlfn.XLOOKUP(tblSales[[#This Row],[Product Code]],tblProducts[Code],tblProducts[Product / Service Name],"⚠ Unknown")</f>
        <v>Premium Basic T-shirt</v>
      </c>
      <c r="H2210" s="1" t="str">
        <f>_xlfn.XLOOKUP(tblSales[[#This Row],[Product Code]],tblProducts[Code],tblProducts[Category],"")</f>
        <v>Accessories &amp; Basics</v>
      </c>
      <c r="I2210" s="4">
        <v>2</v>
      </c>
      <c r="J2210" s="5">
        <f>_xlfn.XLOOKUP(tblSales[[#This Row],[Product Code]],tblProducts[Code],tblProducts[Selling Price (excl. VAT)],0)</f>
        <v>65000</v>
      </c>
      <c r="K2210" s="5">
        <f>tblSales[[#This Row],[Qty]]*tblSales[[#This Row],[Unit Price]]</f>
        <v>130000</v>
      </c>
      <c r="L2210" s="5">
        <f>ROUND(tblSales[[#This Row],[DPP (excl. VAT)]]*VATEff,0)</f>
        <v>14300</v>
      </c>
      <c r="M2210" s="5">
        <f>tblSales[[#This Row],[DPP (excl. VAT)]]+tblSales[[#This Row],[Output VAT]]</f>
        <v>144300</v>
      </c>
      <c r="N2210" s="5">
        <f>tblSales[[#This Row],[Qty]]*_xlfn.XLOOKUP(tblSales[[#This Row],[Product Code]],tblProducts[Code],tblProducts[Unit Cost],0)</f>
        <v>74000</v>
      </c>
      <c r="O2210" s="4" t="s">
        <v>4866</v>
      </c>
      <c r="P2210" s="4" t="s">
        <v>4860</v>
      </c>
      <c r="Q2210" s="1" t="str">
        <f>_xlfn.XLOOKUP(tblSales[[#This Row],[Channel Code]],tblChannels[Channel Code],tblChannels[Channel Name],"")</f>
        <v>In-store</v>
      </c>
      <c r="R2210" s="1">
        <f>MONTH(tblSales[[#This Row],[Date]])</f>
        <v>5</v>
      </c>
    </row>
    <row r="2211" spans="2:18" x14ac:dyDescent="0.35">
      <c r="B2211" s="113">
        <v>46155</v>
      </c>
      <c r="C2211" s="4" t="s">
        <v>1465</v>
      </c>
      <c r="D2211" s="4" t="s">
        <v>4568</v>
      </c>
      <c r="E2211" s="1" t="str">
        <f>_xlfn.XLOOKUP(tblSales[[#This Row],[Customer ID]],tblCustomers[Customer ID],tblCustomers[Customer Name],"⚠ Unknown")</f>
        <v>Walk-in Customer</v>
      </c>
      <c r="F2211" s="4" t="s">
        <v>6</v>
      </c>
      <c r="G2211" s="1" t="str">
        <f>_xlfn.XLOOKUP(tblSales[[#This Row],[Product Code]],tblProducts[Code],tblProducts[Product / Service Name],"⚠ Unknown")</f>
        <v>Socks &amp; Accessories</v>
      </c>
      <c r="H2211" s="1" t="str">
        <f>_xlfn.XLOOKUP(tblSales[[#This Row],[Product Code]],tblProducts[Code],tblProducts[Category],"")</f>
        <v>Accessories &amp; Basics</v>
      </c>
      <c r="I2211" s="4">
        <v>12</v>
      </c>
      <c r="J2211" s="5">
        <f>_xlfn.XLOOKUP(tblSales[[#This Row],[Product Code]],tblProducts[Code],tblProducts[Selling Price (excl. VAT)],0)</f>
        <v>45000</v>
      </c>
      <c r="K2211" s="5">
        <f>tblSales[[#This Row],[Qty]]*tblSales[[#This Row],[Unit Price]]</f>
        <v>540000</v>
      </c>
      <c r="L2211" s="5">
        <f>ROUND(tblSales[[#This Row],[DPP (excl. VAT)]]*VATEff,0)</f>
        <v>59400</v>
      </c>
      <c r="M2211" s="5">
        <f>tblSales[[#This Row],[DPP (excl. VAT)]]+tblSales[[#This Row],[Output VAT]]</f>
        <v>599400</v>
      </c>
      <c r="N2211" s="5">
        <f>tblSales[[#This Row],[Qty]]*_xlfn.XLOOKUP(tblSales[[#This Row],[Product Code]],tblProducts[Code],tblProducts[Unit Cost],0)</f>
        <v>288000</v>
      </c>
      <c r="O2211" s="4" t="s">
        <v>4865</v>
      </c>
      <c r="P2211" s="4" t="s">
        <v>4860</v>
      </c>
      <c r="Q2211" s="1" t="str">
        <f>_xlfn.XLOOKUP(tblSales[[#This Row],[Channel Code]],tblChannels[Channel Code],tblChannels[Channel Name],"")</f>
        <v>In-store</v>
      </c>
      <c r="R2211" s="1">
        <f>MONTH(tblSales[[#This Row],[Date]])</f>
        <v>5</v>
      </c>
    </row>
    <row r="2212" spans="2:18" x14ac:dyDescent="0.35">
      <c r="B2212" s="113">
        <v>46155</v>
      </c>
      <c r="C2212" s="4" t="s">
        <v>1466</v>
      </c>
      <c r="D2212" s="4" t="s">
        <v>4593</v>
      </c>
      <c r="E2212" s="1" t="str">
        <f>_xlfn.XLOOKUP(tblSales[[#This Row],[Customer ID]],tblCustomers[Customer ID],tblCustomers[Customer Name],"⚠ Unknown")</f>
        <v>PT Graha Nusa Persada</v>
      </c>
      <c r="F2212" s="4" t="s">
        <v>11</v>
      </c>
      <c r="G2212" s="1" t="str">
        <f>_xlfn.XLOOKUP(tblSales[[#This Row],[Product Code]],tblProducts[Code],tblProducts[Product / Service Name],"⚠ Unknown")</f>
        <v>Sneakers</v>
      </c>
      <c r="H2212" s="1" t="str">
        <f>_xlfn.XLOOKUP(tblSales[[#This Row],[Product Code]],tblProducts[Code],tblProducts[Category],"")</f>
        <v>Apparel &amp; Footwear</v>
      </c>
      <c r="I2212" s="4">
        <v>48</v>
      </c>
      <c r="J2212" s="5">
        <f>_xlfn.XLOOKUP(tblSales[[#This Row],[Product Code]],tblProducts[Code],tblProducts[Selling Price (excl. VAT)],0)</f>
        <v>250000</v>
      </c>
      <c r="K2212" s="5">
        <f>tblSales[[#This Row],[Qty]]*tblSales[[#This Row],[Unit Price]]</f>
        <v>12000000</v>
      </c>
      <c r="L2212" s="5">
        <f>ROUND(tblSales[[#This Row],[DPP (excl. VAT)]]*VATEff,0)</f>
        <v>1320000</v>
      </c>
      <c r="M2212" s="5">
        <f>tblSales[[#This Row],[DPP (excl. VAT)]]+tblSales[[#This Row],[Output VAT]]</f>
        <v>13320000</v>
      </c>
      <c r="N2212" s="5">
        <f>tblSales[[#This Row],[Qty]]*_xlfn.XLOOKUP(tblSales[[#This Row],[Product Code]],tblProducts[Code],tblProducts[Unit Cost],0)</f>
        <v>7440000</v>
      </c>
      <c r="O2212" s="4" t="s">
        <v>4867</v>
      </c>
      <c r="P2212" s="4" t="s">
        <v>4862</v>
      </c>
      <c r="Q2212" s="1" t="str">
        <f>_xlfn.XLOOKUP(tblSales[[#This Row],[Channel Code]],tblChannels[Channel Code],tblChannels[Channel Name],"")</f>
        <v>Website &amp; Social Media</v>
      </c>
      <c r="R2212" s="1">
        <f>MONTH(tblSales[[#This Row],[Date]])</f>
        <v>5</v>
      </c>
    </row>
    <row r="2213" spans="2:18" x14ac:dyDescent="0.35">
      <c r="B2213" s="113">
        <v>46155</v>
      </c>
      <c r="C2213" s="4" t="s">
        <v>1467</v>
      </c>
      <c r="D2213" s="4" t="s">
        <v>4568</v>
      </c>
      <c r="E2213" s="1" t="str">
        <f>_xlfn.XLOOKUP(tblSales[[#This Row],[Customer ID]],tblCustomers[Customer ID],tblCustomers[Customer Name],"⚠ Unknown")</f>
        <v>Walk-in Customer</v>
      </c>
      <c r="F2213" s="4" t="s">
        <v>10</v>
      </c>
      <c r="G2213" s="1" t="str">
        <f>_xlfn.XLOOKUP(tblSales[[#This Row],[Product Code]],tblProducts[Code],tblProducts[Product / Service Name],"⚠ Unknown")</f>
        <v>Chino Pants</v>
      </c>
      <c r="H2213" s="1" t="str">
        <f>_xlfn.XLOOKUP(tblSales[[#This Row],[Product Code]],tblProducts[Code],tblProducts[Category],"")</f>
        <v>Apparel &amp; Footwear</v>
      </c>
      <c r="I2213" s="4">
        <v>1</v>
      </c>
      <c r="J2213" s="5">
        <f>_xlfn.XLOOKUP(tblSales[[#This Row],[Product Code]],tblProducts[Code],tblProducts[Selling Price (excl. VAT)],0)</f>
        <v>150000</v>
      </c>
      <c r="K2213" s="5">
        <f>tblSales[[#This Row],[Qty]]*tblSales[[#This Row],[Unit Price]]</f>
        <v>150000</v>
      </c>
      <c r="L2213" s="5">
        <f>ROUND(tblSales[[#This Row],[DPP (excl. VAT)]]*VATEff,0)</f>
        <v>16500</v>
      </c>
      <c r="M2213" s="5">
        <f>tblSales[[#This Row],[DPP (excl. VAT)]]+tblSales[[#This Row],[Output VAT]]</f>
        <v>166500</v>
      </c>
      <c r="N2213" s="5">
        <f>tblSales[[#This Row],[Qty]]*_xlfn.XLOOKUP(tblSales[[#This Row],[Product Code]],tblProducts[Code],tblProducts[Unit Cost],0)</f>
        <v>88000</v>
      </c>
      <c r="O2213" s="4" t="s">
        <v>4866</v>
      </c>
      <c r="P2213" s="4" t="s">
        <v>4860</v>
      </c>
      <c r="Q2213" s="1" t="str">
        <f>_xlfn.XLOOKUP(tblSales[[#This Row],[Channel Code]],tblChannels[Channel Code],tblChannels[Channel Name],"")</f>
        <v>In-store</v>
      </c>
      <c r="R2213" s="1">
        <f>MONTH(tblSales[[#This Row],[Date]])</f>
        <v>5</v>
      </c>
    </row>
    <row r="2214" spans="2:18" x14ac:dyDescent="0.35">
      <c r="B2214" s="113">
        <v>46155</v>
      </c>
      <c r="C2214" s="4" t="s">
        <v>1468</v>
      </c>
      <c r="D2214" s="4" t="s">
        <v>4568</v>
      </c>
      <c r="E2214" s="1" t="str">
        <f>_xlfn.XLOOKUP(tblSales[[#This Row],[Customer ID]],tblCustomers[Customer ID],tblCustomers[Customer Name],"⚠ Unknown")</f>
        <v>Walk-in Customer</v>
      </c>
      <c r="F2214" s="4" t="s">
        <v>6</v>
      </c>
      <c r="G2214" s="1" t="str">
        <f>_xlfn.XLOOKUP(tblSales[[#This Row],[Product Code]],tblProducts[Code],tblProducts[Product / Service Name],"⚠ Unknown")</f>
        <v>Socks &amp; Accessories</v>
      </c>
      <c r="H2214" s="1" t="str">
        <f>_xlfn.XLOOKUP(tblSales[[#This Row],[Product Code]],tblProducts[Code],tblProducts[Category],"")</f>
        <v>Accessories &amp; Basics</v>
      </c>
      <c r="I2214" s="4">
        <v>9</v>
      </c>
      <c r="J2214" s="5">
        <f>_xlfn.XLOOKUP(tblSales[[#This Row],[Product Code]],tblProducts[Code],tblProducts[Selling Price (excl. VAT)],0)</f>
        <v>45000</v>
      </c>
      <c r="K2214" s="5">
        <f>tblSales[[#This Row],[Qty]]*tblSales[[#This Row],[Unit Price]]</f>
        <v>405000</v>
      </c>
      <c r="L2214" s="5">
        <f>ROUND(tblSales[[#This Row],[DPP (excl. VAT)]]*VATEff,0)</f>
        <v>44550</v>
      </c>
      <c r="M2214" s="5">
        <f>tblSales[[#This Row],[DPP (excl. VAT)]]+tblSales[[#This Row],[Output VAT]]</f>
        <v>449550</v>
      </c>
      <c r="N2214" s="5">
        <f>tblSales[[#This Row],[Qty]]*_xlfn.XLOOKUP(tblSales[[#This Row],[Product Code]],tblProducts[Code],tblProducts[Unit Cost],0)</f>
        <v>216000</v>
      </c>
      <c r="O2214" s="4" t="s">
        <v>4866</v>
      </c>
      <c r="P2214" s="4" t="s">
        <v>4861</v>
      </c>
      <c r="Q2214" s="1" t="str">
        <f>_xlfn.XLOOKUP(tblSales[[#This Row],[Channel Code]],tblChannels[Channel Code],tblChannels[Channel Name],"")</f>
        <v>Marketplace</v>
      </c>
      <c r="R2214" s="1">
        <f>MONTH(tblSales[[#This Row],[Date]])</f>
        <v>5</v>
      </c>
    </row>
    <row r="2215" spans="2:18" x14ac:dyDescent="0.35">
      <c r="B2215" s="113">
        <v>46156</v>
      </c>
      <c r="C2215" s="4" t="s">
        <v>1469</v>
      </c>
      <c r="D2215" s="4" t="s">
        <v>4568</v>
      </c>
      <c r="E2215" s="1" t="str">
        <f>_xlfn.XLOOKUP(tblSales[[#This Row],[Customer ID]],tblCustomers[Customer ID],tblCustomers[Customer Name],"⚠ Unknown")</f>
        <v>Walk-in Customer</v>
      </c>
      <c r="F2215" s="4" t="s">
        <v>10</v>
      </c>
      <c r="G2215" s="1" t="str">
        <f>_xlfn.XLOOKUP(tblSales[[#This Row],[Product Code]],tblProducts[Code],tblProducts[Product / Service Name],"⚠ Unknown")</f>
        <v>Chino Pants</v>
      </c>
      <c r="H2215" s="1" t="str">
        <f>_xlfn.XLOOKUP(tblSales[[#This Row],[Product Code]],tblProducts[Code],tblProducts[Category],"")</f>
        <v>Apparel &amp; Footwear</v>
      </c>
      <c r="I2215" s="4">
        <v>7</v>
      </c>
      <c r="J2215" s="5">
        <f>_xlfn.XLOOKUP(tblSales[[#This Row],[Product Code]],tblProducts[Code],tblProducts[Selling Price (excl. VAT)],0)</f>
        <v>150000</v>
      </c>
      <c r="K2215" s="5">
        <f>tblSales[[#This Row],[Qty]]*tblSales[[#This Row],[Unit Price]]</f>
        <v>1050000</v>
      </c>
      <c r="L2215" s="5">
        <f>ROUND(tblSales[[#This Row],[DPP (excl. VAT)]]*VATEff,0)</f>
        <v>115500</v>
      </c>
      <c r="M2215" s="5">
        <f>tblSales[[#This Row],[DPP (excl. VAT)]]+tblSales[[#This Row],[Output VAT]]</f>
        <v>1165500</v>
      </c>
      <c r="N2215" s="5">
        <f>tblSales[[#This Row],[Qty]]*_xlfn.XLOOKUP(tblSales[[#This Row],[Product Code]],tblProducts[Code],tblProducts[Unit Cost],0)</f>
        <v>616000</v>
      </c>
      <c r="O2215" s="4" t="s">
        <v>4866</v>
      </c>
      <c r="P2215" s="4" t="s">
        <v>4861</v>
      </c>
      <c r="Q2215" s="1" t="str">
        <f>_xlfn.XLOOKUP(tblSales[[#This Row],[Channel Code]],tblChannels[Channel Code],tblChannels[Channel Name],"")</f>
        <v>Marketplace</v>
      </c>
      <c r="R2215" s="1">
        <f>MONTH(tblSales[[#This Row],[Date]])</f>
        <v>5</v>
      </c>
    </row>
    <row r="2216" spans="2:18" x14ac:dyDescent="0.35">
      <c r="B2216" s="113">
        <v>46156</v>
      </c>
      <c r="C2216" s="4" t="s">
        <v>1469</v>
      </c>
      <c r="D2216" s="4" t="s">
        <v>4568</v>
      </c>
      <c r="E2216" s="1" t="str">
        <f>_xlfn.XLOOKUP(tblSales[[#This Row],[Customer ID]],tblCustomers[Customer ID],tblCustomers[Customer Name],"⚠ Unknown")</f>
        <v>Walk-in Customer</v>
      </c>
      <c r="F2216" s="4" t="s">
        <v>12</v>
      </c>
      <c r="G2216" s="1" t="str">
        <f>_xlfn.XLOOKUP(tblSales[[#This Row],[Product Code]],tblProducts[Code],tblProducts[Product / Service Name],"⚠ Unknown")</f>
        <v>Bomber Jacket</v>
      </c>
      <c r="H2216" s="1" t="str">
        <f>_xlfn.XLOOKUP(tblSales[[#This Row],[Product Code]],tblProducts[Code],tblProducts[Category],"")</f>
        <v>Apparel &amp; Footwear</v>
      </c>
      <c r="I2216" s="4">
        <v>2</v>
      </c>
      <c r="J2216" s="5">
        <f>_xlfn.XLOOKUP(tblSales[[#This Row],[Product Code]],tblProducts[Code],tblProducts[Selling Price (excl. VAT)],0)</f>
        <v>350000</v>
      </c>
      <c r="K2216" s="5">
        <f>tblSales[[#This Row],[Qty]]*tblSales[[#This Row],[Unit Price]]</f>
        <v>700000</v>
      </c>
      <c r="L2216" s="5">
        <f>ROUND(tblSales[[#This Row],[DPP (excl. VAT)]]*VATEff,0)</f>
        <v>77000</v>
      </c>
      <c r="M2216" s="5">
        <f>tblSales[[#This Row],[DPP (excl. VAT)]]+tblSales[[#This Row],[Output VAT]]</f>
        <v>777000</v>
      </c>
      <c r="N2216" s="5">
        <f>tblSales[[#This Row],[Qty]]*_xlfn.XLOOKUP(tblSales[[#This Row],[Product Code]],tblProducts[Code],tblProducts[Unit Cost],0)</f>
        <v>420000</v>
      </c>
      <c r="O2216" s="4" t="s">
        <v>4866</v>
      </c>
      <c r="P2216" s="4" t="s">
        <v>4861</v>
      </c>
      <c r="Q2216" s="1" t="str">
        <f>_xlfn.XLOOKUP(tblSales[[#This Row],[Channel Code]],tblChannels[Channel Code],tblChannels[Channel Name],"")</f>
        <v>Marketplace</v>
      </c>
      <c r="R2216" s="1">
        <f>MONTH(tblSales[[#This Row],[Date]])</f>
        <v>5</v>
      </c>
    </row>
    <row r="2217" spans="2:18" x14ac:dyDescent="0.35">
      <c r="B2217" s="113">
        <v>46156</v>
      </c>
      <c r="C2217" s="4" t="s">
        <v>1470</v>
      </c>
      <c r="D2217" s="4" t="s">
        <v>4568</v>
      </c>
      <c r="E2217" s="1" t="str">
        <f>_xlfn.XLOOKUP(tblSales[[#This Row],[Customer ID]],tblCustomers[Customer ID],tblCustomers[Customer Name],"⚠ Unknown")</f>
        <v>Walk-in Customer</v>
      </c>
      <c r="F2217" s="4" t="s">
        <v>8</v>
      </c>
      <c r="G2217" s="1" t="str">
        <f>_xlfn.XLOOKUP(tblSales[[#This Row],[Product Code]],tblProducts[Code],tblProducts[Product / Service Name],"⚠ Unknown")</f>
        <v>Casual Shorts</v>
      </c>
      <c r="H2217" s="1" t="str">
        <f>_xlfn.XLOOKUP(tblSales[[#This Row],[Product Code]],tblProducts[Code],tblProducts[Category],"")</f>
        <v>Accessories &amp; Basics</v>
      </c>
      <c r="I2217" s="4">
        <v>1</v>
      </c>
      <c r="J2217" s="5">
        <f>_xlfn.XLOOKUP(tblSales[[#This Row],[Product Code]],tblProducts[Code],tblProducts[Selling Price (excl. VAT)],0)</f>
        <v>85000</v>
      </c>
      <c r="K2217" s="5">
        <f>tblSales[[#This Row],[Qty]]*tblSales[[#This Row],[Unit Price]]</f>
        <v>85000</v>
      </c>
      <c r="L2217" s="5">
        <f>ROUND(tblSales[[#This Row],[DPP (excl. VAT)]]*VATEff,0)</f>
        <v>9350</v>
      </c>
      <c r="M2217" s="5">
        <f>tblSales[[#This Row],[DPP (excl. VAT)]]+tblSales[[#This Row],[Output VAT]]</f>
        <v>94350</v>
      </c>
      <c r="N2217" s="5">
        <f>tblSales[[#This Row],[Qty]]*_xlfn.XLOOKUP(tblSales[[#This Row],[Product Code]],tblProducts[Code],tblProducts[Unit Cost],0)</f>
        <v>50000</v>
      </c>
      <c r="O2217" s="4" t="s">
        <v>4865</v>
      </c>
      <c r="P2217" s="4" t="s">
        <v>4860</v>
      </c>
      <c r="Q2217" s="1" t="str">
        <f>_xlfn.XLOOKUP(tblSales[[#This Row],[Channel Code]],tblChannels[Channel Code],tblChannels[Channel Name],"")</f>
        <v>In-store</v>
      </c>
      <c r="R2217" s="1">
        <f>MONTH(tblSales[[#This Row],[Date]])</f>
        <v>5</v>
      </c>
    </row>
    <row r="2218" spans="2:18" x14ac:dyDescent="0.35">
      <c r="B2218" s="113">
        <v>46156</v>
      </c>
      <c r="C2218" s="4" t="s">
        <v>1470</v>
      </c>
      <c r="D2218" s="4" t="s">
        <v>4568</v>
      </c>
      <c r="E2218" s="1" t="str">
        <f>_xlfn.XLOOKUP(tblSales[[#This Row],[Customer ID]],tblCustomers[Customer ID],tblCustomers[Customer Name],"⚠ Unknown")</f>
        <v>Walk-in Customer</v>
      </c>
      <c r="F2218" s="4" t="s">
        <v>10</v>
      </c>
      <c r="G2218" s="1" t="str">
        <f>_xlfn.XLOOKUP(tblSales[[#This Row],[Product Code]],tblProducts[Code],tblProducts[Product / Service Name],"⚠ Unknown")</f>
        <v>Chino Pants</v>
      </c>
      <c r="H2218" s="1" t="str">
        <f>_xlfn.XLOOKUP(tblSales[[#This Row],[Product Code]],tblProducts[Code],tblProducts[Category],"")</f>
        <v>Apparel &amp; Footwear</v>
      </c>
      <c r="I2218" s="4">
        <v>2</v>
      </c>
      <c r="J2218" s="5">
        <f>_xlfn.XLOOKUP(tblSales[[#This Row],[Product Code]],tblProducts[Code],tblProducts[Selling Price (excl. VAT)],0)</f>
        <v>150000</v>
      </c>
      <c r="K2218" s="5">
        <f>tblSales[[#This Row],[Qty]]*tblSales[[#This Row],[Unit Price]]</f>
        <v>300000</v>
      </c>
      <c r="L2218" s="5">
        <f>ROUND(tblSales[[#This Row],[DPP (excl. VAT)]]*VATEff,0)</f>
        <v>33000</v>
      </c>
      <c r="M2218" s="5">
        <f>tblSales[[#This Row],[DPP (excl. VAT)]]+tblSales[[#This Row],[Output VAT]]</f>
        <v>333000</v>
      </c>
      <c r="N2218" s="5">
        <f>tblSales[[#This Row],[Qty]]*_xlfn.XLOOKUP(tblSales[[#This Row],[Product Code]],tblProducts[Code],tblProducts[Unit Cost],0)</f>
        <v>176000</v>
      </c>
      <c r="O2218" s="4" t="s">
        <v>4865</v>
      </c>
      <c r="P2218" s="4" t="s">
        <v>4860</v>
      </c>
      <c r="Q2218" s="1" t="str">
        <f>_xlfn.XLOOKUP(tblSales[[#This Row],[Channel Code]],tblChannels[Channel Code],tblChannels[Channel Name],"")</f>
        <v>In-store</v>
      </c>
      <c r="R2218" s="1">
        <f>MONTH(tblSales[[#This Row],[Date]])</f>
        <v>5</v>
      </c>
    </row>
    <row r="2219" spans="2:18" x14ac:dyDescent="0.35">
      <c r="B2219" s="113">
        <v>46156</v>
      </c>
      <c r="C2219" s="4" t="s">
        <v>1471</v>
      </c>
      <c r="D2219" s="4" t="s">
        <v>4568</v>
      </c>
      <c r="E2219" s="1" t="str">
        <f>_xlfn.XLOOKUP(tblSales[[#This Row],[Customer ID]],tblCustomers[Customer ID],tblCustomers[Customer Name],"⚠ Unknown")</f>
        <v>Walk-in Customer</v>
      </c>
      <c r="F2219" s="4" t="s">
        <v>7</v>
      </c>
      <c r="G2219" s="1" t="str">
        <f>_xlfn.XLOOKUP(tblSales[[#This Row],[Product Code]],tblProducts[Code],tblProducts[Product / Service Name],"⚠ Unknown")</f>
        <v>Premium Basic T-shirt</v>
      </c>
      <c r="H2219" s="1" t="str">
        <f>_xlfn.XLOOKUP(tblSales[[#This Row],[Product Code]],tblProducts[Code],tblProducts[Category],"")</f>
        <v>Accessories &amp; Basics</v>
      </c>
      <c r="I2219" s="4">
        <v>2</v>
      </c>
      <c r="J2219" s="5">
        <f>_xlfn.XLOOKUP(tblSales[[#This Row],[Product Code]],tblProducts[Code],tblProducts[Selling Price (excl. VAT)],0)</f>
        <v>65000</v>
      </c>
      <c r="K2219" s="5">
        <f>tblSales[[#This Row],[Qty]]*tblSales[[#This Row],[Unit Price]]</f>
        <v>130000</v>
      </c>
      <c r="L2219" s="5">
        <f>ROUND(tblSales[[#This Row],[DPP (excl. VAT)]]*VATEff,0)</f>
        <v>14300</v>
      </c>
      <c r="M2219" s="5">
        <f>tblSales[[#This Row],[DPP (excl. VAT)]]+tblSales[[#This Row],[Output VAT]]</f>
        <v>144300</v>
      </c>
      <c r="N2219" s="5">
        <f>tblSales[[#This Row],[Qty]]*_xlfn.XLOOKUP(tblSales[[#This Row],[Product Code]],tblProducts[Code],tblProducts[Unit Cost],0)</f>
        <v>74000</v>
      </c>
      <c r="O2219" s="4" t="s">
        <v>4865</v>
      </c>
      <c r="P2219" s="4" t="s">
        <v>4860</v>
      </c>
      <c r="Q2219" s="1" t="str">
        <f>_xlfn.XLOOKUP(tblSales[[#This Row],[Channel Code]],tblChannels[Channel Code],tblChannels[Channel Name],"")</f>
        <v>In-store</v>
      </c>
      <c r="R2219" s="1">
        <f>MONTH(tblSales[[#This Row],[Date]])</f>
        <v>5</v>
      </c>
    </row>
    <row r="2220" spans="2:18" x14ac:dyDescent="0.35">
      <c r="B2220" s="113">
        <v>46156</v>
      </c>
      <c r="C2220" s="4" t="s">
        <v>1472</v>
      </c>
      <c r="D2220" s="4" t="s">
        <v>4593</v>
      </c>
      <c r="E2220" s="1" t="str">
        <f>_xlfn.XLOOKUP(tblSales[[#This Row],[Customer ID]],tblCustomers[Customer ID],tblCustomers[Customer Name],"⚠ Unknown")</f>
        <v>PT Graha Nusa Persada</v>
      </c>
      <c r="F2220" s="4" t="s">
        <v>6</v>
      </c>
      <c r="G2220" s="1" t="str">
        <f>_xlfn.XLOOKUP(tblSales[[#This Row],[Product Code]],tblProducts[Code],tblProducts[Product / Service Name],"⚠ Unknown")</f>
        <v>Socks &amp; Accessories</v>
      </c>
      <c r="H2220" s="1" t="str">
        <f>_xlfn.XLOOKUP(tblSales[[#This Row],[Product Code]],tblProducts[Code],tblProducts[Category],"")</f>
        <v>Accessories &amp; Basics</v>
      </c>
      <c r="I2220" s="4">
        <v>32</v>
      </c>
      <c r="J2220" s="5">
        <f>_xlfn.XLOOKUP(tblSales[[#This Row],[Product Code]],tblProducts[Code],tblProducts[Selling Price (excl. VAT)],0)</f>
        <v>45000</v>
      </c>
      <c r="K2220" s="5">
        <f>tblSales[[#This Row],[Qty]]*tblSales[[#This Row],[Unit Price]]</f>
        <v>1440000</v>
      </c>
      <c r="L2220" s="5">
        <f>ROUND(tblSales[[#This Row],[DPP (excl. VAT)]]*VATEff,0)</f>
        <v>158400</v>
      </c>
      <c r="M2220" s="5">
        <f>tblSales[[#This Row],[DPP (excl. VAT)]]+tblSales[[#This Row],[Output VAT]]</f>
        <v>1598400</v>
      </c>
      <c r="N2220" s="5">
        <f>tblSales[[#This Row],[Qty]]*_xlfn.XLOOKUP(tblSales[[#This Row],[Product Code]],tblProducts[Code],tblProducts[Unit Cost],0)</f>
        <v>768000</v>
      </c>
      <c r="O2220" s="4" t="s">
        <v>4867</v>
      </c>
      <c r="P2220" s="4" t="s">
        <v>4860</v>
      </c>
      <c r="Q2220" s="1" t="str">
        <f>_xlfn.XLOOKUP(tblSales[[#This Row],[Channel Code]],tblChannels[Channel Code],tblChannels[Channel Name],"")</f>
        <v>In-store</v>
      </c>
      <c r="R2220" s="1">
        <f>MONTH(tblSales[[#This Row],[Date]])</f>
        <v>5</v>
      </c>
    </row>
    <row r="2221" spans="2:18" x14ac:dyDescent="0.35">
      <c r="B2221" s="113">
        <v>46156</v>
      </c>
      <c r="C2221" s="4" t="s">
        <v>1473</v>
      </c>
      <c r="D2221" s="4" t="s">
        <v>4648</v>
      </c>
      <c r="E2221" s="1" t="str">
        <f>_xlfn.XLOOKUP(tblSales[[#This Row],[Customer ID]],tblCustomers[Customer ID],tblCustomers[Customer Name],"⚠ Unknown")</f>
        <v>PT Lintas Benua Niaga</v>
      </c>
      <c r="F2221" s="4" t="s">
        <v>6</v>
      </c>
      <c r="G2221" s="1" t="str">
        <f>_xlfn.XLOOKUP(tblSales[[#This Row],[Product Code]],tblProducts[Code],tblProducts[Product / Service Name],"⚠ Unknown")</f>
        <v>Socks &amp; Accessories</v>
      </c>
      <c r="H2221" s="1" t="str">
        <f>_xlfn.XLOOKUP(tblSales[[#This Row],[Product Code]],tblProducts[Code],tblProducts[Category],"")</f>
        <v>Accessories &amp; Basics</v>
      </c>
      <c r="I2221" s="4">
        <v>40</v>
      </c>
      <c r="J2221" s="5">
        <f>_xlfn.XLOOKUP(tblSales[[#This Row],[Product Code]],tblProducts[Code],tblProducts[Selling Price (excl. VAT)],0)</f>
        <v>45000</v>
      </c>
      <c r="K2221" s="5">
        <f>tblSales[[#This Row],[Qty]]*tblSales[[#This Row],[Unit Price]]</f>
        <v>1800000</v>
      </c>
      <c r="L2221" s="5">
        <f>ROUND(tblSales[[#This Row],[DPP (excl. VAT)]]*VATEff,0)</f>
        <v>198000</v>
      </c>
      <c r="M2221" s="5">
        <f>tblSales[[#This Row],[DPP (excl. VAT)]]+tblSales[[#This Row],[Output VAT]]</f>
        <v>1998000</v>
      </c>
      <c r="N2221" s="5">
        <f>tblSales[[#This Row],[Qty]]*_xlfn.XLOOKUP(tblSales[[#This Row],[Product Code]],tblProducts[Code],tblProducts[Unit Cost],0)</f>
        <v>960000</v>
      </c>
      <c r="O2221" s="4" t="s">
        <v>4867</v>
      </c>
      <c r="P2221" s="4" t="s">
        <v>4860</v>
      </c>
      <c r="Q2221" s="1" t="str">
        <f>_xlfn.XLOOKUP(tblSales[[#This Row],[Channel Code]],tblChannels[Channel Code],tblChannels[Channel Name],"")</f>
        <v>In-store</v>
      </c>
      <c r="R2221" s="1">
        <f>MONTH(tblSales[[#This Row],[Date]])</f>
        <v>5</v>
      </c>
    </row>
    <row r="2222" spans="2:18" x14ac:dyDescent="0.35">
      <c r="B2222" s="113">
        <v>46156</v>
      </c>
      <c r="C2222" s="4" t="s">
        <v>1473</v>
      </c>
      <c r="D2222" s="4" t="s">
        <v>4648</v>
      </c>
      <c r="E2222" s="1" t="str">
        <f>_xlfn.XLOOKUP(tblSales[[#This Row],[Customer ID]],tblCustomers[Customer ID],tblCustomers[Customer Name],"⚠ Unknown")</f>
        <v>PT Lintas Benua Niaga</v>
      </c>
      <c r="F2222" s="4" t="s">
        <v>11</v>
      </c>
      <c r="G2222" s="1" t="str">
        <f>_xlfn.XLOOKUP(tblSales[[#This Row],[Product Code]],tblProducts[Code],tblProducts[Product / Service Name],"⚠ Unknown")</f>
        <v>Sneakers</v>
      </c>
      <c r="H2222" s="1" t="str">
        <f>_xlfn.XLOOKUP(tblSales[[#This Row],[Product Code]],tblProducts[Code],tblProducts[Category],"")</f>
        <v>Apparel &amp; Footwear</v>
      </c>
      <c r="I2222" s="4">
        <v>24</v>
      </c>
      <c r="J2222" s="5">
        <f>_xlfn.XLOOKUP(tblSales[[#This Row],[Product Code]],tblProducts[Code],tblProducts[Selling Price (excl. VAT)],0)</f>
        <v>250000</v>
      </c>
      <c r="K2222" s="5">
        <f>tblSales[[#This Row],[Qty]]*tblSales[[#This Row],[Unit Price]]</f>
        <v>6000000</v>
      </c>
      <c r="L2222" s="5">
        <f>ROUND(tblSales[[#This Row],[DPP (excl. VAT)]]*VATEff,0)</f>
        <v>660000</v>
      </c>
      <c r="M2222" s="5">
        <f>tblSales[[#This Row],[DPP (excl. VAT)]]+tblSales[[#This Row],[Output VAT]]</f>
        <v>6660000</v>
      </c>
      <c r="N2222" s="5">
        <f>tblSales[[#This Row],[Qty]]*_xlfn.XLOOKUP(tblSales[[#This Row],[Product Code]],tblProducts[Code],tblProducts[Unit Cost],0)</f>
        <v>3720000</v>
      </c>
      <c r="O2222" s="4" t="s">
        <v>4867</v>
      </c>
      <c r="P2222" s="4" t="s">
        <v>4860</v>
      </c>
      <c r="Q2222" s="1" t="str">
        <f>_xlfn.XLOOKUP(tblSales[[#This Row],[Channel Code]],tblChannels[Channel Code],tblChannels[Channel Name],"")</f>
        <v>In-store</v>
      </c>
      <c r="R2222" s="1">
        <f>MONTH(tblSales[[#This Row],[Date]])</f>
        <v>5</v>
      </c>
    </row>
    <row r="2223" spans="2:18" x14ac:dyDescent="0.35">
      <c r="B2223" s="113">
        <v>46156</v>
      </c>
      <c r="C2223" s="4" t="s">
        <v>1474</v>
      </c>
      <c r="D2223" s="4" t="s">
        <v>4568</v>
      </c>
      <c r="E2223" s="1" t="str">
        <f>_xlfn.XLOOKUP(tblSales[[#This Row],[Customer ID]],tblCustomers[Customer ID],tblCustomers[Customer Name],"⚠ Unknown")</f>
        <v>Walk-in Customer</v>
      </c>
      <c r="F2223" s="4" t="s">
        <v>7</v>
      </c>
      <c r="G2223" s="1" t="str">
        <f>_xlfn.XLOOKUP(tblSales[[#This Row],[Product Code]],tblProducts[Code],tblProducts[Product / Service Name],"⚠ Unknown")</f>
        <v>Premium Basic T-shirt</v>
      </c>
      <c r="H2223" s="1" t="str">
        <f>_xlfn.XLOOKUP(tblSales[[#This Row],[Product Code]],tblProducts[Code],tblProducts[Category],"")</f>
        <v>Accessories &amp; Basics</v>
      </c>
      <c r="I2223" s="4">
        <v>8</v>
      </c>
      <c r="J2223" s="5">
        <f>_xlfn.XLOOKUP(tblSales[[#This Row],[Product Code]],tblProducts[Code],tblProducts[Selling Price (excl. VAT)],0)</f>
        <v>65000</v>
      </c>
      <c r="K2223" s="5">
        <f>tblSales[[#This Row],[Qty]]*tblSales[[#This Row],[Unit Price]]</f>
        <v>520000</v>
      </c>
      <c r="L2223" s="5">
        <f>ROUND(tblSales[[#This Row],[DPP (excl. VAT)]]*VATEff,0)</f>
        <v>57200</v>
      </c>
      <c r="M2223" s="5">
        <f>tblSales[[#This Row],[DPP (excl. VAT)]]+tblSales[[#This Row],[Output VAT]]</f>
        <v>577200</v>
      </c>
      <c r="N2223" s="5">
        <f>tblSales[[#This Row],[Qty]]*_xlfn.XLOOKUP(tblSales[[#This Row],[Product Code]],tblProducts[Code],tblProducts[Unit Cost],0)</f>
        <v>296000</v>
      </c>
      <c r="O2223" s="4" t="s">
        <v>4866</v>
      </c>
      <c r="P2223" s="4" t="s">
        <v>4862</v>
      </c>
      <c r="Q2223" s="1" t="str">
        <f>_xlfn.XLOOKUP(tblSales[[#This Row],[Channel Code]],tblChannels[Channel Code],tblChannels[Channel Name],"")</f>
        <v>Website &amp; Social Media</v>
      </c>
      <c r="R2223" s="1">
        <f>MONTH(tblSales[[#This Row],[Date]])</f>
        <v>5</v>
      </c>
    </row>
    <row r="2224" spans="2:18" x14ac:dyDescent="0.35">
      <c r="B2224" s="113">
        <v>46156</v>
      </c>
      <c r="C2224" s="4" t="s">
        <v>1474</v>
      </c>
      <c r="D2224" s="4" t="s">
        <v>4568</v>
      </c>
      <c r="E2224" s="1" t="str">
        <f>_xlfn.XLOOKUP(tblSales[[#This Row],[Customer ID]],tblCustomers[Customer ID],tblCustomers[Customer Name],"⚠ Unknown")</f>
        <v>Walk-in Customer</v>
      </c>
      <c r="F2224" s="4" t="s">
        <v>6</v>
      </c>
      <c r="G2224" s="1" t="str">
        <f>_xlfn.XLOOKUP(tblSales[[#This Row],[Product Code]],tblProducts[Code],tblProducts[Product / Service Name],"⚠ Unknown")</f>
        <v>Socks &amp; Accessories</v>
      </c>
      <c r="H2224" s="1" t="str">
        <f>_xlfn.XLOOKUP(tblSales[[#This Row],[Product Code]],tblProducts[Code],tblProducts[Category],"")</f>
        <v>Accessories &amp; Basics</v>
      </c>
      <c r="I2224" s="4">
        <v>5</v>
      </c>
      <c r="J2224" s="5">
        <f>_xlfn.XLOOKUP(tblSales[[#This Row],[Product Code]],tblProducts[Code],tblProducts[Selling Price (excl. VAT)],0)</f>
        <v>45000</v>
      </c>
      <c r="K2224" s="5">
        <f>tblSales[[#This Row],[Qty]]*tblSales[[#This Row],[Unit Price]]</f>
        <v>225000</v>
      </c>
      <c r="L2224" s="5">
        <f>ROUND(tblSales[[#This Row],[DPP (excl. VAT)]]*VATEff,0)</f>
        <v>24750</v>
      </c>
      <c r="M2224" s="5">
        <f>tblSales[[#This Row],[DPP (excl. VAT)]]+tblSales[[#This Row],[Output VAT]]</f>
        <v>249750</v>
      </c>
      <c r="N2224" s="5">
        <f>tblSales[[#This Row],[Qty]]*_xlfn.XLOOKUP(tblSales[[#This Row],[Product Code]],tblProducts[Code],tblProducts[Unit Cost],0)</f>
        <v>120000</v>
      </c>
      <c r="O2224" s="4" t="s">
        <v>4866</v>
      </c>
      <c r="P2224" s="4" t="s">
        <v>4862</v>
      </c>
      <c r="Q2224" s="1" t="str">
        <f>_xlfn.XLOOKUP(tblSales[[#This Row],[Channel Code]],tblChannels[Channel Code],tblChannels[Channel Name],"")</f>
        <v>Website &amp; Social Media</v>
      </c>
      <c r="R2224" s="1">
        <f>MONTH(tblSales[[#This Row],[Date]])</f>
        <v>5</v>
      </c>
    </row>
    <row r="2225" spans="2:18" x14ac:dyDescent="0.35">
      <c r="B2225" s="113">
        <v>46156</v>
      </c>
      <c r="C2225" s="4" t="s">
        <v>1475</v>
      </c>
      <c r="D2225" s="4" t="s">
        <v>4568</v>
      </c>
      <c r="E2225" s="1" t="str">
        <f>_xlfn.XLOOKUP(tblSales[[#This Row],[Customer ID]],tblCustomers[Customer ID],tblCustomers[Customer Name],"⚠ Unknown")</f>
        <v>Walk-in Customer</v>
      </c>
      <c r="F2225" s="4" t="s">
        <v>7</v>
      </c>
      <c r="G2225" s="1" t="str">
        <f>_xlfn.XLOOKUP(tblSales[[#This Row],[Product Code]],tblProducts[Code],tblProducts[Product / Service Name],"⚠ Unknown")</f>
        <v>Premium Basic T-shirt</v>
      </c>
      <c r="H2225" s="1" t="str">
        <f>_xlfn.XLOOKUP(tblSales[[#This Row],[Product Code]],tblProducts[Code],tblProducts[Category],"")</f>
        <v>Accessories &amp; Basics</v>
      </c>
      <c r="I2225" s="4">
        <v>9</v>
      </c>
      <c r="J2225" s="5">
        <f>_xlfn.XLOOKUP(tblSales[[#This Row],[Product Code]],tblProducts[Code],tblProducts[Selling Price (excl. VAT)],0)</f>
        <v>65000</v>
      </c>
      <c r="K2225" s="5">
        <f>tblSales[[#This Row],[Qty]]*tblSales[[#This Row],[Unit Price]]</f>
        <v>585000</v>
      </c>
      <c r="L2225" s="5">
        <f>ROUND(tblSales[[#This Row],[DPP (excl. VAT)]]*VATEff,0)</f>
        <v>64350</v>
      </c>
      <c r="M2225" s="5">
        <f>tblSales[[#This Row],[DPP (excl. VAT)]]+tblSales[[#This Row],[Output VAT]]</f>
        <v>649350</v>
      </c>
      <c r="N2225" s="5">
        <f>tblSales[[#This Row],[Qty]]*_xlfn.XLOOKUP(tblSales[[#This Row],[Product Code]],tblProducts[Code],tblProducts[Unit Cost],0)</f>
        <v>333000</v>
      </c>
      <c r="O2225" s="4" t="s">
        <v>4866</v>
      </c>
      <c r="P2225" s="4" t="s">
        <v>4860</v>
      </c>
      <c r="Q2225" s="1" t="str">
        <f>_xlfn.XLOOKUP(tblSales[[#This Row],[Channel Code]],tblChannels[Channel Code],tblChannels[Channel Name],"")</f>
        <v>In-store</v>
      </c>
      <c r="R2225" s="1">
        <f>MONTH(tblSales[[#This Row],[Date]])</f>
        <v>5</v>
      </c>
    </row>
    <row r="2226" spans="2:18" x14ac:dyDescent="0.35">
      <c r="B2226" s="113">
        <v>46156</v>
      </c>
      <c r="C2226" s="4" t="s">
        <v>1475</v>
      </c>
      <c r="D2226" s="4" t="s">
        <v>4568</v>
      </c>
      <c r="E2226" s="1" t="str">
        <f>_xlfn.XLOOKUP(tblSales[[#This Row],[Customer ID]],tblCustomers[Customer ID],tblCustomers[Customer Name],"⚠ Unknown")</f>
        <v>Walk-in Customer</v>
      </c>
      <c r="F2226" s="4" t="s">
        <v>14</v>
      </c>
      <c r="G2226" s="1" t="str">
        <f>_xlfn.XLOOKUP(tblSales[[#This Row],[Product Code]],tblProducts[Code],tblProducts[Product / Service Name],"⚠ Unknown")</f>
        <v>Smartwatch</v>
      </c>
      <c r="H2226" s="1" t="str">
        <f>_xlfn.XLOOKUP(tblSales[[#This Row],[Product Code]],tblProducts[Code],tblProducts[Category],"")</f>
        <v>Bags &amp; Gadgets</v>
      </c>
      <c r="I2226" s="4">
        <v>3</v>
      </c>
      <c r="J2226" s="5">
        <f>_xlfn.XLOOKUP(tblSales[[#This Row],[Product Code]],tblProducts[Code],tblProducts[Selling Price (excl. VAT)],0)</f>
        <v>850000</v>
      </c>
      <c r="K2226" s="5">
        <f>tblSales[[#This Row],[Qty]]*tblSales[[#This Row],[Unit Price]]</f>
        <v>2550000</v>
      </c>
      <c r="L2226" s="5">
        <f>ROUND(tblSales[[#This Row],[DPP (excl. VAT)]]*VATEff,0)</f>
        <v>280500</v>
      </c>
      <c r="M2226" s="5">
        <f>tblSales[[#This Row],[DPP (excl. VAT)]]+tblSales[[#This Row],[Output VAT]]</f>
        <v>2830500</v>
      </c>
      <c r="N2226" s="5">
        <f>tblSales[[#This Row],[Qty]]*_xlfn.XLOOKUP(tblSales[[#This Row],[Product Code]],tblProducts[Code],tblProducts[Unit Cost],0)</f>
        <v>1680000</v>
      </c>
      <c r="O2226" s="4" t="s">
        <v>4866</v>
      </c>
      <c r="P2226" s="4" t="s">
        <v>4860</v>
      </c>
      <c r="Q2226" s="1" t="str">
        <f>_xlfn.XLOOKUP(tblSales[[#This Row],[Channel Code]],tblChannels[Channel Code],tblChannels[Channel Name],"")</f>
        <v>In-store</v>
      </c>
      <c r="R2226" s="1">
        <f>MONTH(tblSales[[#This Row],[Date]])</f>
        <v>5</v>
      </c>
    </row>
    <row r="2227" spans="2:18" x14ac:dyDescent="0.35">
      <c r="B2227" s="113">
        <v>46156</v>
      </c>
      <c r="C2227" s="4" t="s">
        <v>1476</v>
      </c>
      <c r="D2227" s="4" t="s">
        <v>4568</v>
      </c>
      <c r="E2227" s="1" t="str">
        <f>_xlfn.XLOOKUP(tblSales[[#This Row],[Customer ID]],tblCustomers[Customer ID],tblCustomers[Customer Name],"⚠ Unknown")</f>
        <v>Walk-in Customer</v>
      </c>
      <c r="F2227" s="4" t="s">
        <v>7</v>
      </c>
      <c r="G2227" s="1" t="str">
        <f>_xlfn.XLOOKUP(tblSales[[#This Row],[Product Code]],tblProducts[Code],tblProducts[Product / Service Name],"⚠ Unknown")</f>
        <v>Premium Basic T-shirt</v>
      </c>
      <c r="H2227" s="1" t="str">
        <f>_xlfn.XLOOKUP(tblSales[[#This Row],[Product Code]],tblProducts[Code],tblProducts[Category],"")</f>
        <v>Accessories &amp; Basics</v>
      </c>
      <c r="I2227" s="4">
        <v>11</v>
      </c>
      <c r="J2227" s="5">
        <f>_xlfn.XLOOKUP(tblSales[[#This Row],[Product Code]],tblProducts[Code],tblProducts[Selling Price (excl. VAT)],0)</f>
        <v>65000</v>
      </c>
      <c r="K2227" s="5">
        <f>tblSales[[#This Row],[Qty]]*tblSales[[#This Row],[Unit Price]]</f>
        <v>715000</v>
      </c>
      <c r="L2227" s="5">
        <f>ROUND(tblSales[[#This Row],[DPP (excl. VAT)]]*VATEff,0)</f>
        <v>78650</v>
      </c>
      <c r="M2227" s="5">
        <f>tblSales[[#This Row],[DPP (excl. VAT)]]+tblSales[[#This Row],[Output VAT]]</f>
        <v>793650</v>
      </c>
      <c r="N2227" s="5">
        <f>tblSales[[#This Row],[Qty]]*_xlfn.XLOOKUP(tblSales[[#This Row],[Product Code]],tblProducts[Code],tblProducts[Unit Cost],0)</f>
        <v>407000</v>
      </c>
      <c r="O2227" s="4" t="s">
        <v>4865</v>
      </c>
      <c r="P2227" s="4" t="s">
        <v>4860</v>
      </c>
      <c r="Q2227" s="1" t="str">
        <f>_xlfn.XLOOKUP(tblSales[[#This Row],[Channel Code]],tblChannels[Channel Code],tblChannels[Channel Name],"")</f>
        <v>In-store</v>
      </c>
      <c r="R2227" s="1">
        <f>MONTH(tblSales[[#This Row],[Date]])</f>
        <v>5</v>
      </c>
    </row>
    <row r="2228" spans="2:18" x14ac:dyDescent="0.35">
      <c r="B2228" s="113">
        <v>46156</v>
      </c>
      <c r="C2228" s="4" t="s">
        <v>1477</v>
      </c>
      <c r="D2228" s="4" t="s">
        <v>4634</v>
      </c>
      <c r="E2228" s="1" t="str">
        <f>_xlfn.XLOOKUP(tblSales[[#This Row],[Customer ID]],tblCustomers[Customer ID],tblCustomers[Customer Name],"⚠ Unknown")</f>
        <v>PT Delta Inti Selaras</v>
      </c>
      <c r="F2228" s="4" t="s">
        <v>7</v>
      </c>
      <c r="G2228" s="1" t="str">
        <f>_xlfn.XLOOKUP(tblSales[[#This Row],[Product Code]],tblProducts[Code],tblProducts[Product / Service Name],"⚠ Unknown")</f>
        <v>Premium Basic T-shirt</v>
      </c>
      <c r="H2228" s="1" t="str">
        <f>_xlfn.XLOOKUP(tblSales[[#This Row],[Product Code]],tblProducts[Code],tblProducts[Category],"")</f>
        <v>Accessories &amp; Basics</v>
      </c>
      <c r="I2228" s="4">
        <v>64</v>
      </c>
      <c r="J2228" s="5">
        <f>_xlfn.XLOOKUP(tblSales[[#This Row],[Product Code]],tblProducts[Code],tblProducts[Selling Price (excl. VAT)],0)</f>
        <v>65000</v>
      </c>
      <c r="K2228" s="5">
        <f>tblSales[[#This Row],[Qty]]*tblSales[[#This Row],[Unit Price]]</f>
        <v>4160000</v>
      </c>
      <c r="L2228" s="5">
        <f>ROUND(tblSales[[#This Row],[DPP (excl. VAT)]]*VATEff,0)</f>
        <v>457600</v>
      </c>
      <c r="M2228" s="5">
        <f>tblSales[[#This Row],[DPP (excl. VAT)]]+tblSales[[#This Row],[Output VAT]]</f>
        <v>4617600</v>
      </c>
      <c r="N2228" s="5">
        <f>tblSales[[#This Row],[Qty]]*_xlfn.XLOOKUP(tblSales[[#This Row],[Product Code]],tblProducts[Code],tblProducts[Unit Cost],0)</f>
        <v>2368000</v>
      </c>
      <c r="O2228" s="4" t="s">
        <v>4867</v>
      </c>
      <c r="P2228" s="4" t="s">
        <v>4860</v>
      </c>
      <c r="Q2228" s="1" t="str">
        <f>_xlfn.XLOOKUP(tblSales[[#This Row],[Channel Code]],tblChannels[Channel Code],tblChannels[Channel Name],"")</f>
        <v>In-store</v>
      </c>
      <c r="R2228" s="1">
        <f>MONTH(tblSales[[#This Row],[Date]])</f>
        <v>5</v>
      </c>
    </row>
    <row r="2229" spans="2:18" x14ac:dyDescent="0.35">
      <c r="B2229" s="113">
        <v>46156</v>
      </c>
      <c r="C2229" s="4" t="s">
        <v>1477</v>
      </c>
      <c r="D2229" s="4" t="s">
        <v>4634</v>
      </c>
      <c r="E2229" s="1" t="str">
        <f>_xlfn.XLOOKUP(tblSales[[#This Row],[Customer ID]],tblCustomers[Customer ID],tblCustomers[Customer Name],"⚠ Unknown")</f>
        <v>PT Delta Inti Selaras</v>
      </c>
      <c r="F2229" s="4" t="s">
        <v>8</v>
      </c>
      <c r="G2229" s="1" t="str">
        <f>_xlfn.XLOOKUP(tblSales[[#This Row],[Product Code]],tblProducts[Code],tblProducts[Product / Service Name],"⚠ Unknown")</f>
        <v>Casual Shorts</v>
      </c>
      <c r="H2229" s="1" t="str">
        <f>_xlfn.XLOOKUP(tblSales[[#This Row],[Product Code]],tblProducts[Code],tblProducts[Category],"")</f>
        <v>Accessories &amp; Basics</v>
      </c>
      <c r="I2229" s="4">
        <v>96</v>
      </c>
      <c r="J2229" s="5">
        <f>_xlfn.XLOOKUP(tblSales[[#This Row],[Product Code]],tblProducts[Code],tblProducts[Selling Price (excl. VAT)],0)</f>
        <v>85000</v>
      </c>
      <c r="K2229" s="5">
        <f>tblSales[[#This Row],[Qty]]*tblSales[[#This Row],[Unit Price]]</f>
        <v>8160000</v>
      </c>
      <c r="L2229" s="5">
        <f>ROUND(tblSales[[#This Row],[DPP (excl. VAT)]]*VATEff,0)</f>
        <v>897600</v>
      </c>
      <c r="M2229" s="5">
        <f>tblSales[[#This Row],[DPP (excl. VAT)]]+tblSales[[#This Row],[Output VAT]]</f>
        <v>9057600</v>
      </c>
      <c r="N2229" s="5">
        <f>tblSales[[#This Row],[Qty]]*_xlfn.XLOOKUP(tblSales[[#This Row],[Product Code]],tblProducts[Code],tblProducts[Unit Cost],0)</f>
        <v>4800000</v>
      </c>
      <c r="O2229" s="4" t="s">
        <v>4867</v>
      </c>
      <c r="P2229" s="4" t="s">
        <v>4860</v>
      </c>
      <c r="Q2229" s="1" t="str">
        <f>_xlfn.XLOOKUP(tblSales[[#This Row],[Channel Code]],tblChannels[Channel Code],tblChannels[Channel Name],"")</f>
        <v>In-store</v>
      </c>
      <c r="R2229" s="1">
        <f>MONTH(tblSales[[#This Row],[Date]])</f>
        <v>5</v>
      </c>
    </row>
    <row r="2230" spans="2:18" x14ac:dyDescent="0.35">
      <c r="B2230" s="113">
        <v>46156</v>
      </c>
      <c r="C2230" s="4" t="s">
        <v>1478</v>
      </c>
      <c r="D2230" s="4" t="s">
        <v>4620</v>
      </c>
      <c r="E2230" s="1" t="str">
        <f>_xlfn.XLOOKUP(tblSales[[#This Row],[Customer ID]],tblCustomers[Customer ID],tblCustomers[Customer Name],"⚠ Unknown")</f>
        <v>CV Sumber Rejeki Utama</v>
      </c>
      <c r="F2230" s="4" t="s">
        <v>8</v>
      </c>
      <c r="G2230" s="1" t="str">
        <f>_xlfn.XLOOKUP(tblSales[[#This Row],[Product Code]],tblProducts[Code],tblProducts[Product / Service Name],"⚠ Unknown")</f>
        <v>Casual Shorts</v>
      </c>
      <c r="H2230" s="1" t="str">
        <f>_xlfn.XLOOKUP(tblSales[[#This Row],[Product Code]],tblProducts[Code],tblProducts[Category],"")</f>
        <v>Accessories &amp; Basics</v>
      </c>
      <c r="I2230" s="4">
        <v>16</v>
      </c>
      <c r="J2230" s="5">
        <f>_xlfn.XLOOKUP(tblSales[[#This Row],[Product Code]],tblProducts[Code],tblProducts[Selling Price (excl. VAT)],0)</f>
        <v>85000</v>
      </c>
      <c r="K2230" s="5">
        <f>tblSales[[#This Row],[Qty]]*tblSales[[#This Row],[Unit Price]]</f>
        <v>1360000</v>
      </c>
      <c r="L2230" s="5">
        <f>ROUND(tblSales[[#This Row],[DPP (excl. VAT)]]*VATEff,0)</f>
        <v>149600</v>
      </c>
      <c r="M2230" s="5">
        <f>tblSales[[#This Row],[DPP (excl. VAT)]]+tblSales[[#This Row],[Output VAT]]</f>
        <v>1509600</v>
      </c>
      <c r="N2230" s="5">
        <f>tblSales[[#This Row],[Qty]]*_xlfn.XLOOKUP(tblSales[[#This Row],[Product Code]],tblProducts[Code],tblProducts[Unit Cost],0)</f>
        <v>800000</v>
      </c>
      <c r="O2230" s="4" t="s">
        <v>4867</v>
      </c>
      <c r="P2230" s="4" t="s">
        <v>4862</v>
      </c>
      <c r="Q2230" s="1" t="str">
        <f>_xlfn.XLOOKUP(tblSales[[#This Row],[Channel Code]],tblChannels[Channel Code],tblChannels[Channel Name],"")</f>
        <v>Website &amp; Social Media</v>
      </c>
      <c r="R2230" s="1">
        <f>MONTH(tblSales[[#This Row],[Date]])</f>
        <v>5</v>
      </c>
    </row>
    <row r="2231" spans="2:18" x14ac:dyDescent="0.35">
      <c r="B2231" s="113">
        <v>46156</v>
      </c>
      <c r="C2231" s="4" t="s">
        <v>1479</v>
      </c>
      <c r="D2231" s="4" t="s">
        <v>4568</v>
      </c>
      <c r="E2231" s="1" t="str">
        <f>_xlfn.XLOOKUP(tblSales[[#This Row],[Customer ID]],tblCustomers[Customer ID],tblCustomers[Customer Name],"⚠ Unknown")</f>
        <v>Walk-in Customer</v>
      </c>
      <c r="F2231" s="4" t="s">
        <v>6</v>
      </c>
      <c r="G2231" s="1" t="str">
        <f>_xlfn.XLOOKUP(tblSales[[#This Row],[Product Code]],tblProducts[Code],tblProducts[Product / Service Name],"⚠ Unknown")</f>
        <v>Socks &amp; Accessories</v>
      </c>
      <c r="H2231" s="1" t="str">
        <f>_xlfn.XLOOKUP(tblSales[[#This Row],[Product Code]],tblProducts[Code],tblProducts[Category],"")</f>
        <v>Accessories &amp; Basics</v>
      </c>
      <c r="I2231" s="4">
        <v>11</v>
      </c>
      <c r="J2231" s="5">
        <f>_xlfn.XLOOKUP(tblSales[[#This Row],[Product Code]],tblProducts[Code],tblProducts[Selling Price (excl. VAT)],0)</f>
        <v>45000</v>
      </c>
      <c r="K2231" s="5">
        <f>tblSales[[#This Row],[Qty]]*tblSales[[#This Row],[Unit Price]]</f>
        <v>495000</v>
      </c>
      <c r="L2231" s="5">
        <f>ROUND(tblSales[[#This Row],[DPP (excl. VAT)]]*VATEff,0)</f>
        <v>54450</v>
      </c>
      <c r="M2231" s="5">
        <f>tblSales[[#This Row],[DPP (excl. VAT)]]+tblSales[[#This Row],[Output VAT]]</f>
        <v>549450</v>
      </c>
      <c r="N2231" s="5">
        <f>tblSales[[#This Row],[Qty]]*_xlfn.XLOOKUP(tblSales[[#This Row],[Product Code]],tblProducts[Code],tblProducts[Unit Cost],0)</f>
        <v>264000</v>
      </c>
      <c r="O2231" s="4" t="s">
        <v>4866</v>
      </c>
      <c r="P2231" s="4" t="s">
        <v>4860</v>
      </c>
      <c r="Q2231" s="1" t="str">
        <f>_xlfn.XLOOKUP(tblSales[[#This Row],[Channel Code]],tblChannels[Channel Code],tblChannels[Channel Name],"")</f>
        <v>In-store</v>
      </c>
      <c r="R2231" s="1">
        <f>MONTH(tblSales[[#This Row],[Date]])</f>
        <v>5</v>
      </c>
    </row>
    <row r="2232" spans="2:18" x14ac:dyDescent="0.35">
      <c r="B2232" s="113">
        <v>46156</v>
      </c>
      <c r="C2232" s="4" t="s">
        <v>1479</v>
      </c>
      <c r="D2232" s="4" t="s">
        <v>4568</v>
      </c>
      <c r="E2232" s="1" t="str">
        <f>_xlfn.XLOOKUP(tblSales[[#This Row],[Customer ID]],tblCustomers[Customer ID],tblCustomers[Customer Name],"⚠ Unknown")</f>
        <v>Walk-in Customer</v>
      </c>
      <c r="F2232" s="4" t="s">
        <v>10</v>
      </c>
      <c r="G2232" s="1" t="str">
        <f>_xlfn.XLOOKUP(tblSales[[#This Row],[Product Code]],tblProducts[Code],tblProducts[Product / Service Name],"⚠ Unknown")</f>
        <v>Chino Pants</v>
      </c>
      <c r="H2232" s="1" t="str">
        <f>_xlfn.XLOOKUP(tblSales[[#This Row],[Product Code]],tblProducts[Code],tblProducts[Category],"")</f>
        <v>Apparel &amp; Footwear</v>
      </c>
      <c r="I2232" s="4">
        <v>8</v>
      </c>
      <c r="J2232" s="5">
        <f>_xlfn.XLOOKUP(tblSales[[#This Row],[Product Code]],tblProducts[Code],tblProducts[Selling Price (excl. VAT)],0)</f>
        <v>150000</v>
      </c>
      <c r="K2232" s="5">
        <f>tblSales[[#This Row],[Qty]]*tblSales[[#This Row],[Unit Price]]</f>
        <v>1200000</v>
      </c>
      <c r="L2232" s="5">
        <f>ROUND(tblSales[[#This Row],[DPP (excl. VAT)]]*VATEff,0)</f>
        <v>132000</v>
      </c>
      <c r="M2232" s="5">
        <f>tblSales[[#This Row],[DPP (excl. VAT)]]+tblSales[[#This Row],[Output VAT]]</f>
        <v>1332000</v>
      </c>
      <c r="N2232" s="5">
        <f>tblSales[[#This Row],[Qty]]*_xlfn.XLOOKUP(tblSales[[#This Row],[Product Code]],tblProducts[Code],tblProducts[Unit Cost],0)</f>
        <v>704000</v>
      </c>
      <c r="O2232" s="4" t="s">
        <v>4866</v>
      </c>
      <c r="P2232" s="4" t="s">
        <v>4860</v>
      </c>
      <c r="Q2232" s="1" t="str">
        <f>_xlfn.XLOOKUP(tblSales[[#This Row],[Channel Code]],tblChannels[Channel Code],tblChannels[Channel Name],"")</f>
        <v>In-store</v>
      </c>
      <c r="R2232" s="1">
        <f>MONTH(tblSales[[#This Row],[Date]])</f>
        <v>5</v>
      </c>
    </row>
    <row r="2233" spans="2:18" x14ac:dyDescent="0.35">
      <c r="B2233" s="113">
        <v>46157</v>
      </c>
      <c r="C2233" s="4" t="s">
        <v>1480</v>
      </c>
      <c r="D2233" s="4" t="s">
        <v>4568</v>
      </c>
      <c r="E2233" s="1" t="str">
        <f>_xlfn.XLOOKUP(tblSales[[#This Row],[Customer ID]],tblCustomers[Customer ID],tblCustomers[Customer Name],"⚠ Unknown")</f>
        <v>Walk-in Customer</v>
      </c>
      <c r="F2233" s="4" t="s">
        <v>7</v>
      </c>
      <c r="G2233" s="1" t="str">
        <f>_xlfn.XLOOKUP(tblSales[[#This Row],[Product Code]],tblProducts[Code],tblProducts[Product / Service Name],"⚠ Unknown")</f>
        <v>Premium Basic T-shirt</v>
      </c>
      <c r="H2233" s="1" t="str">
        <f>_xlfn.XLOOKUP(tblSales[[#This Row],[Product Code]],tblProducts[Code],tblProducts[Category],"")</f>
        <v>Accessories &amp; Basics</v>
      </c>
      <c r="I2233" s="4">
        <v>1</v>
      </c>
      <c r="J2233" s="5">
        <f>_xlfn.XLOOKUP(tblSales[[#This Row],[Product Code]],tblProducts[Code],tblProducts[Selling Price (excl. VAT)],0)</f>
        <v>65000</v>
      </c>
      <c r="K2233" s="5">
        <f>tblSales[[#This Row],[Qty]]*tblSales[[#This Row],[Unit Price]]</f>
        <v>65000</v>
      </c>
      <c r="L2233" s="5">
        <f>ROUND(tblSales[[#This Row],[DPP (excl. VAT)]]*VATEff,0)</f>
        <v>7150</v>
      </c>
      <c r="M2233" s="5">
        <f>tblSales[[#This Row],[DPP (excl. VAT)]]+tblSales[[#This Row],[Output VAT]]</f>
        <v>72150</v>
      </c>
      <c r="N2233" s="5">
        <f>tblSales[[#This Row],[Qty]]*_xlfn.XLOOKUP(tblSales[[#This Row],[Product Code]],tblProducts[Code],tblProducts[Unit Cost],0)</f>
        <v>37000</v>
      </c>
      <c r="O2233" s="4" t="s">
        <v>4866</v>
      </c>
      <c r="P2233" s="4" t="s">
        <v>4861</v>
      </c>
      <c r="Q2233" s="1" t="str">
        <f>_xlfn.XLOOKUP(tblSales[[#This Row],[Channel Code]],tblChannels[Channel Code],tblChannels[Channel Name],"")</f>
        <v>Marketplace</v>
      </c>
      <c r="R2233" s="1">
        <f>MONTH(tblSales[[#This Row],[Date]])</f>
        <v>5</v>
      </c>
    </row>
    <row r="2234" spans="2:18" x14ac:dyDescent="0.35">
      <c r="B2234" s="113">
        <v>46157</v>
      </c>
      <c r="C2234" s="4" t="s">
        <v>1481</v>
      </c>
      <c r="D2234" s="4" t="s">
        <v>4593</v>
      </c>
      <c r="E2234" s="1" t="str">
        <f>_xlfn.XLOOKUP(tblSales[[#This Row],[Customer ID]],tblCustomers[Customer ID],tblCustomers[Customer Name],"⚠ Unknown")</f>
        <v>PT Graha Nusa Persada</v>
      </c>
      <c r="F2234" s="4" t="s">
        <v>14</v>
      </c>
      <c r="G2234" s="1" t="str">
        <f>_xlfn.XLOOKUP(tblSales[[#This Row],[Product Code]],tblProducts[Code],tblProducts[Product / Service Name],"⚠ Unknown")</f>
        <v>Smartwatch</v>
      </c>
      <c r="H2234" s="1" t="str">
        <f>_xlfn.XLOOKUP(tblSales[[#This Row],[Product Code]],tblProducts[Code],tblProducts[Category],"")</f>
        <v>Bags &amp; Gadgets</v>
      </c>
      <c r="I2234" s="4">
        <v>24</v>
      </c>
      <c r="J2234" s="5">
        <f>_xlfn.XLOOKUP(tblSales[[#This Row],[Product Code]],tblProducts[Code],tblProducts[Selling Price (excl. VAT)],0)</f>
        <v>850000</v>
      </c>
      <c r="K2234" s="5">
        <f>tblSales[[#This Row],[Qty]]*tblSales[[#This Row],[Unit Price]]</f>
        <v>20400000</v>
      </c>
      <c r="L2234" s="5">
        <f>ROUND(tblSales[[#This Row],[DPP (excl. VAT)]]*VATEff,0)</f>
        <v>2244000</v>
      </c>
      <c r="M2234" s="5">
        <f>tblSales[[#This Row],[DPP (excl. VAT)]]+tblSales[[#This Row],[Output VAT]]</f>
        <v>22644000</v>
      </c>
      <c r="N2234" s="5">
        <f>tblSales[[#This Row],[Qty]]*_xlfn.XLOOKUP(tblSales[[#This Row],[Product Code]],tblProducts[Code],tblProducts[Unit Cost],0)</f>
        <v>13440000</v>
      </c>
      <c r="O2234" s="4" t="s">
        <v>4867</v>
      </c>
      <c r="P2234" s="4" t="s">
        <v>4860</v>
      </c>
      <c r="Q2234" s="1" t="str">
        <f>_xlfn.XLOOKUP(tblSales[[#This Row],[Channel Code]],tblChannels[Channel Code],tblChannels[Channel Name],"")</f>
        <v>In-store</v>
      </c>
      <c r="R2234" s="1">
        <f>MONTH(tblSales[[#This Row],[Date]])</f>
        <v>5</v>
      </c>
    </row>
    <row r="2235" spans="2:18" x14ac:dyDescent="0.35">
      <c r="B2235" s="113">
        <v>46157</v>
      </c>
      <c r="C2235" s="4" t="s">
        <v>1482</v>
      </c>
      <c r="D2235" s="4" t="s">
        <v>4568</v>
      </c>
      <c r="E2235" s="1" t="str">
        <f>_xlfn.XLOOKUP(tblSales[[#This Row],[Customer ID]],tblCustomers[Customer ID],tblCustomers[Customer Name],"⚠ Unknown")</f>
        <v>Walk-in Customer</v>
      </c>
      <c r="F2235" s="4" t="s">
        <v>13</v>
      </c>
      <c r="G2235" s="1" t="str">
        <f>_xlfn.XLOOKUP(tblSales[[#This Row],[Product Code]],tblProducts[Code],tblProducts[Product / Service Name],"⚠ Unknown")</f>
        <v>Backpack</v>
      </c>
      <c r="H2235" s="1" t="str">
        <f>_xlfn.XLOOKUP(tblSales[[#This Row],[Product Code]],tblProducts[Code],tblProducts[Category],"")</f>
        <v>Bags &amp; Gadgets</v>
      </c>
      <c r="I2235" s="4">
        <v>1</v>
      </c>
      <c r="J2235" s="5">
        <f>_xlfn.XLOOKUP(tblSales[[#This Row],[Product Code]],tblProducts[Code],tblProducts[Selling Price (excl. VAT)],0)</f>
        <v>500000</v>
      </c>
      <c r="K2235" s="5">
        <f>tblSales[[#This Row],[Qty]]*tblSales[[#This Row],[Unit Price]]</f>
        <v>500000</v>
      </c>
      <c r="L2235" s="5">
        <f>ROUND(tblSales[[#This Row],[DPP (excl. VAT)]]*VATEff,0)</f>
        <v>55000</v>
      </c>
      <c r="M2235" s="5">
        <f>tblSales[[#This Row],[DPP (excl. VAT)]]+tblSales[[#This Row],[Output VAT]]</f>
        <v>555000</v>
      </c>
      <c r="N2235" s="5">
        <f>tblSales[[#This Row],[Qty]]*_xlfn.XLOOKUP(tblSales[[#This Row],[Product Code]],tblProducts[Code],tblProducts[Unit Cost],0)</f>
        <v>290000</v>
      </c>
      <c r="O2235" s="4" t="s">
        <v>4865</v>
      </c>
      <c r="P2235" s="4" t="s">
        <v>4860</v>
      </c>
      <c r="Q2235" s="1" t="str">
        <f>_xlfn.XLOOKUP(tblSales[[#This Row],[Channel Code]],tblChannels[Channel Code],tblChannels[Channel Name],"")</f>
        <v>In-store</v>
      </c>
      <c r="R2235" s="1">
        <f>MONTH(tblSales[[#This Row],[Date]])</f>
        <v>5</v>
      </c>
    </row>
    <row r="2236" spans="2:18" x14ac:dyDescent="0.35">
      <c r="B2236" s="113">
        <v>46157</v>
      </c>
      <c r="C2236" s="4" t="s">
        <v>1483</v>
      </c>
      <c r="D2236" s="4" t="s">
        <v>4568</v>
      </c>
      <c r="E2236" s="1" t="str">
        <f>_xlfn.XLOOKUP(tblSales[[#This Row],[Customer ID]],tblCustomers[Customer ID],tblCustomers[Customer Name],"⚠ Unknown")</f>
        <v>Walk-in Customer</v>
      </c>
      <c r="F2236" s="4" t="s">
        <v>12</v>
      </c>
      <c r="G2236" s="1" t="str">
        <f>_xlfn.XLOOKUP(tblSales[[#This Row],[Product Code]],tblProducts[Code],tblProducts[Product / Service Name],"⚠ Unknown")</f>
        <v>Bomber Jacket</v>
      </c>
      <c r="H2236" s="1" t="str">
        <f>_xlfn.XLOOKUP(tblSales[[#This Row],[Product Code]],tblProducts[Code],tblProducts[Category],"")</f>
        <v>Apparel &amp; Footwear</v>
      </c>
      <c r="I2236" s="4">
        <v>5</v>
      </c>
      <c r="J2236" s="5">
        <f>_xlfn.XLOOKUP(tblSales[[#This Row],[Product Code]],tblProducts[Code],tblProducts[Selling Price (excl. VAT)],0)</f>
        <v>350000</v>
      </c>
      <c r="K2236" s="5">
        <f>tblSales[[#This Row],[Qty]]*tblSales[[#This Row],[Unit Price]]</f>
        <v>1750000</v>
      </c>
      <c r="L2236" s="5">
        <f>ROUND(tblSales[[#This Row],[DPP (excl. VAT)]]*VATEff,0)</f>
        <v>192500</v>
      </c>
      <c r="M2236" s="5">
        <f>tblSales[[#This Row],[DPP (excl. VAT)]]+tblSales[[#This Row],[Output VAT]]</f>
        <v>1942500</v>
      </c>
      <c r="N2236" s="5">
        <f>tblSales[[#This Row],[Qty]]*_xlfn.XLOOKUP(tblSales[[#This Row],[Product Code]],tblProducts[Code],tblProducts[Unit Cost],0)</f>
        <v>1050000</v>
      </c>
      <c r="O2236" s="4" t="s">
        <v>4866</v>
      </c>
      <c r="P2236" s="4" t="s">
        <v>4862</v>
      </c>
      <c r="Q2236" s="1" t="str">
        <f>_xlfn.XLOOKUP(tblSales[[#This Row],[Channel Code]],tblChannels[Channel Code],tblChannels[Channel Name],"")</f>
        <v>Website &amp; Social Media</v>
      </c>
      <c r="R2236" s="1">
        <f>MONTH(tblSales[[#This Row],[Date]])</f>
        <v>5</v>
      </c>
    </row>
    <row r="2237" spans="2:18" x14ac:dyDescent="0.35">
      <c r="B2237" s="113">
        <v>46157</v>
      </c>
      <c r="C2237" s="4" t="s">
        <v>1484</v>
      </c>
      <c r="D2237" s="4" t="s">
        <v>4627</v>
      </c>
      <c r="E2237" s="1" t="str">
        <f>_xlfn.XLOOKUP(tblSales[[#This Row],[Customer ID]],tblCustomers[Customer ID],tblCustomers[Customer Name],"⚠ Unknown")</f>
        <v>PT Kencana Wira Usaha</v>
      </c>
      <c r="F2237" s="4" t="s">
        <v>13</v>
      </c>
      <c r="G2237" s="1" t="str">
        <f>_xlfn.XLOOKUP(tblSales[[#This Row],[Product Code]],tblProducts[Code],tblProducts[Product / Service Name],"⚠ Unknown")</f>
        <v>Backpack</v>
      </c>
      <c r="H2237" s="1" t="str">
        <f>_xlfn.XLOOKUP(tblSales[[#This Row],[Product Code]],tblProducts[Code],tblProducts[Category],"")</f>
        <v>Bags &amp; Gadgets</v>
      </c>
      <c r="I2237" s="4">
        <v>24</v>
      </c>
      <c r="J2237" s="5">
        <f>_xlfn.XLOOKUP(tblSales[[#This Row],[Product Code]],tblProducts[Code],tblProducts[Selling Price (excl. VAT)],0)</f>
        <v>500000</v>
      </c>
      <c r="K2237" s="5">
        <f>tblSales[[#This Row],[Qty]]*tblSales[[#This Row],[Unit Price]]</f>
        <v>12000000</v>
      </c>
      <c r="L2237" s="5">
        <f>ROUND(tblSales[[#This Row],[DPP (excl. VAT)]]*VATEff,0)</f>
        <v>1320000</v>
      </c>
      <c r="M2237" s="5">
        <f>tblSales[[#This Row],[DPP (excl. VAT)]]+tblSales[[#This Row],[Output VAT]]</f>
        <v>13320000</v>
      </c>
      <c r="N2237" s="5">
        <f>tblSales[[#This Row],[Qty]]*_xlfn.XLOOKUP(tblSales[[#This Row],[Product Code]],tblProducts[Code],tblProducts[Unit Cost],0)</f>
        <v>6960000</v>
      </c>
      <c r="O2237" s="4" t="s">
        <v>4867</v>
      </c>
      <c r="P2237" s="4" t="s">
        <v>4860</v>
      </c>
      <c r="Q2237" s="1" t="str">
        <f>_xlfn.XLOOKUP(tblSales[[#This Row],[Channel Code]],tblChannels[Channel Code],tblChannels[Channel Name],"")</f>
        <v>In-store</v>
      </c>
      <c r="R2237" s="1">
        <f>MONTH(tblSales[[#This Row],[Date]])</f>
        <v>5</v>
      </c>
    </row>
    <row r="2238" spans="2:18" x14ac:dyDescent="0.35">
      <c r="B2238" s="113">
        <v>46157</v>
      </c>
      <c r="C2238" s="4" t="s">
        <v>1484</v>
      </c>
      <c r="D2238" s="4" t="s">
        <v>4627</v>
      </c>
      <c r="E2238" s="1" t="str">
        <f>_xlfn.XLOOKUP(tblSales[[#This Row],[Customer ID]],tblCustomers[Customer ID],tblCustomers[Customer Name],"⚠ Unknown")</f>
        <v>PT Kencana Wira Usaha</v>
      </c>
      <c r="F2238" s="4" t="s">
        <v>11</v>
      </c>
      <c r="G2238" s="1" t="str">
        <f>_xlfn.XLOOKUP(tblSales[[#This Row],[Product Code]],tblProducts[Code],tblProducts[Product / Service Name],"⚠ Unknown")</f>
        <v>Sneakers</v>
      </c>
      <c r="H2238" s="1" t="str">
        <f>_xlfn.XLOOKUP(tblSales[[#This Row],[Product Code]],tblProducts[Code],tblProducts[Category],"")</f>
        <v>Apparel &amp; Footwear</v>
      </c>
      <c r="I2238" s="4">
        <v>48</v>
      </c>
      <c r="J2238" s="5">
        <f>_xlfn.XLOOKUP(tblSales[[#This Row],[Product Code]],tblProducts[Code],tblProducts[Selling Price (excl. VAT)],0)</f>
        <v>250000</v>
      </c>
      <c r="K2238" s="5">
        <f>tblSales[[#This Row],[Qty]]*tblSales[[#This Row],[Unit Price]]</f>
        <v>12000000</v>
      </c>
      <c r="L2238" s="5">
        <f>ROUND(tblSales[[#This Row],[DPP (excl. VAT)]]*VATEff,0)</f>
        <v>1320000</v>
      </c>
      <c r="M2238" s="5">
        <f>tblSales[[#This Row],[DPP (excl. VAT)]]+tblSales[[#This Row],[Output VAT]]</f>
        <v>13320000</v>
      </c>
      <c r="N2238" s="5">
        <f>tblSales[[#This Row],[Qty]]*_xlfn.XLOOKUP(tblSales[[#This Row],[Product Code]],tblProducts[Code],tblProducts[Unit Cost],0)</f>
        <v>7440000</v>
      </c>
      <c r="O2238" s="4" t="s">
        <v>4867</v>
      </c>
      <c r="P2238" s="4" t="s">
        <v>4860</v>
      </c>
      <c r="Q2238" s="1" t="str">
        <f>_xlfn.XLOOKUP(tblSales[[#This Row],[Channel Code]],tblChannels[Channel Code],tblChannels[Channel Name],"")</f>
        <v>In-store</v>
      </c>
      <c r="R2238" s="1">
        <f>MONTH(tblSales[[#This Row],[Date]])</f>
        <v>5</v>
      </c>
    </row>
    <row r="2239" spans="2:18" x14ac:dyDescent="0.35">
      <c r="B2239" s="113">
        <v>46157</v>
      </c>
      <c r="C2239" s="4" t="s">
        <v>1485</v>
      </c>
      <c r="D2239" s="4" t="s">
        <v>4568</v>
      </c>
      <c r="E2239" s="1" t="str">
        <f>_xlfn.XLOOKUP(tblSales[[#This Row],[Customer ID]],tblCustomers[Customer ID],tblCustomers[Customer Name],"⚠ Unknown")</f>
        <v>Walk-in Customer</v>
      </c>
      <c r="F2239" s="4" t="s">
        <v>12</v>
      </c>
      <c r="G2239" s="1" t="str">
        <f>_xlfn.XLOOKUP(tblSales[[#This Row],[Product Code]],tblProducts[Code],tblProducts[Product / Service Name],"⚠ Unknown")</f>
        <v>Bomber Jacket</v>
      </c>
      <c r="H2239" s="1" t="str">
        <f>_xlfn.XLOOKUP(tblSales[[#This Row],[Product Code]],tblProducts[Code],tblProducts[Category],"")</f>
        <v>Apparel &amp; Footwear</v>
      </c>
      <c r="I2239" s="4">
        <v>6</v>
      </c>
      <c r="J2239" s="5">
        <f>_xlfn.XLOOKUP(tblSales[[#This Row],[Product Code]],tblProducts[Code],tblProducts[Selling Price (excl. VAT)],0)</f>
        <v>350000</v>
      </c>
      <c r="K2239" s="5">
        <f>tblSales[[#This Row],[Qty]]*tblSales[[#This Row],[Unit Price]]</f>
        <v>2100000</v>
      </c>
      <c r="L2239" s="5">
        <f>ROUND(tblSales[[#This Row],[DPP (excl. VAT)]]*VATEff,0)</f>
        <v>231000</v>
      </c>
      <c r="M2239" s="5">
        <f>tblSales[[#This Row],[DPP (excl. VAT)]]+tblSales[[#This Row],[Output VAT]]</f>
        <v>2331000</v>
      </c>
      <c r="N2239" s="5">
        <f>tblSales[[#This Row],[Qty]]*_xlfn.XLOOKUP(tblSales[[#This Row],[Product Code]],tblProducts[Code],tblProducts[Unit Cost],0)</f>
        <v>1260000</v>
      </c>
      <c r="O2239" s="4" t="s">
        <v>4865</v>
      </c>
      <c r="P2239" s="4" t="s">
        <v>4860</v>
      </c>
      <c r="Q2239" s="1" t="str">
        <f>_xlfn.XLOOKUP(tblSales[[#This Row],[Channel Code]],tblChannels[Channel Code],tblChannels[Channel Name],"")</f>
        <v>In-store</v>
      </c>
      <c r="R2239" s="1">
        <f>MONTH(tblSales[[#This Row],[Date]])</f>
        <v>5</v>
      </c>
    </row>
    <row r="2240" spans="2:18" x14ac:dyDescent="0.35">
      <c r="B2240" s="113">
        <v>46157</v>
      </c>
      <c r="C2240" s="4" t="s">
        <v>1485</v>
      </c>
      <c r="D2240" s="4" t="s">
        <v>4568</v>
      </c>
      <c r="E2240" s="1" t="str">
        <f>_xlfn.XLOOKUP(tblSales[[#This Row],[Customer ID]],tblCustomers[Customer ID],tblCustomers[Customer Name],"⚠ Unknown")</f>
        <v>Walk-in Customer</v>
      </c>
      <c r="F2240" s="4" t="s">
        <v>10</v>
      </c>
      <c r="G2240" s="1" t="str">
        <f>_xlfn.XLOOKUP(tblSales[[#This Row],[Product Code]],tblProducts[Code],tblProducts[Product / Service Name],"⚠ Unknown")</f>
        <v>Chino Pants</v>
      </c>
      <c r="H2240" s="1" t="str">
        <f>_xlfn.XLOOKUP(tblSales[[#This Row],[Product Code]],tblProducts[Code],tblProducts[Category],"")</f>
        <v>Apparel &amp; Footwear</v>
      </c>
      <c r="I2240" s="4">
        <v>9</v>
      </c>
      <c r="J2240" s="5">
        <f>_xlfn.XLOOKUP(tblSales[[#This Row],[Product Code]],tblProducts[Code],tblProducts[Selling Price (excl. VAT)],0)</f>
        <v>150000</v>
      </c>
      <c r="K2240" s="5">
        <f>tblSales[[#This Row],[Qty]]*tblSales[[#This Row],[Unit Price]]</f>
        <v>1350000</v>
      </c>
      <c r="L2240" s="5">
        <f>ROUND(tblSales[[#This Row],[DPP (excl. VAT)]]*VATEff,0)</f>
        <v>148500</v>
      </c>
      <c r="M2240" s="5">
        <f>tblSales[[#This Row],[DPP (excl. VAT)]]+tblSales[[#This Row],[Output VAT]]</f>
        <v>1498500</v>
      </c>
      <c r="N2240" s="5">
        <f>tblSales[[#This Row],[Qty]]*_xlfn.XLOOKUP(tblSales[[#This Row],[Product Code]],tblProducts[Code],tblProducts[Unit Cost],0)</f>
        <v>792000</v>
      </c>
      <c r="O2240" s="4" t="s">
        <v>4865</v>
      </c>
      <c r="P2240" s="4" t="s">
        <v>4860</v>
      </c>
      <c r="Q2240" s="1" t="str">
        <f>_xlfn.XLOOKUP(tblSales[[#This Row],[Channel Code]],tblChannels[Channel Code],tblChannels[Channel Name],"")</f>
        <v>In-store</v>
      </c>
      <c r="R2240" s="1">
        <f>MONTH(tblSales[[#This Row],[Date]])</f>
        <v>5</v>
      </c>
    </row>
    <row r="2241" spans="2:18" x14ac:dyDescent="0.35">
      <c r="B2241" s="113">
        <v>46157</v>
      </c>
      <c r="C2241" s="4" t="s">
        <v>1486</v>
      </c>
      <c r="D2241" s="4" t="s">
        <v>4620</v>
      </c>
      <c r="E2241" s="1" t="str">
        <f>_xlfn.XLOOKUP(tblSales[[#This Row],[Customer ID]],tblCustomers[Customer ID],tblCustomers[Customer Name],"⚠ Unknown")</f>
        <v>CV Sumber Rejeki Utama</v>
      </c>
      <c r="F2241" s="4" t="s">
        <v>11</v>
      </c>
      <c r="G2241" s="1" t="str">
        <f>_xlfn.XLOOKUP(tblSales[[#This Row],[Product Code]],tblProducts[Code],tblProducts[Product / Service Name],"⚠ Unknown")</f>
        <v>Sneakers</v>
      </c>
      <c r="H2241" s="1" t="str">
        <f>_xlfn.XLOOKUP(tblSales[[#This Row],[Product Code]],tblProducts[Code],tblProducts[Category],"")</f>
        <v>Apparel &amp; Footwear</v>
      </c>
      <c r="I2241" s="4">
        <v>40</v>
      </c>
      <c r="J2241" s="5">
        <f>_xlfn.XLOOKUP(tblSales[[#This Row],[Product Code]],tblProducts[Code],tblProducts[Selling Price (excl. VAT)],0)</f>
        <v>250000</v>
      </c>
      <c r="K2241" s="5">
        <f>tblSales[[#This Row],[Qty]]*tblSales[[#This Row],[Unit Price]]</f>
        <v>10000000</v>
      </c>
      <c r="L2241" s="5">
        <f>ROUND(tblSales[[#This Row],[DPP (excl. VAT)]]*VATEff,0)</f>
        <v>1100000</v>
      </c>
      <c r="M2241" s="5">
        <f>tblSales[[#This Row],[DPP (excl. VAT)]]+tblSales[[#This Row],[Output VAT]]</f>
        <v>11100000</v>
      </c>
      <c r="N2241" s="5">
        <f>tblSales[[#This Row],[Qty]]*_xlfn.XLOOKUP(tblSales[[#This Row],[Product Code]],tblProducts[Code],tblProducts[Unit Cost],0)</f>
        <v>6200000</v>
      </c>
      <c r="O2241" s="4" t="s">
        <v>4867</v>
      </c>
      <c r="P2241" s="4" t="s">
        <v>4860</v>
      </c>
      <c r="Q2241" s="1" t="str">
        <f>_xlfn.XLOOKUP(tblSales[[#This Row],[Channel Code]],tblChannels[Channel Code],tblChannels[Channel Name],"")</f>
        <v>In-store</v>
      </c>
      <c r="R2241" s="1">
        <f>MONTH(tblSales[[#This Row],[Date]])</f>
        <v>5</v>
      </c>
    </row>
    <row r="2242" spans="2:18" x14ac:dyDescent="0.35">
      <c r="B2242" s="113">
        <v>46157</v>
      </c>
      <c r="C2242" s="4" t="s">
        <v>1487</v>
      </c>
      <c r="D2242" s="4" t="s">
        <v>4627</v>
      </c>
      <c r="E2242" s="1" t="str">
        <f>_xlfn.XLOOKUP(tblSales[[#This Row],[Customer ID]],tblCustomers[Customer ID],tblCustomers[Customer Name],"⚠ Unknown")</f>
        <v>PT Kencana Wira Usaha</v>
      </c>
      <c r="F2242" s="4" t="s">
        <v>7</v>
      </c>
      <c r="G2242" s="1" t="str">
        <f>_xlfn.XLOOKUP(tblSales[[#This Row],[Product Code]],tblProducts[Code],tblProducts[Product / Service Name],"⚠ Unknown")</f>
        <v>Premium Basic T-shirt</v>
      </c>
      <c r="H2242" s="1" t="str">
        <f>_xlfn.XLOOKUP(tblSales[[#This Row],[Product Code]],tblProducts[Code],tblProducts[Category],"")</f>
        <v>Accessories &amp; Basics</v>
      </c>
      <c r="I2242" s="4">
        <v>8</v>
      </c>
      <c r="J2242" s="5">
        <f>_xlfn.XLOOKUP(tblSales[[#This Row],[Product Code]],tblProducts[Code],tblProducts[Selling Price (excl. VAT)],0)</f>
        <v>65000</v>
      </c>
      <c r="K2242" s="5">
        <f>tblSales[[#This Row],[Qty]]*tblSales[[#This Row],[Unit Price]]</f>
        <v>520000</v>
      </c>
      <c r="L2242" s="5">
        <f>ROUND(tblSales[[#This Row],[DPP (excl. VAT)]]*VATEff,0)</f>
        <v>57200</v>
      </c>
      <c r="M2242" s="5">
        <f>tblSales[[#This Row],[DPP (excl. VAT)]]+tblSales[[#This Row],[Output VAT]]</f>
        <v>577200</v>
      </c>
      <c r="N2242" s="5">
        <f>tblSales[[#This Row],[Qty]]*_xlfn.XLOOKUP(tblSales[[#This Row],[Product Code]],tblProducts[Code],tblProducts[Unit Cost],0)</f>
        <v>296000</v>
      </c>
      <c r="O2242" s="4" t="s">
        <v>4867</v>
      </c>
      <c r="P2242" s="4" t="s">
        <v>4862</v>
      </c>
      <c r="Q2242" s="1" t="str">
        <f>_xlfn.XLOOKUP(tblSales[[#This Row],[Channel Code]],tblChannels[Channel Code],tblChannels[Channel Name],"")</f>
        <v>Website &amp; Social Media</v>
      </c>
      <c r="R2242" s="1">
        <f>MONTH(tblSales[[#This Row],[Date]])</f>
        <v>5</v>
      </c>
    </row>
    <row r="2243" spans="2:18" x14ac:dyDescent="0.35">
      <c r="B2243" s="113">
        <v>46157</v>
      </c>
      <c r="C2243" s="4" t="s">
        <v>1488</v>
      </c>
      <c r="D2243" s="4" t="s">
        <v>4568</v>
      </c>
      <c r="E2243" s="1" t="str">
        <f>_xlfn.XLOOKUP(tblSales[[#This Row],[Customer ID]],tblCustomers[Customer ID],tblCustomers[Customer Name],"⚠ Unknown")</f>
        <v>Walk-in Customer</v>
      </c>
      <c r="F2243" s="4" t="s">
        <v>7</v>
      </c>
      <c r="G2243" s="1" t="str">
        <f>_xlfn.XLOOKUP(tblSales[[#This Row],[Product Code]],tblProducts[Code],tblProducts[Product / Service Name],"⚠ Unknown")</f>
        <v>Premium Basic T-shirt</v>
      </c>
      <c r="H2243" s="1" t="str">
        <f>_xlfn.XLOOKUP(tblSales[[#This Row],[Product Code]],tblProducts[Code],tblProducts[Category],"")</f>
        <v>Accessories &amp; Basics</v>
      </c>
      <c r="I2243" s="4">
        <v>4</v>
      </c>
      <c r="J2243" s="5">
        <f>_xlfn.XLOOKUP(tblSales[[#This Row],[Product Code]],tblProducts[Code],tblProducts[Selling Price (excl. VAT)],0)</f>
        <v>65000</v>
      </c>
      <c r="K2243" s="5">
        <f>tblSales[[#This Row],[Qty]]*tblSales[[#This Row],[Unit Price]]</f>
        <v>260000</v>
      </c>
      <c r="L2243" s="5">
        <f>ROUND(tblSales[[#This Row],[DPP (excl. VAT)]]*VATEff,0)</f>
        <v>28600</v>
      </c>
      <c r="M2243" s="5">
        <f>tblSales[[#This Row],[DPP (excl. VAT)]]+tblSales[[#This Row],[Output VAT]]</f>
        <v>288600</v>
      </c>
      <c r="N2243" s="5">
        <f>tblSales[[#This Row],[Qty]]*_xlfn.XLOOKUP(tblSales[[#This Row],[Product Code]],tblProducts[Code],tblProducts[Unit Cost],0)</f>
        <v>148000</v>
      </c>
      <c r="O2243" s="4" t="s">
        <v>4865</v>
      </c>
      <c r="P2243" s="4" t="s">
        <v>4860</v>
      </c>
      <c r="Q2243" s="1" t="str">
        <f>_xlfn.XLOOKUP(tblSales[[#This Row],[Channel Code]],tblChannels[Channel Code],tblChannels[Channel Name],"")</f>
        <v>In-store</v>
      </c>
      <c r="R2243" s="1">
        <f>MONTH(tblSales[[#This Row],[Date]])</f>
        <v>5</v>
      </c>
    </row>
    <row r="2244" spans="2:18" x14ac:dyDescent="0.35">
      <c r="B2244" s="113">
        <v>46157</v>
      </c>
      <c r="C2244" s="4" t="s">
        <v>1489</v>
      </c>
      <c r="D2244" s="4" t="s">
        <v>4568</v>
      </c>
      <c r="E2244" s="1" t="str">
        <f>_xlfn.XLOOKUP(tblSales[[#This Row],[Customer ID]],tblCustomers[Customer ID],tblCustomers[Customer Name],"⚠ Unknown")</f>
        <v>Walk-in Customer</v>
      </c>
      <c r="F2244" s="4" t="s">
        <v>8</v>
      </c>
      <c r="G2244" s="1" t="str">
        <f>_xlfn.XLOOKUP(tblSales[[#This Row],[Product Code]],tblProducts[Code],tblProducts[Product / Service Name],"⚠ Unknown")</f>
        <v>Casual Shorts</v>
      </c>
      <c r="H2244" s="1" t="str">
        <f>_xlfn.XLOOKUP(tblSales[[#This Row],[Product Code]],tblProducts[Code],tblProducts[Category],"")</f>
        <v>Accessories &amp; Basics</v>
      </c>
      <c r="I2244" s="4">
        <v>10</v>
      </c>
      <c r="J2244" s="5">
        <f>_xlfn.XLOOKUP(tblSales[[#This Row],[Product Code]],tblProducts[Code],tblProducts[Selling Price (excl. VAT)],0)</f>
        <v>85000</v>
      </c>
      <c r="K2244" s="5">
        <f>tblSales[[#This Row],[Qty]]*tblSales[[#This Row],[Unit Price]]</f>
        <v>850000</v>
      </c>
      <c r="L2244" s="5">
        <f>ROUND(tblSales[[#This Row],[DPP (excl. VAT)]]*VATEff,0)</f>
        <v>93500</v>
      </c>
      <c r="M2244" s="5">
        <f>tblSales[[#This Row],[DPP (excl. VAT)]]+tblSales[[#This Row],[Output VAT]]</f>
        <v>943500</v>
      </c>
      <c r="N2244" s="5">
        <f>tblSales[[#This Row],[Qty]]*_xlfn.XLOOKUP(tblSales[[#This Row],[Product Code]],tblProducts[Code],tblProducts[Unit Cost],0)</f>
        <v>500000</v>
      </c>
      <c r="O2244" s="4" t="s">
        <v>4865</v>
      </c>
      <c r="P2244" s="4" t="s">
        <v>4860</v>
      </c>
      <c r="Q2244" s="1" t="str">
        <f>_xlfn.XLOOKUP(tblSales[[#This Row],[Channel Code]],tblChannels[Channel Code],tblChannels[Channel Name],"")</f>
        <v>In-store</v>
      </c>
      <c r="R2244" s="1">
        <f>MONTH(tblSales[[#This Row],[Date]])</f>
        <v>5</v>
      </c>
    </row>
    <row r="2245" spans="2:18" x14ac:dyDescent="0.35">
      <c r="B2245" s="113">
        <v>46157</v>
      </c>
      <c r="C2245" s="4" t="s">
        <v>1490</v>
      </c>
      <c r="D2245" s="4" t="s">
        <v>4568</v>
      </c>
      <c r="E2245" s="1" t="str">
        <f>_xlfn.XLOOKUP(tblSales[[#This Row],[Customer ID]],tblCustomers[Customer ID],tblCustomers[Customer Name],"⚠ Unknown")</f>
        <v>Walk-in Customer</v>
      </c>
      <c r="F2245" s="4" t="s">
        <v>12</v>
      </c>
      <c r="G2245" s="1" t="str">
        <f>_xlfn.XLOOKUP(tblSales[[#This Row],[Product Code]],tblProducts[Code],tblProducts[Product / Service Name],"⚠ Unknown")</f>
        <v>Bomber Jacket</v>
      </c>
      <c r="H2245" s="1" t="str">
        <f>_xlfn.XLOOKUP(tblSales[[#This Row],[Product Code]],tblProducts[Code],tblProducts[Category],"")</f>
        <v>Apparel &amp; Footwear</v>
      </c>
      <c r="I2245" s="4">
        <v>4</v>
      </c>
      <c r="J2245" s="5">
        <f>_xlfn.XLOOKUP(tblSales[[#This Row],[Product Code]],tblProducts[Code],tblProducts[Selling Price (excl. VAT)],0)</f>
        <v>350000</v>
      </c>
      <c r="K2245" s="5">
        <f>tblSales[[#This Row],[Qty]]*tblSales[[#This Row],[Unit Price]]</f>
        <v>1400000</v>
      </c>
      <c r="L2245" s="5">
        <f>ROUND(tblSales[[#This Row],[DPP (excl. VAT)]]*VATEff,0)</f>
        <v>154000</v>
      </c>
      <c r="M2245" s="5">
        <f>tblSales[[#This Row],[DPP (excl. VAT)]]+tblSales[[#This Row],[Output VAT]]</f>
        <v>1554000</v>
      </c>
      <c r="N2245" s="5">
        <f>tblSales[[#This Row],[Qty]]*_xlfn.XLOOKUP(tblSales[[#This Row],[Product Code]],tblProducts[Code],tblProducts[Unit Cost],0)</f>
        <v>840000</v>
      </c>
      <c r="O2245" s="4" t="s">
        <v>4865</v>
      </c>
      <c r="P2245" s="4" t="s">
        <v>4860</v>
      </c>
      <c r="Q2245" s="1" t="str">
        <f>_xlfn.XLOOKUP(tblSales[[#This Row],[Channel Code]],tblChannels[Channel Code],tblChannels[Channel Name],"")</f>
        <v>In-store</v>
      </c>
      <c r="R2245" s="1">
        <f>MONTH(tblSales[[#This Row],[Date]])</f>
        <v>5</v>
      </c>
    </row>
    <row r="2246" spans="2:18" x14ac:dyDescent="0.35">
      <c r="B2246" s="113">
        <v>46158</v>
      </c>
      <c r="C2246" s="4" t="s">
        <v>1491</v>
      </c>
      <c r="D2246" s="4" t="s">
        <v>4568</v>
      </c>
      <c r="E2246" s="1" t="str">
        <f>_xlfn.XLOOKUP(tblSales[[#This Row],[Customer ID]],tblCustomers[Customer ID],tblCustomers[Customer Name],"⚠ Unknown")</f>
        <v>Walk-in Customer</v>
      </c>
      <c r="F2246" s="4" t="s">
        <v>9</v>
      </c>
      <c r="G2246" s="1" t="str">
        <f>_xlfn.XLOOKUP(tblSales[[#This Row],[Product Code]],tblProducts[Code],tblProducts[Product / Service Name],"⚠ Unknown")</f>
        <v>Casual Shirt</v>
      </c>
      <c r="H2246" s="1" t="str">
        <f>_xlfn.XLOOKUP(tblSales[[#This Row],[Product Code]],tblProducts[Code],tblProducts[Category],"")</f>
        <v>Apparel &amp; Footwear</v>
      </c>
      <c r="I2246" s="4">
        <v>3</v>
      </c>
      <c r="J2246" s="5">
        <f>_xlfn.XLOOKUP(tblSales[[#This Row],[Product Code]],tblProducts[Code],tblProducts[Selling Price (excl. VAT)],0)</f>
        <v>120000</v>
      </c>
      <c r="K2246" s="5">
        <f>tblSales[[#This Row],[Qty]]*tblSales[[#This Row],[Unit Price]]</f>
        <v>360000</v>
      </c>
      <c r="L2246" s="5">
        <f>ROUND(tblSales[[#This Row],[DPP (excl. VAT)]]*VATEff,0)</f>
        <v>39600</v>
      </c>
      <c r="M2246" s="5">
        <f>tblSales[[#This Row],[DPP (excl. VAT)]]+tblSales[[#This Row],[Output VAT]]</f>
        <v>399600</v>
      </c>
      <c r="N2246" s="5">
        <f>tblSales[[#This Row],[Qty]]*_xlfn.XLOOKUP(tblSales[[#This Row],[Product Code]],tblProducts[Code],tblProducts[Unit Cost],0)</f>
        <v>216000</v>
      </c>
      <c r="O2246" s="4" t="s">
        <v>4865</v>
      </c>
      <c r="P2246" s="4" t="s">
        <v>4860</v>
      </c>
      <c r="Q2246" s="1" t="str">
        <f>_xlfn.XLOOKUP(tblSales[[#This Row],[Channel Code]],tblChannels[Channel Code],tblChannels[Channel Name],"")</f>
        <v>In-store</v>
      </c>
      <c r="R2246" s="1">
        <f>MONTH(tblSales[[#This Row],[Date]])</f>
        <v>5</v>
      </c>
    </row>
    <row r="2247" spans="2:18" x14ac:dyDescent="0.35">
      <c r="B2247" s="113">
        <v>46158</v>
      </c>
      <c r="C2247" s="4" t="s">
        <v>1491</v>
      </c>
      <c r="D2247" s="4" t="s">
        <v>4568</v>
      </c>
      <c r="E2247" s="1" t="str">
        <f>_xlfn.XLOOKUP(tblSales[[#This Row],[Customer ID]],tblCustomers[Customer ID],tblCustomers[Customer Name],"⚠ Unknown")</f>
        <v>Walk-in Customer</v>
      </c>
      <c r="F2247" s="4" t="s">
        <v>7</v>
      </c>
      <c r="G2247" s="1" t="str">
        <f>_xlfn.XLOOKUP(tblSales[[#This Row],[Product Code]],tblProducts[Code],tblProducts[Product / Service Name],"⚠ Unknown")</f>
        <v>Premium Basic T-shirt</v>
      </c>
      <c r="H2247" s="1" t="str">
        <f>_xlfn.XLOOKUP(tblSales[[#This Row],[Product Code]],tblProducts[Code],tblProducts[Category],"")</f>
        <v>Accessories &amp; Basics</v>
      </c>
      <c r="I2247" s="4">
        <v>9</v>
      </c>
      <c r="J2247" s="5">
        <f>_xlfn.XLOOKUP(tblSales[[#This Row],[Product Code]],tblProducts[Code],tblProducts[Selling Price (excl. VAT)],0)</f>
        <v>65000</v>
      </c>
      <c r="K2247" s="5">
        <f>tblSales[[#This Row],[Qty]]*tblSales[[#This Row],[Unit Price]]</f>
        <v>585000</v>
      </c>
      <c r="L2247" s="5">
        <f>ROUND(tblSales[[#This Row],[DPP (excl. VAT)]]*VATEff,0)</f>
        <v>64350</v>
      </c>
      <c r="M2247" s="5">
        <f>tblSales[[#This Row],[DPP (excl. VAT)]]+tblSales[[#This Row],[Output VAT]]</f>
        <v>649350</v>
      </c>
      <c r="N2247" s="5">
        <f>tblSales[[#This Row],[Qty]]*_xlfn.XLOOKUP(tblSales[[#This Row],[Product Code]],tblProducts[Code],tblProducts[Unit Cost],0)</f>
        <v>333000</v>
      </c>
      <c r="O2247" s="4" t="s">
        <v>4865</v>
      </c>
      <c r="P2247" s="4" t="s">
        <v>4860</v>
      </c>
      <c r="Q2247" s="1" t="str">
        <f>_xlfn.XLOOKUP(tblSales[[#This Row],[Channel Code]],tblChannels[Channel Code],tblChannels[Channel Name],"")</f>
        <v>In-store</v>
      </c>
      <c r="R2247" s="1">
        <f>MONTH(tblSales[[#This Row],[Date]])</f>
        <v>5</v>
      </c>
    </row>
    <row r="2248" spans="2:18" x14ac:dyDescent="0.35">
      <c r="B2248" s="113">
        <v>46158</v>
      </c>
      <c r="C2248" s="4" t="s">
        <v>1492</v>
      </c>
      <c r="D2248" s="4" t="s">
        <v>4568</v>
      </c>
      <c r="E2248" s="1" t="str">
        <f>_xlfn.XLOOKUP(tblSales[[#This Row],[Customer ID]],tblCustomers[Customer ID],tblCustomers[Customer Name],"⚠ Unknown")</f>
        <v>Walk-in Customer</v>
      </c>
      <c r="F2248" s="4" t="s">
        <v>11</v>
      </c>
      <c r="G2248" s="1" t="str">
        <f>_xlfn.XLOOKUP(tblSales[[#This Row],[Product Code]],tblProducts[Code],tblProducts[Product / Service Name],"⚠ Unknown")</f>
        <v>Sneakers</v>
      </c>
      <c r="H2248" s="1" t="str">
        <f>_xlfn.XLOOKUP(tblSales[[#This Row],[Product Code]],tblProducts[Code],tblProducts[Category],"")</f>
        <v>Apparel &amp; Footwear</v>
      </c>
      <c r="I2248" s="4">
        <v>3</v>
      </c>
      <c r="J2248" s="5">
        <f>_xlfn.XLOOKUP(tblSales[[#This Row],[Product Code]],tblProducts[Code],tblProducts[Selling Price (excl. VAT)],0)</f>
        <v>250000</v>
      </c>
      <c r="K2248" s="5">
        <f>tblSales[[#This Row],[Qty]]*tblSales[[#This Row],[Unit Price]]</f>
        <v>750000</v>
      </c>
      <c r="L2248" s="5">
        <f>ROUND(tblSales[[#This Row],[DPP (excl. VAT)]]*VATEff,0)</f>
        <v>82500</v>
      </c>
      <c r="M2248" s="5">
        <f>tblSales[[#This Row],[DPP (excl. VAT)]]+tblSales[[#This Row],[Output VAT]]</f>
        <v>832500</v>
      </c>
      <c r="N2248" s="5">
        <f>tblSales[[#This Row],[Qty]]*_xlfn.XLOOKUP(tblSales[[#This Row],[Product Code]],tblProducts[Code],tblProducts[Unit Cost],0)</f>
        <v>465000</v>
      </c>
      <c r="O2248" s="4" t="s">
        <v>4865</v>
      </c>
      <c r="P2248" s="4" t="s">
        <v>4860</v>
      </c>
      <c r="Q2248" s="1" t="str">
        <f>_xlfn.XLOOKUP(tblSales[[#This Row],[Channel Code]],tblChannels[Channel Code],tblChannels[Channel Name],"")</f>
        <v>In-store</v>
      </c>
      <c r="R2248" s="1">
        <f>MONTH(tblSales[[#This Row],[Date]])</f>
        <v>5</v>
      </c>
    </row>
    <row r="2249" spans="2:18" x14ac:dyDescent="0.35">
      <c r="B2249" s="113">
        <v>46158</v>
      </c>
      <c r="C2249" s="4" t="s">
        <v>1493</v>
      </c>
      <c r="D2249" s="4" t="s">
        <v>4568</v>
      </c>
      <c r="E2249" s="1" t="str">
        <f>_xlfn.XLOOKUP(tblSales[[#This Row],[Customer ID]],tblCustomers[Customer ID],tblCustomers[Customer Name],"⚠ Unknown")</f>
        <v>Walk-in Customer</v>
      </c>
      <c r="F2249" s="4" t="s">
        <v>13</v>
      </c>
      <c r="G2249" s="1" t="str">
        <f>_xlfn.XLOOKUP(tblSales[[#This Row],[Product Code]],tblProducts[Code],tblProducts[Product / Service Name],"⚠ Unknown")</f>
        <v>Backpack</v>
      </c>
      <c r="H2249" s="1" t="str">
        <f>_xlfn.XLOOKUP(tblSales[[#This Row],[Product Code]],tblProducts[Code],tblProducts[Category],"")</f>
        <v>Bags &amp; Gadgets</v>
      </c>
      <c r="I2249" s="4">
        <v>3</v>
      </c>
      <c r="J2249" s="5">
        <f>_xlfn.XLOOKUP(tblSales[[#This Row],[Product Code]],tblProducts[Code],tblProducts[Selling Price (excl. VAT)],0)</f>
        <v>500000</v>
      </c>
      <c r="K2249" s="5">
        <f>tblSales[[#This Row],[Qty]]*tblSales[[#This Row],[Unit Price]]</f>
        <v>1500000</v>
      </c>
      <c r="L2249" s="5">
        <f>ROUND(tblSales[[#This Row],[DPP (excl. VAT)]]*VATEff,0)</f>
        <v>165000</v>
      </c>
      <c r="M2249" s="5">
        <f>tblSales[[#This Row],[DPP (excl. VAT)]]+tblSales[[#This Row],[Output VAT]]</f>
        <v>1665000</v>
      </c>
      <c r="N2249" s="5">
        <f>tblSales[[#This Row],[Qty]]*_xlfn.XLOOKUP(tblSales[[#This Row],[Product Code]],tblProducts[Code],tblProducts[Unit Cost],0)</f>
        <v>870000</v>
      </c>
      <c r="O2249" s="4" t="s">
        <v>4865</v>
      </c>
      <c r="P2249" s="4" t="s">
        <v>4860</v>
      </c>
      <c r="Q2249" s="1" t="str">
        <f>_xlfn.XLOOKUP(tblSales[[#This Row],[Channel Code]],tblChannels[Channel Code],tblChannels[Channel Name],"")</f>
        <v>In-store</v>
      </c>
      <c r="R2249" s="1">
        <f>MONTH(tblSales[[#This Row],[Date]])</f>
        <v>5</v>
      </c>
    </row>
    <row r="2250" spans="2:18" x14ac:dyDescent="0.35">
      <c r="B2250" s="113">
        <v>46158</v>
      </c>
      <c r="C2250" s="4" t="s">
        <v>1493</v>
      </c>
      <c r="D2250" s="4" t="s">
        <v>4568</v>
      </c>
      <c r="E2250" s="1" t="str">
        <f>_xlfn.XLOOKUP(tblSales[[#This Row],[Customer ID]],tblCustomers[Customer ID],tblCustomers[Customer Name],"⚠ Unknown")</f>
        <v>Walk-in Customer</v>
      </c>
      <c r="F2250" s="4" t="s">
        <v>12</v>
      </c>
      <c r="G2250" s="1" t="str">
        <f>_xlfn.XLOOKUP(tblSales[[#This Row],[Product Code]],tblProducts[Code],tblProducts[Product / Service Name],"⚠ Unknown")</f>
        <v>Bomber Jacket</v>
      </c>
      <c r="H2250" s="1" t="str">
        <f>_xlfn.XLOOKUP(tblSales[[#This Row],[Product Code]],tblProducts[Code],tblProducts[Category],"")</f>
        <v>Apparel &amp; Footwear</v>
      </c>
      <c r="I2250" s="4">
        <v>1</v>
      </c>
      <c r="J2250" s="5">
        <f>_xlfn.XLOOKUP(tblSales[[#This Row],[Product Code]],tblProducts[Code],tblProducts[Selling Price (excl. VAT)],0)</f>
        <v>350000</v>
      </c>
      <c r="K2250" s="5">
        <f>tblSales[[#This Row],[Qty]]*tblSales[[#This Row],[Unit Price]]</f>
        <v>350000</v>
      </c>
      <c r="L2250" s="5">
        <f>ROUND(tblSales[[#This Row],[DPP (excl. VAT)]]*VATEff,0)</f>
        <v>38500</v>
      </c>
      <c r="M2250" s="5">
        <f>tblSales[[#This Row],[DPP (excl. VAT)]]+tblSales[[#This Row],[Output VAT]]</f>
        <v>388500</v>
      </c>
      <c r="N2250" s="5">
        <f>tblSales[[#This Row],[Qty]]*_xlfn.XLOOKUP(tblSales[[#This Row],[Product Code]],tblProducts[Code],tblProducts[Unit Cost],0)</f>
        <v>210000</v>
      </c>
      <c r="O2250" s="4" t="s">
        <v>4865</v>
      </c>
      <c r="P2250" s="4" t="s">
        <v>4860</v>
      </c>
      <c r="Q2250" s="1" t="str">
        <f>_xlfn.XLOOKUP(tblSales[[#This Row],[Channel Code]],tblChannels[Channel Code],tblChannels[Channel Name],"")</f>
        <v>In-store</v>
      </c>
      <c r="R2250" s="1">
        <f>MONTH(tblSales[[#This Row],[Date]])</f>
        <v>5</v>
      </c>
    </row>
    <row r="2251" spans="2:18" x14ac:dyDescent="0.35">
      <c r="B2251" s="113">
        <v>46158</v>
      </c>
      <c r="C2251" s="4" t="s">
        <v>1494</v>
      </c>
      <c r="D2251" s="4" t="s">
        <v>4568</v>
      </c>
      <c r="E2251" s="1" t="str">
        <f>_xlfn.XLOOKUP(tblSales[[#This Row],[Customer ID]],tblCustomers[Customer ID],tblCustomers[Customer Name],"⚠ Unknown")</f>
        <v>Walk-in Customer</v>
      </c>
      <c r="F2251" s="4" t="s">
        <v>11</v>
      </c>
      <c r="G2251" s="1" t="str">
        <f>_xlfn.XLOOKUP(tblSales[[#This Row],[Product Code]],tblProducts[Code],tblProducts[Product / Service Name],"⚠ Unknown")</f>
        <v>Sneakers</v>
      </c>
      <c r="H2251" s="1" t="str">
        <f>_xlfn.XLOOKUP(tblSales[[#This Row],[Product Code]],tblProducts[Code],tblProducts[Category],"")</f>
        <v>Apparel &amp; Footwear</v>
      </c>
      <c r="I2251" s="4">
        <v>2</v>
      </c>
      <c r="J2251" s="5">
        <f>_xlfn.XLOOKUP(tblSales[[#This Row],[Product Code]],tblProducts[Code],tblProducts[Selling Price (excl. VAT)],0)</f>
        <v>250000</v>
      </c>
      <c r="K2251" s="5">
        <f>tblSales[[#This Row],[Qty]]*tblSales[[#This Row],[Unit Price]]</f>
        <v>500000</v>
      </c>
      <c r="L2251" s="5">
        <f>ROUND(tblSales[[#This Row],[DPP (excl. VAT)]]*VATEff,0)</f>
        <v>55000</v>
      </c>
      <c r="M2251" s="5">
        <f>tblSales[[#This Row],[DPP (excl. VAT)]]+tblSales[[#This Row],[Output VAT]]</f>
        <v>555000</v>
      </c>
      <c r="N2251" s="5">
        <f>tblSales[[#This Row],[Qty]]*_xlfn.XLOOKUP(tblSales[[#This Row],[Product Code]],tblProducts[Code],tblProducts[Unit Cost],0)</f>
        <v>310000</v>
      </c>
      <c r="O2251" s="4" t="s">
        <v>4866</v>
      </c>
      <c r="P2251" s="4" t="s">
        <v>4861</v>
      </c>
      <c r="Q2251" s="1" t="str">
        <f>_xlfn.XLOOKUP(tblSales[[#This Row],[Channel Code]],tblChannels[Channel Code],tblChannels[Channel Name],"")</f>
        <v>Marketplace</v>
      </c>
      <c r="R2251" s="1">
        <f>MONTH(tblSales[[#This Row],[Date]])</f>
        <v>5</v>
      </c>
    </row>
    <row r="2252" spans="2:18" x14ac:dyDescent="0.35">
      <c r="B2252" s="113">
        <v>46158</v>
      </c>
      <c r="C2252" s="4" t="s">
        <v>1495</v>
      </c>
      <c r="D2252" s="4" t="s">
        <v>4572</v>
      </c>
      <c r="E2252" s="1" t="str">
        <f>_xlfn.XLOOKUP(tblSales[[#This Row],[Customer ID]],tblCustomers[Customer ID],tblCustomers[Customer Name],"⚠ Unknown")</f>
        <v>PT Cahaya Abadi Makmur</v>
      </c>
      <c r="F2252" s="4" t="s">
        <v>8</v>
      </c>
      <c r="G2252" s="1" t="str">
        <f>_xlfn.XLOOKUP(tblSales[[#This Row],[Product Code]],tblProducts[Code],tblProducts[Product / Service Name],"⚠ Unknown")</f>
        <v>Casual Shorts</v>
      </c>
      <c r="H2252" s="1" t="str">
        <f>_xlfn.XLOOKUP(tblSales[[#This Row],[Product Code]],tblProducts[Code],tblProducts[Category],"")</f>
        <v>Accessories &amp; Basics</v>
      </c>
      <c r="I2252" s="4">
        <v>8</v>
      </c>
      <c r="J2252" s="5">
        <f>_xlfn.XLOOKUP(tblSales[[#This Row],[Product Code]],tblProducts[Code],tblProducts[Selling Price (excl. VAT)],0)</f>
        <v>85000</v>
      </c>
      <c r="K2252" s="5">
        <f>tblSales[[#This Row],[Qty]]*tblSales[[#This Row],[Unit Price]]</f>
        <v>680000</v>
      </c>
      <c r="L2252" s="5">
        <f>ROUND(tblSales[[#This Row],[DPP (excl. VAT)]]*VATEff,0)</f>
        <v>74800</v>
      </c>
      <c r="M2252" s="5">
        <f>tblSales[[#This Row],[DPP (excl. VAT)]]+tblSales[[#This Row],[Output VAT]]</f>
        <v>754800</v>
      </c>
      <c r="N2252" s="5">
        <f>tblSales[[#This Row],[Qty]]*_xlfn.XLOOKUP(tblSales[[#This Row],[Product Code]],tblProducts[Code],tblProducts[Unit Cost],0)</f>
        <v>400000</v>
      </c>
      <c r="O2252" s="4" t="s">
        <v>4867</v>
      </c>
      <c r="P2252" s="4" t="s">
        <v>4860</v>
      </c>
      <c r="Q2252" s="1" t="str">
        <f>_xlfn.XLOOKUP(tblSales[[#This Row],[Channel Code]],tblChannels[Channel Code],tblChannels[Channel Name],"")</f>
        <v>In-store</v>
      </c>
      <c r="R2252" s="1">
        <f>MONTH(tblSales[[#This Row],[Date]])</f>
        <v>5</v>
      </c>
    </row>
    <row r="2253" spans="2:18" x14ac:dyDescent="0.35">
      <c r="B2253" s="113">
        <v>46158</v>
      </c>
      <c r="C2253" s="4" t="s">
        <v>1496</v>
      </c>
      <c r="D2253" s="4" t="s">
        <v>4568</v>
      </c>
      <c r="E2253" s="1" t="str">
        <f>_xlfn.XLOOKUP(tblSales[[#This Row],[Customer ID]],tblCustomers[Customer ID],tblCustomers[Customer Name],"⚠ Unknown")</f>
        <v>Walk-in Customer</v>
      </c>
      <c r="F2253" s="4" t="s">
        <v>7</v>
      </c>
      <c r="G2253" s="1" t="str">
        <f>_xlfn.XLOOKUP(tblSales[[#This Row],[Product Code]],tblProducts[Code],tblProducts[Product / Service Name],"⚠ Unknown")</f>
        <v>Premium Basic T-shirt</v>
      </c>
      <c r="H2253" s="1" t="str">
        <f>_xlfn.XLOOKUP(tblSales[[#This Row],[Product Code]],tblProducts[Code],tblProducts[Category],"")</f>
        <v>Accessories &amp; Basics</v>
      </c>
      <c r="I2253" s="4">
        <v>10</v>
      </c>
      <c r="J2253" s="5">
        <f>_xlfn.XLOOKUP(tblSales[[#This Row],[Product Code]],tblProducts[Code],tblProducts[Selling Price (excl. VAT)],0)</f>
        <v>65000</v>
      </c>
      <c r="K2253" s="5">
        <f>tblSales[[#This Row],[Qty]]*tblSales[[#This Row],[Unit Price]]</f>
        <v>650000</v>
      </c>
      <c r="L2253" s="5">
        <f>ROUND(tblSales[[#This Row],[DPP (excl. VAT)]]*VATEff,0)</f>
        <v>71500</v>
      </c>
      <c r="M2253" s="5">
        <f>tblSales[[#This Row],[DPP (excl. VAT)]]+tblSales[[#This Row],[Output VAT]]</f>
        <v>721500</v>
      </c>
      <c r="N2253" s="5">
        <f>tblSales[[#This Row],[Qty]]*_xlfn.XLOOKUP(tblSales[[#This Row],[Product Code]],tblProducts[Code],tblProducts[Unit Cost],0)</f>
        <v>370000</v>
      </c>
      <c r="O2253" s="4" t="s">
        <v>4866</v>
      </c>
      <c r="P2253" s="4" t="s">
        <v>4861</v>
      </c>
      <c r="Q2253" s="1" t="str">
        <f>_xlfn.XLOOKUP(tblSales[[#This Row],[Channel Code]],tblChannels[Channel Code],tblChannels[Channel Name],"")</f>
        <v>Marketplace</v>
      </c>
      <c r="R2253" s="1">
        <f>MONTH(tblSales[[#This Row],[Date]])</f>
        <v>5</v>
      </c>
    </row>
    <row r="2254" spans="2:18" x14ac:dyDescent="0.35">
      <c r="B2254" s="113">
        <v>46158</v>
      </c>
      <c r="C2254" s="4" t="s">
        <v>1497</v>
      </c>
      <c r="D2254" s="4" t="s">
        <v>4613</v>
      </c>
      <c r="E2254" s="1" t="str">
        <f>_xlfn.XLOOKUP(tblSales[[#This Row],[Customer ID]],tblCustomers[Customer ID],tblCustomers[Customer Name],"⚠ Unknown")</f>
        <v>PT Mega Prima Distribusi</v>
      </c>
      <c r="F2254" s="4" t="s">
        <v>11</v>
      </c>
      <c r="G2254" s="1" t="str">
        <f>_xlfn.XLOOKUP(tblSales[[#This Row],[Product Code]],tblProducts[Code],tblProducts[Product / Service Name],"⚠ Unknown")</f>
        <v>Sneakers</v>
      </c>
      <c r="H2254" s="1" t="str">
        <f>_xlfn.XLOOKUP(tblSales[[#This Row],[Product Code]],tblProducts[Code],tblProducts[Category],"")</f>
        <v>Apparel &amp; Footwear</v>
      </c>
      <c r="I2254" s="4">
        <v>48</v>
      </c>
      <c r="J2254" s="5">
        <f>_xlfn.XLOOKUP(tblSales[[#This Row],[Product Code]],tblProducts[Code],tblProducts[Selling Price (excl. VAT)],0)</f>
        <v>250000</v>
      </c>
      <c r="K2254" s="5">
        <f>tblSales[[#This Row],[Qty]]*tblSales[[#This Row],[Unit Price]]</f>
        <v>12000000</v>
      </c>
      <c r="L2254" s="5">
        <f>ROUND(tblSales[[#This Row],[DPP (excl. VAT)]]*VATEff,0)</f>
        <v>1320000</v>
      </c>
      <c r="M2254" s="5">
        <f>tblSales[[#This Row],[DPP (excl. VAT)]]+tblSales[[#This Row],[Output VAT]]</f>
        <v>13320000</v>
      </c>
      <c r="N2254" s="5">
        <f>tblSales[[#This Row],[Qty]]*_xlfn.XLOOKUP(tblSales[[#This Row],[Product Code]],tblProducts[Code],tblProducts[Unit Cost],0)</f>
        <v>7440000</v>
      </c>
      <c r="O2254" s="4" t="s">
        <v>4867</v>
      </c>
      <c r="P2254" s="4" t="s">
        <v>4860</v>
      </c>
      <c r="Q2254" s="1" t="str">
        <f>_xlfn.XLOOKUP(tblSales[[#This Row],[Channel Code]],tblChannels[Channel Code],tblChannels[Channel Name],"")</f>
        <v>In-store</v>
      </c>
      <c r="R2254" s="1">
        <f>MONTH(tblSales[[#This Row],[Date]])</f>
        <v>5</v>
      </c>
    </row>
    <row r="2255" spans="2:18" x14ac:dyDescent="0.35">
      <c r="B2255" s="113">
        <v>46158</v>
      </c>
      <c r="C2255" s="4" t="s">
        <v>1498</v>
      </c>
      <c r="D2255" s="4" t="s">
        <v>4568</v>
      </c>
      <c r="E2255" s="1" t="str">
        <f>_xlfn.XLOOKUP(tblSales[[#This Row],[Customer ID]],tblCustomers[Customer ID],tblCustomers[Customer Name],"⚠ Unknown")</f>
        <v>Walk-in Customer</v>
      </c>
      <c r="F2255" s="4" t="s">
        <v>7</v>
      </c>
      <c r="G2255" s="1" t="str">
        <f>_xlfn.XLOOKUP(tblSales[[#This Row],[Product Code]],tblProducts[Code],tblProducts[Product / Service Name],"⚠ Unknown")</f>
        <v>Premium Basic T-shirt</v>
      </c>
      <c r="H2255" s="1" t="str">
        <f>_xlfn.XLOOKUP(tblSales[[#This Row],[Product Code]],tblProducts[Code],tblProducts[Category],"")</f>
        <v>Accessories &amp; Basics</v>
      </c>
      <c r="I2255" s="4">
        <v>7</v>
      </c>
      <c r="J2255" s="5">
        <f>_xlfn.XLOOKUP(tblSales[[#This Row],[Product Code]],tblProducts[Code],tblProducts[Selling Price (excl. VAT)],0)</f>
        <v>65000</v>
      </c>
      <c r="K2255" s="5">
        <f>tblSales[[#This Row],[Qty]]*tblSales[[#This Row],[Unit Price]]</f>
        <v>455000</v>
      </c>
      <c r="L2255" s="5">
        <f>ROUND(tblSales[[#This Row],[DPP (excl. VAT)]]*VATEff,0)</f>
        <v>50050</v>
      </c>
      <c r="M2255" s="5">
        <f>tblSales[[#This Row],[DPP (excl. VAT)]]+tblSales[[#This Row],[Output VAT]]</f>
        <v>505050</v>
      </c>
      <c r="N2255" s="5">
        <f>tblSales[[#This Row],[Qty]]*_xlfn.XLOOKUP(tblSales[[#This Row],[Product Code]],tblProducts[Code],tblProducts[Unit Cost],0)</f>
        <v>259000</v>
      </c>
      <c r="O2255" s="4" t="s">
        <v>4865</v>
      </c>
      <c r="P2255" s="4" t="s">
        <v>4860</v>
      </c>
      <c r="Q2255" s="1" t="str">
        <f>_xlfn.XLOOKUP(tblSales[[#This Row],[Channel Code]],tblChannels[Channel Code],tblChannels[Channel Name],"")</f>
        <v>In-store</v>
      </c>
      <c r="R2255" s="1">
        <f>MONTH(tblSales[[#This Row],[Date]])</f>
        <v>5</v>
      </c>
    </row>
    <row r="2256" spans="2:18" x14ac:dyDescent="0.35">
      <c r="B2256" s="113">
        <v>46158</v>
      </c>
      <c r="C2256" s="4" t="s">
        <v>1499</v>
      </c>
      <c r="D2256" s="4" t="s">
        <v>4578</v>
      </c>
      <c r="E2256" s="1" t="str">
        <f>_xlfn.XLOOKUP(tblSales[[#This Row],[Customer ID]],tblCustomers[Customer ID],tblCustomers[Customer Name],"⚠ Unknown")</f>
        <v>PT Bintang Timur Sejahtera</v>
      </c>
      <c r="F2256" s="4" t="s">
        <v>9</v>
      </c>
      <c r="G2256" s="1" t="str">
        <f>_xlfn.XLOOKUP(tblSales[[#This Row],[Product Code]],tblProducts[Code],tblProducts[Product / Service Name],"⚠ Unknown")</f>
        <v>Casual Shirt</v>
      </c>
      <c r="H2256" s="1" t="str">
        <f>_xlfn.XLOOKUP(tblSales[[#This Row],[Product Code]],tblProducts[Code],tblProducts[Category],"")</f>
        <v>Apparel &amp; Footwear</v>
      </c>
      <c r="I2256" s="4">
        <v>56</v>
      </c>
      <c r="J2256" s="5">
        <f>_xlfn.XLOOKUP(tblSales[[#This Row],[Product Code]],tblProducts[Code],tblProducts[Selling Price (excl. VAT)],0)</f>
        <v>120000</v>
      </c>
      <c r="K2256" s="5">
        <f>tblSales[[#This Row],[Qty]]*tblSales[[#This Row],[Unit Price]]</f>
        <v>6720000</v>
      </c>
      <c r="L2256" s="5">
        <f>ROUND(tblSales[[#This Row],[DPP (excl. VAT)]]*VATEff,0)</f>
        <v>739200</v>
      </c>
      <c r="M2256" s="5">
        <f>tblSales[[#This Row],[DPP (excl. VAT)]]+tblSales[[#This Row],[Output VAT]]</f>
        <v>7459200</v>
      </c>
      <c r="N2256" s="5">
        <f>tblSales[[#This Row],[Qty]]*_xlfn.XLOOKUP(tblSales[[#This Row],[Product Code]],tblProducts[Code],tblProducts[Unit Cost],0)</f>
        <v>4032000</v>
      </c>
      <c r="O2256" s="4" t="s">
        <v>4867</v>
      </c>
      <c r="P2256" s="4" t="s">
        <v>4860</v>
      </c>
      <c r="Q2256" s="1" t="str">
        <f>_xlfn.XLOOKUP(tblSales[[#This Row],[Channel Code]],tblChannels[Channel Code],tblChannels[Channel Name],"")</f>
        <v>In-store</v>
      </c>
      <c r="R2256" s="1">
        <f>MONTH(tblSales[[#This Row],[Date]])</f>
        <v>5</v>
      </c>
    </row>
    <row r="2257" spans="2:18" x14ac:dyDescent="0.35">
      <c r="B2257" s="113">
        <v>46158</v>
      </c>
      <c r="C2257" s="4" t="s">
        <v>1500</v>
      </c>
      <c r="D2257" s="4" t="s">
        <v>4568</v>
      </c>
      <c r="E2257" s="1" t="str">
        <f>_xlfn.XLOOKUP(tblSales[[#This Row],[Customer ID]],tblCustomers[Customer ID],tblCustomers[Customer Name],"⚠ Unknown")</f>
        <v>Walk-in Customer</v>
      </c>
      <c r="F2257" s="4" t="s">
        <v>6</v>
      </c>
      <c r="G2257" s="1" t="str">
        <f>_xlfn.XLOOKUP(tblSales[[#This Row],[Product Code]],tblProducts[Code],tblProducts[Product / Service Name],"⚠ Unknown")</f>
        <v>Socks &amp; Accessories</v>
      </c>
      <c r="H2257" s="1" t="str">
        <f>_xlfn.XLOOKUP(tblSales[[#This Row],[Product Code]],tblProducts[Code],tblProducts[Category],"")</f>
        <v>Accessories &amp; Basics</v>
      </c>
      <c r="I2257" s="4">
        <v>12</v>
      </c>
      <c r="J2257" s="5">
        <f>_xlfn.XLOOKUP(tblSales[[#This Row],[Product Code]],tblProducts[Code],tblProducts[Selling Price (excl. VAT)],0)</f>
        <v>45000</v>
      </c>
      <c r="K2257" s="5">
        <f>tblSales[[#This Row],[Qty]]*tblSales[[#This Row],[Unit Price]]</f>
        <v>540000</v>
      </c>
      <c r="L2257" s="5">
        <f>ROUND(tblSales[[#This Row],[DPP (excl. VAT)]]*VATEff,0)</f>
        <v>59400</v>
      </c>
      <c r="M2257" s="5">
        <f>tblSales[[#This Row],[DPP (excl. VAT)]]+tblSales[[#This Row],[Output VAT]]</f>
        <v>599400</v>
      </c>
      <c r="N2257" s="5">
        <f>tblSales[[#This Row],[Qty]]*_xlfn.XLOOKUP(tblSales[[#This Row],[Product Code]],tblProducts[Code],tblProducts[Unit Cost],0)</f>
        <v>288000</v>
      </c>
      <c r="O2257" s="4" t="s">
        <v>4866</v>
      </c>
      <c r="P2257" s="4" t="s">
        <v>4860</v>
      </c>
      <c r="Q2257" s="1" t="str">
        <f>_xlfn.XLOOKUP(tblSales[[#This Row],[Channel Code]],tblChannels[Channel Code],tblChannels[Channel Name],"")</f>
        <v>In-store</v>
      </c>
      <c r="R2257" s="1">
        <f>MONTH(tblSales[[#This Row],[Date]])</f>
        <v>5</v>
      </c>
    </row>
    <row r="2258" spans="2:18" x14ac:dyDescent="0.35">
      <c r="B2258" s="113">
        <v>46158</v>
      </c>
      <c r="C2258" s="4" t="s">
        <v>1500</v>
      </c>
      <c r="D2258" s="4" t="s">
        <v>4568</v>
      </c>
      <c r="E2258" s="1" t="str">
        <f>_xlfn.XLOOKUP(tblSales[[#This Row],[Customer ID]],tblCustomers[Customer ID],tblCustomers[Customer Name],"⚠ Unknown")</f>
        <v>Walk-in Customer</v>
      </c>
      <c r="F2258" s="4" t="s">
        <v>8</v>
      </c>
      <c r="G2258" s="1" t="str">
        <f>_xlfn.XLOOKUP(tblSales[[#This Row],[Product Code]],tblProducts[Code],tblProducts[Product / Service Name],"⚠ Unknown")</f>
        <v>Casual Shorts</v>
      </c>
      <c r="H2258" s="1" t="str">
        <f>_xlfn.XLOOKUP(tblSales[[#This Row],[Product Code]],tblProducts[Code],tblProducts[Category],"")</f>
        <v>Accessories &amp; Basics</v>
      </c>
      <c r="I2258" s="4">
        <v>8</v>
      </c>
      <c r="J2258" s="5">
        <f>_xlfn.XLOOKUP(tblSales[[#This Row],[Product Code]],tblProducts[Code],tblProducts[Selling Price (excl. VAT)],0)</f>
        <v>85000</v>
      </c>
      <c r="K2258" s="5">
        <f>tblSales[[#This Row],[Qty]]*tblSales[[#This Row],[Unit Price]]</f>
        <v>680000</v>
      </c>
      <c r="L2258" s="5">
        <f>ROUND(tblSales[[#This Row],[DPP (excl. VAT)]]*VATEff,0)</f>
        <v>74800</v>
      </c>
      <c r="M2258" s="5">
        <f>tblSales[[#This Row],[DPP (excl. VAT)]]+tblSales[[#This Row],[Output VAT]]</f>
        <v>754800</v>
      </c>
      <c r="N2258" s="5">
        <f>tblSales[[#This Row],[Qty]]*_xlfn.XLOOKUP(tblSales[[#This Row],[Product Code]],tblProducts[Code],tblProducts[Unit Cost],0)</f>
        <v>400000</v>
      </c>
      <c r="O2258" s="4" t="s">
        <v>4866</v>
      </c>
      <c r="P2258" s="4" t="s">
        <v>4860</v>
      </c>
      <c r="Q2258" s="1" t="str">
        <f>_xlfn.XLOOKUP(tblSales[[#This Row],[Channel Code]],tblChannels[Channel Code],tblChannels[Channel Name],"")</f>
        <v>In-store</v>
      </c>
      <c r="R2258" s="1">
        <f>MONTH(tblSales[[#This Row],[Date]])</f>
        <v>5</v>
      </c>
    </row>
    <row r="2259" spans="2:18" x14ac:dyDescent="0.35">
      <c r="B2259" s="113">
        <v>46158</v>
      </c>
      <c r="C2259" s="4" t="s">
        <v>1501</v>
      </c>
      <c r="D2259" s="4" t="s">
        <v>4568</v>
      </c>
      <c r="E2259" s="1" t="str">
        <f>_xlfn.XLOOKUP(tblSales[[#This Row],[Customer ID]],tblCustomers[Customer ID],tblCustomers[Customer Name],"⚠ Unknown")</f>
        <v>Walk-in Customer</v>
      </c>
      <c r="F2259" s="4" t="s">
        <v>8</v>
      </c>
      <c r="G2259" s="1" t="str">
        <f>_xlfn.XLOOKUP(tblSales[[#This Row],[Product Code]],tblProducts[Code],tblProducts[Product / Service Name],"⚠ Unknown")</f>
        <v>Casual Shorts</v>
      </c>
      <c r="H2259" s="1" t="str">
        <f>_xlfn.XLOOKUP(tblSales[[#This Row],[Product Code]],tblProducts[Code],tblProducts[Category],"")</f>
        <v>Accessories &amp; Basics</v>
      </c>
      <c r="I2259" s="4">
        <v>10</v>
      </c>
      <c r="J2259" s="5">
        <f>_xlfn.XLOOKUP(tblSales[[#This Row],[Product Code]],tblProducts[Code],tblProducts[Selling Price (excl. VAT)],0)</f>
        <v>85000</v>
      </c>
      <c r="K2259" s="5">
        <f>tblSales[[#This Row],[Qty]]*tblSales[[#This Row],[Unit Price]]</f>
        <v>850000</v>
      </c>
      <c r="L2259" s="5">
        <f>ROUND(tblSales[[#This Row],[DPP (excl. VAT)]]*VATEff,0)</f>
        <v>93500</v>
      </c>
      <c r="M2259" s="5">
        <f>tblSales[[#This Row],[DPP (excl. VAT)]]+tblSales[[#This Row],[Output VAT]]</f>
        <v>943500</v>
      </c>
      <c r="N2259" s="5">
        <f>tblSales[[#This Row],[Qty]]*_xlfn.XLOOKUP(tblSales[[#This Row],[Product Code]],tblProducts[Code],tblProducts[Unit Cost],0)</f>
        <v>500000</v>
      </c>
      <c r="O2259" s="4" t="s">
        <v>4865</v>
      </c>
      <c r="P2259" s="4" t="s">
        <v>4860</v>
      </c>
      <c r="Q2259" s="1" t="str">
        <f>_xlfn.XLOOKUP(tblSales[[#This Row],[Channel Code]],tblChannels[Channel Code],tblChannels[Channel Name],"")</f>
        <v>In-store</v>
      </c>
      <c r="R2259" s="1">
        <f>MONTH(tblSales[[#This Row],[Date]])</f>
        <v>5</v>
      </c>
    </row>
    <row r="2260" spans="2:18" x14ac:dyDescent="0.35">
      <c r="B2260" s="113">
        <v>46158</v>
      </c>
      <c r="C2260" s="4" t="s">
        <v>1501</v>
      </c>
      <c r="D2260" s="4" t="s">
        <v>4568</v>
      </c>
      <c r="E2260" s="1" t="str">
        <f>_xlfn.XLOOKUP(tblSales[[#This Row],[Customer ID]],tblCustomers[Customer ID],tblCustomers[Customer Name],"⚠ Unknown")</f>
        <v>Walk-in Customer</v>
      </c>
      <c r="F2260" s="4" t="s">
        <v>7</v>
      </c>
      <c r="G2260" s="1" t="str">
        <f>_xlfn.XLOOKUP(tblSales[[#This Row],[Product Code]],tblProducts[Code],tblProducts[Product / Service Name],"⚠ Unknown")</f>
        <v>Premium Basic T-shirt</v>
      </c>
      <c r="H2260" s="1" t="str">
        <f>_xlfn.XLOOKUP(tblSales[[#This Row],[Product Code]],tblProducts[Code],tblProducts[Category],"")</f>
        <v>Accessories &amp; Basics</v>
      </c>
      <c r="I2260" s="4">
        <v>1</v>
      </c>
      <c r="J2260" s="5">
        <f>_xlfn.XLOOKUP(tblSales[[#This Row],[Product Code]],tblProducts[Code],tblProducts[Selling Price (excl. VAT)],0)</f>
        <v>65000</v>
      </c>
      <c r="K2260" s="5">
        <f>tblSales[[#This Row],[Qty]]*tblSales[[#This Row],[Unit Price]]</f>
        <v>65000</v>
      </c>
      <c r="L2260" s="5">
        <f>ROUND(tblSales[[#This Row],[DPP (excl. VAT)]]*VATEff,0)</f>
        <v>7150</v>
      </c>
      <c r="M2260" s="5">
        <f>tblSales[[#This Row],[DPP (excl. VAT)]]+tblSales[[#This Row],[Output VAT]]</f>
        <v>72150</v>
      </c>
      <c r="N2260" s="5">
        <f>tblSales[[#This Row],[Qty]]*_xlfn.XLOOKUP(tblSales[[#This Row],[Product Code]],tblProducts[Code],tblProducts[Unit Cost],0)</f>
        <v>37000</v>
      </c>
      <c r="O2260" s="4" t="s">
        <v>4865</v>
      </c>
      <c r="P2260" s="4" t="s">
        <v>4860</v>
      </c>
      <c r="Q2260" s="1" t="str">
        <f>_xlfn.XLOOKUP(tblSales[[#This Row],[Channel Code]],tblChannels[Channel Code],tblChannels[Channel Name],"")</f>
        <v>In-store</v>
      </c>
      <c r="R2260" s="1">
        <f>MONTH(tblSales[[#This Row],[Date]])</f>
        <v>5</v>
      </c>
    </row>
    <row r="2261" spans="2:18" x14ac:dyDescent="0.35">
      <c r="B2261" s="113">
        <v>46158</v>
      </c>
      <c r="C2261" s="4" t="s">
        <v>1501</v>
      </c>
      <c r="D2261" s="4" t="s">
        <v>4568</v>
      </c>
      <c r="E2261" s="1" t="str">
        <f>_xlfn.XLOOKUP(tblSales[[#This Row],[Customer ID]],tblCustomers[Customer ID],tblCustomers[Customer Name],"⚠ Unknown")</f>
        <v>Walk-in Customer</v>
      </c>
      <c r="F2261" s="4" t="s">
        <v>10</v>
      </c>
      <c r="G2261" s="1" t="str">
        <f>_xlfn.XLOOKUP(tblSales[[#This Row],[Product Code]],tblProducts[Code],tblProducts[Product / Service Name],"⚠ Unknown")</f>
        <v>Chino Pants</v>
      </c>
      <c r="H2261" s="1" t="str">
        <f>_xlfn.XLOOKUP(tblSales[[#This Row],[Product Code]],tblProducts[Code],tblProducts[Category],"")</f>
        <v>Apparel &amp; Footwear</v>
      </c>
      <c r="I2261" s="4">
        <v>12</v>
      </c>
      <c r="J2261" s="5">
        <f>_xlfn.XLOOKUP(tblSales[[#This Row],[Product Code]],tblProducts[Code],tblProducts[Selling Price (excl. VAT)],0)</f>
        <v>150000</v>
      </c>
      <c r="K2261" s="5">
        <f>tblSales[[#This Row],[Qty]]*tblSales[[#This Row],[Unit Price]]</f>
        <v>1800000</v>
      </c>
      <c r="L2261" s="5">
        <f>ROUND(tblSales[[#This Row],[DPP (excl. VAT)]]*VATEff,0)</f>
        <v>198000</v>
      </c>
      <c r="M2261" s="5">
        <f>tblSales[[#This Row],[DPP (excl. VAT)]]+tblSales[[#This Row],[Output VAT]]</f>
        <v>1998000</v>
      </c>
      <c r="N2261" s="5">
        <f>tblSales[[#This Row],[Qty]]*_xlfn.XLOOKUP(tblSales[[#This Row],[Product Code]],tblProducts[Code],tblProducts[Unit Cost],0)</f>
        <v>1056000</v>
      </c>
      <c r="O2261" s="4" t="s">
        <v>4865</v>
      </c>
      <c r="P2261" s="4" t="s">
        <v>4860</v>
      </c>
      <c r="Q2261" s="1" t="str">
        <f>_xlfn.XLOOKUP(tblSales[[#This Row],[Channel Code]],tblChannels[Channel Code],tblChannels[Channel Name],"")</f>
        <v>In-store</v>
      </c>
      <c r="R2261" s="1">
        <f>MONTH(tblSales[[#This Row],[Date]])</f>
        <v>5</v>
      </c>
    </row>
    <row r="2262" spans="2:18" x14ac:dyDescent="0.35">
      <c r="B2262" s="113">
        <v>46158</v>
      </c>
      <c r="C2262" s="4" t="s">
        <v>1502</v>
      </c>
      <c r="D2262" s="4" t="s">
        <v>4568</v>
      </c>
      <c r="E2262" s="1" t="str">
        <f>_xlfn.XLOOKUP(tblSales[[#This Row],[Customer ID]],tblCustomers[Customer ID],tblCustomers[Customer Name],"⚠ Unknown")</f>
        <v>Walk-in Customer</v>
      </c>
      <c r="F2262" s="4" t="s">
        <v>6</v>
      </c>
      <c r="G2262" s="1" t="str">
        <f>_xlfn.XLOOKUP(tblSales[[#This Row],[Product Code]],tblProducts[Code],tblProducts[Product / Service Name],"⚠ Unknown")</f>
        <v>Socks &amp; Accessories</v>
      </c>
      <c r="H2262" s="1" t="str">
        <f>_xlfn.XLOOKUP(tblSales[[#This Row],[Product Code]],tblProducts[Code],tblProducts[Category],"")</f>
        <v>Accessories &amp; Basics</v>
      </c>
      <c r="I2262" s="4">
        <v>7</v>
      </c>
      <c r="J2262" s="5">
        <f>_xlfn.XLOOKUP(tblSales[[#This Row],[Product Code]],tblProducts[Code],tblProducts[Selling Price (excl. VAT)],0)</f>
        <v>45000</v>
      </c>
      <c r="K2262" s="5">
        <f>tblSales[[#This Row],[Qty]]*tblSales[[#This Row],[Unit Price]]</f>
        <v>315000</v>
      </c>
      <c r="L2262" s="5">
        <f>ROUND(tblSales[[#This Row],[DPP (excl. VAT)]]*VATEff,0)</f>
        <v>34650</v>
      </c>
      <c r="M2262" s="5">
        <f>tblSales[[#This Row],[DPP (excl. VAT)]]+tblSales[[#This Row],[Output VAT]]</f>
        <v>349650</v>
      </c>
      <c r="N2262" s="5">
        <f>tblSales[[#This Row],[Qty]]*_xlfn.XLOOKUP(tblSales[[#This Row],[Product Code]],tblProducts[Code],tblProducts[Unit Cost],0)</f>
        <v>168000</v>
      </c>
      <c r="O2262" s="4" t="s">
        <v>4865</v>
      </c>
      <c r="P2262" s="4" t="s">
        <v>4860</v>
      </c>
      <c r="Q2262" s="1" t="str">
        <f>_xlfn.XLOOKUP(tblSales[[#This Row],[Channel Code]],tblChannels[Channel Code],tblChannels[Channel Name],"")</f>
        <v>In-store</v>
      </c>
      <c r="R2262" s="1">
        <f>MONTH(tblSales[[#This Row],[Date]])</f>
        <v>5</v>
      </c>
    </row>
    <row r="2263" spans="2:18" x14ac:dyDescent="0.35">
      <c r="B2263" s="113">
        <v>46158</v>
      </c>
      <c r="C2263" s="4" t="s">
        <v>1502</v>
      </c>
      <c r="D2263" s="4" t="s">
        <v>4568</v>
      </c>
      <c r="E2263" s="1" t="str">
        <f>_xlfn.XLOOKUP(tblSales[[#This Row],[Customer ID]],tblCustomers[Customer ID],tblCustomers[Customer Name],"⚠ Unknown")</f>
        <v>Walk-in Customer</v>
      </c>
      <c r="F2263" s="4" t="s">
        <v>12</v>
      </c>
      <c r="G2263" s="1" t="str">
        <f>_xlfn.XLOOKUP(tblSales[[#This Row],[Product Code]],tblProducts[Code],tblProducts[Product / Service Name],"⚠ Unknown")</f>
        <v>Bomber Jacket</v>
      </c>
      <c r="H2263" s="1" t="str">
        <f>_xlfn.XLOOKUP(tblSales[[#This Row],[Product Code]],tblProducts[Code],tblProducts[Category],"")</f>
        <v>Apparel &amp; Footwear</v>
      </c>
      <c r="I2263" s="4">
        <v>3</v>
      </c>
      <c r="J2263" s="5">
        <f>_xlfn.XLOOKUP(tblSales[[#This Row],[Product Code]],tblProducts[Code],tblProducts[Selling Price (excl. VAT)],0)</f>
        <v>350000</v>
      </c>
      <c r="K2263" s="5">
        <f>tblSales[[#This Row],[Qty]]*tblSales[[#This Row],[Unit Price]]</f>
        <v>1050000</v>
      </c>
      <c r="L2263" s="5">
        <f>ROUND(tblSales[[#This Row],[DPP (excl. VAT)]]*VATEff,0)</f>
        <v>115500</v>
      </c>
      <c r="M2263" s="5">
        <f>tblSales[[#This Row],[DPP (excl. VAT)]]+tblSales[[#This Row],[Output VAT]]</f>
        <v>1165500</v>
      </c>
      <c r="N2263" s="5">
        <f>tblSales[[#This Row],[Qty]]*_xlfn.XLOOKUP(tblSales[[#This Row],[Product Code]],tblProducts[Code],tblProducts[Unit Cost],0)</f>
        <v>630000</v>
      </c>
      <c r="O2263" s="4" t="s">
        <v>4865</v>
      </c>
      <c r="P2263" s="4" t="s">
        <v>4860</v>
      </c>
      <c r="Q2263" s="1" t="str">
        <f>_xlfn.XLOOKUP(tblSales[[#This Row],[Channel Code]],tblChannels[Channel Code],tblChannels[Channel Name],"")</f>
        <v>In-store</v>
      </c>
      <c r="R2263" s="1">
        <f>MONTH(tblSales[[#This Row],[Date]])</f>
        <v>5</v>
      </c>
    </row>
    <row r="2264" spans="2:18" x14ac:dyDescent="0.35">
      <c r="B2264" s="113">
        <v>46158</v>
      </c>
      <c r="C2264" s="4" t="s">
        <v>1502</v>
      </c>
      <c r="D2264" s="4" t="s">
        <v>4568</v>
      </c>
      <c r="E2264" s="1" t="str">
        <f>_xlfn.XLOOKUP(tblSales[[#This Row],[Customer ID]],tblCustomers[Customer ID],tblCustomers[Customer Name],"⚠ Unknown")</f>
        <v>Walk-in Customer</v>
      </c>
      <c r="F2264" s="4" t="s">
        <v>8</v>
      </c>
      <c r="G2264" s="1" t="str">
        <f>_xlfn.XLOOKUP(tblSales[[#This Row],[Product Code]],tblProducts[Code],tblProducts[Product / Service Name],"⚠ Unknown")</f>
        <v>Casual Shorts</v>
      </c>
      <c r="H2264" s="1" t="str">
        <f>_xlfn.XLOOKUP(tblSales[[#This Row],[Product Code]],tblProducts[Code],tblProducts[Category],"")</f>
        <v>Accessories &amp; Basics</v>
      </c>
      <c r="I2264" s="4">
        <v>8</v>
      </c>
      <c r="J2264" s="5">
        <f>_xlfn.XLOOKUP(tblSales[[#This Row],[Product Code]],tblProducts[Code],tblProducts[Selling Price (excl. VAT)],0)</f>
        <v>85000</v>
      </c>
      <c r="K2264" s="5">
        <f>tblSales[[#This Row],[Qty]]*tblSales[[#This Row],[Unit Price]]</f>
        <v>680000</v>
      </c>
      <c r="L2264" s="5">
        <f>ROUND(tblSales[[#This Row],[DPP (excl. VAT)]]*VATEff,0)</f>
        <v>74800</v>
      </c>
      <c r="M2264" s="5">
        <f>tblSales[[#This Row],[DPP (excl. VAT)]]+tblSales[[#This Row],[Output VAT]]</f>
        <v>754800</v>
      </c>
      <c r="N2264" s="5">
        <f>tblSales[[#This Row],[Qty]]*_xlfn.XLOOKUP(tblSales[[#This Row],[Product Code]],tblProducts[Code],tblProducts[Unit Cost],0)</f>
        <v>400000</v>
      </c>
      <c r="O2264" s="4" t="s">
        <v>4865</v>
      </c>
      <c r="P2264" s="4" t="s">
        <v>4860</v>
      </c>
      <c r="Q2264" s="1" t="str">
        <f>_xlfn.XLOOKUP(tblSales[[#This Row],[Channel Code]],tblChannels[Channel Code],tblChannels[Channel Name],"")</f>
        <v>In-store</v>
      </c>
      <c r="R2264" s="1">
        <f>MONTH(tblSales[[#This Row],[Date]])</f>
        <v>5</v>
      </c>
    </row>
    <row r="2265" spans="2:18" x14ac:dyDescent="0.35">
      <c r="B2265" s="113">
        <v>46158</v>
      </c>
      <c r="C2265" s="4" t="s">
        <v>1503</v>
      </c>
      <c r="D2265" s="4" t="s">
        <v>4568</v>
      </c>
      <c r="E2265" s="1" t="str">
        <f>_xlfn.XLOOKUP(tblSales[[#This Row],[Customer ID]],tblCustomers[Customer ID],tblCustomers[Customer Name],"⚠ Unknown")</f>
        <v>Walk-in Customer</v>
      </c>
      <c r="F2265" s="4" t="s">
        <v>10</v>
      </c>
      <c r="G2265" s="1" t="str">
        <f>_xlfn.XLOOKUP(tblSales[[#This Row],[Product Code]],tblProducts[Code],tblProducts[Product / Service Name],"⚠ Unknown")</f>
        <v>Chino Pants</v>
      </c>
      <c r="H2265" s="1" t="str">
        <f>_xlfn.XLOOKUP(tblSales[[#This Row],[Product Code]],tblProducts[Code],tblProducts[Category],"")</f>
        <v>Apparel &amp; Footwear</v>
      </c>
      <c r="I2265" s="4">
        <v>11</v>
      </c>
      <c r="J2265" s="5">
        <f>_xlfn.XLOOKUP(tblSales[[#This Row],[Product Code]],tblProducts[Code],tblProducts[Selling Price (excl. VAT)],0)</f>
        <v>150000</v>
      </c>
      <c r="K2265" s="5">
        <f>tblSales[[#This Row],[Qty]]*tblSales[[#This Row],[Unit Price]]</f>
        <v>1650000</v>
      </c>
      <c r="L2265" s="5">
        <f>ROUND(tblSales[[#This Row],[DPP (excl. VAT)]]*VATEff,0)</f>
        <v>181500</v>
      </c>
      <c r="M2265" s="5">
        <f>tblSales[[#This Row],[DPP (excl. VAT)]]+tblSales[[#This Row],[Output VAT]]</f>
        <v>1831500</v>
      </c>
      <c r="N2265" s="5">
        <f>tblSales[[#This Row],[Qty]]*_xlfn.XLOOKUP(tblSales[[#This Row],[Product Code]],tblProducts[Code],tblProducts[Unit Cost],0)</f>
        <v>968000</v>
      </c>
      <c r="O2265" s="4" t="s">
        <v>4865</v>
      </c>
      <c r="P2265" s="4" t="s">
        <v>4860</v>
      </c>
      <c r="Q2265" s="1" t="str">
        <f>_xlfn.XLOOKUP(tblSales[[#This Row],[Channel Code]],tblChannels[Channel Code],tblChannels[Channel Name],"")</f>
        <v>In-store</v>
      </c>
      <c r="R2265" s="1">
        <f>MONTH(tblSales[[#This Row],[Date]])</f>
        <v>5</v>
      </c>
    </row>
    <row r="2266" spans="2:18" x14ac:dyDescent="0.35">
      <c r="B2266" s="113">
        <v>46158</v>
      </c>
      <c r="C2266" s="4" t="s">
        <v>1503</v>
      </c>
      <c r="D2266" s="4" t="s">
        <v>4568</v>
      </c>
      <c r="E2266" s="1" t="str">
        <f>_xlfn.XLOOKUP(tblSales[[#This Row],[Customer ID]],tblCustomers[Customer ID],tblCustomers[Customer Name],"⚠ Unknown")</f>
        <v>Walk-in Customer</v>
      </c>
      <c r="F2266" s="4" t="s">
        <v>8</v>
      </c>
      <c r="G2266" s="1" t="str">
        <f>_xlfn.XLOOKUP(tblSales[[#This Row],[Product Code]],tblProducts[Code],tblProducts[Product / Service Name],"⚠ Unknown")</f>
        <v>Casual Shorts</v>
      </c>
      <c r="H2266" s="1" t="str">
        <f>_xlfn.XLOOKUP(tblSales[[#This Row],[Product Code]],tblProducts[Code],tblProducts[Category],"")</f>
        <v>Accessories &amp; Basics</v>
      </c>
      <c r="I2266" s="4">
        <v>3</v>
      </c>
      <c r="J2266" s="5">
        <f>_xlfn.XLOOKUP(tblSales[[#This Row],[Product Code]],tblProducts[Code],tblProducts[Selling Price (excl. VAT)],0)</f>
        <v>85000</v>
      </c>
      <c r="K2266" s="5">
        <f>tblSales[[#This Row],[Qty]]*tblSales[[#This Row],[Unit Price]]</f>
        <v>255000</v>
      </c>
      <c r="L2266" s="5">
        <f>ROUND(tblSales[[#This Row],[DPP (excl. VAT)]]*VATEff,0)</f>
        <v>28050</v>
      </c>
      <c r="M2266" s="5">
        <f>tblSales[[#This Row],[DPP (excl. VAT)]]+tblSales[[#This Row],[Output VAT]]</f>
        <v>283050</v>
      </c>
      <c r="N2266" s="5">
        <f>tblSales[[#This Row],[Qty]]*_xlfn.XLOOKUP(tblSales[[#This Row],[Product Code]],tblProducts[Code],tblProducts[Unit Cost],0)</f>
        <v>150000</v>
      </c>
      <c r="O2266" s="4" t="s">
        <v>4865</v>
      </c>
      <c r="P2266" s="4" t="s">
        <v>4860</v>
      </c>
      <c r="Q2266" s="1" t="str">
        <f>_xlfn.XLOOKUP(tblSales[[#This Row],[Channel Code]],tblChannels[Channel Code],tblChannels[Channel Name],"")</f>
        <v>In-store</v>
      </c>
      <c r="R2266" s="1">
        <f>MONTH(tblSales[[#This Row],[Date]])</f>
        <v>5</v>
      </c>
    </row>
    <row r="2267" spans="2:18" x14ac:dyDescent="0.35">
      <c r="B2267" s="113">
        <v>46158</v>
      </c>
      <c r="C2267" s="4" t="s">
        <v>1503</v>
      </c>
      <c r="D2267" s="4" t="s">
        <v>4568</v>
      </c>
      <c r="E2267" s="1" t="str">
        <f>_xlfn.XLOOKUP(tblSales[[#This Row],[Customer ID]],tblCustomers[Customer ID],tblCustomers[Customer Name],"⚠ Unknown")</f>
        <v>Walk-in Customer</v>
      </c>
      <c r="F2267" s="4" t="s">
        <v>6</v>
      </c>
      <c r="G2267" s="1" t="str">
        <f>_xlfn.XLOOKUP(tblSales[[#This Row],[Product Code]],tblProducts[Code],tblProducts[Product / Service Name],"⚠ Unknown")</f>
        <v>Socks &amp; Accessories</v>
      </c>
      <c r="H2267" s="1" t="str">
        <f>_xlfn.XLOOKUP(tblSales[[#This Row],[Product Code]],tblProducts[Code],tblProducts[Category],"")</f>
        <v>Accessories &amp; Basics</v>
      </c>
      <c r="I2267" s="4">
        <v>4</v>
      </c>
      <c r="J2267" s="5">
        <f>_xlfn.XLOOKUP(tblSales[[#This Row],[Product Code]],tblProducts[Code],tblProducts[Selling Price (excl. VAT)],0)</f>
        <v>45000</v>
      </c>
      <c r="K2267" s="5">
        <f>tblSales[[#This Row],[Qty]]*tblSales[[#This Row],[Unit Price]]</f>
        <v>180000</v>
      </c>
      <c r="L2267" s="5">
        <f>ROUND(tblSales[[#This Row],[DPP (excl. VAT)]]*VATEff,0)</f>
        <v>19800</v>
      </c>
      <c r="M2267" s="5">
        <f>tblSales[[#This Row],[DPP (excl. VAT)]]+tblSales[[#This Row],[Output VAT]]</f>
        <v>199800</v>
      </c>
      <c r="N2267" s="5">
        <f>tblSales[[#This Row],[Qty]]*_xlfn.XLOOKUP(tblSales[[#This Row],[Product Code]],tblProducts[Code],tblProducts[Unit Cost],0)</f>
        <v>96000</v>
      </c>
      <c r="O2267" s="4" t="s">
        <v>4865</v>
      </c>
      <c r="P2267" s="4" t="s">
        <v>4860</v>
      </c>
      <c r="Q2267" s="1" t="str">
        <f>_xlfn.XLOOKUP(tblSales[[#This Row],[Channel Code]],tblChannels[Channel Code],tblChannels[Channel Name],"")</f>
        <v>In-store</v>
      </c>
      <c r="R2267" s="1">
        <f>MONTH(tblSales[[#This Row],[Date]])</f>
        <v>5</v>
      </c>
    </row>
    <row r="2268" spans="2:18" x14ac:dyDescent="0.35">
      <c r="B2268" s="113">
        <v>46158</v>
      </c>
      <c r="C2268" s="4" t="s">
        <v>1504</v>
      </c>
      <c r="D2268" s="4" t="s">
        <v>4568</v>
      </c>
      <c r="E2268" s="1" t="str">
        <f>_xlfn.XLOOKUP(tblSales[[#This Row],[Customer ID]],tblCustomers[Customer ID],tblCustomers[Customer Name],"⚠ Unknown")</f>
        <v>Walk-in Customer</v>
      </c>
      <c r="F2268" s="4" t="s">
        <v>6</v>
      </c>
      <c r="G2268" s="1" t="str">
        <f>_xlfn.XLOOKUP(tblSales[[#This Row],[Product Code]],tblProducts[Code],tblProducts[Product / Service Name],"⚠ Unknown")</f>
        <v>Socks &amp; Accessories</v>
      </c>
      <c r="H2268" s="1" t="str">
        <f>_xlfn.XLOOKUP(tblSales[[#This Row],[Product Code]],tblProducts[Code],tblProducts[Category],"")</f>
        <v>Accessories &amp; Basics</v>
      </c>
      <c r="I2268" s="4">
        <v>10</v>
      </c>
      <c r="J2268" s="5">
        <f>_xlfn.XLOOKUP(tblSales[[#This Row],[Product Code]],tblProducts[Code],tblProducts[Selling Price (excl. VAT)],0)</f>
        <v>45000</v>
      </c>
      <c r="K2268" s="5">
        <f>tblSales[[#This Row],[Qty]]*tblSales[[#This Row],[Unit Price]]</f>
        <v>450000</v>
      </c>
      <c r="L2268" s="5">
        <f>ROUND(tblSales[[#This Row],[DPP (excl. VAT)]]*VATEff,0)</f>
        <v>49500</v>
      </c>
      <c r="M2268" s="5">
        <f>tblSales[[#This Row],[DPP (excl. VAT)]]+tblSales[[#This Row],[Output VAT]]</f>
        <v>499500</v>
      </c>
      <c r="N2268" s="5">
        <f>tblSales[[#This Row],[Qty]]*_xlfn.XLOOKUP(tblSales[[#This Row],[Product Code]],tblProducts[Code],tblProducts[Unit Cost],0)</f>
        <v>240000</v>
      </c>
      <c r="O2268" s="4" t="s">
        <v>4866</v>
      </c>
      <c r="P2268" s="4" t="s">
        <v>4860</v>
      </c>
      <c r="Q2268" s="1" t="str">
        <f>_xlfn.XLOOKUP(tblSales[[#This Row],[Channel Code]],tblChannels[Channel Code],tblChannels[Channel Name],"")</f>
        <v>In-store</v>
      </c>
      <c r="R2268" s="1">
        <f>MONTH(tblSales[[#This Row],[Date]])</f>
        <v>5</v>
      </c>
    </row>
    <row r="2269" spans="2:18" x14ac:dyDescent="0.35">
      <c r="B2269" s="113">
        <v>46158</v>
      </c>
      <c r="C2269" s="4" t="s">
        <v>1504</v>
      </c>
      <c r="D2269" s="4" t="s">
        <v>4568</v>
      </c>
      <c r="E2269" s="1" t="str">
        <f>_xlfn.XLOOKUP(tblSales[[#This Row],[Customer ID]],tblCustomers[Customer ID],tblCustomers[Customer Name],"⚠ Unknown")</f>
        <v>Walk-in Customer</v>
      </c>
      <c r="F2269" s="4" t="s">
        <v>13</v>
      </c>
      <c r="G2269" s="1" t="str">
        <f>_xlfn.XLOOKUP(tblSales[[#This Row],[Product Code]],tblProducts[Code],tblProducts[Product / Service Name],"⚠ Unknown")</f>
        <v>Backpack</v>
      </c>
      <c r="H2269" s="1" t="str">
        <f>_xlfn.XLOOKUP(tblSales[[#This Row],[Product Code]],tblProducts[Code],tblProducts[Category],"")</f>
        <v>Bags &amp; Gadgets</v>
      </c>
      <c r="I2269" s="4">
        <v>4</v>
      </c>
      <c r="J2269" s="5">
        <f>_xlfn.XLOOKUP(tblSales[[#This Row],[Product Code]],tblProducts[Code],tblProducts[Selling Price (excl. VAT)],0)</f>
        <v>500000</v>
      </c>
      <c r="K2269" s="5">
        <f>tblSales[[#This Row],[Qty]]*tblSales[[#This Row],[Unit Price]]</f>
        <v>2000000</v>
      </c>
      <c r="L2269" s="5">
        <f>ROUND(tblSales[[#This Row],[DPP (excl. VAT)]]*VATEff,0)</f>
        <v>220000</v>
      </c>
      <c r="M2269" s="5">
        <f>tblSales[[#This Row],[DPP (excl. VAT)]]+tblSales[[#This Row],[Output VAT]]</f>
        <v>2220000</v>
      </c>
      <c r="N2269" s="5">
        <f>tblSales[[#This Row],[Qty]]*_xlfn.XLOOKUP(tblSales[[#This Row],[Product Code]],tblProducts[Code],tblProducts[Unit Cost],0)</f>
        <v>1160000</v>
      </c>
      <c r="O2269" s="4" t="s">
        <v>4866</v>
      </c>
      <c r="P2269" s="4" t="s">
        <v>4860</v>
      </c>
      <c r="Q2269" s="1" t="str">
        <f>_xlfn.XLOOKUP(tblSales[[#This Row],[Channel Code]],tblChannels[Channel Code],tblChannels[Channel Name],"")</f>
        <v>In-store</v>
      </c>
      <c r="R2269" s="1">
        <f>MONTH(tblSales[[#This Row],[Date]])</f>
        <v>5</v>
      </c>
    </row>
    <row r="2270" spans="2:18" x14ac:dyDescent="0.35">
      <c r="B2270" s="113">
        <v>46158</v>
      </c>
      <c r="C2270" s="4" t="s">
        <v>1505</v>
      </c>
      <c r="D2270" s="4" t="s">
        <v>4568</v>
      </c>
      <c r="E2270" s="1" t="str">
        <f>_xlfn.XLOOKUP(tblSales[[#This Row],[Customer ID]],tblCustomers[Customer ID],tblCustomers[Customer Name],"⚠ Unknown")</f>
        <v>Walk-in Customer</v>
      </c>
      <c r="F2270" s="4" t="s">
        <v>8</v>
      </c>
      <c r="G2270" s="1" t="str">
        <f>_xlfn.XLOOKUP(tblSales[[#This Row],[Product Code]],tblProducts[Code],tblProducts[Product / Service Name],"⚠ Unknown")</f>
        <v>Casual Shorts</v>
      </c>
      <c r="H2270" s="1" t="str">
        <f>_xlfn.XLOOKUP(tblSales[[#This Row],[Product Code]],tblProducts[Code],tblProducts[Category],"")</f>
        <v>Accessories &amp; Basics</v>
      </c>
      <c r="I2270" s="4">
        <v>9</v>
      </c>
      <c r="J2270" s="5">
        <f>_xlfn.XLOOKUP(tblSales[[#This Row],[Product Code]],tblProducts[Code],tblProducts[Selling Price (excl. VAT)],0)</f>
        <v>85000</v>
      </c>
      <c r="K2270" s="5">
        <f>tblSales[[#This Row],[Qty]]*tblSales[[#This Row],[Unit Price]]</f>
        <v>765000</v>
      </c>
      <c r="L2270" s="5">
        <f>ROUND(tblSales[[#This Row],[DPP (excl. VAT)]]*VATEff,0)</f>
        <v>84150</v>
      </c>
      <c r="M2270" s="5">
        <f>tblSales[[#This Row],[DPP (excl. VAT)]]+tblSales[[#This Row],[Output VAT]]</f>
        <v>849150</v>
      </c>
      <c r="N2270" s="5">
        <f>tblSales[[#This Row],[Qty]]*_xlfn.XLOOKUP(tblSales[[#This Row],[Product Code]],tblProducts[Code],tblProducts[Unit Cost],0)</f>
        <v>450000</v>
      </c>
      <c r="O2270" s="4" t="s">
        <v>4865</v>
      </c>
      <c r="P2270" s="4" t="s">
        <v>4860</v>
      </c>
      <c r="Q2270" s="1" t="str">
        <f>_xlfn.XLOOKUP(tblSales[[#This Row],[Channel Code]],tblChannels[Channel Code],tblChannels[Channel Name],"")</f>
        <v>In-store</v>
      </c>
      <c r="R2270" s="1">
        <f>MONTH(tblSales[[#This Row],[Date]])</f>
        <v>5</v>
      </c>
    </row>
    <row r="2271" spans="2:18" x14ac:dyDescent="0.35">
      <c r="B2271" s="113">
        <v>46159</v>
      </c>
      <c r="C2271" s="4" t="s">
        <v>1506</v>
      </c>
      <c r="D2271" s="4" t="s">
        <v>4634</v>
      </c>
      <c r="E2271" s="1" t="str">
        <f>_xlfn.XLOOKUP(tblSales[[#This Row],[Customer ID]],tblCustomers[Customer ID],tblCustomers[Customer Name],"⚠ Unknown")</f>
        <v>PT Delta Inti Selaras</v>
      </c>
      <c r="F2271" s="4" t="s">
        <v>8</v>
      </c>
      <c r="G2271" s="1" t="str">
        <f>_xlfn.XLOOKUP(tblSales[[#This Row],[Product Code]],tblProducts[Code],tblProducts[Product / Service Name],"⚠ Unknown")</f>
        <v>Casual Shorts</v>
      </c>
      <c r="H2271" s="1" t="str">
        <f>_xlfn.XLOOKUP(tblSales[[#This Row],[Product Code]],tblProducts[Code],tblProducts[Category],"")</f>
        <v>Accessories &amp; Basics</v>
      </c>
      <c r="I2271" s="4">
        <v>56</v>
      </c>
      <c r="J2271" s="5">
        <f>_xlfn.XLOOKUP(tblSales[[#This Row],[Product Code]],tblProducts[Code],tblProducts[Selling Price (excl. VAT)],0)</f>
        <v>85000</v>
      </c>
      <c r="K2271" s="5">
        <f>tblSales[[#This Row],[Qty]]*tblSales[[#This Row],[Unit Price]]</f>
        <v>4760000</v>
      </c>
      <c r="L2271" s="5">
        <f>ROUND(tblSales[[#This Row],[DPP (excl. VAT)]]*VATEff,0)</f>
        <v>523600</v>
      </c>
      <c r="M2271" s="5">
        <f>tblSales[[#This Row],[DPP (excl. VAT)]]+tblSales[[#This Row],[Output VAT]]</f>
        <v>5283600</v>
      </c>
      <c r="N2271" s="5">
        <f>tblSales[[#This Row],[Qty]]*_xlfn.XLOOKUP(tblSales[[#This Row],[Product Code]],tblProducts[Code],tblProducts[Unit Cost],0)</f>
        <v>2800000</v>
      </c>
      <c r="O2271" s="4" t="s">
        <v>4867</v>
      </c>
      <c r="P2271" s="4" t="s">
        <v>4860</v>
      </c>
      <c r="Q2271" s="1" t="str">
        <f>_xlfn.XLOOKUP(tblSales[[#This Row],[Channel Code]],tblChannels[Channel Code],tblChannels[Channel Name],"")</f>
        <v>In-store</v>
      </c>
      <c r="R2271" s="1">
        <f>MONTH(tblSales[[#This Row],[Date]])</f>
        <v>5</v>
      </c>
    </row>
    <row r="2272" spans="2:18" x14ac:dyDescent="0.35">
      <c r="B2272" s="113">
        <v>46159</v>
      </c>
      <c r="C2272" s="4" t="s">
        <v>1507</v>
      </c>
      <c r="D2272" s="4" t="s">
        <v>4568</v>
      </c>
      <c r="E2272" s="1" t="str">
        <f>_xlfn.XLOOKUP(tblSales[[#This Row],[Customer ID]],tblCustomers[Customer ID],tblCustomers[Customer Name],"⚠ Unknown")</f>
        <v>Walk-in Customer</v>
      </c>
      <c r="F2272" s="4" t="s">
        <v>7</v>
      </c>
      <c r="G2272" s="1" t="str">
        <f>_xlfn.XLOOKUP(tblSales[[#This Row],[Product Code]],tblProducts[Code],tblProducts[Product / Service Name],"⚠ Unknown")</f>
        <v>Premium Basic T-shirt</v>
      </c>
      <c r="H2272" s="1" t="str">
        <f>_xlfn.XLOOKUP(tblSales[[#This Row],[Product Code]],tblProducts[Code],tblProducts[Category],"")</f>
        <v>Accessories &amp; Basics</v>
      </c>
      <c r="I2272" s="4">
        <v>1</v>
      </c>
      <c r="J2272" s="5">
        <f>_xlfn.XLOOKUP(tblSales[[#This Row],[Product Code]],tblProducts[Code],tblProducts[Selling Price (excl. VAT)],0)</f>
        <v>65000</v>
      </c>
      <c r="K2272" s="5">
        <f>tblSales[[#This Row],[Qty]]*tblSales[[#This Row],[Unit Price]]</f>
        <v>65000</v>
      </c>
      <c r="L2272" s="5">
        <f>ROUND(tblSales[[#This Row],[DPP (excl. VAT)]]*VATEff,0)</f>
        <v>7150</v>
      </c>
      <c r="M2272" s="5">
        <f>tblSales[[#This Row],[DPP (excl. VAT)]]+tblSales[[#This Row],[Output VAT]]</f>
        <v>72150</v>
      </c>
      <c r="N2272" s="5">
        <f>tblSales[[#This Row],[Qty]]*_xlfn.XLOOKUP(tblSales[[#This Row],[Product Code]],tblProducts[Code],tblProducts[Unit Cost],0)</f>
        <v>37000</v>
      </c>
      <c r="O2272" s="4" t="s">
        <v>4866</v>
      </c>
      <c r="P2272" s="4" t="s">
        <v>4860</v>
      </c>
      <c r="Q2272" s="1" t="str">
        <f>_xlfn.XLOOKUP(tblSales[[#This Row],[Channel Code]],tblChannels[Channel Code],tblChannels[Channel Name],"")</f>
        <v>In-store</v>
      </c>
      <c r="R2272" s="1">
        <f>MONTH(tblSales[[#This Row],[Date]])</f>
        <v>5</v>
      </c>
    </row>
    <row r="2273" spans="2:18" x14ac:dyDescent="0.35">
      <c r="B2273" s="113">
        <v>46159</v>
      </c>
      <c r="C2273" s="4" t="s">
        <v>1507</v>
      </c>
      <c r="D2273" s="4" t="s">
        <v>4568</v>
      </c>
      <c r="E2273" s="1" t="str">
        <f>_xlfn.XLOOKUP(tblSales[[#This Row],[Customer ID]],tblCustomers[Customer ID],tblCustomers[Customer Name],"⚠ Unknown")</f>
        <v>Walk-in Customer</v>
      </c>
      <c r="F2273" s="4" t="s">
        <v>6</v>
      </c>
      <c r="G2273" s="1" t="str">
        <f>_xlfn.XLOOKUP(tblSales[[#This Row],[Product Code]],tblProducts[Code],tblProducts[Product / Service Name],"⚠ Unknown")</f>
        <v>Socks &amp; Accessories</v>
      </c>
      <c r="H2273" s="1" t="str">
        <f>_xlfn.XLOOKUP(tblSales[[#This Row],[Product Code]],tblProducts[Code],tblProducts[Category],"")</f>
        <v>Accessories &amp; Basics</v>
      </c>
      <c r="I2273" s="4">
        <v>2</v>
      </c>
      <c r="J2273" s="5">
        <f>_xlfn.XLOOKUP(tblSales[[#This Row],[Product Code]],tblProducts[Code],tblProducts[Selling Price (excl. VAT)],0)</f>
        <v>45000</v>
      </c>
      <c r="K2273" s="5">
        <f>tblSales[[#This Row],[Qty]]*tblSales[[#This Row],[Unit Price]]</f>
        <v>90000</v>
      </c>
      <c r="L2273" s="5">
        <f>ROUND(tblSales[[#This Row],[DPP (excl. VAT)]]*VATEff,0)</f>
        <v>9900</v>
      </c>
      <c r="M2273" s="5">
        <f>tblSales[[#This Row],[DPP (excl. VAT)]]+tblSales[[#This Row],[Output VAT]]</f>
        <v>99900</v>
      </c>
      <c r="N2273" s="5">
        <f>tblSales[[#This Row],[Qty]]*_xlfn.XLOOKUP(tblSales[[#This Row],[Product Code]],tblProducts[Code],tblProducts[Unit Cost],0)</f>
        <v>48000</v>
      </c>
      <c r="O2273" s="4" t="s">
        <v>4866</v>
      </c>
      <c r="P2273" s="4" t="s">
        <v>4860</v>
      </c>
      <c r="Q2273" s="1" t="str">
        <f>_xlfn.XLOOKUP(tblSales[[#This Row],[Channel Code]],tblChannels[Channel Code],tblChannels[Channel Name],"")</f>
        <v>In-store</v>
      </c>
      <c r="R2273" s="1">
        <f>MONTH(tblSales[[#This Row],[Date]])</f>
        <v>5</v>
      </c>
    </row>
    <row r="2274" spans="2:18" x14ac:dyDescent="0.35">
      <c r="B2274" s="113">
        <v>46159</v>
      </c>
      <c r="C2274" s="4" t="s">
        <v>1508</v>
      </c>
      <c r="D2274" s="4" t="s">
        <v>4568</v>
      </c>
      <c r="E2274" s="1" t="str">
        <f>_xlfn.XLOOKUP(tblSales[[#This Row],[Customer ID]],tblCustomers[Customer ID],tblCustomers[Customer Name],"⚠ Unknown")</f>
        <v>Walk-in Customer</v>
      </c>
      <c r="F2274" s="4" t="s">
        <v>6</v>
      </c>
      <c r="G2274" s="1" t="str">
        <f>_xlfn.XLOOKUP(tblSales[[#This Row],[Product Code]],tblProducts[Code],tblProducts[Product / Service Name],"⚠ Unknown")</f>
        <v>Socks &amp; Accessories</v>
      </c>
      <c r="H2274" s="1" t="str">
        <f>_xlfn.XLOOKUP(tblSales[[#This Row],[Product Code]],tblProducts[Code],tblProducts[Category],"")</f>
        <v>Accessories &amp; Basics</v>
      </c>
      <c r="I2274" s="4">
        <v>5</v>
      </c>
      <c r="J2274" s="5">
        <f>_xlfn.XLOOKUP(tblSales[[#This Row],[Product Code]],tblProducts[Code],tblProducts[Selling Price (excl. VAT)],0)</f>
        <v>45000</v>
      </c>
      <c r="K2274" s="5">
        <f>tblSales[[#This Row],[Qty]]*tblSales[[#This Row],[Unit Price]]</f>
        <v>225000</v>
      </c>
      <c r="L2274" s="5">
        <f>ROUND(tblSales[[#This Row],[DPP (excl. VAT)]]*VATEff,0)</f>
        <v>24750</v>
      </c>
      <c r="M2274" s="5">
        <f>tblSales[[#This Row],[DPP (excl. VAT)]]+tblSales[[#This Row],[Output VAT]]</f>
        <v>249750</v>
      </c>
      <c r="N2274" s="5">
        <f>tblSales[[#This Row],[Qty]]*_xlfn.XLOOKUP(tblSales[[#This Row],[Product Code]],tblProducts[Code],tblProducts[Unit Cost],0)</f>
        <v>120000</v>
      </c>
      <c r="O2274" s="4" t="s">
        <v>4865</v>
      </c>
      <c r="P2274" s="4" t="s">
        <v>4860</v>
      </c>
      <c r="Q2274" s="1" t="str">
        <f>_xlfn.XLOOKUP(tblSales[[#This Row],[Channel Code]],tblChannels[Channel Code],tblChannels[Channel Name],"")</f>
        <v>In-store</v>
      </c>
      <c r="R2274" s="1">
        <f>MONTH(tblSales[[#This Row],[Date]])</f>
        <v>5</v>
      </c>
    </row>
    <row r="2275" spans="2:18" x14ac:dyDescent="0.35">
      <c r="B2275" s="113">
        <v>46159</v>
      </c>
      <c r="C2275" s="4" t="s">
        <v>1509</v>
      </c>
      <c r="D2275" s="4" t="s">
        <v>4568</v>
      </c>
      <c r="E2275" s="1" t="str">
        <f>_xlfn.XLOOKUP(tblSales[[#This Row],[Customer ID]],tblCustomers[Customer ID],tblCustomers[Customer Name],"⚠ Unknown")</f>
        <v>Walk-in Customer</v>
      </c>
      <c r="F2275" s="4" t="s">
        <v>8</v>
      </c>
      <c r="G2275" s="1" t="str">
        <f>_xlfn.XLOOKUP(tblSales[[#This Row],[Product Code]],tblProducts[Code],tblProducts[Product / Service Name],"⚠ Unknown")</f>
        <v>Casual Shorts</v>
      </c>
      <c r="H2275" s="1" t="str">
        <f>_xlfn.XLOOKUP(tblSales[[#This Row],[Product Code]],tblProducts[Code],tblProducts[Category],"")</f>
        <v>Accessories &amp; Basics</v>
      </c>
      <c r="I2275" s="4">
        <v>2</v>
      </c>
      <c r="J2275" s="5">
        <f>_xlfn.XLOOKUP(tblSales[[#This Row],[Product Code]],tblProducts[Code],tblProducts[Selling Price (excl. VAT)],0)</f>
        <v>85000</v>
      </c>
      <c r="K2275" s="5">
        <f>tblSales[[#This Row],[Qty]]*tblSales[[#This Row],[Unit Price]]</f>
        <v>170000</v>
      </c>
      <c r="L2275" s="5">
        <f>ROUND(tblSales[[#This Row],[DPP (excl. VAT)]]*VATEff,0)</f>
        <v>18700</v>
      </c>
      <c r="M2275" s="5">
        <f>tblSales[[#This Row],[DPP (excl. VAT)]]+tblSales[[#This Row],[Output VAT]]</f>
        <v>188700</v>
      </c>
      <c r="N2275" s="5">
        <f>tblSales[[#This Row],[Qty]]*_xlfn.XLOOKUP(tblSales[[#This Row],[Product Code]],tblProducts[Code],tblProducts[Unit Cost],0)</f>
        <v>100000</v>
      </c>
      <c r="O2275" s="4" t="s">
        <v>4865</v>
      </c>
      <c r="P2275" s="4" t="s">
        <v>4860</v>
      </c>
      <c r="Q2275" s="1" t="str">
        <f>_xlfn.XLOOKUP(tblSales[[#This Row],[Channel Code]],tblChannels[Channel Code],tblChannels[Channel Name],"")</f>
        <v>In-store</v>
      </c>
      <c r="R2275" s="1">
        <f>MONTH(tblSales[[#This Row],[Date]])</f>
        <v>5</v>
      </c>
    </row>
    <row r="2276" spans="2:18" x14ac:dyDescent="0.35">
      <c r="B2276" s="113">
        <v>46159</v>
      </c>
      <c r="C2276" s="4" t="s">
        <v>1509</v>
      </c>
      <c r="D2276" s="4" t="s">
        <v>4568</v>
      </c>
      <c r="E2276" s="1" t="str">
        <f>_xlfn.XLOOKUP(tblSales[[#This Row],[Customer ID]],tblCustomers[Customer ID],tblCustomers[Customer Name],"⚠ Unknown")</f>
        <v>Walk-in Customer</v>
      </c>
      <c r="F2276" s="4" t="s">
        <v>10</v>
      </c>
      <c r="G2276" s="1" t="str">
        <f>_xlfn.XLOOKUP(tblSales[[#This Row],[Product Code]],tblProducts[Code],tblProducts[Product / Service Name],"⚠ Unknown")</f>
        <v>Chino Pants</v>
      </c>
      <c r="H2276" s="1" t="str">
        <f>_xlfn.XLOOKUP(tblSales[[#This Row],[Product Code]],tblProducts[Code],tblProducts[Category],"")</f>
        <v>Apparel &amp; Footwear</v>
      </c>
      <c r="I2276" s="4">
        <v>8</v>
      </c>
      <c r="J2276" s="5">
        <f>_xlfn.XLOOKUP(tblSales[[#This Row],[Product Code]],tblProducts[Code],tblProducts[Selling Price (excl. VAT)],0)</f>
        <v>150000</v>
      </c>
      <c r="K2276" s="5">
        <f>tblSales[[#This Row],[Qty]]*tblSales[[#This Row],[Unit Price]]</f>
        <v>1200000</v>
      </c>
      <c r="L2276" s="5">
        <f>ROUND(tblSales[[#This Row],[DPP (excl. VAT)]]*VATEff,0)</f>
        <v>132000</v>
      </c>
      <c r="M2276" s="5">
        <f>tblSales[[#This Row],[DPP (excl. VAT)]]+tblSales[[#This Row],[Output VAT]]</f>
        <v>1332000</v>
      </c>
      <c r="N2276" s="5">
        <f>tblSales[[#This Row],[Qty]]*_xlfn.XLOOKUP(tblSales[[#This Row],[Product Code]],tblProducts[Code],tblProducts[Unit Cost],0)</f>
        <v>704000</v>
      </c>
      <c r="O2276" s="4" t="s">
        <v>4865</v>
      </c>
      <c r="P2276" s="4" t="s">
        <v>4860</v>
      </c>
      <c r="Q2276" s="1" t="str">
        <f>_xlfn.XLOOKUP(tblSales[[#This Row],[Channel Code]],tblChannels[Channel Code],tblChannels[Channel Name],"")</f>
        <v>In-store</v>
      </c>
      <c r="R2276" s="1">
        <f>MONTH(tblSales[[#This Row],[Date]])</f>
        <v>5</v>
      </c>
    </row>
    <row r="2277" spans="2:18" x14ac:dyDescent="0.35">
      <c r="B2277" s="113">
        <v>46159</v>
      </c>
      <c r="C2277" s="4" t="s">
        <v>1510</v>
      </c>
      <c r="D2277" s="4" t="s">
        <v>4568</v>
      </c>
      <c r="E2277" s="1" t="str">
        <f>_xlfn.XLOOKUP(tblSales[[#This Row],[Customer ID]],tblCustomers[Customer ID],tblCustomers[Customer Name],"⚠ Unknown")</f>
        <v>Walk-in Customer</v>
      </c>
      <c r="F2277" s="4" t="s">
        <v>11</v>
      </c>
      <c r="G2277" s="1" t="str">
        <f>_xlfn.XLOOKUP(tblSales[[#This Row],[Product Code]],tblProducts[Code],tblProducts[Product / Service Name],"⚠ Unknown")</f>
        <v>Sneakers</v>
      </c>
      <c r="H2277" s="1" t="str">
        <f>_xlfn.XLOOKUP(tblSales[[#This Row],[Product Code]],tblProducts[Code],tblProducts[Category],"")</f>
        <v>Apparel &amp; Footwear</v>
      </c>
      <c r="I2277" s="4">
        <v>1</v>
      </c>
      <c r="J2277" s="5">
        <f>_xlfn.XLOOKUP(tblSales[[#This Row],[Product Code]],tblProducts[Code],tblProducts[Selling Price (excl. VAT)],0)</f>
        <v>250000</v>
      </c>
      <c r="K2277" s="5">
        <f>tblSales[[#This Row],[Qty]]*tblSales[[#This Row],[Unit Price]]</f>
        <v>250000</v>
      </c>
      <c r="L2277" s="5">
        <f>ROUND(tblSales[[#This Row],[DPP (excl. VAT)]]*VATEff,0)</f>
        <v>27500</v>
      </c>
      <c r="M2277" s="5">
        <f>tblSales[[#This Row],[DPP (excl. VAT)]]+tblSales[[#This Row],[Output VAT]]</f>
        <v>277500</v>
      </c>
      <c r="N2277" s="5">
        <f>tblSales[[#This Row],[Qty]]*_xlfn.XLOOKUP(tblSales[[#This Row],[Product Code]],tblProducts[Code],tblProducts[Unit Cost],0)</f>
        <v>155000</v>
      </c>
      <c r="O2277" s="4" t="s">
        <v>4865</v>
      </c>
      <c r="P2277" s="4" t="s">
        <v>4860</v>
      </c>
      <c r="Q2277" s="1" t="str">
        <f>_xlfn.XLOOKUP(tblSales[[#This Row],[Channel Code]],tblChannels[Channel Code],tblChannels[Channel Name],"")</f>
        <v>In-store</v>
      </c>
      <c r="R2277" s="1">
        <f>MONTH(tblSales[[#This Row],[Date]])</f>
        <v>5</v>
      </c>
    </row>
    <row r="2278" spans="2:18" x14ac:dyDescent="0.35">
      <c r="B2278" s="113">
        <v>46159</v>
      </c>
      <c r="C2278" s="4" t="s">
        <v>1511</v>
      </c>
      <c r="D2278" s="4" t="s">
        <v>4568</v>
      </c>
      <c r="E2278" s="1" t="str">
        <f>_xlfn.XLOOKUP(tblSales[[#This Row],[Customer ID]],tblCustomers[Customer ID],tblCustomers[Customer Name],"⚠ Unknown")</f>
        <v>Walk-in Customer</v>
      </c>
      <c r="F2278" s="4" t="s">
        <v>15</v>
      </c>
      <c r="G2278" s="1" t="str">
        <f>_xlfn.XLOOKUP(tblSales[[#This Row],[Product Code]],tblProducts[Code],tblProducts[Product / Service Name],"⚠ Unknown")</f>
        <v>Wireless Earbuds Pro</v>
      </c>
      <c r="H2278" s="1" t="str">
        <f>_xlfn.XLOOKUP(tblSales[[#This Row],[Product Code]],tblProducts[Code],tblProducts[Category],"")</f>
        <v>Bags &amp; Gadgets</v>
      </c>
      <c r="I2278" s="4">
        <v>1</v>
      </c>
      <c r="J2278" s="5">
        <f>_xlfn.XLOOKUP(tblSales[[#This Row],[Product Code]],tblProducts[Code],tblProducts[Selling Price (excl. VAT)],0)</f>
        <v>1250000</v>
      </c>
      <c r="K2278" s="5">
        <f>tblSales[[#This Row],[Qty]]*tblSales[[#This Row],[Unit Price]]</f>
        <v>1250000</v>
      </c>
      <c r="L2278" s="5">
        <f>ROUND(tblSales[[#This Row],[DPP (excl. VAT)]]*VATEff,0)</f>
        <v>137500</v>
      </c>
      <c r="M2278" s="5">
        <f>tblSales[[#This Row],[DPP (excl. VAT)]]+tblSales[[#This Row],[Output VAT]]</f>
        <v>1387500</v>
      </c>
      <c r="N2278" s="5">
        <f>tblSales[[#This Row],[Qty]]*_xlfn.XLOOKUP(tblSales[[#This Row],[Product Code]],tblProducts[Code],tblProducts[Unit Cost],0)</f>
        <v>820000</v>
      </c>
      <c r="O2278" s="4" t="s">
        <v>4866</v>
      </c>
      <c r="P2278" s="4" t="s">
        <v>4860</v>
      </c>
      <c r="Q2278" s="1" t="str">
        <f>_xlfn.XLOOKUP(tblSales[[#This Row],[Channel Code]],tblChannels[Channel Code],tblChannels[Channel Name],"")</f>
        <v>In-store</v>
      </c>
      <c r="R2278" s="1">
        <f>MONTH(tblSales[[#This Row],[Date]])</f>
        <v>5</v>
      </c>
    </row>
    <row r="2279" spans="2:18" x14ac:dyDescent="0.35">
      <c r="B2279" s="113">
        <v>46159</v>
      </c>
      <c r="C2279" s="4" t="s">
        <v>1512</v>
      </c>
      <c r="D2279" s="4" t="s">
        <v>4578</v>
      </c>
      <c r="E2279" s="1" t="str">
        <f>_xlfn.XLOOKUP(tblSales[[#This Row],[Customer ID]],tblCustomers[Customer ID],tblCustomers[Customer Name],"⚠ Unknown")</f>
        <v>PT Bintang Timur Sejahtera</v>
      </c>
      <c r="F2279" s="4" t="s">
        <v>8</v>
      </c>
      <c r="G2279" s="1" t="str">
        <f>_xlfn.XLOOKUP(tblSales[[#This Row],[Product Code]],tblProducts[Code],tblProducts[Product / Service Name],"⚠ Unknown")</f>
        <v>Casual Shorts</v>
      </c>
      <c r="H2279" s="1" t="str">
        <f>_xlfn.XLOOKUP(tblSales[[#This Row],[Product Code]],tblProducts[Code],tblProducts[Category],"")</f>
        <v>Accessories &amp; Basics</v>
      </c>
      <c r="I2279" s="4">
        <v>64</v>
      </c>
      <c r="J2279" s="5">
        <f>_xlfn.XLOOKUP(tblSales[[#This Row],[Product Code]],tblProducts[Code],tblProducts[Selling Price (excl. VAT)],0)</f>
        <v>85000</v>
      </c>
      <c r="K2279" s="5">
        <f>tblSales[[#This Row],[Qty]]*tblSales[[#This Row],[Unit Price]]</f>
        <v>5440000</v>
      </c>
      <c r="L2279" s="5">
        <f>ROUND(tblSales[[#This Row],[DPP (excl. VAT)]]*VATEff,0)</f>
        <v>598400</v>
      </c>
      <c r="M2279" s="5">
        <f>tblSales[[#This Row],[DPP (excl. VAT)]]+tblSales[[#This Row],[Output VAT]]</f>
        <v>6038400</v>
      </c>
      <c r="N2279" s="5">
        <f>tblSales[[#This Row],[Qty]]*_xlfn.XLOOKUP(tblSales[[#This Row],[Product Code]],tblProducts[Code],tblProducts[Unit Cost],0)</f>
        <v>3200000</v>
      </c>
      <c r="O2279" s="4" t="s">
        <v>4867</v>
      </c>
      <c r="P2279" s="4" t="s">
        <v>4860</v>
      </c>
      <c r="Q2279" s="1" t="str">
        <f>_xlfn.XLOOKUP(tblSales[[#This Row],[Channel Code]],tblChannels[Channel Code],tblChannels[Channel Name],"")</f>
        <v>In-store</v>
      </c>
      <c r="R2279" s="1">
        <f>MONTH(tblSales[[#This Row],[Date]])</f>
        <v>5</v>
      </c>
    </row>
    <row r="2280" spans="2:18" x14ac:dyDescent="0.35">
      <c r="B2280" s="113">
        <v>46159</v>
      </c>
      <c r="C2280" s="4" t="s">
        <v>1513</v>
      </c>
      <c r="D2280" s="4" t="s">
        <v>4606</v>
      </c>
      <c r="E2280" s="1" t="str">
        <f>_xlfn.XLOOKUP(tblSales[[#This Row],[Customer ID]],tblCustomers[Customer ID],tblCustomers[Customer Name],"⚠ Unknown")</f>
        <v>PT Arunika Digital Kreatif</v>
      </c>
      <c r="F2280" s="4" t="s">
        <v>10</v>
      </c>
      <c r="G2280" s="1" t="str">
        <f>_xlfn.XLOOKUP(tblSales[[#This Row],[Product Code]],tblProducts[Code],tblProducts[Product / Service Name],"⚠ Unknown")</f>
        <v>Chino Pants</v>
      </c>
      <c r="H2280" s="1" t="str">
        <f>_xlfn.XLOOKUP(tblSales[[#This Row],[Product Code]],tblProducts[Code],tblProducts[Category],"")</f>
        <v>Apparel &amp; Footwear</v>
      </c>
      <c r="I2280" s="4">
        <v>72</v>
      </c>
      <c r="J2280" s="5">
        <f>_xlfn.XLOOKUP(tblSales[[#This Row],[Product Code]],tblProducts[Code],tblProducts[Selling Price (excl. VAT)],0)</f>
        <v>150000</v>
      </c>
      <c r="K2280" s="5">
        <f>tblSales[[#This Row],[Qty]]*tblSales[[#This Row],[Unit Price]]</f>
        <v>10800000</v>
      </c>
      <c r="L2280" s="5">
        <f>ROUND(tblSales[[#This Row],[DPP (excl. VAT)]]*VATEff,0)</f>
        <v>1188000</v>
      </c>
      <c r="M2280" s="5">
        <f>tblSales[[#This Row],[DPP (excl. VAT)]]+tblSales[[#This Row],[Output VAT]]</f>
        <v>11988000</v>
      </c>
      <c r="N2280" s="5">
        <f>tblSales[[#This Row],[Qty]]*_xlfn.XLOOKUP(tblSales[[#This Row],[Product Code]],tblProducts[Code],tblProducts[Unit Cost],0)</f>
        <v>6336000</v>
      </c>
      <c r="O2280" s="4" t="s">
        <v>4867</v>
      </c>
      <c r="P2280" s="4" t="s">
        <v>4860</v>
      </c>
      <c r="Q2280" s="1" t="str">
        <f>_xlfn.XLOOKUP(tblSales[[#This Row],[Channel Code]],tblChannels[Channel Code],tblChannels[Channel Name],"")</f>
        <v>In-store</v>
      </c>
      <c r="R2280" s="1">
        <f>MONTH(tblSales[[#This Row],[Date]])</f>
        <v>5</v>
      </c>
    </row>
    <row r="2281" spans="2:18" x14ac:dyDescent="0.35">
      <c r="B2281" s="113">
        <v>46159</v>
      </c>
      <c r="C2281" s="4" t="s">
        <v>1514</v>
      </c>
      <c r="D2281" s="4" t="s">
        <v>4599</v>
      </c>
      <c r="E2281" s="1" t="str">
        <f>_xlfn.XLOOKUP(tblSales[[#This Row],[Customer ID]],tblCustomers[Customer ID],tblCustomers[Customer Name],"⚠ Unknown")</f>
        <v>PT Samudra Jaya Logistik</v>
      </c>
      <c r="F2281" s="4" t="s">
        <v>11</v>
      </c>
      <c r="G2281" s="1" t="str">
        <f>_xlfn.XLOOKUP(tblSales[[#This Row],[Product Code]],tblProducts[Code],tblProducts[Product / Service Name],"⚠ Unknown")</f>
        <v>Sneakers</v>
      </c>
      <c r="H2281" s="1" t="str">
        <f>_xlfn.XLOOKUP(tblSales[[#This Row],[Product Code]],tblProducts[Code],tblProducts[Category],"")</f>
        <v>Apparel &amp; Footwear</v>
      </c>
      <c r="I2281" s="4">
        <v>48</v>
      </c>
      <c r="J2281" s="5">
        <f>_xlfn.XLOOKUP(tblSales[[#This Row],[Product Code]],tblProducts[Code],tblProducts[Selling Price (excl. VAT)],0)</f>
        <v>250000</v>
      </c>
      <c r="K2281" s="5">
        <f>tblSales[[#This Row],[Qty]]*tblSales[[#This Row],[Unit Price]]</f>
        <v>12000000</v>
      </c>
      <c r="L2281" s="5">
        <f>ROUND(tblSales[[#This Row],[DPP (excl. VAT)]]*VATEff,0)</f>
        <v>1320000</v>
      </c>
      <c r="M2281" s="5">
        <f>tblSales[[#This Row],[DPP (excl. VAT)]]+tblSales[[#This Row],[Output VAT]]</f>
        <v>13320000</v>
      </c>
      <c r="N2281" s="5">
        <f>tblSales[[#This Row],[Qty]]*_xlfn.XLOOKUP(tblSales[[#This Row],[Product Code]],tblProducts[Code],tblProducts[Unit Cost],0)</f>
        <v>7440000</v>
      </c>
      <c r="O2281" s="4" t="s">
        <v>4867</v>
      </c>
      <c r="P2281" s="4" t="s">
        <v>4860</v>
      </c>
      <c r="Q2281" s="1" t="str">
        <f>_xlfn.XLOOKUP(tblSales[[#This Row],[Channel Code]],tblChannels[Channel Code],tblChannels[Channel Name],"")</f>
        <v>In-store</v>
      </c>
      <c r="R2281" s="1">
        <f>MONTH(tblSales[[#This Row],[Date]])</f>
        <v>5</v>
      </c>
    </row>
    <row r="2282" spans="2:18" x14ac:dyDescent="0.35">
      <c r="B2282" s="113">
        <v>46159</v>
      </c>
      <c r="C2282" s="4" t="s">
        <v>1515</v>
      </c>
      <c r="D2282" s="4" t="s">
        <v>4568</v>
      </c>
      <c r="E2282" s="1" t="str">
        <f>_xlfn.XLOOKUP(tblSales[[#This Row],[Customer ID]],tblCustomers[Customer ID],tblCustomers[Customer Name],"⚠ Unknown")</f>
        <v>Walk-in Customer</v>
      </c>
      <c r="F2282" s="4" t="s">
        <v>8</v>
      </c>
      <c r="G2282" s="1" t="str">
        <f>_xlfn.XLOOKUP(tblSales[[#This Row],[Product Code]],tblProducts[Code],tblProducts[Product / Service Name],"⚠ Unknown")</f>
        <v>Casual Shorts</v>
      </c>
      <c r="H2282" s="1" t="str">
        <f>_xlfn.XLOOKUP(tblSales[[#This Row],[Product Code]],tblProducts[Code],tblProducts[Category],"")</f>
        <v>Accessories &amp; Basics</v>
      </c>
      <c r="I2282" s="4">
        <v>8</v>
      </c>
      <c r="J2282" s="5">
        <f>_xlfn.XLOOKUP(tblSales[[#This Row],[Product Code]],tblProducts[Code],tblProducts[Selling Price (excl. VAT)],0)</f>
        <v>85000</v>
      </c>
      <c r="K2282" s="5">
        <f>tblSales[[#This Row],[Qty]]*tblSales[[#This Row],[Unit Price]]</f>
        <v>680000</v>
      </c>
      <c r="L2282" s="5">
        <f>ROUND(tblSales[[#This Row],[DPP (excl. VAT)]]*VATEff,0)</f>
        <v>74800</v>
      </c>
      <c r="M2282" s="5">
        <f>tblSales[[#This Row],[DPP (excl. VAT)]]+tblSales[[#This Row],[Output VAT]]</f>
        <v>754800</v>
      </c>
      <c r="N2282" s="5">
        <f>tblSales[[#This Row],[Qty]]*_xlfn.XLOOKUP(tblSales[[#This Row],[Product Code]],tblProducts[Code],tblProducts[Unit Cost],0)</f>
        <v>400000</v>
      </c>
      <c r="O2282" s="4" t="s">
        <v>4866</v>
      </c>
      <c r="P2282" s="4" t="s">
        <v>4861</v>
      </c>
      <c r="Q2282" s="1" t="str">
        <f>_xlfn.XLOOKUP(tblSales[[#This Row],[Channel Code]],tblChannels[Channel Code],tblChannels[Channel Name],"")</f>
        <v>Marketplace</v>
      </c>
      <c r="R2282" s="1">
        <f>MONTH(tblSales[[#This Row],[Date]])</f>
        <v>5</v>
      </c>
    </row>
    <row r="2283" spans="2:18" x14ac:dyDescent="0.35">
      <c r="B2283" s="113">
        <v>46159</v>
      </c>
      <c r="C2283" s="4" t="s">
        <v>1515</v>
      </c>
      <c r="D2283" s="4" t="s">
        <v>4568</v>
      </c>
      <c r="E2283" s="1" t="str">
        <f>_xlfn.XLOOKUP(tblSales[[#This Row],[Customer ID]],tblCustomers[Customer ID],tblCustomers[Customer Name],"⚠ Unknown")</f>
        <v>Walk-in Customer</v>
      </c>
      <c r="F2283" s="4" t="s">
        <v>7</v>
      </c>
      <c r="G2283" s="1" t="str">
        <f>_xlfn.XLOOKUP(tblSales[[#This Row],[Product Code]],tblProducts[Code],tblProducts[Product / Service Name],"⚠ Unknown")</f>
        <v>Premium Basic T-shirt</v>
      </c>
      <c r="H2283" s="1" t="str">
        <f>_xlfn.XLOOKUP(tblSales[[#This Row],[Product Code]],tblProducts[Code],tblProducts[Category],"")</f>
        <v>Accessories &amp; Basics</v>
      </c>
      <c r="I2283" s="4">
        <v>10</v>
      </c>
      <c r="J2283" s="5">
        <f>_xlfn.XLOOKUP(tblSales[[#This Row],[Product Code]],tblProducts[Code],tblProducts[Selling Price (excl. VAT)],0)</f>
        <v>65000</v>
      </c>
      <c r="K2283" s="5">
        <f>tblSales[[#This Row],[Qty]]*tblSales[[#This Row],[Unit Price]]</f>
        <v>650000</v>
      </c>
      <c r="L2283" s="5">
        <f>ROUND(tblSales[[#This Row],[DPP (excl. VAT)]]*VATEff,0)</f>
        <v>71500</v>
      </c>
      <c r="M2283" s="5">
        <f>tblSales[[#This Row],[DPP (excl. VAT)]]+tblSales[[#This Row],[Output VAT]]</f>
        <v>721500</v>
      </c>
      <c r="N2283" s="5">
        <f>tblSales[[#This Row],[Qty]]*_xlfn.XLOOKUP(tblSales[[#This Row],[Product Code]],tblProducts[Code],tblProducts[Unit Cost],0)</f>
        <v>370000</v>
      </c>
      <c r="O2283" s="4" t="s">
        <v>4866</v>
      </c>
      <c r="P2283" s="4" t="s">
        <v>4861</v>
      </c>
      <c r="Q2283" s="1" t="str">
        <f>_xlfn.XLOOKUP(tblSales[[#This Row],[Channel Code]],tblChannels[Channel Code],tblChannels[Channel Name],"")</f>
        <v>Marketplace</v>
      </c>
      <c r="R2283" s="1">
        <f>MONTH(tblSales[[#This Row],[Date]])</f>
        <v>5</v>
      </c>
    </row>
    <row r="2284" spans="2:18" x14ac:dyDescent="0.35">
      <c r="B2284" s="113">
        <v>46159</v>
      </c>
      <c r="C2284" s="4" t="s">
        <v>1516</v>
      </c>
      <c r="D2284" s="4" t="s">
        <v>4568</v>
      </c>
      <c r="E2284" s="1" t="str">
        <f>_xlfn.XLOOKUP(tblSales[[#This Row],[Customer ID]],tblCustomers[Customer ID],tblCustomers[Customer Name],"⚠ Unknown")</f>
        <v>Walk-in Customer</v>
      </c>
      <c r="F2284" s="4" t="s">
        <v>12</v>
      </c>
      <c r="G2284" s="1" t="str">
        <f>_xlfn.XLOOKUP(tblSales[[#This Row],[Product Code]],tblProducts[Code],tblProducts[Product / Service Name],"⚠ Unknown")</f>
        <v>Bomber Jacket</v>
      </c>
      <c r="H2284" s="1" t="str">
        <f>_xlfn.XLOOKUP(tblSales[[#This Row],[Product Code]],tblProducts[Code],tblProducts[Category],"")</f>
        <v>Apparel &amp; Footwear</v>
      </c>
      <c r="I2284" s="4">
        <v>1</v>
      </c>
      <c r="J2284" s="5">
        <f>_xlfn.XLOOKUP(tblSales[[#This Row],[Product Code]],tblProducts[Code],tblProducts[Selling Price (excl. VAT)],0)</f>
        <v>350000</v>
      </c>
      <c r="K2284" s="5">
        <f>tblSales[[#This Row],[Qty]]*tblSales[[#This Row],[Unit Price]]</f>
        <v>350000</v>
      </c>
      <c r="L2284" s="5">
        <f>ROUND(tblSales[[#This Row],[DPP (excl. VAT)]]*VATEff,0)</f>
        <v>38500</v>
      </c>
      <c r="M2284" s="5">
        <f>tblSales[[#This Row],[DPP (excl. VAT)]]+tblSales[[#This Row],[Output VAT]]</f>
        <v>388500</v>
      </c>
      <c r="N2284" s="5">
        <f>tblSales[[#This Row],[Qty]]*_xlfn.XLOOKUP(tblSales[[#This Row],[Product Code]],tblProducts[Code],tblProducts[Unit Cost],0)</f>
        <v>210000</v>
      </c>
      <c r="O2284" s="4" t="s">
        <v>4866</v>
      </c>
      <c r="P2284" s="4" t="s">
        <v>4860</v>
      </c>
      <c r="Q2284" s="1" t="str">
        <f>_xlfn.XLOOKUP(tblSales[[#This Row],[Channel Code]],tblChannels[Channel Code],tblChannels[Channel Name],"")</f>
        <v>In-store</v>
      </c>
      <c r="R2284" s="1">
        <f>MONTH(tblSales[[#This Row],[Date]])</f>
        <v>5</v>
      </c>
    </row>
    <row r="2285" spans="2:18" x14ac:dyDescent="0.35">
      <c r="B2285" s="113">
        <v>46159</v>
      </c>
      <c r="C2285" s="4" t="s">
        <v>1516</v>
      </c>
      <c r="D2285" s="4" t="s">
        <v>4568</v>
      </c>
      <c r="E2285" s="1" t="str">
        <f>_xlfn.XLOOKUP(tblSales[[#This Row],[Customer ID]],tblCustomers[Customer ID],tblCustomers[Customer Name],"⚠ Unknown")</f>
        <v>Walk-in Customer</v>
      </c>
      <c r="F2285" s="4" t="s">
        <v>8</v>
      </c>
      <c r="G2285" s="1" t="str">
        <f>_xlfn.XLOOKUP(tblSales[[#This Row],[Product Code]],tblProducts[Code],tblProducts[Product / Service Name],"⚠ Unknown")</f>
        <v>Casual Shorts</v>
      </c>
      <c r="H2285" s="1" t="str">
        <f>_xlfn.XLOOKUP(tblSales[[#This Row],[Product Code]],tblProducts[Code],tblProducts[Category],"")</f>
        <v>Accessories &amp; Basics</v>
      </c>
      <c r="I2285" s="4">
        <v>11</v>
      </c>
      <c r="J2285" s="5">
        <f>_xlfn.XLOOKUP(tblSales[[#This Row],[Product Code]],tblProducts[Code],tblProducts[Selling Price (excl. VAT)],0)</f>
        <v>85000</v>
      </c>
      <c r="K2285" s="5">
        <f>tblSales[[#This Row],[Qty]]*tblSales[[#This Row],[Unit Price]]</f>
        <v>935000</v>
      </c>
      <c r="L2285" s="5">
        <f>ROUND(tblSales[[#This Row],[DPP (excl. VAT)]]*VATEff,0)</f>
        <v>102850</v>
      </c>
      <c r="M2285" s="5">
        <f>tblSales[[#This Row],[DPP (excl. VAT)]]+tblSales[[#This Row],[Output VAT]]</f>
        <v>1037850</v>
      </c>
      <c r="N2285" s="5">
        <f>tblSales[[#This Row],[Qty]]*_xlfn.XLOOKUP(tblSales[[#This Row],[Product Code]],tblProducts[Code],tblProducts[Unit Cost],0)</f>
        <v>550000</v>
      </c>
      <c r="O2285" s="4" t="s">
        <v>4866</v>
      </c>
      <c r="P2285" s="4" t="s">
        <v>4860</v>
      </c>
      <c r="Q2285" s="1" t="str">
        <f>_xlfn.XLOOKUP(tblSales[[#This Row],[Channel Code]],tblChannels[Channel Code],tblChannels[Channel Name],"")</f>
        <v>In-store</v>
      </c>
      <c r="R2285" s="1">
        <f>MONTH(tblSales[[#This Row],[Date]])</f>
        <v>5</v>
      </c>
    </row>
    <row r="2286" spans="2:18" x14ac:dyDescent="0.35">
      <c r="B2286" s="113">
        <v>46159</v>
      </c>
      <c r="C2286" s="4" t="s">
        <v>1517</v>
      </c>
      <c r="D2286" s="4" t="s">
        <v>4568</v>
      </c>
      <c r="E2286" s="1" t="str">
        <f>_xlfn.XLOOKUP(tblSales[[#This Row],[Customer ID]],tblCustomers[Customer ID],tblCustomers[Customer Name],"⚠ Unknown")</f>
        <v>Walk-in Customer</v>
      </c>
      <c r="F2286" s="4" t="s">
        <v>13</v>
      </c>
      <c r="G2286" s="1" t="str">
        <f>_xlfn.XLOOKUP(tblSales[[#This Row],[Product Code]],tblProducts[Code],tblProducts[Product / Service Name],"⚠ Unknown")</f>
        <v>Backpack</v>
      </c>
      <c r="H2286" s="1" t="str">
        <f>_xlfn.XLOOKUP(tblSales[[#This Row],[Product Code]],tblProducts[Code],tblProducts[Category],"")</f>
        <v>Bags &amp; Gadgets</v>
      </c>
      <c r="I2286" s="4">
        <v>4</v>
      </c>
      <c r="J2286" s="5">
        <f>_xlfn.XLOOKUP(tblSales[[#This Row],[Product Code]],tblProducts[Code],tblProducts[Selling Price (excl. VAT)],0)</f>
        <v>500000</v>
      </c>
      <c r="K2286" s="5">
        <f>tblSales[[#This Row],[Qty]]*tblSales[[#This Row],[Unit Price]]</f>
        <v>2000000</v>
      </c>
      <c r="L2286" s="5">
        <f>ROUND(tblSales[[#This Row],[DPP (excl. VAT)]]*VATEff,0)</f>
        <v>220000</v>
      </c>
      <c r="M2286" s="5">
        <f>tblSales[[#This Row],[DPP (excl. VAT)]]+tblSales[[#This Row],[Output VAT]]</f>
        <v>2220000</v>
      </c>
      <c r="N2286" s="5">
        <f>tblSales[[#This Row],[Qty]]*_xlfn.XLOOKUP(tblSales[[#This Row],[Product Code]],tblProducts[Code],tblProducts[Unit Cost],0)</f>
        <v>1160000</v>
      </c>
      <c r="O2286" s="4" t="s">
        <v>4865</v>
      </c>
      <c r="P2286" s="4" t="s">
        <v>4860</v>
      </c>
      <c r="Q2286" s="1" t="str">
        <f>_xlfn.XLOOKUP(tblSales[[#This Row],[Channel Code]],tblChannels[Channel Code],tblChannels[Channel Name],"")</f>
        <v>In-store</v>
      </c>
      <c r="R2286" s="1">
        <f>MONTH(tblSales[[#This Row],[Date]])</f>
        <v>5</v>
      </c>
    </row>
    <row r="2287" spans="2:18" x14ac:dyDescent="0.35">
      <c r="B2287" s="113">
        <v>46159</v>
      </c>
      <c r="C2287" s="4" t="s">
        <v>1518</v>
      </c>
      <c r="D2287" s="4" t="s">
        <v>4620</v>
      </c>
      <c r="E2287" s="1" t="str">
        <f>_xlfn.XLOOKUP(tblSales[[#This Row],[Customer ID]],tblCustomers[Customer ID],tblCustomers[Customer Name],"⚠ Unknown")</f>
        <v>CV Sumber Rejeki Utama</v>
      </c>
      <c r="F2287" s="4" t="s">
        <v>12</v>
      </c>
      <c r="G2287" s="1" t="str">
        <f>_xlfn.XLOOKUP(tblSales[[#This Row],[Product Code]],tblProducts[Code],tblProducts[Product / Service Name],"⚠ Unknown")</f>
        <v>Bomber Jacket</v>
      </c>
      <c r="H2287" s="1" t="str">
        <f>_xlfn.XLOOKUP(tblSales[[#This Row],[Product Code]],tblProducts[Code],tblProducts[Category],"")</f>
        <v>Apparel &amp; Footwear</v>
      </c>
      <c r="I2287" s="4">
        <v>8</v>
      </c>
      <c r="J2287" s="5">
        <f>_xlfn.XLOOKUP(tblSales[[#This Row],[Product Code]],tblProducts[Code],tblProducts[Selling Price (excl. VAT)],0)</f>
        <v>350000</v>
      </c>
      <c r="K2287" s="5">
        <f>tblSales[[#This Row],[Qty]]*tblSales[[#This Row],[Unit Price]]</f>
        <v>2800000</v>
      </c>
      <c r="L2287" s="5">
        <f>ROUND(tblSales[[#This Row],[DPP (excl. VAT)]]*VATEff,0)</f>
        <v>308000</v>
      </c>
      <c r="M2287" s="5">
        <f>tblSales[[#This Row],[DPP (excl. VAT)]]+tblSales[[#This Row],[Output VAT]]</f>
        <v>3108000</v>
      </c>
      <c r="N2287" s="5">
        <f>tblSales[[#This Row],[Qty]]*_xlfn.XLOOKUP(tblSales[[#This Row],[Product Code]],tblProducts[Code],tblProducts[Unit Cost],0)</f>
        <v>1680000</v>
      </c>
      <c r="O2287" s="4" t="s">
        <v>4867</v>
      </c>
      <c r="P2287" s="4" t="s">
        <v>4860</v>
      </c>
      <c r="Q2287" s="1" t="str">
        <f>_xlfn.XLOOKUP(tblSales[[#This Row],[Channel Code]],tblChannels[Channel Code],tblChannels[Channel Name],"")</f>
        <v>In-store</v>
      </c>
      <c r="R2287" s="1">
        <f>MONTH(tblSales[[#This Row],[Date]])</f>
        <v>5</v>
      </c>
    </row>
    <row r="2288" spans="2:18" x14ac:dyDescent="0.35">
      <c r="B2288" s="113">
        <v>46160</v>
      </c>
      <c r="C2288" s="4" t="s">
        <v>1519</v>
      </c>
      <c r="D2288" s="4" t="s">
        <v>4568</v>
      </c>
      <c r="E2288" s="1" t="str">
        <f>_xlfn.XLOOKUP(tblSales[[#This Row],[Customer ID]],tblCustomers[Customer ID],tblCustomers[Customer Name],"⚠ Unknown")</f>
        <v>Walk-in Customer</v>
      </c>
      <c r="F2288" s="4" t="s">
        <v>6</v>
      </c>
      <c r="G2288" s="1" t="str">
        <f>_xlfn.XLOOKUP(tblSales[[#This Row],[Product Code]],tblProducts[Code],tblProducts[Product / Service Name],"⚠ Unknown")</f>
        <v>Socks &amp; Accessories</v>
      </c>
      <c r="H2288" s="1" t="str">
        <f>_xlfn.XLOOKUP(tblSales[[#This Row],[Product Code]],tblProducts[Code],tblProducts[Category],"")</f>
        <v>Accessories &amp; Basics</v>
      </c>
      <c r="I2288" s="4">
        <v>2</v>
      </c>
      <c r="J2288" s="5">
        <f>_xlfn.XLOOKUP(tblSales[[#This Row],[Product Code]],tblProducts[Code],tblProducts[Selling Price (excl. VAT)],0)</f>
        <v>45000</v>
      </c>
      <c r="K2288" s="5">
        <f>tblSales[[#This Row],[Qty]]*tblSales[[#This Row],[Unit Price]]</f>
        <v>90000</v>
      </c>
      <c r="L2288" s="5">
        <f>ROUND(tblSales[[#This Row],[DPP (excl. VAT)]]*VATEff,0)</f>
        <v>9900</v>
      </c>
      <c r="M2288" s="5">
        <f>tblSales[[#This Row],[DPP (excl. VAT)]]+tblSales[[#This Row],[Output VAT]]</f>
        <v>99900</v>
      </c>
      <c r="N2288" s="5">
        <f>tblSales[[#This Row],[Qty]]*_xlfn.XLOOKUP(tblSales[[#This Row],[Product Code]],tblProducts[Code],tblProducts[Unit Cost],0)</f>
        <v>48000</v>
      </c>
      <c r="O2288" s="4" t="s">
        <v>4866</v>
      </c>
      <c r="P2288" s="4" t="s">
        <v>4861</v>
      </c>
      <c r="Q2288" s="1" t="str">
        <f>_xlfn.XLOOKUP(tblSales[[#This Row],[Channel Code]],tblChannels[Channel Code],tblChannels[Channel Name],"")</f>
        <v>Marketplace</v>
      </c>
      <c r="R2288" s="1">
        <f>MONTH(tblSales[[#This Row],[Date]])</f>
        <v>5</v>
      </c>
    </row>
    <row r="2289" spans="2:18" x14ac:dyDescent="0.35">
      <c r="B2289" s="113">
        <v>46160</v>
      </c>
      <c r="C2289" s="4" t="s">
        <v>1519</v>
      </c>
      <c r="D2289" s="4" t="s">
        <v>4568</v>
      </c>
      <c r="E2289" s="1" t="str">
        <f>_xlfn.XLOOKUP(tblSales[[#This Row],[Customer ID]],tblCustomers[Customer ID],tblCustomers[Customer Name],"⚠ Unknown")</f>
        <v>Walk-in Customer</v>
      </c>
      <c r="F2289" s="4" t="s">
        <v>14</v>
      </c>
      <c r="G2289" s="1" t="str">
        <f>_xlfn.XLOOKUP(tblSales[[#This Row],[Product Code]],tblProducts[Code],tblProducts[Product / Service Name],"⚠ Unknown")</f>
        <v>Smartwatch</v>
      </c>
      <c r="H2289" s="1" t="str">
        <f>_xlfn.XLOOKUP(tblSales[[#This Row],[Product Code]],tblProducts[Code],tblProducts[Category],"")</f>
        <v>Bags &amp; Gadgets</v>
      </c>
      <c r="I2289" s="4">
        <v>2</v>
      </c>
      <c r="J2289" s="5">
        <f>_xlfn.XLOOKUP(tblSales[[#This Row],[Product Code]],tblProducts[Code],tblProducts[Selling Price (excl. VAT)],0)</f>
        <v>850000</v>
      </c>
      <c r="K2289" s="5">
        <f>tblSales[[#This Row],[Qty]]*tblSales[[#This Row],[Unit Price]]</f>
        <v>1700000</v>
      </c>
      <c r="L2289" s="5">
        <f>ROUND(tblSales[[#This Row],[DPP (excl. VAT)]]*VATEff,0)</f>
        <v>187000</v>
      </c>
      <c r="M2289" s="5">
        <f>tblSales[[#This Row],[DPP (excl. VAT)]]+tblSales[[#This Row],[Output VAT]]</f>
        <v>1887000</v>
      </c>
      <c r="N2289" s="5">
        <f>tblSales[[#This Row],[Qty]]*_xlfn.XLOOKUP(tblSales[[#This Row],[Product Code]],tblProducts[Code],tblProducts[Unit Cost],0)</f>
        <v>1120000</v>
      </c>
      <c r="O2289" s="4" t="s">
        <v>4866</v>
      </c>
      <c r="P2289" s="4" t="s">
        <v>4861</v>
      </c>
      <c r="Q2289" s="1" t="str">
        <f>_xlfn.XLOOKUP(tblSales[[#This Row],[Channel Code]],tblChannels[Channel Code],tblChannels[Channel Name],"")</f>
        <v>Marketplace</v>
      </c>
      <c r="R2289" s="1">
        <f>MONTH(tblSales[[#This Row],[Date]])</f>
        <v>5</v>
      </c>
    </row>
    <row r="2290" spans="2:18" x14ac:dyDescent="0.35">
      <c r="B2290" s="113">
        <v>46160</v>
      </c>
      <c r="C2290" s="4" t="s">
        <v>1520</v>
      </c>
      <c r="D2290" s="4" t="s">
        <v>4568</v>
      </c>
      <c r="E2290" s="1" t="str">
        <f>_xlfn.XLOOKUP(tblSales[[#This Row],[Customer ID]],tblCustomers[Customer ID],tblCustomers[Customer Name],"⚠ Unknown")</f>
        <v>Walk-in Customer</v>
      </c>
      <c r="F2290" s="4" t="s">
        <v>13</v>
      </c>
      <c r="G2290" s="1" t="str">
        <f>_xlfn.XLOOKUP(tblSales[[#This Row],[Product Code]],tblProducts[Code],tblProducts[Product / Service Name],"⚠ Unknown")</f>
        <v>Backpack</v>
      </c>
      <c r="H2290" s="1" t="str">
        <f>_xlfn.XLOOKUP(tblSales[[#This Row],[Product Code]],tblProducts[Code],tblProducts[Category],"")</f>
        <v>Bags &amp; Gadgets</v>
      </c>
      <c r="I2290" s="4">
        <v>4</v>
      </c>
      <c r="J2290" s="5">
        <f>_xlfn.XLOOKUP(tblSales[[#This Row],[Product Code]],tblProducts[Code],tblProducts[Selling Price (excl. VAT)],0)</f>
        <v>500000</v>
      </c>
      <c r="K2290" s="5">
        <f>tblSales[[#This Row],[Qty]]*tblSales[[#This Row],[Unit Price]]</f>
        <v>2000000</v>
      </c>
      <c r="L2290" s="5">
        <f>ROUND(tblSales[[#This Row],[DPP (excl. VAT)]]*VATEff,0)</f>
        <v>220000</v>
      </c>
      <c r="M2290" s="5">
        <f>tblSales[[#This Row],[DPP (excl. VAT)]]+tblSales[[#This Row],[Output VAT]]</f>
        <v>2220000</v>
      </c>
      <c r="N2290" s="5">
        <f>tblSales[[#This Row],[Qty]]*_xlfn.XLOOKUP(tblSales[[#This Row],[Product Code]],tblProducts[Code],tblProducts[Unit Cost],0)</f>
        <v>1160000</v>
      </c>
      <c r="O2290" s="4" t="s">
        <v>4866</v>
      </c>
      <c r="P2290" s="4" t="s">
        <v>4861</v>
      </c>
      <c r="Q2290" s="1" t="str">
        <f>_xlfn.XLOOKUP(tblSales[[#This Row],[Channel Code]],tblChannels[Channel Code],tblChannels[Channel Name],"")</f>
        <v>Marketplace</v>
      </c>
      <c r="R2290" s="1">
        <f>MONTH(tblSales[[#This Row],[Date]])</f>
        <v>5</v>
      </c>
    </row>
    <row r="2291" spans="2:18" x14ac:dyDescent="0.35">
      <c r="B2291" s="113">
        <v>46160</v>
      </c>
      <c r="C2291" s="4" t="s">
        <v>1521</v>
      </c>
      <c r="D2291" s="4" t="s">
        <v>4568</v>
      </c>
      <c r="E2291" s="1" t="str">
        <f>_xlfn.XLOOKUP(tblSales[[#This Row],[Customer ID]],tblCustomers[Customer ID],tblCustomers[Customer Name],"⚠ Unknown")</f>
        <v>Walk-in Customer</v>
      </c>
      <c r="F2291" s="4" t="s">
        <v>6</v>
      </c>
      <c r="G2291" s="1" t="str">
        <f>_xlfn.XLOOKUP(tblSales[[#This Row],[Product Code]],tblProducts[Code],tblProducts[Product / Service Name],"⚠ Unknown")</f>
        <v>Socks &amp; Accessories</v>
      </c>
      <c r="H2291" s="1" t="str">
        <f>_xlfn.XLOOKUP(tblSales[[#This Row],[Product Code]],tblProducts[Code],tblProducts[Category],"")</f>
        <v>Accessories &amp; Basics</v>
      </c>
      <c r="I2291" s="4">
        <v>2</v>
      </c>
      <c r="J2291" s="5">
        <f>_xlfn.XLOOKUP(tblSales[[#This Row],[Product Code]],tblProducts[Code],tblProducts[Selling Price (excl. VAT)],0)</f>
        <v>45000</v>
      </c>
      <c r="K2291" s="5">
        <f>tblSales[[#This Row],[Qty]]*tblSales[[#This Row],[Unit Price]]</f>
        <v>90000</v>
      </c>
      <c r="L2291" s="5">
        <f>ROUND(tblSales[[#This Row],[DPP (excl. VAT)]]*VATEff,0)</f>
        <v>9900</v>
      </c>
      <c r="M2291" s="5">
        <f>tblSales[[#This Row],[DPP (excl. VAT)]]+tblSales[[#This Row],[Output VAT]]</f>
        <v>99900</v>
      </c>
      <c r="N2291" s="5">
        <f>tblSales[[#This Row],[Qty]]*_xlfn.XLOOKUP(tblSales[[#This Row],[Product Code]],tblProducts[Code],tblProducts[Unit Cost],0)</f>
        <v>48000</v>
      </c>
      <c r="O2291" s="4" t="s">
        <v>4865</v>
      </c>
      <c r="P2291" s="4" t="s">
        <v>4860</v>
      </c>
      <c r="Q2291" s="1" t="str">
        <f>_xlfn.XLOOKUP(tblSales[[#This Row],[Channel Code]],tblChannels[Channel Code],tblChannels[Channel Name],"")</f>
        <v>In-store</v>
      </c>
      <c r="R2291" s="1">
        <f>MONTH(tblSales[[#This Row],[Date]])</f>
        <v>5</v>
      </c>
    </row>
    <row r="2292" spans="2:18" x14ac:dyDescent="0.35">
      <c r="B2292" s="113">
        <v>46160</v>
      </c>
      <c r="C2292" s="4" t="s">
        <v>1522</v>
      </c>
      <c r="D2292" s="4" t="s">
        <v>4568</v>
      </c>
      <c r="E2292" s="1" t="str">
        <f>_xlfn.XLOOKUP(tblSales[[#This Row],[Customer ID]],tblCustomers[Customer ID],tblCustomers[Customer Name],"⚠ Unknown")</f>
        <v>Walk-in Customer</v>
      </c>
      <c r="F2292" s="4" t="s">
        <v>6</v>
      </c>
      <c r="G2292" s="1" t="str">
        <f>_xlfn.XLOOKUP(tblSales[[#This Row],[Product Code]],tblProducts[Code],tblProducts[Product / Service Name],"⚠ Unknown")</f>
        <v>Socks &amp; Accessories</v>
      </c>
      <c r="H2292" s="1" t="str">
        <f>_xlfn.XLOOKUP(tblSales[[#This Row],[Product Code]],tblProducts[Code],tblProducts[Category],"")</f>
        <v>Accessories &amp; Basics</v>
      </c>
      <c r="I2292" s="4">
        <v>7</v>
      </c>
      <c r="J2292" s="5">
        <f>_xlfn.XLOOKUP(tblSales[[#This Row],[Product Code]],tblProducts[Code],tblProducts[Selling Price (excl. VAT)],0)</f>
        <v>45000</v>
      </c>
      <c r="K2292" s="5">
        <f>tblSales[[#This Row],[Qty]]*tblSales[[#This Row],[Unit Price]]</f>
        <v>315000</v>
      </c>
      <c r="L2292" s="5">
        <f>ROUND(tblSales[[#This Row],[DPP (excl. VAT)]]*VATEff,0)</f>
        <v>34650</v>
      </c>
      <c r="M2292" s="5">
        <f>tblSales[[#This Row],[DPP (excl. VAT)]]+tblSales[[#This Row],[Output VAT]]</f>
        <v>349650</v>
      </c>
      <c r="N2292" s="5">
        <f>tblSales[[#This Row],[Qty]]*_xlfn.XLOOKUP(tblSales[[#This Row],[Product Code]],tblProducts[Code],tblProducts[Unit Cost],0)</f>
        <v>168000</v>
      </c>
      <c r="O2292" s="4" t="s">
        <v>4866</v>
      </c>
      <c r="P2292" s="4" t="s">
        <v>4862</v>
      </c>
      <c r="Q2292" s="1" t="str">
        <f>_xlfn.XLOOKUP(tblSales[[#This Row],[Channel Code]],tblChannels[Channel Code],tblChannels[Channel Name],"")</f>
        <v>Website &amp; Social Media</v>
      </c>
      <c r="R2292" s="1">
        <f>MONTH(tblSales[[#This Row],[Date]])</f>
        <v>5</v>
      </c>
    </row>
    <row r="2293" spans="2:18" x14ac:dyDescent="0.35">
      <c r="B2293" s="113">
        <v>46160</v>
      </c>
      <c r="C2293" s="4" t="s">
        <v>1523</v>
      </c>
      <c r="D2293" s="4" t="s">
        <v>4568</v>
      </c>
      <c r="E2293" s="1" t="str">
        <f>_xlfn.XLOOKUP(tblSales[[#This Row],[Customer ID]],tblCustomers[Customer ID],tblCustomers[Customer Name],"⚠ Unknown")</f>
        <v>Walk-in Customer</v>
      </c>
      <c r="F2293" s="4" t="s">
        <v>10</v>
      </c>
      <c r="G2293" s="1" t="str">
        <f>_xlfn.XLOOKUP(tblSales[[#This Row],[Product Code]],tblProducts[Code],tblProducts[Product / Service Name],"⚠ Unknown")</f>
        <v>Chino Pants</v>
      </c>
      <c r="H2293" s="1" t="str">
        <f>_xlfn.XLOOKUP(tblSales[[#This Row],[Product Code]],tblProducts[Code],tblProducts[Category],"")</f>
        <v>Apparel &amp; Footwear</v>
      </c>
      <c r="I2293" s="4">
        <v>6</v>
      </c>
      <c r="J2293" s="5">
        <f>_xlfn.XLOOKUP(tblSales[[#This Row],[Product Code]],tblProducts[Code],tblProducts[Selling Price (excl. VAT)],0)</f>
        <v>150000</v>
      </c>
      <c r="K2293" s="5">
        <f>tblSales[[#This Row],[Qty]]*tblSales[[#This Row],[Unit Price]]</f>
        <v>900000</v>
      </c>
      <c r="L2293" s="5">
        <f>ROUND(tblSales[[#This Row],[DPP (excl. VAT)]]*VATEff,0)</f>
        <v>99000</v>
      </c>
      <c r="M2293" s="5">
        <f>tblSales[[#This Row],[DPP (excl. VAT)]]+tblSales[[#This Row],[Output VAT]]</f>
        <v>999000</v>
      </c>
      <c r="N2293" s="5">
        <f>tblSales[[#This Row],[Qty]]*_xlfn.XLOOKUP(tblSales[[#This Row],[Product Code]],tblProducts[Code],tblProducts[Unit Cost],0)</f>
        <v>528000</v>
      </c>
      <c r="O2293" s="4" t="s">
        <v>4865</v>
      </c>
      <c r="P2293" s="4" t="s">
        <v>4860</v>
      </c>
      <c r="Q2293" s="1" t="str">
        <f>_xlfn.XLOOKUP(tblSales[[#This Row],[Channel Code]],tblChannels[Channel Code],tblChannels[Channel Name],"")</f>
        <v>In-store</v>
      </c>
      <c r="R2293" s="1">
        <f>MONTH(tblSales[[#This Row],[Date]])</f>
        <v>5</v>
      </c>
    </row>
    <row r="2294" spans="2:18" x14ac:dyDescent="0.35">
      <c r="B2294" s="113">
        <v>46160</v>
      </c>
      <c r="C2294" s="4" t="s">
        <v>1523</v>
      </c>
      <c r="D2294" s="4" t="s">
        <v>4568</v>
      </c>
      <c r="E2294" s="1" t="str">
        <f>_xlfn.XLOOKUP(tblSales[[#This Row],[Customer ID]],tblCustomers[Customer ID],tblCustomers[Customer Name],"⚠ Unknown")</f>
        <v>Walk-in Customer</v>
      </c>
      <c r="F2294" s="4" t="s">
        <v>7</v>
      </c>
      <c r="G2294" s="1" t="str">
        <f>_xlfn.XLOOKUP(tblSales[[#This Row],[Product Code]],tblProducts[Code],tblProducts[Product / Service Name],"⚠ Unknown")</f>
        <v>Premium Basic T-shirt</v>
      </c>
      <c r="H2294" s="1" t="str">
        <f>_xlfn.XLOOKUP(tblSales[[#This Row],[Product Code]],tblProducts[Code],tblProducts[Category],"")</f>
        <v>Accessories &amp; Basics</v>
      </c>
      <c r="I2294" s="4">
        <v>7</v>
      </c>
      <c r="J2294" s="5">
        <f>_xlfn.XLOOKUP(tblSales[[#This Row],[Product Code]],tblProducts[Code],tblProducts[Selling Price (excl. VAT)],0)</f>
        <v>65000</v>
      </c>
      <c r="K2294" s="5">
        <f>tblSales[[#This Row],[Qty]]*tblSales[[#This Row],[Unit Price]]</f>
        <v>455000</v>
      </c>
      <c r="L2294" s="5">
        <f>ROUND(tblSales[[#This Row],[DPP (excl. VAT)]]*VATEff,0)</f>
        <v>50050</v>
      </c>
      <c r="M2294" s="5">
        <f>tblSales[[#This Row],[DPP (excl. VAT)]]+tblSales[[#This Row],[Output VAT]]</f>
        <v>505050</v>
      </c>
      <c r="N2294" s="5">
        <f>tblSales[[#This Row],[Qty]]*_xlfn.XLOOKUP(tblSales[[#This Row],[Product Code]],tblProducts[Code],tblProducts[Unit Cost],0)</f>
        <v>259000</v>
      </c>
      <c r="O2294" s="4" t="s">
        <v>4865</v>
      </c>
      <c r="P2294" s="4" t="s">
        <v>4860</v>
      </c>
      <c r="Q2294" s="1" t="str">
        <f>_xlfn.XLOOKUP(tblSales[[#This Row],[Channel Code]],tblChannels[Channel Code],tblChannels[Channel Name],"")</f>
        <v>In-store</v>
      </c>
      <c r="R2294" s="1">
        <f>MONTH(tblSales[[#This Row],[Date]])</f>
        <v>5</v>
      </c>
    </row>
    <row r="2295" spans="2:18" x14ac:dyDescent="0.35">
      <c r="B2295" s="113">
        <v>46160</v>
      </c>
      <c r="C2295" s="4" t="s">
        <v>1524</v>
      </c>
      <c r="D2295" s="4" t="s">
        <v>4568</v>
      </c>
      <c r="E2295" s="1" t="str">
        <f>_xlfn.XLOOKUP(tblSales[[#This Row],[Customer ID]],tblCustomers[Customer ID],tblCustomers[Customer Name],"⚠ Unknown")</f>
        <v>Walk-in Customer</v>
      </c>
      <c r="F2295" s="4" t="s">
        <v>11</v>
      </c>
      <c r="G2295" s="1" t="str">
        <f>_xlfn.XLOOKUP(tblSales[[#This Row],[Product Code]],tblProducts[Code],tblProducts[Product / Service Name],"⚠ Unknown")</f>
        <v>Sneakers</v>
      </c>
      <c r="H2295" s="1" t="str">
        <f>_xlfn.XLOOKUP(tblSales[[#This Row],[Product Code]],tblProducts[Code],tblProducts[Category],"")</f>
        <v>Apparel &amp; Footwear</v>
      </c>
      <c r="I2295" s="4">
        <v>2</v>
      </c>
      <c r="J2295" s="5">
        <f>_xlfn.XLOOKUP(tblSales[[#This Row],[Product Code]],tblProducts[Code],tblProducts[Selling Price (excl. VAT)],0)</f>
        <v>250000</v>
      </c>
      <c r="K2295" s="5">
        <f>tblSales[[#This Row],[Qty]]*tblSales[[#This Row],[Unit Price]]</f>
        <v>500000</v>
      </c>
      <c r="L2295" s="5">
        <f>ROUND(tblSales[[#This Row],[DPP (excl. VAT)]]*VATEff,0)</f>
        <v>55000</v>
      </c>
      <c r="M2295" s="5">
        <f>tblSales[[#This Row],[DPP (excl. VAT)]]+tblSales[[#This Row],[Output VAT]]</f>
        <v>555000</v>
      </c>
      <c r="N2295" s="5">
        <f>tblSales[[#This Row],[Qty]]*_xlfn.XLOOKUP(tblSales[[#This Row],[Product Code]],tblProducts[Code],tblProducts[Unit Cost],0)</f>
        <v>310000</v>
      </c>
      <c r="O2295" s="4" t="s">
        <v>4865</v>
      </c>
      <c r="P2295" s="4" t="s">
        <v>4860</v>
      </c>
      <c r="Q2295" s="1" t="str">
        <f>_xlfn.XLOOKUP(tblSales[[#This Row],[Channel Code]],tblChannels[Channel Code],tblChannels[Channel Name],"")</f>
        <v>In-store</v>
      </c>
      <c r="R2295" s="1">
        <f>MONTH(tblSales[[#This Row],[Date]])</f>
        <v>5</v>
      </c>
    </row>
    <row r="2296" spans="2:18" x14ac:dyDescent="0.35">
      <c r="B2296" s="113">
        <v>46160</v>
      </c>
      <c r="C2296" s="4" t="s">
        <v>1525</v>
      </c>
      <c r="D2296" s="4" t="s">
        <v>4578</v>
      </c>
      <c r="E2296" s="1" t="str">
        <f>_xlfn.XLOOKUP(tblSales[[#This Row],[Customer ID]],tblCustomers[Customer ID],tblCustomers[Customer Name],"⚠ Unknown")</f>
        <v>PT Bintang Timur Sejahtera</v>
      </c>
      <c r="F2296" s="4" t="s">
        <v>6</v>
      </c>
      <c r="G2296" s="1" t="str">
        <f>_xlfn.XLOOKUP(tblSales[[#This Row],[Product Code]],tblProducts[Code],tblProducts[Product / Service Name],"⚠ Unknown")</f>
        <v>Socks &amp; Accessories</v>
      </c>
      <c r="H2296" s="1" t="str">
        <f>_xlfn.XLOOKUP(tblSales[[#This Row],[Product Code]],tblProducts[Code],tblProducts[Category],"")</f>
        <v>Accessories &amp; Basics</v>
      </c>
      <c r="I2296" s="4">
        <v>96</v>
      </c>
      <c r="J2296" s="5">
        <f>_xlfn.XLOOKUP(tblSales[[#This Row],[Product Code]],tblProducts[Code],tblProducts[Selling Price (excl. VAT)],0)</f>
        <v>45000</v>
      </c>
      <c r="K2296" s="5">
        <f>tblSales[[#This Row],[Qty]]*tblSales[[#This Row],[Unit Price]]</f>
        <v>4320000</v>
      </c>
      <c r="L2296" s="5">
        <f>ROUND(tblSales[[#This Row],[DPP (excl. VAT)]]*VATEff,0)</f>
        <v>475200</v>
      </c>
      <c r="M2296" s="5">
        <f>tblSales[[#This Row],[DPP (excl. VAT)]]+tblSales[[#This Row],[Output VAT]]</f>
        <v>4795200</v>
      </c>
      <c r="N2296" s="5">
        <f>tblSales[[#This Row],[Qty]]*_xlfn.XLOOKUP(tblSales[[#This Row],[Product Code]],tblProducts[Code],tblProducts[Unit Cost],0)</f>
        <v>2304000</v>
      </c>
      <c r="O2296" s="4" t="s">
        <v>4867</v>
      </c>
      <c r="P2296" s="4" t="s">
        <v>4860</v>
      </c>
      <c r="Q2296" s="1" t="str">
        <f>_xlfn.XLOOKUP(tblSales[[#This Row],[Channel Code]],tblChannels[Channel Code],tblChannels[Channel Name],"")</f>
        <v>In-store</v>
      </c>
      <c r="R2296" s="1">
        <f>MONTH(tblSales[[#This Row],[Date]])</f>
        <v>5</v>
      </c>
    </row>
    <row r="2297" spans="2:18" x14ac:dyDescent="0.35">
      <c r="B2297" s="113">
        <v>46160</v>
      </c>
      <c r="C2297" s="4" t="s">
        <v>1526</v>
      </c>
      <c r="D2297" s="4" t="s">
        <v>4568</v>
      </c>
      <c r="E2297" s="1" t="str">
        <f>_xlfn.XLOOKUP(tblSales[[#This Row],[Customer ID]],tblCustomers[Customer ID],tblCustomers[Customer Name],"⚠ Unknown")</f>
        <v>Walk-in Customer</v>
      </c>
      <c r="F2297" s="4" t="s">
        <v>13</v>
      </c>
      <c r="G2297" s="1" t="str">
        <f>_xlfn.XLOOKUP(tblSales[[#This Row],[Product Code]],tblProducts[Code],tblProducts[Product / Service Name],"⚠ Unknown")</f>
        <v>Backpack</v>
      </c>
      <c r="H2297" s="1" t="str">
        <f>_xlfn.XLOOKUP(tblSales[[#This Row],[Product Code]],tblProducts[Code],tblProducts[Category],"")</f>
        <v>Bags &amp; Gadgets</v>
      </c>
      <c r="I2297" s="4">
        <v>1</v>
      </c>
      <c r="J2297" s="5">
        <f>_xlfn.XLOOKUP(tblSales[[#This Row],[Product Code]],tblProducts[Code],tblProducts[Selling Price (excl. VAT)],0)</f>
        <v>500000</v>
      </c>
      <c r="K2297" s="5">
        <f>tblSales[[#This Row],[Qty]]*tblSales[[#This Row],[Unit Price]]</f>
        <v>500000</v>
      </c>
      <c r="L2297" s="5">
        <f>ROUND(tblSales[[#This Row],[DPP (excl. VAT)]]*VATEff,0)</f>
        <v>55000</v>
      </c>
      <c r="M2297" s="5">
        <f>tblSales[[#This Row],[DPP (excl. VAT)]]+tblSales[[#This Row],[Output VAT]]</f>
        <v>555000</v>
      </c>
      <c r="N2297" s="5">
        <f>tblSales[[#This Row],[Qty]]*_xlfn.XLOOKUP(tblSales[[#This Row],[Product Code]],tblProducts[Code],tblProducts[Unit Cost],0)</f>
        <v>290000</v>
      </c>
      <c r="O2297" s="4" t="s">
        <v>4865</v>
      </c>
      <c r="P2297" s="4" t="s">
        <v>4860</v>
      </c>
      <c r="Q2297" s="1" t="str">
        <f>_xlfn.XLOOKUP(tblSales[[#This Row],[Channel Code]],tblChannels[Channel Code],tblChannels[Channel Name],"")</f>
        <v>In-store</v>
      </c>
      <c r="R2297" s="1">
        <f>MONTH(tblSales[[#This Row],[Date]])</f>
        <v>5</v>
      </c>
    </row>
    <row r="2298" spans="2:18" x14ac:dyDescent="0.35">
      <c r="B2298" s="113">
        <v>46160</v>
      </c>
      <c r="C2298" s="4" t="s">
        <v>1526</v>
      </c>
      <c r="D2298" s="4" t="s">
        <v>4568</v>
      </c>
      <c r="E2298" s="1" t="str">
        <f>_xlfn.XLOOKUP(tblSales[[#This Row],[Customer ID]],tblCustomers[Customer ID],tblCustomers[Customer Name],"⚠ Unknown")</f>
        <v>Walk-in Customer</v>
      </c>
      <c r="F2298" s="4" t="s">
        <v>12</v>
      </c>
      <c r="G2298" s="1" t="str">
        <f>_xlfn.XLOOKUP(tblSales[[#This Row],[Product Code]],tblProducts[Code],tblProducts[Product / Service Name],"⚠ Unknown")</f>
        <v>Bomber Jacket</v>
      </c>
      <c r="H2298" s="1" t="str">
        <f>_xlfn.XLOOKUP(tblSales[[#This Row],[Product Code]],tblProducts[Code],tblProducts[Category],"")</f>
        <v>Apparel &amp; Footwear</v>
      </c>
      <c r="I2298" s="4">
        <v>3</v>
      </c>
      <c r="J2298" s="5">
        <f>_xlfn.XLOOKUP(tblSales[[#This Row],[Product Code]],tblProducts[Code],tblProducts[Selling Price (excl. VAT)],0)</f>
        <v>350000</v>
      </c>
      <c r="K2298" s="5">
        <f>tblSales[[#This Row],[Qty]]*tblSales[[#This Row],[Unit Price]]</f>
        <v>1050000</v>
      </c>
      <c r="L2298" s="5">
        <f>ROUND(tblSales[[#This Row],[DPP (excl. VAT)]]*VATEff,0)</f>
        <v>115500</v>
      </c>
      <c r="M2298" s="5">
        <f>tblSales[[#This Row],[DPP (excl. VAT)]]+tblSales[[#This Row],[Output VAT]]</f>
        <v>1165500</v>
      </c>
      <c r="N2298" s="5">
        <f>tblSales[[#This Row],[Qty]]*_xlfn.XLOOKUP(tblSales[[#This Row],[Product Code]],tblProducts[Code],tblProducts[Unit Cost],0)</f>
        <v>630000</v>
      </c>
      <c r="O2298" s="4" t="s">
        <v>4865</v>
      </c>
      <c r="P2298" s="4" t="s">
        <v>4860</v>
      </c>
      <c r="Q2298" s="1" t="str">
        <f>_xlfn.XLOOKUP(tblSales[[#This Row],[Channel Code]],tblChannels[Channel Code],tblChannels[Channel Name],"")</f>
        <v>In-store</v>
      </c>
      <c r="R2298" s="1">
        <f>MONTH(tblSales[[#This Row],[Date]])</f>
        <v>5</v>
      </c>
    </row>
    <row r="2299" spans="2:18" x14ac:dyDescent="0.35">
      <c r="B2299" s="113">
        <v>46160</v>
      </c>
      <c r="C2299" s="4" t="s">
        <v>1526</v>
      </c>
      <c r="D2299" s="4" t="s">
        <v>4568</v>
      </c>
      <c r="E2299" s="1" t="str">
        <f>_xlfn.XLOOKUP(tblSales[[#This Row],[Customer ID]],tblCustomers[Customer ID],tblCustomers[Customer Name],"⚠ Unknown")</f>
        <v>Walk-in Customer</v>
      </c>
      <c r="F2299" s="4" t="s">
        <v>14</v>
      </c>
      <c r="G2299" s="1" t="str">
        <f>_xlfn.XLOOKUP(tblSales[[#This Row],[Product Code]],tblProducts[Code],tblProducts[Product / Service Name],"⚠ Unknown")</f>
        <v>Smartwatch</v>
      </c>
      <c r="H2299" s="1" t="str">
        <f>_xlfn.XLOOKUP(tblSales[[#This Row],[Product Code]],tblProducts[Code],tblProducts[Category],"")</f>
        <v>Bags &amp; Gadgets</v>
      </c>
      <c r="I2299" s="4">
        <v>3</v>
      </c>
      <c r="J2299" s="5">
        <f>_xlfn.XLOOKUP(tblSales[[#This Row],[Product Code]],tblProducts[Code],tblProducts[Selling Price (excl. VAT)],0)</f>
        <v>850000</v>
      </c>
      <c r="K2299" s="5">
        <f>tblSales[[#This Row],[Qty]]*tblSales[[#This Row],[Unit Price]]</f>
        <v>2550000</v>
      </c>
      <c r="L2299" s="5">
        <f>ROUND(tblSales[[#This Row],[DPP (excl. VAT)]]*VATEff,0)</f>
        <v>280500</v>
      </c>
      <c r="M2299" s="5">
        <f>tblSales[[#This Row],[DPP (excl. VAT)]]+tblSales[[#This Row],[Output VAT]]</f>
        <v>2830500</v>
      </c>
      <c r="N2299" s="5">
        <f>tblSales[[#This Row],[Qty]]*_xlfn.XLOOKUP(tblSales[[#This Row],[Product Code]],tblProducts[Code],tblProducts[Unit Cost],0)</f>
        <v>1680000</v>
      </c>
      <c r="O2299" s="4" t="s">
        <v>4865</v>
      </c>
      <c r="P2299" s="4" t="s">
        <v>4860</v>
      </c>
      <c r="Q2299" s="1" t="str">
        <f>_xlfn.XLOOKUP(tblSales[[#This Row],[Channel Code]],tblChannels[Channel Code],tblChannels[Channel Name],"")</f>
        <v>In-store</v>
      </c>
      <c r="R2299" s="1">
        <f>MONTH(tblSales[[#This Row],[Date]])</f>
        <v>5</v>
      </c>
    </row>
    <row r="2300" spans="2:18" x14ac:dyDescent="0.35">
      <c r="B2300" s="113">
        <v>46160</v>
      </c>
      <c r="C2300" s="4" t="s">
        <v>1527</v>
      </c>
      <c r="D2300" s="4" t="s">
        <v>4568</v>
      </c>
      <c r="E2300" s="1" t="str">
        <f>_xlfn.XLOOKUP(tblSales[[#This Row],[Customer ID]],tblCustomers[Customer ID],tblCustomers[Customer Name],"⚠ Unknown")</f>
        <v>Walk-in Customer</v>
      </c>
      <c r="F2300" s="4" t="s">
        <v>6</v>
      </c>
      <c r="G2300" s="1" t="str">
        <f>_xlfn.XLOOKUP(tblSales[[#This Row],[Product Code]],tblProducts[Code],tblProducts[Product / Service Name],"⚠ Unknown")</f>
        <v>Socks &amp; Accessories</v>
      </c>
      <c r="H2300" s="1" t="str">
        <f>_xlfn.XLOOKUP(tblSales[[#This Row],[Product Code]],tblProducts[Code],tblProducts[Category],"")</f>
        <v>Accessories &amp; Basics</v>
      </c>
      <c r="I2300" s="4">
        <v>5</v>
      </c>
      <c r="J2300" s="5">
        <f>_xlfn.XLOOKUP(tblSales[[#This Row],[Product Code]],tblProducts[Code],tblProducts[Selling Price (excl. VAT)],0)</f>
        <v>45000</v>
      </c>
      <c r="K2300" s="5">
        <f>tblSales[[#This Row],[Qty]]*tblSales[[#This Row],[Unit Price]]</f>
        <v>225000</v>
      </c>
      <c r="L2300" s="5">
        <f>ROUND(tblSales[[#This Row],[DPP (excl. VAT)]]*VATEff,0)</f>
        <v>24750</v>
      </c>
      <c r="M2300" s="5">
        <f>tblSales[[#This Row],[DPP (excl. VAT)]]+tblSales[[#This Row],[Output VAT]]</f>
        <v>249750</v>
      </c>
      <c r="N2300" s="5">
        <f>tblSales[[#This Row],[Qty]]*_xlfn.XLOOKUP(tblSales[[#This Row],[Product Code]],tblProducts[Code],tblProducts[Unit Cost],0)</f>
        <v>120000</v>
      </c>
      <c r="O2300" s="4" t="s">
        <v>4865</v>
      </c>
      <c r="P2300" s="4" t="s">
        <v>4860</v>
      </c>
      <c r="Q2300" s="1" t="str">
        <f>_xlfn.XLOOKUP(tblSales[[#This Row],[Channel Code]],tblChannels[Channel Code],tblChannels[Channel Name],"")</f>
        <v>In-store</v>
      </c>
      <c r="R2300" s="1">
        <f>MONTH(tblSales[[#This Row],[Date]])</f>
        <v>5</v>
      </c>
    </row>
    <row r="2301" spans="2:18" x14ac:dyDescent="0.35">
      <c r="B2301" s="113">
        <v>46160</v>
      </c>
      <c r="C2301" s="4" t="s">
        <v>1528</v>
      </c>
      <c r="D2301" s="4" t="s">
        <v>4568</v>
      </c>
      <c r="E2301" s="1" t="str">
        <f>_xlfn.XLOOKUP(tblSales[[#This Row],[Customer ID]],tblCustomers[Customer ID],tblCustomers[Customer Name],"⚠ Unknown")</f>
        <v>Walk-in Customer</v>
      </c>
      <c r="F2301" s="4" t="s">
        <v>13</v>
      </c>
      <c r="G2301" s="1" t="str">
        <f>_xlfn.XLOOKUP(tblSales[[#This Row],[Product Code]],tblProducts[Code],tblProducts[Product / Service Name],"⚠ Unknown")</f>
        <v>Backpack</v>
      </c>
      <c r="H2301" s="1" t="str">
        <f>_xlfn.XLOOKUP(tblSales[[#This Row],[Product Code]],tblProducts[Code],tblProducts[Category],"")</f>
        <v>Bags &amp; Gadgets</v>
      </c>
      <c r="I2301" s="4">
        <v>5</v>
      </c>
      <c r="J2301" s="5">
        <f>_xlfn.XLOOKUP(tblSales[[#This Row],[Product Code]],tblProducts[Code],tblProducts[Selling Price (excl. VAT)],0)</f>
        <v>500000</v>
      </c>
      <c r="K2301" s="5">
        <f>tblSales[[#This Row],[Qty]]*tblSales[[#This Row],[Unit Price]]</f>
        <v>2500000</v>
      </c>
      <c r="L2301" s="5">
        <f>ROUND(tblSales[[#This Row],[DPP (excl. VAT)]]*VATEff,0)</f>
        <v>275000</v>
      </c>
      <c r="M2301" s="5">
        <f>tblSales[[#This Row],[DPP (excl. VAT)]]+tblSales[[#This Row],[Output VAT]]</f>
        <v>2775000</v>
      </c>
      <c r="N2301" s="5">
        <f>tblSales[[#This Row],[Qty]]*_xlfn.XLOOKUP(tblSales[[#This Row],[Product Code]],tblProducts[Code],tblProducts[Unit Cost],0)</f>
        <v>1450000</v>
      </c>
      <c r="O2301" s="4" t="s">
        <v>4865</v>
      </c>
      <c r="P2301" s="4" t="s">
        <v>4860</v>
      </c>
      <c r="Q2301" s="1" t="str">
        <f>_xlfn.XLOOKUP(tblSales[[#This Row],[Channel Code]],tblChannels[Channel Code],tblChannels[Channel Name],"")</f>
        <v>In-store</v>
      </c>
      <c r="R2301" s="1">
        <f>MONTH(tblSales[[#This Row],[Date]])</f>
        <v>5</v>
      </c>
    </row>
    <row r="2302" spans="2:18" x14ac:dyDescent="0.35">
      <c r="B2302" s="113">
        <v>46160</v>
      </c>
      <c r="C2302" s="4" t="s">
        <v>1529</v>
      </c>
      <c r="D2302" s="4" t="s">
        <v>4568</v>
      </c>
      <c r="E2302" s="1" t="str">
        <f>_xlfn.XLOOKUP(tblSales[[#This Row],[Customer ID]],tblCustomers[Customer ID],tblCustomers[Customer Name],"⚠ Unknown")</f>
        <v>Walk-in Customer</v>
      </c>
      <c r="F2302" s="4" t="s">
        <v>7</v>
      </c>
      <c r="G2302" s="1" t="str">
        <f>_xlfn.XLOOKUP(tblSales[[#This Row],[Product Code]],tblProducts[Code],tblProducts[Product / Service Name],"⚠ Unknown")</f>
        <v>Premium Basic T-shirt</v>
      </c>
      <c r="H2302" s="1" t="str">
        <f>_xlfn.XLOOKUP(tblSales[[#This Row],[Product Code]],tblProducts[Code],tblProducts[Category],"")</f>
        <v>Accessories &amp; Basics</v>
      </c>
      <c r="I2302" s="4">
        <v>10</v>
      </c>
      <c r="J2302" s="5">
        <f>_xlfn.XLOOKUP(tblSales[[#This Row],[Product Code]],tblProducts[Code],tblProducts[Selling Price (excl. VAT)],0)</f>
        <v>65000</v>
      </c>
      <c r="K2302" s="5">
        <f>tblSales[[#This Row],[Qty]]*tblSales[[#This Row],[Unit Price]]</f>
        <v>650000</v>
      </c>
      <c r="L2302" s="5">
        <f>ROUND(tblSales[[#This Row],[DPP (excl. VAT)]]*VATEff,0)</f>
        <v>71500</v>
      </c>
      <c r="M2302" s="5">
        <f>tblSales[[#This Row],[DPP (excl. VAT)]]+tblSales[[#This Row],[Output VAT]]</f>
        <v>721500</v>
      </c>
      <c r="N2302" s="5">
        <f>tblSales[[#This Row],[Qty]]*_xlfn.XLOOKUP(tblSales[[#This Row],[Product Code]],tblProducts[Code],tblProducts[Unit Cost],0)</f>
        <v>370000</v>
      </c>
      <c r="O2302" s="4" t="s">
        <v>4866</v>
      </c>
      <c r="P2302" s="4" t="s">
        <v>4861</v>
      </c>
      <c r="Q2302" s="1" t="str">
        <f>_xlfn.XLOOKUP(tblSales[[#This Row],[Channel Code]],tblChannels[Channel Code],tblChannels[Channel Name],"")</f>
        <v>Marketplace</v>
      </c>
      <c r="R2302" s="1">
        <f>MONTH(tblSales[[#This Row],[Date]])</f>
        <v>5</v>
      </c>
    </row>
    <row r="2303" spans="2:18" x14ac:dyDescent="0.35">
      <c r="B2303" s="113">
        <v>46160</v>
      </c>
      <c r="C2303" s="4" t="s">
        <v>1530</v>
      </c>
      <c r="D2303" s="4" t="s">
        <v>4568</v>
      </c>
      <c r="E2303" s="1" t="str">
        <f>_xlfn.XLOOKUP(tblSales[[#This Row],[Customer ID]],tblCustomers[Customer ID],tblCustomers[Customer Name],"⚠ Unknown")</f>
        <v>Walk-in Customer</v>
      </c>
      <c r="F2303" s="4" t="s">
        <v>11</v>
      </c>
      <c r="G2303" s="1" t="str">
        <f>_xlfn.XLOOKUP(tblSales[[#This Row],[Product Code]],tblProducts[Code],tblProducts[Product / Service Name],"⚠ Unknown")</f>
        <v>Sneakers</v>
      </c>
      <c r="H2303" s="1" t="str">
        <f>_xlfn.XLOOKUP(tblSales[[#This Row],[Product Code]],tblProducts[Code],tblProducts[Category],"")</f>
        <v>Apparel &amp; Footwear</v>
      </c>
      <c r="I2303" s="4">
        <v>6</v>
      </c>
      <c r="J2303" s="5">
        <f>_xlfn.XLOOKUP(tblSales[[#This Row],[Product Code]],tblProducts[Code],tblProducts[Selling Price (excl. VAT)],0)</f>
        <v>250000</v>
      </c>
      <c r="K2303" s="5">
        <f>tblSales[[#This Row],[Qty]]*tblSales[[#This Row],[Unit Price]]</f>
        <v>1500000</v>
      </c>
      <c r="L2303" s="5">
        <f>ROUND(tblSales[[#This Row],[DPP (excl. VAT)]]*VATEff,0)</f>
        <v>165000</v>
      </c>
      <c r="M2303" s="5">
        <f>tblSales[[#This Row],[DPP (excl. VAT)]]+tblSales[[#This Row],[Output VAT]]</f>
        <v>1665000</v>
      </c>
      <c r="N2303" s="5">
        <f>tblSales[[#This Row],[Qty]]*_xlfn.XLOOKUP(tblSales[[#This Row],[Product Code]],tblProducts[Code],tblProducts[Unit Cost],0)</f>
        <v>930000</v>
      </c>
      <c r="O2303" s="4" t="s">
        <v>4866</v>
      </c>
      <c r="P2303" s="4" t="s">
        <v>4861</v>
      </c>
      <c r="Q2303" s="1" t="str">
        <f>_xlfn.XLOOKUP(tblSales[[#This Row],[Channel Code]],tblChannels[Channel Code],tblChannels[Channel Name],"")</f>
        <v>Marketplace</v>
      </c>
      <c r="R2303" s="1">
        <f>MONTH(tblSales[[#This Row],[Date]])</f>
        <v>5</v>
      </c>
    </row>
    <row r="2304" spans="2:18" x14ac:dyDescent="0.35">
      <c r="B2304" s="113">
        <v>46161</v>
      </c>
      <c r="C2304" s="4" t="s">
        <v>1531</v>
      </c>
      <c r="D2304" s="4" t="s">
        <v>4572</v>
      </c>
      <c r="E2304" s="1" t="str">
        <f>_xlfn.XLOOKUP(tblSales[[#This Row],[Customer ID]],tblCustomers[Customer ID],tblCustomers[Customer Name],"⚠ Unknown")</f>
        <v>PT Cahaya Abadi Makmur</v>
      </c>
      <c r="F2304" s="4" t="s">
        <v>7</v>
      </c>
      <c r="G2304" s="1" t="str">
        <f>_xlfn.XLOOKUP(tblSales[[#This Row],[Product Code]],tblProducts[Code],tblProducts[Product / Service Name],"⚠ Unknown")</f>
        <v>Premium Basic T-shirt</v>
      </c>
      <c r="H2304" s="1" t="str">
        <f>_xlfn.XLOOKUP(tblSales[[#This Row],[Product Code]],tblProducts[Code],tblProducts[Category],"")</f>
        <v>Accessories &amp; Basics</v>
      </c>
      <c r="I2304" s="4">
        <v>80</v>
      </c>
      <c r="J2304" s="5">
        <f>_xlfn.XLOOKUP(tblSales[[#This Row],[Product Code]],tblProducts[Code],tblProducts[Selling Price (excl. VAT)],0)</f>
        <v>65000</v>
      </c>
      <c r="K2304" s="5">
        <f>tblSales[[#This Row],[Qty]]*tblSales[[#This Row],[Unit Price]]</f>
        <v>5200000</v>
      </c>
      <c r="L2304" s="5">
        <f>ROUND(tblSales[[#This Row],[DPP (excl. VAT)]]*VATEff,0)</f>
        <v>572000</v>
      </c>
      <c r="M2304" s="5">
        <f>tblSales[[#This Row],[DPP (excl. VAT)]]+tblSales[[#This Row],[Output VAT]]</f>
        <v>5772000</v>
      </c>
      <c r="N2304" s="5">
        <f>tblSales[[#This Row],[Qty]]*_xlfn.XLOOKUP(tblSales[[#This Row],[Product Code]],tblProducts[Code],tblProducts[Unit Cost],0)</f>
        <v>2960000</v>
      </c>
      <c r="O2304" s="4" t="s">
        <v>4867</v>
      </c>
      <c r="P2304" s="4" t="s">
        <v>4860</v>
      </c>
      <c r="Q2304" s="1" t="str">
        <f>_xlfn.XLOOKUP(tblSales[[#This Row],[Channel Code]],tblChannels[Channel Code],tblChannels[Channel Name],"")</f>
        <v>In-store</v>
      </c>
      <c r="R2304" s="1">
        <f>MONTH(tblSales[[#This Row],[Date]])</f>
        <v>5</v>
      </c>
    </row>
    <row r="2305" spans="2:18" x14ac:dyDescent="0.35">
      <c r="B2305" s="113">
        <v>46161</v>
      </c>
      <c r="C2305" s="4" t="s">
        <v>1532</v>
      </c>
      <c r="D2305" s="4" t="s">
        <v>4613</v>
      </c>
      <c r="E2305" s="1" t="str">
        <f>_xlfn.XLOOKUP(tblSales[[#This Row],[Customer ID]],tblCustomers[Customer ID],tblCustomers[Customer Name],"⚠ Unknown")</f>
        <v>PT Mega Prima Distribusi</v>
      </c>
      <c r="F2305" s="4" t="s">
        <v>9</v>
      </c>
      <c r="G2305" s="1" t="str">
        <f>_xlfn.XLOOKUP(tblSales[[#This Row],[Product Code]],tblProducts[Code],tblProducts[Product / Service Name],"⚠ Unknown")</f>
        <v>Casual Shirt</v>
      </c>
      <c r="H2305" s="1" t="str">
        <f>_xlfn.XLOOKUP(tblSales[[#This Row],[Product Code]],tblProducts[Code],tblProducts[Category],"")</f>
        <v>Apparel &amp; Footwear</v>
      </c>
      <c r="I2305" s="4">
        <v>48</v>
      </c>
      <c r="J2305" s="5">
        <f>_xlfn.XLOOKUP(tblSales[[#This Row],[Product Code]],tblProducts[Code],tblProducts[Selling Price (excl. VAT)],0)</f>
        <v>120000</v>
      </c>
      <c r="K2305" s="5">
        <f>tblSales[[#This Row],[Qty]]*tblSales[[#This Row],[Unit Price]]</f>
        <v>5760000</v>
      </c>
      <c r="L2305" s="5">
        <f>ROUND(tblSales[[#This Row],[DPP (excl. VAT)]]*VATEff,0)</f>
        <v>633600</v>
      </c>
      <c r="M2305" s="5">
        <f>tblSales[[#This Row],[DPP (excl. VAT)]]+tblSales[[#This Row],[Output VAT]]</f>
        <v>6393600</v>
      </c>
      <c r="N2305" s="5">
        <f>tblSales[[#This Row],[Qty]]*_xlfn.XLOOKUP(tblSales[[#This Row],[Product Code]],tblProducts[Code],tblProducts[Unit Cost],0)</f>
        <v>3456000</v>
      </c>
      <c r="O2305" s="4" t="s">
        <v>4867</v>
      </c>
      <c r="P2305" s="4" t="s">
        <v>4860</v>
      </c>
      <c r="Q2305" s="1" t="str">
        <f>_xlfn.XLOOKUP(tblSales[[#This Row],[Channel Code]],tblChannels[Channel Code],tblChannels[Channel Name],"")</f>
        <v>In-store</v>
      </c>
      <c r="R2305" s="1">
        <f>MONTH(tblSales[[#This Row],[Date]])</f>
        <v>5</v>
      </c>
    </row>
    <row r="2306" spans="2:18" x14ac:dyDescent="0.35">
      <c r="B2306" s="113">
        <v>46161</v>
      </c>
      <c r="C2306" s="4" t="s">
        <v>1533</v>
      </c>
      <c r="D2306" s="4" t="s">
        <v>4568</v>
      </c>
      <c r="E2306" s="1" t="str">
        <f>_xlfn.XLOOKUP(tblSales[[#This Row],[Customer ID]],tblCustomers[Customer ID],tblCustomers[Customer Name],"⚠ Unknown")</f>
        <v>Walk-in Customer</v>
      </c>
      <c r="F2306" s="4" t="s">
        <v>6</v>
      </c>
      <c r="G2306" s="1" t="str">
        <f>_xlfn.XLOOKUP(tblSales[[#This Row],[Product Code]],tblProducts[Code],tblProducts[Product / Service Name],"⚠ Unknown")</f>
        <v>Socks &amp; Accessories</v>
      </c>
      <c r="H2306" s="1" t="str">
        <f>_xlfn.XLOOKUP(tblSales[[#This Row],[Product Code]],tblProducts[Code],tblProducts[Category],"")</f>
        <v>Accessories &amp; Basics</v>
      </c>
      <c r="I2306" s="4">
        <v>10</v>
      </c>
      <c r="J2306" s="5">
        <f>_xlfn.XLOOKUP(tblSales[[#This Row],[Product Code]],tblProducts[Code],tblProducts[Selling Price (excl. VAT)],0)</f>
        <v>45000</v>
      </c>
      <c r="K2306" s="5">
        <f>tblSales[[#This Row],[Qty]]*tblSales[[#This Row],[Unit Price]]</f>
        <v>450000</v>
      </c>
      <c r="L2306" s="5">
        <f>ROUND(tblSales[[#This Row],[DPP (excl. VAT)]]*VATEff,0)</f>
        <v>49500</v>
      </c>
      <c r="M2306" s="5">
        <f>tblSales[[#This Row],[DPP (excl. VAT)]]+tblSales[[#This Row],[Output VAT]]</f>
        <v>499500</v>
      </c>
      <c r="N2306" s="5">
        <f>tblSales[[#This Row],[Qty]]*_xlfn.XLOOKUP(tblSales[[#This Row],[Product Code]],tblProducts[Code],tblProducts[Unit Cost],0)</f>
        <v>240000</v>
      </c>
      <c r="O2306" s="4" t="s">
        <v>4866</v>
      </c>
      <c r="P2306" s="4" t="s">
        <v>4862</v>
      </c>
      <c r="Q2306" s="1" t="str">
        <f>_xlfn.XLOOKUP(tblSales[[#This Row],[Channel Code]],tblChannels[Channel Code],tblChannels[Channel Name],"")</f>
        <v>Website &amp; Social Media</v>
      </c>
      <c r="R2306" s="1">
        <f>MONTH(tblSales[[#This Row],[Date]])</f>
        <v>5</v>
      </c>
    </row>
    <row r="2307" spans="2:18" x14ac:dyDescent="0.35">
      <c r="B2307" s="113">
        <v>46161</v>
      </c>
      <c r="C2307" s="4" t="s">
        <v>1533</v>
      </c>
      <c r="D2307" s="4" t="s">
        <v>4568</v>
      </c>
      <c r="E2307" s="1" t="str">
        <f>_xlfn.XLOOKUP(tblSales[[#This Row],[Customer ID]],tblCustomers[Customer ID],tblCustomers[Customer Name],"⚠ Unknown")</f>
        <v>Walk-in Customer</v>
      </c>
      <c r="F2307" s="4" t="s">
        <v>8</v>
      </c>
      <c r="G2307" s="1" t="str">
        <f>_xlfn.XLOOKUP(tblSales[[#This Row],[Product Code]],tblProducts[Code],tblProducts[Product / Service Name],"⚠ Unknown")</f>
        <v>Casual Shorts</v>
      </c>
      <c r="H2307" s="1" t="str">
        <f>_xlfn.XLOOKUP(tblSales[[#This Row],[Product Code]],tblProducts[Code],tblProducts[Category],"")</f>
        <v>Accessories &amp; Basics</v>
      </c>
      <c r="I2307" s="4">
        <v>9</v>
      </c>
      <c r="J2307" s="5">
        <f>_xlfn.XLOOKUP(tblSales[[#This Row],[Product Code]],tblProducts[Code],tblProducts[Selling Price (excl. VAT)],0)</f>
        <v>85000</v>
      </c>
      <c r="K2307" s="5">
        <f>tblSales[[#This Row],[Qty]]*tblSales[[#This Row],[Unit Price]]</f>
        <v>765000</v>
      </c>
      <c r="L2307" s="5">
        <f>ROUND(tblSales[[#This Row],[DPP (excl. VAT)]]*VATEff,0)</f>
        <v>84150</v>
      </c>
      <c r="M2307" s="5">
        <f>tblSales[[#This Row],[DPP (excl. VAT)]]+tblSales[[#This Row],[Output VAT]]</f>
        <v>849150</v>
      </c>
      <c r="N2307" s="5">
        <f>tblSales[[#This Row],[Qty]]*_xlfn.XLOOKUP(tblSales[[#This Row],[Product Code]],tblProducts[Code],tblProducts[Unit Cost],0)</f>
        <v>450000</v>
      </c>
      <c r="O2307" s="4" t="s">
        <v>4866</v>
      </c>
      <c r="P2307" s="4" t="s">
        <v>4862</v>
      </c>
      <c r="Q2307" s="1" t="str">
        <f>_xlfn.XLOOKUP(tblSales[[#This Row],[Channel Code]],tblChannels[Channel Code],tblChannels[Channel Name],"")</f>
        <v>Website &amp; Social Media</v>
      </c>
      <c r="R2307" s="1">
        <f>MONTH(tblSales[[#This Row],[Date]])</f>
        <v>5</v>
      </c>
    </row>
    <row r="2308" spans="2:18" x14ac:dyDescent="0.35">
      <c r="B2308" s="113">
        <v>46161</v>
      </c>
      <c r="C2308" s="4" t="s">
        <v>1533</v>
      </c>
      <c r="D2308" s="4" t="s">
        <v>4568</v>
      </c>
      <c r="E2308" s="1" t="str">
        <f>_xlfn.XLOOKUP(tblSales[[#This Row],[Customer ID]],tblCustomers[Customer ID],tblCustomers[Customer Name],"⚠ Unknown")</f>
        <v>Walk-in Customer</v>
      </c>
      <c r="F2308" s="4" t="s">
        <v>10</v>
      </c>
      <c r="G2308" s="1" t="str">
        <f>_xlfn.XLOOKUP(tblSales[[#This Row],[Product Code]],tblProducts[Code],tblProducts[Product / Service Name],"⚠ Unknown")</f>
        <v>Chino Pants</v>
      </c>
      <c r="H2308" s="1" t="str">
        <f>_xlfn.XLOOKUP(tblSales[[#This Row],[Product Code]],tblProducts[Code],tblProducts[Category],"")</f>
        <v>Apparel &amp; Footwear</v>
      </c>
      <c r="I2308" s="4">
        <v>9</v>
      </c>
      <c r="J2308" s="5">
        <f>_xlfn.XLOOKUP(tblSales[[#This Row],[Product Code]],tblProducts[Code],tblProducts[Selling Price (excl. VAT)],0)</f>
        <v>150000</v>
      </c>
      <c r="K2308" s="5">
        <f>tblSales[[#This Row],[Qty]]*tblSales[[#This Row],[Unit Price]]</f>
        <v>1350000</v>
      </c>
      <c r="L2308" s="5">
        <f>ROUND(tblSales[[#This Row],[DPP (excl. VAT)]]*VATEff,0)</f>
        <v>148500</v>
      </c>
      <c r="M2308" s="5">
        <f>tblSales[[#This Row],[DPP (excl. VAT)]]+tblSales[[#This Row],[Output VAT]]</f>
        <v>1498500</v>
      </c>
      <c r="N2308" s="5">
        <f>tblSales[[#This Row],[Qty]]*_xlfn.XLOOKUP(tblSales[[#This Row],[Product Code]],tblProducts[Code],tblProducts[Unit Cost],0)</f>
        <v>792000</v>
      </c>
      <c r="O2308" s="4" t="s">
        <v>4866</v>
      </c>
      <c r="P2308" s="4" t="s">
        <v>4862</v>
      </c>
      <c r="Q2308" s="1" t="str">
        <f>_xlfn.XLOOKUP(tblSales[[#This Row],[Channel Code]],tblChannels[Channel Code],tblChannels[Channel Name],"")</f>
        <v>Website &amp; Social Media</v>
      </c>
      <c r="R2308" s="1">
        <f>MONTH(tblSales[[#This Row],[Date]])</f>
        <v>5</v>
      </c>
    </row>
    <row r="2309" spans="2:18" x14ac:dyDescent="0.35">
      <c r="B2309" s="113">
        <v>46161</v>
      </c>
      <c r="C2309" s="4" t="s">
        <v>1534</v>
      </c>
      <c r="D2309" s="4" t="s">
        <v>4568</v>
      </c>
      <c r="E2309" s="1" t="str">
        <f>_xlfn.XLOOKUP(tblSales[[#This Row],[Customer ID]],tblCustomers[Customer ID],tblCustomers[Customer Name],"⚠ Unknown")</f>
        <v>Walk-in Customer</v>
      </c>
      <c r="F2309" s="4" t="s">
        <v>10</v>
      </c>
      <c r="G2309" s="1" t="str">
        <f>_xlfn.XLOOKUP(tblSales[[#This Row],[Product Code]],tblProducts[Code],tblProducts[Product / Service Name],"⚠ Unknown")</f>
        <v>Chino Pants</v>
      </c>
      <c r="H2309" s="1" t="str">
        <f>_xlfn.XLOOKUP(tblSales[[#This Row],[Product Code]],tblProducts[Code],tblProducts[Category],"")</f>
        <v>Apparel &amp; Footwear</v>
      </c>
      <c r="I2309" s="4">
        <v>2</v>
      </c>
      <c r="J2309" s="5">
        <f>_xlfn.XLOOKUP(tblSales[[#This Row],[Product Code]],tblProducts[Code],tblProducts[Selling Price (excl. VAT)],0)</f>
        <v>150000</v>
      </c>
      <c r="K2309" s="5">
        <f>tblSales[[#This Row],[Qty]]*tblSales[[#This Row],[Unit Price]]</f>
        <v>300000</v>
      </c>
      <c r="L2309" s="5">
        <f>ROUND(tblSales[[#This Row],[DPP (excl. VAT)]]*VATEff,0)</f>
        <v>33000</v>
      </c>
      <c r="M2309" s="5">
        <f>tblSales[[#This Row],[DPP (excl. VAT)]]+tblSales[[#This Row],[Output VAT]]</f>
        <v>333000</v>
      </c>
      <c r="N2309" s="5">
        <f>tblSales[[#This Row],[Qty]]*_xlfn.XLOOKUP(tblSales[[#This Row],[Product Code]],tblProducts[Code],tblProducts[Unit Cost],0)</f>
        <v>176000</v>
      </c>
      <c r="O2309" s="4" t="s">
        <v>4866</v>
      </c>
      <c r="P2309" s="4" t="s">
        <v>4862</v>
      </c>
      <c r="Q2309" s="1" t="str">
        <f>_xlfn.XLOOKUP(tblSales[[#This Row],[Channel Code]],tblChannels[Channel Code],tblChannels[Channel Name],"")</f>
        <v>Website &amp; Social Media</v>
      </c>
      <c r="R2309" s="1">
        <f>MONTH(tblSales[[#This Row],[Date]])</f>
        <v>5</v>
      </c>
    </row>
    <row r="2310" spans="2:18" x14ac:dyDescent="0.35">
      <c r="B2310" s="113">
        <v>46161</v>
      </c>
      <c r="C2310" s="4" t="s">
        <v>1535</v>
      </c>
      <c r="D2310" s="4" t="s">
        <v>4613</v>
      </c>
      <c r="E2310" s="1" t="str">
        <f>_xlfn.XLOOKUP(tblSales[[#This Row],[Customer ID]],tblCustomers[Customer ID],tblCustomers[Customer Name],"⚠ Unknown")</f>
        <v>PT Mega Prima Distribusi</v>
      </c>
      <c r="F2310" s="4" t="s">
        <v>9</v>
      </c>
      <c r="G2310" s="1" t="str">
        <f>_xlfn.XLOOKUP(tblSales[[#This Row],[Product Code]],tblProducts[Code],tblProducts[Product / Service Name],"⚠ Unknown")</f>
        <v>Casual Shirt</v>
      </c>
      <c r="H2310" s="1" t="str">
        <f>_xlfn.XLOOKUP(tblSales[[#This Row],[Product Code]],tblProducts[Code],tblProducts[Category],"")</f>
        <v>Apparel &amp; Footwear</v>
      </c>
      <c r="I2310" s="4">
        <v>40</v>
      </c>
      <c r="J2310" s="5">
        <f>_xlfn.XLOOKUP(tblSales[[#This Row],[Product Code]],tblProducts[Code],tblProducts[Selling Price (excl. VAT)],0)</f>
        <v>120000</v>
      </c>
      <c r="K2310" s="5">
        <f>tblSales[[#This Row],[Qty]]*tblSales[[#This Row],[Unit Price]]</f>
        <v>4800000</v>
      </c>
      <c r="L2310" s="5">
        <f>ROUND(tblSales[[#This Row],[DPP (excl. VAT)]]*VATEff,0)</f>
        <v>528000</v>
      </c>
      <c r="M2310" s="5">
        <f>tblSales[[#This Row],[DPP (excl. VAT)]]+tblSales[[#This Row],[Output VAT]]</f>
        <v>5328000</v>
      </c>
      <c r="N2310" s="5">
        <f>tblSales[[#This Row],[Qty]]*_xlfn.XLOOKUP(tblSales[[#This Row],[Product Code]],tblProducts[Code],tblProducts[Unit Cost],0)</f>
        <v>2880000</v>
      </c>
      <c r="O2310" s="4" t="s">
        <v>4867</v>
      </c>
      <c r="P2310" s="4" t="s">
        <v>4860</v>
      </c>
      <c r="Q2310" s="1" t="str">
        <f>_xlfn.XLOOKUP(tblSales[[#This Row],[Channel Code]],tblChannels[Channel Code],tblChannels[Channel Name],"")</f>
        <v>In-store</v>
      </c>
      <c r="R2310" s="1">
        <f>MONTH(tblSales[[#This Row],[Date]])</f>
        <v>5</v>
      </c>
    </row>
    <row r="2311" spans="2:18" x14ac:dyDescent="0.35">
      <c r="B2311" s="113">
        <v>46161</v>
      </c>
      <c r="C2311" s="4" t="s">
        <v>1536</v>
      </c>
      <c r="D2311" s="4" t="s">
        <v>4568</v>
      </c>
      <c r="E2311" s="1" t="str">
        <f>_xlfn.XLOOKUP(tblSales[[#This Row],[Customer ID]],tblCustomers[Customer ID],tblCustomers[Customer Name],"⚠ Unknown")</f>
        <v>Walk-in Customer</v>
      </c>
      <c r="F2311" s="4" t="s">
        <v>8</v>
      </c>
      <c r="G2311" s="1" t="str">
        <f>_xlfn.XLOOKUP(tblSales[[#This Row],[Product Code]],tblProducts[Code],tblProducts[Product / Service Name],"⚠ Unknown")</f>
        <v>Casual Shorts</v>
      </c>
      <c r="H2311" s="1" t="str">
        <f>_xlfn.XLOOKUP(tblSales[[#This Row],[Product Code]],tblProducts[Code],tblProducts[Category],"")</f>
        <v>Accessories &amp; Basics</v>
      </c>
      <c r="I2311" s="4">
        <v>2</v>
      </c>
      <c r="J2311" s="5">
        <f>_xlfn.XLOOKUP(tblSales[[#This Row],[Product Code]],tblProducts[Code],tblProducts[Selling Price (excl. VAT)],0)</f>
        <v>85000</v>
      </c>
      <c r="K2311" s="5">
        <f>tblSales[[#This Row],[Qty]]*tblSales[[#This Row],[Unit Price]]</f>
        <v>170000</v>
      </c>
      <c r="L2311" s="5">
        <f>ROUND(tblSales[[#This Row],[DPP (excl. VAT)]]*VATEff,0)</f>
        <v>18700</v>
      </c>
      <c r="M2311" s="5">
        <f>tblSales[[#This Row],[DPP (excl. VAT)]]+tblSales[[#This Row],[Output VAT]]</f>
        <v>188700</v>
      </c>
      <c r="N2311" s="5">
        <f>tblSales[[#This Row],[Qty]]*_xlfn.XLOOKUP(tblSales[[#This Row],[Product Code]],tblProducts[Code],tblProducts[Unit Cost],0)</f>
        <v>100000</v>
      </c>
      <c r="O2311" s="4" t="s">
        <v>4865</v>
      </c>
      <c r="P2311" s="4" t="s">
        <v>4860</v>
      </c>
      <c r="Q2311" s="1" t="str">
        <f>_xlfn.XLOOKUP(tblSales[[#This Row],[Channel Code]],tblChannels[Channel Code],tblChannels[Channel Name],"")</f>
        <v>In-store</v>
      </c>
      <c r="R2311" s="1">
        <f>MONTH(tblSales[[#This Row],[Date]])</f>
        <v>5</v>
      </c>
    </row>
    <row r="2312" spans="2:18" x14ac:dyDescent="0.35">
      <c r="B2312" s="113">
        <v>46161</v>
      </c>
      <c r="C2312" s="4" t="s">
        <v>1537</v>
      </c>
      <c r="D2312" s="4" t="s">
        <v>4568</v>
      </c>
      <c r="E2312" s="1" t="str">
        <f>_xlfn.XLOOKUP(tblSales[[#This Row],[Customer ID]],tblCustomers[Customer ID],tblCustomers[Customer Name],"⚠ Unknown")</f>
        <v>Walk-in Customer</v>
      </c>
      <c r="F2312" s="4" t="s">
        <v>13</v>
      </c>
      <c r="G2312" s="1" t="str">
        <f>_xlfn.XLOOKUP(tblSales[[#This Row],[Product Code]],tblProducts[Code],tblProducts[Product / Service Name],"⚠ Unknown")</f>
        <v>Backpack</v>
      </c>
      <c r="H2312" s="1" t="str">
        <f>_xlfn.XLOOKUP(tblSales[[#This Row],[Product Code]],tblProducts[Code],tblProducts[Category],"")</f>
        <v>Bags &amp; Gadgets</v>
      </c>
      <c r="I2312" s="4">
        <v>3</v>
      </c>
      <c r="J2312" s="5">
        <f>_xlfn.XLOOKUP(tblSales[[#This Row],[Product Code]],tblProducts[Code],tblProducts[Selling Price (excl. VAT)],0)</f>
        <v>500000</v>
      </c>
      <c r="K2312" s="5">
        <f>tblSales[[#This Row],[Qty]]*tblSales[[#This Row],[Unit Price]]</f>
        <v>1500000</v>
      </c>
      <c r="L2312" s="5">
        <f>ROUND(tblSales[[#This Row],[DPP (excl. VAT)]]*VATEff,0)</f>
        <v>165000</v>
      </c>
      <c r="M2312" s="5">
        <f>tblSales[[#This Row],[DPP (excl. VAT)]]+tblSales[[#This Row],[Output VAT]]</f>
        <v>1665000</v>
      </c>
      <c r="N2312" s="5">
        <f>tblSales[[#This Row],[Qty]]*_xlfn.XLOOKUP(tblSales[[#This Row],[Product Code]],tblProducts[Code],tblProducts[Unit Cost],0)</f>
        <v>870000</v>
      </c>
      <c r="O2312" s="4" t="s">
        <v>4866</v>
      </c>
      <c r="P2312" s="4" t="s">
        <v>4862</v>
      </c>
      <c r="Q2312" s="1" t="str">
        <f>_xlfn.XLOOKUP(tblSales[[#This Row],[Channel Code]],tblChannels[Channel Code],tblChannels[Channel Name],"")</f>
        <v>Website &amp; Social Media</v>
      </c>
      <c r="R2312" s="1">
        <f>MONTH(tblSales[[#This Row],[Date]])</f>
        <v>5</v>
      </c>
    </row>
    <row r="2313" spans="2:18" x14ac:dyDescent="0.35">
      <c r="B2313" s="113">
        <v>46161</v>
      </c>
      <c r="C2313" s="4" t="s">
        <v>1537</v>
      </c>
      <c r="D2313" s="4" t="s">
        <v>4568</v>
      </c>
      <c r="E2313" s="1" t="str">
        <f>_xlfn.XLOOKUP(tblSales[[#This Row],[Customer ID]],tblCustomers[Customer ID],tblCustomers[Customer Name],"⚠ Unknown")</f>
        <v>Walk-in Customer</v>
      </c>
      <c r="F2313" s="4" t="s">
        <v>12</v>
      </c>
      <c r="G2313" s="1" t="str">
        <f>_xlfn.XLOOKUP(tblSales[[#This Row],[Product Code]],tblProducts[Code],tblProducts[Product / Service Name],"⚠ Unknown")</f>
        <v>Bomber Jacket</v>
      </c>
      <c r="H2313" s="1" t="str">
        <f>_xlfn.XLOOKUP(tblSales[[#This Row],[Product Code]],tblProducts[Code],tblProducts[Category],"")</f>
        <v>Apparel &amp; Footwear</v>
      </c>
      <c r="I2313" s="4">
        <v>2</v>
      </c>
      <c r="J2313" s="5">
        <f>_xlfn.XLOOKUP(tblSales[[#This Row],[Product Code]],tblProducts[Code],tblProducts[Selling Price (excl. VAT)],0)</f>
        <v>350000</v>
      </c>
      <c r="K2313" s="5">
        <f>tblSales[[#This Row],[Qty]]*tblSales[[#This Row],[Unit Price]]</f>
        <v>700000</v>
      </c>
      <c r="L2313" s="5">
        <f>ROUND(tblSales[[#This Row],[DPP (excl. VAT)]]*VATEff,0)</f>
        <v>77000</v>
      </c>
      <c r="M2313" s="5">
        <f>tblSales[[#This Row],[DPP (excl. VAT)]]+tblSales[[#This Row],[Output VAT]]</f>
        <v>777000</v>
      </c>
      <c r="N2313" s="5">
        <f>tblSales[[#This Row],[Qty]]*_xlfn.XLOOKUP(tblSales[[#This Row],[Product Code]],tblProducts[Code],tblProducts[Unit Cost],0)</f>
        <v>420000</v>
      </c>
      <c r="O2313" s="4" t="s">
        <v>4866</v>
      </c>
      <c r="P2313" s="4" t="s">
        <v>4862</v>
      </c>
      <c r="Q2313" s="1" t="str">
        <f>_xlfn.XLOOKUP(tblSales[[#This Row],[Channel Code]],tblChannels[Channel Code],tblChannels[Channel Name],"")</f>
        <v>Website &amp; Social Media</v>
      </c>
      <c r="R2313" s="1">
        <f>MONTH(tblSales[[#This Row],[Date]])</f>
        <v>5</v>
      </c>
    </row>
    <row r="2314" spans="2:18" x14ac:dyDescent="0.35">
      <c r="B2314" s="113">
        <v>46161</v>
      </c>
      <c r="C2314" s="4" t="s">
        <v>1538</v>
      </c>
      <c r="D2314" s="4" t="s">
        <v>4568</v>
      </c>
      <c r="E2314" s="1" t="str">
        <f>_xlfn.XLOOKUP(tblSales[[#This Row],[Customer ID]],tblCustomers[Customer ID],tblCustomers[Customer Name],"⚠ Unknown")</f>
        <v>Walk-in Customer</v>
      </c>
      <c r="F2314" s="4" t="s">
        <v>6</v>
      </c>
      <c r="G2314" s="1" t="str">
        <f>_xlfn.XLOOKUP(tblSales[[#This Row],[Product Code]],tblProducts[Code],tblProducts[Product / Service Name],"⚠ Unknown")</f>
        <v>Socks &amp; Accessories</v>
      </c>
      <c r="H2314" s="1" t="str">
        <f>_xlfn.XLOOKUP(tblSales[[#This Row],[Product Code]],tblProducts[Code],tblProducts[Category],"")</f>
        <v>Accessories &amp; Basics</v>
      </c>
      <c r="I2314" s="4">
        <v>6</v>
      </c>
      <c r="J2314" s="5">
        <f>_xlfn.XLOOKUP(tblSales[[#This Row],[Product Code]],tblProducts[Code],tblProducts[Selling Price (excl. VAT)],0)</f>
        <v>45000</v>
      </c>
      <c r="K2314" s="5">
        <f>tblSales[[#This Row],[Qty]]*tblSales[[#This Row],[Unit Price]]</f>
        <v>270000</v>
      </c>
      <c r="L2314" s="5">
        <f>ROUND(tblSales[[#This Row],[DPP (excl. VAT)]]*VATEff,0)</f>
        <v>29700</v>
      </c>
      <c r="M2314" s="5">
        <f>tblSales[[#This Row],[DPP (excl. VAT)]]+tblSales[[#This Row],[Output VAT]]</f>
        <v>299700</v>
      </c>
      <c r="N2314" s="5">
        <f>tblSales[[#This Row],[Qty]]*_xlfn.XLOOKUP(tblSales[[#This Row],[Product Code]],tblProducts[Code],tblProducts[Unit Cost],0)</f>
        <v>144000</v>
      </c>
      <c r="O2314" s="4" t="s">
        <v>4866</v>
      </c>
      <c r="P2314" s="4" t="s">
        <v>4861</v>
      </c>
      <c r="Q2314" s="1" t="str">
        <f>_xlfn.XLOOKUP(tblSales[[#This Row],[Channel Code]],tblChannels[Channel Code],tblChannels[Channel Name],"")</f>
        <v>Marketplace</v>
      </c>
      <c r="R2314" s="1">
        <f>MONTH(tblSales[[#This Row],[Date]])</f>
        <v>5</v>
      </c>
    </row>
    <row r="2315" spans="2:18" x14ac:dyDescent="0.35">
      <c r="B2315" s="113">
        <v>46161</v>
      </c>
      <c r="C2315" s="4" t="s">
        <v>1539</v>
      </c>
      <c r="D2315" s="4" t="s">
        <v>4568</v>
      </c>
      <c r="E2315" s="1" t="str">
        <f>_xlfn.XLOOKUP(tblSales[[#This Row],[Customer ID]],tblCustomers[Customer ID],tblCustomers[Customer Name],"⚠ Unknown")</f>
        <v>Walk-in Customer</v>
      </c>
      <c r="F2315" s="4" t="s">
        <v>13</v>
      </c>
      <c r="G2315" s="1" t="str">
        <f>_xlfn.XLOOKUP(tblSales[[#This Row],[Product Code]],tblProducts[Code],tblProducts[Product / Service Name],"⚠ Unknown")</f>
        <v>Backpack</v>
      </c>
      <c r="H2315" s="1" t="str">
        <f>_xlfn.XLOOKUP(tblSales[[#This Row],[Product Code]],tblProducts[Code],tblProducts[Category],"")</f>
        <v>Bags &amp; Gadgets</v>
      </c>
      <c r="I2315" s="4">
        <v>2</v>
      </c>
      <c r="J2315" s="5">
        <f>_xlfn.XLOOKUP(tblSales[[#This Row],[Product Code]],tblProducts[Code],tblProducts[Selling Price (excl. VAT)],0)</f>
        <v>500000</v>
      </c>
      <c r="K2315" s="5">
        <f>tblSales[[#This Row],[Qty]]*tblSales[[#This Row],[Unit Price]]</f>
        <v>1000000</v>
      </c>
      <c r="L2315" s="5">
        <f>ROUND(tblSales[[#This Row],[DPP (excl. VAT)]]*VATEff,0)</f>
        <v>110000</v>
      </c>
      <c r="M2315" s="5">
        <f>tblSales[[#This Row],[DPP (excl. VAT)]]+tblSales[[#This Row],[Output VAT]]</f>
        <v>1110000</v>
      </c>
      <c r="N2315" s="5">
        <f>tblSales[[#This Row],[Qty]]*_xlfn.XLOOKUP(tblSales[[#This Row],[Product Code]],tblProducts[Code],tblProducts[Unit Cost],0)</f>
        <v>580000</v>
      </c>
      <c r="O2315" s="4" t="s">
        <v>4866</v>
      </c>
      <c r="P2315" s="4" t="s">
        <v>4861</v>
      </c>
      <c r="Q2315" s="1" t="str">
        <f>_xlfn.XLOOKUP(tblSales[[#This Row],[Channel Code]],tblChannels[Channel Code],tblChannels[Channel Name],"")</f>
        <v>Marketplace</v>
      </c>
      <c r="R2315" s="1">
        <f>MONTH(tblSales[[#This Row],[Date]])</f>
        <v>5</v>
      </c>
    </row>
    <row r="2316" spans="2:18" x14ac:dyDescent="0.35">
      <c r="B2316" s="113">
        <v>46161</v>
      </c>
      <c r="C2316" s="4" t="s">
        <v>1539</v>
      </c>
      <c r="D2316" s="4" t="s">
        <v>4568</v>
      </c>
      <c r="E2316" s="1" t="str">
        <f>_xlfn.XLOOKUP(tblSales[[#This Row],[Customer ID]],tblCustomers[Customer ID],tblCustomers[Customer Name],"⚠ Unknown")</f>
        <v>Walk-in Customer</v>
      </c>
      <c r="F2316" s="4" t="s">
        <v>9</v>
      </c>
      <c r="G2316" s="1" t="str">
        <f>_xlfn.XLOOKUP(tblSales[[#This Row],[Product Code]],tblProducts[Code],tblProducts[Product / Service Name],"⚠ Unknown")</f>
        <v>Casual Shirt</v>
      </c>
      <c r="H2316" s="1" t="str">
        <f>_xlfn.XLOOKUP(tblSales[[#This Row],[Product Code]],tblProducts[Code],tblProducts[Category],"")</f>
        <v>Apparel &amp; Footwear</v>
      </c>
      <c r="I2316" s="4">
        <v>4</v>
      </c>
      <c r="J2316" s="5">
        <f>_xlfn.XLOOKUP(tblSales[[#This Row],[Product Code]],tblProducts[Code],tblProducts[Selling Price (excl. VAT)],0)</f>
        <v>120000</v>
      </c>
      <c r="K2316" s="5">
        <f>tblSales[[#This Row],[Qty]]*tblSales[[#This Row],[Unit Price]]</f>
        <v>480000</v>
      </c>
      <c r="L2316" s="5">
        <f>ROUND(tblSales[[#This Row],[DPP (excl. VAT)]]*VATEff,0)</f>
        <v>52800</v>
      </c>
      <c r="M2316" s="5">
        <f>tblSales[[#This Row],[DPP (excl. VAT)]]+tblSales[[#This Row],[Output VAT]]</f>
        <v>532800</v>
      </c>
      <c r="N2316" s="5">
        <f>tblSales[[#This Row],[Qty]]*_xlfn.XLOOKUP(tblSales[[#This Row],[Product Code]],tblProducts[Code],tblProducts[Unit Cost],0)</f>
        <v>288000</v>
      </c>
      <c r="O2316" s="4" t="s">
        <v>4866</v>
      </c>
      <c r="P2316" s="4" t="s">
        <v>4861</v>
      </c>
      <c r="Q2316" s="1" t="str">
        <f>_xlfn.XLOOKUP(tblSales[[#This Row],[Channel Code]],tblChannels[Channel Code],tblChannels[Channel Name],"")</f>
        <v>Marketplace</v>
      </c>
      <c r="R2316" s="1">
        <f>MONTH(tblSales[[#This Row],[Date]])</f>
        <v>5</v>
      </c>
    </row>
    <row r="2317" spans="2:18" x14ac:dyDescent="0.35">
      <c r="B2317" s="113">
        <v>46161</v>
      </c>
      <c r="C2317" s="4" t="s">
        <v>1540</v>
      </c>
      <c r="D2317" s="4" t="s">
        <v>4568</v>
      </c>
      <c r="E2317" s="1" t="str">
        <f>_xlfn.XLOOKUP(tblSales[[#This Row],[Customer ID]],tblCustomers[Customer ID],tblCustomers[Customer Name],"⚠ Unknown")</f>
        <v>Walk-in Customer</v>
      </c>
      <c r="F2317" s="4" t="s">
        <v>6</v>
      </c>
      <c r="G2317" s="1" t="str">
        <f>_xlfn.XLOOKUP(tblSales[[#This Row],[Product Code]],tblProducts[Code],tblProducts[Product / Service Name],"⚠ Unknown")</f>
        <v>Socks &amp; Accessories</v>
      </c>
      <c r="H2317" s="1" t="str">
        <f>_xlfn.XLOOKUP(tblSales[[#This Row],[Product Code]],tblProducts[Code],tblProducts[Category],"")</f>
        <v>Accessories &amp; Basics</v>
      </c>
      <c r="I2317" s="4">
        <v>11</v>
      </c>
      <c r="J2317" s="5">
        <f>_xlfn.XLOOKUP(tblSales[[#This Row],[Product Code]],tblProducts[Code],tblProducts[Selling Price (excl. VAT)],0)</f>
        <v>45000</v>
      </c>
      <c r="K2317" s="5">
        <f>tblSales[[#This Row],[Qty]]*tblSales[[#This Row],[Unit Price]]</f>
        <v>495000</v>
      </c>
      <c r="L2317" s="5">
        <f>ROUND(tblSales[[#This Row],[DPP (excl. VAT)]]*VATEff,0)</f>
        <v>54450</v>
      </c>
      <c r="M2317" s="5">
        <f>tblSales[[#This Row],[DPP (excl. VAT)]]+tblSales[[#This Row],[Output VAT]]</f>
        <v>549450</v>
      </c>
      <c r="N2317" s="5">
        <f>tblSales[[#This Row],[Qty]]*_xlfn.XLOOKUP(tblSales[[#This Row],[Product Code]],tblProducts[Code],tblProducts[Unit Cost],0)</f>
        <v>264000</v>
      </c>
      <c r="O2317" s="4" t="s">
        <v>4866</v>
      </c>
      <c r="P2317" s="4" t="s">
        <v>4862</v>
      </c>
      <c r="Q2317" s="1" t="str">
        <f>_xlfn.XLOOKUP(tblSales[[#This Row],[Channel Code]],tblChannels[Channel Code],tblChannels[Channel Name],"")</f>
        <v>Website &amp; Social Media</v>
      </c>
      <c r="R2317" s="1">
        <f>MONTH(tblSales[[#This Row],[Date]])</f>
        <v>5</v>
      </c>
    </row>
    <row r="2318" spans="2:18" x14ac:dyDescent="0.35">
      <c r="B2318" s="113">
        <v>46162</v>
      </c>
      <c r="C2318" s="4" t="s">
        <v>1541</v>
      </c>
      <c r="D2318" s="4" t="s">
        <v>4568</v>
      </c>
      <c r="E2318" s="1" t="str">
        <f>_xlfn.XLOOKUP(tblSales[[#This Row],[Customer ID]],tblCustomers[Customer ID],tblCustomers[Customer Name],"⚠ Unknown")</f>
        <v>Walk-in Customer</v>
      </c>
      <c r="F2318" s="4" t="s">
        <v>15</v>
      </c>
      <c r="G2318" s="1" t="str">
        <f>_xlfn.XLOOKUP(tblSales[[#This Row],[Product Code]],tblProducts[Code],tblProducts[Product / Service Name],"⚠ Unknown")</f>
        <v>Wireless Earbuds Pro</v>
      </c>
      <c r="H2318" s="1" t="str">
        <f>_xlfn.XLOOKUP(tblSales[[#This Row],[Product Code]],tblProducts[Code],tblProducts[Category],"")</f>
        <v>Bags &amp; Gadgets</v>
      </c>
      <c r="I2318" s="4">
        <v>3</v>
      </c>
      <c r="J2318" s="5">
        <f>_xlfn.XLOOKUP(tblSales[[#This Row],[Product Code]],tblProducts[Code],tblProducts[Selling Price (excl. VAT)],0)</f>
        <v>1250000</v>
      </c>
      <c r="K2318" s="5">
        <f>tblSales[[#This Row],[Qty]]*tblSales[[#This Row],[Unit Price]]</f>
        <v>3750000</v>
      </c>
      <c r="L2318" s="5">
        <f>ROUND(tblSales[[#This Row],[DPP (excl. VAT)]]*VATEff,0)</f>
        <v>412500</v>
      </c>
      <c r="M2318" s="5">
        <f>tblSales[[#This Row],[DPP (excl. VAT)]]+tblSales[[#This Row],[Output VAT]]</f>
        <v>4162500</v>
      </c>
      <c r="N2318" s="5">
        <f>tblSales[[#This Row],[Qty]]*_xlfn.XLOOKUP(tblSales[[#This Row],[Product Code]],tblProducts[Code],tblProducts[Unit Cost],0)</f>
        <v>2460000</v>
      </c>
      <c r="O2318" s="4" t="s">
        <v>4866</v>
      </c>
      <c r="P2318" s="4" t="s">
        <v>4861</v>
      </c>
      <c r="Q2318" s="1" t="str">
        <f>_xlfn.XLOOKUP(tblSales[[#This Row],[Channel Code]],tblChannels[Channel Code],tblChannels[Channel Name],"")</f>
        <v>Marketplace</v>
      </c>
      <c r="R2318" s="1">
        <f>MONTH(tblSales[[#This Row],[Date]])</f>
        <v>5</v>
      </c>
    </row>
    <row r="2319" spans="2:18" x14ac:dyDescent="0.35">
      <c r="B2319" s="113">
        <v>46162</v>
      </c>
      <c r="C2319" s="4" t="s">
        <v>1541</v>
      </c>
      <c r="D2319" s="4" t="s">
        <v>4568</v>
      </c>
      <c r="E2319" s="1" t="str">
        <f>_xlfn.XLOOKUP(tblSales[[#This Row],[Customer ID]],tblCustomers[Customer ID],tblCustomers[Customer Name],"⚠ Unknown")</f>
        <v>Walk-in Customer</v>
      </c>
      <c r="F2319" s="4" t="s">
        <v>11</v>
      </c>
      <c r="G2319" s="1" t="str">
        <f>_xlfn.XLOOKUP(tblSales[[#This Row],[Product Code]],tblProducts[Code],tblProducts[Product / Service Name],"⚠ Unknown")</f>
        <v>Sneakers</v>
      </c>
      <c r="H2319" s="1" t="str">
        <f>_xlfn.XLOOKUP(tblSales[[#This Row],[Product Code]],tblProducts[Code],tblProducts[Category],"")</f>
        <v>Apparel &amp; Footwear</v>
      </c>
      <c r="I2319" s="4">
        <v>5</v>
      </c>
      <c r="J2319" s="5">
        <f>_xlfn.XLOOKUP(tblSales[[#This Row],[Product Code]],tblProducts[Code],tblProducts[Selling Price (excl. VAT)],0)</f>
        <v>250000</v>
      </c>
      <c r="K2319" s="5">
        <f>tblSales[[#This Row],[Qty]]*tblSales[[#This Row],[Unit Price]]</f>
        <v>1250000</v>
      </c>
      <c r="L2319" s="5">
        <f>ROUND(tblSales[[#This Row],[DPP (excl. VAT)]]*VATEff,0)</f>
        <v>137500</v>
      </c>
      <c r="M2319" s="5">
        <f>tblSales[[#This Row],[DPP (excl. VAT)]]+tblSales[[#This Row],[Output VAT]]</f>
        <v>1387500</v>
      </c>
      <c r="N2319" s="5">
        <f>tblSales[[#This Row],[Qty]]*_xlfn.XLOOKUP(tblSales[[#This Row],[Product Code]],tblProducts[Code],tblProducts[Unit Cost],0)</f>
        <v>775000</v>
      </c>
      <c r="O2319" s="4" t="s">
        <v>4866</v>
      </c>
      <c r="P2319" s="4" t="s">
        <v>4861</v>
      </c>
      <c r="Q2319" s="1" t="str">
        <f>_xlfn.XLOOKUP(tblSales[[#This Row],[Channel Code]],tblChannels[Channel Code],tblChannels[Channel Name],"")</f>
        <v>Marketplace</v>
      </c>
      <c r="R2319" s="1">
        <f>MONTH(tblSales[[#This Row],[Date]])</f>
        <v>5</v>
      </c>
    </row>
    <row r="2320" spans="2:18" x14ac:dyDescent="0.35">
      <c r="B2320" s="113">
        <v>46162</v>
      </c>
      <c r="C2320" s="4" t="s">
        <v>1542</v>
      </c>
      <c r="D2320" s="4" t="s">
        <v>4620</v>
      </c>
      <c r="E2320" s="1" t="str">
        <f>_xlfn.XLOOKUP(tblSales[[#This Row],[Customer ID]],tblCustomers[Customer ID],tblCustomers[Customer Name],"⚠ Unknown")</f>
        <v>CV Sumber Rejeki Utama</v>
      </c>
      <c r="F2320" s="4" t="s">
        <v>8</v>
      </c>
      <c r="G2320" s="1" t="str">
        <f>_xlfn.XLOOKUP(tblSales[[#This Row],[Product Code]],tblProducts[Code],tblProducts[Product / Service Name],"⚠ Unknown")</f>
        <v>Casual Shorts</v>
      </c>
      <c r="H2320" s="1" t="str">
        <f>_xlfn.XLOOKUP(tblSales[[#This Row],[Product Code]],tblProducts[Code],tblProducts[Category],"")</f>
        <v>Accessories &amp; Basics</v>
      </c>
      <c r="I2320" s="4">
        <v>16</v>
      </c>
      <c r="J2320" s="5">
        <f>_xlfn.XLOOKUP(tblSales[[#This Row],[Product Code]],tblProducts[Code],tblProducts[Selling Price (excl. VAT)],0)</f>
        <v>85000</v>
      </c>
      <c r="K2320" s="5">
        <f>tblSales[[#This Row],[Qty]]*tblSales[[#This Row],[Unit Price]]</f>
        <v>1360000</v>
      </c>
      <c r="L2320" s="5">
        <f>ROUND(tblSales[[#This Row],[DPP (excl. VAT)]]*VATEff,0)</f>
        <v>149600</v>
      </c>
      <c r="M2320" s="5">
        <f>tblSales[[#This Row],[DPP (excl. VAT)]]+tblSales[[#This Row],[Output VAT]]</f>
        <v>1509600</v>
      </c>
      <c r="N2320" s="5">
        <f>tblSales[[#This Row],[Qty]]*_xlfn.XLOOKUP(tblSales[[#This Row],[Product Code]],tblProducts[Code],tblProducts[Unit Cost],0)</f>
        <v>800000</v>
      </c>
      <c r="O2320" s="4" t="s">
        <v>4867</v>
      </c>
      <c r="P2320" s="4" t="s">
        <v>4862</v>
      </c>
      <c r="Q2320" s="1" t="str">
        <f>_xlfn.XLOOKUP(tblSales[[#This Row],[Channel Code]],tblChannels[Channel Code],tblChannels[Channel Name],"")</f>
        <v>Website &amp; Social Media</v>
      </c>
      <c r="R2320" s="1">
        <f>MONTH(tblSales[[#This Row],[Date]])</f>
        <v>5</v>
      </c>
    </row>
    <row r="2321" spans="2:18" x14ac:dyDescent="0.35">
      <c r="B2321" s="113">
        <v>46162</v>
      </c>
      <c r="C2321" s="4" t="s">
        <v>1543</v>
      </c>
      <c r="D2321" s="4" t="s">
        <v>4568</v>
      </c>
      <c r="E2321" s="1" t="str">
        <f>_xlfn.XLOOKUP(tblSales[[#This Row],[Customer ID]],tblCustomers[Customer ID],tblCustomers[Customer Name],"⚠ Unknown")</f>
        <v>Walk-in Customer</v>
      </c>
      <c r="F2321" s="4" t="s">
        <v>8</v>
      </c>
      <c r="G2321" s="1" t="str">
        <f>_xlfn.XLOOKUP(tblSales[[#This Row],[Product Code]],tblProducts[Code],tblProducts[Product / Service Name],"⚠ Unknown")</f>
        <v>Casual Shorts</v>
      </c>
      <c r="H2321" s="1" t="str">
        <f>_xlfn.XLOOKUP(tblSales[[#This Row],[Product Code]],tblProducts[Code],tblProducts[Category],"")</f>
        <v>Accessories &amp; Basics</v>
      </c>
      <c r="I2321" s="4">
        <v>2</v>
      </c>
      <c r="J2321" s="5">
        <f>_xlfn.XLOOKUP(tblSales[[#This Row],[Product Code]],tblProducts[Code],tblProducts[Selling Price (excl. VAT)],0)</f>
        <v>85000</v>
      </c>
      <c r="K2321" s="5">
        <f>tblSales[[#This Row],[Qty]]*tblSales[[#This Row],[Unit Price]]</f>
        <v>170000</v>
      </c>
      <c r="L2321" s="5">
        <f>ROUND(tblSales[[#This Row],[DPP (excl. VAT)]]*VATEff,0)</f>
        <v>18700</v>
      </c>
      <c r="M2321" s="5">
        <f>tblSales[[#This Row],[DPP (excl. VAT)]]+tblSales[[#This Row],[Output VAT]]</f>
        <v>188700</v>
      </c>
      <c r="N2321" s="5">
        <f>tblSales[[#This Row],[Qty]]*_xlfn.XLOOKUP(tblSales[[#This Row],[Product Code]],tblProducts[Code],tblProducts[Unit Cost],0)</f>
        <v>100000</v>
      </c>
      <c r="O2321" s="4" t="s">
        <v>4865</v>
      </c>
      <c r="P2321" s="4" t="s">
        <v>4860</v>
      </c>
      <c r="Q2321" s="1" t="str">
        <f>_xlfn.XLOOKUP(tblSales[[#This Row],[Channel Code]],tblChannels[Channel Code],tblChannels[Channel Name],"")</f>
        <v>In-store</v>
      </c>
      <c r="R2321" s="1">
        <f>MONTH(tblSales[[#This Row],[Date]])</f>
        <v>5</v>
      </c>
    </row>
    <row r="2322" spans="2:18" x14ac:dyDescent="0.35">
      <c r="B2322" s="113">
        <v>46162</v>
      </c>
      <c r="C2322" s="4" t="s">
        <v>1543</v>
      </c>
      <c r="D2322" s="4" t="s">
        <v>4568</v>
      </c>
      <c r="E2322" s="1" t="str">
        <f>_xlfn.XLOOKUP(tblSales[[#This Row],[Customer ID]],tblCustomers[Customer ID],tblCustomers[Customer Name],"⚠ Unknown")</f>
        <v>Walk-in Customer</v>
      </c>
      <c r="F2322" s="4" t="s">
        <v>10</v>
      </c>
      <c r="G2322" s="1" t="str">
        <f>_xlfn.XLOOKUP(tblSales[[#This Row],[Product Code]],tblProducts[Code],tblProducts[Product / Service Name],"⚠ Unknown")</f>
        <v>Chino Pants</v>
      </c>
      <c r="H2322" s="1" t="str">
        <f>_xlfn.XLOOKUP(tblSales[[#This Row],[Product Code]],tblProducts[Code],tblProducts[Category],"")</f>
        <v>Apparel &amp; Footwear</v>
      </c>
      <c r="I2322" s="4">
        <v>3</v>
      </c>
      <c r="J2322" s="5">
        <f>_xlfn.XLOOKUP(tblSales[[#This Row],[Product Code]],tblProducts[Code],tblProducts[Selling Price (excl. VAT)],0)</f>
        <v>150000</v>
      </c>
      <c r="K2322" s="5">
        <f>tblSales[[#This Row],[Qty]]*tblSales[[#This Row],[Unit Price]]</f>
        <v>450000</v>
      </c>
      <c r="L2322" s="5">
        <f>ROUND(tblSales[[#This Row],[DPP (excl. VAT)]]*VATEff,0)</f>
        <v>49500</v>
      </c>
      <c r="M2322" s="5">
        <f>tblSales[[#This Row],[DPP (excl. VAT)]]+tblSales[[#This Row],[Output VAT]]</f>
        <v>499500</v>
      </c>
      <c r="N2322" s="5">
        <f>tblSales[[#This Row],[Qty]]*_xlfn.XLOOKUP(tblSales[[#This Row],[Product Code]],tblProducts[Code],tblProducts[Unit Cost],0)</f>
        <v>264000</v>
      </c>
      <c r="O2322" s="4" t="s">
        <v>4865</v>
      </c>
      <c r="P2322" s="4" t="s">
        <v>4860</v>
      </c>
      <c r="Q2322" s="1" t="str">
        <f>_xlfn.XLOOKUP(tblSales[[#This Row],[Channel Code]],tblChannels[Channel Code],tblChannels[Channel Name],"")</f>
        <v>In-store</v>
      </c>
      <c r="R2322" s="1">
        <f>MONTH(tblSales[[#This Row],[Date]])</f>
        <v>5</v>
      </c>
    </row>
    <row r="2323" spans="2:18" x14ac:dyDescent="0.35">
      <c r="B2323" s="113">
        <v>46162</v>
      </c>
      <c r="C2323" s="4" t="s">
        <v>1544</v>
      </c>
      <c r="D2323" s="4" t="s">
        <v>4568</v>
      </c>
      <c r="E2323" s="1" t="str">
        <f>_xlfn.XLOOKUP(tblSales[[#This Row],[Customer ID]],tblCustomers[Customer ID],tblCustomers[Customer Name],"⚠ Unknown")</f>
        <v>Walk-in Customer</v>
      </c>
      <c r="F2323" s="4" t="s">
        <v>8</v>
      </c>
      <c r="G2323" s="1" t="str">
        <f>_xlfn.XLOOKUP(tblSales[[#This Row],[Product Code]],tblProducts[Code],tblProducts[Product / Service Name],"⚠ Unknown")</f>
        <v>Casual Shorts</v>
      </c>
      <c r="H2323" s="1" t="str">
        <f>_xlfn.XLOOKUP(tblSales[[#This Row],[Product Code]],tblProducts[Code],tblProducts[Category],"")</f>
        <v>Accessories &amp; Basics</v>
      </c>
      <c r="I2323" s="4">
        <v>6</v>
      </c>
      <c r="J2323" s="5">
        <f>_xlfn.XLOOKUP(tblSales[[#This Row],[Product Code]],tblProducts[Code],tblProducts[Selling Price (excl. VAT)],0)</f>
        <v>85000</v>
      </c>
      <c r="K2323" s="5">
        <f>tblSales[[#This Row],[Qty]]*tblSales[[#This Row],[Unit Price]]</f>
        <v>510000</v>
      </c>
      <c r="L2323" s="5">
        <f>ROUND(tblSales[[#This Row],[DPP (excl. VAT)]]*VATEff,0)</f>
        <v>56100</v>
      </c>
      <c r="M2323" s="5">
        <f>tblSales[[#This Row],[DPP (excl. VAT)]]+tblSales[[#This Row],[Output VAT]]</f>
        <v>566100</v>
      </c>
      <c r="N2323" s="5">
        <f>tblSales[[#This Row],[Qty]]*_xlfn.XLOOKUP(tblSales[[#This Row],[Product Code]],tblProducts[Code],tblProducts[Unit Cost],0)</f>
        <v>300000</v>
      </c>
      <c r="O2323" s="4" t="s">
        <v>4866</v>
      </c>
      <c r="P2323" s="4" t="s">
        <v>4860</v>
      </c>
      <c r="Q2323" s="1" t="str">
        <f>_xlfn.XLOOKUP(tblSales[[#This Row],[Channel Code]],tblChannels[Channel Code],tblChannels[Channel Name],"")</f>
        <v>In-store</v>
      </c>
      <c r="R2323" s="1">
        <f>MONTH(tblSales[[#This Row],[Date]])</f>
        <v>5</v>
      </c>
    </row>
    <row r="2324" spans="2:18" x14ac:dyDescent="0.35">
      <c r="B2324" s="113">
        <v>46162</v>
      </c>
      <c r="C2324" s="4" t="s">
        <v>1545</v>
      </c>
      <c r="D2324" s="4" t="s">
        <v>4568</v>
      </c>
      <c r="E2324" s="1" t="str">
        <f>_xlfn.XLOOKUP(tblSales[[#This Row],[Customer ID]],tblCustomers[Customer ID],tblCustomers[Customer Name],"⚠ Unknown")</f>
        <v>Walk-in Customer</v>
      </c>
      <c r="F2324" s="4" t="s">
        <v>9</v>
      </c>
      <c r="G2324" s="1" t="str">
        <f>_xlfn.XLOOKUP(tblSales[[#This Row],[Product Code]],tblProducts[Code],tblProducts[Product / Service Name],"⚠ Unknown")</f>
        <v>Casual Shirt</v>
      </c>
      <c r="H2324" s="1" t="str">
        <f>_xlfn.XLOOKUP(tblSales[[#This Row],[Product Code]],tblProducts[Code],tblProducts[Category],"")</f>
        <v>Apparel &amp; Footwear</v>
      </c>
      <c r="I2324" s="4">
        <v>7</v>
      </c>
      <c r="J2324" s="5">
        <f>_xlfn.XLOOKUP(tblSales[[#This Row],[Product Code]],tblProducts[Code],tblProducts[Selling Price (excl. VAT)],0)</f>
        <v>120000</v>
      </c>
      <c r="K2324" s="5">
        <f>tblSales[[#This Row],[Qty]]*tblSales[[#This Row],[Unit Price]]</f>
        <v>840000</v>
      </c>
      <c r="L2324" s="5">
        <f>ROUND(tblSales[[#This Row],[DPP (excl. VAT)]]*VATEff,0)</f>
        <v>92400</v>
      </c>
      <c r="M2324" s="5">
        <f>tblSales[[#This Row],[DPP (excl. VAT)]]+tblSales[[#This Row],[Output VAT]]</f>
        <v>932400</v>
      </c>
      <c r="N2324" s="5">
        <f>tblSales[[#This Row],[Qty]]*_xlfn.XLOOKUP(tblSales[[#This Row],[Product Code]],tblProducts[Code],tblProducts[Unit Cost],0)</f>
        <v>504000</v>
      </c>
      <c r="O2324" s="4" t="s">
        <v>4866</v>
      </c>
      <c r="P2324" s="4" t="s">
        <v>4860</v>
      </c>
      <c r="Q2324" s="1" t="str">
        <f>_xlfn.XLOOKUP(tblSales[[#This Row],[Channel Code]],tblChannels[Channel Code],tblChannels[Channel Name],"")</f>
        <v>In-store</v>
      </c>
      <c r="R2324" s="1">
        <f>MONTH(tblSales[[#This Row],[Date]])</f>
        <v>5</v>
      </c>
    </row>
    <row r="2325" spans="2:18" x14ac:dyDescent="0.35">
      <c r="B2325" s="113">
        <v>46162</v>
      </c>
      <c r="C2325" s="4" t="s">
        <v>1546</v>
      </c>
      <c r="D2325" s="4" t="s">
        <v>4568</v>
      </c>
      <c r="E2325" s="1" t="str">
        <f>_xlfn.XLOOKUP(tblSales[[#This Row],[Customer ID]],tblCustomers[Customer ID],tblCustomers[Customer Name],"⚠ Unknown")</f>
        <v>Walk-in Customer</v>
      </c>
      <c r="F2325" s="4" t="s">
        <v>9</v>
      </c>
      <c r="G2325" s="1" t="str">
        <f>_xlfn.XLOOKUP(tblSales[[#This Row],[Product Code]],tblProducts[Code],tblProducts[Product / Service Name],"⚠ Unknown")</f>
        <v>Casual Shirt</v>
      </c>
      <c r="H2325" s="1" t="str">
        <f>_xlfn.XLOOKUP(tblSales[[#This Row],[Product Code]],tblProducts[Code],tblProducts[Category],"")</f>
        <v>Apparel &amp; Footwear</v>
      </c>
      <c r="I2325" s="4">
        <v>12</v>
      </c>
      <c r="J2325" s="5">
        <f>_xlfn.XLOOKUP(tblSales[[#This Row],[Product Code]],tblProducts[Code],tblProducts[Selling Price (excl. VAT)],0)</f>
        <v>120000</v>
      </c>
      <c r="K2325" s="5">
        <f>tblSales[[#This Row],[Qty]]*tblSales[[#This Row],[Unit Price]]</f>
        <v>1440000</v>
      </c>
      <c r="L2325" s="5">
        <f>ROUND(tblSales[[#This Row],[DPP (excl. VAT)]]*VATEff,0)</f>
        <v>158400</v>
      </c>
      <c r="M2325" s="5">
        <f>tblSales[[#This Row],[DPP (excl. VAT)]]+tblSales[[#This Row],[Output VAT]]</f>
        <v>1598400</v>
      </c>
      <c r="N2325" s="5">
        <f>tblSales[[#This Row],[Qty]]*_xlfn.XLOOKUP(tblSales[[#This Row],[Product Code]],tblProducts[Code],tblProducts[Unit Cost],0)</f>
        <v>864000</v>
      </c>
      <c r="O2325" s="4" t="s">
        <v>4866</v>
      </c>
      <c r="P2325" s="4" t="s">
        <v>4860</v>
      </c>
      <c r="Q2325" s="1" t="str">
        <f>_xlfn.XLOOKUP(tblSales[[#This Row],[Channel Code]],tblChannels[Channel Code],tblChannels[Channel Name],"")</f>
        <v>In-store</v>
      </c>
      <c r="R2325" s="1">
        <f>MONTH(tblSales[[#This Row],[Date]])</f>
        <v>5</v>
      </c>
    </row>
    <row r="2326" spans="2:18" x14ac:dyDescent="0.35">
      <c r="B2326" s="113">
        <v>46162</v>
      </c>
      <c r="C2326" s="4" t="s">
        <v>1547</v>
      </c>
      <c r="D2326" s="4" t="s">
        <v>4568</v>
      </c>
      <c r="E2326" s="1" t="str">
        <f>_xlfn.XLOOKUP(tblSales[[#This Row],[Customer ID]],tblCustomers[Customer ID],tblCustomers[Customer Name],"⚠ Unknown")</f>
        <v>Walk-in Customer</v>
      </c>
      <c r="F2326" s="4" t="s">
        <v>6</v>
      </c>
      <c r="G2326" s="1" t="str">
        <f>_xlfn.XLOOKUP(tblSales[[#This Row],[Product Code]],tblProducts[Code],tblProducts[Product / Service Name],"⚠ Unknown")</f>
        <v>Socks &amp; Accessories</v>
      </c>
      <c r="H2326" s="1" t="str">
        <f>_xlfn.XLOOKUP(tblSales[[#This Row],[Product Code]],tblProducts[Code],tblProducts[Category],"")</f>
        <v>Accessories &amp; Basics</v>
      </c>
      <c r="I2326" s="4">
        <v>5</v>
      </c>
      <c r="J2326" s="5">
        <f>_xlfn.XLOOKUP(tblSales[[#This Row],[Product Code]],tblProducts[Code],tblProducts[Selling Price (excl. VAT)],0)</f>
        <v>45000</v>
      </c>
      <c r="K2326" s="5">
        <f>tblSales[[#This Row],[Qty]]*tblSales[[#This Row],[Unit Price]]</f>
        <v>225000</v>
      </c>
      <c r="L2326" s="5">
        <f>ROUND(tblSales[[#This Row],[DPP (excl. VAT)]]*VATEff,0)</f>
        <v>24750</v>
      </c>
      <c r="M2326" s="5">
        <f>tblSales[[#This Row],[DPP (excl. VAT)]]+tblSales[[#This Row],[Output VAT]]</f>
        <v>249750</v>
      </c>
      <c r="N2326" s="5">
        <f>tblSales[[#This Row],[Qty]]*_xlfn.XLOOKUP(tblSales[[#This Row],[Product Code]],tblProducts[Code],tblProducts[Unit Cost],0)</f>
        <v>120000</v>
      </c>
      <c r="O2326" s="4" t="s">
        <v>4865</v>
      </c>
      <c r="P2326" s="4" t="s">
        <v>4860</v>
      </c>
      <c r="Q2326" s="1" t="str">
        <f>_xlfn.XLOOKUP(tblSales[[#This Row],[Channel Code]],tblChannels[Channel Code],tblChannels[Channel Name],"")</f>
        <v>In-store</v>
      </c>
      <c r="R2326" s="1">
        <f>MONTH(tblSales[[#This Row],[Date]])</f>
        <v>5</v>
      </c>
    </row>
    <row r="2327" spans="2:18" x14ac:dyDescent="0.35">
      <c r="B2327" s="113">
        <v>46162</v>
      </c>
      <c r="C2327" s="4" t="s">
        <v>1548</v>
      </c>
      <c r="D2327" s="4" t="s">
        <v>4568</v>
      </c>
      <c r="E2327" s="1" t="str">
        <f>_xlfn.XLOOKUP(tblSales[[#This Row],[Customer ID]],tblCustomers[Customer ID],tblCustomers[Customer Name],"⚠ Unknown")</f>
        <v>Walk-in Customer</v>
      </c>
      <c r="F2327" s="4" t="s">
        <v>7</v>
      </c>
      <c r="G2327" s="1" t="str">
        <f>_xlfn.XLOOKUP(tblSales[[#This Row],[Product Code]],tblProducts[Code],tblProducts[Product / Service Name],"⚠ Unknown")</f>
        <v>Premium Basic T-shirt</v>
      </c>
      <c r="H2327" s="1" t="str">
        <f>_xlfn.XLOOKUP(tblSales[[#This Row],[Product Code]],tblProducts[Code],tblProducts[Category],"")</f>
        <v>Accessories &amp; Basics</v>
      </c>
      <c r="I2327" s="4">
        <v>12</v>
      </c>
      <c r="J2327" s="5">
        <f>_xlfn.XLOOKUP(tblSales[[#This Row],[Product Code]],tblProducts[Code],tblProducts[Selling Price (excl. VAT)],0)</f>
        <v>65000</v>
      </c>
      <c r="K2327" s="5">
        <f>tblSales[[#This Row],[Qty]]*tblSales[[#This Row],[Unit Price]]</f>
        <v>780000</v>
      </c>
      <c r="L2327" s="5">
        <f>ROUND(tblSales[[#This Row],[DPP (excl. VAT)]]*VATEff,0)</f>
        <v>85800</v>
      </c>
      <c r="M2327" s="5">
        <f>tblSales[[#This Row],[DPP (excl. VAT)]]+tblSales[[#This Row],[Output VAT]]</f>
        <v>865800</v>
      </c>
      <c r="N2327" s="5">
        <f>tblSales[[#This Row],[Qty]]*_xlfn.XLOOKUP(tblSales[[#This Row],[Product Code]],tblProducts[Code],tblProducts[Unit Cost],0)</f>
        <v>444000</v>
      </c>
      <c r="O2327" s="4" t="s">
        <v>4865</v>
      </c>
      <c r="P2327" s="4" t="s">
        <v>4860</v>
      </c>
      <c r="Q2327" s="1" t="str">
        <f>_xlfn.XLOOKUP(tblSales[[#This Row],[Channel Code]],tblChannels[Channel Code],tblChannels[Channel Name],"")</f>
        <v>In-store</v>
      </c>
      <c r="R2327" s="1">
        <f>MONTH(tblSales[[#This Row],[Date]])</f>
        <v>5</v>
      </c>
    </row>
    <row r="2328" spans="2:18" x14ac:dyDescent="0.35">
      <c r="B2328" s="113">
        <v>46162</v>
      </c>
      <c r="C2328" s="4" t="s">
        <v>1549</v>
      </c>
      <c r="D2328" s="4" t="s">
        <v>4568</v>
      </c>
      <c r="E2328" s="1" t="str">
        <f>_xlfn.XLOOKUP(tblSales[[#This Row],[Customer ID]],tblCustomers[Customer ID],tblCustomers[Customer Name],"⚠ Unknown")</f>
        <v>Walk-in Customer</v>
      </c>
      <c r="F2328" s="4" t="s">
        <v>6</v>
      </c>
      <c r="G2328" s="1" t="str">
        <f>_xlfn.XLOOKUP(tblSales[[#This Row],[Product Code]],tblProducts[Code],tblProducts[Product / Service Name],"⚠ Unknown")</f>
        <v>Socks &amp; Accessories</v>
      </c>
      <c r="H2328" s="1" t="str">
        <f>_xlfn.XLOOKUP(tblSales[[#This Row],[Product Code]],tblProducts[Code],tblProducts[Category],"")</f>
        <v>Accessories &amp; Basics</v>
      </c>
      <c r="I2328" s="4">
        <v>8</v>
      </c>
      <c r="J2328" s="5">
        <f>_xlfn.XLOOKUP(tblSales[[#This Row],[Product Code]],tblProducts[Code],tblProducts[Selling Price (excl. VAT)],0)</f>
        <v>45000</v>
      </c>
      <c r="K2328" s="5">
        <f>tblSales[[#This Row],[Qty]]*tblSales[[#This Row],[Unit Price]]</f>
        <v>360000</v>
      </c>
      <c r="L2328" s="5">
        <f>ROUND(tblSales[[#This Row],[DPP (excl. VAT)]]*VATEff,0)</f>
        <v>39600</v>
      </c>
      <c r="M2328" s="5">
        <f>tblSales[[#This Row],[DPP (excl. VAT)]]+tblSales[[#This Row],[Output VAT]]</f>
        <v>399600</v>
      </c>
      <c r="N2328" s="5">
        <f>tblSales[[#This Row],[Qty]]*_xlfn.XLOOKUP(tblSales[[#This Row],[Product Code]],tblProducts[Code],tblProducts[Unit Cost],0)</f>
        <v>192000</v>
      </c>
      <c r="O2328" s="4" t="s">
        <v>4865</v>
      </c>
      <c r="P2328" s="4" t="s">
        <v>4860</v>
      </c>
      <c r="Q2328" s="1" t="str">
        <f>_xlfn.XLOOKUP(tblSales[[#This Row],[Channel Code]],tblChannels[Channel Code],tblChannels[Channel Name],"")</f>
        <v>In-store</v>
      </c>
      <c r="R2328" s="1">
        <f>MONTH(tblSales[[#This Row],[Date]])</f>
        <v>5</v>
      </c>
    </row>
    <row r="2329" spans="2:18" x14ac:dyDescent="0.35">
      <c r="B2329" s="113">
        <v>46162</v>
      </c>
      <c r="C2329" s="4" t="s">
        <v>1549</v>
      </c>
      <c r="D2329" s="4" t="s">
        <v>4568</v>
      </c>
      <c r="E2329" s="1" t="str">
        <f>_xlfn.XLOOKUP(tblSales[[#This Row],[Customer ID]],tblCustomers[Customer ID],tblCustomers[Customer Name],"⚠ Unknown")</f>
        <v>Walk-in Customer</v>
      </c>
      <c r="F2329" s="4" t="s">
        <v>13</v>
      </c>
      <c r="G2329" s="1" t="str">
        <f>_xlfn.XLOOKUP(tblSales[[#This Row],[Product Code]],tblProducts[Code],tblProducts[Product / Service Name],"⚠ Unknown")</f>
        <v>Backpack</v>
      </c>
      <c r="H2329" s="1" t="str">
        <f>_xlfn.XLOOKUP(tblSales[[#This Row],[Product Code]],tblProducts[Code],tblProducts[Category],"")</f>
        <v>Bags &amp; Gadgets</v>
      </c>
      <c r="I2329" s="4">
        <v>3</v>
      </c>
      <c r="J2329" s="5">
        <f>_xlfn.XLOOKUP(tblSales[[#This Row],[Product Code]],tblProducts[Code],tblProducts[Selling Price (excl. VAT)],0)</f>
        <v>500000</v>
      </c>
      <c r="K2329" s="5">
        <f>tblSales[[#This Row],[Qty]]*tblSales[[#This Row],[Unit Price]]</f>
        <v>1500000</v>
      </c>
      <c r="L2329" s="5">
        <f>ROUND(tblSales[[#This Row],[DPP (excl. VAT)]]*VATEff,0)</f>
        <v>165000</v>
      </c>
      <c r="M2329" s="5">
        <f>tblSales[[#This Row],[DPP (excl. VAT)]]+tblSales[[#This Row],[Output VAT]]</f>
        <v>1665000</v>
      </c>
      <c r="N2329" s="5">
        <f>tblSales[[#This Row],[Qty]]*_xlfn.XLOOKUP(tblSales[[#This Row],[Product Code]],tblProducts[Code],tblProducts[Unit Cost],0)</f>
        <v>870000</v>
      </c>
      <c r="O2329" s="4" t="s">
        <v>4865</v>
      </c>
      <c r="P2329" s="4" t="s">
        <v>4860</v>
      </c>
      <c r="Q2329" s="1" t="str">
        <f>_xlfn.XLOOKUP(tblSales[[#This Row],[Channel Code]],tblChannels[Channel Code],tblChannels[Channel Name],"")</f>
        <v>In-store</v>
      </c>
      <c r="R2329" s="1">
        <f>MONTH(tblSales[[#This Row],[Date]])</f>
        <v>5</v>
      </c>
    </row>
    <row r="2330" spans="2:18" x14ac:dyDescent="0.35">
      <c r="B2330" s="113">
        <v>46162</v>
      </c>
      <c r="C2330" s="4" t="s">
        <v>1549</v>
      </c>
      <c r="D2330" s="4" t="s">
        <v>4568</v>
      </c>
      <c r="E2330" s="1" t="str">
        <f>_xlfn.XLOOKUP(tblSales[[#This Row],[Customer ID]],tblCustomers[Customer ID],tblCustomers[Customer Name],"⚠ Unknown")</f>
        <v>Walk-in Customer</v>
      </c>
      <c r="F2330" s="4" t="s">
        <v>12</v>
      </c>
      <c r="G2330" s="1" t="str">
        <f>_xlfn.XLOOKUP(tblSales[[#This Row],[Product Code]],tblProducts[Code],tblProducts[Product / Service Name],"⚠ Unknown")</f>
        <v>Bomber Jacket</v>
      </c>
      <c r="H2330" s="1" t="str">
        <f>_xlfn.XLOOKUP(tblSales[[#This Row],[Product Code]],tblProducts[Code],tblProducts[Category],"")</f>
        <v>Apparel &amp; Footwear</v>
      </c>
      <c r="I2330" s="4">
        <v>4</v>
      </c>
      <c r="J2330" s="5">
        <f>_xlfn.XLOOKUP(tblSales[[#This Row],[Product Code]],tblProducts[Code],tblProducts[Selling Price (excl. VAT)],0)</f>
        <v>350000</v>
      </c>
      <c r="K2330" s="5">
        <f>tblSales[[#This Row],[Qty]]*tblSales[[#This Row],[Unit Price]]</f>
        <v>1400000</v>
      </c>
      <c r="L2330" s="5">
        <f>ROUND(tblSales[[#This Row],[DPP (excl. VAT)]]*VATEff,0)</f>
        <v>154000</v>
      </c>
      <c r="M2330" s="5">
        <f>tblSales[[#This Row],[DPP (excl. VAT)]]+tblSales[[#This Row],[Output VAT]]</f>
        <v>1554000</v>
      </c>
      <c r="N2330" s="5">
        <f>tblSales[[#This Row],[Qty]]*_xlfn.XLOOKUP(tblSales[[#This Row],[Product Code]],tblProducts[Code],tblProducts[Unit Cost],0)</f>
        <v>840000</v>
      </c>
      <c r="O2330" s="4" t="s">
        <v>4865</v>
      </c>
      <c r="P2330" s="4" t="s">
        <v>4860</v>
      </c>
      <c r="Q2330" s="1" t="str">
        <f>_xlfn.XLOOKUP(tblSales[[#This Row],[Channel Code]],tblChannels[Channel Code],tblChannels[Channel Name],"")</f>
        <v>In-store</v>
      </c>
      <c r="R2330" s="1">
        <f>MONTH(tblSales[[#This Row],[Date]])</f>
        <v>5</v>
      </c>
    </row>
    <row r="2331" spans="2:18" x14ac:dyDescent="0.35">
      <c r="B2331" s="113">
        <v>46162</v>
      </c>
      <c r="C2331" s="4" t="s">
        <v>1550</v>
      </c>
      <c r="D2331" s="4" t="s">
        <v>4568</v>
      </c>
      <c r="E2331" s="1" t="str">
        <f>_xlfn.XLOOKUP(tblSales[[#This Row],[Customer ID]],tblCustomers[Customer ID],tblCustomers[Customer Name],"⚠ Unknown")</f>
        <v>Walk-in Customer</v>
      </c>
      <c r="F2331" s="4" t="s">
        <v>8</v>
      </c>
      <c r="G2331" s="1" t="str">
        <f>_xlfn.XLOOKUP(tblSales[[#This Row],[Product Code]],tblProducts[Code],tblProducts[Product / Service Name],"⚠ Unknown")</f>
        <v>Casual Shorts</v>
      </c>
      <c r="H2331" s="1" t="str">
        <f>_xlfn.XLOOKUP(tblSales[[#This Row],[Product Code]],tblProducts[Code],tblProducts[Category],"")</f>
        <v>Accessories &amp; Basics</v>
      </c>
      <c r="I2331" s="4">
        <v>5</v>
      </c>
      <c r="J2331" s="5">
        <f>_xlfn.XLOOKUP(tblSales[[#This Row],[Product Code]],tblProducts[Code],tblProducts[Selling Price (excl. VAT)],0)</f>
        <v>85000</v>
      </c>
      <c r="K2331" s="5">
        <f>tblSales[[#This Row],[Qty]]*tblSales[[#This Row],[Unit Price]]</f>
        <v>425000</v>
      </c>
      <c r="L2331" s="5">
        <f>ROUND(tblSales[[#This Row],[DPP (excl. VAT)]]*VATEff,0)</f>
        <v>46750</v>
      </c>
      <c r="M2331" s="5">
        <f>tblSales[[#This Row],[DPP (excl. VAT)]]+tblSales[[#This Row],[Output VAT]]</f>
        <v>471750</v>
      </c>
      <c r="N2331" s="5">
        <f>tblSales[[#This Row],[Qty]]*_xlfn.XLOOKUP(tblSales[[#This Row],[Product Code]],tblProducts[Code],tblProducts[Unit Cost],0)</f>
        <v>250000</v>
      </c>
      <c r="O2331" s="4" t="s">
        <v>4865</v>
      </c>
      <c r="P2331" s="4" t="s">
        <v>4860</v>
      </c>
      <c r="Q2331" s="1" t="str">
        <f>_xlfn.XLOOKUP(tblSales[[#This Row],[Channel Code]],tblChannels[Channel Code],tblChannels[Channel Name],"")</f>
        <v>In-store</v>
      </c>
      <c r="R2331" s="1">
        <f>MONTH(tblSales[[#This Row],[Date]])</f>
        <v>5</v>
      </c>
    </row>
    <row r="2332" spans="2:18" x14ac:dyDescent="0.35">
      <c r="B2332" s="113">
        <v>46162</v>
      </c>
      <c r="C2332" s="4" t="s">
        <v>1550</v>
      </c>
      <c r="D2332" s="4" t="s">
        <v>4568</v>
      </c>
      <c r="E2332" s="1" t="str">
        <f>_xlfn.XLOOKUP(tblSales[[#This Row],[Customer ID]],tblCustomers[Customer ID],tblCustomers[Customer Name],"⚠ Unknown")</f>
        <v>Walk-in Customer</v>
      </c>
      <c r="F2332" s="4" t="s">
        <v>7</v>
      </c>
      <c r="G2332" s="1" t="str">
        <f>_xlfn.XLOOKUP(tblSales[[#This Row],[Product Code]],tblProducts[Code],tblProducts[Product / Service Name],"⚠ Unknown")</f>
        <v>Premium Basic T-shirt</v>
      </c>
      <c r="H2332" s="1" t="str">
        <f>_xlfn.XLOOKUP(tblSales[[#This Row],[Product Code]],tblProducts[Code],tblProducts[Category],"")</f>
        <v>Accessories &amp; Basics</v>
      </c>
      <c r="I2332" s="4">
        <v>5</v>
      </c>
      <c r="J2332" s="5">
        <f>_xlfn.XLOOKUP(tblSales[[#This Row],[Product Code]],tblProducts[Code],tblProducts[Selling Price (excl. VAT)],0)</f>
        <v>65000</v>
      </c>
      <c r="K2332" s="5">
        <f>tblSales[[#This Row],[Qty]]*tblSales[[#This Row],[Unit Price]]</f>
        <v>325000</v>
      </c>
      <c r="L2332" s="5">
        <f>ROUND(tblSales[[#This Row],[DPP (excl. VAT)]]*VATEff,0)</f>
        <v>35750</v>
      </c>
      <c r="M2332" s="5">
        <f>tblSales[[#This Row],[DPP (excl. VAT)]]+tblSales[[#This Row],[Output VAT]]</f>
        <v>360750</v>
      </c>
      <c r="N2332" s="5">
        <f>tblSales[[#This Row],[Qty]]*_xlfn.XLOOKUP(tblSales[[#This Row],[Product Code]],tblProducts[Code],tblProducts[Unit Cost],0)</f>
        <v>185000</v>
      </c>
      <c r="O2332" s="4" t="s">
        <v>4865</v>
      </c>
      <c r="P2332" s="4" t="s">
        <v>4860</v>
      </c>
      <c r="Q2332" s="1" t="str">
        <f>_xlfn.XLOOKUP(tblSales[[#This Row],[Channel Code]],tblChannels[Channel Code],tblChannels[Channel Name],"")</f>
        <v>In-store</v>
      </c>
      <c r="R2332" s="1">
        <f>MONTH(tblSales[[#This Row],[Date]])</f>
        <v>5</v>
      </c>
    </row>
    <row r="2333" spans="2:18" x14ac:dyDescent="0.35">
      <c r="B2333" s="113">
        <v>46162</v>
      </c>
      <c r="C2333" s="4" t="s">
        <v>1550</v>
      </c>
      <c r="D2333" s="4" t="s">
        <v>4568</v>
      </c>
      <c r="E2333" s="1" t="str">
        <f>_xlfn.XLOOKUP(tblSales[[#This Row],[Customer ID]],tblCustomers[Customer ID],tblCustomers[Customer Name],"⚠ Unknown")</f>
        <v>Walk-in Customer</v>
      </c>
      <c r="F2333" s="4" t="s">
        <v>6</v>
      </c>
      <c r="G2333" s="1" t="str">
        <f>_xlfn.XLOOKUP(tblSales[[#This Row],[Product Code]],tblProducts[Code],tblProducts[Product / Service Name],"⚠ Unknown")</f>
        <v>Socks &amp; Accessories</v>
      </c>
      <c r="H2333" s="1" t="str">
        <f>_xlfn.XLOOKUP(tblSales[[#This Row],[Product Code]],tblProducts[Code],tblProducts[Category],"")</f>
        <v>Accessories &amp; Basics</v>
      </c>
      <c r="I2333" s="4">
        <v>9</v>
      </c>
      <c r="J2333" s="5">
        <f>_xlfn.XLOOKUP(tblSales[[#This Row],[Product Code]],tblProducts[Code],tblProducts[Selling Price (excl. VAT)],0)</f>
        <v>45000</v>
      </c>
      <c r="K2333" s="5">
        <f>tblSales[[#This Row],[Qty]]*tblSales[[#This Row],[Unit Price]]</f>
        <v>405000</v>
      </c>
      <c r="L2333" s="5">
        <f>ROUND(tblSales[[#This Row],[DPP (excl. VAT)]]*VATEff,0)</f>
        <v>44550</v>
      </c>
      <c r="M2333" s="5">
        <f>tblSales[[#This Row],[DPP (excl. VAT)]]+tblSales[[#This Row],[Output VAT]]</f>
        <v>449550</v>
      </c>
      <c r="N2333" s="5">
        <f>tblSales[[#This Row],[Qty]]*_xlfn.XLOOKUP(tblSales[[#This Row],[Product Code]],tblProducts[Code],tblProducts[Unit Cost],0)</f>
        <v>216000</v>
      </c>
      <c r="O2333" s="4" t="s">
        <v>4865</v>
      </c>
      <c r="P2333" s="4" t="s">
        <v>4860</v>
      </c>
      <c r="Q2333" s="1" t="str">
        <f>_xlfn.XLOOKUP(tblSales[[#This Row],[Channel Code]],tblChannels[Channel Code],tblChannels[Channel Name],"")</f>
        <v>In-store</v>
      </c>
      <c r="R2333" s="1">
        <f>MONTH(tblSales[[#This Row],[Date]])</f>
        <v>5</v>
      </c>
    </row>
    <row r="2334" spans="2:18" x14ac:dyDescent="0.35">
      <c r="B2334" s="113">
        <v>46162</v>
      </c>
      <c r="C2334" s="4" t="s">
        <v>1551</v>
      </c>
      <c r="D2334" s="4" t="s">
        <v>4634</v>
      </c>
      <c r="E2334" s="1" t="str">
        <f>_xlfn.XLOOKUP(tblSales[[#This Row],[Customer ID]],tblCustomers[Customer ID],tblCustomers[Customer Name],"⚠ Unknown")</f>
        <v>PT Delta Inti Selaras</v>
      </c>
      <c r="F2334" s="4" t="s">
        <v>8</v>
      </c>
      <c r="G2334" s="1" t="str">
        <f>_xlfn.XLOOKUP(tblSales[[#This Row],[Product Code]],tblProducts[Code],tblProducts[Product / Service Name],"⚠ Unknown")</f>
        <v>Casual Shorts</v>
      </c>
      <c r="H2334" s="1" t="str">
        <f>_xlfn.XLOOKUP(tblSales[[#This Row],[Product Code]],tblProducts[Code],tblProducts[Category],"")</f>
        <v>Accessories &amp; Basics</v>
      </c>
      <c r="I2334" s="4">
        <v>16</v>
      </c>
      <c r="J2334" s="5">
        <f>_xlfn.XLOOKUP(tblSales[[#This Row],[Product Code]],tblProducts[Code],tblProducts[Selling Price (excl. VAT)],0)</f>
        <v>85000</v>
      </c>
      <c r="K2334" s="5">
        <f>tblSales[[#This Row],[Qty]]*tblSales[[#This Row],[Unit Price]]</f>
        <v>1360000</v>
      </c>
      <c r="L2334" s="5">
        <f>ROUND(tblSales[[#This Row],[DPP (excl. VAT)]]*VATEff,0)</f>
        <v>149600</v>
      </c>
      <c r="M2334" s="5">
        <f>tblSales[[#This Row],[DPP (excl. VAT)]]+tblSales[[#This Row],[Output VAT]]</f>
        <v>1509600</v>
      </c>
      <c r="N2334" s="5">
        <f>tblSales[[#This Row],[Qty]]*_xlfn.XLOOKUP(tblSales[[#This Row],[Product Code]],tblProducts[Code],tblProducts[Unit Cost],0)</f>
        <v>800000</v>
      </c>
      <c r="O2334" s="4" t="s">
        <v>4867</v>
      </c>
      <c r="P2334" s="4" t="s">
        <v>4860</v>
      </c>
      <c r="Q2334" s="1" t="str">
        <f>_xlfn.XLOOKUP(tblSales[[#This Row],[Channel Code]],tblChannels[Channel Code],tblChannels[Channel Name],"")</f>
        <v>In-store</v>
      </c>
      <c r="R2334" s="1">
        <f>MONTH(tblSales[[#This Row],[Date]])</f>
        <v>5</v>
      </c>
    </row>
    <row r="2335" spans="2:18" x14ac:dyDescent="0.35">
      <c r="B2335" s="113">
        <v>46162</v>
      </c>
      <c r="C2335" s="4" t="s">
        <v>1552</v>
      </c>
      <c r="D2335" s="4" t="s">
        <v>4568</v>
      </c>
      <c r="E2335" s="1" t="str">
        <f>_xlfn.XLOOKUP(tblSales[[#This Row],[Customer ID]],tblCustomers[Customer ID],tblCustomers[Customer Name],"⚠ Unknown")</f>
        <v>Walk-in Customer</v>
      </c>
      <c r="F2335" s="4" t="s">
        <v>9</v>
      </c>
      <c r="G2335" s="1" t="str">
        <f>_xlfn.XLOOKUP(tblSales[[#This Row],[Product Code]],tblProducts[Code],tblProducts[Product / Service Name],"⚠ Unknown")</f>
        <v>Casual Shirt</v>
      </c>
      <c r="H2335" s="1" t="str">
        <f>_xlfn.XLOOKUP(tblSales[[#This Row],[Product Code]],tblProducts[Code],tblProducts[Category],"")</f>
        <v>Apparel &amp; Footwear</v>
      </c>
      <c r="I2335" s="4">
        <v>10</v>
      </c>
      <c r="J2335" s="5">
        <f>_xlfn.XLOOKUP(tblSales[[#This Row],[Product Code]],tblProducts[Code],tblProducts[Selling Price (excl. VAT)],0)</f>
        <v>120000</v>
      </c>
      <c r="K2335" s="5">
        <f>tblSales[[#This Row],[Qty]]*tblSales[[#This Row],[Unit Price]]</f>
        <v>1200000</v>
      </c>
      <c r="L2335" s="5">
        <f>ROUND(tblSales[[#This Row],[DPP (excl. VAT)]]*VATEff,0)</f>
        <v>132000</v>
      </c>
      <c r="M2335" s="5">
        <f>tblSales[[#This Row],[DPP (excl. VAT)]]+tblSales[[#This Row],[Output VAT]]</f>
        <v>1332000</v>
      </c>
      <c r="N2335" s="5">
        <f>tblSales[[#This Row],[Qty]]*_xlfn.XLOOKUP(tblSales[[#This Row],[Product Code]],tblProducts[Code],tblProducts[Unit Cost],0)</f>
        <v>720000</v>
      </c>
      <c r="O2335" s="4" t="s">
        <v>4866</v>
      </c>
      <c r="P2335" s="4" t="s">
        <v>4862</v>
      </c>
      <c r="Q2335" s="1" t="str">
        <f>_xlfn.XLOOKUP(tblSales[[#This Row],[Channel Code]],tblChannels[Channel Code],tblChannels[Channel Name],"")</f>
        <v>Website &amp; Social Media</v>
      </c>
      <c r="R2335" s="1">
        <f>MONTH(tblSales[[#This Row],[Date]])</f>
        <v>5</v>
      </c>
    </row>
    <row r="2336" spans="2:18" x14ac:dyDescent="0.35">
      <c r="B2336" s="113">
        <v>46163</v>
      </c>
      <c r="C2336" s="4" t="s">
        <v>1553</v>
      </c>
      <c r="D2336" s="4" t="s">
        <v>4568</v>
      </c>
      <c r="E2336" s="1" t="str">
        <f>_xlfn.XLOOKUP(tblSales[[#This Row],[Customer ID]],tblCustomers[Customer ID],tblCustomers[Customer Name],"⚠ Unknown")</f>
        <v>Walk-in Customer</v>
      </c>
      <c r="F2336" s="4" t="s">
        <v>6</v>
      </c>
      <c r="G2336" s="1" t="str">
        <f>_xlfn.XLOOKUP(tblSales[[#This Row],[Product Code]],tblProducts[Code],tblProducts[Product / Service Name],"⚠ Unknown")</f>
        <v>Socks &amp; Accessories</v>
      </c>
      <c r="H2336" s="1" t="str">
        <f>_xlfn.XLOOKUP(tblSales[[#This Row],[Product Code]],tblProducts[Code],tblProducts[Category],"")</f>
        <v>Accessories &amp; Basics</v>
      </c>
      <c r="I2336" s="4">
        <v>3</v>
      </c>
      <c r="J2336" s="5">
        <f>_xlfn.XLOOKUP(tblSales[[#This Row],[Product Code]],tblProducts[Code],tblProducts[Selling Price (excl. VAT)],0)</f>
        <v>45000</v>
      </c>
      <c r="K2336" s="5">
        <f>tblSales[[#This Row],[Qty]]*tblSales[[#This Row],[Unit Price]]</f>
        <v>135000</v>
      </c>
      <c r="L2336" s="5">
        <f>ROUND(tblSales[[#This Row],[DPP (excl. VAT)]]*VATEff,0)</f>
        <v>14850</v>
      </c>
      <c r="M2336" s="5">
        <f>tblSales[[#This Row],[DPP (excl. VAT)]]+tblSales[[#This Row],[Output VAT]]</f>
        <v>149850</v>
      </c>
      <c r="N2336" s="5">
        <f>tblSales[[#This Row],[Qty]]*_xlfn.XLOOKUP(tblSales[[#This Row],[Product Code]],tblProducts[Code],tblProducts[Unit Cost],0)</f>
        <v>72000</v>
      </c>
      <c r="O2336" s="4" t="s">
        <v>4866</v>
      </c>
      <c r="P2336" s="4" t="s">
        <v>4861</v>
      </c>
      <c r="Q2336" s="1" t="str">
        <f>_xlfn.XLOOKUP(tblSales[[#This Row],[Channel Code]],tblChannels[Channel Code],tblChannels[Channel Name],"")</f>
        <v>Marketplace</v>
      </c>
      <c r="R2336" s="1">
        <f>MONTH(tblSales[[#This Row],[Date]])</f>
        <v>5</v>
      </c>
    </row>
    <row r="2337" spans="2:18" x14ac:dyDescent="0.35">
      <c r="B2337" s="113">
        <v>46163</v>
      </c>
      <c r="C2337" s="4" t="s">
        <v>1553</v>
      </c>
      <c r="D2337" s="4" t="s">
        <v>4568</v>
      </c>
      <c r="E2337" s="1" t="str">
        <f>_xlfn.XLOOKUP(tblSales[[#This Row],[Customer ID]],tblCustomers[Customer ID],tblCustomers[Customer Name],"⚠ Unknown")</f>
        <v>Walk-in Customer</v>
      </c>
      <c r="F2337" s="4" t="s">
        <v>12</v>
      </c>
      <c r="G2337" s="1" t="str">
        <f>_xlfn.XLOOKUP(tblSales[[#This Row],[Product Code]],tblProducts[Code],tblProducts[Product / Service Name],"⚠ Unknown")</f>
        <v>Bomber Jacket</v>
      </c>
      <c r="H2337" s="1" t="str">
        <f>_xlfn.XLOOKUP(tblSales[[#This Row],[Product Code]],tblProducts[Code],tblProducts[Category],"")</f>
        <v>Apparel &amp; Footwear</v>
      </c>
      <c r="I2337" s="4">
        <v>4</v>
      </c>
      <c r="J2337" s="5">
        <f>_xlfn.XLOOKUP(tblSales[[#This Row],[Product Code]],tblProducts[Code],tblProducts[Selling Price (excl. VAT)],0)</f>
        <v>350000</v>
      </c>
      <c r="K2337" s="5">
        <f>tblSales[[#This Row],[Qty]]*tblSales[[#This Row],[Unit Price]]</f>
        <v>1400000</v>
      </c>
      <c r="L2337" s="5">
        <f>ROUND(tblSales[[#This Row],[DPP (excl. VAT)]]*VATEff,0)</f>
        <v>154000</v>
      </c>
      <c r="M2337" s="5">
        <f>tblSales[[#This Row],[DPP (excl. VAT)]]+tblSales[[#This Row],[Output VAT]]</f>
        <v>1554000</v>
      </c>
      <c r="N2337" s="5">
        <f>tblSales[[#This Row],[Qty]]*_xlfn.XLOOKUP(tblSales[[#This Row],[Product Code]],tblProducts[Code],tblProducts[Unit Cost],0)</f>
        <v>840000</v>
      </c>
      <c r="O2337" s="4" t="s">
        <v>4866</v>
      </c>
      <c r="P2337" s="4" t="s">
        <v>4861</v>
      </c>
      <c r="Q2337" s="1" t="str">
        <f>_xlfn.XLOOKUP(tblSales[[#This Row],[Channel Code]],tblChannels[Channel Code],tblChannels[Channel Name],"")</f>
        <v>Marketplace</v>
      </c>
      <c r="R2337" s="1">
        <f>MONTH(tblSales[[#This Row],[Date]])</f>
        <v>5</v>
      </c>
    </row>
    <row r="2338" spans="2:18" x14ac:dyDescent="0.35">
      <c r="B2338" s="113">
        <v>46163</v>
      </c>
      <c r="C2338" s="4" t="s">
        <v>1554</v>
      </c>
      <c r="D2338" s="4" t="s">
        <v>4568</v>
      </c>
      <c r="E2338" s="1" t="str">
        <f>_xlfn.XLOOKUP(tblSales[[#This Row],[Customer ID]],tblCustomers[Customer ID],tblCustomers[Customer Name],"⚠ Unknown")</f>
        <v>Walk-in Customer</v>
      </c>
      <c r="F2338" s="4" t="s">
        <v>6</v>
      </c>
      <c r="G2338" s="1" t="str">
        <f>_xlfn.XLOOKUP(tblSales[[#This Row],[Product Code]],tblProducts[Code],tblProducts[Product / Service Name],"⚠ Unknown")</f>
        <v>Socks &amp; Accessories</v>
      </c>
      <c r="H2338" s="1" t="str">
        <f>_xlfn.XLOOKUP(tblSales[[#This Row],[Product Code]],tblProducts[Code],tblProducts[Category],"")</f>
        <v>Accessories &amp; Basics</v>
      </c>
      <c r="I2338" s="4">
        <v>2</v>
      </c>
      <c r="J2338" s="5">
        <f>_xlfn.XLOOKUP(tblSales[[#This Row],[Product Code]],tblProducts[Code],tblProducts[Selling Price (excl. VAT)],0)</f>
        <v>45000</v>
      </c>
      <c r="K2338" s="5">
        <f>tblSales[[#This Row],[Qty]]*tblSales[[#This Row],[Unit Price]]</f>
        <v>90000</v>
      </c>
      <c r="L2338" s="5">
        <f>ROUND(tblSales[[#This Row],[DPP (excl. VAT)]]*VATEff,0)</f>
        <v>9900</v>
      </c>
      <c r="M2338" s="5">
        <f>tblSales[[#This Row],[DPP (excl. VAT)]]+tblSales[[#This Row],[Output VAT]]</f>
        <v>99900</v>
      </c>
      <c r="N2338" s="5">
        <f>tblSales[[#This Row],[Qty]]*_xlfn.XLOOKUP(tblSales[[#This Row],[Product Code]],tblProducts[Code],tblProducts[Unit Cost],0)</f>
        <v>48000</v>
      </c>
      <c r="O2338" s="4" t="s">
        <v>4865</v>
      </c>
      <c r="P2338" s="4" t="s">
        <v>4860</v>
      </c>
      <c r="Q2338" s="1" t="str">
        <f>_xlfn.XLOOKUP(tblSales[[#This Row],[Channel Code]],tblChannels[Channel Code],tblChannels[Channel Name],"")</f>
        <v>In-store</v>
      </c>
      <c r="R2338" s="1">
        <f>MONTH(tblSales[[#This Row],[Date]])</f>
        <v>5</v>
      </c>
    </row>
    <row r="2339" spans="2:18" x14ac:dyDescent="0.35">
      <c r="B2339" s="113">
        <v>46163</v>
      </c>
      <c r="C2339" s="4" t="s">
        <v>1555</v>
      </c>
      <c r="D2339" s="4" t="s">
        <v>4606</v>
      </c>
      <c r="E2339" s="1" t="str">
        <f>_xlfn.XLOOKUP(tblSales[[#This Row],[Customer ID]],tblCustomers[Customer ID],tblCustomers[Customer Name],"⚠ Unknown")</f>
        <v>PT Arunika Digital Kreatif</v>
      </c>
      <c r="F2339" s="4" t="s">
        <v>11</v>
      </c>
      <c r="G2339" s="1" t="str">
        <f>_xlfn.XLOOKUP(tblSales[[#This Row],[Product Code]],tblProducts[Code],tblProducts[Product / Service Name],"⚠ Unknown")</f>
        <v>Sneakers</v>
      </c>
      <c r="H2339" s="1" t="str">
        <f>_xlfn.XLOOKUP(tblSales[[#This Row],[Product Code]],tblProducts[Code],tblProducts[Category],"")</f>
        <v>Apparel &amp; Footwear</v>
      </c>
      <c r="I2339" s="4">
        <v>40</v>
      </c>
      <c r="J2339" s="5">
        <f>_xlfn.XLOOKUP(tblSales[[#This Row],[Product Code]],tblProducts[Code],tblProducts[Selling Price (excl. VAT)],0)</f>
        <v>250000</v>
      </c>
      <c r="K2339" s="5">
        <f>tblSales[[#This Row],[Qty]]*tblSales[[#This Row],[Unit Price]]</f>
        <v>10000000</v>
      </c>
      <c r="L2339" s="5">
        <f>ROUND(tblSales[[#This Row],[DPP (excl. VAT)]]*VATEff,0)</f>
        <v>1100000</v>
      </c>
      <c r="M2339" s="5">
        <f>tblSales[[#This Row],[DPP (excl. VAT)]]+tblSales[[#This Row],[Output VAT]]</f>
        <v>11100000</v>
      </c>
      <c r="N2339" s="5">
        <f>tblSales[[#This Row],[Qty]]*_xlfn.XLOOKUP(tblSales[[#This Row],[Product Code]],tblProducts[Code],tblProducts[Unit Cost],0)</f>
        <v>6200000</v>
      </c>
      <c r="O2339" s="4" t="s">
        <v>4867</v>
      </c>
      <c r="P2339" s="4" t="s">
        <v>4860</v>
      </c>
      <c r="Q2339" s="1" t="str">
        <f>_xlfn.XLOOKUP(tblSales[[#This Row],[Channel Code]],tblChannels[Channel Code],tblChannels[Channel Name],"")</f>
        <v>In-store</v>
      </c>
      <c r="R2339" s="1">
        <f>MONTH(tblSales[[#This Row],[Date]])</f>
        <v>5</v>
      </c>
    </row>
    <row r="2340" spans="2:18" x14ac:dyDescent="0.35">
      <c r="B2340" s="113">
        <v>46163</v>
      </c>
      <c r="C2340" s="4" t="s">
        <v>1556</v>
      </c>
      <c r="D2340" s="4" t="s">
        <v>4568</v>
      </c>
      <c r="E2340" s="1" t="str">
        <f>_xlfn.XLOOKUP(tblSales[[#This Row],[Customer ID]],tblCustomers[Customer ID],tblCustomers[Customer Name],"⚠ Unknown")</f>
        <v>Walk-in Customer</v>
      </c>
      <c r="F2340" s="4" t="s">
        <v>15</v>
      </c>
      <c r="G2340" s="1" t="str">
        <f>_xlfn.XLOOKUP(tblSales[[#This Row],[Product Code]],tblProducts[Code],tblProducts[Product / Service Name],"⚠ Unknown")</f>
        <v>Wireless Earbuds Pro</v>
      </c>
      <c r="H2340" s="1" t="str">
        <f>_xlfn.XLOOKUP(tblSales[[#This Row],[Product Code]],tblProducts[Code],tblProducts[Category],"")</f>
        <v>Bags &amp; Gadgets</v>
      </c>
      <c r="I2340" s="4">
        <v>1</v>
      </c>
      <c r="J2340" s="5">
        <f>_xlfn.XLOOKUP(tblSales[[#This Row],[Product Code]],tblProducts[Code],tblProducts[Selling Price (excl. VAT)],0)</f>
        <v>1250000</v>
      </c>
      <c r="K2340" s="5">
        <f>tblSales[[#This Row],[Qty]]*tblSales[[#This Row],[Unit Price]]</f>
        <v>1250000</v>
      </c>
      <c r="L2340" s="5">
        <f>ROUND(tblSales[[#This Row],[DPP (excl. VAT)]]*VATEff,0)</f>
        <v>137500</v>
      </c>
      <c r="M2340" s="5">
        <f>tblSales[[#This Row],[DPP (excl. VAT)]]+tblSales[[#This Row],[Output VAT]]</f>
        <v>1387500</v>
      </c>
      <c r="N2340" s="5">
        <f>tblSales[[#This Row],[Qty]]*_xlfn.XLOOKUP(tblSales[[#This Row],[Product Code]],tblProducts[Code],tblProducts[Unit Cost],0)</f>
        <v>820000</v>
      </c>
      <c r="O2340" s="4" t="s">
        <v>4865</v>
      </c>
      <c r="P2340" s="4" t="s">
        <v>4860</v>
      </c>
      <c r="Q2340" s="1" t="str">
        <f>_xlfn.XLOOKUP(tblSales[[#This Row],[Channel Code]],tblChannels[Channel Code],tblChannels[Channel Name],"")</f>
        <v>In-store</v>
      </c>
      <c r="R2340" s="1">
        <f>MONTH(tblSales[[#This Row],[Date]])</f>
        <v>5</v>
      </c>
    </row>
    <row r="2341" spans="2:18" x14ac:dyDescent="0.35">
      <c r="B2341" s="113">
        <v>46163</v>
      </c>
      <c r="C2341" s="4" t="s">
        <v>1557</v>
      </c>
      <c r="D2341" s="4" t="s">
        <v>4634</v>
      </c>
      <c r="E2341" s="1" t="str">
        <f>_xlfn.XLOOKUP(tblSales[[#This Row],[Customer ID]],tblCustomers[Customer ID],tblCustomers[Customer Name],"⚠ Unknown")</f>
        <v>PT Delta Inti Selaras</v>
      </c>
      <c r="F2341" s="4" t="s">
        <v>12</v>
      </c>
      <c r="G2341" s="1" t="str">
        <f>_xlfn.XLOOKUP(tblSales[[#This Row],[Product Code]],tblProducts[Code],tblProducts[Product / Service Name],"⚠ Unknown")</f>
        <v>Bomber Jacket</v>
      </c>
      <c r="H2341" s="1" t="str">
        <f>_xlfn.XLOOKUP(tblSales[[#This Row],[Product Code]],tblProducts[Code],tblProducts[Category],"")</f>
        <v>Apparel &amp; Footwear</v>
      </c>
      <c r="I2341" s="4">
        <v>24</v>
      </c>
      <c r="J2341" s="5">
        <f>_xlfn.XLOOKUP(tblSales[[#This Row],[Product Code]],tblProducts[Code],tblProducts[Selling Price (excl. VAT)],0)</f>
        <v>350000</v>
      </c>
      <c r="K2341" s="5">
        <f>tblSales[[#This Row],[Qty]]*tblSales[[#This Row],[Unit Price]]</f>
        <v>8400000</v>
      </c>
      <c r="L2341" s="5">
        <f>ROUND(tblSales[[#This Row],[DPP (excl. VAT)]]*VATEff,0)</f>
        <v>924000</v>
      </c>
      <c r="M2341" s="5">
        <f>tblSales[[#This Row],[DPP (excl. VAT)]]+tblSales[[#This Row],[Output VAT]]</f>
        <v>9324000</v>
      </c>
      <c r="N2341" s="5">
        <f>tblSales[[#This Row],[Qty]]*_xlfn.XLOOKUP(tblSales[[#This Row],[Product Code]],tblProducts[Code],tblProducts[Unit Cost],0)</f>
        <v>5040000</v>
      </c>
      <c r="O2341" s="4" t="s">
        <v>4867</v>
      </c>
      <c r="P2341" s="4" t="s">
        <v>4860</v>
      </c>
      <c r="Q2341" s="1" t="str">
        <f>_xlfn.XLOOKUP(tblSales[[#This Row],[Channel Code]],tblChannels[Channel Code],tblChannels[Channel Name],"")</f>
        <v>In-store</v>
      </c>
      <c r="R2341" s="1">
        <f>MONTH(tblSales[[#This Row],[Date]])</f>
        <v>5</v>
      </c>
    </row>
    <row r="2342" spans="2:18" x14ac:dyDescent="0.35">
      <c r="B2342" s="113">
        <v>46163</v>
      </c>
      <c r="C2342" s="4" t="s">
        <v>1558</v>
      </c>
      <c r="D2342" s="4" t="s">
        <v>4568</v>
      </c>
      <c r="E2342" s="1" t="str">
        <f>_xlfn.XLOOKUP(tblSales[[#This Row],[Customer ID]],tblCustomers[Customer ID],tblCustomers[Customer Name],"⚠ Unknown")</f>
        <v>Walk-in Customer</v>
      </c>
      <c r="F2342" s="4" t="s">
        <v>8</v>
      </c>
      <c r="G2342" s="1" t="str">
        <f>_xlfn.XLOOKUP(tblSales[[#This Row],[Product Code]],tblProducts[Code],tblProducts[Product / Service Name],"⚠ Unknown")</f>
        <v>Casual Shorts</v>
      </c>
      <c r="H2342" s="1" t="str">
        <f>_xlfn.XLOOKUP(tblSales[[#This Row],[Product Code]],tblProducts[Code],tblProducts[Category],"")</f>
        <v>Accessories &amp; Basics</v>
      </c>
      <c r="I2342" s="4">
        <v>11</v>
      </c>
      <c r="J2342" s="5">
        <f>_xlfn.XLOOKUP(tblSales[[#This Row],[Product Code]],tblProducts[Code],tblProducts[Selling Price (excl. VAT)],0)</f>
        <v>85000</v>
      </c>
      <c r="K2342" s="5">
        <f>tblSales[[#This Row],[Qty]]*tblSales[[#This Row],[Unit Price]]</f>
        <v>935000</v>
      </c>
      <c r="L2342" s="5">
        <f>ROUND(tblSales[[#This Row],[DPP (excl. VAT)]]*VATEff,0)</f>
        <v>102850</v>
      </c>
      <c r="M2342" s="5">
        <f>tblSales[[#This Row],[DPP (excl. VAT)]]+tblSales[[#This Row],[Output VAT]]</f>
        <v>1037850</v>
      </c>
      <c r="N2342" s="5">
        <f>tblSales[[#This Row],[Qty]]*_xlfn.XLOOKUP(tblSales[[#This Row],[Product Code]],tblProducts[Code],tblProducts[Unit Cost],0)</f>
        <v>550000</v>
      </c>
      <c r="O2342" s="4" t="s">
        <v>4866</v>
      </c>
      <c r="P2342" s="4" t="s">
        <v>4860</v>
      </c>
      <c r="Q2342" s="1" t="str">
        <f>_xlfn.XLOOKUP(tblSales[[#This Row],[Channel Code]],tblChannels[Channel Code],tblChannels[Channel Name],"")</f>
        <v>In-store</v>
      </c>
      <c r="R2342" s="1">
        <f>MONTH(tblSales[[#This Row],[Date]])</f>
        <v>5</v>
      </c>
    </row>
    <row r="2343" spans="2:18" x14ac:dyDescent="0.35">
      <c r="B2343" s="113">
        <v>46163</v>
      </c>
      <c r="C2343" s="4" t="s">
        <v>1559</v>
      </c>
      <c r="D2343" s="4" t="s">
        <v>4568</v>
      </c>
      <c r="E2343" s="1" t="str">
        <f>_xlfn.XLOOKUP(tblSales[[#This Row],[Customer ID]],tblCustomers[Customer ID],tblCustomers[Customer Name],"⚠ Unknown")</f>
        <v>Walk-in Customer</v>
      </c>
      <c r="F2343" s="4" t="s">
        <v>6</v>
      </c>
      <c r="G2343" s="1" t="str">
        <f>_xlfn.XLOOKUP(tblSales[[#This Row],[Product Code]],tblProducts[Code],tblProducts[Product / Service Name],"⚠ Unknown")</f>
        <v>Socks &amp; Accessories</v>
      </c>
      <c r="H2343" s="1" t="str">
        <f>_xlfn.XLOOKUP(tblSales[[#This Row],[Product Code]],tblProducts[Code],tblProducts[Category],"")</f>
        <v>Accessories &amp; Basics</v>
      </c>
      <c r="I2343" s="4">
        <v>8</v>
      </c>
      <c r="J2343" s="5">
        <f>_xlfn.XLOOKUP(tblSales[[#This Row],[Product Code]],tblProducts[Code],tblProducts[Selling Price (excl. VAT)],0)</f>
        <v>45000</v>
      </c>
      <c r="K2343" s="5">
        <f>tblSales[[#This Row],[Qty]]*tblSales[[#This Row],[Unit Price]]</f>
        <v>360000</v>
      </c>
      <c r="L2343" s="5">
        <f>ROUND(tblSales[[#This Row],[DPP (excl. VAT)]]*VATEff,0)</f>
        <v>39600</v>
      </c>
      <c r="M2343" s="5">
        <f>tblSales[[#This Row],[DPP (excl. VAT)]]+tblSales[[#This Row],[Output VAT]]</f>
        <v>399600</v>
      </c>
      <c r="N2343" s="5">
        <f>tblSales[[#This Row],[Qty]]*_xlfn.XLOOKUP(tblSales[[#This Row],[Product Code]],tblProducts[Code],tblProducts[Unit Cost],0)</f>
        <v>192000</v>
      </c>
      <c r="O2343" s="4" t="s">
        <v>4865</v>
      </c>
      <c r="P2343" s="4" t="s">
        <v>4860</v>
      </c>
      <c r="Q2343" s="1" t="str">
        <f>_xlfn.XLOOKUP(tblSales[[#This Row],[Channel Code]],tblChannels[Channel Code],tblChannels[Channel Name],"")</f>
        <v>In-store</v>
      </c>
      <c r="R2343" s="1">
        <f>MONTH(tblSales[[#This Row],[Date]])</f>
        <v>5</v>
      </c>
    </row>
    <row r="2344" spans="2:18" x14ac:dyDescent="0.35">
      <c r="B2344" s="113">
        <v>46163</v>
      </c>
      <c r="C2344" s="4" t="s">
        <v>1560</v>
      </c>
      <c r="D2344" s="4" t="s">
        <v>4627</v>
      </c>
      <c r="E2344" s="1" t="str">
        <f>_xlfn.XLOOKUP(tblSales[[#This Row],[Customer ID]],tblCustomers[Customer ID],tblCustomers[Customer Name],"⚠ Unknown")</f>
        <v>PT Kencana Wira Usaha</v>
      </c>
      <c r="F2344" s="4" t="s">
        <v>8</v>
      </c>
      <c r="G2344" s="1" t="str">
        <f>_xlfn.XLOOKUP(tblSales[[#This Row],[Product Code]],tblProducts[Code],tblProducts[Product / Service Name],"⚠ Unknown")</f>
        <v>Casual Shorts</v>
      </c>
      <c r="H2344" s="1" t="str">
        <f>_xlfn.XLOOKUP(tblSales[[#This Row],[Product Code]],tblProducts[Code],tblProducts[Category],"")</f>
        <v>Accessories &amp; Basics</v>
      </c>
      <c r="I2344" s="4">
        <v>24</v>
      </c>
      <c r="J2344" s="5">
        <f>_xlfn.XLOOKUP(tblSales[[#This Row],[Product Code]],tblProducts[Code],tblProducts[Selling Price (excl. VAT)],0)</f>
        <v>85000</v>
      </c>
      <c r="K2344" s="5">
        <f>tblSales[[#This Row],[Qty]]*tblSales[[#This Row],[Unit Price]]</f>
        <v>2040000</v>
      </c>
      <c r="L2344" s="5">
        <f>ROUND(tblSales[[#This Row],[DPP (excl. VAT)]]*VATEff,0)</f>
        <v>224400</v>
      </c>
      <c r="M2344" s="5">
        <f>tblSales[[#This Row],[DPP (excl. VAT)]]+tblSales[[#This Row],[Output VAT]]</f>
        <v>2264400</v>
      </c>
      <c r="N2344" s="5">
        <f>tblSales[[#This Row],[Qty]]*_xlfn.XLOOKUP(tblSales[[#This Row],[Product Code]],tblProducts[Code],tblProducts[Unit Cost],0)</f>
        <v>1200000</v>
      </c>
      <c r="O2344" s="4" t="s">
        <v>4867</v>
      </c>
      <c r="P2344" s="4" t="s">
        <v>4860</v>
      </c>
      <c r="Q2344" s="1" t="str">
        <f>_xlfn.XLOOKUP(tblSales[[#This Row],[Channel Code]],tblChannels[Channel Code],tblChannels[Channel Name],"")</f>
        <v>In-store</v>
      </c>
      <c r="R2344" s="1">
        <f>MONTH(tblSales[[#This Row],[Date]])</f>
        <v>5</v>
      </c>
    </row>
    <row r="2345" spans="2:18" x14ac:dyDescent="0.35">
      <c r="B2345" s="113">
        <v>46163</v>
      </c>
      <c r="C2345" s="4" t="s">
        <v>1561</v>
      </c>
      <c r="D2345" s="4" t="s">
        <v>4568</v>
      </c>
      <c r="E2345" s="1" t="str">
        <f>_xlfn.XLOOKUP(tblSales[[#This Row],[Customer ID]],tblCustomers[Customer ID],tblCustomers[Customer Name],"⚠ Unknown")</f>
        <v>Walk-in Customer</v>
      </c>
      <c r="F2345" s="4" t="s">
        <v>15</v>
      </c>
      <c r="G2345" s="1" t="str">
        <f>_xlfn.XLOOKUP(tblSales[[#This Row],[Product Code]],tblProducts[Code],tblProducts[Product / Service Name],"⚠ Unknown")</f>
        <v>Wireless Earbuds Pro</v>
      </c>
      <c r="H2345" s="1" t="str">
        <f>_xlfn.XLOOKUP(tblSales[[#This Row],[Product Code]],tblProducts[Code],tblProducts[Category],"")</f>
        <v>Bags &amp; Gadgets</v>
      </c>
      <c r="I2345" s="4">
        <v>1</v>
      </c>
      <c r="J2345" s="5">
        <f>_xlfn.XLOOKUP(tblSales[[#This Row],[Product Code]],tblProducts[Code],tblProducts[Selling Price (excl. VAT)],0)</f>
        <v>1250000</v>
      </c>
      <c r="K2345" s="5">
        <f>tblSales[[#This Row],[Qty]]*tblSales[[#This Row],[Unit Price]]</f>
        <v>1250000</v>
      </c>
      <c r="L2345" s="5">
        <f>ROUND(tblSales[[#This Row],[DPP (excl. VAT)]]*VATEff,0)</f>
        <v>137500</v>
      </c>
      <c r="M2345" s="5">
        <f>tblSales[[#This Row],[DPP (excl. VAT)]]+tblSales[[#This Row],[Output VAT]]</f>
        <v>1387500</v>
      </c>
      <c r="N2345" s="5">
        <f>tblSales[[#This Row],[Qty]]*_xlfn.XLOOKUP(tblSales[[#This Row],[Product Code]],tblProducts[Code],tblProducts[Unit Cost],0)</f>
        <v>820000</v>
      </c>
      <c r="O2345" s="4" t="s">
        <v>4865</v>
      </c>
      <c r="P2345" s="4" t="s">
        <v>4860</v>
      </c>
      <c r="Q2345" s="1" t="str">
        <f>_xlfn.XLOOKUP(tblSales[[#This Row],[Channel Code]],tblChannels[Channel Code],tblChannels[Channel Name],"")</f>
        <v>In-store</v>
      </c>
      <c r="R2345" s="1">
        <f>MONTH(tblSales[[#This Row],[Date]])</f>
        <v>5</v>
      </c>
    </row>
    <row r="2346" spans="2:18" x14ac:dyDescent="0.35">
      <c r="B2346" s="113">
        <v>46163</v>
      </c>
      <c r="C2346" s="4" t="s">
        <v>1562</v>
      </c>
      <c r="D2346" s="4" t="s">
        <v>4568</v>
      </c>
      <c r="E2346" s="1" t="str">
        <f>_xlfn.XLOOKUP(tblSales[[#This Row],[Customer ID]],tblCustomers[Customer ID],tblCustomers[Customer Name],"⚠ Unknown")</f>
        <v>Walk-in Customer</v>
      </c>
      <c r="F2346" s="4" t="s">
        <v>8</v>
      </c>
      <c r="G2346" s="1" t="str">
        <f>_xlfn.XLOOKUP(tblSales[[#This Row],[Product Code]],tblProducts[Code],tblProducts[Product / Service Name],"⚠ Unknown")</f>
        <v>Casual Shorts</v>
      </c>
      <c r="H2346" s="1" t="str">
        <f>_xlfn.XLOOKUP(tblSales[[#This Row],[Product Code]],tblProducts[Code],tblProducts[Category],"")</f>
        <v>Accessories &amp; Basics</v>
      </c>
      <c r="I2346" s="4">
        <v>3</v>
      </c>
      <c r="J2346" s="5">
        <f>_xlfn.XLOOKUP(tblSales[[#This Row],[Product Code]],tblProducts[Code],tblProducts[Selling Price (excl. VAT)],0)</f>
        <v>85000</v>
      </c>
      <c r="K2346" s="5">
        <f>tblSales[[#This Row],[Qty]]*tblSales[[#This Row],[Unit Price]]</f>
        <v>255000</v>
      </c>
      <c r="L2346" s="5">
        <f>ROUND(tblSales[[#This Row],[DPP (excl. VAT)]]*VATEff,0)</f>
        <v>28050</v>
      </c>
      <c r="M2346" s="5">
        <f>tblSales[[#This Row],[DPP (excl. VAT)]]+tblSales[[#This Row],[Output VAT]]</f>
        <v>283050</v>
      </c>
      <c r="N2346" s="5">
        <f>tblSales[[#This Row],[Qty]]*_xlfn.XLOOKUP(tblSales[[#This Row],[Product Code]],tblProducts[Code],tblProducts[Unit Cost],0)</f>
        <v>150000</v>
      </c>
      <c r="O2346" s="4" t="s">
        <v>4866</v>
      </c>
      <c r="P2346" s="4" t="s">
        <v>4862</v>
      </c>
      <c r="Q2346" s="1" t="str">
        <f>_xlfn.XLOOKUP(tblSales[[#This Row],[Channel Code]],tblChannels[Channel Code],tblChannels[Channel Name],"")</f>
        <v>Website &amp; Social Media</v>
      </c>
      <c r="R2346" s="1">
        <f>MONTH(tblSales[[#This Row],[Date]])</f>
        <v>5</v>
      </c>
    </row>
    <row r="2347" spans="2:18" x14ac:dyDescent="0.35">
      <c r="B2347" s="113">
        <v>46164</v>
      </c>
      <c r="C2347" s="4" t="s">
        <v>1563</v>
      </c>
      <c r="D2347" s="4" t="s">
        <v>4568</v>
      </c>
      <c r="E2347" s="1" t="str">
        <f>_xlfn.XLOOKUP(tblSales[[#This Row],[Customer ID]],tblCustomers[Customer ID],tblCustomers[Customer Name],"⚠ Unknown")</f>
        <v>Walk-in Customer</v>
      </c>
      <c r="F2347" s="4" t="s">
        <v>6</v>
      </c>
      <c r="G2347" s="1" t="str">
        <f>_xlfn.XLOOKUP(tblSales[[#This Row],[Product Code]],tblProducts[Code],tblProducts[Product / Service Name],"⚠ Unknown")</f>
        <v>Socks &amp; Accessories</v>
      </c>
      <c r="H2347" s="1" t="str">
        <f>_xlfn.XLOOKUP(tblSales[[#This Row],[Product Code]],tblProducts[Code],tblProducts[Category],"")</f>
        <v>Accessories &amp; Basics</v>
      </c>
      <c r="I2347" s="4">
        <v>7</v>
      </c>
      <c r="J2347" s="5">
        <f>_xlfn.XLOOKUP(tblSales[[#This Row],[Product Code]],tblProducts[Code],tblProducts[Selling Price (excl. VAT)],0)</f>
        <v>45000</v>
      </c>
      <c r="K2347" s="5">
        <f>tblSales[[#This Row],[Qty]]*tblSales[[#This Row],[Unit Price]]</f>
        <v>315000</v>
      </c>
      <c r="L2347" s="5">
        <f>ROUND(tblSales[[#This Row],[DPP (excl. VAT)]]*VATEff,0)</f>
        <v>34650</v>
      </c>
      <c r="M2347" s="5">
        <f>tblSales[[#This Row],[DPP (excl. VAT)]]+tblSales[[#This Row],[Output VAT]]</f>
        <v>349650</v>
      </c>
      <c r="N2347" s="5">
        <f>tblSales[[#This Row],[Qty]]*_xlfn.XLOOKUP(tblSales[[#This Row],[Product Code]],tblProducts[Code],tblProducts[Unit Cost],0)</f>
        <v>168000</v>
      </c>
      <c r="O2347" s="4" t="s">
        <v>4865</v>
      </c>
      <c r="P2347" s="4" t="s">
        <v>4860</v>
      </c>
      <c r="Q2347" s="1" t="str">
        <f>_xlfn.XLOOKUP(tblSales[[#This Row],[Channel Code]],tblChannels[Channel Code],tblChannels[Channel Name],"")</f>
        <v>In-store</v>
      </c>
      <c r="R2347" s="1">
        <f>MONTH(tblSales[[#This Row],[Date]])</f>
        <v>5</v>
      </c>
    </row>
    <row r="2348" spans="2:18" x14ac:dyDescent="0.35">
      <c r="B2348" s="113">
        <v>46164</v>
      </c>
      <c r="C2348" s="4" t="s">
        <v>1564</v>
      </c>
      <c r="D2348" s="4" t="s">
        <v>4568</v>
      </c>
      <c r="E2348" s="1" t="str">
        <f>_xlfn.XLOOKUP(tblSales[[#This Row],[Customer ID]],tblCustomers[Customer ID],tblCustomers[Customer Name],"⚠ Unknown")</f>
        <v>Walk-in Customer</v>
      </c>
      <c r="F2348" s="4" t="s">
        <v>13</v>
      </c>
      <c r="G2348" s="1" t="str">
        <f>_xlfn.XLOOKUP(tblSales[[#This Row],[Product Code]],tblProducts[Code],tblProducts[Product / Service Name],"⚠ Unknown")</f>
        <v>Backpack</v>
      </c>
      <c r="H2348" s="1" t="str">
        <f>_xlfn.XLOOKUP(tblSales[[#This Row],[Product Code]],tblProducts[Code],tblProducts[Category],"")</f>
        <v>Bags &amp; Gadgets</v>
      </c>
      <c r="I2348" s="4">
        <v>6</v>
      </c>
      <c r="J2348" s="5">
        <f>_xlfn.XLOOKUP(tblSales[[#This Row],[Product Code]],tblProducts[Code],tblProducts[Selling Price (excl. VAT)],0)</f>
        <v>500000</v>
      </c>
      <c r="K2348" s="5">
        <f>tblSales[[#This Row],[Qty]]*tblSales[[#This Row],[Unit Price]]</f>
        <v>3000000</v>
      </c>
      <c r="L2348" s="5">
        <f>ROUND(tblSales[[#This Row],[DPP (excl. VAT)]]*VATEff,0)</f>
        <v>330000</v>
      </c>
      <c r="M2348" s="5">
        <f>tblSales[[#This Row],[DPP (excl. VAT)]]+tblSales[[#This Row],[Output VAT]]</f>
        <v>3330000</v>
      </c>
      <c r="N2348" s="5">
        <f>tblSales[[#This Row],[Qty]]*_xlfn.XLOOKUP(tblSales[[#This Row],[Product Code]],tblProducts[Code],tblProducts[Unit Cost],0)</f>
        <v>1740000</v>
      </c>
      <c r="O2348" s="4" t="s">
        <v>4866</v>
      </c>
      <c r="P2348" s="4" t="s">
        <v>4860</v>
      </c>
      <c r="Q2348" s="1" t="str">
        <f>_xlfn.XLOOKUP(tblSales[[#This Row],[Channel Code]],tblChannels[Channel Code],tblChannels[Channel Name],"")</f>
        <v>In-store</v>
      </c>
      <c r="R2348" s="1">
        <f>MONTH(tblSales[[#This Row],[Date]])</f>
        <v>5</v>
      </c>
    </row>
    <row r="2349" spans="2:18" x14ac:dyDescent="0.35">
      <c r="B2349" s="113">
        <v>46164</v>
      </c>
      <c r="C2349" s="4" t="s">
        <v>1565</v>
      </c>
      <c r="D2349" s="4" t="s">
        <v>4568</v>
      </c>
      <c r="E2349" s="1" t="str">
        <f>_xlfn.XLOOKUP(tblSales[[#This Row],[Customer ID]],tblCustomers[Customer ID],tblCustomers[Customer Name],"⚠ Unknown")</f>
        <v>Walk-in Customer</v>
      </c>
      <c r="F2349" s="4" t="s">
        <v>9</v>
      </c>
      <c r="G2349" s="1" t="str">
        <f>_xlfn.XLOOKUP(tblSales[[#This Row],[Product Code]],tblProducts[Code],tblProducts[Product / Service Name],"⚠ Unknown")</f>
        <v>Casual Shirt</v>
      </c>
      <c r="H2349" s="1" t="str">
        <f>_xlfn.XLOOKUP(tblSales[[#This Row],[Product Code]],tblProducts[Code],tblProducts[Category],"")</f>
        <v>Apparel &amp; Footwear</v>
      </c>
      <c r="I2349" s="4">
        <v>12</v>
      </c>
      <c r="J2349" s="5">
        <f>_xlfn.XLOOKUP(tblSales[[#This Row],[Product Code]],tblProducts[Code],tblProducts[Selling Price (excl. VAT)],0)</f>
        <v>120000</v>
      </c>
      <c r="K2349" s="5">
        <f>tblSales[[#This Row],[Qty]]*tblSales[[#This Row],[Unit Price]]</f>
        <v>1440000</v>
      </c>
      <c r="L2349" s="5">
        <f>ROUND(tblSales[[#This Row],[DPP (excl. VAT)]]*VATEff,0)</f>
        <v>158400</v>
      </c>
      <c r="M2349" s="5">
        <f>tblSales[[#This Row],[DPP (excl. VAT)]]+tblSales[[#This Row],[Output VAT]]</f>
        <v>1598400</v>
      </c>
      <c r="N2349" s="5">
        <f>tblSales[[#This Row],[Qty]]*_xlfn.XLOOKUP(tblSales[[#This Row],[Product Code]],tblProducts[Code],tblProducts[Unit Cost],0)</f>
        <v>864000</v>
      </c>
      <c r="O2349" s="4" t="s">
        <v>4866</v>
      </c>
      <c r="P2349" s="4" t="s">
        <v>4860</v>
      </c>
      <c r="Q2349" s="1" t="str">
        <f>_xlfn.XLOOKUP(tblSales[[#This Row],[Channel Code]],tblChannels[Channel Code],tblChannels[Channel Name],"")</f>
        <v>In-store</v>
      </c>
      <c r="R2349" s="1">
        <f>MONTH(tblSales[[#This Row],[Date]])</f>
        <v>5</v>
      </c>
    </row>
    <row r="2350" spans="2:18" x14ac:dyDescent="0.35">
      <c r="B2350" s="113">
        <v>46164</v>
      </c>
      <c r="C2350" s="4" t="s">
        <v>1565</v>
      </c>
      <c r="D2350" s="4" t="s">
        <v>4568</v>
      </c>
      <c r="E2350" s="1" t="str">
        <f>_xlfn.XLOOKUP(tblSales[[#This Row],[Customer ID]],tblCustomers[Customer ID],tblCustomers[Customer Name],"⚠ Unknown")</f>
        <v>Walk-in Customer</v>
      </c>
      <c r="F2350" s="4" t="s">
        <v>6</v>
      </c>
      <c r="G2350" s="1" t="str">
        <f>_xlfn.XLOOKUP(tblSales[[#This Row],[Product Code]],tblProducts[Code],tblProducts[Product / Service Name],"⚠ Unknown")</f>
        <v>Socks &amp; Accessories</v>
      </c>
      <c r="H2350" s="1" t="str">
        <f>_xlfn.XLOOKUP(tblSales[[#This Row],[Product Code]],tblProducts[Code],tblProducts[Category],"")</f>
        <v>Accessories &amp; Basics</v>
      </c>
      <c r="I2350" s="4">
        <v>3</v>
      </c>
      <c r="J2350" s="5">
        <f>_xlfn.XLOOKUP(tblSales[[#This Row],[Product Code]],tblProducts[Code],tblProducts[Selling Price (excl. VAT)],0)</f>
        <v>45000</v>
      </c>
      <c r="K2350" s="5">
        <f>tblSales[[#This Row],[Qty]]*tblSales[[#This Row],[Unit Price]]</f>
        <v>135000</v>
      </c>
      <c r="L2350" s="5">
        <f>ROUND(tblSales[[#This Row],[DPP (excl. VAT)]]*VATEff,0)</f>
        <v>14850</v>
      </c>
      <c r="M2350" s="5">
        <f>tblSales[[#This Row],[DPP (excl. VAT)]]+tblSales[[#This Row],[Output VAT]]</f>
        <v>149850</v>
      </c>
      <c r="N2350" s="5">
        <f>tblSales[[#This Row],[Qty]]*_xlfn.XLOOKUP(tblSales[[#This Row],[Product Code]],tblProducts[Code],tblProducts[Unit Cost],0)</f>
        <v>72000</v>
      </c>
      <c r="O2350" s="4" t="s">
        <v>4866</v>
      </c>
      <c r="P2350" s="4" t="s">
        <v>4860</v>
      </c>
      <c r="Q2350" s="1" t="str">
        <f>_xlfn.XLOOKUP(tblSales[[#This Row],[Channel Code]],tblChannels[Channel Code],tblChannels[Channel Name],"")</f>
        <v>In-store</v>
      </c>
      <c r="R2350" s="1">
        <f>MONTH(tblSales[[#This Row],[Date]])</f>
        <v>5</v>
      </c>
    </row>
    <row r="2351" spans="2:18" x14ac:dyDescent="0.35">
      <c r="B2351" s="113">
        <v>46164</v>
      </c>
      <c r="C2351" s="4" t="s">
        <v>1566</v>
      </c>
      <c r="D2351" s="4" t="s">
        <v>4568</v>
      </c>
      <c r="E2351" s="1" t="str">
        <f>_xlfn.XLOOKUP(tblSales[[#This Row],[Customer ID]],tblCustomers[Customer ID],tblCustomers[Customer Name],"⚠ Unknown")</f>
        <v>Walk-in Customer</v>
      </c>
      <c r="F2351" s="4" t="s">
        <v>8</v>
      </c>
      <c r="G2351" s="1" t="str">
        <f>_xlfn.XLOOKUP(tblSales[[#This Row],[Product Code]],tblProducts[Code],tblProducts[Product / Service Name],"⚠ Unknown")</f>
        <v>Casual Shorts</v>
      </c>
      <c r="H2351" s="1" t="str">
        <f>_xlfn.XLOOKUP(tblSales[[#This Row],[Product Code]],tblProducts[Code],tblProducts[Category],"")</f>
        <v>Accessories &amp; Basics</v>
      </c>
      <c r="I2351" s="4">
        <v>1</v>
      </c>
      <c r="J2351" s="5">
        <f>_xlfn.XLOOKUP(tblSales[[#This Row],[Product Code]],tblProducts[Code],tblProducts[Selling Price (excl. VAT)],0)</f>
        <v>85000</v>
      </c>
      <c r="K2351" s="5">
        <f>tblSales[[#This Row],[Qty]]*tblSales[[#This Row],[Unit Price]]</f>
        <v>85000</v>
      </c>
      <c r="L2351" s="5">
        <f>ROUND(tblSales[[#This Row],[DPP (excl. VAT)]]*VATEff,0)</f>
        <v>9350</v>
      </c>
      <c r="M2351" s="5">
        <f>tblSales[[#This Row],[DPP (excl. VAT)]]+tblSales[[#This Row],[Output VAT]]</f>
        <v>94350</v>
      </c>
      <c r="N2351" s="5">
        <f>tblSales[[#This Row],[Qty]]*_xlfn.XLOOKUP(tblSales[[#This Row],[Product Code]],tblProducts[Code],tblProducts[Unit Cost],0)</f>
        <v>50000</v>
      </c>
      <c r="O2351" s="4" t="s">
        <v>4865</v>
      </c>
      <c r="P2351" s="4" t="s">
        <v>4860</v>
      </c>
      <c r="Q2351" s="1" t="str">
        <f>_xlfn.XLOOKUP(tblSales[[#This Row],[Channel Code]],tblChannels[Channel Code],tblChannels[Channel Name],"")</f>
        <v>In-store</v>
      </c>
      <c r="R2351" s="1">
        <f>MONTH(tblSales[[#This Row],[Date]])</f>
        <v>5</v>
      </c>
    </row>
    <row r="2352" spans="2:18" x14ac:dyDescent="0.35">
      <c r="B2352" s="113">
        <v>46164</v>
      </c>
      <c r="C2352" s="4" t="s">
        <v>1567</v>
      </c>
      <c r="D2352" s="4" t="s">
        <v>4568</v>
      </c>
      <c r="E2352" s="1" t="str">
        <f>_xlfn.XLOOKUP(tblSales[[#This Row],[Customer ID]],tblCustomers[Customer ID],tblCustomers[Customer Name],"⚠ Unknown")</f>
        <v>Walk-in Customer</v>
      </c>
      <c r="F2352" s="4" t="s">
        <v>12</v>
      </c>
      <c r="G2352" s="1" t="str">
        <f>_xlfn.XLOOKUP(tblSales[[#This Row],[Product Code]],tblProducts[Code],tblProducts[Product / Service Name],"⚠ Unknown")</f>
        <v>Bomber Jacket</v>
      </c>
      <c r="H2352" s="1" t="str">
        <f>_xlfn.XLOOKUP(tblSales[[#This Row],[Product Code]],tblProducts[Code],tblProducts[Category],"")</f>
        <v>Apparel &amp; Footwear</v>
      </c>
      <c r="I2352" s="4">
        <v>1</v>
      </c>
      <c r="J2352" s="5">
        <f>_xlfn.XLOOKUP(tblSales[[#This Row],[Product Code]],tblProducts[Code],tblProducts[Selling Price (excl. VAT)],0)</f>
        <v>350000</v>
      </c>
      <c r="K2352" s="5">
        <f>tblSales[[#This Row],[Qty]]*tblSales[[#This Row],[Unit Price]]</f>
        <v>350000</v>
      </c>
      <c r="L2352" s="5">
        <f>ROUND(tblSales[[#This Row],[DPP (excl. VAT)]]*VATEff,0)</f>
        <v>38500</v>
      </c>
      <c r="M2352" s="5">
        <f>tblSales[[#This Row],[DPP (excl. VAT)]]+tblSales[[#This Row],[Output VAT]]</f>
        <v>388500</v>
      </c>
      <c r="N2352" s="5">
        <f>tblSales[[#This Row],[Qty]]*_xlfn.XLOOKUP(tblSales[[#This Row],[Product Code]],tblProducts[Code],tblProducts[Unit Cost],0)</f>
        <v>210000</v>
      </c>
      <c r="O2352" s="4" t="s">
        <v>4866</v>
      </c>
      <c r="P2352" s="4" t="s">
        <v>4861</v>
      </c>
      <c r="Q2352" s="1" t="str">
        <f>_xlfn.XLOOKUP(tblSales[[#This Row],[Channel Code]],tblChannels[Channel Code],tblChannels[Channel Name],"")</f>
        <v>Marketplace</v>
      </c>
      <c r="R2352" s="1">
        <f>MONTH(tblSales[[#This Row],[Date]])</f>
        <v>5</v>
      </c>
    </row>
    <row r="2353" spans="2:18" x14ac:dyDescent="0.35">
      <c r="B2353" s="113">
        <v>46164</v>
      </c>
      <c r="C2353" s="4" t="s">
        <v>1568</v>
      </c>
      <c r="D2353" s="4" t="s">
        <v>4572</v>
      </c>
      <c r="E2353" s="1" t="str">
        <f>_xlfn.XLOOKUP(tblSales[[#This Row],[Customer ID]],tblCustomers[Customer ID],tblCustomers[Customer Name],"⚠ Unknown")</f>
        <v>PT Cahaya Abadi Makmur</v>
      </c>
      <c r="F2353" s="4" t="s">
        <v>13</v>
      </c>
      <c r="G2353" s="1" t="str">
        <f>_xlfn.XLOOKUP(tblSales[[#This Row],[Product Code]],tblProducts[Code],tblProducts[Product / Service Name],"⚠ Unknown")</f>
        <v>Backpack</v>
      </c>
      <c r="H2353" s="1" t="str">
        <f>_xlfn.XLOOKUP(tblSales[[#This Row],[Product Code]],tblProducts[Code],tblProducts[Category],"")</f>
        <v>Bags &amp; Gadgets</v>
      </c>
      <c r="I2353" s="4">
        <v>32</v>
      </c>
      <c r="J2353" s="5">
        <f>_xlfn.XLOOKUP(tblSales[[#This Row],[Product Code]],tblProducts[Code],tblProducts[Selling Price (excl. VAT)],0)</f>
        <v>500000</v>
      </c>
      <c r="K2353" s="5">
        <f>tblSales[[#This Row],[Qty]]*tblSales[[#This Row],[Unit Price]]</f>
        <v>16000000</v>
      </c>
      <c r="L2353" s="5">
        <f>ROUND(tblSales[[#This Row],[DPP (excl. VAT)]]*VATEff,0)</f>
        <v>1760000</v>
      </c>
      <c r="M2353" s="5">
        <f>tblSales[[#This Row],[DPP (excl. VAT)]]+tblSales[[#This Row],[Output VAT]]</f>
        <v>17760000</v>
      </c>
      <c r="N2353" s="5">
        <f>tblSales[[#This Row],[Qty]]*_xlfn.XLOOKUP(tblSales[[#This Row],[Product Code]],tblProducts[Code],tblProducts[Unit Cost],0)</f>
        <v>9280000</v>
      </c>
      <c r="O2353" s="4" t="s">
        <v>4867</v>
      </c>
      <c r="P2353" s="4" t="s">
        <v>4860</v>
      </c>
      <c r="Q2353" s="1" t="str">
        <f>_xlfn.XLOOKUP(tblSales[[#This Row],[Channel Code]],tblChannels[Channel Code],tblChannels[Channel Name],"")</f>
        <v>In-store</v>
      </c>
      <c r="R2353" s="1">
        <f>MONTH(tblSales[[#This Row],[Date]])</f>
        <v>5</v>
      </c>
    </row>
    <row r="2354" spans="2:18" x14ac:dyDescent="0.35">
      <c r="B2354" s="113">
        <v>46164</v>
      </c>
      <c r="C2354" s="4" t="s">
        <v>1569</v>
      </c>
      <c r="D2354" s="4" t="s">
        <v>4648</v>
      </c>
      <c r="E2354" s="1" t="str">
        <f>_xlfn.XLOOKUP(tblSales[[#This Row],[Customer ID]],tblCustomers[Customer ID],tblCustomers[Customer Name],"⚠ Unknown")</f>
        <v>PT Lintas Benua Niaga</v>
      </c>
      <c r="F2354" s="4" t="s">
        <v>8</v>
      </c>
      <c r="G2354" s="1" t="str">
        <f>_xlfn.XLOOKUP(tblSales[[#This Row],[Product Code]],tblProducts[Code],tblProducts[Product / Service Name],"⚠ Unknown")</f>
        <v>Casual Shorts</v>
      </c>
      <c r="H2354" s="1" t="str">
        <f>_xlfn.XLOOKUP(tblSales[[#This Row],[Product Code]],tblProducts[Code],tblProducts[Category],"")</f>
        <v>Accessories &amp; Basics</v>
      </c>
      <c r="I2354" s="4">
        <v>40</v>
      </c>
      <c r="J2354" s="5">
        <f>_xlfn.XLOOKUP(tblSales[[#This Row],[Product Code]],tblProducts[Code],tblProducts[Selling Price (excl. VAT)],0)</f>
        <v>85000</v>
      </c>
      <c r="K2354" s="5">
        <f>tblSales[[#This Row],[Qty]]*tblSales[[#This Row],[Unit Price]]</f>
        <v>3400000</v>
      </c>
      <c r="L2354" s="5">
        <f>ROUND(tblSales[[#This Row],[DPP (excl. VAT)]]*VATEff,0)</f>
        <v>374000</v>
      </c>
      <c r="M2354" s="5">
        <f>tblSales[[#This Row],[DPP (excl. VAT)]]+tblSales[[#This Row],[Output VAT]]</f>
        <v>3774000</v>
      </c>
      <c r="N2354" s="5">
        <f>tblSales[[#This Row],[Qty]]*_xlfn.XLOOKUP(tblSales[[#This Row],[Product Code]],tblProducts[Code],tblProducts[Unit Cost],0)</f>
        <v>2000000</v>
      </c>
      <c r="O2354" s="4" t="s">
        <v>4867</v>
      </c>
      <c r="P2354" s="4" t="s">
        <v>4860</v>
      </c>
      <c r="Q2354" s="1" t="str">
        <f>_xlfn.XLOOKUP(tblSales[[#This Row],[Channel Code]],tblChannels[Channel Code],tblChannels[Channel Name],"")</f>
        <v>In-store</v>
      </c>
      <c r="R2354" s="1">
        <f>MONTH(tblSales[[#This Row],[Date]])</f>
        <v>5</v>
      </c>
    </row>
    <row r="2355" spans="2:18" x14ac:dyDescent="0.35">
      <c r="B2355" s="113">
        <v>46164</v>
      </c>
      <c r="C2355" s="4" t="s">
        <v>1570</v>
      </c>
      <c r="D2355" s="4" t="s">
        <v>4568</v>
      </c>
      <c r="E2355" s="1" t="str">
        <f>_xlfn.XLOOKUP(tblSales[[#This Row],[Customer ID]],tblCustomers[Customer ID],tblCustomers[Customer Name],"⚠ Unknown")</f>
        <v>Walk-in Customer</v>
      </c>
      <c r="F2355" s="4" t="s">
        <v>6</v>
      </c>
      <c r="G2355" s="1" t="str">
        <f>_xlfn.XLOOKUP(tblSales[[#This Row],[Product Code]],tblProducts[Code],tblProducts[Product / Service Name],"⚠ Unknown")</f>
        <v>Socks &amp; Accessories</v>
      </c>
      <c r="H2355" s="1" t="str">
        <f>_xlfn.XLOOKUP(tblSales[[#This Row],[Product Code]],tblProducts[Code],tblProducts[Category],"")</f>
        <v>Accessories &amp; Basics</v>
      </c>
      <c r="I2355" s="4">
        <v>11</v>
      </c>
      <c r="J2355" s="5">
        <f>_xlfn.XLOOKUP(tblSales[[#This Row],[Product Code]],tblProducts[Code],tblProducts[Selling Price (excl. VAT)],0)</f>
        <v>45000</v>
      </c>
      <c r="K2355" s="5">
        <f>tblSales[[#This Row],[Qty]]*tblSales[[#This Row],[Unit Price]]</f>
        <v>495000</v>
      </c>
      <c r="L2355" s="5">
        <f>ROUND(tblSales[[#This Row],[DPP (excl. VAT)]]*VATEff,0)</f>
        <v>54450</v>
      </c>
      <c r="M2355" s="5">
        <f>tblSales[[#This Row],[DPP (excl. VAT)]]+tblSales[[#This Row],[Output VAT]]</f>
        <v>549450</v>
      </c>
      <c r="N2355" s="5">
        <f>tblSales[[#This Row],[Qty]]*_xlfn.XLOOKUP(tblSales[[#This Row],[Product Code]],tblProducts[Code],tblProducts[Unit Cost],0)</f>
        <v>264000</v>
      </c>
      <c r="O2355" s="4" t="s">
        <v>4865</v>
      </c>
      <c r="P2355" s="4" t="s">
        <v>4860</v>
      </c>
      <c r="Q2355" s="1" t="str">
        <f>_xlfn.XLOOKUP(tblSales[[#This Row],[Channel Code]],tblChannels[Channel Code],tblChannels[Channel Name],"")</f>
        <v>In-store</v>
      </c>
      <c r="R2355" s="1">
        <f>MONTH(tblSales[[#This Row],[Date]])</f>
        <v>5</v>
      </c>
    </row>
    <row r="2356" spans="2:18" x14ac:dyDescent="0.35">
      <c r="B2356" s="113">
        <v>46164</v>
      </c>
      <c r="C2356" s="4" t="s">
        <v>1571</v>
      </c>
      <c r="D2356" s="4" t="s">
        <v>4578</v>
      </c>
      <c r="E2356" s="1" t="str">
        <f>_xlfn.XLOOKUP(tblSales[[#This Row],[Customer ID]],tblCustomers[Customer ID],tblCustomers[Customer Name],"⚠ Unknown")</f>
        <v>PT Bintang Timur Sejahtera</v>
      </c>
      <c r="F2356" s="4" t="s">
        <v>6</v>
      </c>
      <c r="G2356" s="1" t="str">
        <f>_xlfn.XLOOKUP(tblSales[[#This Row],[Product Code]],tblProducts[Code],tblProducts[Product / Service Name],"⚠ Unknown")</f>
        <v>Socks &amp; Accessories</v>
      </c>
      <c r="H2356" s="1" t="str">
        <f>_xlfn.XLOOKUP(tblSales[[#This Row],[Product Code]],tblProducts[Code],tblProducts[Category],"")</f>
        <v>Accessories &amp; Basics</v>
      </c>
      <c r="I2356" s="4">
        <v>8</v>
      </c>
      <c r="J2356" s="5">
        <f>_xlfn.XLOOKUP(tblSales[[#This Row],[Product Code]],tblProducts[Code],tblProducts[Selling Price (excl. VAT)],0)</f>
        <v>45000</v>
      </c>
      <c r="K2356" s="5">
        <f>tblSales[[#This Row],[Qty]]*tblSales[[#This Row],[Unit Price]]</f>
        <v>360000</v>
      </c>
      <c r="L2356" s="5">
        <f>ROUND(tblSales[[#This Row],[DPP (excl. VAT)]]*VATEff,0)</f>
        <v>39600</v>
      </c>
      <c r="M2356" s="5">
        <f>tblSales[[#This Row],[DPP (excl. VAT)]]+tblSales[[#This Row],[Output VAT]]</f>
        <v>399600</v>
      </c>
      <c r="N2356" s="5">
        <f>tblSales[[#This Row],[Qty]]*_xlfn.XLOOKUP(tblSales[[#This Row],[Product Code]],tblProducts[Code],tblProducts[Unit Cost],0)</f>
        <v>192000</v>
      </c>
      <c r="O2356" s="4" t="s">
        <v>4867</v>
      </c>
      <c r="P2356" s="4" t="s">
        <v>4860</v>
      </c>
      <c r="Q2356" s="1" t="str">
        <f>_xlfn.XLOOKUP(tblSales[[#This Row],[Channel Code]],tblChannels[Channel Code],tblChannels[Channel Name],"")</f>
        <v>In-store</v>
      </c>
      <c r="R2356" s="1">
        <f>MONTH(tblSales[[#This Row],[Date]])</f>
        <v>5</v>
      </c>
    </row>
    <row r="2357" spans="2:18" x14ac:dyDescent="0.35">
      <c r="B2357" s="113">
        <v>46164</v>
      </c>
      <c r="C2357" s="4" t="s">
        <v>1572</v>
      </c>
      <c r="D2357" s="4" t="s">
        <v>4568</v>
      </c>
      <c r="E2357" s="1" t="str">
        <f>_xlfn.XLOOKUP(tblSales[[#This Row],[Customer ID]],tblCustomers[Customer ID],tblCustomers[Customer Name],"⚠ Unknown")</f>
        <v>Walk-in Customer</v>
      </c>
      <c r="F2357" s="4" t="s">
        <v>7</v>
      </c>
      <c r="G2357" s="1" t="str">
        <f>_xlfn.XLOOKUP(tblSales[[#This Row],[Product Code]],tblProducts[Code],tblProducts[Product / Service Name],"⚠ Unknown")</f>
        <v>Premium Basic T-shirt</v>
      </c>
      <c r="H2357" s="1" t="str">
        <f>_xlfn.XLOOKUP(tblSales[[#This Row],[Product Code]],tblProducts[Code],tblProducts[Category],"")</f>
        <v>Accessories &amp; Basics</v>
      </c>
      <c r="I2357" s="4">
        <v>3</v>
      </c>
      <c r="J2357" s="5">
        <f>_xlfn.XLOOKUP(tblSales[[#This Row],[Product Code]],tblProducts[Code],tblProducts[Selling Price (excl. VAT)],0)</f>
        <v>65000</v>
      </c>
      <c r="K2357" s="5">
        <f>tblSales[[#This Row],[Qty]]*tblSales[[#This Row],[Unit Price]]</f>
        <v>195000</v>
      </c>
      <c r="L2357" s="5">
        <f>ROUND(tblSales[[#This Row],[DPP (excl. VAT)]]*VATEff,0)</f>
        <v>21450</v>
      </c>
      <c r="M2357" s="5">
        <f>tblSales[[#This Row],[DPP (excl. VAT)]]+tblSales[[#This Row],[Output VAT]]</f>
        <v>216450</v>
      </c>
      <c r="N2357" s="5">
        <f>tblSales[[#This Row],[Qty]]*_xlfn.XLOOKUP(tblSales[[#This Row],[Product Code]],tblProducts[Code],tblProducts[Unit Cost],0)</f>
        <v>111000</v>
      </c>
      <c r="O2357" s="4" t="s">
        <v>4865</v>
      </c>
      <c r="P2357" s="4" t="s">
        <v>4860</v>
      </c>
      <c r="Q2357" s="1" t="str">
        <f>_xlfn.XLOOKUP(tblSales[[#This Row],[Channel Code]],tblChannels[Channel Code],tblChannels[Channel Name],"")</f>
        <v>In-store</v>
      </c>
      <c r="R2357" s="1">
        <f>MONTH(tblSales[[#This Row],[Date]])</f>
        <v>5</v>
      </c>
    </row>
    <row r="2358" spans="2:18" x14ac:dyDescent="0.35">
      <c r="B2358" s="113">
        <v>46164</v>
      </c>
      <c r="C2358" s="4" t="s">
        <v>1572</v>
      </c>
      <c r="D2358" s="4" t="s">
        <v>4568</v>
      </c>
      <c r="E2358" s="1" t="str">
        <f>_xlfn.XLOOKUP(tblSales[[#This Row],[Customer ID]],tblCustomers[Customer ID],tblCustomers[Customer Name],"⚠ Unknown")</f>
        <v>Walk-in Customer</v>
      </c>
      <c r="F2358" s="4" t="s">
        <v>13</v>
      </c>
      <c r="G2358" s="1" t="str">
        <f>_xlfn.XLOOKUP(tblSales[[#This Row],[Product Code]],tblProducts[Code],tblProducts[Product / Service Name],"⚠ Unknown")</f>
        <v>Backpack</v>
      </c>
      <c r="H2358" s="1" t="str">
        <f>_xlfn.XLOOKUP(tblSales[[#This Row],[Product Code]],tblProducts[Code],tblProducts[Category],"")</f>
        <v>Bags &amp; Gadgets</v>
      </c>
      <c r="I2358" s="4">
        <v>5</v>
      </c>
      <c r="J2358" s="5">
        <f>_xlfn.XLOOKUP(tblSales[[#This Row],[Product Code]],tblProducts[Code],tblProducts[Selling Price (excl. VAT)],0)</f>
        <v>500000</v>
      </c>
      <c r="K2358" s="5">
        <f>tblSales[[#This Row],[Qty]]*tblSales[[#This Row],[Unit Price]]</f>
        <v>2500000</v>
      </c>
      <c r="L2358" s="5">
        <f>ROUND(tblSales[[#This Row],[DPP (excl. VAT)]]*VATEff,0)</f>
        <v>275000</v>
      </c>
      <c r="M2358" s="5">
        <f>tblSales[[#This Row],[DPP (excl. VAT)]]+tblSales[[#This Row],[Output VAT]]</f>
        <v>2775000</v>
      </c>
      <c r="N2358" s="5">
        <f>tblSales[[#This Row],[Qty]]*_xlfn.XLOOKUP(tblSales[[#This Row],[Product Code]],tblProducts[Code],tblProducts[Unit Cost],0)</f>
        <v>1450000</v>
      </c>
      <c r="O2358" s="4" t="s">
        <v>4865</v>
      </c>
      <c r="P2358" s="4" t="s">
        <v>4860</v>
      </c>
      <c r="Q2358" s="1" t="str">
        <f>_xlfn.XLOOKUP(tblSales[[#This Row],[Channel Code]],tblChannels[Channel Code],tblChannels[Channel Name],"")</f>
        <v>In-store</v>
      </c>
      <c r="R2358" s="1">
        <f>MONTH(tblSales[[#This Row],[Date]])</f>
        <v>5</v>
      </c>
    </row>
    <row r="2359" spans="2:18" x14ac:dyDescent="0.35">
      <c r="B2359" s="113">
        <v>46164</v>
      </c>
      <c r="C2359" s="4" t="s">
        <v>1573</v>
      </c>
      <c r="D2359" s="4" t="s">
        <v>4568</v>
      </c>
      <c r="E2359" s="1" t="str">
        <f>_xlfn.XLOOKUP(tblSales[[#This Row],[Customer ID]],tblCustomers[Customer ID],tblCustomers[Customer Name],"⚠ Unknown")</f>
        <v>Walk-in Customer</v>
      </c>
      <c r="F2359" s="4" t="s">
        <v>12</v>
      </c>
      <c r="G2359" s="1" t="str">
        <f>_xlfn.XLOOKUP(tblSales[[#This Row],[Product Code]],tblProducts[Code],tblProducts[Product / Service Name],"⚠ Unknown")</f>
        <v>Bomber Jacket</v>
      </c>
      <c r="H2359" s="1" t="str">
        <f>_xlfn.XLOOKUP(tblSales[[#This Row],[Product Code]],tblProducts[Code],tblProducts[Category],"")</f>
        <v>Apparel &amp; Footwear</v>
      </c>
      <c r="I2359" s="4">
        <v>1</v>
      </c>
      <c r="J2359" s="5">
        <f>_xlfn.XLOOKUP(tblSales[[#This Row],[Product Code]],tblProducts[Code],tblProducts[Selling Price (excl. VAT)],0)</f>
        <v>350000</v>
      </c>
      <c r="K2359" s="5">
        <f>tblSales[[#This Row],[Qty]]*tblSales[[#This Row],[Unit Price]]</f>
        <v>350000</v>
      </c>
      <c r="L2359" s="5">
        <f>ROUND(tblSales[[#This Row],[DPP (excl. VAT)]]*VATEff,0)</f>
        <v>38500</v>
      </c>
      <c r="M2359" s="5">
        <f>tblSales[[#This Row],[DPP (excl. VAT)]]+tblSales[[#This Row],[Output VAT]]</f>
        <v>388500</v>
      </c>
      <c r="N2359" s="5">
        <f>tblSales[[#This Row],[Qty]]*_xlfn.XLOOKUP(tblSales[[#This Row],[Product Code]],tblProducts[Code],tblProducts[Unit Cost],0)</f>
        <v>210000</v>
      </c>
      <c r="O2359" s="4" t="s">
        <v>4866</v>
      </c>
      <c r="P2359" s="4" t="s">
        <v>4860</v>
      </c>
      <c r="Q2359" s="1" t="str">
        <f>_xlfn.XLOOKUP(tblSales[[#This Row],[Channel Code]],tblChannels[Channel Code],tblChannels[Channel Name],"")</f>
        <v>In-store</v>
      </c>
      <c r="R2359" s="1">
        <f>MONTH(tblSales[[#This Row],[Date]])</f>
        <v>5</v>
      </c>
    </row>
    <row r="2360" spans="2:18" x14ac:dyDescent="0.35">
      <c r="B2360" s="113">
        <v>46164</v>
      </c>
      <c r="C2360" s="4" t="s">
        <v>1574</v>
      </c>
      <c r="D2360" s="4" t="s">
        <v>4568</v>
      </c>
      <c r="E2360" s="1" t="str">
        <f>_xlfn.XLOOKUP(tblSales[[#This Row],[Customer ID]],tblCustomers[Customer ID],tblCustomers[Customer Name],"⚠ Unknown")</f>
        <v>Walk-in Customer</v>
      </c>
      <c r="F2360" s="4" t="s">
        <v>9</v>
      </c>
      <c r="G2360" s="1" t="str">
        <f>_xlfn.XLOOKUP(tblSales[[#This Row],[Product Code]],tblProducts[Code],tblProducts[Product / Service Name],"⚠ Unknown")</f>
        <v>Casual Shirt</v>
      </c>
      <c r="H2360" s="1" t="str">
        <f>_xlfn.XLOOKUP(tblSales[[#This Row],[Product Code]],tblProducts[Code],tblProducts[Category],"")</f>
        <v>Apparel &amp; Footwear</v>
      </c>
      <c r="I2360" s="4">
        <v>5</v>
      </c>
      <c r="J2360" s="5">
        <f>_xlfn.XLOOKUP(tblSales[[#This Row],[Product Code]],tblProducts[Code],tblProducts[Selling Price (excl. VAT)],0)</f>
        <v>120000</v>
      </c>
      <c r="K2360" s="5">
        <f>tblSales[[#This Row],[Qty]]*tblSales[[#This Row],[Unit Price]]</f>
        <v>600000</v>
      </c>
      <c r="L2360" s="5">
        <f>ROUND(tblSales[[#This Row],[DPP (excl. VAT)]]*VATEff,0)</f>
        <v>66000</v>
      </c>
      <c r="M2360" s="5">
        <f>tblSales[[#This Row],[DPP (excl. VAT)]]+tblSales[[#This Row],[Output VAT]]</f>
        <v>666000</v>
      </c>
      <c r="N2360" s="5">
        <f>tblSales[[#This Row],[Qty]]*_xlfn.XLOOKUP(tblSales[[#This Row],[Product Code]],tblProducts[Code],tblProducts[Unit Cost],0)</f>
        <v>360000</v>
      </c>
      <c r="O2360" s="4" t="s">
        <v>4866</v>
      </c>
      <c r="P2360" s="4" t="s">
        <v>4862</v>
      </c>
      <c r="Q2360" s="1" t="str">
        <f>_xlfn.XLOOKUP(tblSales[[#This Row],[Channel Code]],tblChannels[Channel Code],tblChannels[Channel Name],"")</f>
        <v>Website &amp; Social Media</v>
      </c>
      <c r="R2360" s="1">
        <f>MONTH(tblSales[[#This Row],[Date]])</f>
        <v>5</v>
      </c>
    </row>
    <row r="2361" spans="2:18" x14ac:dyDescent="0.35">
      <c r="B2361" s="113">
        <v>46165</v>
      </c>
      <c r="C2361" s="4" t="s">
        <v>1575</v>
      </c>
      <c r="D2361" s="4" t="s">
        <v>4613</v>
      </c>
      <c r="E2361" s="1" t="str">
        <f>_xlfn.XLOOKUP(tblSales[[#This Row],[Customer ID]],tblCustomers[Customer ID],tblCustomers[Customer Name],"⚠ Unknown")</f>
        <v>PT Mega Prima Distribusi</v>
      </c>
      <c r="F2361" s="4" t="s">
        <v>13</v>
      </c>
      <c r="G2361" s="1" t="str">
        <f>_xlfn.XLOOKUP(tblSales[[#This Row],[Product Code]],tblProducts[Code],tblProducts[Product / Service Name],"⚠ Unknown")</f>
        <v>Backpack</v>
      </c>
      <c r="H2361" s="1" t="str">
        <f>_xlfn.XLOOKUP(tblSales[[#This Row],[Product Code]],tblProducts[Code],tblProducts[Category],"")</f>
        <v>Bags &amp; Gadgets</v>
      </c>
      <c r="I2361" s="4">
        <v>48</v>
      </c>
      <c r="J2361" s="5">
        <f>_xlfn.XLOOKUP(tblSales[[#This Row],[Product Code]],tblProducts[Code],tblProducts[Selling Price (excl. VAT)],0)</f>
        <v>500000</v>
      </c>
      <c r="K2361" s="5">
        <f>tblSales[[#This Row],[Qty]]*tblSales[[#This Row],[Unit Price]]</f>
        <v>24000000</v>
      </c>
      <c r="L2361" s="5">
        <f>ROUND(tblSales[[#This Row],[DPP (excl. VAT)]]*VATEff,0)</f>
        <v>2640000</v>
      </c>
      <c r="M2361" s="5">
        <f>tblSales[[#This Row],[DPP (excl. VAT)]]+tblSales[[#This Row],[Output VAT]]</f>
        <v>26640000</v>
      </c>
      <c r="N2361" s="5">
        <f>tblSales[[#This Row],[Qty]]*_xlfn.XLOOKUP(tblSales[[#This Row],[Product Code]],tblProducts[Code],tblProducts[Unit Cost],0)</f>
        <v>13920000</v>
      </c>
      <c r="O2361" s="4" t="s">
        <v>4867</v>
      </c>
      <c r="P2361" s="4" t="s">
        <v>4860</v>
      </c>
      <c r="Q2361" s="1" t="str">
        <f>_xlfn.XLOOKUP(tblSales[[#This Row],[Channel Code]],tblChannels[Channel Code],tblChannels[Channel Name],"")</f>
        <v>In-store</v>
      </c>
      <c r="R2361" s="1">
        <f>MONTH(tblSales[[#This Row],[Date]])</f>
        <v>5</v>
      </c>
    </row>
    <row r="2362" spans="2:18" x14ac:dyDescent="0.35">
      <c r="B2362" s="113">
        <v>46165</v>
      </c>
      <c r="C2362" s="4" t="s">
        <v>1575</v>
      </c>
      <c r="D2362" s="4" t="s">
        <v>4613</v>
      </c>
      <c r="E2362" s="1" t="str">
        <f>_xlfn.XLOOKUP(tblSales[[#This Row],[Customer ID]],tblCustomers[Customer ID],tblCustomers[Customer Name],"⚠ Unknown")</f>
        <v>PT Mega Prima Distribusi</v>
      </c>
      <c r="F2362" s="4" t="s">
        <v>9</v>
      </c>
      <c r="G2362" s="1" t="str">
        <f>_xlfn.XLOOKUP(tblSales[[#This Row],[Product Code]],tblProducts[Code],tblProducts[Product / Service Name],"⚠ Unknown")</f>
        <v>Casual Shirt</v>
      </c>
      <c r="H2362" s="1" t="str">
        <f>_xlfn.XLOOKUP(tblSales[[#This Row],[Product Code]],tblProducts[Code],tblProducts[Category],"")</f>
        <v>Apparel &amp; Footwear</v>
      </c>
      <c r="I2362" s="4">
        <v>72</v>
      </c>
      <c r="J2362" s="5">
        <f>_xlfn.XLOOKUP(tblSales[[#This Row],[Product Code]],tblProducts[Code],tblProducts[Selling Price (excl. VAT)],0)</f>
        <v>120000</v>
      </c>
      <c r="K2362" s="5">
        <f>tblSales[[#This Row],[Qty]]*tblSales[[#This Row],[Unit Price]]</f>
        <v>8640000</v>
      </c>
      <c r="L2362" s="5">
        <f>ROUND(tblSales[[#This Row],[DPP (excl. VAT)]]*VATEff,0)</f>
        <v>950400</v>
      </c>
      <c r="M2362" s="5">
        <f>tblSales[[#This Row],[DPP (excl. VAT)]]+tblSales[[#This Row],[Output VAT]]</f>
        <v>9590400</v>
      </c>
      <c r="N2362" s="5">
        <f>tblSales[[#This Row],[Qty]]*_xlfn.XLOOKUP(tblSales[[#This Row],[Product Code]],tblProducts[Code],tblProducts[Unit Cost],0)</f>
        <v>5184000</v>
      </c>
      <c r="O2362" s="4" t="s">
        <v>4867</v>
      </c>
      <c r="P2362" s="4" t="s">
        <v>4860</v>
      </c>
      <c r="Q2362" s="1" t="str">
        <f>_xlfn.XLOOKUP(tblSales[[#This Row],[Channel Code]],tblChannels[Channel Code],tblChannels[Channel Name],"")</f>
        <v>In-store</v>
      </c>
      <c r="R2362" s="1">
        <f>MONTH(tblSales[[#This Row],[Date]])</f>
        <v>5</v>
      </c>
    </row>
    <row r="2363" spans="2:18" x14ac:dyDescent="0.35">
      <c r="B2363" s="113">
        <v>46165</v>
      </c>
      <c r="C2363" s="4" t="s">
        <v>1576</v>
      </c>
      <c r="D2363" s="4" t="s">
        <v>4568</v>
      </c>
      <c r="E2363" s="1" t="str">
        <f>_xlfn.XLOOKUP(tblSales[[#This Row],[Customer ID]],tblCustomers[Customer ID],tblCustomers[Customer Name],"⚠ Unknown")</f>
        <v>Walk-in Customer</v>
      </c>
      <c r="F2363" s="4" t="s">
        <v>11</v>
      </c>
      <c r="G2363" s="1" t="str">
        <f>_xlfn.XLOOKUP(tblSales[[#This Row],[Product Code]],tblProducts[Code],tblProducts[Product / Service Name],"⚠ Unknown")</f>
        <v>Sneakers</v>
      </c>
      <c r="H2363" s="1" t="str">
        <f>_xlfn.XLOOKUP(tblSales[[#This Row],[Product Code]],tblProducts[Code],tblProducts[Category],"")</f>
        <v>Apparel &amp; Footwear</v>
      </c>
      <c r="I2363" s="4">
        <v>4</v>
      </c>
      <c r="J2363" s="5">
        <f>_xlfn.XLOOKUP(tblSales[[#This Row],[Product Code]],tblProducts[Code],tblProducts[Selling Price (excl. VAT)],0)</f>
        <v>250000</v>
      </c>
      <c r="K2363" s="5">
        <f>tblSales[[#This Row],[Qty]]*tblSales[[#This Row],[Unit Price]]</f>
        <v>1000000</v>
      </c>
      <c r="L2363" s="5">
        <f>ROUND(tblSales[[#This Row],[DPP (excl. VAT)]]*VATEff,0)</f>
        <v>110000</v>
      </c>
      <c r="M2363" s="5">
        <f>tblSales[[#This Row],[DPP (excl. VAT)]]+tblSales[[#This Row],[Output VAT]]</f>
        <v>1110000</v>
      </c>
      <c r="N2363" s="5">
        <f>tblSales[[#This Row],[Qty]]*_xlfn.XLOOKUP(tblSales[[#This Row],[Product Code]],tblProducts[Code],tblProducts[Unit Cost],0)</f>
        <v>620000</v>
      </c>
      <c r="O2363" s="4" t="s">
        <v>4865</v>
      </c>
      <c r="P2363" s="4" t="s">
        <v>4860</v>
      </c>
      <c r="Q2363" s="1" t="str">
        <f>_xlfn.XLOOKUP(tblSales[[#This Row],[Channel Code]],tblChannels[Channel Code],tblChannels[Channel Name],"")</f>
        <v>In-store</v>
      </c>
      <c r="R2363" s="1">
        <f>MONTH(tblSales[[#This Row],[Date]])</f>
        <v>5</v>
      </c>
    </row>
    <row r="2364" spans="2:18" x14ac:dyDescent="0.35">
      <c r="B2364" s="113">
        <v>46165</v>
      </c>
      <c r="C2364" s="4" t="s">
        <v>1577</v>
      </c>
      <c r="D2364" s="4" t="s">
        <v>4568</v>
      </c>
      <c r="E2364" s="1" t="str">
        <f>_xlfn.XLOOKUP(tblSales[[#This Row],[Customer ID]],tblCustomers[Customer ID],tblCustomers[Customer Name],"⚠ Unknown")</f>
        <v>Walk-in Customer</v>
      </c>
      <c r="F2364" s="4" t="s">
        <v>7</v>
      </c>
      <c r="G2364" s="1" t="str">
        <f>_xlfn.XLOOKUP(tblSales[[#This Row],[Product Code]],tblProducts[Code],tblProducts[Product / Service Name],"⚠ Unknown")</f>
        <v>Premium Basic T-shirt</v>
      </c>
      <c r="H2364" s="1" t="str">
        <f>_xlfn.XLOOKUP(tblSales[[#This Row],[Product Code]],tblProducts[Code],tblProducts[Category],"")</f>
        <v>Accessories &amp; Basics</v>
      </c>
      <c r="I2364" s="4">
        <v>10</v>
      </c>
      <c r="J2364" s="5">
        <f>_xlfn.XLOOKUP(tblSales[[#This Row],[Product Code]],tblProducts[Code],tblProducts[Selling Price (excl. VAT)],0)</f>
        <v>65000</v>
      </c>
      <c r="K2364" s="5">
        <f>tblSales[[#This Row],[Qty]]*tblSales[[#This Row],[Unit Price]]</f>
        <v>650000</v>
      </c>
      <c r="L2364" s="5">
        <f>ROUND(tblSales[[#This Row],[DPP (excl. VAT)]]*VATEff,0)</f>
        <v>71500</v>
      </c>
      <c r="M2364" s="5">
        <f>tblSales[[#This Row],[DPP (excl. VAT)]]+tblSales[[#This Row],[Output VAT]]</f>
        <v>721500</v>
      </c>
      <c r="N2364" s="5">
        <f>tblSales[[#This Row],[Qty]]*_xlfn.XLOOKUP(tblSales[[#This Row],[Product Code]],tblProducts[Code],tblProducts[Unit Cost],0)</f>
        <v>370000</v>
      </c>
      <c r="O2364" s="4" t="s">
        <v>4866</v>
      </c>
      <c r="P2364" s="4" t="s">
        <v>4861</v>
      </c>
      <c r="Q2364" s="1" t="str">
        <f>_xlfn.XLOOKUP(tblSales[[#This Row],[Channel Code]],tblChannels[Channel Code],tblChannels[Channel Name],"")</f>
        <v>Marketplace</v>
      </c>
      <c r="R2364" s="1">
        <f>MONTH(tblSales[[#This Row],[Date]])</f>
        <v>5</v>
      </c>
    </row>
    <row r="2365" spans="2:18" x14ac:dyDescent="0.35">
      <c r="B2365" s="113">
        <v>46165</v>
      </c>
      <c r="C2365" s="4" t="s">
        <v>1578</v>
      </c>
      <c r="D2365" s="4" t="s">
        <v>4568</v>
      </c>
      <c r="E2365" s="1" t="str">
        <f>_xlfn.XLOOKUP(tblSales[[#This Row],[Customer ID]],tblCustomers[Customer ID],tblCustomers[Customer Name],"⚠ Unknown")</f>
        <v>Walk-in Customer</v>
      </c>
      <c r="F2365" s="4" t="s">
        <v>6</v>
      </c>
      <c r="G2365" s="1" t="str">
        <f>_xlfn.XLOOKUP(tblSales[[#This Row],[Product Code]],tblProducts[Code],tblProducts[Product / Service Name],"⚠ Unknown")</f>
        <v>Socks &amp; Accessories</v>
      </c>
      <c r="H2365" s="1" t="str">
        <f>_xlfn.XLOOKUP(tblSales[[#This Row],[Product Code]],tblProducts[Code],tblProducts[Category],"")</f>
        <v>Accessories &amp; Basics</v>
      </c>
      <c r="I2365" s="4">
        <v>3</v>
      </c>
      <c r="J2365" s="5">
        <f>_xlfn.XLOOKUP(tblSales[[#This Row],[Product Code]],tblProducts[Code],tblProducts[Selling Price (excl. VAT)],0)</f>
        <v>45000</v>
      </c>
      <c r="K2365" s="5">
        <f>tblSales[[#This Row],[Qty]]*tblSales[[#This Row],[Unit Price]]</f>
        <v>135000</v>
      </c>
      <c r="L2365" s="5">
        <f>ROUND(tblSales[[#This Row],[DPP (excl. VAT)]]*VATEff,0)</f>
        <v>14850</v>
      </c>
      <c r="M2365" s="5">
        <f>tblSales[[#This Row],[DPP (excl. VAT)]]+tblSales[[#This Row],[Output VAT]]</f>
        <v>149850</v>
      </c>
      <c r="N2365" s="5">
        <f>tblSales[[#This Row],[Qty]]*_xlfn.XLOOKUP(tblSales[[#This Row],[Product Code]],tblProducts[Code],tblProducts[Unit Cost],0)</f>
        <v>72000</v>
      </c>
      <c r="O2365" s="4" t="s">
        <v>4865</v>
      </c>
      <c r="P2365" s="4" t="s">
        <v>4860</v>
      </c>
      <c r="Q2365" s="1" t="str">
        <f>_xlfn.XLOOKUP(tblSales[[#This Row],[Channel Code]],tblChannels[Channel Code],tblChannels[Channel Name],"")</f>
        <v>In-store</v>
      </c>
      <c r="R2365" s="1">
        <f>MONTH(tblSales[[#This Row],[Date]])</f>
        <v>5</v>
      </c>
    </row>
    <row r="2366" spans="2:18" x14ac:dyDescent="0.35">
      <c r="B2366" s="113">
        <v>46165</v>
      </c>
      <c r="C2366" s="4" t="s">
        <v>1579</v>
      </c>
      <c r="D2366" s="4" t="s">
        <v>4572</v>
      </c>
      <c r="E2366" s="1" t="str">
        <f>_xlfn.XLOOKUP(tblSales[[#This Row],[Customer ID]],tblCustomers[Customer ID],tblCustomers[Customer Name],"⚠ Unknown")</f>
        <v>PT Cahaya Abadi Makmur</v>
      </c>
      <c r="F2366" s="4" t="s">
        <v>12</v>
      </c>
      <c r="G2366" s="1" t="str">
        <f>_xlfn.XLOOKUP(tblSales[[#This Row],[Product Code]],tblProducts[Code],tblProducts[Product / Service Name],"⚠ Unknown")</f>
        <v>Bomber Jacket</v>
      </c>
      <c r="H2366" s="1" t="str">
        <f>_xlfn.XLOOKUP(tblSales[[#This Row],[Product Code]],tblProducts[Code],tblProducts[Category],"")</f>
        <v>Apparel &amp; Footwear</v>
      </c>
      <c r="I2366" s="4">
        <v>48</v>
      </c>
      <c r="J2366" s="5">
        <f>_xlfn.XLOOKUP(tblSales[[#This Row],[Product Code]],tblProducts[Code],tblProducts[Selling Price (excl. VAT)],0)</f>
        <v>350000</v>
      </c>
      <c r="K2366" s="5">
        <f>tblSales[[#This Row],[Qty]]*tblSales[[#This Row],[Unit Price]]</f>
        <v>16800000</v>
      </c>
      <c r="L2366" s="5">
        <f>ROUND(tblSales[[#This Row],[DPP (excl. VAT)]]*VATEff,0)</f>
        <v>1848000</v>
      </c>
      <c r="M2366" s="5">
        <f>tblSales[[#This Row],[DPP (excl. VAT)]]+tblSales[[#This Row],[Output VAT]]</f>
        <v>18648000</v>
      </c>
      <c r="N2366" s="5">
        <f>tblSales[[#This Row],[Qty]]*_xlfn.XLOOKUP(tblSales[[#This Row],[Product Code]],tblProducts[Code],tblProducts[Unit Cost],0)</f>
        <v>10080000</v>
      </c>
      <c r="O2366" s="4" t="s">
        <v>4867</v>
      </c>
      <c r="P2366" s="4" t="s">
        <v>4860</v>
      </c>
      <c r="Q2366" s="1" t="str">
        <f>_xlfn.XLOOKUP(tblSales[[#This Row],[Channel Code]],tblChannels[Channel Code],tblChannels[Channel Name],"")</f>
        <v>In-store</v>
      </c>
      <c r="R2366" s="1">
        <f>MONTH(tblSales[[#This Row],[Date]])</f>
        <v>5</v>
      </c>
    </row>
    <row r="2367" spans="2:18" x14ac:dyDescent="0.35">
      <c r="B2367" s="113">
        <v>46165</v>
      </c>
      <c r="C2367" s="4" t="s">
        <v>1580</v>
      </c>
      <c r="D2367" s="4" t="s">
        <v>4568</v>
      </c>
      <c r="E2367" s="1" t="str">
        <f>_xlfn.XLOOKUP(tblSales[[#This Row],[Customer ID]],tblCustomers[Customer ID],tblCustomers[Customer Name],"⚠ Unknown")</f>
        <v>Walk-in Customer</v>
      </c>
      <c r="F2367" s="4" t="s">
        <v>12</v>
      </c>
      <c r="G2367" s="1" t="str">
        <f>_xlfn.XLOOKUP(tblSales[[#This Row],[Product Code]],tblProducts[Code],tblProducts[Product / Service Name],"⚠ Unknown")</f>
        <v>Bomber Jacket</v>
      </c>
      <c r="H2367" s="1" t="str">
        <f>_xlfn.XLOOKUP(tblSales[[#This Row],[Product Code]],tblProducts[Code],tblProducts[Category],"")</f>
        <v>Apparel &amp; Footwear</v>
      </c>
      <c r="I2367" s="4">
        <v>4</v>
      </c>
      <c r="J2367" s="5">
        <f>_xlfn.XLOOKUP(tblSales[[#This Row],[Product Code]],tblProducts[Code],tblProducts[Selling Price (excl. VAT)],0)</f>
        <v>350000</v>
      </c>
      <c r="K2367" s="5">
        <f>tblSales[[#This Row],[Qty]]*tblSales[[#This Row],[Unit Price]]</f>
        <v>1400000</v>
      </c>
      <c r="L2367" s="5">
        <f>ROUND(tblSales[[#This Row],[DPP (excl. VAT)]]*VATEff,0)</f>
        <v>154000</v>
      </c>
      <c r="M2367" s="5">
        <f>tblSales[[#This Row],[DPP (excl. VAT)]]+tblSales[[#This Row],[Output VAT]]</f>
        <v>1554000</v>
      </c>
      <c r="N2367" s="5">
        <f>tblSales[[#This Row],[Qty]]*_xlfn.XLOOKUP(tblSales[[#This Row],[Product Code]],tblProducts[Code],tblProducts[Unit Cost],0)</f>
        <v>840000</v>
      </c>
      <c r="O2367" s="4" t="s">
        <v>4866</v>
      </c>
      <c r="P2367" s="4" t="s">
        <v>4860</v>
      </c>
      <c r="Q2367" s="1" t="str">
        <f>_xlfn.XLOOKUP(tblSales[[#This Row],[Channel Code]],tblChannels[Channel Code],tblChannels[Channel Name],"")</f>
        <v>In-store</v>
      </c>
      <c r="R2367" s="1">
        <f>MONTH(tblSales[[#This Row],[Date]])</f>
        <v>5</v>
      </c>
    </row>
    <row r="2368" spans="2:18" x14ac:dyDescent="0.35">
      <c r="B2368" s="113">
        <v>46165</v>
      </c>
      <c r="C2368" s="4" t="s">
        <v>1581</v>
      </c>
      <c r="D2368" s="4" t="s">
        <v>4568</v>
      </c>
      <c r="E2368" s="1" t="str">
        <f>_xlfn.XLOOKUP(tblSales[[#This Row],[Customer ID]],tblCustomers[Customer ID],tblCustomers[Customer Name],"⚠ Unknown")</f>
        <v>Walk-in Customer</v>
      </c>
      <c r="F2368" s="4" t="s">
        <v>8</v>
      </c>
      <c r="G2368" s="1" t="str">
        <f>_xlfn.XLOOKUP(tblSales[[#This Row],[Product Code]],tblProducts[Code],tblProducts[Product / Service Name],"⚠ Unknown")</f>
        <v>Casual Shorts</v>
      </c>
      <c r="H2368" s="1" t="str">
        <f>_xlfn.XLOOKUP(tblSales[[#This Row],[Product Code]],tblProducts[Code],tblProducts[Category],"")</f>
        <v>Accessories &amp; Basics</v>
      </c>
      <c r="I2368" s="4">
        <v>7</v>
      </c>
      <c r="J2368" s="5">
        <f>_xlfn.XLOOKUP(tblSales[[#This Row],[Product Code]],tblProducts[Code],tblProducts[Selling Price (excl. VAT)],0)</f>
        <v>85000</v>
      </c>
      <c r="K2368" s="5">
        <f>tblSales[[#This Row],[Qty]]*tblSales[[#This Row],[Unit Price]]</f>
        <v>595000</v>
      </c>
      <c r="L2368" s="5">
        <f>ROUND(tblSales[[#This Row],[DPP (excl. VAT)]]*VATEff,0)</f>
        <v>65450</v>
      </c>
      <c r="M2368" s="5">
        <f>tblSales[[#This Row],[DPP (excl. VAT)]]+tblSales[[#This Row],[Output VAT]]</f>
        <v>660450</v>
      </c>
      <c r="N2368" s="5">
        <f>tblSales[[#This Row],[Qty]]*_xlfn.XLOOKUP(tblSales[[#This Row],[Product Code]],tblProducts[Code],tblProducts[Unit Cost],0)</f>
        <v>350000</v>
      </c>
      <c r="O2368" s="4" t="s">
        <v>4866</v>
      </c>
      <c r="P2368" s="4" t="s">
        <v>4860</v>
      </c>
      <c r="Q2368" s="1" t="str">
        <f>_xlfn.XLOOKUP(tblSales[[#This Row],[Channel Code]],tblChannels[Channel Code],tblChannels[Channel Name],"")</f>
        <v>In-store</v>
      </c>
      <c r="R2368" s="1">
        <f>MONTH(tblSales[[#This Row],[Date]])</f>
        <v>5</v>
      </c>
    </row>
    <row r="2369" spans="2:18" x14ac:dyDescent="0.35">
      <c r="B2369" s="113">
        <v>46165</v>
      </c>
      <c r="C2369" s="4" t="s">
        <v>1582</v>
      </c>
      <c r="D2369" s="4" t="s">
        <v>4568</v>
      </c>
      <c r="E2369" s="1" t="str">
        <f>_xlfn.XLOOKUP(tblSales[[#This Row],[Customer ID]],tblCustomers[Customer ID],tblCustomers[Customer Name],"⚠ Unknown")</f>
        <v>Walk-in Customer</v>
      </c>
      <c r="F2369" s="4" t="s">
        <v>11</v>
      </c>
      <c r="G2369" s="1" t="str">
        <f>_xlfn.XLOOKUP(tblSales[[#This Row],[Product Code]],tblProducts[Code],tblProducts[Product / Service Name],"⚠ Unknown")</f>
        <v>Sneakers</v>
      </c>
      <c r="H2369" s="1" t="str">
        <f>_xlfn.XLOOKUP(tblSales[[#This Row],[Product Code]],tblProducts[Code],tblProducts[Category],"")</f>
        <v>Apparel &amp; Footwear</v>
      </c>
      <c r="I2369" s="4">
        <v>6</v>
      </c>
      <c r="J2369" s="5">
        <f>_xlfn.XLOOKUP(tblSales[[#This Row],[Product Code]],tblProducts[Code],tblProducts[Selling Price (excl. VAT)],0)</f>
        <v>250000</v>
      </c>
      <c r="K2369" s="5">
        <f>tblSales[[#This Row],[Qty]]*tblSales[[#This Row],[Unit Price]]</f>
        <v>1500000</v>
      </c>
      <c r="L2369" s="5">
        <f>ROUND(tblSales[[#This Row],[DPP (excl. VAT)]]*VATEff,0)</f>
        <v>165000</v>
      </c>
      <c r="M2369" s="5">
        <f>tblSales[[#This Row],[DPP (excl. VAT)]]+tblSales[[#This Row],[Output VAT]]</f>
        <v>1665000</v>
      </c>
      <c r="N2369" s="5">
        <f>tblSales[[#This Row],[Qty]]*_xlfn.XLOOKUP(tblSales[[#This Row],[Product Code]],tblProducts[Code],tblProducts[Unit Cost],0)</f>
        <v>930000</v>
      </c>
      <c r="O2369" s="4" t="s">
        <v>4865</v>
      </c>
      <c r="P2369" s="4" t="s">
        <v>4860</v>
      </c>
      <c r="Q2369" s="1" t="str">
        <f>_xlfn.XLOOKUP(tblSales[[#This Row],[Channel Code]],tblChannels[Channel Code],tblChannels[Channel Name],"")</f>
        <v>In-store</v>
      </c>
      <c r="R2369" s="1">
        <f>MONTH(tblSales[[#This Row],[Date]])</f>
        <v>5</v>
      </c>
    </row>
    <row r="2370" spans="2:18" x14ac:dyDescent="0.35">
      <c r="B2370" s="113">
        <v>46165</v>
      </c>
      <c r="C2370" s="4" t="s">
        <v>1582</v>
      </c>
      <c r="D2370" s="4" t="s">
        <v>4568</v>
      </c>
      <c r="E2370" s="1" t="str">
        <f>_xlfn.XLOOKUP(tblSales[[#This Row],[Customer ID]],tblCustomers[Customer ID],tblCustomers[Customer Name],"⚠ Unknown")</f>
        <v>Walk-in Customer</v>
      </c>
      <c r="F2370" s="4" t="s">
        <v>12</v>
      </c>
      <c r="G2370" s="1" t="str">
        <f>_xlfn.XLOOKUP(tblSales[[#This Row],[Product Code]],tblProducts[Code],tblProducts[Product / Service Name],"⚠ Unknown")</f>
        <v>Bomber Jacket</v>
      </c>
      <c r="H2370" s="1" t="str">
        <f>_xlfn.XLOOKUP(tblSales[[#This Row],[Product Code]],tblProducts[Code],tblProducts[Category],"")</f>
        <v>Apparel &amp; Footwear</v>
      </c>
      <c r="I2370" s="4">
        <v>3</v>
      </c>
      <c r="J2370" s="5">
        <f>_xlfn.XLOOKUP(tblSales[[#This Row],[Product Code]],tblProducts[Code],tblProducts[Selling Price (excl. VAT)],0)</f>
        <v>350000</v>
      </c>
      <c r="K2370" s="5">
        <f>tblSales[[#This Row],[Qty]]*tblSales[[#This Row],[Unit Price]]</f>
        <v>1050000</v>
      </c>
      <c r="L2370" s="5">
        <f>ROUND(tblSales[[#This Row],[DPP (excl. VAT)]]*VATEff,0)</f>
        <v>115500</v>
      </c>
      <c r="M2370" s="5">
        <f>tblSales[[#This Row],[DPP (excl. VAT)]]+tblSales[[#This Row],[Output VAT]]</f>
        <v>1165500</v>
      </c>
      <c r="N2370" s="5">
        <f>tblSales[[#This Row],[Qty]]*_xlfn.XLOOKUP(tblSales[[#This Row],[Product Code]],tblProducts[Code],tblProducts[Unit Cost],0)</f>
        <v>630000</v>
      </c>
      <c r="O2370" s="4" t="s">
        <v>4865</v>
      </c>
      <c r="P2370" s="4" t="s">
        <v>4860</v>
      </c>
      <c r="Q2370" s="1" t="str">
        <f>_xlfn.XLOOKUP(tblSales[[#This Row],[Channel Code]],tblChannels[Channel Code],tblChannels[Channel Name],"")</f>
        <v>In-store</v>
      </c>
      <c r="R2370" s="1">
        <f>MONTH(tblSales[[#This Row],[Date]])</f>
        <v>5</v>
      </c>
    </row>
    <row r="2371" spans="2:18" x14ac:dyDescent="0.35">
      <c r="B2371" s="113">
        <v>46165</v>
      </c>
      <c r="C2371" s="4" t="s">
        <v>1582</v>
      </c>
      <c r="D2371" s="4" t="s">
        <v>4568</v>
      </c>
      <c r="E2371" s="1" t="str">
        <f>_xlfn.XLOOKUP(tblSales[[#This Row],[Customer ID]],tblCustomers[Customer ID],tblCustomers[Customer Name],"⚠ Unknown")</f>
        <v>Walk-in Customer</v>
      </c>
      <c r="F2371" s="4" t="s">
        <v>10</v>
      </c>
      <c r="G2371" s="1" t="str">
        <f>_xlfn.XLOOKUP(tblSales[[#This Row],[Product Code]],tblProducts[Code],tblProducts[Product / Service Name],"⚠ Unknown")</f>
        <v>Chino Pants</v>
      </c>
      <c r="H2371" s="1" t="str">
        <f>_xlfn.XLOOKUP(tblSales[[#This Row],[Product Code]],tblProducts[Code],tblProducts[Category],"")</f>
        <v>Apparel &amp; Footwear</v>
      </c>
      <c r="I2371" s="4">
        <v>12</v>
      </c>
      <c r="J2371" s="5">
        <f>_xlfn.XLOOKUP(tblSales[[#This Row],[Product Code]],tblProducts[Code],tblProducts[Selling Price (excl. VAT)],0)</f>
        <v>150000</v>
      </c>
      <c r="K2371" s="5">
        <f>tblSales[[#This Row],[Qty]]*tblSales[[#This Row],[Unit Price]]</f>
        <v>1800000</v>
      </c>
      <c r="L2371" s="5">
        <f>ROUND(tblSales[[#This Row],[DPP (excl. VAT)]]*VATEff,0)</f>
        <v>198000</v>
      </c>
      <c r="M2371" s="5">
        <f>tblSales[[#This Row],[DPP (excl. VAT)]]+tblSales[[#This Row],[Output VAT]]</f>
        <v>1998000</v>
      </c>
      <c r="N2371" s="5">
        <f>tblSales[[#This Row],[Qty]]*_xlfn.XLOOKUP(tblSales[[#This Row],[Product Code]],tblProducts[Code],tblProducts[Unit Cost],0)</f>
        <v>1056000</v>
      </c>
      <c r="O2371" s="4" t="s">
        <v>4865</v>
      </c>
      <c r="P2371" s="4" t="s">
        <v>4860</v>
      </c>
      <c r="Q2371" s="1" t="str">
        <f>_xlfn.XLOOKUP(tblSales[[#This Row],[Channel Code]],tblChannels[Channel Code],tblChannels[Channel Name],"")</f>
        <v>In-store</v>
      </c>
      <c r="R2371" s="1">
        <f>MONTH(tblSales[[#This Row],[Date]])</f>
        <v>5</v>
      </c>
    </row>
    <row r="2372" spans="2:18" x14ac:dyDescent="0.35">
      <c r="B2372" s="113">
        <v>46165</v>
      </c>
      <c r="C2372" s="4" t="s">
        <v>1583</v>
      </c>
      <c r="D2372" s="4" t="s">
        <v>4634</v>
      </c>
      <c r="E2372" s="1" t="str">
        <f>_xlfn.XLOOKUP(tblSales[[#This Row],[Customer ID]],tblCustomers[Customer ID],tblCustomers[Customer Name],"⚠ Unknown")</f>
        <v>PT Delta Inti Selaras</v>
      </c>
      <c r="F2372" s="4" t="s">
        <v>8</v>
      </c>
      <c r="G2372" s="1" t="str">
        <f>_xlfn.XLOOKUP(tblSales[[#This Row],[Product Code]],tblProducts[Code],tblProducts[Product / Service Name],"⚠ Unknown")</f>
        <v>Casual Shorts</v>
      </c>
      <c r="H2372" s="1" t="str">
        <f>_xlfn.XLOOKUP(tblSales[[#This Row],[Product Code]],tblProducts[Code],tblProducts[Category],"")</f>
        <v>Accessories &amp; Basics</v>
      </c>
      <c r="I2372" s="4">
        <v>56</v>
      </c>
      <c r="J2372" s="5">
        <f>_xlfn.XLOOKUP(tblSales[[#This Row],[Product Code]],tblProducts[Code],tblProducts[Selling Price (excl. VAT)],0)</f>
        <v>85000</v>
      </c>
      <c r="K2372" s="5">
        <f>tblSales[[#This Row],[Qty]]*tblSales[[#This Row],[Unit Price]]</f>
        <v>4760000</v>
      </c>
      <c r="L2372" s="5">
        <f>ROUND(tblSales[[#This Row],[DPP (excl. VAT)]]*VATEff,0)</f>
        <v>523600</v>
      </c>
      <c r="M2372" s="5">
        <f>tblSales[[#This Row],[DPP (excl. VAT)]]+tblSales[[#This Row],[Output VAT]]</f>
        <v>5283600</v>
      </c>
      <c r="N2372" s="5">
        <f>tblSales[[#This Row],[Qty]]*_xlfn.XLOOKUP(tblSales[[#This Row],[Product Code]],tblProducts[Code],tblProducts[Unit Cost],0)</f>
        <v>2800000</v>
      </c>
      <c r="O2372" s="4" t="s">
        <v>4867</v>
      </c>
      <c r="P2372" s="4" t="s">
        <v>4860</v>
      </c>
      <c r="Q2372" s="1" t="str">
        <f>_xlfn.XLOOKUP(tblSales[[#This Row],[Channel Code]],tblChannels[Channel Code],tblChannels[Channel Name],"")</f>
        <v>In-store</v>
      </c>
      <c r="R2372" s="1">
        <f>MONTH(tblSales[[#This Row],[Date]])</f>
        <v>5</v>
      </c>
    </row>
    <row r="2373" spans="2:18" x14ac:dyDescent="0.35">
      <c r="B2373" s="113">
        <v>46165</v>
      </c>
      <c r="C2373" s="4" t="s">
        <v>1584</v>
      </c>
      <c r="D2373" s="4" t="s">
        <v>4568</v>
      </c>
      <c r="E2373" s="1" t="str">
        <f>_xlfn.XLOOKUP(tblSales[[#This Row],[Customer ID]],tblCustomers[Customer ID],tblCustomers[Customer Name],"⚠ Unknown")</f>
        <v>Walk-in Customer</v>
      </c>
      <c r="F2373" s="4" t="s">
        <v>9</v>
      </c>
      <c r="G2373" s="1" t="str">
        <f>_xlfn.XLOOKUP(tblSales[[#This Row],[Product Code]],tblProducts[Code],tblProducts[Product / Service Name],"⚠ Unknown")</f>
        <v>Casual Shirt</v>
      </c>
      <c r="H2373" s="1" t="str">
        <f>_xlfn.XLOOKUP(tblSales[[#This Row],[Product Code]],tblProducts[Code],tblProducts[Category],"")</f>
        <v>Apparel &amp; Footwear</v>
      </c>
      <c r="I2373" s="4">
        <v>7</v>
      </c>
      <c r="J2373" s="5">
        <f>_xlfn.XLOOKUP(tblSales[[#This Row],[Product Code]],tblProducts[Code],tblProducts[Selling Price (excl. VAT)],0)</f>
        <v>120000</v>
      </c>
      <c r="K2373" s="5">
        <f>tblSales[[#This Row],[Qty]]*tblSales[[#This Row],[Unit Price]]</f>
        <v>840000</v>
      </c>
      <c r="L2373" s="5">
        <f>ROUND(tblSales[[#This Row],[DPP (excl. VAT)]]*VATEff,0)</f>
        <v>92400</v>
      </c>
      <c r="M2373" s="5">
        <f>tblSales[[#This Row],[DPP (excl. VAT)]]+tblSales[[#This Row],[Output VAT]]</f>
        <v>932400</v>
      </c>
      <c r="N2373" s="5">
        <f>tblSales[[#This Row],[Qty]]*_xlfn.XLOOKUP(tblSales[[#This Row],[Product Code]],tblProducts[Code],tblProducts[Unit Cost],0)</f>
        <v>504000</v>
      </c>
      <c r="O2373" s="4" t="s">
        <v>4866</v>
      </c>
      <c r="P2373" s="4" t="s">
        <v>4862</v>
      </c>
      <c r="Q2373" s="1" t="str">
        <f>_xlfn.XLOOKUP(tblSales[[#This Row],[Channel Code]],tblChannels[Channel Code],tblChannels[Channel Name],"")</f>
        <v>Website &amp; Social Media</v>
      </c>
      <c r="R2373" s="1">
        <f>MONTH(tblSales[[#This Row],[Date]])</f>
        <v>5</v>
      </c>
    </row>
    <row r="2374" spans="2:18" x14ac:dyDescent="0.35">
      <c r="B2374" s="113">
        <v>46165</v>
      </c>
      <c r="C2374" s="4" t="s">
        <v>1584</v>
      </c>
      <c r="D2374" s="4" t="s">
        <v>4568</v>
      </c>
      <c r="E2374" s="1" t="str">
        <f>_xlfn.XLOOKUP(tblSales[[#This Row],[Customer ID]],tblCustomers[Customer ID],tblCustomers[Customer Name],"⚠ Unknown")</f>
        <v>Walk-in Customer</v>
      </c>
      <c r="F2374" s="4" t="s">
        <v>6</v>
      </c>
      <c r="G2374" s="1" t="str">
        <f>_xlfn.XLOOKUP(tblSales[[#This Row],[Product Code]],tblProducts[Code],tblProducts[Product / Service Name],"⚠ Unknown")</f>
        <v>Socks &amp; Accessories</v>
      </c>
      <c r="H2374" s="1" t="str">
        <f>_xlfn.XLOOKUP(tblSales[[#This Row],[Product Code]],tblProducts[Code],tblProducts[Category],"")</f>
        <v>Accessories &amp; Basics</v>
      </c>
      <c r="I2374" s="4">
        <v>6</v>
      </c>
      <c r="J2374" s="5">
        <f>_xlfn.XLOOKUP(tblSales[[#This Row],[Product Code]],tblProducts[Code],tblProducts[Selling Price (excl. VAT)],0)</f>
        <v>45000</v>
      </c>
      <c r="K2374" s="5">
        <f>tblSales[[#This Row],[Qty]]*tblSales[[#This Row],[Unit Price]]</f>
        <v>270000</v>
      </c>
      <c r="L2374" s="5">
        <f>ROUND(tblSales[[#This Row],[DPP (excl. VAT)]]*VATEff,0)</f>
        <v>29700</v>
      </c>
      <c r="M2374" s="5">
        <f>tblSales[[#This Row],[DPP (excl. VAT)]]+tblSales[[#This Row],[Output VAT]]</f>
        <v>299700</v>
      </c>
      <c r="N2374" s="5">
        <f>tblSales[[#This Row],[Qty]]*_xlfn.XLOOKUP(tblSales[[#This Row],[Product Code]],tblProducts[Code],tblProducts[Unit Cost],0)</f>
        <v>144000</v>
      </c>
      <c r="O2374" s="4" t="s">
        <v>4866</v>
      </c>
      <c r="P2374" s="4" t="s">
        <v>4862</v>
      </c>
      <c r="Q2374" s="1" t="str">
        <f>_xlfn.XLOOKUP(tblSales[[#This Row],[Channel Code]],tblChannels[Channel Code],tblChannels[Channel Name],"")</f>
        <v>Website &amp; Social Media</v>
      </c>
      <c r="R2374" s="1">
        <f>MONTH(tblSales[[#This Row],[Date]])</f>
        <v>5</v>
      </c>
    </row>
    <row r="2375" spans="2:18" x14ac:dyDescent="0.35">
      <c r="B2375" s="113">
        <v>46165</v>
      </c>
      <c r="C2375" s="4" t="s">
        <v>1585</v>
      </c>
      <c r="D2375" s="4" t="s">
        <v>4585</v>
      </c>
      <c r="E2375" s="1" t="str">
        <f>_xlfn.XLOOKUP(tblSales[[#This Row],[Customer ID]],tblCustomers[Customer ID],tblCustomers[Customer Name],"⚠ Unknown")</f>
        <v>CV Mitra Karya Mandiri</v>
      </c>
      <c r="F2375" s="4" t="s">
        <v>10</v>
      </c>
      <c r="G2375" s="1" t="str">
        <f>_xlfn.XLOOKUP(tblSales[[#This Row],[Product Code]],tblProducts[Code],tblProducts[Product / Service Name],"⚠ Unknown")</f>
        <v>Chino Pants</v>
      </c>
      <c r="H2375" s="1" t="str">
        <f>_xlfn.XLOOKUP(tblSales[[#This Row],[Product Code]],tblProducts[Code],tblProducts[Category],"")</f>
        <v>Apparel &amp; Footwear</v>
      </c>
      <c r="I2375" s="4">
        <v>8</v>
      </c>
      <c r="J2375" s="5">
        <f>_xlfn.XLOOKUP(tblSales[[#This Row],[Product Code]],tblProducts[Code],tblProducts[Selling Price (excl. VAT)],0)</f>
        <v>150000</v>
      </c>
      <c r="K2375" s="5">
        <f>tblSales[[#This Row],[Qty]]*tblSales[[#This Row],[Unit Price]]</f>
        <v>1200000</v>
      </c>
      <c r="L2375" s="5">
        <f>ROUND(tblSales[[#This Row],[DPP (excl. VAT)]]*VATEff,0)</f>
        <v>132000</v>
      </c>
      <c r="M2375" s="5">
        <f>tblSales[[#This Row],[DPP (excl. VAT)]]+tblSales[[#This Row],[Output VAT]]</f>
        <v>1332000</v>
      </c>
      <c r="N2375" s="5">
        <f>tblSales[[#This Row],[Qty]]*_xlfn.XLOOKUP(tblSales[[#This Row],[Product Code]],tblProducts[Code],tblProducts[Unit Cost],0)</f>
        <v>704000</v>
      </c>
      <c r="O2375" s="4" t="s">
        <v>4867</v>
      </c>
      <c r="P2375" s="4" t="s">
        <v>4860</v>
      </c>
      <c r="Q2375" s="1" t="str">
        <f>_xlfn.XLOOKUP(tblSales[[#This Row],[Channel Code]],tblChannels[Channel Code],tblChannels[Channel Name],"")</f>
        <v>In-store</v>
      </c>
      <c r="R2375" s="1">
        <f>MONTH(tblSales[[#This Row],[Date]])</f>
        <v>5</v>
      </c>
    </row>
    <row r="2376" spans="2:18" x14ac:dyDescent="0.35">
      <c r="B2376" s="113">
        <v>46165</v>
      </c>
      <c r="C2376" s="4" t="s">
        <v>1586</v>
      </c>
      <c r="D2376" s="4" t="s">
        <v>4568</v>
      </c>
      <c r="E2376" s="1" t="str">
        <f>_xlfn.XLOOKUP(tblSales[[#This Row],[Customer ID]],tblCustomers[Customer ID],tblCustomers[Customer Name],"⚠ Unknown")</f>
        <v>Walk-in Customer</v>
      </c>
      <c r="F2376" s="4" t="s">
        <v>8</v>
      </c>
      <c r="G2376" s="1" t="str">
        <f>_xlfn.XLOOKUP(tblSales[[#This Row],[Product Code]],tblProducts[Code],tblProducts[Product / Service Name],"⚠ Unknown")</f>
        <v>Casual Shorts</v>
      </c>
      <c r="H2376" s="1" t="str">
        <f>_xlfn.XLOOKUP(tblSales[[#This Row],[Product Code]],tblProducts[Code],tblProducts[Category],"")</f>
        <v>Accessories &amp; Basics</v>
      </c>
      <c r="I2376" s="4">
        <v>8</v>
      </c>
      <c r="J2376" s="5">
        <f>_xlfn.XLOOKUP(tblSales[[#This Row],[Product Code]],tblProducts[Code],tblProducts[Selling Price (excl. VAT)],0)</f>
        <v>85000</v>
      </c>
      <c r="K2376" s="5">
        <f>tblSales[[#This Row],[Qty]]*tblSales[[#This Row],[Unit Price]]</f>
        <v>680000</v>
      </c>
      <c r="L2376" s="5">
        <f>ROUND(tblSales[[#This Row],[DPP (excl. VAT)]]*VATEff,0)</f>
        <v>74800</v>
      </c>
      <c r="M2376" s="5">
        <f>tblSales[[#This Row],[DPP (excl. VAT)]]+tblSales[[#This Row],[Output VAT]]</f>
        <v>754800</v>
      </c>
      <c r="N2376" s="5">
        <f>tblSales[[#This Row],[Qty]]*_xlfn.XLOOKUP(tblSales[[#This Row],[Product Code]],tblProducts[Code],tblProducts[Unit Cost],0)</f>
        <v>400000</v>
      </c>
      <c r="O2376" s="4" t="s">
        <v>4865</v>
      </c>
      <c r="P2376" s="4" t="s">
        <v>4860</v>
      </c>
      <c r="Q2376" s="1" t="str">
        <f>_xlfn.XLOOKUP(tblSales[[#This Row],[Channel Code]],tblChannels[Channel Code],tblChannels[Channel Name],"")</f>
        <v>In-store</v>
      </c>
      <c r="R2376" s="1">
        <f>MONTH(tblSales[[#This Row],[Date]])</f>
        <v>5</v>
      </c>
    </row>
    <row r="2377" spans="2:18" x14ac:dyDescent="0.35">
      <c r="B2377" s="113">
        <v>46165</v>
      </c>
      <c r="C2377" s="4" t="s">
        <v>1586</v>
      </c>
      <c r="D2377" s="4" t="s">
        <v>4568</v>
      </c>
      <c r="E2377" s="1" t="str">
        <f>_xlfn.XLOOKUP(tblSales[[#This Row],[Customer ID]],tblCustomers[Customer ID],tblCustomers[Customer Name],"⚠ Unknown")</f>
        <v>Walk-in Customer</v>
      </c>
      <c r="F2377" s="4" t="s">
        <v>6</v>
      </c>
      <c r="G2377" s="1" t="str">
        <f>_xlfn.XLOOKUP(tblSales[[#This Row],[Product Code]],tblProducts[Code],tblProducts[Product / Service Name],"⚠ Unknown")</f>
        <v>Socks &amp; Accessories</v>
      </c>
      <c r="H2377" s="1" t="str">
        <f>_xlfn.XLOOKUP(tblSales[[#This Row],[Product Code]],tblProducts[Code],tblProducts[Category],"")</f>
        <v>Accessories &amp; Basics</v>
      </c>
      <c r="I2377" s="4">
        <v>9</v>
      </c>
      <c r="J2377" s="5">
        <f>_xlfn.XLOOKUP(tblSales[[#This Row],[Product Code]],tblProducts[Code],tblProducts[Selling Price (excl. VAT)],0)</f>
        <v>45000</v>
      </c>
      <c r="K2377" s="5">
        <f>tblSales[[#This Row],[Qty]]*tblSales[[#This Row],[Unit Price]]</f>
        <v>405000</v>
      </c>
      <c r="L2377" s="5">
        <f>ROUND(tblSales[[#This Row],[DPP (excl. VAT)]]*VATEff,0)</f>
        <v>44550</v>
      </c>
      <c r="M2377" s="5">
        <f>tblSales[[#This Row],[DPP (excl. VAT)]]+tblSales[[#This Row],[Output VAT]]</f>
        <v>449550</v>
      </c>
      <c r="N2377" s="5">
        <f>tblSales[[#This Row],[Qty]]*_xlfn.XLOOKUP(tblSales[[#This Row],[Product Code]],tblProducts[Code],tblProducts[Unit Cost],0)</f>
        <v>216000</v>
      </c>
      <c r="O2377" s="4" t="s">
        <v>4865</v>
      </c>
      <c r="P2377" s="4" t="s">
        <v>4860</v>
      </c>
      <c r="Q2377" s="1" t="str">
        <f>_xlfn.XLOOKUP(tblSales[[#This Row],[Channel Code]],tblChannels[Channel Code],tblChannels[Channel Name],"")</f>
        <v>In-store</v>
      </c>
      <c r="R2377" s="1">
        <f>MONTH(tblSales[[#This Row],[Date]])</f>
        <v>5</v>
      </c>
    </row>
    <row r="2378" spans="2:18" x14ac:dyDescent="0.35">
      <c r="B2378" s="113">
        <v>46165</v>
      </c>
      <c r="C2378" s="4" t="s">
        <v>1587</v>
      </c>
      <c r="D2378" s="4" t="s">
        <v>4568</v>
      </c>
      <c r="E2378" s="1" t="str">
        <f>_xlfn.XLOOKUP(tblSales[[#This Row],[Customer ID]],tblCustomers[Customer ID],tblCustomers[Customer Name],"⚠ Unknown")</f>
        <v>Walk-in Customer</v>
      </c>
      <c r="F2378" s="4" t="s">
        <v>6</v>
      </c>
      <c r="G2378" s="1" t="str">
        <f>_xlfn.XLOOKUP(tblSales[[#This Row],[Product Code]],tblProducts[Code],tblProducts[Product / Service Name],"⚠ Unknown")</f>
        <v>Socks &amp; Accessories</v>
      </c>
      <c r="H2378" s="1" t="str">
        <f>_xlfn.XLOOKUP(tblSales[[#This Row],[Product Code]],tblProducts[Code],tblProducts[Category],"")</f>
        <v>Accessories &amp; Basics</v>
      </c>
      <c r="I2378" s="4">
        <v>4</v>
      </c>
      <c r="J2378" s="5">
        <f>_xlfn.XLOOKUP(tblSales[[#This Row],[Product Code]],tblProducts[Code],tblProducts[Selling Price (excl. VAT)],0)</f>
        <v>45000</v>
      </c>
      <c r="K2378" s="5">
        <f>tblSales[[#This Row],[Qty]]*tblSales[[#This Row],[Unit Price]]</f>
        <v>180000</v>
      </c>
      <c r="L2378" s="5">
        <f>ROUND(tblSales[[#This Row],[DPP (excl. VAT)]]*VATEff,0)</f>
        <v>19800</v>
      </c>
      <c r="M2378" s="5">
        <f>tblSales[[#This Row],[DPP (excl. VAT)]]+tblSales[[#This Row],[Output VAT]]</f>
        <v>199800</v>
      </c>
      <c r="N2378" s="5">
        <f>tblSales[[#This Row],[Qty]]*_xlfn.XLOOKUP(tblSales[[#This Row],[Product Code]],tblProducts[Code],tblProducts[Unit Cost],0)</f>
        <v>96000</v>
      </c>
      <c r="O2378" s="4" t="s">
        <v>4865</v>
      </c>
      <c r="P2378" s="4" t="s">
        <v>4860</v>
      </c>
      <c r="Q2378" s="1" t="str">
        <f>_xlfn.XLOOKUP(tblSales[[#This Row],[Channel Code]],tblChannels[Channel Code],tblChannels[Channel Name],"")</f>
        <v>In-store</v>
      </c>
      <c r="R2378" s="1">
        <f>MONTH(tblSales[[#This Row],[Date]])</f>
        <v>5</v>
      </c>
    </row>
    <row r="2379" spans="2:18" x14ac:dyDescent="0.35">
      <c r="B2379" s="113">
        <v>46165</v>
      </c>
      <c r="C2379" s="4" t="s">
        <v>1588</v>
      </c>
      <c r="D2379" s="4" t="s">
        <v>4568</v>
      </c>
      <c r="E2379" s="1" t="str">
        <f>_xlfn.XLOOKUP(tblSales[[#This Row],[Customer ID]],tblCustomers[Customer ID],tblCustomers[Customer Name],"⚠ Unknown")</f>
        <v>Walk-in Customer</v>
      </c>
      <c r="F2379" s="4" t="s">
        <v>13</v>
      </c>
      <c r="G2379" s="1" t="str">
        <f>_xlfn.XLOOKUP(tblSales[[#This Row],[Product Code]],tblProducts[Code],tblProducts[Product / Service Name],"⚠ Unknown")</f>
        <v>Backpack</v>
      </c>
      <c r="H2379" s="1" t="str">
        <f>_xlfn.XLOOKUP(tblSales[[#This Row],[Product Code]],tblProducts[Code],tblProducts[Category],"")</f>
        <v>Bags &amp; Gadgets</v>
      </c>
      <c r="I2379" s="4">
        <v>3</v>
      </c>
      <c r="J2379" s="5">
        <f>_xlfn.XLOOKUP(tblSales[[#This Row],[Product Code]],tblProducts[Code],tblProducts[Selling Price (excl. VAT)],0)</f>
        <v>500000</v>
      </c>
      <c r="K2379" s="5">
        <f>tblSales[[#This Row],[Qty]]*tblSales[[#This Row],[Unit Price]]</f>
        <v>1500000</v>
      </c>
      <c r="L2379" s="5">
        <f>ROUND(tblSales[[#This Row],[DPP (excl. VAT)]]*VATEff,0)</f>
        <v>165000</v>
      </c>
      <c r="M2379" s="5">
        <f>tblSales[[#This Row],[DPP (excl. VAT)]]+tblSales[[#This Row],[Output VAT]]</f>
        <v>1665000</v>
      </c>
      <c r="N2379" s="5">
        <f>tblSales[[#This Row],[Qty]]*_xlfn.XLOOKUP(tblSales[[#This Row],[Product Code]],tblProducts[Code],tblProducts[Unit Cost],0)</f>
        <v>870000</v>
      </c>
      <c r="O2379" s="4" t="s">
        <v>4865</v>
      </c>
      <c r="P2379" s="4" t="s">
        <v>4860</v>
      </c>
      <c r="Q2379" s="1" t="str">
        <f>_xlfn.XLOOKUP(tblSales[[#This Row],[Channel Code]],tblChannels[Channel Code],tblChannels[Channel Name],"")</f>
        <v>In-store</v>
      </c>
      <c r="R2379" s="1">
        <f>MONTH(tblSales[[#This Row],[Date]])</f>
        <v>5</v>
      </c>
    </row>
    <row r="2380" spans="2:18" x14ac:dyDescent="0.35">
      <c r="B2380" s="113">
        <v>46166</v>
      </c>
      <c r="C2380" s="4" t="s">
        <v>1589</v>
      </c>
      <c r="D2380" s="4" t="s">
        <v>4613</v>
      </c>
      <c r="E2380" s="1" t="str">
        <f>_xlfn.XLOOKUP(tblSales[[#This Row],[Customer ID]],tblCustomers[Customer ID],tblCustomers[Customer Name],"⚠ Unknown")</f>
        <v>PT Mega Prima Distribusi</v>
      </c>
      <c r="F2380" s="4" t="s">
        <v>6</v>
      </c>
      <c r="G2380" s="1" t="str">
        <f>_xlfn.XLOOKUP(tblSales[[#This Row],[Product Code]],tblProducts[Code],tblProducts[Product / Service Name],"⚠ Unknown")</f>
        <v>Socks &amp; Accessories</v>
      </c>
      <c r="H2380" s="1" t="str">
        <f>_xlfn.XLOOKUP(tblSales[[#This Row],[Product Code]],tblProducts[Code],tblProducts[Category],"")</f>
        <v>Accessories &amp; Basics</v>
      </c>
      <c r="I2380" s="4">
        <v>40</v>
      </c>
      <c r="J2380" s="5">
        <f>_xlfn.XLOOKUP(tblSales[[#This Row],[Product Code]],tblProducts[Code],tblProducts[Selling Price (excl. VAT)],0)</f>
        <v>45000</v>
      </c>
      <c r="K2380" s="5">
        <f>tblSales[[#This Row],[Qty]]*tblSales[[#This Row],[Unit Price]]</f>
        <v>1800000</v>
      </c>
      <c r="L2380" s="5">
        <f>ROUND(tblSales[[#This Row],[DPP (excl. VAT)]]*VATEff,0)</f>
        <v>198000</v>
      </c>
      <c r="M2380" s="5">
        <f>tblSales[[#This Row],[DPP (excl. VAT)]]+tblSales[[#This Row],[Output VAT]]</f>
        <v>1998000</v>
      </c>
      <c r="N2380" s="5">
        <f>tblSales[[#This Row],[Qty]]*_xlfn.XLOOKUP(tblSales[[#This Row],[Product Code]],tblProducts[Code],tblProducts[Unit Cost],0)</f>
        <v>960000</v>
      </c>
      <c r="O2380" s="4" t="s">
        <v>4867</v>
      </c>
      <c r="P2380" s="4" t="s">
        <v>4860</v>
      </c>
      <c r="Q2380" s="1" t="str">
        <f>_xlfn.XLOOKUP(tblSales[[#This Row],[Channel Code]],tblChannels[Channel Code],tblChannels[Channel Name],"")</f>
        <v>In-store</v>
      </c>
      <c r="R2380" s="1">
        <f>MONTH(tblSales[[#This Row],[Date]])</f>
        <v>5</v>
      </c>
    </row>
    <row r="2381" spans="2:18" x14ac:dyDescent="0.35">
      <c r="B2381" s="113">
        <v>46166</v>
      </c>
      <c r="C2381" s="4" t="s">
        <v>1590</v>
      </c>
      <c r="D2381" s="4" t="s">
        <v>4568</v>
      </c>
      <c r="E2381" s="1" t="str">
        <f>_xlfn.XLOOKUP(tblSales[[#This Row],[Customer ID]],tblCustomers[Customer ID],tblCustomers[Customer Name],"⚠ Unknown")</f>
        <v>Walk-in Customer</v>
      </c>
      <c r="F2381" s="4" t="s">
        <v>7</v>
      </c>
      <c r="G2381" s="1" t="str">
        <f>_xlfn.XLOOKUP(tblSales[[#This Row],[Product Code]],tblProducts[Code],tblProducts[Product / Service Name],"⚠ Unknown")</f>
        <v>Premium Basic T-shirt</v>
      </c>
      <c r="H2381" s="1" t="str">
        <f>_xlfn.XLOOKUP(tblSales[[#This Row],[Product Code]],tblProducts[Code],tblProducts[Category],"")</f>
        <v>Accessories &amp; Basics</v>
      </c>
      <c r="I2381" s="4">
        <v>1</v>
      </c>
      <c r="J2381" s="5">
        <f>_xlfn.XLOOKUP(tblSales[[#This Row],[Product Code]],tblProducts[Code],tblProducts[Selling Price (excl. VAT)],0)</f>
        <v>65000</v>
      </c>
      <c r="K2381" s="5">
        <f>tblSales[[#This Row],[Qty]]*tblSales[[#This Row],[Unit Price]]</f>
        <v>65000</v>
      </c>
      <c r="L2381" s="5">
        <f>ROUND(tblSales[[#This Row],[DPP (excl. VAT)]]*VATEff,0)</f>
        <v>7150</v>
      </c>
      <c r="M2381" s="5">
        <f>tblSales[[#This Row],[DPP (excl. VAT)]]+tblSales[[#This Row],[Output VAT]]</f>
        <v>72150</v>
      </c>
      <c r="N2381" s="5">
        <f>tblSales[[#This Row],[Qty]]*_xlfn.XLOOKUP(tblSales[[#This Row],[Product Code]],tblProducts[Code],tblProducts[Unit Cost],0)</f>
        <v>37000</v>
      </c>
      <c r="O2381" s="4" t="s">
        <v>4865</v>
      </c>
      <c r="P2381" s="4" t="s">
        <v>4860</v>
      </c>
      <c r="Q2381" s="1" t="str">
        <f>_xlfn.XLOOKUP(tblSales[[#This Row],[Channel Code]],tblChannels[Channel Code],tblChannels[Channel Name],"")</f>
        <v>In-store</v>
      </c>
      <c r="R2381" s="1">
        <f>MONTH(tblSales[[#This Row],[Date]])</f>
        <v>5</v>
      </c>
    </row>
    <row r="2382" spans="2:18" x14ac:dyDescent="0.35">
      <c r="B2382" s="113">
        <v>46166</v>
      </c>
      <c r="C2382" s="4" t="s">
        <v>1591</v>
      </c>
      <c r="D2382" s="4" t="s">
        <v>4572</v>
      </c>
      <c r="E2382" s="1" t="str">
        <f>_xlfn.XLOOKUP(tblSales[[#This Row],[Customer ID]],tblCustomers[Customer ID],tblCustomers[Customer Name],"⚠ Unknown")</f>
        <v>PT Cahaya Abadi Makmur</v>
      </c>
      <c r="F2382" s="4" t="s">
        <v>11</v>
      </c>
      <c r="G2382" s="1" t="str">
        <f>_xlfn.XLOOKUP(tblSales[[#This Row],[Product Code]],tblProducts[Code],tblProducts[Product / Service Name],"⚠ Unknown")</f>
        <v>Sneakers</v>
      </c>
      <c r="H2382" s="1" t="str">
        <f>_xlfn.XLOOKUP(tblSales[[#This Row],[Product Code]],tblProducts[Code],tblProducts[Category],"")</f>
        <v>Apparel &amp; Footwear</v>
      </c>
      <c r="I2382" s="4">
        <v>16</v>
      </c>
      <c r="J2382" s="5">
        <f>_xlfn.XLOOKUP(tblSales[[#This Row],[Product Code]],tblProducts[Code],tblProducts[Selling Price (excl. VAT)],0)</f>
        <v>250000</v>
      </c>
      <c r="K2382" s="5">
        <f>tblSales[[#This Row],[Qty]]*tblSales[[#This Row],[Unit Price]]</f>
        <v>4000000</v>
      </c>
      <c r="L2382" s="5">
        <f>ROUND(tblSales[[#This Row],[DPP (excl. VAT)]]*VATEff,0)</f>
        <v>440000</v>
      </c>
      <c r="M2382" s="5">
        <f>tblSales[[#This Row],[DPP (excl. VAT)]]+tblSales[[#This Row],[Output VAT]]</f>
        <v>4440000</v>
      </c>
      <c r="N2382" s="5">
        <f>tblSales[[#This Row],[Qty]]*_xlfn.XLOOKUP(tblSales[[#This Row],[Product Code]],tblProducts[Code],tblProducts[Unit Cost],0)</f>
        <v>2480000</v>
      </c>
      <c r="O2382" s="4" t="s">
        <v>4867</v>
      </c>
      <c r="P2382" s="4" t="s">
        <v>4860</v>
      </c>
      <c r="Q2382" s="1" t="str">
        <f>_xlfn.XLOOKUP(tblSales[[#This Row],[Channel Code]],tblChannels[Channel Code],tblChannels[Channel Name],"")</f>
        <v>In-store</v>
      </c>
      <c r="R2382" s="1">
        <f>MONTH(tblSales[[#This Row],[Date]])</f>
        <v>5</v>
      </c>
    </row>
    <row r="2383" spans="2:18" x14ac:dyDescent="0.35">
      <c r="B2383" s="113">
        <v>46166</v>
      </c>
      <c r="C2383" s="4" t="s">
        <v>1591</v>
      </c>
      <c r="D2383" s="4" t="s">
        <v>4572</v>
      </c>
      <c r="E2383" s="1" t="str">
        <f>_xlfn.XLOOKUP(tblSales[[#This Row],[Customer ID]],tblCustomers[Customer ID],tblCustomers[Customer Name],"⚠ Unknown")</f>
        <v>PT Cahaya Abadi Makmur</v>
      </c>
      <c r="F2383" s="4" t="s">
        <v>9</v>
      </c>
      <c r="G2383" s="1" t="str">
        <f>_xlfn.XLOOKUP(tblSales[[#This Row],[Product Code]],tblProducts[Code],tblProducts[Product / Service Name],"⚠ Unknown")</f>
        <v>Casual Shirt</v>
      </c>
      <c r="H2383" s="1" t="str">
        <f>_xlfn.XLOOKUP(tblSales[[#This Row],[Product Code]],tblProducts[Code],tblProducts[Category],"")</f>
        <v>Apparel &amp; Footwear</v>
      </c>
      <c r="I2383" s="4">
        <v>80</v>
      </c>
      <c r="J2383" s="5">
        <f>_xlfn.XLOOKUP(tblSales[[#This Row],[Product Code]],tblProducts[Code],tblProducts[Selling Price (excl. VAT)],0)</f>
        <v>120000</v>
      </c>
      <c r="K2383" s="5">
        <f>tblSales[[#This Row],[Qty]]*tblSales[[#This Row],[Unit Price]]</f>
        <v>9600000</v>
      </c>
      <c r="L2383" s="5">
        <f>ROUND(tblSales[[#This Row],[DPP (excl. VAT)]]*VATEff,0)</f>
        <v>1056000</v>
      </c>
      <c r="M2383" s="5">
        <f>tblSales[[#This Row],[DPP (excl. VAT)]]+tblSales[[#This Row],[Output VAT]]</f>
        <v>10656000</v>
      </c>
      <c r="N2383" s="5">
        <f>tblSales[[#This Row],[Qty]]*_xlfn.XLOOKUP(tblSales[[#This Row],[Product Code]],tblProducts[Code],tblProducts[Unit Cost],0)</f>
        <v>5760000</v>
      </c>
      <c r="O2383" s="4" t="s">
        <v>4867</v>
      </c>
      <c r="P2383" s="4" t="s">
        <v>4860</v>
      </c>
      <c r="Q2383" s="1" t="str">
        <f>_xlfn.XLOOKUP(tblSales[[#This Row],[Channel Code]],tblChannels[Channel Code],tblChannels[Channel Name],"")</f>
        <v>In-store</v>
      </c>
      <c r="R2383" s="1">
        <f>MONTH(tblSales[[#This Row],[Date]])</f>
        <v>5</v>
      </c>
    </row>
    <row r="2384" spans="2:18" x14ac:dyDescent="0.35">
      <c r="B2384" s="113">
        <v>46166</v>
      </c>
      <c r="C2384" s="4" t="s">
        <v>1592</v>
      </c>
      <c r="D2384" s="4" t="s">
        <v>4568</v>
      </c>
      <c r="E2384" s="1" t="str">
        <f>_xlfn.XLOOKUP(tblSales[[#This Row],[Customer ID]],tblCustomers[Customer ID],tblCustomers[Customer Name],"⚠ Unknown")</f>
        <v>Walk-in Customer</v>
      </c>
      <c r="F2384" s="4" t="s">
        <v>10</v>
      </c>
      <c r="G2384" s="1" t="str">
        <f>_xlfn.XLOOKUP(tblSales[[#This Row],[Product Code]],tblProducts[Code],tblProducts[Product / Service Name],"⚠ Unknown")</f>
        <v>Chino Pants</v>
      </c>
      <c r="H2384" s="1" t="str">
        <f>_xlfn.XLOOKUP(tblSales[[#This Row],[Product Code]],tblProducts[Code],tblProducts[Category],"")</f>
        <v>Apparel &amp; Footwear</v>
      </c>
      <c r="I2384" s="4">
        <v>6</v>
      </c>
      <c r="J2384" s="5">
        <f>_xlfn.XLOOKUP(tblSales[[#This Row],[Product Code]],tblProducts[Code],tblProducts[Selling Price (excl. VAT)],0)</f>
        <v>150000</v>
      </c>
      <c r="K2384" s="5">
        <f>tblSales[[#This Row],[Qty]]*tblSales[[#This Row],[Unit Price]]</f>
        <v>900000</v>
      </c>
      <c r="L2384" s="5">
        <f>ROUND(tblSales[[#This Row],[DPP (excl. VAT)]]*VATEff,0)</f>
        <v>99000</v>
      </c>
      <c r="M2384" s="5">
        <f>tblSales[[#This Row],[DPP (excl. VAT)]]+tblSales[[#This Row],[Output VAT]]</f>
        <v>999000</v>
      </c>
      <c r="N2384" s="5">
        <f>tblSales[[#This Row],[Qty]]*_xlfn.XLOOKUP(tblSales[[#This Row],[Product Code]],tblProducts[Code],tblProducts[Unit Cost],0)</f>
        <v>528000</v>
      </c>
      <c r="O2384" s="4" t="s">
        <v>4865</v>
      </c>
      <c r="P2384" s="4" t="s">
        <v>4860</v>
      </c>
      <c r="Q2384" s="1" t="str">
        <f>_xlfn.XLOOKUP(tblSales[[#This Row],[Channel Code]],tblChannels[Channel Code],tblChannels[Channel Name],"")</f>
        <v>In-store</v>
      </c>
      <c r="R2384" s="1">
        <f>MONTH(tblSales[[#This Row],[Date]])</f>
        <v>5</v>
      </c>
    </row>
    <row r="2385" spans="2:18" x14ac:dyDescent="0.35">
      <c r="B2385" s="113">
        <v>46166</v>
      </c>
      <c r="C2385" s="4" t="s">
        <v>1593</v>
      </c>
      <c r="D2385" s="4" t="s">
        <v>4568</v>
      </c>
      <c r="E2385" s="1" t="str">
        <f>_xlfn.XLOOKUP(tblSales[[#This Row],[Customer ID]],tblCustomers[Customer ID],tblCustomers[Customer Name],"⚠ Unknown")</f>
        <v>Walk-in Customer</v>
      </c>
      <c r="F2385" s="4" t="s">
        <v>10</v>
      </c>
      <c r="G2385" s="1" t="str">
        <f>_xlfn.XLOOKUP(tblSales[[#This Row],[Product Code]],tblProducts[Code],tblProducts[Product / Service Name],"⚠ Unknown")</f>
        <v>Chino Pants</v>
      </c>
      <c r="H2385" s="1" t="str">
        <f>_xlfn.XLOOKUP(tblSales[[#This Row],[Product Code]],tblProducts[Code],tblProducts[Category],"")</f>
        <v>Apparel &amp; Footwear</v>
      </c>
      <c r="I2385" s="4">
        <v>12</v>
      </c>
      <c r="J2385" s="5">
        <f>_xlfn.XLOOKUP(tblSales[[#This Row],[Product Code]],tblProducts[Code],tblProducts[Selling Price (excl. VAT)],0)</f>
        <v>150000</v>
      </c>
      <c r="K2385" s="5">
        <f>tblSales[[#This Row],[Qty]]*tblSales[[#This Row],[Unit Price]]</f>
        <v>1800000</v>
      </c>
      <c r="L2385" s="5">
        <f>ROUND(tblSales[[#This Row],[DPP (excl. VAT)]]*VATEff,0)</f>
        <v>198000</v>
      </c>
      <c r="M2385" s="5">
        <f>tblSales[[#This Row],[DPP (excl. VAT)]]+tblSales[[#This Row],[Output VAT]]</f>
        <v>1998000</v>
      </c>
      <c r="N2385" s="5">
        <f>tblSales[[#This Row],[Qty]]*_xlfn.XLOOKUP(tblSales[[#This Row],[Product Code]],tblProducts[Code],tblProducts[Unit Cost],0)</f>
        <v>1056000</v>
      </c>
      <c r="O2385" s="4" t="s">
        <v>4866</v>
      </c>
      <c r="P2385" s="4" t="s">
        <v>4861</v>
      </c>
      <c r="Q2385" s="1" t="str">
        <f>_xlfn.XLOOKUP(tblSales[[#This Row],[Channel Code]],tblChannels[Channel Code],tblChannels[Channel Name],"")</f>
        <v>Marketplace</v>
      </c>
      <c r="R2385" s="1">
        <f>MONTH(tblSales[[#This Row],[Date]])</f>
        <v>5</v>
      </c>
    </row>
    <row r="2386" spans="2:18" x14ac:dyDescent="0.35">
      <c r="B2386" s="113">
        <v>46166</v>
      </c>
      <c r="C2386" s="4" t="s">
        <v>1593</v>
      </c>
      <c r="D2386" s="4" t="s">
        <v>4568</v>
      </c>
      <c r="E2386" s="1" t="str">
        <f>_xlfn.XLOOKUP(tblSales[[#This Row],[Customer ID]],tblCustomers[Customer ID],tblCustomers[Customer Name],"⚠ Unknown")</f>
        <v>Walk-in Customer</v>
      </c>
      <c r="F2386" s="4" t="s">
        <v>13</v>
      </c>
      <c r="G2386" s="1" t="str">
        <f>_xlfn.XLOOKUP(tblSales[[#This Row],[Product Code]],tblProducts[Code],tblProducts[Product / Service Name],"⚠ Unknown")</f>
        <v>Backpack</v>
      </c>
      <c r="H2386" s="1" t="str">
        <f>_xlfn.XLOOKUP(tblSales[[#This Row],[Product Code]],tblProducts[Code],tblProducts[Category],"")</f>
        <v>Bags &amp; Gadgets</v>
      </c>
      <c r="I2386" s="4">
        <v>5</v>
      </c>
      <c r="J2386" s="5">
        <f>_xlfn.XLOOKUP(tblSales[[#This Row],[Product Code]],tblProducts[Code],tblProducts[Selling Price (excl. VAT)],0)</f>
        <v>500000</v>
      </c>
      <c r="K2386" s="5">
        <f>tblSales[[#This Row],[Qty]]*tblSales[[#This Row],[Unit Price]]</f>
        <v>2500000</v>
      </c>
      <c r="L2386" s="5">
        <f>ROUND(tblSales[[#This Row],[DPP (excl. VAT)]]*VATEff,0)</f>
        <v>275000</v>
      </c>
      <c r="M2386" s="5">
        <f>tblSales[[#This Row],[DPP (excl. VAT)]]+tblSales[[#This Row],[Output VAT]]</f>
        <v>2775000</v>
      </c>
      <c r="N2386" s="5">
        <f>tblSales[[#This Row],[Qty]]*_xlfn.XLOOKUP(tblSales[[#This Row],[Product Code]],tblProducts[Code],tblProducts[Unit Cost],0)</f>
        <v>1450000</v>
      </c>
      <c r="O2386" s="4" t="s">
        <v>4866</v>
      </c>
      <c r="P2386" s="4" t="s">
        <v>4861</v>
      </c>
      <c r="Q2386" s="1" t="str">
        <f>_xlfn.XLOOKUP(tblSales[[#This Row],[Channel Code]],tblChannels[Channel Code],tblChannels[Channel Name],"")</f>
        <v>Marketplace</v>
      </c>
      <c r="R2386" s="1">
        <f>MONTH(tblSales[[#This Row],[Date]])</f>
        <v>5</v>
      </c>
    </row>
    <row r="2387" spans="2:18" x14ac:dyDescent="0.35">
      <c r="B2387" s="113">
        <v>46166</v>
      </c>
      <c r="C2387" s="4" t="s">
        <v>1594</v>
      </c>
      <c r="D2387" s="4" t="s">
        <v>4568</v>
      </c>
      <c r="E2387" s="1" t="str">
        <f>_xlfn.XLOOKUP(tblSales[[#This Row],[Customer ID]],tblCustomers[Customer ID],tblCustomers[Customer Name],"⚠ Unknown")</f>
        <v>Walk-in Customer</v>
      </c>
      <c r="F2387" s="4" t="s">
        <v>9</v>
      </c>
      <c r="G2387" s="1" t="str">
        <f>_xlfn.XLOOKUP(tblSales[[#This Row],[Product Code]],tblProducts[Code],tblProducts[Product / Service Name],"⚠ Unknown")</f>
        <v>Casual Shirt</v>
      </c>
      <c r="H2387" s="1" t="str">
        <f>_xlfn.XLOOKUP(tblSales[[#This Row],[Product Code]],tblProducts[Code],tblProducts[Category],"")</f>
        <v>Apparel &amp; Footwear</v>
      </c>
      <c r="I2387" s="4">
        <v>6</v>
      </c>
      <c r="J2387" s="5">
        <f>_xlfn.XLOOKUP(tblSales[[#This Row],[Product Code]],tblProducts[Code],tblProducts[Selling Price (excl. VAT)],0)</f>
        <v>120000</v>
      </c>
      <c r="K2387" s="5">
        <f>tblSales[[#This Row],[Qty]]*tblSales[[#This Row],[Unit Price]]</f>
        <v>720000</v>
      </c>
      <c r="L2387" s="5">
        <f>ROUND(tblSales[[#This Row],[DPP (excl. VAT)]]*VATEff,0)</f>
        <v>79200</v>
      </c>
      <c r="M2387" s="5">
        <f>tblSales[[#This Row],[DPP (excl. VAT)]]+tblSales[[#This Row],[Output VAT]]</f>
        <v>799200</v>
      </c>
      <c r="N2387" s="5">
        <f>tblSales[[#This Row],[Qty]]*_xlfn.XLOOKUP(tblSales[[#This Row],[Product Code]],tblProducts[Code],tblProducts[Unit Cost],0)</f>
        <v>432000</v>
      </c>
      <c r="O2387" s="4" t="s">
        <v>4866</v>
      </c>
      <c r="P2387" s="4" t="s">
        <v>4861</v>
      </c>
      <c r="Q2387" s="1" t="str">
        <f>_xlfn.XLOOKUP(tblSales[[#This Row],[Channel Code]],tblChannels[Channel Code],tblChannels[Channel Name],"")</f>
        <v>Marketplace</v>
      </c>
      <c r="R2387" s="1">
        <f>MONTH(tblSales[[#This Row],[Date]])</f>
        <v>5</v>
      </c>
    </row>
    <row r="2388" spans="2:18" x14ac:dyDescent="0.35">
      <c r="B2388" s="113">
        <v>46166</v>
      </c>
      <c r="C2388" s="4" t="s">
        <v>1594</v>
      </c>
      <c r="D2388" s="4" t="s">
        <v>4568</v>
      </c>
      <c r="E2388" s="1" t="str">
        <f>_xlfn.XLOOKUP(tblSales[[#This Row],[Customer ID]],tblCustomers[Customer ID],tblCustomers[Customer Name],"⚠ Unknown")</f>
        <v>Walk-in Customer</v>
      </c>
      <c r="F2388" s="4" t="s">
        <v>11</v>
      </c>
      <c r="G2388" s="1" t="str">
        <f>_xlfn.XLOOKUP(tblSales[[#This Row],[Product Code]],tblProducts[Code],tblProducts[Product / Service Name],"⚠ Unknown")</f>
        <v>Sneakers</v>
      </c>
      <c r="H2388" s="1" t="str">
        <f>_xlfn.XLOOKUP(tblSales[[#This Row],[Product Code]],tblProducts[Code],tblProducts[Category],"")</f>
        <v>Apparel &amp; Footwear</v>
      </c>
      <c r="I2388" s="4">
        <v>4</v>
      </c>
      <c r="J2388" s="5">
        <f>_xlfn.XLOOKUP(tblSales[[#This Row],[Product Code]],tblProducts[Code],tblProducts[Selling Price (excl. VAT)],0)</f>
        <v>250000</v>
      </c>
      <c r="K2388" s="5">
        <f>tblSales[[#This Row],[Qty]]*tblSales[[#This Row],[Unit Price]]</f>
        <v>1000000</v>
      </c>
      <c r="L2388" s="5">
        <f>ROUND(tblSales[[#This Row],[DPP (excl. VAT)]]*VATEff,0)</f>
        <v>110000</v>
      </c>
      <c r="M2388" s="5">
        <f>tblSales[[#This Row],[DPP (excl. VAT)]]+tblSales[[#This Row],[Output VAT]]</f>
        <v>1110000</v>
      </c>
      <c r="N2388" s="5">
        <f>tblSales[[#This Row],[Qty]]*_xlfn.XLOOKUP(tblSales[[#This Row],[Product Code]],tblProducts[Code],tblProducts[Unit Cost],0)</f>
        <v>620000</v>
      </c>
      <c r="O2388" s="4" t="s">
        <v>4866</v>
      </c>
      <c r="P2388" s="4" t="s">
        <v>4861</v>
      </c>
      <c r="Q2388" s="1" t="str">
        <f>_xlfn.XLOOKUP(tblSales[[#This Row],[Channel Code]],tblChannels[Channel Code],tblChannels[Channel Name],"")</f>
        <v>Marketplace</v>
      </c>
      <c r="R2388" s="1">
        <f>MONTH(tblSales[[#This Row],[Date]])</f>
        <v>5</v>
      </c>
    </row>
    <row r="2389" spans="2:18" x14ac:dyDescent="0.35">
      <c r="B2389" s="113">
        <v>46166</v>
      </c>
      <c r="C2389" s="4" t="s">
        <v>1594</v>
      </c>
      <c r="D2389" s="4" t="s">
        <v>4568</v>
      </c>
      <c r="E2389" s="1" t="str">
        <f>_xlfn.XLOOKUP(tblSales[[#This Row],[Customer ID]],tblCustomers[Customer ID],tblCustomers[Customer Name],"⚠ Unknown")</f>
        <v>Walk-in Customer</v>
      </c>
      <c r="F2389" s="4" t="s">
        <v>14</v>
      </c>
      <c r="G2389" s="1" t="str">
        <f>_xlfn.XLOOKUP(tblSales[[#This Row],[Product Code]],tblProducts[Code],tblProducts[Product / Service Name],"⚠ Unknown")</f>
        <v>Smartwatch</v>
      </c>
      <c r="H2389" s="1" t="str">
        <f>_xlfn.XLOOKUP(tblSales[[#This Row],[Product Code]],tblProducts[Code],tblProducts[Category],"")</f>
        <v>Bags &amp; Gadgets</v>
      </c>
      <c r="I2389" s="4">
        <v>3</v>
      </c>
      <c r="J2389" s="5">
        <f>_xlfn.XLOOKUP(tblSales[[#This Row],[Product Code]],tblProducts[Code],tblProducts[Selling Price (excl. VAT)],0)</f>
        <v>850000</v>
      </c>
      <c r="K2389" s="5">
        <f>tblSales[[#This Row],[Qty]]*tblSales[[#This Row],[Unit Price]]</f>
        <v>2550000</v>
      </c>
      <c r="L2389" s="5">
        <f>ROUND(tblSales[[#This Row],[DPP (excl. VAT)]]*VATEff,0)</f>
        <v>280500</v>
      </c>
      <c r="M2389" s="5">
        <f>tblSales[[#This Row],[DPP (excl. VAT)]]+tblSales[[#This Row],[Output VAT]]</f>
        <v>2830500</v>
      </c>
      <c r="N2389" s="5">
        <f>tblSales[[#This Row],[Qty]]*_xlfn.XLOOKUP(tblSales[[#This Row],[Product Code]],tblProducts[Code],tblProducts[Unit Cost],0)</f>
        <v>1680000</v>
      </c>
      <c r="O2389" s="4" t="s">
        <v>4866</v>
      </c>
      <c r="P2389" s="4" t="s">
        <v>4861</v>
      </c>
      <c r="Q2389" s="1" t="str">
        <f>_xlfn.XLOOKUP(tblSales[[#This Row],[Channel Code]],tblChannels[Channel Code],tblChannels[Channel Name],"")</f>
        <v>Marketplace</v>
      </c>
      <c r="R2389" s="1">
        <f>MONTH(tblSales[[#This Row],[Date]])</f>
        <v>5</v>
      </c>
    </row>
    <row r="2390" spans="2:18" x14ac:dyDescent="0.35">
      <c r="B2390" s="113">
        <v>46166</v>
      </c>
      <c r="C2390" s="4" t="s">
        <v>1595</v>
      </c>
      <c r="D2390" s="4" t="s">
        <v>4568</v>
      </c>
      <c r="E2390" s="1" t="str">
        <f>_xlfn.XLOOKUP(tblSales[[#This Row],[Customer ID]],tblCustomers[Customer ID],tblCustomers[Customer Name],"⚠ Unknown")</f>
        <v>Walk-in Customer</v>
      </c>
      <c r="F2390" s="4" t="s">
        <v>8</v>
      </c>
      <c r="G2390" s="1" t="str">
        <f>_xlfn.XLOOKUP(tblSales[[#This Row],[Product Code]],tblProducts[Code],tblProducts[Product / Service Name],"⚠ Unknown")</f>
        <v>Casual Shorts</v>
      </c>
      <c r="H2390" s="1" t="str">
        <f>_xlfn.XLOOKUP(tblSales[[#This Row],[Product Code]],tblProducts[Code],tblProducts[Category],"")</f>
        <v>Accessories &amp; Basics</v>
      </c>
      <c r="I2390" s="4">
        <v>5</v>
      </c>
      <c r="J2390" s="5">
        <f>_xlfn.XLOOKUP(tblSales[[#This Row],[Product Code]],tblProducts[Code],tblProducts[Selling Price (excl. VAT)],0)</f>
        <v>85000</v>
      </c>
      <c r="K2390" s="5">
        <f>tblSales[[#This Row],[Qty]]*tblSales[[#This Row],[Unit Price]]</f>
        <v>425000</v>
      </c>
      <c r="L2390" s="5">
        <f>ROUND(tblSales[[#This Row],[DPP (excl. VAT)]]*VATEff,0)</f>
        <v>46750</v>
      </c>
      <c r="M2390" s="5">
        <f>tblSales[[#This Row],[DPP (excl. VAT)]]+tblSales[[#This Row],[Output VAT]]</f>
        <v>471750</v>
      </c>
      <c r="N2390" s="5">
        <f>tblSales[[#This Row],[Qty]]*_xlfn.XLOOKUP(tblSales[[#This Row],[Product Code]],tblProducts[Code],tblProducts[Unit Cost],0)</f>
        <v>250000</v>
      </c>
      <c r="O2390" s="4" t="s">
        <v>4866</v>
      </c>
      <c r="P2390" s="4" t="s">
        <v>4861</v>
      </c>
      <c r="Q2390" s="1" t="str">
        <f>_xlfn.XLOOKUP(tblSales[[#This Row],[Channel Code]],tblChannels[Channel Code],tblChannels[Channel Name],"")</f>
        <v>Marketplace</v>
      </c>
      <c r="R2390" s="1">
        <f>MONTH(tblSales[[#This Row],[Date]])</f>
        <v>5</v>
      </c>
    </row>
    <row r="2391" spans="2:18" x14ac:dyDescent="0.35">
      <c r="B2391" s="113">
        <v>46166</v>
      </c>
      <c r="C2391" s="4" t="s">
        <v>1595</v>
      </c>
      <c r="D2391" s="4" t="s">
        <v>4568</v>
      </c>
      <c r="E2391" s="1" t="str">
        <f>_xlfn.XLOOKUP(tblSales[[#This Row],[Customer ID]],tblCustomers[Customer ID],tblCustomers[Customer Name],"⚠ Unknown")</f>
        <v>Walk-in Customer</v>
      </c>
      <c r="F2391" s="4" t="s">
        <v>12</v>
      </c>
      <c r="G2391" s="1" t="str">
        <f>_xlfn.XLOOKUP(tblSales[[#This Row],[Product Code]],tblProducts[Code],tblProducts[Product / Service Name],"⚠ Unknown")</f>
        <v>Bomber Jacket</v>
      </c>
      <c r="H2391" s="1" t="str">
        <f>_xlfn.XLOOKUP(tblSales[[#This Row],[Product Code]],tblProducts[Code],tblProducts[Category],"")</f>
        <v>Apparel &amp; Footwear</v>
      </c>
      <c r="I2391" s="4">
        <v>5</v>
      </c>
      <c r="J2391" s="5">
        <f>_xlfn.XLOOKUP(tblSales[[#This Row],[Product Code]],tblProducts[Code],tblProducts[Selling Price (excl. VAT)],0)</f>
        <v>350000</v>
      </c>
      <c r="K2391" s="5">
        <f>tblSales[[#This Row],[Qty]]*tblSales[[#This Row],[Unit Price]]</f>
        <v>1750000</v>
      </c>
      <c r="L2391" s="5">
        <f>ROUND(tblSales[[#This Row],[DPP (excl. VAT)]]*VATEff,0)</f>
        <v>192500</v>
      </c>
      <c r="M2391" s="5">
        <f>tblSales[[#This Row],[DPP (excl. VAT)]]+tblSales[[#This Row],[Output VAT]]</f>
        <v>1942500</v>
      </c>
      <c r="N2391" s="5">
        <f>tblSales[[#This Row],[Qty]]*_xlfn.XLOOKUP(tblSales[[#This Row],[Product Code]],tblProducts[Code],tblProducts[Unit Cost],0)</f>
        <v>1050000</v>
      </c>
      <c r="O2391" s="4" t="s">
        <v>4866</v>
      </c>
      <c r="P2391" s="4" t="s">
        <v>4861</v>
      </c>
      <c r="Q2391" s="1" t="str">
        <f>_xlfn.XLOOKUP(tblSales[[#This Row],[Channel Code]],tblChannels[Channel Code],tblChannels[Channel Name],"")</f>
        <v>Marketplace</v>
      </c>
      <c r="R2391" s="1">
        <f>MONTH(tblSales[[#This Row],[Date]])</f>
        <v>5</v>
      </c>
    </row>
    <row r="2392" spans="2:18" x14ac:dyDescent="0.35">
      <c r="B2392" s="113">
        <v>46166</v>
      </c>
      <c r="C2392" s="4" t="s">
        <v>1596</v>
      </c>
      <c r="D2392" s="4" t="s">
        <v>4568</v>
      </c>
      <c r="E2392" s="1" t="str">
        <f>_xlfn.XLOOKUP(tblSales[[#This Row],[Customer ID]],tblCustomers[Customer ID],tblCustomers[Customer Name],"⚠ Unknown")</f>
        <v>Walk-in Customer</v>
      </c>
      <c r="F2392" s="4" t="s">
        <v>13</v>
      </c>
      <c r="G2392" s="1" t="str">
        <f>_xlfn.XLOOKUP(tblSales[[#This Row],[Product Code]],tblProducts[Code],tblProducts[Product / Service Name],"⚠ Unknown")</f>
        <v>Backpack</v>
      </c>
      <c r="H2392" s="1" t="str">
        <f>_xlfn.XLOOKUP(tblSales[[#This Row],[Product Code]],tblProducts[Code],tblProducts[Category],"")</f>
        <v>Bags &amp; Gadgets</v>
      </c>
      <c r="I2392" s="4">
        <v>6</v>
      </c>
      <c r="J2392" s="5">
        <f>_xlfn.XLOOKUP(tblSales[[#This Row],[Product Code]],tblProducts[Code],tblProducts[Selling Price (excl. VAT)],0)</f>
        <v>500000</v>
      </c>
      <c r="K2392" s="5">
        <f>tblSales[[#This Row],[Qty]]*tblSales[[#This Row],[Unit Price]]</f>
        <v>3000000</v>
      </c>
      <c r="L2392" s="5">
        <f>ROUND(tblSales[[#This Row],[DPP (excl. VAT)]]*VATEff,0)</f>
        <v>330000</v>
      </c>
      <c r="M2392" s="5">
        <f>tblSales[[#This Row],[DPP (excl. VAT)]]+tblSales[[#This Row],[Output VAT]]</f>
        <v>3330000</v>
      </c>
      <c r="N2392" s="5">
        <f>tblSales[[#This Row],[Qty]]*_xlfn.XLOOKUP(tblSales[[#This Row],[Product Code]],tblProducts[Code],tblProducts[Unit Cost],0)</f>
        <v>1740000</v>
      </c>
      <c r="O2392" s="4" t="s">
        <v>4866</v>
      </c>
      <c r="P2392" s="4" t="s">
        <v>4860</v>
      </c>
      <c r="Q2392" s="1" t="str">
        <f>_xlfn.XLOOKUP(tblSales[[#This Row],[Channel Code]],tblChannels[Channel Code],tblChannels[Channel Name],"")</f>
        <v>In-store</v>
      </c>
      <c r="R2392" s="1">
        <f>MONTH(tblSales[[#This Row],[Date]])</f>
        <v>5</v>
      </c>
    </row>
    <row r="2393" spans="2:18" x14ac:dyDescent="0.35">
      <c r="B2393" s="113">
        <v>46166</v>
      </c>
      <c r="C2393" s="4" t="s">
        <v>1597</v>
      </c>
      <c r="D2393" s="4" t="s">
        <v>4620</v>
      </c>
      <c r="E2393" s="1" t="str">
        <f>_xlfn.XLOOKUP(tblSales[[#This Row],[Customer ID]],tblCustomers[Customer ID],tblCustomers[Customer Name],"⚠ Unknown")</f>
        <v>CV Sumber Rejeki Utama</v>
      </c>
      <c r="F2393" s="4" t="s">
        <v>8</v>
      </c>
      <c r="G2393" s="1" t="str">
        <f>_xlfn.XLOOKUP(tblSales[[#This Row],[Product Code]],tblProducts[Code],tblProducts[Product / Service Name],"⚠ Unknown")</f>
        <v>Casual Shorts</v>
      </c>
      <c r="H2393" s="1" t="str">
        <f>_xlfn.XLOOKUP(tblSales[[#This Row],[Product Code]],tblProducts[Code],tblProducts[Category],"")</f>
        <v>Accessories &amp; Basics</v>
      </c>
      <c r="I2393" s="4">
        <v>72</v>
      </c>
      <c r="J2393" s="5">
        <f>_xlfn.XLOOKUP(tblSales[[#This Row],[Product Code]],tblProducts[Code],tblProducts[Selling Price (excl. VAT)],0)</f>
        <v>85000</v>
      </c>
      <c r="K2393" s="5">
        <f>tblSales[[#This Row],[Qty]]*tblSales[[#This Row],[Unit Price]]</f>
        <v>6120000</v>
      </c>
      <c r="L2393" s="5">
        <f>ROUND(tblSales[[#This Row],[DPP (excl. VAT)]]*VATEff,0)</f>
        <v>673200</v>
      </c>
      <c r="M2393" s="5">
        <f>tblSales[[#This Row],[DPP (excl. VAT)]]+tblSales[[#This Row],[Output VAT]]</f>
        <v>6793200</v>
      </c>
      <c r="N2393" s="5">
        <f>tblSales[[#This Row],[Qty]]*_xlfn.XLOOKUP(tblSales[[#This Row],[Product Code]],tblProducts[Code],tblProducts[Unit Cost],0)</f>
        <v>3600000</v>
      </c>
      <c r="O2393" s="4" t="s">
        <v>4867</v>
      </c>
      <c r="P2393" s="4" t="s">
        <v>4860</v>
      </c>
      <c r="Q2393" s="1" t="str">
        <f>_xlfn.XLOOKUP(tblSales[[#This Row],[Channel Code]],tblChannels[Channel Code],tblChannels[Channel Name],"")</f>
        <v>In-store</v>
      </c>
      <c r="R2393" s="1">
        <f>MONTH(tblSales[[#This Row],[Date]])</f>
        <v>5</v>
      </c>
    </row>
    <row r="2394" spans="2:18" x14ac:dyDescent="0.35">
      <c r="B2394" s="113">
        <v>46166</v>
      </c>
      <c r="C2394" s="4" t="s">
        <v>1598</v>
      </c>
      <c r="D2394" s="4" t="s">
        <v>4568</v>
      </c>
      <c r="E2394" s="1" t="str">
        <f>_xlfn.XLOOKUP(tblSales[[#This Row],[Customer ID]],tblCustomers[Customer ID],tblCustomers[Customer Name],"⚠ Unknown")</f>
        <v>Walk-in Customer</v>
      </c>
      <c r="F2394" s="4" t="s">
        <v>8</v>
      </c>
      <c r="G2394" s="1" t="str">
        <f>_xlfn.XLOOKUP(tblSales[[#This Row],[Product Code]],tblProducts[Code],tblProducts[Product / Service Name],"⚠ Unknown")</f>
        <v>Casual Shorts</v>
      </c>
      <c r="H2394" s="1" t="str">
        <f>_xlfn.XLOOKUP(tblSales[[#This Row],[Product Code]],tblProducts[Code],tblProducts[Category],"")</f>
        <v>Accessories &amp; Basics</v>
      </c>
      <c r="I2394" s="4">
        <v>3</v>
      </c>
      <c r="J2394" s="5">
        <f>_xlfn.XLOOKUP(tblSales[[#This Row],[Product Code]],tblProducts[Code],tblProducts[Selling Price (excl. VAT)],0)</f>
        <v>85000</v>
      </c>
      <c r="K2394" s="5">
        <f>tblSales[[#This Row],[Qty]]*tblSales[[#This Row],[Unit Price]]</f>
        <v>255000</v>
      </c>
      <c r="L2394" s="5">
        <f>ROUND(tblSales[[#This Row],[DPP (excl. VAT)]]*VATEff,0)</f>
        <v>28050</v>
      </c>
      <c r="M2394" s="5">
        <f>tblSales[[#This Row],[DPP (excl. VAT)]]+tblSales[[#This Row],[Output VAT]]</f>
        <v>283050</v>
      </c>
      <c r="N2394" s="5">
        <f>tblSales[[#This Row],[Qty]]*_xlfn.XLOOKUP(tblSales[[#This Row],[Product Code]],tblProducts[Code],tblProducts[Unit Cost],0)</f>
        <v>150000</v>
      </c>
      <c r="O2394" s="4" t="s">
        <v>4866</v>
      </c>
      <c r="P2394" s="4" t="s">
        <v>4860</v>
      </c>
      <c r="Q2394" s="1" t="str">
        <f>_xlfn.XLOOKUP(tblSales[[#This Row],[Channel Code]],tblChannels[Channel Code],tblChannels[Channel Name],"")</f>
        <v>In-store</v>
      </c>
      <c r="R2394" s="1">
        <f>MONTH(tblSales[[#This Row],[Date]])</f>
        <v>5</v>
      </c>
    </row>
    <row r="2395" spans="2:18" x14ac:dyDescent="0.35">
      <c r="B2395" s="113">
        <v>46166</v>
      </c>
      <c r="C2395" s="4" t="s">
        <v>1599</v>
      </c>
      <c r="D2395" s="4" t="s">
        <v>4568</v>
      </c>
      <c r="E2395" s="1" t="str">
        <f>_xlfn.XLOOKUP(tblSales[[#This Row],[Customer ID]],tblCustomers[Customer ID],tblCustomers[Customer Name],"⚠ Unknown")</f>
        <v>Walk-in Customer</v>
      </c>
      <c r="F2395" s="4" t="s">
        <v>6</v>
      </c>
      <c r="G2395" s="1" t="str">
        <f>_xlfn.XLOOKUP(tblSales[[#This Row],[Product Code]],tblProducts[Code],tblProducts[Product / Service Name],"⚠ Unknown")</f>
        <v>Socks &amp; Accessories</v>
      </c>
      <c r="H2395" s="1" t="str">
        <f>_xlfn.XLOOKUP(tblSales[[#This Row],[Product Code]],tblProducts[Code],tblProducts[Category],"")</f>
        <v>Accessories &amp; Basics</v>
      </c>
      <c r="I2395" s="4">
        <v>8</v>
      </c>
      <c r="J2395" s="5">
        <f>_xlfn.XLOOKUP(tblSales[[#This Row],[Product Code]],tblProducts[Code],tblProducts[Selling Price (excl. VAT)],0)</f>
        <v>45000</v>
      </c>
      <c r="K2395" s="5">
        <f>tblSales[[#This Row],[Qty]]*tblSales[[#This Row],[Unit Price]]</f>
        <v>360000</v>
      </c>
      <c r="L2395" s="5">
        <f>ROUND(tblSales[[#This Row],[DPP (excl. VAT)]]*VATEff,0)</f>
        <v>39600</v>
      </c>
      <c r="M2395" s="5">
        <f>tblSales[[#This Row],[DPP (excl. VAT)]]+tblSales[[#This Row],[Output VAT]]</f>
        <v>399600</v>
      </c>
      <c r="N2395" s="5">
        <f>tblSales[[#This Row],[Qty]]*_xlfn.XLOOKUP(tblSales[[#This Row],[Product Code]],tblProducts[Code],tblProducts[Unit Cost],0)</f>
        <v>192000</v>
      </c>
      <c r="O2395" s="4" t="s">
        <v>4865</v>
      </c>
      <c r="P2395" s="4" t="s">
        <v>4860</v>
      </c>
      <c r="Q2395" s="1" t="str">
        <f>_xlfn.XLOOKUP(tblSales[[#This Row],[Channel Code]],tblChannels[Channel Code],tblChannels[Channel Name],"")</f>
        <v>In-store</v>
      </c>
      <c r="R2395" s="1">
        <f>MONTH(tblSales[[#This Row],[Date]])</f>
        <v>5</v>
      </c>
    </row>
    <row r="2396" spans="2:18" x14ac:dyDescent="0.35">
      <c r="B2396" s="113">
        <v>46166</v>
      </c>
      <c r="C2396" s="4" t="s">
        <v>1600</v>
      </c>
      <c r="D2396" s="4" t="s">
        <v>4568</v>
      </c>
      <c r="E2396" s="1" t="str">
        <f>_xlfn.XLOOKUP(tblSales[[#This Row],[Customer ID]],tblCustomers[Customer ID],tblCustomers[Customer Name],"⚠ Unknown")</f>
        <v>Walk-in Customer</v>
      </c>
      <c r="F2396" s="4" t="s">
        <v>8</v>
      </c>
      <c r="G2396" s="1" t="str">
        <f>_xlfn.XLOOKUP(tblSales[[#This Row],[Product Code]],tblProducts[Code],tblProducts[Product / Service Name],"⚠ Unknown")</f>
        <v>Casual Shorts</v>
      </c>
      <c r="H2396" s="1" t="str">
        <f>_xlfn.XLOOKUP(tblSales[[#This Row],[Product Code]],tblProducts[Code],tblProducts[Category],"")</f>
        <v>Accessories &amp; Basics</v>
      </c>
      <c r="I2396" s="4">
        <v>3</v>
      </c>
      <c r="J2396" s="5">
        <f>_xlfn.XLOOKUP(tblSales[[#This Row],[Product Code]],tblProducts[Code],tblProducts[Selling Price (excl. VAT)],0)</f>
        <v>85000</v>
      </c>
      <c r="K2396" s="5">
        <f>tblSales[[#This Row],[Qty]]*tblSales[[#This Row],[Unit Price]]</f>
        <v>255000</v>
      </c>
      <c r="L2396" s="5">
        <f>ROUND(tblSales[[#This Row],[DPP (excl. VAT)]]*VATEff,0)</f>
        <v>28050</v>
      </c>
      <c r="M2396" s="5">
        <f>tblSales[[#This Row],[DPP (excl. VAT)]]+tblSales[[#This Row],[Output VAT]]</f>
        <v>283050</v>
      </c>
      <c r="N2396" s="5">
        <f>tblSales[[#This Row],[Qty]]*_xlfn.XLOOKUP(tblSales[[#This Row],[Product Code]],tblProducts[Code],tblProducts[Unit Cost],0)</f>
        <v>150000</v>
      </c>
      <c r="O2396" s="4" t="s">
        <v>4866</v>
      </c>
      <c r="P2396" s="4" t="s">
        <v>4861</v>
      </c>
      <c r="Q2396" s="1" t="str">
        <f>_xlfn.XLOOKUP(tblSales[[#This Row],[Channel Code]],tblChannels[Channel Code],tblChannels[Channel Name],"")</f>
        <v>Marketplace</v>
      </c>
      <c r="R2396" s="1">
        <f>MONTH(tblSales[[#This Row],[Date]])</f>
        <v>5</v>
      </c>
    </row>
    <row r="2397" spans="2:18" x14ac:dyDescent="0.35">
      <c r="B2397" s="113">
        <v>46166</v>
      </c>
      <c r="C2397" s="4" t="s">
        <v>1600</v>
      </c>
      <c r="D2397" s="4" t="s">
        <v>4568</v>
      </c>
      <c r="E2397" s="1" t="str">
        <f>_xlfn.XLOOKUP(tblSales[[#This Row],[Customer ID]],tblCustomers[Customer ID],tblCustomers[Customer Name],"⚠ Unknown")</f>
        <v>Walk-in Customer</v>
      </c>
      <c r="F2397" s="4" t="s">
        <v>9</v>
      </c>
      <c r="G2397" s="1" t="str">
        <f>_xlfn.XLOOKUP(tblSales[[#This Row],[Product Code]],tblProducts[Code],tblProducts[Product / Service Name],"⚠ Unknown")</f>
        <v>Casual Shirt</v>
      </c>
      <c r="H2397" s="1" t="str">
        <f>_xlfn.XLOOKUP(tblSales[[#This Row],[Product Code]],tblProducts[Code],tblProducts[Category],"")</f>
        <v>Apparel &amp; Footwear</v>
      </c>
      <c r="I2397" s="4">
        <v>9</v>
      </c>
      <c r="J2397" s="5">
        <f>_xlfn.XLOOKUP(tblSales[[#This Row],[Product Code]],tblProducts[Code],tblProducts[Selling Price (excl. VAT)],0)</f>
        <v>120000</v>
      </c>
      <c r="K2397" s="5">
        <f>tblSales[[#This Row],[Qty]]*tblSales[[#This Row],[Unit Price]]</f>
        <v>1080000</v>
      </c>
      <c r="L2397" s="5">
        <f>ROUND(tblSales[[#This Row],[DPP (excl. VAT)]]*VATEff,0)</f>
        <v>118800</v>
      </c>
      <c r="M2397" s="5">
        <f>tblSales[[#This Row],[DPP (excl. VAT)]]+tblSales[[#This Row],[Output VAT]]</f>
        <v>1198800</v>
      </c>
      <c r="N2397" s="5">
        <f>tblSales[[#This Row],[Qty]]*_xlfn.XLOOKUP(tblSales[[#This Row],[Product Code]],tblProducts[Code],tblProducts[Unit Cost],0)</f>
        <v>648000</v>
      </c>
      <c r="O2397" s="4" t="s">
        <v>4866</v>
      </c>
      <c r="P2397" s="4" t="s">
        <v>4861</v>
      </c>
      <c r="Q2397" s="1" t="str">
        <f>_xlfn.XLOOKUP(tblSales[[#This Row],[Channel Code]],tblChannels[Channel Code],tblChannels[Channel Name],"")</f>
        <v>Marketplace</v>
      </c>
      <c r="R2397" s="1">
        <f>MONTH(tblSales[[#This Row],[Date]])</f>
        <v>5</v>
      </c>
    </row>
    <row r="2398" spans="2:18" x14ac:dyDescent="0.35">
      <c r="B2398" s="113">
        <v>46166</v>
      </c>
      <c r="C2398" s="4" t="s">
        <v>1601</v>
      </c>
      <c r="D2398" s="4" t="s">
        <v>4568</v>
      </c>
      <c r="E2398" s="1" t="str">
        <f>_xlfn.XLOOKUP(tblSales[[#This Row],[Customer ID]],tblCustomers[Customer ID],tblCustomers[Customer Name],"⚠ Unknown")</f>
        <v>Walk-in Customer</v>
      </c>
      <c r="F2398" s="4" t="s">
        <v>10</v>
      </c>
      <c r="G2398" s="1" t="str">
        <f>_xlfn.XLOOKUP(tblSales[[#This Row],[Product Code]],tblProducts[Code],tblProducts[Product / Service Name],"⚠ Unknown")</f>
        <v>Chino Pants</v>
      </c>
      <c r="H2398" s="1" t="str">
        <f>_xlfn.XLOOKUP(tblSales[[#This Row],[Product Code]],tblProducts[Code],tblProducts[Category],"")</f>
        <v>Apparel &amp; Footwear</v>
      </c>
      <c r="I2398" s="4">
        <v>8</v>
      </c>
      <c r="J2398" s="5">
        <f>_xlfn.XLOOKUP(tblSales[[#This Row],[Product Code]],tblProducts[Code],tblProducts[Selling Price (excl. VAT)],0)</f>
        <v>150000</v>
      </c>
      <c r="K2398" s="5">
        <f>tblSales[[#This Row],[Qty]]*tblSales[[#This Row],[Unit Price]]</f>
        <v>1200000</v>
      </c>
      <c r="L2398" s="5">
        <f>ROUND(tblSales[[#This Row],[DPP (excl. VAT)]]*VATEff,0)</f>
        <v>132000</v>
      </c>
      <c r="M2398" s="5">
        <f>tblSales[[#This Row],[DPP (excl. VAT)]]+tblSales[[#This Row],[Output VAT]]</f>
        <v>1332000</v>
      </c>
      <c r="N2398" s="5">
        <f>tblSales[[#This Row],[Qty]]*_xlfn.XLOOKUP(tblSales[[#This Row],[Product Code]],tblProducts[Code],tblProducts[Unit Cost],0)</f>
        <v>704000</v>
      </c>
      <c r="O2398" s="4" t="s">
        <v>4866</v>
      </c>
      <c r="P2398" s="4" t="s">
        <v>4861</v>
      </c>
      <c r="Q2398" s="1" t="str">
        <f>_xlfn.XLOOKUP(tblSales[[#This Row],[Channel Code]],tblChannels[Channel Code],tblChannels[Channel Name],"")</f>
        <v>Marketplace</v>
      </c>
      <c r="R2398" s="1">
        <f>MONTH(tblSales[[#This Row],[Date]])</f>
        <v>5</v>
      </c>
    </row>
    <row r="2399" spans="2:18" x14ac:dyDescent="0.35">
      <c r="B2399" s="113">
        <v>46166</v>
      </c>
      <c r="C2399" s="4" t="s">
        <v>1601</v>
      </c>
      <c r="D2399" s="4" t="s">
        <v>4568</v>
      </c>
      <c r="E2399" s="1" t="str">
        <f>_xlfn.XLOOKUP(tblSales[[#This Row],[Customer ID]],tblCustomers[Customer ID],tblCustomers[Customer Name],"⚠ Unknown")</f>
        <v>Walk-in Customer</v>
      </c>
      <c r="F2399" s="4" t="s">
        <v>13</v>
      </c>
      <c r="G2399" s="1" t="str">
        <f>_xlfn.XLOOKUP(tblSales[[#This Row],[Product Code]],tblProducts[Code],tblProducts[Product / Service Name],"⚠ Unknown")</f>
        <v>Backpack</v>
      </c>
      <c r="H2399" s="1" t="str">
        <f>_xlfn.XLOOKUP(tblSales[[#This Row],[Product Code]],tblProducts[Code],tblProducts[Category],"")</f>
        <v>Bags &amp; Gadgets</v>
      </c>
      <c r="I2399" s="4">
        <v>5</v>
      </c>
      <c r="J2399" s="5">
        <f>_xlfn.XLOOKUP(tblSales[[#This Row],[Product Code]],tblProducts[Code],tblProducts[Selling Price (excl. VAT)],0)</f>
        <v>500000</v>
      </c>
      <c r="K2399" s="5">
        <f>tblSales[[#This Row],[Qty]]*tblSales[[#This Row],[Unit Price]]</f>
        <v>2500000</v>
      </c>
      <c r="L2399" s="5">
        <f>ROUND(tblSales[[#This Row],[DPP (excl. VAT)]]*VATEff,0)</f>
        <v>275000</v>
      </c>
      <c r="M2399" s="5">
        <f>tblSales[[#This Row],[DPP (excl. VAT)]]+tblSales[[#This Row],[Output VAT]]</f>
        <v>2775000</v>
      </c>
      <c r="N2399" s="5">
        <f>tblSales[[#This Row],[Qty]]*_xlfn.XLOOKUP(tblSales[[#This Row],[Product Code]],tblProducts[Code],tblProducts[Unit Cost],0)</f>
        <v>1450000</v>
      </c>
      <c r="O2399" s="4" t="s">
        <v>4866</v>
      </c>
      <c r="P2399" s="4" t="s">
        <v>4861</v>
      </c>
      <c r="Q2399" s="1" t="str">
        <f>_xlfn.XLOOKUP(tblSales[[#This Row],[Channel Code]],tblChannels[Channel Code],tblChannels[Channel Name],"")</f>
        <v>Marketplace</v>
      </c>
      <c r="R2399" s="1">
        <f>MONTH(tblSales[[#This Row],[Date]])</f>
        <v>5</v>
      </c>
    </row>
    <row r="2400" spans="2:18" x14ac:dyDescent="0.35">
      <c r="B2400" s="113">
        <v>46166</v>
      </c>
      <c r="C2400" s="4" t="s">
        <v>1602</v>
      </c>
      <c r="D2400" s="4" t="s">
        <v>4648</v>
      </c>
      <c r="E2400" s="1" t="str">
        <f>_xlfn.XLOOKUP(tblSales[[#This Row],[Customer ID]],tblCustomers[Customer ID],tblCustomers[Customer Name],"⚠ Unknown")</f>
        <v>PT Lintas Benua Niaga</v>
      </c>
      <c r="F2400" s="4" t="s">
        <v>11</v>
      </c>
      <c r="G2400" s="1" t="str">
        <f>_xlfn.XLOOKUP(tblSales[[#This Row],[Product Code]],tblProducts[Code],tblProducts[Product / Service Name],"⚠ Unknown")</f>
        <v>Sneakers</v>
      </c>
      <c r="H2400" s="1" t="str">
        <f>_xlfn.XLOOKUP(tblSales[[#This Row],[Product Code]],tblProducts[Code],tblProducts[Category],"")</f>
        <v>Apparel &amp; Footwear</v>
      </c>
      <c r="I2400" s="4">
        <v>16</v>
      </c>
      <c r="J2400" s="5">
        <f>_xlfn.XLOOKUP(tblSales[[#This Row],[Product Code]],tblProducts[Code],tblProducts[Selling Price (excl. VAT)],0)</f>
        <v>250000</v>
      </c>
      <c r="K2400" s="5">
        <f>tblSales[[#This Row],[Qty]]*tblSales[[#This Row],[Unit Price]]</f>
        <v>4000000</v>
      </c>
      <c r="L2400" s="5">
        <f>ROUND(tblSales[[#This Row],[DPP (excl. VAT)]]*VATEff,0)</f>
        <v>440000</v>
      </c>
      <c r="M2400" s="5">
        <f>tblSales[[#This Row],[DPP (excl. VAT)]]+tblSales[[#This Row],[Output VAT]]</f>
        <v>4440000</v>
      </c>
      <c r="N2400" s="5">
        <f>tblSales[[#This Row],[Qty]]*_xlfn.XLOOKUP(tblSales[[#This Row],[Product Code]],tblProducts[Code],tblProducts[Unit Cost],0)</f>
        <v>2480000</v>
      </c>
      <c r="O2400" s="4" t="s">
        <v>4867</v>
      </c>
      <c r="P2400" s="4" t="s">
        <v>4862</v>
      </c>
      <c r="Q2400" s="1" t="str">
        <f>_xlfn.XLOOKUP(tblSales[[#This Row],[Channel Code]],tblChannels[Channel Code],tblChannels[Channel Name],"")</f>
        <v>Website &amp; Social Media</v>
      </c>
      <c r="R2400" s="1">
        <f>MONTH(tblSales[[#This Row],[Date]])</f>
        <v>5</v>
      </c>
    </row>
    <row r="2401" spans="2:18" x14ac:dyDescent="0.35">
      <c r="B2401" s="113">
        <v>46166</v>
      </c>
      <c r="C2401" s="4" t="s">
        <v>1602</v>
      </c>
      <c r="D2401" s="4" t="s">
        <v>4648</v>
      </c>
      <c r="E2401" s="1" t="str">
        <f>_xlfn.XLOOKUP(tblSales[[#This Row],[Customer ID]],tblCustomers[Customer ID],tblCustomers[Customer Name],"⚠ Unknown")</f>
        <v>PT Lintas Benua Niaga</v>
      </c>
      <c r="F2401" s="4" t="s">
        <v>7</v>
      </c>
      <c r="G2401" s="1" t="str">
        <f>_xlfn.XLOOKUP(tblSales[[#This Row],[Product Code]],tblProducts[Code],tblProducts[Product / Service Name],"⚠ Unknown")</f>
        <v>Premium Basic T-shirt</v>
      </c>
      <c r="H2401" s="1" t="str">
        <f>_xlfn.XLOOKUP(tblSales[[#This Row],[Product Code]],tblProducts[Code],tblProducts[Category],"")</f>
        <v>Accessories &amp; Basics</v>
      </c>
      <c r="I2401" s="4">
        <v>40</v>
      </c>
      <c r="J2401" s="5">
        <f>_xlfn.XLOOKUP(tblSales[[#This Row],[Product Code]],tblProducts[Code],tblProducts[Selling Price (excl. VAT)],0)</f>
        <v>65000</v>
      </c>
      <c r="K2401" s="5">
        <f>tblSales[[#This Row],[Qty]]*tblSales[[#This Row],[Unit Price]]</f>
        <v>2600000</v>
      </c>
      <c r="L2401" s="5">
        <f>ROUND(tblSales[[#This Row],[DPP (excl. VAT)]]*VATEff,0)</f>
        <v>286000</v>
      </c>
      <c r="M2401" s="5">
        <f>tblSales[[#This Row],[DPP (excl. VAT)]]+tblSales[[#This Row],[Output VAT]]</f>
        <v>2886000</v>
      </c>
      <c r="N2401" s="5">
        <f>tblSales[[#This Row],[Qty]]*_xlfn.XLOOKUP(tblSales[[#This Row],[Product Code]],tblProducts[Code],tblProducts[Unit Cost],0)</f>
        <v>1480000</v>
      </c>
      <c r="O2401" s="4" t="s">
        <v>4867</v>
      </c>
      <c r="P2401" s="4" t="s">
        <v>4862</v>
      </c>
      <c r="Q2401" s="1" t="str">
        <f>_xlfn.XLOOKUP(tblSales[[#This Row],[Channel Code]],tblChannels[Channel Code],tblChannels[Channel Name],"")</f>
        <v>Website &amp; Social Media</v>
      </c>
      <c r="R2401" s="1">
        <f>MONTH(tblSales[[#This Row],[Date]])</f>
        <v>5</v>
      </c>
    </row>
    <row r="2402" spans="2:18" x14ac:dyDescent="0.35">
      <c r="B2402" s="113">
        <v>46167</v>
      </c>
      <c r="C2402" s="4" t="s">
        <v>1603</v>
      </c>
      <c r="D2402" s="4" t="s">
        <v>4572</v>
      </c>
      <c r="E2402" s="1" t="str">
        <f>_xlfn.XLOOKUP(tblSales[[#This Row],[Customer ID]],tblCustomers[Customer ID],tblCustomers[Customer Name],"⚠ Unknown")</f>
        <v>PT Cahaya Abadi Makmur</v>
      </c>
      <c r="F2402" s="4" t="s">
        <v>8</v>
      </c>
      <c r="G2402" s="1" t="str">
        <f>_xlfn.XLOOKUP(tblSales[[#This Row],[Product Code]],tblProducts[Code],tblProducts[Product / Service Name],"⚠ Unknown")</f>
        <v>Casual Shorts</v>
      </c>
      <c r="H2402" s="1" t="str">
        <f>_xlfn.XLOOKUP(tblSales[[#This Row],[Product Code]],tblProducts[Code],tblProducts[Category],"")</f>
        <v>Accessories &amp; Basics</v>
      </c>
      <c r="I2402" s="4">
        <v>8</v>
      </c>
      <c r="J2402" s="5">
        <f>_xlfn.XLOOKUP(tblSales[[#This Row],[Product Code]],tblProducts[Code],tblProducts[Selling Price (excl. VAT)],0)</f>
        <v>85000</v>
      </c>
      <c r="K2402" s="5">
        <f>tblSales[[#This Row],[Qty]]*tblSales[[#This Row],[Unit Price]]</f>
        <v>680000</v>
      </c>
      <c r="L2402" s="5">
        <f>ROUND(tblSales[[#This Row],[DPP (excl. VAT)]]*VATEff,0)</f>
        <v>74800</v>
      </c>
      <c r="M2402" s="5">
        <f>tblSales[[#This Row],[DPP (excl. VAT)]]+tblSales[[#This Row],[Output VAT]]</f>
        <v>754800</v>
      </c>
      <c r="N2402" s="5">
        <f>tblSales[[#This Row],[Qty]]*_xlfn.XLOOKUP(tblSales[[#This Row],[Product Code]],tblProducts[Code],tblProducts[Unit Cost],0)</f>
        <v>400000</v>
      </c>
      <c r="O2402" s="4" t="s">
        <v>4867</v>
      </c>
      <c r="P2402" s="4" t="s">
        <v>4860</v>
      </c>
      <c r="Q2402" s="1" t="str">
        <f>_xlfn.XLOOKUP(tblSales[[#This Row],[Channel Code]],tblChannels[Channel Code],tblChannels[Channel Name],"")</f>
        <v>In-store</v>
      </c>
      <c r="R2402" s="1">
        <f>MONTH(tblSales[[#This Row],[Date]])</f>
        <v>5</v>
      </c>
    </row>
    <row r="2403" spans="2:18" x14ac:dyDescent="0.35">
      <c r="B2403" s="113">
        <v>46167</v>
      </c>
      <c r="C2403" s="4" t="s">
        <v>1604</v>
      </c>
      <c r="D2403" s="4" t="s">
        <v>4568</v>
      </c>
      <c r="E2403" s="1" t="str">
        <f>_xlfn.XLOOKUP(tblSales[[#This Row],[Customer ID]],tblCustomers[Customer ID],tblCustomers[Customer Name],"⚠ Unknown")</f>
        <v>Walk-in Customer</v>
      </c>
      <c r="F2403" s="4" t="s">
        <v>11</v>
      </c>
      <c r="G2403" s="1" t="str">
        <f>_xlfn.XLOOKUP(tblSales[[#This Row],[Product Code]],tblProducts[Code],tblProducts[Product / Service Name],"⚠ Unknown")</f>
        <v>Sneakers</v>
      </c>
      <c r="H2403" s="1" t="str">
        <f>_xlfn.XLOOKUP(tblSales[[#This Row],[Product Code]],tblProducts[Code],tblProducts[Category],"")</f>
        <v>Apparel &amp; Footwear</v>
      </c>
      <c r="I2403" s="4">
        <v>6</v>
      </c>
      <c r="J2403" s="5">
        <f>_xlfn.XLOOKUP(tblSales[[#This Row],[Product Code]],tblProducts[Code],tblProducts[Selling Price (excl. VAT)],0)</f>
        <v>250000</v>
      </c>
      <c r="K2403" s="5">
        <f>tblSales[[#This Row],[Qty]]*tblSales[[#This Row],[Unit Price]]</f>
        <v>1500000</v>
      </c>
      <c r="L2403" s="5">
        <f>ROUND(tblSales[[#This Row],[DPP (excl. VAT)]]*VATEff,0)</f>
        <v>165000</v>
      </c>
      <c r="M2403" s="5">
        <f>tblSales[[#This Row],[DPP (excl. VAT)]]+tblSales[[#This Row],[Output VAT]]</f>
        <v>1665000</v>
      </c>
      <c r="N2403" s="5">
        <f>tblSales[[#This Row],[Qty]]*_xlfn.XLOOKUP(tblSales[[#This Row],[Product Code]],tblProducts[Code],tblProducts[Unit Cost],0)</f>
        <v>930000</v>
      </c>
      <c r="O2403" s="4" t="s">
        <v>4866</v>
      </c>
      <c r="P2403" s="4" t="s">
        <v>4861</v>
      </c>
      <c r="Q2403" s="1" t="str">
        <f>_xlfn.XLOOKUP(tblSales[[#This Row],[Channel Code]],tblChannels[Channel Code],tblChannels[Channel Name],"")</f>
        <v>Marketplace</v>
      </c>
      <c r="R2403" s="1">
        <f>MONTH(tblSales[[#This Row],[Date]])</f>
        <v>5</v>
      </c>
    </row>
    <row r="2404" spans="2:18" x14ac:dyDescent="0.35">
      <c r="B2404" s="113">
        <v>46167</v>
      </c>
      <c r="C2404" s="4" t="s">
        <v>1604</v>
      </c>
      <c r="D2404" s="4" t="s">
        <v>4568</v>
      </c>
      <c r="E2404" s="1" t="str">
        <f>_xlfn.XLOOKUP(tblSales[[#This Row],[Customer ID]],tblCustomers[Customer ID],tblCustomers[Customer Name],"⚠ Unknown")</f>
        <v>Walk-in Customer</v>
      </c>
      <c r="F2404" s="4" t="s">
        <v>6</v>
      </c>
      <c r="G2404" s="1" t="str">
        <f>_xlfn.XLOOKUP(tblSales[[#This Row],[Product Code]],tblProducts[Code],tblProducts[Product / Service Name],"⚠ Unknown")</f>
        <v>Socks &amp; Accessories</v>
      </c>
      <c r="H2404" s="1" t="str">
        <f>_xlfn.XLOOKUP(tblSales[[#This Row],[Product Code]],tblProducts[Code],tblProducts[Category],"")</f>
        <v>Accessories &amp; Basics</v>
      </c>
      <c r="I2404" s="4">
        <v>9</v>
      </c>
      <c r="J2404" s="5">
        <f>_xlfn.XLOOKUP(tblSales[[#This Row],[Product Code]],tblProducts[Code],tblProducts[Selling Price (excl. VAT)],0)</f>
        <v>45000</v>
      </c>
      <c r="K2404" s="5">
        <f>tblSales[[#This Row],[Qty]]*tblSales[[#This Row],[Unit Price]]</f>
        <v>405000</v>
      </c>
      <c r="L2404" s="5">
        <f>ROUND(tblSales[[#This Row],[DPP (excl. VAT)]]*VATEff,0)</f>
        <v>44550</v>
      </c>
      <c r="M2404" s="5">
        <f>tblSales[[#This Row],[DPP (excl. VAT)]]+tblSales[[#This Row],[Output VAT]]</f>
        <v>449550</v>
      </c>
      <c r="N2404" s="5">
        <f>tblSales[[#This Row],[Qty]]*_xlfn.XLOOKUP(tblSales[[#This Row],[Product Code]],tblProducts[Code],tblProducts[Unit Cost],0)</f>
        <v>216000</v>
      </c>
      <c r="O2404" s="4" t="s">
        <v>4866</v>
      </c>
      <c r="P2404" s="4" t="s">
        <v>4861</v>
      </c>
      <c r="Q2404" s="1" t="str">
        <f>_xlfn.XLOOKUP(tblSales[[#This Row],[Channel Code]],tblChannels[Channel Code],tblChannels[Channel Name],"")</f>
        <v>Marketplace</v>
      </c>
      <c r="R2404" s="1">
        <f>MONTH(tblSales[[#This Row],[Date]])</f>
        <v>5</v>
      </c>
    </row>
    <row r="2405" spans="2:18" x14ac:dyDescent="0.35">
      <c r="B2405" s="113">
        <v>46167</v>
      </c>
      <c r="C2405" s="4" t="s">
        <v>1605</v>
      </c>
      <c r="D2405" s="4" t="s">
        <v>4620</v>
      </c>
      <c r="E2405" s="1" t="str">
        <f>_xlfn.XLOOKUP(tblSales[[#This Row],[Customer ID]],tblCustomers[Customer ID],tblCustomers[Customer Name],"⚠ Unknown")</f>
        <v>CV Sumber Rejeki Utama</v>
      </c>
      <c r="F2405" s="4" t="s">
        <v>6</v>
      </c>
      <c r="G2405" s="1" t="str">
        <f>_xlfn.XLOOKUP(tblSales[[#This Row],[Product Code]],tblProducts[Code],tblProducts[Product / Service Name],"⚠ Unknown")</f>
        <v>Socks &amp; Accessories</v>
      </c>
      <c r="H2405" s="1" t="str">
        <f>_xlfn.XLOOKUP(tblSales[[#This Row],[Product Code]],tblProducts[Code],tblProducts[Category],"")</f>
        <v>Accessories &amp; Basics</v>
      </c>
      <c r="I2405" s="4">
        <v>32</v>
      </c>
      <c r="J2405" s="5">
        <f>_xlfn.XLOOKUP(tblSales[[#This Row],[Product Code]],tblProducts[Code],tblProducts[Selling Price (excl. VAT)],0)</f>
        <v>45000</v>
      </c>
      <c r="K2405" s="5">
        <f>tblSales[[#This Row],[Qty]]*tblSales[[#This Row],[Unit Price]]</f>
        <v>1440000</v>
      </c>
      <c r="L2405" s="5">
        <f>ROUND(tblSales[[#This Row],[DPP (excl. VAT)]]*VATEff,0)</f>
        <v>158400</v>
      </c>
      <c r="M2405" s="5">
        <f>tblSales[[#This Row],[DPP (excl. VAT)]]+tblSales[[#This Row],[Output VAT]]</f>
        <v>1598400</v>
      </c>
      <c r="N2405" s="5">
        <f>tblSales[[#This Row],[Qty]]*_xlfn.XLOOKUP(tblSales[[#This Row],[Product Code]],tblProducts[Code],tblProducts[Unit Cost],0)</f>
        <v>768000</v>
      </c>
      <c r="O2405" s="4" t="s">
        <v>4867</v>
      </c>
      <c r="P2405" s="4" t="s">
        <v>4862</v>
      </c>
      <c r="Q2405" s="1" t="str">
        <f>_xlfn.XLOOKUP(tblSales[[#This Row],[Channel Code]],tblChannels[Channel Code],tblChannels[Channel Name],"")</f>
        <v>Website &amp; Social Media</v>
      </c>
      <c r="R2405" s="1">
        <f>MONTH(tblSales[[#This Row],[Date]])</f>
        <v>5</v>
      </c>
    </row>
    <row r="2406" spans="2:18" x14ac:dyDescent="0.35">
      <c r="B2406" s="113">
        <v>46167</v>
      </c>
      <c r="C2406" s="4" t="s">
        <v>1605</v>
      </c>
      <c r="D2406" s="4" t="s">
        <v>4620</v>
      </c>
      <c r="E2406" s="1" t="str">
        <f>_xlfn.XLOOKUP(tblSales[[#This Row],[Customer ID]],tblCustomers[Customer ID],tblCustomers[Customer Name],"⚠ Unknown")</f>
        <v>CV Sumber Rejeki Utama</v>
      </c>
      <c r="F2406" s="4" t="s">
        <v>9</v>
      </c>
      <c r="G2406" s="1" t="str">
        <f>_xlfn.XLOOKUP(tblSales[[#This Row],[Product Code]],tblProducts[Code],tblProducts[Product / Service Name],"⚠ Unknown")</f>
        <v>Casual Shirt</v>
      </c>
      <c r="H2406" s="1" t="str">
        <f>_xlfn.XLOOKUP(tblSales[[#This Row],[Product Code]],tblProducts[Code],tblProducts[Category],"")</f>
        <v>Apparel &amp; Footwear</v>
      </c>
      <c r="I2406" s="4">
        <v>16</v>
      </c>
      <c r="J2406" s="5">
        <f>_xlfn.XLOOKUP(tblSales[[#This Row],[Product Code]],tblProducts[Code],tblProducts[Selling Price (excl. VAT)],0)</f>
        <v>120000</v>
      </c>
      <c r="K2406" s="5">
        <f>tblSales[[#This Row],[Qty]]*tblSales[[#This Row],[Unit Price]]</f>
        <v>1920000</v>
      </c>
      <c r="L2406" s="5">
        <f>ROUND(tblSales[[#This Row],[DPP (excl. VAT)]]*VATEff,0)</f>
        <v>211200</v>
      </c>
      <c r="M2406" s="5">
        <f>tblSales[[#This Row],[DPP (excl. VAT)]]+tblSales[[#This Row],[Output VAT]]</f>
        <v>2131200</v>
      </c>
      <c r="N2406" s="5">
        <f>tblSales[[#This Row],[Qty]]*_xlfn.XLOOKUP(tblSales[[#This Row],[Product Code]],tblProducts[Code],tblProducts[Unit Cost],0)</f>
        <v>1152000</v>
      </c>
      <c r="O2406" s="4" t="s">
        <v>4867</v>
      </c>
      <c r="P2406" s="4" t="s">
        <v>4862</v>
      </c>
      <c r="Q2406" s="1" t="str">
        <f>_xlfn.XLOOKUP(tblSales[[#This Row],[Channel Code]],tblChannels[Channel Code],tblChannels[Channel Name],"")</f>
        <v>Website &amp; Social Media</v>
      </c>
      <c r="R2406" s="1">
        <f>MONTH(tblSales[[#This Row],[Date]])</f>
        <v>5</v>
      </c>
    </row>
    <row r="2407" spans="2:18" x14ac:dyDescent="0.35">
      <c r="B2407" s="113">
        <v>46167</v>
      </c>
      <c r="C2407" s="4" t="s">
        <v>1605</v>
      </c>
      <c r="D2407" s="4" t="s">
        <v>4620</v>
      </c>
      <c r="E2407" s="1" t="str">
        <f>_xlfn.XLOOKUP(tblSales[[#This Row],[Customer ID]],tblCustomers[Customer ID],tblCustomers[Customer Name],"⚠ Unknown")</f>
        <v>CV Sumber Rejeki Utama</v>
      </c>
      <c r="F2407" s="4" t="s">
        <v>7</v>
      </c>
      <c r="G2407" s="1" t="str">
        <f>_xlfn.XLOOKUP(tblSales[[#This Row],[Product Code]],tblProducts[Code],tblProducts[Product / Service Name],"⚠ Unknown")</f>
        <v>Premium Basic T-shirt</v>
      </c>
      <c r="H2407" s="1" t="str">
        <f>_xlfn.XLOOKUP(tblSales[[#This Row],[Product Code]],tblProducts[Code],tblProducts[Category],"")</f>
        <v>Accessories &amp; Basics</v>
      </c>
      <c r="I2407" s="4">
        <v>48</v>
      </c>
      <c r="J2407" s="5">
        <f>_xlfn.XLOOKUP(tblSales[[#This Row],[Product Code]],tblProducts[Code],tblProducts[Selling Price (excl. VAT)],0)</f>
        <v>65000</v>
      </c>
      <c r="K2407" s="5">
        <f>tblSales[[#This Row],[Qty]]*tblSales[[#This Row],[Unit Price]]</f>
        <v>3120000</v>
      </c>
      <c r="L2407" s="5">
        <f>ROUND(tblSales[[#This Row],[DPP (excl. VAT)]]*VATEff,0)</f>
        <v>343200</v>
      </c>
      <c r="M2407" s="5">
        <f>tblSales[[#This Row],[DPP (excl. VAT)]]+tblSales[[#This Row],[Output VAT]]</f>
        <v>3463200</v>
      </c>
      <c r="N2407" s="5">
        <f>tblSales[[#This Row],[Qty]]*_xlfn.XLOOKUP(tblSales[[#This Row],[Product Code]],tblProducts[Code],tblProducts[Unit Cost],0)</f>
        <v>1776000</v>
      </c>
      <c r="O2407" s="4" t="s">
        <v>4867</v>
      </c>
      <c r="P2407" s="4" t="s">
        <v>4862</v>
      </c>
      <c r="Q2407" s="1" t="str">
        <f>_xlfn.XLOOKUP(tblSales[[#This Row],[Channel Code]],tblChannels[Channel Code],tblChannels[Channel Name],"")</f>
        <v>Website &amp; Social Media</v>
      </c>
      <c r="R2407" s="1">
        <f>MONTH(tblSales[[#This Row],[Date]])</f>
        <v>5</v>
      </c>
    </row>
    <row r="2408" spans="2:18" x14ac:dyDescent="0.35">
      <c r="B2408" s="113">
        <v>46167</v>
      </c>
      <c r="C2408" s="4" t="s">
        <v>1606</v>
      </c>
      <c r="D2408" s="4" t="s">
        <v>4613</v>
      </c>
      <c r="E2408" s="1" t="str">
        <f>_xlfn.XLOOKUP(tblSales[[#This Row],[Customer ID]],tblCustomers[Customer ID],tblCustomers[Customer Name],"⚠ Unknown")</f>
        <v>PT Mega Prima Distribusi</v>
      </c>
      <c r="F2408" s="4" t="s">
        <v>7</v>
      </c>
      <c r="G2408" s="1" t="str">
        <f>_xlfn.XLOOKUP(tblSales[[#This Row],[Product Code]],tblProducts[Code],tblProducts[Product / Service Name],"⚠ Unknown")</f>
        <v>Premium Basic T-shirt</v>
      </c>
      <c r="H2408" s="1" t="str">
        <f>_xlfn.XLOOKUP(tblSales[[#This Row],[Product Code]],tblProducts[Code],tblProducts[Category],"")</f>
        <v>Accessories &amp; Basics</v>
      </c>
      <c r="I2408" s="4">
        <v>64</v>
      </c>
      <c r="J2408" s="5">
        <f>_xlfn.XLOOKUP(tblSales[[#This Row],[Product Code]],tblProducts[Code],tblProducts[Selling Price (excl. VAT)],0)</f>
        <v>65000</v>
      </c>
      <c r="K2408" s="5">
        <f>tblSales[[#This Row],[Qty]]*tblSales[[#This Row],[Unit Price]]</f>
        <v>4160000</v>
      </c>
      <c r="L2408" s="5">
        <f>ROUND(tblSales[[#This Row],[DPP (excl. VAT)]]*VATEff,0)</f>
        <v>457600</v>
      </c>
      <c r="M2408" s="5">
        <f>tblSales[[#This Row],[DPP (excl. VAT)]]+tblSales[[#This Row],[Output VAT]]</f>
        <v>4617600</v>
      </c>
      <c r="N2408" s="5">
        <f>tblSales[[#This Row],[Qty]]*_xlfn.XLOOKUP(tblSales[[#This Row],[Product Code]],tblProducts[Code],tblProducts[Unit Cost],0)</f>
        <v>2368000</v>
      </c>
      <c r="O2408" s="4" t="s">
        <v>4867</v>
      </c>
      <c r="P2408" s="4" t="s">
        <v>4862</v>
      </c>
      <c r="Q2408" s="1" t="str">
        <f>_xlfn.XLOOKUP(tblSales[[#This Row],[Channel Code]],tblChannels[Channel Code],tblChannels[Channel Name],"")</f>
        <v>Website &amp; Social Media</v>
      </c>
      <c r="R2408" s="1">
        <f>MONTH(tblSales[[#This Row],[Date]])</f>
        <v>5</v>
      </c>
    </row>
    <row r="2409" spans="2:18" x14ac:dyDescent="0.35">
      <c r="B2409" s="113">
        <v>46167</v>
      </c>
      <c r="C2409" s="4" t="s">
        <v>1606</v>
      </c>
      <c r="D2409" s="4" t="s">
        <v>4613</v>
      </c>
      <c r="E2409" s="1" t="str">
        <f>_xlfn.XLOOKUP(tblSales[[#This Row],[Customer ID]],tblCustomers[Customer ID],tblCustomers[Customer Name],"⚠ Unknown")</f>
        <v>PT Mega Prima Distribusi</v>
      </c>
      <c r="F2409" s="4" t="s">
        <v>12</v>
      </c>
      <c r="G2409" s="1" t="str">
        <f>_xlfn.XLOOKUP(tblSales[[#This Row],[Product Code]],tblProducts[Code],tblProducts[Product / Service Name],"⚠ Unknown")</f>
        <v>Bomber Jacket</v>
      </c>
      <c r="H2409" s="1" t="str">
        <f>_xlfn.XLOOKUP(tblSales[[#This Row],[Product Code]],tblProducts[Code],tblProducts[Category],"")</f>
        <v>Apparel &amp; Footwear</v>
      </c>
      <c r="I2409" s="4">
        <v>24</v>
      </c>
      <c r="J2409" s="5">
        <f>_xlfn.XLOOKUP(tblSales[[#This Row],[Product Code]],tblProducts[Code],tblProducts[Selling Price (excl. VAT)],0)</f>
        <v>350000</v>
      </c>
      <c r="K2409" s="5">
        <f>tblSales[[#This Row],[Qty]]*tblSales[[#This Row],[Unit Price]]</f>
        <v>8400000</v>
      </c>
      <c r="L2409" s="5">
        <f>ROUND(tblSales[[#This Row],[DPP (excl. VAT)]]*VATEff,0)</f>
        <v>924000</v>
      </c>
      <c r="M2409" s="5">
        <f>tblSales[[#This Row],[DPP (excl. VAT)]]+tblSales[[#This Row],[Output VAT]]</f>
        <v>9324000</v>
      </c>
      <c r="N2409" s="5">
        <f>tblSales[[#This Row],[Qty]]*_xlfn.XLOOKUP(tblSales[[#This Row],[Product Code]],tblProducts[Code],tblProducts[Unit Cost],0)</f>
        <v>5040000</v>
      </c>
      <c r="O2409" s="4" t="s">
        <v>4867</v>
      </c>
      <c r="P2409" s="4" t="s">
        <v>4862</v>
      </c>
      <c r="Q2409" s="1" t="str">
        <f>_xlfn.XLOOKUP(tblSales[[#This Row],[Channel Code]],tblChannels[Channel Code],tblChannels[Channel Name],"")</f>
        <v>Website &amp; Social Media</v>
      </c>
      <c r="R2409" s="1">
        <f>MONTH(tblSales[[#This Row],[Date]])</f>
        <v>5</v>
      </c>
    </row>
    <row r="2410" spans="2:18" x14ac:dyDescent="0.35">
      <c r="B2410" s="113">
        <v>46167</v>
      </c>
      <c r="C2410" s="4" t="s">
        <v>1607</v>
      </c>
      <c r="D2410" s="4" t="s">
        <v>4568</v>
      </c>
      <c r="E2410" s="1" t="str">
        <f>_xlfn.XLOOKUP(tblSales[[#This Row],[Customer ID]],tblCustomers[Customer ID],tblCustomers[Customer Name],"⚠ Unknown")</f>
        <v>Walk-in Customer</v>
      </c>
      <c r="F2410" s="4" t="s">
        <v>14</v>
      </c>
      <c r="G2410" s="1" t="str">
        <f>_xlfn.XLOOKUP(tblSales[[#This Row],[Product Code]],tblProducts[Code],tblProducts[Product / Service Name],"⚠ Unknown")</f>
        <v>Smartwatch</v>
      </c>
      <c r="H2410" s="1" t="str">
        <f>_xlfn.XLOOKUP(tblSales[[#This Row],[Product Code]],tblProducts[Code],tblProducts[Category],"")</f>
        <v>Bags &amp; Gadgets</v>
      </c>
      <c r="I2410" s="4">
        <v>1</v>
      </c>
      <c r="J2410" s="5">
        <f>_xlfn.XLOOKUP(tblSales[[#This Row],[Product Code]],tblProducts[Code],tblProducts[Selling Price (excl. VAT)],0)</f>
        <v>850000</v>
      </c>
      <c r="K2410" s="5">
        <f>tblSales[[#This Row],[Qty]]*tblSales[[#This Row],[Unit Price]]</f>
        <v>850000</v>
      </c>
      <c r="L2410" s="5">
        <f>ROUND(tblSales[[#This Row],[DPP (excl. VAT)]]*VATEff,0)</f>
        <v>93500</v>
      </c>
      <c r="M2410" s="5">
        <f>tblSales[[#This Row],[DPP (excl. VAT)]]+tblSales[[#This Row],[Output VAT]]</f>
        <v>943500</v>
      </c>
      <c r="N2410" s="5">
        <f>tblSales[[#This Row],[Qty]]*_xlfn.XLOOKUP(tblSales[[#This Row],[Product Code]],tblProducts[Code],tblProducts[Unit Cost],0)</f>
        <v>560000</v>
      </c>
      <c r="O2410" s="4" t="s">
        <v>4865</v>
      </c>
      <c r="P2410" s="4" t="s">
        <v>4860</v>
      </c>
      <c r="Q2410" s="1" t="str">
        <f>_xlfn.XLOOKUP(tblSales[[#This Row],[Channel Code]],tblChannels[Channel Code],tblChannels[Channel Name],"")</f>
        <v>In-store</v>
      </c>
      <c r="R2410" s="1">
        <f>MONTH(tblSales[[#This Row],[Date]])</f>
        <v>5</v>
      </c>
    </row>
    <row r="2411" spans="2:18" x14ac:dyDescent="0.35">
      <c r="B2411" s="113">
        <v>46167</v>
      </c>
      <c r="C2411" s="4" t="s">
        <v>1607</v>
      </c>
      <c r="D2411" s="4" t="s">
        <v>4568</v>
      </c>
      <c r="E2411" s="1" t="str">
        <f>_xlfn.XLOOKUP(tblSales[[#This Row],[Customer ID]],tblCustomers[Customer ID],tblCustomers[Customer Name],"⚠ Unknown")</f>
        <v>Walk-in Customer</v>
      </c>
      <c r="F2411" s="4" t="s">
        <v>6</v>
      </c>
      <c r="G2411" s="1" t="str">
        <f>_xlfn.XLOOKUP(tblSales[[#This Row],[Product Code]],tblProducts[Code],tblProducts[Product / Service Name],"⚠ Unknown")</f>
        <v>Socks &amp; Accessories</v>
      </c>
      <c r="H2411" s="1" t="str">
        <f>_xlfn.XLOOKUP(tblSales[[#This Row],[Product Code]],tblProducts[Code],tblProducts[Category],"")</f>
        <v>Accessories &amp; Basics</v>
      </c>
      <c r="I2411" s="4">
        <v>7</v>
      </c>
      <c r="J2411" s="5">
        <f>_xlfn.XLOOKUP(tblSales[[#This Row],[Product Code]],tblProducts[Code],tblProducts[Selling Price (excl. VAT)],0)</f>
        <v>45000</v>
      </c>
      <c r="K2411" s="5">
        <f>tblSales[[#This Row],[Qty]]*tblSales[[#This Row],[Unit Price]]</f>
        <v>315000</v>
      </c>
      <c r="L2411" s="5">
        <f>ROUND(tblSales[[#This Row],[DPP (excl. VAT)]]*VATEff,0)</f>
        <v>34650</v>
      </c>
      <c r="M2411" s="5">
        <f>tblSales[[#This Row],[DPP (excl. VAT)]]+tblSales[[#This Row],[Output VAT]]</f>
        <v>349650</v>
      </c>
      <c r="N2411" s="5">
        <f>tblSales[[#This Row],[Qty]]*_xlfn.XLOOKUP(tblSales[[#This Row],[Product Code]],tblProducts[Code],tblProducts[Unit Cost],0)</f>
        <v>168000</v>
      </c>
      <c r="O2411" s="4" t="s">
        <v>4865</v>
      </c>
      <c r="P2411" s="4" t="s">
        <v>4860</v>
      </c>
      <c r="Q2411" s="1" t="str">
        <f>_xlfn.XLOOKUP(tblSales[[#This Row],[Channel Code]],tblChannels[Channel Code],tblChannels[Channel Name],"")</f>
        <v>In-store</v>
      </c>
      <c r="R2411" s="1">
        <f>MONTH(tblSales[[#This Row],[Date]])</f>
        <v>5</v>
      </c>
    </row>
    <row r="2412" spans="2:18" x14ac:dyDescent="0.35">
      <c r="B2412" s="113">
        <v>46167</v>
      </c>
      <c r="C2412" s="4" t="s">
        <v>1608</v>
      </c>
      <c r="D2412" s="4" t="s">
        <v>4568</v>
      </c>
      <c r="E2412" s="1" t="str">
        <f>_xlfn.XLOOKUP(tblSales[[#This Row],[Customer ID]],tblCustomers[Customer ID],tblCustomers[Customer Name],"⚠ Unknown")</f>
        <v>Walk-in Customer</v>
      </c>
      <c r="F2412" s="4" t="s">
        <v>8</v>
      </c>
      <c r="G2412" s="1" t="str">
        <f>_xlfn.XLOOKUP(tblSales[[#This Row],[Product Code]],tblProducts[Code],tblProducts[Product / Service Name],"⚠ Unknown")</f>
        <v>Casual Shorts</v>
      </c>
      <c r="H2412" s="1" t="str">
        <f>_xlfn.XLOOKUP(tblSales[[#This Row],[Product Code]],tblProducts[Code],tblProducts[Category],"")</f>
        <v>Accessories &amp; Basics</v>
      </c>
      <c r="I2412" s="4">
        <v>2</v>
      </c>
      <c r="J2412" s="5">
        <f>_xlfn.XLOOKUP(tblSales[[#This Row],[Product Code]],tblProducts[Code],tblProducts[Selling Price (excl. VAT)],0)</f>
        <v>85000</v>
      </c>
      <c r="K2412" s="5">
        <f>tblSales[[#This Row],[Qty]]*tblSales[[#This Row],[Unit Price]]</f>
        <v>170000</v>
      </c>
      <c r="L2412" s="5">
        <f>ROUND(tblSales[[#This Row],[DPP (excl. VAT)]]*VATEff,0)</f>
        <v>18700</v>
      </c>
      <c r="M2412" s="5">
        <f>tblSales[[#This Row],[DPP (excl. VAT)]]+tblSales[[#This Row],[Output VAT]]</f>
        <v>188700</v>
      </c>
      <c r="N2412" s="5">
        <f>tblSales[[#This Row],[Qty]]*_xlfn.XLOOKUP(tblSales[[#This Row],[Product Code]],tblProducts[Code],tblProducts[Unit Cost],0)</f>
        <v>100000</v>
      </c>
      <c r="O2412" s="4" t="s">
        <v>4866</v>
      </c>
      <c r="P2412" s="4" t="s">
        <v>4862</v>
      </c>
      <c r="Q2412" s="1" t="str">
        <f>_xlfn.XLOOKUP(tblSales[[#This Row],[Channel Code]],tblChannels[Channel Code],tblChannels[Channel Name],"")</f>
        <v>Website &amp; Social Media</v>
      </c>
      <c r="R2412" s="1">
        <f>MONTH(tblSales[[#This Row],[Date]])</f>
        <v>5</v>
      </c>
    </row>
    <row r="2413" spans="2:18" x14ac:dyDescent="0.35">
      <c r="B2413" s="113">
        <v>46167</v>
      </c>
      <c r="C2413" s="4" t="s">
        <v>1609</v>
      </c>
      <c r="D2413" s="4" t="s">
        <v>4568</v>
      </c>
      <c r="E2413" s="1" t="str">
        <f>_xlfn.XLOOKUP(tblSales[[#This Row],[Customer ID]],tblCustomers[Customer ID],tblCustomers[Customer Name],"⚠ Unknown")</f>
        <v>Walk-in Customer</v>
      </c>
      <c r="F2413" s="4" t="s">
        <v>10</v>
      </c>
      <c r="G2413" s="1" t="str">
        <f>_xlfn.XLOOKUP(tblSales[[#This Row],[Product Code]],tblProducts[Code],tblProducts[Product / Service Name],"⚠ Unknown")</f>
        <v>Chino Pants</v>
      </c>
      <c r="H2413" s="1" t="str">
        <f>_xlfn.XLOOKUP(tblSales[[#This Row],[Product Code]],tblProducts[Code],tblProducts[Category],"")</f>
        <v>Apparel &amp; Footwear</v>
      </c>
      <c r="I2413" s="4">
        <v>8</v>
      </c>
      <c r="J2413" s="5">
        <f>_xlfn.XLOOKUP(tblSales[[#This Row],[Product Code]],tblProducts[Code],tblProducts[Selling Price (excl. VAT)],0)</f>
        <v>150000</v>
      </c>
      <c r="K2413" s="5">
        <f>tblSales[[#This Row],[Qty]]*tblSales[[#This Row],[Unit Price]]</f>
        <v>1200000</v>
      </c>
      <c r="L2413" s="5">
        <f>ROUND(tblSales[[#This Row],[DPP (excl. VAT)]]*VATEff,0)</f>
        <v>132000</v>
      </c>
      <c r="M2413" s="5">
        <f>tblSales[[#This Row],[DPP (excl. VAT)]]+tblSales[[#This Row],[Output VAT]]</f>
        <v>1332000</v>
      </c>
      <c r="N2413" s="5">
        <f>tblSales[[#This Row],[Qty]]*_xlfn.XLOOKUP(tblSales[[#This Row],[Product Code]],tblProducts[Code],tblProducts[Unit Cost],0)</f>
        <v>704000</v>
      </c>
      <c r="O2413" s="4" t="s">
        <v>4865</v>
      </c>
      <c r="P2413" s="4" t="s">
        <v>4860</v>
      </c>
      <c r="Q2413" s="1" t="str">
        <f>_xlfn.XLOOKUP(tblSales[[#This Row],[Channel Code]],tblChannels[Channel Code],tblChannels[Channel Name],"")</f>
        <v>In-store</v>
      </c>
      <c r="R2413" s="1">
        <f>MONTH(tblSales[[#This Row],[Date]])</f>
        <v>5</v>
      </c>
    </row>
    <row r="2414" spans="2:18" x14ac:dyDescent="0.35">
      <c r="B2414" s="113">
        <v>46167</v>
      </c>
      <c r="C2414" s="4" t="s">
        <v>1610</v>
      </c>
      <c r="D2414" s="4" t="s">
        <v>4606</v>
      </c>
      <c r="E2414" s="1" t="str">
        <f>_xlfn.XLOOKUP(tblSales[[#This Row],[Customer ID]],tblCustomers[Customer ID],tblCustomers[Customer Name],"⚠ Unknown")</f>
        <v>PT Arunika Digital Kreatif</v>
      </c>
      <c r="F2414" s="4" t="s">
        <v>6</v>
      </c>
      <c r="G2414" s="1" t="str">
        <f>_xlfn.XLOOKUP(tblSales[[#This Row],[Product Code]],tblProducts[Code],tblProducts[Product / Service Name],"⚠ Unknown")</f>
        <v>Socks &amp; Accessories</v>
      </c>
      <c r="H2414" s="1" t="str">
        <f>_xlfn.XLOOKUP(tblSales[[#This Row],[Product Code]],tblProducts[Code],tblProducts[Category],"")</f>
        <v>Accessories &amp; Basics</v>
      </c>
      <c r="I2414" s="4">
        <v>8</v>
      </c>
      <c r="J2414" s="5">
        <f>_xlfn.XLOOKUP(tblSales[[#This Row],[Product Code]],tblProducts[Code],tblProducts[Selling Price (excl. VAT)],0)</f>
        <v>45000</v>
      </c>
      <c r="K2414" s="5">
        <f>tblSales[[#This Row],[Qty]]*tblSales[[#This Row],[Unit Price]]</f>
        <v>360000</v>
      </c>
      <c r="L2414" s="5">
        <f>ROUND(tblSales[[#This Row],[DPP (excl. VAT)]]*VATEff,0)</f>
        <v>39600</v>
      </c>
      <c r="M2414" s="5">
        <f>tblSales[[#This Row],[DPP (excl. VAT)]]+tblSales[[#This Row],[Output VAT]]</f>
        <v>399600</v>
      </c>
      <c r="N2414" s="5">
        <f>tblSales[[#This Row],[Qty]]*_xlfn.XLOOKUP(tblSales[[#This Row],[Product Code]],tblProducts[Code],tblProducts[Unit Cost],0)</f>
        <v>192000</v>
      </c>
      <c r="O2414" s="4" t="s">
        <v>4867</v>
      </c>
      <c r="P2414" s="4" t="s">
        <v>4860</v>
      </c>
      <c r="Q2414" s="1" t="str">
        <f>_xlfn.XLOOKUP(tblSales[[#This Row],[Channel Code]],tblChannels[Channel Code],tblChannels[Channel Name],"")</f>
        <v>In-store</v>
      </c>
      <c r="R2414" s="1">
        <f>MONTH(tblSales[[#This Row],[Date]])</f>
        <v>5</v>
      </c>
    </row>
    <row r="2415" spans="2:18" x14ac:dyDescent="0.35">
      <c r="B2415" s="113">
        <v>46167</v>
      </c>
      <c r="C2415" s="4" t="s">
        <v>1611</v>
      </c>
      <c r="D2415" s="4" t="s">
        <v>4606</v>
      </c>
      <c r="E2415" s="1" t="str">
        <f>_xlfn.XLOOKUP(tblSales[[#This Row],[Customer ID]],tblCustomers[Customer ID],tblCustomers[Customer Name],"⚠ Unknown")</f>
        <v>PT Arunika Digital Kreatif</v>
      </c>
      <c r="F2415" s="4" t="s">
        <v>9</v>
      </c>
      <c r="G2415" s="1" t="str">
        <f>_xlfn.XLOOKUP(tblSales[[#This Row],[Product Code]],tblProducts[Code],tblProducts[Product / Service Name],"⚠ Unknown")</f>
        <v>Casual Shirt</v>
      </c>
      <c r="H2415" s="1" t="str">
        <f>_xlfn.XLOOKUP(tblSales[[#This Row],[Product Code]],tblProducts[Code],tblProducts[Category],"")</f>
        <v>Apparel &amp; Footwear</v>
      </c>
      <c r="I2415" s="4">
        <v>96</v>
      </c>
      <c r="J2415" s="5">
        <f>_xlfn.XLOOKUP(tblSales[[#This Row],[Product Code]],tblProducts[Code],tblProducts[Selling Price (excl. VAT)],0)</f>
        <v>120000</v>
      </c>
      <c r="K2415" s="5">
        <f>tblSales[[#This Row],[Qty]]*tblSales[[#This Row],[Unit Price]]</f>
        <v>11520000</v>
      </c>
      <c r="L2415" s="5">
        <f>ROUND(tblSales[[#This Row],[DPP (excl. VAT)]]*VATEff,0)</f>
        <v>1267200</v>
      </c>
      <c r="M2415" s="5">
        <f>tblSales[[#This Row],[DPP (excl. VAT)]]+tblSales[[#This Row],[Output VAT]]</f>
        <v>12787200</v>
      </c>
      <c r="N2415" s="5">
        <f>tblSales[[#This Row],[Qty]]*_xlfn.XLOOKUP(tblSales[[#This Row],[Product Code]],tblProducts[Code],tblProducts[Unit Cost],0)</f>
        <v>6912000</v>
      </c>
      <c r="O2415" s="4" t="s">
        <v>4867</v>
      </c>
      <c r="P2415" s="4" t="s">
        <v>4860</v>
      </c>
      <c r="Q2415" s="1" t="str">
        <f>_xlfn.XLOOKUP(tblSales[[#This Row],[Channel Code]],tblChannels[Channel Code],tblChannels[Channel Name],"")</f>
        <v>In-store</v>
      </c>
      <c r="R2415" s="1">
        <f>MONTH(tblSales[[#This Row],[Date]])</f>
        <v>5</v>
      </c>
    </row>
    <row r="2416" spans="2:18" x14ac:dyDescent="0.35">
      <c r="B2416" s="113">
        <v>46167</v>
      </c>
      <c r="C2416" s="4" t="s">
        <v>1611</v>
      </c>
      <c r="D2416" s="4" t="s">
        <v>4606</v>
      </c>
      <c r="E2416" s="1" t="str">
        <f>_xlfn.XLOOKUP(tblSales[[#This Row],[Customer ID]],tblCustomers[Customer ID],tblCustomers[Customer Name],"⚠ Unknown")</f>
        <v>PT Arunika Digital Kreatif</v>
      </c>
      <c r="F2416" s="4" t="s">
        <v>6</v>
      </c>
      <c r="G2416" s="1" t="str">
        <f>_xlfn.XLOOKUP(tblSales[[#This Row],[Product Code]],tblProducts[Code],tblProducts[Product / Service Name],"⚠ Unknown")</f>
        <v>Socks &amp; Accessories</v>
      </c>
      <c r="H2416" s="1" t="str">
        <f>_xlfn.XLOOKUP(tblSales[[#This Row],[Product Code]],tblProducts[Code],tblProducts[Category],"")</f>
        <v>Accessories &amp; Basics</v>
      </c>
      <c r="I2416" s="4">
        <v>40</v>
      </c>
      <c r="J2416" s="5">
        <f>_xlfn.XLOOKUP(tblSales[[#This Row],[Product Code]],tblProducts[Code],tblProducts[Selling Price (excl. VAT)],0)</f>
        <v>45000</v>
      </c>
      <c r="K2416" s="5">
        <f>tblSales[[#This Row],[Qty]]*tblSales[[#This Row],[Unit Price]]</f>
        <v>1800000</v>
      </c>
      <c r="L2416" s="5">
        <f>ROUND(tblSales[[#This Row],[DPP (excl. VAT)]]*VATEff,0)</f>
        <v>198000</v>
      </c>
      <c r="M2416" s="5">
        <f>tblSales[[#This Row],[DPP (excl. VAT)]]+tblSales[[#This Row],[Output VAT]]</f>
        <v>1998000</v>
      </c>
      <c r="N2416" s="5">
        <f>tblSales[[#This Row],[Qty]]*_xlfn.XLOOKUP(tblSales[[#This Row],[Product Code]],tblProducts[Code],tblProducts[Unit Cost],0)</f>
        <v>960000</v>
      </c>
      <c r="O2416" s="4" t="s">
        <v>4867</v>
      </c>
      <c r="P2416" s="4" t="s">
        <v>4860</v>
      </c>
      <c r="Q2416" s="1" t="str">
        <f>_xlfn.XLOOKUP(tblSales[[#This Row],[Channel Code]],tblChannels[Channel Code],tblChannels[Channel Name],"")</f>
        <v>In-store</v>
      </c>
      <c r="R2416" s="1">
        <f>MONTH(tblSales[[#This Row],[Date]])</f>
        <v>5</v>
      </c>
    </row>
    <row r="2417" spans="2:18" x14ac:dyDescent="0.35">
      <c r="B2417" s="113">
        <v>46167</v>
      </c>
      <c r="C2417" s="4" t="s">
        <v>1612</v>
      </c>
      <c r="D2417" s="4" t="s">
        <v>4568</v>
      </c>
      <c r="E2417" s="1" t="str">
        <f>_xlfn.XLOOKUP(tblSales[[#This Row],[Customer ID]],tblCustomers[Customer ID],tblCustomers[Customer Name],"⚠ Unknown")</f>
        <v>Walk-in Customer</v>
      </c>
      <c r="F2417" s="4" t="s">
        <v>6</v>
      </c>
      <c r="G2417" s="1" t="str">
        <f>_xlfn.XLOOKUP(tblSales[[#This Row],[Product Code]],tblProducts[Code],tblProducts[Product / Service Name],"⚠ Unknown")</f>
        <v>Socks &amp; Accessories</v>
      </c>
      <c r="H2417" s="1" t="str">
        <f>_xlfn.XLOOKUP(tblSales[[#This Row],[Product Code]],tblProducts[Code],tblProducts[Category],"")</f>
        <v>Accessories &amp; Basics</v>
      </c>
      <c r="I2417" s="4">
        <v>2</v>
      </c>
      <c r="J2417" s="5">
        <f>_xlfn.XLOOKUP(tblSales[[#This Row],[Product Code]],tblProducts[Code],tblProducts[Selling Price (excl. VAT)],0)</f>
        <v>45000</v>
      </c>
      <c r="K2417" s="5">
        <f>tblSales[[#This Row],[Qty]]*tblSales[[#This Row],[Unit Price]]</f>
        <v>90000</v>
      </c>
      <c r="L2417" s="5">
        <f>ROUND(tblSales[[#This Row],[DPP (excl. VAT)]]*VATEff,0)</f>
        <v>9900</v>
      </c>
      <c r="M2417" s="5">
        <f>tblSales[[#This Row],[DPP (excl. VAT)]]+tblSales[[#This Row],[Output VAT]]</f>
        <v>99900</v>
      </c>
      <c r="N2417" s="5">
        <f>tblSales[[#This Row],[Qty]]*_xlfn.XLOOKUP(tblSales[[#This Row],[Product Code]],tblProducts[Code],tblProducts[Unit Cost],0)</f>
        <v>48000</v>
      </c>
      <c r="O2417" s="4" t="s">
        <v>4866</v>
      </c>
      <c r="P2417" s="4" t="s">
        <v>4861</v>
      </c>
      <c r="Q2417" s="1" t="str">
        <f>_xlfn.XLOOKUP(tblSales[[#This Row],[Channel Code]],tblChannels[Channel Code],tblChannels[Channel Name],"")</f>
        <v>Marketplace</v>
      </c>
      <c r="R2417" s="1">
        <f>MONTH(tblSales[[#This Row],[Date]])</f>
        <v>5</v>
      </c>
    </row>
    <row r="2418" spans="2:18" x14ac:dyDescent="0.35">
      <c r="B2418" s="113">
        <v>46167</v>
      </c>
      <c r="C2418" s="4" t="s">
        <v>1613</v>
      </c>
      <c r="D2418" s="4" t="s">
        <v>4568</v>
      </c>
      <c r="E2418" s="1" t="str">
        <f>_xlfn.XLOOKUP(tblSales[[#This Row],[Customer ID]],tblCustomers[Customer ID],tblCustomers[Customer Name],"⚠ Unknown")</f>
        <v>Walk-in Customer</v>
      </c>
      <c r="F2418" s="4" t="s">
        <v>10</v>
      </c>
      <c r="G2418" s="1" t="str">
        <f>_xlfn.XLOOKUP(tblSales[[#This Row],[Product Code]],tblProducts[Code],tblProducts[Product / Service Name],"⚠ Unknown")</f>
        <v>Chino Pants</v>
      </c>
      <c r="H2418" s="1" t="str">
        <f>_xlfn.XLOOKUP(tblSales[[#This Row],[Product Code]],tblProducts[Code],tblProducts[Category],"")</f>
        <v>Apparel &amp; Footwear</v>
      </c>
      <c r="I2418" s="4">
        <v>9</v>
      </c>
      <c r="J2418" s="5">
        <f>_xlfn.XLOOKUP(tblSales[[#This Row],[Product Code]],tblProducts[Code],tblProducts[Selling Price (excl. VAT)],0)</f>
        <v>150000</v>
      </c>
      <c r="K2418" s="5">
        <f>tblSales[[#This Row],[Qty]]*tblSales[[#This Row],[Unit Price]]</f>
        <v>1350000</v>
      </c>
      <c r="L2418" s="5">
        <f>ROUND(tblSales[[#This Row],[DPP (excl. VAT)]]*VATEff,0)</f>
        <v>148500</v>
      </c>
      <c r="M2418" s="5">
        <f>tblSales[[#This Row],[DPP (excl. VAT)]]+tblSales[[#This Row],[Output VAT]]</f>
        <v>1498500</v>
      </c>
      <c r="N2418" s="5">
        <f>tblSales[[#This Row],[Qty]]*_xlfn.XLOOKUP(tblSales[[#This Row],[Product Code]],tblProducts[Code],tblProducts[Unit Cost],0)</f>
        <v>792000</v>
      </c>
      <c r="O2418" s="4" t="s">
        <v>4866</v>
      </c>
      <c r="P2418" s="4" t="s">
        <v>4861</v>
      </c>
      <c r="Q2418" s="1" t="str">
        <f>_xlfn.XLOOKUP(tblSales[[#This Row],[Channel Code]],tblChannels[Channel Code],tblChannels[Channel Name],"")</f>
        <v>Marketplace</v>
      </c>
      <c r="R2418" s="1">
        <f>MONTH(tblSales[[#This Row],[Date]])</f>
        <v>5</v>
      </c>
    </row>
    <row r="2419" spans="2:18" x14ac:dyDescent="0.35">
      <c r="B2419" s="113">
        <v>46167</v>
      </c>
      <c r="C2419" s="4" t="s">
        <v>1613</v>
      </c>
      <c r="D2419" s="4" t="s">
        <v>4568</v>
      </c>
      <c r="E2419" s="1" t="str">
        <f>_xlfn.XLOOKUP(tblSales[[#This Row],[Customer ID]],tblCustomers[Customer ID],tblCustomers[Customer Name],"⚠ Unknown")</f>
        <v>Walk-in Customer</v>
      </c>
      <c r="F2419" s="4" t="s">
        <v>9</v>
      </c>
      <c r="G2419" s="1" t="str">
        <f>_xlfn.XLOOKUP(tblSales[[#This Row],[Product Code]],tblProducts[Code],tblProducts[Product / Service Name],"⚠ Unknown")</f>
        <v>Casual Shirt</v>
      </c>
      <c r="H2419" s="1" t="str">
        <f>_xlfn.XLOOKUP(tblSales[[#This Row],[Product Code]],tblProducts[Code],tblProducts[Category],"")</f>
        <v>Apparel &amp; Footwear</v>
      </c>
      <c r="I2419" s="4">
        <v>6</v>
      </c>
      <c r="J2419" s="5">
        <f>_xlfn.XLOOKUP(tblSales[[#This Row],[Product Code]],tblProducts[Code],tblProducts[Selling Price (excl. VAT)],0)</f>
        <v>120000</v>
      </c>
      <c r="K2419" s="5">
        <f>tblSales[[#This Row],[Qty]]*tblSales[[#This Row],[Unit Price]]</f>
        <v>720000</v>
      </c>
      <c r="L2419" s="5">
        <f>ROUND(tblSales[[#This Row],[DPP (excl. VAT)]]*VATEff,0)</f>
        <v>79200</v>
      </c>
      <c r="M2419" s="5">
        <f>tblSales[[#This Row],[DPP (excl. VAT)]]+tblSales[[#This Row],[Output VAT]]</f>
        <v>799200</v>
      </c>
      <c r="N2419" s="5">
        <f>tblSales[[#This Row],[Qty]]*_xlfn.XLOOKUP(tblSales[[#This Row],[Product Code]],tblProducts[Code],tblProducts[Unit Cost],0)</f>
        <v>432000</v>
      </c>
      <c r="O2419" s="4" t="s">
        <v>4866</v>
      </c>
      <c r="P2419" s="4" t="s">
        <v>4861</v>
      </c>
      <c r="Q2419" s="1" t="str">
        <f>_xlfn.XLOOKUP(tblSales[[#This Row],[Channel Code]],tblChannels[Channel Code],tblChannels[Channel Name],"")</f>
        <v>Marketplace</v>
      </c>
      <c r="R2419" s="1">
        <f>MONTH(tblSales[[#This Row],[Date]])</f>
        <v>5</v>
      </c>
    </row>
    <row r="2420" spans="2:18" x14ac:dyDescent="0.35">
      <c r="B2420" s="113">
        <v>46168</v>
      </c>
      <c r="C2420" s="4" t="s">
        <v>1614</v>
      </c>
      <c r="D2420" s="4" t="s">
        <v>4568</v>
      </c>
      <c r="E2420" s="1" t="str">
        <f>_xlfn.XLOOKUP(tblSales[[#This Row],[Customer ID]],tblCustomers[Customer ID],tblCustomers[Customer Name],"⚠ Unknown")</f>
        <v>Walk-in Customer</v>
      </c>
      <c r="F2420" s="4" t="s">
        <v>11</v>
      </c>
      <c r="G2420" s="1" t="str">
        <f>_xlfn.XLOOKUP(tblSales[[#This Row],[Product Code]],tblProducts[Code],tblProducts[Product / Service Name],"⚠ Unknown")</f>
        <v>Sneakers</v>
      </c>
      <c r="H2420" s="1" t="str">
        <f>_xlfn.XLOOKUP(tblSales[[#This Row],[Product Code]],tblProducts[Code],tblProducts[Category],"")</f>
        <v>Apparel &amp; Footwear</v>
      </c>
      <c r="I2420" s="4">
        <v>3</v>
      </c>
      <c r="J2420" s="5">
        <f>_xlfn.XLOOKUP(tblSales[[#This Row],[Product Code]],tblProducts[Code],tblProducts[Selling Price (excl. VAT)],0)</f>
        <v>250000</v>
      </c>
      <c r="K2420" s="5">
        <f>tblSales[[#This Row],[Qty]]*tblSales[[#This Row],[Unit Price]]</f>
        <v>750000</v>
      </c>
      <c r="L2420" s="5">
        <f>ROUND(tblSales[[#This Row],[DPP (excl. VAT)]]*VATEff,0)</f>
        <v>82500</v>
      </c>
      <c r="M2420" s="5">
        <f>tblSales[[#This Row],[DPP (excl. VAT)]]+tblSales[[#This Row],[Output VAT]]</f>
        <v>832500</v>
      </c>
      <c r="N2420" s="5">
        <f>tblSales[[#This Row],[Qty]]*_xlfn.XLOOKUP(tblSales[[#This Row],[Product Code]],tblProducts[Code],tblProducts[Unit Cost],0)</f>
        <v>465000</v>
      </c>
      <c r="O2420" s="4" t="s">
        <v>4865</v>
      </c>
      <c r="P2420" s="4" t="s">
        <v>4860</v>
      </c>
      <c r="Q2420" s="1" t="str">
        <f>_xlfn.XLOOKUP(tblSales[[#This Row],[Channel Code]],tblChannels[Channel Code],tblChannels[Channel Name],"")</f>
        <v>In-store</v>
      </c>
      <c r="R2420" s="1">
        <f>MONTH(tblSales[[#This Row],[Date]])</f>
        <v>5</v>
      </c>
    </row>
    <row r="2421" spans="2:18" x14ac:dyDescent="0.35">
      <c r="B2421" s="113">
        <v>46168</v>
      </c>
      <c r="C2421" s="4" t="s">
        <v>1614</v>
      </c>
      <c r="D2421" s="4" t="s">
        <v>4568</v>
      </c>
      <c r="E2421" s="1" t="str">
        <f>_xlfn.XLOOKUP(tblSales[[#This Row],[Customer ID]],tblCustomers[Customer ID],tblCustomers[Customer Name],"⚠ Unknown")</f>
        <v>Walk-in Customer</v>
      </c>
      <c r="F2421" s="4" t="s">
        <v>14</v>
      </c>
      <c r="G2421" s="1" t="str">
        <f>_xlfn.XLOOKUP(tblSales[[#This Row],[Product Code]],tblProducts[Code],tblProducts[Product / Service Name],"⚠ Unknown")</f>
        <v>Smartwatch</v>
      </c>
      <c r="H2421" s="1" t="str">
        <f>_xlfn.XLOOKUP(tblSales[[#This Row],[Product Code]],tblProducts[Code],tblProducts[Category],"")</f>
        <v>Bags &amp; Gadgets</v>
      </c>
      <c r="I2421" s="4">
        <v>1</v>
      </c>
      <c r="J2421" s="5">
        <f>_xlfn.XLOOKUP(tblSales[[#This Row],[Product Code]],tblProducts[Code],tblProducts[Selling Price (excl. VAT)],0)</f>
        <v>850000</v>
      </c>
      <c r="K2421" s="5">
        <f>tblSales[[#This Row],[Qty]]*tblSales[[#This Row],[Unit Price]]</f>
        <v>850000</v>
      </c>
      <c r="L2421" s="5">
        <f>ROUND(tblSales[[#This Row],[DPP (excl. VAT)]]*VATEff,0)</f>
        <v>93500</v>
      </c>
      <c r="M2421" s="5">
        <f>tblSales[[#This Row],[DPP (excl. VAT)]]+tblSales[[#This Row],[Output VAT]]</f>
        <v>943500</v>
      </c>
      <c r="N2421" s="5">
        <f>tblSales[[#This Row],[Qty]]*_xlfn.XLOOKUP(tblSales[[#This Row],[Product Code]],tblProducts[Code],tblProducts[Unit Cost],0)</f>
        <v>560000</v>
      </c>
      <c r="O2421" s="4" t="s">
        <v>4865</v>
      </c>
      <c r="P2421" s="4" t="s">
        <v>4860</v>
      </c>
      <c r="Q2421" s="1" t="str">
        <f>_xlfn.XLOOKUP(tblSales[[#This Row],[Channel Code]],tblChannels[Channel Code],tblChannels[Channel Name],"")</f>
        <v>In-store</v>
      </c>
      <c r="R2421" s="1">
        <f>MONTH(tblSales[[#This Row],[Date]])</f>
        <v>5</v>
      </c>
    </row>
    <row r="2422" spans="2:18" x14ac:dyDescent="0.35">
      <c r="B2422" s="113">
        <v>46168</v>
      </c>
      <c r="C2422" s="4" t="s">
        <v>1614</v>
      </c>
      <c r="D2422" s="4" t="s">
        <v>4568</v>
      </c>
      <c r="E2422" s="1" t="str">
        <f>_xlfn.XLOOKUP(tblSales[[#This Row],[Customer ID]],tblCustomers[Customer ID],tblCustomers[Customer Name],"⚠ Unknown")</f>
        <v>Walk-in Customer</v>
      </c>
      <c r="F2422" s="4" t="s">
        <v>9</v>
      </c>
      <c r="G2422" s="1" t="str">
        <f>_xlfn.XLOOKUP(tblSales[[#This Row],[Product Code]],tblProducts[Code],tblProducts[Product / Service Name],"⚠ Unknown")</f>
        <v>Casual Shirt</v>
      </c>
      <c r="H2422" s="1" t="str">
        <f>_xlfn.XLOOKUP(tblSales[[#This Row],[Product Code]],tblProducts[Code],tblProducts[Category],"")</f>
        <v>Apparel &amp; Footwear</v>
      </c>
      <c r="I2422" s="4">
        <v>2</v>
      </c>
      <c r="J2422" s="5">
        <f>_xlfn.XLOOKUP(tblSales[[#This Row],[Product Code]],tblProducts[Code],tblProducts[Selling Price (excl. VAT)],0)</f>
        <v>120000</v>
      </c>
      <c r="K2422" s="5">
        <f>tblSales[[#This Row],[Qty]]*tblSales[[#This Row],[Unit Price]]</f>
        <v>240000</v>
      </c>
      <c r="L2422" s="5">
        <f>ROUND(tblSales[[#This Row],[DPP (excl. VAT)]]*VATEff,0)</f>
        <v>26400</v>
      </c>
      <c r="M2422" s="5">
        <f>tblSales[[#This Row],[DPP (excl. VAT)]]+tblSales[[#This Row],[Output VAT]]</f>
        <v>266400</v>
      </c>
      <c r="N2422" s="5">
        <f>tblSales[[#This Row],[Qty]]*_xlfn.XLOOKUP(tblSales[[#This Row],[Product Code]],tblProducts[Code],tblProducts[Unit Cost],0)</f>
        <v>144000</v>
      </c>
      <c r="O2422" s="4" t="s">
        <v>4865</v>
      </c>
      <c r="P2422" s="4" t="s">
        <v>4860</v>
      </c>
      <c r="Q2422" s="1" t="str">
        <f>_xlfn.XLOOKUP(tblSales[[#This Row],[Channel Code]],tblChannels[Channel Code],tblChannels[Channel Name],"")</f>
        <v>In-store</v>
      </c>
      <c r="R2422" s="1">
        <f>MONTH(tblSales[[#This Row],[Date]])</f>
        <v>5</v>
      </c>
    </row>
    <row r="2423" spans="2:18" x14ac:dyDescent="0.35">
      <c r="B2423" s="113">
        <v>46168</v>
      </c>
      <c r="C2423" s="4" t="s">
        <v>1615</v>
      </c>
      <c r="D2423" s="4" t="s">
        <v>4568</v>
      </c>
      <c r="E2423" s="1" t="str">
        <f>_xlfn.XLOOKUP(tblSales[[#This Row],[Customer ID]],tblCustomers[Customer ID],tblCustomers[Customer Name],"⚠ Unknown")</f>
        <v>Walk-in Customer</v>
      </c>
      <c r="F2423" s="4" t="s">
        <v>11</v>
      </c>
      <c r="G2423" s="1" t="str">
        <f>_xlfn.XLOOKUP(tblSales[[#This Row],[Product Code]],tblProducts[Code],tblProducts[Product / Service Name],"⚠ Unknown")</f>
        <v>Sneakers</v>
      </c>
      <c r="H2423" s="1" t="str">
        <f>_xlfn.XLOOKUP(tblSales[[#This Row],[Product Code]],tblProducts[Code],tblProducts[Category],"")</f>
        <v>Apparel &amp; Footwear</v>
      </c>
      <c r="I2423" s="4">
        <v>1</v>
      </c>
      <c r="J2423" s="5">
        <f>_xlfn.XLOOKUP(tblSales[[#This Row],[Product Code]],tblProducts[Code],tblProducts[Selling Price (excl. VAT)],0)</f>
        <v>250000</v>
      </c>
      <c r="K2423" s="5">
        <f>tblSales[[#This Row],[Qty]]*tblSales[[#This Row],[Unit Price]]</f>
        <v>250000</v>
      </c>
      <c r="L2423" s="5">
        <f>ROUND(tblSales[[#This Row],[DPP (excl. VAT)]]*VATEff,0)</f>
        <v>27500</v>
      </c>
      <c r="M2423" s="5">
        <f>tblSales[[#This Row],[DPP (excl. VAT)]]+tblSales[[#This Row],[Output VAT]]</f>
        <v>277500</v>
      </c>
      <c r="N2423" s="5">
        <f>tblSales[[#This Row],[Qty]]*_xlfn.XLOOKUP(tblSales[[#This Row],[Product Code]],tblProducts[Code],tblProducts[Unit Cost],0)</f>
        <v>155000</v>
      </c>
      <c r="O2423" s="4" t="s">
        <v>4865</v>
      </c>
      <c r="P2423" s="4" t="s">
        <v>4860</v>
      </c>
      <c r="Q2423" s="1" t="str">
        <f>_xlfn.XLOOKUP(tblSales[[#This Row],[Channel Code]],tblChannels[Channel Code],tblChannels[Channel Name],"")</f>
        <v>In-store</v>
      </c>
      <c r="R2423" s="1">
        <f>MONTH(tblSales[[#This Row],[Date]])</f>
        <v>5</v>
      </c>
    </row>
    <row r="2424" spans="2:18" x14ac:dyDescent="0.35">
      <c r="B2424" s="113">
        <v>46168</v>
      </c>
      <c r="C2424" s="4" t="s">
        <v>1616</v>
      </c>
      <c r="D2424" s="4" t="s">
        <v>4568</v>
      </c>
      <c r="E2424" s="1" t="str">
        <f>_xlfn.XLOOKUP(tblSales[[#This Row],[Customer ID]],tblCustomers[Customer ID],tblCustomers[Customer Name],"⚠ Unknown")</f>
        <v>Walk-in Customer</v>
      </c>
      <c r="F2424" s="4" t="s">
        <v>7</v>
      </c>
      <c r="G2424" s="1" t="str">
        <f>_xlfn.XLOOKUP(tblSales[[#This Row],[Product Code]],tblProducts[Code],tblProducts[Product / Service Name],"⚠ Unknown")</f>
        <v>Premium Basic T-shirt</v>
      </c>
      <c r="H2424" s="1" t="str">
        <f>_xlfn.XLOOKUP(tblSales[[#This Row],[Product Code]],tblProducts[Code],tblProducts[Category],"")</f>
        <v>Accessories &amp; Basics</v>
      </c>
      <c r="I2424" s="4">
        <v>7</v>
      </c>
      <c r="J2424" s="5">
        <f>_xlfn.XLOOKUP(tblSales[[#This Row],[Product Code]],tblProducts[Code],tblProducts[Selling Price (excl. VAT)],0)</f>
        <v>65000</v>
      </c>
      <c r="K2424" s="5">
        <f>tblSales[[#This Row],[Qty]]*tblSales[[#This Row],[Unit Price]]</f>
        <v>455000</v>
      </c>
      <c r="L2424" s="5">
        <f>ROUND(tblSales[[#This Row],[DPP (excl. VAT)]]*VATEff,0)</f>
        <v>50050</v>
      </c>
      <c r="M2424" s="5">
        <f>tblSales[[#This Row],[DPP (excl. VAT)]]+tblSales[[#This Row],[Output VAT]]</f>
        <v>505050</v>
      </c>
      <c r="N2424" s="5">
        <f>tblSales[[#This Row],[Qty]]*_xlfn.XLOOKUP(tblSales[[#This Row],[Product Code]],tblProducts[Code],tblProducts[Unit Cost],0)</f>
        <v>259000</v>
      </c>
      <c r="O2424" s="4" t="s">
        <v>4865</v>
      </c>
      <c r="P2424" s="4" t="s">
        <v>4860</v>
      </c>
      <c r="Q2424" s="1" t="str">
        <f>_xlfn.XLOOKUP(tblSales[[#This Row],[Channel Code]],tblChannels[Channel Code],tblChannels[Channel Name],"")</f>
        <v>In-store</v>
      </c>
      <c r="R2424" s="1">
        <f>MONTH(tblSales[[#This Row],[Date]])</f>
        <v>5</v>
      </c>
    </row>
    <row r="2425" spans="2:18" x14ac:dyDescent="0.35">
      <c r="B2425" s="113">
        <v>46168</v>
      </c>
      <c r="C2425" s="4" t="s">
        <v>1617</v>
      </c>
      <c r="D2425" s="4" t="s">
        <v>4568</v>
      </c>
      <c r="E2425" s="1" t="str">
        <f>_xlfn.XLOOKUP(tblSales[[#This Row],[Customer ID]],tblCustomers[Customer ID],tblCustomers[Customer Name],"⚠ Unknown")</f>
        <v>Walk-in Customer</v>
      </c>
      <c r="F2425" s="4" t="s">
        <v>7</v>
      </c>
      <c r="G2425" s="1" t="str">
        <f>_xlfn.XLOOKUP(tblSales[[#This Row],[Product Code]],tblProducts[Code],tblProducts[Product / Service Name],"⚠ Unknown")</f>
        <v>Premium Basic T-shirt</v>
      </c>
      <c r="H2425" s="1" t="str">
        <f>_xlfn.XLOOKUP(tblSales[[#This Row],[Product Code]],tblProducts[Code],tblProducts[Category],"")</f>
        <v>Accessories &amp; Basics</v>
      </c>
      <c r="I2425" s="4">
        <v>4</v>
      </c>
      <c r="J2425" s="5">
        <f>_xlfn.XLOOKUP(tblSales[[#This Row],[Product Code]],tblProducts[Code],tblProducts[Selling Price (excl. VAT)],0)</f>
        <v>65000</v>
      </c>
      <c r="K2425" s="5">
        <f>tblSales[[#This Row],[Qty]]*tblSales[[#This Row],[Unit Price]]</f>
        <v>260000</v>
      </c>
      <c r="L2425" s="5">
        <f>ROUND(tblSales[[#This Row],[DPP (excl. VAT)]]*VATEff,0)</f>
        <v>28600</v>
      </c>
      <c r="M2425" s="5">
        <f>tblSales[[#This Row],[DPP (excl. VAT)]]+tblSales[[#This Row],[Output VAT]]</f>
        <v>288600</v>
      </c>
      <c r="N2425" s="5">
        <f>tblSales[[#This Row],[Qty]]*_xlfn.XLOOKUP(tblSales[[#This Row],[Product Code]],tblProducts[Code],tblProducts[Unit Cost],0)</f>
        <v>148000</v>
      </c>
      <c r="O2425" s="4" t="s">
        <v>4866</v>
      </c>
      <c r="P2425" s="4" t="s">
        <v>4860</v>
      </c>
      <c r="Q2425" s="1" t="str">
        <f>_xlfn.XLOOKUP(tblSales[[#This Row],[Channel Code]],tblChannels[Channel Code],tblChannels[Channel Name],"")</f>
        <v>In-store</v>
      </c>
      <c r="R2425" s="1">
        <f>MONTH(tblSales[[#This Row],[Date]])</f>
        <v>5</v>
      </c>
    </row>
    <row r="2426" spans="2:18" x14ac:dyDescent="0.35">
      <c r="B2426" s="113">
        <v>46168</v>
      </c>
      <c r="C2426" s="4" t="s">
        <v>1618</v>
      </c>
      <c r="D2426" s="4" t="s">
        <v>4568</v>
      </c>
      <c r="E2426" s="1" t="str">
        <f>_xlfn.XLOOKUP(tblSales[[#This Row],[Customer ID]],tblCustomers[Customer ID],tblCustomers[Customer Name],"⚠ Unknown")</f>
        <v>Walk-in Customer</v>
      </c>
      <c r="F2426" s="4" t="s">
        <v>10</v>
      </c>
      <c r="G2426" s="1" t="str">
        <f>_xlfn.XLOOKUP(tblSales[[#This Row],[Product Code]],tblProducts[Code],tblProducts[Product / Service Name],"⚠ Unknown")</f>
        <v>Chino Pants</v>
      </c>
      <c r="H2426" s="1" t="str">
        <f>_xlfn.XLOOKUP(tblSales[[#This Row],[Product Code]],tblProducts[Code],tblProducts[Category],"")</f>
        <v>Apparel &amp; Footwear</v>
      </c>
      <c r="I2426" s="4">
        <v>11</v>
      </c>
      <c r="J2426" s="5">
        <f>_xlfn.XLOOKUP(tblSales[[#This Row],[Product Code]],tblProducts[Code],tblProducts[Selling Price (excl. VAT)],0)</f>
        <v>150000</v>
      </c>
      <c r="K2426" s="5">
        <f>tblSales[[#This Row],[Qty]]*tblSales[[#This Row],[Unit Price]]</f>
        <v>1650000</v>
      </c>
      <c r="L2426" s="5">
        <f>ROUND(tblSales[[#This Row],[DPP (excl. VAT)]]*VATEff,0)</f>
        <v>181500</v>
      </c>
      <c r="M2426" s="5">
        <f>tblSales[[#This Row],[DPP (excl. VAT)]]+tblSales[[#This Row],[Output VAT]]</f>
        <v>1831500</v>
      </c>
      <c r="N2426" s="5">
        <f>tblSales[[#This Row],[Qty]]*_xlfn.XLOOKUP(tblSales[[#This Row],[Product Code]],tblProducts[Code],tblProducts[Unit Cost],0)</f>
        <v>968000</v>
      </c>
      <c r="O2426" s="4" t="s">
        <v>4865</v>
      </c>
      <c r="P2426" s="4" t="s">
        <v>4860</v>
      </c>
      <c r="Q2426" s="1" t="str">
        <f>_xlfn.XLOOKUP(tblSales[[#This Row],[Channel Code]],tblChannels[Channel Code],tblChannels[Channel Name],"")</f>
        <v>In-store</v>
      </c>
      <c r="R2426" s="1">
        <f>MONTH(tblSales[[#This Row],[Date]])</f>
        <v>5</v>
      </c>
    </row>
    <row r="2427" spans="2:18" x14ac:dyDescent="0.35">
      <c r="B2427" s="113">
        <v>46168</v>
      </c>
      <c r="C2427" s="4" t="s">
        <v>1618</v>
      </c>
      <c r="D2427" s="4" t="s">
        <v>4568</v>
      </c>
      <c r="E2427" s="1" t="str">
        <f>_xlfn.XLOOKUP(tblSales[[#This Row],[Customer ID]],tblCustomers[Customer ID],tblCustomers[Customer Name],"⚠ Unknown")</f>
        <v>Walk-in Customer</v>
      </c>
      <c r="F2427" s="4" t="s">
        <v>6</v>
      </c>
      <c r="G2427" s="1" t="str">
        <f>_xlfn.XLOOKUP(tblSales[[#This Row],[Product Code]],tblProducts[Code],tblProducts[Product / Service Name],"⚠ Unknown")</f>
        <v>Socks &amp; Accessories</v>
      </c>
      <c r="H2427" s="1" t="str">
        <f>_xlfn.XLOOKUP(tblSales[[#This Row],[Product Code]],tblProducts[Code],tblProducts[Category],"")</f>
        <v>Accessories &amp; Basics</v>
      </c>
      <c r="I2427" s="4">
        <v>1</v>
      </c>
      <c r="J2427" s="5">
        <f>_xlfn.XLOOKUP(tblSales[[#This Row],[Product Code]],tblProducts[Code],tblProducts[Selling Price (excl. VAT)],0)</f>
        <v>45000</v>
      </c>
      <c r="K2427" s="5">
        <f>tblSales[[#This Row],[Qty]]*tblSales[[#This Row],[Unit Price]]</f>
        <v>45000</v>
      </c>
      <c r="L2427" s="5">
        <f>ROUND(tblSales[[#This Row],[DPP (excl. VAT)]]*VATEff,0)</f>
        <v>4950</v>
      </c>
      <c r="M2427" s="5">
        <f>tblSales[[#This Row],[DPP (excl. VAT)]]+tblSales[[#This Row],[Output VAT]]</f>
        <v>49950</v>
      </c>
      <c r="N2427" s="5">
        <f>tblSales[[#This Row],[Qty]]*_xlfn.XLOOKUP(tblSales[[#This Row],[Product Code]],tblProducts[Code],tblProducts[Unit Cost],0)</f>
        <v>24000</v>
      </c>
      <c r="O2427" s="4" t="s">
        <v>4865</v>
      </c>
      <c r="P2427" s="4" t="s">
        <v>4860</v>
      </c>
      <c r="Q2427" s="1" t="str">
        <f>_xlfn.XLOOKUP(tblSales[[#This Row],[Channel Code]],tblChannels[Channel Code],tblChannels[Channel Name],"")</f>
        <v>In-store</v>
      </c>
      <c r="R2427" s="1">
        <f>MONTH(tblSales[[#This Row],[Date]])</f>
        <v>5</v>
      </c>
    </row>
    <row r="2428" spans="2:18" x14ac:dyDescent="0.35">
      <c r="B2428" s="113">
        <v>46168</v>
      </c>
      <c r="C2428" s="4" t="s">
        <v>1619</v>
      </c>
      <c r="D2428" s="4" t="s">
        <v>4568</v>
      </c>
      <c r="E2428" s="1" t="str">
        <f>_xlfn.XLOOKUP(tblSales[[#This Row],[Customer ID]],tblCustomers[Customer ID],tblCustomers[Customer Name],"⚠ Unknown")</f>
        <v>Walk-in Customer</v>
      </c>
      <c r="F2428" s="4" t="s">
        <v>12</v>
      </c>
      <c r="G2428" s="1" t="str">
        <f>_xlfn.XLOOKUP(tblSales[[#This Row],[Product Code]],tblProducts[Code],tblProducts[Product / Service Name],"⚠ Unknown")</f>
        <v>Bomber Jacket</v>
      </c>
      <c r="H2428" s="1" t="str">
        <f>_xlfn.XLOOKUP(tblSales[[#This Row],[Product Code]],tblProducts[Code],tblProducts[Category],"")</f>
        <v>Apparel &amp; Footwear</v>
      </c>
      <c r="I2428" s="4">
        <v>5</v>
      </c>
      <c r="J2428" s="5">
        <f>_xlfn.XLOOKUP(tblSales[[#This Row],[Product Code]],tblProducts[Code],tblProducts[Selling Price (excl. VAT)],0)</f>
        <v>350000</v>
      </c>
      <c r="K2428" s="5">
        <f>tblSales[[#This Row],[Qty]]*tblSales[[#This Row],[Unit Price]]</f>
        <v>1750000</v>
      </c>
      <c r="L2428" s="5">
        <f>ROUND(tblSales[[#This Row],[DPP (excl. VAT)]]*VATEff,0)</f>
        <v>192500</v>
      </c>
      <c r="M2428" s="5">
        <f>tblSales[[#This Row],[DPP (excl. VAT)]]+tblSales[[#This Row],[Output VAT]]</f>
        <v>1942500</v>
      </c>
      <c r="N2428" s="5">
        <f>tblSales[[#This Row],[Qty]]*_xlfn.XLOOKUP(tblSales[[#This Row],[Product Code]],tblProducts[Code],tblProducts[Unit Cost],0)</f>
        <v>1050000</v>
      </c>
      <c r="O2428" s="4" t="s">
        <v>4866</v>
      </c>
      <c r="P2428" s="4" t="s">
        <v>4861</v>
      </c>
      <c r="Q2428" s="1" t="str">
        <f>_xlfn.XLOOKUP(tblSales[[#This Row],[Channel Code]],tblChannels[Channel Code],tblChannels[Channel Name],"")</f>
        <v>Marketplace</v>
      </c>
      <c r="R2428" s="1">
        <f>MONTH(tblSales[[#This Row],[Date]])</f>
        <v>5</v>
      </c>
    </row>
    <row r="2429" spans="2:18" x14ac:dyDescent="0.35">
      <c r="B2429" s="113">
        <v>46168</v>
      </c>
      <c r="C2429" s="4" t="s">
        <v>1620</v>
      </c>
      <c r="D2429" s="4" t="s">
        <v>4568</v>
      </c>
      <c r="E2429" s="1" t="str">
        <f>_xlfn.XLOOKUP(tblSales[[#This Row],[Customer ID]],tblCustomers[Customer ID],tblCustomers[Customer Name],"⚠ Unknown")</f>
        <v>Walk-in Customer</v>
      </c>
      <c r="F2429" s="4" t="s">
        <v>10</v>
      </c>
      <c r="G2429" s="1" t="str">
        <f>_xlfn.XLOOKUP(tblSales[[#This Row],[Product Code]],tblProducts[Code],tblProducts[Product / Service Name],"⚠ Unknown")</f>
        <v>Chino Pants</v>
      </c>
      <c r="H2429" s="1" t="str">
        <f>_xlfn.XLOOKUP(tblSales[[#This Row],[Product Code]],tblProducts[Code],tblProducts[Category],"")</f>
        <v>Apparel &amp; Footwear</v>
      </c>
      <c r="I2429" s="4">
        <v>10</v>
      </c>
      <c r="J2429" s="5">
        <f>_xlfn.XLOOKUP(tblSales[[#This Row],[Product Code]],tblProducts[Code],tblProducts[Selling Price (excl. VAT)],0)</f>
        <v>150000</v>
      </c>
      <c r="K2429" s="5">
        <f>tblSales[[#This Row],[Qty]]*tblSales[[#This Row],[Unit Price]]</f>
        <v>1500000</v>
      </c>
      <c r="L2429" s="5">
        <f>ROUND(tblSales[[#This Row],[DPP (excl. VAT)]]*VATEff,0)</f>
        <v>165000</v>
      </c>
      <c r="M2429" s="5">
        <f>tblSales[[#This Row],[DPP (excl. VAT)]]+tblSales[[#This Row],[Output VAT]]</f>
        <v>1665000</v>
      </c>
      <c r="N2429" s="5">
        <f>tblSales[[#This Row],[Qty]]*_xlfn.XLOOKUP(tblSales[[#This Row],[Product Code]],tblProducts[Code],tblProducts[Unit Cost],0)</f>
        <v>880000</v>
      </c>
      <c r="O2429" s="4" t="s">
        <v>4865</v>
      </c>
      <c r="P2429" s="4" t="s">
        <v>4860</v>
      </c>
      <c r="Q2429" s="1" t="str">
        <f>_xlfn.XLOOKUP(tblSales[[#This Row],[Channel Code]],tblChannels[Channel Code],tblChannels[Channel Name],"")</f>
        <v>In-store</v>
      </c>
      <c r="R2429" s="1">
        <f>MONTH(tblSales[[#This Row],[Date]])</f>
        <v>5</v>
      </c>
    </row>
    <row r="2430" spans="2:18" x14ac:dyDescent="0.35">
      <c r="B2430" s="113">
        <v>46168</v>
      </c>
      <c r="C2430" s="4" t="s">
        <v>1620</v>
      </c>
      <c r="D2430" s="4" t="s">
        <v>4568</v>
      </c>
      <c r="E2430" s="1" t="str">
        <f>_xlfn.XLOOKUP(tblSales[[#This Row],[Customer ID]],tblCustomers[Customer ID],tblCustomers[Customer Name],"⚠ Unknown")</f>
        <v>Walk-in Customer</v>
      </c>
      <c r="F2430" s="4" t="s">
        <v>7</v>
      </c>
      <c r="G2430" s="1" t="str">
        <f>_xlfn.XLOOKUP(tblSales[[#This Row],[Product Code]],tblProducts[Code],tblProducts[Product / Service Name],"⚠ Unknown")</f>
        <v>Premium Basic T-shirt</v>
      </c>
      <c r="H2430" s="1" t="str">
        <f>_xlfn.XLOOKUP(tblSales[[#This Row],[Product Code]],tblProducts[Code],tblProducts[Category],"")</f>
        <v>Accessories &amp; Basics</v>
      </c>
      <c r="I2430" s="4">
        <v>1</v>
      </c>
      <c r="J2430" s="5">
        <f>_xlfn.XLOOKUP(tblSales[[#This Row],[Product Code]],tblProducts[Code],tblProducts[Selling Price (excl. VAT)],0)</f>
        <v>65000</v>
      </c>
      <c r="K2430" s="5">
        <f>tblSales[[#This Row],[Qty]]*tblSales[[#This Row],[Unit Price]]</f>
        <v>65000</v>
      </c>
      <c r="L2430" s="5">
        <f>ROUND(tblSales[[#This Row],[DPP (excl. VAT)]]*VATEff,0)</f>
        <v>7150</v>
      </c>
      <c r="M2430" s="5">
        <f>tblSales[[#This Row],[DPP (excl. VAT)]]+tblSales[[#This Row],[Output VAT]]</f>
        <v>72150</v>
      </c>
      <c r="N2430" s="5">
        <f>tblSales[[#This Row],[Qty]]*_xlfn.XLOOKUP(tblSales[[#This Row],[Product Code]],tblProducts[Code],tblProducts[Unit Cost],0)</f>
        <v>37000</v>
      </c>
      <c r="O2430" s="4" t="s">
        <v>4865</v>
      </c>
      <c r="P2430" s="4" t="s">
        <v>4860</v>
      </c>
      <c r="Q2430" s="1" t="str">
        <f>_xlfn.XLOOKUP(tblSales[[#This Row],[Channel Code]],tblChannels[Channel Code],tblChannels[Channel Name],"")</f>
        <v>In-store</v>
      </c>
      <c r="R2430" s="1">
        <f>MONTH(tblSales[[#This Row],[Date]])</f>
        <v>5</v>
      </c>
    </row>
    <row r="2431" spans="2:18" x14ac:dyDescent="0.35">
      <c r="B2431" s="113">
        <v>46168</v>
      </c>
      <c r="C2431" s="4" t="s">
        <v>1621</v>
      </c>
      <c r="D2431" s="4" t="s">
        <v>4593</v>
      </c>
      <c r="E2431" s="1" t="str">
        <f>_xlfn.XLOOKUP(tblSales[[#This Row],[Customer ID]],tblCustomers[Customer ID],tblCustomers[Customer Name],"⚠ Unknown")</f>
        <v>PT Graha Nusa Persada</v>
      </c>
      <c r="F2431" s="4" t="s">
        <v>7</v>
      </c>
      <c r="G2431" s="1" t="str">
        <f>_xlfn.XLOOKUP(tblSales[[#This Row],[Product Code]],tblProducts[Code],tblProducts[Product / Service Name],"⚠ Unknown")</f>
        <v>Premium Basic T-shirt</v>
      </c>
      <c r="H2431" s="1" t="str">
        <f>_xlfn.XLOOKUP(tblSales[[#This Row],[Product Code]],tblProducts[Code],tblProducts[Category],"")</f>
        <v>Accessories &amp; Basics</v>
      </c>
      <c r="I2431" s="4">
        <v>64</v>
      </c>
      <c r="J2431" s="5">
        <f>_xlfn.XLOOKUP(tblSales[[#This Row],[Product Code]],tblProducts[Code],tblProducts[Selling Price (excl. VAT)],0)</f>
        <v>65000</v>
      </c>
      <c r="K2431" s="5">
        <f>tblSales[[#This Row],[Qty]]*tblSales[[#This Row],[Unit Price]]</f>
        <v>4160000</v>
      </c>
      <c r="L2431" s="5">
        <f>ROUND(tblSales[[#This Row],[DPP (excl. VAT)]]*VATEff,0)</f>
        <v>457600</v>
      </c>
      <c r="M2431" s="5">
        <f>tblSales[[#This Row],[DPP (excl. VAT)]]+tblSales[[#This Row],[Output VAT]]</f>
        <v>4617600</v>
      </c>
      <c r="N2431" s="5">
        <f>tblSales[[#This Row],[Qty]]*_xlfn.XLOOKUP(tblSales[[#This Row],[Product Code]],tblProducts[Code],tblProducts[Unit Cost],0)</f>
        <v>2368000</v>
      </c>
      <c r="O2431" s="4" t="s">
        <v>4867</v>
      </c>
      <c r="P2431" s="4" t="s">
        <v>4860</v>
      </c>
      <c r="Q2431" s="1" t="str">
        <f>_xlfn.XLOOKUP(tblSales[[#This Row],[Channel Code]],tblChannels[Channel Code],tblChannels[Channel Name],"")</f>
        <v>In-store</v>
      </c>
      <c r="R2431" s="1">
        <f>MONTH(tblSales[[#This Row],[Date]])</f>
        <v>5</v>
      </c>
    </row>
    <row r="2432" spans="2:18" x14ac:dyDescent="0.35">
      <c r="B2432" s="113">
        <v>46168</v>
      </c>
      <c r="C2432" s="4" t="s">
        <v>1622</v>
      </c>
      <c r="D2432" s="4" t="s">
        <v>4641</v>
      </c>
      <c r="E2432" s="1" t="str">
        <f>_xlfn.XLOOKUP(tblSales[[#This Row],[Customer ID]],tblCustomers[Customer ID],tblCustomers[Customer Name],"⚠ Unknown")</f>
        <v>PT Harmoni Pangan Lestari</v>
      </c>
      <c r="F2432" s="4" t="s">
        <v>14</v>
      </c>
      <c r="G2432" s="1" t="str">
        <f>_xlfn.XLOOKUP(tblSales[[#This Row],[Product Code]],tblProducts[Code],tblProducts[Product / Service Name],"⚠ Unknown")</f>
        <v>Smartwatch</v>
      </c>
      <c r="H2432" s="1" t="str">
        <f>_xlfn.XLOOKUP(tblSales[[#This Row],[Product Code]],tblProducts[Code],tblProducts[Category],"")</f>
        <v>Bags &amp; Gadgets</v>
      </c>
      <c r="I2432" s="4">
        <v>8</v>
      </c>
      <c r="J2432" s="5">
        <f>_xlfn.XLOOKUP(tblSales[[#This Row],[Product Code]],tblProducts[Code],tblProducts[Selling Price (excl. VAT)],0)</f>
        <v>850000</v>
      </c>
      <c r="K2432" s="5">
        <f>tblSales[[#This Row],[Qty]]*tblSales[[#This Row],[Unit Price]]</f>
        <v>6800000</v>
      </c>
      <c r="L2432" s="5">
        <f>ROUND(tblSales[[#This Row],[DPP (excl. VAT)]]*VATEff,0)</f>
        <v>748000</v>
      </c>
      <c r="M2432" s="5">
        <f>tblSales[[#This Row],[DPP (excl. VAT)]]+tblSales[[#This Row],[Output VAT]]</f>
        <v>7548000</v>
      </c>
      <c r="N2432" s="5">
        <f>tblSales[[#This Row],[Qty]]*_xlfn.XLOOKUP(tblSales[[#This Row],[Product Code]],tblProducts[Code],tblProducts[Unit Cost],0)</f>
        <v>4480000</v>
      </c>
      <c r="O2432" s="4" t="s">
        <v>4867</v>
      </c>
      <c r="P2432" s="4" t="s">
        <v>4860</v>
      </c>
      <c r="Q2432" s="1" t="str">
        <f>_xlfn.XLOOKUP(tblSales[[#This Row],[Channel Code]],tblChannels[Channel Code],tblChannels[Channel Name],"")</f>
        <v>In-store</v>
      </c>
      <c r="R2432" s="1">
        <f>MONTH(tblSales[[#This Row],[Date]])</f>
        <v>5</v>
      </c>
    </row>
    <row r="2433" spans="2:18" x14ac:dyDescent="0.35">
      <c r="B2433" s="113">
        <v>46168</v>
      </c>
      <c r="C2433" s="4" t="s">
        <v>1622</v>
      </c>
      <c r="D2433" s="4" t="s">
        <v>4641</v>
      </c>
      <c r="E2433" s="1" t="str">
        <f>_xlfn.XLOOKUP(tblSales[[#This Row],[Customer ID]],tblCustomers[Customer ID],tblCustomers[Customer Name],"⚠ Unknown")</f>
        <v>PT Harmoni Pangan Lestari</v>
      </c>
      <c r="F2433" s="4" t="s">
        <v>7</v>
      </c>
      <c r="G2433" s="1" t="str">
        <f>_xlfn.XLOOKUP(tblSales[[#This Row],[Product Code]],tblProducts[Code],tblProducts[Product / Service Name],"⚠ Unknown")</f>
        <v>Premium Basic T-shirt</v>
      </c>
      <c r="H2433" s="1" t="str">
        <f>_xlfn.XLOOKUP(tblSales[[#This Row],[Product Code]],tblProducts[Code],tblProducts[Category],"")</f>
        <v>Accessories &amp; Basics</v>
      </c>
      <c r="I2433" s="4">
        <v>88</v>
      </c>
      <c r="J2433" s="5">
        <f>_xlfn.XLOOKUP(tblSales[[#This Row],[Product Code]],tblProducts[Code],tblProducts[Selling Price (excl. VAT)],0)</f>
        <v>65000</v>
      </c>
      <c r="K2433" s="5">
        <f>tblSales[[#This Row],[Qty]]*tblSales[[#This Row],[Unit Price]]</f>
        <v>5720000</v>
      </c>
      <c r="L2433" s="5">
        <f>ROUND(tblSales[[#This Row],[DPP (excl. VAT)]]*VATEff,0)</f>
        <v>629200</v>
      </c>
      <c r="M2433" s="5">
        <f>tblSales[[#This Row],[DPP (excl. VAT)]]+tblSales[[#This Row],[Output VAT]]</f>
        <v>6349200</v>
      </c>
      <c r="N2433" s="5">
        <f>tblSales[[#This Row],[Qty]]*_xlfn.XLOOKUP(tblSales[[#This Row],[Product Code]],tblProducts[Code],tblProducts[Unit Cost],0)</f>
        <v>3256000</v>
      </c>
      <c r="O2433" s="4" t="s">
        <v>4867</v>
      </c>
      <c r="P2433" s="4" t="s">
        <v>4860</v>
      </c>
      <c r="Q2433" s="1" t="str">
        <f>_xlfn.XLOOKUP(tblSales[[#This Row],[Channel Code]],tblChannels[Channel Code],tblChannels[Channel Name],"")</f>
        <v>In-store</v>
      </c>
      <c r="R2433" s="1">
        <f>MONTH(tblSales[[#This Row],[Date]])</f>
        <v>5</v>
      </c>
    </row>
    <row r="2434" spans="2:18" x14ac:dyDescent="0.35">
      <c r="B2434" s="113">
        <v>46168</v>
      </c>
      <c r="C2434" s="4" t="s">
        <v>1623</v>
      </c>
      <c r="D2434" s="4" t="s">
        <v>4578</v>
      </c>
      <c r="E2434" s="1" t="str">
        <f>_xlfn.XLOOKUP(tblSales[[#This Row],[Customer ID]],tblCustomers[Customer ID],tblCustomers[Customer Name],"⚠ Unknown")</f>
        <v>PT Bintang Timur Sejahtera</v>
      </c>
      <c r="F2434" s="4" t="s">
        <v>9</v>
      </c>
      <c r="G2434" s="1" t="str">
        <f>_xlfn.XLOOKUP(tblSales[[#This Row],[Product Code]],tblProducts[Code],tblProducts[Product / Service Name],"⚠ Unknown")</f>
        <v>Casual Shirt</v>
      </c>
      <c r="H2434" s="1" t="str">
        <f>_xlfn.XLOOKUP(tblSales[[#This Row],[Product Code]],tblProducts[Code],tblProducts[Category],"")</f>
        <v>Apparel &amp; Footwear</v>
      </c>
      <c r="I2434" s="4">
        <v>32</v>
      </c>
      <c r="J2434" s="5">
        <f>_xlfn.XLOOKUP(tblSales[[#This Row],[Product Code]],tblProducts[Code],tblProducts[Selling Price (excl. VAT)],0)</f>
        <v>120000</v>
      </c>
      <c r="K2434" s="5">
        <f>tblSales[[#This Row],[Qty]]*tblSales[[#This Row],[Unit Price]]</f>
        <v>3840000</v>
      </c>
      <c r="L2434" s="5">
        <f>ROUND(tblSales[[#This Row],[DPP (excl. VAT)]]*VATEff,0)</f>
        <v>422400</v>
      </c>
      <c r="M2434" s="5">
        <f>tblSales[[#This Row],[DPP (excl. VAT)]]+tblSales[[#This Row],[Output VAT]]</f>
        <v>4262400</v>
      </c>
      <c r="N2434" s="5">
        <f>tblSales[[#This Row],[Qty]]*_xlfn.XLOOKUP(tblSales[[#This Row],[Product Code]],tblProducts[Code],tblProducts[Unit Cost],0)</f>
        <v>2304000</v>
      </c>
      <c r="O2434" s="4" t="s">
        <v>4867</v>
      </c>
      <c r="P2434" s="4" t="s">
        <v>4860</v>
      </c>
      <c r="Q2434" s="1" t="str">
        <f>_xlfn.XLOOKUP(tblSales[[#This Row],[Channel Code]],tblChannels[Channel Code],tblChannels[Channel Name],"")</f>
        <v>In-store</v>
      </c>
      <c r="R2434" s="1">
        <f>MONTH(tblSales[[#This Row],[Date]])</f>
        <v>5</v>
      </c>
    </row>
    <row r="2435" spans="2:18" x14ac:dyDescent="0.35">
      <c r="B2435" s="113">
        <v>46168</v>
      </c>
      <c r="C2435" s="4" t="s">
        <v>1624</v>
      </c>
      <c r="D2435" s="4" t="s">
        <v>4568</v>
      </c>
      <c r="E2435" s="1" t="str">
        <f>_xlfn.XLOOKUP(tblSales[[#This Row],[Customer ID]],tblCustomers[Customer ID],tblCustomers[Customer Name],"⚠ Unknown")</f>
        <v>Walk-in Customer</v>
      </c>
      <c r="F2435" s="4" t="s">
        <v>10</v>
      </c>
      <c r="G2435" s="1" t="str">
        <f>_xlfn.XLOOKUP(tblSales[[#This Row],[Product Code]],tblProducts[Code],tblProducts[Product / Service Name],"⚠ Unknown")</f>
        <v>Chino Pants</v>
      </c>
      <c r="H2435" s="1" t="str">
        <f>_xlfn.XLOOKUP(tblSales[[#This Row],[Product Code]],tblProducts[Code],tblProducts[Category],"")</f>
        <v>Apparel &amp; Footwear</v>
      </c>
      <c r="I2435" s="4">
        <v>12</v>
      </c>
      <c r="J2435" s="5">
        <f>_xlfn.XLOOKUP(tblSales[[#This Row],[Product Code]],tblProducts[Code],tblProducts[Selling Price (excl. VAT)],0)</f>
        <v>150000</v>
      </c>
      <c r="K2435" s="5">
        <f>tblSales[[#This Row],[Qty]]*tblSales[[#This Row],[Unit Price]]</f>
        <v>1800000</v>
      </c>
      <c r="L2435" s="5">
        <f>ROUND(tblSales[[#This Row],[DPP (excl. VAT)]]*VATEff,0)</f>
        <v>198000</v>
      </c>
      <c r="M2435" s="5">
        <f>tblSales[[#This Row],[DPP (excl. VAT)]]+tblSales[[#This Row],[Output VAT]]</f>
        <v>1998000</v>
      </c>
      <c r="N2435" s="5">
        <f>tblSales[[#This Row],[Qty]]*_xlfn.XLOOKUP(tblSales[[#This Row],[Product Code]],tblProducts[Code],tblProducts[Unit Cost],0)</f>
        <v>1056000</v>
      </c>
      <c r="O2435" s="4" t="s">
        <v>4866</v>
      </c>
      <c r="P2435" s="4" t="s">
        <v>4861</v>
      </c>
      <c r="Q2435" s="1" t="str">
        <f>_xlfn.XLOOKUP(tblSales[[#This Row],[Channel Code]],tblChannels[Channel Code],tblChannels[Channel Name],"")</f>
        <v>Marketplace</v>
      </c>
      <c r="R2435" s="1">
        <f>MONTH(tblSales[[#This Row],[Date]])</f>
        <v>5</v>
      </c>
    </row>
    <row r="2436" spans="2:18" x14ac:dyDescent="0.35">
      <c r="B2436" s="113">
        <v>46168</v>
      </c>
      <c r="C2436" s="4" t="s">
        <v>1625</v>
      </c>
      <c r="D2436" s="4" t="s">
        <v>4568</v>
      </c>
      <c r="E2436" s="1" t="str">
        <f>_xlfn.XLOOKUP(tblSales[[#This Row],[Customer ID]],tblCustomers[Customer ID],tblCustomers[Customer Name],"⚠ Unknown")</f>
        <v>Walk-in Customer</v>
      </c>
      <c r="F2436" s="4" t="s">
        <v>9</v>
      </c>
      <c r="G2436" s="1" t="str">
        <f>_xlfn.XLOOKUP(tblSales[[#This Row],[Product Code]],tblProducts[Code],tblProducts[Product / Service Name],"⚠ Unknown")</f>
        <v>Casual Shirt</v>
      </c>
      <c r="H2436" s="1" t="str">
        <f>_xlfn.XLOOKUP(tblSales[[#This Row],[Product Code]],tblProducts[Code],tblProducts[Category],"")</f>
        <v>Apparel &amp; Footwear</v>
      </c>
      <c r="I2436" s="4">
        <v>1</v>
      </c>
      <c r="J2436" s="5">
        <f>_xlfn.XLOOKUP(tblSales[[#This Row],[Product Code]],tblProducts[Code],tblProducts[Selling Price (excl. VAT)],0)</f>
        <v>120000</v>
      </c>
      <c r="K2436" s="5">
        <f>tblSales[[#This Row],[Qty]]*tblSales[[#This Row],[Unit Price]]</f>
        <v>120000</v>
      </c>
      <c r="L2436" s="5">
        <f>ROUND(tblSales[[#This Row],[DPP (excl. VAT)]]*VATEff,0)</f>
        <v>13200</v>
      </c>
      <c r="M2436" s="5">
        <f>tblSales[[#This Row],[DPP (excl. VAT)]]+tblSales[[#This Row],[Output VAT]]</f>
        <v>133200</v>
      </c>
      <c r="N2436" s="5">
        <f>tblSales[[#This Row],[Qty]]*_xlfn.XLOOKUP(tblSales[[#This Row],[Product Code]],tblProducts[Code],tblProducts[Unit Cost],0)</f>
        <v>72000</v>
      </c>
      <c r="O2436" s="4" t="s">
        <v>4866</v>
      </c>
      <c r="P2436" s="4" t="s">
        <v>4861</v>
      </c>
      <c r="Q2436" s="1" t="str">
        <f>_xlfn.XLOOKUP(tblSales[[#This Row],[Channel Code]],tblChannels[Channel Code],tblChannels[Channel Name],"")</f>
        <v>Marketplace</v>
      </c>
      <c r="R2436" s="1">
        <f>MONTH(tblSales[[#This Row],[Date]])</f>
        <v>5</v>
      </c>
    </row>
    <row r="2437" spans="2:18" x14ac:dyDescent="0.35">
      <c r="B2437" s="113">
        <v>46168</v>
      </c>
      <c r="C2437" s="4" t="s">
        <v>1625</v>
      </c>
      <c r="D2437" s="4" t="s">
        <v>4568</v>
      </c>
      <c r="E2437" s="1" t="str">
        <f>_xlfn.XLOOKUP(tblSales[[#This Row],[Customer ID]],tblCustomers[Customer ID],tblCustomers[Customer Name],"⚠ Unknown")</f>
        <v>Walk-in Customer</v>
      </c>
      <c r="F2437" s="4" t="s">
        <v>12</v>
      </c>
      <c r="G2437" s="1" t="str">
        <f>_xlfn.XLOOKUP(tblSales[[#This Row],[Product Code]],tblProducts[Code],tblProducts[Product / Service Name],"⚠ Unknown")</f>
        <v>Bomber Jacket</v>
      </c>
      <c r="H2437" s="1" t="str">
        <f>_xlfn.XLOOKUP(tblSales[[#This Row],[Product Code]],tblProducts[Code],tblProducts[Category],"")</f>
        <v>Apparel &amp; Footwear</v>
      </c>
      <c r="I2437" s="4">
        <v>2</v>
      </c>
      <c r="J2437" s="5">
        <f>_xlfn.XLOOKUP(tblSales[[#This Row],[Product Code]],tblProducts[Code],tblProducts[Selling Price (excl. VAT)],0)</f>
        <v>350000</v>
      </c>
      <c r="K2437" s="5">
        <f>tblSales[[#This Row],[Qty]]*tblSales[[#This Row],[Unit Price]]</f>
        <v>700000</v>
      </c>
      <c r="L2437" s="5">
        <f>ROUND(tblSales[[#This Row],[DPP (excl. VAT)]]*VATEff,0)</f>
        <v>77000</v>
      </c>
      <c r="M2437" s="5">
        <f>tblSales[[#This Row],[DPP (excl. VAT)]]+tblSales[[#This Row],[Output VAT]]</f>
        <v>777000</v>
      </c>
      <c r="N2437" s="5">
        <f>tblSales[[#This Row],[Qty]]*_xlfn.XLOOKUP(tblSales[[#This Row],[Product Code]],tblProducts[Code],tblProducts[Unit Cost],0)</f>
        <v>420000</v>
      </c>
      <c r="O2437" s="4" t="s">
        <v>4866</v>
      </c>
      <c r="P2437" s="4" t="s">
        <v>4861</v>
      </c>
      <c r="Q2437" s="1" t="str">
        <f>_xlfn.XLOOKUP(tblSales[[#This Row],[Channel Code]],tblChannels[Channel Code],tblChannels[Channel Name],"")</f>
        <v>Marketplace</v>
      </c>
      <c r="R2437" s="1">
        <f>MONTH(tblSales[[#This Row],[Date]])</f>
        <v>5</v>
      </c>
    </row>
    <row r="2438" spans="2:18" x14ac:dyDescent="0.35">
      <c r="B2438" s="113">
        <v>46169</v>
      </c>
      <c r="C2438" s="4" t="s">
        <v>1626</v>
      </c>
      <c r="D2438" s="4" t="s">
        <v>4568</v>
      </c>
      <c r="E2438" s="1" t="str">
        <f>_xlfn.XLOOKUP(tblSales[[#This Row],[Customer ID]],tblCustomers[Customer ID],tblCustomers[Customer Name],"⚠ Unknown")</f>
        <v>Walk-in Customer</v>
      </c>
      <c r="F2438" s="4" t="s">
        <v>8</v>
      </c>
      <c r="G2438" s="1" t="str">
        <f>_xlfn.XLOOKUP(tblSales[[#This Row],[Product Code]],tblProducts[Code],tblProducts[Product / Service Name],"⚠ Unknown")</f>
        <v>Casual Shorts</v>
      </c>
      <c r="H2438" s="1" t="str">
        <f>_xlfn.XLOOKUP(tblSales[[#This Row],[Product Code]],tblProducts[Code],tblProducts[Category],"")</f>
        <v>Accessories &amp; Basics</v>
      </c>
      <c r="I2438" s="4">
        <v>7</v>
      </c>
      <c r="J2438" s="5">
        <f>_xlfn.XLOOKUP(tblSales[[#This Row],[Product Code]],tblProducts[Code],tblProducts[Selling Price (excl. VAT)],0)</f>
        <v>85000</v>
      </c>
      <c r="K2438" s="5">
        <f>tblSales[[#This Row],[Qty]]*tblSales[[#This Row],[Unit Price]]</f>
        <v>595000</v>
      </c>
      <c r="L2438" s="5">
        <f>ROUND(tblSales[[#This Row],[DPP (excl. VAT)]]*VATEff,0)</f>
        <v>65450</v>
      </c>
      <c r="M2438" s="5">
        <f>tblSales[[#This Row],[DPP (excl. VAT)]]+tblSales[[#This Row],[Output VAT]]</f>
        <v>660450</v>
      </c>
      <c r="N2438" s="5">
        <f>tblSales[[#This Row],[Qty]]*_xlfn.XLOOKUP(tblSales[[#This Row],[Product Code]],tblProducts[Code],tblProducts[Unit Cost],0)</f>
        <v>350000</v>
      </c>
      <c r="O2438" s="4" t="s">
        <v>4866</v>
      </c>
      <c r="P2438" s="4" t="s">
        <v>4860</v>
      </c>
      <c r="Q2438" s="1" t="str">
        <f>_xlfn.XLOOKUP(tblSales[[#This Row],[Channel Code]],tblChannels[Channel Code],tblChannels[Channel Name],"")</f>
        <v>In-store</v>
      </c>
      <c r="R2438" s="1">
        <f>MONTH(tblSales[[#This Row],[Date]])</f>
        <v>5</v>
      </c>
    </row>
    <row r="2439" spans="2:18" x14ac:dyDescent="0.35">
      <c r="B2439" s="113">
        <v>46169</v>
      </c>
      <c r="C2439" s="4" t="s">
        <v>1627</v>
      </c>
      <c r="D2439" s="4" t="s">
        <v>4568</v>
      </c>
      <c r="E2439" s="1" t="str">
        <f>_xlfn.XLOOKUP(tblSales[[#This Row],[Customer ID]],tblCustomers[Customer ID],tblCustomers[Customer Name],"⚠ Unknown")</f>
        <v>Walk-in Customer</v>
      </c>
      <c r="F2439" s="4" t="s">
        <v>12</v>
      </c>
      <c r="G2439" s="1" t="str">
        <f>_xlfn.XLOOKUP(tblSales[[#This Row],[Product Code]],tblProducts[Code],tblProducts[Product / Service Name],"⚠ Unknown")</f>
        <v>Bomber Jacket</v>
      </c>
      <c r="H2439" s="1" t="str">
        <f>_xlfn.XLOOKUP(tblSales[[#This Row],[Product Code]],tblProducts[Code],tblProducts[Category],"")</f>
        <v>Apparel &amp; Footwear</v>
      </c>
      <c r="I2439" s="4">
        <v>2</v>
      </c>
      <c r="J2439" s="5">
        <f>_xlfn.XLOOKUP(tblSales[[#This Row],[Product Code]],tblProducts[Code],tblProducts[Selling Price (excl. VAT)],0)</f>
        <v>350000</v>
      </c>
      <c r="K2439" s="5">
        <f>tblSales[[#This Row],[Qty]]*tblSales[[#This Row],[Unit Price]]</f>
        <v>700000</v>
      </c>
      <c r="L2439" s="5">
        <f>ROUND(tblSales[[#This Row],[DPP (excl. VAT)]]*VATEff,0)</f>
        <v>77000</v>
      </c>
      <c r="M2439" s="5">
        <f>tblSales[[#This Row],[DPP (excl. VAT)]]+tblSales[[#This Row],[Output VAT]]</f>
        <v>777000</v>
      </c>
      <c r="N2439" s="5">
        <f>tblSales[[#This Row],[Qty]]*_xlfn.XLOOKUP(tblSales[[#This Row],[Product Code]],tblProducts[Code],tblProducts[Unit Cost],0)</f>
        <v>420000</v>
      </c>
      <c r="O2439" s="4" t="s">
        <v>4866</v>
      </c>
      <c r="P2439" s="4" t="s">
        <v>4861</v>
      </c>
      <c r="Q2439" s="1" t="str">
        <f>_xlfn.XLOOKUP(tblSales[[#This Row],[Channel Code]],tblChannels[Channel Code],tblChannels[Channel Name],"")</f>
        <v>Marketplace</v>
      </c>
      <c r="R2439" s="1">
        <f>MONTH(tblSales[[#This Row],[Date]])</f>
        <v>5</v>
      </c>
    </row>
    <row r="2440" spans="2:18" x14ac:dyDescent="0.35">
      <c r="B2440" s="113">
        <v>46169</v>
      </c>
      <c r="C2440" s="4" t="s">
        <v>1627</v>
      </c>
      <c r="D2440" s="4" t="s">
        <v>4568</v>
      </c>
      <c r="E2440" s="1" t="str">
        <f>_xlfn.XLOOKUP(tblSales[[#This Row],[Customer ID]],tblCustomers[Customer ID],tblCustomers[Customer Name],"⚠ Unknown")</f>
        <v>Walk-in Customer</v>
      </c>
      <c r="F2440" s="4" t="s">
        <v>7</v>
      </c>
      <c r="G2440" s="1" t="str">
        <f>_xlfn.XLOOKUP(tblSales[[#This Row],[Product Code]],tblProducts[Code],tblProducts[Product / Service Name],"⚠ Unknown")</f>
        <v>Premium Basic T-shirt</v>
      </c>
      <c r="H2440" s="1" t="str">
        <f>_xlfn.XLOOKUP(tblSales[[#This Row],[Product Code]],tblProducts[Code],tblProducts[Category],"")</f>
        <v>Accessories &amp; Basics</v>
      </c>
      <c r="I2440" s="4">
        <v>7</v>
      </c>
      <c r="J2440" s="5">
        <f>_xlfn.XLOOKUP(tblSales[[#This Row],[Product Code]],tblProducts[Code],tblProducts[Selling Price (excl. VAT)],0)</f>
        <v>65000</v>
      </c>
      <c r="K2440" s="5">
        <f>tblSales[[#This Row],[Qty]]*tblSales[[#This Row],[Unit Price]]</f>
        <v>455000</v>
      </c>
      <c r="L2440" s="5">
        <f>ROUND(tblSales[[#This Row],[DPP (excl. VAT)]]*VATEff,0)</f>
        <v>50050</v>
      </c>
      <c r="M2440" s="5">
        <f>tblSales[[#This Row],[DPP (excl. VAT)]]+tblSales[[#This Row],[Output VAT]]</f>
        <v>505050</v>
      </c>
      <c r="N2440" s="5">
        <f>tblSales[[#This Row],[Qty]]*_xlfn.XLOOKUP(tblSales[[#This Row],[Product Code]],tblProducts[Code],tblProducts[Unit Cost],0)</f>
        <v>259000</v>
      </c>
      <c r="O2440" s="4" t="s">
        <v>4866</v>
      </c>
      <c r="P2440" s="4" t="s">
        <v>4861</v>
      </c>
      <c r="Q2440" s="1" t="str">
        <f>_xlfn.XLOOKUP(tblSales[[#This Row],[Channel Code]],tblChannels[Channel Code],tblChannels[Channel Name],"")</f>
        <v>Marketplace</v>
      </c>
      <c r="R2440" s="1">
        <f>MONTH(tblSales[[#This Row],[Date]])</f>
        <v>5</v>
      </c>
    </row>
    <row r="2441" spans="2:18" x14ac:dyDescent="0.35">
      <c r="B2441" s="113">
        <v>46169</v>
      </c>
      <c r="C2441" s="4" t="s">
        <v>1628</v>
      </c>
      <c r="D2441" s="4" t="s">
        <v>4568</v>
      </c>
      <c r="E2441" s="1" t="str">
        <f>_xlfn.XLOOKUP(tblSales[[#This Row],[Customer ID]],tblCustomers[Customer ID],tblCustomers[Customer Name],"⚠ Unknown")</f>
        <v>Walk-in Customer</v>
      </c>
      <c r="F2441" s="4" t="s">
        <v>9</v>
      </c>
      <c r="G2441" s="1" t="str">
        <f>_xlfn.XLOOKUP(tblSales[[#This Row],[Product Code]],tblProducts[Code],tblProducts[Product / Service Name],"⚠ Unknown")</f>
        <v>Casual Shirt</v>
      </c>
      <c r="H2441" s="1" t="str">
        <f>_xlfn.XLOOKUP(tblSales[[#This Row],[Product Code]],tblProducts[Code],tblProducts[Category],"")</f>
        <v>Apparel &amp; Footwear</v>
      </c>
      <c r="I2441" s="4">
        <v>8</v>
      </c>
      <c r="J2441" s="5">
        <f>_xlfn.XLOOKUP(tblSales[[#This Row],[Product Code]],tblProducts[Code],tblProducts[Selling Price (excl. VAT)],0)</f>
        <v>120000</v>
      </c>
      <c r="K2441" s="5">
        <f>tblSales[[#This Row],[Qty]]*tblSales[[#This Row],[Unit Price]]</f>
        <v>960000</v>
      </c>
      <c r="L2441" s="5">
        <f>ROUND(tblSales[[#This Row],[DPP (excl. VAT)]]*VATEff,0)</f>
        <v>105600</v>
      </c>
      <c r="M2441" s="5">
        <f>tblSales[[#This Row],[DPP (excl. VAT)]]+tblSales[[#This Row],[Output VAT]]</f>
        <v>1065600</v>
      </c>
      <c r="N2441" s="5">
        <f>tblSales[[#This Row],[Qty]]*_xlfn.XLOOKUP(tblSales[[#This Row],[Product Code]],tblProducts[Code],tblProducts[Unit Cost],0)</f>
        <v>576000</v>
      </c>
      <c r="O2441" s="4" t="s">
        <v>4866</v>
      </c>
      <c r="P2441" s="4" t="s">
        <v>4860</v>
      </c>
      <c r="Q2441" s="1" t="str">
        <f>_xlfn.XLOOKUP(tblSales[[#This Row],[Channel Code]],tblChannels[Channel Code],tblChannels[Channel Name],"")</f>
        <v>In-store</v>
      </c>
      <c r="R2441" s="1">
        <f>MONTH(tblSales[[#This Row],[Date]])</f>
        <v>5</v>
      </c>
    </row>
    <row r="2442" spans="2:18" x14ac:dyDescent="0.35">
      <c r="B2442" s="113">
        <v>46169</v>
      </c>
      <c r="C2442" s="4" t="s">
        <v>1629</v>
      </c>
      <c r="D2442" s="4" t="s">
        <v>4568</v>
      </c>
      <c r="E2442" s="1" t="str">
        <f>_xlfn.XLOOKUP(tblSales[[#This Row],[Customer ID]],tblCustomers[Customer ID],tblCustomers[Customer Name],"⚠ Unknown")</f>
        <v>Walk-in Customer</v>
      </c>
      <c r="F2442" s="4" t="s">
        <v>14</v>
      </c>
      <c r="G2442" s="1" t="str">
        <f>_xlfn.XLOOKUP(tblSales[[#This Row],[Product Code]],tblProducts[Code],tblProducts[Product / Service Name],"⚠ Unknown")</f>
        <v>Smartwatch</v>
      </c>
      <c r="H2442" s="1" t="str">
        <f>_xlfn.XLOOKUP(tblSales[[#This Row],[Product Code]],tblProducts[Code],tblProducts[Category],"")</f>
        <v>Bags &amp; Gadgets</v>
      </c>
      <c r="I2442" s="4">
        <v>3</v>
      </c>
      <c r="J2442" s="5">
        <f>_xlfn.XLOOKUP(tblSales[[#This Row],[Product Code]],tblProducts[Code],tblProducts[Selling Price (excl. VAT)],0)</f>
        <v>850000</v>
      </c>
      <c r="K2442" s="5">
        <f>tblSales[[#This Row],[Qty]]*tblSales[[#This Row],[Unit Price]]</f>
        <v>2550000</v>
      </c>
      <c r="L2442" s="5">
        <f>ROUND(tblSales[[#This Row],[DPP (excl. VAT)]]*VATEff,0)</f>
        <v>280500</v>
      </c>
      <c r="M2442" s="5">
        <f>tblSales[[#This Row],[DPP (excl. VAT)]]+tblSales[[#This Row],[Output VAT]]</f>
        <v>2830500</v>
      </c>
      <c r="N2442" s="5">
        <f>tblSales[[#This Row],[Qty]]*_xlfn.XLOOKUP(tblSales[[#This Row],[Product Code]],tblProducts[Code],tblProducts[Unit Cost],0)</f>
        <v>1680000</v>
      </c>
      <c r="O2442" s="4" t="s">
        <v>4866</v>
      </c>
      <c r="P2442" s="4" t="s">
        <v>4861</v>
      </c>
      <c r="Q2442" s="1" t="str">
        <f>_xlfn.XLOOKUP(tblSales[[#This Row],[Channel Code]],tblChannels[Channel Code],tblChannels[Channel Name],"")</f>
        <v>Marketplace</v>
      </c>
      <c r="R2442" s="1">
        <f>MONTH(tblSales[[#This Row],[Date]])</f>
        <v>5</v>
      </c>
    </row>
    <row r="2443" spans="2:18" x14ac:dyDescent="0.35">
      <c r="B2443" s="113">
        <v>46169</v>
      </c>
      <c r="C2443" s="4" t="s">
        <v>1630</v>
      </c>
      <c r="D2443" s="4" t="s">
        <v>4568</v>
      </c>
      <c r="E2443" s="1" t="str">
        <f>_xlfn.XLOOKUP(tblSales[[#This Row],[Customer ID]],tblCustomers[Customer ID],tblCustomers[Customer Name],"⚠ Unknown")</f>
        <v>Walk-in Customer</v>
      </c>
      <c r="F2443" s="4" t="s">
        <v>12</v>
      </c>
      <c r="G2443" s="1" t="str">
        <f>_xlfn.XLOOKUP(tblSales[[#This Row],[Product Code]],tblProducts[Code],tblProducts[Product / Service Name],"⚠ Unknown")</f>
        <v>Bomber Jacket</v>
      </c>
      <c r="H2443" s="1" t="str">
        <f>_xlfn.XLOOKUP(tblSales[[#This Row],[Product Code]],tblProducts[Code],tblProducts[Category],"")</f>
        <v>Apparel &amp; Footwear</v>
      </c>
      <c r="I2443" s="4">
        <v>3</v>
      </c>
      <c r="J2443" s="5">
        <f>_xlfn.XLOOKUP(tblSales[[#This Row],[Product Code]],tblProducts[Code],tblProducts[Selling Price (excl. VAT)],0)</f>
        <v>350000</v>
      </c>
      <c r="K2443" s="5">
        <f>tblSales[[#This Row],[Qty]]*tblSales[[#This Row],[Unit Price]]</f>
        <v>1050000</v>
      </c>
      <c r="L2443" s="5">
        <f>ROUND(tblSales[[#This Row],[DPP (excl. VAT)]]*VATEff,0)</f>
        <v>115500</v>
      </c>
      <c r="M2443" s="5">
        <f>tblSales[[#This Row],[DPP (excl. VAT)]]+tblSales[[#This Row],[Output VAT]]</f>
        <v>1165500</v>
      </c>
      <c r="N2443" s="5">
        <f>tblSales[[#This Row],[Qty]]*_xlfn.XLOOKUP(tblSales[[#This Row],[Product Code]],tblProducts[Code],tblProducts[Unit Cost],0)</f>
        <v>630000</v>
      </c>
      <c r="O2443" s="4" t="s">
        <v>4866</v>
      </c>
      <c r="P2443" s="4" t="s">
        <v>4860</v>
      </c>
      <c r="Q2443" s="1" t="str">
        <f>_xlfn.XLOOKUP(tblSales[[#This Row],[Channel Code]],tblChannels[Channel Code],tblChannels[Channel Name],"")</f>
        <v>In-store</v>
      </c>
      <c r="R2443" s="1">
        <f>MONTH(tblSales[[#This Row],[Date]])</f>
        <v>5</v>
      </c>
    </row>
    <row r="2444" spans="2:18" x14ac:dyDescent="0.35">
      <c r="B2444" s="113">
        <v>46169</v>
      </c>
      <c r="C2444" s="4" t="s">
        <v>1631</v>
      </c>
      <c r="D2444" s="4" t="s">
        <v>4568</v>
      </c>
      <c r="E2444" s="1" t="str">
        <f>_xlfn.XLOOKUP(tblSales[[#This Row],[Customer ID]],tblCustomers[Customer ID],tblCustomers[Customer Name],"⚠ Unknown")</f>
        <v>Walk-in Customer</v>
      </c>
      <c r="F2444" s="4" t="s">
        <v>6</v>
      </c>
      <c r="G2444" s="1" t="str">
        <f>_xlfn.XLOOKUP(tblSales[[#This Row],[Product Code]],tblProducts[Code],tblProducts[Product / Service Name],"⚠ Unknown")</f>
        <v>Socks &amp; Accessories</v>
      </c>
      <c r="H2444" s="1" t="str">
        <f>_xlfn.XLOOKUP(tblSales[[#This Row],[Product Code]],tblProducts[Code],tblProducts[Category],"")</f>
        <v>Accessories &amp; Basics</v>
      </c>
      <c r="I2444" s="4">
        <v>1</v>
      </c>
      <c r="J2444" s="5">
        <f>_xlfn.XLOOKUP(tblSales[[#This Row],[Product Code]],tblProducts[Code],tblProducts[Selling Price (excl. VAT)],0)</f>
        <v>45000</v>
      </c>
      <c r="K2444" s="5">
        <f>tblSales[[#This Row],[Qty]]*tblSales[[#This Row],[Unit Price]]</f>
        <v>45000</v>
      </c>
      <c r="L2444" s="5">
        <f>ROUND(tblSales[[#This Row],[DPP (excl. VAT)]]*VATEff,0)</f>
        <v>4950</v>
      </c>
      <c r="M2444" s="5">
        <f>tblSales[[#This Row],[DPP (excl. VAT)]]+tblSales[[#This Row],[Output VAT]]</f>
        <v>49950</v>
      </c>
      <c r="N2444" s="5">
        <f>tblSales[[#This Row],[Qty]]*_xlfn.XLOOKUP(tblSales[[#This Row],[Product Code]],tblProducts[Code],tblProducts[Unit Cost],0)</f>
        <v>24000</v>
      </c>
      <c r="O2444" s="4" t="s">
        <v>4865</v>
      </c>
      <c r="P2444" s="4" t="s">
        <v>4860</v>
      </c>
      <c r="Q2444" s="1" t="str">
        <f>_xlfn.XLOOKUP(tblSales[[#This Row],[Channel Code]],tblChannels[Channel Code],tblChannels[Channel Name],"")</f>
        <v>In-store</v>
      </c>
      <c r="R2444" s="1">
        <f>MONTH(tblSales[[#This Row],[Date]])</f>
        <v>5</v>
      </c>
    </row>
    <row r="2445" spans="2:18" x14ac:dyDescent="0.35">
      <c r="B2445" s="113">
        <v>46169</v>
      </c>
      <c r="C2445" s="4" t="s">
        <v>1632</v>
      </c>
      <c r="D2445" s="4" t="s">
        <v>4568</v>
      </c>
      <c r="E2445" s="1" t="str">
        <f>_xlfn.XLOOKUP(tblSales[[#This Row],[Customer ID]],tblCustomers[Customer ID],tblCustomers[Customer Name],"⚠ Unknown")</f>
        <v>Walk-in Customer</v>
      </c>
      <c r="F2445" s="4" t="s">
        <v>7</v>
      </c>
      <c r="G2445" s="1" t="str">
        <f>_xlfn.XLOOKUP(tblSales[[#This Row],[Product Code]],tblProducts[Code],tblProducts[Product / Service Name],"⚠ Unknown")</f>
        <v>Premium Basic T-shirt</v>
      </c>
      <c r="H2445" s="1" t="str">
        <f>_xlfn.XLOOKUP(tblSales[[#This Row],[Product Code]],tblProducts[Code],tblProducts[Category],"")</f>
        <v>Accessories &amp; Basics</v>
      </c>
      <c r="I2445" s="4">
        <v>8</v>
      </c>
      <c r="J2445" s="5">
        <f>_xlfn.XLOOKUP(tblSales[[#This Row],[Product Code]],tblProducts[Code],tblProducts[Selling Price (excl. VAT)],0)</f>
        <v>65000</v>
      </c>
      <c r="K2445" s="5">
        <f>tblSales[[#This Row],[Qty]]*tblSales[[#This Row],[Unit Price]]</f>
        <v>520000</v>
      </c>
      <c r="L2445" s="5">
        <f>ROUND(tblSales[[#This Row],[DPP (excl. VAT)]]*VATEff,0)</f>
        <v>57200</v>
      </c>
      <c r="M2445" s="5">
        <f>tblSales[[#This Row],[DPP (excl. VAT)]]+tblSales[[#This Row],[Output VAT]]</f>
        <v>577200</v>
      </c>
      <c r="N2445" s="5">
        <f>tblSales[[#This Row],[Qty]]*_xlfn.XLOOKUP(tblSales[[#This Row],[Product Code]],tblProducts[Code],tblProducts[Unit Cost],0)</f>
        <v>296000</v>
      </c>
      <c r="O2445" s="4" t="s">
        <v>4865</v>
      </c>
      <c r="P2445" s="4" t="s">
        <v>4860</v>
      </c>
      <c r="Q2445" s="1" t="str">
        <f>_xlfn.XLOOKUP(tblSales[[#This Row],[Channel Code]],tblChannels[Channel Code],tblChannels[Channel Name],"")</f>
        <v>In-store</v>
      </c>
      <c r="R2445" s="1">
        <f>MONTH(tblSales[[#This Row],[Date]])</f>
        <v>5</v>
      </c>
    </row>
    <row r="2446" spans="2:18" x14ac:dyDescent="0.35">
      <c r="B2446" s="113">
        <v>46169</v>
      </c>
      <c r="C2446" s="4" t="s">
        <v>1633</v>
      </c>
      <c r="D2446" s="4" t="s">
        <v>4568</v>
      </c>
      <c r="E2446" s="1" t="str">
        <f>_xlfn.XLOOKUP(tblSales[[#This Row],[Customer ID]],tblCustomers[Customer ID],tblCustomers[Customer Name],"⚠ Unknown")</f>
        <v>Walk-in Customer</v>
      </c>
      <c r="F2446" s="4" t="s">
        <v>9</v>
      </c>
      <c r="G2446" s="1" t="str">
        <f>_xlfn.XLOOKUP(tblSales[[#This Row],[Product Code]],tblProducts[Code],tblProducts[Product / Service Name],"⚠ Unknown")</f>
        <v>Casual Shirt</v>
      </c>
      <c r="H2446" s="1" t="str">
        <f>_xlfn.XLOOKUP(tblSales[[#This Row],[Product Code]],tblProducts[Code],tblProducts[Category],"")</f>
        <v>Apparel &amp; Footwear</v>
      </c>
      <c r="I2446" s="4">
        <v>10</v>
      </c>
      <c r="J2446" s="5">
        <f>_xlfn.XLOOKUP(tblSales[[#This Row],[Product Code]],tblProducts[Code],tblProducts[Selling Price (excl. VAT)],0)</f>
        <v>120000</v>
      </c>
      <c r="K2446" s="5">
        <f>tblSales[[#This Row],[Qty]]*tblSales[[#This Row],[Unit Price]]</f>
        <v>1200000</v>
      </c>
      <c r="L2446" s="5">
        <f>ROUND(tblSales[[#This Row],[DPP (excl. VAT)]]*VATEff,0)</f>
        <v>132000</v>
      </c>
      <c r="M2446" s="5">
        <f>tblSales[[#This Row],[DPP (excl. VAT)]]+tblSales[[#This Row],[Output VAT]]</f>
        <v>1332000</v>
      </c>
      <c r="N2446" s="5">
        <f>tblSales[[#This Row],[Qty]]*_xlfn.XLOOKUP(tblSales[[#This Row],[Product Code]],tblProducts[Code],tblProducts[Unit Cost],0)</f>
        <v>720000</v>
      </c>
      <c r="O2446" s="4" t="s">
        <v>4866</v>
      </c>
      <c r="P2446" s="4" t="s">
        <v>4862</v>
      </c>
      <c r="Q2446" s="1" t="str">
        <f>_xlfn.XLOOKUP(tblSales[[#This Row],[Channel Code]],tblChannels[Channel Code],tblChannels[Channel Name],"")</f>
        <v>Website &amp; Social Media</v>
      </c>
      <c r="R2446" s="1">
        <f>MONTH(tblSales[[#This Row],[Date]])</f>
        <v>5</v>
      </c>
    </row>
    <row r="2447" spans="2:18" x14ac:dyDescent="0.35">
      <c r="B2447" s="113">
        <v>46169</v>
      </c>
      <c r="C2447" s="4" t="s">
        <v>1634</v>
      </c>
      <c r="D2447" s="4" t="s">
        <v>4568</v>
      </c>
      <c r="E2447" s="1" t="str">
        <f>_xlfn.XLOOKUP(tblSales[[#This Row],[Customer ID]],tblCustomers[Customer ID],tblCustomers[Customer Name],"⚠ Unknown")</f>
        <v>Walk-in Customer</v>
      </c>
      <c r="F2447" s="4" t="s">
        <v>8</v>
      </c>
      <c r="G2447" s="1" t="str">
        <f>_xlfn.XLOOKUP(tblSales[[#This Row],[Product Code]],tblProducts[Code],tblProducts[Product / Service Name],"⚠ Unknown")</f>
        <v>Casual Shorts</v>
      </c>
      <c r="H2447" s="1" t="str">
        <f>_xlfn.XLOOKUP(tblSales[[#This Row],[Product Code]],tblProducts[Code],tblProducts[Category],"")</f>
        <v>Accessories &amp; Basics</v>
      </c>
      <c r="I2447" s="4">
        <v>12</v>
      </c>
      <c r="J2447" s="5">
        <f>_xlfn.XLOOKUP(tblSales[[#This Row],[Product Code]],tblProducts[Code],tblProducts[Selling Price (excl. VAT)],0)</f>
        <v>85000</v>
      </c>
      <c r="K2447" s="5">
        <f>tblSales[[#This Row],[Qty]]*tblSales[[#This Row],[Unit Price]]</f>
        <v>1020000</v>
      </c>
      <c r="L2447" s="5">
        <f>ROUND(tblSales[[#This Row],[DPP (excl. VAT)]]*VATEff,0)</f>
        <v>112200</v>
      </c>
      <c r="M2447" s="5">
        <f>tblSales[[#This Row],[DPP (excl. VAT)]]+tblSales[[#This Row],[Output VAT]]</f>
        <v>1132200</v>
      </c>
      <c r="N2447" s="5">
        <f>tblSales[[#This Row],[Qty]]*_xlfn.XLOOKUP(tblSales[[#This Row],[Product Code]],tblProducts[Code],tblProducts[Unit Cost],0)</f>
        <v>600000</v>
      </c>
      <c r="O2447" s="4" t="s">
        <v>4866</v>
      </c>
      <c r="P2447" s="4" t="s">
        <v>4860</v>
      </c>
      <c r="Q2447" s="1" t="str">
        <f>_xlfn.XLOOKUP(tblSales[[#This Row],[Channel Code]],tblChannels[Channel Code],tblChannels[Channel Name],"")</f>
        <v>In-store</v>
      </c>
      <c r="R2447" s="1">
        <f>MONTH(tblSales[[#This Row],[Date]])</f>
        <v>5</v>
      </c>
    </row>
    <row r="2448" spans="2:18" x14ac:dyDescent="0.35">
      <c r="B2448" s="113">
        <v>46170</v>
      </c>
      <c r="C2448" s="4" t="s">
        <v>1635</v>
      </c>
      <c r="D2448" s="4" t="s">
        <v>4568</v>
      </c>
      <c r="E2448" s="1" t="str">
        <f>_xlfn.XLOOKUP(tblSales[[#This Row],[Customer ID]],tblCustomers[Customer ID],tblCustomers[Customer Name],"⚠ Unknown")</f>
        <v>Walk-in Customer</v>
      </c>
      <c r="F2448" s="4" t="s">
        <v>15</v>
      </c>
      <c r="G2448" s="1" t="str">
        <f>_xlfn.XLOOKUP(tblSales[[#This Row],[Product Code]],tblProducts[Code],tblProducts[Product / Service Name],"⚠ Unknown")</f>
        <v>Wireless Earbuds Pro</v>
      </c>
      <c r="H2448" s="1" t="str">
        <f>_xlfn.XLOOKUP(tblSales[[#This Row],[Product Code]],tblProducts[Code],tblProducts[Category],"")</f>
        <v>Bags &amp; Gadgets</v>
      </c>
      <c r="I2448" s="4">
        <v>3</v>
      </c>
      <c r="J2448" s="5">
        <f>_xlfn.XLOOKUP(tblSales[[#This Row],[Product Code]],tblProducts[Code],tblProducts[Selling Price (excl. VAT)],0)</f>
        <v>1250000</v>
      </c>
      <c r="K2448" s="5">
        <f>tblSales[[#This Row],[Qty]]*tblSales[[#This Row],[Unit Price]]</f>
        <v>3750000</v>
      </c>
      <c r="L2448" s="5">
        <f>ROUND(tblSales[[#This Row],[DPP (excl. VAT)]]*VATEff,0)</f>
        <v>412500</v>
      </c>
      <c r="M2448" s="5">
        <f>tblSales[[#This Row],[DPP (excl. VAT)]]+tblSales[[#This Row],[Output VAT]]</f>
        <v>4162500</v>
      </c>
      <c r="N2448" s="5">
        <f>tblSales[[#This Row],[Qty]]*_xlfn.XLOOKUP(tblSales[[#This Row],[Product Code]],tblProducts[Code],tblProducts[Unit Cost],0)</f>
        <v>2460000</v>
      </c>
      <c r="O2448" s="4" t="s">
        <v>4866</v>
      </c>
      <c r="P2448" s="4" t="s">
        <v>4861</v>
      </c>
      <c r="Q2448" s="1" t="str">
        <f>_xlfn.XLOOKUP(tblSales[[#This Row],[Channel Code]],tblChannels[Channel Code],tblChannels[Channel Name],"")</f>
        <v>Marketplace</v>
      </c>
      <c r="R2448" s="1">
        <f>MONTH(tblSales[[#This Row],[Date]])</f>
        <v>5</v>
      </c>
    </row>
    <row r="2449" spans="2:18" x14ac:dyDescent="0.35">
      <c r="B2449" s="113">
        <v>46170</v>
      </c>
      <c r="C2449" s="4" t="s">
        <v>1636</v>
      </c>
      <c r="D2449" s="4" t="s">
        <v>4568</v>
      </c>
      <c r="E2449" s="1" t="str">
        <f>_xlfn.XLOOKUP(tblSales[[#This Row],[Customer ID]],tblCustomers[Customer ID],tblCustomers[Customer Name],"⚠ Unknown")</f>
        <v>Walk-in Customer</v>
      </c>
      <c r="F2449" s="4" t="s">
        <v>11</v>
      </c>
      <c r="G2449" s="1" t="str">
        <f>_xlfn.XLOOKUP(tblSales[[#This Row],[Product Code]],tblProducts[Code],tblProducts[Product / Service Name],"⚠ Unknown")</f>
        <v>Sneakers</v>
      </c>
      <c r="H2449" s="1" t="str">
        <f>_xlfn.XLOOKUP(tblSales[[#This Row],[Product Code]],tblProducts[Code],tblProducts[Category],"")</f>
        <v>Apparel &amp; Footwear</v>
      </c>
      <c r="I2449" s="4">
        <v>3</v>
      </c>
      <c r="J2449" s="5">
        <f>_xlfn.XLOOKUP(tblSales[[#This Row],[Product Code]],tblProducts[Code],tblProducts[Selling Price (excl. VAT)],0)</f>
        <v>250000</v>
      </c>
      <c r="K2449" s="5">
        <f>tblSales[[#This Row],[Qty]]*tblSales[[#This Row],[Unit Price]]</f>
        <v>750000</v>
      </c>
      <c r="L2449" s="5">
        <f>ROUND(tblSales[[#This Row],[DPP (excl. VAT)]]*VATEff,0)</f>
        <v>82500</v>
      </c>
      <c r="M2449" s="5">
        <f>tblSales[[#This Row],[DPP (excl. VAT)]]+tblSales[[#This Row],[Output VAT]]</f>
        <v>832500</v>
      </c>
      <c r="N2449" s="5">
        <f>tblSales[[#This Row],[Qty]]*_xlfn.XLOOKUP(tblSales[[#This Row],[Product Code]],tblProducts[Code],tblProducts[Unit Cost],0)</f>
        <v>465000</v>
      </c>
      <c r="O2449" s="4" t="s">
        <v>4866</v>
      </c>
      <c r="P2449" s="4" t="s">
        <v>4861</v>
      </c>
      <c r="Q2449" s="1" t="str">
        <f>_xlfn.XLOOKUP(tblSales[[#This Row],[Channel Code]],tblChannels[Channel Code],tblChannels[Channel Name],"")</f>
        <v>Marketplace</v>
      </c>
      <c r="R2449" s="1">
        <f>MONTH(tblSales[[#This Row],[Date]])</f>
        <v>5</v>
      </c>
    </row>
    <row r="2450" spans="2:18" x14ac:dyDescent="0.35">
      <c r="B2450" s="113">
        <v>46170</v>
      </c>
      <c r="C2450" s="4" t="s">
        <v>1636</v>
      </c>
      <c r="D2450" s="4" t="s">
        <v>4568</v>
      </c>
      <c r="E2450" s="1" t="str">
        <f>_xlfn.XLOOKUP(tblSales[[#This Row],[Customer ID]],tblCustomers[Customer ID],tblCustomers[Customer Name],"⚠ Unknown")</f>
        <v>Walk-in Customer</v>
      </c>
      <c r="F2450" s="4" t="s">
        <v>6</v>
      </c>
      <c r="G2450" s="1" t="str">
        <f>_xlfn.XLOOKUP(tblSales[[#This Row],[Product Code]],tblProducts[Code],tblProducts[Product / Service Name],"⚠ Unknown")</f>
        <v>Socks &amp; Accessories</v>
      </c>
      <c r="H2450" s="1" t="str">
        <f>_xlfn.XLOOKUP(tblSales[[#This Row],[Product Code]],tblProducts[Code],tblProducts[Category],"")</f>
        <v>Accessories &amp; Basics</v>
      </c>
      <c r="I2450" s="4">
        <v>9</v>
      </c>
      <c r="J2450" s="5">
        <f>_xlfn.XLOOKUP(tblSales[[#This Row],[Product Code]],tblProducts[Code],tblProducts[Selling Price (excl. VAT)],0)</f>
        <v>45000</v>
      </c>
      <c r="K2450" s="5">
        <f>tblSales[[#This Row],[Qty]]*tblSales[[#This Row],[Unit Price]]</f>
        <v>405000</v>
      </c>
      <c r="L2450" s="5">
        <f>ROUND(tblSales[[#This Row],[DPP (excl. VAT)]]*VATEff,0)</f>
        <v>44550</v>
      </c>
      <c r="M2450" s="5">
        <f>tblSales[[#This Row],[DPP (excl. VAT)]]+tblSales[[#This Row],[Output VAT]]</f>
        <v>449550</v>
      </c>
      <c r="N2450" s="5">
        <f>tblSales[[#This Row],[Qty]]*_xlfn.XLOOKUP(tblSales[[#This Row],[Product Code]],tblProducts[Code],tblProducts[Unit Cost],0)</f>
        <v>216000</v>
      </c>
      <c r="O2450" s="4" t="s">
        <v>4866</v>
      </c>
      <c r="P2450" s="4" t="s">
        <v>4861</v>
      </c>
      <c r="Q2450" s="1" t="str">
        <f>_xlfn.XLOOKUP(tblSales[[#This Row],[Channel Code]],tblChannels[Channel Code],tblChannels[Channel Name],"")</f>
        <v>Marketplace</v>
      </c>
      <c r="R2450" s="1">
        <f>MONTH(tblSales[[#This Row],[Date]])</f>
        <v>5</v>
      </c>
    </row>
    <row r="2451" spans="2:18" x14ac:dyDescent="0.35">
      <c r="B2451" s="113">
        <v>46170</v>
      </c>
      <c r="C2451" s="4" t="s">
        <v>1637</v>
      </c>
      <c r="D2451" s="4" t="s">
        <v>4568</v>
      </c>
      <c r="E2451" s="1" t="str">
        <f>_xlfn.XLOOKUP(tblSales[[#This Row],[Customer ID]],tblCustomers[Customer ID],tblCustomers[Customer Name],"⚠ Unknown")</f>
        <v>Walk-in Customer</v>
      </c>
      <c r="F2451" s="4" t="s">
        <v>9</v>
      </c>
      <c r="G2451" s="1" t="str">
        <f>_xlfn.XLOOKUP(tblSales[[#This Row],[Product Code]],tblProducts[Code],tblProducts[Product / Service Name],"⚠ Unknown")</f>
        <v>Casual Shirt</v>
      </c>
      <c r="H2451" s="1" t="str">
        <f>_xlfn.XLOOKUP(tblSales[[#This Row],[Product Code]],tblProducts[Code],tblProducts[Category],"")</f>
        <v>Apparel &amp; Footwear</v>
      </c>
      <c r="I2451" s="4">
        <v>11</v>
      </c>
      <c r="J2451" s="5">
        <f>_xlfn.XLOOKUP(tblSales[[#This Row],[Product Code]],tblProducts[Code],tblProducts[Selling Price (excl. VAT)],0)</f>
        <v>120000</v>
      </c>
      <c r="K2451" s="5">
        <f>tblSales[[#This Row],[Qty]]*tblSales[[#This Row],[Unit Price]]</f>
        <v>1320000</v>
      </c>
      <c r="L2451" s="5">
        <f>ROUND(tblSales[[#This Row],[DPP (excl. VAT)]]*VATEff,0)</f>
        <v>145200</v>
      </c>
      <c r="M2451" s="5">
        <f>tblSales[[#This Row],[DPP (excl. VAT)]]+tblSales[[#This Row],[Output VAT]]</f>
        <v>1465200</v>
      </c>
      <c r="N2451" s="5">
        <f>tblSales[[#This Row],[Qty]]*_xlfn.XLOOKUP(tblSales[[#This Row],[Product Code]],tblProducts[Code],tblProducts[Unit Cost],0)</f>
        <v>792000</v>
      </c>
      <c r="O2451" s="4" t="s">
        <v>4865</v>
      </c>
      <c r="P2451" s="4" t="s">
        <v>4860</v>
      </c>
      <c r="Q2451" s="1" t="str">
        <f>_xlfn.XLOOKUP(tblSales[[#This Row],[Channel Code]],tblChannels[Channel Code],tblChannels[Channel Name],"")</f>
        <v>In-store</v>
      </c>
      <c r="R2451" s="1">
        <f>MONTH(tblSales[[#This Row],[Date]])</f>
        <v>5</v>
      </c>
    </row>
    <row r="2452" spans="2:18" x14ac:dyDescent="0.35">
      <c r="B2452" s="113">
        <v>46170</v>
      </c>
      <c r="C2452" s="4" t="s">
        <v>1638</v>
      </c>
      <c r="D2452" s="4" t="s">
        <v>4568</v>
      </c>
      <c r="E2452" s="1" t="str">
        <f>_xlfn.XLOOKUP(tblSales[[#This Row],[Customer ID]],tblCustomers[Customer ID],tblCustomers[Customer Name],"⚠ Unknown")</f>
        <v>Walk-in Customer</v>
      </c>
      <c r="F2452" s="4" t="s">
        <v>12</v>
      </c>
      <c r="G2452" s="1" t="str">
        <f>_xlfn.XLOOKUP(tblSales[[#This Row],[Product Code]],tblProducts[Code],tblProducts[Product / Service Name],"⚠ Unknown")</f>
        <v>Bomber Jacket</v>
      </c>
      <c r="H2452" s="1" t="str">
        <f>_xlfn.XLOOKUP(tblSales[[#This Row],[Product Code]],tblProducts[Code],tblProducts[Category],"")</f>
        <v>Apparel &amp; Footwear</v>
      </c>
      <c r="I2452" s="4">
        <v>2</v>
      </c>
      <c r="J2452" s="5">
        <f>_xlfn.XLOOKUP(tblSales[[#This Row],[Product Code]],tblProducts[Code],tblProducts[Selling Price (excl. VAT)],0)</f>
        <v>350000</v>
      </c>
      <c r="K2452" s="5">
        <f>tblSales[[#This Row],[Qty]]*tblSales[[#This Row],[Unit Price]]</f>
        <v>700000</v>
      </c>
      <c r="L2452" s="5">
        <f>ROUND(tblSales[[#This Row],[DPP (excl. VAT)]]*VATEff,0)</f>
        <v>77000</v>
      </c>
      <c r="M2452" s="5">
        <f>tblSales[[#This Row],[DPP (excl. VAT)]]+tblSales[[#This Row],[Output VAT]]</f>
        <v>777000</v>
      </c>
      <c r="N2452" s="5">
        <f>tblSales[[#This Row],[Qty]]*_xlfn.XLOOKUP(tblSales[[#This Row],[Product Code]],tblProducts[Code],tblProducts[Unit Cost],0)</f>
        <v>420000</v>
      </c>
      <c r="O2452" s="4" t="s">
        <v>4866</v>
      </c>
      <c r="P2452" s="4" t="s">
        <v>4861</v>
      </c>
      <c r="Q2452" s="1" t="str">
        <f>_xlfn.XLOOKUP(tblSales[[#This Row],[Channel Code]],tblChannels[Channel Code],tblChannels[Channel Name],"")</f>
        <v>Marketplace</v>
      </c>
      <c r="R2452" s="1">
        <f>MONTH(tblSales[[#This Row],[Date]])</f>
        <v>5</v>
      </c>
    </row>
    <row r="2453" spans="2:18" x14ac:dyDescent="0.35">
      <c r="B2453" s="113">
        <v>46170</v>
      </c>
      <c r="C2453" s="4" t="s">
        <v>1638</v>
      </c>
      <c r="D2453" s="4" t="s">
        <v>4568</v>
      </c>
      <c r="E2453" s="1" t="str">
        <f>_xlfn.XLOOKUP(tblSales[[#This Row],[Customer ID]],tblCustomers[Customer ID],tblCustomers[Customer Name],"⚠ Unknown")</f>
        <v>Walk-in Customer</v>
      </c>
      <c r="F2453" s="4" t="s">
        <v>6</v>
      </c>
      <c r="G2453" s="1" t="str">
        <f>_xlfn.XLOOKUP(tblSales[[#This Row],[Product Code]],tblProducts[Code],tblProducts[Product / Service Name],"⚠ Unknown")</f>
        <v>Socks &amp; Accessories</v>
      </c>
      <c r="H2453" s="1" t="str">
        <f>_xlfn.XLOOKUP(tblSales[[#This Row],[Product Code]],tblProducts[Code],tblProducts[Category],"")</f>
        <v>Accessories &amp; Basics</v>
      </c>
      <c r="I2453" s="4">
        <v>11</v>
      </c>
      <c r="J2453" s="5">
        <f>_xlfn.XLOOKUP(tblSales[[#This Row],[Product Code]],tblProducts[Code],tblProducts[Selling Price (excl. VAT)],0)</f>
        <v>45000</v>
      </c>
      <c r="K2453" s="5">
        <f>tblSales[[#This Row],[Qty]]*tblSales[[#This Row],[Unit Price]]</f>
        <v>495000</v>
      </c>
      <c r="L2453" s="5">
        <f>ROUND(tblSales[[#This Row],[DPP (excl. VAT)]]*VATEff,0)</f>
        <v>54450</v>
      </c>
      <c r="M2453" s="5">
        <f>tblSales[[#This Row],[DPP (excl. VAT)]]+tblSales[[#This Row],[Output VAT]]</f>
        <v>549450</v>
      </c>
      <c r="N2453" s="5">
        <f>tblSales[[#This Row],[Qty]]*_xlfn.XLOOKUP(tblSales[[#This Row],[Product Code]],tblProducts[Code],tblProducts[Unit Cost],0)</f>
        <v>264000</v>
      </c>
      <c r="O2453" s="4" t="s">
        <v>4866</v>
      </c>
      <c r="P2453" s="4" t="s">
        <v>4861</v>
      </c>
      <c r="Q2453" s="1" t="str">
        <f>_xlfn.XLOOKUP(tblSales[[#This Row],[Channel Code]],tblChannels[Channel Code],tblChannels[Channel Name],"")</f>
        <v>Marketplace</v>
      </c>
      <c r="R2453" s="1">
        <f>MONTH(tblSales[[#This Row],[Date]])</f>
        <v>5</v>
      </c>
    </row>
    <row r="2454" spans="2:18" x14ac:dyDescent="0.35">
      <c r="B2454" s="113">
        <v>46170</v>
      </c>
      <c r="C2454" s="4" t="s">
        <v>1639</v>
      </c>
      <c r="D2454" s="4" t="s">
        <v>4641</v>
      </c>
      <c r="E2454" s="1" t="str">
        <f>_xlfn.XLOOKUP(tblSales[[#This Row],[Customer ID]],tblCustomers[Customer ID],tblCustomers[Customer Name],"⚠ Unknown")</f>
        <v>PT Harmoni Pangan Lestari</v>
      </c>
      <c r="F2454" s="4" t="s">
        <v>6</v>
      </c>
      <c r="G2454" s="1" t="str">
        <f>_xlfn.XLOOKUP(tblSales[[#This Row],[Product Code]],tblProducts[Code],tblProducts[Product / Service Name],"⚠ Unknown")</f>
        <v>Socks &amp; Accessories</v>
      </c>
      <c r="H2454" s="1" t="str">
        <f>_xlfn.XLOOKUP(tblSales[[#This Row],[Product Code]],tblProducts[Code],tblProducts[Category],"")</f>
        <v>Accessories &amp; Basics</v>
      </c>
      <c r="I2454" s="4">
        <v>32</v>
      </c>
      <c r="J2454" s="5">
        <f>_xlfn.XLOOKUP(tblSales[[#This Row],[Product Code]],tblProducts[Code],tblProducts[Selling Price (excl. VAT)],0)</f>
        <v>45000</v>
      </c>
      <c r="K2454" s="5">
        <f>tblSales[[#This Row],[Qty]]*tblSales[[#This Row],[Unit Price]]</f>
        <v>1440000</v>
      </c>
      <c r="L2454" s="5">
        <f>ROUND(tblSales[[#This Row],[DPP (excl. VAT)]]*VATEff,0)</f>
        <v>158400</v>
      </c>
      <c r="M2454" s="5">
        <f>tblSales[[#This Row],[DPP (excl. VAT)]]+tblSales[[#This Row],[Output VAT]]</f>
        <v>1598400</v>
      </c>
      <c r="N2454" s="5">
        <f>tblSales[[#This Row],[Qty]]*_xlfn.XLOOKUP(tblSales[[#This Row],[Product Code]],tblProducts[Code],tblProducts[Unit Cost],0)</f>
        <v>768000</v>
      </c>
      <c r="O2454" s="4" t="s">
        <v>4867</v>
      </c>
      <c r="P2454" s="4" t="s">
        <v>4862</v>
      </c>
      <c r="Q2454" s="1" t="str">
        <f>_xlfn.XLOOKUP(tblSales[[#This Row],[Channel Code]],tblChannels[Channel Code],tblChannels[Channel Name],"")</f>
        <v>Website &amp; Social Media</v>
      </c>
      <c r="R2454" s="1">
        <f>MONTH(tblSales[[#This Row],[Date]])</f>
        <v>5</v>
      </c>
    </row>
    <row r="2455" spans="2:18" x14ac:dyDescent="0.35">
      <c r="B2455" s="113">
        <v>46170</v>
      </c>
      <c r="C2455" s="4" t="s">
        <v>1640</v>
      </c>
      <c r="D2455" s="4" t="s">
        <v>4568</v>
      </c>
      <c r="E2455" s="1" t="str">
        <f>_xlfn.XLOOKUP(tblSales[[#This Row],[Customer ID]],tblCustomers[Customer ID],tblCustomers[Customer Name],"⚠ Unknown")</f>
        <v>Walk-in Customer</v>
      </c>
      <c r="F2455" s="4" t="s">
        <v>9</v>
      </c>
      <c r="G2455" s="1" t="str">
        <f>_xlfn.XLOOKUP(tblSales[[#This Row],[Product Code]],tblProducts[Code],tblProducts[Product / Service Name],"⚠ Unknown")</f>
        <v>Casual Shirt</v>
      </c>
      <c r="H2455" s="1" t="str">
        <f>_xlfn.XLOOKUP(tblSales[[#This Row],[Product Code]],tblProducts[Code],tblProducts[Category],"")</f>
        <v>Apparel &amp; Footwear</v>
      </c>
      <c r="I2455" s="4">
        <v>11</v>
      </c>
      <c r="J2455" s="5">
        <f>_xlfn.XLOOKUP(tblSales[[#This Row],[Product Code]],tblProducts[Code],tblProducts[Selling Price (excl. VAT)],0)</f>
        <v>120000</v>
      </c>
      <c r="K2455" s="5">
        <f>tblSales[[#This Row],[Qty]]*tblSales[[#This Row],[Unit Price]]</f>
        <v>1320000</v>
      </c>
      <c r="L2455" s="5">
        <f>ROUND(tblSales[[#This Row],[DPP (excl. VAT)]]*VATEff,0)</f>
        <v>145200</v>
      </c>
      <c r="M2455" s="5">
        <f>tblSales[[#This Row],[DPP (excl. VAT)]]+tblSales[[#This Row],[Output VAT]]</f>
        <v>1465200</v>
      </c>
      <c r="N2455" s="5">
        <f>tblSales[[#This Row],[Qty]]*_xlfn.XLOOKUP(tblSales[[#This Row],[Product Code]],tblProducts[Code],tblProducts[Unit Cost],0)</f>
        <v>792000</v>
      </c>
      <c r="O2455" s="4" t="s">
        <v>4866</v>
      </c>
      <c r="P2455" s="4" t="s">
        <v>4860</v>
      </c>
      <c r="Q2455" s="1" t="str">
        <f>_xlfn.XLOOKUP(tblSales[[#This Row],[Channel Code]],tblChannels[Channel Code],tblChannels[Channel Name],"")</f>
        <v>In-store</v>
      </c>
      <c r="R2455" s="1">
        <f>MONTH(tblSales[[#This Row],[Date]])</f>
        <v>5</v>
      </c>
    </row>
    <row r="2456" spans="2:18" x14ac:dyDescent="0.35">
      <c r="B2456" s="113">
        <v>46170</v>
      </c>
      <c r="C2456" s="4" t="s">
        <v>1641</v>
      </c>
      <c r="D2456" s="4" t="s">
        <v>4613</v>
      </c>
      <c r="E2456" s="1" t="str">
        <f>_xlfn.XLOOKUP(tblSales[[#This Row],[Customer ID]],tblCustomers[Customer ID],tblCustomers[Customer Name],"⚠ Unknown")</f>
        <v>PT Mega Prima Distribusi</v>
      </c>
      <c r="F2456" s="4" t="s">
        <v>8</v>
      </c>
      <c r="G2456" s="1" t="str">
        <f>_xlfn.XLOOKUP(tblSales[[#This Row],[Product Code]],tblProducts[Code],tblProducts[Product / Service Name],"⚠ Unknown")</f>
        <v>Casual Shorts</v>
      </c>
      <c r="H2456" s="1" t="str">
        <f>_xlfn.XLOOKUP(tblSales[[#This Row],[Product Code]],tblProducts[Code],tblProducts[Category],"")</f>
        <v>Accessories &amp; Basics</v>
      </c>
      <c r="I2456" s="4">
        <v>16</v>
      </c>
      <c r="J2456" s="5">
        <f>_xlfn.XLOOKUP(tblSales[[#This Row],[Product Code]],tblProducts[Code],tblProducts[Selling Price (excl. VAT)],0)</f>
        <v>85000</v>
      </c>
      <c r="K2456" s="5">
        <f>tblSales[[#This Row],[Qty]]*tblSales[[#This Row],[Unit Price]]</f>
        <v>1360000</v>
      </c>
      <c r="L2456" s="5">
        <f>ROUND(tblSales[[#This Row],[DPP (excl. VAT)]]*VATEff,0)</f>
        <v>149600</v>
      </c>
      <c r="M2456" s="5">
        <f>tblSales[[#This Row],[DPP (excl. VAT)]]+tblSales[[#This Row],[Output VAT]]</f>
        <v>1509600</v>
      </c>
      <c r="N2456" s="5">
        <f>tblSales[[#This Row],[Qty]]*_xlfn.XLOOKUP(tblSales[[#This Row],[Product Code]],tblProducts[Code],tblProducts[Unit Cost],0)</f>
        <v>800000</v>
      </c>
      <c r="O2456" s="4" t="s">
        <v>4867</v>
      </c>
      <c r="P2456" s="4" t="s">
        <v>4862</v>
      </c>
      <c r="Q2456" s="1" t="str">
        <f>_xlfn.XLOOKUP(tblSales[[#This Row],[Channel Code]],tblChannels[Channel Code],tblChannels[Channel Name],"")</f>
        <v>Website &amp; Social Media</v>
      </c>
      <c r="R2456" s="1">
        <f>MONTH(tblSales[[#This Row],[Date]])</f>
        <v>5</v>
      </c>
    </row>
    <row r="2457" spans="2:18" x14ac:dyDescent="0.35">
      <c r="B2457" s="113">
        <v>46170</v>
      </c>
      <c r="C2457" s="4" t="s">
        <v>1642</v>
      </c>
      <c r="D2457" s="4" t="s">
        <v>4568</v>
      </c>
      <c r="E2457" s="1" t="str">
        <f>_xlfn.XLOOKUP(tblSales[[#This Row],[Customer ID]],tblCustomers[Customer ID],tblCustomers[Customer Name],"⚠ Unknown")</f>
        <v>Walk-in Customer</v>
      </c>
      <c r="F2457" s="4" t="s">
        <v>6</v>
      </c>
      <c r="G2457" s="1" t="str">
        <f>_xlfn.XLOOKUP(tblSales[[#This Row],[Product Code]],tblProducts[Code],tblProducts[Product / Service Name],"⚠ Unknown")</f>
        <v>Socks &amp; Accessories</v>
      </c>
      <c r="H2457" s="1" t="str">
        <f>_xlfn.XLOOKUP(tblSales[[#This Row],[Product Code]],tblProducts[Code],tblProducts[Category],"")</f>
        <v>Accessories &amp; Basics</v>
      </c>
      <c r="I2457" s="4">
        <v>10</v>
      </c>
      <c r="J2457" s="5">
        <f>_xlfn.XLOOKUP(tblSales[[#This Row],[Product Code]],tblProducts[Code],tblProducts[Selling Price (excl. VAT)],0)</f>
        <v>45000</v>
      </c>
      <c r="K2457" s="5">
        <f>tblSales[[#This Row],[Qty]]*tblSales[[#This Row],[Unit Price]]</f>
        <v>450000</v>
      </c>
      <c r="L2457" s="5">
        <f>ROUND(tblSales[[#This Row],[DPP (excl. VAT)]]*VATEff,0)</f>
        <v>49500</v>
      </c>
      <c r="M2457" s="5">
        <f>tblSales[[#This Row],[DPP (excl. VAT)]]+tblSales[[#This Row],[Output VAT]]</f>
        <v>499500</v>
      </c>
      <c r="N2457" s="5">
        <f>tblSales[[#This Row],[Qty]]*_xlfn.XLOOKUP(tblSales[[#This Row],[Product Code]],tblProducts[Code],tblProducts[Unit Cost],0)</f>
        <v>240000</v>
      </c>
      <c r="O2457" s="4" t="s">
        <v>4865</v>
      </c>
      <c r="P2457" s="4" t="s">
        <v>4860</v>
      </c>
      <c r="Q2457" s="1" t="str">
        <f>_xlfn.XLOOKUP(tblSales[[#This Row],[Channel Code]],tblChannels[Channel Code],tblChannels[Channel Name],"")</f>
        <v>In-store</v>
      </c>
      <c r="R2457" s="1">
        <f>MONTH(tblSales[[#This Row],[Date]])</f>
        <v>5</v>
      </c>
    </row>
    <row r="2458" spans="2:18" x14ac:dyDescent="0.35">
      <c r="B2458" s="113">
        <v>46170</v>
      </c>
      <c r="C2458" s="4" t="s">
        <v>1643</v>
      </c>
      <c r="D2458" s="4" t="s">
        <v>4568</v>
      </c>
      <c r="E2458" s="1" t="str">
        <f>_xlfn.XLOOKUP(tblSales[[#This Row],[Customer ID]],tblCustomers[Customer ID],tblCustomers[Customer Name],"⚠ Unknown")</f>
        <v>Walk-in Customer</v>
      </c>
      <c r="F2458" s="4" t="s">
        <v>6</v>
      </c>
      <c r="G2458" s="1" t="str">
        <f>_xlfn.XLOOKUP(tblSales[[#This Row],[Product Code]],tblProducts[Code],tblProducts[Product / Service Name],"⚠ Unknown")</f>
        <v>Socks &amp; Accessories</v>
      </c>
      <c r="H2458" s="1" t="str">
        <f>_xlfn.XLOOKUP(tblSales[[#This Row],[Product Code]],tblProducts[Code],tblProducts[Category],"")</f>
        <v>Accessories &amp; Basics</v>
      </c>
      <c r="I2458" s="4">
        <v>2</v>
      </c>
      <c r="J2458" s="5">
        <f>_xlfn.XLOOKUP(tblSales[[#This Row],[Product Code]],tblProducts[Code],tblProducts[Selling Price (excl. VAT)],0)</f>
        <v>45000</v>
      </c>
      <c r="K2458" s="5">
        <f>tblSales[[#This Row],[Qty]]*tblSales[[#This Row],[Unit Price]]</f>
        <v>90000</v>
      </c>
      <c r="L2458" s="5">
        <f>ROUND(tblSales[[#This Row],[DPP (excl. VAT)]]*VATEff,0)</f>
        <v>9900</v>
      </c>
      <c r="M2458" s="5">
        <f>tblSales[[#This Row],[DPP (excl. VAT)]]+tblSales[[#This Row],[Output VAT]]</f>
        <v>99900</v>
      </c>
      <c r="N2458" s="5">
        <f>tblSales[[#This Row],[Qty]]*_xlfn.XLOOKUP(tblSales[[#This Row],[Product Code]],tblProducts[Code],tblProducts[Unit Cost],0)</f>
        <v>48000</v>
      </c>
      <c r="O2458" s="4" t="s">
        <v>4865</v>
      </c>
      <c r="P2458" s="4" t="s">
        <v>4860</v>
      </c>
      <c r="Q2458" s="1" t="str">
        <f>_xlfn.XLOOKUP(tblSales[[#This Row],[Channel Code]],tblChannels[Channel Code],tblChannels[Channel Name],"")</f>
        <v>In-store</v>
      </c>
      <c r="R2458" s="1">
        <f>MONTH(tblSales[[#This Row],[Date]])</f>
        <v>5</v>
      </c>
    </row>
    <row r="2459" spans="2:18" x14ac:dyDescent="0.35">
      <c r="B2459" s="113">
        <v>46170</v>
      </c>
      <c r="C2459" s="4" t="s">
        <v>1643</v>
      </c>
      <c r="D2459" s="4" t="s">
        <v>4568</v>
      </c>
      <c r="E2459" s="1" t="str">
        <f>_xlfn.XLOOKUP(tblSales[[#This Row],[Customer ID]],tblCustomers[Customer ID],tblCustomers[Customer Name],"⚠ Unknown")</f>
        <v>Walk-in Customer</v>
      </c>
      <c r="F2459" s="4" t="s">
        <v>11</v>
      </c>
      <c r="G2459" s="1" t="str">
        <f>_xlfn.XLOOKUP(tblSales[[#This Row],[Product Code]],tblProducts[Code],tblProducts[Product / Service Name],"⚠ Unknown")</f>
        <v>Sneakers</v>
      </c>
      <c r="H2459" s="1" t="str">
        <f>_xlfn.XLOOKUP(tblSales[[#This Row],[Product Code]],tblProducts[Code],tblProducts[Category],"")</f>
        <v>Apparel &amp; Footwear</v>
      </c>
      <c r="I2459" s="4">
        <v>5</v>
      </c>
      <c r="J2459" s="5">
        <f>_xlfn.XLOOKUP(tblSales[[#This Row],[Product Code]],tblProducts[Code],tblProducts[Selling Price (excl. VAT)],0)</f>
        <v>250000</v>
      </c>
      <c r="K2459" s="5">
        <f>tblSales[[#This Row],[Qty]]*tblSales[[#This Row],[Unit Price]]</f>
        <v>1250000</v>
      </c>
      <c r="L2459" s="5">
        <f>ROUND(tblSales[[#This Row],[DPP (excl. VAT)]]*VATEff,0)</f>
        <v>137500</v>
      </c>
      <c r="M2459" s="5">
        <f>tblSales[[#This Row],[DPP (excl. VAT)]]+tblSales[[#This Row],[Output VAT]]</f>
        <v>1387500</v>
      </c>
      <c r="N2459" s="5">
        <f>tblSales[[#This Row],[Qty]]*_xlfn.XLOOKUP(tblSales[[#This Row],[Product Code]],tblProducts[Code],tblProducts[Unit Cost],0)</f>
        <v>775000</v>
      </c>
      <c r="O2459" s="4" t="s">
        <v>4865</v>
      </c>
      <c r="P2459" s="4" t="s">
        <v>4860</v>
      </c>
      <c r="Q2459" s="1" t="str">
        <f>_xlfn.XLOOKUP(tblSales[[#This Row],[Channel Code]],tblChannels[Channel Code],tblChannels[Channel Name],"")</f>
        <v>In-store</v>
      </c>
      <c r="R2459" s="1">
        <f>MONTH(tblSales[[#This Row],[Date]])</f>
        <v>5</v>
      </c>
    </row>
    <row r="2460" spans="2:18" x14ac:dyDescent="0.35">
      <c r="B2460" s="113">
        <v>46170</v>
      </c>
      <c r="C2460" s="4" t="s">
        <v>1643</v>
      </c>
      <c r="D2460" s="4" t="s">
        <v>4568</v>
      </c>
      <c r="E2460" s="1" t="str">
        <f>_xlfn.XLOOKUP(tblSales[[#This Row],[Customer ID]],tblCustomers[Customer ID],tblCustomers[Customer Name],"⚠ Unknown")</f>
        <v>Walk-in Customer</v>
      </c>
      <c r="F2460" s="4" t="s">
        <v>10</v>
      </c>
      <c r="G2460" s="1" t="str">
        <f>_xlfn.XLOOKUP(tblSales[[#This Row],[Product Code]],tblProducts[Code],tblProducts[Product / Service Name],"⚠ Unknown")</f>
        <v>Chino Pants</v>
      </c>
      <c r="H2460" s="1" t="str">
        <f>_xlfn.XLOOKUP(tblSales[[#This Row],[Product Code]],tblProducts[Code],tblProducts[Category],"")</f>
        <v>Apparel &amp; Footwear</v>
      </c>
      <c r="I2460" s="4">
        <v>9</v>
      </c>
      <c r="J2460" s="5">
        <f>_xlfn.XLOOKUP(tblSales[[#This Row],[Product Code]],tblProducts[Code],tblProducts[Selling Price (excl. VAT)],0)</f>
        <v>150000</v>
      </c>
      <c r="K2460" s="5">
        <f>tblSales[[#This Row],[Qty]]*tblSales[[#This Row],[Unit Price]]</f>
        <v>1350000</v>
      </c>
      <c r="L2460" s="5">
        <f>ROUND(tblSales[[#This Row],[DPP (excl. VAT)]]*VATEff,0)</f>
        <v>148500</v>
      </c>
      <c r="M2460" s="5">
        <f>tblSales[[#This Row],[DPP (excl. VAT)]]+tblSales[[#This Row],[Output VAT]]</f>
        <v>1498500</v>
      </c>
      <c r="N2460" s="5">
        <f>tblSales[[#This Row],[Qty]]*_xlfn.XLOOKUP(tblSales[[#This Row],[Product Code]],tblProducts[Code],tblProducts[Unit Cost],0)</f>
        <v>792000</v>
      </c>
      <c r="O2460" s="4" t="s">
        <v>4865</v>
      </c>
      <c r="P2460" s="4" t="s">
        <v>4860</v>
      </c>
      <c r="Q2460" s="1" t="str">
        <f>_xlfn.XLOOKUP(tblSales[[#This Row],[Channel Code]],tblChannels[Channel Code],tblChannels[Channel Name],"")</f>
        <v>In-store</v>
      </c>
      <c r="R2460" s="1">
        <f>MONTH(tblSales[[#This Row],[Date]])</f>
        <v>5</v>
      </c>
    </row>
    <row r="2461" spans="2:18" x14ac:dyDescent="0.35">
      <c r="B2461" s="113">
        <v>46170</v>
      </c>
      <c r="C2461" s="4" t="s">
        <v>1644</v>
      </c>
      <c r="D2461" s="4" t="s">
        <v>4568</v>
      </c>
      <c r="E2461" s="1" t="str">
        <f>_xlfn.XLOOKUP(tblSales[[#This Row],[Customer ID]],tblCustomers[Customer ID],tblCustomers[Customer Name],"⚠ Unknown")</f>
        <v>Walk-in Customer</v>
      </c>
      <c r="F2461" s="4" t="s">
        <v>11</v>
      </c>
      <c r="G2461" s="1" t="str">
        <f>_xlfn.XLOOKUP(tblSales[[#This Row],[Product Code]],tblProducts[Code],tblProducts[Product / Service Name],"⚠ Unknown")</f>
        <v>Sneakers</v>
      </c>
      <c r="H2461" s="1" t="str">
        <f>_xlfn.XLOOKUP(tblSales[[#This Row],[Product Code]],tblProducts[Code],tblProducts[Category],"")</f>
        <v>Apparel &amp; Footwear</v>
      </c>
      <c r="I2461" s="4">
        <v>1</v>
      </c>
      <c r="J2461" s="5">
        <f>_xlfn.XLOOKUP(tblSales[[#This Row],[Product Code]],tblProducts[Code],tblProducts[Selling Price (excl. VAT)],0)</f>
        <v>250000</v>
      </c>
      <c r="K2461" s="5">
        <f>tblSales[[#This Row],[Qty]]*tblSales[[#This Row],[Unit Price]]</f>
        <v>250000</v>
      </c>
      <c r="L2461" s="5">
        <f>ROUND(tblSales[[#This Row],[DPP (excl. VAT)]]*VATEff,0)</f>
        <v>27500</v>
      </c>
      <c r="M2461" s="5">
        <f>tblSales[[#This Row],[DPP (excl. VAT)]]+tblSales[[#This Row],[Output VAT]]</f>
        <v>277500</v>
      </c>
      <c r="N2461" s="5">
        <f>tblSales[[#This Row],[Qty]]*_xlfn.XLOOKUP(tblSales[[#This Row],[Product Code]],tblProducts[Code],tblProducts[Unit Cost],0)</f>
        <v>155000</v>
      </c>
      <c r="O2461" s="4" t="s">
        <v>4865</v>
      </c>
      <c r="P2461" s="4" t="s">
        <v>4860</v>
      </c>
      <c r="Q2461" s="1" t="str">
        <f>_xlfn.XLOOKUP(tblSales[[#This Row],[Channel Code]],tblChannels[Channel Code],tblChannels[Channel Name],"")</f>
        <v>In-store</v>
      </c>
      <c r="R2461" s="1">
        <f>MONTH(tblSales[[#This Row],[Date]])</f>
        <v>5</v>
      </c>
    </row>
    <row r="2462" spans="2:18" x14ac:dyDescent="0.35">
      <c r="B2462" s="113">
        <v>46170</v>
      </c>
      <c r="C2462" s="4" t="s">
        <v>1644</v>
      </c>
      <c r="D2462" s="4" t="s">
        <v>4568</v>
      </c>
      <c r="E2462" s="1" t="str">
        <f>_xlfn.XLOOKUP(tblSales[[#This Row],[Customer ID]],tblCustomers[Customer ID],tblCustomers[Customer Name],"⚠ Unknown")</f>
        <v>Walk-in Customer</v>
      </c>
      <c r="F2462" s="4" t="s">
        <v>7</v>
      </c>
      <c r="G2462" s="1" t="str">
        <f>_xlfn.XLOOKUP(tblSales[[#This Row],[Product Code]],tblProducts[Code],tblProducts[Product / Service Name],"⚠ Unknown")</f>
        <v>Premium Basic T-shirt</v>
      </c>
      <c r="H2462" s="1" t="str">
        <f>_xlfn.XLOOKUP(tblSales[[#This Row],[Product Code]],tblProducts[Code],tblProducts[Category],"")</f>
        <v>Accessories &amp; Basics</v>
      </c>
      <c r="I2462" s="4">
        <v>12</v>
      </c>
      <c r="J2462" s="5">
        <f>_xlfn.XLOOKUP(tblSales[[#This Row],[Product Code]],tblProducts[Code],tblProducts[Selling Price (excl. VAT)],0)</f>
        <v>65000</v>
      </c>
      <c r="K2462" s="5">
        <f>tblSales[[#This Row],[Qty]]*tblSales[[#This Row],[Unit Price]]</f>
        <v>780000</v>
      </c>
      <c r="L2462" s="5">
        <f>ROUND(tblSales[[#This Row],[DPP (excl. VAT)]]*VATEff,0)</f>
        <v>85800</v>
      </c>
      <c r="M2462" s="5">
        <f>tblSales[[#This Row],[DPP (excl. VAT)]]+tblSales[[#This Row],[Output VAT]]</f>
        <v>865800</v>
      </c>
      <c r="N2462" s="5">
        <f>tblSales[[#This Row],[Qty]]*_xlfn.XLOOKUP(tblSales[[#This Row],[Product Code]],tblProducts[Code],tblProducts[Unit Cost],0)</f>
        <v>444000</v>
      </c>
      <c r="O2462" s="4" t="s">
        <v>4865</v>
      </c>
      <c r="P2462" s="4" t="s">
        <v>4860</v>
      </c>
      <c r="Q2462" s="1" t="str">
        <f>_xlfn.XLOOKUP(tblSales[[#This Row],[Channel Code]],tblChannels[Channel Code],tblChannels[Channel Name],"")</f>
        <v>In-store</v>
      </c>
      <c r="R2462" s="1">
        <f>MONTH(tblSales[[#This Row],[Date]])</f>
        <v>5</v>
      </c>
    </row>
    <row r="2463" spans="2:18" x14ac:dyDescent="0.35">
      <c r="B2463" s="113">
        <v>46171</v>
      </c>
      <c r="C2463" s="4" t="s">
        <v>1645</v>
      </c>
      <c r="D2463" s="4" t="s">
        <v>4568</v>
      </c>
      <c r="E2463" s="1" t="str">
        <f>_xlfn.XLOOKUP(tblSales[[#This Row],[Customer ID]],tblCustomers[Customer ID],tblCustomers[Customer Name],"⚠ Unknown")</f>
        <v>Walk-in Customer</v>
      </c>
      <c r="F2463" s="4" t="s">
        <v>12</v>
      </c>
      <c r="G2463" s="1" t="str">
        <f>_xlfn.XLOOKUP(tblSales[[#This Row],[Product Code]],tblProducts[Code],tblProducts[Product / Service Name],"⚠ Unknown")</f>
        <v>Bomber Jacket</v>
      </c>
      <c r="H2463" s="1" t="str">
        <f>_xlfn.XLOOKUP(tblSales[[#This Row],[Product Code]],tblProducts[Code],tblProducts[Category],"")</f>
        <v>Apparel &amp; Footwear</v>
      </c>
      <c r="I2463" s="4">
        <v>5</v>
      </c>
      <c r="J2463" s="5">
        <f>_xlfn.XLOOKUP(tblSales[[#This Row],[Product Code]],tblProducts[Code],tblProducts[Selling Price (excl. VAT)],0)</f>
        <v>350000</v>
      </c>
      <c r="K2463" s="5">
        <f>tblSales[[#This Row],[Qty]]*tblSales[[#This Row],[Unit Price]]</f>
        <v>1750000</v>
      </c>
      <c r="L2463" s="5">
        <f>ROUND(tblSales[[#This Row],[DPP (excl. VAT)]]*VATEff,0)</f>
        <v>192500</v>
      </c>
      <c r="M2463" s="5">
        <f>tblSales[[#This Row],[DPP (excl. VAT)]]+tblSales[[#This Row],[Output VAT]]</f>
        <v>1942500</v>
      </c>
      <c r="N2463" s="5">
        <f>tblSales[[#This Row],[Qty]]*_xlfn.XLOOKUP(tblSales[[#This Row],[Product Code]],tblProducts[Code],tblProducts[Unit Cost],0)</f>
        <v>1050000</v>
      </c>
      <c r="O2463" s="4" t="s">
        <v>4865</v>
      </c>
      <c r="P2463" s="4" t="s">
        <v>4860</v>
      </c>
      <c r="Q2463" s="1" t="str">
        <f>_xlfn.XLOOKUP(tblSales[[#This Row],[Channel Code]],tblChannels[Channel Code],tblChannels[Channel Name],"")</f>
        <v>In-store</v>
      </c>
      <c r="R2463" s="1">
        <f>MONTH(tblSales[[#This Row],[Date]])</f>
        <v>5</v>
      </c>
    </row>
    <row r="2464" spans="2:18" x14ac:dyDescent="0.35">
      <c r="B2464" s="113">
        <v>46171</v>
      </c>
      <c r="C2464" s="4" t="s">
        <v>1646</v>
      </c>
      <c r="D2464" s="4" t="s">
        <v>4568</v>
      </c>
      <c r="E2464" s="1" t="str">
        <f>_xlfn.XLOOKUP(tblSales[[#This Row],[Customer ID]],tblCustomers[Customer ID],tblCustomers[Customer Name],"⚠ Unknown")</f>
        <v>Walk-in Customer</v>
      </c>
      <c r="F2464" s="4" t="s">
        <v>15</v>
      </c>
      <c r="G2464" s="1" t="str">
        <f>_xlfn.XLOOKUP(tblSales[[#This Row],[Product Code]],tblProducts[Code],tblProducts[Product / Service Name],"⚠ Unknown")</f>
        <v>Wireless Earbuds Pro</v>
      </c>
      <c r="H2464" s="1" t="str">
        <f>_xlfn.XLOOKUP(tblSales[[#This Row],[Product Code]],tblProducts[Code],tblProducts[Category],"")</f>
        <v>Bags &amp; Gadgets</v>
      </c>
      <c r="I2464" s="4">
        <v>2</v>
      </c>
      <c r="J2464" s="5">
        <f>_xlfn.XLOOKUP(tblSales[[#This Row],[Product Code]],tblProducts[Code],tblProducts[Selling Price (excl. VAT)],0)</f>
        <v>1250000</v>
      </c>
      <c r="K2464" s="5">
        <f>tblSales[[#This Row],[Qty]]*tblSales[[#This Row],[Unit Price]]</f>
        <v>2500000</v>
      </c>
      <c r="L2464" s="5">
        <f>ROUND(tblSales[[#This Row],[DPP (excl. VAT)]]*VATEff,0)</f>
        <v>275000</v>
      </c>
      <c r="M2464" s="5">
        <f>tblSales[[#This Row],[DPP (excl. VAT)]]+tblSales[[#This Row],[Output VAT]]</f>
        <v>2775000</v>
      </c>
      <c r="N2464" s="5">
        <f>tblSales[[#This Row],[Qty]]*_xlfn.XLOOKUP(tblSales[[#This Row],[Product Code]],tblProducts[Code],tblProducts[Unit Cost],0)</f>
        <v>1640000</v>
      </c>
      <c r="O2464" s="4" t="s">
        <v>4866</v>
      </c>
      <c r="P2464" s="4" t="s">
        <v>4861</v>
      </c>
      <c r="Q2464" s="1" t="str">
        <f>_xlfn.XLOOKUP(tblSales[[#This Row],[Channel Code]],tblChannels[Channel Code],tblChannels[Channel Name],"")</f>
        <v>Marketplace</v>
      </c>
      <c r="R2464" s="1">
        <f>MONTH(tblSales[[#This Row],[Date]])</f>
        <v>5</v>
      </c>
    </row>
    <row r="2465" spans="2:18" x14ac:dyDescent="0.35">
      <c r="B2465" s="113">
        <v>46171</v>
      </c>
      <c r="C2465" s="4" t="s">
        <v>1647</v>
      </c>
      <c r="D2465" s="4" t="s">
        <v>4568</v>
      </c>
      <c r="E2465" s="1" t="str">
        <f>_xlfn.XLOOKUP(tblSales[[#This Row],[Customer ID]],tblCustomers[Customer ID],tblCustomers[Customer Name],"⚠ Unknown")</f>
        <v>Walk-in Customer</v>
      </c>
      <c r="F2465" s="4" t="s">
        <v>8</v>
      </c>
      <c r="G2465" s="1" t="str">
        <f>_xlfn.XLOOKUP(tblSales[[#This Row],[Product Code]],tblProducts[Code],tblProducts[Product / Service Name],"⚠ Unknown")</f>
        <v>Casual Shorts</v>
      </c>
      <c r="H2465" s="1" t="str">
        <f>_xlfn.XLOOKUP(tblSales[[#This Row],[Product Code]],tblProducts[Code],tblProducts[Category],"")</f>
        <v>Accessories &amp; Basics</v>
      </c>
      <c r="I2465" s="4">
        <v>4</v>
      </c>
      <c r="J2465" s="5">
        <f>_xlfn.XLOOKUP(tblSales[[#This Row],[Product Code]],tblProducts[Code],tblProducts[Selling Price (excl. VAT)],0)</f>
        <v>85000</v>
      </c>
      <c r="K2465" s="5">
        <f>tblSales[[#This Row],[Qty]]*tblSales[[#This Row],[Unit Price]]</f>
        <v>340000</v>
      </c>
      <c r="L2465" s="5">
        <f>ROUND(tblSales[[#This Row],[DPP (excl. VAT)]]*VATEff,0)</f>
        <v>37400</v>
      </c>
      <c r="M2465" s="5">
        <f>tblSales[[#This Row],[DPP (excl. VAT)]]+tblSales[[#This Row],[Output VAT]]</f>
        <v>377400</v>
      </c>
      <c r="N2465" s="5">
        <f>tblSales[[#This Row],[Qty]]*_xlfn.XLOOKUP(tblSales[[#This Row],[Product Code]],tblProducts[Code],tblProducts[Unit Cost],0)</f>
        <v>200000</v>
      </c>
      <c r="O2465" s="4" t="s">
        <v>4866</v>
      </c>
      <c r="P2465" s="4" t="s">
        <v>4861</v>
      </c>
      <c r="Q2465" s="1" t="str">
        <f>_xlfn.XLOOKUP(tblSales[[#This Row],[Channel Code]],tblChannels[Channel Code],tblChannels[Channel Name],"")</f>
        <v>Marketplace</v>
      </c>
      <c r="R2465" s="1">
        <f>MONTH(tblSales[[#This Row],[Date]])</f>
        <v>5</v>
      </c>
    </row>
    <row r="2466" spans="2:18" x14ac:dyDescent="0.35">
      <c r="B2466" s="113">
        <v>46171</v>
      </c>
      <c r="C2466" s="4" t="s">
        <v>1647</v>
      </c>
      <c r="D2466" s="4" t="s">
        <v>4568</v>
      </c>
      <c r="E2466" s="1" t="str">
        <f>_xlfn.XLOOKUP(tblSales[[#This Row],[Customer ID]],tblCustomers[Customer ID],tblCustomers[Customer Name],"⚠ Unknown")</f>
        <v>Walk-in Customer</v>
      </c>
      <c r="F2466" s="4" t="s">
        <v>15</v>
      </c>
      <c r="G2466" s="1" t="str">
        <f>_xlfn.XLOOKUP(tblSales[[#This Row],[Product Code]],tblProducts[Code],tblProducts[Product / Service Name],"⚠ Unknown")</f>
        <v>Wireless Earbuds Pro</v>
      </c>
      <c r="H2466" s="1" t="str">
        <f>_xlfn.XLOOKUP(tblSales[[#This Row],[Product Code]],tblProducts[Code],tblProducts[Category],"")</f>
        <v>Bags &amp; Gadgets</v>
      </c>
      <c r="I2466" s="4">
        <v>1</v>
      </c>
      <c r="J2466" s="5">
        <f>_xlfn.XLOOKUP(tblSales[[#This Row],[Product Code]],tblProducts[Code],tblProducts[Selling Price (excl. VAT)],0)</f>
        <v>1250000</v>
      </c>
      <c r="K2466" s="5">
        <f>tblSales[[#This Row],[Qty]]*tblSales[[#This Row],[Unit Price]]</f>
        <v>1250000</v>
      </c>
      <c r="L2466" s="5">
        <f>ROUND(tblSales[[#This Row],[DPP (excl. VAT)]]*VATEff,0)</f>
        <v>137500</v>
      </c>
      <c r="M2466" s="5">
        <f>tblSales[[#This Row],[DPP (excl. VAT)]]+tblSales[[#This Row],[Output VAT]]</f>
        <v>1387500</v>
      </c>
      <c r="N2466" s="5">
        <f>tblSales[[#This Row],[Qty]]*_xlfn.XLOOKUP(tblSales[[#This Row],[Product Code]],tblProducts[Code],tblProducts[Unit Cost],0)</f>
        <v>820000</v>
      </c>
      <c r="O2466" s="4" t="s">
        <v>4866</v>
      </c>
      <c r="P2466" s="4" t="s">
        <v>4861</v>
      </c>
      <c r="Q2466" s="1" t="str">
        <f>_xlfn.XLOOKUP(tblSales[[#This Row],[Channel Code]],tblChannels[Channel Code],tblChannels[Channel Name],"")</f>
        <v>Marketplace</v>
      </c>
      <c r="R2466" s="1">
        <f>MONTH(tblSales[[#This Row],[Date]])</f>
        <v>5</v>
      </c>
    </row>
    <row r="2467" spans="2:18" x14ac:dyDescent="0.35">
      <c r="B2467" s="113">
        <v>46171</v>
      </c>
      <c r="C2467" s="4" t="s">
        <v>1647</v>
      </c>
      <c r="D2467" s="4" t="s">
        <v>4568</v>
      </c>
      <c r="E2467" s="1" t="str">
        <f>_xlfn.XLOOKUP(tblSales[[#This Row],[Customer ID]],tblCustomers[Customer ID],tblCustomers[Customer Name],"⚠ Unknown")</f>
        <v>Walk-in Customer</v>
      </c>
      <c r="F2467" s="4" t="s">
        <v>6</v>
      </c>
      <c r="G2467" s="1" t="str">
        <f>_xlfn.XLOOKUP(tblSales[[#This Row],[Product Code]],tblProducts[Code],tblProducts[Product / Service Name],"⚠ Unknown")</f>
        <v>Socks &amp; Accessories</v>
      </c>
      <c r="H2467" s="1" t="str">
        <f>_xlfn.XLOOKUP(tblSales[[#This Row],[Product Code]],tblProducts[Code],tblProducts[Category],"")</f>
        <v>Accessories &amp; Basics</v>
      </c>
      <c r="I2467" s="4">
        <v>9</v>
      </c>
      <c r="J2467" s="5">
        <f>_xlfn.XLOOKUP(tblSales[[#This Row],[Product Code]],tblProducts[Code],tblProducts[Selling Price (excl. VAT)],0)</f>
        <v>45000</v>
      </c>
      <c r="K2467" s="5">
        <f>tblSales[[#This Row],[Qty]]*tblSales[[#This Row],[Unit Price]]</f>
        <v>405000</v>
      </c>
      <c r="L2467" s="5">
        <f>ROUND(tblSales[[#This Row],[DPP (excl. VAT)]]*VATEff,0)</f>
        <v>44550</v>
      </c>
      <c r="M2467" s="5">
        <f>tblSales[[#This Row],[DPP (excl. VAT)]]+tblSales[[#This Row],[Output VAT]]</f>
        <v>449550</v>
      </c>
      <c r="N2467" s="5">
        <f>tblSales[[#This Row],[Qty]]*_xlfn.XLOOKUP(tblSales[[#This Row],[Product Code]],tblProducts[Code],tblProducts[Unit Cost],0)</f>
        <v>216000</v>
      </c>
      <c r="O2467" s="4" t="s">
        <v>4866</v>
      </c>
      <c r="P2467" s="4" t="s">
        <v>4861</v>
      </c>
      <c r="Q2467" s="1" t="str">
        <f>_xlfn.XLOOKUP(tblSales[[#This Row],[Channel Code]],tblChannels[Channel Code],tblChannels[Channel Name],"")</f>
        <v>Marketplace</v>
      </c>
      <c r="R2467" s="1">
        <f>MONTH(tblSales[[#This Row],[Date]])</f>
        <v>5</v>
      </c>
    </row>
    <row r="2468" spans="2:18" x14ac:dyDescent="0.35">
      <c r="B2468" s="113">
        <v>46171</v>
      </c>
      <c r="C2468" s="4" t="s">
        <v>1648</v>
      </c>
      <c r="D2468" s="4" t="s">
        <v>4568</v>
      </c>
      <c r="E2468" s="1" t="str">
        <f>_xlfn.XLOOKUP(tblSales[[#This Row],[Customer ID]],tblCustomers[Customer ID],tblCustomers[Customer Name],"⚠ Unknown")</f>
        <v>Walk-in Customer</v>
      </c>
      <c r="F2468" s="4" t="s">
        <v>8</v>
      </c>
      <c r="G2468" s="1" t="str">
        <f>_xlfn.XLOOKUP(tblSales[[#This Row],[Product Code]],tblProducts[Code],tblProducts[Product / Service Name],"⚠ Unknown")</f>
        <v>Casual Shorts</v>
      </c>
      <c r="H2468" s="1" t="str">
        <f>_xlfn.XLOOKUP(tblSales[[#This Row],[Product Code]],tblProducts[Code],tblProducts[Category],"")</f>
        <v>Accessories &amp; Basics</v>
      </c>
      <c r="I2468" s="4">
        <v>5</v>
      </c>
      <c r="J2468" s="5">
        <f>_xlfn.XLOOKUP(tblSales[[#This Row],[Product Code]],tblProducts[Code],tblProducts[Selling Price (excl. VAT)],0)</f>
        <v>85000</v>
      </c>
      <c r="K2468" s="5">
        <f>tblSales[[#This Row],[Qty]]*tblSales[[#This Row],[Unit Price]]</f>
        <v>425000</v>
      </c>
      <c r="L2468" s="5">
        <f>ROUND(tblSales[[#This Row],[DPP (excl. VAT)]]*VATEff,0)</f>
        <v>46750</v>
      </c>
      <c r="M2468" s="5">
        <f>tblSales[[#This Row],[DPP (excl. VAT)]]+tblSales[[#This Row],[Output VAT]]</f>
        <v>471750</v>
      </c>
      <c r="N2468" s="5">
        <f>tblSales[[#This Row],[Qty]]*_xlfn.XLOOKUP(tblSales[[#This Row],[Product Code]],tblProducts[Code],tblProducts[Unit Cost],0)</f>
        <v>250000</v>
      </c>
      <c r="O2468" s="4" t="s">
        <v>4865</v>
      </c>
      <c r="P2468" s="4" t="s">
        <v>4860</v>
      </c>
      <c r="Q2468" s="1" t="str">
        <f>_xlfn.XLOOKUP(tblSales[[#This Row],[Channel Code]],tblChannels[Channel Code],tblChannels[Channel Name],"")</f>
        <v>In-store</v>
      </c>
      <c r="R2468" s="1">
        <f>MONTH(tblSales[[#This Row],[Date]])</f>
        <v>5</v>
      </c>
    </row>
    <row r="2469" spans="2:18" x14ac:dyDescent="0.35">
      <c r="B2469" s="113">
        <v>46171</v>
      </c>
      <c r="C2469" s="4" t="s">
        <v>1649</v>
      </c>
      <c r="D2469" s="4" t="s">
        <v>4568</v>
      </c>
      <c r="E2469" s="1" t="str">
        <f>_xlfn.XLOOKUP(tblSales[[#This Row],[Customer ID]],tblCustomers[Customer ID],tblCustomers[Customer Name],"⚠ Unknown")</f>
        <v>Walk-in Customer</v>
      </c>
      <c r="F2469" s="4" t="s">
        <v>6</v>
      </c>
      <c r="G2469" s="1" t="str">
        <f>_xlfn.XLOOKUP(tblSales[[#This Row],[Product Code]],tblProducts[Code],tblProducts[Product / Service Name],"⚠ Unknown")</f>
        <v>Socks &amp; Accessories</v>
      </c>
      <c r="H2469" s="1" t="str">
        <f>_xlfn.XLOOKUP(tblSales[[#This Row],[Product Code]],tblProducts[Code],tblProducts[Category],"")</f>
        <v>Accessories &amp; Basics</v>
      </c>
      <c r="I2469" s="4">
        <v>4</v>
      </c>
      <c r="J2469" s="5">
        <f>_xlfn.XLOOKUP(tblSales[[#This Row],[Product Code]],tblProducts[Code],tblProducts[Selling Price (excl. VAT)],0)</f>
        <v>45000</v>
      </c>
      <c r="K2469" s="5">
        <f>tblSales[[#This Row],[Qty]]*tblSales[[#This Row],[Unit Price]]</f>
        <v>180000</v>
      </c>
      <c r="L2469" s="5">
        <f>ROUND(tblSales[[#This Row],[DPP (excl. VAT)]]*VATEff,0)</f>
        <v>19800</v>
      </c>
      <c r="M2469" s="5">
        <f>tblSales[[#This Row],[DPP (excl. VAT)]]+tblSales[[#This Row],[Output VAT]]</f>
        <v>199800</v>
      </c>
      <c r="N2469" s="5">
        <f>tblSales[[#This Row],[Qty]]*_xlfn.XLOOKUP(tblSales[[#This Row],[Product Code]],tblProducts[Code],tblProducts[Unit Cost],0)</f>
        <v>96000</v>
      </c>
      <c r="O2469" s="4" t="s">
        <v>4866</v>
      </c>
      <c r="P2469" s="4" t="s">
        <v>4860</v>
      </c>
      <c r="Q2469" s="1" t="str">
        <f>_xlfn.XLOOKUP(tblSales[[#This Row],[Channel Code]],tblChannels[Channel Code],tblChannels[Channel Name],"")</f>
        <v>In-store</v>
      </c>
      <c r="R2469" s="1">
        <f>MONTH(tblSales[[#This Row],[Date]])</f>
        <v>5</v>
      </c>
    </row>
    <row r="2470" spans="2:18" x14ac:dyDescent="0.35">
      <c r="B2470" s="113">
        <v>46171</v>
      </c>
      <c r="C2470" s="4" t="s">
        <v>1650</v>
      </c>
      <c r="D2470" s="4" t="s">
        <v>4568</v>
      </c>
      <c r="E2470" s="1" t="str">
        <f>_xlfn.XLOOKUP(tblSales[[#This Row],[Customer ID]],tblCustomers[Customer ID],tblCustomers[Customer Name],"⚠ Unknown")</f>
        <v>Walk-in Customer</v>
      </c>
      <c r="F2470" s="4" t="s">
        <v>7</v>
      </c>
      <c r="G2470" s="1" t="str">
        <f>_xlfn.XLOOKUP(tblSales[[#This Row],[Product Code]],tblProducts[Code],tblProducts[Product / Service Name],"⚠ Unknown")</f>
        <v>Premium Basic T-shirt</v>
      </c>
      <c r="H2470" s="1" t="str">
        <f>_xlfn.XLOOKUP(tblSales[[#This Row],[Product Code]],tblProducts[Code],tblProducts[Category],"")</f>
        <v>Accessories &amp; Basics</v>
      </c>
      <c r="I2470" s="4">
        <v>8</v>
      </c>
      <c r="J2470" s="5">
        <f>_xlfn.XLOOKUP(tblSales[[#This Row],[Product Code]],tblProducts[Code],tblProducts[Selling Price (excl. VAT)],0)</f>
        <v>65000</v>
      </c>
      <c r="K2470" s="5">
        <f>tblSales[[#This Row],[Qty]]*tblSales[[#This Row],[Unit Price]]</f>
        <v>520000</v>
      </c>
      <c r="L2470" s="5">
        <f>ROUND(tblSales[[#This Row],[DPP (excl. VAT)]]*VATEff,0)</f>
        <v>57200</v>
      </c>
      <c r="M2470" s="5">
        <f>tblSales[[#This Row],[DPP (excl. VAT)]]+tblSales[[#This Row],[Output VAT]]</f>
        <v>577200</v>
      </c>
      <c r="N2470" s="5">
        <f>tblSales[[#This Row],[Qty]]*_xlfn.XLOOKUP(tblSales[[#This Row],[Product Code]],tblProducts[Code],tblProducts[Unit Cost],0)</f>
        <v>296000</v>
      </c>
      <c r="O2470" s="4" t="s">
        <v>4866</v>
      </c>
      <c r="P2470" s="4" t="s">
        <v>4860</v>
      </c>
      <c r="Q2470" s="1" t="str">
        <f>_xlfn.XLOOKUP(tblSales[[#This Row],[Channel Code]],tblChannels[Channel Code],tblChannels[Channel Name],"")</f>
        <v>In-store</v>
      </c>
      <c r="R2470" s="1">
        <f>MONTH(tblSales[[#This Row],[Date]])</f>
        <v>5</v>
      </c>
    </row>
    <row r="2471" spans="2:18" x14ac:dyDescent="0.35">
      <c r="B2471" s="113">
        <v>46171</v>
      </c>
      <c r="C2471" s="4" t="s">
        <v>1651</v>
      </c>
      <c r="D2471" s="4" t="s">
        <v>4568</v>
      </c>
      <c r="E2471" s="1" t="str">
        <f>_xlfn.XLOOKUP(tblSales[[#This Row],[Customer ID]],tblCustomers[Customer ID],tblCustomers[Customer Name],"⚠ Unknown")</f>
        <v>Walk-in Customer</v>
      </c>
      <c r="F2471" s="4" t="s">
        <v>12</v>
      </c>
      <c r="G2471" s="1" t="str">
        <f>_xlfn.XLOOKUP(tblSales[[#This Row],[Product Code]],tblProducts[Code],tblProducts[Product / Service Name],"⚠ Unknown")</f>
        <v>Bomber Jacket</v>
      </c>
      <c r="H2471" s="1" t="str">
        <f>_xlfn.XLOOKUP(tblSales[[#This Row],[Product Code]],tblProducts[Code],tblProducts[Category],"")</f>
        <v>Apparel &amp; Footwear</v>
      </c>
      <c r="I2471" s="4">
        <v>6</v>
      </c>
      <c r="J2471" s="5">
        <f>_xlfn.XLOOKUP(tblSales[[#This Row],[Product Code]],tblProducts[Code],tblProducts[Selling Price (excl. VAT)],0)</f>
        <v>350000</v>
      </c>
      <c r="K2471" s="5">
        <f>tblSales[[#This Row],[Qty]]*tblSales[[#This Row],[Unit Price]]</f>
        <v>2100000</v>
      </c>
      <c r="L2471" s="5">
        <f>ROUND(tblSales[[#This Row],[DPP (excl. VAT)]]*VATEff,0)</f>
        <v>231000</v>
      </c>
      <c r="M2471" s="5">
        <f>tblSales[[#This Row],[DPP (excl. VAT)]]+tblSales[[#This Row],[Output VAT]]</f>
        <v>2331000</v>
      </c>
      <c r="N2471" s="5">
        <f>tblSales[[#This Row],[Qty]]*_xlfn.XLOOKUP(tblSales[[#This Row],[Product Code]],tblProducts[Code],tblProducts[Unit Cost],0)</f>
        <v>1260000</v>
      </c>
      <c r="O2471" s="4" t="s">
        <v>4866</v>
      </c>
      <c r="P2471" s="4" t="s">
        <v>4861</v>
      </c>
      <c r="Q2471" s="1" t="str">
        <f>_xlfn.XLOOKUP(tblSales[[#This Row],[Channel Code]],tblChannels[Channel Code],tblChannels[Channel Name],"")</f>
        <v>Marketplace</v>
      </c>
      <c r="R2471" s="1">
        <f>MONTH(tblSales[[#This Row],[Date]])</f>
        <v>5</v>
      </c>
    </row>
    <row r="2472" spans="2:18" x14ac:dyDescent="0.35">
      <c r="B2472" s="113">
        <v>46171</v>
      </c>
      <c r="C2472" s="4" t="s">
        <v>1652</v>
      </c>
      <c r="D2472" s="4" t="s">
        <v>4568</v>
      </c>
      <c r="E2472" s="1" t="str">
        <f>_xlfn.XLOOKUP(tblSales[[#This Row],[Customer ID]],tblCustomers[Customer ID],tblCustomers[Customer Name],"⚠ Unknown")</f>
        <v>Walk-in Customer</v>
      </c>
      <c r="F2472" s="4" t="s">
        <v>9</v>
      </c>
      <c r="G2472" s="1" t="str">
        <f>_xlfn.XLOOKUP(tblSales[[#This Row],[Product Code]],tblProducts[Code],tblProducts[Product / Service Name],"⚠ Unknown")</f>
        <v>Casual Shirt</v>
      </c>
      <c r="H2472" s="1" t="str">
        <f>_xlfn.XLOOKUP(tblSales[[#This Row],[Product Code]],tblProducts[Code],tblProducts[Category],"")</f>
        <v>Apparel &amp; Footwear</v>
      </c>
      <c r="I2472" s="4">
        <v>5</v>
      </c>
      <c r="J2472" s="5">
        <f>_xlfn.XLOOKUP(tblSales[[#This Row],[Product Code]],tblProducts[Code],tblProducts[Selling Price (excl. VAT)],0)</f>
        <v>120000</v>
      </c>
      <c r="K2472" s="5">
        <f>tblSales[[#This Row],[Qty]]*tblSales[[#This Row],[Unit Price]]</f>
        <v>600000</v>
      </c>
      <c r="L2472" s="5">
        <f>ROUND(tblSales[[#This Row],[DPP (excl. VAT)]]*VATEff,0)</f>
        <v>66000</v>
      </c>
      <c r="M2472" s="5">
        <f>tblSales[[#This Row],[DPP (excl. VAT)]]+tblSales[[#This Row],[Output VAT]]</f>
        <v>666000</v>
      </c>
      <c r="N2472" s="5">
        <f>tblSales[[#This Row],[Qty]]*_xlfn.XLOOKUP(tblSales[[#This Row],[Product Code]],tblProducts[Code],tblProducts[Unit Cost],0)</f>
        <v>360000</v>
      </c>
      <c r="O2472" s="4" t="s">
        <v>4866</v>
      </c>
      <c r="P2472" s="4" t="s">
        <v>4862</v>
      </c>
      <c r="Q2472" s="1" t="str">
        <f>_xlfn.XLOOKUP(tblSales[[#This Row],[Channel Code]],tblChannels[Channel Code],tblChannels[Channel Name],"")</f>
        <v>Website &amp; Social Media</v>
      </c>
      <c r="R2472" s="1">
        <f>MONTH(tblSales[[#This Row],[Date]])</f>
        <v>5</v>
      </c>
    </row>
    <row r="2473" spans="2:18" x14ac:dyDescent="0.35">
      <c r="B2473" s="113">
        <v>46171</v>
      </c>
      <c r="C2473" s="4" t="s">
        <v>1653</v>
      </c>
      <c r="D2473" s="4" t="s">
        <v>4620</v>
      </c>
      <c r="E2473" s="1" t="str">
        <f>_xlfn.XLOOKUP(tblSales[[#This Row],[Customer ID]],tblCustomers[Customer ID],tblCustomers[Customer Name],"⚠ Unknown")</f>
        <v>CV Sumber Rejeki Utama</v>
      </c>
      <c r="F2473" s="4" t="s">
        <v>7</v>
      </c>
      <c r="G2473" s="1" t="str">
        <f>_xlfn.XLOOKUP(tblSales[[#This Row],[Product Code]],tblProducts[Code],tblProducts[Product / Service Name],"⚠ Unknown")</f>
        <v>Premium Basic T-shirt</v>
      </c>
      <c r="H2473" s="1" t="str">
        <f>_xlfn.XLOOKUP(tblSales[[#This Row],[Product Code]],tblProducts[Code],tblProducts[Category],"")</f>
        <v>Accessories &amp; Basics</v>
      </c>
      <c r="I2473" s="4">
        <v>40</v>
      </c>
      <c r="J2473" s="5">
        <f>_xlfn.XLOOKUP(tblSales[[#This Row],[Product Code]],tblProducts[Code],tblProducts[Selling Price (excl. VAT)],0)</f>
        <v>65000</v>
      </c>
      <c r="K2473" s="5">
        <f>tblSales[[#This Row],[Qty]]*tblSales[[#This Row],[Unit Price]]</f>
        <v>2600000</v>
      </c>
      <c r="L2473" s="5">
        <f>ROUND(tblSales[[#This Row],[DPP (excl. VAT)]]*VATEff,0)</f>
        <v>286000</v>
      </c>
      <c r="M2473" s="5">
        <f>tblSales[[#This Row],[DPP (excl. VAT)]]+tblSales[[#This Row],[Output VAT]]</f>
        <v>2886000</v>
      </c>
      <c r="N2473" s="5">
        <f>tblSales[[#This Row],[Qty]]*_xlfn.XLOOKUP(tblSales[[#This Row],[Product Code]],tblProducts[Code],tblProducts[Unit Cost],0)</f>
        <v>1480000</v>
      </c>
      <c r="O2473" s="4" t="s">
        <v>4867</v>
      </c>
      <c r="P2473" s="4" t="s">
        <v>4860</v>
      </c>
      <c r="Q2473" s="1" t="str">
        <f>_xlfn.XLOOKUP(tblSales[[#This Row],[Channel Code]],tblChannels[Channel Code],tblChannels[Channel Name],"")</f>
        <v>In-store</v>
      </c>
      <c r="R2473" s="1">
        <f>MONTH(tblSales[[#This Row],[Date]])</f>
        <v>5</v>
      </c>
    </row>
    <row r="2474" spans="2:18" x14ac:dyDescent="0.35">
      <c r="B2474" s="113">
        <v>46171</v>
      </c>
      <c r="C2474" s="4" t="s">
        <v>1654</v>
      </c>
      <c r="D2474" s="4" t="s">
        <v>4568</v>
      </c>
      <c r="E2474" s="1" t="str">
        <f>_xlfn.XLOOKUP(tblSales[[#This Row],[Customer ID]],tblCustomers[Customer ID],tblCustomers[Customer Name],"⚠ Unknown")</f>
        <v>Walk-in Customer</v>
      </c>
      <c r="F2474" s="4" t="s">
        <v>6</v>
      </c>
      <c r="G2474" s="1" t="str">
        <f>_xlfn.XLOOKUP(tblSales[[#This Row],[Product Code]],tblProducts[Code],tblProducts[Product / Service Name],"⚠ Unknown")</f>
        <v>Socks &amp; Accessories</v>
      </c>
      <c r="H2474" s="1" t="str">
        <f>_xlfn.XLOOKUP(tblSales[[#This Row],[Product Code]],tblProducts[Code],tblProducts[Category],"")</f>
        <v>Accessories &amp; Basics</v>
      </c>
      <c r="I2474" s="4">
        <v>3</v>
      </c>
      <c r="J2474" s="5">
        <f>_xlfn.XLOOKUP(tblSales[[#This Row],[Product Code]],tblProducts[Code],tblProducts[Selling Price (excl. VAT)],0)</f>
        <v>45000</v>
      </c>
      <c r="K2474" s="5">
        <f>tblSales[[#This Row],[Qty]]*tblSales[[#This Row],[Unit Price]]</f>
        <v>135000</v>
      </c>
      <c r="L2474" s="5">
        <f>ROUND(tblSales[[#This Row],[DPP (excl. VAT)]]*VATEff,0)</f>
        <v>14850</v>
      </c>
      <c r="M2474" s="5">
        <f>tblSales[[#This Row],[DPP (excl. VAT)]]+tblSales[[#This Row],[Output VAT]]</f>
        <v>149850</v>
      </c>
      <c r="N2474" s="5">
        <f>tblSales[[#This Row],[Qty]]*_xlfn.XLOOKUP(tblSales[[#This Row],[Product Code]],tblProducts[Code],tblProducts[Unit Cost],0)</f>
        <v>72000</v>
      </c>
      <c r="O2474" s="4" t="s">
        <v>4866</v>
      </c>
      <c r="P2474" s="4" t="s">
        <v>4860</v>
      </c>
      <c r="Q2474" s="1" t="str">
        <f>_xlfn.XLOOKUP(tblSales[[#This Row],[Channel Code]],tblChannels[Channel Code],tblChannels[Channel Name],"")</f>
        <v>In-store</v>
      </c>
      <c r="R2474" s="1">
        <f>MONTH(tblSales[[#This Row],[Date]])</f>
        <v>5</v>
      </c>
    </row>
    <row r="2475" spans="2:18" x14ac:dyDescent="0.35">
      <c r="B2475" s="113">
        <v>46171</v>
      </c>
      <c r="C2475" s="4" t="s">
        <v>1655</v>
      </c>
      <c r="D2475" s="4" t="s">
        <v>4568</v>
      </c>
      <c r="E2475" s="1" t="str">
        <f>_xlfn.XLOOKUP(tblSales[[#This Row],[Customer ID]],tblCustomers[Customer ID],tblCustomers[Customer Name],"⚠ Unknown")</f>
        <v>Walk-in Customer</v>
      </c>
      <c r="F2475" s="4" t="s">
        <v>6</v>
      </c>
      <c r="G2475" s="1" t="str">
        <f>_xlfn.XLOOKUP(tblSales[[#This Row],[Product Code]],tblProducts[Code],tblProducts[Product / Service Name],"⚠ Unknown")</f>
        <v>Socks &amp; Accessories</v>
      </c>
      <c r="H2475" s="1" t="str">
        <f>_xlfn.XLOOKUP(tblSales[[#This Row],[Product Code]],tblProducts[Code],tblProducts[Category],"")</f>
        <v>Accessories &amp; Basics</v>
      </c>
      <c r="I2475" s="4">
        <v>7</v>
      </c>
      <c r="J2475" s="5">
        <f>_xlfn.XLOOKUP(tblSales[[#This Row],[Product Code]],tblProducts[Code],tblProducts[Selling Price (excl. VAT)],0)</f>
        <v>45000</v>
      </c>
      <c r="K2475" s="5">
        <f>tblSales[[#This Row],[Qty]]*tblSales[[#This Row],[Unit Price]]</f>
        <v>315000</v>
      </c>
      <c r="L2475" s="5">
        <f>ROUND(tblSales[[#This Row],[DPP (excl. VAT)]]*VATEff,0)</f>
        <v>34650</v>
      </c>
      <c r="M2475" s="5">
        <f>tblSales[[#This Row],[DPP (excl. VAT)]]+tblSales[[#This Row],[Output VAT]]</f>
        <v>349650</v>
      </c>
      <c r="N2475" s="5">
        <f>tblSales[[#This Row],[Qty]]*_xlfn.XLOOKUP(tblSales[[#This Row],[Product Code]],tblProducts[Code],tblProducts[Unit Cost],0)</f>
        <v>168000</v>
      </c>
      <c r="O2475" s="4" t="s">
        <v>4865</v>
      </c>
      <c r="P2475" s="4" t="s">
        <v>4860</v>
      </c>
      <c r="Q2475" s="1" t="str">
        <f>_xlfn.XLOOKUP(tblSales[[#This Row],[Channel Code]],tblChannels[Channel Code],tblChannels[Channel Name],"")</f>
        <v>In-store</v>
      </c>
      <c r="R2475" s="1">
        <f>MONTH(tblSales[[#This Row],[Date]])</f>
        <v>5</v>
      </c>
    </row>
    <row r="2476" spans="2:18" x14ac:dyDescent="0.35">
      <c r="B2476" s="113">
        <v>46171</v>
      </c>
      <c r="C2476" s="4" t="s">
        <v>1656</v>
      </c>
      <c r="D2476" s="4" t="s">
        <v>4641</v>
      </c>
      <c r="E2476" s="1" t="str">
        <f>_xlfn.XLOOKUP(tblSales[[#This Row],[Customer ID]],tblCustomers[Customer ID],tblCustomers[Customer Name],"⚠ Unknown")</f>
        <v>PT Harmoni Pangan Lestari</v>
      </c>
      <c r="F2476" s="4" t="s">
        <v>15</v>
      </c>
      <c r="G2476" s="1" t="str">
        <f>_xlfn.XLOOKUP(tblSales[[#This Row],[Product Code]],tblProducts[Code],tblProducts[Product / Service Name],"⚠ Unknown")</f>
        <v>Wireless Earbuds Pro</v>
      </c>
      <c r="H2476" s="1" t="str">
        <f>_xlfn.XLOOKUP(tblSales[[#This Row],[Product Code]],tblProducts[Code],tblProducts[Category],"")</f>
        <v>Bags &amp; Gadgets</v>
      </c>
      <c r="I2476" s="4">
        <v>24</v>
      </c>
      <c r="J2476" s="5">
        <f>_xlfn.XLOOKUP(tblSales[[#This Row],[Product Code]],tblProducts[Code],tblProducts[Selling Price (excl. VAT)],0)</f>
        <v>1250000</v>
      </c>
      <c r="K2476" s="5">
        <f>tblSales[[#This Row],[Qty]]*tblSales[[#This Row],[Unit Price]]</f>
        <v>30000000</v>
      </c>
      <c r="L2476" s="5">
        <f>ROUND(tblSales[[#This Row],[DPP (excl. VAT)]]*VATEff,0)</f>
        <v>3300000</v>
      </c>
      <c r="M2476" s="5">
        <f>tblSales[[#This Row],[DPP (excl. VAT)]]+tblSales[[#This Row],[Output VAT]]</f>
        <v>33300000</v>
      </c>
      <c r="N2476" s="5">
        <f>tblSales[[#This Row],[Qty]]*_xlfn.XLOOKUP(tblSales[[#This Row],[Product Code]],tblProducts[Code],tblProducts[Unit Cost],0)</f>
        <v>19680000</v>
      </c>
      <c r="O2476" s="4" t="s">
        <v>4867</v>
      </c>
      <c r="P2476" s="4" t="s">
        <v>4860</v>
      </c>
      <c r="Q2476" s="1" t="str">
        <f>_xlfn.XLOOKUP(tblSales[[#This Row],[Channel Code]],tblChannels[Channel Code],tblChannels[Channel Name],"")</f>
        <v>In-store</v>
      </c>
      <c r="R2476" s="1">
        <f>MONTH(tblSales[[#This Row],[Date]])</f>
        <v>5</v>
      </c>
    </row>
    <row r="2477" spans="2:18" x14ac:dyDescent="0.35">
      <c r="B2477" s="113">
        <v>46171</v>
      </c>
      <c r="C2477" s="4" t="s">
        <v>1657</v>
      </c>
      <c r="D2477" s="4" t="s">
        <v>4568</v>
      </c>
      <c r="E2477" s="1" t="str">
        <f>_xlfn.XLOOKUP(tblSales[[#This Row],[Customer ID]],tblCustomers[Customer ID],tblCustomers[Customer Name],"⚠ Unknown")</f>
        <v>Walk-in Customer</v>
      </c>
      <c r="F2477" s="4" t="s">
        <v>10</v>
      </c>
      <c r="G2477" s="1" t="str">
        <f>_xlfn.XLOOKUP(tblSales[[#This Row],[Product Code]],tblProducts[Code],tblProducts[Product / Service Name],"⚠ Unknown")</f>
        <v>Chino Pants</v>
      </c>
      <c r="H2477" s="1" t="str">
        <f>_xlfn.XLOOKUP(tblSales[[#This Row],[Product Code]],tblProducts[Code],tblProducts[Category],"")</f>
        <v>Apparel &amp; Footwear</v>
      </c>
      <c r="I2477" s="4">
        <v>3</v>
      </c>
      <c r="J2477" s="5">
        <f>_xlfn.XLOOKUP(tblSales[[#This Row],[Product Code]],tblProducts[Code],tblProducts[Selling Price (excl. VAT)],0)</f>
        <v>150000</v>
      </c>
      <c r="K2477" s="5">
        <f>tblSales[[#This Row],[Qty]]*tblSales[[#This Row],[Unit Price]]</f>
        <v>450000</v>
      </c>
      <c r="L2477" s="5">
        <f>ROUND(tblSales[[#This Row],[DPP (excl. VAT)]]*VATEff,0)</f>
        <v>49500</v>
      </c>
      <c r="M2477" s="5">
        <f>tblSales[[#This Row],[DPP (excl. VAT)]]+tblSales[[#This Row],[Output VAT]]</f>
        <v>499500</v>
      </c>
      <c r="N2477" s="5">
        <f>tblSales[[#This Row],[Qty]]*_xlfn.XLOOKUP(tblSales[[#This Row],[Product Code]],tblProducts[Code],tblProducts[Unit Cost],0)</f>
        <v>264000</v>
      </c>
      <c r="O2477" s="4" t="s">
        <v>4866</v>
      </c>
      <c r="P2477" s="4" t="s">
        <v>4861</v>
      </c>
      <c r="Q2477" s="1" t="str">
        <f>_xlfn.XLOOKUP(tblSales[[#This Row],[Channel Code]],tblChannels[Channel Code],tblChannels[Channel Name],"")</f>
        <v>Marketplace</v>
      </c>
      <c r="R2477" s="1">
        <f>MONTH(tblSales[[#This Row],[Date]])</f>
        <v>5</v>
      </c>
    </row>
    <row r="2478" spans="2:18" x14ac:dyDescent="0.35">
      <c r="B2478" s="113">
        <v>46171</v>
      </c>
      <c r="C2478" s="4" t="s">
        <v>1658</v>
      </c>
      <c r="D2478" s="4" t="s">
        <v>4568</v>
      </c>
      <c r="E2478" s="1" t="str">
        <f>_xlfn.XLOOKUP(tblSales[[#This Row],[Customer ID]],tblCustomers[Customer ID],tblCustomers[Customer Name],"⚠ Unknown")</f>
        <v>Walk-in Customer</v>
      </c>
      <c r="F2478" s="4" t="s">
        <v>10</v>
      </c>
      <c r="G2478" s="1" t="str">
        <f>_xlfn.XLOOKUP(tblSales[[#This Row],[Product Code]],tblProducts[Code],tblProducts[Product / Service Name],"⚠ Unknown")</f>
        <v>Chino Pants</v>
      </c>
      <c r="H2478" s="1" t="str">
        <f>_xlfn.XLOOKUP(tblSales[[#This Row],[Product Code]],tblProducts[Code],tblProducts[Category],"")</f>
        <v>Apparel &amp; Footwear</v>
      </c>
      <c r="I2478" s="4">
        <v>6</v>
      </c>
      <c r="J2478" s="5">
        <f>_xlfn.XLOOKUP(tblSales[[#This Row],[Product Code]],tblProducts[Code],tblProducts[Selling Price (excl. VAT)],0)</f>
        <v>150000</v>
      </c>
      <c r="K2478" s="5">
        <f>tblSales[[#This Row],[Qty]]*tblSales[[#This Row],[Unit Price]]</f>
        <v>900000</v>
      </c>
      <c r="L2478" s="5">
        <f>ROUND(tblSales[[#This Row],[DPP (excl. VAT)]]*VATEff,0)</f>
        <v>99000</v>
      </c>
      <c r="M2478" s="5">
        <f>tblSales[[#This Row],[DPP (excl. VAT)]]+tblSales[[#This Row],[Output VAT]]</f>
        <v>999000</v>
      </c>
      <c r="N2478" s="5">
        <f>tblSales[[#This Row],[Qty]]*_xlfn.XLOOKUP(tblSales[[#This Row],[Product Code]],tblProducts[Code],tblProducts[Unit Cost],0)</f>
        <v>528000</v>
      </c>
      <c r="O2478" s="4" t="s">
        <v>4866</v>
      </c>
      <c r="P2478" s="4" t="s">
        <v>4862</v>
      </c>
      <c r="Q2478" s="1" t="str">
        <f>_xlfn.XLOOKUP(tblSales[[#This Row],[Channel Code]],tblChannels[Channel Code],tblChannels[Channel Name],"")</f>
        <v>Website &amp; Social Media</v>
      </c>
      <c r="R2478" s="1">
        <f>MONTH(tblSales[[#This Row],[Date]])</f>
        <v>5</v>
      </c>
    </row>
    <row r="2479" spans="2:18" x14ac:dyDescent="0.35">
      <c r="B2479" s="113">
        <v>46172</v>
      </c>
      <c r="C2479" s="4" t="s">
        <v>1659</v>
      </c>
      <c r="D2479" s="4" t="s">
        <v>4568</v>
      </c>
      <c r="E2479" s="1" t="str">
        <f>_xlfn.XLOOKUP(tblSales[[#This Row],[Customer ID]],tblCustomers[Customer ID],tblCustomers[Customer Name],"⚠ Unknown")</f>
        <v>Walk-in Customer</v>
      </c>
      <c r="F2479" s="4" t="s">
        <v>7</v>
      </c>
      <c r="G2479" s="1" t="str">
        <f>_xlfn.XLOOKUP(tblSales[[#This Row],[Product Code]],tblProducts[Code],tblProducts[Product / Service Name],"⚠ Unknown")</f>
        <v>Premium Basic T-shirt</v>
      </c>
      <c r="H2479" s="1" t="str">
        <f>_xlfn.XLOOKUP(tblSales[[#This Row],[Product Code]],tblProducts[Code],tblProducts[Category],"")</f>
        <v>Accessories &amp; Basics</v>
      </c>
      <c r="I2479" s="4">
        <v>6</v>
      </c>
      <c r="J2479" s="5">
        <f>_xlfn.XLOOKUP(tblSales[[#This Row],[Product Code]],tblProducts[Code],tblProducts[Selling Price (excl. VAT)],0)</f>
        <v>65000</v>
      </c>
      <c r="K2479" s="5">
        <f>tblSales[[#This Row],[Qty]]*tblSales[[#This Row],[Unit Price]]</f>
        <v>390000</v>
      </c>
      <c r="L2479" s="5">
        <f>ROUND(tblSales[[#This Row],[DPP (excl. VAT)]]*VATEff,0)</f>
        <v>42900</v>
      </c>
      <c r="M2479" s="5">
        <f>tblSales[[#This Row],[DPP (excl. VAT)]]+tblSales[[#This Row],[Output VAT]]</f>
        <v>432900</v>
      </c>
      <c r="N2479" s="5">
        <f>tblSales[[#This Row],[Qty]]*_xlfn.XLOOKUP(tblSales[[#This Row],[Product Code]],tblProducts[Code],tblProducts[Unit Cost],0)</f>
        <v>222000</v>
      </c>
      <c r="O2479" s="4" t="s">
        <v>4866</v>
      </c>
      <c r="P2479" s="4" t="s">
        <v>4860</v>
      </c>
      <c r="Q2479" s="1" t="str">
        <f>_xlfn.XLOOKUP(tblSales[[#This Row],[Channel Code]],tblChannels[Channel Code],tblChannels[Channel Name],"")</f>
        <v>In-store</v>
      </c>
      <c r="R2479" s="1">
        <f>MONTH(tblSales[[#This Row],[Date]])</f>
        <v>5</v>
      </c>
    </row>
    <row r="2480" spans="2:18" x14ac:dyDescent="0.35">
      <c r="B2480" s="113">
        <v>46172</v>
      </c>
      <c r="C2480" s="4" t="s">
        <v>1660</v>
      </c>
      <c r="D2480" s="4" t="s">
        <v>4568</v>
      </c>
      <c r="E2480" s="1" t="str">
        <f>_xlfn.XLOOKUP(tblSales[[#This Row],[Customer ID]],tblCustomers[Customer ID],tblCustomers[Customer Name],"⚠ Unknown")</f>
        <v>Walk-in Customer</v>
      </c>
      <c r="F2480" s="4" t="s">
        <v>12</v>
      </c>
      <c r="G2480" s="1" t="str">
        <f>_xlfn.XLOOKUP(tblSales[[#This Row],[Product Code]],tblProducts[Code],tblProducts[Product / Service Name],"⚠ Unknown")</f>
        <v>Bomber Jacket</v>
      </c>
      <c r="H2480" s="1" t="str">
        <f>_xlfn.XLOOKUP(tblSales[[#This Row],[Product Code]],tblProducts[Code],tblProducts[Category],"")</f>
        <v>Apparel &amp; Footwear</v>
      </c>
      <c r="I2480" s="4">
        <v>5</v>
      </c>
      <c r="J2480" s="5">
        <f>_xlfn.XLOOKUP(tblSales[[#This Row],[Product Code]],tblProducts[Code],tblProducts[Selling Price (excl. VAT)],0)</f>
        <v>350000</v>
      </c>
      <c r="K2480" s="5">
        <f>tblSales[[#This Row],[Qty]]*tblSales[[#This Row],[Unit Price]]</f>
        <v>1750000</v>
      </c>
      <c r="L2480" s="5">
        <f>ROUND(tblSales[[#This Row],[DPP (excl. VAT)]]*VATEff,0)</f>
        <v>192500</v>
      </c>
      <c r="M2480" s="5">
        <f>tblSales[[#This Row],[DPP (excl. VAT)]]+tblSales[[#This Row],[Output VAT]]</f>
        <v>1942500</v>
      </c>
      <c r="N2480" s="5">
        <f>tblSales[[#This Row],[Qty]]*_xlfn.XLOOKUP(tblSales[[#This Row],[Product Code]],tblProducts[Code],tblProducts[Unit Cost],0)</f>
        <v>1050000</v>
      </c>
      <c r="O2480" s="4" t="s">
        <v>4866</v>
      </c>
      <c r="P2480" s="4" t="s">
        <v>4862</v>
      </c>
      <c r="Q2480" s="1" t="str">
        <f>_xlfn.XLOOKUP(tblSales[[#This Row],[Channel Code]],tblChannels[Channel Code],tblChannels[Channel Name],"")</f>
        <v>Website &amp; Social Media</v>
      </c>
      <c r="R2480" s="1">
        <f>MONTH(tblSales[[#This Row],[Date]])</f>
        <v>5</v>
      </c>
    </row>
    <row r="2481" spans="2:18" x14ac:dyDescent="0.35">
      <c r="B2481" s="113">
        <v>46172</v>
      </c>
      <c r="C2481" s="4" t="s">
        <v>1661</v>
      </c>
      <c r="D2481" s="4" t="s">
        <v>4568</v>
      </c>
      <c r="E2481" s="1" t="str">
        <f>_xlfn.XLOOKUP(tblSales[[#This Row],[Customer ID]],tblCustomers[Customer ID],tblCustomers[Customer Name],"⚠ Unknown")</f>
        <v>Walk-in Customer</v>
      </c>
      <c r="F2481" s="4" t="s">
        <v>7</v>
      </c>
      <c r="G2481" s="1" t="str">
        <f>_xlfn.XLOOKUP(tblSales[[#This Row],[Product Code]],tblProducts[Code],tblProducts[Product / Service Name],"⚠ Unknown")</f>
        <v>Premium Basic T-shirt</v>
      </c>
      <c r="H2481" s="1" t="str">
        <f>_xlfn.XLOOKUP(tblSales[[#This Row],[Product Code]],tblProducts[Code],tblProducts[Category],"")</f>
        <v>Accessories &amp; Basics</v>
      </c>
      <c r="I2481" s="4">
        <v>9</v>
      </c>
      <c r="J2481" s="5">
        <f>_xlfn.XLOOKUP(tblSales[[#This Row],[Product Code]],tblProducts[Code],tblProducts[Selling Price (excl. VAT)],0)</f>
        <v>65000</v>
      </c>
      <c r="K2481" s="5">
        <f>tblSales[[#This Row],[Qty]]*tblSales[[#This Row],[Unit Price]]</f>
        <v>585000</v>
      </c>
      <c r="L2481" s="5">
        <f>ROUND(tblSales[[#This Row],[DPP (excl. VAT)]]*VATEff,0)</f>
        <v>64350</v>
      </c>
      <c r="M2481" s="5">
        <f>tblSales[[#This Row],[DPP (excl. VAT)]]+tblSales[[#This Row],[Output VAT]]</f>
        <v>649350</v>
      </c>
      <c r="N2481" s="5">
        <f>tblSales[[#This Row],[Qty]]*_xlfn.XLOOKUP(tblSales[[#This Row],[Product Code]],tblProducts[Code],tblProducts[Unit Cost],0)</f>
        <v>333000</v>
      </c>
      <c r="O2481" s="4" t="s">
        <v>4865</v>
      </c>
      <c r="P2481" s="4" t="s">
        <v>4860</v>
      </c>
      <c r="Q2481" s="1" t="str">
        <f>_xlfn.XLOOKUP(tblSales[[#This Row],[Channel Code]],tblChannels[Channel Code],tblChannels[Channel Name],"")</f>
        <v>In-store</v>
      </c>
      <c r="R2481" s="1">
        <f>MONTH(tblSales[[#This Row],[Date]])</f>
        <v>5</v>
      </c>
    </row>
    <row r="2482" spans="2:18" x14ac:dyDescent="0.35">
      <c r="B2482" s="113">
        <v>46172</v>
      </c>
      <c r="C2482" s="4" t="s">
        <v>1662</v>
      </c>
      <c r="D2482" s="4" t="s">
        <v>4568</v>
      </c>
      <c r="E2482" s="1" t="str">
        <f>_xlfn.XLOOKUP(tblSales[[#This Row],[Customer ID]],tblCustomers[Customer ID],tblCustomers[Customer Name],"⚠ Unknown")</f>
        <v>Walk-in Customer</v>
      </c>
      <c r="F2482" s="4" t="s">
        <v>10</v>
      </c>
      <c r="G2482" s="1" t="str">
        <f>_xlfn.XLOOKUP(tblSales[[#This Row],[Product Code]],tblProducts[Code],tblProducts[Product / Service Name],"⚠ Unknown")</f>
        <v>Chino Pants</v>
      </c>
      <c r="H2482" s="1" t="str">
        <f>_xlfn.XLOOKUP(tblSales[[#This Row],[Product Code]],tblProducts[Code],tblProducts[Category],"")</f>
        <v>Apparel &amp; Footwear</v>
      </c>
      <c r="I2482" s="4">
        <v>2</v>
      </c>
      <c r="J2482" s="5">
        <f>_xlfn.XLOOKUP(tblSales[[#This Row],[Product Code]],tblProducts[Code],tblProducts[Selling Price (excl. VAT)],0)</f>
        <v>150000</v>
      </c>
      <c r="K2482" s="5">
        <f>tblSales[[#This Row],[Qty]]*tblSales[[#This Row],[Unit Price]]</f>
        <v>300000</v>
      </c>
      <c r="L2482" s="5">
        <f>ROUND(tblSales[[#This Row],[DPP (excl. VAT)]]*VATEff,0)</f>
        <v>33000</v>
      </c>
      <c r="M2482" s="5">
        <f>tblSales[[#This Row],[DPP (excl. VAT)]]+tblSales[[#This Row],[Output VAT]]</f>
        <v>333000</v>
      </c>
      <c r="N2482" s="5">
        <f>tblSales[[#This Row],[Qty]]*_xlfn.XLOOKUP(tblSales[[#This Row],[Product Code]],tblProducts[Code],tblProducts[Unit Cost],0)</f>
        <v>176000</v>
      </c>
      <c r="O2482" s="4" t="s">
        <v>4866</v>
      </c>
      <c r="P2482" s="4" t="s">
        <v>4862</v>
      </c>
      <c r="Q2482" s="1" t="str">
        <f>_xlfn.XLOOKUP(tblSales[[#This Row],[Channel Code]],tblChannels[Channel Code],tblChannels[Channel Name],"")</f>
        <v>Website &amp; Social Media</v>
      </c>
      <c r="R2482" s="1">
        <f>MONTH(tblSales[[#This Row],[Date]])</f>
        <v>5</v>
      </c>
    </row>
    <row r="2483" spans="2:18" x14ac:dyDescent="0.35">
      <c r="B2483" s="113">
        <v>46172</v>
      </c>
      <c r="C2483" s="4" t="s">
        <v>1663</v>
      </c>
      <c r="D2483" s="4" t="s">
        <v>4568</v>
      </c>
      <c r="E2483" s="1" t="str">
        <f>_xlfn.XLOOKUP(tblSales[[#This Row],[Customer ID]],tblCustomers[Customer ID],tblCustomers[Customer Name],"⚠ Unknown")</f>
        <v>Walk-in Customer</v>
      </c>
      <c r="F2483" s="4" t="s">
        <v>11</v>
      </c>
      <c r="G2483" s="1" t="str">
        <f>_xlfn.XLOOKUP(tblSales[[#This Row],[Product Code]],tblProducts[Code],tblProducts[Product / Service Name],"⚠ Unknown")</f>
        <v>Sneakers</v>
      </c>
      <c r="H2483" s="1" t="str">
        <f>_xlfn.XLOOKUP(tblSales[[#This Row],[Product Code]],tblProducts[Code],tblProducts[Category],"")</f>
        <v>Apparel &amp; Footwear</v>
      </c>
      <c r="I2483" s="4">
        <v>2</v>
      </c>
      <c r="J2483" s="5">
        <f>_xlfn.XLOOKUP(tblSales[[#This Row],[Product Code]],tblProducts[Code],tblProducts[Selling Price (excl. VAT)],0)</f>
        <v>250000</v>
      </c>
      <c r="K2483" s="5">
        <f>tblSales[[#This Row],[Qty]]*tblSales[[#This Row],[Unit Price]]</f>
        <v>500000</v>
      </c>
      <c r="L2483" s="5">
        <f>ROUND(tblSales[[#This Row],[DPP (excl. VAT)]]*VATEff,0)</f>
        <v>55000</v>
      </c>
      <c r="M2483" s="5">
        <f>tblSales[[#This Row],[DPP (excl. VAT)]]+tblSales[[#This Row],[Output VAT]]</f>
        <v>555000</v>
      </c>
      <c r="N2483" s="5">
        <f>tblSales[[#This Row],[Qty]]*_xlfn.XLOOKUP(tblSales[[#This Row],[Product Code]],tblProducts[Code],tblProducts[Unit Cost],0)</f>
        <v>310000</v>
      </c>
      <c r="O2483" s="4" t="s">
        <v>4866</v>
      </c>
      <c r="P2483" s="4" t="s">
        <v>4862</v>
      </c>
      <c r="Q2483" s="1" t="str">
        <f>_xlfn.XLOOKUP(tblSales[[#This Row],[Channel Code]],tblChannels[Channel Code],tblChannels[Channel Name],"")</f>
        <v>Website &amp; Social Media</v>
      </c>
      <c r="R2483" s="1">
        <f>MONTH(tblSales[[#This Row],[Date]])</f>
        <v>5</v>
      </c>
    </row>
    <row r="2484" spans="2:18" x14ac:dyDescent="0.35">
      <c r="B2484" s="113">
        <v>46172</v>
      </c>
      <c r="C2484" s="4" t="s">
        <v>1663</v>
      </c>
      <c r="D2484" s="4" t="s">
        <v>4568</v>
      </c>
      <c r="E2484" s="1" t="str">
        <f>_xlfn.XLOOKUP(tblSales[[#This Row],[Customer ID]],tblCustomers[Customer ID],tblCustomers[Customer Name],"⚠ Unknown")</f>
        <v>Walk-in Customer</v>
      </c>
      <c r="F2484" s="4" t="s">
        <v>6</v>
      </c>
      <c r="G2484" s="1" t="str">
        <f>_xlfn.XLOOKUP(tblSales[[#This Row],[Product Code]],tblProducts[Code],tblProducts[Product / Service Name],"⚠ Unknown")</f>
        <v>Socks &amp; Accessories</v>
      </c>
      <c r="H2484" s="1" t="str">
        <f>_xlfn.XLOOKUP(tblSales[[#This Row],[Product Code]],tblProducts[Code],tblProducts[Category],"")</f>
        <v>Accessories &amp; Basics</v>
      </c>
      <c r="I2484" s="4">
        <v>2</v>
      </c>
      <c r="J2484" s="5">
        <f>_xlfn.XLOOKUP(tblSales[[#This Row],[Product Code]],tblProducts[Code],tblProducts[Selling Price (excl. VAT)],0)</f>
        <v>45000</v>
      </c>
      <c r="K2484" s="5">
        <f>tblSales[[#This Row],[Qty]]*tblSales[[#This Row],[Unit Price]]</f>
        <v>90000</v>
      </c>
      <c r="L2484" s="5">
        <f>ROUND(tblSales[[#This Row],[DPP (excl. VAT)]]*VATEff,0)</f>
        <v>9900</v>
      </c>
      <c r="M2484" s="5">
        <f>tblSales[[#This Row],[DPP (excl. VAT)]]+tblSales[[#This Row],[Output VAT]]</f>
        <v>99900</v>
      </c>
      <c r="N2484" s="5">
        <f>tblSales[[#This Row],[Qty]]*_xlfn.XLOOKUP(tblSales[[#This Row],[Product Code]],tblProducts[Code],tblProducts[Unit Cost],0)</f>
        <v>48000</v>
      </c>
      <c r="O2484" s="4" t="s">
        <v>4866</v>
      </c>
      <c r="P2484" s="4" t="s">
        <v>4862</v>
      </c>
      <c r="Q2484" s="1" t="str">
        <f>_xlfn.XLOOKUP(tblSales[[#This Row],[Channel Code]],tblChannels[Channel Code],tblChannels[Channel Name],"")</f>
        <v>Website &amp; Social Media</v>
      </c>
      <c r="R2484" s="1">
        <f>MONTH(tblSales[[#This Row],[Date]])</f>
        <v>5</v>
      </c>
    </row>
    <row r="2485" spans="2:18" x14ac:dyDescent="0.35">
      <c r="B2485" s="113">
        <v>46172</v>
      </c>
      <c r="C2485" s="4" t="s">
        <v>1664</v>
      </c>
      <c r="D2485" s="4" t="s">
        <v>4568</v>
      </c>
      <c r="E2485" s="1" t="str">
        <f>_xlfn.XLOOKUP(tblSales[[#This Row],[Customer ID]],tblCustomers[Customer ID],tblCustomers[Customer Name],"⚠ Unknown")</f>
        <v>Walk-in Customer</v>
      </c>
      <c r="F2485" s="4" t="s">
        <v>7</v>
      </c>
      <c r="G2485" s="1" t="str">
        <f>_xlfn.XLOOKUP(tblSales[[#This Row],[Product Code]],tblProducts[Code],tblProducts[Product / Service Name],"⚠ Unknown")</f>
        <v>Premium Basic T-shirt</v>
      </c>
      <c r="H2485" s="1" t="str">
        <f>_xlfn.XLOOKUP(tblSales[[#This Row],[Product Code]],tblProducts[Code],tblProducts[Category],"")</f>
        <v>Accessories &amp; Basics</v>
      </c>
      <c r="I2485" s="4">
        <v>5</v>
      </c>
      <c r="J2485" s="5">
        <f>_xlfn.XLOOKUP(tblSales[[#This Row],[Product Code]],tblProducts[Code],tblProducts[Selling Price (excl. VAT)],0)</f>
        <v>65000</v>
      </c>
      <c r="K2485" s="5">
        <f>tblSales[[#This Row],[Qty]]*tblSales[[#This Row],[Unit Price]]</f>
        <v>325000</v>
      </c>
      <c r="L2485" s="5">
        <f>ROUND(tblSales[[#This Row],[DPP (excl. VAT)]]*VATEff,0)</f>
        <v>35750</v>
      </c>
      <c r="M2485" s="5">
        <f>tblSales[[#This Row],[DPP (excl. VAT)]]+tblSales[[#This Row],[Output VAT]]</f>
        <v>360750</v>
      </c>
      <c r="N2485" s="5">
        <f>tblSales[[#This Row],[Qty]]*_xlfn.XLOOKUP(tblSales[[#This Row],[Product Code]],tblProducts[Code],tblProducts[Unit Cost],0)</f>
        <v>185000</v>
      </c>
      <c r="O2485" s="4" t="s">
        <v>4865</v>
      </c>
      <c r="P2485" s="4" t="s">
        <v>4860</v>
      </c>
      <c r="Q2485" s="1" t="str">
        <f>_xlfn.XLOOKUP(tblSales[[#This Row],[Channel Code]],tblChannels[Channel Code],tblChannels[Channel Name],"")</f>
        <v>In-store</v>
      </c>
      <c r="R2485" s="1">
        <f>MONTH(tblSales[[#This Row],[Date]])</f>
        <v>5</v>
      </c>
    </row>
    <row r="2486" spans="2:18" x14ac:dyDescent="0.35">
      <c r="B2486" s="113">
        <v>46172</v>
      </c>
      <c r="C2486" s="4" t="s">
        <v>1665</v>
      </c>
      <c r="D2486" s="4" t="s">
        <v>4568</v>
      </c>
      <c r="E2486" s="1" t="str">
        <f>_xlfn.XLOOKUP(tblSales[[#This Row],[Customer ID]],tblCustomers[Customer ID],tblCustomers[Customer Name],"⚠ Unknown")</f>
        <v>Walk-in Customer</v>
      </c>
      <c r="F2486" s="4" t="s">
        <v>7</v>
      </c>
      <c r="G2486" s="1" t="str">
        <f>_xlfn.XLOOKUP(tblSales[[#This Row],[Product Code]],tblProducts[Code],tblProducts[Product / Service Name],"⚠ Unknown")</f>
        <v>Premium Basic T-shirt</v>
      </c>
      <c r="H2486" s="1" t="str">
        <f>_xlfn.XLOOKUP(tblSales[[#This Row],[Product Code]],tblProducts[Code],tblProducts[Category],"")</f>
        <v>Accessories &amp; Basics</v>
      </c>
      <c r="I2486" s="4">
        <v>6</v>
      </c>
      <c r="J2486" s="5">
        <f>_xlfn.XLOOKUP(tblSales[[#This Row],[Product Code]],tblProducts[Code],tblProducts[Selling Price (excl. VAT)],0)</f>
        <v>65000</v>
      </c>
      <c r="K2486" s="5">
        <f>tblSales[[#This Row],[Qty]]*tblSales[[#This Row],[Unit Price]]</f>
        <v>390000</v>
      </c>
      <c r="L2486" s="5">
        <f>ROUND(tblSales[[#This Row],[DPP (excl. VAT)]]*VATEff,0)</f>
        <v>42900</v>
      </c>
      <c r="M2486" s="5">
        <f>tblSales[[#This Row],[DPP (excl. VAT)]]+tblSales[[#This Row],[Output VAT]]</f>
        <v>432900</v>
      </c>
      <c r="N2486" s="5">
        <f>tblSales[[#This Row],[Qty]]*_xlfn.XLOOKUP(tblSales[[#This Row],[Product Code]],tblProducts[Code],tblProducts[Unit Cost],0)</f>
        <v>222000</v>
      </c>
      <c r="O2486" s="4" t="s">
        <v>4866</v>
      </c>
      <c r="P2486" s="4" t="s">
        <v>4861</v>
      </c>
      <c r="Q2486" s="1" t="str">
        <f>_xlfn.XLOOKUP(tblSales[[#This Row],[Channel Code]],tblChannels[Channel Code],tblChannels[Channel Name],"")</f>
        <v>Marketplace</v>
      </c>
      <c r="R2486" s="1">
        <f>MONTH(tblSales[[#This Row],[Date]])</f>
        <v>5</v>
      </c>
    </row>
    <row r="2487" spans="2:18" x14ac:dyDescent="0.35">
      <c r="B2487" s="113">
        <v>46172</v>
      </c>
      <c r="C2487" s="4" t="s">
        <v>1666</v>
      </c>
      <c r="D2487" s="4" t="s">
        <v>4568</v>
      </c>
      <c r="E2487" s="1" t="str">
        <f>_xlfn.XLOOKUP(tblSales[[#This Row],[Customer ID]],tblCustomers[Customer ID],tblCustomers[Customer Name],"⚠ Unknown")</f>
        <v>Walk-in Customer</v>
      </c>
      <c r="F2487" s="4" t="s">
        <v>9</v>
      </c>
      <c r="G2487" s="1" t="str">
        <f>_xlfn.XLOOKUP(tblSales[[#This Row],[Product Code]],tblProducts[Code],tblProducts[Product / Service Name],"⚠ Unknown")</f>
        <v>Casual Shirt</v>
      </c>
      <c r="H2487" s="1" t="str">
        <f>_xlfn.XLOOKUP(tblSales[[#This Row],[Product Code]],tblProducts[Code],tblProducts[Category],"")</f>
        <v>Apparel &amp; Footwear</v>
      </c>
      <c r="I2487" s="4">
        <v>8</v>
      </c>
      <c r="J2487" s="5">
        <f>_xlfn.XLOOKUP(tblSales[[#This Row],[Product Code]],tblProducts[Code],tblProducts[Selling Price (excl. VAT)],0)</f>
        <v>120000</v>
      </c>
      <c r="K2487" s="5">
        <f>tblSales[[#This Row],[Qty]]*tblSales[[#This Row],[Unit Price]]</f>
        <v>960000</v>
      </c>
      <c r="L2487" s="5">
        <f>ROUND(tblSales[[#This Row],[DPP (excl. VAT)]]*VATEff,0)</f>
        <v>105600</v>
      </c>
      <c r="M2487" s="5">
        <f>tblSales[[#This Row],[DPP (excl. VAT)]]+tblSales[[#This Row],[Output VAT]]</f>
        <v>1065600</v>
      </c>
      <c r="N2487" s="5">
        <f>tblSales[[#This Row],[Qty]]*_xlfn.XLOOKUP(tblSales[[#This Row],[Product Code]],tblProducts[Code],tblProducts[Unit Cost],0)</f>
        <v>576000</v>
      </c>
      <c r="O2487" s="4" t="s">
        <v>4865</v>
      </c>
      <c r="P2487" s="4" t="s">
        <v>4860</v>
      </c>
      <c r="Q2487" s="1" t="str">
        <f>_xlfn.XLOOKUP(tblSales[[#This Row],[Channel Code]],tblChannels[Channel Code],tblChannels[Channel Name],"")</f>
        <v>In-store</v>
      </c>
      <c r="R2487" s="1">
        <f>MONTH(tblSales[[#This Row],[Date]])</f>
        <v>5</v>
      </c>
    </row>
    <row r="2488" spans="2:18" x14ac:dyDescent="0.35">
      <c r="B2488" s="113">
        <v>46172</v>
      </c>
      <c r="C2488" s="4" t="s">
        <v>1666</v>
      </c>
      <c r="D2488" s="4" t="s">
        <v>4568</v>
      </c>
      <c r="E2488" s="1" t="str">
        <f>_xlfn.XLOOKUP(tblSales[[#This Row],[Customer ID]],tblCustomers[Customer ID],tblCustomers[Customer Name],"⚠ Unknown")</f>
        <v>Walk-in Customer</v>
      </c>
      <c r="F2488" s="4" t="s">
        <v>10</v>
      </c>
      <c r="G2488" s="1" t="str">
        <f>_xlfn.XLOOKUP(tblSales[[#This Row],[Product Code]],tblProducts[Code],tblProducts[Product / Service Name],"⚠ Unknown")</f>
        <v>Chino Pants</v>
      </c>
      <c r="H2488" s="1" t="str">
        <f>_xlfn.XLOOKUP(tblSales[[#This Row],[Product Code]],tblProducts[Code],tblProducts[Category],"")</f>
        <v>Apparel &amp; Footwear</v>
      </c>
      <c r="I2488" s="4">
        <v>5</v>
      </c>
      <c r="J2488" s="5">
        <f>_xlfn.XLOOKUP(tblSales[[#This Row],[Product Code]],tblProducts[Code],tblProducts[Selling Price (excl. VAT)],0)</f>
        <v>150000</v>
      </c>
      <c r="K2488" s="5">
        <f>tblSales[[#This Row],[Qty]]*tblSales[[#This Row],[Unit Price]]</f>
        <v>750000</v>
      </c>
      <c r="L2488" s="5">
        <f>ROUND(tblSales[[#This Row],[DPP (excl. VAT)]]*VATEff,0)</f>
        <v>82500</v>
      </c>
      <c r="M2488" s="5">
        <f>tblSales[[#This Row],[DPP (excl. VAT)]]+tblSales[[#This Row],[Output VAT]]</f>
        <v>832500</v>
      </c>
      <c r="N2488" s="5">
        <f>tblSales[[#This Row],[Qty]]*_xlfn.XLOOKUP(tblSales[[#This Row],[Product Code]],tblProducts[Code],tblProducts[Unit Cost],0)</f>
        <v>440000</v>
      </c>
      <c r="O2488" s="4" t="s">
        <v>4865</v>
      </c>
      <c r="P2488" s="4" t="s">
        <v>4860</v>
      </c>
      <c r="Q2488" s="1" t="str">
        <f>_xlfn.XLOOKUP(tblSales[[#This Row],[Channel Code]],tblChannels[Channel Code],tblChannels[Channel Name],"")</f>
        <v>In-store</v>
      </c>
      <c r="R2488" s="1">
        <f>MONTH(tblSales[[#This Row],[Date]])</f>
        <v>5</v>
      </c>
    </row>
    <row r="2489" spans="2:18" x14ac:dyDescent="0.35">
      <c r="B2489" s="113">
        <v>46172</v>
      </c>
      <c r="C2489" s="4" t="s">
        <v>5264</v>
      </c>
      <c r="D2489" s="4" t="s">
        <v>4568</v>
      </c>
      <c r="E2489" s="1" t="str">
        <f>_xlfn.XLOOKUP(tblSales[[#This Row],[Customer ID]],tblCustomers[Customer ID],tblCustomers[Customer Name],"⚠ Unknown")</f>
        <v>Walk-in Customer</v>
      </c>
      <c r="F2489" s="4" t="s">
        <v>7</v>
      </c>
      <c r="G2489" s="1" t="str">
        <f>_xlfn.XLOOKUP(tblSales[[#This Row],[Product Code]],tblProducts[Code],tblProducts[Product / Service Name],"⚠ Unknown")</f>
        <v>Premium Basic T-shirt</v>
      </c>
      <c r="H2489" s="1" t="str">
        <f>_xlfn.XLOOKUP(tblSales[[#This Row],[Product Code]],tblProducts[Code],tblProducts[Category],"")</f>
        <v>Accessories &amp; Basics</v>
      </c>
      <c r="I2489" s="4">
        <v>2</v>
      </c>
      <c r="J2489" s="5">
        <f>_xlfn.XLOOKUP(tblSales[[#This Row],[Product Code]],tblProducts[Code],tblProducts[Selling Price (excl. VAT)],0)</f>
        <v>65000</v>
      </c>
      <c r="K2489" s="5">
        <f>tblSales[[#This Row],[Qty]]*tblSales[[#This Row],[Unit Price]]</f>
        <v>130000</v>
      </c>
      <c r="L2489" s="5">
        <f>ROUND(tblSales[[#This Row],[DPP (excl. VAT)]]*VATEff,0)</f>
        <v>14300</v>
      </c>
      <c r="M2489" s="5">
        <f>tblSales[[#This Row],[DPP (excl. VAT)]]+tblSales[[#This Row],[Output VAT]]</f>
        <v>144300</v>
      </c>
      <c r="N2489" s="5">
        <f>tblSales[[#This Row],[Qty]]*_xlfn.XLOOKUP(tblSales[[#This Row],[Product Code]],tblProducts[Code],tblProducts[Unit Cost],0)</f>
        <v>74000</v>
      </c>
      <c r="O2489" s="4" t="s">
        <v>4865</v>
      </c>
      <c r="P2489" s="4" t="s">
        <v>4860</v>
      </c>
      <c r="Q2489" s="1" t="str">
        <f>_xlfn.XLOOKUP(tblSales[[#This Row],[Channel Code]],tblChannels[Channel Code],tblChannels[Channel Name],"")</f>
        <v>In-store</v>
      </c>
      <c r="R2489" s="1">
        <f>MONTH(tblSales[[#This Row],[Date]])</f>
        <v>5</v>
      </c>
    </row>
    <row r="2490" spans="2:18" x14ac:dyDescent="0.35">
      <c r="B2490" s="113">
        <v>46172</v>
      </c>
      <c r="C2490" s="4" t="s">
        <v>5265</v>
      </c>
      <c r="D2490" s="4" t="s">
        <v>4568</v>
      </c>
      <c r="E2490" s="1" t="str">
        <f>_xlfn.XLOOKUP(tblSales[[#This Row],[Customer ID]],tblCustomers[Customer ID],tblCustomers[Customer Name],"⚠ Unknown")</f>
        <v>Walk-in Customer</v>
      </c>
      <c r="F2490" s="4" t="s">
        <v>8</v>
      </c>
      <c r="G2490" s="1" t="str">
        <f>_xlfn.XLOOKUP(tblSales[[#This Row],[Product Code]],tblProducts[Code],tblProducts[Product / Service Name],"⚠ Unknown")</f>
        <v>Casual Shorts</v>
      </c>
      <c r="H2490" s="1" t="str">
        <f>_xlfn.XLOOKUP(tblSales[[#This Row],[Product Code]],tblProducts[Code],tblProducts[Category],"")</f>
        <v>Accessories &amp; Basics</v>
      </c>
      <c r="I2490" s="4">
        <v>8</v>
      </c>
      <c r="J2490" s="5">
        <f>_xlfn.XLOOKUP(tblSales[[#This Row],[Product Code]],tblProducts[Code],tblProducts[Selling Price (excl. VAT)],0)</f>
        <v>85000</v>
      </c>
      <c r="K2490" s="5">
        <f>tblSales[[#This Row],[Qty]]*tblSales[[#This Row],[Unit Price]]</f>
        <v>680000</v>
      </c>
      <c r="L2490" s="5">
        <f>ROUND(tblSales[[#This Row],[DPP (excl. VAT)]]*VATEff,0)</f>
        <v>74800</v>
      </c>
      <c r="M2490" s="5">
        <f>tblSales[[#This Row],[DPP (excl. VAT)]]+tblSales[[#This Row],[Output VAT]]</f>
        <v>754800</v>
      </c>
      <c r="N2490" s="5">
        <f>tblSales[[#This Row],[Qty]]*_xlfn.XLOOKUP(tblSales[[#This Row],[Product Code]],tblProducts[Code],tblProducts[Unit Cost],0)</f>
        <v>400000</v>
      </c>
      <c r="O2490" s="4" t="s">
        <v>4866</v>
      </c>
      <c r="P2490" s="4" t="s">
        <v>4860</v>
      </c>
      <c r="Q2490" s="1" t="str">
        <f>_xlfn.XLOOKUP(tblSales[[#This Row],[Channel Code]],tblChannels[Channel Code],tblChannels[Channel Name],"")</f>
        <v>In-store</v>
      </c>
      <c r="R2490" s="1">
        <f>MONTH(tblSales[[#This Row],[Date]])</f>
        <v>5</v>
      </c>
    </row>
    <row r="2491" spans="2:18" x14ac:dyDescent="0.35">
      <c r="B2491" s="113">
        <v>46172</v>
      </c>
      <c r="C2491" s="4" t="s">
        <v>5265</v>
      </c>
      <c r="D2491" s="4" t="s">
        <v>4568</v>
      </c>
      <c r="E2491" s="1" t="str">
        <f>_xlfn.XLOOKUP(tblSales[[#This Row],[Customer ID]],tblCustomers[Customer ID],tblCustomers[Customer Name],"⚠ Unknown")</f>
        <v>Walk-in Customer</v>
      </c>
      <c r="F2491" s="4" t="s">
        <v>9</v>
      </c>
      <c r="G2491" s="1" t="str">
        <f>_xlfn.XLOOKUP(tblSales[[#This Row],[Product Code]],tblProducts[Code],tblProducts[Product / Service Name],"⚠ Unknown")</f>
        <v>Casual Shirt</v>
      </c>
      <c r="H2491" s="1" t="str">
        <f>_xlfn.XLOOKUP(tblSales[[#This Row],[Product Code]],tblProducts[Code],tblProducts[Category],"")</f>
        <v>Apparel &amp; Footwear</v>
      </c>
      <c r="I2491" s="4">
        <v>1</v>
      </c>
      <c r="J2491" s="5">
        <f>_xlfn.XLOOKUP(tblSales[[#This Row],[Product Code]],tblProducts[Code],tblProducts[Selling Price (excl. VAT)],0)</f>
        <v>120000</v>
      </c>
      <c r="K2491" s="5">
        <f>tblSales[[#This Row],[Qty]]*tblSales[[#This Row],[Unit Price]]</f>
        <v>120000</v>
      </c>
      <c r="L2491" s="5">
        <f>ROUND(tblSales[[#This Row],[DPP (excl. VAT)]]*VATEff,0)</f>
        <v>13200</v>
      </c>
      <c r="M2491" s="5">
        <f>tblSales[[#This Row],[DPP (excl. VAT)]]+tblSales[[#This Row],[Output VAT]]</f>
        <v>133200</v>
      </c>
      <c r="N2491" s="5">
        <f>tblSales[[#This Row],[Qty]]*_xlfn.XLOOKUP(tblSales[[#This Row],[Product Code]],tblProducts[Code],tblProducts[Unit Cost],0)</f>
        <v>72000</v>
      </c>
      <c r="O2491" s="4" t="s">
        <v>4866</v>
      </c>
      <c r="P2491" s="4" t="s">
        <v>4860</v>
      </c>
      <c r="Q2491" s="1" t="str">
        <f>_xlfn.XLOOKUP(tblSales[[#This Row],[Channel Code]],tblChannels[Channel Code],tblChannels[Channel Name],"")</f>
        <v>In-store</v>
      </c>
      <c r="R2491" s="1">
        <f>MONTH(tblSales[[#This Row],[Date]])</f>
        <v>5</v>
      </c>
    </row>
    <row r="2492" spans="2:18" x14ac:dyDescent="0.35">
      <c r="B2492" s="113">
        <v>46172</v>
      </c>
      <c r="C2492" s="4" t="s">
        <v>5266</v>
      </c>
      <c r="D2492" s="4" t="s">
        <v>4568</v>
      </c>
      <c r="E2492" s="1" t="str">
        <f>_xlfn.XLOOKUP(tblSales[[#This Row],[Customer ID]],tblCustomers[Customer ID],tblCustomers[Customer Name],"⚠ Unknown")</f>
        <v>Walk-in Customer</v>
      </c>
      <c r="F2492" s="4" t="s">
        <v>9</v>
      </c>
      <c r="G2492" s="1" t="str">
        <f>_xlfn.XLOOKUP(tblSales[[#This Row],[Product Code]],tblProducts[Code],tblProducts[Product / Service Name],"⚠ Unknown")</f>
        <v>Casual Shirt</v>
      </c>
      <c r="H2492" s="1" t="str">
        <f>_xlfn.XLOOKUP(tblSales[[#This Row],[Product Code]],tblProducts[Code],tblProducts[Category],"")</f>
        <v>Apparel &amp; Footwear</v>
      </c>
      <c r="I2492" s="4">
        <v>9</v>
      </c>
      <c r="J2492" s="5">
        <f>_xlfn.XLOOKUP(tblSales[[#This Row],[Product Code]],tblProducts[Code],tblProducts[Selling Price (excl. VAT)],0)</f>
        <v>120000</v>
      </c>
      <c r="K2492" s="5">
        <f>tblSales[[#This Row],[Qty]]*tblSales[[#This Row],[Unit Price]]</f>
        <v>1080000</v>
      </c>
      <c r="L2492" s="5">
        <f>ROUND(tblSales[[#This Row],[DPP (excl. VAT)]]*VATEff,0)</f>
        <v>118800</v>
      </c>
      <c r="M2492" s="5">
        <f>tblSales[[#This Row],[DPP (excl. VAT)]]+tblSales[[#This Row],[Output VAT]]</f>
        <v>1198800</v>
      </c>
      <c r="N2492" s="5">
        <f>tblSales[[#This Row],[Qty]]*_xlfn.XLOOKUP(tblSales[[#This Row],[Product Code]],tblProducts[Code],tblProducts[Unit Cost],0)</f>
        <v>648000</v>
      </c>
      <c r="O2492" s="4" t="s">
        <v>4865</v>
      </c>
      <c r="P2492" s="4" t="s">
        <v>4860</v>
      </c>
      <c r="Q2492" s="1" t="str">
        <f>_xlfn.XLOOKUP(tblSales[[#This Row],[Channel Code]],tblChannels[Channel Code],tblChannels[Channel Name],"")</f>
        <v>In-store</v>
      </c>
      <c r="R2492" s="1">
        <f>MONTH(tblSales[[#This Row],[Date]])</f>
        <v>5</v>
      </c>
    </row>
    <row r="2493" spans="2:18" x14ac:dyDescent="0.35">
      <c r="B2493" s="113">
        <v>46172</v>
      </c>
      <c r="C2493" s="4" t="s">
        <v>5267</v>
      </c>
      <c r="D2493" s="4" t="s">
        <v>4613</v>
      </c>
      <c r="E2493" s="1" t="str">
        <f>_xlfn.XLOOKUP(tblSales[[#This Row],[Customer ID]],tblCustomers[Customer ID],tblCustomers[Customer Name],"⚠ Unknown")</f>
        <v>PT Mega Prima Distribusi</v>
      </c>
      <c r="F2493" s="4" t="s">
        <v>10</v>
      </c>
      <c r="G2493" s="1" t="str">
        <f>_xlfn.XLOOKUP(tblSales[[#This Row],[Product Code]],tblProducts[Code],tblProducts[Product / Service Name],"⚠ Unknown")</f>
        <v>Chino Pants</v>
      </c>
      <c r="H2493" s="1" t="str">
        <f>_xlfn.XLOOKUP(tblSales[[#This Row],[Product Code]],tblProducts[Code],tblProducts[Category],"")</f>
        <v>Apparel &amp; Footwear</v>
      </c>
      <c r="I2493" s="4">
        <v>48</v>
      </c>
      <c r="J2493" s="5">
        <f>_xlfn.XLOOKUP(tblSales[[#This Row],[Product Code]],tblProducts[Code],tblProducts[Selling Price (excl. VAT)],0)</f>
        <v>150000</v>
      </c>
      <c r="K2493" s="5">
        <f>tblSales[[#This Row],[Qty]]*tblSales[[#This Row],[Unit Price]]</f>
        <v>7200000</v>
      </c>
      <c r="L2493" s="5">
        <f>ROUND(tblSales[[#This Row],[DPP (excl. VAT)]]*VATEff,0)</f>
        <v>792000</v>
      </c>
      <c r="M2493" s="5">
        <f>tblSales[[#This Row],[DPP (excl. VAT)]]+tblSales[[#This Row],[Output VAT]]</f>
        <v>7992000</v>
      </c>
      <c r="N2493" s="5">
        <f>tblSales[[#This Row],[Qty]]*_xlfn.XLOOKUP(tblSales[[#This Row],[Product Code]],tblProducts[Code],tblProducts[Unit Cost],0)</f>
        <v>4224000</v>
      </c>
      <c r="O2493" s="4" t="s">
        <v>4867</v>
      </c>
      <c r="P2493" s="4" t="s">
        <v>4862</v>
      </c>
      <c r="Q2493" s="1" t="str">
        <f>_xlfn.XLOOKUP(tblSales[[#This Row],[Channel Code]],tblChannels[Channel Code],tblChannels[Channel Name],"")</f>
        <v>Website &amp; Social Media</v>
      </c>
      <c r="R2493" s="1">
        <f>MONTH(tblSales[[#This Row],[Date]])</f>
        <v>5</v>
      </c>
    </row>
    <row r="2494" spans="2:18" x14ac:dyDescent="0.35">
      <c r="B2494" s="113">
        <v>46172</v>
      </c>
      <c r="C2494" s="4" t="s">
        <v>5267</v>
      </c>
      <c r="D2494" s="4" t="s">
        <v>4613</v>
      </c>
      <c r="E2494" s="1" t="str">
        <f>_xlfn.XLOOKUP(tblSales[[#This Row],[Customer ID]],tblCustomers[Customer ID],tblCustomers[Customer Name],"⚠ Unknown")</f>
        <v>PT Mega Prima Distribusi</v>
      </c>
      <c r="F2494" s="4" t="s">
        <v>9</v>
      </c>
      <c r="G2494" s="1" t="str">
        <f>_xlfn.XLOOKUP(tblSales[[#This Row],[Product Code]],tblProducts[Code],tblProducts[Product / Service Name],"⚠ Unknown")</f>
        <v>Casual Shirt</v>
      </c>
      <c r="H2494" s="1" t="str">
        <f>_xlfn.XLOOKUP(tblSales[[#This Row],[Product Code]],tblProducts[Code],tblProducts[Category],"")</f>
        <v>Apparel &amp; Footwear</v>
      </c>
      <c r="I2494" s="4">
        <v>32</v>
      </c>
      <c r="J2494" s="5">
        <f>_xlfn.XLOOKUP(tblSales[[#This Row],[Product Code]],tblProducts[Code],tblProducts[Selling Price (excl. VAT)],0)</f>
        <v>120000</v>
      </c>
      <c r="K2494" s="5">
        <f>tblSales[[#This Row],[Qty]]*tblSales[[#This Row],[Unit Price]]</f>
        <v>3840000</v>
      </c>
      <c r="L2494" s="5">
        <f>ROUND(tblSales[[#This Row],[DPP (excl. VAT)]]*VATEff,0)</f>
        <v>422400</v>
      </c>
      <c r="M2494" s="5">
        <f>tblSales[[#This Row],[DPP (excl. VAT)]]+tblSales[[#This Row],[Output VAT]]</f>
        <v>4262400</v>
      </c>
      <c r="N2494" s="5">
        <f>tblSales[[#This Row],[Qty]]*_xlfn.XLOOKUP(tblSales[[#This Row],[Product Code]],tblProducts[Code],tblProducts[Unit Cost],0)</f>
        <v>2304000</v>
      </c>
      <c r="O2494" s="4" t="s">
        <v>4867</v>
      </c>
      <c r="P2494" s="4" t="s">
        <v>4862</v>
      </c>
      <c r="Q2494" s="1" t="str">
        <f>_xlfn.XLOOKUP(tblSales[[#This Row],[Channel Code]],tblChannels[Channel Code],tblChannels[Channel Name],"")</f>
        <v>Website &amp; Social Media</v>
      </c>
      <c r="R2494" s="1">
        <f>MONTH(tblSales[[#This Row],[Date]])</f>
        <v>5</v>
      </c>
    </row>
    <row r="2495" spans="2:18" x14ac:dyDescent="0.35">
      <c r="B2495" s="113">
        <v>46172</v>
      </c>
      <c r="C2495" s="4" t="s">
        <v>5268</v>
      </c>
      <c r="D2495" s="4" t="s">
        <v>4568</v>
      </c>
      <c r="E2495" s="1" t="str">
        <f>_xlfn.XLOOKUP(tblSales[[#This Row],[Customer ID]],tblCustomers[Customer ID],tblCustomers[Customer Name],"⚠ Unknown")</f>
        <v>Walk-in Customer</v>
      </c>
      <c r="F2495" s="4" t="s">
        <v>9</v>
      </c>
      <c r="G2495" s="1" t="str">
        <f>_xlfn.XLOOKUP(tblSales[[#This Row],[Product Code]],tblProducts[Code],tblProducts[Product / Service Name],"⚠ Unknown")</f>
        <v>Casual Shirt</v>
      </c>
      <c r="H2495" s="1" t="str">
        <f>_xlfn.XLOOKUP(tblSales[[#This Row],[Product Code]],tblProducts[Code],tblProducts[Category],"")</f>
        <v>Apparel &amp; Footwear</v>
      </c>
      <c r="I2495" s="4">
        <v>8</v>
      </c>
      <c r="J2495" s="5">
        <f>_xlfn.XLOOKUP(tblSales[[#This Row],[Product Code]],tblProducts[Code],tblProducts[Selling Price (excl. VAT)],0)</f>
        <v>120000</v>
      </c>
      <c r="K2495" s="5">
        <f>tblSales[[#This Row],[Qty]]*tblSales[[#This Row],[Unit Price]]</f>
        <v>960000</v>
      </c>
      <c r="L2495" s="5">
        <f>ROUND(tblSales[[#This Row],[DPP (excl. VAT)]]*VATEff,0)</f>
        <v>105600</v>
      </c>
      <c r="M2495" s="5">
        <f>tblSales[[#This Row],[DPP (excl. VAT)]]+tblSales[[#This Row],[Output VAT]]</f>
        <v>1065600</v>
      </c>
      <c r="N2495" s="5">
        <f>tblSales[[#This Row],[Qty]]*_xlfn.XLOOKUP(tblSales[[#This Row],[Product Code]],tblProducts[Code],tblProducts[Unit Cost],0)</f>
        <v>576000</v>
      </c>
      <c r="O2495" s="4" t="s">
        <v>4866</v>
      </c>
      <c r="P2495" s="4" t="s">
        <v>4860</v>
      </c>
      <c r="Q2495" s="1" t="str">
        <f>_xlfn.XLOOKUP(tblSales[[#This Row],[Channel Code]],tblChannels[Channel Code],tblChannels[Channel Name],"")</f>
        <v>In-store</v>
      </c>
      <c r="R2495" s="1">
        <f>MONTH(tblSales[[#This Row],[Date]])</f>
        <v>5</v>
      </c>
    </row>
    <row r="2496" spans="2:18" x14ac:dyDescent="0.35">
      <c r="B2496" s="113">
        <v>46173</v>
      </c>
      <c r="C2496" s="4" t="s">
        <v>5269</v>
      </c>
      <c r="D2496" s="4" t="s">
        <v>4568</v>
      </c>
      <c r="E2496" s="1" t="str">
        <f>_xlfn.XLOOKUP(tblSales[[#This Row],[Customer ID]],tblCustomers[Customer ID],tblCustomers[Customer Name],"⚠ Unknown")</f>
        <v>Walk-in Customer</v>
      </c>
      <c r="F2496" s="4" t="s">
        <v>7</v>
      </c>
      <c r="G2496" s="1" t="str">
        <f>_xlfn.XLOOKUP(tblSales[[#This Row],[Product Code]],tblProducts[Code],tblProducts[Product / Service Name],"⚠ Unknown")</f>
        <v>Premium Basic T-shirt</v>
      </c>
      <c r="H2496" s="1" t="str">
        <f>_xlfn.XLOOKUP(tblSales[[#This Row],[Product Code]],tblProducts[Code],tblProducts[Category],"")</f>
        <v>Accessories &amp; Basics</v>
      </c>
      <c r="I2496" s="4">
        <v>3</v>
      </c>
      <c r="J2496" s="5">
        <f>_xlfn.XLOOKUP(tblSales[[#This Row],[Product Code]],tblProducts[Code],tblProducts[Selling Price (excl. VAT)],0)</f>
        <v>65000</v>
      </c>
      <c r="K2496" s="5">
        <f>tblSales[[#This Row],[Qty]]*tblSales[[#This Row],[Unit Price]]</f>
        <v>195000</v>
      </c>
      <c r="L2496" s="5">
        <f>ROUND(tblSales[[#This Row],[DPP (excl. VAT)]]*VATEff,0)</f>
        <v>21450</v>
      </c>
      <c r="M2496" s="5">
        <f>tblSales[[#This Row],[DPP (excl. VAT)]]+tblSales[[#This Row],[Output VAT]]</f>
        <v>216450</v>
      </c>
      <c r="N2496" s="5">
        <f>tblSales[[#This Row],[Qty]]*_xlfn.XLOOKUP(tblSales[[#This Row],[Product Code]],tblProducts[Code],tblProducts[Unit Cost],0)</f>
        <v>111000</v>
      </c>
      <c r="O2496" s="4" t="s">
        <v>4865</v>
      </c>
      <c r="P2496" s="4" t="s">
        <v>4860</v>
      </c>
      <c r="Q2496" s="1" t="str">
        <f>_xlfn.XLOOKUP(tblSales[[#This Row],[Channel Code]],tblChannels[Channel Code],tblChannels[Channel Name],"")</f>
        <v>In-store</v>
      </c>
      <c r="R2496" s="1">
        <f>MONTH(tblSales[[#This Row],[Date]])</f>
        <v>5</v>
      </c>
    </row>
    <row r="2497" spans="2:18" x14ac:dyDescent="0.35">
      <c r="B2497" s="113">
        <v>46173</v>
      </c>
      <c r="C2497" s="4" t="s">
        <v>5270</v>
      </c>
      <c r="D2497" s="4" t="s">
        <v>4568</v>
      </c>
      <c r="E2497" s="1" t="str">
        <f>_xlfn.XLOOKUP(tblSales[[#This Row],[Customer ID]],tblCustomers[Customer ID],tblCustomers[Customer Name],"⚠ Unknown")</f>
        <v>Walk-in Customer</v>
      </c>
      <c r="F2497" s="4" t="s">
        <v>10</v>
      </c>
      <c r="G2497" s="1" t="str">
        <f>_xlfn.XLOOKUP(tblSales[[#This Row],[Product Code]],tblProducts[Code],tblProducts[Product / Service Name],"⚠ Unknown")</f>
        <v>Chino Pants</v>
      </c>
      <c r="H2497" s="1" t="str">
        <f>_xlfn.XLOOKUP(tblSales[[#This Row],[Product Code]],tblProducts[Code],tblProducts[Category],"")</f>
        <v>Apparel &amp; Footwear</v>
      </c>
      <c r="I2497" s="4">
        <v>3</v>
      </c>
      <c r="J2497" s="5">
        <f>_xlfn.XLOOKUP(tblSales[[#This Row],[Product Code]],tblProducts[Code],tblProducts[Selling Price (excl. VAT)],0)</f>
        <v>150000</v>
      </c>
      <c r="K2497" s="5">
        <f>tblSales[[#This Row],[Qty]]*tblSales[[#This Row],[Unit Price]]</f>
        <v>450000</v>
      </c>
      <c r="L2497" s="5">
        <f>ROUND(tblSales[[#This Row],[DPP (excl. VAT)]]*VATEff,0)</f>
        <v>49500</v>
      </c>
      <c r="M2497" s="5">
        <f>tblSales[[#This Row],[DPP (excl. VAT)]]+tblSales[[#This Row],[Output VAT]]</f>
        <v>499500</v>
      </c>
      <c r="N2497" s="5">
        <f>tblSales[[#This Row],[Qty]]*_xlfn.XLOOKUP(tblSales[[#This Row],[Product Code]],tblProducts[Code],tblProducts[Unit Cost],0)</f>
        <v>264000</v>
      </c>
      <c r="O2497" s="4" t="s">
        <v>4866</v>
      </c>
      <c r="P2497" s="4" t="s">
        <v>4861</v>
      </c>
      <c r="Q2497" s="1" t="str">
        <f>_xlfn.XLOOKUP(tblSales[[#This Row],[Channel Code]],tblChannels[Channel Code],tblChannels[Channel Name],"")</f>
        <v>Marketplace</v>
      </c>
      <c r="R2497" s="1">
        <f>MONTH(tblSales[[#This Row],[Date]])</f>
        <v>5</v>
      </c>
    </row>
    <row r="2498" spans="2:18" x14ac:dyDescent="0.35">
      <c r="B2498" s="113">
        <v>46173</v>
      </c>
      <c r="C2498" s="4" t="s">
        <v>5271</v>
      </c>
      <c r="D2498" s="4" t="s">
        <v>4568</v>
      </c>
      <c r="E2498" s="1" t="str">
        <f>_xlfn.XLOOKUP(tblSales[[#This Row],[Customer ID]],tblCustomers[Customer ID],tblCustomers[Customer Name],"⚠ Unknown")</f>
        <v>Walk-in Customer</v>
      </c>
      <c r="F2498" s="4" t="s">
        <v>13</v>
      </c>
      <c r="G2498" s="1" t="str">
        <f>_xlfn.XLOOKUP(tblSales[[#This Row],[Product Code]],tblProducts[Code],tblProducts[Product / Service Name],"⚠ Unknown")</f>
        <v>Backpack</v>
      </c>
      <c r="H2498" s="1" t="str">
        <f>_xlfn.XLOOKUP(tblSales[[#This Row],[Product Code]],tblProducts[Code],tblProducts[Category],"")</f>
        <v>Bags &amp; Gadgets</v>
      </c>
      <c r="I2498" s="4">
        <v>4</v>
      </c>
      <c r="J2498" s="5">
        <f>_xlfn.XLOOKUP(tblSales[[#This Row],[Product Code]],tblProducts[Code],tblProducts[Selling Price (excl. VAT)],0)</f>
        <v>500000</v>
      </c>
      <c r="K2498" s="5">
        <f>tblSales[[#This Row],[Qty]]*tblSales[[#This Row],[Unit Price]]</f>
        <v>2000000</v>
      </c>
      <c r="L2498" s="5">
        <f>ROUND(tblSales[[#This Row],[DPP (excl. VAT)]]*VATEff,0)</f>
        <v>220000</v>
      </c>
      <c r="M2498" s="5">
        <f>tblSales[[#This Row],[DPP (excl. VAT)]]+tblSales[[#This Row],[Output VAT]]</f>
        <v>2220000</v>
      </c>
      <c r="N2498" s="5">
        <f>tblSales[[#This Row],[Qty]]*_xlfn.XLOOKUP(tblSales[[#This Row],[Product Code]],tblProducts[Code],tblProducts[Unit Cost],0)</f>
        <v>1160000</v>
      </c>
      <c r="O2498" s="4" t="s">
        <v>4866</v>
      </c>
      <c r="P2498" s="4" t="s">
        <v>4861</v>
      </c>
      <c r="Q2498" s="1" t="str">
        <f>_xlfn.XLOOKUP(tblSales[[#This Row],[Channel Code]],tblChannels[Channel Code],tblChannels[Channel Name],"")</f>
        <v>Marketplace</v>
      </c>
      <c r="R2498" s="1">
        <f>MONTH(tblSales[[#This Row],[Date]])</f>
        <v>5</v>
      </c>
    </row>
    <row r="2499" spans="2:18" x14ac:dyDescent="0.35">
      <c r="B2499" s="113">
        <v>46173</v>
      </c>
      <c r="C2499" s="4" t="s">
        <v>5272</v>
      </c>
      <c r="D2499" s="4" t="s">
        <v>4568</v>
      </c>
      <c r="E2499" s="1" t="str">
        <f>_xlfn.XLOOKUP(tblSales[[#This Row],[Customer ID]],tblCustomers[Customer ID],tblCustomers[Customer Name],"⚠ Unknown")</f>
        <v>Walk-in Customer</v>
      </c>
      <c r="F2499" s="4" t="s">
        <v>7</v>
      </c>
      <c r="G2499" s="1" t="str">
        <f>_xlfn.XLOOKUP(tblSales[[#This Row],[Product Code]],tblProducts[Code],tblProducts[Product / Service Name],"⚠ Unknown")</f>
        <v>Premium Basic T-shirt</v>
      </c>
      <c r="H2499" s="1" t="str">
        <f>_xlfn.XLOOKUP(tblSales[[#This Row],[Product Code]],tblProducts[Code],tblProducts[Category],"")</f>
        <v>Accessories &amp; Basics</v>
      </c>
      <c r="I2499" s="4">
        <v>1</v>
      </c>
      <c r="J2499" s="5">
        <f>_xlfn.XLOOKUP(tblSales[[#This Row],[Product Code]],tblProducts[Code],tblProducts[Selling Price (excl. VAT)],0)</f>
        <v>65000</v>
      </c>
      <c r="K2499" s="5">
        <f>tblSales[[#This Row],[Qty]]*tblSales[[#This Row],[Unit Price]]</f>
        <v>65000</v>
      </c>
      <c r="L2499" s="5">
        <f>ROUND(tblSales[[#This Row],[DPP (excl. VAT)]]*VATEff,0)</f>
        <v>7150</v>
      </c>
      <c r="M2499" s="5">
        <f>tblSales[[#This Row],[DPP (excl. VAT)]]+tblSales[[#This Row],[Output VAT]]</f>
        <v>72150</v>
      </c>
      <c r="N2499" s="5">
        <f>tblSales[[#This Row],[Qty]]*_xlfn.XLOOKUP(tblSales[[#This Row],[Product Code]],tblProducts[Code],tblProducts[Unit Cost],0)</f>
        <v>37000</v>
      </c>
      <c r="O2499" s="4" t="s">
        <v>4866</v>
      </c>
      <c r="P2499" s="4" t="s">
        <v>4861</v>
      </c>
      <c r="Q2499" s="1" t="str">
        <f>_xlfn.XLOOKUP(tblSales[[#This Row],[Channel Code]],tblChannels[Channel Code],tblChannels[Channel Name],"")</f>
        <v>Marketplace</v>
      </c>
      <c r="R2499" s="1">
        <f>MONTH(tblSales[[#This Row],[Date]])</f>
        <v>5</v>
      </c>
    </row>
    <row r="2500" spans="2:18" x14ac:dyDescent="0.35">
      <c r="B2500" s="113">
        <v>46173</v>
      </c>
      <c r="C2500" s="4" t="s">
        <v>5273</v>
      </c>
      <c r="D2500" s="4" t="s">
        <v>4593</v>
      </c>
      <c r="E2500" s="1" t="str">
        <f>_xlfn.XLOOKUP(tblSales[[#This Row],[Customer ID]],tblCustomers[Customer ID],tblCustomers[Customer Name],"⚠ Unknown")</f>
        <v>PT Graha Nusa Persada</v>
      </c>
      <c r="F2500" s="4" t="s">
        <v>8</v>
      </c>
      <c r="G2500" s="1" t="str">
        <f>_xlfn.XLOOKUP(tblSales[[#This Row],[Product Code]],tblProducts[Code],tblProducts[Product / Service Name],"⚠ Unknown")</f>
        <v>Casual Shorts</v>
      </c>
      <c r="H2500" s="1" t="str">
        <f>_xlfn.XLOOKUP(tblSales[[#This Row],[Product Code]],tblProducts[Code],tblProducts[Category],"")</f>
        <v>Accessories &amp; Basics</v>
      </c>
      <c r="I2500" s="4">
        <v>80</v>
      </c>
      <c r="J2500" s="5">
        <f>_xlfn.XLOOKUP(tblSales[[#This Row],[Product Code]],tblProducts[Code],tblProducts[Selling Price (excl. VAT)],0)</f>
        <v>85000</v>
      </c>
      <c r="K2500" s="5">
        <f>tblSales[[#This Row],[Qty]]*tblSales[[#This Row],[Unit Price]]</f>
        <v>6800000</v>
      </c>
      <c r="L2500" s="5">
        <f>ROUND(tblSales[[#This Row],[DPP (excl. VAT)]]*VATEff,0)</f>
        <v>748000</v>
      </c>
      <c r="M2500" s="5">
        <f>tblSales[[#This Row],[DPP (excl. VAT)]]+tblSales[[#This Row],[Output VAT]]</f>
        <v>7548000</v>
      </c>
      <c r="N2500" s="5">
        <f>tblSales[[#This Row],[Qty]]*_xlfn.XLOOKUP(tblSales[[#This Row],[Product Code]],tblProducts[Code],tblProducts[Unit Cost],0)</f>
        <v>4000000</v>
      </c>
      <c r="O2500" s="4" t="s">
        <v>4867</v>
      </c>
      <c r="P2500" s="4" t="s">
        <v>4860</v>
      </c>
      <c r="Q2500" s="1" t="str">
        <f>_xlfn.XLOOKUP(tblSales[[#This Row],[Channel Code]],tblChannels[Channel Code],tblChannels[Channel Name],"")</f>
        <v>In-store</v>
      </c>
      <c r="R2500" s="1">
        <f>MONTH(tblSales[[#This Row],[Date]])</f>
        <v>5</v>
      </c>
    </row>
    <row r="2501" spans="2:18" x14ac:dyDescent="0.35">
      <c r="B2501" s="113">
        <v>46173</v>
      </c>
      <c r="C2501" s="4" t="s">
        <v>5274</v>
      </c>
      <c r="D2501" s="4" t="s">
        <v>4568</v>
      </c>
      <c r="E2501" s="1" t="str">
        <f>_xlfn.XLOOKUP(tblSales[[#This Row],[Customer ID]],tblCustomers[Customer ID],tblCustomers[Customer Name],"⚠ Unknown")</f>
        <v>Walk-in Customer</v>
      </c>
      <c r="F2501" s="4" t="s">
        <v>9</v>
      </c>
      <c r="G2501" s="1" t="str">
        <f>_xlfn.XLOOKUP(tblSales[[#This Row],[Product Code]],tblProducts[Code],tblProducts[Product / Service Name],"⚠ Unknown")</f>
        <v>Casual Shirt</v>
      </c>
      <c r="H2501" s="1" t="str">
        <f>_xlfn.XLOOKUP(tblSales[[#This Row],[Product Code]],tblProducts[Code],tblProducts[Category],"")</f>
        <v>Apparel &amp; Footwear</v>
      </c>
      <c r="I2501" s="4">
        <v>4</v>
      </c>
      <c r="J2501" s="5">
        <f>_xlfn.XLOOKUP(tblSales[[#This Row],[Product Code]],tblProducts[Code],tblProducts[Selling Price (excl. VAT)],0)</f>
        <v>120000</v>
      </c>
      <c r="K2501" s="5">
        <f>tblSales[[#This Row],[Qty]]*tblSales[[#This Row],[Unit Price]]</f>
        <v>480000</v>
      </c>
      <c r="L2501" s="5">
        <f>ROUND(tblSales[[#This Row],[DPP (excl. VAT)]]*VATEff,0)</f>
        <v>52800</v>
      </c>
      <c r="M2501" s="5">
        <f>tblSales[[#This Row],[DPP (excl. VAT)]]+tblSales[[#This Row],[Output VAT]]</f>
        <v>532800</v>
      </c>
      <c r="N2501" s="5">
        <f>tblSales[[#This Row],[Qty]]*_xlfn.XLOOKUP(tblSales[[#This Row],[Product Code]],tblProducts[Code],tblProducts[Unit Cost],0)</f>
        <v>288000</v>
      </c>
      <c r="O2501" s="4" t="s">
        <v>4865</v>
      </c>
      <c r="P2501" s="4" t="s">
        <v>4860</v>
      </c>
      <c r="Q2501" s="1" t="str">
        <f>_xlfn.XLOOKUP(tblSales[[#This Row],[Channel Code]],tblChannels[Channel Code],tblChannels[Channel Name],"")</f>
        <v>In-store</v>
      </c>
      <c r="R2501" s="1">
        <f>MONTH(tblSales[[#This Row],[Date]])</f>
        <v>5</v>
      </c>
    </row>
    <row r="2502" spans="2:18" x14ac:dyDescent="0.35">
      <c r="B2502" s="113">
        <v>46173</v>
      </c>
      <c r="C2502" s="4" t="s">
        <v>5275</v>
      </c>
      <c r="D2502" s="4" t="s">
        <v>4578</v>
      </c>
      <c r="E2502" s="1" t="str">
        <f>_xlfn.XLOOKUP(tblSales[[#This Row],[Customer ID]],tblCustomers[Customer ID],tblCustomers[Customer Name],"⚠ Unknown")</f>
        <v>PT Bintang Timur Sejahtera</v>
      </c>
      <c r="F2502" s="4" t="s">
        <v>6</v>
      </c>
      <c r="G2502" s="1" t="str">
        <f>_xlfn.XLOOKUP(tblSales[[#This Row],[Product Code]],tblProducts[Code],tblProducts[Product / Service Name],"⚠ Unknown")</f>
        <v>Socks &amp; Accessories</v>
      </c>
      <c r="H2502" s="1" t="str">
        <f>_xlfn.XLOOKUP(tblSales[[#This Row],[Product Code]],tblProducts[Code],tblProducts[Category],"")</f>
        <v>Accessories &amp; Basics</v>
      </c>
      <c r="I2502" s="4">
        <v>72</v>
      </c>
      <c r="J2502" s="5">
        <f>_xlfn.XLOOKUP(tblSales[[#This Row],[Product Code]],tblProducts[Code],tblProducts[Selling Price (excl. VAT)],0)</f>
        <v>45000</v>
      </c>
      <c r="K2502" s="5">
        <f>tblSales[[#This Row],[Qty]]*tblSales[[#This Row],[Unit Price]]</f>
        <v>3240000</v>
      </c>
      <c r="L2502" s="5">
        <f>ROUND(tblSales[[#This Row],[DPP (excl. VAT)]]*VATEff,0)</f>
        <v>356400</v>
      </c>
      <c r="M2502" s="5">
        <f>tblSales[[#This Row],[DPP (excl. VAT)]]+tblSales[[#This Row],[Output VAT]]</f>
        <v>3596400</v>
      </c>
      <c r="N2502" s="5">
        <f>tblSales[[#This Row],[Qty]]*_xlfn.XLOOKUP(tblSales[[#This Row],[Product Code]],tblProducts[Code],tblProducts[Unit Cost],0)</f>
        <v>1728000</v>
      </c>
      <c r="O2502" s="4" t="s">
        <v>4867</v>
      </c>
      <c r="P2502" s="4" t="s">
        <v>4860</v>
      </c>
      <c r="Q2502" s="1" t="str">
        <f>_xlfn.XLOOKUP(tblSales[[#This Row],[Channel Code]],tblChannels[Channel Code],tblChannels[Channel Name],"")</f>
        <v>In-store</v>
      </c>
      <c r="R2502" s="1">
        <f>MONTH(tblSales[[#This Row],[Date]])</f>
        <v>5</v>
      </c>
    </row>
    <row r="2503" spans="2:18" x14ac:dyDescent="0.35">
      <c r="B2503" s="113">
        <v>46173</v>
      </c>
      <c r="C2503" s="4" t="s">
        <v>5275</v>
      </c>
      <c r="D2503" s="4" t="s">
        <v>4578</v>
      </c>
      <c r="E2503" s="1" t="str">
        <f>_xlfn.XLOOKUP(tblSales[[#This Row],[Customer ID]],tblCustomers[Customer ID],tblCustomers[Customer Name],"⚠ Unknown")</f>
        <v>PT Bintang Timur Sejahtera</v>
      </c>
      <c r="F2503" s="4" t="s">
        <v>15</v>
      </c>
      <c r="G2503" s="1" t="str">
        <f>_xlfn.XLOOKUP(tblSales[[#This Row],[Product Code]],tblProducts[Code],tblProducts[Product / Service Name],"⚠ Unknown")</f>
        <v>Wireless Earbuds Pro</v>
      </c>
      <c r="H2503" s="1" t="str">
        <f>_xlfn.XLOOKUP(tblSales[[#This Row],[Product Code]],tblProducts[Code],tblProducts[Category],"")</f>
        <v>Bags &amp; Gadgets</v>
      </c>
      <c r="I2503" s="4">
        <v>16</v>
      </c>
      <c r="J2503" s="5">
        <f>_xlfn.XLOOKUP(tblSales[[#This Row],[Product Code]],tblProducts[Code],tblProducts[Selling Price (excl. VAT)],0)</f>
        <v>1250000</v>
      </c>
      <c r="K2503" s="5">
        <f>tblSales[[#This Row],[Qty]]*tblSales[[#This Row],[Unit Price]]</f>
        <v>20000000</v>
      </c>
      <c r="L2503" s="5">
        <f>ROUND(tblSales[[#This Row],[DPP (excl. VAT)]]*VATEff,0)</f>
        <v>2200000</v>
      </c>
      <c r="M2503" s="5">
        <f>tblSales[[#This Row],[DPP (excl. VAT)]]+tblSales[[#This Row],[Output VAT]]</f>
        <v>22200000</v>
      </c>
      <c r="N2503" s="5">
        <f>tblSales[[#This Row],[Qty]]*_xlfn.XLOOKUP(tblSales[[#This Row],[Product Code]],tblProducts[Code],tblProducts[Unit Cost],0)</f>
        <v>13120000</v>
      </c>
      <c r="O2503" s="4" t="s">
        <v>4867</v>
      </c>
      <c r="P2503" s="4" t="s">
        <v>4860</v>
      </c>
      <c r="Q2503" s="1" t="str">
        <f>_xlfn.XLOOKUP(tblSales[[#This Row],[Channel Code]],tblChannels[Channel Code],tblChannels[Channel Name],"")</f>
        <v>In-store</v>
      </c>
      <c r="R2503" s="1">
        <f>MONTH(tblSales[[#This Row],[Date]])</f>
        <v>5</v>
      </c>
    </row>
    <row r="2504" spans="2:18" x14ac:dyDescent="0.35">
      <c r="B2504" s="113">
        <v>46173</v>
      </c>
      <c r="C2504" s="4" t="s">
        <v>5275</v>
      </c>
      <c r="D2504" s="4" t="s">
        <v>4578</v>
      </c>
      <c r="E2504" s="1" t="str">
        <f>_xlfn.XLOOKUP(tblSales[[#This Row],[Customer ID]],tblCustomers[Customer ID],tblCustomers[Customer Name],"⚠ Unknown")</f>
        <v>PT Bintang Timur Sejahtera</v>
      </c>
      <c r="F2504" s="4" t="s">
        <v>10</v>
      </c>
      <c r="G2504" s="1" t="str">
        <f>_xlfn.XLOOKUP(tblSales[[#This Row],[Product Code]],tblProducts[Code],tblProducts[Product / Service Name],"⚠ Unknown")</f>
        <v>Chino Pants</v>
      </c>
      <c r="H2504" s="1" t="str">
        <f>_xlfn.XLOOKUP(tblSales[[#This Row],[Product Code]],tblProducts[Code],tblProducts[Category],"")</f>
        <v>Apparel &amp; Footwear</v>
      </c>
      <c r="I2504" s="4">
        <v>40</v>
      </c>
      <c r="J2504" s="5">
        <f>_xlfn.XLOOKUP(tblSales[[#This Row],[Product Code]],tblProducts[Code],tblProducts[Selling Price (excl. VAT)],0)</f>
        <v>150000</v>
      </c>
      <c r="K2504" s="5">
        <f>tblSales[[#This Row],[Qty]]*tblSales[[#This Row],[Unit Price]]</f>
        <v>6000000</v>
      </c>
      <c r="L2504" s="5">
        <f>ROUND(tblSales[[#This Row],[DPP (excl. VAT)]]*VATEff,0)</f>
        <v>660000</v>
      </c>
      <c r="M2504" s="5">
        <f>tblSales[[#This Row],[DPP (excl. VAT)]]+tblSales[[#This Row],[Output VAT]]</f>
        <v>6660000</v>
      </c>
      <c r="N2504" s="5">
        <f>tblSales[[#This Row],[Qty]]*_xlfn.XLOOKUP(tblSales[[#This Row],[Product Code]],tblProducts[Code],tblProducts[Unit Cost],0)</f>
        <v>3520000</v>
      </c>
      <c r="O2504" s="4" t="s">
        <v>4867</v>
      </c>
      <c r="P2504" s="4" t="s">
        <v>4860</v>
      </c>
      <c r="Q2504" s="1" t="str">
        <f>_xlfn.XLOOKUP(tblSales[[#This Row],[Channel Code]],tblChannels[Channel Code],tblChannels[Channel Name],"")</f>
        <v>In-store</v>
      </c>
      <c r="R2504" s="1">
        <f>MONTH(tblSales[[#This Row],[Date]])</f>
        <v>5</v>
      </c>
    </row>
    <row r="2505" spans="2:18" x14ac:dyDescent="0.35">
      <c r="B2505" s="113">
        <v>46173</v>
      </c>
      <c r="C2505" s="4" t="s">
        <v>5276</v>
      </c>
      <c r="D2505" s="4" t="s">
        <v>4568</v>
      </c>
      <c r="E2505" s="1" t="str">
        <f>_xlfn.XLOOKUP(tblSales[[#This Row],[Customer ID]],tblCustomers[Customer ID],tblCustomers[Customer Name],"⚠ Unknown")</f>
        <v>Walk-in Customer</v>
      </c>
      <c r="F2505" s="4" t="s">
        <v>12</v>
      </c>
      <c r="G2505" s="1" t="str">
        <f>_xlfn.XLOOKUP(tblSales[[#This Row],[Product Code]],tblProducts[Code],tblProducts[Product / Service Name],"⚠ Unknown")</f>
        <v>Bomber Jacket</v>
      </c>
      <c r="H2505" s="1" t="str">
        <f>_xlfn.XLOOKUP(tblSales[[#This Row],[Product Code]],tblProducts[Code],tblProducts[Category],"")</f>
        <v>Apparel &amp; Footwear</v>
      </c>
      <c r="I2505" s="4">
        <v>4</v>
      </c>
      <c r="J2505" s="5">
        <f>_xlfn.XLOOKUP(tblSales[[#This Row],[Product Code]],tblProducts[Code],tblProducts[Selling Price (excl. VAT)],0)</f>
        <v>350000</v>
      </c>
      <c r="K2505" s="5">
        <f>tblSales[[#This Row],[Qty]]*tblSales[[#This Row],[Unit Price]]</f>
        <v>1400000</v>
      </c>
      <c r="L2505" s="5">
        <f>ROUND(tblSales[[#This Row],[DPP (excl. VAT)]]*VATEff,0)</f>
        <v>154000</v>
      </c>
      <c r="M2505" s="5">
        <f>tblSales[[#This Row],[DPP (excl. VAT)]]+tblSales[[#This Row],[Output VAT]]</f>
        <v>1554000</v>
      </c>
      <c r="N2505" s="5">
        <f>tblSales[[#This Row],[Qty]]*_xlfn.XLOOKUP(tblSales[[#This Row],[Product Code]],tblProducts[Code],tblProducts[Unit Cost],0)</f>
        <v>840000</v>
      </c>
      <c r="O2505" s="4" t="s">
        <v>4865</v>
      </c>
      <c r="P2505" s="4" t="s">
        <v>4860</v>
      </c>
      <c r="Q2505" s="1" t="str">
        <f>_xlfn.XLOOKUP(tblSales[[#This Row],[Channel Code]],tblChannels[Channel Code],tblChannels[Channel Name],"")</f>
        <v>In-store</v>
      </c>
      <c r="R2505" s="1">
        <f>MONTH(tblSales[[#This Row],[Date]])</f>
        <v>5</v>
      </c>
    </row>
    <row r="2506" spans="2:18" x14ac:dyDescent="0.35">
      <c r="B2506" s="113">
        <v>46173</v>
      </c>
      <c r="C2506" s="4" t="s">
        <v>5277</v>
      </c>
      <c r="D2506" s="4" t="s">
        <v>4568</v>
      </c>
      <c r="E2506" s="1" t="str">
        <f>_xlfn.XLOOKUP(tblSales[[#This Row],[Customer ID]],tblCustomers[Customer ID],tblCustomers[Customer Name],"⚠ Unknown")</f>
        <v>Walk-in Customer</v>
      </c>
      <c r="F2506" s="4" t="s">
        <v>11</v>
      </c>
      <c r="G2506" s="1" t="str">
        <f>_xlfn.XLOOKUP(tblSales[[#This Row],[Product Code]],tblProducts[Code],tblProducts[Product / Service Name],"⚠ Unknown")</f>
        <v>Sneakers</v>
      </c>
      <c r="H2506" s="1" t="str">
        <f>_xlfn.XLOOKUP(tblSales[[#This Row],[Product Code]],tblProducts[Code],tblProducts[Category],"")</f>
        <v>Apparel &amp; Footwear</v>
      </c>
      <c r="I2506" s="4">
        <v>6</v>
      </c>
      <c r="J2506" s="5">
        <f>_xlfn.XLOOKUP(tblSales[[#This Row],[Product Code]],tblProducts[Code],tblProducts[Selling Price (excl. VAT)],0)</f>
        <v>250000</v>
      </c>
      <c r="K2506" s="5">
        <f>tblSales[[#This Row],[Qty]]*tblSales[[#This Row],[Unit Price]]</f>
        <v>1500000</v>
      </c>
      <c r="L2506" s="5">
        <f>ROUND(tblSales[[#This Row],[DPP (excl. VAT)]]*VATEff,0)</f>
        <v>165000</v>
      </c>
      <c r="M2506" s="5">
        <f>tblSales[[#This Row],[DPP (excl. VAT)]]+tblSales[[#This Row],[Output VAT]]</f>
        <v>1665000</v>
      </c>
      <c r="N2506" s="5">
        <f>tblSales[[#This Row],[Qty]]*_xlfn.XLOOKUP(tblSales[[#This Row],[Product Code]],tblProducts[Code],tblProducts[Unit Cost],0)</f>
        <v>930000</v>
      </c>
      <c r="O2506" s="4" t="s">
        <v>4865</v>
      </c>
      <c r="P2506" s="4" t="s">
        <v>4860</v>
      </c>
      <c r="Q2506" s="1" t="str">
        <f>_xlfn.XLOOKUP(tblSales[[#This Row],[Channel Code]],tblChannels[Channel Code],tblChannels[Channel Name],"")</f>
        <v>In-store</v>
      </c>
      <c r="R2506" s="1">
        <f>MONTH(tblSales[[#This Row],[Date]])</f>
        <v>5</v>
      </c>
    </row>
    <row r="2507" spans="2:18" x14ac:dyDescent="0.35">
      <c r="B2507" s="113">
        <v>46173</v>
      </c>
      <c r="C2507" s="4" t="s">
        <v>5278</v>
      </c>
      <c r="D2507" s="4" t="s">
        <v>4627</v>
      </c>
      <c r="E2507" s="1" t="str">
        <f>_xlfn.XLOOKUP(tblSales[[#This Row],[Customer ID]],tblCustomers[Customer ID],tblCustomers[Customer Name],"⚠ Unknown")</f>
        <v>PT Kencana Wira Usaha</v>
      </c>
      <c r="F2507" s="4" t="s">
        <v>10</v>
      </c>
      <c r="G2507" s="1" t="str">
        <f>_xlfn.XLOOKUP(tblSales[[#This Row],[Product Code]],tblProducts[Code],tblProducts[Product / Service Name],"⚠ Unknown")</f>
        <v>Chino Pants</v>
      </c>
      <c r="H2507" s="1" t="str">
        <f>_xlfn.XLOOKUP(tblSales[[#This Row],[Product Code]],tblProducts[Code],tblProducts[Category],"")</f>
        <v>Apparel &amp; Footwear</v>
      </c>
      <c r="I2507" s="4">
        <v>88</v>
      </c>
      <c r="J2507" s="5">
        <f>_xlfn.XLOOKUP(tblSales[[#This Row],[Product Code]],tblProducts[Code],tblProducts[Selling Price (excl. VAT)],0)</f>
        <v>150000</v>
      </c>
      <c r="K2507" s="5">
        <f>tblSales[[#This Row],[Qty]]*tblSales[[#This Row],[Unit Price]]</f>
        <v>13200000</v>
      </c>
      <c r="L2507" s="5">
        <f>ROUND(tblSales[[#This Row],[DPP (excl. VAT)]]*VATEff,0)</f>
        <v>1452000</v>
      </c>
      <c r="M2507" s="5">
        <f>tblSales[[#This Row],[DPP (excl. VAT)]]+tblSales[[#This Row],[Output VAT]]</f>
        <v>14652000</v>
      </c>
      <c r="N2507" s="5">
        <f>tblSales[[#This Row],[Qty]]*_xlfn.XLOOKUP(tblSales[[#This Row],[Product Code]],tblProducts[Code],tblProducts[Unit Cost],0)</f>
        <v>7744000</v>
      </c>
      <c r="O2507" s="4" t="s">
        <v>4867</v>
      </c>
      <c r="P2507" s="4" t="s">
        <v>4862</v>
      </c>
      <c r="Q2507" s="1" t="str">
        <f>_xlfn.XLOOKUP(tblSales[[#This Row],[Channel Code]],tblChannels[Channel Code],tblChannels[Channel Name],"")</f>
        <v>Website &amp; Social Media</v>
      </c>
      <c r="R2507" s="1">
        <f>MONTH(tblSales[[#This Row],[Date]])</f>
        <v>5</v>
      </c>
    </row>
    <row r="2508" spans="2:18" x14ac:dyDescent="0.35">
      <c r="B2508" s="113">
        <v>46173</v>
      </c>
      <c r="C2508" s="4" t="s">
        <v>5279</v>
      </c>
      <c r="D2508" s="4" t="s">
        <v>4606</v>
      </c>
      <c r="E2508" s="1" t="str">
        <f>_xlfn.XLOOKUP(tblSales[[#This Row],[Customer ID]],tblCustomers[Customer ID],tblCustomers[Customer Name],"⚠ Unknown")</f>
        <v>PT Arunika Digital Kreatif</v>
      </c>
      <c r="F2508" s="4" t="s">
        <v>6</v>
      </c>
      <c r="G2508" s="1" t="str">
        <f>_xlfn.XLOOKUP(tblSales[[#This Row],[Product Code]],tblProducts[Code],tblProducts[Product / Service Name],"⚠ Unknown")</f>
        <v>Socks &amp; Accessories</v>
      </c>
      <c r="H2508" s="1" t="str">
        <f>_xlfn.XLOOKUP(tblSales[[#This Row],[Product Code]],tblProducts[Code],tblProducts[Category],"")</f>
        <v>Accessories &amp; Basics</v>
      </c>
      <c r="I2508" s="4">
        <v>8</v>
      </c>
      <c r="J2508" s="5">
        <f>_xlfn.XLOOKUP(tblSales[[#This Row],[Product Code]],tblProducts[Code],tblProducts[Selling Price (excl. VAT)],0)</f>
        <v>45000</v>
      </c>
      <c r="K2508" s="5">
        <f>tblSales[[#This Row],[Qty]]*tblSales[[#This Row],[Unit Price]]</f>
        <v>360000</v>
      </c>
      <c r="L2508" s="5">
        <f>ROUND(tblSales[[#This Row],[DPP (excl. VAT)]]*VATEff,0)</f>
        <v>39600</v>
      </c>
      <c r="M2508" s="5">
        <f>tblSales[[#This Row],[DPP (excl. VAT)]]+tblSales[[#This Row],[Output VAT]]</f>
        <v>399600</v>
      </c>
      <c r="N2508" s="5">
        <f>tblSales[[#This Row],[Qty]]*_xlfn.XLOOKUP(tblSales[[#This Row],[Product Code]],tblProducts[Code],tblProducts[Unit Cost],0)</f>
        <v>192000</v>
      </c>
      <c r="O2508" s="4" t="s">
        <v>4867</v>
      </c>
      <c r="P2508" s="4" t="s">
        <v>4860</v>
      </c>
      <c r="Q2508" s="1" t="str">
        <f>_xlfn.XLOOKUP(tblSales[[#This Row],[Channel Code]],tblChannels[Channel Code],tblChannels[Channel Name],"")</f>
        <v>In-store</v>
      </c>
      <c r="R2508" s="1">
        <f>MONTH(tblSales[[#This Row],[Date]])</f>
        <v>5</v>
      </c>
    </row>
    <row r="2509" spans="2:18" x14ac:dyDescent="0.35">
      <c r="B2509" s="113">
        <v>46173</v>
      </c>
      <c r="C2509" s="4" t="s">
        <v>5279</v>
      </c>
      <c r="D2509" s="4" t="s">
        <v>4606</v>
      </c>
      <c r="E2509" s="1" t="str">
        <f>_xlfn.XLOOKUP(tblSales[[#This Row],[Customer ID]],tblCustomers[Customer ID],tblCustomers[Customer Name],"⚠ Unknown")</f>
        <v>PT Arunika Digital Kreatif</v>
      </c>
      <c r="F2509" s="4" t="s">
        <v>8</v>
      </c>
      <c r="G2509" s="1" t="str">
        <f>_xlfn.XLOOKUP(tblSales[[#This Row],[Product Code]],tblProducts[Code],tblProducts[Product / Service Name],"⚠ Unknown")</f>
        <v>Casual Shorts</v>
      </c>
      <c r="H2509" s="1" t="str">
        <f>_xlfn.XLOOKUP(tblSales[[#This Row],[Product Code]],tblProducts[Code],tblProducts[Category],"")</f>
        <v>Accessories &amp; Basics</v>
      </c>
      <c r="I2509" s="4">
        <v>88</v>
      </c>
      <c r="J2509" s="5">
        <f>_xlfn.XLOOKUP(tblSales[[#This Row],[Product Code]],tblProducts[Code],tblProducts[Selling Price (excl. VAT)],0)</f>
        <v>85000</v>
      </c>
      <c r="K2509" s="5">
        <f>tblSales[[#This Row],[Qty]]*tblSales[[#This Row],[Unit Price]]</f>
        <v>7480000</v>
      </c>
      <c r="L2509" s="5">
        <f>ROUND(tblSales[[#This Row],[DPP (excl. VAT)]]*VATEff,0)</f>
        <v>822800</v>
      </c>
      <c r="M2509" s="5">
        <f>tblSales[[#This Row],[DPP (excl. VAT)]]+tblSales[[#This Row],[Output VAT]]</f>
        <v>8302800</v>
      </c>
      <c r="N2509" s="5">
        <f>tblSales[[#This Row],[Qty]]*_xlfn.XLOOKUP(tblSales[[#This Row],[Product Code]],tblProducts[Code],tblProducts[Unit Cost],0)</f>
        <v>4400000</v>
      </c>
      <c r="O2509" s="4" t="s">
        <v>4867</v>
      </c>
      <c r="P2509" s="4" t="s">
        <v>4860</v>
      </c>
      <c r="Q2509" s="1" t="str">
        <f>_xlfn.XLOOKUP(tblSales[[#This Row],[Channel Code]],tblChannels[Channel Code],tblChannels[Channel Name],"")</f>
        <v>In-store</v>
      </c>
      <c r="R2509" s="1">
        <f>MONTH(tblSales[[#This Row],[Date]])</f>
        <v>5</v>
      </c>
    </row>
    <row r="2510" spans="2:18" x14ac:dyDescent="0.35">
      <c r="B2510" s="113">
        <v>46173</v>
      </c>
      <c r="C2510" s="4" t="s">
        <v>5280</v>
      </c>
      <c r="D2510" s="4" t="s">
        <v>4568</v>
      </c>
      <c r="E2510" s="1" t="str">
        <f>_xlfn.XLOOKUP(tblSales[[#This Row],[Customer ID]],tblCustomers[Customer ID],tblCustomers[Customer Name],"⚠ Unknown")</f>
        <v>Walk-in Customer</v>
      </c>
      <c r="F2510" s="4" t="s">
        <v>6</v>
      </c>
      <c r="G2510" s="1" t="str">
        <f>_xlfn.XLOOKUP(tblSales[[#This Row],[Product Code]],tblProducts[Code],tblProducts[Product / Service Name],"⚠ Unknown")</f>
        <v>Socks &amp; Accessories</v>
      </c>
      <c r="H2510" s="1" t="str">
        <f>_xlfn.XLOOKUP(tblSales[[#This Row],[Product Code]],tblProducts[Code],tblProducts[Category],"")</f>
        <v>Accessories &amp; Basics</v>
      </c>
      <c r="I2510" s="4">
        <v>1</v>
      </c>
      <c r="J2510" s="5">
        <f>_xlfn.XLOOKUP(tblSales[[#This Row],[Product Code]],tblProducts[Code],tblProducts[Selling Price (excl. VAT)],0)</f>
        <v>45000</v>
      </c>
      <c r="K2510" s="5">
        <f>tblSales[[#This Row],[Qty]]*tblSales[[#This Row],[Unit Price]]</f>
        <v>45000</v>
      </c>
      <c r="L2510" s="5">
        <f>ROUND(tblSales[[#This Row],[DPP (excl. VAT)]]*VATEff,0)</f>
        <v>4950</v>
      </c>
      <c r="M2510" s="5">
        <f>tblSales[[#This Row],[DPP (excl. VAT)]]+tblSales[[#This Row],[Output VAT]]</f>
        <v>49950</v>
      </c>
      <c r="N2510" s="5">
        <f>tblSales[[#This Row],[Qty]]*_xlfn.XLOOKUP(tblSales[[#This Row],[Product Code]],tblProducts[Code],tblProducts[Unit Cost],0)</f>
        <v>24000</v>
      </c>
      <c r="O2510" s="4" t="s">
        <v>4865</v>
      </c>
      <c r="P2510" s="4" t="s">
        <v>4860</v>
      </c>
      <c r="Q2510" s="1" t="str">
        <f>_xlfn.XLOOKUP(tblSales[[#This Row],[Channel Code]],tblChannels[Channel Code],tblChannels[Channel Name],"")</f>
        <v>In-store</v>
      </c>
      <c r="R2510" s="1">
        <f>MONTH(tblSales[[#This Row],[Date]])</f>
        <v>5</v>
      </c>
    </row>
    <row r="2511" spans="2:18" x14ac:dyDescent="0.35">
      <c r="B2511" s="113">
        <v>46173</v>
      </c>
      <c r="C2511" s="4" t="s">
        <v>5281</v>
      </c>
      <c r="D2511" s="4" t="s">
        <v>4599</v>
      </c>
      <c r="E2511" s="1" t="str">
        <f>_xlfn.XLOOKUP(tblSales[[#This Row],[Customer ID]],tblCustomers[Customer ID],tblCustomers[Customer Name],"⚠ Unknown")</f>
        <v>PT Samudra Jaya Logistik</v>
      </c>
      <c r="F2511" s="4" t="s">
        <v>7</v>
      </c>
      <c r="G2511" s="1" t="str">
        <f>_xlfn.XLOOKUP(tblSales[[#This Row],[Product Code]],tblProducts[Code],tblProducts[Product / Service Name],"⚠ Unknown")</f>
        <v>Premium Basic T-shirt</v>
      </c>
      <c r="H2511" s="1" t="str">
        <f>_xlfn.XLOOKUP(tblSales[[#This Row],[Product Code]],tblProducts[Code],tblProducts[Category],"")</f>
        <v>Accessories &amp; Basics</v>
      </c>
      <c r="I2511" s="4">
        <v>56</v>
      </c>
      <c r="J2511" s="5">
        <f>_xlfn.XLOOKUP(tblSales[[#This Row],[Product Code]],tblProducts[Code],tblProducts[Selling Price (excl. VAT)],0)</f>
        <v>65000</v>
      </c>
      <c r="K2511" s="5">
        <f>tblSales[[#This Row],[Qty]]*tblSales[[#This Row],[Unit Price]]</f>
        <v>3640000</v>
      </c>
      <c r="L2511" s="5">
        <f>ROUND(tblSales[[#This Row],[DPP (excl. VAT)]]*VATEff,0)</f>
        <v>400400</v>
      </c>
      <c r="M2511" s="5">
        <f>tblSales[[#This Row],[DPP (excl. VAT)]]+tblSales[[#This Row],[Output VAT]]</f>
        <v>4040400</v>
      </c>
      <c r="N2511" s="5">
        <f>tblSales[[#This Row],[Qty]]*_xlfn.XLOOKUP(tblSales[[#This Row],[Product Code]],tblProducts[Code],tblProducts[Unit Cost],0)</f>
        <v>2072000</v>
      </c>
      <c r="O2511" s="4" t="s">
        <v>4867</v>
      </c>
      <c r="P2511" s="4" t="s">
        <v>4860</v>
      </c>
      <c r="Q2511" s="1" t="str">
        <f>_xlfn.XLOOKUP(tblSales[[#This Row],[Channel Code]],tblChannels[Channel Code],tblChannels[Channel Name],"")</f>
        <v>In-store</v>
      </c>
      <c r="R2511" s="1">
        <f>MONTH(tblSales[[#This Row],[Date]])</f>
        <v>5</v>
      </c>
    </row>
    <row r="2512" spans="2:18" x14ac:dyDescent="0.35">
      <c r="B2512" s="113">
        <v>46173</v>
      </c>
      <c r="C2512" s="4" t="s">
        <v>5281</v>
      </c>
      <c r="D2512" s="4" t="s">
        <v>4599</v>
      </c>
      <c r="E2512" s="1" t="str">
        <f>_xlfn.XLOOKUP(tblSales[[#This Row],[Customer ID]],tblCustomers[Customer ID],tblCustomers[Customer Name],"⚠ Unknown")</f>
        <v>PT Samudra Jaya Logistik</v>
      </c>
      <c r="F2512" s="4" t="s">
        <v>11</v>
      </c>
      <c r="G2512" s="1" t="str">
        <f>_xlfn.XLOOKUP(tblSales[[#This Row],[Product Code]],tblProducts[Code],tblProducts[Product / Service Name],"⚠ Unknown")</f>
        <v>Sneakers</v>
      </c>
      <c r="H2512" s="1" t="str">
        <f>_xlfn.XLOOKUP(tblSales[[#This Row],[Product Code]],tblProducts[Code],tblProducts[Category],"")</f>
        <v>Apparel &amp; Footwear</v>
      </c>
      <c r="I2512" s="4">
        <v>8</v>
      </c>
      <c r="J2512" s="5">
        <f>_xlfn.XLOOKUP(tblSales[[#This Row],[Product Code]],tblProducts[Code],tblProducts[Selling Price (excl. VAT)],0)</f>
        <v>250000</v>
      </c>
      <c r="K2512" s="5">
        <f>tblSales[[#This Row],[Qty]]*tblSales[[#This Row],[Unit Price]]</f>
        <v>2000000</v>
      </c>
      <c r="L2512" s="5">
        <f>ROUND(tblSales[[#This Row],[DPP (excl. VAT)]]*VATEff,0)</f>
        <v>220000</v>
      </c>
      <c r="M2512" s="5">
        <f>tblSales[[#This Row],[DPP (excl. VAT)]]+tblSales[[#This Row],[Output VAT]]</f>
        <v>2220000</v>
      </c>
      <c r="N2512" s="5">
        <f>tblSales[[#This Row],[Qty]]*_xlfn.XLOOKUP(tblSales[[#This Row],[Product Code]],tblProducts[Code],tblProducts[Unit Cost],0)</f>
        <v>1240000</v>
      </c>
      <c r="O2512" s="4" t="s">
        <v>4867</v>
      </c>
      <c r="P2512" s="4" t="s">
        <v>4860</v>
      </c>
      <c r="Q2512" s="1" t="str">
        <f>_xlfn.XLOOKUP(tblSales[[#This Row],[Channel Code]],tblChannels[Channel Code],tblChannels[Channel Name],"")</f>
        <v>In-store</v>
      </c>
      <c r="R2512" s="1">
        <f>MONTH(tblSales[[#This Row],[Date]])</f>
        <v>5</v>
      </c>
    </row>
    <row r="2513" spans="2:18" x14ac:dyDescent="0.35">
      <c r="B2513" s="113">
        <v>46173</v>
      </c>
      <c r="C2513" s="4" t="s">
        <v>5282</v>
      </c>
      <c r="D2513" s="4" t="s">
        <v>4572</v>
      </c>
      <c r="E2513" s="1" t="str">
        <f>_xlfn.XLOOKUP(tblSales[[#This Row],[Customer ID]],tblCustomers[Customer ID],tblCustomers[Customer Name],"⚠ Unknown")</f>
        <v>PT Cahaya Abadi Makmur</v>
      </c>
      <c r="F2513" s="4" t="s">
        <v>14</v>
      </c>
      <c r="G2513" s="1" t="str">
        <f>_xlfn.XLOOKUP(tblSales[[#This Row],[Product Code]],tblProducts[Code],tblProducts[Product / Service Name],"⚠ Unknown")</f>
        <v>Smartwatch</v>
      </c>
      <c r="H2513" s="1" t="str">
        <f>_xlfn.XLOOKUP(tblSales[[#This Row],[Product Code]],tblProducts[Code],tblProducts[Category],"")</f>
        <v>Bags &amp; Gadgets</v>
      </c>
      <c r="I2513" s="4">
        <v>24</v>
      </c>
      <c r="J2513" s="5">
        <f>_xlfn.XLOOKUP(tblSales[[#This Row],[Product Code]],tblProducts[Code],tblProducts[Selling Price (excl. VAT)],0)</f>
        <v>850000</v>
      </c>
      <c r="K2513" s="5">
        <f>tblSales[[#This Row],[Qty]]*tblSales[[#This Row],[Unit Price]]</f>
        <v>20400000</v>
      </c>
      <c r="L2513" s="5">
        <f>ROUND(tblSales[[#This Row],[DPP (excl. VAT)]]*VATEff,0)</f>
        <v>2244000</v>
      </c>
      <c r="M2513" s="5">
        <f>tblSales[[#This Row],[DPP (excl. VAT)]]+tblSales[[#This Row],[Output VAT]]</f>
        <v>22644000</v>
      </c>
      <c r="N2513" s="5">
        <f>tblSales[[#This Row],[Qty]]*_xlfn.XLOOKUP(tblSales[[#This Row],[Product Code]],tblProducts[Code],tblProducts[Unit Cost],0)</f>
        <v>13440000</v>
      </c>
      <c r="O2513" s="4" t="s">
        <v>4867</v>
      </c>
      <c r="P2513" s="4" t="s">
        <v>4860</v>
      </c>
      <c r="Q2513" s="1" t="str">
        <f>_xlfn.XLOOKUP(tblSales[[#This Row],[Channel Code]],tblChannels[Channel Code],tblChannels[Channel Name],"")</f>
        <v>In-store</v>
      </c>
      <c r="R2513" s="1">
        <f>MONTH(tblSales[[#This Row],[Date]])</f>
        <v>5</v>
      </c>
    </row>
    <row r="2514" spans="2:18" x14ac:dyDescent="0.35">
      <c r="B2514" s="113">
        <v>46174</v>
      </c>
      <c r="C2514" s="4" t="s">
        <v>1667</v>
      </c>
      <c r="D2514" s="4" t="s">
        <v>4568</v>
      </c>
      <c r="E2514" s="1" t="str">
        <f>_xlfn.XLOOKUP(tblSales[[#This Row],[Customer ID]],tblCustomers[Customer ID],tblCustomers[Customer Name],"⚠ Unknown")</f>
        <v>Walk-in Customer</v>
      </c>
      <c r="F2514" s="4" t="s">
        <v>7</v>
      </c>
      <c r="G2514" s="1" t="str">
        <f>_xlfn.XLOOKUP(tblSales[[#This Row],[Product Code]],tblProducts[Code],tblProducts[Product / Service Name],"⚠ Unknown")</f>
        <v>Premium Basic T-shirt</v>
      </c>
      <c r="H2514" s="1" t="str">
        <f>_xlfn.XLOOKUP(tblSales[[#This Row],[Product Code]],tblProducts[Code],tblProducts[Category],"")</f>
        <v>Accessories &amp; Basics</v>
      </c>
      <c r="I2514" s="4">
        <v>9</v>
      </c>
      <c r="J2514" s="5">
        <f>_xlfn.XLOOKUP(tblSales[[#This Row],[Product Code]],tblProducts[Code],tblProducts[Selling Price (excl. VAT)],0)</f>
        <v>65000</v>
      </c>
      <c r="K2514" s="5">
        <f>tblSales[[#This Row],[Qty]]*tblSales[[#This Row],[Unit Price]]</f>
        <v>585000</v>
      </c>
      <c r="L2514" s="5">
        <f>ROUND(tblSales[[#This Row],[DPP (excl. VAT)]]*VATEff,0)</f>
        <v>64350</v>
      </c>
      <c r="M2514" s="5">
        <f>tblSales[[#This Row],[DPP (excl. VAT)]]+tblSales[[#This Row],[Output VAT]]</f>
        <v>649350</v>
      </c>
      <c r="N2514" s="5">
        <f>tblSales[[#This Row],[Qty]]*_xlfn.XLOOKUP(tblSales[[#This Row],[Product Code]],tblProducts[Code],tblProducts[Unit Cost],0)</f>
        <v>333000</v>
      </c>
      <c r="O2514" s="4" t="s">
        <v>4866</v>
      </c>
      <c r="P2514" s="4" t="s">
        <v>4860</v>
      </c>
      <c r="Q2514" s="1" t="str">
        <f>_xlfn.XLOOKUP(tblSales[[#This Row],[Channel Code]],tblChannels[Channel Code],tblChannels[Channel Name],"")</f>
        <v>In-store</v>
      </c>
      <c r="R2514" s="1">
        <f>MONTH(tblSales[[#This Row],[Date]])</f>
        <v>6</v>
      </c>
    </row>
    <row r="2515" spans="2:18" x14ac:dyDescent="0.35">
      <c r="B2515" s="113">
        <v>46174</v>
      </c>
      <c r="C2515" s="4" t="s">
        <v>1668</v>
      </c>
      <c r="D2515" s="4" t="s">
        <v>4568</v>
      </c>
      <c r="E2515" s="1" t="str">
        <f>_xlfn.XLOOKUP(tblSales[[#This Row],[Customer ID]],tblCustomers[Customer ID],tblCustomers[Customer Name],"⚠ Unknown")</f>
        <v>Walk-in Customer</v>
      </c>
      <c r="F2515" s="4" t="s">
        <v>10</v>
      </c>
      <c r="G2515" s="1" t="str">
        <f>_xlfn.XLOOKUP(tblSales[[#This Row],[Product Code]],tblProducts[Code],tblProducts[Product / Service Name],"⚠ Unknown")</f>
        <v>Chino Pants</v>
      </c>
      <c r="H2515" s="1" t="str">
        <f>_xlfn.XLOOKUP(tblSales[[#This Row],[Product Code]],tblProducts[Code],tblProducts[Category],"")</f>
        <v>Apparel &amp; Footwear</v>
      </c>
      <c r="I2515" s="4">
        <v>5</v>
      </c>
      <c r="J2515" s="5">
        <f>_xlfn.XLOOKUP(tblSales[[#This Row],[Product Code]],tblProducts[Code],tblProducts[Selling Price (excl. VAT)],0)</f>
        <v>150000</v>
      </c>
      <c r="K2515" s="5">
        <f>tblSales[[#This Row],[Qty]]*tblSales[[#This Row],[Unit Price]]</f>
        <v>750000</v>
      </c>
      <c r="L2515" s="5">
        <f>ROUND(tblSales[[#This Row],[DPP (excl. VAT)]]*VATEff,0)</f>
        <v>82500</v>
      </c>
      <c r="M2515" s="5">
        <f>tblSales[[#This Row],[DPP (excl. VAT)]]+tblSales[[#This Row],[Output VAT]]</f>
        <v>832500</v>
      </c>
      <c r="N2515" s="5">
        <f>tblSales[[#This Row],[Qty]]*_xlfn.XLOOKUP(tblSales[[#This Row],[Product Code]],tblProducts[Code],tblProducts[Unit Cost],0)</f>
        <v>440000</v>
      </c>
      <c r="O2515" s="4" t="s">
        <v>4866</v>
      </c>
      <c r="P2515" s="4" t="s">
        <v>4860</v>
      </c>
      <c r="Q2515" s="1" t="str">
        <f>_xlfn.XLOOKUP(tblSales[[#This Row],[Channel Code]],tblChannels[Channel Code],tblChannels[Channel Name],"")</f>
        <v>In-store</v>
      </c>
      <c r="R2515" s="1">
        <f>MONTH(tblSales[[#This Row],[Date]])</f>
        <v>6</v>
      </c>
    </row>
    <row r="2516" spans="2:18" x14ac:dyDescent="0.35">
      <c r="B2516" s="113">
        <v>46174</v>
      </c>
      <c r="C2516" s="4" t="s">
        <v>1669</v>
      </c>
      <c r="D2516" s="4" t="s">
        <v>4568</v>
      </c>
      <c r="E2516" s="1" t="str">
        <f>_xlfn.XLOOKUP(tblSales[[#This Row],[Customer ID]],tblCustomers[Customer ID],tblCustomers[Customer Name],"⚠ Unknown")</f>
        <v>Walk-in Customer</v>
      </c>
      <c r="F2516" s="4" t="s">
        <v>7</v>
      </c>
      <c r="G2516" s="1" t="str">
        <f>_xlfn.XLOOKUP(tblSales[[#This Row],[Product Code]],tblProducts[Code],tblProducts[Product / Service Name],"⚠ Unknown")</f>
        <v>Premium Basic T-shirt</v>
      </c>
      <c r="H2516" s="1" t="str">
        <f>_xlfn.XLOOKUP(tblSales[[#This Row],[Product Code]],tblProducts[Code],tblProducts[Category],"")</f>
        <v>Accessories &amp; Basics</v>
      </c>
      <c r="I2516" s="4">
        <v>11</v>
      </c>
      <c r="J2516" s="5">
        <f>_xlfn.XLOOKUP(tblSales[[#This Row],[Product Code]],tblProducts[Code],tblProducts[Selling Price (excl. VAT)],0)</f>
        <v>65000</v>
      </c>
      <c r="K2516" s="5">
        <f>tblSales[[#This Row],[Qty]]*tblSales[[#This Row],[Unit Price]]</f>
        <v>715000</v>
      </c>
      <c r="L2516" s="5">
        <f>ROUND(tblSales[[#This Row],[DPP (excl. VAT)]]*VATEff,0)</f>
        <v>78650</v>
      </c>
      <c r="M2516" s="5">
        <f>tblSales[[#This Row],[DPP (excl. VAT)]]+tblSales[[#This Row],[Output VAT]]</f>
        <v>793650</v>
      </c>
      <c r="N2516" s="5">
        <f>tblSales[[#This Row],[Qty]]*_xlfn.XLOOKUP(tblSales[[#This Row],[Product Code]],tblProducts[Code],tblProducts[Unit Cost],0)</f>
        <v>407000</v>
      </c>
      <c r="O2516" s="4" t="s">
        <v>4866</v>
      </c>
      <c r="P2516" s="4" t="s">
        <v>4861</v>
      </c>
      <c r="Q2516" s="1" t="str">
        <f>_xlfn.XLOOKUP(tblSales[[#This Row],[Channel Code]],tblChannels[Channel Code],tblChannels[Channel Name],"")</f>
        <v>Marketplace</v>
      </c>
      <c r="R2516" s="1">
        <f>MONTH(tblSales[[#This Row],[Date]])</f>
        <v>6</v>
      </c>
    </row>
    <row r="2517" spans="2:18" x14ac:dyDescent="0.35">
      <c r="B2517" s="113">
        <v>46174</v>
      </c>
      <c r="C2517" s="4" t="s">
        <v>1670</v>
      </c>
      <c r="D2517" s="4" t="s">
        <v>4568</v>
      </c>
      <c r="E2517" s="1" t="str">
        <f>_xlfn.XLOOKUP(tblSales[[#This Row],[Customer ID]],tblCustomers[Customer ID],tblCustomers[Customer Name],"⚠ Unknown")</f>
        <v>Walk-in Customer</v>
      </c>
      <c r="F2517" s="4" t="s">
        <v>6</v>
      </c>
      <c r="G2517" s="1" t="str">
        <f>_xlfn.XLOOKUP(tblSales[[#This Row],[Product Code]],tblProducts[Code],tblProducts[Product / Service Name],"⚠ Unknown")</f>
        <v>Socks &amp; Accessories</v>
      </c>
      <c r="H2517" s="1" t="str">
        <f>_xlfn.XLOOKUP(tblSales[[#This Row],[Product Code]],tblProducts[Code],tblProducts[Category],"")</f>
        <v>Accessories &amp; Basics</v>
      </c>
      <c r="I2517" s="4">
        <v>2</v>
      </c>
      <c r="J2517" s="5">
        <f>_xlfn.XLOOKUP(tblSales[[#This Row],[Product Code]],tblProducts[Code],tblProducts[Selling Price (excl. VAT)],0)</f>
        <v>45000</v>
      </c>
      <c r="K2517" s="5">
        <f>tblSales[[#This Row],[Qty]]*tblSales[[#This Row],[Unit Price]]</f>
        <v>90000</v>
      </c>
      <c r="L2517" s="5">
        <f>ROUND(tblSales[[#This Row],[DPP (excl. VAT)]]*VATEff,0)</f>
        <v>9900</v>
      </c>
      <c r="M2517" s="5">
        <f>tblSales[[#This Row],[DPP (excl. VAT)]]+tblSales[[#This Row],[Output VAT]]</f>
        <v>99900</v>
      </c>
      <c r="N2517" s="5">
        <f>tblSales[[#This Row],[Qty]]*_xlfn.XLOOKUP(tblSales[[#This Row],[Product Code]],tblProducts[Code],tblProducts[Unit Cost],0)</f>
        <v>48000</v>
      </c>
      <c r="O2517" s="4" t="s">
        <v>4865</v>
      </c>
      <c r="P2517" s="4" t="s">
        <v>4860</v>
      </c>
      <c r="Q2517" s="1" t="str">
        <f>_xlfn.XLOOKUP(tblSales[[#This Row],[Channel Code]],tblChannels[Channel Code],tblChannels[Channel Name],"")</f>
        <v>In-store</v>
      </c>
      <c r="R2517" s="1">
        <f>MONTH(tblSales[[#This Row],[Date]])</f>
        <v>6</v>
      </c>
    </row>
    <row r="2518" spans="2:18" x14ac:dyDescent="0.35">
      <c r="B2518" s="113">
        <v>46174</v>
      </c>
      <c r="C2518" s="4" t="s">
        <v>1671</v>
      </c>
      <c r="D2518" s="4" t="s">
        <v>4568</v>
      </c>
      <c r="E2518" s="1" t="str">
        <f>_xlfn.XLOOKUP(tblSales[[#This Row],[Customer ID]],tblCustomers[Customer ID],tblCustomers[Customer Name],"⚠ Unknown")</f>
        <v>Walk-in Customer</v>
      </c>
      <c r="F2518" s="4" t="s">
        <v>7</v>
      </c>
      <c r="G2518" s="1" t="str">
        <f>_xlfn.XLOOKUP(tblSales[[#This Row],[Product Code]],tblProducts[Code],tblProducts[Product / Service Name],"⚠ Unknown")</f>
        <v>Premium Basic T-shirt</v>
      </c>
      <c r="H2518" s="1" t="str">
        <f>_xlfn.XLOOKUP(tblSales[[#This Row],[Product Code]],tblProducts[Code],tblProducts[Category],"")</f>
        <v>Accessories &amp; Basics</v>
      </c>
      <c r="I2518" s="4">
        <v>2</v>
      </c>
      <c r="J2518" s="5">
        <f>_xlfn.XLOOKUP(tblSales[[#This Row],[Product Code]],tblProducts[Code],tblProducts[Selling Price (excl. VAT)],0)</f>
        <v>65000</v>
      </c>
      <c r="K2518" s="5">
        <f>tblSales[[#This Row],[Qty]]*tblSales[[#This Row],[Unit Price]]</f>
        <v>130000</v>
      </c>
      <c r="L2518" s="5">
        <f>ROUND(tblSales[[#This Row],[DPP (excl. VAT)]]*VATEff,0)</f>
        <v>14300</v>
      </c>
      <c r="M2518" s="5">
        <f>tblSales[[#This Row],[DPP (excl. VAT)]]+tblSales[[#This Row],[Output VAT]]</f>
        <v>144300</v>
      </c>
      <c r="N2518" s="5">
        <f>tblSales[[#This Row],[Qty]]*_xlfn.XLOOKUP(tblSales[[#This Row],[Product Code]],tblProducts[Code],tblProducts[Unit Cost],0)</f>
        <v>74000</v>
      </c>
      <c r="O2518" s="4" t="s">
        <v>4866</v>
      </c>
      <c r="P2518" s="4" t="s">
        <v>4860</v>
      </c>
      <c r="Q2518" s="1" t="str">
        <f>_xlfn.XLOOKUP(tblSales[[#This Row],[Channel Code]],tblChannels[Channel Code],tblChannels[Channel Name],"")</f>
        <v>In-store</v>
      </c>
      <c r="R2518" s="1">
        <f>MONTH(tblSales[[#This Row],[Date]])</f>
        <v>6</v>
      </c>
    </row>
    <row r="2519" spans="2:18" x14ac:dyDescent="0.35">
      <c r="B2519" s="113">
        <v>46174</v>
      </c>
      <c r="C2519" s="4" t="s">
        <v>1672</v>
      </c>
      <c r="D2519" s="4" t="s">
        <v>4568</v>
      </c>
      <c r="E2519" s="1" t="str">
        <f>_xlfn.XLOOKUP(tblSales[[#This Row],[Customer ID]],tblCustomers[Customer ID],tblCustomers[Customer Name],"⚠ Unknown")</f>
        <v>Walk-in Customer</v>
      </c>
      <c r="F2519" s="4" t="s">
        <v>15</v>
      </c>
      <c r="G2519" s="1" t="str">
        <f>_xlfn.XLOOKUP(tblSales[[#This Row],[Product Code]],tblProducts[Code],tblProducts[Product / Service Name],"⚠ Unknown")</f>
        <v>Wireless Earbuds Pro</v>
      </c>
      <c r="H2519" s="1" t="str">
        <f>_xlfn.XLOOKUP(tblSales[[#This Row],[Product Code]],tblProducts[Code],tblProducts[Category],"")</f>
        <v>Bags &amp; Gadgets</v>
      </c>
      <c r="I2519" s="4">
        <v>1</v>
      </c>
      <c r="J2519" s="5">
        <f>_xlfn.XLOOKUP(tblSales[[#This Row],[Product Code]],tblProducts[Code],tblProducts[Selling Price (excl. VAT)],0)</f>
        <v>1250000</v>
      </c>
      <c r="K2519" s="5">
        <f>tblSales[[#This Row],[Qty]]*tblSales[[#This Row],[Unit Price]]</f>
        <v>1250000</v>
      </c>
      <c r="L2519" s="5">
        <f>ROUND(tblSales[[#This Row],[DPP (excl. VAT)]]*VATEff,0)</f>
        <v>137500</v>
      </c>
      <c r="M2519" s="5">
        <f>tblSales[[#This Row],[DPP (excl. VAT)]]+tblSales[[#This Row],[Output VAT]]</f>
        <v>1387500</v>
      </c>
      <c r="N2519" s="5">
        <f>tblSales[[#This Row],[Qty]]*_xlfn.XLOOKUP(tblSales[[#This Row],[Product Code]],tblProducts[Code],tblProducts[Unit Cost],0)</f>
        <v>820000</v>
      </c>
      <c r="O2519" s="4" t="s">
        <v>4866</v>
      </c>
      <c r="P2519" s="4" t="s">
        <v>4860</v>
      </c>
      <c r="Q2519" s="1" t="str">
        <f>_xlfn.XLOOKUP(tblSales[[#This Row],[Channel Code]],tblChannels[Channel Code],tblChannels[Channel Name],"")</f>
        <v>In-store</v>
      </c>
      <c r="R2519" s="1">
        <f>MONTH(tblSales[[#This Row],[Date]])</f>
        <v>6</v>
      </c>
    </row>
    <row r="2520" spans="2:18" x14ac:dyDescent="0.35">
      <c r="B2520" s="113">
        <v>46174</v>
      </c>
      <c r="C2520" s="4" t="s">
        <v>1673</v>
      </c>
      <c r="D2520" s="4" t="s">
        <v>4568</v>
      </c>
      <c r="E2520" s="1" t="str">
        <f>_xlfn.XLOOKUP(tblSales[[#This Row],[Customer ID]],tblCustomers[Customer ID],tblCustomers[Customer Name],"⚠ Unknown")</f>
        <v>Walk-in Customer</v>
      </c>
      <c r="F2520" s="4" t="s">
        <v>15</v>
      </c>
      <c r="G2520" s="1" t="str">
        <f>_xlfn.XLOOKUP(tblSales[[#This Row],[Product Code]],tblProducts[Code],tblProducts[Product / Service Name],"⚠ Unknown")</f>
        <v>Wireless Earbuds Pro</v>
      </c>
      <c r="H2520" s="1" t="str">
        <f>_xlfn.XLOOKUP(tblSales[[#This Row],[Product Code]],tblProducts[Code],tblProducts[Category],"")</f>
        <v>Bags &amp; Gadgets</v>
      </c>
      <c r="I2520" s="4">
        <v>1</v>
      </c>
      <c r="J2520" s="5">
        <f>_xlfn.XLOOKUP(tblSales[[#This Row],[Product Code]],tblProducts[Code],tblProducts[Selling Price (excl. VAT)],0)</f>
        <v>1250000</v>
      </c>
      <c r="K2520" s="5">
        <f>tblSales[[#This Row],[Qty]]*tblSales[[#This Row],[Unit Price]]</f>
        <v>1250000</v>
      </c>
      <c r="L2520" s="5">
        <f>ROUND(tblSales[[#This Row],[DPP (excl. VAT)]]*VATEff,0)</f>
        <v>137500</v>
      </c>
      <c r="M2520" s="5">
        <f>tblSales[[#This Row],[DPP (excl. VAT)]]+tblSales[[#This Row],[Output VAT]]</f>
        <v>1387500</v>
      </c>
      <c r="N2520" s="5">
        <f>tblSales[[#This Row],[Qty]]*_xlfn.XLOOKUP(tblSales[[#This Row],[Product Code]],tblProducts[Code],tblProducts[Unit Cost],0)</f>
        <v>820000</v>
      </c>
      <c r="O2520" s="4" t="s">
        <v>4865</v>
      </c>
      <c r="P2520" s="4" t="s">
        <v>4860</v>
      </c>
      <c r="Q2520" s="1" t="str">
        <f>_xlfn.XLOOKUP(tblSales[[#This Row],[Channel Code]],tblChannels[Channel Code],tblChannels[Channel Name],"")</f>
        <v>In-store</v>
      </c>
      <c r="R2520" s="1">
        <f>MONTH(tblSales[[#This Row],[Date]])</f>
        <v>6</v>
      </c>
    </row>
    <row r="2521" spans="2:18" x14ac:dyDescent="0.35">
      <c r="B2521" s="113">
        <v>46174</v>
      </c>
      <c r="C2521" s="4" t="s">
        <v>1674</v>
      </c>
      <c r="D2521" s="4" t="s">
        <v>4568</v>
      </c>
      <c r="E2521" s="1" t="str">
        <f>_xlfn.XLOOKUP(tblSales[[#This Row],[Customer ID]],tblCustomers[Customer ID],tblCustomers[Customer Name],"⚠ Unknown")</f>
        <v>Walk-in Customer</v>
      </c>
      <c r="F2521" s="4" t="s">
        <v>8</v>
      </c>
      <c r="G2521" s="1" t="str">
        <f>_xlfn.XLOOKUP(tblSales[[#This Row],[Product Code]],tblProducts[Code],tblProducts[Product / Service Name],"⚠ Unknown")</f>
        <v>Casual Shorts</v>
      </c>
      <c r="H2521" s="1" t="str">
        <f>_xlfn.XLOOKUP(tblSales[[#This Row],[Product Code]],tblProducts[Code],tblProducts[Category],"")</f>
        <v>Accessories &amp; Basics</v>
      </c>
      <c r="I2521" s="4">
        <v>2</v>
      </c>
      <c r="J2521" s="5">
        <f>_xlfn.XLOOKUP(tblSales[[#This Row],[Product Code]],tblProducts[Code],tblProducts[Selling Price (excl. VAT)],0)</f>
        <v>85000</v>
      </c>
      <c r="K2521" s="5">
        <f>tblSales[[#This Row],[Qty]]*tblSales[[#This Row],[Unit Price]]</f>
        <v>170000</v>
      </c>
      <c r="L2521" s="5">
        <f>ROUND(tblSales[[#This Row],[DPP (excl. VAT)]]*VATEff,0)</f>
        <v>18700</v>
      </c>
      <c r="M2521" s="5">
        <f>tblSales[[#This Row],[DPP (excl. VAT)]]+tblSales[[#This Row],[Output VAT]]</f>
        <v>188700</v>
      </c>
      <c r="N2521" s="5">
        <f>tblSales[[#This Row],[Qty]]*_xlfn.XLOOKUP(tblSales[[#This Row],[Product Code]],tblProducts[Code],tblProducts[Unit Cost],0)</f>
        <v>100000</v>
      </c>
      <c r="O2521" s="4" t="s">
        <v>4865</v>
      </c>
      <c r="P2521" s="4" t="s">
        <v>4860</v>
      </c>
      <c r="Q2521" s="1" t="str">
        <f>_xlfn.XLOOKUP(tblSales[[#This Row],[Channel Code]],tblChannels[Channel Code],tblChannels[Channel Name],"")</f>
        <v>In-store</v>
      </c>
      <c r="R2521" s="1">
        <f>MONTH(tblSales[[#This Row],[Date]])</f>
        <v>6</v>
      </c>
    </row>
    <row r="2522" spans="2:18" x14ac:dyDescent="0.35">
      <c r="B2522" s="113">
        <v>46174</v>
      </c>
      <c r="C2522" s="4" t="s">
        <v>1675</v>
      </c>
      <c r="D2522" s="4" t="s">
        <v>4568</v>
      </c>
      <c r="E2522" s="1" t="str">
        <f>_xlfn.XLOOKUP(tblSales[[#This Row],[Customer ID]],tblCustomers[Customer ID],tblCustomers[Customer Name],"⚠ Unknown")</f>
        <v>Walk-in Customer</v>
      </c>
      <c r="F2522" s="4" t="s">
        <v>6</v>
      </c>
      <c r="G2522" s="1" t="str">
        <f>_xlfn.XLOOKUP(tblSales[[#This Row],[Product Code]],tblProducts[Code],tblProducts[Product / Service Name],"⚠ Unknown")</f>
        <v>Socks &amp; Accessories</v>
      </c>
      <c r="H2522" s="1" t="str">
        <f>_xlfn.XLOOKUP(tblSales[[#This Row],[Product Code]],tblProducts[Code],tblProducts[Category],"")</f>
        <v>Accessories &amp; Basics</v>
      </c>
      <c r="I2522" s="4">
        <v>10</v>
      </c>
      <c r="J2522" s="5">
        <f>_xlfn.XLOOKUP(tblSales[[#This Row],[Product Code]],tblProducts[Code],tblProducts[Selling Price (excl. VAT)],0)</f>
        <v>45000</v>
      </c>
      <c r="K2522" s="5">
        <f>tblSales[[#This Row],[Qty]]*tblSales[[#This Row],[Unit Price]]</f>
        <v>450000</v>
      </c>
      <c r="L2522" s="5">
        <f>ROUND(tblSales[[#This Row],[DPP (excl. VAT)]]*VATEff,0)</f>
        <v>49500</v>
      </c>
      <c r="M2522" s="5">
        <f>tblSales[[#This Row],[DPP (excl. VAT)]]+tblSales[[#This Row],[Output VAT]]</f>
        <v>499500</v>
      </c>
      <c r="N2522" s="5">
        <f>tblSales[[#This Row],[Qty]]*_xlfn.XLOOKUP(tblSales[[#This Row],[Product Code]],tblProducts[Code],tblProducts[Unit Cost],0)</f>
        <v>240000</v>
      </c>
      <c r="O2522" s="4" t="s">
        <v>4865</v>
      </c>
      <c r="P2522" s="4" t="s">
        <v>4860</v>
      </c>
      <c r="Q2522" s="1" t="str">
        <f>_xlfn.XLOOKUP(tblSales[[#This Row],[Channel Code]],tblChannels[Channel Code],tblChannels[Channel Name],"")</f>
        <v>In-store</v>
      </c>
      <c r="R2522" s="1">
        <f>MONTH(tblSales[[#This Row],[Date]])</f>
        <v>6</v>
      </c>
    </row>
    <row r="2523" spans="2:18" x14ac:dyDescent="0.35">
      <c r="B2523" s="113">
        <v>46174</v>
      </c>
      <c r="C2523" s="4" t="s">
        <v>1676</v>
      </c>
      <c r="D2523" s="4" t="s">
        <v>4593</v>
      </c>
      <c r="E2523" s="1" t="str">
        <f>_xlfn.XLOOKUP(tblSales[[#This Row],[Customer ID]],tblCustomers[Customer ID],tblCustomers[Customer Name],"⚠ Unknown")</f>
        <v>PT Graha Nusa Persada</v>
      </c>
      <c r="F2523" s="4" t="s">
        <v>12</v>
      </c>
      <c r="G2523" s="1" t="str">
        <f>_xlfn.XLOOKUP(tblSales[[#This Row],[Product Code]],tblProducts[Code],tblProducts[Product / Service Name],"⚠ Unknown")</f>
        <v>Bomber Jacket</v>
      </c>
      <c r="H2523" s="1" t="str">
        <f>_xlfn.XLOOKUP(tblSales[[#This Row],[Product Code]],tblProducts[Code],tblProducts[Category],"")</f>
        <v>Apparel &amp; Footwear</v>
      </c>
      <c r="I2523" s="4">
        <v>48</v>
      </c>
      <c r="J2523" s="5">
        <f>_xlfn.XLOOKUP(tblSales[[#This Row],[Product Code]],tblProducts[Code],tblProducts[Selling Price (excl. VAT)],0)</f>
        <v>350000</v>
      </c>
      <c r="K2523" s="5">
        <f>tblSales[[#This Row],[Qty]]*tblSales[[#This Row],[Unit Price]]</f>
        <v>16800000</v>
      </c>
      <c r="L2523" s="5">
        <f>ROUND(tblSales[[#This Row],[DPP (excl. VAT)]]*VATEff,0)</f>
        <v>1848000</v>
      </c>
      <c r="M2523" s="5">
        <f>tblSales[[#This Row],[DPP (excl. VAT)]]+tblSales[[#This Row],[Output VAT]]</f>
        <v>18648000</v>
      </c>
      <c r="N2523" s="5">
        <f>tblSales[[#This Row],[Qty]]*_xlfn.XLOOKUP(tblSales[[#This Row],[Product Code]],tblProducts[Code],tblProducts[Unit Cost],0)</f>
        <v>10080000</v>
      </c>
      <c r="O2523" s="4" t="s">
        <v>4867</v>
      </c>
      <c r="P2523" s="4" t="s">
        <v>4860</v>
      </c>
      <c r="Q2523" s="1" t="str">
        <f>_xlfn.XLOOKUP(tblSales[[#This Row],[Channel Code]],tblChannels[Channel Code],tblChannels[Channel Name],"")</f>
        <v>In-store</v>
      </c>
      <c r="R2523" s="1">
        <f>MONTH(tblSales[[#This Row],[Date]])</f>
        <v>6</v>
      </c>
    </row>
    <row r="2524" spans="2:18" x14ac:dyDescent="0.35">
      <c r="B2524" s="113">
        <v>46174</v>
      </c>
      <c r="C2524" s="4" t="s">
        <v>1677</v>
      </c>
      <c r="D2524" s="4" t="s">
        <v>4568</v>
      </c>
      <c r="E2524" s="1" t="str">
        <f>_xlfn.XLOOKUP(tblSales[[#This Row],[Customer ID]],tblCustomers[Customer ID],tblCustomers[Customer Name],"⚠ Unknown")</f>
        <v>Walk-in Customer</v>
      </c>
      <c r="F2524" s="4" t="s">
        <v>7</v>
      </c>
      <c r="G2524" s="1" t="str">
        <f>_xlfn.XLOOKUP(tblSales[[#This Row],[Product Code]],tblProducts[Code],tblProducts[Product / Service Name],"⚠ Unknown")</f>
        <v>Premium Basic T-shirt</v>
      </c>
      <c r="H2524" s="1" t="str">
        <f>_xlfn.XLOOKUP(tblSales[[#This Row],[Product Code]],tblProducts[Code],tblProducts[Category],"")</f>
        <v>Accessories &amp; Basics</v>
      </c>
      <c r="I2524" s="4">
        <v>11</v>
      </c>
      <c r="J2524" s="5">
        <f>_xlfn.XLOOKUP(tblSales[[#This Row],[Product Code]],tblProducts[Code],tblProducts[Selling Price (excl. VAT)],0)</f>
        <v>65000</v>
      </c>
      <c r="K2524" s="5">
        <f>tblSales[[#This Row],[Qty]]*tblSales[[#This Row],[Unit Price]]</f>
        <v>715000</v>
      </c>
      <c r="L2524" s="5">
        <f>ROUND(tblSales[[#This Row],[DPP (excl. VAT)]]*VATEff,0)</f>
        <v>78650</v>
      </c>
      <c r="M2524" s="5">
        <f>tblSales[[#This Row],[DPP (excl. VAT)]]+tblSales[[#This Row],[Output VAT]]</f>
        <v>793650</v>
      </c>
      <c r="N2524" s="5">
        <f>tblSales[[#This Row],[Qty]]*_xlfn.XLOOKUP(tblSales[[#This Row],[Product Code]],tblProducts[Code],tblProducts[Unit Cost],0)</f>
        <v>407000</v>
      </c>
      <c r="O2524" s="4" t="s">
        <v>4866</v>
      </c>
      <c r="P2524" s="4" t="s">
        <v>4861</v>
      </c>
      <c r="Q2524" s="1" t="str">
        <f>_xlfn.XLOOKUP(tblSales[[#This Row],[Channel Code]],tblChannels[Channel Code],tblChannels[Channel Name],"")</f>
        <v>Marketplace</v>
      </c>
      <c r="R2524" s="1">
        <f>MONTH(tblSales[[#This Row],[Date]])</f>
        <v>6</v>
      </c>
    </row>
    <row r="2525" spans="2:18" x14ac:dyDescent="0.35">
      <c r="B2525" s="113">
        <v>46175</v>
      </c>
      <c r="C2525" s="4" t="s">
        <v>1678</v>
      </c>
      <c r="D2525" s="4" t="s">
        <v>4568</v>
      </c>
      <c r="E2525" s="1" t="str">
        <f>_xlfn.XLOOKUP(tblSales[[#This Row],[Customer ID]],tblCustomers[Customer ID],tblCustomers[Customer Name],"⚠ Unknown")</f>
        <v>Walk-in Customer</v>
      </c>
      <c r="F2525" s="4" t="s">
        <v>11</v>
      </c>
      <c r="G2525" s="1" t="str">
        <f>_xlfn.XLOOKUP(tblSales[[#This Row],[Product Code]],tblProducts[Code],tblProducts[Product / Service Name],"⚠ Unknown")</f>
        <v>Sneakers</v>
      </c>
      <c r="H2525" s="1" t="str">
        <f>_xlfn.XLOOKUP(tblSales[[#This Row],[Product Code]],tblProducts[Code],tblProducts[Category],"")</f>
        <v>Apparel &amp; Footwear</v>
      </c>
      <c r="I2525" s="4">
        <v>5</v>
      </c>
      <c r="J2525" s="5">
        <f>_xlfn.XLOOKUP(tblSales[[#This Row],[Product Code]],tblProducts[Code],tblProducts[Selling Price (excl. VAT)],0)</f>
        <v>250000</v>
      </c>
      <c r="K2525" s="5">
        <f>tblSales[[#This Row],[Qty]]*tblSales[[#This Row],[Unit Price]]</f>
        <v>1250000</v>
      </c>
      <c r="L2525" s="5">
        <f>ROUND(tblSales[[#This Row],[DPP (excl. VAT)]]*VATEff,0)</f>
        <v>137500</v>
      </c>
      <c r="M2525" s="5">
        <f>tblSales[[#This Row],[DPP (excl. VAT)]]+tblSales[[#This Row],[Output VAT]]</f>
        <v>1387500</v>
      </c>
      <c r="N2525" s="5">
        <f>tblSales[[#This Row],[Qty]]*_xlfn.XLOOKUP(tblSales[[#This Row],[Product Code]],tblProducts[Code],tblProducts[Unit Cost],0)</f>
        <v>775000</v>
      </c>
      <c r="O2525" s="4" t="s">
        <v>4865</v>
      </c>
      <c r="P2525" s="4" t="s">
        <v>4860</v>
      </c>
      <c r="Q2525" s="1" t="str">
        <f>_xlfn.XLOOKUP(tblSales[[#This Row],[Channel Code]],tblChannels[Channel Code],tblChannels[Channel Name],"")</f>
        <v>In-store</v>
      </c>
      <c r="R2525" s="1">
        <f>MONTH(tblSales[[#This Row],[Date]])</f>
        <v>6</v>
      </c>
    </row>
    <row r="2526" spans="2:18" x14ac:dyDescent="0.35">
      <c r="B2526" s="113">
        <v>46175</v>
      </c>
      <c r="C2526" s="4" t="s">
        <v>1679</v>
      </c>
      <c r="D2526" s="4" t="s">
        <v>4568</v>
      </c>
      <c r="E2526" s="1" t="str">
        <f>_xlfn.XLOOKUP(tblSales[[#This Row],[Customer ID]],tblCustomers[Customer ID],tblCustomers[Customer Name],"⚠ Unknown")</f>
        <v>Walk-in Customer</v>
      </c>
      <c r="F2526" s="4" t="s">
        <v>6</v>
      </c>
      <c r="G2526" s="1" t="str">
        <f>_xlfn.XLOOKUP(tblSales[[#This Row],[Product Code]],tblProducts[Code],tblProducts[Product / Service Name],"⚠ Unknown")</f>
        <v>Socks &amp; Accessories</v>
      </c>
      <c r="H2526" s="1" t="str">
        <f>_xlfn.XLOOKUP(tblSales[[#This Row],[Product Code]],tblProducts[Code],tblProducts[Category],"")</f>
        <v>Accessories &amp; Basics</v>
      </c>
      <c r="I2526" s="4">
        <v>12</v>
      </c>
      <c r="J2526" s="5">
        <f>_xlfn.XLOOKUP(tblSales[[#This Row],[Product Code]],tblProducts[Code],tblProducts[Selling Price (excl. VAT)],0)</f>
        <v>45000</v>
      </c>
      <c r="K2526" s="5">
        <f>tblSales[[#This Row],[Qty]]*tblSales[[#This Row],[Unit Price]]</f>
        <v>540000</v>
      </c>
      <c r="L2526" s="5">
        <f>ROUND(tblSales[[#This Row],[DPP (excl. VAT)]]*VATEff,0)</f>
        <v>59400</v>
      </c>
      <c r="M2526" s="5">
        <f>tblSales[[#This Row],[DPP (excl. VAT)]]+tblSales[[#This Row],[Output VAT]]</f>
        <v>599400</v>
      </c>
      <c r="N2526" s="5">
        <f>tblSales[[#This Row],[Qty]]*_xlfn.XLOOKUP(tblSales[[#This Row],[Product Code]],tblProducts[Code],tblProducts[Unit Cost],0)</f>
        <v>288000</v>
      </c>
      <c r="O2526" s="4" t="s">
        <v>4866</v>
      </c>
      <c r="P2526" s="4" t="s">
        <v>4860</v>
      </c>
      <c r="Q2526" s="1" t="str">
        <f>_xlfn.XLOOKUP(tblSales[[#This Row],[Channel Code]],tblChannels[Channel Code],tblChannels[Channel Name],"")</f>
        <v>In-store</v>
      </c>
      <c r="R2526" s="1">
        <f>MONTH(tblSales[[#This Row],[Date]])</f>
        <v>6</v>
      </c>
    </row>
    <row r="2527" spans="2:18" x14ac:dyDescent="0.35">
      <c r="B2527" s="113">
        <v>46175</v>
      </c>
      <c r="C2527" s="4" t="s">
        <v>1680</v>
      </c>
      <c r="D2527" s="4" t="s">
        <v>4568</v>
      </c>
      <c r="E2527" s="1" t="str">
        <f>_xlfn.XLOOKUP(tblSales[[#This Row],[Customer ID]],tblCustomers[Customer ID],tblCustomers[Customer Name],"⚠ Unknown")</f>
        <v>Walk-in Customer</v>
      </c>
      <c r="F2527" s="4" t="s">
        <v>8</v>
      </c>
      <c r="G2527" s="1" t="str">
        <f>_xlfn.XLOOKUP(tblSales[[#This Row],[Product Code]],tblProducts[Code],tblProducts[Product / Service Name],"⚠ Unknown")</f>
        <v>Casual Shorts</v>
      </c>
      <c r="H2527" s="1" t="str">
        <f>_xlfn.XLOOKUP(tblSales[[#This Row],[Product Code]],tblProducts[Code],tblProducts[Category],"")</f>
        <v>Accessories &amp; Basics</v>
      </c>
      <c r="I2527" s="4">
        <v>11</v>
      </c>
      <c r="J2527" s="5">
        <f>_xlfn.XLOOKUP(tblSales[[#This Row],[Product Code]],tblProducts[Code],tblProducts[Selling Price (excl. VAT)],0)</f>
        <v>85000</v>
      </c>
      <c r="K2527" s="5">
        <f>tblSales[[#This Row],[Qty]]*tblSales[[#This Row],[Unit Price]]</f>
        <v>935000</v>
      </c>
      <c r="L2527" s="5">
        <f>ROUND(tblSales[[#This Row],[DPP (excl. VAT)]]*VATEff,0)</f>
        <v>102850</v>
      </c>
      <c r="M2527" s="5">
        <f>tblSales[[#This Row],[DPP (excl. VAT)]]+tblSales[[#This Row],[Output VAT]]</f>
        <v>1037850</v>
      </c>
      <c r="N2527" s="5">
        <f>tblSales[[#This Row],[Qty]]*_xlfn.XLOOKUP(tblSales[[#This Row],[Product Code]],tblProducts[Code],tblProducts[Unit Cost],0)</f>
        <v>550000</v>
      </c>
      <c r="O2527" s="4" t="s">
        <v>4865</v>
      </c>
      <c r="P2527" s="4" t="s">
        <v>4860</v>
      </c>
      <c r="Q2527" s="1" t="str">
        <f>_xlfn.XLOOKUP(tblSales[[#This Row],[Channel Code]],tblChannels[Channel Code],tblChannels[Channel Name],"")</f>
        <v>In-store</v>
      </c>
      <c r="R2527" s="1">
        <f>MONTH(tblSales[[#This Row],[Date]])</f>
        <v>6</v>
      </c>
    </row>
    <row r="2528" spans="2:18" x14ac:dyDescent="0.35">
      <c r="B2528" s="113">
        <v>46175</v>
      </c>
      <c r="C2528" s="4" t="s">
        <v>1681</v>
      </c>
      <c r="D2528" s="4" t="s">
        <v>4568</v>
      </c>
      <c r="E2528" s="1" t="str">
        <f>_xlfn.XLOOKUP(tblSales[[#This Row],[Customer ID]],tblCustomers[Customer ID],tblCustomers[Customer Name],"⚠ Unknown")</f>
        <v>Walk-in Customer</v>
      </c>
      <c r="F2528" s="4" t="s">
        <v>6</v>
      </c>
      <c r="G2528" s="1" t="str">
        <f>_xlfn.XLOOKUP(tblSales[[#This Row],[Product Code]],tblProducts[Code],tblProducts[Product / Service Name],"⚠ Unknown")</f>
        <v>Socks &amp; Accessories</v>
      </c>
      <c r="H2528" s="1" t="str">
        <f>_xlfn.XLOOKUP(tblSales[[#This Row],[Product Code]],tblProducts[Code],tblProducts[Category],"")</f>
        <v>Accessories &amp; Basics</v>
      </c>
      <c r="I2528" s="4">
        <v>9</v>
      </c>
      <c r="J2528" s="5">
        <f>_xlfn.XLOOKUP(tblSales[[#This Row],[Product Code]],tblProducts[Code],tblProducts[Selling Price (excl. VAT)],0)</f>
        <v>45000</v>
      </c>
      <c r="K2528" s="5">
        <f>tblSales[[#This Row],[Qty]]*tblSales[[#This Row],[Unit Price]]</f>
        <v>405000</v>
      </c>
      <c r="L2528" s="5">
        <f>ROUND(tblSales[[#This Row],[DPP (excl. VAT)]]*VATEff,0)</f>
        <v>44550</v>
      </c>
      <c r="M2528" s="5">
        <f>tblSales[[#This Row],[DPP (excl. VAT)]]+tblSales[[#This Row],[Output VAT]]</f>
        <v>449550</v>
      </c>
      <c r="N2528" s="5">
        <f>tblSales[[#This Row],[Qty]]*_xlfn.XLOOKUP(tblSales[[#This Row],[Product Code]],tblProducts[Code],tblProducts[Unit Cost],0)</f>
        <v>216000</v>
      </c>
      <c r="O2528" s="4" t="s">
        <v>4865</v>
      </c>
      <c r="P2528" s="4" t="s">
        <v>4860</v>
      </c>
      <c r="Q2528" s="1" t="str">
        <f>_xlfn.XLOOKUP(tblSales[[#This Row],[Channel Code]],tblChannels[Channel Code],tblChannels[Channel Name],"")</f>
        <v>In-store</v>
      </c>
      <c r="R2528" s="1">
        <f>MONTH(tblSales[[#This Row],[Date]])</f>
        <v>6</v>
      </c>
    </row>
    <row r="2529" spans="2:18" x14ac:dyDescent="0.35">
      <c r="B2529" s="113">
        <v>46175</v>
      </c>
      <c r="C2529" s="4" t="s">
        <v>1682</v>
      </c>
      <c r="D2529" s="4" t="s">
        <v>4599</v>
      </c>
      <c r="E2529" s="1" t="str">
        <f>_xlfn.XLOOKUP(tblSales[[#This Row],[Customer ID]],tblCustomers[Customer ID],tblCustomers[Customer Name],"⚠ Unknown")</f>
        <v>PT Samudra Jaya Logistik</v>
      </c>
      <c r="F2529" s="4" t="s">
        <v>10</v>
      </c>
      <c r="G2529" s="1" t="str">
        <f>_xlfn.XLOOKUP(tblSales[[#This Row],[Product Code]],tblProducts[Code],tblProducts[Product / Service Name],"⚠ Unknown")</f>
        <v>Chino Pants</v>
      </c>
      <c r="H2529" s="1" t="str">
        <f>_xlfn.XLOOKUP(tblSales[[#This Row],[Product Code]],tblProducts[Code],tblProducts[Category],"")</f>
        <v>Apparel &amp; Footwear</v>
      </c>
      <c r="I2529" s="4">
        <v>32</v>
      </c>
      <c r="J2529" s="5">
        <f>_xlfn.XLOOKUP(tblSales[[#This Row],[Product Code]],tblProducts[Code],tblProducts[Selling Price (excl. VAT)],0)</f>
        <v>150000</v>
      </c>
      <c r="K2529" s="5">
        <f>tblSales[[#This Row],[Qty]]*tblSales[[#This Row],[Unit Price]]</f>
        <v>4800000</v>
      </c>
      <c r="L2529" s="5">
        <f>ROUND(tblSales[[#This Row],[DPP (excl. VAT)]]*VATEff,0)</f>
        <v>528000</v>
      </c>
      <c r="M2529" s="5">
        <f>tblSales[[#This Row],[DPP (excl. VAT)]]+tblSales[[#This Row],[Output VAT]]</f>
        <v>5328000</v>
      </c>
      <c r="N2529" s="5">
        <f>tblSales[[#This Row],[Qty]]*_xlfn.XLOOKUP(tblSales[[#This Row],[Product Code]],tblProducts[Code],tblProducts[Unit Cost],0)</f>
        <v>2816000</v>
      </c>
      <c r="O2529" s="4" t="s">
        <v>4867</v>
      </c>
      <c r="P2529" s="4" t="s">
        <v>4860</v>
      </c>
      <c r="Q2529" s="1" t="str">
        <f>_xlfn.XLOOKUP(tblSales[[#This Row],[Channel Code]],tblChannels[Channel Code],tblChannels[Channel Name],"")</f>
        <v>In-store</v>
      </c>
      <c r="R2529" s="1">
        <f>MONTH(tblSales[[#This Row],[Date]])</f>
        <v>6</v>
      </c>
    </row>
    <row r="2530" spans="2:18" x14ac:dyDescent="0.35">
      <c r="B2530" s="113">
        <v>46175</v>
      </c>
      <c r="C2530" s="4" t="s">
        <v>1683</v>
      </c>
      <c r="D2530" s="4" t="s">
        <v>4568</v>
      </c>
      <c r="E2530" s="1" t="str">
        <f>_xlfn.XLOOKUP(tblSales[[#This Row],[Customer ID]],tblCustomers[Customer ID],tblCustomers[Customer Name],"⚠ Unknown")</f>
        <v>Walk-in Customer</v>
      </c>
      <c r="F2530" s="4" t="s">
        <v>10</v>
      </c>
      <c r="G2530" s="1" t="str">
        <f>_xlfn.XLOOKUP(tblSales[[#This Row],[Product Code]],tblProducts[Code],tblProducts[Product / Service Name],"⚠ Unknown")</f>
        <v>Chino Pants</v>
      </c>
      <c r="H2530" s="1" t="str">
        <f>_xlfn.XLOOKUP(tblSales[[#This Row],[Product Code]],tblProducts[Code],tblProducts[Category],"")</f>
        <v>Apparel &amp; Footwear</v>
      </c>
      <c r="I2530" s="4">
        <v>1</v>
      </c>
      <c r="J2530" s="5">
        <f>_xlfn.XLOOKUP(tblSales[[#This Row],[Product Code]],tblProducts[Code],tblProducts[Selling Price (excl. VAT)],0)</f>
        <v>150000</v>
      </c>
      <c r="K2530" s="5">
        <f>tblSales[[#This Row],[Qty]]*tblSales[[#This Row],[Unit Price]]</f>
        <v>150000</v>
      </c>
      <c r="L2530" s="5">
        <f>ROUND(tblSales[[#This Row],[DPP (excl. VAT)]]*VATEff,0)</f>
        <v>16500</v>
      </c>
      <c r="M2530" s="5">
        <f>tblSales[[#This Row],[DPP (excl. VAT)]]+tblSales[[#This Row],[Output VAT]]</f>
        <v>166500</v>
      </c>
      <c r="N2530" s="5">
        <f>tblSales[[#This Row],[Qty]]*_xlfn.XLOOKUP(tblSales[[#This Row],[Product Code]],tblProducts[Code],tblProducts[Unit Cost],0)</f>
        <v>88000</v>
      </c>
      <c r="O2530" s="4" t="s">
        <v>4866</v>
      </c>
      <c r="P2530" s="4" t="s">
        <v>4861</v>
      </c>
      <c r="Q2530" s="1" t="str">
        <f>_xlfn.XLOOKUP(tblSales[[#This Row],[Channel Code]],tblChannels[Channel Code],tblChannels[Channel Name],"")</f>
        <v>Marketplace</v>
      </c>
      <c r="R2530" s="1">
        <f>MONTH(tblSales[[#This Row],[Date]])</f>
        <v>6</v>
      </c>
    </row>
    <row r="2531" spans="2:18" x14ac:dyDescent="0.35">
      <c r="B2531" s="113">
        <v>46175</v>
      </c>
      <c r="C2531" s="4" t="s">
        <v>1684</v>
      </c>
      <c r="D2531" s="4" t="s">
        <v>4620</v>
      </c>
      <c r="E2531" s="1" t="str">
        <f>_xlfn.XLOOKUP(tblSales[[#This Row],[Customer ID]],tblCustomers[Customer ID],tblCustomers[Customer Name],"⚠ Unknown")</f>
        <v>CV Sumber Rejeki Utama</v>
      </c>
      <c r="F2531" s="4" t="s">
        <v>12</v>
      </c>
      <c r="G2531" s="1" t="str">
        <f>_xlfn.XLOOKUP(tblSales[[#This Row],[Product Code]],tblProducts[Code],tblProducts[Product / Service Name],"⚠ Unknown")</f>
        <v>Bomber Jacket</v>
      </c>
      <c r="H2531" s="1" t="str">
        <f>_xlfn.XLOOKUP(tblSales[[#This Row],[Product Code]],tblProducts[Code],tblProducts[Category],"")</f>
        <v>Apparel &amp; Footwear</v>
      </c>
      <c r="I2531" s="4">
        <v>40</v>
      </c>
      <c r="J2531" s="5">
        <f>_xlfn.XLOOKUP(tblSales[[#This Row],[Product Code]],tblProducts[Code],tblProducts[Selling Price (excl. VAT)],0)</f>
        <v>350000</v>
      </c>
      <c r="K2531" s="5">
        <f>tblSales[[#This Row],[Qty]]*tblSales[[#This Row],[Unit Price]]</f>
        <v>14000000</v>
      </c>
      <c r="L2531" s="5">
        <f>ROUND(tblSales[[#This Row],[DPP (excl. VAT)]]*VATEff,0)</f>
        <v>1540000</v>
      </c>
      <c r="M2531" s="5">
        <f>tblSales[[#This Row],[DPP (excl. VAT)]]+tblSales[[#This Row],[Output VAT]]</f>
        <v>15540000</v>
      </c>
      <c r="N2531" s="5">
        <f>tblSales[[#This Row],[Qty]]*_xlfn.XLOOKUP(tblSales[[#This Row],[Product Code]],tblProducts[Code],tblProducts[Unit Cost],0)</f>
        <v>8400000</v>
      </c>
      <c r="O2531" s="4" t="s">
        <v>4867</v>
      </c>
      <c r="P2531" s="4" t="s">
        <v>4860</v>
      </c>
      <c r="Q2531" s="1" t="str">
        <f>_xlfn.XLOOKUP(tblSales[[#This Row],[Channel Code]],tblChannels[Channel Code],tblChannels[Channel Name],"")</f>
        <v>In-store</v>
      </c>
      <c r="R2531" s="1">
        <f>MONTH(tblSales[[#This Row],[Date]])</f>
        <v>6</v>
      </c>
    </row>
    <row r="2532" spans="2:18" x14ac:dyDescent="0.35">
      <c r="B2532" s="113">
        <v>46175</v>
      </c>
      <c r="C2532" s="4" t="s">
        <v>1685</v>
      </c>
      <c r="D2532" s="4" t="s">
        <v>4627</v>
      </c>
      <c r="E2532" s="1" t="str">
        <f>_xlfn.XLOOKUP(tblSales[[#This Row],[Customer ID]],tblCustomers[Customer ID],tblCustomers[Customer Name],"⚠ Unknown")</f>
        <v>PT Kencana Wira Usaha</v>
      </c>
      <c r="F2532" s="4" t="s">
        <v>6</v>
      </c>
      <c r="G2532" s="1" t="str">
        <f>_xlfn.XLOOKUP(tblSales[[#This Row],[Product Code]],tblProducts[Code],tblProducts[Product / Service Name],"⚠ Unknown")</f>
        <v>Socks &amp; Accessories</v>
      </c>
      <c r="H2532" s="1" t="str">
        <f>_xlfn.XLOOKUP(tblSales[[#This Row],[Product Code]],tblProducts[Code],tblProducts[Category],"")</f>
        <v>Accessories &amp; Basics</v>
      </c>
      <c r="I2532" s="4">
        <v>64</v>
      </c>
      <c r="J2532" s="5">
        <f>_xlfn.XLOOKUP(tblSales[[#This Row],[Product Code]],tblProducts[Code],tblProducts[Selling Price (excl. VAT)],0)</f>
        <v>45000</v>
      </c>
      <c r="K2532" s="5">
        <f>tblSales[[#This Row],[Qty]]*tblSales[[#This Row],[Unit Price]]</f>
        <v>2880000</v>
      </c>
      <c r="L2532" s="5">
        <f>ROUND(tblSales[[#This Row],[DPP (excl. VAT)]]*VATEff,0)</f>
        <v>316800</v>
      </c>
      <c r="M2532" s="5">
        <f>tblSales[[#This Row],[DPP (excl. VAT)]]+tblSales[[#This Row],[Output VAT]]</f>
        <v>3196800</v>
      </c>
      <c r="N2532" s="5">
        <f>tblSales[[#This Row],[Qty]]*_xlfn.XLOOKUP(tblSales[[#This Row],[Product Code]],tblProducts[Code],tblProducts[Unit Cost],0)</f>
        <v>1536000</v>
      </c>
      <c r="O2532" s="4" t="s">
        <v>4867</v>
      </c>
      <c r="P2532" s="4" t="s">
        <v>4862</v>
      </c>
      <c r="Q2532" s="1" t="str">
        <f>_xlfn.XLOOKUP(tblSales[[#This Row],[Channel Code]],tblChannels[Channel Code],tblChannels[Channel Name],"")</f>
        <v>Website &amp; Social Media</v>
      </c>
      <c r="R2532" s="1">
        <f>MONTH(tblSales[[#This Row],[Date]])</f>
        <v>6</v>
      </c>
    </row>
    <row r="2533" spans="2:18" x14ac:dyDescent="0.35">
      <c r="B2533" s="113">
        <v>46175</v>
      </c>
      <c r="C2533" s="4" t="s">
        <v>1686</v>
      </c>
      <c r="D2533" s="4" t="s">
        <v>4568</v>
      </c>
      <c r="E2533" s="1" t="str">
        <f>_xlfn.XLOOKUP(tblSales[[#This Row],[Customer ID]],tblCustomers[Customer ID],tblCustomers[Customer Name],"⚠ Unknown")</f>
        <v>Walk-in Customer</v>
      </c>
      <c r="F2533" s="4" t="s">
        <v>9</v>
      </c>
      <c r="G2533" s="1" t="str">
        <f>_xlfn.XLOOKUP(tblSales[[#This Row],[Product Code]],tblProducts[Code],tblProducts[Product / Service Name],"⚠ Unknown")</f>
        <v>Casual Shirt</v>
      </c>
      <c r="H2533" s="1" t="str">
        <f>_xlfn.XLOOKUP(tblSales[[#This Row],[Product Code]],tblProducts[Code],tblProducts[Category],"")</f>
        <v>Apparel &amp; Footwear</v>
      </c>
      <c r="I2533" s="4">
        <v>3</v>
      </c>
      <c r="J2533" s="5">
        <f>_xlfn.XLOOKUP(tblSales[[#This Row],[Product Code]],tblProducts[Code],tblProducts[Selling Price (excl. VAT)],0)</f>
        <v>120000</v>
      </c>
      <c r="K2533" s="5">
        <f>tblSales[[#This Row],[Qty]]*tblSales[[#This Row],[Unit Price]]</f>
        <v>360000</v>
      </c>
      <c r="L2533" s="5">
        <f>ROUND(tblSales[[#This Row],[DPP (excl. VAT)]]*VATEff,0)</f>
        <v>39600</v>
      </c>
      <c r="M2533" s="5">
        <f>tblSales[[#This Row],[DPP (excl. VAT)]]+tblSales[[#This Row],[Output VAT]]</f>
        <v>399600</v>
      </c>
      <c r="N2533" s="5">
        <f>tblSales[[#This Row],[Qty]]*_xlfn.XLOOKUP(tblSales[[#This Row],[Product Code]],tblProducts[Code],tblProducts[Unit Cost],0)</f>
        <v>216000</v>
      </c>
      <c r="O2533" s="4" t="s">
        <v>4865</v>
      </c>
      <c r="P2533" s="4" t="s">
        <v>4860</v>
      </c>
      <c r="Q2533" s="1" t="str">
        <f>_xlfn.XLOOKUP(tblSales[[#This Row],[Channel Code]],tblChannels[Channel Code],tblChannels[Channel Name],"")</f>
        <v>In-store</v>
      </c>
      <c r="R2533" s="1">
        <f>MONTH(tblSales[[#This Row],[Date]])</f>
        <v>6</v>
      </c>
    </row>
    <row r="2534" spans="2:18" x14ac:dyDescent="0.35">
      <c r="B2534" s="113">
        <v>46175</v>
      </c>
      <c r="C2534" s="4" t="s">
        <v>1687</v>
      </c>
      <c r="D2534" s="4" t="s">
        <v>4568</v>
      </c>
      <c r="E2534" s="1" t="str">
        <f>_xlfn.XLOOKUP(tblSales[[#This Row],[Customer ID]],tblCustomers[Customer ID],tblCustomers[Customer Name],"⚠ Unknown")</f>
        <v>Walk-in Customer</v>
      </c>
      <c r="F2534" s="4" t="s">
        <v>13</v>
      </c>
      <c r="G2534" s="1" t="str">
        <f>_xlfn.XLOOKUP(tblSales[[#This Row],[Product Code]],tblProducts[Code],tblProducts[Product / Service Name],"⚠ Unknown")</f>
        <v>Backpack</v>
      </c>
      <c r="H2534" s="1" t="str">
        <f>_xlfn.XLOOKUP(tblSales[[#This Row],[Product Code]],tblProducts[Code],tblProducts[Category],"")</f>
        <v>Bags &amp; Gadgets</v>
      </c>
      <c r="I2534" s="4">
        <v>4</v>
      </c>
      <c r="J2534" s="5">
        <f>_xlfn.XLOOKUP(tblSales[[#This Row],[Product Code]],tblProducts[Code],tblProducts[Selling Price (excl. VAT)],0)</f>
        <v>500000</v>
      </c>
      <c r="K2534" s="5">
        <f>tblSales[[#This Row],[Qty]]*tblSales[[#This Row],[Unit Price]]</f>
        <v>2000000</v>
      </c>
      <c r="L2534" s="5">
        <f>ROUND(tblSales[[#This Row],[DPP (excl. VAT)]]*VATEff,0)</f>
        <v>220000</v>
      </c>
      <c r="M2534" s="5">
        <f>tblSales[[#This Row],[DPP (excl. VAT)]]+tblSales[[#This Row],[Output VAT]]</f>
        <v>2220000</v>
      </c>
      <c r="N2534" s="5">
        <f>tblSales[[#This Row],[Qty]]*_xlfn.XLOOKUP(tblSales[[#This Row],[Product Code]],tblProducts[Code],tblProducts[Unit Cost],0)</f>
        <v>1160000</v>
      </c>
      <c r="O2534" s="4" t="s">
        <v>4866</v>
      </c>
      <c r="P2534" s="4" t="s">
        <v>4861</v>
      </c>
      <c r="Q2534" s="1" t="str">
        <f>_xlfn.XLOOKUP(tblSales[[#This Row],[Channel Code]],tblChannels[Channel Code],tblChannels[Channel Name],"")</f>
        <v>Marketplace</v>
      </c>
      <c r="R2534" s="1">
        <f>MONTH(tblSales[[#This Row],[Date]])</f>
        <v>6</v>
      </c>
    </row>
    <row r="2535" spans="2:18" x14ac:dyDescent="0.35">
      <c r="B2535" s="113">
        <v>46175</v>
      </c>
      <c r="C2535" s="4" t="s">
        <v>1688</v>
      </c>
      <c r="D2535" s="4" t="s">
        <v>4568</v>
      </c>
      <c r="E2535" s="1" t="str">
        <f>_xlfn.XLOOKUP(tblSales[[#This Row],[Customer ID]],tblCustomers[Customer ID],tblCustomers[Customer Name],"⚠ Unknown")</f>
        <v>Walk-in Customer</v>
      </c>
      <c r="F2535" s="4" t="s">
        <v>7</v>
      </c>
      <c r="G2535" s="1" t="str">
        <f>_xlfn.XLOOKUP(tblSales[[#This Row],[Product Code]],tblProducts[Code],tblProducts[Product / Service Name],"⚠ Unknown")</f>
        <v>Premium Basic T-shirt</v>
      </c>
      <c r="H2535" s="1" t="str">
        <f>_xlfn.XLOOKUP(tblSales[[#This Row],[Product Code]],tblProducts[Code],tblProducts[Category],"")</f>
        <v>Accessories &amp; Basics</v>
      </c>
      <c r="I2535" s="4">
        <v>10</v>
      </c>
      <c r="J2535" s="5">
        <f>_xlfn.XLOOKUP(tblSales[[#This Row],[Product Code]],tblProducts[Code],tblProducts[Selling Price (excl. VAT)],0)</f>
        <v>65000</v>
      </c>
      <c r="K2535" s="5">
        <f>tblSales[[#This Row],[Qty]]*tblSales[[#This Row],[Unit Price]]</f>
        <v>650000</v>
      </c>
      <c r="L2535" s="5">
        <f>ROUND(tblSales[[#This Row],[DPP (excl. VAT)]]*VATEff,0)</f>
        <v>71500</v>
      </c>
      <c r="M2535" s="5">
        <f>tblSales[[#This Row],[DPP (excl. VAT)]]+tblSales[[#This Row],[Output VAT]]</f>
        <v>721500</v>
      </c>
      <c r="N2535" s="5">
        <f>tblSales[[#This Row],[Qty]]*_xlfn.XLOOKUP(tblSales[[#This Row],[Product Code]],tblProducts[Code],tblProducts[Unit Cost],0)</f>
        <v>370000</v>
      </c>
      <c r="O2535" s="4" t="s">
        <v>4865</v>
      </c>
      <c r="P2535" s="4" t="s">
        <v>4860</v>
      </c>
      <c r="Q2535" s="1" t="str">
        <f>_xlfn.XLOOKUP(tblSales[[#This Row],[Channel Code]],tblChannels[Channel Code],tblChannels[Channel Name],"")</f>
        <v>In-store</v>
      </c>
      <c r="R2535" s="1">
        <f>MONTH(tblSales[[#This Row],[Date]])</f>
        <v>6</v>
      </c>
    </row>
    <row r="2536" spans="2:18" x14ac:dyDescent="0.35">
      <c r="B2536" s="113">
        <v>46175</v>
      </c>
      <c r="C2536" s="4" t="s">
        <v>1688</v>
      </c>
      <c r="D2536" s="4" t="s">
        <v>4568</v>
      </c>
      <c r="E2536" s="1" t="str">
        <f>_xlfn.XLOOKUP(tblSales[[#This Row],[Customer ID]],tblCustomers[Customer ID],tblCustomers[Customer Name],"⚠ Unknown")</f>
        <v>Walk-in Customer</v>
      </c>
      <c r="F2536" s="4" t="s">
        <v>11</v>
      </c>
      <c r="G2536" s="1" t="str">
        <f>_xlfn.XLOOKUP(tblSales[[#This Row],[Product Code]],tblProducts[Code],tblProducts[Product / Service Name],"⚠ Unknown")</f>
        <v>Sneakers</v>
      </c>
      <c r="H2536" s="1" t="str">
        <f>_xlfn.XLOOKUP(tblSales[[#This Row],[Product Code]],tblProducts[Code],tblProducts[Category],"")</f>
        <v>Apparel &amp; Footwear</v>
      </c>
      <c r="I2536" s="4">
        <v>2</v>
      </c>
      <c r="J2536" s="5">
        <f>_xlfn.XLOOKUP(tblSales[[#This Row],[Product Code]],tblProducts[Code],tblProducts[Selling Price (excl. VAT)],0)</f>
        <v>250000</v>
      </c>
      <c r="K2536" s="5">
        <f>tblSales[[#This Row],[Qty]]*tblSales[[#This Row],[Unit Price]]</f>
        <v>500000</v>
      </c>
      <c r="L2536" s="5">
        <f>ROUND(tblSales[[#This Row],[DPP (excl. VAT)]]*VATEff,0)</f>
        <v>55000</v>
      </c>
      <c r="M2536" s="5">
        <f>tblSales[[#This Row],[DPP (excl. VAT)]]+tblSales[[#This Row],[Output VAT]]</f>
        <v>555000</v>
      </c>
      <c r="N2536" s="5">
        <f>tblSales[[#This Row],[Qty]]*_xlfn.XLOOKUP(tblSales[[#This Row],[Product Code]],tblProducts[Code],tblProducts[Unit Cost],0)</f>
        <v>310000</v>
      </c>
      <c r="O2536" s="4" t="s">
        <v>4865</v>
      </c>
      <c r="P2536" s="4" t="s">
        <v>4860</v>
      </c>
      <c r="Q2536" s="1" t="str">
        <f>_xlfn.XLOOKUP(tblSales[[#This Row],[Channel Code]],tblChannels[Channel Code],tblChannels[Channel Name],"")</f>
        <v>In-store</v>
      </c>
      <c r="R2536" s="1">
        <f>MONTH(tblSales[[#This Row],[Date]])</f>
        <v>6</v>
      </c>
    </row>
    <row r="2537" spans="2:18" x14ac:dyDescent="0.35">
      <c r="B2537" s="113">
        <v>46175</v>
      </c>
      <c r="C2537" s="4" t="s">
        <v>1689</v>
      </c>
      <c r="D2537" s="4" t="s">
        <v>4568</v>
      </c>
      <c r="E2537" s="1" t="str">
        <f>_xlfn.XLOOKUP(tblSales[[#This Row],[Customer ID]],tblCustomers[Customer ID],tblCustomers[Customer Name],"⚠ Unknown")</f>
        <v>Walk-in Customer</v>
      </c>
      <c r="F2537" s="4" t="s">
        <v>8</v>
      </c>
      <c r="G2537" s="1" t="str">
        <f>_xlfn.XLOOKUP(tblSales[[#This Row],[Product Code]],tblProducts[Code],tblProducts[Product / Service Name],"⚠ Unknown")</f>
        <v>Casual Shorts</v>
      </c>
      <c r="H2537" s="1" t="str">
        <f>_xlfn.XLOOKUP(tblSales[[#This Row],[Product Code]],tblProducts[Code],tblProducts[Category],"")</f>
        <v>Accessories &amp; Basics</v>
      </c>
      <c r="I2537" s="4">
        <v>3</v>
      </c>
      <c r="J2537" s="5">
        <f>_xlfn.XLOOKUP(tblSales[[#This Row],[Product Code]],tblProducts[Code],tblProducts[Selling Price (excl. VAT)],0)</f>
        <v>85000</v>
      </c>
      <c r="K2537" s="5">
        <f>tblSales[[#This Row],[Qty]]*tblSales[[#This Row],[Unit Price]]</f>
        <v>255000</v>
      </c>
      <c r="L2537" s="5">
        <f>ROUND(tblSales[[#This Row],[DPP (excl. VAT)]]*VATEff,0)</f>
        <v>28050</v>
      </c>
      <c r="M2537" s="5">
        <f>tblSales[[#This Row],[DPP (excl. VAT)]]+tblSales[[#This Row],[Output VAT]]</f>
        <v>283050</v>
      </c>
      <c r="N2537" s="5">
        <f>tblSales[[#This Row],[Qty]]*_xlfn.XLOOKUP(tblSales[[#This Row],[Product Code]],tblProducts[Code],tblProducts[Unit Cost],0)</f>
        <v>150000</v>
      </c>
      <c r="O2537" s="4" t="s">
        <v>4866</v>
      </c>
      <c r="P2537" s="4" t="s">
        <v>4861</v>
      </c>
      <c r="Q2537" s="1" t="str">
        <f>_xlfn.XLOOKUP(tblSales[[#This Row],[Channel Code]],tblChannels[Channel Code],tblChannels[Channel Name],"")</f>
        <v>Marketplace</v>
      </c>
      <c r="R2537" s="1">
        <f>MONTH(tblSales[[#This Row],[Date]])</f>
        <v>6</v>
      </c>
    </row>
    <row r="2538" spans="2:18" x14ac:dyDescent="0.35">
      <c r="B2538" s="113">
        <v>46176</v>
      </c>
      <c r="C2538" s="4" t="s">
        <v>1690</v>
      </c>
      <c r="D2538" s="4" t="s">
        <v>4568</v>
      </c>
      <c r="E2538" s="1" t="str">
        <f>_xlfn.XLOOKUP(tblSales[[#This Row],[Customer ID]],tblCustomers[Customer ID],tblCustomers[Customer Name],"⚠ Unknown")</f>
        <v>Walk-in Customer</v>
      </c>
      <c r="F2538" s="4" t="s">
        <v>9</v>
      </c>
      <c r="G2538" s="1" t="str">
        <f>_xlfn.XLOOKUP(tblSales[[#This Row],[Product Code]],tblProducts[Code],tblProducts[Product / Service Name],"⚠ Unknown")</f>
        <v>Casual Shirt</v>
      </c>
      <c r="H2538" s="1" t="str">
        <f>_xlfn.XLOOKUP(tblSales[[#This Row],[Product Code]],tblProducts[Code],tblProducts[Category],"")</f>
        <v>Apparel &amp; Footwear</v>
      </c>
      <c r="I2538" s="4">
        <v>4</v>
      </c>
      <c r="J2538" s="5">
        <f>_xlfn.XLOOKUP(tblSales[[#This Row],[Product Code]],tblProducts[Code],tblProducts[Selling Price (excl. VAT)],0)</f>
        <v>120000</v>
      </c>
      <c r="K2538" s="5">
        <f>tblSales[[#This Row],[Qty]]*tblSales[[#This Row],[Unit Price]]</f>
        <v>480000</v>
      </c>
      <c r="L2538" s="5">
        <f>ROUND(tblSales[[#This Row],[DPP (excl. VAT)]]*VATEff,0)</f>
        <v>52800</v>
      </c>
      <c r="M2538" s="5">
        <f>tblSales[[#This Row],[DPP (excl. VAT)]]+tblSales[[#This Row],[Output VAT]]</f>
        <v>532800</v>
      </c>
      <c r="N2538" s="5">
        <f>tblSales[[#This Row],[Qty]]*_xlfn.XLOOKUP(tblSales[[#This Row],[Product Code]],tblProducts[Code],tblProducts[Unit Cost],0)</f>
        <v>288000</v>
      </c>
      <c r="O2538" s="4" t="s">
        <v>4865</v>
      </c>
      <c r="P2538" s="4" t="s">
        <v>4860</v>
      </c>
      <c r="Q2538" s="1" t="str">
        <f>_xlfn.XLOOKUP(tblSales[[#This Row],[Channel Code]],tblChannels[Channel Code],tblChannels[Channel Name],"")</f>
        <v>In-store</v>
      </c>
      <c r="R2538" s="1">
        <f>MONTH(tblSales[[#This Row],[Date]])</f>
        <v>6</v>
      </c>
    </row>
    <row r="2539" spans="2:18" x14ac:dyDescent="0.35">
      <c r="B2539" s="113">
        <v>46176</v>
      </c>
      <c r="C2539" s="4" t="s">
        <v>1691</v>
      </c>
      <c r="D2539" s="4" t="s">
        <v>4572</v>
      </c>
      <c r="E2539" s="1" t="str">
        <f>_xlfn.XLOOKUP(tblSales[[#This Row],[Customer ID]],tblCustomers[Customer ID],tblCustomers[Customer Name],"⚠ Unknown")</f>
        <v>PT Cahaya Abadi Makmur</v>
      </c>
      <c r="F2539" s="4" t="s">
        <v>6</v>
      </c>
      <c r="G2539" s="1" t="str">
        <f>_xlfn.XLOOKUP(tblSales[[#This Row],[Product Code]],tblProducts[Code],tblProducts[Product / Service Name],"⚠ Unknown")</f>
        <v>Socks &amp; Accessories</v>
      </c>
      <c r="H2539" s="1" t="str">
        <f>_xlfn.XLOOKUP(tblSales[[#This Row],[Product Code]],tblProducts[Code],tblProducts[Category],"")</f>
        <v>Accessories &amp; Basics</v>
      </c>
      <c r="I2539" s="4">
        <v>40</v>
      </c>
      <c r="J2539" s="5">
        <f>_xlfn.XLOOKUP(tblSales[[#This Row],[Product Code]],tblProducts[Code],tblProducts[Selling Price (excl. VAT)],0)</f>
        <v>45000</v>
      </c>
      <c r="K2539" s="5">
        <f>tblSales[[#This Row],[Qty]]*tblSales[[#This Row],[Unit Price]]</f>
        <v>1800000</v>
      </c>
      <c r="L2539" s="5">
        <f>ROUND(tblSales[[#This Row],[DPP (excl. VAT)]]*VATEff,0)</f>
        <v>198000</v>
      </c>
      <c r="M2539" s="5">
        <f>tblSales[[#This Row],[DPP (excl. VAT)]]+tblSales[[#This Row],[Output VAT]]</f>
        <v>1998000</v>
      </c>
      <c r="N2539" s="5">
        <f>tblSales[[#This Row],[Qty]]*_xlfn.XLOOKUP(tblSales[[#This Row],[Product Code]],tblProducts[Code],tblProducts[Unit Cost],0)</f>
        <v>960000</v>
      </c>
      <c r="O2539" s="4" t="s">
        <v>4867</v>
      </c>
      <c r="P2539" s="4" t="s">
        <v>4860</v>
      </c>
      <c r="Q2539" s="1" t="str">
        <f>_xlfn.XLOOKUP(tblSales[[#This Row],[Channel Code]],tblChannels[Channel Code],tblChannels[Channel Name],"")</f>
        <v>In-store</v>
      </c>
      <c r="R2539" s="1">
        <f>MONTH(tblSales[[#This Row],[Date]])</f>
        <v>6</v>
      </c>
    </row>
    <row r="2540" spans="2:18" x14ac:dyDescent="0.35">
      <c r="B2540" s="113">
        <v>46176</v>
      </c>
      <c r="C2540" s="4" t="s">
        <v>1692</v>
      </c>
      <c r="D2540" s="4" t="s">
        <v>4599</v>
      </c>
      <c r="E2540" s="1" t="str">
        <f>_xlfn.XLOOKUP(tblSales[[#This Row],[Customer ID]],tblCustomers[Customer ID],tblCustomers[Customer Name],"⚠ Unknown")</f>
        <v>PT Samudra Jaya Logistik</v>
      </c>
      <c r="F2540" s="4" t="s">
        <v>7</v>
      </c>
      <c r="G2540" s="1" t="str">
        <f>_xlfn.XLOOKUP(tblSales[[#This Row],[Product Code]],tblProducts[Code],tblProducts[Product / Service Name],"⚠ Unknown")</f>
        <v>Premium Basic T-shirt</v>
      </c>
      <c r="H2540" s="1" t="str">
        <f>_xlfn.XLOOKUP(tblSales[[#This Row],[Product Code]],tblProducts[Code],tblProducts[Category],"")</f>
        <v>Accessories &amp; Basics</v>
      </c>
      <c r="I2540" s="4">
        <v>40</v>
      </c>
      <c r="J2540" s="5">
        <f>_xlfn.XLOOKUP(tblSales[[#This Row],[Product Code]],tblProducts[Code],tblProducts[Selling Price (excl. VAT)],0)</f>
        <v>65000</v>
      </c>
      <c r="K2540" s="5">
        <f>tblSales[[#This Row],[Qty]]*tblSales[[#This Row],[Unit Price]]</f>
        <v>2600000</v>
      </c>
      <c r="L2540" s="5">
        <f>ROUND(tblSales[[#This Row],[DPP (excl. VAT)]]*VATEff,0)</f>
        <v>286000</v>
      </c>
      <c r="M2540" s="5">
        <f>tblSales[[#This Row],[DPP (excl. VAT)]]+tblSales[[#This Row],[Output VAT]]</f>
        <v>2886000</v>
      </c>
      <c r="N2540" s="5">
        <f>tblSales[[#This Row],[Qty]]*_xlfn.XLOOKUP(tblSales[[#This Row],[Product Code]],tblProducts[Code],tblProducts[Unit Cost],0)</f>
        <v>1480000</v>
      </c>
      <c r="O2540" s="4" t="s">
        <v>4867</v>
      </c>
      <c r="P2540" s="4" t="s">
        <v>4860</v>
      </c>
      <c r="Q2540" s="1" t="str">
        <f>_xlfn.XLOOKUP(tblSales[[#This Row],[Channel Code]],tblChannels[Channel Code],tblChannels[Channel Name],"")</f>
        <v>In-store</v>
      </c>
      <c r="R2540" s="1">
        <f>MONTH(tblSales[[#This Row],[Date]])</f>
        <v>6</v>
      </c>
    </row>
    <row r="2541" spans="2:18" x14ac:dyDescent="0.35">
      <c r="B2541" s="113">
        <v>46176</v>
      </c>
      <c r="C2541" s="4" t="s">
        <v>1692</v>
      </c>
      <c r="D2541" s="4" t="s">
        <v>4599</v>
      </c>
      <c r="E2541" s="1" t="str">
        <f>_xlfn.XLOOKUP(tblSales[[#This Row],[Customer ID]],tblCustomers[Customer ID],tblCustomers[Customer Name],"⚠ Unknown")</f>
        <v>PT Samudra Jaya Logistik</v>
      </c>
      <c r="F2541" s="4" t="s">
        <v>6</v>
      </c>
      <c r="G2541" s="1" t="str">
        <f>_xlfn.XLOOKUP(tblSales[[#This Row],[Product Code]],tblProducts[Code],tblProducts[Product / Service Name],"⚠ Unknown")</f>
        <v>Socks &amp; Accessories</v>
      </c>
      <c r="H2541" s="1" t="str">
        <f>_xlfn.XLOOKUP(tblSales[[#This Row],[Product Code]],tblProducts[Code],tblProducts[Category],"")</f>
        <v>Accessories &amp; Basics</v>
      </c>
      <c r="I2541" s="4">
        <v>88</v>
      </c>
      <c r="J2541" s="5">
        <f>_xlfn.XLOOKUP(tblSales[[#This Row],[Product Code]],tblProducts[Code],tblProducts[Selling Price (excl. VAT)],0)</f>
        <v>45000</v>
      </c>
      <c r="K2541" s="5">
        <f>tblSales[[#This Row],[Qty]]*tblSales[[#This Row],[Unit Price]]</f>
        <v>3960000</v>
      </c>
      <c r="L2541" s="5">
        <f>ROUND(tblSales[[#This Row],[DPP (excl. VAT)]]*VATEff,0)</f>
        <v>435600</v>
      </c>
      <c r="M2541" s="5">
        <f>tblSales[[#This Row],[DPP (excl. VAT)]]+tblSales[[#This Row],[Output VAT]]</f>
        <v>4395600</v>
      </c>
      <c r="N2541" s="5">
        <f>tblSales[[#This Row],[Qty]]*_xlfn.XLOOKUP(tblSales[[#This Row],[Product Code]],tblProducts[Code],tblProducts[Unit Cost],0)</f>
        <v>2112000</v>
      </c>
      <c r="O2541" s="4" t="s">
        <v>4867</v>
      </c>
      <c r="P2541" s="4" t="s">
        <v>4860</v>
      </c>
      <c r="Q2541" s="1" t="str">
        <f>_xlfn.XLOOKUP(tblSales[[#This Row],[Channel Code]],tblChannels[Channel Code],tblChannels[Channel Name],"")</f>
        <v>In-store</v>
      </c>
      <c r="R2541" s="1">
        <f>MONTH(tblSales[[#This Row],[Date]])</f>
        <v>6</v>
      </c>
    </row>
    <row r="2542" spans="2:18" x14ac:dyDescent="0.35">
      <c r="B2542" s="113">
        <v>46176</v>
      </c>
      <c r="C2542" s="4" t="s">
        <v>1693</v>
      </c>
      <c r="D2542" s="4" t="s">
        <v>4568</v>
      </c>
      <c r="E2542" s="1" t="str">
        <f>_xlfn.XLOOKUP(tblSales[[#This Row],[Customer ID]],tblCustomers[Customer ID],tblCustomers[Customer Name],"⚠ Unknown")</f>
        <v>Walk-in Customer</v>
      </c>
      <c r="F2542" s="4" t="s">
        <v>7</v>
      </c>
      <c r="G2542" s="1" t="str">
        <f>_xlfn.XLOOKUP(tblSales[[#This Row],[Product Code]],tblProducts[Code],tblProducts[Product / Service Name],"⚠ Unknown")</f>
        <v>Premium Basic T-shirt</v>
      </c>
      <c r="H2542" s="1" t="str">
        <f>_xlfn.XLOOKUP(tblSales[[#This Row],[Product Code]],tblProducts[Code],tblProducts[Category],"")</f>
        <v>Accessories &amp; Basics</v>
      </c>
      <c r="I2542" s="4">
        <v>4</v>
      </c>
      <c r="J2542" s="5">
        <f>_xlfn.XLOOKUP(tblSales[[#This Row],[Product Code]],tblProducts[Code],tblProducts[Selling Price (excl. VAT)],0)</f>
        <v>65000</v>
      </c>
      <c r="K2542" s="5">
        <f>tblSales[[#This Row],[Qty]]*tblSales[[#This Row],[Unit Price]]</f>
        <v>260000</v>
      </c>
      <c r="L2542" s="5">
        <f>ROUND(tblSales[[#This Row],[DPP (excl. VAT)]]*VATEff,0)</f>
        <v>28600</v>
      </c>
      <c r="M2542" s="5">
        <f>tblSales[[#This Row],[DPP (excl. VAT)]]+tblSales[[#This Row],[Output VAT]]</f>
        <v>288600</v>
      </c>
      <c r="N2542" s="5">
        <f>tblSales[[#This Row],[Qty]]*_xlfn.XLOOKUP(tblSales[[#This Row],[Product Code]],tblProducts[Code],tblProducts[Unit Cost],0)</f>
        <v>148000</v>
      </c>
      <c r="O2542" s="4" t="s">
        <v>4866</v>
      </c>
      <c r="P2542" s="4" t="s">
        <v>4861</v>
      </c>
      <c r="Q2542" s="1" t="str">
        <f>_xlfn.XLOOKUP(tblSales[[#This Row],[Channel Code]],tblChannels[Channel Code],tblChannels[Channel Name],"")</f>
        <v>Marketplace</v>
      </c>
      <c r="R2542" s="1">
        <f>MONTH(tblSales[[#This Row],[Date]])</f>
        <v>6</v>
      </c>
    </row>
    <row r="2543" spans="2:18" x14ac:dyDescent="0.35">
      <c r="B2543" s="113">
        <v>46176</v>
      </c>
      <c r="C2543" s="4" t="s">
        <v>1694</v>
      </c>
      <c r="D2543" s="4" t="s">
        <v>4568</v>
      </c>
      <c r="E2543" s="1" t="str">
        <f>_xlfn.XLOOKUP(tblSales[[#This Row],[Customer ID]],tblCustomers[Customer ID],tblCustomers[Customer Name],"⚠ Unknown")</f>
        <v>Walk-in Customer</v>
      </c>
      <c r="F2543" s="4" t="s">
        <v>15</v>
      </c>
      <c r="G2543" s="1" t="str">
        <f>_xlfn.XLOOKUP(tblSales[[#This Row],[Product Code]],tblProducts[Code],tblProducts[Product / Service Name],"⚠ Unknown")</f>
        <v>Wireless Earbuds Pro</v>
      </c>
      <c r="H2543" s="1" t="str">
        <f>_xlfn.XLOOKUP(tblSales[[#This Row],[Product Code]],tblProducts[Code],tblProducts[Category],"")</f>
        <v>Bags &amp; Gadgets</v>
      </c>
      <c r="I2543" s="4">
        <v>3</v>
      </c>
      <c r="J2543" s="5">
        <f>_xlfn.XLOOKUP(tblSales[[#This Row],[Product Code]],tblProducts[Code],tblProducts[Selling Price (excl. VAT)],0)</f>
        <v>1250000</v>
      </c>
      <c r="K2543" s="5">
        <f>tblSales[[#This Row],[Qty]]*tblSales[[#This Row],[Unit Price]]</f>
        <v>3750000</v>
      </c>
      <c r="L2543" s="5">
        <f>ROUND(tblSales[[#This Row],[DPP (excl. VAT)]]*VATEff,0)</f>
        <v>412500</v>
      </c>
      <c r="M2543" s="5">
        <f>tblSales[[#This Row],[DPP (excl. VAT)]]+tblSales[[#This Row],[Output VAT]]</f>
        <v>4162500</v>
      </c>
      <c r="N2543" s="5">
        <f>tblSales[[#This Row],[Qty]]*_xlfn.XLOOKUP(tblSales[[#This Row],[Product Code]],tblProducts[Code],tblProducts[Unit Cost],0)</f>
        <v>2460000</v>
      </c>
      <c r="O2543" s="4" t="s">
        <v>4866</v>
      </c>
      <c r="P2543" s="4" t="s">
        <v>4860</v>
      </c>
      <c r="Q2543" s="1" t="str">
        <f>_xlfn.XLOOKUP(tblSales[[#This Row],[Channel Code]],tblChannels[Channel Code],tblChannels[Channel Name],"")</f>
        <v>In-store</v>
      </c>
      <c r="R2543" s="1">
        <f>MONTH(tblSales[[#This Row],[Date]])</f>
        <v>6</v>
      </c>
    </row>
    <row r="2544" spans="2:18" x14ac:dyDescent="0.35">
      <c r="B2544" s="113">
        <v>46176</v>
      </c>
      <c r="C2544" s="4" t="s">
        <v>1695</v>
      </c>
      <c r="D2544" s="4" t="s">
        <v>4648</v>
      </c>
      <c r="E2544" s="1" t="str">
        <f>_xlfn.XLOOKUP(tblSales[[#This Row],[Customer ID]],tblCustomers[Customer ID],tblCustomers[Customer Name],"⚠ Unknown")</f>
        <v>PT Lintas Benua Niaga</v>
      </c>
      <c r="F2544" s="4" t="s">
        <v>10</v>
      </c>
      <c r="G2544" s="1" t="str">
        <f>_xlfn.XLOOKUP(tblSales[[#This Row],[Product Code]],tblProducts[Code],tblProducts[Product / Service Name],"⚠ Unknown")</f>
        <v>Chino Pants</v>
      </c>
      <c r="H2544" s="1" t="str">
        <f>_xlfn.XLOOKUP(tblSales[[#This Row],[Product Code]],tblProducts[Code],tblProducts[Category],"")</f>
        <v>Apparel &amp; Footwear</v>
      </c>
      <c r="I2544" s="4">
        <v>72</v>
      </c>
      <c r="J2544" s="5">
        <f>_xlfn.XLOOKUP(tblSales[[#This Row],[Product Code]],tblProducts[Code],tblProducts[Selling Price (excl. VAT)],0)</f>
        <v>150000</v>
      </c>
      <c r="K2544" s="5">
        <f>tblSales[[#This Row],[Qty]]*tblSales[[#This Row],[Unit Price]]</f>
        <v>10800000</v>
      </c>
      <c r="L2544" s="5">
        <f>ROUND(tblSales[[#This Row],[DPP (excl. VAT)]]*VATEff,0)</f>
        <v>1188000</v>
      </c>
      <c r="M2544" s="5">
        <f>tblSales[[#This Row],[DPP (excl. VAT)]]+tblSales[[#This Row],[Output VAT]]</f>
        <v>11988000</v>
      </c>
      <c r="N2544" s="5">
        <f>tblSales[[#This Row],[Qty]]*_xlfn.XLOOKUP(tblSales[[#This Row],[Product Code]],tblProducts[Code],tblProducts[Unit Cost],0)</f>
        <v>6336000</v>
      </c>
      <c r="O2544" s="4" t="s">
        <v>4867</v>
      </c>
      <c r="P2544" s="4" t="s">
        <v>4862</v>
      </c>
      <c r="Q2544" s="1" t="str">
        <f>_xlfn.XLOOKUP(tblSales[[#This Row],[Channel Code]],tblChannels[Channel Code],tblChannels[Channel Name],"")</f>
        <v>Website &amp; Social Media</v>
      </c>
      <c r="R2544" s="1">
        <f>MONTH(tblSales[[#This Row],[Date]])</f>
        <v>6</v>
      </c>
    </row>
    <row r="2545" spans="2:18" x14ac:dyDescent="0.35">
      <c r="B2545" s="113">
        <v>46176</v>
      </c>
      <c r="C2545" s="4" t="s">
        <v>1696</v>
      </c>
      <c r="D2545" s="4" t="s">
        <v>4568</v>
      </c>
      <c r="E2545" s="1" t="str">
        <f>_xlfn.XLOOKUP(tblSales[[#This Row],[Customer ID]],tblCustomers[Customer ID],tblCustomers[Customer Name],"⚠ Unknown")</f>
        <v>Walk-in Customer</v>
      </c>
      <c r="F2545" s="4" t="s">
        <v>6</v>
      </c>
      <c r="G2545" s="1" t="str">
        <f>_xlfn.XLOOKUP(tblSales[[#This Row],[Product Code]],tblProducts[Code],tblProducts[Product / Service Name],"⚠ Unknown")</f>
        <v>Socks &amp; Accessories</v>
      </c>
      <c r="H2545" s="1" t="str">
        <f>_xlfn.XLOOKUP(tblSales[[#This Row],[Product Code]],tblProducts[Code],tblProducts[Category],"")</f>
        <v>Accessories &amp; Basics</v>
      </c>
      <c r="I2545" s="4">
        <v>4</v>
      </c>
      <c r="J2545" s="5">
        <f>_xlfn.XLOOKUP(tblSales[[#This Row],[Product Code]],tblProducts[Code],tblProducts[Selling Price (excl. VAT)],0)</f>
        <v>45000</v>
      </c>
      <c r="K2545" s="5">
        <f>tblSales[[#This Row],[Qty]]*tblSales[[#This Row],[Unit Price]]</f>
        <v>180000</v>
      </c>
      <c r="L2545" s="5">
        <f>ROUND(tblSales[[#This Row],[DPP (excl. VAT)]]*VATEff,0)</f>
        <v>19800</v>
      </c>
      <c r="M2545" s="5">
        <f>tblSales[[#This Row],[DPP (excl. VAT)]]+tblSales[[#This Row],[Output VAT]]</f>
        <v>199800</v>
      </c>
      <c r="N2545" s="5">
        <f>tblSales[[#This Row],[Qty]]*_xlfn.XLOOKUP(tblSales[[#This Row],[Product Code]],tblProducts[Code],tblProducts[Unit Cost],0)</f>
        <v>96000</v>
      </c>
      <c r="O2545" s="4" t="s">
        <v>4865</v>
      </c>
      <c r="P2545" s="4" t="s">
        <v>4860</v>
      </c>
      <c r="Q2545" s="1" t="str">
        <f>_xlfn.XLOOKUP(tblSales[[#This Row],[Channel Code]],tblChannels[Channel Code],tblChannels[Channel Name],"")</f>
        <v>In-store</v>
      </c>
      <c r="R2545" s="1">
        <f>MONTH(tblSales[[#This Row],[Date]])</f>
        <v>6</v>
      </c>
    </row>
    <row r="2546" spans="2:18" x14ac:dyDescent="0.35">
      <c r="B2546" s="113">
        <v>46176</v>
      </c>
      <c r="C2546" s="4" t="s">
        <v>1697</v>
      </c>
      <c r="D2546" s="4" t="s">
        <v>4568</v>
      </c>
      <c r="E2546" s="1" t="str">
        <f>_xlfn.XLOOKUP(tblSales[[#This Row],[Customer ID]],tblCustomers[Customer ID],tblCustomers[Customer Name],"⚠ Unknown")</f>
        <v>Walk-in Customer</v>
      </c>
      <c r="F2546" s="4" t="s">
        <v>11</v>
      </c>
      <c r="G2546" s="1" t="str">
        <f>_xlfn.XLOOKUP(tblSales[[#This Row],[Product Code]],tblProducts[Code],tblProducts[Product / Service Name],"⚠ Unknown")</f>
        <v>Sneakers</v>
      </c>
      <c r="H2546" s="1" t="str">
        <f>_xlfn.XLOOKUP(tblSales[[#This Row],[Product Code]],tblProducts[Code],tblProducts[Category],"")</f>
        <v>Apparel &amp; Footwear</v>
      </c>
      <c r="I2546" s="4">
        <v>1</v>
      </c>
      <c r="J2546" s="5">
        <f>_xlfn.XLOOKUP(tblSales[[#This Row],[Product Code]],tblProducts[Code],tblProducts[Selling Price (excl. VAT)],0)</f>
        <v>250000</v>
      </c>
      <c r="K2546" s="5">
        <f>tblSales[[#This Row],[Qty]]*tblSales[[#This Row],[Unit Price]]</f>
        <v>250000</v>
      </c>
      <c r="L2546" s="5">
        <f>ROUND(tblSales[[#This Row],[DPP (excl. VAT)]]*VATEff,0)</f>
        <v>27500</v>
      </c>
      <c r="M2546" s="5">
        <f>tblSales[[#This Row],[DPP (excl. VAT)]]+tblSales[[#This Row],[Output VAT]]</f>
        <v>277500</v>
      </c>
      <c r="N2546" s="5">
        <f>tblSales[[#This Row],[Qty]]*_xlfn.XLOOKUP(tblSales[[#This Row],[Product Code]],tblProducts[Code],tblProducts[Unit Cost],0)</f>
        <v>155000</v>
      </c>
      <c r="O2546" s="4" t="s">
        <v>4866</v>
      </c>
      <c r="P2546" s="4" t="s">
        <v>4861</v>
      </c>
      <c r="Q2546" s="1" t="str">
        <f>_xlfn.XLOOKUP(tblSales[[#This Row],[Channel Code]],tblChannels[Channel Code],tblChannels[Channel Name],"")</f>
        <v>Marketplace</v>
      </c>
      <c r="R2546" s="1">
        <f>MONTH(tblSales[[#This Row],[Date]])</f>
        <v>6</v>
      </c>
    </row>
    <row r="2547" spans="2:18" x14ac:dyDescent="0.35">
      <c r="B2547" s="113">
        <v>46176</v>
      </c>
      <c r="C2547" s="4" t="s">
        <v>1698</v>
      </c>
      <c r="D2547" s="4" t="s">
        <v>4568</v>
      </c>
      <c r="E2547" s="1" t="str">
        <f>_xlfn.XLOOKUP(tblSales[[#This Row],[Customer ID]],tblCustomers[Customer ID],tblCustomers[Customer Name],"⚠ Unknown")</f>
        <v>Walk-in Customer</v>
      </c>
      <c r="F2547" s="4" t="s">
        <v>8</v>
      </c>
      <c r="G2547" s="1" t="str">
        <f>_xlfn.XLOOKUP(tblSales[[#This Row],[Product Code]],tblProducts[Code],tblProducts[Product / Service Name],"⚠ Unknown")</f>
        <v>Casual Shorts</v>
      </c>
      <c r="H2547" s="1" t="str">
        <f>_xlfn.XLOOKUP(tblSales[[#This Row],[Product Code]],tblProducts[Code],tblProducts[Category],"")</f>
        <v>Accessories &amp; Basics</v>
      </c>
      <c r="I2547" s="4">
        <v>6</v>
      </c>
      <c r="J2547" s="5">
        <f>_xlfn.XLOOKUP(tblSales[[#This Row],[Product Code]],tblProducts[Code],tblProducts[Selling Price (excl. VAT)],0)</f>
        <v>85000</v>
      </c>
      <c r="K2547" s="5">
        <f>tblSales[[#This Row],[Qty]]*tblSales[[#This Row],[Unit Price]]</f>
        <v>510000</v>
      </c>
      <c r="L2547" s="5">
        <f>ROUND(tblSales[[#This Row],[DPP (excl. VAT)]]*VATEff,0)</f>
        <v>56100</v>
      </c>
      <c r="M2547" s="5">
        <f>tblSales[[#This Row],[DPP (excl. VAT)]]+tblSales[[#This Row],[Output VAT]]</f>
        <v>566100</v>
      </c>
      <c r="N2547" s="5">
        <f>tblSales[[#This Row],[Qty]]*_xlfn.XLOOKUP(tblSales[[#This Row],[Product Code]],tblProducts[Code],tblProducts[Unit Cost],0)</f>
        <v>300000</v>
      </c>
      <c r="O2547" s="4" t="s">
        <v>4866</v>
      </c>
      <c r="P2547" s="4" t="s">
        <v>4862</v>
      </c>
      <c r="Q2547" s="1" t="str">
        <f>_xlfn.XLOOKUP(tblSales[[#This Row],[Channel Code]],tblChannels[Channel Code],tblChannels[Channel Name],"")</f>
        <v>Website &amp; Social Media</v>
      </c>
      <c r="R2547" s="1">
        <f>MONTH(tblSales[[#This Row],[Date]])</f>
        <v>6</v>
      </c>
    </row>
    <row r="2548" spans="2:18" x14ac:dyDescent="0.35">
      <c r="B2548" s="113">
        <v>46176</v>
      </c>
      <c r="C2548" s="4" t="s">
        <v>1699</v>
      </c>
      <c r="D2548" s="4" t="s">
        <v>4641</v>
      </c>
      <c r="E2548" s="1" t="str">
        <f>_xlfn.XLOOKUP(tblSales[[#This Row],[Customer ID]],tblCustomers[Customer ID],tblCustomers[Customer Name],"⚠ Unknown")</f>
        <v>PT Harmoni Pangan Lestari</v>
      </c>
      <c r="F2548" s="4" t="s">
        <v>9</v>
      </c>
      <c r="G2548" s="1" t="str">
        <f>_xlfn.XLOOKUP(tblSales[[#This Row],[Product Code]],tblProducts[Code],tblProducts[Product / Service Name],"⚠ Unknown")</f>
        <v>Casual Shirt</v>
      </c>
      <c r="H2548" s="1" t="str">
        <f>_xlfn.XLOOKUP(tblSales[[#This Row],[Product Code]],tblProducts[Code],tblProducts[Category],"")</f>
        <v>Apparel &amp; Footwear</v>
      </c>
      <c r="I2548" s="4">
        <v>32</v>
      </c>
      <c r="J2548" s="5">
        <f>_xlfn.XLOOKUP(tblSales[[#This Row],[Product Code]],tblProducts[Code],tblProducts[Selling Price (excl. VAT)],0)</f>
        <v>120000</v>
      </c>
      <c r="K2548" s="5">
        <f>tblSales[[#This Row],[Qty]]*tblSales[[#This Row],[Unit Price]]</f>
        <v>3840000</v>
      </c>
      <c r="L2548" s="5">
        <f>ROUND(tblSales[[#This Row],[DPP (excl. VAT)]]*VATEff,0)</f>
        <v>422400</v>
      </c>
      <c r="M2548" s="5">
        <f>tblSales[[#This Row],[DPP (excl. VAT)]]+tblSales[[#This Row],[Output VAT]]</f>
        <v>4262400</v>
      </c>
      <c r="N2548" s="5">
        <f>tblSales[[#This Row],[Qty]]*_xlfn.XLOOKUP(tblSales[[#This Row],[Product Code]],tblProducts[Code],tblProducts[Unit Cost],0)</f>
        <v>2304000</v>
      </c>
      <c r="O2548" s="4" t="s">
        <v>4867</v>
      </c>
      <c r="P2548" s="4" t="s">
        <v>4860</v>
      </c>
      <c r="Q2548" s="1" t="str">
        <f>_xlfn.XLOOKUP(tblSales[[#This Row],[Channel Code]],tblChannels[Channel Code],tblChannels[Channel Name],"")</f>
        <v>In-store</v>
      </c>
      <c r="R2548" s="1">
        <f>MONTH(tblSales[[#This Row],[Date]])</f>
        <v>6</v>
      </c>
    </row>
    <row r="2549" spans="2:18" x14ac:dyDescent="0.35">
      <c r="B2549" s="113">
        <v>46176</v>
      </c>
      <c r="C2549" s="4" t="s">
        <v>1700</v>
      </c>
      <c r="D2549" s="4" t="s">
        <v>4568</v>
      </c>
      <c r="E2549" s="1" t="str">
        <f>_xlfn.XLOOKUP(tblSales[[#This Row],[Customer ID]],tblCustomers[Customer ID],tblCustomers[Customer Name],"⚠ Unknown")</f>
        <v>Walk-in Customer</v>
      </c>
      <c r="F2549" s="4" t="s">
        <v>8</v>
      </c>
      <c r="G2549" s="1" t="str">
        <f>_xlfn.XLOOKUP(tblSales[[#This Row],[Product Code]],tblProducts[Code],tblProducts[Product / Service Name],"⚠ Unknown")</f>
        <v>Casual Shorts</v>
      </c>
      <c r="H2549" s="1" t="str">
        <f>_xlfn.XLOOKUP(tblSales[[#This Row],[Product Code]],tblProducts[Code],tblProducts[Category],"")</f>
        <v>Accessories &amp; Basics</v>
      </c>
      <c r="I2549" s="4">
        <v>10</v>
      </c>
      <c r="J2549" s="5">
        <f>_xlfn.XLOOKUP(tblSales[[#This Row],[Product Code]],tblProducts[Code],tblProducts[Selling Price (excl. VAT)],0)</f>
        <v>85000</v>
      </c>
      <c r="K2549" s="5">
        <f>tblSales[[#This Row],[Qty]]*tblSales[[#This Row],[Unit Price]]</f>
        <v>850000</v>
      </c>
      <c r="L2549" s="5">
        <f>ROUND(tblSales[[#This Row],[DPP (excl. VAT)]]*VATEff,0)</f>
        <v>93500</v>
      </c>
      <c r="M2549" s="5">
        <f>tblSales[[#This Row],[DPP (excl. VAT)]]+tblSales[[#This Row],[Output VAT]]</f>
        <v>943500</v>
      </c>
      <c r="N2549" s="5">
        <f>tblSales[[#This Row],[Qty]]*_xlfn.XLOOKUP(tblSales[[#This Row],[Product Code]],tblProducts[Code],tblProducts[Unit Cost],0)</f>
        <v>500000</v>
      </c>
      <c r="O2549" s="4" t="s">
        <v>4866</v>
      </c>
      <c r="P2549" s="4" t="s">
        <v>4860</v>
      </c>
      <c r="Q2549" s="1" t="str">
        <f>_xlfn.XLOOKUP(tblSales[[#This Row],[Channel Code]],tblChannels[Channel Code],tblChannels[Channel Name],"")</f>
        <v>In-store</v>
      </c>
      <c r="R2549" s="1">
        <f>MONTH(tblSales[[#This Row],[Date]])</f>
        <v>6</v>
      </c>
    </row>
    <row r="2550" spans="2:18" x14ac:dyDescent="0.35">
      <c r="B2550" s="113">
        <v>46176</v>
      </c>
      <c r="C2550" s="4" t="s">
        <v>1700</v>
      </c>
      <c r="D2550" s="4" t="s">
        <v>4568</v>
      </c>
      <c r="E2550" s="1" t="str">
        <f>_xlfn.XLOOKUP(tblSales[[#This Row],[Customer ID]],tblCustomers[Customer ID],tblCustomers[Customer Name],"⚠ Unknown")</f>
        <v>Walk-in Customer</v>
      </c>
      <c r="F2550" s="4" t="s">
        <v>7</v>
      </c>
      <c r="G2550" s="1" t="str">
        <f>_xlfn.XLOOKUP(tblSales[[#This Row],[Product Code]],tblProducts[Code],tblProducts[Product / Service Name],"⚠ Unknown")</f>
        <v>Premium Basic T-shirt</v>
      </c>
      <c r="H2550" s="1" t="str">
        <f>_xlfn.XLOOKUP(tblSales[[#This Row],[Product Code]],tblProducts[Code],tblProducts[Category],"")</f>
        <v>Accessories &amp; Basics</v>
      </c>
      <c r="I2550" s="4">
        <v>3</v>
      </c>
      <c r="J2550" s="5">
        <f>_xlfn.XLOOKUP(tblSales[[#This Row],[Product Code]],tblProducts[Code],tblProducts[Selling Price (excl. VAT)],0)</f>
        <v>65000</v>
      </c>
      <c r="K2550" s="5">
        <f>tblSales[[#This Row],[Qty]]*tblSales[[#This Row],[Unit Price]]</f>
        <v>195000</v>
      </c>
      <c r="L2550" s="5">
        <f>ROUND(tblSales[[#This Row],[DPP (excl. VAT)]]*VATEff,0)</f>
        <v>21450</v>
      </c>
      <c r="M2550" s="5">
        <f>tblSales[[#This Row],[DPP (excl. VAT)]]+tblSales[[#This Row],[Output VAT]]</f>
        <v>216450</v>
      </c>
      <c r="N2550" s="5">
        <f>tblSales[[#This Row],[Qty]]*_xlfn.XLOOKUP(tblSales[[#This Row],[Product Code]],tblProducts[Code],tblProducts[Unit Cost],0)</f>
        <v>111000</v>
      </c>
      <c r="O2550" s="4" t="s">
        <v>4866</v>
      </c>
      <c r="P2550" s="4" t="s">
        <v>4860</v>
      </c>
      <c r="Q2550" s="1" t="str">
        <f>_xlfn.XLOOKUP(tblSales[[#This Row],[Channel Code]],tblChannels[Channel Code],tblChannels[Channel Name],"")</f>
        <v>In-store</v>
      </c>
      <c r="R2550" s="1">
        <f>MONTH(tblSales[[#This Row],[Date]])</f>
        <v>6</v>
      </c>
    </row>
    <row r="2551" spans="2:18" x14ac:dyDescent="0.35">
      <c r="B2551" s="113">
        <v>46176</v>
      </c>
      <c r="C2551" s="4" t="s">
        <v>1701</v>
      </c>
      <c r="D2551" s="4" t="s">
        <v>4568</v>
      </c>
      <c r="E2551" s="1" t="str">
        <f>_xlfn.XLOOKUP(tblSales[[#This Row],[Customer ID]],tblCustomers[Customer ID],tblCustomers[Customer Name],"⚠ Unknown")</f>
        <v>Walk-in Customer</v>
      </c>
      <c r="F2551" s="4" t="s">
        <v>7</v>
      </c>
      <c r="G2551" s="1" t="str">
        <f>_xlfn.XLOOKUP(tblSales[[#This Row],[Product Code]],tblProducts[Code],tblProducts[Product / Service Name],"⚠ Unknown")</f>
        <v>Premium Basic T-shirt</v>
      </c>
      <c r="H2551" s="1" t="str">
        <f>_xlfn.XLOOKUP(tblSales[[#This Row],[Product Code]],tblProducts[Code],tblProducts[Category],"")</f>
        <v>Accessories &amp; Basics</v>
      </c>
      <c r="I2551" s="4">
        <v>11</v>
      </c>
      <c r="J2551" s="5">
        <f>_xlfn.XLOOKUP(tblSales[[#This Row],[Product Code]],tblProducts[Code],tblProducts[Selling Price (excl. VAT)],0)</f>
        <v>65000</v>
      </c>
      <c r="K2551" s="5">
        <f>tblSales[[#This Row],[Qty]]*tblSales[[#This Row],[Unit Price]]</f>
        <v>715000</v>
      </c>
      <c r="L2551" s="5">
        <f>ROUND(tblSales[[#This Row],[DPP (excl. VAT)]]*VATEff,0)</f>
        <v>78650</v>
      </c>
      <c r="M2551" s="5">
        <f>tblSales[[#This Row],[DPP (excl. VAT)]]+tblSales[[#This Row],[Output VAT]]</f>
        <v>793650</v>
      </c>
      <c r="N2551" s="5">
        <f>tblSales[[#This Row],[Qty]]*_xlfn.XLOOKUP(tblSales[[#This Row],[Product Code]],tblProducts[Code],tblProducts[Unit Cost],0)</f>
        <v>407000</v>
      </c>
      <c r="O2551" s="4" t="s">
        <v>4866</v>
      </c>
      <c r="P2551" s="4" t="s">
        <v>4861</v>
      </c>
      <c r="Q2551" s="1" t="str">
        <f>_xlfn.XLOOKUP(tblSales[[#This Row],[Channel Code]],tblChannels[Channel Code],tblChannels[Channel Name],"")</f>
        <v>Marketplace</v>
      </c>
      <c r="R2551" s="1">
        <f>MONTH(tblSales[[#This Row],[Date]])</f>
        <v>6</v>
      </c>
    </row>
    <row r="2552" spans="2:18" x14ac:dyDescent="0.35">
      <c r="B2552" s="113">
        <v>46176</v>
      </c>
      <c r="C2552" s="4" t="s">
        <v>1702</v>
      </c>
      <c r="D2552" s="4" t="s">
        <v>4568</v>
      </c>
      <c r="E2552" s="1" t="str">
        <f>_xlfn.XLOOKUP(tblSales[[#This Row],[Customer ID]],tblCustomers[Customer ID],tblCustomers[Customer Name],"⚠ Unknown")</f>
        <v>Walk-in Customer</v>
      </c>
      <c r="F2552" s="4" t="s">
        <v>8</v>
      </c>
      <c r="G2552" s="1" t="str">
        <f>_xlfn.XLOOKUP(tblSales[[#This Row],[Product Code]],tblProducts[Code],tblProducts[Product / Service Name],"⚠ Unknown")</f>
        <v>Casual Shorts</v>
      </c>
      <c r="H2552" s="1" t="str">
        <f>_xlfn.XLOOKUP(tblSales[[#This Row],[Product Code]],tblProducts[Code],tblProducts[Category],"")</f>
        <v>Accessories &amp; Basics</v>
      </c>
      <c r="I2552" s="4">
        <v>11</v>
      </c>
      <c r="J2552" s="5">
        <f>_xlfn.XLOOKUP(tblSales[[#This Row],[Product Code]],tblProducts[Code],tblProducts[Selling Price (excl. VAT)],0)</f>
        <v>85000</v>
      </c>
      <c r="K2552" s="5">
        <f>tblSales[[#This Row],[Qty]]*tblSales[[#This Row],[Unit Price]]</f>
        <v>935000</v>
      </c>
      <c r="L2552" s="5">
        <f>ROUND(tblSales[[#This Row],[DPP (excl. VAT)]]*VATEff,0)</f>
        <v>102850</v>
      </c>
      <c r="M2552" s="5">
        <f>tblSales[[#This Row],[DPP (excl. VAT)]]+tblSales[[#This Row],[Output VAT]]</f>
        <v>1037850</v>
      </c>
      <c r="N2552" s="5">
        <f>tblSales[[#This Row],[Qty]]*_xlfn.XLOOKUP(tblSales[[#This Row],[Product Code]],tblProducts[Code],tblProducts[Unit Cost],0)</f>
        <v>550000</v>
      </c>
      <c r="O2552" s="4" t="s">
        <v>4866</v>
      </c>
      <c r="P2552" s="4" t="s">
        <v>4860</v>
      </c>
      <c r="Q2552" s="1" t="str">
        <f>_xlfn.XLOOKUP(tblSales[[#This Row],[Channel Code]],tblChannels[Channel Code],tblChannels[Channel Name],"")</f>
        <v>In-store</v>
      </c>
      <c r="R2552" s="1">
        <f>MONTH(tblSales[[#This Row],[Date]])</f>
        <v>6</v>
      </c>
    </row>
    <row r="2553" spans="2:18" x14ac:dyDescent="0.35">
      <c r="B2553" s="113">
        <v>46177</v>
      </c>
      <c r="C2553" s="4" t="s">
        <v>1703</v>
      </c>
      <c r="D2553" s="4" t="s">
        <v>4568</v>
      </c>
      <c r="E2553" s="1" t="str">
        <f>_xlfn.XLOOKUP(tblSales[[#This Row],[Customer ID]],tblCustomers[Customer ID],tblCustomers[Customer Name],"⚠ Unknown")</f>
        <v>Walk-in Customer</v>
      </c>
      <c r="F2553" s="4" t="s">
        <v>9</v>
      </c>
      <c r="G2553" s="1" t="str">
        <f>_xlfn.XLOOKUP(tblSales[[#This Row],[Product Code]],tblProducts[Code],tblProducts[Product / Service Name],"⚠ Unknown")</f>
        <v>Casual Shirt</v>
      </c>
      <c r="H2553" s="1" t="str">
        <f>_xlfn.XLOOKUP(tblSales[[#This Row],[Product Code]],tblProducts[Code],tblProducts[Category],"")</f>
        <v>Apparel &amp; Footwear</v>
      </c>
      <c r="I2553" s="4">
        <v>10</v>
      </c>
      <c r="J2553" s="5">
        <f>_xlfn.XLOOKUP(tblSales[[#This Row],[Product Code]],tblProducts[Code],tblProducts[Selling Price (excl. VAT)],0)</f>
        <v>120000</v>
      </c>
      <c r="K2553" s="5">
        <f>tblSales[[#This Row],[Qty]]*tblSales[[#This Row],[Unit Price]]</f>
        <v>1200000</v>
      </c>
      <c r="L2553" s="5">
        <f>ROUND(tblSales[[#This Row],[DPP (excl. VAT)]]*VATEff,0)</f>
        <v>132000</v>
      </c>
      <c r="M2553" s="5">
        <f>tblSales[[#This Row],[DPP (excl. VAT)]]+tblSales[[#This Row],[Output VAT]]</f>
        <v>1332000</v>
      </c>
      <c r="N2553" s="5">
        <f>tblSales[[#This Row],[Qty]]*_xlfn.XLOOKUP(tblSales[[#This Row],[Product Code]],tblProducts[Code],tblProducts[Unit Cost],0)</f>
        <v>720000</v>
      </c>
      <c r="O2553" s="4" t="s">
        <v>4865</v>
      </c>
      <c r="P2553" s="4" t="s">
        <v>4860</v>
      </c>
      <c r="Q2553" s="1" t="str">
        <f>_xlfn.XLOOKUP(tblSales[[#This Row],[Channel Code]],tblChannels[Channel Code],tblChannels[Channel Name],"")</f>
        <v>In-store</v>
      </c>
      <c r="R2553" s="1">
        <f>MONTH(tblSales[[#This Row],[Date]])</f>
        <v>6</v>
      </c>
    </row>
    <row r="2554" spans="2:18" x14ac:dyDescent="0.35">
      <c r="B2554" s="113">
        <v>46177</v>
      </c>
      <c r="C2554" s="4" t="s">
        <v>1704</v>
      </c>
      <c r="D2554" s="4" t="s">
        <v>4568</v>
      </c>
      <c r="E2554" s="1" t="str">
        <f>_xlfn.XLOOKUP(tblSales[[#This Row],[Customer ID]],tblCustomers[Customer ID],tblCustomers[Customer Name],"⚠ Unknown")</f>
        <v>Walk-in Customer</v>
      </c>
      <c r="F2554" s="4" t="s">
        <v>10</v>
      </c>
      <c r="G2554" s="1" t="str">
        <f>_xlfn.XLOOKUP(tblSales[[#This Row],[Product Code]],tblProducts[Code],tblProducts[Product / Service Name],"⚠ Unknown")</f>
        <v>Chino Pants</v>
      </c>
      <c r="H2554" s="1" t="str">
        <f>_xlfn.XLOOKUP(tblSales[[#This Row],[Product Code]],tblProducts[Code],tblProducts[Category],"")</f>
        <v>Apparel &amp; Footwear</v>
      </c>
      <c r="I2554" s="4">
        <v>8</v>
      </c>
      <c r="J2554" s="5">
        <f>_xlfn.XLOOKUP(tblSales[[#This Row],[Product Code]],tblProducts[Code],tblProducts[Selling Price (excl. VAT)],0)</f>
        <v>150000</v>
      </c>
      <c r="K2554" s="5">
        <f>tblSales[[#This Row],[Qty]]*tblSales[[#This Row],[Unit Price]]</f>
        <v>1200000</v>
      </c>
      <c r="L2554" s="5">
        <f>ROUND(tblSales[[#This Row],[DPP (excl. VAT)]]*VATEff,0)</f>
        <v>132000</v>
      </c>
      <c r="M2554" s="5">
        <f>tblSales[[#This Row],[DPP (excl. VAT)]]+tblSales[[#This Row],[Output VAT]]</f>
        <v>1332000</v>
      </c>
      <c r="N2554" s="5">
        <f>tblSales[[#This Row],[Qty]]*_xlfn.XLOOKUP(tblSales[[#This Row],[Product Code]],tblProducts[Code],tblProducts[Unit Cost],0)</f>
        <v>704000</v>
      </c>
      <c r="O2554" s="4" t="s">
        <v>4865</v>
      </c>
      <c r="P2554" s="4" t="s">
        <v>4860</v>
      </c>
      <c r="Q2554" s="1" t="str">
        <f>_xlfn.XLOOKUP(tblSales[[#This Row],[Channel Code]],tblChannels[Channel Code],tblChannels[Channel Name],"")</f>
        <v>In-store</v>
      </c>
      <c r="R2554" s="1">
        <f>MONTH(tblSales[[#This Row],[Date]])</f>
        <v>6</v>
      </c>
    </row>
    <row r="2555" spans="2:18" x14ac:dyDescent="0.35">
      <c r="B2555" s="113">
        <v>46177</v>
      </c>
      <c r="C2555" s="4" t="s">
        <v>1705</v>
      </c>
      <c r="D2555" s="4" t="s">
        <v>4593</v>
      </c>
      <c r="E2555" s="1" t="str">
        <f>_xlfn.XLOOKUP(tblSales[[#This Row],[Customer ID]],tblCustomers[Customer ID],tblCustomers[Customer Name],"⚠ Unknown")</f>
        <v>PT Graha Nusa Persada</v>
      </c>
      <c r="F2555" s="4" t="s">
        <v>6</v>
      </c>
      <c r="G2555" s="1" t="str">
        <f>_xlfn.XLOOKUP(tblSales[[#This Row],[Product Code]],tblProducts[Code],tblProducts[Product / Service Name],"⚠ Unknown")</f>
        <v>Socks &amp; Accessories</v>
      </c>
      <c r="H2555" s="1" t="str">
        <f>_xlfn.XLOOKUP(tblSales[[#This Row],[Product Code]],tblProducts[Code],tblProducts[Category],"")</f>
        <v>Accessories &amp; Basics</v>
      </c>
      <c r="I2555" s="4">
        <v>40</v>
      </c>
      <c r="J2555" s="5">
        <f>_xlfn.XLOOKUP(tblSales[[#This Row],[Product Code]],tblProducts[Code],tblProducts[Selling Price (excl. VAT)],0)</f>
        <v>45000</v>
      </c>
      <c r="K2555" s="5">
        <f>tblSales[[#This Row],[Qty]]*tblSales[[#This Row],[Unit Price]]</f>
        <v>1800000</v>
      </c>
      <c r="L2555" s="5">
        <f>ROUND(tblSales[[#This Row],[DPP (excl. VAT)]]*VATEff,0)</f>
        <v>198000</v>
      </c>
      <c r="M2555" s="5">
        <f>tblSales[[#This Row],[DPP (excl. VAT)]]+tblSales[[#This Row],[Output VAT]]</f>
        <v>1998000</v>
      </c>
      <c r="N2555" s="5">
        <f>tblSales[[#This Row],[Qty]]*_xlfn.XLOOKUP(tblSales[[#This Row],[Product Code]],tblProducts[Code],tblProducts[Unit Cost],0)</f>
        <v>960000</v>
      </c>
      <c r="O2555" s="4" t="s">
        <v>4867</v>
      </c>
      <c r="P2555" s="4" t="s">
        <v>4860</v>
      </c>
      <c r="Q2555" s="1" t="str">
        <f>_xlfn.XLOOKUP(tblSales[[#This Row],[Channel Code]],tblChannels[Channel Code],tblChannels[Channel Name],"")</f>
        <v>In-store</v>
      </c>
      <c r="R2555" s="1">
        <f>MONTH(tblSales[[#This Row],[Date]])</f>
        <v>6</v>
      </c>
    </row>
    <row r="2556" spans="2:18" x14ac:dyDescent="0.35">
      <c r="B2556" s="113">
        <v>46177</v>
      </c>
      <c r="C2556" s="4" t="s">
        <v>1706</v>
      </c>
      <c r="D2556" s="4" t="s">
        <v>4568</v>
      </c>
      <c r="E2556" s="1" t="str">
        <f>_xlfn.XLOOKUP(tblSales[[#This Row],[Customer ID]],tblCustomers[Customer ID],tblCustomers[Customer Name],"⚠ Unknown")</f>
        <v>Walk-in Customer</v>
      </c>
      <c r="F2556" s="4" t="s">
        <v>10</v>
      </c>
      <c r="G2556" s="1" t="str">
        <f>_xlfn.XLOOKUP(tblSales[[#This Row],[Product Code]],tblProducts[Code],tblProducts[Product / Service Name],"⚠ Unknown")</f>
        <v>Chino Pants</v>
      </c>
      <c r="H2556" s="1" t="str">
        <f>_xlfn.XLOOKUP(tblSales[[#This Row],[Product Code]],tblProducts[Code],tblProducts[Category],"")</f>
        <v>Apparel &amp; Footwear</v>
      </c>
      <c r="I2556" s="4">
        <v>8</v>
      </c>
      <c r="J2556" s="5">
        <f>_xlfn.XLOOKUP(tblSales[[#This Row],[Product Code]],tblProducts[Code],tblProducts[Selling Price (excl. VAT)],0)</f>
        <v>150000</v>
      </c>
      <c r="K2556" s="5">
        <f>tblSales[[#This Row],[Qty]]*tblSales[[#This Row],[Unit Price]]</f>
        <v>1200000</v>
      </c>
      <c r="L2556" s="5">
        <f>ROUND(tblSales[[#This Row],[DPP (excl. VAT)]]*VATEff,0)</f>
        <v>132000</v>
      </c>
      <c r="M2556" s="5">
        <f>tblSales[[#This Row],[DPP (excl. VAT)]]+tblSales[[#This Row],[Output VAT]]</f>
        <v>1332000</v>
      </c>
      <c r="N2556" s="5">
        <f>tblSales[[#This Row],[Qty]]*_xlfn.XLOOKUP(tblSales[[#This Row],[Product Code]],tblProducts[Code],tblProducts[Unit Cost],0)</f>
        <v>704000</v>
      </c>
      <c r="O2556" s="4" t="s">
        <v>4865</v>
      </c>
      <c r="P2556" s="4" t="s">
        <v>4860</v>
      </c>
      <c r="Q2556" s="1" t="str">
        <f>_xlfn.XLOOKUP(tblSales[[#This Row],[Channel Code]],tblChannels[Channel Code],tblChannels[Channel Name],"")</f>
        <v>In-store</v>
      </c>
      <c r="R2556" s="1">
        <f>MONTH(tblSales[[#This Row],[Date]])</f>
        <v>6</v>
      </c>
    </row>
    <row r="2557" spans="2:18" x14ac:dyDescent="0.35">
      <c r="B2557" s="113">
        <v>46177</v>
      </c>
      <c r="C2557" s="4" t="s">
        <v>1707</v>
      </c>
      <c r="D2557" s="4" t="s">
        <v>4568</v>
      </c>
      <c r="E2557" s="1" t="str">
        <f>_xlfn.XLOOKUP(tblSales[[#This Row],[Customer ID]],tblCustomers[Customer ID],tblCustomers[Customer Name],"⚠ Unknown")</f>
        <v>Walk-in Customer</v>
      </c>
      <c r="F2557" s="4" t="s">
        <v>9</v>
      </c>
      <c r="G2557" s="1" t="str">
        <f>_xlfn.XLOOKUP(tblSales[[#This Row],[Product Code]],tblProducts[Code],tblProducts[Product / Service Name],"⚠ Unknown")</f>
        <v>Casual Shirt</v>
      </c>
      <c r="H2557" s="1" t="str">
        <f>_xlfn.XLOOKUP(tblSales[[#This Row],[Product Code]],tblProducts[Code],tblProducts[Category],"")</f>
        <v>Apparel &amp; Footwear</v>
      </c>
      <c r="I2557" s="4">
        <v>2</v>
      </c>
      <c r="J2557" s="5">
        <f>_xlfn.XLOOKUP(tblSales[[#This Row],[Product Code]],tblProducts[Code],tblProducts[Selling Price (excl. VAT)],0)</f>
        <v>120000</v>
      </c>
      <c r="K2557" s="5">
        <f>tblSales[[#This Row],[Qty]]*tblSales[[#This Row],[Unit Price]]</f>
        <v>240000</v>
      </c>
      <c r="L2557" s="5">
        <f>ROUND(tblSales[[#This Row],[DPP (excl. VAT)]]*VATEff,0)</f>
        <v>26400</v>
      </c>
      <c r="M2557" s="5">
        <f>tblSales[[#This Row],[DPP (excl. VAT)]]+tblSales[[#This Row],[Output VAT]]</f>
        <v>266400</v>
      </c>
      <c r="N2557" s="5">
        <f>tblSales[[#This Row],[Qty]]*_xlfn.XLOOKUP(tblSales[[#This Row],[Product Code]],tblProducts[Code],tblProducts[Unit Cost],0)</f>
        <v>144000</v>
      </c>
      <c r="O2557" s="4" t="s">
        <v>4866</v>
      </c>
      <c r="P2557" s="4" t="s">
        <v>4861</v>
      </c>
      <c r="Q2557" s="1" t="str">
        <f>_xlfn.XLOOKUP(tblSales[[#This Row],[Channel Code]],tblChannels[Channel Code],tblChannels[Channel Name],"")</f>
        <v>Marketplace</v>
      </c>
      <c r="R2557" s="1">
        <f>MONTH(tblSales[[#This Row],[Date]])</f>
        <v>6</v>
      </c>
    </row>
    <row r="2558" spans="2:18" x14ac:dyDescent="0.35">
      <c r="B2558" s="113">
        <v>46177</v>
      </c>
      <c r="C2558" s="4" t="s">
        <v>1708</v>
      </c>
      <c r="D2558" s="4" t="s">
        <v>4634</v>
      </c>
      <c r="E2558" s="1" t="str">
        <f>_xlfn.XLOOKUP(tblSales[[#This Row],[Customer ID]],tblCustomers[Customer ID],tblCustomers[Customer Name],"⚠ Unknown")</f>
        <v>PT Delta Inti Selaras</v>
      </c>
      <c r="F2558" s="4" t="s">
        <v>9</v>
      </c>
      <c r="G2558" s="1" t="str">
        <f>_xlfn.XLOOKUP(tblSales[[#This Row],[Product Code]],tblProducts[Code],tblProducts[Product / Service Name],"⚠ Unknown")</f>
        <v>Casual Shirt</v>
      </c>
      <c r="H2558" s="1" t="str">
        <f>_xlfn.XLOOKUP(tblSales[[#This Row],[Product Code]],tblProducts[Code],tblProducts[Category],"")</f>
        <v>Apparel &amp; Footwear</v>
      </c>
      <c r="I2558" s="4">
        <v>64</v>
      </c>
      <c r="J2558" s="5">
        <f>_xlfn.XLOOKUP(tblSales[[#This Row],[Product Code]],tblProducts[Code],tblProducts[Selling Price (excl. VAT)],0)</f>
        <v>120000</v>
      </c>
      <c r="K2558" s="5">
        <f>tblSales[[#This Row],[Qty]]*tblSales[[#This Row],[Unit Price]]</f>
        <v>7680000</v>
      </c>
      <c r="L2558" s="5">
        <f>ROUND(tblSales[[#This Row],[DPP (excl. VAT)]]*VATEff,0)</f>
        <v>844800</v>
      </c>
      <c r="M2558" s="5">
        <f>tblSales[[#This Row],[DPP (excl. VAT)]]+tblSales[[#This Row],[Output VAT]]</f>
        <v>8524800</v>
      </c>
      <c r="N2558" s="5">
        <f>tblSales[[#This Row],[Qty]]*_xlfn.XLOOKUP(tblSales[[#This Row],[Product Code]],tblProducts[Code],tblProducts[Unit Cost],0)</f>
        <v>4608000</v>
      </c>
      <c r="O2558" s="4" t="s">
        <v>4867</v>
      </c>
      <c r="P2558" s="4" t="s">
        <v>4860</v>
      </c>
      <c r="Q2558" s="1" t="str">
        <f>_xlfn.XLOOKUP(tblSales[[#This Row],[Channel Code]],tblChannels[Channel Code],tblChannels[Channel Name],"")</f>
        <v>In-store</v>
      </c>
      <c r="R2558" s="1">
        <f>MONTH(tblSales[[#This Row],[Date]])</f>
        <v>6</v>
      </c>
    </row>
    <row r="2559" spans="2:18" x14ac:dyDescent="0.35">
      <c r="B2559" s="113">
        <v>46177</v>
      </c>
      <c r="C2559" s="4" t="s">
        <v>1708</v>
      </c>
      <c r="D2559" s="4" t="s">
        <v>4634</v>
      </c>
      <c r="E2559" s="1" t="str">
        <f>_xlfn.XLOOKUP(tblSales[[#This Row],[Customer ID]],tblCustomers[Customer ID],tblCustomers[Customer Name],"⚠ Unknown")</f>
        <v>PT Delta Inti Selaras</v>
      </c>
      <c r="F2559" s="4" t="s">
        <v>13</v>
      </c>
      <c r="G2559" s="1" t="str">
        <f>_xlfn.XLOOKUP(tblSales[[#This Row],[Product Code]],tblProducts[Code],tblProducts[Product / Service Name],"⚠ Unknown")</f>
        <v>Backpack</v>
      </c>
      <c r="H2559" s="1" t="str">
        <f>_xlfn.XLOOKUP(tblSales[[#This Row],[Product Code]],tblProducts[Code],tblProducts[Category],"")</f>
        <v>Bags &amp; Gadgets</v>
      </c>
      <c r="I2559" s="4">
        <v>24</v>
      </c>
      <c r="J2559" s="5">
        <f>_xlfn.XLOOKUP(tblSales[[#This Row],[Product Code]],tblProducts[Code],tblProducts[Selling Price (excl. VAT)],0)</f>
        <v>500000</v>
      </c>
      <c r="K2559" s="5">
        <f>tblSales[[#This Row],[Qty]]*tblSales[[#This Row],[Unit Price]]</f>
        <v>12000000</v>
      </c>
      <c r="L2559" s="5">
        <f>ROUND(tblSales[[#This Row],[DPP (excl. VAT)]]*VATEff,0)</f>
        <v>1320000</v>
      </c>
      <c r="M2559" s="5">
        <f>tblSales[[#This Row],[DPP (excl. VAT)]]+tblSales[[#This Row],[Output VAT]]</f>
        <v>13320000</v>
      </c>
      <c r="N2559" s="5">
        <f>tblSales[[#This Row],[Qty]]*_xlfn.XLOOKUP(tblSales[[#This Row],[Product Code]],tblProducts[Code],tblProducts[Unit Cost],0)</f>
        <v>6960000</v>
      </c>
      <c r="O2559" s="4" t="s">
        <v>4867</v>
      </c>
      <c r="P2559" s="4" t="s">
        <v>4860</v>
      </c>
      <c r="Q2559" s="1" t="str">
        <f>_xlfn.XLOOKUP(tblSales[[#This Row],[Channel Code]],tblChannels[Channel Code],tblChannels[Channel Name],"")</f>
        <v>In-store</v>
      </c>
      <c r="R2559" s="1">
        <f>MONTH(tblSales[[#This Row],[Date]])</f>
        <v>6</v>
      </c>
    </row>
    <row r="2560" spans="2:18" x14ac:dyDescent="0.35">
      <c r="B2560" s="113">
        <v>46177</v>
      </c>
      <c r="C2560" s="4" t="s">
        <v>1709</v>
      </c>
      <c r="D2560" s="4" t="s">
        <v>4568</v>
      </c>
      <c r="E2560" s="1" t="str">
        <f>_xlfn.XLOOKUP(tblSales[[#This Row],[Customer ID]],tblCustomers[Customer ID],tblCustomers[Customer Name],"⚠ Unknown")</f>
        <v>Walk-in Customer</v>
      </c>
      <c r="F2560" s="4" t="s">
        <v>10</v>
      </c>
      <c r="G2560" s="1" t="str">
        <f>_xlfn.XLOOKUP(tblSales[[#This Row],[Product Code]],tblProducts[Code],tblProducts[Product / Service Name],"⚠ Unknown")</f>
        <v>Chino Pants</v>
      </c>
      <c r="H2560" s="1" t="str">
        <f>_xlfn.XLOOKUP(tblSales[[#This Row],[Product Code]],tblProducts[Code],tblProducts[Category],"")</f>
        <v>Apparel &amp; Footwear</v>
      </c>
      <c r="I2560" s="4">
        <v>9</v>
      </c>
      <c r="J2560" s="5">
        <f>_xlfn.XLOOKUP(tblSales[[#This Row],[Product Code]],tblProducts[Code],tblProducts[Selling Price (excl. VAT)],0)</f>
        <v>150000</v>
      </c>
      <c r="K2560" s="5">
        <f>tblSales[[#This Row],[Qty]]*tblSales[[#This Row],[Unit Price]]</f>
        <v>1350000</v>
      </c>
      <c r="L2560" s="5">
        <f>ROUND(tblSales[[#This Row],[DPP (excl. VAT)]]*VATEff,0)</f>
        <v>148500</v>
      </c>
      <c r="M2560" s="5">
        <f>tblSales[[#This Row],[DPP (excl. VAT)]]+tblSales[[#This Row],[Output VAT]]</f>
        <v>1498500</v>
      </c>
      <c r="N2560" s="5">
        <f>tblSales[[#This Row],[Qty]]*_xlfn.XLOOKUP(tblSales[[#This Row],[Product Code]],tblProducts[Code],tblProducts[Unit Cost],0)</f>
        <v>792000</v>
      </c>
      <c r="O2560" s="4" t="s">
        <v>4866</v>
      </c>
      <c r="P2560" s="4" t="s">
        <v>4861</v>
      </c>
      <c r="Q2560" s="1" t="str">
        <f>_xlfn.XLOOKUP(tblSales[[#This Row],[Channel Code]],tblChannels[Channel Code],tblChannels[Channel Name],"")</f>
        <v>Marketplace</v>
      </c>
      <c r="R2560" s="1">
        <f>MONTH(tblSales[[#This Row],[Date]])</f>
        <v>6</v>
      </c>
    </row>
    <row r="2561" spans="2:18" x14ac:dyDescent="0.35">
      <c r="B2561" s="113">
        <v>46177</v>
      </c>
      <c r="C2561" s="4" t="s">
        <v>1710</v>
      </c>
      <c r="D2561" s="4" t="s">
        <v>4568</v>
      </c>
      <c r="E2561" s="1" t="str">
        <f>_xlfn.XLOOKUP(tblSales[[#This Row],[Customer ID]],tblCustomers[Customer ID],tblCustomers[Customer Name],"⚠ Unknown")</f>
        <v>Walk-in Customer</v>
      </c>
      <c r="F2561" s="4" t="s">
        <v>12</v>
      </c>
      <c r="G2561" s="1" t="str">
        <f>_xlfn.XLOOKUP(tblSales[[#This Row],[Product Code]],tblProducts[Code],tblProducts[Product / Service Name],"⚠ Unknown")</f>
        <v>Bomber Jacket</v>
      </c>
      <c r="H2561" s="1" t="str">
        <f>_xlfn.XLOOKUP(tblSales[[#This Row],[Product Code]],tblProducts[Code],tblProducts[Category],"")</f>
        <v>Apparel &amp; Footwear</v>
      </c>
      <c r="I2561" s="4">
        <v>2</v>
      </c>
      <c r="J2561" s="5">
        <f>_xlfn.XLOOKUP(tblSales[[#This Row],[Product Code]],tblProducts[Code],tblProducts[Selling Price (excl. VAT)],0)</f>
        <v>350000</v>
      </c>
      <c r="K2561" s="5">
        <f>tblSales[[#This Row],[Qty]]*tblSales[[#This Row],[Unit Price]]</f>
        <v>700000</v>
      </c>
      <c r="L2561" s="5">
        <f>ROUND(tblSales[[#This Row],[DPP (excl. VAT)]]*VATEff,0)</f>
        <v>77000</v>
      </c>
      <c r="M2561" s="5">
        <f>tblSales[[#This Row],[DPP (excl. VAT)]]+tblSales[[#This Row],[Output VAT]]</f>
        <v>777000</v>
      </c>
      <c r="N2561" s="5">
        <f>tblSales[[#This Row],[Qty]]*_xlfn.XLOOKUP(tblSales[[#This Row],[Product Code]],tblProducts[Code],tblProducts[Unit Cost],0)</f>
        <v>420000</v>
      </c>
      <c r="O2561" s="4" t="s">
        <v>4866</v>
      </c>
      <c r="P2561" s="4" t="s">
        <v>4861</v>
      </c>
      <c r="Q2561" s="1" t="str">
        <f>_xlfn.XLOOKUP(tblSales[[#This Row],[Channel Code]],tblChannels[Channel Code],tblChannels[Channel Name],"")</f>
        <v>Marketplace</v>
      </c>
      <c r="R2561" s="1">
        <f>MONTH(tblSales[[#This Row],[Date]])</f>
        <v>6</v>
      </c>
    </row>
    <row r="2562" spans="2:18" x14ac:dyDescent="0.35">
      <c r="B2562" s="113">
        <v>46177</v>
      </c>
      <c r="C2562" s="4" t="s">
        <v>1711</v>
      </c>
      <c r="D2562" s="4" t="s">
        <v>4568</v>
      </c>
      <c r="E2562" s="1" t="str">
        <f>_xlfn.XLOOKUP(tblSales[[#This Row],[Customer ID]],tblCustomers[Customer ID],tblCustomers[Customer Name],"⚠ Unknown")</f>
        <v>Walk-in Customer</v>
      </c>
      <c r="F2562" s="4" t="s">
        <v>7</v>
      </c>
      <c r="G2562" s="1" t="str">
        <f>_xlfn.XLOOKUP(tblSales[[#This Row],[Product Code]],tblProducts[Code],tblProducts[Product / Service Name],"⚠ Unknown")</f>
        <v>Premium Basic T-shirt</v>
      </c>
      <c r="H2562" s="1" t="str">
        <f>_xlfn.XLOOKUP(tblSales[[#This Row],[Product Code]],tblProducts[Code],tblProducts[Category],"")</f>
        <v>Accessories &amp; Basics</v>
      </c>
      <c r="I2562" s="4">
        <v>11</v>
      </c>
      <c r="J2562" s="5">
        <f>_xlfn.XLOOKUP(tblSales[[#This Row],[Product Code]],tblProducts[Code],tblProducts[Selling Price (excl. VAT)],0)</f>
        <v>65000</v>
      </c>
      <c r="K2562" s="5">
        <f>tblSales[[#This Row],[Qty]]*tblSales[[#This Row],[Unit Price]]</f>
        <v>715000</v>
      </c>
      <c r="L2562" s="5">
        <f>ROUND(tblSales[[#This Row],[DPP (excl. VAT)]]*VATEff,0)</f>
        <v>78650</v>
      </c>
      <c r="M2562" s="5">
        <f>tblSales[[#This Row],[DPP (excl. VAT)]]+tblSales[[#This Row],[Output VAT]]</f>
        <v>793650</v>
      </c>
      <c r="N2562" s="5">
        <f>tblSales[[#This Row],[Qty]]*_xlfn.XLOOKUP(tblSales[[#This Row],[Product Code]],tblProducts[Code],tblProducts[Unit Cost],0)</f>
        <v>407000</v>
      </c>
      <c r="O2562" s="4" t="s">
        <v>4866</v>
      </c>
      <c r="P2562" s="4" t="s">
        <v>4862</v>
      </c>
      <c r="Q2562" s="1" t="str">
        <f>_xlfn.XLOOKUP(tblSales[[#This Row],[Channel Code]],tblChannels[Channel Code],tblChannels[Channel Name],"")</f>
        <v>Website &amp; Social Media</v>
      </c>
      <c r="R2562" s="1">
        <f>MONTH(tblSales[[#This Row],[Date]])</f>
        <v>6</v>
      </c>
    </row>
    <row r="2563" spans="2:18" x14ac:dyDescent="0.35">
      <c r="B2563" s="113">
        <v>46177</v>
      </c>
      <c r="C2563" s="4" t="s">
        <v>1712</v>
      </c>
      <c r="D2563" s="4" t="s">
        <v>4593</v>
      </c>
      <c r="E2563" s="1" t="str">
        <f>_xlfn.XLOOKUP(tblSales[[#This Row],[Customer ID]],tblCustomers[Customer ID],tblCustomers[Customer Name],"⚠ Unknown")</f>
        <v>PT Graha Nusa Persada</v>
      </c>
      <c r="F2563" s="4" t="s">
        <v>13</v>
      </c>
      <c r="G2563" s="1" t="str">
        <f>_xlfn.XLOOKUP(tblSales[[#This Row],[Product Code]],tblProducts[Code],tblProducts[Product / Service Name],"⚠ Unknown")</f>
        <v>Backpack</v>
      </c>
      <c r="H2563" s="1" t="str">
        <f>_xlfn.XLOOKUP(tblSales[[#This Row],[Product Code]],tblProducts[Code],tblProducts[Category],"")</f>
        <v>Bags &amp; Gadgets</v>
      </c>
      <c r="I2563" s="4">
        <v>8</v>
      </c>
      <c r="J2563" s="5">
        <f>_xlfn.XLOOKUP(tblSales[[#This Row],[Product Code]],tblProducts[Code],tblProducts[Selling Price (excl. VAT)],0)</f>
        <v>500000</v>
      </c>
      <c r="K2563" s="5">
        <f>tblSales[[#This Row],[Qty]]*tblSales[[#This Row],[Unit Price]]</f>
        <v>4000000</v>
      </c>
      <c r="L2563" s="5">
        <f>ROUND(tblSales[[#This Row],[DPP (excl. VAT)]]*VATEff,0)</f>
        <v>440000</v>
      </c>
      <c r="M2563" s="5">
        <f>tblSales[[#This Row],[DPP (excl. VAT)]]+tblSales[[#This Row],[Output VAT]]</f>
        <v>4440000</v>
      </c>
      <c r="N2563" s="5">
        <f>tblSales[[#This Row],[Qty]]*_xlfn.XLOOKUP(tblSales[[#This Row],[Product Code]],tblProducts[Code],tblProducts[Unit Cost],0)</f>
        <v>2320000</v>
      </c>
      <c r="O2563" s="4" t="s">
        <v>4867</v>
      </c>
      <c r="P2563" s="4" t="s">
        <v>4860</v>
      </c>
      <c r="Q2563" s="1" t="str">
        <f>_xlfn.XLOOKUP(tblSales[[#This Row],[Channel Code]],tblChannels[Channel Code],tblChannels[Channel Name],"")</f>
        <v>In-store</v>
      </c>
      <c r="R2563" s="1">
        <f>MONTH(tblSales[[#This Row],[Date]])</f>
        <v>6</v>
      </c>
    </row>
    <row r="2564" spans="2:18" x14ac:dyDescent="0.35">
      <c r="B2564" s="113">
        <v>46177</v>
      </c>
      <c r="C2564" s="4" t="s">
        <v>1712</v>
      </c>
      <c r="D2564" s="4" t="s">
        <v>4593</v>
      </c>
      <c r="E2564" s="1" t="str">
        <f>_xlfn.XLOOKUP(tblSales[[#This Row],[Customer ID]],tblCustomers[Customer ID],tblCustomers[Customer Name],"⚠ Unknown")</f>
        <v>PT Graha Nusa Persada</v>
      </c>
      <c r="F2564" s="4" t="s">
        <v>6</v>
      </c>
      <c r="G2564" s="1" t="str">
        <f>_xlfn.XLOOKUP(tblSales[[#This Row],[Product Code]],tblProducts[Code],tblProducts[Product / Service Name],"⚠ Unknown")</f>
        <v>Socks &amp; Accessories</v>
      </c>
      <c r="H2564" s="1" t="str">
        <f>_xlfn.XLOOKUP(tblSales[[#This Row],[Product Code]],tblProducts[Code],tblProducts[Category],"")</f>
        <v>Accessories &amp; Basics</v>
      </c>
      <c r="I2564" s="4">
        <v>64</v>
      </c>
      <c r="J2564" s="5">
        <f>_xlfn.XLOOKUP(tblSales[[#This Row],[Product Code]],tblProducts[Code],tblProducts[Selling Price (excl. VAT)],0)</f>
        <v>45000</v>
      </c>
      <c r="K2564" s="5">
        <f>tblSales[[#This Row],[Qty]]*tblSales[[#This Row],[Unit Price]]</f>
        <v>2880000</v>
      </c>
      <c r="L2564" s="5">
        <f>ROUND(tblSales[[#This Row],[DPP (excl. VAT)]]*VATEff,0)</f>
        <v>316800</v>
      </c>
      <c r="M2564" s="5">
        <f>tblSales[[#This Row],[DPP (excl. VAT)]]+tblSales[[#This Row],[Output VAT]]</f>
        <v>3196800</v>
      </c>
      <c r="N2564" s="5">
        <f>tblSales[[#This Row],[Qty]]*_xlfn.XLOOKUP(tblSales[[#This Row],[Product Code]],tblProducts[Code],tblProducts[Unit Cost],0)</f>
        <v>1536000</v>
      </c>
      <c r="O2564" s="4" t="s">
        <v>4867</v>
      </c>
      <c r="P2564" s="4" t="s">
        <v>4860</v>
      </c>
      <c r="Q2564" s="1" t="str">
        <f>_xlfn.XLOOKUP(tblSales[[#This Row],[Channel Code]],tblChannels[Channel Code],tblChannels[Channel Name],"")</f>
        <v>In-store</v>
      </c>
      <c r="R2564" s="1">
        <f>MONTH(tblSales[[#This Row],[Date]])</f>
        <v>6</v>
      </c>
    </row>
    <row r="2565" spans="2:18" x14ac:dyDescent="0.35">
      <c r="B2565" s="113">
        <v>46177</v>
      </c>
      <c r="C2565" s="4" t="s">
        <v>1712</v>
      </c>
      <c r="D2565" s="4" t="s">
        <v>4593</v>
      </c>
      <c r="E2565" s="1" t="str">
        <f>_xlfn.XLOOKUP(tblSales[[#This Row],[Customer ID]],tblCustomers[Customer ID],tblCustomers[Customer Name],"⚠ Unknown")</f>
        <v>PT Graha Nusa Persada</v>
      </c>
      <c r="F2565" s="4" t="s">
        <v>11</v>
      </c>
      <c r="G2565" s="1" t="str">
        <f>_xlfn.XLOOKUP(tblSales[[#This Row],[Product Code]],tblProducts[Code],tblProducts[Product / Service Name],"⚠ Unknown")</f>
        <v>Sneakers</v>
      </c>
      <c r="H2565" s="1" t="str">
        <f>_xlfn.XLOOKUP(tblSales[[#This Row],[Product Code]],tblProducts[Code],tblProducts[Category],"")</f>
        <v>Apparel &amp; Footwear</v>
      </c>
      <c r="I2565" s="4">
        <v>40</v>
      </c>
      <c r="J2565" s="5">
        <f>_xlfn.XLOOKUP(tblSales[[#This Row],[Product Code]],tblProducts[Code],tblProducts[Selling Price (excl. VAT)],0)</f>
        <v>250000</v>
      </c>
      <c r="K2565" s="5">
        <f>tblSales[[#This Row],[Qty]]*tblSales[[#This Row],[Unit Price]]</f>
        <v>10000000</v>
      </c>
      <c r="L2565" s="5">
        <f>ROUND(tblSales[[#This Row],[DPP (excl. VAT)]]*VATEff,0)</f>
        <v>1100000</v>
      </c>
      <c r="M2565" s="5">
        <f>tblSales[[#This Row],[DPP (excl. VAT)]]+tblSales[[#This Row],[Output VAT]]</f>
        <v>11100000</v>
      </c>
      <c r="N2565" s="5">
        <f>tblSales[[#This Row],[Qty]]*_xlfn.XLOOKUP(tblSales[[#This Row],[Product Code]],tblProducts[Code],tblProducts[Unit Cost],0)</f>
        <v>6200000</v>
      </c>
      <c r="O2565" s="4" t="s">
        <v>4867</v>
      </c>
      <c r="P2565" s="4" t="s">
        <v>4860</v>
      </c>
      <c r="Q2565" s="1" t="str">
        <f>_xlfn.XLOOKUP(tblSales[[#This Row],[Channel Code]],tblChannels[Channel Code],tblChannels[Channel Name],"")</f>
        <v>In-store</v>
      </c>
      <c r="R2565" s="1">
        <f>MONTH(tblSales[[#This Row],[Date]])</f>
        <v>6</v>
      </c>
    </row>
    <row r="2566" spans="2:18" x14ac:dyDescent="0.35">
      <c r="B2566" s="113">
        <v>46177</v>
      </c>
      <c r="C2566" s="4" t="s">
        <v>1713</v>
      </c>
      <c r="D2566" s="4" t="s">
        <v>4568</v>
      </c>
      <c r="E2566" s="1" t="str">
        <f>_xlfn.XLOOKUP(tblSales[[#This Row],[Customer ID]],tblCustomers[Customer ID],tblCustomers[Customer Name],"⚠ Unknown")</f>
        <v>Walk-in Customer</v>
      </c>
      <c r="F2566" s="4" t="s">
        <v>6</v>
      </c>
      <c r="G2566" s="1" t="str">
        <f>_xlfn.XLOOKUP(tblSales[[#This Row],[Product Code]],tblProducts[Code],tblProducts[Product / Service Name],"⚠ Unknown")</f>
        <v>Socks &amp; Accessories</v>
      </c>
      <c r="H2566" s="1" t="str">
        <f>_xlfn.XLOOKUP(tblSales[[#This Row],[Product Code]],tblProducts[Code],tblProducts[Category],"")</f>
        <v>Accessories &amp; Basics</v>
      </c>
      <c r="I2566" s="4">
        <v>6</v>
      </c>
      <c r="J2566" s="5">
        <f>_xlfn.XLOOKUP(tblSales[[#This Row],[Product Code]],tblProducts[Code],tblProducts[Selling Price (excl. VAT)],0)</f>
        <v>45000</v>
      </c>
      <c r="K2566" s="5">
        <f>tblSales[[#This Row],[Qty]]*tblSales[[#This Row],[Unit Price]]</f>
        <v>270000</v>
      </c>
      <c r="L2566" s="5">
        <f>ROUND(tblSales[[#This Row],[DPP (excl. VAT)]]*VATEff,0)</f>
        <v>29700</v>
      </c>
      <c r="M2566" s="5">
        <f>tblSales[[#This Row],[DPP (excl. VAT)]]+tblSales[[#This Row],[Output VAT]]</f>
        <v>299700</v>
      </c>
      <c r="N2566" s="5">
        <f>tblSales[[#This Row],[Qty]]*_xlfn.XLOOKUP(tblSales[[#This Row],[Product Code]],tblProducts[Code],tblProducts[Unit Cost],0)</f>
        <v>144000</v>
      </c>
      <c r="O2566" s="4" t="s">
        <v>4865</v>
      </c>
      <c r="P2566" s="4" t="s">
        <v>4860</v>
      </c>
      <c r="Q2566" s="1" t="str">
        <f>_xlfn.XLOOKUP(tblSales[[#This Row],[Channel Code]],tblChannels[Channel Code],tblChannels[Channel Name],"")</f>
        <v>In-store</v>
      </c>
      <c r="R2566" s="1">
        <f>MONTH(tblSales[[#This Row],[Date]])</f>
        <v>6</v>
      </c>
    </row>
    <row r="2567" spans="2:18" x14ac:dyDescent="0.35">
      <c r="B2567" s="113">
        <v>46177</v>
      </c>
      <c r="C2567" s="4" t="s">
        <v>1714</v>
      </c>
      <c r="D2567" s="4" t="s">
        <v>4578</v>
      </c>
      <c r="E2567" s="1" t="str">
        <f>_xlfn.XLOOKUP(tblSales[[#This Row],[Customer ID]],tblCustomers[Customer ID],tblCustomers[Customer Name],"⚠ Unknown")</f>
        <v>PT Bintang Timur Sejahtera</v>
      </c>
      <c r="F2567" s="4" t="s">
        <v>12</v>
      </c>
      <c r="G2567" s="1" t="str">
        <f>_xlfn.XLOOKUP(tblSales[[#This Row],[Product Code]],tblProducts[Code],tblProducts[Product / Service Name],"⚠ Unknown")</f>
        <v>Bomber Jacket</v>
      </c>
      <c r="H2567" s="1" t="str">
        <f>_xlfn.XLOOKUP(tblSales[[#This Row],[Product Code]],tblProducts[Code],tblProducts[Category],"")</f>
        <v>Apparel &amp; Footwear</v>
      </c>
      <c r="I2567" s="4">
        <v>16</v>
      </c>
      <c r="J2567" s="5">
        <f>_xlfn.XLOOKUP(tblSales[[#This Row],[Product Code]],tblProducts[Code],tblProducts[Selling Price (excl. VAT)],0)</f>
        <v>350000</v>
      </c>
      <c r="K2567" s="5">
        <f>tblSales[[#This Row],[Qty]]*tblSales[[#This Row],[Unit Price]]</f>
        <v>5600000</v>
      </c>
      <c r="L2567" s="5">
        <f>ROUND(tblSales[[#This Row],[DPP (excl. VAT)]]*VATEff,0)</f>
        <v>616000</v>
      </c>
      <c r="M2567" s="5">
        <f>tblSales[[#This Row],[DPP (excl. VAT)]]+tblSales[[#This Row],[Output VAT]]</f>
        <v>6216000</v>
      </c>
      <c r="N2567" s="5">
        <f>tblSales[[#This Row],[Qty]]*_xlfn.XLOOKUP(tblSales[[#This Row],[Product Code]],tblProducts[Code],tblProducts[Unit Cost],0)</f>
        <v>3360000</v>
      </c>
      <c r="O2567" s="4" t="s">
        <v>4867</v>
      </c>
      <c r="P2567" s="4" t="s">
        <v>4860</v>
      </c>
      <c r="Q2567" s="1" t="str">
        <f>_xlfn.XLOOKUP(tblSales[[#This Row],[Channel Code]],tblChannels[Channel Code],tblChannels[Channel Name],"")</f>
        <v>In-store</v>
      </c>
      <c r="R2567" s="1">
        <f>MONTH(tblSales[[#This Row],[Date]])</f>
        <v>6</v>
      </c>
    </row>
    <row r="2568" spans="2:18" x14ac:dyDescent="0.35">
      <c r="B2568" s="113">
        <v>46177</v>
      </c>
      <c r="C2568" s="4" t="s">
        <v>1714</v>
      </c>
      <c r="D2568" s="4" t="s">
        <v>4578</v>
      </c>
      <c r="E2568" s="1" t="str">
        <f>_xlfn.XLOOKUP(tblSales[[#This Row],[Customer ID]],tblCustomers[Customer ID],tblCustomers[Customer Name],"⚠ Unknown")</f>
        <v>PT Bintang Timur Sejahtera</v>
      </c>
      <c r="F2568" s="4" t="s">
        <v>14</v>
      </c>
      <c r="G2568" s="1" t="str">
        <f>_xlfn.XLOOKUP(tblSales[[#This Row],[Product Code]],tblProducts[Code],tblProducts[Product / Service Name],"⚠ Unknown")</f>
        <v>Smartwatch</v>
      </c>
      <c r="H2568" s="1" t="str">
        <f>_xlfn.XLOOKUP(tblSales[[#This Row],[Product Code]],tblProducts[Code],tblProducts[Category],"")</f>
        <v>Bags &amp; Gadgets</v>
      </c>
      <c r="I2568" s="4">
        <v>16</v>
      </c>
      <c r="J2568" s="5">
        <f>_xlfn.XLOOKUP(tblSales[[#This Row],[Product Code]],tblProducts[Code],tblProducts[Selling Price (excl. VAT)],0)</f>
        <v>850000</v>
      </c>
      <c r="K2568" s="5">
        <f>tblSales[[#This Row],[Qty]]*tblSales[[#This Row],[Unit Price]]</f>
        <v>13600000</v>
      </c>
      <c r="L2568" s="5">
        <f>ROUND(tblSales[[#This Row],[DPP (excl. VAT)]]*VATEff,0)</f>
        <v>1496000</v>
      </c>
      <c r="M2568" s="5">
        <f>tblSales[[#This Row],[DPP (excl. VAT)]]+tblSales[[#This Row],[Output VAT]]</f>
        <v>15096000</v>
      </c>
      <c r="N2568" s="5">
        <f>tblSales[[#This Row],[Qty]]*_xlfn.XLOOKUP(tblSales[[#This Row],[Product Code]],tblProducts[Code],tblProducts[Unit Cost],0)</f>
        <v>8960000</v>
      </c>
      <c r="O2568" s="4" t="s">
        <v>4867</v>
      </c>
      <c r="P2568" s="4" t="s">
        <v>4860</v>
      </c>
      <c r="Q2568" s="1" t="str">
        <f>_xlfn.XLOOKUP(tblSales[[#This Row],[Channel Code]],tblChannels[Channel Code],tblChannels[Channel Name],"")</f>
        <v>In-store</v>
      </c>
      <c r="R2568" s="1">
        <f>MONTH(tblSales[[#This Row],[Date]])</f>
        <v>6</v>
      </c>
    </row>
    <row r="2569" spans="2:18" x14ac:dyDescent="0.35">
      <c r="B2569" s="113">
        <v>46177</v>
      </c>
      <c r="C2569" s="4" t="s">
        <v>1714</v>
      </c>
      <c r="D2569" s="4" t="s">
        <v>4578</v>
      </c>
      <c r="E2569" s="1" t="str">
        <f>_xlfn.XLOOKUP(tblSales[[#This Row],[Customer ID]],tblCustomers[Customer ID],tblCustomers[Customer Name],"⚠ Unknown")</f>
        <v>PT Bintang Timur Sejahtera</v>
      </c>
      <c r="F2569" s="4" t="s">
        <v>10</v>
      </c>
      <c r="G2569" s="1" t="str">
        <f>_xlfn.XLOOKUP(tblSales[[#This Row],[Product Code]],tblProducts[Code],tblProducts[Product / Service Name],"⚠ Unknown")</f>
        <v>Chino Pants</v>
      </c>
      <c r="H2569" s="1" t="str">
        <f>_xlfn.XLOOKUP(tblSales[[#This Row],[Product Code]],tblProducts[Code],tblProducts[Category],"")</f>
        <v>Apparel &amp; Footwear</v>
      </c>
      <c r="I2569" s="4">
        <v>88</v>
      </c>
      <c r="J2569" s="5">
        <f>_xlfn.XLOOKUP(tblSales[[#This Row],[Product Code]],tblProducts[Code],tblProducts[Selling Price (excl. VAT)],0)</f>
        <v>150000</v>
      </c>
      <c r="K2569" s="5">
        <f>tblSales[[#This Row],[Qty]]*tblSales[[#This Row],[Unit Price]]</f>
        <v>13200000</v>
      </c>
      <c r="L2569" s="5">
        <f>ROUND(tblSales[[#This Row],[DPP (excl. VAT)]]*VATEff,0)</f>
        <v>1452000</v>
      </c>
      <c r="M2569" s="5">
        <f>tblSales[[#This Row],[DPP (excl. VAT)]]+tblSales[[#This Row],[Output VAT]]</f>
        <v>14652000</v>
      </c>
      <c r="N2569" s="5">
        <f>tblSales[[#This Row],[Qty]]*_xlfn.XLOOKUP(tblSales[[#This Row],[Product Code]],tblProducts[Code],tblProducts[Unit Cost],0)</f>
        <v>7744000</v>
      </c>
      <c r="O2569" s="4" t="s">
        <v>4867</v>
      </c>
      <c r="P2569" s="4" t="s">
        <v>4860</v>
      </c>
      <c r="Q2569" s="1" t="str">
        <f>_xlfn.XLOOKUP(tblSales[[#This Row],[Channel Code]],tblChannels[Channel Code],tblChannels[Channel Name],"")</f>
        <v>In-store</v>
      </c>
      <c r="R2569" s="1">
        <f>MONTH(tblSales[[#This Row],[Date]])</f>
        <v>6</v>
      </c>
    </row>
    <row r="2570" spans="2:18" x14ac:dyDescent="0.35">
      <c r="B2570" s="113">
        <v>46177</v>
      </c>
      <c r="C2570" s="4" t="s">
        <v>1715</v>
      </c>
      <c r="D2570" s="4" t="s">
        <v>4568</v>
      </c>
      <c r="E2570" s="1" t="str">
        <f>_xlfn.XLOOKUP(tblSales[[#This Row],[Customer ID]],tblCustomers[Customer ID],tblCustomers[Customer Name],"⚠ Unknown")</f>
        <v>Walk-in Customer</v>
      </c>
      <c r="F2570" s="4" t="s">
        <v>6</v>
      </c>
      <c r="G2570" s="1" t="str">
        <f>_xlfn.XLOOKUP(tblSales[[#This Row],[Product Code]],tblProducts[Code],tblProducts[Product / Service Name],"⚠ Unknown")</f>
        <v>Socks &amp; Accessories</v>
      </c>
      <c r="H2570" s="1" t="str">
        <f>_xlfn.XLOOKUP(tblSales[[#This Row],[Product Code]],tblProducts[Code],tblProducts[Category],"")</f>
        <v>Accessories &amp; Basics</v>
      </c>
      <c r="I2570" s="4">
        <v>1</v>
      </c>
      <c r="J2570" s="5">
        <f>_xlfn.XLOOKUP(tblSales[[#This Row],[Product Code]],tblProducts[Code],tblProducts[Selling Price (excl. VAT)],0)</f>
        <v>45000</v>
      </c>
      <c r="K2570" s="5">
        <f>tblSales[[#This Row],[Qty]]*tblSales[[#This Row],[Unit Price]]</f>
        <v>45000</v>
      </c>
      <c r="L2570" s="5">
        <f>ROUND(tblSales[[#This Row],[DPP (excl. VAT)]]*VATEff,0)</f>
        <v>4950</v>
      </c>
      <c r="M2570" s="5">
        <f>tblSales[[#This Row],[DPP (excl. VAT)]]+tblSales[[#This Row],[Output VAT]]</f>
        <v>49950</v>
      </c>
      <c r="N2570" s="5">
        <f>tblSales[[#This Row],[Qty]]*_xlfn.XLOOKUP(tblSales[[#This Row],[Product Code]],tblProducts[Code],tblProducts[Unit Cost],0)</f>
        <v>24000</v>
      </c>
      <c r="O2570" s="4" t="s">
        <v>4866</v>
      </c>
      <c r="P2570" s="4" t="s">
        <v>4862</v>
      </c>
      <c r="Q2570" s="1" t="str">
        <f>_xlfn.XLOOKUP(tblSales[[#This Row],[Channel Code]],tblChannels[Channel Code],tblChannels[Channel Name],"")</f>
        <v>Website &amp; Social Media</v>
      </c>
      <c r="R2570" s="1">
        <f>MONTH(tblSales[[#This Row],[Date]])</f>
        <v>6</v>
      </c>
    </row>
    <row r="2571" spans="2:18" x14ac:dyDescent="0.35">
      <c r="B2571" s="113">
        <v>46178</v>
      </c>
      <c r="C2571" s="4" t="s">
        <v>1716</v>
      </c>
      <c r="D2571" s="4" t="s">
        <v>4568</v>
      </c>
      <c r="E2571" s="1" t="str">
        <f>_xlfn.XLOOKUP(tblSales[[#This Row],[Customer ID]],tblCustomers[Customer ID],tblCustomers[Customer Name],"⚠ Unknown")</f>
        <v>Walk-in Customer</v>
      </c>
      <c r="F2571" s="4" t="s">
        <v>9</v>
      </c>
      <c r="G2571" s="1" t="str">
        <f>_xlfn.XLOOKUP(tblSales[[#This Row],[Product Code]],tblProducts[Code],tblProducts[Product / Service Name],"⚠ Unknown")</f>
        <v>Casual Shirt</v>
      </c>
      <c r="H2571" s="1" t="str">
        <f>_xlfn.XLOOKUP(tblSales[[#This Row],[Product Code]],tblProducts[Code],tblProducts[Category],"")</f>
        <v>Apparel &amp; Footwear</v>
      </c>
      <c r="I2571" s="4">
        <v>4</v>
      </c>
      <c r="J2571" s="5">
        <f>_xlfn.XLOOKUP(tblSales[[#This Row],[Product Code]],tblProducts[Code],tblProducts[Selling Price (excl. VAT)],0)</f>
        <v>120000</v>
      </c>
      <c r="K2571" s="5">
        <f>tblSales[[#This Row],[Qty]]*tblSales[[#This Row],[Unit Price]]</f>
        <v>480000</v>
      </c>
      <c r="L2571" s="5">
        <f>ROUND(tblSales[[#This Row],[DPP (excl. VAT)]]*VATEff,0)</f>
        <v>52800</v>
      </c>
      <c r="M2571" s="5">
        <f>tblSales[[#This Row],[DPP (excl. VAT)]]+tblSales[[#This Row],[Output VAT]]</f>
        <v>532800</v>
      </c>
      <c r="N2571" s="5">
        <f>tblSales[[#This Row],[Qty]]*_xlfn.XLOOKUP(tblSales[[#This Row],[Product Code]],tblProducts[Code],tblProducts[Unit Cost],0)</f>
        <v>288000</v>
      </c>
      <c r="O2571" s="4" t="s">
        <v>4866</v>
      </c>
      <c r="P2571" s="4" t="s">
        <v>4860</v>
      </c>
      <c r="Q2571" s="1" t="str">
        <f>_xlfn.XLOOKUP(tblSales[[#This Row],[Channel Code]],tblChannels[Channel Code],tblChannels[Channel Name],"")</f>
        <v>In-store</v>
      </c>
      <c r="R2571" s="1">
        <f>MONTH(tblSales[[#This Row],[Date]])</f>
        <v>6</v>
      </c>
    </row>
    <row r="2572" spans="2:18" x14ac:dyDescent="0.35">
      <c r="B2572" s="113">
        <v>46178</v>
      </c>
      <c r="C2572" s="4" t="s">
        <v>1717</v>
      </c>
      <c r="D2572" s="4" t="s">
        <v>4572</v>
      </c>
      <c r="E2572" s="1" t="str">
        <f>_xlfn.XLOOKUP(tblSales[[#This Row],[Customer ID]],tblCustomers[Customer ID],tblCustomers[Customer Name],"⚠ Unknown")</f>
        <v>PT Cahaya Abadi Makmur</v>
      </c>
      <c r="F2572" s="4" t="s">
        <v>7</v>
      </c>
      <c r="G2572" s="1" t="str">
        <f>_xlfn.XLOOKUP(tblSales[[#This Row],[Product Code]],tblProducts[Code],tblProducts[Product / Service Name],"⚠ Unknown")</f>
        <v>Premium Basic T-shirt</v>
      </c>
      <c r="H2572" s="1" t="str">
        <f>_xlfn.XLOOKUP(tblSales[[#This Row],[Product Code]],tblProducts[Code],tblProducts[Category],"")</f>
        <v>Accessories &amp; Basics</v>
      </c>
      <c r="I2572" s="4">
        <v>32</v>
      </c>
      <c r="J2572" s="5">
        <f>_xlfn.XLOOKUP(tblSales[[#This Row],[Product Code]],tblProducts[Code],tblProducts[Selling Price (excl. VAT)],0)</f>
        <v>65000</v>
      </c>
      <c r="K2572" s="5">
        <f>tblSales[[#This Row],[Qty]]*tblSales[[#This Row],[Unit Price]]</f>
        <v>2080000</v>
      </c>
      <c r="L2572" s="5">
        <f>ROUND(tblSales[[#This Row],[DPP (excl. VAT)]]*VATEff,0)</f>
        <v>228800</v>
      </c>
      <c r="M2572" s="5">
        <f>tblSales[[#This Row],[DPP (excl. VAT)]]+tblSales[[#This Row],[Output VAT]]</f>
        <v>2308800</v>
      </c>
      <c r="N2572" s="5">
        <f>tblSales[[#This Row],[Qty]]*_xlfn.XLOOKUP(tblSales[[#This Row],[Product Code]],tblProducts[Code],tblProducts[Unit Cost],0)</f>
        <v>1184000</v>
      </c>
      <c r="O2572" s="4" t="s">
        <v>4867</v>
      </c>
      <c r="P2572" s="4" t="s">
        <v>4860</v>
      </c>
      <c r="Q2572" s="1" t="str">
        <f>_xlfn.XLOOKUP(tblSales[[#This Row],[Channel Code]],tblChannels[Channel Code],tblChannels[Channel Name],"")</f>
        <v>In-store</v>
      </c>
      <c r="R2572" s="1">
        <f>MONTH(tblSales[[#This Row],[Date]])</f>
        <v>6</v>
      </c>
    </row>
    <row r="2573" spans="2:18" x14ac:dyDescent="0.35">
      <c r="B2573" s="113">
        <v>46178</v>
      </c>
      <c r="C2573" s="4" t="s">
        <v>1718</v>
      </c>
      <c r="D2573" s="4" t="s">
        <v>4568</v>
      </c>
      <c r="E2573" s="1" t="str">
        <f>_xlfn.XLOOKUP(tblSales[[#This Row],[Customer ID]],tblCustomers[Customer ID],tblCustomers[Customer Name],"⚠ Unknown")</f>
        <v>Walk-in Customer</v>
      </c>
      <c r="F2573" s="4" t="s">
        <v>11</v>
      </c>
      <c r="G2573" s="1" t="str">
        <f>_xlfn.XLOOKUP(tblSales[[#This Row],[Product Code]],tblProducts[Code],tblProducts[Product / Service Name],"⚠ Unknown")</f>
        <v>Sneakers</v>
      </c>
      <c r="H2573" s="1" t="str">
        <f>_xlfn.XLOOKUP(tblSales[[#This Row],[Product Code]],tblProducts[Code],tblProducts[Category],"")</f>
        <v>Apparel &amp; Footwear</v>
      </c>
      <c r="I2573" s="4">
        <v>2</v>
      </c>
      <c r="J2573" s="5">
        <f>_xlfn.XLOOKUP(tblSales[[#This Row],[Product Code]],tblProducts[Code],tblProducts[Selling Price (excl. VAT)],0)</f>
        <v>250000</v>
      </c>
      <c r="K2573" s="5">
        <f>tblSales[[#This Row],[Qty]]*tblSales[[#This Row],[Unit Price]]</f>
        <v>500000</v>
      </c>
      <c r="L2573" s="5">
        <f>ROUND(tblSales[[#This Row],[DPP (excl. VAT)]]*VATEff,0)</f>
        <v>55000</v>
      </c>
      <c r="M2573" s="5">
        <f>tblSales[[#This Row],[DPP (excl. VAT)]]+tblSales[[#This Row],[Output VAT]]</f>
        <v>555000</v>
      </c>
      <c r="N2573" s="5">
        <f>tblSales[[#This Row],[Qty]]*_xlfn.XLOOKUP(tblSales[[#This Row],[Product Code]],tblProducts[Code],tblProducts[Unit Cost],0)</f>
        <v>310000</v>
      </c>
      <c r="O2573" s="4" t="s">
        <v>4865</v>
      </c>
      <c r="P2573" s="4" t="s">
        <v>4860</v>
      </c>
      <c r="Q2573" s="1" t="str">
        <f>_xlfn.XLOOKUP(tblSales[[#This Row],[Channel Code]],tblChannels[Channel Code],tblChannels[Channel Name],"")</f>
        <v>In-store</v>
      </c>
      <c r="R2573" s="1">
        <f>MONTH(tblSales[[#This Row],[Date]])</f>
        <v>6</v>
      </c>
    </row>
    <row r="2574" spans="2:18" x14ac:dyDescent="0.35">
      <c r="B2574" s="113">
        <v>46178</v>
      </c>
      <c r="C2574" s="4" t="s">
        <v>1718</v>
      </c>
      <c r="D2574" s="4" t="s">
        <v>4568</v>
      </c>
      <c r="E2574" s="1" t="str">
        <f>_xlfn.XLOOKUP(tblSales[[#This Row],[Customer ID]],tblCustomers[Customer ID],tblCustomers[Customer Name],"⚠ Unknown")</f>
        <v>Walk-in Customer</v>
      </c>
      <c r="F2574" s="4" t="s">
        <v>7</v>
      </c>
      <c r="G2574" s="1" t="str">
        <f>_xlfn.XLOOKUP(tblSales[[#This Row],[Product Code]],tblProducts[Code],tblProducts[Product / Service Name],"⚠ Unknown")</f>
        <v>Premium Basic T-shirt</v>
      </c>
      <c r="H2574" s="1" t="str">
        <f>_xlfn.XLOOKUP(tblSales[[#This Row],[Product Code]],tblProducts[Code],tblProducts[Category],"")</f>
        <v>Accessories &amp; Basics</v>
      </c>
      <c r="I2574" s="4">
        <v>10</v>
      </c>
      <c r="J2574" s="5">
        <f>_xlfn.XLOOKUP(tblSales[[#This Row],[Product Code]],tblProducts[Code],tblProducts[Selling Price (excl. VAT)],0)</f>
        <v>65000</v>
      </c>
      <c r="K2574" s="5">
        <f>tblSales[[#This Row],[Qty]]*tblSales[[#This Row],[Unit Price]]</f>
        <v>650000</v>
      </c>
      <c r="L2574" s="5">
        <f>ROUND(tblSales[[#This Row],[DPP (excl. VAT)]]*VATEff,0)</f>
        <v>71500</v>
      </c>
      <c r="M2574" s="5">
        <f>tblSales[[#This Row],[DPP (excl. VAT)]]+tblSales[[#This Row],[Output VAT]]</f>
        <v>721500</v>
      </c>
      <c r="N2574" s="5">
        <f>tblSales[[#This Row],[Qty]]*_xlfn.XLOOKUP(tblSales[[#This Row],[Product Code]],tblProducts[Code],tblProducts[Unit Cost],0)</f>
        <v>370000</v>
      </c>
      <c r="O2574" s="4" t="s">
        <v>4865</v>
      </c>
      <c r="P2574" s="4" t="s">
        <v>4860</v>
      </c>
      <c r="Q2574" s="1" t="str">
        <f>_xlfn.XLOOKUP(tblSales[[#This Row],[Channel Code]],tblChannels[Channel Code],tblChannels[Channel Name],"")</f>
        <v>In-store</v>
      </c>
      <c r="R2574" s="1">
        <f>MONTH(tblSales[[#This Row],[Date]])</f>
        <v>6</v>
      </c>
    </row>
    <row r="2575" spans="2:18" x14ac:dyDescent="0.35">
      <c r="B2575" s="113">
        <v>46178</v>
      </c>
      <c r="C2575" s="4" t="s">
        <v>1719</v>
      </c>
      <c r="D2575" s="4" t="s">
        <v>4568</v>
      </c>
      <c r="E2575" s="1" t="str">
        <f>_xlfn.XLOOKUP(tblSales[[#This Row],[Customer ID]],tblCustomers[Customer ID],tblCustomers[Customer Name],"⚠ Unknown")</f>
        <v>Walk-in Customer</v>
      </c>
      <c r="F2575" s="4" t="s">
        <v>6</v>
      </c>
      <c r="G2575" s="1" t="str">
        <f>_xlfn.XLOOKUP(tblSales[[#This Row],[Product Code]],tblProducts[Code],tblProducts[Product / Service Name],"⚠ Unknown")</f>
        <v>Socks &amp; Accessories</v>
      </c>
      <c r="H2575" s="1" t="str">
        <f>_xlfn.XLOOKUP(tblSales[[#This Row],[Product Code]],tblProducts[Code],tblProducts[Category],"")</f>
        <v>Accessories &amp; Basics</v>
      </c>
      <c r="I2575" s="4">
        <v>12</v>
      </c>
      <c r="J2575" s="5">
        <f>_xlfn.XLOOKUP(tblSales[[#This Row],[Product Code]],tblProducts[Code],tblProducts[Selling Price (excl. VAT)],0)</f>
        <v>45000</v>
      </c>
      <c r="K2575" s="5">
        <f>tblSales[[#This Row],[Qty]]*tblSales[[#This Row],[Unit Price]]</f>
        <v>540000</v>
      </c>
      <c r="L2575" s="5">
        <f>ROUND(tblSales[[#This Row],[DPP (excl. VAT)]]*VATEff,0)</f>
        <v>59400</v>
      </c>
      <c r="M2575" s="5">
        <f>tblSales[[#This Row],[DPP (excl. VAT)]]+tblSales[[#This Row],[Output VAT]]</f>
        <v>599400</v>
      </c>
      <c r="N2575" s="5">
        <f>tblSales[[#This Row],[Qty]]*_xlfn.XLOOKUP(tblSales[[#This Row],[Product Code]],tblProducts[Code],tblProducts[Unit Cost],0)</f>
        <v>288000</v>
      </c>
      <c r="O2575" s="4" t="s">
        <v>4866</v>
      </c>
      <c r="P2575" s="4" t="s">
        <v>4860</v>
      </c>
      <c r="Q2575" s="1" t="str">
        <f>_xlfn.XLOOKUP(tblSales[[#This Row],[Channel Code]],tblChannels[Channel Code],tblChannels[Channel Name],"")</f>
        <v>In-store</v>
      </c>
      <c r="R2575" s="1">
        <f>MONTH(tblSales[[#This Row],[Date]])</f>
        <v>6</v>
      </c>
    </row>
    <row r="2576" spans="2:18" x14ac:dyDescent="0.35">
      <c r="B2576" s="113">
        <v>46178</v>
      </c>
      <c r="C2576" s="4" t="s">
        <v>1720</v>
      </c>
      <c r="D2576" s="4" t="s">
        <v>4568</v>
      </c>
      <c r="E2576" s="1" t="str">
        <f>_xlfn.XLOOKUP(tblSales[[#This Row],[Customer ID]],tblCustomers[Customer ID],tblCustomers[Customer Name],"⚠ Unknown")</f>
        <v>Walk-in Customer</v>
      </c>
      <c r="F2576" s="4" t="s">
        <v>7</v>
      </c>
      <c r="G2576" s="1" t="str">
        <f>_xlfn.XLOOKUP(tblSales[[#This Row],[Product Code]],tblProducts[Code],tblProducts[Product / Service Name],"⚠ Unknown")</f>
        <v>Premium Basic T-shirt</v>
      </c>
      <c r="H2576" s="1" t="str">
        <f>_xlfn.XLOOKUP(tblSales[[#This Row],[Product Code]],tblProducts[Code],tblProducts[Category],"")</f>
        <v>Accessories &amp; Basics</v>
      </c>
      <c r="I2576" s="4">
        <v>1</v>
      </c>
      <c r="J2576" s="5">
        <f>_xlfn.XLOOKUP(tblSales[[#This Row],[Product Code]],tblProducts[Code],tblProducts[Selling Price (excl. VAT)],0)</f>
        <v>65000</v>
      </c>
      <c r="K2576" s="5">
        <f>tblSales[[#This Row],[Qty]]*tblSales[[#This Row],[Unit Price]]</f>
        <v>65000</v>
      </c>
      <c r="L2576" s="5">
        <f>ROUND(tblSales[[#This Row],[DPP (excl. VAT)]]*VATEff,0)</f>
        <v>7150</v>
      </c>
      <c r="M2576" s="5">
        <f>tblSales[[#This Row],[DPP (excl. VAT)]]+tblSales[[#This Row],[Output VAT]]</f>
        <v>72150</v>
      </c>
      <c r="N2576" s="5">
        <f>tblSales[[#This Row],[Qty]]*_xlfn.XLOOKUP(tblSales[[#This Row],[Product Code]],tblProducts[Code],tblProducts[Unit Cost],0)</f>
        <v>37000</v>
      </c>
      <c r="O2576" s="4" t="s">
        <v>4866</v>
      </c>
      <c r="P2576" s="4" t="s">
        <v>4862</v>
      </c>
      <c r="Q2576" s="1" t="str">
        <f>_xlfn.XLOOKUP(tblSales[[#This Row],[Channel Code]],tblChannels[Channel Code],tblChannels[Channel Name],"")</f>
        <v>Website &amp; Social Media</v>
      </c>
      <c r="R2576" s="1">
        <f>MONTH(tblSales[[#This Row],[Date]])</f>
        <v>6</v>
      </c>
    </row>
    <row r="2577" spans="2:18" x14ac:dyDescent="0.35">
      <c r="B2577" s="113">
        <v>46178</v>
      </c>
      <c r="C2577" s="4" t="s">
        <v>1720</v>
      </c>
      <c r="D2577" s="4" t="s">
        <v>4568</v>
      </c>
      <c r="E2577" s="1" t="str">
        <f>_xlfn.XLOOKUP(tblSales[[#This Row],[Customer ID]],tblCustomers[Customer ID],tblCustomers[Customer Name],"⚠ Unknown")</f>
        <v>Walk-in Customer</v>
      </c>
      <c r="F2577" s="4" t="s">
        <v>10</v>
      </c>
      <c r="G2577" s="1" t="str">
        <f>_xlfn.XLOOKUP(tblSales[[#This Row],[Product Code]],tblProducts[Code],tblProducts[Product / Service Name],"⚠ Unknown")</f>
        <v>Chino Pants</v>
      </c>
      <c r="H2577" s="1" t="str">
        <f>_xlfn.XLOOKUP(tblSales[[#This Row],[Product Code]],tblProducts[Code],tblProducts[Category],"")</f>
        <v>Apparel &amp; Footwear</v>
      </c>
      <c r="I2577" s="4">
        <v>11</v>
      </c>
      <c r="J2577" s="5">
        <f>_xlfn.XLOOKUP(tblSales[[#This Row],[Product Code]],tblProducts[Code],tblProducts[Selling Price (excl. VAT)],0)</f>
        <v>150000</v>
      </c>
      <c r="K2577" s="5">
        <f>tblSales[[#This Row],[Qty]]*tblSales[[#This Row],[Unit Price]]</f>
        <v>1650000</v>
      </c>
      <c r="L2577" s="5">
        <f>ROUND(tblSales[[#This Row],[DPP (excl. VAT)]]*VATEff,0)</f>
        <v>181500</v>
      </c>
      <c r="M2577" s="5">
        <f>tblSales[[#This Row],[DPP (excl. VAT)]]+tblSales[[#This Row],[Output VAT]]</f>
        <v>1831500</v>
      </c>
      <c r="N2577" s="5">
        <f>tblSales[[#This Row],[Qty]]*_xlfn.XLOOKUP(tblSales[[#This Row],[Product Code]],tblProducts[Code],tblProducts[Unit Cost],0)</f>
        <v>968000</v>
      </c>
      <c r="O2577" s="4" t="s">
        <v>4866</v>
      </c>
      <c r="P2577" s="4" t="s">
        <v>4862</v>
      </c>
      <c r="Q2577" s="1" t="str">
        <f>_xlfn.XLOOKUP(tblSales[[#This Row],[Channel Code]],tblChannels[Channel Code],tblChannels[Channel Name],"")</f>
        <v>Website &amp; Social Media</v>
      </c>
      <c r="R2577" s="1">
        <f>MONTH(tblSales[[#This Row],[Date]])</f>
        <v>6</v>
      </c>
    </row>
    <row r="2578" spans="2:18" x14ac:dyDescent="0.35">
      <c r="B2578" s="113">
        <v>46178</v>
      </c>
      <c r="C2578" s="4" t="s">
        <v>1721</v>
      </c>
      <c r="D2578" s="4" t="s">
        <v>4568</v>
      </c>
      <c r="E2578" s="1" t="str">
        <f>_xlfn.XLOOKUP(tblSales[[#This Row],[Customer ID]],tblCustomers[Customer ID],tblCustomers[Customer Name],"⚠ Unknown")</f>
        <v>Walk-in Customer</v>
      </c>
      <c r="F2578" s="4" t="s">
        <v>6</v>
      </c>
      <c r="G2578" s="1" t="str">
        <f>_xlfn.XLOOKUP(tblSales[[#This Row],[Product Code]],tblProducts[Code],tblProducts[Product / Service Name],"⚠ Unknown")</f>
        <v>Socks &amp; Accessories</v>
      </c>
      <c r="H2578" s="1" t="str">
        <f>_xlfn.XLOOKUP(tblSales[[#This Row],[Product Code]],tblProducts[Code],tblProducts[Category],"")</f>
        <v>Accessories &amp; Basics</v>
      </c>
      <c r="I2578" s="4">
        <v>3</v>
      </c>
      <c r="J2578" s="5">
        <f>_xlfn.XLOOKUP(tblSales[[#This Row],[Product Code]],tblProducts[Code],tblProducts[Selling Price (excl. VAT)],0)</f>
        <v>45000</v>
      </c>
      <c r="K2578" s="5">
        <f>tblSales[[#This Row],[Qty]]*tblSales[[#This Row],[Unit Price]]</f>
        <v>135000</v>
      </c>
      <c r="L2578" s="5">
        <f>ROUND(tblSales[[#This Row],[DPP (excl. VAT)]]*VATEff,0)</f>
        <v>14850</v>
      </c>
      <c r="M2578" s="5">
        <f>tblSales[[#This Row],[DPP (excl. VAT)]]+tblSales[[#This Row],[Output VAT]]</f>
        <v>149850</v>
      </c>
      <c r="N2578" s="5">
        <f>tblSales[[#This Row],[Qty]]*_xlfn.XLOOKUP(tblSales[[#This Row],[Product Code]],tblProducts[Code],tblProducts[Unit Cost],0)</f>
        <v>72000</v>
      </c>
      <c r="O2578" s="4" t="s">
        <v>4866</v>
      </c>
      <c r="P2578" s="4" t="s">
        <v>4862</v>
      </c>
      <c r="Q2578" s="1" t="str">
        <f>_xlfn.XLOOKUP(tblSales[[#This Row],[Channel Code]],tblChannels[Channel Code],tblChannels[Channel Name],"")</f>
        <v>Website &amp; Social Media</v>
      </c>
      <c r="R2578" s="1">
        <f>MONTH(tblSales[[#This Row],[Date]])</f>
        <v>6</v>
      </c>
    </row>
    <row r="2579" spans="2:18" x14ac:dyDescent="0.35">
      <c r="B2579" s="113">
        <v>46178</v>
      </c>
      <c r="C2579" s="4" t="s">
        <v>1721</v>
      </c>
      <c r="D2579" s="4" t="s">
        <v>4568</v>
      </c>
      <c r="E2579" s="1" t="str">
        <f>_xlfn.XLOOKUP(tblSales[[#This Row],[Customer ID]],tblCustomers[Customer ID],tblCustomers[Customer Name],"⚠ Unknown")</f>
        <v>Walk-in Customer</v>
      </c>
      <c r="F2579" s="4" t="s">
        <v>8</v>
      </c>
      <c r="G2579" s="1" t="str">
        <f>_xlfn.XLOOKUP(tblSales[[#This Row],[Product Code]],tblProducts[Code],tblProducts[Product / Service Name],"⚠ Unknown")</f>
        <v>Casual Shorts</v>
      </c>
      <c r="H2579" s="1" t="str">
        <f>_xlfn.XLOOKUP(tblSales[[#This Row],[Product Code]],tblProducts[Code],tblProducts[Category],"")</f>
        <v>Accessories &amp; Basics</v>
      </c>
      <c r="I2579" s="4">
        <v>11</v>
      </c>
      <c r="J2579" s="5">
        <f>_xlfn.XLOOKUP(tblSales[[#This Row],[Product Code]],tblProducts[Code],tblProducts[Selling Price (excl. VAT)],0)</f>
        <v>85000</v>
      </c>
      <c r="K2579" s="5">
        <f>tblSales[[#This Row],[Qty]]*tblSales[[#This Row],[Unit Price]]</f>
        <v>935000</v>
      </c>
      <c r="L2579" s="5">
        <f>ROUND(tblSales[[#This Row],[DPP (excl. VAT)]]*VATEff,0)</f>
        <v>102850</v>
      </c>
      <c r="M2579" s="5">
        <f>tblSales[[#This Row],[DPP (excl. VAT)]]+tblSales[[#This Row],[Output VAT]]</f>
        <v>1037850</v>
      </c>
      <c r="N2579" s="5">
        <f>tblSales[[#This Row],[Qty]]*_xlfn.XLOOKUP(tblSales[[#This Row],[Product Code]],tblProducts[Code],tblProducts[Unit Cost],0)</f>
        <v>550000</v>
      </c>
      <c r="O2579" s="4" t="s">
        <v>4866</v>
      </c>
      <c r="P2579" s="4" t="s">
        <v>4862</v>
      </c>
      <c r="Q2579" s="1" t="str">
        <f>_xlfn.XLOOKUP(tblSales[[#This Row],[Channel Code]],tblChannels[Channel Code],tblChannels[Channel Name],"")</f>
        <v>Website &amp; Social Media</v>
      </c>
      <c r="R2579" s="1">
        <f>MONTH(tblSales[[#This Row],[Date]])</f>
        <v>6</v>
      </c>
    </row>
    <row r="2580" spans="2:18" x14ac:dyDescent="0.35">
      <c r="B2580" s="113">
        <v>46178</v>
      </c>
      <c r="C2580" s="4" t="s">
        <v>1721</v>
      </c>
      <c r="D2580" s="4" t="s">
        <v>4568</v>
      </c>
      <c r="E2580" s="1" t="str">
        <f>_xlfn.XLOOKUP(tblSales[[#This Row],[Customer ID]],tblCustomers[Customer ID],tblCustomers[Customer Name],"⚠ Unknown")</f>
        <v>Walk-in Customer</v>
      </c>
      <c r="F2580" s="4" t="s">
        <v>7</v>
      </c>
      <c r="G2580" s="1" t="str">
        <f>_xlfn.XLOOKUP(tblSales[[#This Row],[Product Code]],tblProducts[Code],tblProducts[Product / Service Name],"⚠ Unknown")</f>
        <v>Premium Basic T-shirt</v>
      </c>
      <c r="H2580" s="1" t="str">
        <f>_xlfn.XLOOKUP(tblSales[[#This Row],[Product Code]],tblProducts[Code],tblProducts[Category],"")</f>
        <v>Accessories &amp; Basics</v>
      </c>
      <c r="I2580" s="4">
        <v>3</v>
      </c>
      <c r="J2580" s="5">
        <f>_xlfn.XLOOKUP(tblSales[[#This Row],[Product Code]],tblProducts[Code],tblProducts[Selling Price (excl. VAT)],0)</f>
        <v>65000</v>
      </c>
      <c r="K2580" s="5">
        <f>tblSales[[#This Row],[Qty]]*tblSales[[#This Row],[Unit Price]]</f>
        <v>195000</v>
      </c>
      <c r="L2580" s="5">
        <f>ROUND(tblSales[[#This Row],[DPP (excl. VAT)]]*VATEff,0)</f>
        <v>21450</v>
      </c>
      <c r="M2580" s="5">
        <f>tblSales[[#This Row],[DPP (excl. VAT)]]+tblSales[[#This Row],[Output VAT]]</f>
        <v>216450</v>
      </c>
      <c r="N2580" s="5">
        <f>tblSales[[#This Row],[Qty]]*_xlfn.XLOOKUP(tblSales[[#This Row],[Product Code]],tblProducts[Code],tblProducts[Unit Cost],0)</f>
        <v>111000</v>
      </c>
      <c r="O2580" s="4" t="s">
        <v>4866</v>
      </c>
      <c r="P2580" s="4" t="s">
        <v>4862</v>
      </c>
      <c r="Q2580" s="1" t="str">
        <f>_xlfn.XLOOKUP(tblSales[[#This Row],[Channel Code]],tblChannels[Channel Code],tblChannels[Channel Name],"")</f>
        <v>Website &amp; Social Media</v>
      </c>
      <c r="R2580" s="1">
        <f>MONTH(tblSales[[#This Row],[Date]])</f>
        <v>6</v>
      </c>
    </row>
    <row r="2581" spans="2:18" x14ac:dyDescent="0.35">
      <c r="B2581" s="113">
        <v>46178</v>
      </c>
      <c r="C2581" s="4" t="s">
        <v>1722</v>
      </c>
      <c r="D2581" s="4" t="s">
        <v>4568</v>
      </c>
      <c r="E2581" s="1" t="str">
        <f>_xlfn.XLOOKUP(tblSales[[#This Row],[Customer ID]],tblCustomers[Customer ID],tblCustomers[Customer Name],"⚠ Unknown")</f>
        <v>Walk-in Customer</v>
      </c>
      <c r="F2581" s="4" t="s">
        <v>10</v>
      </c>
      <c r="G2581" s="1" t="str">
        <f>_xlfn.XLOOKUP(tblSales[[#This Row],[Product Code]],tblProducts[Code],tblProducts[Product / Service Name],"⚠ Unknown")</f>
        <v>Chino Pants</v>
      </c>
      <c r="H2581" s="1" t="str">
        <f>_xlfn.XLOOKUP(tblSales[[#This Row],[Product Code]],tblProducts[Code],tblProducts[Category],"")</f>
        <v>Apparel &amp; Footwear</v>
      </c>
      <c r="I2581" s="4">
        <v>10</v>
      </c>
      <c r="J2581" s="5">
        <f>_xlfn.XLOOKUP(tblSales[[#This Row],[Product Code]],tblProducts[Code],tblProducts[Selling Price (excl. VAT)],0)</f>
        <v>150000</v>
      </c>
      <c r="K2581" s="5">
        <f>tblSales[[#This Row],[Qty]]*tblSales[[#This Row],[Unit Price]]</f>
        <v>1500000</v>
      </c>
      <c r="L2581" s="5">
        <f>ROUND(tblSales[[#This Row],[DPP (excl. VAT)]]*VATEff,0)</f>
        <v>165000</v>
      </c>
      <c r="M2581" s="5">
        <f>tblSales[[#This Row],[DPP (excl. VAT)]]+tblSales[[#This Row],[Output VAT]]</f>
        <v>1665000</v>
      </c>
      <c r="N2581" s="5">
        <f>tblSales[[#This Row],[Qty]]*_xlfn.XLOOKUP(tblSales[[#This Row],[Product Code]],tblProducts[Code],tblProducts[Unit Cost],0)</f>
        <v>880000</v>
      </c>
      <c r="O2581" s="4" t="s">
        <v>4865</v>
      </c>
      <c r="P2581" s="4" t="s">
        <v>4860</v>
      </c>
      <c r="Q2581" s="1" t="str">
        <f>_xlfn.XLOOKUP(tblSales[[#This Row],[Channel Code]],tblChannels[Channel Code],tblChannels[Channel Name],"")</f>
        <v>In-store</v>
      </c>
      <c r="R2581" s="1">
        <f>MONTH(tblSales[[#This Row],[Date]])</f>
        <v>6</v>
      </c>
    </row>
    <row r="2582" spans="2:18" x14ac:dyDescent="0.35">
      <c r="B2582" s="113">
        <v>46178</v>
      </c>
      <c r="C2582" s="4" t="s">
        <v>1723</v>
      </c>
      <c r="D2582" s="4" t="s">
        <v>4568</v>
      </c>
      <c r="E2582" s="1" t="str">
        <f>_xlfn.XLOOKUP(tblSales[[#This Row],[Customer ID]],tblCustomers[Customer ID],tblCustomers[Customer Name],"⚠ Unknown")</f>
        <v>Walk-in Customer</v>
      </c>
      <c r="F2582" s="4" t="s">
        <v>11</v>
      </c>
      <c r="G2582" s="1" t="str">
        <f>_xlfn.XLOOKUP(tblSales[[#This Row],[Product Code]],tblProducts[Code],tblProducts[Product / Service Name],"⚠ Unknown")</f>
        <v>Sneakers</v>
      </c>
      <c r="H2582" s="1" t="str">
        <f>_xlfn.XLOOKUP(tblSales[[#This Row],[Product Code]],tblProducts[Code],tblProducts[Category],"")</f>
        <v>Apparel &amp; Footwear</v>
      </c>
      <c r="I2582" s="4">
        <v>6</v>
      </c>
      <c r="J2582" s="5">
        <f>_xlfn.XLOOKUP(tblSales[[#This Row],[Product Code]],tblProducts[Code],tblProducts[Selling Price (excl. VAT)],0)</f>
        <v>250000</v>
      </c>
      <c r="K2582" s="5">
        <f>tblSales[[#This Row],[Qty]]*tblSales[[#This Row],[Unit Price]]</f>
        <v>1500000</v>
      </c>
      <c r="L2582" s="5">
        <f>ROUND(tblSales[[#This Row],[DPP (excl. VAT)]]*VATEff,0)</f>
        <v>165000</v>
      </c>
      <c r="M2582" s="5">
        <f>tblSales[[#This Row],[DPP (excl. VAT)]]+tblSales[[#This Row],[Output VAT]]</f>
        <v>1665000</v>
      </c>
      <c r="N2582" s="5">
        <f>tblSales[[#This Row],[Qty]]*_xlfn.XLOOKUP(tblSales[[#This Row],[Product Code]],tblProducts[Code],tblProducts[Unit Cost],0)</f>
        <v>930000</v>
      </c>
      <c r="O2582" s="4" t="s">
        <v>4866</v>
      </c>
      <c r="P2582" s="4" t="s">
        <v>4861</v>
      </c>
      <c r="Q2582" s="1" t="str">
        <f>_xlfn.XLOOKUP(tblSales[[#This Row],[Channel Code]],tblChannels[Channel Code],tblChannels[Channel Name],"")</f>
        <v>Marketplace</v>
      </c>
      <c r="R2582" s="1">
        <f>MONTH(tblSales[[#This Row],[Date]])</f>
        <v>6</v>
      </c>
    </row>
    <row r="2583" spans="2:18" x14ac:dyDescent="0.35">
      <c r="B2583" s="113">
        <v>46178</v>
      </c>
      <c r="C2583" s="4" t="s">
        <v>1723</v>
      </c>
      <c r="D2583" s="4" t="s">
        <v>4568</v>
      </c>
      <c r="E2583" s="1" t="str">
        <f>_xlfn.XLOOKUP(tblSales[[#This Row],[Customer ID]],tblCustomers[Customer ID],tblCustomers[Customer Name],"⚠ Unknown")</f>
        <v>Walk-in Customer</v>
      </c>
      <c r="F2583" s="4" t="s">
        <v>10</v>
      </c>
      <c r="G2583" s="1" t="str">
        <f>_xlfn.XLOOKUP(tblSales[[#This Row],[Product Code]],tblProducts[Code],tblProducts[Product / Service Name],"⚠ Unknown")</f>
        <v>Chino Pants</v>
      </c>
      <c r="H2583" s="1" t="str">
        <f>_xlfn.XLOOKUP(tblSales[[#This Row],[Product Code]],tblProducts[Code],tblProducts[Category],"")</f>
        <v>Apparel &amp; Footwear</v>
      </c>
      <c r="I2583" s="4">
        <v>6</v>
      </c>
      <c r="J2583" s="5">
        <f>_xlfn.XLOOKUP(tblSales[[#This Row],[Product Code]],tblProducts[Code],tblProducts[Selling Price (excl. VAT)],0)</f>
        <v>150000</v>
      </c>
      <c r="K2583" s="5">
        <f>tblSales[[#This Row],[Qty]]*tblSales[[#This Row],[Unit Price]]</f>
        <v>900000</v>
      </c>
      <c r="L2583" s="5">
        <f>ROUND(tblSales[[#This Row],[DPP (excl. VAT)]]*VATEff,0)</f>
        <v>99000</v>
      </c>
      <c r="M2583" s="5">
        <f>tblSales[[#This Row],[DPP (excl. VAT)]]+tblSales[[#This Row],[Output VAT]]</f>
        <v>999000</v>
      </c>
      <c r="N2583" s="5">
        <f>tblSales[[#This Row],[Qty]]*_xlfn.XLOOKUP(tblSales[[#This Row],[Product Code]],tblProducts[Code],tblProducts[Unit Cost],0)</f>
        <v>528000</v>
      </c>
      <c r="O2583" s="4" t="s">
        <v>4866</v>
      </c>
      <c r="P2583" s="4" t="s">
        <v>4861</v>
      </c>
      <c r="Q2583" s="1" t="str">
        <f>_xlfn.XLOOKUP(tblSales[[#This Row],[Channel Code]],tblChannels[Channel Code],tblChannels[Channel Name],"")</f>
        <v>Marketplace</v>
      </c>
      <c r="R2583" s="1">
        <f>MONTH(tblSales[[#This Row],[Date]])</f>
        <v>6</v>
      </c>
    </row>
    <row r="2584" spans="2:18" x14ac:dyDescent="0.35">
      <c r="B2584" s="113">
        <v>46178</v>
      </c>
      <c r="C2584" s="4" t="s">
        <v>1724</v>
      </c>
      <c r="D2584" s="4" t="s">
        <v>4599</v>
      </c>
      <c r="E2584" s="1" t="str">
        <f>_xlfn.XLOOKUP(tblSales[[#This Row],[Customer ID]],tblCustomers[Customer ID],tblCustomers[Customer Name],"⚠ Unknown")</f>
        <v>PT Samudra Jaya Logistik</v>
      </c>
      <c r="F2584" s="4" t="s">
        <v>10</v>
      </c>
      <c r="G2584" s="1" t="str">
        <f>_xlfn.XLOOKUP(tblSales[[#This Row],[Product Code]],tblProducts[Code],tblProducts[Product / Service Name],"⚠ Unknown")</f>
        <v>Chino Pants</v>
      </c>
      <c r="H2584" s="1" t="str">
        <f>_xlfn.XLOOKUP(tblSales[[#This Row],[Product Code]],tblProducts[Code],tblProducts[Category],"")</f>
        <v>Apparel &amp; Footwear</v>
      </c>
      <c r="I2584" s="4">
        <v>48</v>
      </c>
      <c r="J2584" s="5">
        <f>_xlfn.XLOOKUP(tblSales[[#This Row],[Product Code]],tblProducts[Code],tblProducts[Selling Price (excl. VAT)],0)</f>
        <v>150000</v>
      </c>
      <c r="K2584" s="5">
        <f>tblSales[[#This Row],[Qty]]*tblSales[[#This Row],[Unit Price]]</f>
        <v>7200000</v>
      </c>
      <c r="L2584" s="5">
        <f>ROUND(tblSales[[#This Row],[DPP (excl. VAT)]]*VATEff,0)</f>
        <v>792000</v>
      </c>
      <c r="M2584" s="5">
        <f>tblSales[[#This Row],[DPP (excl. VAT)]]+tblSales[[#This Row],[Output VAT]]</f>
        <v>7992000</v>
      </c>
      <c r="N2584" s="5">
        <f>tblSales[[#This Row],[Qty]]*_xlfn.XLOOKUP(tblSales[[#This Row],[Product Code]],tblProducts[Code],tblProducts[Unit Cost],0)</f>
        <v>4224000</v>
      </c>
      <c r="O2584" s="4" t="s">
        <v>4867</v>
      </c>
      <c r="P2584" s="4" t="s">
        <v>4862</v>
      </c>
      <c r="Q2584" s="1" t="str">
        <f>_xlfn.XLOOKUP(tblSales[[#This Row],[Channel Code]],tblChannels[Channel Code],tblChannels[Channel Name],"")</f>
        <v>Website &amp; Social Media</v>
      </c>
      <c r="R2584" s="1">
        <f>MONTH(tblSales[[#This Row],[Date]])</f>
        <v>6</v>
      </c>
    </row>
    <row r="2585" spans="2:18" x14ac:dyDescent="0.35">
      <c r="B2585" s="113">
        <v>46178</v>
      </c>
      <c r="C2585" s="4" t="s">
        <v>1724</v>
      </c>
      <c r="D2585" s="4" t="s">
        <v>4599</v>
      </c>
      <c r="E2585" s="1" t="str">
        <f>_xlfn.XLOOKUP(tblSales[[#This Row],[Customer ID]],tblCustomers[Customer ID],tblCustomers[Customer Name],"⚠ Unknown")</f>
        <v>PT Samudra Jaya Logistik</v>
      </c>
      <c r="F2585" s="4" t="s">
        <v>6</v>
      </c>
      <c r="G2585" s="1" t="str">
        <f>_xlfn.XLOOKUP(tblSales[[#This Row],[Product Code]],tblProducts[Code],tblProducts[Product / Service Name],"⚠ Unknown")</f>
        <v>Socks &amp; Accessories</v>
      </c>
      <c r="H2585" s="1" t="str">
        <f>_xlfn.XLOOKUP(tblSales[[#This Row],[Product Code]],tblProducts[Code],tblProducts[Category],"")</f>
        <v>Accessories &amp; Basics</v>
      </c>
      <c r="I2585" s="4">
        <v>8</v>
      </c>
      <c r="J2585" s="5">
        <f>_xlfn.XLOOKUP(tblSales[[#This Row],[Product Code]],tblProducts[Code],tblProducts[Selling Price (excl. VAT)],0)</f>
        <v>45000</v>
      </c>
      <c r="K2585" s="5">
        <f>tblSales[[#This Row],[Qty]]*tblSales[[#This Row],[Unit Price]]</f>
        <v>360000</v>
      </c>
      <c r="L2585" s="5">
        <f>ROUND(tblSales[[#This Row],[DPP (excl. VAT)]]*VATEff,0)</f>
        <v>39600</v>
      </c>
      <c r="M2585" s="5">
        <f>tblSales[[#This Row],[DPP (excl. VAT)]]+tblSales[[#This Row],[Output VAT]]</f>
        <v>399600</v>
      </c>
      <c r="N2585" s="5">
        <f>tblSales[[#This Row],[Qty]]*_xlfn.XLOOKUP(tblSales[[#This Row],[Product Code]],tblProducts[Code],tblProducts[Unit Cost],0)</f>
        <v>192000</v>
      </c>
      <c r="O2585" s="4" t="s">
        <v>4867</v>
      </c>
      <c r="P2585" s="4" t="s">
        <v>4862</v>
      </c>
      <c r="Q2585" s="1" t="str">
        <f>_xlfn.XLOOKUP(tblSales[[#This Row],[Channel Code]],tblChannels[Channel Code],tblChannels[Channel Name],"")</f>
        <v>Website &amp; Social Media</v>
      </c>
      <c r="R2585" s="1">
        <f>MONTH(tblSales[[#This Row],[Date]])</f>
        <v>6</v>
      </c>
    </row>
    <row r="2586" spans="2:18" x14ac:dyDescent="0.35">
      <c r="B2586" s="113">
        <v>46178</v>
      </c>
      <c r="C2586" s="4" t="s">
        <v>1725</v>
      </c>
      <c r="D2586" s="4" t="s">
        <v>4568</v>
      </c>
      <c r="E2586" s="1" t="str">
        <f>_xlfn.XLOOKUP(tblSales[[#This Row],[Customer ID]],tblCustomers[Customer ID],tblCustomers[Customer Name],"⚠ Unknown")</f>
        <v>Walk-in Customer</v>
      </c>
      <c r="F2586" s="4" t="s">
        <v>13</v>
      </c>
      <c r="G2586" s="1" t="str">
        <f>_xlfn.XLOOKUP(tblSales[[#This Row],[Product Code]],tblProducts[Code],tblProducts[Product / Service Name],"⚠ Unknown")</f>
        <v>Backpack</v>
      </c>
      <c r="H2586" s="1" t="str">
        <f>_xlfn.XLOOKUP(tblSales[[#This Row],[Product Code]],tblProducts[Code],tblProducts[Category],"")</f>
        <v>Bags &amp; Gadgets</v>
      </c>
      <c r="I2586" s="4">
        <v>6</v>
      </c>
      <c r="J2586" s="5">
        <f>_xlfn.XLOOKUP(tblSales[[#This Row],[Product Code]],tblProducts[Code],tblProducts[Selling Price (excl. VAT)],0)</f>
        <v>500000</v>
      </c>
      <c r="K2586" s="5">
        <f>tblSales[[#This Row],[Qty]]*tblSales[[#This Row],[Unit Price]]</f>
        <v>3000000</v>
      </c>
      <c r="L2586" s="5">
        <f>ROUND(tblSales[[#This Row],[DPP (excl. VAT)]]*VATEff,0)</f>
        <v>330000</v>
      </c>
      <c r="M2586" s="5">
        <f>tblSales[[#This Row],[DPP (excl. VAT)]]+tblSales[[#This Row],[Output VAT]]</f>
        <v>3330000</v>
      </c>
      <c r="N2586" s="5">
        <f>tblSales[[#This Row],[Qty]]*_xlfn.XLOOKUP(tblSales[[#This Row],[Product Code]],tblProducts[Code],tblProducts[Unit Cost],0)</f>
        <v>1740000</v>
      </c>
      <c r="O2586" s="4" t="s">
        <v>4865</v>
      </c>
      <c r="P2586" s="4" t="s">
        <v>4860</v>
      </c>
      <c r="Q2586" s="1" t="str">
        <f>_xlfn.XLOOKUP(tblSales[[#This Row],[Channel Code]],tblChannels[Channel Code],tblChannels[Channel Name],"")</f>
        <v>In-store</v>
      </c>
      <c r="R2586" s="1">
        <f>MONTH(tblSales[[#This Row],[Date]])</f>
        <v>6</v>
      </c>
    </row>
    <row r="2587" spans="2:18" x14ac:dyDescent="0.35">
      <c r="B2587" s="113">
        <v>46178</v>
      </c>
      <c r="C2587" s="4" t="s">
        <v>1726</v>
      </c>
      <c r="D2587" s="4" t="s">
        <v>4568</v>
      </c>
      <c r="E2587" s="1" t="str">
        <f>_xlfn.XLOOKUP(tblSales[[#This Row],[Customer ID]],tblCustomers[Customer ID],tblCustomers[Customer Name],"⚠ Unknown")</f>
        <v>Walk-in Customer</v>
      </c>
      <c r="F2587" s="4" t="s">
        <v>7</v>
      </c>
      <c r="G2587" s="1" t="str">
        <f>_xlfn.XLOOKUP(tblSales[[#This Row],[Product Code]],tblProducts[Code],tblProducts[Product / Service Name],"⚠ Unknown")</f>
        <v>Premium Basic T-shirt</v>
      </c>
      <c r="H2587" s="1" t="str">
        <f>_xlfn.XLOOKUP(tblSales[[#This Row],[Product Code]],tblProducts[Code],tblProducts[Category],"")</f>
        <v>Accessories &amp; Basics</v>
      </c>
      <c r="I2587" s="4">
        <v>9</v>
      </c>
      <c r="J2587" s="5">
        <f>_xlfn.XLOOKUP(tblSales[[#This Row],[Product Code]],tblProducts[Code],tblProducts[Selling Price (excl. VAT)],0)</f>
        <v>65000</v>
      </c>
      <c r="K2587" s="5">
        <f>tblSales[[#This Row],[Qty]]*tblSales[[#This Row],[Unit Price]]</f>
        <v>585000</v>
      </c>
      <c r="L2587" s="5">
        <f>ROUND(tblSales[[#This Row],[DPP (excl. VAT)]]*VATEff,0)</f>
        <v>64350</v>
      </c>
      <c r="M2587" s="5">
        <f>tblSales[[#This Row],[DPP (excl. VAT)]]+tblSales[[#This Row],[Output VAT]]</f>
        <v>649350</v>
      </c>
      <c r="N2587" s="5">
        <f>tblSales[[#This Row],[Qty]]*_xlfn.XLOOKUP(tblSales[[#This Row],[Product Code]],tblProducts[Code],tblProducts[Unit Cost],0)</f>
        <v>333000</v>
      </c>
      <c r="O2587" s="4" t="s">
        <v>4866</v>
      </c>
      <c r="P2587" s="4" t="s">
        <v>4862</v>
      </c>
      <c r="Q2587" s="1" t="str">
        <f>_xlfn.XLOOKUP(tblSales[[#This Row],[Channel Code]],tblChannels[Channel Code],tblChannels[Channel Name],"")</f>
        <v>Website &amp; Social Media</v>
      </c>
      <c r="R2587" s="1">
        <f>MONTH(tblSales[[#This Row],[Date]])</f>
        <v>6</v>
      </c>
    </row>
    <row r="2588" spans="2:18" x14ac:dyDescent="0.35">
      <c r="B2588" s="113">
        <v>46178</v>
      </c>
      <c r="C2588" s="4" t="s">
        <v>1726</v>
      </c>
      <c r="D2588" s="4" t="s">
        <v>4568</v>
      </c>
      <c r="E2588" s="1" t="str">
        <f>_xlfn.XLOOKUP(tblSales[[#This Row],[Customer ID]],tblCustomers[Customer ID],tblCustomers[Customer Name],"⚠ Unknown")</f>
        <v>Walk-in Customer</v>
      </c>
      <c r="F2588" s="4" t="s">
        <v>6</v>
      </c>
      <c r="G2588" s="1" t="str">
        <f>_xlfn.XLOOKUP(tblSales[[#This Row],[Product Code]],tblProducts[Code],tblProducts[Product / Service Name],"⚠ Unknown")</f>
        <v>Socks &amp; Accessories</v>
      </c>
      <c r="H2588" s="1" t="str">
        <f>_xlfn.XLOOKUP(tblSales[[#This Row],[Product Code]],tblProducts[Code],tblProducts[Category],"")</f>
        <v>Accessories &amp; Basics</v>
      </c>
      <c r="I2588" s="4">
        <v>12</v>
      </c>
      <c r="J2588" s="5">
        <f>_xlfn.XLOOKUP(tblSales[[#This Row],[Product Code]],tblProducts[Code],tblProducts[Selling Price (excl. VAT)],0)</f>
        <v>45000</v>
      </c>
      <c r="K2588" s="5">
        <f>tblSales[[#This Row],[Qty]]*tblSales[[#This Row],[Unit Price]]</f>
        <v>540000</v>
      </c>
      <c r="L2588" s="5">
        <f>ROUND(tblSales[[#This Row],[DPP (excl. VAT)]]*VATEff,0)</f>
        <v>59400</v>
      </c>
      <c r="M2588" s="5">
        <f>tblSales[[#This Row],[DPP (excl. VAT)]]+tblSales[[#This Row],[Output VAT]]</f>
        <v>599400</v>
      </c>
      <c r="N2588" s="5">
        <f>tblSales[[#This Row],[Qty]]*_xlfn.XLOOKUP(tblSales[[#This Row],[Product Code]],tblProducts[Code],tblProducts[Unit Cost],0)</f>
        <v>288000</v>
      </c>
      <c r="O2588" s="4" t="s">
        <v>4866</v>
      </c>
      <c r="P2588" s="4" t="s">
        <v>4862</v>
      </c>
      <c r="Q2588" s="1" t="str">
        <f>_xlfn.XLOOKUP(tblSales[[#This Row],[Channel Code]],tblChannels[Channel Code],tblChannels[Channel Name],"")</f>
        <v>Website &amp; Social Media</v>
      </c>
      <c r="R2588" s="1">
        <f>MONTH(tblSales[[#This Row],[Date]])</f>
        <v>6</v>
      </c>
    </row>
    <row r="2589" spans="2:18" x14ac:dyDescent="0.35">
      <c r="B2589" s="113">
        <v>46178</v>
      </c>
      <c r="C2589" s="4" t="s">
        <v>1726</v>
      </c>
      <c r="D2589" s="4" t="s">
        <v>4568</v>
      </c>
      <c r="E2589" s="1" t="str">
        <f>_xlfn.XLOOKUP(tblSales[[#This Row],[Customer ID]],tblCustomers[Customer ID],tblCustomers[Customer Name],"⚠ Unknown")</f>
        <v>Walk-in Customer</v>
      </c>
      <c r="F2589" s="4" t="s">
        <v>12</v>
      </c>
      <c r="G2589" s="1" t="str">
        <f>_xlfn.XLOOKUP(tblSales[[#This Row],[Product Code]],tblProducts[Code],tblProducts[Product / Service Name],"⚠ Unknown")</f>
        <v>Bomber Jacket</v>
      </c>
      <c r="H2589" s="1" t="str">
        <f>_xlfn.XLOOKUP(tblSales[[#This Row],[Product Code]],tblProducts[Code],tblProducts[Category],"")</f>
        <v>Apparel &amp; Footwear</v>
      </c>
      <c r="I2589" s="4">
        <v>2</v>
      </c>
      <c r="J2589" s="5">
        <f>_xlfn.XLOOKUP(tblSales[[#This Row],[Product Code]],tblProducts[Code],tblProducts[Selling Price (excl. VAT)],0)</f>
        <v>350000</v>
      </c>
      <c r="K2589" s="5">
        <f>tblSales[[#This Row],[Qty]]*tblSales[[#This Row],[Unit Price]]</f>
        <v>700000</v>
      </c>
      <c r="L2589" s="5">
        <f>ROUND(tblSales[[#This Row],[DPP (excl. VAT)]]*VATEff,0)</f>
        <v>77000</v>
      </c>
      <c r="M2589" s="5">
        <f>tblSales[[#This Row],[DPP (excl. VAT)]]+tblSales[[#This Row],[Output VAT]]</f>
        <v>777000</v>
      </c>
      <c r="N2589" s="5">
        <f>tblSales[[#This Row],[Qty]]*_xlfn.XLOOKUP(tblSales[[#This Row],[Product Code]],tblProducts[Code],tblProducts[Unit Cost],0)</f>
        <v>420000</v>
      </c>
      <c r="O2589" s="4" t="s">
        <v>4866</v>
      </c>
      <c r="P2589" s="4" t="s">
        <v>4862</v>
      </c>
      <c r="Q2589" s="1" t="str">
        <f>_xlfn.XLOOKUP(tblSales[[#This Row],[Channel Code]],tblChannels[Channel Code],tblChannels[Channel Name],"")</f>
        <v>Website &amp; Social Media</v>
      </c>
      <c r="R2589" s="1">
        <f>MONTH(tblSales[[#This Row],[Date]])</f>
        <v>6</v>
      </c>
    </row>
    <row r="2590" spans="2:18" x14ac:dyDescent="0.35">
      <c r="B2590" s="113">
        <v>46178</v>
      </c>
      <c r="C2590" s="4" t="s">
        <v>1727</v>
      </c>
      <c r="D2590" s="4" t="s">
        <v>4578</v>
      </c>
      <c r="E2590" s="1" t="str">
        <f>_xlfn.XLOOKUP(tblSales[[#This Row],[Customer ID]],tblCustomers[Customer ID],tblCustomers[Customer Name],"⚠ Unknown")</f>
        <v>PT Bintang Timur Sejahtera</v>
      </c>
      <c r="F2590" s="4" t="s">
        <v>6</v>
      </c>
      <c r="G2590" s="1" t="str">
        <f>_xlfn.XLOOKUP(tblSales[[#This Row],[Product Code]],tblProducts[Code],tblProducts[Product / Service Name],"⚠ Unknown")</f>
        <v>Socks &amp; Accessories</v>
      </c>
      <c r="H2590" s="1" t="str">
        <f>_xlfn.XLOOKUP(tblSales[[#This Row],[Product Code]],tblProducts[Code],tblProducts[Category],"")</f>
        <v>Accessories &amp; Basics</v>
      </c>
      <c r="I2590" s="4">
        <v>72</v>
      </c>
      <c r="J2590" s="5">
        <f>_xlfn.XLOOKUP(tblSales[[#This Row],[Product Code]],tblProducts[Code],tblProducts[Selling Price (excl. VAT)],0)</f>
        <v>45000</v>
      </c>
      <c r="K2590" s="5">
        <f>tblSales[[#This Row],[Qty]]*tblSales[[#This Row],[Unit Price]]</f>
        <v>3240000</v>
      </c>
      <c r="L2590" s="5">
        <f>ROUND(tblSales[[#This Row],[DPP (excl. VAT)]]*VATEff,0)</f>
        <v>356400</v>
      </c>
      <c r="M2590" s="5">
        <f>tblSales[[#This Row],[DPP (excl. VAT)]]+tblSales[[#This Row],[Output VAT]]</f>
        <v>3596400</v>
      </c>
      <c r="N2590" s="5">
        <f>tblSales[[#This Row],[Qty]]*_xlfn.XLOOKUP(tblSales[[#This Row],[Product Code]],tblProducts[Code],tblProducts[Unit Cost],0)</f>
        <v>1728000</v>
      </c>
      <c r="O2590" s="4" t="s">
        <v>4867</v>
      </c>
      <c r="P2590" s="4" t="s">
        <v>4860</v>
      </c>
      <c r="Q2590" s="1" t="str">
        <f>_xlfn.XLOOKUP(tblSales[[#This Row],[Channel Code]],tblChannels[Channel Code],tblChannels[Channel Name],"")</f>
        <v>In-store</v>
      </c>
      <c r="R2590" s="1">
        <f>MONTH(tblSales[[#This Row],[Date]])</f>
        <v>6</v>
      </c>
    </row>
    <row r="2591" spans="2:18" x14ac:dyDescent="0.35">
      <c r="B2591" s="113">
        <v>46178</v>
      </c>
      <c r="C2591" s="4" t="s">
        <v>1728</v>
      </c>
      <c r="D2591" s="4" t="s">
        <v>4613</v>
      </c>
      <c r="E2591" s="1" t="str">
        <f>_xlfn.XLOOKUP(tblSales[[#This Row],[Customer ID]],tblCustomers[Customer ID],tblCustomers[Customer Name],"⚠ Unknown")</f>
        <v>PT Mega Prima Distribusi</v>
      </c>
      <c r="F2591" s="4" t="s">
        <v>6</v>
      </c>
      <c r="G2591" s="1" t="str">
        <f>_xlfn.XLOOKUP(tblSales[[#This Row],[Product Code]],tblProducts[Code],tblProducts[Product / Service Name],"⚠ Unknown")</f>
        <v>Socks &amp; Accessories</v>
      </c>
      <c r="H2591" s="1" t="str">
        <f>_xlfn.XLOOKUP(tblSales[[#This Row],[Product Code]],tblProducts[Code],tblProducts[Category],"")</f>
        <v>Accessories &amp; Basics</v>
      </c>
      <c r="I2591" s="4">
        <v>8</v>
      </c>
      <c r="J2591" s="5">
        <f>_xlfn.XLOOKUP(tblSales[[#This Row],[Product Code]],tblProducts[Code],tblProducts[Selling Price (excl. VAT)],0)</f>
        <v>45000</v>
      </c>
      <c r="K2591" s="5">
        <f>tblSales[[#This Row],[Qty]]*tblSales[[#This Row],[Unit Price]]</f>
        <v>360000</v>
      </c>
      <c r="L2591" s="5">
        <f>ROUND(tblSales[[#This Row],[DPP (excl. VAT)]]*VATEff,0)</f>
        <v>39600</v>
      </c>
      <c r="M2591" s="5">
        <f>tblSales[[#This Row],[DPP (excl. VAT)]]+tblSales[[#This Row],[Output VAT]]</f>
        <v>399600</v>
      </c>
      <c r="N2591" s="5">
        <f>tblSales[[#This Row],[Qty]]*_xlfn.XLOOKUP(tblSales[[#This Row],[Product Code]],tblProducts[Code],tblProducts[Unit Cost],0)</f>
        <v>192000</v>
      </c>
      <c r="O2591" s="4" t="s">
        <v>4867</v>
      </c>
      <c r="P2591" s="4" t="s">
        <v>4860</v>
      </c>
      <c r="Q2591" s="1" t="str">
        <f>_xlfn.XLOOKUP(tblSales[[#This Row],[Channel Code]],tblChannels[Channel Code],tblChannels[Channel Name],"")</f>
        <v>In-store</v>
      </c>
      <c r="R2591" s="1">
        <f>MONTH(tblSales[[#This Row],[Date]])</f>
        <v>6</v>
      </c>
    </row>
    <row r="2592" spans="2:18" x14ac:dyDescent="0.35">
      <c r="B2592" s="113">
        <v>46179</v>
      </c>
      <c r="C2592" s="4" t="s">
        <v>1729</v>
      </c>
      <c r="D2592" s="4" t="s">
        <v>4568</v>
      </c>
      <c r="E2592" s="1" t="str">
        <f>_xlfn.XLOOKUP(tblSales[[#This Row],[Customer ID]],tblCustomers[Customer ID],tblCustomers[Customer Name],"⚠ Unknown")</f>
        <v>Walk-in Customer</v>
      </c>
      <c r="F2592" s="4" t="s">
        <v>12</v>
      </c>
      <c r="G2592" s="1" t="str">
        <f>_xlfn.XLOOKUP(tblSales[[#This Row],[Product Code]],tblProducts[Code],tblProducts[Product / Service Name],"⚠ Unknown")</f>
        <v>Bomber Jacket</v>
      </c>
      <c r="H2592" s="1" t="str">
        <f>_xlfn.XLOOKUP(tblSales[[#This Row],[Product Code]],tblProducts[Code],tblProducts[Category],"")</f>
        <v>Apparel &amp; Footwear</v>
      </c>
      <c r="I2592" s="4">
        <v>2</v>
      </c>
      <c r="J2592" s="5">
        <f>_xlfn.XLOOKUP(tblSales[[#This Row],[Product Code]],tblProducts[Code],tblProducts[Selling Price (excl. VAT)],0)</f>
        <v>350000</v>
      </c>
      <c r="K2592" s="5">
        <f>tblSales[[#This Row],[Qty]]*tblSales[[#This Row],[Unit Price]]</f>
        <v>700000</v>
      </c>
      <c r="L2592" s="5">
        <f>ROUND(tblSales[[#This Row],[DPP (excl. VAT)]]*VATEff,0)</f>
        <v>77000</v>
      </c>
      <c r="M2592" s="5">
        <f>tblSales[[#This Row],[DPP (excl. VAT)]]+tblSales[[#This Row],[Output VAT]]</f>
        <v>777000</v>
      </c>
      <c r="N2592" s="5">
        <f>tblSales[[#This Row],[Qty]]*_xlfn.XLOOKUP(tblSales[[#This Row],[Product Code]],tblProducts[Code],tblProducts[Unit Cost],0)</f>
        <v>420000</v>
      </c>
      <c r="O2592" s="4" t="s">
        <v>4866</v>
      </c>
      <c r="P2592" s="4" t="s">
        <v>4861</v>
      </c>
      <c r="Q2592" s="1" t="str">
        <f>_xlfn.XLOOKUP(tblSales[[#This Row],[Channel Code]],tblChannels[Channel Code],tblChannels[Channel Name],"")</f>
        <v>Marketplace</v>
      </c>
      <c r="R2592" s="1">
        <f>MONTH(tblSales[[#This Row],[Date]])</f>
        <v>6</v>
      </c>
    </row>
    <row r="2593" spans="2:18" x14ac:dyDescent="0.35">
      <c r="B2593" s="113">
        <v>46179</v>
      </c>
      <c r="C2593" s="4" t="s">
        <v>1730</v>
      </c>
      <c r="D2593" s="4" t="s">
        <v>4568</v>
      </c>
      <c r="E2593" s="1" t="str">
        <f>_xlfn.XLOOKUP(tblSales[[#This Row],[Customer ID]],tblCustomers[Customer ID],tblCustomers[Customer Name],"⚠ Unknown")</f>
        <v>Walk-in Customer</v>
      </c>
      <c r="F2593" s="4" t="s">
        <v>9</v>
      </c>
      <c r="G2593" s="1" t="str">
        <f>_xlfn.XLOOKUP(tblSales[[#This Row],[Product Code]],tblProducts[Code],tblProducts[Product / Service Name],"⚠ Unknown")</f>
        <v>Casual Shirt</v>
      </c>
      <c r="H2593" s="1" t="str">
        <f>_xlfn.XLOOKUP(tblSales[[#This Row],[Product Code]],tblProducts[Code],tblProducts[Category],"")</f>
        <v>Apparel &amp; Footwear</v>
      </c>
      <c r="I2593" s="4">
        <v>12</v>
      </c>
      <c r="J2593" s="5">
        <f>_xlfn.XLOOKUP(tblSales[[#This Row],[Product Code]],tblProducts[Code],tblProducts[Selling Price (excl. VAT)],0)</f>
        <v>120000</v>
      </c>
      <c r="K2593" s="5">
        <f>tblSales[[#This Row],[Qty]]*tblSales[[#This Row],[Unit Price]]</f>
        <v>1440000</v>
      </c>
      <c r="L2593" s="5">
        <f>ROUND(tblSales[[#This Row],[DPP (excl. VAT)]]*VATEff,0)</f>
        <v>158400</v>
      </c>
      <c r="M2593" s="5">
        <f>tblSales[[#This Row],[DPP (excl. VAT)]]+tblSales[[#This Row],[Output VAT]]</f>
        <v>1598400</v>
      </c>
      <c r="N2593" s="5">
        <f>tblSales[[#This Row],[Qty]]*_xlfn.XLOOKUP(tblSales[[#This Row],[Product Code]],tblProducts[Code],tblProducts[Unit Cost],0)</f>
        <v>864000</v>
      </c>
      <c r="O2593" s="4" t="s">
        <v>4866</v>
      </c>
      <c r="P2593" s="4" t="s">
        <v>4861</v>
      </c>
      <c r="Q2593" s="1" t="str">
        <f>_xlfn.XLOOKUP(tblSales[[#This Row],[Channel Code]],tblChannels[Channel Code],tblChannels[Channel Name],"")</f>
        <v>Marketplace</v>
      </c>
      <c r="R2593" s="1">
        <f>MONTH(tblSales[[#This Row],[Date]])</f>
        <v>6</v>
      </c>
    </row>
    <row r="2594" spans="2:18" x14ac:dyDescent="0.35">
      <c r="B2594" s="113">
        <v>46179</v>
      </c>
      <c r="C2594" s="4" t="s">
        <v>1730</v>
      </c>
      <c r="D2594" s="4" t="s">
        <v>4568</v>
      </c>
      <c r="E2594" s="1" t="str">
        <f>_xlfn.XLOOKUP(tblSales[[#This Row],[Customer ID]],tblCustomers[Customer ID],tblCustomers[Customer Name],"⚠ Unknown")</f>
        <v>Walk-in Customer</v>
      </c>
      <c r="F2594" s="4" t="s">
        <v>13</v>
      </c>
      <c r="G2594" s="1" t="str">
        <f>_xlfn.XLOOKUP(tblSales[[#This Row],[Product Code]],tblProducts[Code],tblProducts[Product / Service Name],"⚠ Unknown")</f>
        <v>Backpack</v>
      </c>
      <c r="H2594" s="1" t="str">
        <f>_xlfn.XLOOKUP(tblSales[[#This Row],[Product Code]],tblProducts[Code],tblProducts[Category],"")</f>
        <v>Bags &amp; Gadgets</v>
      </c>
      <c r="I2594" s="4">
        <v>5</v>
      </c>
      <c r="J2594" s="5">
        <f>_xlfn.XLOOKUP(tblSales[[#This Row],[Product Code]],tblProducts[Code],tblProducts[Selling Price (excl. VAT)],0)</f>
        <v>500000</v>
      </c>
      <c r="K2594" s="5">
        <f>tblSales[[#This Row],[Qty]]*tblSales[[#This Row],[Unit Price]]</f>
        <v>2500000</v>
      </c>
      <c r="L2594" s="5">
        <f>ROUND(tblSales[[#This Row],[DPP (excl. VAT)]]*VATEff,0)</f>
        <v>275000</v>
      </c>
      <c r="M2594" s="5">
        <f>tblSales[[#This Row],[DPP (excl. VAT)]]+tblSales[[#This Row],[Output VAT]]</f>
        <v>2775000</v>
      </c>
      <c r="N2594" s="5">
        <f>tblSales[[#This Row],[Qty]]*_xlfn.XLOOKUP(tblSales[[#This Row],[Product Code]],tblProducts[Code],tblProducts[Unit Cost],0)</f>
        <v>1450000</v>
      </c>
      <c r="O2594" s="4" t="s">
        <v>4866</v>
      </c>
      <c r="P2594" s="4" t="s">
        <v>4861</v>
      </c>
      <c r="Q2594" s="1" t="str">
        <f>_xlfn.XLOOKUP(tblSales[[#This Row],[Channel Code]],tblChannels[Channel Code],tblChannels[Channel Name],"")</f>
        <v>Marketplace</v>
      </c>
      <c r="R2594" s="1">
        <f>MONTH(tblSales[[#This Row],[Date]])</f>
        <v>6</v>
      </c>
    </row>
    <row r="2595" spans="2:18" x14ac:dyDescent="0.35">
      <c r="B2595" s="113">
        <v>46179</v>
      </c>
      <c r="C2595" s="4" t="s">
        <v>1730</v>
      </c>
      <c r="D2595" s="4" t="s">
        <v>4568</v>
      </c>
      <c r="E2595" s="1" t="str">
        <f>_xlfn.XLOOKUP(tblSales[[#This Row],[Customer ID]],tblCustomers[Customer ID],tblCustomers[Customer Name],"⚠ Unknown")</f>
        <v>Walk-in Customer</v>
      </c>
      <c r="F2595" s="4" t="s">
        <v>7</v>
      </c>
      <c r="G2595" s="1" t="str">
        <f>_xlfn.XLOOKUP(tblSales[[#This Row],[Product Code]],tblProducts[Code],tblProducts[Product / Service Name],"⚠ Unknown")</f>
        <v>Premium Basic T-shirt</v>
      </c>
      <c r="H2595" s="1" t="str">
        <f>_xlfn.XLOOKUP(tblSales[[#This Row],[Product Code]],tblProducts[Code],tblProducts[Category],"")</f>
        <v>Accessories &amp; Basics</v>
      </c>
      <c r="I2595" s="4">
        <v>10</v>
      </c>
      <c r="J2595" s="5">
        <f>_xlfn.XLOOKUP(tblSales[[#This Row],[Product Code]],tblProducts[Code],tblProducts[Selling Price (excl. VAT)],0)</f>
        <v>65000</v>
      </c>
      <c r="K2595" s="5">
        <f>tblSales[[#This Row],[Qty]]*tblSales[[#This Row],[Unit Price]]</f>
        <v>650000</v>
      </c>
      <c r="L2595" s="5">
        <f>ROUND(tblSales[[#This Row],[DPP (excl. VAT)]]*VATEff,0)</f>
        <v>71500</v>
      </c>
      <c r="M2595" s="5">
        <f>tblSales[[#This Row],[DPP (excl. VAT)]]+tblSales[[#This Row],[Output VAT]]</f>
        <v>721500</v>
      </c>
      <c r="N2595" s="5">
        <f>tblSales[[#This Row],[Qty]]*_xlfn.XLOOKUP(tblSales[[#This Row],[Product Code]],tblProducts[Code],tblProducts[Unit Cost],0)</f>
        <v>370000</v>
      </c>
      <c r="O2595" s="4" t="s">
        <v>4866</v>
      </c>
      <c r="P2595" s="4" t="s">
        <v>4861</v>
      </c>
      <c r="Q2595" s="1" t="str">
        <f>_xlfn.XLOOKUP(tblSales[[#This Row],[Channel Code]],tblChannels[Channel Code],tblChannels[Channel Name],"")</f>
        <v>Marketplace</v>
      </c>
      <c r="R2595" s="1">
        <f>MONTH(tblSales[[#This Row],[Date]])</f>
        <v>6</v>
      </c>
    </row>
    <row r="2596" spans="2:18" x14ac:dyDescent="0.35">
      <c r="B2596" s="113">
        <v>46179</v>
      </c>
      <c r="C2596" s="4" t="s">
        <v>1731</v>
      </c>
      <c r="D2596" s="4" t="s">
        <v>4568</v>
      </c>
      <c r="E2596" s="1" t="str">
        <f>_xlfn.XLOOKUP(tblSales[[#This Row],[Customer ID]],tblCustomers[Customer ID],tblCustomers[Customer Name],"⚠ Unknown")</f>
        <v>Walk-in Customer</v>
      </c>
      <c r="F2596" s="4" t="s">
        <v>6</v>
      </c>
      <c r="G2596" s="1" t="str">
        <f>_xlfn.XLOOKUP(tblSales[[#This Row],[Product Code]],tblProducts[Code],tblProducts[Product / Service Name],"⚠ Unknown")</f>
        <v>Socks &amp; Accessories</v>
      </c>
      <c r="H2596" s="1" t="str">
        <f>_xlfn.XLOOKUP(tblSales[[#This Row],[Product Code]],tblProducts[Code],tblProducts[Category],"")</f>
        <v>Accessories &amp; Basics</v>
      </c>
      <c r="I2596" s="4">
        <v>8</v>
      </c>
      <c r="J2596" s="5">
        <f>_xlfn.XLOOKUP(tblSales[[#This Row],[Product Code]],tblProducts[Code],tblProducts[Selling Price (excl. VAT)],0)</f>
        <v>45000</v>
      </c>
      <c r="K2596" s="5">
        <f>tblSales[[#This Row],[Qty]]*tblSales[[#This Row],[Unit Price]]</f>
        <v>360000</v>
      </c>
      <c r="L2596" s="5">
        <f>ROUND(tblSales[[#This Row],[DPP (excl. VAT)]]*VATEff,0)</f>
        <v>39600</v>
      </c>
      <c r="M2596" s="5">
        <f>tblSales[[#This Row],[DPP (excl. VAT)]]+tblSales[[#This Row],[Output VAT]]</f>
        <v>399600</v>
      </c>
      <c r="N2596" s="5">
        <f>tblSales[[#This Row],[Qty]]*_xlfn.XLOOKUP(tblSales[[#This Row],[Product Code]],tblProducts[Code],tblProducts[Unit Cost],0)</f>
        <v>192000</v>
      </c>
      <c r="O2596" s="4" t="s">
        <v>4866</v>
      </c>
      <c r="P2596" s="4" t="s">
        <v>4860</v>
      </c>
      <c r="Q2596" s="1" t="str">
        <f>_xlfn.XLOOKUP(tblSales[[#This Row],[Channel Code]],tblChannels[Channel Code],tblChannels[Channel Name],"")</f>
        <v>In-store</v>
      </c>
      <c r="R2596" s="1">
        <f>MONTH(tblSales[[#This Row],[Date]])</f>
        <v>6</v>
      </c>
    </row>
    <row r="2597" spans="2:18" x14ac:dyDescent="0.35">
      <c r="B2597" s="113">
        <v>46179</v>
      </c>
      <c r="C2597" s="4" t="s">
        <v>1732</v>
      </c>
      <c r="D2597" s="4" t="s">
        <v>4606</v>
      </c>
      <c r="E2597" s="1" t="str">
        <f>_xlfn.XLOOKUP(tblSales[[#This Row],[Customer ID]],tblCustomers[Customer ID],tblCustomers[Customer Name],"⚠ Unknown")</f>
        <v>PT Arunika Digital Kreatif</v>
      </c>
      <c r="F2597" s="4" t="s">
        <v>7</v>
      </c>
      <c r="G2597" s="1" t="str">
        <f>_xlfn.XLOOKUP(tblSales[[#This Row],[Product Code]],tblProducts[Code],tblProducts[Product / Service Name],"⚠ Unknown")</f>
        <v>Premium Basic T-shirt</v>
      </c>
      <c r="H2597" s="1" t="str">
        <f>_xlfn.XLOOKUP(tblSales[[#This Row],[Product Code]],tblProducts[Code],tblProducts[Category],"")</f>
        <v>Accessories &amp; Basics</v>
      </c>
      <c r="I2597" s="4">
        <v>16</v>
      </c>
      <c r="J2597" s="5">
        <f>_xlfn.XLOOKUP(tblSales[[#This Row],[Product Code]],tblProducts[Code],tblProducts[Selling Price (excl. VAT)],0)</f>
        <v>65000</v>
      </c>
      <c r="K2597" s="5">
        <f>tblSales[[#This Row],[Qty]]*tblSales[[#This Row],[Unit Price]]</f>
        <v>1040000</v>
      </c>
      <c r="L2597" s="5">
        <f>ROUND(tblSales[[#This Row],[DPP (excl. VAT)]]*VATEff,0)</f>
        <v>114400</v>
      </c>
      <c r="M2597" s="5">
        <f>tblSales[[#This Row],[DPP (excl. VAT)]]+tblSales[[#This Row],[Output VAT]]</f>
        <v>1154400</v>
      </c>
      <c r="N2597" s="5">
        <f>tblSales[[#This Row],[Qty]]*_xlfn.XLOOKUP(tblSales[[#This Row],[Product Code]],tblProducts[Code],tblProducts[Unit Cost],0)</f>
        <v>592000</v>
      </c>
      <c r="O2597" s="4" t="s">
        <v>4867</v>
      </c>
      <c r="P2597" s="4" t="s">
        <v>4860</v>
      </c>
      <c r="Q2597" s="1" t="str">
        <f>_xlfn.XLOOKUP(tblSales[[#This Row],[Channel Code]],tblChannels[Channel Code],tblChannels[Channel Name],"")</f>
        <v>In-store</v>
      </c>
      <c r="R2597" s="1">
        <f>MONTH(tblSales[[#This Row],[Date]])</f>
        <v>6</v>
      </c>
    </row>
    <row r="2598" spans="2:18" x14ac:dyDescent="0.35">
      <c r="B2598" s="113">
        <v>46179</v>
      </c>
      <c r="C2598" s="4" t="s">
        <v>1733</v>
      </c>
      <c r="D2598" s="4" t="s">
        <v>4585</v>
      </c>
      <c r="E2598" s="1" t="str">
        <f>_xlfn.XLOOKUP(tblSales[[#This Row],[Customer ID]],tblCustomers[Customer ID],tblCustomers[Customer Name],"⚠ Unknown")</f>
        <v>CV Mitra Karya Mandiri</v>
      </c>
      <c r="F2598" s="4" t="s">
        <v>10</v>
      </c>
      <c r="G2598" s="1" t="str">
        <f>_xlfn.XLOOKUP(tblSales[[#This Row],[Product Code]],tblProducts[Code],tblProducts[Product / Service Name],"⚠ Unknown")</f>
        <v>Chino Pants</v>
      </c>
      <c r="H2598" s="1" t="str">
        <f>_xlfn.XLOOKUP(tblSales[[#This Row],[Product Code]],tblProducts[Code],tblProducts[Category],"")</f>
        <v>Apparel &amp; Footwear</v>
      </c>
      <c r="I2598" s="4">
        <v>72</v>
      </c>
      <c r="J2598" s="5">
        <f>_xlfn.XLOOKUP(tblSales[[#This Row],[Product Code]],tblProducts[Code],tblProducts[Selling Price (excl. VAT)],0)</f>
        <v>150000</v>
      </c>
      <c r="K2598" s="5">
        <f>tblSales[[#This Row],[Qty]]*tblSales[[#This Row],[Unit Price]]</f>
        <v>10800000</v>
      </c>
      <c r="L2598" s="5">
        <f>ROUND(tblSales[[#This Row],[DPP (excl. VAT)]]*VATEff,0)</f>
        <v>1188000</v>
      </c>
      <c r="M2598" s="5">
        <f>tblSales[[#This Row],[DPP (excl. VAT)]]+tblSales[[#This Row],[Output VAT]]</f>
        <v>11988000</v>
      </c>
      <c r="N2598" s="5">
        <f>tblSales[[#This Row],[Qty]]*_xlfn.XLOOKUP(tblSales[[#This Row],[Product Code]],tblProducts[Code],tblProducts[Unit Cost],0)</f>
        <v>6336000</v>
      </c>
      <c r="O2598" s="4" t="s">
        <v>4867</v>
      </c>
      <c r="P2598" s="4" t="s">
        <v>4860</v>
      </c>
      <c r="Q2598" s="1" t="str">
        <f>_xlfn.XLOOKUP(tblSales[[#This Row],[Channel Code]],tblChannels[Channel Code],tblChannels[Channel Name],"")</f>
        <v>In-store</v>
      </c>
      <c r="R2598" s="1">
        <f>MONTH(tblSales[[#This Row],[Date]])</f>
        <v>6</v>
      </c>
    </row>
    <row r="2599" spans="2:18" x14ac:dyDescent="0.35">
      <c r="B2599" s="113">
        <v>46179</v>
      </c>
      <c r="C2599" s="4" t="s">
        <v>1734</v>
      </c>
      <c r="D2599" s="4" t="s">
        <v>4568</v>
      </c>
      <c r="E2599" s="1" t="str">
        <f>_xlfn.XLOOKUP(tblSales[[#This Row],[Customer ID]],tblCustomers[Customer ID],tblCustomers[Customer Name],"⚠ Unknown")</f>
        <v>Walk-in Customer</v>
      </c>
      <c r="F2599" s="4" t="s">
        <v>10</v>
      </c>
      <c r="G2599" s="1" t="str">
        <f>_xlfn.XLOOKUP(tblSales[[#This Row],[Product Code]],tblProducts[Code],tblProducts[Product / Service Name],"⚠ Unknown")</f>
        <v>Chino Pants</v>
      </c>
      <c r="H2599" s="1" t="str">
        <f>_xlfn.XLOOKUP(tblSales[[#This Row],[Product Code]],tblProducts[Code],tblProducts[Category],"")</f>
        <v>Apparel &amp; Footwear</v>
      </c>
      <c r="I2599" s="4">
        <v>9</v>
      </c>
      <c r="J2599" s="5">
        <f>_xlfn.XLOOKUP(tblSales[[#This Row],[Product Code]],tblProducts[Code],tblProducts[Selling Price (excl. VAT)],0)</f>
        <v>150000</v>
      </c>
      <c r="K2599" s="5">
        <f>tblSales[[#This Row],[Qty]]*tblSales[[#This Row],[Unit Price]]</f>
        <v>1350000</v>
      </c>
      <c r="L2599" s="5">
        <f>ROUND(tblSales[[#This Row],[DPP (excl. VAT)]]*VATEff,0)</f>
        <v>148500</v>
      </c>
      <c r="M2599" s="5">
        <f>tblSales[[#This Row],[DPP (excl. VAT)]]+tblSales[[#This Row],[Output VAT]]</f>
        <v>1498500</v>
      </c>
      <c r="N2599" s="5">
        <f>tblSales[[#This Row],[Qty]]*_xlfn.XLOOKUP(tblSales[[#This Row],[Product Code]],tblProducts[Code],tblProducts[Unit Cost],0)</f>
        <v>792000</v>
      </c>
      <c r="O2599" s="4" t="s">
        <v>4866</v>
      </c>
      <c r="P2599" s="4" t="s">
        <v>4861</v>
      </c>
      <c r="Q2599" s="1" t="str">
        <f>_xlfn.XLOOKUP(tblSales[[#This Row],[Channel Code]],tblChannels[Channel Code],tblChannels[Channel Name],"")</f>
        <v>Marketplace</v>
      </c>
      <c r="R2599" s="1">
        <f>MONTH(tblSales[[#This Row],[Date]])</f>
        <v>6</v>
      </c>
    </row>
    <row r="2600" spans="2:18" x14ac:dyDescent="0.35">
      <c r="B2600" s="113">
        <v>46179</v>
      </c>
      <c r="C2600" s="4" t="s">
        <v>1735</v>
      </c>
      <c r="D2600" s="4" t="s">
        <v>4578</v>
      </c>
      <c r="E2600" s="1" t="str">
        <f>_xlfn.XLOOKUP(tblSales[[#This Row],[Customer ID]],tblCustomers[Customer ID],tblCustomers[Customer Name],"⚠ Unknown")</f>
        <v>PT Bintang Timur Sejahtera</v>
      </c>
      <c r="F2600" s="4" t="s">
        <v>7</v>
      </c>
      <c r="G2600" s="1" t="str">
        <f>_xlfn.XLOOKUP(tblSales[[#This Row],[Product Code]],tblProducts[Code],tblProducts[Product / Service Name],"⚠ Unknown")</f>
        <v>Premium Basic T-shirt</v>
      </c>
      <c r="H2600" s="1" t="str">
        <f>_xlfn.XLOOKUP(tblSales[[#This Row],[Product Code]],tblProducts[Code],tblProducts[Category],"")</f>
        <v>Accessories &amp; Basics</v>
      </c>
      <c r="I2600" s="4">
        <v>88</v>
      </c>
      <c r="J2600" s="5">
        <f>_xlfn.XLOOKUP(tblSales[[#This Row],[Product Code]],tblProducts[Code],tblProducts[Selling Price (excl. VAT)],0)</f>
        <v>65000</v>
      </c>
      <c r="K2600" s="5">
        <f>tblSales[[#This Row],[Qty]]*tblSales[[#This Row],[Unit Price]]</f>
        <v>5720000</v>
      </c>
      <c r="L2600" s="5">
        <f>ROUND(tblSales[[#This Row],[DPP (excl. VAT)]]*VATEff,0)</f>
        <v>629200</v>
      </c>
      <c r="M2600" s="5">
        <f>tblSales[[#This Row],[DPP (excl. VAT)]]+tblSales[[#This Row],[Output VAT]]</f>
        <v>6349200</v>
      </c>
      <c r="N2600" s="5">
        <f>tblSales[[#This Row],[Qty]]*_xlfn.XLOOKUP(tblSales[[#This Row],[Product Code]],tblProducts[Code],tblProducts[Unit Cost],0)</f>
        <v>3256000</v>
      </c>
      <c r="O2600" s="4" t="s">
        <v>4867</v>
      </c>
      <c r="P2600" s="4" t="s">
        <v>4860</v>
      </c>
      <c r="Q2600" s="1" t="str">
        <f>_xlfn.XLOOKUP(tblSales[[#This Row],[Channel Code]],tblChannels[Channel Code],tblChannels[Channel Name],"")</f>
        <v>In-store</v>
      </c>
      <c r="R2600" s="1">
        <f>MONTH(tblSales[[#This Row],[Date]])</f>
        <v>6</v>
      </c>
    </row>
    <row r="2601" spans="2:18" x14ac:dyDescent="0.35">
      <c r="B2601" s="113">
        <v>46179</v>
      </c>
      <c r="C2601" s="4" t="s">
        <v>1735</v>
      </c>
      <c r="D2601" s="4" t="s">
        <v>4578</v>
      </c>
      <c r="E2601" s="1" t="str">
        <f>_xlfn.XLOOKUP(tblSales[[#This Row],[Customer ID]],tblCustomers[Customer ID],tblCustomers[Customer Name],"⚠ Unknown")</f>
        <v>PT Bintang Timur Sejahtera</v>
      </c>
      <c r="F2601" s="4" t="s">
        <v>15</v>
      </c>
      <c r="G2601" s="1" t="str">
        <f>_xlfn.XLOOKUP(tblSales[[#This Row],[Product Code]],tblProducts[Code],tblProducts[Product / Service Name],"⚠ Unknown")</f>
        <v>Wireless Earbuds Pro</v>
      </c>
      <c r="H2601" s="1" t="str">
        <f>_xlfn.XLOOKUP(tblSales[[#This Row],[Product Code]],tblProducts[Code],tblProducts[Category],"")</f>
        <v>Bags &amp; Gadgets</v>
      </c>
      <c r="I2601" s="4">
        <v>8</v>
      </c>
      <c r="J2601" s="5">
        <f>_xlfn.XLOOKUP(tblSales[[#This Row],[Product Code]],tblProducts[Code],tblProducts[Selling Price (excl. VAT)],0)</f>
        <v>1250000</v>
      </c>
      <c r="K2601" s="5">
        <f>tblSales[[#This Row],[Qty]]*tblSales[[#This Row],[Unit Price]]</f>
        <v>10000000</v>
      </c>
      <c r="L2601" s="5">
        <f>ROUND(tblSales[[#This Row],[DPP (excl. VAT)]]*VATEff,0)</f>
        <v>1100000</v>
      </c>
      <c r="M2601" s="5">
        <f>tblSales[[#This Row],[DPP (excl. VAT)]]+tblSales[[#This Row],[Output VAT]]</f>
        <v>11100000</v>
      </c>
      <c r="N2601" s="5">
        <f>tblSales[[#This Row],[Qty]]*_xlfn.XLOOKUP(tblSales[[#This Row],[Product Code]],tblProducts[Code],tblProducts[Unit Cost],0)</f>
        <v>6560000</v>
      </c>
      <c r="O2601" s="4" t="s">
        <v>4867</v>
      </c>
      <c r="P2601" s="4" t="s">
        <v>4860</v>
      </c>
      <c r="Q2601" s="1" t="str">
        <f>_xlfn.XLOOKUP(tblSales[[#This Row],[Channel Code]],tblChannels[Channel Code],tblChannels[Channel Name],"")</f>
        <v>In-store</v>
      </c>
      <c r="R2601" s="1">
        <f>MONTH(tblSales[[#This Row],[Date]])</f>
        <v>6</v>
      </c>
    </row>
    <row r="2602" spans="2:18" x14ac:dyDescent="0.35">
      <c r="B2602" s="113">
        <v>46179</v>
      </c>
      <c r="C2602" s="4" t="s">
        <v>1736</v>
      </c>
      <c r="D2602" s="4" t="s">
        <v>4568</v>
      </c>
      <c r="E2602" s="1" t="str">
        <f>_xlfn.XLOOKUP(tblSales[[#This Row],[Customer ID]],tblCustomers[Customer ID],tblCustomers[Customer Name],"⚠ Unknown")</f>
        <v>Walk-in Customer</v>
      </c>
      <c r="F2602" s="4" t="s">
        <v>7</v>
      </c>
      <c r="G2602" s="1" t="str">
        <f>_xlfn.XLOOKUP(tblSales[[#This Row],[Product Code]],tblProducts[Code],tblProducts[Product / Service Name],"⚠ Unknown")</f>
        <v>Premium Basic T-shirt</v>
      </c>
      <c r="H2602" s="1" t="str">
        <f>_xlfn.XLOOKUP(tblSales[[#This Row],[Product Code]],tblProducts[Code],tblProducts[Category],"")</f>
        <v>Accessories &amp; Basics</v>
      </c>
      <c r="I2602" s="4">
        <v>11</v>
      </c>
      <c r="J2602" s="5">
        <f>_xlfn.XLOOKUP(tblSales[[#This Row],[Product Code]],tblProducts[Code],tblProducts[Selling Price (excl. VAT)],0)</f>
        <v>65000</v>
      </c>
      <c r="K2602" s="5">
        <f>tblSales[[#This Row],[Qty]]*tblSales[[#This Row],[Unit Price]]</f>
        <v>715000</v>
      </c>
      <c r="L2602" s="5">
        <f>ROUND(tblSales[[#This Row],[DPP (excl. VAT)]]*VATEff,0)</f>
        <v>78650</v>
      </c>
      <c r="M2602" s="5">
        <f>tblSales[[#This Row],[DPP (excl. VAT)]]+tblSales[[#This Row],[Output VAT]]</f>
        <v>793650</v>
      </c>
      <c r="N2602" s="5">
        <f>tblSales[[#This Row],[Qty]]*_xlfn.XLOOKUP(tblSales[[#This Row],[Product Code]],tblProducts[Code],tblProducts[Unit Cost],0)</f>
        <v>407000</v>
      </c>
      <c r="O2602" s="4" t="s">
        <v>4866</v>
      </c>
      <c r="P2602" s="4" t="s">
        <v>4861</v>
      </c>
      <c r="Q2602" s="1" t="str">
        <f>_xlfn.XLOOKUP(tblSales[[#This Row],[Channel Code]],tblChannels[Channel Code],tblChannels[Channel Name],"")</f>
        <v>Marketplace</v>
      </c>
      <c r="R2602" s="1">
        <f>MONTH(tblSales[[#This Row],[Date]])</f>
        <v>6</v>
      </c>
    </row>
    <row r="2603" spans="2:18" x14ac:dyDescent="0.35">
      <c r="B2603" s="113">
        <v>46179</v>
      </c>
      <c r="C2603" s="4" t="s">
        <v>1736</v>
      </c>
      <c r="D2603" s="4" t="s">
        <v>4568</v>
      </c>
      <c r="E2603" s="1" t="str">
        <f>_xlfn.XLOOKUP(tblSales[[#This Row],[Customer ID]],tblCustomers[Customer ID],tblCustomers[Customer Name],"⚠ Unknown")</f>
        <v>Walk-in Customer</v>
      </c>
      <c r="F2603" s="4" t="s">
        <v>10</v>
      </c>
      <c r="G2603" s="1" t="str">
        <f>_xlfn.XLOOKUP(tblSales[[#This Row],[Product Code]],tblProducts[Code],tblProducts[Product / Service Name],"⚠ Unknown")</f>
        <v>Chino Pants</v>
      </c>
      <c r="H2603" s="1" t="str">
        <f>_xlfn.XLOOKUP(tblSales[[#This Row],[Product Code]],tblProducts[Code],tblProducts[Category],"")</f>
        <v>Apparel &amp; Footwear</v>
      </c>
      <c r="I2603" s="4">
        <v>9</v>
      </c>
      <c r="J2603" s="5">
        <f>_xlfn.XLOOKUP(tblSales[[#This Row],[Product Code]],tblProducts[Code],tblProducts[Selling Price (excl. VAT)],0)</f>
        <v>150000</v>
      </c>
      <c r="K2603" s="5">
        <f>tblSales[[#This Row],[Qty]]*tblSales[[#This Row],[Unit Price]]</f>
        <v>1350000</v>
      </c>
      <c r="L2603" s="5">
        <f>ROUND(tblSales[[#This Row],[DPP (excl. VAT)]]*VATEff,0)</f>
        <v>148500</v>
      </c>
      <c r="M2603" s="5">
        <f>tblSales[[#This Row],[DPP (excl. VAT)]]+tblSales[[#This Row],[Output VAT]]</f>
        <v>1498500</v>
      </c>
      <c r="N2603" s="5">
        <f>tblSales[[#This Row],[Qty]]*_xlfn.XLOOKUP(tblSales[[#This Row],[Product Code]],tblProducts[Code],tblProducts[Unit Cost],0)</f>
        <v>792000</v>
      </c>
      <c r="O2603" s="4" t="s">
        <v>4866</v>
      </c>
      <c r="P2603" s="4" t="s">
        <v>4861</v>
      </c>
      <c r="Q2603" s="1" t="str">
        <f>_xlfn.XLOOKUP(tblSales[[#This Row],[Channel Code]],tblChannels[Channel Code],tblChannels[Channel Name],"")</f>
        <v>Marketplace</v>
      </c>
      <c r="R2603" s="1">
        <f>MONTH(tblSales[[#This Row],[Date]])</f>
        <v>6</v>
      </c>
    </row>
    <row r="2604" spans="2:18" x14ac:dyDescent="0.35">
      <c r="B2604" s="113">
        <v>46179</v>
      </c>
      <c r="C2604" s="4" t="s">
        <v>1737</v>
      </c>
      <c r="D2604" s="4" t="s">
        <v>4568</v>
      </c>
      <c r="E2604" s="1" t="str">
        <f>_xlfn.XLOOKUP(tblSales[[#This Row],[Customer ID]],tblCustomers[Customer ID],tblCustomers[Customer Name],"⚠ Unknown")</f>
        <v>Walk-in Customer</v>
      </c>
      <c r="F2604" s="4" t="s">
        <v>11</v>
      </c>
      <c r="G2604" s="1" t="str">
        <f>_xlfn.XLOOKUP(tblSales[[#This Row],[Product Code]],tblProducts[Code],tblProducts[Product / Service Name],"⚠ Unknown")</f>
        <v>Sneakers</v>
      </c>
      <c r="H2604" s="1" t="str">
        <f>_xlfn.XLOOKUP(tblSales[[#This Row],[Product Code]],tblProducts[Code],tblProducts[Category],"")</f>
        <v>Apparel &amp; Footwear</v>
      </c>
      <c r="I2604" s="4">
        <v>6</v>
      </c>
      <c r="J2604" s="5">
        <f>_xlfn.XLOOKUP(tblSales[[#This Row],[Product Code]],tblProducts[Code],tblProducts[Selling Price (excl. VAT)],0)</f>
        <v>250000</v>
      </c>
      <c r="K2604" s="5">
        <f>tblSales[[#This Row],[Qty]]*tblSales[[#This Row],[Unit Price]]</f>
        <v>1500000</v>
      </c>
      <c r="L2604" s="5">
        <f>ROUND(tblSales[[#This Row],[DPP (excl. VAT)]]*VATEff,0)</f>
        <v>165000</v>
      </c>
      <c r="M2604" s="5">
        <f>tblSales[[#This Row],[DPP (excl. VAT)]]+tblSales[[#This Row],[Output VAT]]</f>
        <v>1665000</v>
      </c>
      <c r="N2604" s="5">
        <f>tblSales[[#This Row],[Qty]]*_xlfn.XLOOKUP(tblSales[[#This Row],[Product Code]],tblProducts[Code],tblProducts[Unit Cost],0)</f>
        <v>930000</v>
      </c>
      <c r="O2604" s="4" t="s">
        <v>4866</v>
      </c>
      <c r="P2604" s="4" t="s">
        <v>4861</v>
      </c>
      <c r="Q2604" s="1" t="str">
        <f>_xlfn.XLOOKUP(tblSales[[#This Row],[Channel Code]],tblChannels[Channel Code],tblChannels[Channel Name],"")</f>
        <v>Marketplace</v>
      </c>
      <c r="R2604" s="1">
        <f>MONTH(tblSales[[#This Row],[Date]])</f>
        <v>6</v>
      </c>
    </row>
    <row r="2605" spans="2:18" x14ac:dyDescent="0.35">
      <c r="B2605" s="113">
        <v>46179</v>
      </c>
      <c r="C2605" s="4" t="s">
        <v>1738</v>
      </c>
      <c r="D2605" s="4" t="s">
        <v>4627</v>
      </c>
      <c r="E2605" s="1" t="str">
        <f>_xlfn.XLOOKUP(tblSales[[#This Row],[Customer ID]],tblCustomers[Customer ID],tblCustomers[Customer Name],"⚠ Unknown")</f>
        <v>PT Kencana Wira Usaha</v>
      </c>
      <c r="F2605" s="4" t="s">
        <v>8</v>
      </c>
      <c r="G2605" s="1" t="str">
        <f>_xlfn.XLOOKUP(tblSales[[#This Row],[Product Code]],tblProducts[Code],tblProducts[Product / Service Name],"⚠ Unknown")</f>
        <v>Casual Shorts</v>
      </c>
      <c r="H2605" s="1" t="str">
        <f>_xlfn.XLOOKUP(tblSales[[#This Row],[Product Code]],tblProducts[Code],tblProducts[Category],"")</f>
        <v>Accessories &amp; Basics</v>
      </c>
      <c r="I2605" s="4">
        <v>16</v>
      </c>
      <c r="J2605" s="5">
        <f>_xlfn.XLOOKUP(tblSales[[#This Row],[Product Code]],tblProducts[Code],tblProducts[Selling Price (excl. VAT)],0)</f>
        <v>85000</v>
      </c>
      <c r="K2605" s="5">
        <f>tblSales[[#This Row],[Qty]]*tblSales[[#This Row],[Unit Price]]</f>
        <v>1360000</v>
      </c>
      <c r="L2605" s="5">
        <f>ROUND(tblSales[[#This Row],[DPP (excl. VAT)]]*VATEff,0)</f>
        <v>149600</v>
      </c>
      <c r="M2605" s="5">
        <f>tblSales[[#This Row],[DPP (excl. VAT)]]+tblSales[[#This Row],[Output VAT]]</f>
        <v>1509600</v>
      </c>
      <c r="N2605" s="5">
        <f>tblSales[[#This Row],[Qty]]*_xlfn.XLOOKUP(tblSales[[#This Row],[Product Code]],tblProducts[Code],tblProducts[Unit Cost],0)</f>
        <v>800000</v>
      </c>
      <c r="O2605" s="4" t="s">
        <v>4867</v>
      </c>
      <c r="P2605" s="4" t="s">
        <v>4860</v>
      </c>
      <c r="Q2605" s="1" t="str">
        <f>_xlfn.XLOOKUP(tblSales[[#This Row],[Channel Code]],tblChannels[Channel Code],tblChannels[Channel Name],"")</f>
        <v>In-store</v>
      </c>
      <c r="R2605" s="1">
        <f>MONTH(tblSales[[#This Row],[Date]])</f>
        <v>6</v>
      </c>
    </row>
    <row r="2606" spans="2:18" x14ac:dyDescent="0.35">
      <c r="B2606" s="113">
        <v>46179</v>
      </c>
      <c r="C2606" s="4" t="s">
        <v>1738</v>
      </c>
      <c r="D2606" s="4" t="s">
        <v>4627</v>
      </c>
      <c r="E2606" s="1" t="str">
        <f>_xlfn.XLOOKUP(tblSales[[#This Row],[Customer ID]],tblCustomers[Customer ID],tblCustomers[Customer Name],"⚠ Unknown")</f>
        <v>PT Kencana Wira Usaha</v>
      </c>
      <c r="F2606" s="4" t="s">
        <v>12</v>
      </c>
      <c r="G2606" s="1" t="str">
        <f>_xlfn.XLOOKUP(tblSales[[#This Row],[Product Code]],tblProducts[Code],tblProducts[Product / Service Name],"⚠ Unknown")</f>
        <v>Bomber Jacket</v>
      </c>
      <c r="H2606" s="1" t="str">
        <f>_xlfn.XLOOKUP(tblSales[[#This Row],[Product Code]],tblProducts[Code],tblProducts[Category],"")</f>
        <v>Apparel &amp; Footwear</v>
      </c>
      <c r="I2606" s="4">
        <v>8</v>
      </c>
      <c r="J2606" s="5">
        <f>_xlfn.XLOOKUP(tblSales[[#This Row],[Product Code]],tblProducts[Code],tblProducts[Selling Price (excl. VAT)],0)</f>
        <v>350000</v>
      </c>
      <c r="K2606" s="5">
        <f>tblSales[[#This Row],[Qty]]*tblSales[[#This Row],[Unit Price]]</f>
        <v>2800000</v>
      </c>
      <c r="L2606" s="5">
        <f>ROUND(tblSales[[#This Row],[DPP (excl. VAT)]]*VATEff,0)</f>
        <v>308000</v>
      </c>
      <c r="M2606" s="5">
        <f>tblSales[[#This Row],[DPP (excl. VAT)]]+tblSales[[#This Row],[Output VAT]]</f>
        <v>3108000</v>
      </c>
      <c r="N2606" s="5">
        <f>tblSales[[#This Row],[Qty]]*_xlfn.XLOOKUP(tblSales[[#This Row],[Product Code]],tblProducts[Code],tblProducts[Unit Cost],0)</f>
        <v>1680000</v>
      </c>
      <c r="O2606" s="4" t="s">
        <v>4867</v>
      </c>
      <c r="P2606" s="4" t="s">
        <v>4860</v>
      </c>
      <c r="Q2606" s="1" t="str">
        <f>_xlfn.XLOOKUP(tblSales[[#This Row],[Channel Code]],tblChannels[Channel Code],tblChannels[Channel Name],"")</f>
        <v>In-store</v>
      </c>
      <c r="R2606" s="1">
        <f>MONTH(tblSales[[#This Row],[Date]])</f>
        <v>6</v>
      </c>
    </row>
    <row r="2607" spans="2:18" x14ac:dyDescent="0.35">
      <c r="B2607" s="113">
        <v>46179</v>
      </c>
      <c r="C2607" s="4" t="s">
        <v>1738</v>
      </c>
      <c r="D2607" s="4" t="s">
        <v>4627</v>
      </c>
      <c r="E2607" s="1" t="str">
        <f>_xlfn.XLOOKUP(tblSales[[#This Row],[Customer ID]],tblCustomers[Customer ID],tblCustomers[Customer Name],"⚠ Unknown")</f>
        <v>PT Kencana Wira Usaha</v>
      </c>
      <c r="F2607" s="4" t="s">
        <v>11</v>
      </c>
      <c r="G2607" s="1" t="str">
        <f>_xlfn.XLOOKUP(tblSales[[#This Row],[Product Code]],tblProducts[Code],tblProducts[Product / Service Name],"⚠ Unknown")</f>
        <v>Sneakers</v>
      </c>
      <c r="H2607" s="1" t="str">
        <f>_xlfn.XLOOKUP(tblSales[[#This Row],[Product Code]],tblProducts[Code],tblProducts[Category],"")</f>
        <v>Apparel &amp; Footwear</v>
      </c>
      <c r="I2607" s="4">
        <v>24</v>
      </c>
      <c r="J2607" s="5">
        <f>_xlfn.XLOOKUP(tblSales[[#This Row],[Product Code]],tblProducts[Code],tblProducts[Selling Price (excl. VAT)],0)</f>
        <v>250000</v>
      </c>
      <c r="K2607" s="5">
        <f>tblSales[[#This Row],[Qty]]*tblSales[[#This Row],[Unit Price]]</f>
        <v>6000000</v>
      </c>
      <c r="L2607" s="5">
        <f>ROUND(tblSales[[#This Row],[DPP (excl. VAT)]]*VATEff,0)</f>
        <v>660000</v>
      </c>
      <c r="M2607" s="5">
        <f>tblSales[[#This Row],[DPP (excl. VAT)]]+tblSales[[#This Row],[Output VAT]]</f>
        <v>6660000</v>
      </c>
      <c r="N2607" s="5">
        <f>tblSales[[#This Row],[Qty]]*_xlfn.XLOOKUP(tblSales[[#This Row],[Product Code]],tblProducts[Code],tblProducts[Unit Cost],0)</f>
        <v>3720000</v>
      </c>
      <c r="O2607" s="4" t="s">
        <v>4867</v>
      </c>
      <c r="P2607" s="4" t="s">
        <v>4860</v>
      </c>
      <c r="Q2607" s="1" t="str">
        <f>_xlfn.XLOOKUP(tblSales[[#This Row],[Channel Code]],tblChannels[Channel Code],tblChannels[Channel Name],"")</f>
        <v>In-store</v>
      </c>
      <c r="R2607" s="1">
        <f>MONTH(tblSales[[#This Row],[Date]])</f>
        <v>6</v>
      </c>
    </row>
    <row r="2608" spans="2:18" x14ac:dyDescent="0.35">
      <c r="B2608" s="113">
        <v>46179</v>
      </c>
      <c r="C2608" s="4" t="s">
        <v>1739</v>
      </c>
      <c r="D2608" s="4" t="s">
        <v>4568</v>
      </c>
      <c r="E2608" s="1" t="str">
        <f>_xlfn.XLOOKUP(tblSales[[#This Row],[Customer ID]],tblCustomers[Customer ID],tblCustomers[Customer Name],"⚠ Unknown")</f>
        <v>Walk-in Customer</v>
      </c>
      <c r="F2608" s="4" t="s">
        <v>14</v>
      </c>
      <c r="G2608" s="1" t="str">
        <f>_xlfn.XLOOKUP(tblSales[[#This Row],[Product Code]],tblProducts[Code],tblProducts[Product / Service Name],"⚠ Unknown")</f>
        <v>Smartwatch</v>
      </c>
      <c r="H2608" s="1" t="str">
        <f>_xlfn.XLOOKUP(tblSales[[#This Row],[Product Code]],tblProducts[Code],tblProducts[Category],"")</f>
        <v>Bags &amp; Gadgets</v>
      </c>
      <c r="I2608" s="4">
        <v>3</v>
      </c>
      <c r="J2608" s="5">
        <f>_xlfn.XLOOKUP(tblSales[[#This Row],[Product Code]],tblProducts[Code],tblProducts[Selling Price (excl. VAT)],0)</f>
        <v>850000</v>
      </c>
      <c r="K2608" s="5">
        <f>tblSales[[#This Row],[Qty]]*tblSales[[#This Row],[Unit Price]]</f>
        <v>2550000</v>
      </c>
      <c r="L2608" s="5">
        <f>ROUND(tblSales[[#This Row],[DPP (excl. VAT)]]*VATEff,0)</f>
        <v>280500</v>
      </c>
      <c r="M2608" s="5">
        <f>tblSales[[#This Row],[DPP (excl. VAT)]]+tblSales[[#This Row],[Output VAT]]</f>
        <v>2830500</v>
      </c>
      <c r="N2608" s="5">
        <f>tblSales[[#This Row],[Qty]]*_xlfn.XLOOKUP(tblSales[[#This Row],[Product Code]],tblProducts[Code],tblProducts[Unit Cost],0)</f>
        <v>1680000</v>
      </c>
      <c r="O2608" s="4" t="s">
        <v>4866</v>
      </c>
      <c r="P2608" s="4" t="s">
        <v>4860</v>
      </c>
      <c r="Q2608" s="1" t="str">
        <f>_xlfn.XLOOKUP(tblSales[[#This Row],[Channel Code]],tblChannels[Channel Code],tblChannels[Channel Name],"")</f>
        <v>In-store</v>
      </c>
      <c r="R2608" s="1">
        <f>MONTH(tblSales[[#This Row],[Date]])</f>
        <v>6</v>
      </c>
    </row>
    <row r="2609" spans="2:18" x14ac:dyDescent="0.35">
      <c r="B2609" s="113">
        <v>46179</v>
      </c>
      <c r="C2609" s="4" t="s">
        <v>1740</v>
      </c>
      <c r="D2609" s="4" t="s">
        <v>4568</v>
      </c>
      <c r="E2609" s="1" t="str">
        <f>_xlfn.XLOOKUP(tblSales[[#This Row],[Customer ID]],tblCustomers[Customer ID],tblCustomers[Customer Name],"⚠ Unknown")</f>
        <v>Walk-in Customer</v>
      </c>
      <c r="F2609" s="4" t="s">
        <v>9</v>
      </c>
      <c r="G2609" s="1" t="str">
        <f>_xlfn.XLOOKUP(tblSales[[#This Row],[Product Code]],tblProducts[Code],tblProducts[Product / Service Name],"⚠ Unknown")</f>
        <v>Casual Shirt</v>
      </c>
      <c r="H2609" s="1" t="str">
        <f>_xlfn.XLOOKUP(tblSales[[#This Row],[Product Code]],tblProducts[Code],tblProducts[Category],"")</f>
        <v>Apparel &amp; Footwear</v>
      </c>
      <c r="I2609" s="4">
        <v>12</v>
      </c>
      <c r="J2609" s="5">
        <f>_xlfn.XLOOKUP(tblSales[[#This Row],[Product Code]],tblProducts[Code],tblProducts[Selling Price (excl. VAT)],0)</f>
        <v>120000</v>
      </c>
      <c r="K2609" s="5">
        <f>tblSales[[#This Row],[Qty]]*tblSales[[#This Row],[Unit Price]]</f>
        <v>1440000</v>
      </c>
      <c r="L2609" s="5">
        <f>ROUND(tblSales[[#This Row],[DPP (excl. VAT)]]*VATEff,0)</f>
        <v>158400</v>
      </c>
      <c r="M2609" s="5">
        <f>tblSales[[#This Row],[DPP (excl. VAT)]]+tblSales[[#This Row],[Output VAT]]</f>
        <v>1598400</v>
      </c>
      <c r="N2609" s="5">
        <f>tblSales[[#This Row],[Qty]]*_xlfn.XLOOKUP(tblSales[[#This Row],[Product Code]],tblProducts[Code],tblProducts[Unit Cost],0)</f>
        <v>864000</v>
      </c>
      <c r="O2609" s="4" t="s">
        <v>4866</v>
      </c>
      <c r="P2609" s="4" t="s">
        <v>4861</v>
      </c>
      <c r="Q2609" s="1" t="str">
        <f>_xlfn.XLOOKUP(tblSales[[#This Row],[Channel Code]],tblChannels[Channel Code],tblChannels[Channel Name],"")</f>
        <v>Marketplace</v>
      </c>
      <c r="R2609" s="1">
        <f>MONTH(tblSales[[#This Row],[Date]])</f>
        <v>6</v>
      </c>
    </row>
    <row r="2610" spans="2:18" x14ac:dyDescent="0.35">
      <c r="B2610" s="113">
        <v>46179</v>
      </c>
      <c r="C2610" s="4" t="s">
        <v>1741</v>
      </c>
      <c r="D2610" s="4" t="s">
        <v>4568</v>
      </c>
      <c r="E2610" s="1" t="str">
        <f>_xlfn.XLOOKUP(tblSales[[#This Row],[Customer ID]],tblCustomers[Customer ID],tblCustomers[Customer Name],"⚠ Unknown")</f>
        <v>Walk-in Customer</v>
      </c>
      <c r="F2610" s="4" t="s">
        <v>15</v>
      </c>
      <c r="G2610" s="1" t="str">
        <f>_xlfn.XLOOKUP(tblSales[[#This Row],[Product Code]],tblProducts[Code],tblProducts[Product / Service Name],"⚠ Unknown")</f>
        <v>Wireless Earbuds Pro</v>
      </c>
      <c r="H2610" s="1" t="str">
        <f>_xlfn.XLOOKUP(tblSales[[#This Row],[Product Code]],tblProducts[Code],tblProducts[Category],"")</f>
        <v>Bags &amp; Gadgets</v>
      </c>
      <c r="I2610" s="4">
        <v>2</v>
      </c>
      <c r="J2610" s="5">
        <f>_xlfn.XLOOKUP(tblSales[[#This Row],[Product Code]],tblProducts[Code],tblProducts[Selling Price (excl. VAT)],0)</f>
        <v>1250000</v>
      </c>
      <c r="K2610" s="5">
        <f>tblSales[[#This Row],[Qty]]*tblSales[[#This Row],[Unit Price]]</f>
        <v>2500000</v>
      </c>
      <c r="L2610" s="5">
        <f>ROUND(tblSales[[#This Row],[DPP (excl. VAT)]]*VATEff,0)</f>
        <v>275000</v>
      </c>
      <c r="M2610" s="5">
        <f>tblSales[[#This Row],[DPP (excl. VAT)]]+tblSales[[#This Row],[Output VAT]]</f>
        <v>2775000</v>
      </c>
      <c r="N2610" s="5">
        <f>tblSales[[#This Row],[Qty]]*_xlfn.XLOOKUP(tblSales[[#This Row],[Product Code]],tblProducts[Code],tblProducts[Unit Cost],0)</f>
        <v>1640000</v>
      </c>
      <c r="O2610" s="4" t="s">
        <v>4866</v>
      </c>
      <c r="P2610" s="4" t="s">
        <v>4862</v>
      </c>
      <c r="Q2610" s="1" t="str">
        <f>_xlfn.XLOOKUP(tblSales[[#This Row],[Channel Code]],tblChannels[Channel Code],tblChannels[Channel Name],"")</f>
        <v>Website &amp; Social Media</v>
      </c>
      <c r="R2610" s="1">
        <f>MONTH(tblSales[[#This Row],[Date]])</f>
        <v>6</v>
      </c>
    </row>
    <row r="2611" spans="2:18" x14ac:dyDescent="0.35">
      <c r="B2611" s="113">
        <v>46179</v>
      </c>
      <c r="C2611" s="4" t="s">
        <v>1742</v>
      </c>
      <c r="D2611" s="4" t="s">
        <v>4568</v>
      </c>
      <c r="E2611" s="1" t="str">
        <f>_xlfn.XLOOKUP(tblSales[[#This Row],[Customer ID]],tblCustomers[Customer ID],tblCustomers[Customer Name],"⚠ Unknown")</f>
        <v>Walk-in Customer</v>
      </c>
      <c r="F2611" s="4" t="s">
        <v>12</v>
      </c>
      <c r="G2611" s="1" t="str">
        <f>_xlfn.XLOOKUP(tblSales[[#This Row],[Product Code]],tblProducts[Code],tblProducts[Product / Service Name],"⚠ Unknown")</f>
        <v>Bomber Jacket</v>
      </c>
      <c r="H2611" s="1" t="str">
        <f>_xlfn.XLOOKUP(tblSales[[#This Row],[Product Code]],tblProducts[Code],tblProducts[Category],"")</f>
        <v>Apparel &amp; Footwear</v>
      </c>
      <c r="I2611" s="4">
        <v>2</v>
      </c>
      <c r="J2611" s="5">
        <f>_xlfn.XLOOKUP(tblSales[[#This Row],[Product Code]],tblProducts[Code],tblProducts[Selling Price (excl. VAT)],0)</f>
        <v>350000</v>
      </c>
      <c r="K2611" s="5">
        <f>tblSales[[#This Row],[Qty]]*tblSales[[#This Row],[Unit Price]]</f>
        <v>700000</v>
      </c>
      <c r="L2611" s="5">
        <f>ROUND(tblSales[[#This Row],[DPP (excl. VAT)]]*VATEff,0)</f>
        <v>77000</v>
      </c>
      <c r="M2611" s="5">
        <f>tblSales[[#This Row],[DPP (excl. VAT)]]+tblSales[[#This Row],[Output VAT]]</f>
        <v>777000</v>
      </c>
      <c r="N2611" s="5">
        <f>tblSales[[#This Row],[Qty]]*_xlfn.XLOOKUP(tblSales[[#This Row],[Product Code]],tblProducts[Code],tblProducts[Unit Cost],0)</f>
        <v>420000</v>
      </c>
      <c r="O2611" s="4" t="s">
        <v>4865</v>
      </c>
      <c r="P2611" s="4" t="s">
        <v>4860</v>
      </c>
      <c r="Q2611" s="1" t="str">
        <f>_xlfn.XLOOKUP(tblSales[[#This Row],[Channel Code]],tblChannels[Channel Code],tblChannels[Channel Name],"")</f>
        <v>In-store</v>
      </c>
      <c r="R2611" s="1">
        <f>MONTH(tblSales[[#This Row],[Date]])</f>
        <v>6</v>
      </c>
    </row>
    <row r="2612" spans="2:18" x14ac:dyDescent="0.35">
      <c r="B2612" s="113">
        <v>46179</v>
      </c>
      <c r="C2612" s="4" t="s">
        <v>1742</v>
      </c>
      <c r="D2612" s="4" t="s">
        <v>4568</v>
      </c>
      <c r="E2612" s="1" t="str">
        <f>_xlfn.XLOOKUP(tblSales[[#This Row],[Customer ID]],tblCustomers[Customer ID],tblCustomers[Customer Name],"⚠ Unknown")</f>
        <v>Walk-in Customer</v>
      </c>
      <c r="F2612" s="4" t="s">
        <v>10</v>
      </c>
      <c r="G2612" s="1" t="str">
        <f>_xlfn.XLOOKUP(tblSales[[#This Row],[Product Code]],tblProducts[Code],tblProducts[Product / Service Name],"⚠ Unknown")</f>
        <v>Chino Pants</v>
      </c>
      <c r="H2612" s="1" t="str">
        <f>_xlfn.XLOOKUP(tblSales[[#This Row],[Product Code]],tblProducts[Code],tblProducts[Category],"")</f>
        <v>Apparel &amp; Footwear</v>
      </c>
      <c r="I2612" s="4">
        <v>9</v>
      </c>
      <c r="J2612" s="5">
        <f>_xlfn.XLOOKUP(tblSales[[#This Row],[Product Code]],tblProducts[Code],tblProducts[Selling Price (excl. VAT)],0)</f>
        <v>150000</v>
      </c>
      <c r="K2612" s="5">
        <f>tblSales[[#This Row],[Qty]]*tblSales[[#This Row],[Unit Price]]</f>
        <v>1350000</v>
      </c>
      <c r="L2612" s="5">
        <f>ROUND(tblSales[[#This Row],[DPP (excl. VAT)]]*VATEff,0)</f>
        <v>148500</v>
      </c>
      <c r="M2612" s="5">
        <f>tblSales[[#This Row],[DPP (excl. VAT)]]+tblSales[[#This Row],[Output VAT]]</f>
        <v>1498500</v>
      </c>
      <c r="N2612" s="5">
        <f>tblSales[[#This Row],[Qty]]*_xlfn.XLOOKUP(tblSales[[#This Row],[Product Code]],tblProducts[Code],tblProducts[Unit Cost],0)</f>
        <v>792000</v>
      </c>
      <c r="O2612" s="4" t="s">
        <v>4865</v>
      </c>
      <c r="P2612" s="4" t="s">
        <v>4860</v>
      </c>
      <c r="Q2612" s="1" t="str">
        <f>_xlfn.XLOOKUP(tblSales[[#This Row],[Channel Code]],tblChannels[Channel Code],tblChannels[Channel Name],"")</f>
        <v>In-store</v>
      </c>
      <c r="R2612" s="1">
        <f>MONTH(tblSales[[#This Row],[Date]])</f>
        <v>6</v>
      </c>
    </row>
    <row r="2613" spans="2:18" x14ac:dyDescent="0.35">
      <c r="B2613" s="113">
        <v>46180</v>
      </c>
      <c r="C2613" s="4" t="s">
        <v>1743</v>
      </c>
      <c r="D2613" s="4" t="s">
        <v>4568</v>
      </c>
      <c r="E2613" s="1" t="str">
        <f>_xlfn.XLOOKUP(tblSales[[#This Row],[Customer ID]],tblCustomers[Customer ID],tblCustomers[Customer Name],"⚠ Unknown")</f>
        <v>Walk-in Customer</v>
      </c>
      <c r="F2613" s="4" t="s">
        <v>7</v>
      </c>
      <c r="G2613" s="1" t="str">
        <f>_xlfn.XLOOKUP(tblSales[[#This Row],[Product Code]],tblProducts[Code],tblProducts[Product / Service Name],"⚠ Unknown")</f>
        <v>Premium Basic T-shirt</v>
      </c>
      <c r="H2613" s="1" t="str">
        <f>_xlfn.XLOOKUP(tblSales[[#This Row],[Product Code]],tblProducts[Code],tblProducts[Category],"")</f>
        <v>Accessories &amp; Basics</v>
      </c>
      <c r="I2613" s="4">
        <v>5</v>
      </c>
      <c r="J2613" s="5">
        <f>_xlfn.XLOOKUP(tblSales[[#This Row],[Product Code]],tblProducts[Code],tblProducts[Selling Price (excl. VAT)],0)</f>
        <v>65000</v>
      </c>
      <c r="K2613" s="5">
        <f>tblSales[[#This Row],[Qty]]*tblSales[[#This Row],[Unit Price]]</f>
        <v>325000</v>
      </c>
      <c r="L2613" s="5">
        <f>ROUND(tblSales[[#This Row],[DPP (excl. VAT)]]*VATEff,0)</f>
        <v>35750</v>
      </c>
      <c r="M2613" s="5">
        <f>tblSales[[#This Row],[DPP (excl. VAT)]]+tblSales[[#This Row],[Output VAT]]</f>
        <v>360750</v>
      </c>
      <c r="N2613" s="5">
        <f>tblSales[[#This Row],[Qty]]*_xlfn.XLOOKUP(tblSales[[#This Row],[Product Code]],tblProducts[Code],tblProducts[Unit Cost],0)</f>
        <v>185000</v>
      </c>
      <c r="O2613" s="4" t="s">
        <v>4866</v>
      </c>
      <c r="P2613" s="4" t="s">
        <v>4860</v>
      </c>
      <c r="Q2613" s="1" t="str">
        <f>_xlfn.XLOOKUP(tblSales[[#This Row],[Channel Code]],tblChannels[Channel Code],tblChannels[Channel Name],"")</f>
        <v>In-store</v>
      </c>
      <c r="R2613" s="1">
        <f>MONTH(tblSales[[#This Row],[Date]])</f>
        <v>6</v>
      </c>
    </row>
    <row r="2614" spans="2:18" x14ac:dyDescent="0.35">
      <c r="B2614" s="113">
        <v>46180</v>
      </c>
      <c r="C2614" s="4" t="s">
        <v>1744</v>
      </c>
      <c r="D2614" s="4" t="s">
        <v>4568</v>
      </c>
      <c r="E2614" s="1" t="str">
        <f>_xlfn.XLOOKUP(tblSales[[#This Row],[Customer ID]],tblCustomers[Customer ID],tblCustomers[Customer Name],"⚠ Unknown")</f>
        <v>Walk-in Customer</v>
      </c>
      <c r="F2614" s="4" t="s">
        <v>8</v>
      </c>
      <c r="G2614" s="1" t="str">
        <f>_xlfn.XLOOKUP(tblSales[[#This Row],[Product Code]],tblProducts[Code],tblProducts[Product / Service Name],"⚠ Unknown")</f>
        <v>Casual Shorts</v>
      </c>
      <c r="H2614" s="1" t="str">
        <f>_xlfn.XLOOKUP(tblSales[[#This Row],[Product Code]],tblProducts[Code],tblProducts[Category],"")</f>
        <v>Accessories &amp; Basics</v>
      </c>
      <c r="I2614" s="4">
        <v>8</v>
      </c>
      <c r="J2614" s="5">
        <f>_xlfn.XLOOKUP(tblSales[[#This Row],[Product Code]],tblProducts[Code],tblProducts[Selling Price (excl. VAT)],0)</f>
        <v>85000</v>
      </c>
      <c r="K2614" s="5">
        <f>tblSales[[#This Row],[Qty]]*tblSales[[#This Row],[Unit Price]]</f>
        <v>680000</v>
      </c>
      <c r="L2614" s="5">
        <f>ROUND(tblSales[[#This Row],[DPP (excl. VAT)]]*VATEff,0)</f>
        <v>74800</v>
      </c>
      <c r="M2614" s="5">
        <f>tblSales[[#This Row],[DPP (excl. VAT)]]+tblSales[[#This Row],[Output VAT]]</f>
        <v>754800</v>
      </c>
      <c r="N2614" s="5">
        <f>tblSales[[#This Row],[Qty]]*_xlfn.XLOOKUP(tblSales[[#This Row],[Product Code]],tblProducts[Code],tblProducts[Unit Cost],0)</f>
        <v>400000</v>
      </c>
      <c r="O2614" s="4" t="s">
        <v>4865</v>
      </c>
      <c r="P2614" s="4" t="s">
        <v>4860</v>
      </c>
      <c r="Q2614" s="1" t="str">
        <f>_xlfn.XLOOKUP(tblSales[[#This Row],[Channel Code]],tblChannels[Channel Code],tblChannels[Channel Name],"")</f>
        <v>In-store</v>
      </c>
      <c r="R2614" s="1">
        <f>MONTH(tblSales[[#This Row],[Date]])</f>
        <v>6</v>
      </c>
    </row>
    <row r="2615" spans="2:18" x14ac:dyDescent="0.35">
      <c r="B2615" s="113">
        <v>46180</v>
      </c>
      <c r="C2615" s="4" t="s">
        <v>1745</v>
      </c>
      <c r="D2615" s="4" t="s">
        <v>4568</v>
      </c>
      <c r="E2615" s="1" t="str">
        <f>_xlfn.XLOOKUP(tblSales[[#This Row],[Customer ID]],tblCustomers[Customer ID],tblCustomers[Customer Name],"⚠ Unknown")</f>
        <v>Walk-in Customer</v>
      </c>
      <c r="F2615" s="4" t="s">
        <v>9</v>
      </c>
      <c r="G2615" s="1" t="str">
        <f>_xlfn.XLOOKUP(tblSales[[#This Row],[Product Code]],tblProducts[Code],tblProducts[Product / Service Name],"⚠ Unknown")</f>
        <v>Casual Shirt</v>
      </c>
      <c r="H2615" s="1" t="str">
        <f>_xlfn.XLOOKUP(tblSales[[#This Row],[Product Code]],tblProducts[Code],tblProducts[Category],"")</f>
        <v>Apparel &amp; Footwear</v>
      </c>
      <c r="I2615" s="4">
        <v>4</v>
      </c>
      <c r="J2615" s="5">
        <f>_xlfn.XLOOKUP(tblSales[[#This Row],[Product Code]],tblProducts[Code],tblProducts[Selling Price (excl. VAT)],0)</f>
        <v>120000</v>
      </c>
      <c r="K2615" s="5">
        <f>tblSales[[#This Row],[Qty]]*tblSales[[#This Row],[Unit Price]]</f>
        <v>480000</v>
      </c>
      <c r="L2615" s="5">
        <f>ROUND(tblSales[[#This Row],[DPP (excl. VAT)]]*VATEff,0)</f>
        <v>52800</v>
      </c>
      <c r="M2615" s="5">
        <f>tblSales[[#This Row],[DPP (excl. VAT)]]+tblSales[[#This Row],[Output VAT]]</f>
        <v>532800</v>
      </c>
      <c r="N2615" s="5">
        <f>tblSales[[#This Row],[Qty]]*_xlfn.XLOOKUP(tblSales[[#This Row],[Product Code]],tblProducts[Code],tblProducts[Unit Cost],0)</f>
        <v>288000</v>
      </c>
      <c r="O2615" s="4" t="s">
        <v>4866</v>
      </c>
      <c r="P2615" s="4" t="s">
        <v>4862</v>
      </c>
      <c r="Q2615" s="1" t="str">
        <f>_xlfn.XLOOKUP(tblSales[[#This Row],[Channel Code]],tblChannels[Channel Code],tblChannels[Channel Name],"")</f>
        <v>Website &amp; Social Media</v>
      </c>
      <c r="R2615" s="1">
        <f>MONTH(tblSales[[#This Row],[Date]])</f>
        <v>6</v>
      </c>
    </row>
    <row r="2616" spans="2:18" x14ac:dyDescent="0.35">
      <c r="B2616" s="113">
        <v>46180</v>
      </c>
      <c r="C2616" s="4" t="s">
        <v>1746</v>
      </c>
      <c r="D2616" s="4" t="s">
        <v>4599</v>
      </c>
      <c r="E2616" s="1" t="str">
        <f>_xlfn.XLOOKUP(tblSales[[#This Row],[Customer ID]],tblCustomers[Customer ID],tblCustomers[Customer Name],"⚠ Unknown")</f>
        <v>PT Samudra Jaya Logistik</v>
      </c>
      <c r="F2616" s="4" t="s">
        <v>9</v>
      </c>
      <c r="G2616" s="1" t="str">
        <f>_xlfn.XLOOKUP(tblSales[[#This Row],[Product Code]],tblProducts[Code],tblProducts[Product / Service Name],"⚠ Unknown")</f>
        <v>Casual Shirt</v>
      </c>
      <c r="H2616" s="1" t="str">
        <f>_xlfn.XLOOKUP(tblSales[[#This Row],[Product Code]],tblProducts[Code],tblProducts[Category],"")</f>
        <v>Apparel &amp; Footwear</v>
      </c>
      <c r="I2616" s="4">
        <v>96</v>
      </c>
      <c r="J2616" s="5">
        <f>_xlfn.XLOOKUP(tblSales[[#This Row],[Product Code]],tblProducts[Code],tblProducts[Selling Price (excl. VAT)],0)</f>
        <v>120000</v>
      </c>
      <c r="K2616" s="5">
        <f>tblSales[[#This Row],[Qty]]*tblSales[[#This Row],[Unit Price]]</f>
        <v>11520000</v>
      </c>
      <c r="L2616" s="5">
        <f>ROUND(tblSales[[#This Row],[DPP (excl. VAT)]]*VATEff,0)</f>
        <v>1267200</v>
      </c>
      <c r="M2616" s="5">
        <f>tblSales[[#This Row],[DPP (excl. VAT)]]+tblSales[[#This Row],[Output VAT]]</f>
        <v>12787200</v>
      </c>
      <c r="N2616" s="5">
        <f>tblSales[[#This Row],[Qty]]*_xlfn.XLOOKUP(tblSales[[#This Row],[Product Code]],tblProducts[Code],tblProducts[Unit Cost],0)</f>
        <v>6912000</v>
      </c>
      <c r="O2616" s="4" t="s">
        <v>4867</v>
      </c>
      <c r="P2616" s="4" t="s">
        <v>4860</v>
      </c>
      <c r="Q2616" s="1" t="str">
        <f>_xlfn.XLOOKUP(tblSales[[#This Row],[Channel Code]],tblChannels[Channel Code],tblChannels[Channel Name],"")</f>
        <v>In-store</v>
      </c>
      <c r="R2616" s="1">
        <f>MONTH(tblSales[[#This Row],[Date]])</f>
        <v>6</v>
      </c>
    </row>
    <row r="2617" spans="2:18" x14ac:dyDescent="0.35">
      <c r="B2617" s="113">
        <v>46180</v>
      </c>
      <c r="C2617" s="4" t="s">
        <v>1747</v>
      </c>
      <c r="D2617" s="4" t="s">
        <v>4568</v>
      </c>
      <c r="E2617" s="1" t="str">
        <f>_xlfn.XLOOKUP(tblSales[[#This Row],[Customer ID]],tblCustomers[Customer ID],tblCustomers[Customer Name],"⚠ Unknown")</f>
        <v>Walk-in Customer</v>
      </c>
      <c r="F2617" s="4" t="s">
        <v>10</v>
      </c>
      <c r="G2617" s="1" t="str">
        <f>_xlfn.XLOOKUP(tblSales[[#This Row],[Product Code]],tblProducts[Code],tblProducts[Product / Service Name],"⚠ Unknown")</f>
        <v>Chino Pants</v>
      </c>
      <c r="H2617" s="1" t="str">
        <f>_xlfn.XLOOKUP(tblSales[[#This Row],[Product Code]],tblProducts[Code],tblProducts[Category],"")</f>
        <v>Apparel &amp; Footwear</v>
      </c>
      <c r="I2617" s="4">
        <v>7</v>
      </c>
      <c r="J2617" s="5">
        <f>_xlfn.XLOOKUP(tblSales[[#This Row],[Product Code]],tblProducts[Code],tblProducts[Selling Price (excl. VAT)],0)</f>
        <v>150000</v>
      </c>
      <c r="K2617" s="5">
        <f>tblSales[[#This Row],[Qty]]*tblSales[[#This Row],[Unit Price]]</f>
        <v>1050000</v>
      </c>
      <c r="L2617" s="5">
        <f>ROUND(tblSales[[#This Row],[DPP (excl. VAT)]]*VATEff,0)</f>
        <v>115500</v>
      </c>
      <c r="M2617" s="5">
        <f>tblSales[[#This Row],[DPP (excl. VAT)]]+tblSales[[#This Row],[Output VAT]]</f>
        <v>1165500</v>
      </c>
      <c r="N2617" s="5">
        <f>tblSales[[#This Row],[Qty]]*_xlfn.XLOOKUP(tblSales[[#This Row],[Product Code]],tblProducts[Code],tblProducts[Unit Cost],0)</f>
        <v>616000</v>
      </c>
      <c r="O2617" s="4" t="s">
        <v>4866</v>
      </c>
      <c r="P2617" s="4" t="s">
        <v>4860</v>
      </c>
      <c r="Q2617" s="1" t="str">
        <f>_xlfn.XLOOKUP(tblSales[[#This Row],[Channel Code]],tblChannels[Channel Code],tblChannels[Channel Name],"")</f>
        <v>In-store</v>
      </c>
      <c r="R2617" s="1">
        <f>MONTH(tblSales[[#This Row],[Date]])</f>
        <v>6</v>
      </c>
    </row>
    <row r="2618" spans="2:18" x14ac:dyDescent="0.35">
      <c r="B2618" s="113">
        <v>46180</v>
      </c>
      <c r="C2618" s="4" t="s">
        <v>1748</v>
      </c>
      <c r="D2618" s="4" t="s">
        <v>4568</v>
      </c>
      <c r="E2618" s="1" t="str">
        <f>_xlfn.XLOOKUP(tblSales[[#This Row],[Customer ID]],tblCustomers[Customer ID],tblCustomers[Customer Name],"⚠ Unknown")</f>
        <v>Walk-in Customer</v>
      </c>
      <c r="F2618" s="4" t="s">
        <v>7</v>
      </c>
      <c r="G2618" s="1" t="str">
        <f>_xlfn.XLOOKUP(tblSales[[#This Row],[Product Code]],tblProducts[Code],tblProducts[Product / Service Name],"⚠ Unknown")</f>
        <v>Premium Basic T-shirt</v>
      </c>
      <c r="H2618" s="1" t="str">
        <f>_xlfn.XLOOKUP(tblSales[[#This Row],[Product Code]],tblProducts[Code],tblProducts[Category],"")</f>
        <v>Accessories &amp; Basics</v>
      </c>
      <c r="I2618" s="4">
        <v>5</v>
      </c>
      <c r="J2618" s="5">
        <f>_xlfn.XLOOKUP(tblSales[[#This Row],[Product Code]],tblProducts[Code],tblProducts[Selling Price (excl. VAT)],0)</f>
        <v>65000</v>
      </c>
      <c r="K2618" s="5">
        <f>tblSales[[#This Row],[Qty]]*tblSales[[#This Row],[Unit Price]]</f>
        <v>325000</v>
      </c>
      <c r="L2618" s="5">
        <f>ROUND(tblSales[[#This Row],[DPP (excl. VAT)]]*VATEff,0)</f>
        <v>35750</v>
      </c>
      <c r="M2618" s="5">
        <f>tblSales[[#This Row],[DPP (excl. VAT)]]+tblSales[[#This Row],[Output VAT]]</f>
        <v>360750</v>
      </c>
      <c r="N2618" s="5">
        <f>tblSales[[#This Row],[Qty]]*_xlfn.XLOOKUP(tblSales[[#This Row],[Product Code]],tblProducts[Code],tblProducts[Unit Cost],0)</f>
        <v>185000</v>
      </c>
      <c r="O2618" s="4" t="s">
        <v>4866</v>
      </c>
      <c r="P2618" s="4" t="s">
        <v>4862</v>
      </c>
      <c r="Q2618" s="1" t="str">
        <f>_xlfn.XLOOKUP(tblSales[[#This Row],[Channel Code]],tblChannels[Channel Code],tblChannels[Channel Name],"")</f>
        <v>Website &amp; Social Media</v>
      </c>
      <c r="R2618" s="1">
        <f>MONTH(tblSales[[#This Row],[Date]])</f>
        <v>6</v>
      </c>
    </row>
    <row r="2619" spans="2:18" x14ac:dyDescent="0.35">
      <c r="B2619" s="113">
        <v>46180</v>
      </c>
      <c r="C2619" s="4" t="s">
        <v>1749</v>
      </c>
      <c r="D2619" s="4" t="s">
        <v>4627</v>
      </c>
      <c r="E2619" s="1" t="str">
        <f>_xlfn.XLOOKUP(tblSales[[#This Row],[Customer ID]],tblCustomers[Customer ID],tblCustomers[Customer Name],"⚠ Unknown")</f>
        <v>PT Kencana Wira Usaha</v>
      </c>
      <c r="F2619" s="4" t="s">
        <v>9</v>
      </c>
      <c r="G2619" s="1" t="str">
        <f>_xlfn.XLOOKUP(tblSales[[#This Row],[Product Code]],tblProducts[Code],tblProducts[Product / Service Name],"⚠ Unknown")</f>
        <v>Casual Shirt</v>
      </c>
      <c r="H2619" s="1" t="str">
        <f>_xlfn.XLOOKUP(tblSales[[#This Row],[Product Code]],tblProducts[Code],tblProducts[Category],"")</f>
        <v>Apparel &amp; Footwear</v>
      </c>
      <c r="I2619" s="4">
        <v>32</v>
      </c>
      <c r="J2619" s="5">
        <f>_xlfn.XLOOKUP(tblSales[[#This Row],[Product Code]],tblProducts[Code],tblProducts[Selling Price (excl. VAT)],0)</f>
        <v>120000</v>
      </c>
      <c r="K2619" s="5">
        <f>tblSales[[#This Row],[Qty]]*tblSales[[#This Row],[Unit Price]]</f>
        <v>3840000</v>
      </c>
      <c r="L2619" s="5">
        <f>ROUND(tblSales[[#This Row],[DPP (excl. VAT)]]*VATEff,0)</f>
        <v>422400</v>
      </c>
      <c r="M2619" s="5">
        <f>tblSales[[#This Row],[DPP (excl. VAT)]]+tblSales[[#This Row],[Output VAT]]</f>
        <v>4262400</v>
      </c>
      <c r="N2619" s="5">
        <f>tblSales[[#This Row],[Qty]]*_xlfn.XLOOKUP(tblSales[[#This Row],[Product Code]],tblProducts[Code],tblProducts[Unit Cost],0)</f>
        <v>2304000</v>
      </c>
      <c r="O2619" s="4" t="s">
        <v>4867</v>
      </c>
      <c r="P2619" s="4" t="s">
        <v>4860</v>
      </c>
      <c r="Q2619" s="1" t="str">
        <f>_xlfn.XLOOKUP(tblSales[[#This Row],[Channel Code]],tblChannels[Channel Code],tblChannels[Channel Name],"")</f>
        <v>In-store</v>
      </c>
      <c r="R2619" s="1">
        <f>MONTH(tblSales[[#This Row],[Date]])</f>
        <v>6</v>
      </c>
    </row>
    <row r="2620" spans="2:18" x14ac:dyDescent="0.35">
      <c r="B2620" s="113">
        <v>46180</v>
      </c>
      <c r="C2620" s="4" t="s">
        <v>1749</v>
      </c>
      <c r="D2620" s="4" t="s">
        <v>4627</v>
      </c>
      <c r="E2620" s="1" t="str">
        <f>_xlfn.XLOOKUP(tblSales[[#This Row],[Customer ID]],tblCustomers[Customer ID],tblCustomers[Customer Name],"⚠ Unknown")</f>
        <v>PT Kencana Wira Usaha</v>
      </c>
      <c r="F2620" s="4" t="s">
        <v>6</v>
      </c>
      <c r="G2620" s="1" t="str">
        <f>_xlfn.XLOOKUP(tblSales[[#This Row],[Product Code]],tblProducts[Code],tblProducts[Product / Service Name],"⚠ Unknown")</f>
        <v>Socks &amp; Accessories</v>
      </c>
      <c r="H2620" s="1" t="str">
        <f>_xlfn.XLOOKUP(tblSales[[#This Row],[Product Code]],tblProducts[Code],tblProducts[Category],"")</f>
        <v>Accessories &amp; Basics</v>
      </c>
      <c r="I2620" s="4">
        <v>80</v>
      </c>
      <c r="J2620" s="5">
        <f>_xlfn.XLOOKUP(tblSales[[#This Row],[Product Code]],tblProducts[Code],tblProducts[Selling Price (excl. VAT)],0)</f>
        <v>45000</v>
      </c>
      <c r="K2620" s="5">
        <f>tblSales[[#This Row],[Qty]]*tblSales[[#This Row],[Unit Price]]</f>
        <v>3600000</v>
      </c>
      <c r="L2620" s="5">
        <f>ROUND(tblSales[[#This Row],[DPP (excl. VAT)]]*VATEff,0)</f>
        <v>396000</v>
      </c>
      <c r="M2620" s="5">
        <f>tblSales[[#This Row],[DPP (excl. VAT)]]+tblSales[[#This Row],[Output VAT]]</f>
        <v>3996000</v>
      </c>
      <c r="N2620" s="5">
        <f>tblSales[[#This Row],[Qty]]*_xlfn.XLOOKUP(tblSales[[#This Row],[Product Code]],tblProducts[Code],tblProducts[Unit Cost],0)</f>
        <v>1920000</v>
      </c>
      <c r="O2620" s="4" t="s">
        <v>4867</v>
      </c>
      <c r="P2620" s="4" t="s">
        <v>4860</v>
      </c>
      <c r="Q2620" s="1" t="str">
        <f>_xlfn.XLOOKUP(tblSales[[#This Row],[Channel Code]],tblChannels[Channel Code],tblChannels[Channel Name],"")</f>
        <v>In-store</v>
      </c>
      <c r="R2620" s="1">
        <f>MONTH(tblSales[[#This Row],[Date]])</f>
        <v>6</v>
      </c>
    </row>
    <row r="2621" spans="2:18" x14ac:dyDescent="0.35">
      <c r="B2621" s="113">
        <v>46180</v>
      </c>
      <c r="C2621" s="4" t="s">
        <v>1750</v>
      </c>
      <c r="D2621" s="4" t="s">
        <v>4568</v>
      </c>
      <c r="E2621" s="1" t="str">
        <f>_xlfn.XLOOKUP(tblSales[[#This Row],[Customer ID]],tblCustomers[Customer ID],tblCustomers[Customer Name],"⚠ Unknown")</f>
        <v>Walk-in Customer</v>
      </c>
      <c r="F2621" s="4" t="s">
        <v>6</v>
      </c>
      <c r="G2621" s="1" t="str">
        <f>_xlfn.XLOOKUP(tblSales[[#This Row],[Product Code]],tblProducts[Code],tblProducts[Product / Service Name],"⚠ Unknown")</f>
        <v>Socks &amp; Accessories</v>
      </c>
      <c r="H2621" s="1" t="str">
        <f>_xlfn.XLOOKUP(tblSales[[#This Row],[Product Code]],tblProducts[Code],tblProducts[Category],"")</f>
        <v>Accessories &amp; Basics</v>
      </c>
      <c r="I2621" s="4">
        <v>8</v>
      </c>
      <c r="J2621" s="5">
        <f>_xlfn.XLOOKUP(tblSales[[#This Row],[Product Code]],tblProducts[Code],tblProducts[Selling Price (excl. VAT)],0)</f>
        <v>45000</v>
      </c>
      <c r="K2621" s="5">
        <f>tblSales[[#This Row],[Qty]]*tblSales[[#This Row],[Unit Price]]</f>
        <v>360000</v>
      </c>
      <c r="L2621" s="5">
        <f>ROUND(tblSales[[#This Row],[DPP (excl. VAT)]]*VATEff,0)</f>
        <v>39600</v>
      </c>
      <c r="M2621" s="5">
        <f>tblSales[[#This Row],[DPP (excl. VAT)]]+tblSales[[#This Row],[Output VAT]]</f>
        <v>399600</v>
      </c>
      <c r="N2621" s="5">
        <f>tblSales[[#This Row],[Qty]]*_xlfn.XLOOKUP(tblSales[[#This Row],[Product Code]],tblProducts[Code],tblProducts[Unit Cost],0)</f>
        <v>192000</v>
      </c>
      <c r="O2621" s="4" t="s">
        <v>4866</v>
      </c>
      <c r="P2621" s="4" t="s">
        <v>4861</v>
      </c>
      <c r="Q2621" s="1" t="str">
        <f>_xlfn.XLOOKUP(tblSales[[#This Row],[Channel Code]],tblChannels[Channel Code],tblChannels[Channel Name],"")</f>
        <v>Marketplace</v>
      </c>
      <c r="R2621" s="1">
        <f>MONTH(tblSales[[#This Row],[Date]])</f>
        <v>6</v>
      </c>
    </row>
    <row r="2622" spans="2:18" x14ac:dyDescent="0.35">
      <c r="B2622" s="113">
        <v>46180</v>
      </c>
      <c r="C2622" s="4" t="s">
        <v>1750</v>
      </c>
      <c r="D2622" s="4" t="s">
        <v>4568</v>
      </c>
      <c r="E2622" s="1" t="str">
        <f>_xlfn.XLOOKUP(tblSales[[#This Row],[Customer ID]],tblCustomers[Customer ID],tblCustomers[Customer Name],"⚠ Unknown")</f>
        <v>Walk-in Customer</v>
      </c>
      <c r="F2622" s="4" t="s">
        <v>11</v>
      </c>
      <c r="G2622" s="1" t="str">
        <f>_xlfn.XLOOKUP(tblSales[[#This Row],[Product Code]],tblProducts[Code],tblProducts[Product / Service Name],"⚠ Unknown")</f>
        <v>Sneakers</v>
      </c>
      <c r="H2622" s="1" t="str">
        <f>_xlfn.XLOOKUP(tblSales[[#This Row],[Product Code]],tblProducts[Code],tblProducts[Category],"")</f>
        <v>Apparel &amp; Footwear</v>
      </c>
      <c r="I2622" s="4">
        <v>5</v>
      </c>
      <c r="J2622" s="5">
        <f>_xlfn.XLOOKUP(tblSales[[#This Row],[Product Code]],tblProducts[Code],tblProducts[Selling Price (excl. VAT)],0)</f>
        <v>250000</v>
      </c>
      <c r="K2622" s="5">
        <f>tblSales[[#This Row],[Qty]]*tblSales[[#This Row],[Unit Price]]</f>
        <v>1250000</v>
      </c>
      <c r="L2622" s="5">
        <f>ROUND(tblSales[[#This Row],[DPP (excl. VAT)]]*VATEff,0)</f>
        <v>137500</v>
      </c>
      <c r="M2622" s="5">
        <f>tblSales[[#This Row],[DPP (excl. VAT)]]+tblSales[[#This Row],[Output VAT]]</f>
        <v>1387500</v>
      </c>
      <c r="N2622" s="5">
        <f>tblSales[[#This Row],[Qty]]*_xlfn.XLOOKUP(tblSales[[#This Row],[Product Code]],tblProducts[Code],tblProducts[Unit Cost],0)</f>
        <v>775000</v>
      </c>
      <c r="O2622" s="4" t="s">
        <v>4866</v>
      </c>
      <c r="P2622" s="4" t="s">
        <v>4861</v>
      </c>
      <c r="Q2622" s="1" t="str">
        <f>_xlfn.XLOOKUP(tblSales[[#This Row],[Channel Code]],tblChannels[Channel Code],tblChannels[Channel Name],"")</f>
        <v>Marketplace</v>
      </c>
      <c r="R2622" s="1">
        <f>MONTH(tblSales[[#This Row],[Date]])</f>
        <v>6</v>
      </c>
    </row>
    <row r="2623" spans="2:18" x14ac:dyDescent="0.35">
      <c r="B2623" s="113">
        <v>46180</v>
      </c>
      <c r="C2623" s="4" t="s">
        <v>1750</v>
      </c>
      <c r="D2623" s="4" t="s">
        <v>4568</v>
      </c>
      <c r="E2623" s="1" t="str">
        <f>_xlfn.XLOOKUP(tblSales[[#This Row],[Customer ID]],tblCustomers[Customer ID],tblCustomers[Customer Name],"⚠ Unknown")</f>
        <v>Walk-in Customer</v>
      </c>
      <c r="F2623" s="4" t="s">
        <v>7</v>
      </c>
      <c r="G2623" s="1" t="str">
        <f>_xlfn.XLOOKUP(tblSales[[#This Row],[Product Code]],tblProducts[Code],tblProducts[Product / Service Name],"⚠ Unknown")</f>
        <v>Premium Basic T-shirt</v>
      </c>
      <c r="H2623" s="1" t="str">
        <f>_xlfn.XLOOKUP(tblSales[[#This Row],[Product Code]],tblProducts[Code],tblProducts[Category],"")</f>
        <v>Accessories &amp; Basics</v>
      </c>
      <c r="I2623" s="4">
        <v>7</v>
      </c>
      <c r="J2623" s="5">
        <f>_xlfn.XLOOKUP(tblSales[[#This Row],[Product Code]],tblProducts[Code],tblProducts[Selling Price (excl. VAT)],0)</f>
        <v>65000</v>
      </c>
      <c r="K2623" s="5">
        <f>tblSales[[#This Row],[Qty]]*tblSales[[#This Row],[Unit Price]]</f>
        <v>455000</v>
      </c>
      <c r="L2623" s="5">
        <f>ROUND(tblSales[[#This Row],[DPP (excl. VAT)]]*VATEff,0)</f>
        <v>50050</v>
      </c>
      <c r="M2623" s="5">
        <f>tblSales[[#This Row],[DPP (excl. VAT)]]+tblSales[[#This Row],[Output VAT]]</f>
        <v>505050</v>
      </c>
      <c r="N2623" s="5">
        <f>tblSales[[#This Row],[Qty]]*_xlfn.XLOOKUP(tblSales[[#This Row],[Product Code]],tblProducts[Code],tblProducts[Unit Cost],0)</f>
        <v>259000</v>
      </c>
      <c r="O2623" s="4" t="s">
        <v>4866</v>
      </c>
      <c r="P2623" s="4" t="s">
        <v>4861</v>
      </c>
      <c r="Q2623" s="1" t="str">
        <f>_xlfn.XLOOKUP(tblSales[[#This Row],[Channel Code]],tblChannels[Channel Code],tblChannels[Channel Name],"")</f>
        <v>Marketplace</v>
      </c>
      <c r="R2623" s="1">
        <f>MONTH(tblSales[[#This Row],[Date]])</f>
        <v>6</v>
      </c>
    </row>
    <row r="2624" spans="2:18" x14ac:dyDescent="0.35">
      <c r="B2624" s="113">
        <v>46180</v>
      </c>
      <c r="C2624" s="4" t="s">
        <v>1751</v>
      </c>
      <c r="D2624" s="4" t="s">
        <v>4568</v>
      </c>
      <c r="E2624" s="1" t="str">
        <f>_xlfn.XLOOKUP(tblSales[[#This Row],[Customer ID]],tblCustomers[Customer ID],tblCustomers[Customer Name],"⚠ Unknown")</f>
        <v>Walk-in Customer</v>
      </c>
      <c r="F2624" s="4" t="s">
        <v>10</v>
      </c>
      <c r="G2624" s="1" t="str">
        <f>_xlfn.XLOOKUP(tblSales[[#This Row],[Product Code]],tblProducts[Code],tblProducts[Product / Service Name],"⚠ Unknown")</f>
        <v>Chino Pants</v>
      </c>
      <c r="H2624" s="1" t="str">
        <f>_xlfn.XLOOKUP(tblSales[[#This Row],[Product Code]],tblProducts[Code],tblProducts[Category],"")</f>
        <v>Apparel &amp; Footwear</v>
      </c>
      <c r="I2624" s="4">
        <v>7</v>
      </c>
      <c r="J2624" s="5">
        <f>_xlfn.XLOOKUP(tblSales[[#This Row],[Product Code]],tblProducts[Code],tblProducts[Selling Price (excl. VAT)],0)</f>
        <v>150000</v>
      </c>
      <c r="K2624" s="5">
        <f>tblSales[[#This Row],[Qty]]*tblSales[[#This Row],[Unit Price]]</f>
        <v>1050000</v>
      </c>
      <c r="L2624" s="5">
        <f>ROUND(tblSales[[#This Row],[DPP (excl. VAT)]]*VATEff,0)</f>
        <v>115500</v>
      </c>
      <c r="M2624" s="5">
        <f>tblSales[[#This Row],[DPP (excl. VAT)]]+tblSales[[#This Row],[Output VAT]]</f>
        <v>1165500</v>
      </c>
      <c r="N2624" s="5">
        <f>tblSales[[#This Row],[Qty]]*_xlfn.XLOOKUP(tblSales[[#This Row],[Product Code]],tblProducts[Code],tblProducts[Unit Cost],0)</f>
        <v>616000</v>
      </c>
      <c r="O2624" s="4" t="s">
        <v>4865</v>
      </c>
      <c r="P2624" s="4" t="s">
        <v>4860</v>
      </c>
      <c r="Q2624" s="1" t="str">
        <f>_xlfn.XLOOKUP(tblSales[[#This Row],[Channel Code]],tblChannels[Channel Code],tblChannels[Channel Name],"")</f>
        <v>In-store</v>
      </c>
      <c r="R2624" s="1">
        <f>MONTH(tblSales[[#This Row],[Date]])</f>
        <v>6</v>
      </c>
    </row>
    <row r="2625" spans="2:18" x14ac:dyDescent="0.35">
      <c r="B2625" s="113">
        <v>46180</v>
      </c>
      <c r="C2625" s="4" t="s">
        <v>1752</v>
      </c>
      <c r="D2625" s="4" t="s">
        <v>4568</v>
      </c>
      <c r="E2625" s="1" t="str">
        <f>_xlfn.XLOOKUP(tblSales[[#This Row],[Customer ID]],tblCustomers[Customer ID],tblCustomers[Customer Name],"⚠ Unknown")</f>
        <v>Walk-in Customer</v>
      </c>
      <c r="F2625" s="4" t="s">
        <v>7</v>
      </c>
      <c r="G2625" s="1" t="str">
        <f>_xlfn.XLOOKUP(tblSales[[#This Row],[Product Code]],tblProducts[Code],tblProducts[Product / Service Name],"⚠ Unknown")</f>
        <v>Premium Basic T-shirt</v>
      </c>
      <c r="H2625" s="1" t="str">
        <f>_xlfn.XLOOKUP(tblSales[[#This Row],[Product Code]],tblProducts[Code],tblProducts[Category],"")</f>
        <v>Accessories &amp; Basics</v>
      </c>
      <c r="I2625" s="4">
        <v>7</v>
      </c>
      <c r="J2625" s="5">
        <f>_xlfn.XLOOKUP(tblSales[[#This Row],[Product Code]],tblProducts[Code],tblProducts[Selling Price (excl. VAT)],0)</f>
        <v>65000</v>
      </c>
      <c r="K2625" s="5">
        <f>tblSales[[#This Row],[Qty]]*tblSales[[#This Row],[Unit Price]]</f>
        <v>455000</v>
      </c>
      <c r="L2625" s="5">
        <f>ROUND(tblSales[[#This Row],[DPP (excl. VAT)]]*VATEff,0)</f>
        <v>50050</v>
      </c>
      <c r="M2625" s="5">
        <f>tblSales[[#This Row],[DPP (excl. VAT)]]+tblSales[[#This Row],[Output VAT]]</f>
        <v>505050</v>
      </c>
      <c r="N2625" s="5">
        <f>tblSales[[#This Row],[Qty]]*_xlfn.XLOOKUP(tblSales[[#This Row],[Product Code]],tblProducts[Code],tblProducts[Unit Cost],0)</f>
        <v>259000</v>
      </c>
      <c r="O2625" s="4" t="s">
        <v>4866</v>
      </c>
      <c r="P2625" s="4" t="s">
        <v>4861</v>
      </c>
      <c r="Q2625" s="1" t="str">
        <f>_xlfn.XLOOKUP(tblSales[[#This Row],[Channel Code]],tblChannels[Channel Code],tblChannels[Channel Name],"")</f>
        <v>Marketplace</v>
      </c>
      <c r="R2625" s="1">
        <f>MONTH(tblSales[[#This Row],[Date]])</f>
        <v>6</v>
      </c>
    </row>
    <row r="2626" spans="2:18" x14ac:dyDescent="0.35">
      <c r="B2626" s="113">
        <v>46180</v>
      </c>
      <c r="C2626" s="4" t="s">
        <v>1753</v>
      </c>
      <c r="D2626" s="4" t="s">
        <v>4568</v>
      </c>
      <c r="E2626" s="1" t="str">
        <f>_xlfn.XLOOKUP(tblSales[[#This Row],[Customer ID]],tblCustomers[Customer ID],tblCustomers[Customer Name],"⚠ Unknown")</f>
        <v>Walk-in Customer</v>
      </c>
      <c r="F2626" s="4" t="s">
        <v>8</v>
      </c>
      <c r="G2626" s="1" t="str">
        <f>_xlfn.XLOOKUP(tblSales[[#This Row],[Product Code]],tblProducts[Code],tblProducts[Product / Service Name],"⚠ Unknown")</f>
        <v>Casual Shorts</v>
      </c>
      <c r="H2626" s="1" t="str">
        <f>_xlfn.XLOOKUP(tblSales[[#This Row],[Product Code]],tblProducts[Code],tblProducts[Category],"")</f>
        <v>Accessories &amp; Basics</v>
      </c>
      <c r="I2626" s="4">
        <v>10</v>
      </c>
      <c r="J2626" s="5">
        <f>_xlfn.XLOOKUP(tblSales[[#This Row],[Product Code]],tblProducts[Code],tblProducts[Selling Price (excl. VAT)],0)</f>
        <v>85000</v>
      </c>
      <c r="K2626" s="5">
        <f>tblSales[[#This Row],[Qty]]*tblSales[[#This Row],[Unit Price]]</f>
        <v>850000</v>
      </c>
      <c r="L2626" s="5">
        <f>ROUND(tblSales[[#This Row],[DPP (excl. VAT)]]*VATEff,0)</f>
        <v>93500</v>
      </c>
      <c r="M2626" s="5">
        <f>tblSales[[#This Row],[DPP (excl. VAT)]]+tblSales[[#This Row],[Output VAT]]</f>
        <v>943500</v>
      </c>
      <c r="N2626" s="5">
        <f>tblSales[[#This Row],[Qty]]*_xlfn.XLOOKUP(tblSales[[#This Row],[Product Code]],tblProducts[Code],tblProducts[Unit Cost],0)</f>
        <v>500000</v>
      </c>
      <c r="O2626" s="4" t="s">
        <v>4866</v>
      </c>
      <c r="P2626" s="4" t="s">
        <v>4862</v>
      </c>
      <c r="Q2626" s="1" t="str">
        <f>_xlfn.XLOOKUP(tblSales[[#This Row],[Channel Code]],tblChannels[Channel Code],tblChannels[Channel Name],"")</f>
        <v>Website &amp; Social Media</v>
      </c>
      <c r="R2626" s="1">
        <f>MONTH(tblSales[[#This Row],[Date]])</f>
        <v>6</v>
      </c>
    </row>
    <row r="2627" spans="2:18" x14ac:dyDescent="0.35">
      <c r="B2627" s="113">
        <v>46180</v>
      </c>
      <c r="C2627" s="4" t="s">
        <v>1753</v>
      </c>
      <c r="D2627" s="4" t="s">
        <v>4568</v>
      </c>
      <c r="E2627" s="1" t="str">
        <f>_xlfn.XLOOKUP(tblSales[[#This Row],[Customer ID]],tblCustomers[Customer ID],tblCustomers[Customer Name],"⚠ Unknown")</f>
        <v>Walk-in Customer</v>
      </c>
      <c r="F2627" s="4" t="s">
        <v>6</v>
      </c>
      <c r="G2627" s="1" t="str">
        <f>_xlfn.XLOOKUP(tblSales[[#This Row],[Product Code]],tblProducts[Code],tblProducts[Product / Service Name],"⚠ Unknown")</f>
        <v>Socks &amp; Accessories</v>
      </c>
      <c r="H2627" s="1" t="str">
        <f>_xlfn.XLOOKUP(tblSales[[#This Row],[Product Code]],tblProducts[Code],tblProducts[Category],"")</f>
        <v>Accessories &amp; Basics</v>
      </c>
      <c r="I2627" s="4">
        <v>2</v>
      </c>
      <c r="J2627" s="5">
        <f>_xlfn.XLOOKUP(tblSales[[#This Row],[Product Code]],tblProducts[Code],tblProducts[Selling Price (excl. VAT)],0)</f>
        <v>45000</v>
      </c>
      <c r="K2627" s="5">
        <f>tblSales[[#This Row],[Qty]]*tblSales[[#This Row],[Unit Price]]</f>
        <v>90000</v>
      </c>
      <c r="L2627" s="5">
        <f>ROUND(tblSales[[#This Row],[DPP (excl. VAT)]]*VATEff,0)</f>
        <v>9900</v>
      </c>
      <c r="M2627" s="5">
        <f>tblSales[[#This Row],[DPP (excl. VAT)]]+tblSales[[#This Row],[Output VAT]]</f>
        <v>99900</v>
      </c>
      <c r="N2627" s="5">
        <f>tblSales[[#This Row],[Qty]]*_xlfn.XLOOKUP(tblSales[[#This Row],[Product Code]],tblProducts[Code],tblProducts[Unit Cost],0)</f>
        <v>48000</v>
      </c>
      <c r="O2627" s="4" t="s">
        <v>4866</v>
      </c>
      <c r="P2627" s="4" t="s">
        <v>4862</v>
      </c>
      <c r="Q2627" s="1" t="str">
        <f>_xlfn.XLOOKUP(tblSales[[#This Row],[Channel Code]],tblChannels[Channel Code],tblChannels[Channel Name],"")</f>
        <v>Website &amp; Social Media</v>
      </c>
      <c r="R2627" s="1">
        <f>MONTH(tblSales[[#This Row],[Date]])</f>
        <v>6</v>
      </c>
    </row>
    <row r="2628" spans="2:18" x14ac:dyDescent="0.35">
      <c r="B2628" s="113">
        <v>46180</v>
      </c>
      <c r="C2628" s="4" t="s">
        <v>1754</v>
      </c>
      <c r="D2628" s="4" t="s">
        <v>4568</v>
      </c>
      <c r="E2628" s="1" t="str">
        <f>_xlfn.XLOOKUP(tblSales[[#This Row],[Customer ID]],tblCustomers[Customer ID],tblCustomers[Customer Name],"⚠ Unknown")</f>
        <v>Walk-in Customer</v>
      </c>
      <c r="F2628" s="4" t="s">
        <v>8</v>
      </c>
      <c r="G2628" s="1" t="str">
        <f>_xlfn.XLOOKUP(tblSales[[#This Row],[Product Code]],tblProducts[Code],tblProducts[Product / Service Name],"⚠ Unknown")</f>
        <v>Casual Shorts</v>
      </c>
      <c r="H2628" s="1" t="str">
        <f>_xlfn.XLOOKUP(tblSales[[#This Row],[Product Code]],tblProducts[Code],tblProducts[Category],"")</f>
        <v>Accessories &amp; Basics</v>
      </c>
      <c r="I2628" s="4">
        <v>2</v>
      </c>
      <c r="J2628" s="5">
        <f>_xlfn.XLOOKUP(tblSales[[#This Row],[Product Code]],tblProducts[Code],tblProducts[Selling Price (excl. VAT)],0)</f>
        <v>85000</v>
      </c>
      <c r="K2628" s="5">
        <f>tblSales[[#This Row],[Qty]]*tblSales[[#This Row],[Unit Price]]</f>
        <v>170000</v>
      </c>
      <c r="L2628" s="5">
        <f>ROUND(tblSales[[#This Row],[DPP (excl. VAT)]]*VATEff,0)</f>
        <v>18700</v>
      </c>
      <c r="M2628" s="5">
        <f>tblSales[[#This Row],[DPP (excl. VAT)]]+tblSales[[#This Row],[Output VAT]]</f>
        <v>188700</v>
      </c>
      <c r="N2628" s="5">
        <f>tblSales[[#This Row],[Qty]]*_xlfn.XLOOKUP(tblSales[[#This Row],[Product Code]],tblProducts[Code],tblProducts[Unit Cost],0)</f>
        <v>100000</v>
      </c>
      <c r="O2628" s="4" t="s">
        <v>4865</v>
      </c>
      <c r="P2628" s="4" t="s">
        <v>4860</v>
      </c>
      <c r="Q2628" s="1" t="str">
        <f>_xlfn.XLOOKUP(tblSales[[#This Row],[Channel Code]],tblChannels[Channel Code],tblChannels[Channel Name],"")</f>
        <v>In-store</v>
      </c>
      <c r="R2628" s="1">
        <f>MONTH(tblSales[[#This Row],[Date]])</f>
        <v>6</v>
      </c>
    </row>
    <row r="2629" spans="2:18" x14ac:dyDescent="0.35">
      <c r="B2629" s="113">
        <v>46180</v>
      </c>
      <c r="C2629" s="4" t="s">
        <v>1755</v>
      </c>
      <c r="D2629" s="4" t="s">
        <v>4568</v>
      </c>
      <c r="E2629" s="1" t="str">
        <f>_xlfn.XLOOKUP(tblSales[[#This Row],[Customer ID]],tblCustomers[Customer ID],tblCustomers[Customer Name],"⚠ Unknown")</f>
        <v>Walk-in Customer</v>
      </c>
      <c r="F2629" s="4" t="s">
        <v>8</v>
      </c>
      <c r="G2629" s="1" t="str">
        <f>_xlfn.XLOOKUP(tblSales[[#This Row],[Product Code]],tblProducts[Code],tblProducts[Product / Service Name],"⚠ Unknown")</f>
        <v>Casual Shorts</v>
      </c>
      <c r="H2629" s="1" t="str">
        <f>_xlfn.XLOOKUP(tblSales[[#This Row],[Product Code]],tblProducts[Code],tblProducts[Category],"")</f>
        <v>Accessories &amp; Basics</v>
      </c>
      <c r="I2629" s="4">
        <v>9</v>
      </c>
      <c r="J2629" s="5">
        <f>_xlfn.XLOOKUP(tblSales[[#This Row],[Product Code]],tblProducts[Code],tblProducts[Selling Price (excl. VAT)],0)</f>
        <v>85000</v>
      </c>
      <c r="K2629" s="5">
        <f>tblSales[[#This Row],[Qty]]*tblSales[[#This Row],[Unit Price]]</f>
        <v>765000</v>
      </c>
      <c r="L2629" s="5">
        <f>ROUND(tblSales[[#This Row],[DPP (excl. VAT)]]*VATEff,0)</f>
        <v>84150</v>
      </c>
      <c r="M2629" s="5">
        <f>tblSales[[#This Row],[DPP (excl. VAT)]]+tblSales[[#This Row],[Output VAT]]</f>
        <v>849150</v>
      </c>
      <c r="N2629" s="5">
        <f>tblSales[[#This Row],[Qty]]*_xlfn.XLOOKUP(tblSales[[#This Row],[Product Code]],tblProducts[Code],tblProducts[Unit Cost],0)</f>
        <v>450000</v>
      </c>
      <c r="O2629" s="4" t="s">
        <v>4865</v>
      </c>
      <c r="P2629" s="4" t="s">
        <v>4860</v>
      </c>
      <c r="Q2629" s="1" t="str">
        <f>_xlfn.XLOOKUP(tblSales[[#This Row],[Channel Code]],tblChannels[Channel Code],tblChannels[Channel Name],"")</f>
        <v>In-store</v>
      </c>
      <c r="R2629" s="1">
        <f>MONTH(tblSales[[#This Row],[Date]])</f>
        <v>6</v>
      </c>
    </row>
    <row r="2630" spans="2:18" x14ac:dyDescent="0.35">
      <c r="B2630" s="113">
        <v>46180</v>
      </c>
      <c r="C2630" s="4" t="s">
        <v>1755</v>
      </c>
      <c r="D2630" s="4" t="s">
        <v>4568</v>
      </c>
      <c r="E2630" s="1" t="str">
        <f>_xlfn.XLOOKUP(tblSales[[#This Row],[Customer ID]],tblCustomers[Customer ID],tblCustomers[Customer Name],"⚠ Unknown")</f>
        <v>Walk-in Customer</v>
      </c>
      <c r="F2630" s="4" t="s">
        <v>11</v>
      </c>
      <c r="G2630" s="1" t="str">
        <f>_xlfn.XLOOKUP(tblSales[[#This Row],[Product Code]],tblProducts[Code],tblProducts[Product / Service Name],"⚠ Unknown")</f>
        <v>Sneakers</v>
      </c>
      <c r="H2630" s="1" t="str">
        <f>_xlfn.XLOOKUP(tblSales[[#This Row],[Product Code]],tblProducts[Code],tblProducts[Category],"")</f>
        <v>Apparel &amp; Footwear</v>
      </c>
      <c r="I2630" s="4">
        <v>6</v>
      </c>
      <c r="J2630" s="5">
        <f>_xlfn.XLOOKUP(tblSales[[#This Row],[Product Code]],tblProducts[Code],tblProducts[Selling Price (excl. VAT)],0)</f>
        <v>250000</v>
      </c>
      <c r="K2630" s="5">
        <f>tblSales[[#This Row],[Qty]]*tblSales[[#This Row],[Unit Price]]</f>
        <v>1500000</v>
      </c>
      <c r="L2630" s="5">
        <f>ROUND(tblSales[[#This Row],[DPP (excl. VAT)]]*VATEff,0)</f>
        <v>165000</v>
      </c>
      <c r="M2630" s="5">
        <f>tblSales[[#This Row],[DPP (excl. VAT)]]+tblSales[[#This Row],[Output VAT]]</f>
        <v>1665000</v>
      </c>
      <c r="N2630" s="5">
        <f>tblSales[[#This Row],[Qty]]*_xlfn.XLOOKUP(tblSales[[#This Row],[Product Code]],tblProducts[Code],tblProducts[Unit Cost],0)</f>
        <v>930000</v>
      </c>
      <c r="O2630" s="4" t="s">
        <v>4865</v>
      </c>
      <c r="P2630" s="4" t="s">
        <v>4860</v>
      </c>
      <c r="Q2630" s="1" t="str">
        <f>_xlfn.XLOOKUP(tblSales[[#This Row],[Channel Code]],tblChannels[Channel Code],tblChannels[Channel Name],"")</f>
        <v>In-store</v>
      </c>
      <c r="R2630" s="1">
        <f>MONTH(tblSales[[#This Row],[Date]])</f>
        <v>6</v>
      </c>
    </row>
    <row r="2631" spans="2:18" x14ac:dyDescent="0.35">
      <c r="B2631" s="113">
        <v>46180</v>
      </c>
      <c r="C2631" s="4" t="s">
        <v>1755</v>
      </c>
      <c r="D2631" s="4" t="s">
        <v>4568</v>
      </c>
      <c r="E2631" s="1" t="str">
        <f>_xlfn.XLOOKUP(tblSales[[#This Row],[Customer ID]],tblCustomers[Customer ID],tblCustomers[Customer Name],"⚠ Unknown")</f>
        <v>Walk-in Customer</v>
      </c>
      <c r="F2631" s="4" t="s">
        <v>10</v>
      </c>
      <c r="G2631" s="1" t="str">
        <f>_xlfn.XLOOKUP(tblSales[[#This Row],[Product Code]],tblProducts[Code],tblProducts[Product / Service Name],"⚠ Unknown")</f>
        <v>Chino Pants</v>
      </c>
      <c r="H2631" s="1" t="str">
        <f>_xlfn.XLOOKUP(tblSales[[#This Row],[Product Code]],tblProducts[Code],tblProducts[Category],"")</f>
        <v>Apparel &amp; Footwear</v>
      </c>
      <c r="I2631" s="4">
        <v>9</v>
      </c>
      <c r="J2631" s="5">
        <f>_xlfn.XLOOKUP(tblSales[[#This Row],[Product Code]],tblProducts[Code],tblProducts[Selling Price (excl. VAT)],0)</f>
        <v>150000</v>
      </c>
      <c r="K2631" s="5">
        <f>tblSales[[#This Row],[Qty]]*tblSales[[#This Row],[Unit Price]]</f>
        <v>1350000</v>
      </c>
      <c r="L2631" s="5">
        <f>ROUND(tblSales[[#This Row],[DPP (excl. VAT)]]*VATEff,0)</f>
        <v>148500</v>
      </c>
      <c r="M2631" s="5">
        <f>tblSales[[#This Row],[DPP (excl. VAT)]]+tblSales[[#This Row],[Output VAT]]</f>
        <v>1498500</v>
      </c>
      <c r="N2631" s="5">
        <f>tblSales[[#This Row],[Qty]]*_xlfn.XLOOKUP(tblSales[[#This Row],[Product Code]],tblProducts[Code],tblProducts[Unit Cost],0)</f>
        <v>792000</v>
      </c>
      <c r="O2631" s="4" t="s">
        <v>4865</v>
      </c>
      <c r="P2631" s="4" t="s">
        <v>4860</v>
      </c>
      <c r="Q2631" s="1" t="str">
        <f>_xlfn.XLOOKUP(tblSales[[#This Row],[Channel Code]],tblChannels[Channel Code],tblChannels[Channel Name],"")</f>
        <v>In-store</v>
      </c>
      <c r="R2631" s="1">
        <f>MONTH(tblSales[[#This Row],[Date]])</f>
        <v>6</v>
      </c>
    </row>
    <row r="2632" spans="2:18" x14ac:dyDescent="0.35">
      <c r="B2632" s="113">
        <v>46180</v>
      </c>
      <c r="C2632" s="4" t="s">
        <v>1756</v>
      </c>
      <c r="D2632" s="4" t="s">
        <v>4568</v>
      </c>
      <c r="E2632" s="1" t="str">
        <f>_xlfn.XLOOKUP(tblSales[[#This Row],[Customer ID]],tblCustomers[Customer ID],tblCustomers[Customer Name],"⚠ Unknown")</f>
        <v>Walk-in Customer</v>
      </c>
      <c r="F2632" s="4" t="s">
        <v>15</v>
      </c>
      <c r="G2632" s="1" t="str">
        <f>_xlfn.XLOOKUP(tblSales[[#This Row],[Product Code]],tblProducts[Code],tblProducts[Product / Service Name],"⚠ Unknown")</f>
        <v>Wireless Earbuds Pro</v>
      </c>
      <c r="H2632" s="1" t="str">
        <f>_xlfn.XLOOKUP(tblSales[[#This Row],[Product Code]],tblProducts[Code],tblProducts[Category],"")</f>
        <v>Bags &amp; Gadgets</v>
      </c>
      <c r="I2632" s="4">
        <v>3</v>
      </c>
      <c r="J2632" s="5">
        <f>_xlfn.XLOOKUP(tblSales[[#This Row],[Product Code]],tblProducts[Code],tblProducts[Selling Price (excl. VAT)],0)</f>
        <v>1250000</v>
      </c>
      <c r="K2632" s="5">
        <f>tblSales[[#This Row],[Qty]]*tblSales[[#This Row],[Unit Price]]</f>
        <v>3750000</v>
      </c>
      <c r="L2632" s="5">
        <f>ROUND(tblSales[[#This Row],[DPP (excl. VAT)]]*VATEff,0)</f>
        <v>412500</v>
      </c>
      <c r="M2632" s="5">
        <f>tblSales[[#This Row],[DPP (excl. VAT)]]+tblSales[[#This Row],[Output VAT]]</f>
        <v>4162500</v>
      </c>
      <c r="N2632" s="5">
        <f>tblSales[[#This Row],[Qty]]*_xlfn.XLOOKUP(tblSales[[#This Row],[Product Code]],tblProducts[Code],tblProducts[Unit Cost],0)</f>
        <v>2460000</v>
      </c>
      <c r="O2632" s="4" t="s">
        <v>4866</v>
      </c>
      <c r="P2632" s="4" t="s">
        <v>4861</v>
      </c>
      <c r="Q2632" s="1" t="str">
        <f>_xlfn.XLOOKUP(tblSales[[#This Row],[Channel Code]],tblChannels[Channel Code],tblChannels[Channel Name],"")</f>
        <v>Marketplace</v>
      </c>
      <c r="R2632" s="1">
        <f>MONTH(tblSales[[#This Row],[Date]])</f>
        <v>6</v>
      </c>
    </row>
    <row r="2633" spans="2:18" x14ac:dyDescent="0.35">
      <c r="B2633" s="113">
        <v>46180</v>
      </c>
      <c r="C2633" s="4" t="s">
        <v>1757</v>
      </c>
      <c r="D2633" s="4" t="s">
        <v>4648</v>
      </c>
      <c r="E2633" s="1" t="str">
        <f>_xlfn.XLOOKUP(tblSales[[#This Row],[Customer ID]],tblCustomers[Customer ID],tblCustomers[Customer Name],"⚠ Unknown")</f>
        <v>PT Lintas Benua Niaga</v>
      </c>
      <c r="F2633" s="4" t="s">
        <v>11</v>
      </c>
      <c r="G2633" s="1" t="str">
        <f>_xlfn.XLOOKUP(tblSales[[#This Row],[Product Code]],tblProducts[Code],tblProducts[Product / Service Name],"⚠ Unknown")</f>
        <v>Sneakers</v>
      </c>
      <c r="H2633" s="1" t="str">
        <f>_xlfn.XLOOKUP(tblSales[[#This Row],[Product Code]],tblProducts[Code],tblProducts[Category],"")</f>
        <v>Apparel &amp; Footwear</v>
      </c>
      <c r="I2633" s="4">
        <v>40</v>
      </c>
      <c r="J2633" s="5">
        <f>_xlfn.XLOOKUP(tblSales[[#This Row],[Product Code]],tblProducts[Code],tblProducts[Selling Price (excl. VAT)],0)</f>
        <v>250000</v>
      </c>
      <c r="K2633" s="5">
        <f>tblSales[[#This Row],[Qty]]*tblSales[[#This Row],[Unit Price]]</f>
        <v>10000000</v>
      </c>
      <c r="L2633" s="5">
        <f>ROUND(tblSales[[#This Row],[DPP (excl. VAT)]]*VATEff,0)</f>
        <v>1100000</v>
      </c>
      <c r="M2633" s="5">
        <f>tblSales[[#This Row],[DPP (excl. VAT)]]+tblSales[[#This Row],[Output VAT]]</f>
        <v>11100000</v>
      </c>
      <c r="N2633" s="5">
        <f>tblSales[[#This Row],[Qty]]*_xlfn.XLOOKUP(tblSales[[#This Row],[Product Code]],tblProducts[Code],tblProducts[Unit Cost],0)</f>
        <v>6200000</v>
      </c>
      <c r="O2633" s="4" t="s">
        <v>4867</v>
      </c>
      <c r="P2633" s="4" t="s">
        <v>4860</v>
      </c>
      <c r="Q2633" s="1" t="str">
        <f>_xlfn.XLOOKUP(tblSales[[#This Row],[Channel Code]],tblChannels[Channel Code],tblChannels[Channel Name],"")</f>
        <v>In-store</v>
      </c>
      <c r="R2633" s="1">
        <f>MONTH(tblSales[[#This Row],[Date]])</f>
        <v>6</v>
      </c>
    </row>
    <row r="2634" spans="2:18" x14ac:dyDescent="0.35">
      <c r="B2634" s="113">
        <v>46181</v>
      </c>
      <c r="C2634" s="4" t="s">
        <v>1758</v>
      </c>
      <c r="D2634" s="4" t="s">
        <v>4568</v>
      </c>
      <c r="E2634" s="1" t="str">
        <f>_xlfn.XLOOKUP(tblSales[[#This Row],[Customer ID]],tblCustomers[Customer ID],tblCustomers[Customer Name],"⚠ Unknown")</f>
        <v>Walk-in Customer</v>
      </c>
      <c r="F2634" s="4" t="s">
        <v>7</v>
      </c>
      <c r="G2634" s="1" t="str">
        <f>_xlfn.XLOOKUP(tblSales[[#This Row],[Product Code]],tblProducts[Code],tblProducts[Product / Service Name],"⚠ Unknown")</f>
        <v>Premium Basic T-shirt</v>
      </c>
      <c r="H2634" s="1" t="str">
        <f>_xlfn.XLOOKUP(tblSales[[#This Row],[Product Code]],tblProducts[Code],tblProducts[Category],"")</f>
        <v>Accessories &amp; Basics</v>
      </c>
      <c r="I2634" s="4">
        <v>4</v>
      </c>
      <c r="J2634" s="5">
        <f>_xlfn.XLOOKUP(tblSales[[#This Row],[Product Code]],tblProducts[Code],tblProducts[Selling Price (excl. VAT)],0)</f>
        <v>65000</v>
      </c>
      <c r="K2634" s="5">
        <f>tblSales[[#This Row],[Qty]]*tblSales[[#This Row],[Unit Price]]</f>
        <v>260000</v>
      </c>
      <c r="L2634" s="5">
        <f>ROUND(tblSales[[#This Row],[DPP (excl. VAT)]]*VATEff,0)</f>
        <v>28600</v>
      </c>
      <c r="M2634" s="5">
        <f>tblSales[[#This Row],[DPP (excl. VAT)]]+tblSales[[#This Row],[Output VAT]]</f>
        <v>288600</v>
      </c>
      <c r="N2634" s="5">
        <f>tblSales[[#This Row],[Qty]]*_xlfn.XLOOKUP(tblSales[[#This Row],[Product Code]],tblProducts[Code],tblProducts[Unit Cost],0)</f>
        <v>148000</v>
      </c>
      <c r="O2634" s="4" t="s">
        <v>4865</v>
      </c>
      <c r="P2634" s="4" t="s">
        <v>4860</v>
      </c>
      <c r="Q2634" s="1" t="str">
        <f>_xlfn.XLOOKUP(tblSales[[#This Row],[Channel Code]],tblChannels[Channel Code],tblChannels[Channel Name],"")</f>
        <v>In-store</v>
      </c>
      <c r="R2634" s="1">
        <f>MONTH(tblSales[[#This Row],[Date]])</f>
        <v>6</v>
      </c>
    </row>
    <row r="2635" spans="2:18" x14ac:dyDescent="0.35">
      <c r="B2635" s="113">
        <v>46181</v>
      </c>
      <c r="C2635" s="4" t="s">
        <v>1758</v>
      </c>
      <c r="D2635" s="4" t="s">
        <v>4568</v>
      </c>
      <c r="E2635" s="1" t="str">
        <f>_xlfn.XLOOKUP(tblSales[[#This Row],[Customer ID]],tblCustomers[Customer ID],tblCustomers[Customer Name],"⚠ Unknown")</f>
        <v>Walk-in Customer</v>
      </c>
      <c r="F2635" s="4" t="s">
        <v>10</v>
      </c>
      <c r="G2635" s="1" t="str">
        <f>_xlfn.XLOOKUP(tblSales[[#This Row],[Product Code]],tblProducts[Code],tblProducts[Product / Service Name],"⚠ Unknown")</f>
        <v>Chino Pants</v>
      </c>
      <c r="H2635" s="1" t="str">
        <f>_xlfn.XLOOKUP(tblSales[[#This Row],[Product Code]],tblProducts[Code],tblProducts[Category],"")</f>
        <v>Apparel &amp; Footwear</v>
      </c>
      <c r="I2635" s="4">
        <v>8</v>
      </c>
      <c r="J2635" s="5">
        <f>_xlfn.XLOOKUP(tblSales[[#This Row],[Product Code]],tblProducts[Code],tblProducts[Selling Price (excl. VAT)],0)</f>
        <v>150000</v>
      </c>
      <c r="K2635" s="5">
        <f>tblSales[[#This Row],[Qty]]*tblSales[[#This Row],[Unit Price]]</f>
        <v>1200000</v>
      </c>
      <c r="L2635" s="5">
        <f>ROUND(tblSales[[#This Row],[DPP (excl. VAT)]]*VATEff,0)</f>
        <v>132000</v>
      </c>
      <c r="M2635" s="5">
        <f>tblSales[[#This Row],[DPP (excl. VAT)]]+tblSales[[#This Row],[Output VAT]]</f>
        <v>1332000</v>
      </c>
      <c r="N2635" s="5">
        <f>tblSales[[#This Row],[Qty]]*_xlfn.XLOOKUP(tblSales[[#This Row],[Product Code]],tblProducts[Code],tblProducts[Unit Cost],0)</f>
        <v>704000</v>
      </c>
      <c r="O2635" s="4" t="s">
        <v>4865</v>
      </c>
      <c r="P2635" s="4" t="s">
        <v>4860</v>
      </c>
      <c r="Q2635" s="1" t="str">
        <f>_xlfn.XLOOKUP(tblSales[[#This Row],[Channel Code]],tblChannels[Channel Code],tblChannels[Channel Name],"")</f>
        <v>In-store</v>
      </c>
      <c r="R2635" s="1">
        <f>MONTH(tblSales[[#This Row],[Date]])</f>
        <v>6</v>
      </c>
    </row>
    <row r="2636" spans="2:18" x14ac:dyDescent="0.35">
      <c r="B2636" s="113">
        <v>46181</v>
      </c>
      <c r="C2636" s="4" t="s">
        <v>1759</v>
      </c>
      <c r="D2636" s="4" t="s">
        <v>4568</v>
      </c>
      <c r="E2636" s="1" t="str">
        <f>_xlfn.XLOOKUP(tblSales[[#This Row],[Customer ID]],tblCustomers[Customer ID],tblCustomers[Customer Name],"⚠ Unknown")</f>
        <v>Walk-in Customer</v>
      </c>
      <c r="F2636" s="4" t="s">
        <v>7</v>
      </c>
      <c r="G2636" s="1" t="str">
        <f>_xlfn.XLOOKUP(tblSales[[#This Row],[Product Code]],tblProducts[Code],tblProducts[Product / Service Name],"⚠ Unknown")</f>
        <v>Premium Basic T-shirt</v>
      </c>
      <c r="H2636" s="1" t="str">
        <f>_xlfn.XLOOKUP(tblSales[[#This Row],[Product Code]],tblProducts[Code],tblProducts[Category],"")</f>
        <v>Accessories &amp; Basics</v>
      </c>
      <c r="I2636" s="4">
        <v>6</v>
      </c>
      <c r="J2636" s="5">
        <f>_xlfn.XLOOKUP(tblSales[[#This Row],[Product Code]],tblProducts[Code],tblProducts[Selling Price (excl. VAT)],0)</f>
        <v>65000</v>
      </c>
      <c r="K2636" s="5">
        <f>tblSales[[#This Row],[Qty]]*tblSales[[#This Row],[Unit Price]]</f>
        <v>390000</v>
      </c>
      <c r="L2636" s="5">
        <f>ROUND(tblSales[[#This Row],[DPP (excl. VAT)]]*VATEff,0)</f>
        <v>42900</v>
      </c>
      <c r="M2636" s="5">
        <f>tblSales[[#This Row],[DPP (excl. VAT)]]+tblSales[[#This Row],[Output VAT]]</f>
        <v>432900</v>
      </c>
      <c r="N2636" s="5">
        <f>tblSales[[#This Row],[Qty]]*_xlfn.XLOOKUP(tblSales[[#This Row],[Product Code]],tblProducts[Code],tblProducts[Unit Cost],0)</f>
        <v>222000</v>
      </c>
      <c r="O2636" s="4" t="s">
        <v>4866</v>
      </c>
      <c r="P2636" s="4" t="s">
        <v>4861</v>
      </c>
      <c r="Q2636" s="1" t="str">
        <f>_xlfn.XLOOKUP(tblSales[[#This Row],[Channel Code]],tblChannels[Channel Code],tblChannels[Channel Name],"")</f>
        <v>Marketplace</v>
      </c>
      <c r="R2636" s="1">
        <f>MONTH(tblSales[[#This Row],[Date]])</f>
        <v>6</v>
      </c>
    </row>
    <row r="2637" spans="2:18" x14ac:dyDescent="0.35">
      <c r="B2637" s="113">
        <v>46181</v>
      </c>
      <c r="C2637" s="4" t="s">
        <v>1760</v>
      </c>
      <c r="D2637" s="4" t="s">
        <v>4568</v>
      </c>
      <c r="E2637" s="1" t="str">
        <f>_xlfn.XLOOKUP(tblSales[[#This Row],[Customer ID]],tblCustomers[Customer ID],tblCustomers[Customer Name],"⚠ Unknown")</f>
        <v>Walk-in Customer</v>
      </c>
      <c r="F2637" s="4" t="s">
        <v>13</v>
      </c>
      <c r="G2637" s="1" t="str">
        <f>_xlfn.XLOOKUP(tblSales[[#This Row],[Product Code]],tblProducts[Code],tblProducts[Product / Service Name],"⚠ Unknown")</f>
        <v>Backpack</v>
      </c>
      <c r="H2637" s="1" t="str">
        <f>_xlfn.XLOOKUP(tblSales[[#This Row],[Product Code]],tblProducts[Code],tblProducts[Category],"")</f>
        <v>Bags &amp; Gadgets</v>
      </c>
      <c r="I2637" s="4">
        <v>5</v>
      </c>
      <c r="J2637" s="5">
        <f>_xlfn.XLOOKUP(tblSales[[#This Row],[Product Code]],tblProducts[Code],tblProducts[Selling Price (excl. VAT)],0)</f>
        <v>500000</v>
      </c>
      <c r="K2637" s="5">
        <f>tblSales[[#This Row],[Qty]]*tblSales[[#This Row],[Unit Price]]</f>
        <v>2500000</v>
      </c>
      <c r="L2637" s="5">
        <f>ROUND(tblSales[[#This Row],[DPP (excl. VAT)]]*VATEff,0)</f>
        <v>275000</v>
      </c>
      <c r="M2637" s="5">
        <f>tblSales[[#This Row],[DPP (excl. VAT)]]+tblSales[[#This Row],[Output VAT]]</f>
        <v>2775000</v>
      </c>
      <c r="N2637" s="5">
        <f>tblSales[[#This Row],[Qty]]*_xlfn.XLOOKUP(tblSales[[#This Row],[Product Code]],tblProducts[Code],tblProducts[Unit Cost],0)</f>
        <v>1450000</v>
      </c>
      <c r="O2637" s="4" t="s">
        <v>4866</v>
      </c>
      <c r="P2637" s="4" t="s">
        <v>4862</v>
      </c>
      <c r="Q2637" s="1" t="str">
        <f>_xlfn.XLOOKUP(tblSales[[#This Row],[Channel Code]],tblChannels[Channel Code],tblChannels[Channel Name],"")</f>
        <v>Website &amp; Social Media</v>
      </c>
      <c r="R2637" s="1">
        <f>MONTH(tblSales[[#This Row],[Date]])</f>
        <v>6</v>
      </c>
    </row>
    <row r="2638" spans="2:18" x14ac:dyDescent="0.35">
      <c r="B2638" s="113">
        <v>46181</v>
      </c>
      <c r="C2638" s="4" t="s">
        <v>1761</v>
      </c>
      <c r="D2638" s="4" t="s">
        <v>4568</v>
      </c>
      <c r="E2638" s="1" t="str">
        <f>_xlfn.XLOOKUP(tblSales[[#This Row],[Customer ID]],tblCustomers[Customer ID],tblCustomers[Customer Name],"⚠ Unknown")</f>
        <v>Walk-in Customer</v>
      </c>
      <c r="F2638" s="4" t="s">
        <v>8</v>
      </c>
      <c r="G2638" s="1" t="str">
        <f>_xlfn.XLOOKUP(tblSales[[#This Row],[Product Code]],tblProducts[Code],tblProducts[Product / Service Name],"⚠ Unknown")</f>
        <v>Casual Shorts</v>
      </c>
      <c r="H2638" s="1" t="str">
        <f>_xlfn.XLOOKUP(tblSales[[#This Row],[Product Code]],tblProducts[Code],tblProducts[Category],"")</f>
        <v>Accessories &amp; Basics</v>
      </c>
      <c r="I2638" s="4">
        <v>2</v>
      </c>
      <c r="J2638" s="5">
        <f>_xlfn.XLOOKUP(tblSales[[#This Row],[Product Code]],tblProducts[Code],tblProducts[Selling Price (excl. VAT)],0)</f>
        <v>85000</v>
      </c>
      <c r="K2638" s="5">
        <f>tblSales[[#This Row],[Qty]]*tblSales[[#This Row],[Unit Price]]</f>
        <v>170000</v>
      </c>
      <c r="L2638" s="5">
        <f>ROUND(tblSales[[#This Row],[DPP (excl. VAT)]]*VATEff,0)</f>
        <v>18700</v>
      </c>
      <c r="M2638" s="5">
        <f>tblSales[[#This Row],[DPP (excl. VAT)]]+tblSales[[#This Row],[Output VAT]]</f>
        <v>188700</v>
      </c>
      <c r="N2638" s="5">
        <f>tblSales[[#This Row],[Qty]]*_xlfn.XLOOKUP(tblSales[[#This Row],[Product Code]],tblProducts[Code],tblProducts[Unit Cost],0)</f>
        <v>100000</v>
      </c>
      <c r="O2638" s="4" t="s">
        <v>4865</v>
      </c>
      <c r="P2638" s="4" t="s">
        <v>4860</v>
      </c>
      <c r="Q2638" s="1" t="str">
        <f>_xlfn.XLOOKUP(tblSales[[#This Row],[Channel Code]],tblChannels[Channel Code],tblChannels[Channel Name],"")</f>
        <v>In-store</v>
      </c>
      <c r="R2638" s="1">
        <f>MONTH(tblSales[[#This Row],[Date]])</f>
        <v>6</v>
      </c>
    </row>
    <row r="2639" spans="2:18" x14ac:dyDescent="0.35">
      <c r="B2639" s="113">
        <v>46181</v>
      </c>
      <c r="C2639" s="4" t="s">
        <v>1762</v>
      </c>
      <c r="D2639" s="4" t="s">
        <v>4568</v>
      </c>
      <c r="E2639" s="1" t="str">
        <f>_xlfn.XLOOKUP(tblSales[[#This Row],[Customer ID]],tblCustomers[Customer ID],tblCustomers[Customer Name],"⚠ Unknown")</f>
        <v>Walk-in Customer</v>
      </c>
      <c r="F2639" s="4" t="s">
        <v>6</v>
      </c>
      <c r="G2639" s="1" t="str">
        <f>_xlfn.XLOOKUP(tblSales[[#This Row],[Product Code]],tblProducts[Code],tblProducts[Product / Service Name],"⚠ Unknown")</f>
        <v>Socks &amp; Accessories</v>
      </c>
      <c r="H2639" s="1" t="str">
        <f>_xlfn.XLOOKUP(tblSales[[#This Row],[Product Code]],tblProducts[Code],tblProducts[Category],"")</f>
        <v>Accessories &amp; Basics</v>
      </c>
      <c r="I2639" s="4">
        <v>10</v>
      </c>
      <c r="J2639" s="5">
        <f>_xlfn.XLOOKUP(tblSales[[#This Row],[Product Code]],tblProducts[Code],tblProducts[Selling Price (excl. VAT)],0)</f>
        <v>45000</v>
      </c>
      <c r="K2639" s="5">
        <f>tblSales[[#This Row],[Qty]]*tblSales[[#This Row],[Unit Price]]</f>
        <v>450000</v>
      </c>
      <c r="L2639" s="5">
        <f>ROUND(tblSales[[#This Row],[DPP (excl. VAT)]]*VATEff,0)</f>
        <v>49500</v>
      </c>
      <c r="M2639" s="5">
        <f>tblSales[[#This Row],[DPP (excl. VAT)]]+tblSales[[#This Row],[Output VAT]]</f>
        <v>499500</v>
      </c>
      <c r="N2639" s="5">
        <f>tblSales[[#This Row],[Qty]]*_xlfn.XLOOKUP(tblSales[[#This Row],[Product Code]],tblProducts[Code],tblProducts[Unit Cost],0)</f>
        <v>240000</v>
      </c>
      <c r="O2639" s="4" t="s">
        <v>4866</v>
      </c>
      <c r="P2639" s="4" t="s">
        <v>4861</v>
      </c>
      <c r="Q2639" s="1" t="str">
        <f>_xlfn.XLOOKUP(tblSales[[#This Row],[Channel Code]],tblChannels[Channel Code],tblChannels[Channel Name],"")</f>
        <v>Marketplace</v>
      </c>
      <c r="R2639" s="1">
        <f>MONTH(tblSales[[#This Row],[Date]])</f>
        <v>6</v>
      </c>
    </row>
    <row r="2640" spans="2:18" x14ac:dyDescent="0.35">
      <c r="B2640" s="113">
        <v>46181</v>
      </c>
      <c r="C2640" s="4" t="s">
        <v>1763</v>
      </c>
      <c r="D2640" s="4" t="s">
        <v>4568</v>
      </c>
      <c r="E2640" s="1" t="str">
        <f>_xlfn.XLOOKUP(tblSales[[#This Row],[Customer ID]],tblCustomers[Customer ID],tblCustomers[Customer Name],"⚠ Unknown")</f>
        <v>Walk-in Customer</v>
      </c>
      <c r="F2640" s="4" t="s">
        <v>10</v>
      </c>
      <c r="G2640" s="1" t="str">
        <f>_xlfn.XLOOKUP(tblSales[[#This Row],[Product Code]],tblProducts[Code],tblProducts[Product / Service Name],"⚠ Unknown")</f>
        <v>Chino Pants</v>
      </c>
      <c r="H2640" s="1" t="str">
        <f>_xlfn.XLOOKUP(tblSales[[#This Row],[Product Code]],tblProducts[Code],tblProducts[Category],"")</f>
        <v>Apparel &amp; Footwear</v>
      </c>
      <c r="I2640" s="4">
        <v>5</v>
      </c>
      <c r="J2640" s="5">
        <f>_xlfn.XLOOKUP(tblSales[[#This Row],[Product Code]],tblProducts[Code],tblProducts[Selling Price (excl. VAT)],0)</f>
        <v>150000</v>
      </c>
      <c r="K2640" s="5">
        <f>tblSales[[#This Row],[Qty]]*tblSales[[#This Row],[Unit Price]]</f>
        <v>750000</v>
      </c>
      <c r="L2640" s="5">
        <f>ROUND(tblSales[[#This Row],[DPP (excl. VAT)]]*VATEff,0)</f>
        <v>82500</v>
      </c>
      <c r="M2640" s="5">
        <f>tblSales[[#This Row],[DPP (excl. VAT)]]+tblSales[[#This Row],[Output VAT]]</f>
        <v>832500</v>
      </c>
      <c r="N2640" s="5">
        <f>tblSales[[#This Row],[Qty]]*_xlfn.XLOOKUP(tblSales[[#This Row],[Product Code]],tblProducts[Code],tblProducts[Unit Cost],0)</f>
        <v>440000</v>
      </c>
      <c r="O2640" s="4" t="s">
        <v>4866</v>
      </c>
      <c r="P2640" s="4" t="s">
        <v>4860</v>
      </c>
      <c r="Q2640" s="1" t="str">
        <f>_xlfn.XLOOKUP(tblSales[[#This Row],[Channel Code]],tblChannels[Channel Code],tblChannels[Channel Name],"")</f>
        <v>In-store</v>
      </c>
      <c r="R2640" s="1">
        <f>MONTH(tblSales[[#This Row],[Date]])</f>
        <v>6</v>
      </c>
    </row>
    <row r="2641" spans="2:18" x14ac:dyDescent="0.35">
      <c r="B2641" s="113">
        <v>46181</v>
      </c>
      <c r="C2641" s="4" t="s">
        <v>1763</v>
      </c>
      <c r="D2641" s="4" t="s">
        <v>4568</v>
      </c>
      <c r="E2641" s="1" t="str">
        <f>_xlfn.XLOOKUP(tblSales[[#This Row],[Customer ID]],tblCustomers[Customer ID],tblCustomers[Customer Name],"⚠ Unknown")</f>
        <v>Walk-in Customer</v>
      </c>
      <c r="F2641" s="4" t="s">
        <v>14</v>
      </c>
      <c r="G2641" s="1" t="str">
        <f>_xlfn.XLOOKUP(tblSales[[#This Row],[Product Code]],tblProducts[Code],tblProducts[Product / Service Name],"⚠ Unknown")</f>
        <v>Smartwatch</v>
      </c>
      <c r="H2641" s="1" t="str">
        <f>_xlfn.XLOOKUP(tblSales[[#This Row],[Product Code]],tblProducts[Code],tblProducts[Category],"")</f>
        <v>Bags &amp; Gadgets</v>
      </c>
      <c r="I2641" s="4">
        <v>1</v>
      </c>
      <c r="J2641" s="5">
        <f>_xlfn.XLOOKUP(tblSales[[#This Row],[Product Code]],tblProducts[Code],tblProducts[Selling Price (excl. VAT)],0)</f>
        <v>850000</v>
      </c>
      <c r="K2641" s="5">
        <f>tblSales[[#This Row],[Qty]]*tblSales[[#This Row],[Unit Price]]</f>
        <v>850000</v>
      </c>
      <c r="L2641" s="5">
        <f>ROUND(tblSales[[#This Row],[DPP (excl. VAT)]]*VATEff,0)</f>
        <v>93500</v>
      </c>
      <c r="M2641" s="5">
        <f>tblSales[[#This Row],[DPP (excl. VAT)]]+tblSales[[#This Row],[Output VAT]]</f>
        <v>943500</v>
      </c>
      <c r="N2641" s="5">
        <f>tblSales[[#This Row],[Qty]]*_xlfn.XLOOKUP(tblSales[[#This Row],[Product Code]],tblProducts[Code],tblProducts[Unit Cost],0)</f>
        <v>560000</v>
      </c>
      <c r="O2641" s="4" t="s">
        <v>4866</v>
      </c>
      <c r="P2641" s="4" t="s">
        <v>4860</v>
      </c>
      <c r="Q2641" s="1" t="str">
        <f>_xlfn.XLOOKUP(tblSales[[#This Row],[Channel Code]],tblChannels[Channel Code],tblChannels[Channel Name],"")</f>
        <v>In-store</v>
      </c>
      <c r="R2641" s="1">
        <f>MONTH(tblSales[[#This Row],[Date]])</f>
        <v>6</v>
      </c>
    </row>
    <row r="2642" spans="2:18" x14ac:dyDescent="0.35">
      <c r="B2642" s="113">
        <v>46181</v>
      </c>
      <c r="C2642" s="4" t="s">
        <v>1764</v>
      </c>
      <c r="D2642" s="4" t="s">
        <v>4568</v>
      </c>
      <c r="E2642" s="1" t="str">
        <f>_xlfn.XLOOKUP(tblSales[[#This Row],[Customer ID]],tblCustomers[Customer ID],tblCustomers[Customer Name],"⚠ Unknown")</f>
        <v>Walk-in Customer</v>
      </c>
      <c r="F2642" s="4" t="s">
        <v>7</v>
      </c>
      <c r="G2642" s="1" t="str">
        <f>_xlfn.XLOOKUP(tblSales[[#This Row],[Product Code]],tblProducts[Code],tblProducts[Product / Service Name],"⚠ Unknown")</f>
        <v>Premium Basic T-shirt</v>
      </c>
      <c r="H2642" s="1" t="str">
        <f>_xlfn.XLOOKUP(tblSales[[#This Row],[Product Code]],tblProducts[Code],tblProducts[Category],"")</f>
        <v>Accessories &amp; Basics</v>
      </c>
      <c r="I2642" s="4">
        <v>1</v>
      </c>
      <c r="J2642" s="5">
        <f>_xlfn.XLOOKUP(tblSales[[#This Row],[Product Code]],tblProducts[Code],tblProducts[Selling Price (excl. VAT)],0)</f>
        <v>65000</v>
      </c>
      <c r="K2642" s="5">
        <f>tblSales[[#This Row],[Qty]]*tblSales[[#This Row],[Unit Price]]</f>
        <v>65000</v>
      </c>
      <c r="L2642" s="5">
        <f>ROUND(tblSales[[#This Row],[DPP (excl. VAT)]]*VATEff,0)</f>
        <v>7150</v>
      </c>
      <c r="M2642" s="5">
        <f>tblSales[[#This Row],[DPP (excl. VAT)]]+tblSales[[#This Row],[Output VAT]]</f>
        <v>72150</v>
      </c>
      <c r="N2642" s="5">
        <f>tblSales[[#This Row],[Qty]]*_xlfn.XLOOKUP(tblSales[[#This Row],[Product Code]],tblProducts[Code],tblProducts[Unit Cost],0)</f>
        <v>37000</v>
      </c>
      <c r="O2642" s="4" t="s">
        <v>4865</v>
      </c>
      <c r="P2642" s="4" t="s">
        <v>4860</v>
      </c>
      <c r="Q2642" s="1" t="str">
        <f>_xlfn.XLOOKUP(tblSales[[#This Row],[Channel Code]],tblChannels[Channel Code],tblChannels[Channel Name],"")</f>
        <v>In-store</v>
      </c>
      <c r="R2642" s="1">
        <f>MONTH(tblSales[[#This Row],[Date]])</f>
        <v>6</v>
      </c>
    </row>
    <row r="2643" spans="2:18" x14ac:dyDescent="0.35">
      <c r="B2643" s="113">
        <v>46181</v>
      </c>
      <c r="C2643" s="4" t="s">
        <v>1765</v>
      </c>
      <c r="D2643" s="4" t="s">
        <v>4568</v>
      </c>
      <c r="E2643" s="1" t="str">
        <f>_xlfn.XLOOKUP(tblSales[[#This Row],[Customer ID]],tblCustomers[Customer ID],tblCustomers[Customer Name],"⚠ Unknown")</f>
        <v>Walk-in Customer</v>
      </c>
      <c r="F2643" s="4" t="s">
        <v>14</v>
      </c>
      <c r="G2643" s="1" t="str">
        <f>_xlfn.XLOOKUP(tblSales[[#This Row],[Product Code]],tblProducts[Code],tblProducts[Product / Service Name],"⚠ Unknown")</f>
        <v>Smartwatch</v>
      </c>
      <c r="H2643" s="1" t="str">
        <f>_xlfn.XLOOKUP(tblSales[[#This Row],[Product Code]],tblProducts[Code],tblProducts[Category],"")</f>
        <v>Bags &amp; Gadgets</v>
      </c>
      <c r="I2643" s="4">
        <v>1</v>
      </c>
      <c r="J2643" s="5">
        <f>_xlfn.XLOOKUP(tblSales[[#This Row],[Product Code]],tblProducts[Code],tblProducts[Selling Price (excl. VAT)],0)</f>
        <v>850000</v>
      </c>
      <c r="K2643" s="5">
        <f>tblSales[[#This Row],[Qty]]*tblSales[[#This Row],[Unit Price]]</f>
        <v>850000</v>
      </c>
      <c r="L2643" s="5">
        <f>ROUND(tblSales[[#This Row],[DPP (excl. VAT)]]*VATEff,0)</f>
        <v>93500</v>
      </c>
      <c r="M2643" s="5">
        <f>tblSales[[#This Row],[DPP (excl. VAT)]]+tblSales[[#This Row],[Output VAT]]</f>
        <v>943500</v>
      </c>
      <c r="N2643" s="5">
        <f>tblSales[[#This Row],[Qty]]*_xlfn.XLOOKUP(tblSales[[#This Row],[Product Code]],tblProducts[Code],tblProducts[Unit Cost],0)</f>
        <v>560000</v>
      </c>
      <c r="O2643" s="4" t="s">
        <v>4865</v>
      </c>
      <c r="P2643" s="4" t="s">
        <v>4860</v>
      </c>
      <c r="Q2643" s="1" t="str">
        <f>_xlfn.XLOOKUP(tblSales[[#This Row],[Channel Code]],tblChannels[Channel Code],tblChannels[Channel Name],"")</f>
        <v>In-store</v>
      </c>
      <c r="R2643" s="1">
        <f>MONTH(tblSales[[#This Row],[Date]])</f>
        <v>6</v>
      </c>
    </row>
    <row r="2644" spans="2:18" x14ac:dyDescent="0.35">
      <c r="B2644" s="113">
        <v>46181</v>
      </c>
      <c r="C2644" s="4" t="s">
        <v>1766</v>
      </c>
      <c r="D2644" s="4" t="s">
        <v>4568</v>
      </c>
      <c r="E2644" s="1" t="str">
        <f>_xlfn.XLOOKUP(tblSales[[#This Row],[Customer ID]],tblCustomers[Customer ID],tblCustomers[Customer Name],"⚠ Unknown")</f>
        <v>Walk-in Customer</v>
      </c>
      <c r="F2644" s="4" t="s">
        <v>8</v>
      </c>
      <c r="G2644" s="1" t="str">
        <f>_xlfn.XLOOKUP(tblSales[[#This Row],[Product Code]],tblProducts[Code],tblProducts[Product / Service Name],"⚠ Unknown")</f>
        <v>Casual Shorts</v>
      </c>
      <c r="H2644" s="1" t="str">
        <f>_xlfn.XLOOKUP(tblSales[[#This Row],[Product Code]],tblProducts[Code],tblProducts[Category],"")</f>
        <v>Accessories &amp; Basics</v>
      </c>
      <c r="I2644" s="4">
        <v>7</v>
      </c>
      <c r="J2644" s="5">
        <f>_xlfn.XLOOKUP(tblSales[[#This Row],[Product Code]],tblProducts[Code],tblProducts[Selling Price (excl. VAT)],0)</f>
        <v>85000</v>
      </c>
      <c r="K2644" s="5">
        <f>tblSales[[#This Row],[Qty]]*tblSales[[#This Row],[Unit Price]]</f>
        <v>595000</v>
      </c>
      <c r="L2644" s="5">
        <f>ROUND(tblSales[[#This Row],[DPP (excl. VAT)]]*VATEff,0)</f>
        <v>65450</v>
      </c>
      <c r="M2644" s="5">
        <f>tblSales[[#This Row],[DPP (excl. VAT)]]+tblSales[[#This Row],[Output VAT]]</f>
        <v>660450</v>
      </c>
      <c r="N2644" s="5">
        <f>tblSales[[#This Row],[Qty]]*_xlfn.XLOOKUP(tblSales[[#This Row],[Product Code]],tblProducts[Code],tblProducts[Unit Cost],0)</f>
        <v>350000</v>
      </c>
      <c r="O2644" s="4" t="s">
        <v>4866</v>
      </c>
      <c r="P2644" s="4" t="s">
        <v>4861</v>
      </c>
      <c r="Q2644" s="1" t="str">
        <f>_xlfn.XLOOKUP(tblSales[[#This Row],[Channel Code]],tblChannels[Channel Code],tblChannels[Channel Name],"")</f>
        <v>Marketplace</v>
      </c>
      <c r="R2644" s="1">
        <f>MONTH(tblSales[[#This Row],[Date]])</f>
        <v>6</v>
      </c>
    </row>
    <row r="2645" spans="2:18" x14ac:dyDescent="0.35">
      <c r="B2645" s="113">
        <v>46181</v>
      </c>
      <c r="C2645" s="4" t="s">
        <v>1767</v>
      </c>
      <c r="D2645" s="4" t="s">
        <v>4568</v>
      </c>
      <c r="E2645" s="1" t="str">
        <f>_xlfn.XLOOKUP(tblSales[[#This Row],[Customer ID]],tblCustomers[Customer ID],tblCustomers[Customer Name],"⚠ Unknown")</f>
        <v>Walk-in Customer</v>
      </c>
      <c r="F2645" s="4" t="s">
        <v>9</v>
      </c>
      <c r="G2645" s="1" t="str">
        <f>_xlfn.XLOOKUP(tblSales[[#This Row],[Product Code]],tblProducts[Code],tblProducts[Product / Service Name],"⚠ Unknown")</f>
        <v>Casual Shirt</v>
      </c>
      <c r="H2645" s="1" t="str">
        <f>_xlfn.XLOOKUP(tblSales[[#This Row],[Product Code]],tblProducts[Code],tblProducts[Category],"")</f>
        <v>Apparel &amp; Footwear</v>
      </c>
      <c r="I2645" s="4">
        <v>7</v>
      </c>
      <c r="J2645" s="5">
        <f>_xlfn.XLOOKUP(tblSales[[#This Row],[Product Code]],tblProducts[Code],tblProducts[Selling Price (excl. VAT)],0)</f>
        <v>120000</v>
      </c>
      <c r="K2645" s="5">
        <f>tblSales[[#This Row],[Qty]]*tblSales[[#This Row],[Unit Price]]</f>
        <v>840000</v>
      </c>
      <c r="L2645" s="5">
        <f>ROUND(tblSales[[#This Row],[DPP (excl. VAT)]]*VATEff,0)</f>
        <v>92400</v>
      </c>
      <c r="M2645" s="5">
        <f>tblSales[[#This Row],[DPP (excl. VAT)]]+tblSales[[#This Row],[Output VAT]]</f>
        <v>932400</v>
      </c>
      <c r="N2645" s="5">
        <f>tblSales[[#This Row],[Qty]]*_xlfn.XLOOKUP(tblSales[[#This Row],[Product Code]],tblProducts[Code],tblProducts[Unit Cost],0)</f>
        <v>504000</v>
      </c>
      <c r="O2645" s="4" t="s">
        <v>4865</v>
      </c>
      <c r="P2645" s="4" t="s">
        <v>4860</v>
      </c>
      <c r="Q2645" s="1" t="str">
        <f>_xlfn.XLOOKUP(tblSales[[#This Row],[Channel Code]],tblChannels[Channel Code],tblChannels[Channel Name],"")</f>
        <v>In-store</v>
      </c>
      <c r="R2645" s="1">
        <f>MONTH(tblSales[[#This Row],[Date]])</f>
        <v>6</v>
      </c>
    </row>
    <row r="2646" spans="2:18" x14ac:dyDescent="0.35">
      <c r="B2646" s="113">
        <v>46182</v>
      </c>
      <c r="C2646" s="4" t="s">
        <v>1768</v>
      </c>
      <c r="D2646" s="4" t="s">
        <v>4568</v>
      </c>
      <c r="E2646" s="1" t="str">
        <f>_xlfn.XLOOKUP(tblSales[[#This Row],[Customer ID]],tblCustomers[Customer ID],tblCustomers[Customer Name],"⚠ Unknown")</f>
        <v>Walk-in Customer</v>
      </c>
      <c r="F2646" s="4" t="s">
        <v>6</v>
      </c>
      <c r="G2646" s="1" t="str">
        <f>_xlfn.XLOOKUP(tblSales[[#This Row],[Product Code]],tblProducts[Code],tblProducts[Product / Service Name],"⚠ Unknown")</f>
        <v>Socks &amp; Accessories</v>
      </c>
      <c r="H2646" s="1" t="str">
        <f>_xlfn.XLOOKUP(tblSales[[#This Row],[Product Code]],tblProducts[Code],tblProducts[Category],"")</f>
        <v>Accessories &amp; Basics</v>
      </c>
      <c r="I2646" s="4">
        <v>3</v>
      </c>
      <c r="J2646" s="5">
        <f>_xlfn.XLOOKUP(tblSales[[#This Row],[Product Code]],tblProducts[Code],tblProducts[Selling Price (excl. VAT)],0)</f>
        <v>45000</v>
      </c>
      <c r="K2646" s="5">
        <f>tblSales[[#This Row],[Qty]]*tblSales[[#This Row],[Unit Price]]</f>
        <v>135000</v>
      </c>
      <c r="L2646" s="5">
        <f>ROUND(tblSales[[#This Row],[DPP (excl. VAT)]]*VATEff,0)</f>
        <v>14850</v>
      </c>
      <c r="M2646" s="5">
        <f>tblSales[[#This Row],[DPP (excl. VAT)]]+tblSales[[#This Row],[Output VAT]]</f>
        <v>149850</v>
      </c>
      <c r="N2646" s="5">
        <f>tblSales[[#This Row],[Qty]]*_xlfn.XLOOKUP(tblSales[[#This Row],[Product Code]],tblProducts[Code],tblProducts[Unit Cost],0)</f>
        <v>72000</v>
      </c>
      <c r="O2646" s="4" t="s">
        <v>4866</v>
      </c>
      <c r="P2646" s="4" t="s">
        <v>4860</v>
      </c>
      <c r="Q2646" s="1" t="str">
        <f>_xlfn.XLOOKUP(tblSales[[#This Row],[Channel Code]],tblChannels[Channel Code],tblChannels[Channel Name],"")</f>
        <v>In-store</v>
      </c>
      <c r="R2646" s="1">
        <f>MONTH(tblSales[[#This Row],[Date]])</f>
        <v>6</v>
      </c>
    </row>
    <row r="2647" spans="2:18" x14ac:dyDescent="0.35">
      <c r="B2647" s="113">
        <v>46182</v>
      </c>
      <c r="C2647" s="4" t="s">
        <v>1769</v>
      </c>
      <c r="D2647" s="4" t="s">
        <v>4568</v>
      </c>
      <c r="E2647" s="1" t="str">
        <f>_xlfn.XLOOKUP(tblSales[[#This Row],[Customer ID]],tblCustomers[Customer ID],tblCustomers[Customer Name],"⚠ Unknown")</f>
        <v>Walk-in Customer</v>
      </c>
      <c r="F2647" s="4" t="s">
        <v>10</v>
      </c>
      <c r="G2647" s="1" t="str">
        <f>_xlfn.XLOOKUP(tblSales[[#This Row],[Product Code]],tblProducts[Code],tblProducts[Product / Service Name],"⚠ Unknown")</f>
        <v>Chino Pants</v>
      </c>
      <c r="H2647" s="1" t="str">
        <f>_xlfn.XLOOKUP(tblSales[[#This Row],[Product Code]],tblProducts[Code],tblProducts[Category],"")</f>
        <v>Apparel &amp; Footwear</v>
      </c>
      <c r="I2647" s="4">
        <v>1</v>
      </c>
      <c r="J2647" s="5">
        <f>_xlfn.XLOOKUP(tblSales[[#This Row],[Product Code]],tblProducts[Code],tblProducts[Selling Price (excl. VAT)],0)</f>
        <v>150000</v>
      </c>
      <c r="K2647" s="5">
        <f>tblSales[[#This Row],[Qty]]*tblSales[[#This Row],[Unit Price]]</f>
        <v>150000</v>
      </c>
      <c r="L2647" s="5">
        <f>ROUND(tblSales[[#This Row],[DPP (excl. VAT)]]*VATEff,0)</f>
        <v>16500</v>
      </c>
      <c r="M2647" s="5">
        <f>tblSales[[#This Row],[DPP (excl. VAT)]]+tblSales[[#This Row],[Output VAT]]</f>
        <v>166500</v>
      </c>
      <c r="N2647" s="5">
        <f>tblSales[[#This Row],[Qty]]*_xlfn.XLOOKUP(tblSales[[#This Row],[Product Code]],tblProducts[Code],tblProducts[Unit Cost],0)</f>
        <v>88000</v>
      </c>
      <c r="O2647" s="4" t="s">
        <v>4866</v>
      </c>
      <c r="P2647" s="4" t="s">
        <v>4860</v>
      </c>
      <c r="Q2647" s="1" t="str">
        <f>_xlfn.XLOOKUP(tblSales[[#This Row],[Channel Code]],tblChannels[Channel Code],tblChannels[Channel Name],"")</f>
        <v>In-store</v>
      </c>
      <c r="R2647" s="1">
        <f>MONTH(tblSales[[#This Row],[Date]])</f>
        <v>6</v>
      </c>
    </row>
    <row r="2648" spans="2:18" x14ac:dyDescent="0.35">
      <c r="B2648" s="113">
        <v>46182</v>
      </c>
      <c r="C2648" s="4" t="s">
        <v>1770</v>
      </c>
      <c r="D2648" s="4" t="s">
        <v>4593</v>
      </c>
      <c r="E2648" s="1" t="str">
        <f>_xlfn.XLOOKUP(tblSales[[#This Row],[Customer ID]],tblCustomers[Customer ID],tblCustomers[Customer Name],"⚠ Unknown")</f>
        <v>PT Graha Nusa Persada</v>
      </c>
      <c r="F2648" s="4" t="s">
        <v>6</v>
      </c>
      <c r="G2648" s="1" t="str">
        <f>_xlfn.XLOOKUP(tblSales[[#This Row],[Product Code]],tblProducts[Code],tblProducts[Product / Service Name],"⚠ Unknown")</f>
        <v>Socks &amp; Accessories</v>
      </c>
      <c r="H2648" s="1" t="str">
        <f>_xlfn.XLOOKUP(tblSales[[#This Row],[Product Code]],tblProducts[Code],tblProducts[Category],"")</f>
        <v>Accessories &amp; Basics</v>
      </c>
      <c r="I2648" s="4">
        <v>8</v>
      </c>
      <c r="J2648" s="5">
        <f>_xlfn.XLOOKUP(tblSales[[#This Row],[Product Code]],tblProducts[Code],tblProducts[Selling Price (excl. VAT)],0)</f>
        <v>45000</v>
      </c>
      <c r="K2648" s="5">
        <f>tblSales[[#This Row],[Qty]]*tblSales[[#This Row],[Unit Price]]</f>
        <v>360000</v>
      </c>
      <c r="L2648" s="5">
        <f>ROUND(tblSales[[#This Row],[DPP (excl. VAT)]]*VATEff,0)</f>
        <v>39600</v>
      </c>
      <c r="M2648" s="5">
        <f>tblSales[[#This Row],[DPP (excl. VAT)]]+tblSales[[#This Row],[Output VAT]]</f>
        <v>399600</v>
      </c>
      <c r="N2648" s="5">
        <f>tblSales[[#This Row],[Qty]]*_xlfn.XLOOKUP(tblSales[[#This Row],[Product Code]],tblProducts[Code],tblProducts[Unit Cost],0)</f>
        <v>192000</v>
      </c>
      <c r="O2648" s="4" t="s">
        <v>4867</v>
      </c>
      <c r="P2648" s="4" t="s">
        <v>4862</v>
      </c>
      <c r="Q2648" s="1" t="str">
        <f>_xlfn.XLOOKUP(tblSales[[#This Row],[Channel Code]],tblChannels[Channel Code],tblChannels[Channel Name],"")</f>
        <v>Website &amp; Social Media</v>
      </c>
      <c r="R2648" s="1">
        <f>MONTH(tblSales[[#This Row],[Date]])</f>
        <v>6</v>
      </c>
    </row>
    <row r="2649" spans="2:18" x14ac:dyDescent="0.35">
      <c r="B2649" s="113">
        <v>46182</v>
      </c>
      <c r="C2649" s="4" t="s">
        <v>1771</v>
      </c>
      <c r="D2649" s="4" t="s">
        <v>4568</v>
      </c>
      <c r="E2649" s="1" t="str">
        <f>_xlfn.XLOOKUP(tblSales[[#This Row],[Customer ID]],tblCustomers[Customer ID],tblCustomers[Customer Name],"⚠ Unknown")</f>
        <v>Walk-in Customer</v>
      </c>
      <c r="F2649" s="4" t="s">
        <v>6</v>
      </c>
      <c r="G2649" s="1" t="str">
        <f>_xlfn.XLOOKUP(tblSales[[#This Row],[Product Code]],tblProducts[Code],tblProducts[Product / Service Name],"⚠ Unknown")</f>
        <v>Socks &amp; Accessories</v>
      </c>
      <c r="H2649" s="1" t="str">
        <f>_xlfn.XLOOKUP(tblSales[[#This Row],[Product Code]],tblProducts[Code],tblProducts[Category],"")</f>
        <v>Accessories &amp; Basics</v>
      </c>
      <c r="I2649" s="4">
        <v>9</v>
      </c>
      <c r="J2649" s="5">
        <f>_xlfn.XLOOKUP(tblSales[[#This Row],[Product Code]],tblProducts[Code],tblProducts[Selling Price (excl. VAT)],0)</f>
        <v>45000</v>
      </c>
      <c r="K2649" s="5">
        <f>tblSales[[#This Row],[Qty]]*tblSales[[#This Row],[Unit Price]]</f>
        <v>405000</v>
      </c>
      <c r="L2649" s="5">
        <f>ROUND(tblSales[[#This Row],[DPP (excl. VAT)]]*VATEff,0)</f>
        <v>44550</v>
      </c>
      <c r="M2649" s="5">
        <f>tblSales[[#This Row],[DPP (excl. VAT)]]+tblSales[[#This Row],[Output VAT]]</f>
        <v>449550</v>
      </c>
      <c r="N2649" s="5">
        <f>tblSales[[#This Row],[Qty]]*_xlfn.XLOOKUP(tblSales[[#This Row],[Product Code]],tblProducts[Code],tblProducts[Unit Cost],0)</f>
        <v>216000</v>
      </c>
      <c r="O2649" s="4" t="s">
        <v>4865</v>
      </c>
      <c r="P2649" s="4" t="s">
        <v>4860</v>
      </c>
      <c r="Q2649" s="1" t="str">
        <f>_xlfn.XLOOKUP(tblSales[[#This Row],[Channel Code]],tblChannels[Channel Code],tblChannels[Channel Name],"")</f>
        <v>In-store</v>
      </c>
      <c r="R2649" s="1">
        <f>MONTH(tblSales[[#This Row],[Date]])</f>
        <v>6</v>
      </c>
    </row>
    <row r="2650" spans="2:18" x14ac:dyDescent="0.35">
      <c r="B2650" s="113">
        <v>46182</v>
      </c>
      <c r="C2650" s="4" t="s">
        <v>1772</v>
      </c>
      <c r="D2650" s="4" t="s">
        <v>4568</v>
      </c>
      <c r="E2650" s="1" t="str">
        <f>_xlfn.XLOOKUP(tblSales[[#This Row],[Customer ID]],tblCustomers[Customer ID],tblCustomers[Customer Name],"⚠ Unknown")</f>
        <v>Walk-in Customer</v>
      </c>
      <c r="F2650" s="4" t="s">
        <v>11</v>
      </c>
      <c r="G2650" s="1" t="str">
        <f>_xlfn.XLOOKUP(tblSales[[#This Row],[Product Code]],tblProducts[Code],tblProducts[Product / Service Name],"⚠ Unknown")</f>
        <v>Sneakers</v>
      </c>
      <c r="H2650" s="1" t="str">
        <f>_xlfn.XLOOKUP(tblSales[[#This Row],[Product Code]],tblProducts[Code],tblProducts[Category],"")</f>
        <v>Apparel &amp; Footwear</v>
      </c>
      <c r="I2650" s="4">
        <v>4</v>
      </c>
      <c r="J2650" s="5">
        <f>_xlfn.XLOOKUP(tblSales[[#This Row],[Product Code]],tblProducts[Code],tblProducts[Selling Price (excl. VAT)],0)</f>
        <v>250000</v>
      </c>
      <c r="K2650" s="5">
        <f>tblSales[[#This Row],[Qty]]*tblSales[[#This Row],[Unit Price]]</f>
        <v>1000000</v>
      </c>
      <c r="L2650" s="5">
        <f>ROUND(tblSales[[#This Row],[DPP (excl. VAT)]]*VATEff,0)</f>
        <v>110000</v>
      </c>
      <c r="M2650" s="5">
        <f>tblSales[[#This Row],[DPP (excl. VAT)]]+tblSales[[#This Row],[Output VAT]]</f>
        <v>1110000</v>
      </c>
      <c r="N2650" s="5">
        <f>tblSales[[#This Row],[Qty]]*_xlfn.XLOOKUP(tblSales[[#This Row],[Product Code]],tblProducts[Code],tblProducts[Unit Cost],0)</f>
        <v>620000</v>
      </c>
      <c r="O2650" s="4" t="s">
        <v>4866</v>
      </c>
      <c r="P2650" s="4" t="s">
        <v>4861</v>
      </c>
      <c r="Q2650" s="1" t="str">
        <f>_xlfn.XLOOKUP(tblSales[[#This Row],[Channel Code]],tblChannels[Channel Code],tblChannels[Channel Name],"")</f>
        <v>Marketplace</v>
      </c>
      <c r="R2650" s="1">
        <f>MONTH(tblSales[[#This Row],[Date]])</f>
        <v>6</v>
      </c>
    </row>
    <row r="2651" spans="2:18" x14ac:dyDescent="0.35">
      <c r="B2651" s="113">
        <v>46182</v>
      </c>
      <c r="C2651" s="4" t="s">
        <v>1772</v>
      </c>
      <c r="D2651" s="4" t="s">
        <v>4568</v>
      </c>
      <c r="E2651" s="1" t="str">
        <f>_xlfn.XLOOKUP(tblSales[[#This Row],[Customer ID]],tblCustomers[Customer ID],tblCustomers[Customer Name],"⚠ Unknown")</f>
        <v>Walk-in Customer</v>
      </c>
      <c r="F2651" s="4" t="s">
        <v>9</v>
      </c>
      <c r="G2651" s="1" t="str">
        <f>_xlfn.XLOOKUP(tblSales[[#This Row],[Product Code]],tblProducts[Code],tblProducts[Product / Service Name],"⚠ Unknown")</f>
        <v>Casual Shirt</v>
      </c>
      <c r="H2651" s="1" t="str">
        <f>_xlfn.XLOOKUP(tblSales[[#This Row],[Product Code]],tblProducts[Code],tblProducts[Category],"")</f>
        <v>Apparel &amp; Footwear</v>
      </c>
      <c r="I2651" s="4">
        <v>1</v>
      </c>
      <c r="J2651" s="5">
        <f>_xlfn.XLOOKUP(tblSales[[#This Row],[Product Code]],tblProducts[Code],tblProducts[Selling Price (excl. VAT)],0)</f>
        <v>120000</v>
      </c>
      <c r="K2651" s="5">
        <f>tblSales[[#This Row],[Qty]]*tblSales[[#This Row],[Unit Price]]</f>
        <v>120000</v>
      </c>
      <c r="L2651" s="5">
        <f>ROUND(tblSales[[#This Row],[DPP (excl. VAT)]]*VATEff,0)</f>
        <v>13200</v>
      </c>
      <c r="M2651" s="5">
        <f>tblSales[[#This Row],[DPP (excl. VAT)]]+tblSales[[#This Row],[Output VAT]]</f>
        <v>133200</v>
      </c>
      <c r="N2651" s="5">
        <f>tblSales[[#This Row],[Qty]]*_xlfn.XLOOKUP(tblSales[[#This Row],[Product Code]],tblProducts[Code],tblProducts[Unit Cost],0)</f>
        <v>72000</v>
      </c>
      <c r="O2651" s="4" t="s">
        <v>4866</v>
      </c>
      <c r="P2651" s="4" t="s">
        <v>4861</v>
      </c>
      <c r="Q2651" s="1" t="str">
        <f>_xlfn.XLOOKUP(tblSales[[#This Row],[Channel Code]],tblChannels[Channel Code],tblChannels[Channel Name],"")</f>
        <v>Marketplace</v>
      </c>
      <c r="R2651" s="1">
        <f>MONTH(tblSales[[#This Row],[Date]])</f>
        <v>6</v>
      </c>
    </row>
    <row r="2652" spans="2:18" x14ac:dyDescent="0.35">
      <c r="B2652" s="113">
        <v>46182</v>
      </c>
      <c r="C2652" s="4" t="s">
        <v>1773</v>
      </c>
      <c r="D2652" s="4" t="s">
        <v>4578</v>
      </c>
      <c r="E2652" s="1" t="str">
        <f>_xlfn.XLOOKUP(tblSales[[#This Row],[Customer ID]],tblCustomers[Customer ID],tblCustomers[Customer Name],"⚠ Unknown")</f>
        <v>PT Bintang Timur Sejahtera</v>
      </c>
      <c r="F2652" s="4" t="s">
        <v>13</v>
      </c>
      <c r="G2652" s="1" t="str">
        <f>_xlfn.XLOOKUP(tblSales[[#This Row],[Product Code]],tblProducts[Code],tblProducts[Product / Service Name],"⚠ Unknown")</f>
        <v>Backpack</v>
      </c>
      <c r="H2652" s="1" t="str">
        <f>_xlfn.XLOOKUP(tblSales[[#This Row],[Product Code]],tblProducts[Code],tblProducts[Category],"")</f>
        <v>Bags &amp; Gadgets</v>
      </c>
      <c r="I2652" s="4">
        <v>8</v>
      </c>
      <c r="J2652" s="5">
        <f>_xlfn.XLOOKUP(tblSales[[#This Row],[Product Code]],tblProducts[Code],tblProducts[Selling Price (excl. VAT)],0)</f>
        <v>500000</v>
      </c>
      <c r="K2652" s="5">
        <f>tblSales[[#This Row],[Qty]]*tblSales[[#This Row],[Unit Price]]</f>
        <v>4000000</v>
      </c>
      <c r="L2652" s="5">
        <f>ROUND(tblSales[[#This Row],[DPP (excl. VAT)]]*VATEff,0)</f>
        <v>440000</v>
      </c>
      <c r="M2652" s="5">
        <f>tblSales[[#This Row],[DPP (excl. VAT)]]+tblSales[[#This Row],[Output VAT]]</f>
        <v>4440000</v>
      </c>
      <c r="N2652" s="5">
        <f>tblSales[[#This Row],[Qty]]*_xlfn.XLOOKUP(tblSales[[#This Row],[Product Code]],tblProducts[Code],tblProducts[Unit Cost],0)</f>
        <v>2320000</v>
      </c>
      <c r="O2652" s="4" t="s">
        <v>4867</v>
      </c>
      <c r="P2652" s="4" t="s">
        <v>4860</v>
      </c>
      <c r="Q2652" s="1" t="str">
        <f>_xlfn.XLOOKUP(tblSales[[#This Row],[Channel Code]],tblChannels[Channel Code],tblChannels[Channel Name],"")</f>
        <v>In-store</v>
      </c>
      <c r="R2652" s="1">
        <f>MONTH(tblSales[[#This Row],[Date]])</f>
        <v>6</v>
      </c>
    </row>
    <row r="2653" spans="2:18" x14ac:dyDescent="0.35">
      <c r="B2653" s="113">
        <v>46182</v>
      </c>
      <c r="C2653" s="4" t="s">
        <v>1774</v>
      </c>
      <c r="D2653" s="4" t="s">
        <v>4568</v>
      </c>
      <c r="E2653" s="1" t="str">
        <f>_xlfn.XLOOKUP(tblSales[[#This Row],[Customer ID]],tblCustomers[Customer ID],tblCustomers[Customer Name],"⚠ Unknown")</f>
        <v>Walk-in Customer</v>
      </c>
      <c r="F2653" s="4" t="s">
        <v>6</v>
      </c>
      <c r="G2653" s="1" t="str">
        <f>_xlfn.XLOOKUP(tblSales[[#This Row],[Product Code]],tblProducts[Code],tblProducts[Product / Service Name],"⚠ Unknown")</f>
        <v>Socks &amp; Accessories</v>
      </c>
      <c r="H2653" s="1" t="str">
        <f>_xlfn.XLOOKUP(tblSales[[#This Row],[Product Code]],tblProducts[Code],tblProducts[Category],"")</f>
        <v>Accessories &amp; Basics</v>
      </c>
      <c r="I2653" s="4">
        <v>4</v>
      </c>
      <c r="J2653" s="5">
        <f>_xlfn.XLOOKUP(tblSales[[#This Row],[Product Code]],tblProducts[Code],tblProducts[Selling Price (excl. VAT)],0)</f>
        <v>45000</v>
      </c>
      <c r="K2653" s="5">
        <f>tblSales[[#This Row],[Qty]]*tblSales[[#This Row],[Unit Price]]</f>
        <v>180000</v>
      </c>
      <c r="L2653" s="5">
        <f>ROUND(tblSales[[#This Row],[DPP (excl. VAT)]]*VATEff,0)</f>
        <v>19800</v>
      </c>
      <c r="M2653" s="5">
        <f>tblSales[[#This Row],[DPP (excl. VAT)]]+tblSales[[#This Row],[Output VAT]]</f>
        <v>199800</v>
      </c>
      <c r="N2653" s="5">
        <f>tblSales[[#This Row],[Qty]]*_xlfn.XLOOKUP(tblSales[[#This Row],[Product Code]],tblProducts[Code],tblProducts[Unit Cost],0)</f>
        <v>96000</v>
      </c>
      <c r="O2653" s="4" t="s">
        <v>4865</v>
      </c>
      <c r="P2653" s="4" t="s">
        <v>4860</v>
      </c>
      <c r="Q2653" s="1" t="str">
        <f>_xlfn.XLOOKUP(tblSales[[#This Row],[Channel Code]],tblChannels[Channel Code],tblChannels[Channel Name],"")</f>
        <v>In-store</v>
      </c>
      <c r="R2653" s="1">
        <f>MONTH(tblSales[[#This Row],[Date]])</f>
        <v>6</v>
      </c>
    </row>
    <row r="2654" spans="2:18" x14ac:dyDescent="0.35">
      <c r="B2654" s="113">
        <v>46182</v>
      </c>
      <c r="C2654" s="4" t="s">
        <v>1775</v>
      </c>
      <c r="D2654" s="4" t="s">
        <v>4572</v>
      </c>
      <c r="E2654" s="1" t="str">
        <f>_xlfn.XLOOKUP(tblSales[[#This Row],[Customer ID]],tblCustomers[Customer ID],tblCustomers[Customer Name],"⚠ Unknown")</f>
        <v>PT Cahaya Abadi Makmur</v>
      </c>
      <c r="F2654" s="4" t="s">
        <v>10</v>
      </c>
      <c r="G2654" s="1" t="str">
        <f>_xlfn.XLOOKUP(tblSales[[#This Row],[Product Code]],tblProducts[Code],tblProducts[Product / Service Name],"⚠ Unknown")</f>
        <v>Chino Pants</v>
      </c>
      <c r="H2654" s="1" t="str">
        <f>_xlfn.XLOOKUP(tblSales[[#This Row],[Product Code]],tblProducts[Code],tblProducts[Category],"")</f>
        <v>Apparel &amp; Footwear</v>
      </c>
      <c r="I2654" s="4">
        <v>72</v>
      </c>
      <c r="J2654" s="5">
        <f>_xlfn.XLOOKUP(tblSales[[#This Row],[Product Code]],tblProducts[Code],tblProducts[Selling Price (excl. VAT)],0)</f>
        <v>150000</v>
      </c>
      <c r="K2654" s="5">
        <f>tblSales[[#This Row],[Qty]]*tblSales[[#This Row],[Unit Price]]</f>
        <v>10800000</v>
      </c>
      <c r="L2654" s="5">
        <f>ROUND(tblSales[[#This Row],[DPP (excl. VAT)]]*VATEff,0)</f>
        <v>1188000</v>
      </c>
      <c r="M2654" s="5">
        <f>tblSales[[#This Row],[DPP (excl. VAT)]]+tblSales[[#This Row],[Output VAT]]</f>
        <v>11988000</v>
      </c>
      <c r="N2654" s="5">
        <f>tblSales[[#This Row],[Qty]]*_xlfn.XLOOKUP(tblSales[[#This Row],[Product Code]],tblProducts[Code],tblProducts[Unit Cost],0)</f>
        <v>6336000</v>
      </c>
      <c r="O2654" s="4" t="s">
        <v>4867</v>
      </c>
      <c r="P2654" s="4" t="s">
        <v>4860</v>
      </c>
      <c r="Q2654" s="1" t="str">
        <f>_xlfn.XLOOKUP(tblSales[[#This Row],[Channel Code]],tblChannels[Channel Code],tblChannels[Channel Name],"")</f>
        <v>In-store</v>
      </c>
      <c r="R2654" s="1">
        <f>MONTH(tblSales[[#This Row],[Date]])</f>
        <v>6</v>
      </c>
    </row>
    <row r="2655" spans="2:18" x14ac:dyDescent="0.35">
      <c r="B2655" s="113">
        <v>46182</v>
      </c>
      <c r="C2655" s="4" t="s">
        <v>1776</v>
      </c>
      <c r="D2655" s="4" t="s">
        <v>4568</v>
      </c>
      <c r="E2655" s="1" t="str">
        <f>_xlfn.XLOOKUP(tblSales[[#This Row],[Customer ID]],tblCustomers[Customer ID],tblCustomers[Customer Name],"⚠ Unknown")</f>
        <v>Walk-in Customer</v>
      </c>
      <c r="F2655" s="4" t="s">
        <v>7</v>
      </c>
      <c r="G2655" s="1" t="str">
        <f>_xlfn.XLOOKUP(tblSales[[#This Row],[Product Code]],tblProducts[Code],tblProducts[Product / Service Name],"⚠ Unknown")</f>
        <v>Premium Basic T-shirt</v>
      </c>
      <c r="H2655" s="1" t="str">
        <f>_xlfn.XLOOKUP(tblSales[[#This Row],[Product Code]],tblProducts[Code],tblProducts[Category],"")</f>
        <v>Accessories &amp; Basics</v>
      </c>
      <c r="I2655" s="4">
        <v>11</v>
      </c>
      <c r="J2655" s="5">
        <f>_xlfn.XLOOKUP(tblSales[[#This Row],[Product Code]],tblProducts[Code],tblProducts[Selling Price (excl. VAT)],0)</f>
        <v>65000</v>
      </c>
      <c r="K2655" s="5">
        <f>tblSales[[#This Row],[Qty]]*tblSales[[#This Row],[Unit Price]]</f>
        <v>715000</v>
      </c>
      <c r="L2655" s="5">
        <f>ROUND(tblSales[[#This Row],[DPP (excl. VAT)]]*VATEff,0)</f>
        <v>78650</v>
      </c>
      <c r="M2655" s="5">
        <f>tblSales[[#This Row],[DPP (excl. VAT)]]+tblSales[[#This Row],[Output VAT]]</f>
        <v>793650</v>
      </c>
      <c r="N2655" s="5">
        <f>tblSales[[#This Row],[Qty]]*_xlfn.XLOOKUP(tblSales[[#This Row],[Product Code]],tblProducts[Code],tblProducts[Unit Cost],0)</f>
        <v>407000</v>
      </c>
      <c r="O2655" s="4" t="s">
        <v>4865</v>
      </c>
      <c r="P2655" s="4" t="s">
        <v>4860</v>
      </c>
      <c r="Q2655" s="1" t="str">
        <f>_xlfn.XLOOKUP(tblSales[[#This Row],[Channel Code]],tblChannels[Channel Code],tblChannels[Channel Name],"")</f>
        <v>In-store</v>
      </c>
      <c r="R2655" s="1">
        <f>MONTH(tblSales[[#This Row],[Date]])</f>
        <v>6</v>
      </c>
    </row>
    <row r="2656" spans="2:18" x14ac:dyDescent="0.35">
      <c r="B2656" s="113">
        <v>46182</v>
      </c>
      <c r="C2656" s="4" t="s">
        <v>1776</v>
      </c>
      <c r="D2656" s="4" t="s">
        <v>4568</v>
      </c>
      <c r="E2656" s="1" t="str">
        <f>_xlfn.XLOOKUP(tblSales[[#This Row],[Customer ID]],tblCustomers[Customer ID],tblCustomers[Customer Name],"⚠ Unknown")</f>
        <v>Walk-in Customer</v>
      </c>
      <c r="F2656" s="4" t="s">
        <v>12</v>
      </c>
      <c r="G2656" s="1" t="str">
        <f>_xlfn.XLOOKUP(tblSales[[#This Row],[Product Code]],tblProducts[Code],tblProducts[Product / Service Name],"⚠ Unknown")</f>
        <v>Bomber Jacket</v>
      </c>
      <c r="H2656" s="1" t="str">
        <f>_xlfn.XLOOKUP(tblSales[[#This Row],[Product Code]],tblProducts[Code],tblProducts[Category],"")</f>
        <v>Apparel &amp; Footwear</v>
      </c>
      <c r="I2656" s="4">
        <v>1</v>
      </c>
      <c r="J2656" s="5">
        <f>_xlfn.XLOOKUP(tblSales[[#This Row],[Product Code]],tblProducts[Code],tblProducts[Selling Price (excl. VAT)],0)</f>
        <v>350000</v>
      </c>
      <c r="K2656" s="5">
        <f>tblSales[[#This Row],[Qty]]*tblSales[[#This Row],[Unit Price]]</f>
        <v>350000</v>
      </c>
      <c r="L2656" s="5">
        <f>ROUND(tblSales[[#This Row],[DPP (excl. VAT)]]*VATEff,0)</f>
        <v>38500</v>
      </c>
      <c r="M2656" s="5">
        <f>tblSales[[#This Row],[DPP (excl. VAT)]]+tblSales[[#This Row],[Output VAT]]</f>
        <v>388500</v>
      </c>
      <c r="N2656" s="5">
        <f>tblSales[[#This Row],[Qty]]*_xlfn.XLOOKUP(tblSales[[#This Row],[Product Code]],tblProducts[Code],tblProducts[Unit Cost],0)</f>
        <v>210000</v>
      </c>
      <c r="O2656" s="4" t="s">
        <v>4865</v>
      </c>
      <c r="P2656" s="4" t="s">
        <v>4860</v>
      </c>
      <c r="Q2656" s="1" t="str">
        <f>_xlfn.XLOOKUP(tblSales[[#This Row],[Channel Code]],tblChannels[Channel Code],tblChannels[Channel Name],"")</f>
        <v>In-store</v>
      </c>
      <c r="R2656" s="1">
        <f>MONTH(tblSales[[#This Row],[Date]])</f>
        <v>6</v>
      </c>
    </row>
    <row r="2657" spans="2:18" x14ac:dyDescent="0.35">
      <c r="B2657" s="113">
        <v>46182</v>
      </c>
      <c r="C2657" s="4" t="s">
        <v>1776</v>
      </c>
      <c r="D2657" s="4" t="s">
        <v>4568</v>
      </c>
      <c r="E2657" s="1" t="str">
        <f>_xlfn.XLOOKUP(tblSales[[#This Row],[Customer ID]],tblCustomers[Customer ID],tblCustomers[Customer Name],"⚠ Unknown")</f>
        <v>Walk-in Customer</v>
      </c>
      <c r="F2657" s="4" t="s">
        <v>8</v>
      </c>
      <c r="G2657" s="1" t="str">
        <f>_xlfn.XLOOKUP(tblSales[[#This Row],[Product Code]],tblProducts[Code],tblProducts[Product / Service Name],"⚠ Unknown")</f>
        <v>Casual Shorts</v>
      </c>
      <c r="H2657" s="1" t="str">
        <f>_xlfn.XLOOKUP(tblSales[[#This Row],[Product Code]],tblProducts[Code],tblProducts[Category],"")</f>
        <v>Accessories &amp; Basics</v>
      </c>
      <c r="I2657" s="4">
        <v>10</v>
      </c>
      <c r="J2657" s="5">
        <f>_xlfn.XLOOKUP(tblSales[[#This Row],[Product Code]],tblProducts[Code],tblProducts[Selling Price (excl. VAT)],0)</f>
        <v>85000</v>
      </c>
      <c r="K2657" s="5">
        <f>tblSales[[#This Row],[Qty]]*tblSales[[#This Row],[Unit Price]]</f>
        <v>850000</v>
      </c>
      <c r="L2657" s="5">
        <f>ROUND(tblSales[[#This Row],[DPP (excl. VAT)]]*VATEff,0)</f>
        <v>93500</v>
      </c>
      <c r="M2657" s="5">
        <f>tblSales[[#This Row],[DPP (excl. VAT)]]+tblSales[[#This Row],[Output VAT]]</f>
        <v>943500</v>
      </c>
      <c r="N2657" s="5">
        <f>tblSales[[#This Row],[Qty]]*_xlfn.XLOOKUP(tblSales[[#This Row],[Product Code]],tblProducts[Code],tblProducts[Unit Cost],0)</f>
        <v>500000</v>
      </c>
      <c r="O2657" s="4" t="s">
        <v>4865</v>
      </c>
      <c r="P2657" s="4" t="s">
        <v>4860</v>
      </c>
      <c r="Q2657" s="1" t="str">
        <f>_xlfn.XLOOKUP(tblSales[[#This Row],[Channel Code]],tblChannels[Channel Code],tblChannels[Channel Name],"")</f>
        <v>In-store</v>
      </c>
      <c r="R2657" s="1">
        <f>MONTH(tblSales[[#This Row],[Date]])</f>
        <v>6</v>
      </c>
    </row>
    <row r="2658" spans="2:18" x14ac:dyDescent="0.35">
      <c r="B2658" s="113">
        <v>46182</v>
      </c>
      <c r="C2658" s="4" t="s">
        <v>1777</v>
      </c>
      <c r="D2658" s="4" t="s">
        <v>4568</v>
      </c>
      <c r="E2658" s="1" t="str">
        <f>_xlfn.XLOOKUP(tblSales[[#This Row],[Customer ID]],tblCustomers[Customer ID],tblCustomers[Customer Name],"⚠ Unknown")</f>
        <v>Walk-in Customer</v>
      </c>
      <c r="F2658" s="4" t="s">
        <v>11</v>
      </c>
      <c r="G2658" s="1" t="str">
        <f>_xlfn.XLOOKUP(tblSales[[#This Row],[Product Code]],tblProducts[Code],tblProducts[Product / Service Name],"⚠ Unknown")</f>
        <v>Sneakers</v>
      </c>
      <c r="H2658" s="1" t="str">
        <f>_xlfn.XLOOKUP(tblSales[[#This Row],[Product Code]],tblProducts[Code],tblProducts[Category],"")</f>
        <v>Apparel &amp; Footwear</v>
      </c>
      <c r="I2658" s="4">
        <v>4</v>
      </c>
      <c r="J2658" s="5">
        <f>_xlfn.XLOOKUP(tblSales[[#This Row],[Product Code]],tblProducts[Code],tblProducts[Selling Price (excl. VAT)],0)</f>
        <v>250000</v>
      </c>
      <c r="K2658" s="5">
        <f>tblSales[[#This Row],[Qty]]*tblSales[[#This Row],[Unit Price]]</f>
        <v>1000000</v>
      </c>
      <c r="L2658" s="5">
        <f>ROUND(tblSales[[#This Row],[DPP (excl. VAT)]]*VATEff,0)</f>
        <v>110000</v>
      </c>
      <c r="M2658" s="5">
        <f>tblSales[[#This Row],[DPP (excl. VAT)]]+tblSales[[#This Row],[Output VAT]]</f>
        <v>1110000</v>
      </c>
      <c r="N2658" s="5">
        <f>tblSales[[#This Row],[Qty]]*_xlfn.XLOOKUP(tblSales[[#This Row],[Product Code]],tblProducts[Code],tblProducts[Unit Cost],0)</f>
        <v>620000</v>
      </c>
      <c r="O2658" s="4" t="s">
        <v>4866</v>
      </c>
      <c r="P2658" s="4" t="s">
        <v>4862</v>
      </c>
      <c r="Q2658" s="1" t="str">
        <f>_xlfn.XLOOKUP(tblSales[[#This Row],[Channel Code]],tblChannels[Channel Code],tblChannels[Channel Name],"")</f>
        <v>Website &amp; Social Media</v>
      </c>
      <c r="R2658" s="1">
        <f>MONTH(tblSales[[#This Row],[Date]])</f>
        <v>6</v>
      </c>
    </row>
    <row r="2659" spans="2:18" x14ac:dyDescent="0.35">
      <c r="B2659" s="113">
        <v>46182</v>
      </c>
      <c r="C2659" s="4" t="s">
        <v>1777</v>
      </c>
      <c r="D2659" s="4" t="s">
        <v>4568</v>
      </c>
      <c r="E2659" s="1" t="str">
        <f>_xlfn.XLOOKUP(tblSales[[#This Row],[Customer ID]],tblCustomers[Customer ID],tblCustomers[Customer Name],"⚠ Unknown")</f>
        <v>Walk-in Customer</v>
      </c>
      <c r="F2659" s="4" t="s">
        <v>7</v>
      </c>
      <c r="G2659" s="1" t="str">
        <f>_xlfn.XLOOKUP(tblSales[[#This Row],[Product Code]],tblProducts[Code],tblProducts[Product / Service Name],"⚠ Unknown")</f>
        <v>Premium Basic T-shirt</v>
      </c>
      <c r="H2659" s="1" t="str">
        <f>_xlfn.XLOOKUP(tblSales[[#This Row],[Product Code]],tblProducts[Code],tblProducts[Category],"")</f>
        <v>Accessories &amp; Basics</v>
      </c>
      <c r="I2659" s="4">
        <v>4</v>
      </c>
      <c r="J2659" s="5">
        <f>_xlfn.XLOOKUP(tblSales[[#This Row],[Product Code]],tblProducts[Code],tblProducts[Selling Price (excl. VAT)],0)</f>
        <v>65000</v>
      </c>
      <c r="K2659" s="5">
        <f>tblSales[[#This Row],[Qty]]*tblSales[[#This Row],[Unit Price]]</f>
        <v>260000</v>
      </c>
      <c r="L2659" s="5">
        <f>ROUND(tblSales[[#This Row],[DPP (excl. VAT)]]*VATEff,0)</f>
        <v>28600</v>
      </c>
      <c r="M2659" s="5">
        <f>tblSales[[#This Row],[DPP (excl. VAT)]]+tblSales[[#This Row],[Output VAT]]</f>
        <v>288600</v>
      </c>
      <c r="N2659" s="5">
        <f>tblSales[[#This Row],[Qty]]*_xlfn.XLOOKUP(tblSales[[#This Row],[Product Code]],tblProducts[Code],tblProducts[Unit Cost],0)</f>
        <v>148000</v>
      </c>
      <c r="O2659" s="4" t="s">
        <v>4866</v>
      </c>
      <c r="P2659" s="4" t="s">
        <v>4862</v>
      </c>
      <c r="Q2659" s="1" t="str">
        <f>_xlfn.XLOOKUP(tblSales[[#This Row],[Channel Code]],tblChannels[Channel Code],tblChannels[Channel Name],"")</f>
        <v>Website &amp; Social Media</v>
      </c>
      <c r="R2659" s="1">
        <f>MONTH(tblSales[[#This Row],[Date]])</f>
        <v>6</v>
      </c>
    </row>
    <row r="2660" spans="2:18" x14ac:dyDescent="0.35">
      <c r="B2660" s="113">
        <v>46182</v>
      </c>
      <c r="C2660" s="4" t="s">
        <v>1778</v>
      </c>
      <c r="D2660" s="4" t="s">
        <v>4599</v>
      </c>
      <c r="E2660" s="1" t="str">
        <f>_xlfn.XLOOKUP(tblSales[[#This Row],[Customer ID]],tblCustomers[Customer ID],tblCustomers[Customer Name],"⚠ Unknown")</f>
        <v>PT Samudra Jaya Logistik</v>
      </c>
      <c r="F2660" s="4" t="s">
        <v>9</v>
      </c>
      <c r="G2660" s="1" t="str">
        <f>_xlfn.XLOOKUP(tblSales[[#This Row],[Product Code]],tblProducts[Code],tblProducts[Product / Service Name],"⚠ Unknown")</f>
        <v>Casual Shirt</v>
      </c>
      <c r="H2660" s="1" t="str">
        <f>_xlfn.XLOOKUP(tblSales[[#This Row],[Product Code]],tblProducts[Code],tblProducts[Category],"")</f>
        <v>Apparel &amp; Footwear</v>
      </c>
      <c r="I2660" s="4">
        <v>80</v>
      </c>
      <c r="J2660" s="5">
        <f>_xlfn.XLOOKUP(tblSales[[#This Row],[Product Code]],tblProducts[Code],tblProducts[Selling Price (excl. VAT)],0)</f>
        <v>120000</v>
      </c>
      <c r="K2660" s="5">
        <f>tblSales[[#This Row],[Qty]]*tblSales[[#This Row],[Unit Price]]</f>
        <v>9600000</v>
      </c>
      <c r="L2660" s="5">
        <f>ROUND(tblSales[[#This Row],[DPP (excl. VAT)]]*VATEff,0)</f>
        <v>1056000</v>
      </c>
      <c r="M2660" s="5">
        <f>tblSales[[#This Row],[DPP (excl. VAT)]]+tblSales[[#This Row],[Output VAT]]</f>
        <v>10656000</v>
      </c>
      <c r="N2660" s="5">
        <f>tblSales[[#This Row],[Qty]]*_xlfn.XLOOKUP(tblSales[[#This Row],[Product Code]],tblProducts[Code],tblProducts[Unit Cost],0)</f>
        <v>5760000</v>
      </c>
      <c r="O2660" s="4" t="s">
        <v>4867</v>
      </c>
      <c r="P2660" s="4" t="s">
        <v>4860</v>
      </c>
      <c r="Q2660" s="1" t="str">
        <f>_xlfn.XLOOKUP(tblSales[[#This Row],[Channel Code]],tblChannels[Channel Code],tblChannels[Channel Name],"")</f>
        <v>In-store</v>
      </c>
      <c r="R2660" s="1">
        <f>MONTH(tblSales[[#This Row],[Date]])</f>
        <v>6</v>
      </c>
    </row>
    <row r="2661" spans="2:18" x14ac:dyDescent="0.35">
      <c r="B2661" s="113">
        <v>46182</v>
      </c>
      <c r="C2661" s="4" t="s">
        <v>1778</v>
      </c>
      <c r="D2661" s="4" t="s">
        <v>4599</v>
      </c>
      <c r="E2661" s="1" t="str">
        <f>_xlfn.XLOOKUP(tblSales[[#This Row],[Customer ID]],tblCustomers[Customer ID],tblCustomers[Customer Name],"⚠ Unknown")</f>
        <v>PT Samudra Jaya Logistik</v>
      </c>
      <c r="F2661" s="4" t="s">
        <v>13</v>
      </c>
      <c r="G2661" s="1" t="str">
        <f>_xlfn.XLOOKUP(tblSales[[#This Row],[Product Code]],tblProducts[Code],tblProducts[Product / Service Name],"⚠ Unknown")</f>
        <v>Backpack</v>
      </c>
      <c r="H2661" s="1" t="str">
        <f>_xlfn.XLOOKUP(tblSales[[#This Row],[Product Code]],tblProducts[Code],tblProducts[Category],"")</f>
        <v>Bags &amp; Gadgets</v>
      </c>
      <c r="I2661" s="4">
        <v>8</v>
      </c>
      <c r="J2661" s="5">
        <f>_xlfn.XLOOKUP(tblSales[[#This Row],[Product Code]],tblProducts[Code],tblProducts[Selling Price (excl. VAT)],0)</f>
        <v>500000</v>
      </c>
      <c r="K2661" s="5">
        <f>tblSales[[#This Row],[Qty]]*tblSales[[#This Row],[Unit Price]]</f>
        <v>4000000</v>
      </c>
      <c r="L2661" s="5">
        <f>ROUND(tblSales[[#This Row],[DPP (excl. VAT)]]*VATEff,0)</f>
        <v>440000</v>
      </c>
      <c r="M2661" s="5">
        <f>tblSales[[#This Row],[DPP (excl. VAT)]]+tblSales[[#This Row],[Output VAT]]</f>
        <v>4440000</v>
      </c>
      <c r="N2661" s="5">
        <f>tblSales[[#This Row],[Qty]]*_xlfn.XLOOKUP(tblSales[[#This Row],[Product Code]],tblProducts[Code],tblProducts[Unit Cost],0)</f>
        <v>2320000</v>
      </c>
      <c r="O2661" s="4" t="s">
        <v>4867</v>
      </c>
      <c r="P2661" s="4" t="s">
        <v>4860</v>
      </c>
      <c r="Q2661" s="1" t="str">
        <f>_xlfn.XLOOKUP(tblSales[[#This Row],[Channel Code]],tblChannels[Channel Code],tblChannels[Channel Name],"")</f>
        <v>In-store</v>
      </c>
      <c r="R2661" s="1">
        <f>MONTH(tblSales[[#This Row],[Date]])</f>
        <v>6</v>
      </c>
    </row>
    <row r="2662" spans="2:18" x14ac:dyDescent="0.35">
      <c r="B2662" s="113">
        <v>46182</v>
      </c>
      <c r="C2662" s="4" t="s">
        <v>1779</v>
      </c>
      <c r="D2662" s="4" t="s">
        <v>4568</v>
      </c>
      <c r="E2662" s="1" t="str">
        <f>_xlfn.XLOOKUP(tblSales[[#This Row],[Customer ID]],tblCustomers[Customer ID],tblCustomers[Customer Name],"⚠ Unknown")</f>
        <v>Walk-in Customer</v>
      </c>
      <c r="F2662" s="4" t="s">
        <v>7</v>
      </c>
      <c r="G2662" s="1" t="str">
        <f>_xlfn.XLOOKUP(tblSales[[#This Row],[Product Code]],tblProducts[Code],tblProducts[Product / Service Name],"⚠ Unknown")</f>
        <v>Premium Basic T-shirt</v>
      </c>
      <c r="H2662" s="1" t="str">
        <f>_xlfn.XLOOKUP(tblSales[[#This Row],[Product Code]],tblProducts[Code],tblProducts[Category],"")</f>
        <v>Accessories &amp; Basics</v>
      </c>
      <c r="I2662" s="4">
        <v>3</v>
      </c>
      <c r="J2662" s="5">
        <f>_xlfn.XLOOKUP(tblSales[[#This Row],[Product Code]],tblProducts[Code],tblProducts[Selling Price (excl. VAT)],0)</f>
        <v>65000</v>
      </c>
      <c r="K2662" s="5">
        <f>tblSales[[#This Row],[Qty]]*tblSales[[#This Row],[Unit Price]]</f>
        <v>195000</v>
      </c>
      <c r="L2662" s="5">
        <f>ROUND(tblSales[[#This Row],[DPP (excl. VAT)]]*VATEff,0)</f>
        <v>21450</v>
      </c>
      <c r="M2662" s="5">
        <f>tblSales[[#This Row],[DPP (excl. VAT)]]+tblSales[[#This Row],[Output VAT]]</f>
        <v>216450</v>
      </c>
      <c r="N2662" s="5">
        <f>tblSales[[#This Row],[Qty]]*_xlfn.XLOOKUP(tblSales[[#This Row],[Product Code]],tblProducts[Code],tblProducts[Unit Cost],0)</f>
        <v>111000</v>
      </c>
      <c r="O2662" s="4" t="s">
        <v>4866</v>
      </c>
      <c r="P2662" s="4" t="s">
        <v>4860</v>
      </c>
      <c r="Q2662" s="1" t="str">
        <f>_xlfn.XLOOKUP(tblSales[[#This Row],[Channel Code]],tblChannels[Channel Code],tblChannels[Channel Name],"")</f>
        <v>In-store</v>
      </c>
      <c r="R2662" s="1">
        <f>MONTH(tblSales[[#This Row],[Date]])</f>
        <v>6</v>
      </c>
    </row>
    <row r="2663" spans="2:18" x14ac:dyDescent="0.35">
      <c r="B2663" s="113">
        <v>46182</v>
      </c>
      <c r="C2663" s="4" t="s">
        <v>1779</v>
      </c>
      <c r="D2663" s="4" t="s">
        <v>4568</v>
      </c>
      <c r="E2663" s="1" t="str">
        <f>_xlfn.XLOOKUP(tblSales[[#This Row],[Customer ID]],tblCustomers[Customer ID],tblCustomers[Customer Name],"⚠ Unknown")</f>
        <v>Walk-in Customer</v>
      </c>
      <c r="F2663" s="4" t="s">
        <v>11</v>
      </c>
      <c r="G2663" s="1" t="str">
        <f>_xlfn.XLOOKUP(tblSales[[#This Row],[Product Code]],tblProducts[Code],tblProducts[Product / Service Name],"⚠ Unknown")</f>
        <v>Sneakers</v>
      </c>
      <c r="H2663" s="1" t="str">
        <f>_xlfn.XLOOKUP(tblSales[[#This Row],[Product Code]],tblProducts[Code],tblProducts[Category],"")</f>
        <v>Apparel &amp; Footwear</v>
      </c>
      <c r="I2663" s="4">
        <v>3</v>
      </c>
      <c r="J2663" s="5">
        <f>_xlfn.XLOOKUP(tblSales[[#This Row],[Product Code]],tblProducts[Code],tblProducts[Selling Price (excl. VAT)],0)</f>
        <v>250000</v>
      </c>
      <c r="K2663" s="5">
        <f>tblSales[[#This Row],[Qty]]*tblSales[[#This Row],[Unit Price]]</f>
        <v>750000</v>
      </c>
      <c r="L2663" s="5">
        <f>ROUND(tblSales[[#This Row],[DPP (excl. VAT)]]*VATEff,0)</f>
        <v>82500</v>
      </c>
      <c r="M2663" s="5">
        <f>tblSales[[#This Row],[DPP (excl. VAT)]]+tblSales[[#This Row],[Output VAT]]</f>
        <v>832500</v>
      </c>
      <c r="N2663" s="5">
        <f>tblSales[[#This Row],[Qty]]*_xlfn.XLOOKUP(tblSales[[#This Row],[Product Code]],tblProducts[Code],tblProducts[Unit Cost],0)</f>
        <v>465000</v>
      </c>
      <c r="O2663" s="4" t="s">
        <v>4866</v>
      </c>
      <c r="P2663" s="4" t="s">
        <v>4860</v>
      </c>
      <c r="Q2663" s="1" t="str">
        <f>_xlfn.XLOOKUP(tblSales[[#This Row],[Channel Code]],tblChannels[Channel Code],tblChannels[Channel Name],"")</f>
        <v>In-store</v>
      </c>
      <c r="R2663" s="1">
        <f>MONTH(tblSales[[#This Row],[Date]])</f>
        <v>6</v>
      </c>
    </row>
    <row r="2664" spans="2:18" x14ac:dyDescent="0.35">
      <c r="B2664" s="113">
        <v>46182</v>
      </c>
      <c r="C2664" s="4" t="s">
        <v>1780</v>
      </c>
      <c r="D2664" s="4" t="s">
        <v>4568</v>
      </c>
      <c r="E2664" s="1" t="str">
        <f>_xlfn.XLOOKUP(tblSales[[#This Row],[Customer ID]],tblCustomers[Customer ID],tblCustomers[Customer Name],"⚠ Unknown")</f>
        <v>Walk-in Customer</v>
      </c>
      <c r="F2664" s="4" t="s">
        <v>8</v>
      </c>
      <c r="G2664" s="1" t="str">
        <f>_xlfn.XLOOKUP(tblSales[[#This Row],[Product Code]],tblProducts[Code],tblProducts[Product / Service Name],"⚠ Unknown")</f>
        <v>Casual Shorts</v>
      </c>
      <c r="H2664" s="1" t="str">
        <f>_xlfn.XLOOKUP(tblSales[[#This Row],[Product Code]],tblProducts[Code],tblProducts[Category],"")</f>
        <v>Accessories &amp; Basics</v>
      </c>
      <c r="I2664" s="4">
        <v>11</v>
      </c>
      <c r="J2664" s="5">
        <f>_xlfn.XLOOKUP(tblSales[[#This Row],[Product Code]],tblProducts[Code],tblProducts[Selling Price (excl. VAT)],0)</f>
        <v>85000</v>
      </c>
      <c r="K2664" s="5">
        <f>tblSales[[#This Row],[Qty]]*tblSales[[#This Row],[Unit Price]]</f>
        <v>935000</v>
      </c>
      <c r="L2664" s="5">
        <f>ROUND(tblSales[[#This Row],[DPP (excl. VAT)]]*VATEff,0)</f>
        <v>102850</v>
      </c>
      <c r="M2664" s="5">
        <f>tblSales[[#This Row],[DPP (excl. VAT)]]+tblSales[[#This Row],[Output VAT]]</f>
        <v>1037850</v>
      </c>
      <c r="N2664" s="5">
        <f>tblSales[[#This Row],[Qty]]*_xlfn.XLOOKUP(tblSales[[#This Row],[Product Code]],tblProducts[Code],tblProducts[Unit Cost],0)</f>
        <v>550000</v>
      </c>
      <c r="O2664" s="4" t="s">
        <v>4866</v>
      </c>
      <c r="P2664" s="4" t="s">
        <v>4861</v>
      </c>
      <c r="Q2664" s="1" t="str">
        <f>_xlfn.XLOOKUP(tblSales[[#This Row],[Channel Code]],tblChannels[Channel Code],tblChannels[Channel Name],"")</f>
        <v>Marketplace</v>
      </c>
      <c r="R2664" s="1">
        <f>MONTH(tblSales[[#This Row],[Date]])</f>
        <v>6</v>
      </c>
    </row>
    <row r="2665" spans="2:18" x14ac:dyDescent="0.35">
      <c r="B2665" s="113">
        <v>46183</v>
      </c>
      <c r="C2665" s="4" t="s">
        <v>1781</v>
      </c>
      <c r="D2665" s="4" t="s">
        <v>4568</v>
      </c>
      <c r="E2665" s="1" t="str">
        <f>_xlfn.XLOOKUP(tblSales[[#This Row],[Customer ID]],tblCustomers[Customer ID],tblCustomers[Customer Name],"⚠ Unknown")</f>
        <v>Walk-in Customer</v>
      </c>
      <c r="F2665" s="4" t="s">
        <v>11</v>
      </c>
      <c r="G2665" s="1" t="str">
        <f>_xlfn.XLOOKUP(tblSales[[#This Row],[Product Code]],tblProducts[Code],tblProducts[Product / Service Name],"⚠ Unknown")</f>
        <v>Sneakers</v>
      </c>
      <c r="H2665" s="1" t="str">
        <f>_xlfn.XLOOKUP(tblSales[[#This Row],[Product Code]],tblProducts[Code],tblProducts[Category],"")</f>
        <v>Apparel &amp; Footwear</v>
      </c>
      <c r="I2665" s="4">
        <v>1</v>
      </c>
      <c r="J2665" s="5">
        <f>_xlfn.XLOOKUP(tblSales[[#This Row],[Product Code]],tblProducts[Code],tblProducts[Selling Price (excl. VAT)],0)</f>
        <v>250000</v>
      </c>
      <c r="K2665" s="5">
        <f>tblSales[[#This Row],[Qty]]*tblSales[[#This Row],[Unit Price]]</f>
        <v>250000</v>
      </c>
      <c r="L2665" s="5">
        <f>ROUND(tblSales[[#This Row],[DPP (excl. VAT)]]*VATEff,0)</f>
        <v>27500</v>
      </c>
      <c r="M2665" s="5">
        <f>tblSales[[#This Row],[DPP (excl. VAT)]]+tblSales[[#This Row],[Output VAT]]</f>
        <v>277500</v>
      </c>
      <c r="N2665" s="5">
        <f>tblSales[[#This Row],[Qty]]*_xlfn.XLOOKUP(tblSales[[#This Row],[Product Code]],tblProducts[Code],tblProducts[Unit Cost],0)</f>
        <v>155000</v>
      </c>
      <c r="O2665" s="4" t="s">
        <v>4865</v>
      </c>
      <c r="P2665" s="4" t="s">
        <v>4860</v>
      </c>
      <c r="Q2665" s="1" t="str">
        <f>_xlfn.XLOOKUP(tblSales[[#This Row],[Channel Code]],tblChannels[Channel Code],tblChannels[Channel Name],"")</f>
        <v>In-store</v>
      </c>
      <c r="R2665" s="1">
        <f>MONTH(tblSales[[#This Row],[Date]])</f>
        <v>6</v>
      </c>
    </row>
    <row r="2666" spans="2:18" x14ac:dyDescent="0.35">
      <c r="B2666" s="113">
        <v>46183</v>
      </c>
      <c r="C2666" s="4" t="s">
        <v>1781</v>
      </c>
      <c r="D2666" s="4" t="s">
        <v>4568</v>
      </c>
      <c r="E2666" s="1" t="str">
        <f>_xlfn.XLOOKUP(tblSales[[#This Row],[Customer ID]],tblCustomers[Customer ID],tblCustomers[Customer Name],"⚠ Unknown")</f>
        <v>Walk-in Customer</v>
      </c>
      <c r="F2666" s="4" t="s">
        <v>8</v>
      </c>
      <c r="G2666" s="1" t="str">
        <f>_xlfn.XLOOKUP(tblSales[[#This Row],[Product Code]],tblProducts[Code],tblProducts[Product / Service Name],"⚠ Unknown")</f>
        <v>Casual Shorts</v>
      </c>
      <c r="H2666" s="1" t="str">
        <f>_xlfn.XLOOKUP(tblSales[[#This Row],[Product Code]],tblProducts[Code],tblProducts[Category],"")</f>
        <v>Accessories &amp; Basics</v>
      </c>
      <c r="I2666" s="4">
        <v>3</v>
      </c>
      <c r="J2666" s="5">
        <f>_xlfn.XLOOKUP(tblSales[[#This Row],[Product Code]],tblProducts[Code],tblProducts[Selling Price (excl. VAT)],0)</f>
        <v>85000</v>
      </c>
      <c r="K2666" s="5">
        <f>tblSales[[#This Row],[Qty]]*tblSales[[#This Row],[Unit Price]]</f>
        <v>255000</v>
      </c>
      <c r="L2666" s="5">
        <f>ROUND(tblSales[[#This Row],[DPP (excl. VAT)]]*VATEff,0)</f>
        <v>28050</v>
      </c>
      <c r="M2666" s="5">
        <f>tblSales[[#This Row],[DPP (excl. VAT)]]+tblSales[[#This Row],[Output VAT]]</f>
        <v>283050</v>
      </c>
      <c r="N2666" s="5">
        <f>tblSales[[#This Row],[Qty]]*_xlfn.XLOOKUP(tblSales[[#This Row],[Product Code]],tblProducts[Code],tblProducts[Unit Cost],0)</f>
        <v>150000</v>
      </c>
      <c r="O2666" s="4" t="s">
        <v>4865</v>
      </c>
      <c r="P2666" s="4" t="s">
        <v>4860</v>
      </c>
      <c r="Q2666" s="1" t="str">
        <f>_xlfn.XLOOKUP(tblSales[[#This Row],[Channel Code]],tblChannels[Channel Code],tblChannels[Channel Name],"")</f>
        <v>In-store</v>
      </c>
      <c r="R2666" s="1">
        <f>MONTH(tblSales[[#This Row],[Date]])</f>
        <v>6</v>
      </c>
    </row>
    <row r="2667" spans="2:18" x14ac:dyDescent="0.35">
      <c r="B2667" s="113">
        <v>46183</v>
      </c>
      <c r="C2667" s="4" t="s">
        <v>1782</v>
      </c>
      <c r="D2667" s="4" t="s">
        <v>4568</v>
      </c>
      <c r="E2667" s="1" t="str">
        <f>_xlfn.XLOOKUP(tblSales[[#This Row],[Customer ID]],tblCustomers[Customer ID],tblCustomers[Customer Name],"⚠ Unknown")</f>
        <v>Walk-in Customer</v>
      </c>
      <c r="F2667" s="4" t="s">
        <v>8</v>
      </c>
      <c r="G2667" s="1" t="str">
        <f>_xlfn.XLOOKUP(tblSales[[#This Row],[Product Code]],tblProducts[Code],tblProducts[Product / Service Name],"⚠ Unknown")</f>
        <v>Casual Shorts</v>
      </c>
      <c r="H2667" s="1" t="str">
        <f>_xlfn.XLOOKUP(tblSales[[#This Row],[Product Code]],tblProducts[Code],tblProducts[Category],"")</f>
        <v>Accessories &amp; Basics</v>
      </c>
      <c r="I2667" s="4">
        <v>12</v>
      </c>
      <c r="J2667" s="5">
        <f>_xlfn.XLOOKUP(tblSales[[#This Row],[Product Code]],tblProducts[Code],tblProducts[Selling Price (excl. VAT)],0)</f>
        <v>85000</v>
      </c>
      <c r="K2667" s="5">
        <f>tblSales[[#This Row],[Qty]]*tblSales[[#This Row],[Unit Price]]</f>
        <v>1020000</v>
      </c>
      <c r="L2667" s="5">
        <f>ROUND(tblSales[[#This Row],[DPP (excl. VAT)]]*VATEff,0)</f>
        <v>112200</v>
      </c>
      <c r="M2667" s="5">
        <f>tblSales[[#This Row],[DPP (excl. VAT)]]+tblSales[[#This Row],[Output VAT]]</f>
        <v>1132200</v>
      </c>
      <c r="N2667" s="5">
        <f>tblSales[[#This Row],[Qty]]*_xlfn.XLOOKUP(tblSales[[#This Row],[Product Code]],tblProducts[Code],tblProducts[Unit Cost],0)</f>
        <v>600000</v>
      </c>
      <c r="O2667" s="4" t="s">
        <v>4865</v>
      </c>
      <c r="P2667" s="4" t="s">
        <v>4860</v>
      </c>
      <c r="Q2667" s="1" t="str">
        <f>_xlfn.XLOOKUP(tblSales[[#This Row],[Channel Code]],tblChannels[Channel Code],tblChannels[Channel Name],"")</f>
        <v>In-store</v>
      </c>
      <c r="R2667" s="1">
        <f>MONTH(tblSales[[#This Row],[Date]])</f>
        <v>6</v>
      </c>
    </row>
    <row r="2668" spans="2:18" x14ac:dyDescent="0.35">
      <c r="B2668" s="113">
        <v>46183</v>
      </c>
      <c r="C2668" s="4" t="s">
        <v>1782</v>
      </c>
      <c r="D2668" s="4" t="s">
        <v>4568</v>
      </c>
      <c r="E2668" s="1" t="str">
        <f>_xlfn.XLOOKUP(tblSales[[#This Row],[Customer ID]],tblCustomers[Customer ID],tblCustomers[Customer Name],"⚠ Unknown")</f>
        <v>Walk-in Customer</v>
      </c>
      <c r="F2668" s="4" t="s">
        <v>6</v>
      </c>
      <c r="G2668" s="1" t="str">
        <f>_xlfn.XLOOKUP(tblSales[[#This Row],[Product Code]],tblProducts[Code],tblProducts[Product / Service Name],"⚠ Unknown")</f>
        <v>Socks &amp; Accessories</v>
      </c>
      <c r="H2668" s="1" t="str">
        <f>_xlfn.XLOOKUP(tblSales[[#This Row],[Product Code]],tblProducts[Code],tblProducts[Category],"")</f>
        <v>Accessories &amp; Basics</v>
      </c>
      <c r="I2668" s="4">
        <v>1</v>
      </c>
      <c r="J2668" s="5">
        <f>_xlfn.XLOOKUP(tblSales[[#This Row],[Product Code]],tblProducts[Code],tblProducts[Selling Price (excl. VAT)],0)</f>
        <v>45000</v>
      </c>
      <c r="K2668" s="5">
        <f>tblSales[[#This Row],[Qty]]*tblSales[[#This Row],[Unit Price]]</f>
        <v>45000</v>
      </c>
      <c r="L2668" s="5">
        <f>ROUND(tblSales[[#This Row],[DPP (excl. VAT)]]*VATEff,0)</f>
        <v>4950</v>
      </c>
      <c r="M2668" s="5">
        <f>tblSales[[#This Row],[DPP (excl. VAT)]]+tblSales[[#This Row],[Output VAT]]</f>
        <v>49950</v>
      </c>
      <c r="N2668" s="5">
        <f>tblSales[[#This Row],[Qty]]*_xlfn.XLOOKUP(tblSales[[#This Row],[Product Code]],tblProducts[Code],tblProducts[Unit Cost],0)</f>
        <v>24000</v>
      </c>
      <c r="O2668" s="4" t="s">
        <v>4865</v>
      </c>
      <c r="P2668" s="4" t="s">
        <v>4860</v>
      </c>
      <c r="Q2668" s="1" t="str">
        <f>_xlfn.XLOOKUP(tblSales[[#This Row],[Channel Code]],tblChannels[Channel Code],tblChannels[Channel Name],"")</f>
        <v>In-store</v>
      </c>
      <c r="R2668" s="1">
        <f>MONTH(tblSales[[#This Row],[Date]])</f>
        <v>6</v>
      </c>
    </row>
    <row r="2669" spans="2:18" x14ac:dyDescent="0.35">
      <c r="B2669" s="113">
        <v>46183</v>
      </c>
      <c r="C2669" s="4" t="s">
        <v>1783</v>
      </c>
      <c r="D2669" s="4" t="s">
        <v>4641</v>
      </c>
      <c r="E2669" s="1" t="str">
        <f>_xlfn.XLOOKUP(tblSales[[#This Row],[Customer ID]],tblCustomers[Customer ID],tblCustomers[Customer Name],"⚠ Unknown")</f>
        <v>PT Harmoni Pangan Lestari</v>
      </c>
      <c r="F2669" s="4" t="s">
        <v>11</v>
      </c>
      <c r="G2669" s="1" t="str">
        <f>_xlfn.XLOOKUP(tblSales[[#This Row],[Product Code]],tblProducts[Code],tblProducts[Product / Service Name],"⚠ Unknown")</f>
        <v>Sneakers</v>
      </c>
      <c r="H2669" s="1" t="str">
        <f>_xlfn.XLOOKUP(tblSales[[#This Row],[Product Code]],tblProducts[Code],tblProducts[Category],"")</f>
        <v>Apparel &amp; Footwear</v>
      </c>
      <c r="I2669" s="4">
        <v>8</v>
      </c>
      <c r="J2669" s="5">
        <f>_xlfn.XLOOKUP(tblSales[[#This Row],[Product Code]],tblProducts[Code],tblProducts[Selling Price (excl. VAT)],0)</f>
        <v>250000</v>
      </c>
      <c r="K2669" s="5">
        <f>tblSales[[#This Row],[Qty]]*tblSales[[#This Row],[Unit Price]]</f>
        <v>2000000</v>
      </c>
      <c r="L2669" s="5">
        <f>ROUND(tblSales[[#This Row],[DPP (excl. VAT)]]*VATEff,0)</f>
        <v>220000</v>
      </c>
      <c r="M2669" s="5">
        <f>tblSales[[#This Row],[DPP (excl. VAT)]]+tblSales[[#This Row],[Output VAT]]</f>
        <v>2220000</v>
      </c>
      <c r="N2669" s="5">
        <f>tblSales[[#This Row],[Qty]]*_xlfn.XLOOKUP(tblSales[[#This Row],[Product Code]],tblProducts[Code],tblProducts[Unit Cost],0)</f>
        <v>1240000</v>
      </c>
      <c r="O2669" s="4" t="s">
        <v>4867</v>
      </c>
      <c r="P2669" s="4" t="s">
        <v>4862</v>
      </c>
      <c r="Q2669" s="1" t="str">
        <f>_xlfn.XLOOKUP(tblSales[[#This Row],[Channel Code]],tblChannels[Channel Code],tblChannels[Channel Name],"")</f>
        <v>Website &amp; Social Media</v>
      </c>
      <c r="R2669" s="1">
        <f>MONTH(tblSales[[#This Row],[Date]])</f>
        <v>6</v>
      </c>
    </row>
    <row r="2670" spans="2:18" x14ac:dyDescent="0.35">
      <c r="B2670" s="113">
        <v>46183</v>
      </c>
      <c r="C2670" s="4" t="s">
        <v>1784</v>
      </c>
      <c r="D2670" s="4" t="s">
        <v>4568</v>
      </c>
      <c r="E2670" s="1" t="str">
        <f>_xlfn.XLOOKUP(tblSales[[#This Row],[Customer ID]],tblCustomers[Customer ID],tblCustomers[Customer Name],"⚠ Unknown")</f>
        <v>Walk-in Customer</v>
      </c>
      <c r="F2670" s="4" t="s">
        <v>14</v>
      </c>
      <c r="G2670" s="1" t="str">
        <f>_xlfn.XLOOKUP(tblSales[[#This Row],[Product Code]],tblProducts[Code],tblProducts[Product / Service Name],"⚠ Unknown")</f>
        <v>Smartwatch</v>
      </c>
      <c r="H2670" s="1" t="str">
        <f>_xlfn.XLOOKUP(tblSales[[#This Row],[Product Code]],tblProducts[Code],tblProducts[Category],"")</f>
        <v>Bags &amp; Gadgets</v>
      </c>
      <c r="I2670" s="4">
        <v>1</v>
      </c>
      <c r="J2670" s="5">
        <f>_xlfn.XLOOKUP(tblSales[[#This Row],[Product Code]],tblProducts[Code],tblProducts[Selling Price (excl. VAT)],0)</f>
        <v>850000</v>
      </c>
      <c r="K2670" s="5">
        <f>tblSales[[#This Row],[Qty]]*tblSales[[#This Row],[Unit Price]]</f>
        <v>850000</v>
      </c>
      <c r="L2670" s="5">
        <f>ROUND(tblSales[[#This Row],[DPP (excl. VAT)]]*VATEff,0)</f>
        <v>93500</v>
      </c>
      <c r="M2670" s="5">
        <f>tblSales[[#This Row],[DPP (excl. VAT)]]+tblSales[[#This Row],[Output VAT]]</f>
        <v>943500</v>
      </c>
      <c r="N2670" s="5">
        <f>tblSales[[#This Row],[Qty]]*_xlfn.XLOOKUP(tblSales[[#This Row],[Product Code]],tblProducts[Code],tblProducts[Unit Cost],0)</f>
        <v>560000</v>
      </c>
      <c r="O2670" s="4" t="s">
        <v>4866</v>
      </c>
      <c r="P2670" s="4" t="s">
        <v>4860</v>
      </c>
      <c r="Q2670" s="1" t="str">
        <f>_xlfn.XLOOKUP(tblSales[[#This Row],[Channel Code]],tblChannels[Channel Code],tblChannels[Channel Name],"")</f>
        <v>In-store</v>
      </c>
      <c r="R2670" s="1">
        <f>MONTH(tblSales[[#This Row],[Date]])</f>
        <v>6</v>
      </c>
    </row>
    <row r="2671" spans="2:18" x14ac:dyDescent="0.35">
      <c r="B2671" s="113">
        <v>46183</v>
      </c>
      <c r="C2671" s="4" t="s">
        <v>1785</v>
      </c>
      <c r="D2671" s="4" t="s">
        <v>4568</v>
      </c>
      <c r="E2671" s="1" t="str">
        <f>_xlfn.XLOOKUP(tblSales[[#This Row],[Customer ID]],tblCustomers[Customer ID],tblCustomers[Customer Name],"⚠ Unknown")</f>
        <v>Walk-in Customer</v>
      </c>
      <c r="F2671" s="4" t="s">
        <v>10</v>
      </c>
      <c r="G2671" s="1" t="str">
        <f>_xlfn.XLOOKUP(tblSales[[#This Row],[Product Code]],tblProducts[Code],tblProducts[Product / Service Name],"⚠ Unknown")</f>
        <v>Chino Pants</v>
      </c>
      <c r="H2671" s="1" t="str">
        <f>_xlfn.XLOOKUP(tblSales[[#This Row],[Product Code]],tblProducts[Code],tblProducts[Category],"")</f>
        <v>Apparel &amp; Footwear</v>
      </c>
      <c r="I2671" s="4">
        <v>11</v>
      </c>
      <c r="J2671" s="5">
        <f>_xlfn.XLOOKUP(tblSales[[#This Row],[Product Code]],tblProducts[Code],tblProducts[Selling Price (excl. VAT)],0)</f>
        <v>150000</v>
      </c>
      <c r="K2671" s="5">
        <f>tblSales[[#This Row],[Qty]]*tblSales[[#This Row],[Unit Price]]</f>
        <v>1650000</v>
      </c>
      <c r="L2671" s="5">
        <f>ROUND(tblSales[[#This Row],[DPP (excl. VAT)]]*VATEff,0)</f>
        <v>181500</v>
      </c>
      <c r="M2671" s="5">
        <f>tblSales[[#This Row],[DPP (excl. VAT)]]+tblSales[[#This Row],[Output VAT]]</f>
        <v>1831500</v>
      </c>
      <c r="N2671" s="5">
        <f>tblSales[[#This Row],[Qty]]*_xlfn.XLOOKUP(tblSales[[#This Row],[Product Code]],tblProducts[Code],tblProducts[Unit Cost],0)</f>
        <v>968000</v>
      </c>
      <c r="O2671" s="4" t="s">
        <v>4866</v>
      </c>
      <c r="P2671" s="4" t="s">
        <v>4861</v>
      </c>
      <c r="Q2671" s="1" t="str">
        <f>_xlfn.XLOOKUP(tblSales[[#This Row],[Channel Code]],tblChannels[Channel Code],tblChannels[Channel Name],"")</f>
        <v>Marketplace</v>
      </c>
      <c r="R2671" s="1">
        <f>MONTH(tblSales[[#This Row],[Date]])</f>
        <v>6</v>
      </c>
    </row>
    <row r="2672" spans="2:18" x14ac:dyDescent="0.35">
      <c r="B2672" s="113">
        <v>46183</v>
      </c>
      <c r="C2672" s="4" t="s">
        <v>1786</v>
      </c>
      <c r="D2672" s="4" t="s">
        <v>4568</v>
      </c>
      <c r="E2672" s="1" t="str">
        <f>_xlfn.XLOOKUP(tblSales[[#This Row],[Customer ID]],tblCustomers[Customer ID],tblCustomers[Customer Name],"⚠ Unknown")</f>
        <v>Walk-in Customer</v>
      </c>
      <c r="F2672" s="4" t="s">
        <v>7</v>
      </c>
      <c r="G2672" s="1" t="str">
        <f>_xlfn.XLOOKUP(tblSales[[#This Row],[Product Code]],tblProducts[Code],tblProducts[Product / Service Name],"⚠ Unknown")</f>
        <v>Premium Basic T-shirt</v>
      </c>
      <c r="H2672" s="1" t="str">
        <f>_xlfn.XLOOKUP(tblSales[[#This Row],[Product Code]],tblProducts[Code],tblProducts[Category],"")</f>
        <v>Accessories &amp; Basics</v>
      </c>
      <c r="I2672" s="4">
        <v>9</v>
      </c>
      <c r="J2672" s="5">
        <f>_xlfn.XLOOKUP(tblSales[[#This Row],[Product Code]],tblProducts[Code],tblProducts[Selling Price (excl. VAT)],0)</f>
        <v>65000</v>
      </c>
      <c r="K2672" s="5">
        <f>tblSales[[#This Row],[Qty]]*tblSales[[#This Row],[Unit Price]]</f>
        <v>585000</v>
      </c>
      <c r="L2672" s="5">
        <f>ROUND(tblSales[[#This Row],[DPP (excl. VAT)]]*VATEff,0)</f>
        <v>64350</v>
      </c>
      <c r="M2672" s="5">
        <f>tblSales[[#This Row],[DPP (excl. VAT)]]+tblSales[[#This Row],[Output VAT]]</f>
        <v>649350</v>
      </c>
      <c r="N2672" s="5">
        <f>tblSales[[#This Row],[Qty]]*_xlfn.XLOOKUP(tblSales[[#This Row],[Product Code]],tblProducts[Code],tblProducts[Unit Cost],0)</f>
        <v>333000</v>
      </c>
      <c r="O2672" s="4" t="s">
        <v>4865</v>
      </c>
      <c r="P2672" s="4" t="s">
        <v>4860</v>
      </c>
      <c r="Q2672" s="1" t="str">
        <f>_xlfn.XLOOKUP(tblSales[[#This Row],[Channel Code]],tblChannels[Channel Code],tblChannels[Channel Name],"")</f>
        <v>In-store</v>
      </c>
      <c r="R2672" s="1">
        <f>MONTH(tblSales[[#This Row],[Date]])</f>
        <v>6</v>
      </c>
    </row>
    <row r="2673" spans="2:18" x14ac:dyDescent="0.35">
      <c r="B2673" s="113">
        <v>46183</v>
      </c>
      <c r="C2673" s="4" t="s">
        <v>1787</v>
      </c>
      <c r="D2673" s="4" t="s">
        <v>4648</v>
      </c>
      <c r="E2673" s="1" t="str">
        <f>_xlfn.XLOOKUP(tblSales[[#This Row],[Customer ID]],tblCustomers[Customer ID],tblCustomers[Customer Name],"⚠ Unknown")</f>
        <v>PT Lintas Benua Niaga</v>
      </c>
      <c r="F2673" s="4" t="s">
        <v>9</v>
      </c>
      <c r="G2673" s="1" t="str">
        <f>_xlfn.XLOOKUP(tblSales[[#This Row],[Product Code]],tblProducts[Code],tblProducts[Product / Service Name],"⚠ Unknown")</f>
        <v>Casual Shirt</v>
      </c>
      <c r="H2673" s="1" t="str">
        <f>_xlfn.XLOOKUP(tblSales[[#This Row],[Product Code]],tblProducts[Code],tblProducts[Category],"")</f>
        <v>Apparel &amp; Footwear</v>
      </c>
      <c r="I2673" s="4">
        <v>16</v>
      </c>
      <c r="J2673" s="5">
        <f>_xlfn.XLOOKUP(tblSales[[#This Row],[Product Code]],tblProducts[Code],tblProducts[Selling Price (excl. VAT)],0)</f>
        <v>120000</v>
      </c>
      <c r="K2673" s="5">
        <f>tblSales[[#This Row],[Qty]]*tblSales[[#This Row],[Unit Price]]</f>
        <v>1920000</v>
      </c>
      <c r="L2673" s="5">
        <f>ROUND(tblSales[[#This Row],[DPP (excl. VAT)]]*VATEff,0)</f>
        <v>211200</v>
      </c>
      <c r="M2673" s="5">
        <f>tblSales[[#This Row],[DPP (excl. VAT)]]+tblSales[[#This Row],[Output VAT]]</f>
        <v>2131200</v>
      </c>
      <c r="N2673" s="5">
        <f>tblSales[[#This Row],[Qty]]*_xlfn.XLOOKUP(tblSales[[#This Row],[Product Code]],tblProducts[Code],tblProducts[Unit Cost],0)</f>
        <v>1152000</v>
      </c>
      <c r="O2673" s="4" t="s">
        <v>4867</v>
      </c>
      <c r="P2673" s="4" t="s">
        <v>4860</v>
      </c>
      <c r="Q2673" s="1" t="str">
        <f>_xlfn.XLOOKUP(tblSales[[#This Row],[Channel Code]],tblChannels[Channel Code],tblChannels[Channel Name],"")</f>
        <v>In-store</v>
      </c>
      <c r="R2673" s="1">
        <f>MONTH(tblSales[[#This Row],[Date]])</f>
        <v>6</v>
      </c>
    </row>
    <row r="2674" spans="2:18" x14ac:dyDescent="0.35">
      <c r="B2674" s="113">
        <v>46183</v>
      </c>
      <c r="C2674" s="4" t="s">
        <v>1787</v>
      </c>
      <c r="D2674" s="4" t="s">
        <v>4648</v>
      </c>
      <c r="E2674" s="1" t="str">
        <f>_xlfn.XLOOKUP(tblSales[[#This Row],[Customer ID]],tblCustomers[Customer ID],tblCustomers[Customer Name],"⚠ Unknown")</f>
        <v>PT Lintas Benua Niaga</v>
      </c>
      <c r="F2674" s="4" t="s">
        <v>8</v>
      </c>
      <c r="G2674" s="1" t="str">
        <f>_xlfn.XLOOKUP(tblSales[[#This Row],[Product Code]],tblProducts[Code],tblProducts[Product / Service Name],"⚠ Unknown")</f>
        <v>Casual Shorts</v>
      </c>
      <c r="H2674" s="1" t="str">
        <f>_xlfn.XLOOKUP(tblSales[[#This Row],[Product Code]],tblProducts[Code],tblProducts[Category],"")</f>
        <v>Accessories &amp; Basics</v>
      </c>
      <c r="I2674" s="4">
        <v>16</v>
      </c>
      <c r="J2674" s="5">
        <f>_xlfn.XLOOKUP(tblSales[[#This Row],[Product Code]],tblProducts[Code],tblProducts[Selling Price (excl. VAT)],0)</f>
        <v>85000</v>
      </c>
      <c r="K2674" s="5">
        <f>tblSales[[#This Row],[Qty]]*tblSales[[#This Row],[Unit Price]]</f>
        <v>1360000</v>
      </c>
      <c r="L2674" s="5">
        <f>ROUND(tblSales[[#This Row],[DPP (excl. VAT)]]*VATEff,0)</f>
        <v>149600</v>
      </c>
      <c r="M2674" s="5">
        <f>tblSales[[#This Row],[DPP (excl. VAT)]]+tblSales[[#This Row],[Output VAT]]</f>
        <v>1509600</v>
      </c>
      <c r="N2674" s="5">
        <f>tblSales[[#This Row],[Qty]]*_xlfn.XLOOKUP(tblSales[[#This Row],[Product Code]],tblProducts[Code],tblProducts[Unit Cost],0)</f>
        <v>800000</v>
      </c>
      <c r="O2674" s="4" t="s">
        <v>4867</v>
      </c>
      <c r="P2674" s="4" t="s">
        <v>4860</v>
      </c>
      <c r="Q2674" s="1" t="str">
        <f>_xlfn.XLOOKUP(tblSales[[#This Row],[Channel Code]],tblChannels[Channel Code],tblChannels[Channel Name],"")</f>
        <v>In-store</v>
      </c>
      <c r="R2674" s="1">
        <f>MONTH(tblSales[[#This Row],[Date]])</f>
        <v>6</v>
      </c>
    </row>
    <row r="2675" spans="2:18" x14ac:dyDescent="0.35">
      <c r="B2675" s="113">
        <v>46183</v>
      </c>
      <c r="C2675" s="4" t="s">
        <v>1788</v>
      </c>
      <c r="D2675" s="4" t="s">
        <v>4568</v>
      </c>
      <c r="E2675" s="1" t="str">
        <f>_xlfn.XLOOKUP(tblSales[[#This Row],[Customer ID]],tblCustomers[Customer ID],tblCustomers[Customer Name],"⚠ Unknown")</f>
        <v>Walk-in Customer</v>
      </c>
      <c r="F2675" s="4" t="s">
        <v>8</v>
      </c>
      <c r="G2675" s="1" t="str">
        <f>_xlfn.XLOOKUP(tblSales[[#This Row],[Product Code]],tblProducts[Code],tblProducts[Product / Service Name],"⚠ Unknown")</f>
        <v>Casual Shorts</v>
      </c>
      <c r="H2675" s="1" t="str">
        <f>_xlfn.XLOOKUP(tblSales[[#This Row],[Product Code]],tblProducts[Code],tblProducts[Category],"")</f>
        <v>Accessories &amp; Basics</v>
      </c>
      <c r="I2675" s="4">
        <v>10</v>
      </c>
      <c r="J2675" s="5">
        <f>_xlfn.XLOOKUP(tblSales[[#This Row],[Product Code]],tblProducts[Code],tblProducts[Selling Price (excl. VAT)],0)</f>
        <v>85000</v>
      </c>
      <c r="K2675" s="5">
        <f>tblSales[[#This Row],[Qty]]*tblSales[[#This Row],[Unit Price]]</f>
        <v>850000</v>
      </c>
      <c r="L2675" s="5">
        <f>ROUND(tblSales[[#This Row],[DPP (excl. VAT)]]*VATEff,0)</f>
        <v>93500</v>
      </c>
      <c r="M2675" s="5">
        <f>tblSales[[#This Row],[DPP (excl. VAT)]]+tblSales[[#This Row],[Output VAT]]</f>
        <v>943500</v>
      </c>
      <c r="N2675" s="5">
        <f>tblSales[[#This Row],[Qty]]*_xlfn.XLOOKUP(tblSales[[#This Row],[Product Code]],tblProducts[Code],tblProducts[Unit Cost],0)</f>
        <v>500000</v>
      </c>
      <c r="O2675" s="4" t="s">
        <v>4865</v>
      </c>
      <c r="P2675" s="4" t="s">
        <v>4860</v>
      </c>
      <c r="Q2675" s="1" t="str">
        <f>_xlfn.XLOOKUP(tblSales[[#This Row],[Channel Code]],tblChannels[Channel Code],tblChannels[Channel Name],"")</f>
        <v>In-store</v>
      </c>
      <c r="R2675" s="1">
        <f>MONTH(tblSales[[#This Row],[Date]])</f>
        <v>6</v>
      </c>
    </row>
    <row r="2676" spans="2:18" x14ac:dyDescent="0.35">
      <c r="B2676" s="113">
        <v>46183</v>
      </c>
      <c r="C2676" s="4" t="s">
        <v>1789</v>
      </c>
      <c r="D2676" s="4" t="s">
        <v>4568</v>
      </c>
      <c r="E2676" s="1" t="str">
        <f>_xlfn.XLOOKUP(tblSales[[#This Row],[Customer ID]],tblCustomers[Customer ID],tblCustomers[Customer Name],"⚠ Unknown")</f>
        <v>Walk-in Customer</v>
      </c>
      <c r="F2676" s="4" t="s">
        <v>6</v>
      </c>
      <c r="G2676" s="1" t="str">
        <f>_xlfn.XLOOKUP(tblSales[[#This Row],[Product Code]],tblProducts[Code],tblProducts[Product / Service Name],"⚠ Unknown")</f>
        <v>Socks &amp; Accessories</v>
      </c>
      <c r="H2676" s="1" t="str">
        <f>_xlfn.XLOOKUP(tblSales[[#This Row],[Product Code]],tblProducts[Code],tblProducts[Category],"")</f>
        <v>Accessories &amp; Basics</v>
      </c>
      <c r="I2676" s="4">
        <v>2</v>
      </c>
      <c r="J2676" s="5">
        <f>_xlfn.XLOOKUP(tblSales[[#This Row],[Product Code]],tblProducts[Code],tblProducts[Selling Price (excl. VAT)],0)</f>
        <v>45000</v>
      </c>
      <c r="K2676" s="5">
        <f>tblSales[[#This Row],[Qty]]*tblSales[[#This Row],[Unit Price]]</f>
        <v>90000</v>
      </c>
      <c r="L2676" s="5">
        <f>ROUND(tblSales[[#This Row],[DPP (excl. VAT)]]*VATEff,0)</f>
        <v>9900</v>
      </c>
      <c r="M2676" s="5">
        <f>tblSales[[#This Row],[DPP (excl. VAT)]]+tblSales[[#This Row],[Output VAT]]</f>
        <v>99900</v>
      </c>
      <c r="N2676" s="5">
        <f>tblSales[[#This Row],[Qty]]*_xlfn.XLOOKUP(tblSales[[#This Row],[Product Code]],tblProducts[Code],tblProducts[Unit Cost],0)</f>
        <v>48000</v>
      </c>
      <c r="O2676" s="4" t="s">
        <v>4865</v>
      </c>
      <c r="P2676" s="4" t="s">
        <v>4860</v>
      </c>
      <c r="Q2676" s="1" t="str">
        <f>_xlfn.XLOOKUP(tblSales[[#This Row],[Channel Code]],tblChannels[Channel Code],tblChannels[Channel Name],"")</f>
        <v>In-store</v>
      </c>
      <c r="R2676" s="1">
        <f>MONTH(tblSales[[#This Row],[Date]])</f>
        <v>6</v>
      </c>
    </row>
    <row r="2677" spans="2:18" x14ac:dyDescent="0.35">
      <c r="B2677" s="113">
        <v>46183</v>
      </c>
      <c r="C2677" s="4" t="s">
        <v>1790</v>
      </c>
      <c r="D2677" s="4" t="s">
        <v>4572</v>
      </c>
      <c r="E2677" s="1" t="str">
        <f>_xlfn.XLOOKUP(tblSales[[#This Row],[Customer ID]],tblCustomers[Customer ID],tblCustomers[Customer Name],"⚠ Unknown")</f>
        <v>PT Cahaya Abadi Makmur</v>
      </c>
      <c r="F2677" s="4" t="s">
        <v>7</v>
      </c>
      <c r="G2677" s="1" t="str">
        <f>_xlfn.XLOOKUP(tblSales[[#This Row],[Product Code]],tblProducts[Code],tblProducts[Product / Service Name],"⚠ Unknown")</f>
        <v>Premium Basic T-shirt</v>
      </c>
      <c r="H2677" s="1" t="str">
        <f>_xlfn.XLOOKUP(tblSales[[#This Row],[Product Code]],tblProducts[Code],tblProducts[Category],"")</f>
        <v>Accessories &amp; Basics</v>
      </c>
      <c r="I2677" s="4">
        <v>96</v>
      </c>
      <c r="J2677" s="5">
        <f>_xlfn.XLOOKUP(tblSales[[#This Row],[Product Code]],tblProducts[Code],tblProducts[Selling Price (excl. VAT)],0)</f>
        <v>65000</v>
      </c>
      <c r="K2677" s="5">
        <f>tblSales[[#This Row],[Qty]]*tblSales[[#This Row],[Unit Price]]</f>
        <v>6240000</v>
      </c>
      <c r="L2677" s="5">
        <f>ROUND(tblSales[[#This Row],[DPP (excl. VAT)]]*VATEff,0)</f>
        <v>686400</v>
      </c>
      <c r="M2677" s="5">
        <f>tblSales[[#This Row],[DPP (excl. VAT)]]+tblSales[[#This Row],[Output VAT]]</f>
        <v>6926400</v>
      </c>
      <c r="N2677" s="5">
        <f>tblSales[[#This Row],[Qty]]*_xlfn.XLOOKUP(tblSales[[#This Row],[Product Code]],tblProducts[Code],tblProducts[Unit Cost],0)</f>
        <v>3552000</v>
      </c>
      <c r="O2677" s="4" t="s">
        <v>4867</v>
      </c>
      <c r="P2677" s="4" t="s">
        <v>4860</v>
      </c>
      <c r="Q2677" s="1" t="str">
        <f>_xlfn.XLOOKUP(tblSales[[#This Row],[Channel Code]],tblChannels[Channel Code],tblChannels[Channel Name],"")</f>
        <v>In-store</v>
      </c>
      <c r="R2677" s="1">
        <f>MONTH(tblSales[[#This Row],[Date]])</f>
        <v>6</v>
      </c>
    </row>
    <row r="2678" spans="2:18" x14ac:dyDescent="0.35">
      <c r="B2678" s="113">
        <v>46183</v>
      </c>
      <c r="C2678" s="4" t="s">
        <v>1791</v>
      </c>
      <c r="D2678" s="4" t="s">
        <v>4568</v>
      </c>
      <c r="E2678" s="1" t="str">
        <f>_xlfn.XLOOKUP(tblSales[[#This Row],[Customer ID]],tblCustomers[Customer ID],tblCustomers[Customer Name],"⚠ Unknown")</f>
        <v>Walk-in Customer</v>
      </c>
      <c r="F2678" s="4" t="s">
        <v>10</v>
      </c>
      <c r="G2678" s="1" t="str">
        <f>_xlfn.XLOOKUP(tblSales[[#This Row],[Product Code]],tblProducts[Code],tblProducts[Product / Service Name],"⚠ Unknown")</f>
        <v>Chino Pants</v>
      </c>
      <c r="H2678" s="1" t="str">
        <f>_xlfn.XLOOKUP(tblSales[[#This Row],[Product Code]],tblProducts[Code],tblProducts[Category],"")</f>
        <v>Apparel &amp; Footwear</v>
      </c>
      <c r="I2678" s="4">
        <v>5</v>
      </c>
      <c r="J2678" s="5">
        <f>_xlfn.XLOOKUP(tblSales[[#This Row],[Product Code]],tblProducts[Code],tblProducts[Selling Price (excl. VAT)],0)</f>
        <v>150000</v>
      </c>
      <c r="K2678" s="5">
        <f>tblSales[[#This Row],[Qty]]*tblSales[[#This Row],[Unit Price]]</f>
        <v>750000</v>
      </c>
      <c r="L2678" s="5">
        <f>ROUND(tblSales[[#This Row],[DPP (excl. VAT)]]*VATEff,0)</f>
        <v>82500</v>
      </c>
      <c r="M2678" s="5">
        <f>tblSales[[#This Row],[DPP (excl. VAT)]]+tblSales[[#This Row],[Output VAT]]</f>
        <v>832500</v>
      </c>
      <c r="N2678" s="5">
        <f>tblSales[[#This Row],[Qty]]*_xlfn.XLOOKUP(tblSales[[#This Row],[Product Code]],tblProducts[Code],tblProducts[Unit Cost],0)</f>
        <v>440000</v>
      </c>
      <c r="O2678" s="4" t="s">
        <v>4866</v>
      </c>
      <c r="P2678" s="4" t="s">
        <v>4861</v>
      </c>
      <c r="Q2678" s="1" t="str">
        <f>_xlfn.XLOOKUP(tblSales[[#This Row],[Channel Code]],tblChannels[Channel Code],tblChannels[Channel Name],"")</f>
        <v>Marketplace</v>
      </c>
      <c r="R2678" s="1">
        <f>MONTH(tblSales[[#This Row],[Date]])</f>
        <v>6</v>
      </c>
    </row>
    <row r="2679" spans="2:18" x14ac:dyDescent="0.35">
      <c r="B2679" s="113">
        <v>46183</v>
      </c>
      <c r="C2679" s="4" t="s">
        <v>1792</v>
      </c>
      <c r="D2679" s="4" t="s">
        <v>4568</v>
      </c>
      <c r="E2679" s="1" t="str">
        <f>_xlfn.XLOOKUP(tblSales[[#This Row],[Customer ID]],tblCustomers[Customer ID],tblCustomers[Customer Name],"⚠ Unknown")</f>
        <v>Walk-in Customer</v>
      </c>
      <c r="F2679" s="4" t="s">
        <v>13</v>
      </c>
      <c r="G2679" s="1" t="str">
        <f>_xlfn.XLOOKUP(tblSales[[#This Row],[Product Code]],tblProducts[Code],tblProducts[Product / Service Name],"⚠ Unknown")</f>
        <v>Backpack</v>
      </c>
      <c r="H2679" s="1" t="str">
        <f>_xlfn.XLOOKUP(tblSales[[#This Row],[Product Code]],tblProducts[Code],tblProducts[Category],"")</f>
        <v>Bags &amp; Gadgets</v>
      </c>
      <c r="I2679" s="4">
        <v>3</v>
      </c>
      <c r="J2679" s="5">
        <f>_xlfn.XLOOKUP(tblSales[[#This Row],[Product Code]],tblProducts[Code],tblProducts[Selling Price (excl. VAT)],0)</f>
        <v>500000</v>
      </c>
      <c r="K2679" s="5">
        <f>tblSales[[#This Row],[Qty]]*tblSales[[#This Row],[Unit Price]]</f>
        <v>1500000</v>
      </c>
      <c r="L2679" s="5">
        <f>ROUND(tblSales[[#This Row],[DPP (excl. VAT)]]*VATEff,0)</f>
        <v>165000</v>
      </c>
      <c r="M2679" s="5">
        <f>tblSales[[#This Row],[DPP (excl. VAT)]]+tblSales[[#This Row],[Output VAT]]</f>
        <v>1665000</v>
      </c>
      <c r="N2679" s="5">
        <f>tblSales[[#This Row],[Qty]]*_xlfn.XLOOKUP(tblSales[[#This Row],[Product Code]],tblProducts[Code],tblProducts[Unit Cost],0)</f>
        <v>870000</v>
      </c>
      <c r="O2679" s="4" t="s">
        <v>4865</v>
      </c>
      <c r="P2679" s="4" t="s">
        <v>4860</v>
      </c>
      <c r="Q2679" s="1" t="str">
        <f>_xlfn.XLOOKUP(tblSales[[#This Row],[Channel Code]],tblChannels[Channel Code],tblChannels[Channel Name],"")</f>
        <v>In-store</v>
      </c>
      <c r="R2679" s="1">
        <f>MONTH(tblSales[[#This Row],[Date]])</f>
        <v>6</v>
      </c>
    </row>
    <row r="2680" spans="2:18" x14ac:dyDescent="0.35">
      <c r="B2680" s="113">
        <v>46183</v>
      </c>
      <c r="C2680" s="4" t="s">
        <v>1792</v>
      </c>
      <c r="D2680" s="4" t="s">
        <v>4568</v>
      </c>
      <c r="E2680" s="1" t="str">
        <f>_xlfn.XLOOKUP(tblSales[[#This Row],[Customer ID]],tblCustomers[Customer ID],tblCustomers[Customer Name],"⚠ Unknown")</f>
        <v>Walk-in Customer</v>
      </c>
      <c r="F2680" s="4" t="s">
        <v>7</v>
      </c>
      <c r="G2680" s="1" t="str">
        <f>_xlfn.XLOOKUP(tblSales[[#This Row],[Product Code]],tblProducts[Code],tblProducts[Product / Service Name],"⚠ Unknown")</f>
        <v>Premium Basic T-shirt</v>
      </c>
      <c r="H2680" s="1" t="str">
        <f>_xlfn.XLOOKUP(tblSales[[#This Row],[Product Code]],tblProducts[Code],tblProducts[Category],"")</f>
        <v>Accessories &amp; Basics</v>
      </c>
      <c r="I2680" s="4">
        <v>11</v>
      </c>
      <c r="J2680" s="5">
        <f>_xlfn.XLOOKUP(tblSales[[#This Row],[Product Code]],tblProducts[Code],tblProducts[Selling Price (excl. VAT)],0)</f>
        <v>65000</v>
      </c>
      <c r="K2680" s="5">
        <f>tblSales[[#This Row],[Qty]]*tblSales[[#This Row],[Unit Price]]</f>
        <v>715000</v>
      </c>
      <c r="L2680" s="5">
        <f>ROUND(tblSales[[#This Row],[DPP (excl. VAT)]]*VATEff,0)</f>
        <v>78650</v>
      </c>
      <c r="M2680" s="5">
        <f>tblSales[[#This Row],[DPP (excl. VAT)]]+tblSales[[#This Row],[Output VAT]]</f>
        <v>793650</v>
      </c>
      <c r="N2680" s="5">
        <f>tblSales[[#This Row],[Qty]]*_xlfn.XLOOKUP(tblSales[[#This Row],[Product Code]],tblProducts[Code],tblProducts[Unit Cost],0)</f>
        <v>407000</v>
      </c>
      <c r="O2680" s="4" t="s">
        <v>4865</v>
      </c>
      <c r="P2680" s="4" t="s">
        <v>4860</v>
      </c>
      <c r="Q2680" s="1" t="str">
        <f>_xlfn.XLOOKUP(tblSales[[#This Row],[Channel Code]],tblChannels[Channel Code],tblChannels[Channel Name],"")</f>
        <v>In-store</v>
      </c>
      <c r="R2680" s="1">
        <f>MONTH(tblSales[[#This Row],[Date]])</f>
        <v>6</v>
      </c>
    </row>
    <row r="2681" spans="2:18" x14ac:dyDescent="0.35">
      <c r="B2681" s="113">
        <v>46183</v>
      </c>
      <c r="C2681" s="4" t="s">
        <v>1793</v>
      </c>
      <c r="D2681" s="4" t="s">
        <v>4568</v>
      </c>
      <c r="E2681" s="1" t="str">
        <f>_xlfn.XLOOKUP(tblSales[[#This Row],[Customer ID]],tblCustomers[Customer ID],tblCustomers[Customer Name],"⚠ Unknown")</f>
        <v>Walk-in Customer</v>
      </c>
      <c r="F2681" s="4" t="s">
        <v>9</v>
      </c>
      <c r="G2681" s="1" t="str">
        <f>_xlfn.XLOOKUP(tblSales[[#This Row],[Product Code]],tblProducts[Code],tblProducts[Product / Service Name],"⚠ Unknown")</f>
        <v>Casual Shirt</v>
      </c>
      <c r="H2681" s="1" t="str">
        <f>_xlfn.XLOOKUP(tblSales[[#This Row],[Product Code]],tblProducts[Code],tblProducts[Category],"")</f>
        <v>Apparel &amp; Footwear</v>
      </c>
      <c r="I2681" s="4">
        <v>5</v>
      </c>
      <c r="J2681" s="5">
        <f>_xlfn.XLOOKUP(tblSales[[#This Row],[Product Code]],tblProducts[Code],tblProducts[Selling Price (excl. VAT)],0)</f>
        <v>120000</v>
      </c>
      <c r="K2681" s="5">
        <f>tblSales[[#This Row],[Qty]]*tblSales[[#This Row],[Unit Price]]</f>
        <v>600000</v>
      </c>
      <c r="L2681" s="5">
        <f>ROUND(tblSales[[#This Row],[DPP (excl. VAT)]]*VATEff,0)</f>
        <v>66000</v>
      </c>
      <c r="M2681" s="5">
        <f>tblSales[[#This Row],[DPP (excl. VAT)]]+tblSales[[#This Row],[Output VAT]]</f>
        <v>666000</v>
      </c>
      <c r="N2681" s="5">
        <f>tblSales[[#This Row],[Qty]]*_xlfn.XLOOKUP(tblSales[[#This Row],[Product Code]],tblProducts[Code],tblProducts[Unit Cost],0)</f>
        <v>360000</v>
      </c>
      <c r="O2681" s="4" t="s">
        <v>4866</v>
      </c>
      <c r="P2681" s="4" t="s">
        <v>4861</v>
      </c>
      <c r="Q2681" s="1" t="str">
        <f>_xlfn.XLOOKUP(tblSales[[#This Row],[Channel Code]],tblChannels[Channel Code],tblChannels[Channel Name],"")</f>
        <v>Marketplace</v>
      </c>
      <c r="R2681" s="1">
        <f>MONTH(tblSales[[#This Row],[Date]])</f>
        <v>6</v>
      </c>
    </row>
    <row r="2682" spans="2:18" x14ac:dyDescent="0.35">
      <c r="B2682" s="113">
        <v>46183</v>
      </c>
      <c r="C2682" s="4" t="s">
        <v>1794</v>
      </c>
      <c r="D2682" s="4" t="s">
        <v>4568</v>
      </c>
      <c r="E2682" s="1" t="str">
        <f>_xlfn.XLOOKUP(tblSales[[#This Row],[Customer ID]],tblCustomers[Customer ID],tblCustomers[Customer Name],"⚠ Unknown")</f>
        <v>Walk-in Customer</v>
      </c>
      <c r="F2682" s="4" t="s">
        <v>15</v>
      </c>
      <c r="G2682" s="1" t="str">
        <f>_xlfn.XLOOKUP(tblSales[[#This Row],[Product Code]],tblProducts[Code],tblProducts[Product / Service Name],"⚠ Unknown")</f>
        <v>Wireless Earbuds Pro</v>
      </c>
      <c r="H2682" s="1" t="str">
        <f>_xlfn.XLOOKUP(tblSales[[#This Row],[Product Code]],tblProducts[Code],tblProducts[Category],"")</f>
        <v>Bags &amp; Gadgets</v>
      </c>
      <c r="I2682" s="4">
        <v>2</v>
      </c>
      <c r="J2682" s="5">
        <f>_xlfn.XLOOKUP(tblSales[[#This Row],[Product Code]],tblProducts[Code],tblProducts[Selling Price (excl. VAT)],0)</f>
        <v>1250000</v>
      </c>
      <c r="K2682" s="5">
        <f>tblSales[[#This Row],[Qty]]*tblSales[[#This Row],[Unit Price]]</f>
        <v>2500000</v>
      </c>
      <c r="L2682" s="5">
        <f>ROUND(tblSales[[#This Row],[DPP (excl. VAT)]]*VATEff,0)</f>
        <v>275000</v>
      </c>
      <c r="M2682" s="5">
        <f>tblSales[[#This Row],[DPP (excl. VAT)]]+tblSales[[#This Row],[Output VAT]]</f>
        <v>2775000</v>
      </c>
      <c r="N2682" s="5">
        <f>tblSales[[#This Row],[Qty]]*_xlfn.XLOOKUP(tblSales[[#This Row],[Product Code]],tblProducts[Code],tblProducts[Unit Cost],0)</f>
        <v>1640000</v>
      </c>
      <c r="O2682" s="4" t="s">
        <v>4865</v>
      </c>
      <c r="P2682" s="4" t="s">
        <v>4860</v>
      </c>
      <c r="Q2682" s="1" t="str">
        <f>_xlfn.XLOOKUP(tblSales[[#This Row],[Channel Code]],tblChannels[Channel Code],tblChannels[Channel Name],"")</f>
        <v>In-store</v>
      </c>
      <c r="R2682" s="1">
        <f>MONTH(tblSales[[#This Row],[Date]])</f>
        <v>6</v>
      </c>
    </row>
    <row r="2683" spans="2:18" x14ac:dyDescent="0.35">
      <c r="B2683" s="113">
        <v>46184</v>
      </c>
      <c r="C2683" s="4" t="s">
        <v>1795</v>
      </c>
      <c r="D2683" s="4" t="s">
        <v>4568</v>
      </c>
      <c r="E2683" s="1" t="str">
        <f>_xlfn.XLOOKUP(tblSales[[#This Row],[Customer ID]],tblCustomers[Customer ID],tblCustomers[Customer Name],"⚠ Unknown")</f>
        <v>Walk-in Customer</v>
      </c>
      <c r="F2683" s="4" t="s">
        <v>15</v>
      </c>
      <c r="G2683" s="1" t="str">
        <f>_xlfn.XLOOKUP(tblSales[[#This Row],[Product Code]],tblProducts[Code],tblProducts[Product / Service Name],"⚠ Unknown")</f>
        <v>Wireless Earbuds Pro</v>
      </c>
      <c r="H2683" s="1" t="str">
        <f>_xlfn.XLOOKUP(tblSales[[#This Row],[Product Code]],tblProducts[Code],tblProducts[Category],"")</f>
        <v>Bags &amp; Gadgets</v>
      </c>
      <c r="I2683" s="4">
        <v>3</v>
      </c>
      <c r="J2683" s="5">
        <f>_xlfn.XLOOKUP(tblSales[[#This Row],[Product Code]],tblProducts[Code],tblProducts[Selling Price (excl. VAT)],0)</f>
        <v>1250000</v>
      </c>
      <c r="K2683" s="5">
        <f>tblSales[[#This Row],[Qty]]*tblSales[[#This Row],[Unit Price]]</f>
        <v>3750000</v>
      </c>
      <c r="L2683" s="5">
        <f>ROUND(tblSales[[#This Row],[DPP (excl. VAT)]]*VATEff,0)</f>
        <v>412500</v>
      </c>
      <c r="M2683" s="5">
        <f>tblSales[[#This Row],[DPP (excl. VAT)]]+tblSales[[#This Row],[Output VAT]]</f>
        <v>4162500</v>
      </c>
      <c r="N2683" s="5">
        <f>tblSales[[#This Row],[Qty]]*_xlfn.XLOOKUP(tblSales[[#This Row],[Product Code]],tblProducts[Code],tblProducts[Unit Cost],0)</f>
        <v>2460000</v>
      </c>
      <c r="O2683" s="4" t="s">
        <v>4865</v>
      </c>
      <c r="P2683" s="4" t="s">
        <v>4860</v>
      </c>
      <c r="Q2683" s="1" t="str">
        <f>_xlfn.XLOOKUP(tblSales[[#This Row],[Channel Code]],tblChannels[Channel Code],tblChannels[Channel Name],"")</f>
        <v>In-store</v>
      </c>
      <c r="R2683" s="1">
        <f>MONTH(tblSales[[#This Row],[Date]])</f>
        <v>6</v>
      </c>
    </row>
    <row r="2684" spans="2:18" x14ac:dyDescent="0.35">
      <c r="B2684" s="113">
        <v>46184</v>
      </c>
      <c r="C2684" s="4" t="s">
        <v>1795</v>
      </c>
      <c r="D2684" s="4" t="s">
        <v>4568</v>
      </c>
      <c r="E2684" s="1" t="str">
        <f>_xlfn.XLOOKUP(tblSales[[#This Row],[Customer ID]],tblCustomers[Customer ID],tblCustomers[Customer Name],"⚠ Unknown")</f>
        <v>Walk-in Customer</v>
      </c>
      <c r="F2684" s="4" t="s">
        <v>8</v>
      </c>
      <c r="G2684" s="1" t="str">
        <f>_xlfn.XLOOKUP(tblSales[[#This Row],[Product Code]],tblProducts[Code],tblProducts[Product / Service Name],"⚠ Unknown")</f>
        <v>Casual Shorts</v>
      </c>
      <c r="H2684" s="1" t="str">
        <f>_xlfn.XLOOKUP(tblSales[[#This Row],[Product Code]],tblProducts[Code],tblProducts[Category],"")</f>
        <v>Accessories &amp; Basics</v>
      </c>
      <c r="I2684" s="4">
        <v>8</v>
      </c>
      <c r="J2684" s="5">
        <f>_xlfn.XLOOKUP(tblSales[[#This Row],[Product Code]],tblProducts[Code],tblProducts[Selling Price (excl. VAT)],0)</f>
        <v>85000</v>
      </c>
      <c r="K2684" s="5">
        <f>tblSales[[#This Row],[Qty]]*tblSales[[#This Row],[Unit Price]]</f>
        <v>680000</v>
      </c>
      <c r="L2684" s="5">
        <f>ROUND(tblSales[[#This Row],[DPP (excl. VAT)]]*VATEff,0)</f>
        <v>74800</v>
      </c>
      <c r="M2684" s="5">
        <f>tblSales[[#This Row],[DPP (excl. VAT)]]+tblSales[[#This Row],[Output VAT]]</f>
        <v>754800</v>
      </c>
      <c r="N2684" s="5">
        <f>tblSales[[#This Row],[Qty]]*_xlfn.XLOOKUP(tblSales[[#This Row],[Product Code]],tblProducts[Code],tblProducts[Unit Cost],0)</f>
        <v>400000</v>
      </c>
      <c r="O2684" s="4" t="s">
        <v>4865</v>
      </c>
      <c r="P2684" s="4" t="s">
        <v>4860</v>
      </c>
      <c r="Q2684" s="1" t="str">
        <f>_xlfn.XLOOKUP(tblSales[[#This Row],[Channel Code]],tblChannels[Channel Code],tblChannels[Channel Name],"")</f>
        <v>In-store</v>
      </c>
      <c r="R2684" s="1">
        <f>MONTH(tblSales[[#This Row],[Date]])</f>
        <v>6</v>
      </c>
    </row>
    <row r="2685" spans="2:18" x14ac:dyDescent="0.35">
      <c r="B2685" s="113">
        <v>46184</v>
      </c>
      <c r="C2685" s="4" t="s">
        <v>1796</v>
      </c>
      <c r="D2685" s="4" t="s">
        <v>4606</v>
      </c>
      <c r="E2685" s="1" t="str">
        <f>_xlfn.XLOOKUP(tblSales[[#This Row],[Customer ID]],tblCustomers[Customer ID],tblCustomers[Customer Name],"⚠ Unknown")</f>
        <v>PT Arunika Digital Kreatif</v>
      </c>
      <c r="F2685" s="4" t="s">
        <v>9</v>
      </c>
      <c r="G2685" s="1" t="str">
        <f>_xlfn.XLOOKUP(tblSales[[#This Row],[Product Code]],tblProducts[Code],tblProducts[Product / Service Name],"⚠ Unknown")</f>
        <v>Casual Shirt</v>
      </c>
      <c r="H2685" s="1" t="str">
        <f>_xlfn.XLOOKUP(tblSales[[#This Row],[Product Code]],tblProducts[Code],tblProducts[Category],"")</f>
        <v>Apparel &amp; Footwear</v>
      </c>
      <c r="I2685" s="4">
        <v>88</v>
      </c>
      <c r="J2685" s="5">
        <f>_xlfn.XLOOKUP(tblSales[[#This Row],[Product Code]],tblProducts[Code],tblProducts[Selling Price (excl. VAT)],0)</f>
        <v>120000</v>
      </c>
      <c r="K2685" s="5">
        <f>tblSales[[#This Row],[Qty]]*tblSales[[#This Row],[Unit Price]]</f>
        <v>10560000</v>
      </c>
      <c r="L2685" s="5">
        <f>ROUND(tblSales[[#This Row],[DPP (excl. VAT)]]*VATEff,0)</f>
        <v>1161600</v>
      </c>
      <c r="M2685" s="5">
        <f>tblSales[[#This Row],[DPP (excl. VAT)]]+tblSales[[#This Row],[Output VAT]]</f>
        <v>11721600</v>
      </c>
      <c r="N2685" s="5">
        <f>tblSales[[#This Row],[Qty]]*_xlfn.XLOOKUP(tblSales[[#This Row],[Product Code]],tblProducts[Code],tblProducts[Unit Cost],0)</f>
        <v>6336000</v>
      </c>
      <c r="O2685" s="4" t="s">
        <v>4867</v>
      </c>
      <c r="P2685" s="4" t="s">
        <v>4860</v>
      </c>
      <c r="Q2685" s="1" t="str">
        <f>_xlfn.XLOOKUP(tblSales[[#This Row],[Channel Code]],tblChannels[Channel Code],tblChannels[Channel Name],"")</f>
        <v>In-store</v>
      </c>
      <c r="R2685" s="1">
        <f>MONTH(tblSales[[#This Row],[Date]])</f>
        <v>6</v>
      </c>
    </row>
    <row r="2686" spans="2:18" x14ac:dyDescent="0.35">
      <c r="B2686" s="113">
        <v>46184</v>
      </c>
      <c r="C2686" s="4" t="s">
        <v>1796</v>
      </c>
      <c r="D2686" s="4" t="s">
        <v>4606</v>
      </c>
      <c r="E2686" s="1" t="str">
        <f>_xlfn.XLOOKUP(tblSales[[#This Row],[Customer ID]],tblCustomers[Customer ID],tblCustomers[Customer Name],"⚠ Unknown")</f>
        <v>PT Arunika Digital Kreatif</v>
      </c>
      <c r="F2686" s="4" t="s">
        <v>7</v>
      </c>
      <c r="G2686" s="1" t="str">
        <f>_xlfn.XLOOKUP(tblSales[[#This Row],[Product Code]],tblProducts[Code],tblProducts[Product / Service Name],"⚠ Unknown")</f>
        <v>Premium Basic T-shirt</v>
      </c>
      <c r="H2686" s="1" t="str">
        <f>_xlfn.XLOOKUP(tblSales[[#This Row],[Product Code]],tblProducts[Code],tblProducts[Category],"")</f>
        <v>Accessories &amp; Basics</v>
      </c>
      <c r="I2686" s="4">
        <v>88</v>
      </c>
      <c r="J2686" s="5">
        <f>_xlfn.XLOOKUP(tblSales[[#This Row],[Product Code]],tblProducts[Code],tblProducts[Selling Price (excl. VAT)],0)</f>
        <v>65000</v>
      </c>
      <c r="K2686" s="5">
        <f>tblSales[[#This Row],[Qty]]*tblSales[[#This Row],[Unit Price]]</f>
        <v>5720000</v>
      </c>
      <c r="L2686" s="5">
        <f>ROUND(tblSales[[#This Row],[DPP (excl. VAT)]]*VATEff,0)</f>
        <v>629200</v>
      </c>
      <c r="M2686" s="5">
        <f>tblSales[[#This Row],[DPP (excl. VAT)]]+tblSales[[#This Row],[Output VAT]]</f>
        <v>6349200</v>
      </c>
      <c r="N2686" s="5">
        <f>tblSales[[#This Row],[Qty]]*_xlfn.XLOOKUP(tblSales[[#This Row],[Product Code]],tblProducts[Code],tblProducts[Unit Cost],0)</f>
        <v>3256000</v>
      </c>
      <c r="O2686" s="4" t="s">
        <v>4867</v>
      </c>
      <c r="P2686" s="4" t="s">
        <v>4860</v>
      </c>
      <c r="Q2686" s="1" t="str">
        <f>_xlfn.XLOOKUP(tblSales[[#This Row],[Channel Code]],tblChannels[Channel Code],tblChannels[Channel Name],"")</f>
        <v>In-store</v>
      </c>
      <c r="R2686" s="1">
        <f>MONTH(tblSales[[#This Row],[Date]])</f>
        <v>6</v>
      </c>
    </row>
    <row r="2687" spans="2:18" x14ac:dyDescent="0.35">
      <c r="B2687" s="113">
        <v>46184</v>
      </c>
      <c r="C2687" s="4" t="s">
        <v>1797</v>
      </c>
      <c r="D2687" s="4" t="s">
        <v>4593</v>
      </c>
      <c r="E2687" s="1" t="str">
        <f>_xlfn.XLOOKUP(tblSales[[#This Row],[Customer ID]],tblCustomers[Customer ID],tblCustomers[Customer Name],"⚠ Unknown")</f>
        <v>PT Graha Nusa Persada</v>
      </c>
      <c r="F2687" s="4" t="s">
        <v>9</v>
      </c>
      <c r="G2687" s="1" t="str">
        <f>_xlfn.XLOOKUP(tblSales[[#This Row],[Product Code]],tblProducts[Code],tblProducts[Product / Service Name],"⚠ Unknown")</f>
        <v>Casual Shirt</v>
      </c>
      <c r="H2687" s="1" t="str">
        <f>_xlfn.XLOOKUP(tblSales[[#This Row],[Product Code]],tblProducts[Code],tblProducts[Category],"")</f>
        <v>Apparel &amp; Footwear</v>
      </c>
      <c r="I2687" s="4">
        <v>16</v>
      </c>
      <c r="J2687" s="5">
        <f>_xlfn.XLOOKUP(tblSales[[#This Row],[Product Code]],tblProducts[Code],tblProducts[Selling Price (excl. VAT)],0)</f>
        <v>120000</v>
      </c>
      <c r="K2687" s="5">
        <f>tblSales[[#This Row],[Qty]]*tblSales[[#This Row],[Unit Price]]</f>
        <v>1920000</v>
      </c>
      <c r="L2687" s="5">
        <f>ROUND(tblSales[[#This Row],[DPP (excl. VAT)]]*VATEff,0)</f>
        <v>211200</v>
      </c>
      <c r="M2687" s="5">
        <f>tblSales[[#This Row],[DPP (excl. VAT)]]+tblSales[[#This Row],[Output VAT]]</f>
        <v>2131200</v>
      </c>
      <c r="N2687" s="5">
        <f>tblSales[[#This Row],[Qty]]*_xlfn.XLOOKUP(tblSales[[#This Row],[Product Code]],tblProducts[Code],tblProducts[Unit Cost],0)</f>
        <v>1152000</v>
      </c>
      <c r="O2687" s="4" t="s">
        <v>4867</v>
      </c>
      <c r="P2687" s="4" t="s">
        <v>4860</v>
      </c>
      <c r="Q2687" s="1" t="str">
        <f>_xlfn.XLOOKUP(tblSales[[#This Row],[Channel Code]],tblChannels[Channel Code],tblChannels[Channel Name],"")</f>
        <v>In-store</v>
      </c>
      <c r="R2687" s="1">
        <f>MONTH(tblSales[[#This Row],[Date]])</f>
        <v>6</v>
      </c>
    </row>
    <row r="2688" spans="2:18" x14ac:dyDescent="0.35">
      <c r="B2688" s="113">
        <v>46184</v>
      </c>
      <c r="C2688" s="4" t="s">
        <v>1798</v>
      </c>
      <c r="D2688" s="4" t="s">
        <v>4585</v>
      </c>
      <c r="E2688" s="1" t="str">
        <f>_xlfn.XLOOKUP(tblSales[[#This Row],[Customer ID]],tblCustomers[Customer ID],tblCustomers[Customer Name],"⚠ Unknown")</f>
        <v>CV Mitra Karya Mandiri</v>
      </c>
      <c r="F2688" s="4" t="s">
        <v>7</v>
      </c>
      <c r="G2688" s="1" t="str">
        <f>_xlfn.XLOOKUP(tblSales[[#This Row],[Product Code]],tblProducts[Code],tblProducts[Product / Service Name],"⚠ Unknown")</f>
        <v>Premium Basic T-shirt</v>
      </c>
      <c r="H2688" s="1" t="str">
        <f>_xlfn.XLOOKUP(tblSales[[#This Row],[Product Code]],tblProducts[Code],tblProducts[Category],"")</f>
        <v>Accessories &amp; Basics</v>
      </c>
      <c r="I2688" s="4">
        <v>80</v>
      </c>
      <c r="J2688" s="5">
        <f>_xlfn.XLOOKUP(tblSales[[#This Row],[Product Code]],tblProducts[Code],tblProducts[Selling Price (excl. VAT)],0)</f>
        <v>65000</v>
      </c>
      <c r="K2688" s="5">
        <f>tblSales[[#This Row],[Qty]]*tblSales[[#This Row],[Unit Price]]</f>
        <v>5200000</v>
      </c>
      <c r="L2688" s="5">
        <f>ROUND(tblSales[[#This Row],[DPP (excl. VAT)]]*VATEff,0)</f>
        <v>572000</v>
      </c>
      <c r="M2688" s="5">
        <f>tblSales[[#This Row],[DPP (excl. VAT)]]+tblSales[[#This Row],[Output VAT]]</f>
        <v>5772000</v>
      </c>
      <c r="N2688" s="5">
        <f>tblSales[[#This Row],[Qty]]*_xlfn.XLOOKUP(tblSales[[#This Row],[Product Code]],tblProducts[Code],tblProducts[Unit Cost],0)</f>
        <v>2960000</v>
      </c>
      <c r="O2688" s="4" t="s">
        <v>4867</v>
      </c>
      <c r="P2688" s="4" t="s">
        <v>4860</v>
      </c>
      <c r="Q2688" s="1" t="str">
        <f>_xlfn.XLOOKUP(tblSales[[#This Row],[Channel Code]],tblChannels[Channel Code],tblChannels[Channel Name],"")</f>
        <v>In-store</v>
      </c>
      <c r="R2688" s="1">
        <f>MONTH(tblSales[[#This Row],[Date]])</f>
        <v>6</v>
      </c>
    </row>
    <row r="2689" spans="2:18" x14ac:dyDescent="0.35">
      <c r="B2689" s="113">
        <v>46184</v>
      </c>
      <c r="C2689" s="4" t="s">
        <v>1798</v>
      </c>
      <c r="D2689" s="4" t="s">
        <v>4585</v>
      </c>
      <c r="E2689" s="1" t="str">
        <f>_xlfn.XLOOKUP(tblSales[[#This Row],[Customer ID]],tblCustomers[Customer ID],tblCustomers[Customer Name],"⚠ Unknown")</f>
        <v>CV Mitra Karya Mandiri</v>
      </c>
      <c r="F2689" s="4" t="s">
        <v>13</v>
      </c>
      <c r="G2689" s="1" t="str">
        <f>_xlfn.XLOOKUP(tblSales[[#This Row],[Product Code]],tblProducts[Code],tblProducts[Product / Service Name],"⚠ Unknown")</f>
        <v>Backpack</v>
      </c>
      <c r="H2689" s="1" t="str">
        <f>_xlfn.XLOOKUP(tblSales[[#This Row],[Product Code]],tblProducts[Code],tblProducts[Category],"")</f>
        <v>Bags &amp; Gadgets</v>
      </c>
      <c r="I2689" s="4">
        <v>8</v>
      </c>
      <c r="J2689" s="5">
        <f>_xlfn.XLOOKUP(tblSales[[#This Row],[Product Code]],tblProducts[Code],tblProducts[Selling Price (excl. VAT)],0)</f>
        <v>500000</v>
      </c>
      <c r="K2689" s="5">
        <f>tblSales[[#This Row],[Qty]]*tblSales[[#This Row],[Unit Price]]</f>
        <v>4000000</v>
      </c>
      <c r="L2689" s="5">
        <f>ROUND(tblSales[[#This Row],[DPP (excl. VAT)]]*VATEff,0)</f>
        <v>440000</v>
      </c>
      <c r="M2689" s="5">
        <f>tblSales[[#This Row],[DPP (excl. VAT)]]+tblSales[[#This Row],[Output VAT]]</f>
        <v>4440000</v>
      </c>
      <c r="N2689" s="5">
        <f>tblSales[[#This Row],[Qty]]*_xlfn.XLOOKUP(tblSales[[#This Row],[Product Code]],tblProducts[Code],tblProducts[Unit Cost],0)</f>
        <v>2320000</v>
      </c>
      <c r="O2689" s="4" t="s">
        <v>4867</v>
      </c>
      <c r="P2689" s="4" t="s">
        <v>4860</v>
      </c>
      <c r="Q2689" s="1" t="str">
        <f>_xlfn.XLOOKUP(tblSales[[#This Row],[Channel Code]],tblChannels[Channel Code],tblChannels[Channel Name],"")</f>
        <v>In-store</v>
      </c>
      <c r="R2689" s="1">
        <f>MONTH(tblSales[[#This Row],[Date]])</f>
        <v>6</v>
      </c>
    </row>
    <row r="2690" spans="2:18" x14ac:dyDescent="0.35">
      <c r="B2690" s="113">
        <v>46184</v>
      </c>
      <c r="C2690" s="4" t="s">
        <v>1799</v>
      </c>
      <c r="D2690" s="4" t="s">
        <v>4568</v>
      </c>
      <c r="E2690" s="1" t="str">
        <f>_xlfn.XLOOKUP(tblSales[[#This Row],[Customer ID]],tblCustomers[Customer ID],tblCustomers[Customer Name],"⚠ Unknown")</f>
        <v>Walk-in Customer</v>
      </c>
      <c r="F2690" s="4" t="s">
        <v>13</v>
      </c>
      <c r="G2690" s="1" t="str">
        <f>_xlfn.XLOOKUP(tblSales[[#This Row],[Product Code]],tblProducts[Code],tblProducts[Product / Service Name],"⚠ Unknown")</f>
        <v>Backpack</v>
      </c>
      <c r="H2690" s="1" t="str">
        <f>_xlfn.XLOOKUP(tblSales[[#This Row],[Product Code]],tblProducts[Code],tblProducts[Category],"")</f>
        <v>Bags &amp; Gadgets</v>
      </c>
      <c r="I2690" s="4">
        <v>4</v>
      </c>
      <c r="J2690" s="5">
        <f>_xlfn.XLOOKUP(tblSales[[#This Row],[Product Code]],tblProducts[Code],tblProducts[Selling Price (excl. VAT)],0)</f>
        <v>500000</v>
      </c>
      <c r="K2690" s="5">
        <f>tblSales[[#This Row],[Qty]]*tblSales[[#This Row],[Unit Price]]</f>
        <v>2000000</v>
      </c>
      <c r="L2690" s="5">
        <f>ROUND(tblSales[[#This Row],[DPP (excl. VAT)]]*VATEff,0)</f>
        <v>220000</v>
      </c>
      <c r="M2690" s="5">
        <f>tblSales[[#This Row],[DPP (excl. VAT)]]+tblSales[[#This Row],[Output VAT]]</f>
        <v>2220000</v>
      </c>
      <c r="N2690" s="5">
        <f>tblSales[[#This Row],[Qty]]*_xlfn.XLOOKUP(tblSales[[#This Row],[Product Code]],tblProducts[Code],tblProducts[Unit Cost],0)</f>
        <v>1160000</v>
      </c>
      <c r="O2690" s="4" t="s">
        <v>4866</v>
      </c>
      <c r="P2690" s="4" t="s">
        <v>4861</v>
      </c>
      <c r="Q2690" s="1" t="str">
        <f>_xlfn.XLOOKUP(tblSales[[#This Row],[Channel Code]],tblChannels[Channel Code],tblChannels[Channel Name],"")</f>
        <v>Marketplace</v>
      </c>
      <c r="R2690" s="1">
        <f>MONTH(tblSales[[#This Row],[Date]])</f>
        <v>6</v>
      </c>
    </row>
    <row r="2691" spans="2:18" x14ac:dyDescent="0.35">
      <c r="B2691" s="113">
        <v>46184</v>
      </c>
      <c r="C2691" s="4" t="s">
        <v>1800</v>
      </c>
      <c r="D2691" s="4" t="s">
        <v>4568</v>
      </c>
      <c r="E2691" s="1" t="str">
        <f>_xlfn.XLOOKUP(tblSales[[#This Row],[Customer ID]],tblCustomers[Customer ID],tblCustomers[Customer Name],"⚠ Unknown")</f>
        <v>Walk-in Customer</v>
      </c>
      <c r="F2691" s="4" t="s">
        <v>8</v>
      </c>
      <c r="G2691" s="1" t="str">
        <f>_xlfn.XLOOKUP(tblSales[[#This Row],[Product Code]],tblProducts[Code],tblProducts[Product / Service Name],"⚠ Unknown")</f>
        <v>Casual Shorts</v>
      </c>
      <c r="H2691" s="1" t="str">
        <f>_xlfn.XLOOKUP(tblSales[[#This Row],[Product Code]],tblProducts[Code],tblProducts[Category],"")</f>
        <v>Accessories &amp; Basics</v>
      </c>
      <c r="I2691" s="4">
        <v>6</v>
      </c>
      <c r="J2691" s="5">
        <f>_xlfn.XLOOKUP(tblSales[[#This Row],[Product Code]],tblProducts[Code],tblProducts[Selling Price (excl. VAT)],0)</f>
        <v>85000</v>
      </c>
      <c r="K2691" s="5">
        <f>tblSales[[#This Row],[Qty]]*tblSales[[#This Row],[Unit Price]]</f>
        <v>510000</v>
      </c>
      <c r="L2691" s="5">
        <f>ROUND(tblSales[[#This Row],[DPP (excl. VAT)]]*VATEff,0)</f>
        <v>56100</v>
      </c>
      <c r="M2691" s="5">
        <f>tblSales[[#This Row],[DPP (excl. VAT)]]+tblSales[[#This Row],[Output VAT]]</f>
        <v>566100</v>
      </c>
      <c r="N2691" s="5">
        <f>tblSales[[#This Row],[Qty]]*_xlfn.XLOOKUP(tblSales[[#This Row],[Product Code]],tblProducts[Code],tblProducts[Unit Cost],0)</f>
        <v>300000</v>
      </c>
      <c r="O2691" s="4" t="s">
        <v>4865</v>
      </c>
      <c r="P2691" s="4" t="s">
        <v>4860</v>
      </c>
      <c r="Q2691" s="1" t="str">
        <f>_xlfn.XLOOKUP(tblSales[[#This Row],[Channel Code]],tblChannels[Channel Code],tblChannels[Channel Name],"")</f>
        <v>In-store</v>
      </c>
      <c r="R2691" s="1">
        <f>MONTH(tblSales[[#This Row],[Date]])</f>
        <v>6</v>
      </c>
    </row>
    <row r="2692" spans="2:18" x14ac:dyDescent="0.35">
      <c r="B2692" s="113">
        <v>46184</v>
      </c>
      <c r="C2692" s="4" t="s">
        <v>1801</v>
      </c>
      <c r="D2692" s="4" t="s">
        <v>4568</v>
      </c>
      <c r="E2692" s="1" t="str">
        <f>_xlfn.XLOOKUP(tblSales[[#This Row],[Customer ID]],tblCustomers[Customer ID],tblCustomers[Customer Name],"⚠ Unknown")</f>
        <v>Walk-in Customer</v>
      </c>
      <c r="F2692" s="4" t="s">
        <v>8</v>
      </c>
      <c r="G2692" s="1" t="str">
        <f>_xlfn.XLOOKUP(tblSales[[#This Row],[Product Code]],tblProducts[Code],tblProducts[Product / Service Name],"⚠ Unknown")</f>
        <v>Casual Shorts</v>
      </c>
      <c r="H2692" s="1" t="str">
        <f>_xlfn.XLOOKUP(tblSales[[#This Row],[Product Code]],tblProducts[Code],tblProducts[Category],"")</f>
        <v>Accessories &amp; Basics</v>
      </c>
      <c r="I2692" s="4">
        <v>12</v>
      </c>
      <c r="J2692" s="5">
        <f>_xlfn.XLOOKUP(tblSales[[#This Row],[Product Code]],tblProducts[Code],tblProducts[Selling Price (excl. VAT)],0)</f>
        <v>85000</v>
      </c>
      <c r="K2692" s="5">
        <f>tblSales[[#This Row],[Qty]]*tblSales[[#This Row],[Unit Price]]</f>
        <v>1020000</v>
      </c>
      <c r="L2692" s="5">
        <f>ROUND(tblSales[[#This Row],[DPP (excl. VAT)]]*VATEff,0)</f>
        <v>112200</v>
      </c>
      <c r="M2692" s="5">
        <f>tblSales[[#This Row],[DPP (excl. VAT)]]+tblSales[[#This Row],[Output VAT]]</f>
        <v>1132200</v>
      </c>
      <c r="N2692" s="5">
        <f>tblSales[[#This Row],[Qty]]*_xlfn.XLOOKUP(tblSales[[#This Row],[Product Code]],tblProducts[Code],tblProducts[Unit Cost],0)</f>
        <v>600000</v>
      </c>
      <c r="O2692" s="4" t="s">
        <v>4866</v>
      </c>
      <c r="P2692" s="4" t="s">
        <v>4862</v>
      </c>
      <c r="Q2692" s="1" t="str">
        <f>_xlfn.XLOOKUP(tblSales[[#This Row],[Channel Code]],tblChannels[Channel Code],tblChannels[Channel Name],"")</f>
        <v>Website &amp; Social Media</v>
      </c>
      <c r="R2692" s="1">
        <f>MONTH(tblSales[[#This Row],[Date]])</f>
        <v>6</v>
      </c>
    </row>
    <row r="2693" spans="2:18" x14ac:dyDescent="0.35">
      <c r="B2693" s="113">
        <v>46184</v>
      </c>
      <c r="C2693" s="4" t="s">
        <v>1802</v>
      </c>
      <c r="D2693" s="4" t="s">
        <v>4568</v>
      </c>
      <c r="E2693" s="1" t="str">
        <f>_xlfn.XLOOKUP(tblSales[[#This Row],[Customer ID]],tblCustomers[Customer ID],tblCustomers[Customer Name],"⚠ Unknown")</f>
        <v>Walk-in Customer</v>
      </c>
      <c r="F2693" s="4" t="s">
        <v>7</v>
      </c>
      <c r="G2693" s="1" t="str">
        <f>_xlfn.XLOOKUP(tblSales[[#This Row],[Product Code]],tblProducts[Code],tblProducts[Product / Service Name],"⚠ Unknown")</f>
        <v>Premium Basic T-shirt</v>
      </c>
      <c r="H2693" s="1" t="str">
        <f>_xlfn.XLOOKUP(tblSales[[#This Row],[Product Code]],tblProducts[Code],tblProducts[Category],"")</f>
        <v>Accessories &amp; Basics</v>
      </c>
      <c r="I2693" s="4">
        <v>11</v>
      </c>
      <c r="J2693" s="5">
        <f>_xlfn.XLOOKUP(tblSales[[#This Row],[Product Code]],tblProducts[Code],tblProducts[Selling Price (excl. VAT)],0)</f>
        <v>65000</v>
      </c>
      <c r="K2693" s="5">
        <f>tblSales[[#This Row],[Qty]]*tblSales[[#This Row],[Unit Price]]</f>
        <v>715000</v>
      </c>
      <c r="L2693" s="5">
        <f>ROUND(tblSales[[#This Row],[DPP (excl. VAT)]]*VATEff,0)</f>
        <v>78650</v>
      </c>
      <c r="M2693" s="5">
        <f>tblSales[[#This Row],[DPP (excl. VAT)]]+tblSales[[#This Row],[Output VAT]]</f>
        <v>793650</v>
      </c>
      <c r="N2693" s="5">
        <f>tblSales[[#This Row],[Qty]]*_xlfn.XLOOKUP(tblSales[[#This Row],[Product Code]],tblProducts[Code],tblProducts[Unit Cost],0)</f>
        <v>407000</v>
      </c>
      <c r="O2693" s="4" t="s">
        <v>4865</v>
      </c>
      <c r="P2693" s="4" t="s">
        <v>4860</v>
      </c>
      <c r="Q2693" s="1" t="str">
        <f>_xlfn.XLOOKUP(tblSales[[#This Row],[Channel Code]],tblChannels[Channel Code],tblChannels[Channel Name],"")</f>
        <v>In-store</v>
      </c>
      <c r="R2693" s="1">
        <f>MONTH(tblSales[[#This Row],[Date]])</f>
        <v>6</v>
      </c>
    </row>
    <row r="2694" spans="2:18" x14ac:dyDescent="0.35">
      <c r="B2694" s="113">
        <v>46184</v>
      </c>
      <c r="C2694" s="4" t="s">
        <v>1803</v>
      </c>
      <c r="D2694" s="4" t="s">
        <v>4568</v>
      </c>
      <c r="E2694" s="1" t="str">
        <f>_xlfn.XLOOKUP(tblSales[[#This Row],[Customer ID]],tblCustomers[Customer ID],tblCustomers[Customer Name],"⚠ Unknown")</f>
        <v>Walk-in Customer</v>
      </c>
      <c r="F2694" s="4" t="s">
        <v>8</v>
      </c>
      <c r="G2694" s="1" t="str">
        <f>_xlfn.XLOOKUP(tblSales[[#This Row],[Product Code]],tblProducts[Code],tblProducts[Product / Service Name],"⚠ Unknown")</f>
        <v>Casual Shorts</v>
      </c>
      <c r="H2694" s="1" t="str">
        <f>_xlfn.XLOOKUP(tblSales[[#This Row],[Product Code]],tblProducts[Code],tblProducts[Category],"")</f>
        <v>Accessories &amp; Basics</v>
      </c>
      <c r="I2694" s="4">
        <v>7</v>
      </c>
      <c r="J2694" s="5">
        <f>_xlfn.XLOOKUP(tblSales[[#This Row],[Product Code]],tblProducts[Code],tblProducts[Selling Price (excl. VAT)],0)</f>
        <v>85000</v>
      </c>
      <c r="K2694" s="5">
        <f>tblSales[[#This Row],[Qty]]*tblSales[[#This Row],[Unit Price]]</f>
        <v>595000</v>
      </c>
      <c r="L2694" s="5">
        <f>ROUND(tblSales[[#This Row],[DPP (excl. VAT)]]*VATEff,0)</f>
        <v>65450</v>
      </c>
      <c r="M2694" s="5">
        <f>tblSales[[#This Row],[DPP (excl. VAT)]]+tblSales[[#This Row],[Output VAT]]</f>
        <v>660450</v>
      </c>
      <c r="N2694" s="5">
        <f>tblSales[[#This Row],[Qty]]*_xlfn.XLOOKUP(tblSales[[#This Row],[Product Code]],tblProducts[Code],tblProducts[Unit Cost],0)</f>
        <v>350000</v>
      </c>
      <c r="O2694" s="4" t="s">
        <v>4865</v>
      </c>
      <c r="P2694" s="4" t="s">
        <v>4860</v>
      </c>
      <c r="Q2694" s="1" t="str">
        <f>_xlfn.XLOOKUP(tblSales[[#This Row],[Channel Code]],tblChannels[Channel Code],tblChannels[Channel Name],"")</f>
        <v>In-store</v>
      </c>
      <c r="R2694" s="1">
        <f>MONTH(tblSales[[#This Row],[Date]])</f>
        <v>6</v>
      </c>
    </row>
    <row r="2695" spans="2:18" x14ac:dyDescent="0.35">
      <c r="B2695" s="113">
        <v>46184</v>
      </c>
      <c r="C2695" s="4" t="s">
        <v>1803</v>
      </c>
      <c r="D2695" s="4" t="s">
        <v>4568</v>
      </c>
      <c r="E2695" s="1" t="str">
        <f>_xlfn.XLOOKUP(tblSales[[#This Row],[Customer ID]],tblCustomers[Customer ID],tblCustomers[Customer Name],"⚠ Unknown")</f>
        <v>Walk-in Customer</v>
      </c>
      <c r="F2695" s="4" t="s">
        <v>15</v>
      </c>
      <c r="G2695" s="1" t="str">
        <f>_xlfn.XLOOKUP(tblSales[[#This Row],[Product Code]],tblProducts[Code],tblProducts[Product / Service Name],"⚠ Unknown")</f>
        <v>Wireless Earbuds Pro</v>
      </c>
      <c r="H2695" s="1" t="str">
        <f>_xlfn.XLOOKUP(tblSales[[#This Row],[Product Code]],tblProducts[Code],tblProducts[Category],"")</f>
        <v>Bags &amp; Gadgets</v>
      </c>
      <c r="I2695" s="4">
        <v>2</v>
      </c>
      <c r="J2695" s="5">
        <f>_xlfn.XLOOKUP(tblSales[[#This Row],[Product Code]],tblProducts[Code],tblProducts[Selling Price (excl. VAT)],0)</f>
        <v>1250000</v>
      </c>
      <c r="K2695" s="5">
        <f>tblSales[[#This Row],[Qty]]*tblSales[[#This Row],[Unit Price]]</f>
        <v>2500000</v>
      </c>
      <c r="L2695" s="5">
        <f>ROUND(tblSales[[#This Row],[DPP (excl. VAT)]]*VATEff,0)</f>
        <v>275000</v>
      </c>
      <c r="M2695" s="5">
        <f>tblSales[[#This Row],[DPP (excl. VAT)]]+tblSales[[#This Row],[Output VAT]]</f>
        <v>2775000</v>
      </c>
      <c r="N2695" s="5">
        <f>tblSales[[#This Row],[Qty]]*_xlfn.XLOOKUP(tblSales[[#This Row],[Product Code]],tblProducts[Code],tblProducts[Unit Cost],0)</f>
        <v>1640000</v>
      </c>
      <c r="O2695" s="4" t="s">
        <v>4865</v>
      </c>
      <c r="P2695" s="4" t="s">
        <v>4860</v>
      </c>
      <c r="Q2695" s="1" t="str">
        <f>_xlfn.XLOOKUP(tblSales[[#This Row],[Channel Code]],tblChannels[Channel Code],tblChannels[Channel Name],"")</f>
        <v>In-store</v>
      </c>
      <c r="R2695" s="1">
        <f>MONTH(tblSales[[#This Row],[Date]])</f>
        <v>6</v>
      </c>
    </row>
    <row r="2696" spans="2:18" x14ac:dyDescent="0.35">
      <c r="B2696" s="113">
        <v>46184</v>
      </c>
      <c r="C2696" s="4" t="s">
        <v>1804</v>
      </c>
      <c r="D2696" s="4" t="s">
        <v>4568</v>
      </c>
      <c r="E2696" s="1" t="str">
        <f>_xlfn.XLOOKUP(tblSales[[#This Row],[Customer ID]],tblCustomers[Customer ID],tblCustomers[Customer Name],"⚠ Unknown")</f>
        <v>Walk-in Customer</v>
      </c>
      <c r="F2696" s="4" t="s">
        <v>7</v>
      </c>
      <c r="G2696" s="1" t="str">
        <f>_xlfn.XLOOKUP(tblSales[[#This Row],[Product Code]],tblProducts[Code],tblProducts[Product / Service Name],"⚠ Unknown")</f>
        <v>Premium Basic T-shirt</v>
      </c>
      <c r="H2696" s="1" t="str">
        <f>_xlfn.XLOOKUP(tblSales[[#This Row],[Product Code]],tblProducts[Code],tblProducts[Category],"")</f>
        <v>Accessories &amp; Basics</v>
      </c>
      <c r="I2696" s="4">
        <v>10</v>
      </c>
      <c r="J2696" s="5">
        <f>_xlfn.XLOOKUP(tblSales[[#This Row],[Product Code]],tblProducts[Code],tblProducts[Selling Price (excl. VAT)],0)</f>
        <v>65000</v>
      </c>
      <c r="K2696" s="5">
        <f>tblSales[[#This Row],[Qty]]*tblSales[[#This Row],[Unit Price]]</f>
        <v>650000</v>
      </c>
      <c r="L2696" s="5">
        <f>ROUND(tblSales[[#This Row],[DPP (excl. VAT)]]*VATEff,0)</f>
        <v>71500</v>
      </c>
      <c r="M2696" s="5">
        <f>tblSales[[#This Row],[DPP (excl. VAT)]]+tblSales[[#This Row],[Output VAT]]</f>
        <v>721500</v>
      </c>
      <c r="N2696" s="5">
        <f>tblSales[[#This Row],[Qty]]*_xlfn.XLOOKUP(tblSales[[#This Row],[Product Code]],tblProducts[Code],tblProducts[Unit Cost],0)</f>
        <v>370000</v>
      </c>
      <c r="O2696" s="4" t="s">
        <v>4865</v>
      </c>
      <c r="P2696" s="4" t="s">
        <v>4860</v>
      </c>
      <c r="Q2696" s="1" t="str">
        <f>_xlfn.XLOOKUP(tblSales[[#This Row],[Channel Code]],tblChannels[Channel Code],tblChannels[Channel Name],"")</f>
        <v>In-store</v>
      </c>
      <c r="R2696" s="1">
        <f>MONTH(tblSales[[#This Row],[Date]])</f>
        <v>6</v>
      </c>
    </row>
    <row r="2697" spans="2:18" x14ac:dyDescent="0.35">
      <c r="B2697" s="113">
        <v>46184</v>
      </c>
      <c r="C2697" s="4" t="s">
        <v>1804</v>
      </c>
      <c r="D2697" s="4" t="s">
        <v>4568</v>
      </c>
      <c r="E2697" s="1" t="str">
        <f>_xlfn.XLOOKUP(tblSales[[#This Row],[Customer ID]],tblCustomers[Customer ID],tblCustomers[Customer Name],"⚠ Unknown")</f>
        <v>Walk-in Customer</v>
      </c>
      <c r="F2697" s="4" t="s">
        <v>11</v>
      </c>
      <c r="G2697" s="1" t="str">
        <f>_xlfn.XLOOKUP(tblSales[[#This Row],[Product Code]],tblProducts[Code],tblProducts[Product / Service Name],"⚠ Unknown")</f>
        <v>Sneakers</v>
      </c>
      <c r="H2697" s="1" t="str">
        <f>_xlfn.XLOOKUP(tblSales[[#This Row],[Product Code]],tblProducts[Code],tblProducts[Category],"")</f>
        <v>Apparel &amp; Footwear</v>
      </c>
      <c r="I2697" s="4">
        <v>1</v>
      </c>
      <c r="J2697" s="5">
        <f>_xlfn.XLOOKUP(tblSales[[#This Row],[Product Code]],tblProducts[Code],tblProducts[Selling Price (excl. VAT)],0)</f>
        <v>250000</v>
      </c>
      <c r="K2697" s="5">
        <f>tblSales[[#This Row],[Qty]]*tblSales[[#This Row],[Unit Price]]</f>
        <v>250000</v>
      </c>
      <c r="L2697" s="5">
        <f>ROUND(tblSales[[#This Row],[DPP (excl. VAT)]]*VATEff,0)</f>
        <v>27500</v>
      </c>
      <c r="M2697" s="5">
        <f>tblSales[[#This Row],[DPP (excl. VAT)]]+tblSales[[#This Row],[Output VAT]]</f>
        <v>277500</v>
      </c>
      <c r="N2697" s="5">
        <f>tblSales[[#This Row],[Qty]]*_xlfn.XLOOKUP(tblSales[[#This Row],[Product Code]],tblProducts[Code],tblProducts[Unit Cost],0)</f>
        <v>155000</v>
      </c>
      <c r="O2697" s="4" t="s">
        <v>4865</v>
      </c>
      <c r="P2697" s="4" t="s">
        <v>4860</v>
      </c>
      <c r="Q2697" s="1" t="str">
        <f>_xlfn.XLOOKUP(tblSales[[#This Row],[Channel Code]],tblChannels[Channel Code],tblChannels[Channel Name],"")</f>
        <v>In-store</v>
      </c>
      <c r="R2697" s="1">
        <f>MONTH(tblSales[[#This Row],[Date]])</f>
        <v>6</v>
      </c>
    </row>
    <row r="2698" spans="2:18" x14ac:dyDescent="0.35">
      <c r="B2698" s="113">
        <v>46184</v>
      </c>
      <c r="C2698" s="4" t="s">
        <v>1804</v>
      </c>
      <c r="D2698" s="4" t="s">
        <v>4568</v>
      </c>
      <c r="E2698" s="1" t="str">
        <f>_xlfn.XLOOKUP(tblSales[[#This Row],[Customer ID]],tblCustomers[Customer ID],tblCustomers[Customer Name],"⚠ Unknown")</f>
        <v>Walk-in Customer</v>
      </c>
      <c r="F2698" s="4" t="s">
        <v>8</v>
      </c>
      <c r="G2698" s="1" t="str">
        <f>_xlfn.XLOOKUP(tblSales[[#This Row],[Product Code]],tblProducts[Code],tblProducts[Product / Service Name],"⚠ Unknown")</f>
        <v>Casual Shorts</v>
      </c>
      <c r="H2698" s="1" t="str">
        <f>_xlfn.XLOOKUP(tblSales[[#This Row],[Product Code]],tblProducts[Code],tblProducts[Category],"")</f>
        <v>Accessories &amp; Basics</v>
      </c>
      <c r="I2698" s="4">
        <v>2</v>
      </c>
      <c r="J2698" s="5">
        <f>_xlfn.XLOOKUP(tblSales[[#This Row],[Product Code]],tblProducts[Code],tblProducts[Selling Price (excl. VAT)],0)</f>
        <v>85000</v>
      </c>
      <c r="K2698" s="5">
        <f>tblSales[[#This Row],[Qty]]*tblSales[[#This Row],[Unit Price]]</f>
        <v>170000</v>
      </c>
      <c r="L2698" s="5">
        <f>ROUND(tblSales[[#This Row],[DPP (excl. VAT)]]*VATEff,0)</f>
        <v>18700</v>
      </c>
      <c r="M2698" s="5">
        <f>tblSales[[#This Row],[DPP (excl. VAT)]]+tblSales[[#This Row],[Output VAT]]</f>
        <v>188700</v>
      </c>
      <c r="N2698" s="5">
        <f>tblSales[[#This Row],[Qty]]*_xlfn.XLOOKUP(tblSales[[#This Row],[Product Code]],tblProducts[Code],tblProducts[Unit Cost],0)</f>
        <v>100000</v>
      </c>
      <c r="O2698" s="4" t="s">
        <v>4865</v>
      </c>
      <c r="P2698" s="4" t="s">
        <v>4860</v>
      </c>
      <c r="Q2698" s="1" t="str">
        <f>_xlfn.XLOOKUP(tblSales[[#This Row],[Channel Code]],tblChannels[Channel Code],tblChannels[Channel Name],"")</f>
        <v>In-store</v>
      </c>
      <c r="R2698" s="1">
        <f>MONTH(tblSales[[#This Row],[Date]])</f>
        <v>6</v>
      </c>
    </row>
    <row r="2699" spans="2:18" x14ac:dyDescent="0.35">
      <c r="B2699" s="113">
        <v>46184</v>
      </c>
      <c r="C2699" s="4" t="s">
        <v>1805</v>
      </c>
      <c r="D2699" s="4" t="s">
        <v>4568</v>
      </c>
      <c r="E2699" s="1" t="str">
        <f>_xlfn.XLOOKUP(tblSales[[#This Row],[Customer ID]],tblCustomers[Customer ID],tblCustomers[Customer Name],"⚠ Unknown")</f>
        <v>Walk-in Customer</v>
      </c>
      <c r="F2699" s="4" t="s">
        <v>7</v>
      </c>
      <c r="G2699" s="1" t="str">
        <f>_xlfn.XLOOKUP(tblSales[[#This Row],[Product Code]],tblProducts[Code],tblProducts[Product / Service Name],"⚠ Unknown")</f>
        <v>Premium Basic T-shirt</v>
      </c>
      <c r="H2699" s="1" t="str">
        <f>_xlfn.XLOOKUP(tblSales[[#This Row],[Product Code]],tblProducts[Code],tblProducts[Category],"")</f>
        <v>Accessories &amp; Basics</v>
      </c>
      <c r="I2699" s="4">
        <v>1</v>
      </c>
      <c r="J2699" s="5">
        <f>_xlfn.XLOOKUP(tblSales[[#This Row],[Product Code]],tblProducts[Code],tblProducts[Selling Price (excl. VAT)],0)</f>
        <v>65000</v>
      </c>
      <c r="K2699" s="5">
        <f>tblSales[[#This Row],[Qty]]*tblSales[[#This Row],[Unit Price]]</f>
        <v>65000</v>
      </c>
      <c r="L2699" s="5">
        <f>ROUND(tblSales[[#This Row],[DPP (excl. VAT)]]*VATEff,0)</f>
        <v>7150</v>
      </c>
      <c r="M2699" s="5">
        <f>tblSales[[#This Row],[DPP (excl. VAT)]]+tblSales[[#This Row],[Output VAT]]</f>
        <v>72150</v>
      </c>
      <c r="N2699" s="5">
        <f>tblSales[[#This Row],[Qty]]*_xlfn.XLOOKUP(tblSales[[#This Row],[Product Code]],tblProducts[Code],tblProducts[Unit Cost],0)</f>
        <v>37000</v>
      </c>
      <c r="O2699" s="4" t="s">
        <v>4865</v>
      </c>
      <c r="P2699" s="4" t="s">
        <v>4860</v>
      </c>
      <c r="Q2699" s="1" t="str">
        <f>_xlfn.XLOOKUP(tblSales[[#This Row],[Channel Code]],tblChannels[Channel Code],tblChannels[Channel Name],"")</f>
        <v>In-store</v>
      </c>
      <c r="R2699" s="1">
        <f>MONTH(tblSales[[#This Row],[Date]])</f>
        <v>6</v>
      </c>
    </row>
    <row r="2700" spans="2:18" x14ac:dyDescent="0.35">
      <c r="B2700" s="113">
        <v>46184</v>
      </c>
      <c r="C2700" s="4" t="s">
        <v>1806</v>
      </c>
      <c r="D2700" s="4" t="s">
        <v>4606</v>
      </c>
      <c r="E2700" s="1" t="str">
        <f>_xlfn.XLOOKUP(tblSales[[#This Row],[Customer ID]],tblCustomers[Customer ID],tblCustomers[Customer Name],"⚠ Unknown")</f>
        <v>PT Arunika Digital Kreatif</v>
      </c>
      <c r="F2700" s="4" t="s">
        <v>6</v>
      </c>
      <c r="G2700" s="1" t="str">
        <f>_xlfn.XLOOKUP(tblSales[[#This Row],[Product Code]],tblProducts[Code],tblProducts[Product / Service Name],"⚠ Unknown")</f>
        <v>Socks &amp; Accessories</v>
      </c>
      <c r="H2700" s="1" t="str">
        <f>_xlfn.XLOOKUP(tblSales[[#This Row],[Product Code]],tblProducts[Code],tblProducts[Category],"")</f>
        <v>Accessories &amp; Basics</v>
      </c>
      <c r="I2700" s="4">
        <v>16</v>
      </c>
      <c r="J2700" s="5">
        <f>_xlfn.XLOOKUP(tblSales[[#This Row],[Product Code]],tblProducts[Code],tblProducts[Selling Price (excl. VAT)],0)</f>
        <v>45000</v>
      </c>
      <c r="K2700" s="5">
        <f>tblSales[[#This Row],[Qty]]*tblSales[[#This Row],[Unit Price]]</f>
        <v>720000</v>
      </c>
      <c r="L2700" s="5">
        <f>ROUND(tblSales[[#This Row],[DPP (excl. VAT)]]*VATEff,0)</f>
        <v>79200</v>
      </c>
      <c r="M2700" s="5">
        <f>tblSales[[#This Row],[DPP (excl. VAT)]]+tblSales[[#This Row],[Output VAT]]</f>
        <v>799200</v>
      </c>
      <c r="N2700" s="5">
        <f>tblSales[[#This Row],[Qty]]*_xlfn.XLOOKUP(tblSales[[#This Row],[Product Code]],tblProducts[Code],tblProducts[Unit Cost],0)</f>
        <v>384000</v>
      </c>
      <c r="O2700" s="4" t="s">
        <v>4867</v>
      </c>
      <c r="P2700" s="4" t="s">
        <v>4860</v>
      </c>
      <c r="Q2700" s="1" t="str">
        <f>_xlfn.XLOOKUP(tblSales[[#This Row],[Channel Code]],tblChannels[Channel Code],tblChannels[Channel Name],"")</f>
        <v>In-store</v>
      </c>
      <c r="R2700" s="1">
        <f>MONTH(tblSales[[#This Row],[Date]])</f>
        <v>6</v>
      </c>
    </row>
    <row r="2701" spans="2:18" x14ac:dyDescent="0.35">
      <c r="B2701" s="113">
        <v>46185</v>
      </c>
      <c r="C2701" s="4" t="s">
        <v>1807</v>
      </c>
      <c r="D2701" s="4" t="s">
        <v>4634</v>
      </c>
      <c r="E2701" s="1" t="str">
        <f>_xlfn.XLOOKUP(tblSales[[#This Row],[Customer ID]],tblCustomers[Customer ID],tblCustomers[Customer Name],"⚠ Unknown")</f>
        <v>PT Delta Inti Selaras</v>
      </c>
      <c r="F2701" s="4" t="s">
        <v>8</v>
      </c>
      <c r="G2701" s="1" t="str">
        <f>_xlfn.XLOOKUP(tblSales[[#This Row],[Product Code]],tblProducts[Code],tblProducts[Product / Service Name],"⚠ Unknown")</f>
        <v>Casual Shorts</v>
      </c>
      <c r="H2701" s="1" t="str">
        <f>_xlfn.XLOOKUP(tblSales[[#This Row],[Product Code]],tblProducts[Code],tblProducts[Category],"")</f>
        <v>Accessories &amp; Basics</v>
      </c>
      <c r="I2701" s="4">
        <v>64</v>
      </c>
      <c r="J2701" s="5">
        <f>_xlfn.XLOOKUP(tblSales[[#This Row],[Product Code]],tblProducts[Code],tblProducts[Selling Price (excl. VAT)],0)</f>
        <v>85000</v>
      </c>
      <c r="K2701" s="5">
        <f>tblSales[[#This Row],[Qty]]*tblSales[[#This Row],[Unit Price]]</f>
        <v>5440000</v>
      </c>
      <c r="L2701" s="5">
        <f>ROUND(tblSales[[#This Row],[DPP (excl. VAT)]]*VATEff,0)</f>
        <v>598400</v>
      </c>
      <c r="M2701" s="5">
        <f>tblSales[[#This Row],[DPP (excl. VAT)]]+tblSales[[#This Row],[Output VAT]]</f>
        <v>6038400</v>
      </c>
      <c r="N2701" s="5">
        <f>tblSales[[#This Row],[Qty]]*_xlfn.XLOOKUP(tblSales[[#This Row],[Product Code]],tblProducts[Code],tblProducts[Unit Cost],0)</f>
        <v>3200000</v>
      </c>
      <c r="O2701" s="4" t="s">
        <v>4867</v>
      </c>
      <c r="P2701" s="4" t="s">
        <v>4862</v>
      </c>
      <c r="Q2701" s="1" t="str">
        <f>_xlfn.XLOOKUP(tblSales[[#This Row],[Channel Code]],tblChannels[Channel Code],tblChannels[Channel Name],"")</f>
        <v>Website &amp; Social Media</v>
      </c>
      <c r="R2701" s="1">
        <f>MONTH(tblSales[[#This Row],[Date]])</f>
        <v>6</v>
      </c>
    </row>
    <row r="2702" spans="2:18" x14ac:dyDescent="0.35">
      <c r="B2702" s="113">
        <v>46185</v>
      </c>
      <c r="C2702" s="4" t="s">
        <v>1807</v>
      </c>
      <c r="D2702" s="4" t="s">
        <v>4634</v>
      </c>
      <c r="E2702" s="1" t="str">
        <f>_xlfn.XLOOKUP(tblSales[[#This Row],[Customer ID]],tblCustomers[Customer ID],tblCustomers[Customer Name],"⚠ Unknown")</f>
        <v>PT Delta Inti Selaras</v>
      </c>
      <c r="F2702" s="4" t="s">
        <v>13</v>
      </c>
      <c r="G2702" s="1" t="str">
        <f>_xlfn.XLOOKUP(tblSales[[#This Row],[Product Code]],tblProducts[Code],tblProducts[Product / Service Name],"⚠ Unknown")</f>
        <v>Backpack</v>
      </c>
      <c r="H2702" s="1" t="str">
        <f>_xlfn.XLOOKUP(tblSales[[#This Row],[Product Code]],tblProducts[Code],tblProducts[Category],"")</f>
        <v>Bags &amp; Gadgets</v>
      </c>
      <c r="I2702" s="4">
        <v>24</v>
      </c>
      <c r="J2702" s="5">
        <f>_xlfn.XLOOKUP(tblSales[[#This Row],[Product Code]],tblProducts[Code],tblProducts[Selling Price (excl. VAT)],0)</f>
        <v>500000</v>
      </c>
      <c r="K2702" s="5">
        <f>tblSales[[#This Row],[Qty]]*tblSales[[#This Row],[Unit Price]]</f>
        <v>12000000</v>
      </c>
      <c r="L2702" s="5">
        <f>ROUND(tblSales[[#This Row],[DPP (excl. VAT)]]*VATEff,0)</f>
        <v>1320000</v>
      </c>
      <c r="M2702" s="5">
        <f>tblSales[[#This Row],[DPP (excl. VAT)]]+tblSales[[#This Row],[Output VAT]]</f>
        <v>13320000</v>
      </c>
      <c r="N2702" s="5">
        <f>tblSales[[#This Row],[Qty]]*_xlfn.XLOOKUP(tblSales[[#This Row],[Product Code]],tblProducts[Code],tblProducts[Unit Cost],0)</f>
        <v>6960000</v>
      </c>
      <c r="O2702" s="4" t="s">
        <v>4867</v>
      </c>
      <c r="P2702" s="4" t="s">
        <v>4862</v>
      </c>
      <c r="Q2702" s="1" t="str">
        <f>_xlfn.XLOOKUP(tblSales[[#This Row],[Channel Code]],tblChannels[Channel Code],tblChannels[Channel Name],"")</f>
        <v>Website &amp; Social Media</v>
      </c>
      <c r="R2702" s="1">
        <f>MONTH(tblSales[[#This Row],[Date]])</f>
        <v>6</v>
      </c>
    </row>
    <row r="2703" spans="2:18" x14ac:dyDescent="0.35">
      <c r="B2703" s="113">
        <v>46185</v>
      </c>
      <c r="C2703" s="4" t="s">
        <v>1808</v>
      </c>
      <c r="D2703" s="4" t="s">
        <v>4568</v>
      </c>
      <c r="E2703" s="1" t="str">
        <f>_xlfn.XLOOKUP(tblSales[[#This Row],[Customer ID]],tblCustomers[Customer ID],tblCustomers[Customer Name],"⚠ Unknown")</f>
        <v>Walk-in Customer</v>
      </c>
      <c r="F2703" s="4" t="s">
        <v>10</v>
      </c>
      <c r="G2703" s="1" t="str">
        <f>_xlfn.XLOOKUP(tblSales[[#This Row],[Product Code]],tblProducts[Code],tblProducts[Product / Service Name],"⚠ Unknown")</f>
        <v>Chino Pants</v>
      </c>
      <c r="H2703" s="1" t="str">
        <f>_xlfn.XLOOKUP(tblSales[[#This Row],[Product Code]],tblProducts[Code],tblProducts[Category],"")</f>
        <v>Apparel &amp; Footwear</v>
      </c>
      <c r="I2703" s="4">
        <v>7</v>
      </c>
      <c r="J2703" s="5">
        <f>_xlfn.XLOOKUP(tblSales[[#This Row],[Product Code]],tblProducts[Code],tblProducts[Selling Price (excl. VAT)],0)</f>
        <v>150000</v>
      </c>
      <c r="K2703" s="5">
        <f>tblSales[[#This Row],[Qty]]*tblSales[[#This Row],[Unit Price]]</f>
        <v>1050000</v>
      </c>
      <c r="L2703" s="5">
        <f>ROUND(tblSales[[#This Row],[DPP (excl. VAT)]]*VATEff,0)</f>
        <v>115500</v>
      </c>
      <c r="M2703" s="5">
        <f>tblSales[[#This Row],[DPP (excl. VAT)]]+tblSales[[#This Row],[Output VAT]]</f>
        <v>1165500</v>
      </c>
      <c r="N2703" s="5">
        <f>tblSales[[#This Row],[Qty]]*_xlfn.XLOOKUP(tblSales[[#This Row],[Product Code]],tblProducts[Code],tblProducts[Unit Cost],0)</f>
        <v>616000</v>
      </c>
      <c r="O2703" s="4" t="s">
        <v>4866</v>
      </c>
      <c r="P2703" s="4" t="s">
        <v>4862</v>
      </c>
      <c r="Q2703" s="1" t="str">
        <f>_xlfn.XLOOKUP(tblSales[[#This Row],[Channel Code]],tblChannels[Channel Code],tblChannels[Channel Name],"")</f>
        <v>Website &amp; Social Media</v>
      </c>
      <c r="R2703" s="1">
        <f>MONTH(tblSales[[#This Row],[Date]])</f>
        <v>6</v>
      </c>
    </row>
    <row r="2704" spans="2:18" x14ac:dyDescent="0.35">
      <c r="B2704" s="113">
        <v>46185</v>
      </c>
      <c r="C2704" s="4" t="s">
        <v>1809</v>
      </c>
      <c r="D2704" s="4" t="s">
        <v>4568</v>
      </c>
      <c r="E2704" s="1" t="str">
        <f>_xlfn.XLOOKUP(tblSales[[#This Row],[Customer ID]],tblCustomers[Customer ID],tblCustomers[Customer Name],"⚠ Unknown")</f>
        <v>Walk-in Customer</v>
      </c>
      <c r="F2704" s="4" t="s">
        <v>13</v>
      </c>
      <c r="G2704" s="1" t="str">
        <f>_xlfn.XLOOKUP(tblSales[[#This Row],[Product Code]],tblProducts[Code],tblProducts[Product / Service Name],"⚠ Unknown")</f>
        <v>Backpack</v>
      </c>
      <c r="H2704" s="1" t="str">
        <f>_xlfn.XLOOKUP(tblSales[[#This Row],[Product Code]],tblProducts[Code],tblProducts[Category],"")</f>
        <v>Bags &amp; Gadgets</v>
      </c>
      <c r="I2704" s="4">
        <v>1</v>
      </c>
      <c r="J2704" s="5">
        <f>_xlfn.XLOOKUP(tblSales[[#This Row],[Product Code]],tblProducts[Code],tblProducts[Selling Price (excl. VAT)],0)</f>
        <v>500000</v>
      </c>
      <c r="K2704" s="5">
        <f>tblSales[[#This Row],[Qty]]*tblSales[[#This Row],[Unit Price]]</f>
        <v>500000</v>
      </c>
      <c r="L2704" s="5">
        <f>ROUND(tblSales[[#This Row],[DPP (excl. VAT)]]*VATEff,0)</f>
        <v>55000</v>
      </c>
      <c r="M2704" s="5">
        <f>tblSales[[#This Row],[DPP (excl. VAT)]]+tblSales[[#This Row],[Output VAT]]</f>
        <v>555000</v>
      </c>
      <c r="N2704" s="5">
        <f>tblSales[[#This Row],[Qty]]*_xlfn.XLOOKUP(tblSales[[#This Row],[Product Code]],tblProducts[Code],tblProducts[Unit Cost],0)</f>
        <v>290000</v>
      </c>
      <c r="O2704" s="4" t="s">
        <v>4866</v>
      </c>
      <c r="P2704" s="4" t="s">
        <v>4861</v>
      </c>
      <c r="Q2704" s="1" t="str">
        <f>_xlfn.XLOOKUP(tblSales[[#This Row],[Channel Code]],tblChannels[Channel Code],tblChannels[Channel Name],"")</f>
        <v>Marketplace</v>
      </c>
      <c r="R2704" s="1">
        <f>MONTH(tblSales[[#This Row],[Date]])</f>
        <v>6</v>
      </c>
    </row>
    <row r="2705" spans="2:18" x14ac:dyDescent="0.35">
      <c r="B2705" s="113">
        <v>46185</v>
      </c>
      <c r="C2705" s="4" t="s">
        <v>1810</v>
      </c>
      <c r="D2705" s="4" t="s">
        <v>4568</v>
      </c>
      <c r="E2705" s="1" t="str">
        <f>_xlfn.XLOOKUP(tblSales[[#This Row],[Customer ID]],tblCustomers[Customer ID],tblCustomers[Customer Name],"⚠ Unknown")</f>
        <v>Walk-in Customer</v>
      </c>
      <c r="F2705" s="4" t="s">
        <v>8</v>
      </c>
      <c r="G2705" s="1" t="str">
        <f>_xlfn.XLOOKUP(tblSales[[#This Row],[Product Code]],tblProducts[Code],tblProducts[Product / Service Name],"⚠ Unknown")</f>
        <v>Casual Shorts</v>
      </c>
      <c r="H2705" s="1" t="str">
        <f>_xlfn.XLOOKUP(tblSales[[#This Row],[Product Code]],tblProducts[Code],tblProducts[Category],"")</f>
        <v>Accessories &amp; Basics</v>
      </c>
      <c r="I2705" s="4">
        <v>7</v>
      </c>
      <c r="J2705" s="5">
        <f>_xlfn.XLOOKUP(tblSales[[#This Row],[Product Code]],tblProducts[Code],tblProducts[Selling Price (excl. VAT)],0)</f>
        <v>85000</v>
      </c>
      <c r="K2705" s="5">
        <f>tblSales[[#This Row],[Qty]]*tblSales[[#This Row],[Unit Price]]</f>
        <v>595000</v>
      </c>
      <c r="L2705" s="5">
        <f>ROUND(tblSales[[#This Row],[DPP (excl. VAT)]]*VATEff,0)</f>
        <v>65450</v>
      </c>
      <c r="M2705" s="5">
        <f>tblSales[[#This Row],[DPP (excl. VAT)]]+tblSales[[#This Row],[Output VAT]]</f>
        <v>660450</v>
      </c>
      <c r="N2705" s="5">
        <f>tblSales[[#This Row],[Qty]]*_xlfn.XLOOKUP(tblSales[[#This Row],[Product Code]],tblProducts[Code],tblProducts[Unit Cost],0)</f>
        <v>350000</v>
      </c>
      <c r="O2705" s="4" t="s">
        <v>4866</v>
      </c>
      <c r="P2705" s="4" t="s">
        <v>4861</v>
      </c>
      <c r="Q2705" s="1" t="str">
        <f>_xlfn.XLOOKUP(tblSales[[#This Row],[Channel Code]],tblChannels[Channel Code],tblChannels[Channel Name],"")</f>
        <v>Marketplace</v>
      </c>
      <c r="R2705" s="1">
        <f>MONTH(tblSales[[#This Row],[Date]])</f>
        <v>6</v>
      </c>
    </row>
    <row r="2706" spans="2:18" x14ac:dyDescent="0.35">
      <c r="B2706" s="113">
        <v>46185</v>
      </c>
      <c r="C2706" s="4" t="s">
        <v>1811</v>
      </c>
      <c r="D2706" s="4" t="s">
        <v>4648</v>
      </c>
      <c r="E2706" s="1" t="str">
        <f>_xlfn.XLOOKUP(tblSales[[#This Row],[Customer ID]],tblCustomers[Customer ID],tblCustomers[Customer Name],"⚠ Unknown")</f>
        <v>PT Lintas Benua Niaga</v>
      </c>
      <c r="F2706" s="4" t="s">
        <v>6</v>
      </c>
      <c r="G2706" s="1" t="str">
        <f>_xlfn.XLOOKUP(tblSales[[#This Row],[Product Code]],tblProducts[Code],tblProducts[Product / Service Name],"⚠ Unknown")</f>
        <v>Socks &amp; Accessories</v>
      </c>
      <c r="H2706" s="1" t="str">
        <f>_xlfn.XLOOKUP(tblSales[[#This Row],[Product Code]],tblProducts[Code],tblProducts[Category],"")</f>
        <v>Accessories &amp; Basics</v>
      </c>
      <c r="I2706" s="4">
        <v>64</v>
      </c>
      <c r="J2706" s="5">
        <f>_xlfn.XLOOKUP(tblSales[[#This Row],[Product Code]],tblProducts[Code],tblProducts[Selling Price (excl. VAT)],0)</f>
        <v>45000</v>
      </c>
      <c r="K2706" s="5">
        <f>tblSales[[#This Row],[Qty]]*tblSales[[#This Row],[Unit Price]]</f>
        <v>2880000</v>
      </c>
      <c r="L2706" s="5">
        <f>ROUND(tblSales[[#This Row],[DPP (excl. VAT)]]*VATEff,0)</f>
        <v>316800</v>
      </c>
      <c r="M2706" s="5">
        <f>tblSales[[#This Row],[DPP (excl. VAT)]]+tblSales[[#This Row],[Output VAT]]</f>
        <v>3196800</v>
      </c>
      <c r="N2706" s="5">
        <f>tblSales[[#This Row],[Qty]]*_xlfn.XLOOKUP(tblSales[[#This Row],[Product Code]],tblProducts[Code],tblProducts[Unit Cost],0)</f>
        <v>1536000</v>
      </c>
      <c r="O2706" s="4" t="s">
        <v>4867</v>
      </c>
      <c r="P2706" s="4" t="s">
        <v>4860</v>
      </c>
      <c r="Q2706" s="1" t="str">
        <f>_xlfn.XLOOKUP(tblSales[[#This Row],[Channel Code]],tblChannels[Channel Code],tblChannels[Channel Name],"")</f>
        <v>In-store</v>
      </c>
      <c r="R2706" s="1">
        <f>MONTH(tblSales[[#This Row],[Date]])</f>
        <v>6</v>
      </c>
    </row>
    <row r="2707" spans="2:18" x14ac:dyDescent="0.35">
      <c r="B2707" s="113">
        <v>46185</v>
      </c>
      <c r="C2707" s="4" t="s">
        <v>1812</v>
      </c>
      <c r="D2707" s="4" t="s">
        <v>4568</v>
      </c>
      <c r="E2707" s="1" t="str">
        <f>_xlfn.XLOOKUP(tblSales[[#This Row],[Customer ID]],tblCustomers[Customer ID],tblCustomers[Customer Name],"⚠ Unknown")</f>
        <v>Walk-in Customer</v>
      </c>
      <c r="F2707" s="4" t="s">
        <v>15</v>
      </c>
      <c r="G2707" s="1" t="str">
        <f>_xlfn.XLOOKUP(tblSales[[#This Row],[Product Code]],tblProducts[Code],tblProducts[Product / Service Name],"⚠ Unknown")</f>
        <v>Wireless Earbuds Pro</v>
      </c>
      <c r="H2707" s="1" t="str">
        <f>_xlfn.XLOOKUP(tblSales[[#This Row],[Product Code]],tblProducts[Code],tblProducts[Category],"")</f>
        <v>Bags &amp; Gadgets</v>
      </c>
      <c r="I2707" s="4">
        <v>2</v>
      </c>
      <c r="J2707" s="5">
        <f>_xlfn.XLOOKUP(tblSales[[#This Row],[Product Code]],tblProducts[Code],tblProducts[Selling Price (excl. VAT)],0)</f>
        <v>1250000</v>
      </c>
      <c r="K2707" s="5">
        <f>tblSales[[#This Row],[Qty]]*tblSales[[#This Row],[Unit Price]]</f>
        <v>2500000</v>
      </c>
      <c r="L2707" s="5">
        <f>ROUND(tblSales[[#This Row],[DPP (excl. VAT)]]*VATEff,0)</f>
        <v>275000</v>
      </c>
      <c r="M2707" s="5">
        <f>tblSales[[#This Row],[DPP (excl. VAT)]]+tblSales[[#This Row],[Output VAT]]</f>
        <v>2775000</v>
      </c>
      <c r="N2707" s="5">
        <f>tblSales[[#This Row],[Qty]]*_xlfn.XLOOKUP(tblSales[[#This Row],[Product Code]],tblProducts[Code],tblProducts[Unit Cost],0)</f>
        <v>1640000</v>
      </c>
      <c r="O2707" s="4" t="s">
        <v>4866</v>
      </c>
      <c r="P2707" s="4" t="s">
        <v>4861</v>
      </c>
      <c r="Q2707" s="1" t="str">
        <f>_xlfn.XLOOKUP(tblSales[[#This Row],[Channel Code]],tblChannels[Channel Code],tblChannels[Channel Name],"")</f>
        <v>Marketplace</v>
      </c>
      <c r="R2707" s="1">
        <f>MONTH(tblSales[[#This Row],[Date]])</f>
        <v>6</v>
      </c>
    </row>
    <row r="2708" spans="2:18" x14ac:dyDescent="0.35">
      <c r="B2708" s="113">
        <v>46185</v>
      </c>
      <c r="C2708" s="4" t="s">
        <v>1813</v>
      </c>
      <c r="D2708" s="4" t="s">
        <v>4568</v>
      </c>
      <c r="E2708" s="1" t="str">
        <f>_xlfn.XLOOKUP(tblSales[[#This Row],[Customer ID]],tblCustomers[Customer ID],tblCustomers[Customer Name],"⚠ Unknown")</f>
        <v>Walk-in Customer</v>
      </c>
      <c r="F2708" s="4" t="s">
        <v>10</v>
      </c>
      <c r="G2708" s="1" t="str">
        <f>_xlfn.XLOOKUP(tblSales[[#This Row],[Product Code]],tblProducts[Code],tblProducts[Product / Service Name],"⚠ Unknown")</f>
        <v>Chino Pants</v>
      </c>
      <c r="H2708" s="1" t="str">
        <f>_xlfn.XLOOKUP(tblSales[[#This Row],[Product Code]],tblProducts[Code],tblProducts[Category],"")</f>
        <v>Apparel &amp; Footwear</v>
      </c>
      <c r="I2708" s="4">
        <v>4</v>
      </c>
      <c r="J2708" s="5">
        <f>_xlfn.XLOOKUP(tblSales[[#This Row],[Product Code]],tblProducts[Code],tblProducts[Selling Price (excl. VAT)],0)</f>
        <v>150000</v>
      </c>
      <c r="K2708" s="5">
        <f>tblSales[[#This Row],[Qty]]*tblSales[[#This Row],[Unit Price]]</f>
        <v>600000</v>
      </c>
      <c r="L2708" s="5">
        <f>ROUND(tblSales[[#This Row],[DPP (excl. VAT)]]*VATEff,0)</f>
        <v>66000</v>
      </c>
      <c r="M2708" s="5">
        <f>tblSales[[#This Row],[DPP (excl. VAT)]]+tblSales[[#This Row],[Output VAT]]</f>
        <v>666000</v>
      </c>
      <c r="N2708" s="5">
        <f>tblSales[[#This Row],[Qty]]*_xlfn.XLOOKUP(tblSales[[#This Row],[Product Code]],tblProducts[Code],tblProducts[Unit Cost],0)</f>
        <v>352000</v>
      </c>
      <c r="O2708" s="4" t="s">
        <v>4865</v>
      </c>
      <c r="P2708" s="4" t="s">
        <v>4860</v>
      </c>
      <c r="Q2708" s="1" t="str">
        <f>_xlfn.XLOOKUP(tblSales[[#This Row],[Channel Code]],tblChannels[Channel Code],tblChannels[Channel Name],"")</f>
        <v>In-store</v>
      </c>
      <c r="R2708" s="1">
        <f>MONTH(tblSales[[#This Row],[Date]])</f>
        <v>6</v>
      </c>
    </row>
    <row r="2709" spans="2:18" x14ac:dyDescent="0.35">
      <c r="B2709" s="113">
        <v>46185</v>
      </c>
      <c r="C2709" s="4" t="s">
        <v>1813</v>
      </c>
      <c r="D2709" s="4" t="s">
        <v>4568</v>
      </c>
      <c r="E2709" s="1" t="str">
        <f>_xlfn.XLOOKUP(tblSales[[#This Row],[Customer ID]],tblCustomers[Customer ID],tblCustomers[Customer Name],"⚠ Unknown")</f>
        <v>Walk-in Customer</v>
      </c>
      <c r="F2709" s="4" t="s">
        <v>7</v>
      </c>
      <c r="G2709" s="1" t="str">
        <f>_xlfn.XLOOKUP(tblSales[[#This Row],[Product Code]],tblProducts[Code],tblProducts[Product / Service Name],"⚠ Unknown")</f>
        <v>Premium Basic T-shirt</v>
      </c>
      <c r="H2709" s="1" t="str">
        <f>_xlfn.XLOOKUP(tblSales[[#This Row],[Product Code]],tblProducts[Code],tblProducts[Category],"")</f>
        <v>Accessories &amp; Basics</v>
      </c>
      <c r="I2709" s="4">
        <v>1</v>
      </c>
      <c r="J2709" s="5">
        <f>_xlfn.XLOOKUP(tblSales[[#This Row],[Product Code]],tblProducts[Code],tblProducts[Selling Price (excl. VAT)],0)</f>
        <v>65000</v>
      </c>
      <c r="K2709" s="5">
        <f>tblSales[[#This Row],[Qty]]*tblSales[[#This Row],[Unit Price]]</f>
        <v>65000</v>
      </c>
      <c r="L2709" s="5">
        <f>ROUND(tblSales[[#This Row],[DPP (excl. VAT)]]*VATEff,0)</f>
        <v>7150</v>
      </c>
      <c r="M2709" s="5">
        <f>tblSales[[#This Row],[DPP (excl. VAT)]]+tblSales[[#This Row],[Output VAT]]</f>
        <v>72150</v>
      </c>
      <c r="N2709" s="5">
        <f>tblSales[[#This Row],[Qty]]*_xlfn.XLOOKUP(tblSales[[#This Row],[Product Code]],tblProducts[Code],tblProducts[Unit Cost],0)</f>
        <v>37000</v>
      </c>
      <c r="O2709" s="4" t="s">
        <v>4865</v>
      </c>
      <c r="P2709" s="4" t="s">
        <v>4860</v>
      </c>
      <c r="Q2709" s="1" t="str">
        <f>_xlfn.XLOOKUP(tblSales[[#This Row],[Channel Code]],tblChannels[Channel Code],tblChannels[Channel Name],"")</f>
        <v>In-store</v>
      </c>
      <c r="R2709" s="1">
        <f>MONTH(tblSales[[#This Row],[Date]])</f>
        <v>6</v>
      </c>
    </row>
    <row r="2710" spans="2:18" x14ac:dyDescent="0.35">
      <c r="B2710" s="113">
        <v>46185</v>
      </c>
      <c r="C2710" s="4" t="s">
        <v>1813</v>
      </c>
      <c r="D2710" s="4" t="s">
        <v>4568</v>
      </c>
      <c r="E2710" s="1" t="str">
        <f>_xlfn.XLOOKUP(tblSales[[#This Row],[Customer ID]],tblCustomers[Customer ID],tblCustomers[Customer Name],"⚠ Unknown")</f>
        <v>Walk-in Customer</v>
      </c>
      <c r="F2710" s="4" t="s">
        <v>8</v>
      </c>
      <c r="G2710" s="1" t="str">
        <f>_xlfn.XLOOKUP(tblSales[[#This Row],[Product Code]],tblProducts[Code],tblProducts[Product / Service Name],"⚠ Unknown")</f>
        <v>Casual Shorts</v>
      </c>
      <c r="H2710" s="1" t="str">
        <f>_xlfn.XLOOKUP(tblSales[[#This Row],[Product Code]],tblProducts[Code],tblProducts[Category],"")</f>
        <v>Accessories &amp; Basics</v>
      </c>
      <c r="I2710" s="4">
        <v>1</v>
      </c>
      <c r="J2710" s="5">
        <f>_xlfn.XLOOKUP(tblSales[[#This Row],[Product Code]],tblProducts[Code],tblProducts[Selling Price (excl. VAT)],0)</f>
        <v>85000</v>
      </c>
      <c r="K2710" s="5">
        <f>tblSales[[#This Row],[Qty]]*tblSales[[#This Row],[Unit Price]]</f>
        <v>85000</v>
      </c>
      <c r="L2710" s="5">
        <f>ROUND(tblSales[[#This Row],[DPP (excl. VAT)]]*VATEff,0)</f>
        <v>9350</v>
      </c>
      <c r="M2710" s="5">
        <f>tblSales[[#This Row],[DPP (excl. VAT)]]+tblSales[[#This Row],[Output VAT]]</f>
        <v>94350</v>
      </c>
      <c r="N2710" s="5">
        <f>tblSales[[#This Row],[Qty]]*_xlfn.XLOOKUP(tblSales[[#This Row],[Product Code]],tblProducts[Code],tblProducts[Unit Cost],0)</f>
        <v>50000</v>
      </c>
      <c r="O2710" s="4" t="s">
        <v>4865</v>
      </c>
      <c r="P2710" s="4" t="s">
        <v>4860</v>
      </c>
      <c r="Q2710" s="1" t="str">
        <f>_xlfn.XLOOKUP(tblSales[[#This Row],[Channel Code]],tblChannels[Channel Code],tblChannels[Channel Name],"")</f>
        <v>In-store</v>
      </c>
      <c r="R2710" s="1">
        <f>MONTH(tblSales[[#This Row],[Date]])</f>
        <v>6</v>
      </c>
    </row>
    <row r="2711" spans="2:18" x14ac:dyDescent="0.35">
      <c r="B2711" s="113">
        <v>46185</v>
      </c>
      <c r="C2711" s="4" t="s">
        <v>1814</v>
      </c>
      <c r="D2711" s="4" t="s">
        <v>4568</v>
      </c>
      <c r="E2711" s="1" t="str">
        <f>_xlfn.XLOOKUP(tblSales[[#This Row],[Customer ID]],tblCustomers[Customer ID],tblCustomers[Customer Name],"⚠ Unknown")</f>
        <v>Walk-in Customer</v>
      </c>
      <c r="F2711" s="4" t="s">
        <v>8</v>
      </c>
      <c r="G2711" s="1" t="str">
        <f>_xlfn.XLOOKUP(tblSales[[#This Row],[Product Code]],tblProducts[Code],tblProducts[Product / Service Name],"⚠ Unknown")</f>
        <v>Casual Shorts</v>
      </c>
      <c r="H2711" s="1" t="str">
        <f>_xlfn.XLOOKUP(tblSales[[#This Row],[Product Code]],tblProducts[Code],tblProducts[Category],"")</f>
        <v>Accessories &amp; Basics</v>
      </c>
      <c r="I2711" s="4">
        <v>9</v>
      </c>
      <c r="J2711" s="5">
        <f>_xlfn.XLOOKUP(tblSales[[#This Row],[Product Code]],tblProducts[Code],tblProducts[Selling Price (excl. VAT)],0)</f>
        <v>85000</v>
      </c>
      <c r="K2711" s="5">
        <f>tblSales[[#This Row],[Qty]]*tblSales[[#This Row],[Unit Price]]</f>
        <v>765000</v>
      </c>
      <c r="L2711" s="5">
        <f>ROUND(tblSales[[#This Row],[DPP (excl. VAT)]]*VATEff,0)</f>
        <v>84150</v>
      </c>
      <c r="M2711" s="5">
        <f>tblSales[[#This Row],[DPP (excl. VAT)]]+tblSales[[#This Row],[Output VAT]]</f>
        <v>849150</v>
      </c>
      <c r="N2711" s="5">
        <f>tblSales[[#This Row],[Qty]]*_xlfn.XLOOKUP(tblSales[[#This Row],[Product Code]],tblProducts[Code],tblProducts[Unit Cost],0)</f>
        <v>450000</v>
      </c>
      <c r="O2711" s="4" t="s">
        <v>4866</v>
      </c>
      <c r="P2711" s="4" t="s">
        <v>4861</v>
      </c>
      <c r="Q2711" s="1" t="str">
        <f>_xlfn.XLOOKUP(tblSales[[#This Row],[Channel Code]],tblChannels[Channel Code],tblChannels[Channel Name],"")</f>
        <v>Marketplace</v>
      </c>
      <c r="R2711" s="1">
        <f>MONTH(tblSales[[#This Row],[Date]])</f>
        <v>6</v>
      </c>
    </row>
    <row r="2712" spans="2:18" x14ac:dyDescent="0.35">
      <c r="B2712" s="113">
        <v>46185</v>
      </c>
      <c r="C2712" s="4" t="s">
        <v>1815</v>
      </c>
      <c r="D2712" s="4" t="s">
        <v>4613</v>
      </c>
      <c r="E2712" s="1" t="str">
        <f>_xlfn.XLOOKUP(tblSales[[#This Row],[Customer ID]],tblCustomers[Customer ID],tblCustomers[Customer Name],"⚠ Unknown")</f>
        <v>PT Mega Prima Distribusi</v>
      </c>
      <c r="F2712" s="4" t="s">
        <v>6</v>
      </c>
      <c r="G2712" s="1" t="str">
        <f>_xlfn.XLOOKUP(tblSales[[#This Row],[Product Code]],tblProducts[Code],tblProducts[Product / Service Name],"⚠ Unknown")</f>
        <v>Socks &amp; Accessories</v>
      </c>
      <c r="H2712" s="1" t="str">
        <f>_xlfn.XLOOKUP(tblSales[[#This Row],[Product Code]],tblProducts[Code],tblProducts[Category],"")</f>
        <v>Accessories &amp; Basics</v>
      </c>
      <c r="I2712" s="4">
        <v>56</v>
      </c>
      <c r="J2712" s="5">
        <f>_xlfn.XLOOKUP(tblSales[[#This Row],[Product Code]],tblProducts[Code],tblProducts[Selling Price (excl. VAT)],0)</f>
        <v>45000</v>
      </c>
      <c r="K2712" s="5">
        <f>tblSales[[#This Row],[Qty]]*tblSales[[#This Row],[Unit Price]]</f>
        <v>2520000</v>
      </c>
      <c r="L2712" s="5">
        <f>ROUND(tblSales[[#This Row],[DPP (excl. VAT)]]*VATEff,0)</f>
        <v>277200</v>
      </c>
      <c r="M2712" s="5">
        <f>tblSales[[#This Row],[DPP (excl. VAT)]]+tblSales[[#This Row],[Output VAT]]</f>
        <v>2797200</v>
      </c>
      <c r="N2712" s="5">
        <f>tblSales[[#This Row],[Qty]]*_xlfn.XLOOKUP(tblSales[[#This Row],[Product Code]],tblProducts[Code],tblProducts[Unit Cost],0)</f>
        <v>1344000</v>
      </c>
      <c r="O2712" s="4" t="s">
        <v>4867</v>
      </c>
      <c r="P2712" s="4" t="s">
        <v>4860</v>
      </c>
      <c r="Q2712" s="1" t="str">
        <f>_xlfn.XLOOKUP(tblSales[[#This Row],[Channel Code]],tblChannels[Channel Code],tblChannels[Channel Name],"")</f>
        <v>In-store</v>
      </c>
      <c r="R2712" s="1">
        <f>MONTH(tblSales[[#This Row],[Date]])</f>
        <v>6</v>
      </c>
    </row>
    <row r="2713" spans="2:18" x14ac:dyDescent="0.35">
      <c r="B2713" s="113">
        <v>46185</v>
      </c>
      <c r="C2713" s="4" t="s">
        <v>1816</v>
      </c>
      <c r="D2713" s="4" t="s">
        <v>4568</v>
      </c>
      <c r="E2713" s="1" t="str">
        <f>_xlfn.XLOOKUP(tblSales[[#This Row],[Customer ID]],tblCustomers[Customer ID],tblCustomers[Customer Name],"⚠ Unknown")</f>
        <v>Walk-in Customer</v>
      </c>
      <c r="F2713" s="4" t="s">
        <v>10</v>
      </c>
      <c r="G2713" s="1" t="str">
        <f>_xlfn.XLOOKUP(tblSales[[#This Row],[Product Code]],tblProducts[Code],tblProducts[Product / Service Name],"⚠ Unknown")</f>
        <v>Chino Pants</v>
      </c>
      <c r="H2713" s="1" t="str">
        <f>_xlfn.XLOOKUP(tblSales[[#This Row],[Product Code]],tblProducts[Code],tblProducts[Category],"")</f>
        <v>Apparel &amp; Footwear</v>
      </c>
      <c r="I2713" s="4">
        <v>4</v>
      </c>
      <c r="J2713" s="5">
        <f>_xlfn.XLOOKUP(tblSales[[#This Row],[Product Code]],tblProducts[Code],tblProducts[Selling Price (excl. VAT)],0)</f>
        <v>150000</v>
      </c>
      <c r="K2713" s="5">
        <f>tblSales[[#This Row],[Qty]]*tblSales[[#This Row],[Unit Price]]</f>
        <v>600000</v>
      </c>
      <c r="L2713" s="5">
        <f>ROUND(tblSales[[#This Row],[DPP (excl. VAT)]]*VATEff,0)</f>
        <v>66000</v>
      </c>
      <c r="M2713" s="5">
        <f>tblSales[[#This Row],[DPP (excl. VAT)]]+tblSales[[#This Row],[Output VAT]]</f>
        <v>666000</v>
      </c>
      <c r="N2713" s="5">
        <f>tblSales[[#This Row],[Qty]]*_xlfn.XLOOKUP(tblSales[[#This Row],[Product Code]],tblProducts[Code],tblProducts[Unit Cost],0)</f>
        <v>352000</v>
      </c>
      <c r="O2713" s="4" t="s">
        <v>4865</v>
      </c>
      <c r="P2713" s="4" t="s">
        <v>4860</v>
      </c>
      <c r="Q2713" s="1" t="str">
        <f>_xlfn.XLOOKUP(tblSales[[#This Row],[Channel Code]],tblChannels[Channel Code],tblChannels[Channel Name],"")</f>
        <v>In-store</v>
      </c>
      <c r="R2713" s="1">
        <f>MONTH(tblSales[[#This Row],[Date]])</f>
        <v>6</v>
      </c>
    </row>
    <row r="2714" spans="2:18" x14ac:dyDescent="0.35">
      <c r="B2714" s="113">
        <v>46186</v>
      </c>
      <c r="C2714" s="4" t="s">
        <v>1817</v>
      </c>
      <c r="D2714" s="4" t="s">
        <v>4568</v>
      </c>
      <c r="E2714" s="1" t="str">
        <f>_xlfn.XLOOKUP(tblSales[[#This Row],[Customer ID]],tblCustomers[Customer ID],tblCustomers[Customer Name],"⚠ Unknown")</f>
        <v>Walk-in Customer</v>
      </c>
      <c r="F2714" s="4" t="s">
        <v>6</v>
      </c>
      <c r="G2714" s="1" t="str">
        <f>_xlfn.XLOOKUP(tblSales[[#This Row],[Product Code]],tblProducts[Code],tblProducts[Product / Service Name],"⚠ Unknown")</f>
        <v>Socks &amp; Accessories</v>
      </c>
      <c r="H2714" s="1" t="str">
        <f>_xlfn.XLOOKUP(tblSales[[#This Row],[Product Code]],tblProducts[Code],tblProducts[Category],"")</f>
        <v>Accessories &amp; Basics</v>
      </c>
      <c r="I2714" s="4">
        <v>4</v>
      </c>
      <c r="J2714" s="5">
        <f>_xlfn.XLOOKUP(tblSales[[#This Row],[Product Code]],tblProducts[Code],tblProducts[Selling Price (excl. VAT)],0)</f>
        <v>45000</v>
      </c>
      <c r="K2714" s="5">
        <f>tblSales[[#This Row],[Qty]]*tblSales[[#This Row],[Unit Price]]</f>
        <v>180000</v>
      </c>
      <c r="L2714" s="5">
        <f>ROUND(tblSales[[#This Row],[DPP (excl. VAT)]]*VATEff,0)</f>
        <v>19800</v>
      </c>
      <c r="M2714" s="5">
        <f>tblSales[[#This Row],[DPP (excl. VAT)]]+tblSales[[#This Row],[Output VAT]]</f>
        <v>199800</v>
      </c>
      <c r="N2714" s="5">
        <f>tblSales[[#This Row],[Qty]]*_xlfn.XLOOKUP(tblSales[[#This Row],[Product Code]],tblProducts[Code],tblProducts[Unit Cost],0)</f>
        <v>96000</v>
      </c>
      <c r="O2714" s="4" t="s">
        <v>4865</v>
      </c>
      <c r="P2714" s="4" t="s">
        <v>4860</v>
      </c>
      <c r="Q2714" s="1" t="str">
        <f>_xlfn.XLOOKUP(tblSales[[#This Row],[Channel Code]],tblChannels[Channel Code],tblChannels[Channel Name],"")</f>
        <v>In-store</v>
      </c>
      <c r="R2714" s="1">
        <f>MONTH(tblSales[[#This Row],[Date]])</f>
        <v>6</v>
      </c>
    </row>
    <row r="2715" spans="2:18" x14ac:dyDescent="0.35">
      <c r="B2715" s="113">
        <v>46186</v>
      </c>
      <c r="C2715" s="4" t="s">
        <v>1818</v>
      </c>
      <c r="D2715" s="4" t="s">
        <v>4568</v>
      </c>
      <c r="E2715" s="1" t="str">
        <f>_xlfn.XLOOKUP(tblSales[[#This Row],[Customer ID]],tblCustomers[Customer ID],tblCustomers[Customer Name],"⚠ Unknown")</f>
        <v>Walk-in Customer</v>
      </c>
      <c r="F2715" s="4" t="s">
        <v>6</v>
      </c>
      <c r="G2715" s="1" t="str">
        <f>_xlfn.XLOOKUP(tblSales[[#This Row],[Product Code]],tblProducts[Code],tblProducts[Product / Service Name],"⚠ Unknown")</f>
        <v>Socks &amp; Accessories</v>
      </c>
      <c r="H2715" s="1" t="str">
        <f>_xlfn.XLOOKUP(tblSales[[#This Row],[Product Code]],tblProducts[Code],tblProducts[Category],"")</f>
        <v>Accessories &amp; Basics</v>
      </c>
      <c r="I2715" s="4">
        <v>2</v>
      </c>
      <c r="J2715" s="5">
        <f>_xlfn.XLOOKUP(tblSales[[#This Row],[Product Code]],tblProducts[Code],tblProducts[Selling Price (excl. VAT)],0)</f>
        <v>45000</v>
      </c>
      <c r="K2715" s="5">
        <f>tblSales[[#This Row],[Qty]]*tblSales[[#This Row],[Unit Price]]</f>
        <v>90000</v>
      </c>
      <c r="L2715" s="5">
        <f>ROUND(tblSales[[#This Row],[DPP (excl. VAT)]]*VATEff,0)</f>
        <v>9900</v>
      </c>
      <c r="M2715" s="5">
        <f>tblSales[[#This Row],[DPP (excl. VAT)]]+tblSales[[#This Row],[Output VAT]]</f>
        <v>99900</v>
      </c>
      <c r="N2715" s="5">
        <f>tblSales[[#This Row],[Qty]]*_xlfn.XLOOKUP(tblSales[[#This Row],[Product Code]],tblProducts[Code],tblProducts[Unit Cost],0)</f>
        <v>48000</v>
      </c>
      <c r="O2715" s="4" t="s">
        <v>4866</v>
      </c>
      <c r="P2715" s="4" t="s">
        <v>4860</v>
      </c>
      <c r="Q2715" s="1" t="str">
        <f>_xlfn.XLOOKUP(tblSales[[#This Row],[Channel Code]],tblChannels[Channel Code],tblChannels[Channel Name],"")</f>
        <v>In-store</v>
      </c>
      <c r="R2715" s="1">
        <f>MONTH(tblSales[[#This Row],[Date]])</f>
        <v>6</v>
      </c>
    </row>
    <row r="2716" spans="2:18" x14ac:dyDescent="0.35">
      <c r="B2716" s="113">
        <v>46186</v>
      </c>
      <c r="C2716" s="4" t="s">
        <v>1819</v>
      </c>
      <c r="D2716" s="4" t="s">
        <v>4599</v>
      </c>
      <c r="E2716" s="1" t="str">
        <f>_xlfn.XLOOKUP(tblSales[[#This Row],[Customer ID]],tblCustomers[Customer ID],tblCustomers[Customer Name],"⚠ Unknown")</f>
        <v>PT Samudra Jaya Logistik</v>
      </c>
      <c r="F2716" s="4" t="s">
        <v>8</v>
      </c>
      <c r="G2716" s="1" t="str">
        <f>_xlfn.XLOOKUP(tblSales[[#This Row],[Product Code]],tblProducts[Code],tblProducts[Product / Service Name],"⚠ Unknown")</f>
        <v>Casual Shorts</v>
      </c>
      <c r="H2716" s="1" t="str">
        <f>_xlfn.XLOOKUP(tblSales[[#This Row],[Product Code]],tblProducts[Code],tblProducts[Category],"")</f>
        <v>Accessories &amp; Basics</v>
      </c>
      <c r="I2716" s="4">
        <v>40</v>
      </c>
      <c r="J2716" s="5">
        <f>_xlfn.XLOOKUP(tblSales[[#This Row],[Product Code]],tblProducts[Code],tblProducts[Selling Price (excl. VAT)],0)</f>
        <v>85000</v>
      </c>
      <c r="K2716" s="5">
        <f>tblSales[[#This Row],[Qty]]*tblSales[[#This Row],[Unit Price]]</f>
        <v>3400000</v>
      </c>
      <c r="L2716" s="5">
        <f>ROUND(tblSales[[#This Row],[DPP (excl. VAT)]]*VATEff,0)</f>
        <v>374000</v>
      </c>
      <c r="M2716" s="5">
        <f>tblSales[[#This Row],[DPP (excl. VAT)]]+tblSales[[#This Row],[Output VAT]]</f>
        <v>3774000</v>
      </c>
      <c r="N2716" s="5">
        <f>tblSales[[#This Row],[Qty]]*_xlfn.XLOOKUP(tblSales[[#This Row],[Product Code]],tblProducts[Code],tblProducts[Unit Cost],0)</f>
        <v>2000000</v>
      </c>
      <c r="O2716" s="4" t="s">
        <v>4867</v>
      </c>
      <c r="P2716" s="4" t="s">
        <v>4860</v>
      </c>
      <c r="Q2716" s="1" t="str">
        <f>_xlfn.XLOOKUP(tblSales[[#This Row],[Channel Code]],tblChannels[Channel Code],tblChannels[Channel Name],"")</f>
        <v>In-store</v>
      </c>
      <c r="R2716" s="1">
        <f>MONTH(tblSales[[#This Row],[Date]])</f>
        <v>6</v>
      </c>
    </row>
    <row r="2717" spans="2:18" x14ac:dyDescent="0.35">
      <c r="B2717" s="113">
        <v>46186</v>
      </c>
      <c r="C2717" s="4" t="s">
        <v>1820</v>
      </c>
      <c r="D2717" s="4" t="s">
        <v>4568</v>
      </c>
      <c r="E2717" s="1" t="str">
        <f>_xlfn.XLOOKUP(tblSales[[#This Row],[Customer ID]],tblCustomers[Customer ID],tblCustomers[Customer Name],"⚠ Unknown")</f>
        <v>Walk-in Customer</v>
      </c>
      <c r="F2717" s="4" t="s">
        <v>9</v>
      </c>
      <c r="G2717" s="1" t="str">
        <f>_xlfn.XLOOKUP(tblSales[[#This Row],[Product Code]],tblProducts[Code],tblProducts[Product / Service Name],"⚠ Unknown")</f>
        <v>Casual Shirt</v>
      </c>
      <c r="H2717" s="1" t="str">
        <f>_xlfn.XLOOKUP(tblSales[[#This Row],[Product Code]],tblProducts[Code],tblProducts[Category],"")</f>
        <v>Apparel &amp; Footwear</v>
      </c>
      <c r="I2717" s="4">
        <v>11</v>
      </c>
      <c r="J2717" s="5">
        <f>_xlfn.XLOOKUP(tblSales[[#This Row],[Product Code]],tblProducts[Code],tblProducts[Selling Price (excl. VAT)],0)</f>
        <v>120000</v>
      </c>
      <c r="K2717" s="5">
        <f>tblSales[[#This Row],[Qty]]*tblSales[[#This Row],[Unit Price]]</f>
        <v>1320000</v>
      </c>
      <c r="L2717" s="5">
        <f>ROUND(tblSales[[#This Row],[DPP (excl. VAT)]]*VATEff,0)</f>
        <v>145200</v>
      </c>
      <c r="M2717" s="5">
        <f>tblSales[[#This Row],[DPP (excl. VAT)]]+tblSales[[#This Row],[Output VAT]]</f>
        <v>1465200</v>
      </c>
      <c r="N2717" s="5">
        <f>tblSales[[#This Row],[Qty]]*_xlfn.XLOOKUP(tblSales[[#This Row],[Product Code]],tblProducts[Code],tblProducts[Unit Cost],0)</f>
        <v>792000</v>
      </c>
      <c r="O2717" s="4" t="s">
        <v>4865</v>
      </c>
      <c r="P2717" s="4" t="s">
        <v>4860</v>
      </c>
      <c r="Q2717" s="1" t="str">
        <f>_xlfn.XLOOKUP(tblSales[[#This Row],[Channel Code]],tblChannels[Channel Code],tblChannels[Channel Name],"")</f>
        <v>In-store</v>
      </c>
      <c r="R2717" s="1">
        <f>MONTH(tblSales[[#This Row],[Date]])</f>
        <v>6</v>
      </c>
    </row>
    <row r="2718" spans="2:18" x14ac:dyDescent="0.35">
      <c r="B2718" s="113">
        <v>46186</v>
      </c>
      <c r="C2718" s="4" t="s">
        <v>1821</v>
      </c>
      <c r="D2718" s="4" t="s">
        <v>4568</v>
      </c>
      <c r="E2718" s="1" t="str">
        <f>_xlfn.XLOOKUP(tblSales[[#This Row],[Customer ID]],tblCustomers[Customer ID],tblCustomers[Customer Name],"⚠ Unknown")</f>
        <v>Walk-in Customer</v>
      </c>
      <c r="F2718" s="4" t="s">
        <v>6</v>
      </c>
      <c r="G2718" s="1" t="str">
        <f>_xlfn.XLOOKUP(tblSales[[#This Row],[Product Code]],tblProducts[Code],tblProducts[Product / Service Name],"⚠ Unknown")</f>
        <v>Socks &amp; Accessories</v>
      </c>
      <c r="H2718" s="1" t="str">
        <f>_xlfn.XLOOKUP(tblSales[[#This Row],[Product Code]],tblProducts[Code],tblProducts[Category],"")</f>
        <v>Accessories &amp; Basics</v>
      </c>
      <c r="I2718" s="4">
        <v>8</v>
      </c>
      <c r="J2718" s="5">
        <f>_xlfn.XLOOKUP(tblSales[[#This Row],[Product Code]],tblProducts[Code],tblProducts[Selling Price (excl. VAT)],0)</f>
        <v>45000</v>
      </c>
      <c r="K2718" s="5">
        <f>tblSales[[#This Row],[Qty]]*tblSales[[#This Row],[Unit Price]]</f>
        <v>360000</v>
      </c>
      <c r="L2718" s="5">
        <f>ROUND(tblSales[[#This Row],[DPP (excl. VAT)]]*VATEff,0)</f>
        <v>39600</v>
      </c>
      <c r="M2718" s="5">
        <f>tblSales[[#This Row],[DPP (excl. VAT)]]+tblSales[[#This Row],[Output VAT]]</f>
        <v>399600</v>
      </c>
      <c r="N2718" s="5">
        <f>tblSales[[#This Row],[Qty]]*_xlfn.XLOOKUP(tblSales[[#This Row],[Product Code]],tblProducts[Code],tblProducts[Unit Cost],0)</f>
        <v>192000</v>
      </c>
      <c r="O2718" s="4" t="s">
        <v>4866</v>
      </c>
      <c r="P2718" s="4" t="s">
        <v>4861</v>
      </c>
      <c r="Q2718" s="1" t="str">
        <f>_xlfn.XLOOKUP(tblSales[[#This Row],[Channel Code]],tblChannels[Channel Code],tblChannels[Channel Name],"")</f>
        <v>Marketplace</v>
      </c>
      <c r="R2718" s="1">
        <f>MONTH(tblSales[[#This Row],[Date]])</f>
        <v>6</v>
      </c>
    </row>
    <row r="2719" spans="2:18" x14ac:dyDescent="0.35">
      <c r="B2719" s="113">
        <v>46186</v>
      </c>
      <c r="C2719" s="4" t="s">
        <v>1822</v>
      </c>
      <c r="D2719" s="4" t="s">
        <v>4568</v>
      </c>
      <c r="E2719" s="1" t="str">
        <f>_xlfn.XLOOKUP(tblSales[[#This Row],[Customer ID]],tblCustomers[Customer ID],tblCustomers[Customer Name],"⚠ Unknown")</f>
        <v>Walk-in Customer</v>
      </c>
      <c r="F2719" s="4" t="s">
        <v>12</v>
      </c>
      <c r="G2719" s="1" t="str">
        <f>_xlfn.XLOOKUP(tblSales[[#This Row],[Product Code]],tblProducts[Code],tblProducts[Product / Service Name],"⚠ Unknown")</f>
        <v>Bomber Jacket</v>
      </c>
      <c r="H2719" s="1" t="str">
        <f>_xlfn.XLOOKUP(tblSales[[#This Row],[Product Code]],tblProducts[Code],tblProducts[Category],"")</f>
        <v>Apparel &amp; Footwear</v>
      </c>
      <c r="I2719" s="4">
        <v>1</v>
      </c>
      <c r="J2719" s="5">
        <f>_xlfn.XLOOKUP(tblSales[[#This Row],[Product Code]],tblProducts[Code],tblProducts[Selling Price (excl. VAT)],0)</f>
        <v>350000</v>
      </c>
      <c r="K2719" s="5">
        <f>tblSales[[#This Row],[Qty]]*tblSales[[#This Row],[Unit Price]]</f>
        <v>350000</v>
      </c>
      <c r="L2719" s="5">
        <f>ROUND(tblSales[[#This Row],[DPP (excl. VAT)]]*VATEff,0)</f>
        <v>38500</v>
      </c>
      <c r="M2719" s="5">
        <f>tblSales[[#This Row],[DPP (excl. VAT)]]+tblSales[[#This Row],[Output VAT]]</f>
        <v>388500</v>
      </c>
      <c r="N2719" s="5">
        <f>tblSales[[#This Row],[Qty]]*_xlfn.XLOOKUP(tblSales[[#This Row],[Product Code]],tblProducts[Code],tblProducts[Unit Cost],0)</f>
        <v>210000</v>
      </c>
      <c r="O2719" s="4" t="s">
        <v>4866</v>
      </c>
      <c r="P2719" s="4" t="s">
        <v>4862</v>
      </c>
      <c r="Q2719" s="1" t="str">
        <f>_xlfn.XLOOKUP(tblSales[[#This Row],[Channel Code]],tblChannels[Channel Code],tblChannels[Channel Name],"")</f>
        <v>Website &amp; Social Media</v>
      </c>
      <c r="R2719" s="1">
        <f>MONTH(tblSales[[#This Row],[Date]])</f>
        <v>6</v>
      </c>
    </row>
    <row r="2720" spans="2:18" x14ac:dyDescent="0.35">
      <c r="B2720" s="113">
        <v>46186</v>
      </c>
      <c r="C2720" s="4" t="s">
        <v>1823</v>
      </c>
      <c r="D2720" s="4" t="s">
        <v>4568</v>
      </c>
      <c r="E2720" s="1" t="str">
        <f>_xlfn.XLOOKUP(tblSales[[#This Row],[Customer ID]],tblCustomers[Customer ID],tblCustomers[Customer Name],"⚠ Unknown")</f>
        <v>Walk-in Customer</v>
      </c>
      <c r="F2720" s="4" t="s">
        <v>7</v>
      </c>
      <c r="G2720" s="1" t="str">
        <f>_xlfn.XLOOKUP(tblSales[[#This Row],[Product Code]],tblProducts[Code],tblProducts[Product / Service Name],"⚠ Unknown")</f>
        <v>Premium Basic T-shirt</v>
      </c>
      <c r="H2720" s="1" t="str">
        <f>_xlfn.XLOOKUP(tblSales[[#This Row],[Product Code]],tblProducts[Code],tblProducts[Category],"")</f>
        <v>Accessories &amp; Basics</v>
      </c>
      <c r="I2720" s="4">
        <v>7</v>
      </c>
      <c r="J2720" s="5">
        <f>_xlfn.XLOOKUP(tblSales[[#This Row],[Product Code]],tblProducts[Code],tblProducts[Selling Price (excl. VAT)],0)</f>
        <v>65000</v>
      </c>
      <c r="K2720" s="5">
        <f>tblSales[[#This Row],[Qty]]*tblSales[[#This Row],[Unit Price]]</f>
        <v>455000</v>
      </c>
      <c r="L2720" s="5">
        <f>ROUND(tblSales[[#This Row],[DPP (excl. VAT)]]*VATEff,0)</f>
        <v>50050</v>
      </c>
      <c r="M2720" s="5">
        <f>tblSales[[#This Row],[DPP (excl. VAT)]]+tblSales[[#This Row],[Output VAT]]</f>
        <v>505050</v>
      </c>
      <c r="N2720" s="5">
        <f>tblSales[[#This Row],[Qty]]*_xlfn.XLOOKUP(tblSales[[#This Row],[Product Code]],tblProducts[Code],tblProducts[Unit Cost],0)</f>
        <v>259000</v>
      </c>
      <c r="O2720" s="4" t="s">
        <v>4866</v>
      </c>
      <c r="P2720" s="4" t="s">
        <v>4860</v>
      </c>
      <c r="Q2720" s="1" t="str">
        <f>_xlfn.XLOOKUP(tblSales[[#This Row],[Channel Code]],tblChannels[Channel Code],tblChannels[Channel Name],"")</f>
        <v>In-store</v>
      </c>
      <c r="R2720" s="1">
        <f>MONTH(tblSales[[#This Row],[Date]])</f>
        <v>6</v>
      </c>
    </row>
    <row r="2721" spans="2:18" x14ac:dyDescent="0.35">
      <c r="B2721" s="113">
        <v>46186</v>
      </c>
      <c r="C2721" s="4" t="s">
        <v>1824</v>
      </c>
      <c r="D2721" s="4" t="s">
        <v>4568</v>
      </c>
      <c r="E2721" s="1" t="str">
        <f>_xlfn.XLOOKUP(tblSales[[#This Row],[Customer ID]],tblCustomers[Customer ID],tblCustomers[Customer Name],"⚠ Unknown")</f>
        <v>Walk-in Customer</v>
      </c>
      <c r="F2721" s="4" t="s">
        <v>10</v>
      </c>
      <c r="G2721" s="1" t="str">
        <f>_xlfn.XLOOKUP(tblSales[[#This Row],[Product Code]],tblProducts[Code],tblProducts[Product / Service Name],"⚠ Unknown")</f>
        <v>Chino Pants</v>
      </c>
      <c r="H2721" s="1" t="str">
        <f>_xlfn.XLOOKUP(tblSales[[#This Row],[Product Code]],tblProducts[Code],tblProducts[Category],"")</f>
        <v>Apparel &amp; Footwear</v>
      </c>
      <c r="I2721" s="4">
        <v>4</v>
      </c>
      <c r="J2721" s="5">
        <f>_xlfn.XLOOKUP(tblSales[[#This Row],[Product Code]],tblProducts[Code],tblProducts[Selling Price (excl. VAT)],0)</f>
        <v>150000</v>
      </c>
      <c r="K2721" s="5">
        <f>tblSales[[#This Row],[Qty]]*tblSales[[#This Row],[Unit Price]]</f>
        <v>600000</v>
      </c>
      <c r="L2721" s="5">
        <f>ROUND(tblSales[[#This Row],[DPP (excl. VAT)]]*VATEff,0)</f>
        <v>66000</v>
      </c>
      <c r="M2721" s="5">
        <f>tblSales[[#This Row],[DPP (excl. VAT)]]+tblSales[[#This Row],[Output VAT]]</f>
        <v>666000</v>
      </c>
      <c r="N2721" s="5">
        <f>tblSales[[#This Row],[Qty]]*_xlfn.XLOOKUP(tblSales[[#This Row],[Product Code]],tblProducts[Code],tblProducts[Unit Cost],0)</f>
        <v>352000</v>
      </c>
      <c r="O2721" s="4" t="s">
        <v>4866</v>
      </c>
      <c r="P2721" s="4" t="s">
        <v>4860</v>
      </c>
      <c r="Q2721" s="1" t="str">
        <f>_xlfn.XLOOKUP(tblSales[[#This Row],[Channel Code]],tblChannels[Channel Code],tblChannels[Channel Name],"")</f>
        <v>In-store</v>
      </c>
      <c r="R2721" s="1">
        <f>MONTH(tblSales[[#This Row],[Date]])</f>
        <v>6</v>
      </c>
    </row>
    <row r="2722" spans="2:18" x14ac:dyDescent="0.35">
      <c r="B2722" s="113">
        <v>46186</v>
      </c>
      <c r="C2722" s="4" t="s">
        <v>1824</v>
      </c>
      <c r="D2722" s="4" t="s">
        <v>4568</v>
      </c>
      <c r="E2722" s="1" t="str">
        <f>_xlfn.XLOOKUP(tblSales[[#This Row],[Customer ID]],tblCustomers[Customer ID],tblCustomers[Customer Name],"⚠ Unknown")</f>
        <v>Walk-in Customer</v>
      </c>
      <c r="F2722" s="4" t="s">
        <v>7</v>
      </c>
      <c r="G2722" s="1" t="str">
        <f>_xlfn.XLOOKUP(tblSales[[#This Row],[Product Code]],tblProducts[Code],tblProducts[Product / Service Name],"⚠ Unknown")</f>
        <v>Premium Basic T-shirt</v>
      </c>
      <c r="H2722" s="1" t="str">
        <f>_xlfn.XLOOKUP(tblSales[[#This Row],[Product Code]],tblProducts[Code],tblProducts[Category],"")</f>
        <v>Accessories &amp; Basics</v>
      </c>
      <c r="I2722" s="4">
        <v>2</v>
      </c>
      <c r="J2722" s="5">
        <f>_xlfn.XLOOKUP(tblSales[[#This Row],[Product Code]],tblProducts[Code],tblProducts[Selling Price (excl. VAT)],0)</f>
        <v>65000</v>
      </c>
      <c r="K2722" s="5">
        <f>tblSales[[#This Row],[Qty]]*tblSales[[#This Row],[Unit Price]]</f>
        <v>130000</v>
      </c>
      <c r="L2722" s="5">
        <f>ROUND(tblSales[[#This Row],[DPP (excl. VAT)]]*VATEff,0)</f>
        <v>14300</v>
      </c>
      <c r="M2722" s="5">
        <f>tblSales[[#This Row],[DPP (excl. VAT)]]+tblSales[[#This Row],[Output VAT]]</f>
        <v>144300</v>
      </c>
      <c r="N2722" s="5">
        <f>tblSales[[#This Row],[Qty]]*_xlfn.XLOOKUP(tblSales[[#This Row],[Product Code]],tblProducts[Code],tblProducts[Unit Cost],0)</f>
        <v>74000</v>
      </c>
      <c r="O2722" s="4" t="s">
        <v>4866</v>
      </c>
      <c r="P2722" s="4" t="s">
        <v>4860</v>
      </c>
      <c r="Q2722" s="1" t="str">
        <f>_xlfn.XLOOKUP(tblSales[[#This Row],[Channel Code]],tblChannels[Channel Code],tblChannels[Channel Name],"")</f>
        <v>In-store</v>
      </c>
      <c r="R2722" s="1">
        <f>MONTH(tblSales[[#This Row],[Date]])</f>
        <v>6</v>
      </c>
    </row>
    <row r="2723" spans="2:18" x14ac:dyDescent="0.35">
      <c r="B2723" s="113">
        <v>46186</v>
      </c>
      <c r="C2723" s="4" t="s">
        <v>1824</v>
      </c>
      <c r="D2723" s="4" t="s">
        <v>4568</v>
      </c>
      <c r="E2723" s="1" t="str">
        <f>_xlfn.XLOOKUP(tblSales[[#This Row],[Customer ID]],tblCustomers[Customer ID],tblCustomers[Customer Name],"⚠ Unknown")</f>
        <v>Walk-in Customer</v>
      </c>
      <c r="F2723" s="4" t="s">
        <v>8</v>
      </c>
      <c r="G2723" s="1" t="str">
        <f>_xlfn.XLOOKUP(tblSales[[#This Row],[Product Code]],tblProducts[Code],tblProducts[Product / Service Name],"⚠ Unknown")</f>
        <v>Casual Shorts</v>
      </c>
      <c r="H2723" s="1" t="str">
        <f>_xlfn.XLOOKUP(tblSales[[#This Row],[Product Code]],tblProducts[Code],tblProducts[Category],"")</f>
        <v>Accessories &amp; Basics</v>
      </c>
      <c r="I2723" s="4">
        <v>8</v>
      </c>
      <c r="J2723" s="5">
        <f>_xlfn.XLOOKUP(tblSales[[#This Row],[Product Code]],tblProducts[Code],tblProducts[Selling Price (excl. VAT)],0)</f>
        <v>85000</v>
      </c>
      <c r="K2723" s="5">
        <f>tblSales[[#This Row],[Qty]]*tblSales[[#This Row],[Unit Price]]</f>
        <v>680000</v>
      </c>
      <c r="L2723" s="5">
        <f>ROUND(tblSales[[#This Row],[DPP (excl. VAT)]]*VATEff,0)</f>
        <v>74800</v>
      </c>
      <c r="M2723" s="5">
        <f>tblSales[[#This Row],[DPP (excl. VAT)]]+tblSales[[#This Row],[Output VAT]]</f>
        <v>754800</v>
      </c>
      <c r="N2723" s="5">
        <f>tblSales[[#This Row],[Qty]]*_xlfn.XLOOKUP(tblSales[[#This Row],[Product Code]],tblProducts[Code],tblProducts[Unit Cost],0)</f>
        <v>400000</v>
      </c>
      <c r="O2723" s="4" t="s">
        <v>4866</v>
      </c>
      <c r="P2723" s="4" t="s">
        <v>4860</v>
      </c>
      <c r="Q2723" s="1" t="str">
        <f>_xlfn.XLOOKUP(tblSales[[#This Row],[Channel Code]],tblChannels[Channel Code],tblChannels[Channel Name],"")</f>
        <v>In-store</v>
      </c>
      <c r="R2723" s="1">
        <f>MONTH(tblSales[[#This Row],[Date]])</f>
        <v>6</v>
      </c>
    </row>
    <row r="2724" spans="2:18" x14ac:dyDescent="0.35">
      <c r="B2724" s="113">
        <v>46186</v>
      </c>
      <c r="C2724" s="4" t="s">
        <v>1825</v>
      </c>
      <c r="D2724" s="4" t="s">
        <v>4568</v>
      </c>
      <c r="E2724" s="1" t="str">
        <f>_xlfn.XLOOKUP(tblSales[[#This Row],[Customer ID]],tblCustomers[Customer ID],tblCustomers[Customer Name],"⚠ Unknown")</f>
        <v>Walk-in Customer</v>
      </c>
      <c r="F2724" s="4" t="s">
        <v>10</v>
      </c>
      <c r="G2724" s="1" t="str">
        <f>_xlfn.XLOOKUP(tblSales[[#This Row],[Product Code]],tblProducts[Code],tblProducts[Product / Service Name],"⚠ Unknown")</f>
        <v>Chino Pants</v>
      </c>
      <c r="H2724" s="1" t="str">
        <f>_xlfn.XLOOKUP(tblSales[[#This Row],[Product Code]],tblProducts[Code],tblProducts[Category],"")</f>
        <v>Apparel &amp; Footwear</v>
      </c>
      <c r="I2724" s="4">
        <v>9</v>
      </c>
      <c r="J2724" s="5">
        <f>_xlfn.XLOOKUP(tblSales[[#This Row],[Product Code]],tblProducts[Code],tblProducts[Selling Price (excl. VAT)],0)</f>
        <v>150000</v>
      </c>
      <c r="K2724" s="5">
        <f>tblSales[[#This Row],[Qty]]*tblSales[[#This Row],[Unit Price]]</f>
        <v>1350000</v>
      </c>
      <c r="L2724" s="5">
        <f>ROUND(tblSales[[#This Row],[DPP (excl. VAT)]]*VATEff,0)</f>
        <v>148500</v>
      </c>
      <c r="M2724" s="5">
        <f>tblSales[[#This Row],[DPP (excl. VAT)]]+tblSales[[#This Row],[Output VAT]]</f>
        <v>1498500</v>
      </c>
      <c r="N2724" s="5">
        <f>tblSales[[#This Row],[Qty]]*_xlfn.XLOOKUP(tblSales[[#This Row],[Product Code]],tblProducts[Code],tblProducts[Unit Cost],0)</f>
        <v>792000</v>
      </c>
      <c r="O2724" s="4" t="s">
        <v>4866</v>
      </c>
      <c r="P2724" s="4" t="s">
        <v>4860</v>
      </c>
      <c r="Q2724" s="1" t="str">
        <f>_xlfn.XLOOKUP(tblSales[[#This Row],[Channel Code]],tblChannels[Channel Code],tblChannels[Channel Name],"")</f>
        <v>In-store</v>
      </c>
      <c r="R2724" s="1">
        <f>MONTH(tblSales[[#This Row],[Date]])</f>
        <v>6</v>
      </c>
    </row>
    <row r="2725" spans="2:18" x14ac:dyDescent="0.35">
      <c r="B2725" s="113">
        <v>46186</v>
      </c>
      <c r="C2725" s="4" t="s">
        <v>1825</v>
      </c>
      <c r="D2725" s="4" t="s">
        <v>4568</v>
      </c>
      <c r="E2725" s="1" t="str">
        <f>_xlfn.XLOOKUP(tblSales[[#This Row],[Customer ID]],tblCustomers[Customer ID],tblCustomers[Customer Name],"⚠ Unknown")</f>
        <v>Walk-in Customer</v>
      </c>
      <c r="F2725" s="4" t="s">
        <v>6</v>
      </c>
      <c r="G2725" s="1" t="str">
        <f>_xlfn.XLOOKUP(tblSales[[#This Row],[Product Code]],tblProducts[Code],tblProducts[Product / Service Name],"⚠ Unknown")</f>
        <v>Socks &amp; Accessories</v>
      </c>
      <c r="H2725" s="1" t="str">
        <f>_xlfn.XLOOKUP(tblSales[[#This Row],[Product Code]],tblProducts[Code],tblProducts[Category],"")</f>
        <v>Accessories &amp; Basics</v>
      </c>
      <c r="I2725" s="4">
        <v>1</v>
      </c>
      <c r="J2725" s="5">
        <f>_xlfn.XLOOKUP(tblSales[[#This Row],[Product Code]],tblProducts[Code],tblProducts[Selling Price (excl. VAT)],0)</f>
        <v>45000</v>
      </c>
      <c r="K2725" s="5">
        <f>tblSales[[#This Row],[Qty]]*tblSales[[#This Row],[Unit Price]]</f>
        <v>45000</v>
      </c>
      <c r="L2725" s="5">
        <f>ROUND(tblSales[[#This Row],[DPP (excl. VAT)]]*VATEff,0)</f>
        <v>4950</v>
      </c>
      <c r="M2725" s="5">
        <f>tblSales[[#This Row],[DPP (excl. VAT)]]+tblSales[[#This Row],[Output VAT]]</f>
        <v>49950</v>
      </c>
      <c r="N2725" s="5">
        <f>tblSales[[#This Row],[Qty]]*_xlfn.XLOOKUP(tblSales[[#This Row],[Product Code]],tblProducts[Code],tblProducts[Unit Cost],0)</f>
        <v>24000</v>
      </c>
      <c r="O2725" s="4" t="s">
        <v>4866</v>
      </c>
      <c r="P2725" s="4" t="s">
        <v>4860</v>
      </c>
      <c r="Q2725" s="1" t="str">
        <f>_xlfn.XLOOKUP(tblSales[[#This Row],[Channel Code]],tblChannels[Channel Code],tblChannels[Channel Name],"")</f>
        <v>In-store</v>
      </c>
      <c r="R2725" s="1">
        <f>MONTH(tblSales[[#This Row],[Date]])</f>
        <v>6</v>
      </c>
    </row>
    <row r="2726" spans="2:18" x14ac:dyDescent="0.35">
      <c r="B2726" s="113">
        <v>46186</v>
      </c>
      <c r="C2726" s="4" t="s">
        <v>1826</v>
      </c>
      <c r="D2726" s="4" t="s">
        <v>4568</v>
      </c>
      <c r="E2726" s="1" t="str">
        <f>_xlfn.XLOOKUP(tblSales[[#This Row],[Customer ID]],tblCustomers[Customer ID],tblCustomers[Customer Name],"⚠ Unknown")</f>
        <v>Walk-in Customer</v>
      </c>
      <c r="F2726" s="4" t="s">
        <v>7</v>
      </c>
      <c r="G2726" s="1" t="str">
        <f>_xlfn.XLOOKUP(tblSales[[#This Row],[Product Code]],tblProducts[Code],tblProducts[Product / Service Name],"⚠ Unknown")</f>
        <v>Premium Basic T-shirt</v>
      </c>
      <c r="H2726" s="1" t="str">
        <f>_xlfn.XLOOKUP(tblSales[[#This Row],[Product Code]],tblProducts[Code],tblProducts[Category],"")</f>
        <v>Accessories &amp; Basics</v>
      </c>
      <c r="I2726" s="4">
        <v>8</v>
      </c>
      <c r="J2726" s="5">
        <f>_xlfn.XLOOKUP(tblSales[[#This Row],[Product Code]],tblProducts[Code],tblProducts[Selling Price (excl. VAT)],0)</f>
        <v>65000</v>
      </c>
      <c r="K2726" s="5">
        <f>tblSales[[#This Row],[Qty]]*tblSales[[#This Row],[Unit Price]]</f>
        <v>520000</v>
      </c>
      <c r="L2726" s="5">
        <f>ROUND(tblSales[[#This Row],[DPP (excl. VAT)]]*VATEff,0)</f>
        <v>57200</v>
      </c>
      <c r="M2726" s="5">
        <f>tblSales[[#This Row],[DPP (excl. VAT)]]+tblSales[[#This Row],[Output VAT]]</f>
        <v>577200</v>
      </c>
      <c r="N2726" s="5">
        <f>tblSales[[#This Row],[Qty]]*_xlfn.XLOOKUP(tblSales[[#This Row],[Product Code]],tblProducts[Code],tblProducts[Unit Cost],0)</f>
        <v>296000</v>
      </c>
      <c r="O2726" s="4" t="s">
        <v>4866</v>
      </c>
      <c r="P2726" s="4" t="s">
        <v>4862</v>
      </c>
      <c r="Q2726" s="1" t="str">
        <f>_xlfn.XLOOKUP(tblSales[[#This Row],[Channel Code]],tblChannels[Channel Code],tblChannels[Channel Name],"")</f>
        <v>Website &amp; Social Media</v>
      </c>
      <c r="R2726" s="1">
        <f>MONTH(tblSales[[#This Row],[Date]])</f>
        <v>6</v>
      </c>
    </row>
    <row r="2727" spans="2:18" x14ac:dyDescent="0.35">
      <c r="B2727" s="113">
        <v>46186</v>
      </c>
      <c r="C2727" s="4" t="s">
        <v>1827</v>
      </c>
      <c r="D2727" s="4" t="s">
        <v>4627</v>
      </c>
      <c r="E2727" s="1" t="str">
        <f>_xlfn.XLOOKUP(tblSales[[#This Row],[Customer ID]],tblCustomers[Customer ID],tblCustomers[Customer Name],"⚠ Unknown")</f>
        <v>PT Kencana Wira Usaha</v>
      </c>
      <c r="F2727" s="4" t="s">
        <v>7</v>
      </c>
      <c r="G2727" s="1" t="str">
        <f>_xlfn.XLOOKUP(tblSales[[#This Row],[Product Code]],tblProducts[Code],tblProducts[Product / Service Name],"⚠ Unknown")</f>
        <v>Premium Basic T-shirt</v>
      </c>
      <c r="H2727" s="1" t="str">
        <f>_xlfn.XLOOKUP(tblSales[[#This Row],[Product Code]],tblProducts[Code],tblProducts[Category],"")</f>
        <v>Accessories &amp; Basics</v>
      </c>
      <c r="I2727" s="4">
        <v>8</v>
      </c>
      <c r="J2727" s="5">
        <f>_xlfn.XLOOKUP(tblSales[[#This Row],[Product Code]],tblProducts[Code],tblProducts[Selling Price (excl. VAT)],0)</f>
        <v>65000</v>
      </c>
      <c r="K2727" s="5">
        <f>tblSales[[#This Row],[Qty]]*tblSales[[#This Row],[Unit Price]]</f>
        <v>520000</v>
      </c>
      <c r="L2727" s="5">
        <f>ROUND(tblSales[[#This Row],[DPP (excl. VAT)]]*VATEff,0)</f>
        <v>57200</v>
      </c>
      <c r="M2727" s="5">
        <f>tblSales[[#This Row],[DPP (excl. VAT)]]+tblSales[[#This Row],[Output VAT]]</f>
        <v>577200</v>
      </c>
      <c r="N2727" s="5">
        <f>tblSales[[#This Row],[Qty]]*_xlfn.XLOOKUP(tblSales[[#This Row],[Product Code]],tblProducts[Code],tblProducts[Unit Cost],0)</f>
        <v>296000</v>
      </c>
      <c r="O2727" s="4" t="s">
        <v>4867</v>
      </c>
      <c r="P2727" s="4" t="s">
        <v>4860</v>
      </c>
      <c r="Q2727" s="1" t="str">
        <f>_xlfn.XLOOKUP(tblSales[[#This Row],[Channel Code]],tblChannels[Channel Code],tblChannels[Channel Name],"")</f>
        <v>In-store</v>
      </c>
      <c r="R2727" s="1">
        <f>MONTH(tblSales[[#This Row],[Date]])</f>
        <v>6</v>
      </c>
    </row>
    <row r="2728" spans="2:18" x14ac:dyDescent="0.35">
      <c r="B2728" s="113">
        <v>46186</v>
      </c>
      <c r="C2728" s="4" t="s">
        <v>1828</v>
      </c>
      <c r="D2728" s="4" t="s">
        <v>4568</v>
      </c>
      <c r="E2728" s="1" t="str">
        <f>_xlfn.XLOOKUP(tblSales[[#This Row],[Customer ID]],tblCustomers[Customer ID],tblCustomers[Customer Name],"⚠ Unknown")</f>
        <v>Walk-in Customer</v>
      </c>
      <c r="F2728" s="4" t="s">
        <v>7</v>
      </c>
      <c r="G2728" s="1" t="str">
        <f>_xlfn.XLOOKUP(tblSales[[#This Row],[Product Code]],tblProducts[Code],tblProducts[Product / Service Name],"⚠ Unknown")</f>
        <v>Premium Basic T-shirt</v>
      </c>
      <c r="H2728" s="1" t="str">
        <f>_xlfn.XLOOKUP(tblSales[[#This Row],[Product Code]],tblProducts[Code],tblProducts[Category],"")</f>
        <v>Accessories &amp; Basics</v>
      </c>
      <c r="I2728" s="4">
        <v>9</v>
      </c>
      <c r="J2728" s="5">
        <f>_xlfn.XLOOKUP(tblSales[[#This Row],[Product Code]],tblProducts[Code],tblProducts[Selling Price (excl. VAT)],0)</f>
        <v>65000</v>
      </c>
      <c r="K2728" s="5">
        <f>tblSales[[#This Row],[Qty]]*tblSales[[#This Row],[Unit Price]]</f>
        <v>585000</v>
      </c>
      <c r="L2728" s="5">
        <f>ROUND(tblSales[[#This Row],[DPP (excl. VAT)]]*VATEff,0)</f>
        <v>64350</v>
      </c>
      <c r="M2728" s="5">
        <f>tblSales[[#This Row],[DPP (excl. VAT)]]+tblSales[[#This Row],[Output VAT]]</f>
        <v>649350</v>
      </c>
      <c r="N2728" s="5">
        <f>tblSales[[#This Row],[Qty]]*_xlfn.XLOOKUP(tblSales[[#This Row],[Product Code]],tblProducts[Code],tblProducts[Unit Cost],0)</f>
        <v>333000</v>
      </c>
      <c r="O2728" s="4" t="s">
        <v>4865</v>
      </c>
      <c r="P2728" s="4" t="s">
        <v>4860</v>
      </c>
      <c r="Q2728" s="1" t="str">
        <f>_xlfn.XLOOKUP(tblSales[[#This Row],[Channel Code]],tblChannels[Channel Code],tblChannels[Channel Name],"")</f>
        <v>In-store</v>
      </c>
      <c r="R2728" s="1">
        <f>MONTH(tblSales[[#This Row],[Date]])</f>
        <v>6</v>
      </c>
    </row>
    <row r="2729" spans="2:18" x14ac:dyDescent="0.35">
      <c r="B2729" s="113">
        <v>46186</v>
      </c>
      <c r="C2729" s="4" t="s">
        <v>1828</v>
      </c>
      <c r="D2729" s="4" t="s">
        <v>4568</v>
      </c>
      <c r="E2729" s="1" t="str">
        <f>_xlfn.XLOOKUP(tblSales[[#This Row],[Customer ID]],tblCustomers[Customer ID],tblCustomers[Customer Name],"⚠ Unknown")</f>
        <v>Walk-in Customer</v>
      </c>
      <c r="F2729" s="4" t="s">
        <v>6</v>
      </c>
      <c r="G2729" s="1" t="str">
        <f>_xlfn.XLOOKUP(tblSales[[#This Row],[Product Code]],tblProducts[Code],tblProducts[Product / Service Name],"⚠ Unknown")</f>
        <v>Socks &amp; Accessories</v>
      </c>
      <c r="H2729" s="1" t="str">
        <f>_xlfn.XLOOKUP(tblSales[[#This Row],[Product Code]],tblProducts[Code],tblProducts[Category],"")</f>
        <v>Accessories &amp; Basics</v>
      </c>
      <c r="I2729" s="4">
        <v>3</v>
      </c>
      <c r="J2729" s="5">
        <f>_xlfn.XLOOKUP(tblSales[[#This Row],[Product Code]],tblProducts[Code],tblProducts[Selling Price (excl. VAT)],0)</f>
        <v>45000</v>
      </c>
      <c r="K2729" s="5">
        <f>tblSales[[#This Row],[Qty]]*tblSales[[#This Row],[Unit Price]]</f>
        <v>135000</v>
      </c>
      <c r="L2729" s="5">
        <f>ROUND(tblSales[[#This Row],[DPP (excl. VAT)]]*VATEff,0)</f>
        <v>14850</v>
      </c>
      <c r="M2729" s="5">
        <f>tblSales[[#This Row],[DPP (excl. VAT)]]+tblSales[[#This Row],[Output VAT]]</f>
        <v>149850</v>
      </c>
      <c r="N2729" s="5">
        <f>tblSales[[#This Row],[Qty]]*_xlfn.XLOOKUP(tblSales[[#This Row],[Product Code]],tblProducts[Code],tblProducts[Unit Cost],0)</f>
        <v>72000</v>
      </c>
      <c r="O2729" s="4" t="s">
        <v>4865</v>
      </c>
      <c r="P2729" s="4" t="s">
        <v>4860</v>
      </c>
      <c r="Q2729" s="1" t="str">
        <f>_xlfn.XLOOKUP(tblSales[[#This Row],[Channel Code]],tblChannels[Channel Code],tblChannels[Channel Name],"")</f>
        <v>In-store</v>
      </c>
      <c r="R2729" s="1">
        <f>MONTH(tblSales[[#This Row],[Date]])</f>
        <v>6</v>
      </c>
    </row>
    <row r="2730" spans="2:18" x14ac:dyDescent="0.35">
      <c r="B2730" s="113">
        <v>46186</v>
      </c>
      <c r="C2730" s="4" t="s">
        <v>1828</v>
      </c>
      <c r="D2730" s="4" t="s">
        <v>4568</v>
      </c>
      <c r="E2730" s="1" t="str">
        <f>_xlfn.XLOOKUP(tblSales[[#This Row],[Customer ID]],tblCustomers[Customer ID],tblCustomers[Customer Name],"⚠ Unknown")</f>
        <v>Walk-in Customer</v>
      </c>
      <c r="F2730" s="4" t="s">
        <v>13</v>
      </c>
      <c r="G2730" s="1" t="str">
        <f>_xlfn.XLOOKUP(tblSales[[#This Row],[Product Code]],tblProducts[Code],tblProducts[Product / Service Name],"⚠ Unknown")</f>
        <v>Backpack</v>
      </c>
      <c r="H2730" s="1" t="str">
        <f>_xlfn.XLOOKUP(tblSales[[#This Row],[Product Code]],tblProducts[Code],tblProducts[Category],"")</f>
        <v>Bags &amp; Gadgets</v>
      </c>
      <c r="I2730" s="4">
        <v>3</v>
      </c>
      <c r="J2730" s="5">
        <f>_xlfn.XLOOKUP(tblSales[[#This Row],[Product Code]],tblProducts[Code],tblProducts[Selling Price (excl. VAT)],0)</f>
        <v>500000</v>
      </c>
      <c r="K2730" s="5">
        <f>tblSales[[#This Row],[Qty]]*tblSales[[#This Row],[Unit Price]]</f>
        <v>1500000</v>
      </c>
      <c r="L2730" s="5">
        <f>ROUND(tblSales[[#This Row],[DPP (excl. VAT)]]*VATEff,0)</f>
        <v>165000</v>
      </c>
      <c r="M2730" s="5">
        <f>tblSales[[#This Row],[DPP (excl. VAT)]]+tblSales[[#This Row],[Output VAT]]</f>
        <v>1665000</v>
      </c>
      <c r="N2730" s="5">
        <f>tblSales[[#This Row],[Qty]]*_xlfn.XLOOKUP(tblSales[[#This Row],[Product Code]],tblProducts[Code],tblProducts[Unit Cost],0)</f>
        <v>870000</v>
      </c>
      <c r="O2730" s="4" t="s">
        <v>4865</v>
      </c>
      <c r="P2730" s="4" t="s">
        <v>4860</v>
      </c>
      <c r="Q2730" s="1" t="str">
        <f>_xlfn.XLOOKUP(tblSales[[#This Row],[Channel Code]],tblChannels[Channel Code],tblChannels[Channel Name],"")</f>
        <v>In-store</v>
      </c>
      <c r="R2730" s="1">
        <f>MONTH(tblSales[[#This Row],[Date]])</f>
        <v>6</v>
      </c>
    </row>
    <row r="2731" spans="2:18" x14ac:dyDescent="0.35">
      <c r="B2731" s="113">
        <v>46186</v>
      </c>
      <c r="C2731" s="4" t="s">
        <v>1829</v>
      </c>
      <c r="D2731" s="4" t="s">
        <v>4568</v>
      </c>
      <c r="E2731" s="1" t="str">
        <f>_xlfn.XLOOKUP(tblSales[[#This Row],[Customer ID]],tblCustomers[Customer ID],tblCustomers[Customer Name],"⚠ Unknown")</f>
        <v>Walk-in Customer</v>
      </c>
      <c r="F2731" s="4" t="s">
        <v>7</v>
      </c>
      <c r="G2731" s="1" t="str">
        <f>_xlfn.XLOOKUP(tblSales[[#This Row],[Product Code]],tblProducts[Code],tblProducts[Product / Service Name],"⚠ Unknown")</f>
        <v>Premium Basic T-shirt</v>
      </c>
      <c r="H2731" s="1" t="str">
        <f>_xlfn.XLOOKUP(tblSales[[#This Row],[Product Code]],tblProducts[Code],tblProducts[Category],"")</f>
        <v>Accessories &amp; Basics</v>
      </c>
      <c r="I2731" s="4">
        <v>1</v>
      </c>
      <c r="J2731" s="5">
        <f>_xlfn.XLOOKUP(tblSales[[#This Row],[Product Code]],tblProducts[Code],tblProducts[Selling Price (excl. VAT)],0)</f>
        <v>65000</v>
      </c>
      <c r="K2731" s="5">
        <f>tblSales[[#This Row],[Qty]]*tblSales[[#This Row],[Unit Price]]</f>
        <v>65000</v>
      </c>
      <c r="L2731" s="5">
        <f>ROUND(tblSales[[#This Row],[DPP (excl. VAT)]]*VATEff,0)</f>
        <v>7150</v>
      </c>
      <c r="M2731" s="5">
        <f>tblSales[[#This Row],[DPP (excl. VAT)]]+tblSales[[#This Row],[Output VAT]]</f>
        <v>72150</v>
      </c>
      <c r="N2731" s="5">
        <f>tblSales[[#This Row],[Qty]]*_xlfn.XLOOKUP(tblSales[[#This Row],[Product Code]],tblProducts[Code],tblProducts[Unit Cost],0)</f>
        <v>37000</v>
      </c>
      <c r="O2731" s="4" t="s">
        <v>4865</v>
      </c>
      <c r="P2731" s="4" t="s">
        <v>4860</v>
      </c>
      <c r="Q2731" s="1" t="str">
        <f>_xlfn.XLOOKUP(tblSales[[#This Row],[Channel Code]],tblChannels[Channel Code],tblChannels[Channel Name],"")</f>
        <v>In-store</v>
      </c>
      <c r="R2731" s="1">
        <f>MONTH(tblSales[[#This Row],[Date]])</f>
        <v>6</v>
      </c>
    </row>
    <row r="2732" spans="2:18" x14ac:dyDescent="0.35">
      <c r="B2732" s="113">
        <v>46186</v>
      </c>
      <c r="C2732" s="4" t="s">
        <v>1829</v>
      </c>
      <c r="D2732" s="4" t="s">
        <v>4568</v>
      </c>
      <c r="E2732" s="1" t="str">
        <f>_xlfn.XLOOKUP(tblSales[[#This Row],[Customer ID]],tblCustomers[Customer ID],tblCustomers[Customer Name],"⚠ Unknown")</f>
        <v>Walk-in Customer</v>
      </c>
      <c r="F2732" s="4" t="s">
        <v>9</v>
      </c>
      <c r="G2732" s="1" t="str">
        <f>_xlfn.XLOOKUP(tblSales[[#This Row],[Product Code]],tblProducts[Code],tblProducts[Product / Service Name],"⚠ Unknown")</f>
        <v>Casual Shirt</v>
      </c>
      <c r="H2732" s="1" t="str">
        <f>_xlfn.XLOOKUP(tblSales[[#This Row],[Product Code]],tblProducts[Code],tblProducts[Category],"")</f>
        <v>Apparel &amp; Footwear</v>
      </c>
      <c r="I2732" s="4">
        <v>12</v>
      </c>
      <c r="J2732" s="5">
        <f>_xlfn.XLOOKUP(tblSales[[#This Row],[Product Code]],tblProducts[Code],tblProducts[Selling Price (excl. VAT)],0)</f>
        <v>120000</v>
      </c>
      <c r="K2732" s="5">
        <f>tblSales[[#This Row],[Qty]]*tblSales[[#This Row],[Unit Price]]</f>
        <v>1440000</v>
      </c>
      <c r="L2732" s="5">
        <f>ROUND(tblSales[[#This Row],[DPP (excl. VAT)]]*VATEff,0)</f>
        <v>158400</v>
      </c>
      <c r="M2732" s="5">
        <f>tblSales[[#This Row],[DPP (excl. VAT)]]+tblSales[[#This Row],[Output VAT]]</f>
        <v>1598400</v>
      </c>
      <c r="N2732" s="5">
        <f>tblSales[[#This Row],[Qty]]*_xlfn.XLOOKUP(tblSales[[#This Row],[Product Code]],tblProducts[Code],tblProducts[Unit Cost],0)</f>
        <v>864000</v>
      </c>
      <c r="O2732" s="4" t="s">
        <v>4865</v>
      </c>
      <c r="P2732" s="4" t="s">
        <v>4860</v>
      </c>
      <c r="Q2732" s="1" t="str">
        <f>_xlfn.XLOOKUP(tblSales[[#This Row],[Channel Code]],tblChannels[Channel Code],tblChannels[Channel Name],"")</f>
        <v>In-store</v>
      </c>
      <c r="R2732" s="1">
        <f>MONTH(tblSales[[#This Row],[Date]])</f>
        <v>6</v>
      </c>
    </row>
    <row r="2733" spans="2:18" x14ac:dyDescent="0.35">
      <c r="B2733" s="113">
        <v>46187</v>
      </c>
      <c r="C2733" s="4" t="s">
        <v>1830</v>
      </c>
      <c r="D2733" s="4" t="s">
        <v>4568</v>
      </c>
      <c r="E2733" s="1" t="str">
        <f>_xlfn.XLOOKUP(tblSales[[#This Row],[Customer ID]],tblCustomers[Customer ID],tblCustomers[Customer Name],"⚠ Unknown")</f>
        <v>Walk-in Customer</v>
      </c>
      <c r="F2733" s="4" t="s">
        <v>7</v>
      </c>
      <c r="G2733" s="1" t="str">
        <f>_xlfn.XLOOKUP(tblSales[[#This Row],[Product Code]],tblProducts[Code],tblProducts[Product / Service Name],"⚠ Unknown")</f>
        <v>Premium Basic T-shirt</v>
      </c>
      <c r="H2733" s="1" t="str">
        <f>_xlfn.XLOOKUP(tblSales[[#This Row],[Product Code]],tblProducts[Code],tblProducts[Category],"")</f>
        <v>Accessories &amp; Basics</v>
      </c>
      <c r="I2733" s="4">
        <v>6</v>
      </c>
      <c r="J2733" s="5">
        <f>_xlfn.XLOOKUP(tblSales[[#This Row],[Product Code]],tblProducts[Code],tblProducts[Selling Price (excl. VAT)],0)</f>
        <v>65000</v>
      </c>
      <c r="K2733" s="5">
        <f>tblSales[[#This Row],[Qty]]*tblSales[[#This Row],[Unit Price]]</f>
        <v>390000</v>
      </c>
      <c r="L2733" s="5">
        <f>ROUND(tblSales[[#This Row],[DPP (excl. VAT)]]*VATEff,0)</f>
        <v>42900</v>
      </c>
      <c r="M2733" s="5">
        <f>tblSales[[#This Row],[DPP (excl. VAT)]]+tblSales[[#This Row],[Output VAT]]</f>
        <v>432900</v>
      </c>
      <c r="N2733" s="5">
        <f>tblSales[[#This Row],[Qty]]*_xlfn.XLOOKUP(tblSales[[#This Row],[Product Code]],tblProducts[Code],tblProducts[Unit Cost],0)</f>
        <v>222000</v>
      </c>
      <c r="O2733" s="4" t="s">
        <v>4866</v>
      </c>
      <c r="P2733" s="4" t="s">
        <v>4861</v>
      </c>
      <c r="Q2733" s="1" t="str">
        <f>_xlfn.XLOOKUP(tblSales[[#This Row],[Channel Code]],tblChannels[Channel Code],tblChannels[Channel Name],"")</f>
        <v>Marketplace</v>
      </c>
      <c r="R2733" s="1">
        <f>MONTH(tblSales[[#This Row],[Date]])</f>
        <v>6</v>
      </c>
    </row>
    <row r="2734" spans="2:18" x14ac:dyDescent="0.35">
      <c r="B2734" s="113">
        <v>46187</v>
      </c>
      <c r="C2734" s="4" t="s">
        <v>1830</v>
      </c>
      <c r="D2734" s="4" t="s">
        <v>4568</v>
      </c>
      <c r="E2734" s="1" t="str">
        <f>_xlfn.XLOOKUP(tblSales[[#This Row],[Customer ID]],tblCustomers[Customer ID],tblCustomers[Customer Name],"⚠ Unknown")</f>
        <v>Walk-in Customer</v>
      </c>
      <c r="F2734" s="4" t="s">
        <v>8</v>
      </c>
      <c r="G2734" s="1" t="str">
        <f>_xlfn.XLOOKUP(tblSales[[#This Row],[Product Code]],tblProducts[Code],tblProducts[Product / Service Name],"⚠ Unknown")</f>
        <v>Casual Shorts</v>
      </c>
      <c r="H2734" s="1" t="str">
        <f>_xlfn.XLOOKUP(tblSales[[#This Row],[Product Code]],tblProducts[Code],tblProducts[Category],"")</f>
        <v>Accessories &amp; Basics</v>
      </c>
      <c r="I2734" s="4">
        <v>4</v>
      </c>
      <c r="J2734" s="5">
        <f>_xlfn.XLOOKUP(tblSales[[#This Row],[Product Code]],tblProducts[Code],tblProducts[Selling Price (excl. VAT)],0)</f>
        <v>85000</v>
      </c>
      <c r="K2734" s="5">
        <f>tblSales[[#This Row],[Qty]]*tblSales[[#This Row],[Unit Price]]</f>
        <v>340000</v>
      </c>
      <c r="L2734" s="5">
        <f>ROUND(tblSales[[#This Row],[DPP (excl. VAT)]]*VATEff,0)</f>
        <v>37400</v>
      </c>
      <c r="M2734" s="5">
        <f>tblSales[[#This Row],[DPP (excl. VAT)]]+tblSales[[#This Row],[Output VAT]]</f>
        <v>377400</v>
      </c>
      <c r="N2734" s="5">
        <f>tblSales[[#This Row],[Qty]]*_xlfn.XLOOKUP(tblSales[[#This Row],[Product Code]],tblProducts[Code],tblProducts[Unit Cost],0)</f>
        <v>200000</v>
      </c>
      <c r="O2734" s="4" t="s">
        <v>4866</v>
      </c>
      <c r="P2734" s="4" t="s">
        <v>4861</v>
      </c>
      <c r="Q2734" s="1" t="str">
        <f>_xlfn.XLOOKUP(tblSales[[#This Row],[Channel Code]],tblChannels[Channel Code],tblChannels[Channel Name],"")</f>
        <v>Marketplace</v>
      </c>
      <c r="R2734" s="1">
        <f>MONTH(tblSales[[#This Row],[Date]])</f>
        <v>6</v>
      </c>
    </row>
    <row r="2735" spans="2:18" x14ac:dyDescent="0.35">
      <c r="B2735" s="113">
        <v>46187</v>
      </c>
      <c r="C2735" s="4" t="s">
        <v>1831</v>
      </c>
      <c r="D2735" s="4" t="s">
        <v>4648</v>
      </c>
      <c r="E2735" s="1" t="str">
        <f>_xlfn.XLOOKUP(tblSales[[#This Row],[Customer ID]],tblCustomers[Customer ID],tblCustomers[Customer Name],"⚠ Unknown")</f>
        <v>PT Lintas Benua Niaga</v>
      </c>
      <c r="F2735" s="4" t="s">
        <v>9</v>
      </c>
      <c r="G2735" s="1" t="str">
        <f>_xlfn.XLOOKUP(tblSales[[#This Row],[Product Code]],tblProducts[Code],tblProducts[Product / Service Name],"⚠ Unknown")</f>
        <v>Casual Shirt</v>
      </c>
      <c r="H2735" s="1" t="str">
        <f>_xlfn.XLOOKUP(tblSales[[#This Row],[Product Code]],tblProducts[Code],tblProducts[Category],"")</f>
        <v>Apparel &amp; Footwear</v>
      </c>
      <c r="I2735" s="4">
        <v>8</v>
      </c>
      <c r="J2735" s="5">
        <f>_xlfn.XLOOKUP(tblSales[[#This Row],[Product Code]],tblProducts[Code],tblProducts[Selling Price (excl. VAT)],0)</f>
        <v>120000</v>
      </c>
      <c r="K2735" s="5">
        <f>tblSales[[#This Row],[Qty]]*tblSales[[#This Row],[Unit Price]]</f>
        <v>960000</v>
      </c>
      <c r="L2735" s="5">
        <f>ROUND(tblSales[[#This Row],[DPP (excl. VAT)]]*VATEff,0)</f>
        <v>105600</v>
      </c>
      <c r="M2735" s="5">
        <f>tblSales[[#This Row],[DPP (excl. VAT)]]+tblSales[[#This Row],[Output VAT]]</f>
        <v>1065600</v>
      </c>
      <c r="N2735" s="5">
        <f>tblSales[[#This Row],[Qty]]*_xlfn.XLOOKUP(tblSales[[#This Row],[Product Code]],tblProducts[Code],tblProducts[Unit Cost],0)</f>
        <v>576000</v>
      </c>
      <c r="O2735" s="4" t="s">
        <v>4867</v>
      </c>
      <c r="P2735" s="4" t="s">
        <v>4860</v>
      </c>
      <c r="Q2735" s="1" t="str">
        <f>_xlfn.XLOOKUP(tblSales[[#This Row],[Channel Code]],tblChannels[Channel Code],tblChannels[Channel Name],"")</f>
        <v>In-store</v>
      </c>
      <c r="R2735" s="1">
        <f>MONTH(tblSales[[#This Row],[Date]])</f>
        <v>6</v>
      </c>
    </row>
    <row r="2736" spans="2:18" x14ac:dyDescent="0.35">
      <c r="B2736" s="113">
        <v>46187</v>
      </c>
      <c r="C2736" s="4" t="s">
        <v>1832</v>
      </c>
      <c r="D2736" s="4" t="s">
        <v>4568</v>
      </c>
      <c r="E2736" s="1" t="str">
        <f>_xlfn.XLOOKUP(tblSales[[#This Row],[Customer ID]],tblCustomers[Customer ID],tblCustomers[Customer Name],"⚠ Unknown")</f>
        <v>Walk-in Customer</v>
      </c>
      <c r="F2736" s="4" t="s">
        <v>8</v>
      </c>
      <c r="G2736" s="1" t="str">
        <f>_xlfn.XLOOKUP(tblSales[[#This Row],[Product Code]],tblProducts[Code],tblProducts[Product / Service Name],"⚠ Unknown")</f>
        <v>Casual Shorts</v>
      </c>
      <c r="H2736" s="1" t="str">
        <f>_xlfn.XLOOKUP(tblSales[[#This Row],[Product Code]],tblProducts[Code],tblProducts[Category],"")</f>
        <v>Accessories &amp; Basics</v>
      </c>
      <c r="I2736" s="4">
        <v>4</v>
      </c>
      <c r="J2736" s="5">
        <f>_xlfn.XLOOKUP(tblSales[[#This Row],[Product Code]],tblProducts[Code],tblProducts[Selling Price (excl. VAT)],0)</f>
        <v>85000</v>
      </c>
      <c r="K2736" s="5">
        <f>tblSales[[#This Row],[Qty]]*tblSales[[#This Row],[Unit Price]]</f>
        <v>340000</v>
      </c>
      <c r="L2736" s="5">
        <f>ROUND(tblSales[[#This Row],[DPP (excl. VAT)]]*VATEff,0)</f>
        <v>37400</v>
      </c>
      <c r="M2736" s="5">
        <f>tblSales[[#This Row],[DPP (excl. VAT)]]+tblSales[[#This Row],[Output VAT]]</f>
        <v>377400</v>
      </c>
      <c r="N2736" s="5">
        <f>tblSales[[#This Row],[Qty]]*_xlfn.XLOOKUP(tblSales[[#This Row],[Product Code]],tblProducts[Code],tblProducts[Unit Cost],0)</f>
        <v>200000</v>
      </c>
      <c r="O2736" s="4" t="s">
        <v>4866</v>
      </c>
      <c r="P2736" s="4" t="s">
        <v>4861</v>
      </c>
      <c r="Q2736" s="1" t="str">
        <f>_xlfn.XLOOKUP(tblSales[[#This Row],[Channel Code]],tblChannels[Channel Code],tblChannels[Channel Name],"")</f>
        <v>Marketplace</v>
      </c>
      <c r="R2736" s="1">
        <f>MONTH(tblSales[[#This Row],[Date]])</f>
        <v>6</v>
      </c>
    </row>
    <row r="2737" spans="2:18" x14ac:dyDescent="0.35">
      <c r="B2737" s="113">
        <v>46187</v>
      </c>
      <c r="C2737" s="4" t="s">
        <v>1832</v>
      </c>
      <c r="D2737" s="4" t="s">
        <v>4568</v>
      </c>
      <c r="E2737" s="1" t="str">
        <f>_xlfn.XLOOKUP(tblSales[[#This Row],[Customer ID]],tblCustomers[Customer ID],tblCustomers[Customer Name],"⚠ Unknown")</f>
        <v>Walk-in Customer</v>
      </c>
      <c r="F2737" s="4" t="s">
        <v>7</v>
      </c>
      <c r="G2737" s="1" t="str">
        <f>_xlfn.XLOOKUP(tblSales[[#This Row],[Product Code]],tblProducts[Code],tblProducts[Product / Service Name],"⚠ Unknown")</f>
        <v>Premium Basic T-shirt</v>
      </c>
      <c r="H2737" s="1" t="str">
        <f>_xlfn.XLOOKUP(tblSales[[#This Row],[Product Code]],tblProducts[Code],tblProducts[Category],"")</f>
        <v>Accessories &amp; Basics</v>
      </c>
      <c r="I2737" s="4">
        <v>9</v>
      </c>
      <c r="J2737" s="5">
        <f>_xlfn.XLOOKUP(tblSales[[#This Row],[Product Code]],tblProducts[Code],tblProducts[Selling Price (excl. VAT)],0)</f>
        <v>65000</v>
      </c>
      <c r="K2737" s="5">
        <f>tblSales[[#This Row],[Qty]]*tblSales[[#This Row],[Unit Price]]</f>
        <v>585000</v>
      </c>
      <c r="L2737" s="5">
        <f>ROUND(tblSales[[#This Row],[DPP (excl. VAT)]]*VATEff,0)</f>
        <v>64350</v>
      </c>
      <c r="M2737" s="5">
        <f>tblSales[[#This Row],[DPP (excl. VAT)]]+tblSales[[#This Row],[Output VAT]]</f>
        <v>649350</v>
      </c>
      <c r="N2737" s="5">
        <f>tblSales[[#This Row],[Qty]]*_xlfn.XLOOKUP(tblSales[[#This Row],[Product Code]],tblProducts[Code],tblProducts[Unit Cost],0)</f>
        <v>333000</v>
      </c>
      <c r="O2737" s="4" t="s">
        <v>4866</v>
      </c>
      <c r="P2737" s="4" t="s">
        <v>4861</v>
      </c>
      <c r="Q2737" s="1" t="str">
        <f>_xlfn.XLOOKUP(tblSales[[#This Row],[Channel Code]],tblChannels[Channel Code],tblChannels[Channel Name],"")</f>
        <v>Marketplace</v>
      </c>
      <c r="R2737" s="1">
        <f>MONTH(tblSales[[#This Row],[Date]])</f>
        <v>6</v>
      </c>
    </row>
    <row r="2738" spans="2:18" x14ac:dyDescent="0.35">
      <c r="B2738" s="113">
        <v>46187</v>
      </c>
      <c r="C2738" s="4" t="s">
        <v>1832</v>
      </c>
      <c r="D2738" s="4" t="s">
        <v>4568</v>
      </c>
      <c r="E2738" s="1" t="str">
        <f>_xlfn.XLOOKUP(tblSales[[#This Row],[Customer ID]],tblCustomers[Customer ID],tblCustomers[Customer Name],"⚠ Unknown")</f>
        <v>Walk-in Customer</v>
      </c>
      <c r="F2738" s="4" t="s">
        <v>10</v>
      </c>
      <c r="G2738" s="1" t="str">
        <f>_xlfn.XLOOKUP(tblSales[[#This Row],[Product Code]],tblProducts[Code],tblProducts[Product / Service Name],"⚠ Unknown")</f>
        <v>Chino Pants</v>
      </c>
      <c r="H2738" s="1" t="str">
        <f>_xlfn.XLOOKUP(tblSales[[#This Row],[Product Code]],tblProducts[Code],tblProducts[Category],"")</f>
        <v>Apparel &amp; Footwear</v>
      </c>
      <c r="I2738" s="4">
        <v>9</v>
      </c>
      <c r="J2738" s="5">
        <f>_xlfn.XLOOKUP(tblSales[[#This Row],[Product Code]],tblProducts[Code],tblProducts[Selling Price (excl. VAT)],0)</f>
        <v>150000</v>
      </c>
      <c r="K2738" s="5">
        <f>tblSales[[#This Row],[Qty]]*tblSales[[#This Row],[Unit Price]]</f>
        <v>1350000</v>
      </c>
      <c r="L2738" s="5">
        <f>ROUND(tblSales[[#This Row],[DPP (excl. VAT)]]*VATEff,0)</f>
        <v>148500</v>
      </c>
      <c r="M2738" s="5">
        <f>tblSales[[#This Row],[DPP (excl. VAT)]]+tblSales[[#This Row],[Output VAT]]</f>
        <v>1498500</v>
      </c>
      <c r="N2738" s="5">
        <f>tblSales[[#This Row],[Qty]]*_xlfn.XLOOKUP(tblSales[[#This Row],[Product Code]],tblProducts[Code],tblProducts[Unit Cost],0)</f>
        <v>792000</v>
      </c>
      <c r="O2738" s="4" t="s">
        <v>4866</v>
      </c>
      <c r="P2738" s="4" t="s">
        <v>4861</v>
      </c>
      <c r="Q2738" s="1" t="str">
        <f>_xlfn.XLOOKUP(tblSales[[#This Row],[Channel Code]],tblChannels[Channel Code],tblChannels[Channel Name],"")</f>
        <v>Marketplace</v>
      </c>
      <c r="R2738" s="1">
        <f>MONTH(tblSales[[#This Row],[Date]])</f>
        <v>6</v>
      </c>
    </row>
    <row r="2739" spans="2:18" x14ac:dyDescent="0.35">
      <c r="B2739" s="113">
        <v>46187</v>
      </c>
      <c r="C2739" s="4" t="s">
        <v>1833</v>
      </c>
      <c r="D2739" s="4" t="s">
        <v>4585</v>
      </c>
      <c r="E2739" s="1" t="str">
        <f>_xlfn.XLOOKUP(tblSales[[#This Row],[Customer ID]],tblCustomers[Customer ID],tblCustomers[Customer Name],"⚠ Unknown")</f>
        <v>CV Mitra Karya Mandiri</v>
      </c>
      <c r="F2739" s="4" t="s">
        <v>9</v>
      </c>
      <c r="G2739" s="1" t="str">
        <f>_xlfn.XLOOKUP(tblSales[[#This Row],[Product Code]],tblProducts[Code],tblProducts[Product / Service Name],"⚠ Unknown")</f>
        <v>Casual Shirt</v>
      </c>
      <c r="H2739" s="1" t="str">
        <f>_xlfn.XLOOKUP(tblSales[[#This Row],[Product Code]],tblProducts[Code],tblProducts[Category],"")</f>
        <v>Apparel &amp; Footwear</v>
      </c>
      <c r="I2739" s="4">
        <v>80</v>
      </c>
      <c r="J2739" s="5">
        <f>_xlfn.XLOOKUP(tblSales[[#This Row],[Product Code]],tblProducts[Code],tblProducts[Selling Price (excl. VAT)],0)</f>
        <v>120000</v>
      </c>
      <c r="K2739" s="5">
        <f>tblSales[[#This Row],[Qty]]*tblSales[[#This Row],[Unit Price]]</f>
        <v>9600000</v>
      </c>
      <c r="L2739" s="5">
        <f>ROUND(tblSales[[#This Row],[DPP (excl. VAT)]]*VATEff,0)</f>
        <v>1056000</v>
      </c>
      <c r="M2739" s="5">
        <f>tblSales[[#This Row],[DPP (excl. VAT)]]+tblSales[[#This Row],[Output VAT]]</f>
        <v>10656000</v>
      </c>
      <c r="N2739" s="5">
        <f>tblSales[[#This Row],[Qty]]*_xlfn.XLOOKUP(tblSales[[#This Row],[Product Code]],tblProducts[Code],tblProducts[Unit Cost],0)</f>
        <v>5760000</v>
      </c>
      <c r="O2739" s="4" t="s">
        <v>4867</v>
      </c>
      <c r="P2739" s="4" t="s">
        <v>4860</v>
      </c>
      <c r="Q2739" s="1" t="str">
        <f>_xlfn.XLOOKUP(tblSales[[#This Row],[Channel Code]],tblChannels[Channel Code],tblChannels[Channel Name],"")</f>
        <v>In-store</v>
      </c>
      <c r="R2739" s="1">
        <f>MONTH(tblSales[[#This Row],[Date]])</f>
        <v>6</v>
      </c>
    </row>
    <row r="2740" spans="2:18" x14ac:dyDescent="0.35">
      <c r="B2740" s="113">
        <v>46187</v>
      </c>
      <c r="C2740" s="4" t="s">
        <v>1834</v>
      </c>
      <c r="D2740" s="4" t="s">
        <v>4568</v>
      </c>
      <c r="E2740" s="1" t="str">
        <f>_xlfn.XLOOKUP(tblSales[[#This Row],[Customer ID]],tblCustomers[Customer ID],tblCustomers[Customer Name],"⚠ Unknown")</f>
        <v>Walk-in Customer</v>
      </c>
      <c r="F2740" s="4" t="s">
        <v>14</v>
      </c>
      <c r="G2740" s="1" t="str">
        <f>_xlfn.XLOOKUP(tblSales[[#This Row],[Product Code]],tblProducts[Code],tblProducts[Product / Service Name],"⚠ Unknown")</f>
        <v>Smartwatch</v>
      </c>
      <c r="H2740" s="1" t="str">
        <f>_xlfn.XLOOKUP(tblSales[[#This Row],[Product Code]],tblProducts[Code],tblProducts[Category],"")</f>
        <v>Bags &amp; Gadgets</v>
      </c>
      <c r="I2740" s="4">
        <v>3</v>
      </c>
      <c r="J2740" s="5">
        <f>_xlfn.XLOOKUP(tblSales[[#This Row],[Product Code]],tblProducts[Code],tblProducts[Selling Price (excl. VAT)],0)</f>
        <v>850000</v>
      </c>
      <c r="K2740" s="5">
        <f>tblSales[[#This Row],[Qty]]*tblSales[[#This Row],[Unit Price]]</f>
        <v>2550000</v>
      </c>
      <c r="L2740" s="5">
        <f>ROUND(tblSales[[#This Row],[DPP (excl. VAT)]]*VATEff,0)</f>
        <v>280500</v>
      </c>
      <c r="M2740" s="5">
        <f>tblSales[[#This Row],[DPP (excl. VAT)]]+tblSales[[#This Row],[Output VAT]]</f>
        <v>2830500</v>
      </c>
      <c r="N2740" s="5">
        <f>tblSales[[#This Row],[Qty]]*_xlfn.XLOOKUP(tblSales[[#This Row],[Product Code]],tblProducts[Code],tblProducts[Unit Cost],0)</f>
        <v>1680000</v>
      </c>
      <c r="O2740" s="4" t="s">
        <v>4866</v>
      </c>
      <c r="P2740" s="4" t="s">
        <v>4860</v>
      </c>
      <c r="Q2740" s="1" t="str">
        <f>_xlfn.XLOOKUP(tblSales[[#This Row],[Channel Code]],tblChannels[Channel Code],tblChannels[Channel Name],"")</f>
        <v>In-store</v>
      </c>
      <c r="R2740" s="1">
        <f>MONTH(tblSales[[#This Row],[Date]])</f>
        <v>6</v>
      </c>
    </row>
    <row r="2741" spans="2:18" x14ac:dyDescent="0.35">
      <c r="B2741" s="113">
        <v>46187</v>
      </c>
      <c r="C2741" s="4" t="s">
        <v>1835</v>
      </c>
      <c r="D2741" s="4" t="s">
        <v>4568</v>
      </c>
      <c r="E2741" s="1" t="str">
        <f>_xlfn.XLOOKUP(tblSales[[#This Row],[Customer ID]],tblCustomers[Customer ID],tblCustomers[Customer Name],"⚠ Unknown")</f>
        <v>Walk-in Customer</v>
      </c>
      <c r="F2741" s="4" t="s">
        <v>13</v>
      </c>
      <c r="G2741" s="1" t="str">
        <f>_xlfn.XLOOKUP(tblSales[[#This Row],[Product Code]],tblProducts[Code],tblProducts[Product / Service Name],"⚠ Unknown")</f>
        <v>Backpack</v>
      </c>
      <c r="H2741" s="1" t="str">
        <f>_xlfn.XLOOKUP(tblSales[[#This Row],[Product Code]],tblProducts[Code],tblProducts[Category],"")</f>
        <v>Bags &amp; Gadgets</v>
      </c>
      <c r="I2741" s="4">
        <v>3</v>
      </c>
      <c r="J2741" s="5">
        <f>_xlfn.XLOOKUP(tblSales[[#This Row],[Product Code]],tblProducts[Code],tblProducts[Selling Price (excl. VAT)],0)</f>
        <v>500000</v>
      </c>
      <c r="K2741" s="5">
        <f>tblSales[[#This Row],[Qty]]*tblSales[[#This Row],[Unit Price]]</f>
        <v>1500000</v>
      </c>
      <c r="L2741" s="5">
        <f>ROUND(tblSales[[#This Row],[DPP (excl. VAT)]]*VATEff,0)</f>
        <v>165000</v>
      </c>
      <c r="M2741" s="5">
        <f>tblSales[[#This Row],[DPP (excl. VAT)]]+tblSales[[#This Row],[Output VAT]]</f>
        <v>1665000</v>
      </c>
      <c r="N2741" s="5">
        <f>tblSales[[#This Row],[Qty]]*_xlfn.XLOOKUP(tblSales[[#This Row],[Product Code]],tblProducts[Code],tblProducts[Unit Cost],0)</f>
        <v>870000</v>
      </c>
      <c r="O2741" s="4" t="s">
        <v>4866</v>
      </c>
      <c r="P2741" s="4" t="s">
        <v>4860</v>
      </c>
      <c r="Q2741" s="1" t="str">
        <f>_xlfn.XLOOKUP(tblSales[[#This Row],[Channel Code]],tblChannels[Channel Code],tblChannels[Channel Name],"")</f>
        <v>In-store</v>
      </c>
      <c r="R2741" s="1">
        <f>MONTH(tblSales[[#This Row],[Date]])</f>
        <v>6</v>
      </c>
    </row>
    <row r="2742" spans="2:18" x14ac:dyDescent="0.35">
      <c r="B2742" s="113">
        <v>46187</v>
      </c>
      <c r="C2742" s="4" t="s">
        <v>1835</v>
      </c>
      <c r="D2742" s="4" t="s">
        <v>4568</v>
      </c>
      <c r="E2742" s="1" t="str">
        <f>_xlfn.XLOOKUP(tblSales[[#This Row],[Customer ID]],tblCustomers[Customer ID],tblCustomers[Customer Name],"⚠ Unknown")</f>
        <v>Walk-in Customer</v>
      </c>
      <c r="F2742" s="4" t="s">
        <v>6</v>
      </c>
      <c r="G2742" s="1" t="str">
        <f>_xlfn.XLOOKUP(tblSales[[#This Row],[Product Code]],tblProducts[Code],tblProducts[Product / Service Name],"⚠ Unknown")</f>
        <v>Socks &amp; Accessories</v>
      </c>
      <c r="H2742" s="1" t="str">
        <f>_xlfn.XLOOKUP(tblSales[[#This Row],[Product Code]],tblProducts[Code],tblProducts[Category],"")</f>
        <v>Accessories &amp; Basics</v>
      </c>
      <c r="I2742" s="4">
        <v>11</v>
      </c>
      <c r="J2742" s="5">
        <f>_xlfn.XLOOKUP(tblSales[[#This Row],[Product Code]],tblProducts[Code],tblProducts[Selling Price (excl. VAT)],0)</f>
        <v>45000</v>
      </c>
      <c r="K2742" s="5">
        <f>tblSales[[#This Row],[Qty]]*tblSales[[#This Row],[Unit Price]]</f>
        <v>495000</v>
      </c>
      <c r="L2742" s="5">
        <f>ROUND(tblSales[[#This Row],[DPP (excl. VAT)]]*VATEff,0)</f>
        <v>54450</v>
      </c>
      <c r="M2742" s="5">
        <f>tblSales[[#This Row],[DPP (excl. VAT)]]+tblSales[[#This Row],[Output VAT]]</f>
        <v>549450</v>
      </c>
      <c r="N2742" s="5">
        <f>tblSales[[#This Row],[Qty]]*_xlfn.XLOOKUP(tblSales[[#This Row],[Product Code]],tblProducts[Code],tblProducts[Unit Cost],0)</f>
        <v>264000</v>
      </c>
      <c r="O2742" s="4" t="s">
        <v>4866</v>
      </c>
      <c r="P2742" s="4" t="s">
        <v>4860</v>
      </c>
      <c r="Q2742" s="1" t="str">
        <f>_xlfn.XLOOKUP(tblSales[[#This Row],[Channel Code]],tblChannels[Channel Code],tblChannels[Channel Name],"")</f>
        <v>In-store</v>
      </c>
      <c r="R2742" s="1">
        <f>MONTH(tblSales[[#This Row],[Date]])</f>
        <v>6</v>
      </c>
    </row>
    <row r="2743" spans="2:18" x14ac:dyDescent="0.35">
      <c r="B2743" s="113">
        <v>46187</v>
      </c>
      <c r="C2743" s="4" t="s">
        <v>1836</v>
      </c>
      <c r="D2743" s="4" t="s">
        <v>4568</v>
      </c>
      <c r="E2743" s="1" t="str">
        <f>_xlfn.XLOOKUP(tblSales[[#This Row],[Customer ID]],tblCustomers[Customer ID],tblCustomers[Customer Name],"⚠ Unknown")</f>
        <v>Walk-in Customer</v>
      </c>
      <c r="F2743" s="4" t="s">
        <v>12</v>
      </c>
      <c r="G2743" s="1" t="str">
        <f>_xlfn.XLOOKUP(tblSales[[#This Row],[Product Code]],tblProducts[Code],tblProducts[Product / Service Name],"⚠ Unknown")</f>
        <v>Bomber Jacket</v>
      </c>
      <c r="H2743" s="1" t="str">
        <f>_xlfn.XLOOKUP(tblSales[[#This Row],[Product Code]],tblProducts[Code],tblProducts[Category],"")</f>
        <v>Apparel &amp; Footwear</v>
      </c>
      <c r="I2743" s="4">
        <v>1</v>
      </c>
      <c r="J2743" s="5">
        <f>_xlfn.XLOOKUP(tblSales[[#This Row],[Product Code]],tblProducts[Code],tblProducts[Selling Price (excl. VAT)],0)</f>
        <v>350000</v>
      </c>
      <c r="K2743" s="5">
        <f>tblSales[[#This Row],[Qty]]*tblSales[[#This Row],[Unit Price]]</f>
        <v>350000</v>
      </c>
      <c r="L2743" s="5">
        <f>ROUND(tblSales[[#This Row],[DPP (excl. VAT)]]*VATEff,0)</f>
        <v>38500</v>
      </c>
      <c r="M2743" s="5">
        <f>tblSales[[#This Row],[DPP (excl. VAT)]]+tblSales[[#This Row],[Output VAT]]</f>
        <v>388500</v>
      </c>
      <c r="N2743" s="5">
        <f>tblSales[[#This Row],[Qty]]*_xlfn.XLOOKUP(tblSales[[#This Row],[Product Code]],tblProducts[Code],tblProducts[Unit Cost],0)</f>
        <v>210000</v>
      </c>
      <c r="O2743" s="4" t="s">
        <v>4866</v>
      </c>
      <c r="P2743" s="4" t="s">
        <v>4860</v>
      </c>
      <c r="Q2743" s="1" t="str">
        <f>_xlfn.XLOOKUP(tblSales[[#This Row],[Channel Code]],tblChannels[Channel Code],tblChannels[Channel Name],"")</f>
        <v>In-store</v>
      </c>
      <c r="R2743" s="1">
        <f>MONTH(tblSales[[#This Row],[Date]])</f>
        <v>6</v>
      </c>
    </row>
    <row r="2744" spans="2:18" x14ac:dyDescent="0.35">
      <c r="B2744" s="113">
        <v>46187</v>
      </c>
      <c r="C2744" s="4" t="s">
        <v>1837</v>
      </c>
      <c r="D2744" s="4" t="s">
        <v>4568</v>
      </c>
      <c r="E2744" s="1" t="str">
        <f>_xlfn.XLOOKUP(tblSales[[#This Row],[Customer ID]],tblCustomers[Customer ID],tblCustomers[Customer Name],"⚠ Unknown")</f>
        <v>Walk-in Customer</v>
      </c>
      <c r="F2744" s="4" t="s">
        <v>7</v>
      </c>
      <c r="G2744" s="1" t="str">
        <f>_xlfn.XLOOKUP(tblSales[[#This Row],[Product Code]],tblProducts[Code],tblProducts[Product / Service Name],"⚠ Unknown")</f>
        <v>Premium Basic T-shirt</v>
      </c>
      <c r="H2744" s="1" t="str">
        <f>_xlfn.XLOOKUP(tblSales[[#This Row],[Product Code]],tblProducts[Code],tblProducts[Category],"")</f>
        <v>Accessories &amp; Basics</v>
      </c>
      <c r="I2744" s="4">
        <v>11</v>
      </c>
      <c r="J2744" s="5">
        <f>_xlfn.XLOOKUP(tblSales[[#This Row],[Product Code]],tblProducts[Code],tblProducts[Selling Price (excl. VAT)],0)</f>
        <v>65000</v>
      </c>
      <c r="K2744" s="5">
        <f>tblSales[[#This Row],[Qty]]*tblSales[[#This Row],[Unit Price]]</f>
        <v>715000</v>
      </c>
      <c r="L2744" s="5">
        <f>ROUND(tblSales[[#This Row],[DPP (excl. VAT)]]*VATEff,0)</f>
        <v>78650</v>
      </c>
      <c r="M2744" s="5">
        <f>tblSales[[#This Row],[DPP (excl. VAT)]]+tblSales[[#This Row],[Output VAT]]</f>
        <v>793650</v>
      </c>
      <c r="N2744" s="5">
        <f>tblSales[[#This Row],[Qty]]*_xlfn.XLOOKUP(tblSales[[#This Row],[Product Code]],tblProducts[Code],tblProducts[Unit Cost],0)</f>
        <v>407000</v>
      </c>
      <c r="O2744" s="4" t="s">
        <v>4866</v>
      </c>
      <c r="P2744" s="4" t="s">
        <v>4860</v>
      </c>
      <c r="Q2744" s="1" t="str">
        <f>_xlfn.XLOOKUP(tblSales[[#This Row],[Channel Code]],tblChannels[Channel Code],tblChannels[Channel Name],"")</f>
        <v>In-store</v>
      </c>
      <c r="R2744" s="1">
        <f>MONTH(tblSales[[#This Row],[Date]])</f>
        <v>6</v>
      </c>
    </row>
    <row r="2745" spans="2:18" x14ac:dyDescent="0.35">
      <c r="B2745" s="113">
        <v>46187</v>
      </c>
      <c r="C2745" s="4" t="s">
        <v>1838</v>
      </c>
      <c r="D2745" s="4" t="s">
        <v>4568</v>
      </c>
      <c r="E2745" s="1" t="str">
        <f>_xlfn.XLOOKUP(tblSales[[#This Row],[Customer ID]],tblCustomers[Customer ID],tblCustomers[Customer Name],"⚠ Unknown")</f>
        <v>Walk-in Customer</v>
      </c>
      <c r="F2745" s="4" t="s">
        <v>7</v>
      </c>
      <c r="G2745" s="1" t="str">
        <f>_xlfn.XLOOKUP(tblSales[[#This Row],[Product Code]],tblProducts[Code],tblProducts[Product / Service Name],"⚠ Unknown")</f>
        <v>Premium Basic T-shirt</v>
      </c>
      <c r="H2745" s="1" t="str">
        <f>_xlfn.XLOOKUP(tblSales[[#This Row],[Product Code]],tblProducts[Code],tblProducts[Category],"")</f>
        <v>Accessories &amp; Basics</v>
      </c>
      <c r="I2745" s="4">
        <v>6</v>
      </c>
      <c r="J2745" s="5">
        <f>_xlfn.XLOOKUP(tblSales[[#This Row],[Product Code]],tblProducts[Code],tblProducts[Selling Price (excl. VAT)],0)</f>
        <v>65000</v>
      </c>
      <c r="K2745" s="5">
        <f>tblSales[[#This Row],[Qty]]*tblSales[[#This Row],[Unit Price]]</f>
        <v>390000</v>
      </c>
      <c r="L2745" s="5">
        <f>ROUND(tblSales[[#This Row],[DPP (excl. VAT)]]*VATEff,0)</f>
        <v>42900</v>
      </c>
      <c r="M2745" s="5">
        <f>tblSales[[#This Row],[DPP (excl. VAT)]]+tblSales[[#This Row],[Output VAT]]</f>
        <v>432900</v>
      </c>
      <c r="N2745" s="5">
        <f>tblSales[[#This Row],[Qty]]*_xlfn.XLOOKUP(tblSales[[#This Row],[Product Code]],tblProducts[Code],tblProducts[Unit Cost],0)</f>
        <v>222000</v>
      </c>
      <c r="O2745" s="4" t="s">
        <v>4865</v>
      </c>
      <c r="P2745" s="4" t="s">
        <v>4860</v>
      </c>
      <c r="Q2745" s="1" t="str">
        <f>_xlfn.XLOOKUP(tblSales[[#This Row],[Channel Code]],tblChannels[Channel Code],tblChannels[Channel Name],"")</f>
        <v>In-store</v>
      </c>
      <c r="R2745" s="1">
        <f>MONTH(tblSales[[#This Row],[Date]])</f>
        <v>6</v>
      </c>
    </row>
    <row r="2746" spans="2:18" x14ac:dyDescent="0.35">
      <c r="B2746" s="113">
        <v>46187</v>
      </c>
      <c r="C2746" s="4" t="s">
        <v>1838</v>
      </c>
      <c r="D2746" s="4" t="s">
        <v>4568</v>
      </c>
      <c r="E2746" s="1" t="str">
        <f>_xlfn.XLOOKUP(tblSales[[#This Row],[Customer ID]],tblCustomers[Customer ID],tblCustomers[Customer Name],"⚠ Unknown")</f>
        <v>Walk-in Customer</v>
      </c>
      <c r="F2746" s="4" t="s">
        <v>8</v>
      </c>
      <c r="G2746" s="1" t="str">
        <f>_xlfn.XLOOKUP(tblSales[[#This Row],[Product Code]],tblProducts[Code],tblProducts[Product / Service Name],"⚠ Unknown")</f>
        <v>Casual Shorts</v>
      </c>
      <c r="H2746" s="1" t="str">
        <f>_xlfn.XLOOKUP(tblSales[[#This Row],[Product Code]],tblProducts[Code],tblProducts[Category],"")</f>
        <v>Accessories &amp; Basics</v>
      </c>
      <c r="I2746" s="4">
        <v>8</v>
      </c>
      <c r="J2746" s="5">
        <f>_xlfn.XLOOKUP(tblSales[[#This Row],[Product Code]],tblProducts[Code],tblProducts[Selling Price (excl. VAT)],0)</f>
        <v>85000</v>
      </c>
      <c r="K2746" s="5">
        <f>tblSales[[#This Row],[Qty]]*tblSales[[#This Row],[Unit Price]]</f>
        <v>680000</v>
      </c>
      <c r="L2746" s="5">
        <f>ROUND(tblSales[[#This Row],[DPP (excl. VAT)]]*VATEff,0)</f>
        <v>74800</v>
      </c>
      <c r="M2746" s="5">
        <f>tblSales[[#This Row],[DPP (excl. VAT)]]+tblSales[[#This Row],[Output VAT]]</f>
        <v>754800</v>
      </c>
      <c r="N2746" s="5">
        <f>tblSales[[#This Row],[Qty]]*_xlfn.XLOOKUP(tblSales[[#This Row],[Product Code]],tblProducts[Code],tblProducts[Unit Cost],0)</f>
        <v>400000</v>
      </c>
      <c r="O2746" s="4" t="s">
        <v>4865</v>
      </c>
      <c r="P2746" s="4" t="s">
        <v>4860</v>
      </c>
      <c r="Q2746" s="1" t="str">
        <f>_xlfn.XLOOKUP(tblSales[[#This Row],[Channel Code]],tblChannels[Channel Code],tblChannels[Channel Name],"")</f>
        <v>In-store</v>
      </c>
      <c r="R2746" s="1">
        <f>MONTH(tblSales[[#This Row],[Date]])</f>
        <v>6</v>
      </c>
    </row>
    <row r="2747" spans="2:18" x14ac:dyDescent="0.35">
      <c r="B2747" s="113">
        <v>46187</v>
      </c>
      <c r="C2747" s="4" t="s">
        <v>1839</v>
      </c>
      <c r="D2747" s="4" t="s">
        <v>4593</v>
      </c>
      <c r="E2747" s="1" t="str">
        <f>_xlfn.XLOOKUP(tblSales[[#This Row],[Customer ID]],tblCustomers[Customer ID],tblCustomers[Customer Name],"⚠ Unknown")</f>
        <v>PT Graha Nusa Persada</v>
      </c>
      <c r="F2747" s="4" t="s">
        <v>9</v>
      </c>
      <c r="G2747" s="1" t="str">
        <f>_xlfn.XLOOKUP(tblSales[[#This Row],[Product Code]],tblProducts[Code],tblProducts[Product / Service Name],"⚠ Unknown")</f>
        <v>Casual Shirt</v>
      </c>
      <c r="H2747" s="1" t="str">
        <f>_xlfn.XLOOKUP(tblSales[[#This Row],[Product Code]],tblProducts[Code],tblProducts[Category],"")</f>
        <v>Apparel &amp; Footwear</v>
      </c>
      <c r="I2747" s="4">
        <v>48</v>
      </c>
      <c r="J2747" s="5">
        <f>_xlfn.XLOOKUP(tblSales[[#This Row],[Product Code]],tblProducts[Code],tblProducts[Selling Price (excl. VAT)],0)</f>
        <v>120000</v>
      </c>
      <c r="K2747" s="5">
        <f>tblSales[[#This Row],[Qty]]*tblSales[[#This Row],[Unit Price]]</f>
        <v>5760000</v>
      </c>
      <c r="L2747" s="5">
        <f>ROUND(tblSales[[#This Row],[DPP (excl. VAT)]]*VATEff,0)</f>
        <v>633600</v>
      </c>
      <c r="M2747" s="5">
        <f>tblSales[[#This Row],[DPP (excl. VAT)]]+tblSales[[#This Row],[Output VAT]]</f>
        <v>6393600</v>
      </c>
      <c r="N2747" s="5">
        <f>tblSales[[#This Row],[Qty]]*_xlfn.XLOOKUP(tblSales[[#This Row],[Product Code]],tblProducts[Code],tblProducts[Unit Cost],0)</f>
        <v>3456000</v>
      </c>
      <c r="O2747" s="4" t="s">
        <v>4867</v>
      </c>
      <c r="P2747" s="4" t="s">
        <v>4860</v>
      </c>
      <c r="Q2747" s="1" t="str">
        <f>_xlfn.XLOOKUP(tblSales[[#This Row],[Channel Code]],tblChannels[Channel Code],tblChannels[Channel Name],"")</f>
        <v>In-store</v>
      </c>
      <c r="R2747" s="1">
        <f>MONTH(tblSales[[#This Row],[Date]])</f>
        <v>6</v>
      </c>
    </row>
    <row r="2748" spans="2:18" x14ac:dyDescent="0.35">
      <c r="B2748" s="113">
        <v>46187</v>
      </c>
      <c r="C2748" s="4" t="s">
        <v>1840</v>
      </c>
      <c r="D2748" s="4" t="s">
        <v>4568</v>
      </c>
      <c r="E2748" s="1" t="str">
        <f>_xlfn.XLOOKUP(tblSales[[#This Row],[Customer ID]],tblCustomers[Customer ID],tblCustomers[Customer Name],"⚠ Unknown")</f>
        <v>Walk-in Customer</v>
      </c>
      <c r="F2748" s="4" t="s">
        <v>12</v>
      </c>
      <c r="G2748" s="1" t="str">
        <f>_xlfn.XLOOKUP(tblSales[[#This Row],[Product Code]],tblProducts[Code],tblProducts[Product / Service Name],"⚠ Unknown")</f>
        <v>Bomber Jacket</v>
      </c>
      <c r="H2748" s="1" t="str">
        <f>_xlfn.XLOOKUP(tblSales[[#This Row],[Product Code]],tblProducts[Code],tblProducts[Category],"")</f>
        <v>Apparel &amp; Footwear</v>
      </c>
      <c r="I2748" s="4">
        <v>6</v>
      </c>
      <c r="J2748" s="5">
        <f>_xlfn.XLOOKUP(tblSales[[#This Row],[Product Code]],tblProducts[Code],tblProducts[Selling Price (excl. VAT)],0)</f>
        <v>350000</v>
      </c>
      <c r="K2748" s="5">
        <f>tblSales[[#This Row],[Qty]]*tblSales[[#This Row],[Unit Price]]</f>
        <v>2100000</v>
      </c>
      <c r="L2748" s="5">
        <f>ROUND(tblSales[[#This Row],[DPP (excl. VAT)]]*VATEff,0)</f>
        <v>231000</v>
      </c>
      <c r="M2748" s="5">
        <f>tblSales[[#This Row],[DPP (excl. VAT)]]+tblSales[[#This Row],[Output VAT]]</f>
        <v>2331000</v>
      </c>
      <c r="N2748" s="5">
        <f>tblSales[[#This Row],[Qty]]*_xlfn.XLOOKUP(tblSales[[#This Row],[Product Code]],tblProducts[Code],tblProducts[Unit Cost],0)</f>
        <v>1260000</v>
      </c>
      <c r="O2748" s="4" t="s">
        <v>4866</v>
      </c>
      <c r="P2748" s="4" t="s">
        <v>4861</v>
      </c>
      <c r="Q2748" s="1" t="str">
        <f>_xlfn.XLOOKUP(tblSales[[#This Row],[Channel Code]],tblChannels[Channel Code],tblChannels[Channel Name],"")</f>
        <v>Marketplace</v>
      </c>
      <c r="R2748" s="1">
        <f>MONTH(tblSales[[#This Row],[Date]])</f>
        <v>6</v>
      </c>
    </row>
    <row r="2749" spans="2:18" x14ac:dyDescent="0.35">
      <c r="B2749" s="113">
        <v>46187</v>
      </c>
      <c r="C2749" s="4" t="s">
        <v>1840</v>
      </c>
      <c r="D2749" s="4" t="s">
        <v>4568</v>
      </c>
      <c r="E2749" s="1" t="str">
        <f>_xlfn.XLOOKUP(tblSales[[#This Row],[Customer ID]],tblCustomers[Customer ID],tblCustomers[Customer Name],"⚠ Unknown")</f>
        <v>Walk-in Customer</v>
      </c>
      <c r="F2749" s="4" t="s">
        <v>13</v>
      </c>
      <c r="G2749" s="1" t="str">
        <f>_xlfn.XLOOKUP(tblSales[[#This Row],[Product Code]],tblProducts[Code],tblProducts[Product / Service Name],"⚠ Unknown")</f>
        <v>Backpack</v>
      </c>
      <c r="H2749" s="1" t="str">
        <f>_xlfn.XLOOKUP(tblSales[[#This Row],[Product Code]],tblProducts[Code],tblProducts[Category],"")</f>
        <v>Bags &amp; Gadgets</v>
      </c>
      <c r="I2749" s="4">
        <v>4</v>
      </c>
      <c r="J2749" s="5">
        <f>_xlfn.XLOOKUP(tblSales[[#This Row],[Product Code]],tblProducts[Code],tblProducts[Selling Price (excl. VAT)],0)</f>
        <v>500000</v>
      </c>
      <c r="K2749" s="5">
        <f>tblSales[[#This Row],[Qty]]*tblSales[[#This Row],[Unit Price]]</f>
        <v>2000000</v>
      </c>
      <c r="L2749" s="5">
        <f>ROUND(tblSales[[#This Row],[DPP (excl. VAT)]]*VATEff,0)</f>
        <v>220000</v>
      </c>
      <c r="M2749" s="5">
        <f>tblSales[[#This Row],[DPP (excl. VAT)]]+tblSales[[#This Row],[Output VAT]]</f>
        <v>2220000</v>
      </c>
      <c r="N2749" s="5">
        <f>tblSales[[#This Row],[Qty]]*_xlfn.XLOOKUP(tblSales[[#This Row],[Product Code]],tblProducts[Code],tblProducts[Unit Cost],0)</f>
        <v>1160000</v>
      </c>
      <c r="O2749" s="4" t="s">
        <v>4866</v>
      </c>
      <c r="P2749" s="4" t="s">
        <v>4861</v>
      </c>
      <c r="Q2749" s="1" t="str">
        <f>_xlfn.XLOOKUP(tblSales[[#This Row],[Channel Code]],tblChannels[Channel Code],tblChannels[Channel Name],"")</f>
        <v>Marketplace</v>
      </c>
      <c r="R2749" s="1">
        <f>MONTH(tblSales[[#This Row],[Date]])</f>
        <v>6</v>
      </c>
    </row>
    <row r="2750" spans="2:18" x14ac:dyDescent="0.35">
      <c r="B2750" s="113">
        <v>46187</v>
      </c>
      <c r="C2750" s="4" t="s">
        <v>1840</v>
      </c>
      <c r="D2750" s="4" t="s">
        <v>4568</v>
      </c>
      <c r="E2750" s="1" t="str">
        <f>_xlfn.XLOOKUP(tblSales[[#This Row],[Customer ID]],tblCustomers[Customer ID],tblCustomers[Customer Name],"⚠ Unknown")</f>
        <v>Walk-in Customer</v>
      </c>
      <c r="F2750" s="4" t="s">
        <v>10</v>
      </c>
      <c r="G2750" s="1" t="str">
        <f>_xlfn.XLOOKUP(tblSales[[#This Row],[Product Code]],tblProducts[Code],tblProducts[Product / Service Name],"⚠ Unknown")</f>
        <v>Chino Pants</v>
      </c>
      <c r="H2750" s="1" t="str">
        <f>_xlfn.XLOOKUP(tblSales[[#This Row],[Product Code]],tblProducts[Code],tblProducts[Category],"")</f>
        <v>Apparel &amp; Footwear</v>
      </c>
      <c r="I2750" s="4">
        <v>10</v>
      </c>
      <c r="J2750" s="5">
        <f>_xlfn.XLOOKUP(tblSales[[#This Row],[Product Code]],tblProducts[Code],tblProducts[Selling Price (excl. VAT)],0)</f>
        <v>150000</v>
      </c>
      <c r="K2750" s="5">
        <f>tblSales[[#This Row],[Qty]]*tblSales[[#This Row],[Unit Price]]</f>
        <v>1500000</v>
      </c>
      <c r="L2750" s="5">
        <f>ROUND(tblSales[[#This Row],[DPP (excl. VAT)]]*VATEff,0)</f>
        <v>165000</v>
      </c>
      <c r="M2750" s="5">
        <f>tblSales[[#This Row],[DPP (excl. VAT)]]+tblSales[[#This Row],[Output VAT]]</f>
        <v>1665000</v>
      </c>
      <c r="N2750" s="5">
        <f>tblSales[[#This Row],[Qty]]*_xlfn.XLOOKUP(tblSales[[#This Row],[Product Code]],tblProducts[Code],tblProducts[Unit Cost],0)</f>
        <v>880000</v>
      </c>
      <c r="O2750" s="4" t="s">
        <v>4866</v>
      </c>
      <c r="P2750" s="4" t="s">
        <v>4861</v>
      </c>
      <c r="Q2750" s="1" t="str">
        <f>_xlfn.XLOOKUP(tblSales[[#This Row],[Channel Code]],tblChannels[Channel Code],tblChannels[Channel Name],"")</f>
        <v>Marketplace</v>
      </c>
      <c r="R2750" s="1">
        <f>MONTH(tblSales[[#This Row],[Date]])</f>
        <v>6</v>
      </c>
    </row>
    <row r="2751" spans="2:18" x14ac:dyDescent="0.35">
      <c r="B2751" s="113">
        <v>46187</v>
      </c>
      <c r="C2751" s="4" t="s">
        <v>1841</v>
      </c>
      <c r="D2751" s="4" t="s">
        <v>4568</v>
      </c>
      <c r="E2751" s="1" t="str">
        <f>_xlfn.XLOOKUP(tblSales[[#This Row],[Customer ID]],tblCustomers[Customer ID],tblCustomers[Customer Name],"⚠ Unknown")</f>
        <v>Walk-in Customer</v>
      </c>
      <c r="F2751" s="4" t="s">
        <v>11</v>
      </c>
      <c r="G2751" s="1" t="str">
        <f>_xlfn.XLOOKUP(tblSales[[#This Row],[Product Code]],tblProducts[Code],tblProducts[Product / Service Name],"⚠ Unknown")</f>
        <v>Sneakers</v>
      </c>
      <c r="H2751" s="1" t="str">
        <f>_xlfn.XLOOKUP(tblSales[[#This Row],[Product Code]],tblProducts[Code],tblProducts[Category],"")</f>
        <v>Apparel &amp; Footwear</v>
      </c>
      <c r="I2751" s="4">
        <v>1</v>
      </c>
      <c r="J2751" s="5">
        <f>_xlfn.XLOOKUP(tblSales[[#This Row],[Product Code]],tblProducts[Code],tblProducts[Selling Price (excl. VAT)],0)</f>
        <v>250000</v>
      </c>
      <c r="K2751" s="5">
        <f>tblSales[[#This Row],[Qty]]*tblSales[[#This Row],[Unit Price]]</f>
        <v>250000</v>
      </c>
      <c r="L2751" s="5">
        <f>ROUND(tblSales[[#This Row],[DPP (excl. VAT)]]*VATEff,0)</f>
        <v>27500</v>
      </c>
      <c r="M2751" s="5">
        <f>tblSales[[#This Row],[DPP (excl. VAT)]]+tblSales[[#This Row],[Output VAT]]</f>
        <v>277500</v>
      </c>
      <c r="N2751" s="5">
        <f>tblSales[[#This Row],[Qty]]*_xlfn.XLOOKUP(tblSales[[#This Row],[Product Code]],tblProducts[Code],tblProducts[Unit Cost],0)</f>
        <v>155000</v>
      </c>
      <c r="O2751" s="4" t="s">
        <v>4866</v>
      </c>
      <c r="P2751" s="4" t="s">
        <v>4861</v>
      </c>
      <c r="Q2751" s="1" t="str">
        <f>_xlfn.XLOOKUP(tblSales[[#This Row],[Channel Code]],tblChannels[Channel Code],tblChannels[Channel Name],"")</f>
        <v>Marketplace</v>
      </c>
      <c r="R2751" s="1">
        <f>MONTH(tblSales[[#This Row],[Date]])</f>
        <v>6</v>
      </c>
    </row>
    <row r="2752" spans="2:18" x14ac:dyDescent="0.35">
      <c r="B2752" s="113">
        <v>46188</v>
      </c>
      <c r="C2752" s="4" t="s">
        <v>1842</v>
      </c>
      <c r="D2752" s="4" t="s">
        <v>4568</v>
      </c>
      <c r="E2752" s="1" t="str">
        <f>_xlfn.XLOOKUP(tblSales[[#This Row],[Customer ID]],tblCustomers[Customer ID],tblCustomers[Customer Name],"⚠ Unknown")</f>
        <v>Walk-in Customer</v>
      </c>
      <c r="F2752" s="4" t="s">
        <v>15</v>
      </c>
      <c r="G2752" s="1" t="str">
        <f>_xlfn.XLOOKUP(tblSales[[#This Row],[Product Code]],tblProducts[Code],tblProducts[Product / Service Name],"⚠ Unknown")</f>
        <v>Wireless Earbuds Pro</v>
      </c>
      <c r="H2752" s="1" t="str">
        <f>_xlfn.XLOOKUP(tblSales[[#This Row],[Product Code]],tblProducts[Code],tblProducts[Category],"")</f>
        <v>Bags &amp; Gadgets</v>
      </c>
      <c r="I2752" s="4">
        <v>3</v>
      </c>
      <c r="J2752" s="5">
        <f>_xlfn.XLOOKUP(tblSales[[#This Row],[Product Code]],tblProducts[Code],tblProducts[Selling Price (excl. VAT)],0)</f>
        <v>1250000</v>
      </c>
      <c r="K2752" s="5">
        <f>tblSales[[#This Row],[Qty]]*tblSales[[#This Row],[Unit Price]]</f>
        <v>3750000</v>
      </c>
      <c r="L2752" s="5">
        <f>ROUND(tblSales[[#This Row],[DPP (excl. VAT)]]*VATEff,0)</f>
        <v>412500</v>
      </c>
      <c r="M2752" s="5">
        <f>tblSales[[#This Row],[DPP (excl. VAT)]]+tblSales[[#This Row],[Output VAT]]</f>
        <v>4162500</v>
      </c>
      <c r="N2752" s="5">
        <f>tblSales[[#This Row],[Qty]]*_xlfn.XLOOKUP(tblSales[[#This Row],[Product Code]],tblProducts[Code],tblProducts[Unit Cost],0)</f>
        <v>2460000</v>
      </c>
      <c r="O2752" s="4" t="s">
        <v>4866</v>
      </c>
      <c r="P2752" s="4" t="s">
        <v>4860</v>
      </c>
      <c r="Q2752" s="1" t="str">
        <f>_xlfn.XLOOKUP(tblSales[[#This Row],[Channel Code]],tblChannels[Channel Code],tblChannels[Channel Name],"")</f>
        <v>In-store</v>
      </c>
      <c r="R2752" s="1">
        <f>MONTH(tblSales[[#This Row],[Date]])</f>
        <v>6</v>
      </c>
    </row>
    <row r="2753" spans="2:18" x14ac:dyDescent="0.35">
      <c r="B2753" s="113">
        <v>46188</v>
      </c>
      <c r="C2753" s="4" t="s">
        <v>1842</v>
      </c>
      <c r="D2753" s="4" t="s">
        <v>4568</v>
      </c>
      <c r="E2753" s="1" t="str">
        <f>_xlfn.XLOOKUP(tblSales[[#This Row],[Customer ID]],tblCustomers[Customer ID],tblCustomers[Customer Name],"⚠ Unknown")</f>
        <v>Walk-in Customer</v>
      </c>
      <c r="F2753" s="4" t="s">
        <v>13</v>
      </c>
      <c r="G2753" s="1" t="str">
        <f>_xlfn.XLOOKUP(tblSales[[#This Row],[Product Code]],tblProducts[Code],tblProducts[Product / Service Name],"⚠ Unknown")</f>
        <v>Backpack</v>
      </c>
      <c r="H2753" s="1" t="str">
        <f>_xlfn.XLOOKUP(tblSales[[#This Row],[Product Code]],tblProducts[Code],tblProducts[Category],"")</f>
        <v>Bags &amp; Gadgets</v>
      </c>
      <c r="I2753" s="4">
        <v>2</v>
      </c>
      <c r="J2753" s="5">
        <f>_xlfn.XLOOKUP(tblSales[[#This Row],[Product Code]],tblProducts[Code],tblProducts[Selling Price (excl. VAT)],0)</f>
        <v>500000</v>
      </c>
      <c r="K2753" s="5">
        <f>tblSales[[#This Row],[Qty]]*tblSales[[#This Row],[Unit Price]]</f>
        <v>1000000</v>
      </c>
      <c r="L2753" s="5">
        <f>ROUND(tblSales[[#This Row],[DPP (excl. VAT)]]*VATEff,0)</f>
        <v>110000</v>
      </c>
      <c r="M2753" s="5">
        <f>tblSales[[#This Row],[DPP (excl. VAT)]]+tblSales[[#This Row],[Output VAT]]</f>
        <v>1110000</v>
      </c>
      <c r="N2753" s="5">
        <f>tblSales[[#This Row],[Qty]]*_xlfn.XLOOKUP(tblSales[[#This Row],[Product Code]],tblProducts[Code],tblProducts[Unit Cost],0)</f>
        <v>580000</v>
      </c>
      <c r="O2753" s="4" t="s">
        <v>4866</v>
      </c>
      <c r="P2753" s="4" t="s">
        <v>4860</v>
      </c>
      <c r="Q2753" s="1" t="str">
        <f>_xlfn.XLOOKUP(tblSales[[#This Row],[Channel Code]],tblChannels[Channel Code],tblChannels[Channel Name],"")</f>
        <v>In-store</v>
      </c>
      <c r="R2753" s="1">
        <f>MONTH(tblSales[[#This Row],[Date]])</f>
        <v>6</v>
      </c>
    </row>
    <row r="2754" spans="2:18" x14ac:dyDescent="0.35">
      <c r="B2754" s="113">
        <v>46188</v>
      </c>
      <c r="C2754" s="4" t="s">
        <v>1843</v>
      </c>
      <c r="D2754" s="4" t="s">
        <v>4568</v>
      </c>
      <c r="E2754" s="1" t="str">
        <f>_xlfn.XLOOKUP(tblSales[[#This Row],[Customer ID]],tblCustomers[Customer ID],tblCustomers[Customer Name],"⚠ Unknown")</f>
        <v>Walk-in Customer</v>
      </c>
      <c r="F2754" s="4" t="s">
        <v>9</v>
      </c>
      <c r="G2754" s="1" t="str">
        <f>_xlfn.XLOOKUP(tblSales[[#This Row],[Product Code]],tblProducts[Code],tblProducts[Product / Service Name],"⚠ Unknown")</f>
        <v>Casual Shirt</v>
      </c>
      <c r="H2754" s="1" t="str">
        <f>_xlfn.XLOOKUP(tblSales[[#This Row],[Product Code]],tblProducts[Code],tblProducts[Category],"")</f>
        <v>Apparel &amp; Footwear</v>
      </c>
      <c r="I2754" s="4">
        <v>6</v>
      </c>
      <c r="J2754" s="5">
        <f>_xlfn.XLOOKUP(tblSales[[#This Row],[Product Code]],tblProducts[Code],tblProducts[Selling Price (excl. VAT)],0)</f>
        <v>120000</v>
      </c>
      <c r="K2754" s="5">
        <f>tblSales[[#This Row],[Qty]]*tblSales[[#This Row],[Unit Price]]</f>
        <v>720000</v>
      </c>
      <c r="L2754" s="5">
        <f>ROUND(tblSales[[#This Row],[DPP (excl. VAT)]]*VATEff,0)</f>
        <v>79200</v>
      </c>
      <c r="M2754" s="5">
        <f>tblSales[[#This Row],[DPP (excl. VAT)]]+tblSales[[#This Row],[Output VAT]]</f>
        <v>799200</v>
      </c>
      <c r="N2754" s="5">
        <f>tblSales[[#This Row],[Qty]]*_xlfn.XLOOKUP(tblSales[[#This Row],[Product Code]],tblProducts[Code],tblProducts[Unit Cost],0)</f>
        <v>432000</v>
      </c>
      <c r="O2754" s="4" t="s">
        <v>4865</v>
      </c>
      <c r="P2754" s="4" t="s">
        <v>4860</v>
      </c>
      <c r="Q2754" s="1" t="str">
        <f>_xlfn.XLOOKUP(tblSales[[#This Row],[Channel Code]],tblChannels[Channel Code],tblChannels[Channel Name],"")</f>
        <v>In-store</v>
      </c>
      <c r="R2754" s="1">
        <f>MONTH(tblSales[[#This Row],[Date]])</f>
        <v>6</v>
      </c>
    </row>
    <row r="2755" spans="2:18" x14ac:dyDescent="0.35">
      <c r="B2755" s="113">
        <v>46188</v>
      </c>
      <c r="C2755" s="4" t="s">
        <v>1843</v>
      </c>
      <c r="D2755" s="4" t="s">
        <v>4568</v>
      </c>
      <c r="E2755" s="1" t="str">
        <f>_xlfn.XLOOKUP(tblSales[[#This Row],[Customer ID]],tblCustomers[Customer ID],tblCustomers[Customer Name],"⚠ Unknown")</f>
        <v>Walk-in Customer</v>
      </c>
      <c r="F2755" s="4" t="s">
        <v>10</v>
      </c>
      <c r="G2755" s="1" t="str">
        <f>_xlfn.XLOOKUP(tblSales[[#This Row],[Product Code]],tblProducts[Code],tblProducts[Product / Service Name],"⚠ Unknown")</f>
        <v>Chino Pants</v>
      </c>
      <c r="H2755" s="1" t="str">
        <f>_xlfn.XLOOKUP(tblSales[[#This Row],[Product Code]],tblProducts[Code],tblProducts[Category],"")</f>
        <v>Apparel &amp; Footwear</v>
      </c>
      <c r="I2755" s="4">
        <v>10</v>
      </c>
      <c r="J2755" s="5">
        <f>_xlfn.XLOOKUP(tblSales[[#This Row],[Product Code]],tblProducts[Code],tblProducts[Selling Price (excl. VAT)],0)</f>
        <v>150000</v>
      </c>
      <c r="K2755" s="5">
        <f>tblSales[[#This Row],[Qty]]*tblSales[[#This Row],[Unit Price]]</f>
        <v>1500000</v>
      </c>
      <c r="L2755" s="5">
        <f>ROUND(tblSales[[#This Row],[DPP (excl. VAT)]]*VATEff,0)</f>
        <v>165000</v>
      </c>
      <c r="M2755" s="5">
        <f>tblSales[[#This Row],[DPP (excl. VAT)]]+tblSales[[#This Row],[Output VAT]]</f>
        <v>1665000</v>
      </c>
      <c r="N2755" s="5">
        <f>tblSales[[#This Row],[Qty]]*_xlfn.XLOOKUP(tblSales[[#This Row],[Product Code]],tblProducts[Code],tblProducts[Unit Cost],0)</f>
        <v>880000</v>
      </c>
      <c r="O2755" s="4" t="s">
        <v>4865</v>
      </c>
      <c r="P2755" s="4" t="s">
        <v>4860</v>
      </c>
      <c r="Q2755" s="1" t="str">
        <f>_xlfn.XLOOKUP(tblSales[[#This Row],[Channel Code]],tblChannels[Channel Code],tblChannels[Channel Name],"")</f>
        <v>In-store</v>
      </c>
      <c r="R2755" s="1">
        <f>MONTH(tblSales[[#This Row],[Date]])</f>
        <v>6</v>
      </c>
    </row>
    <row r="2756" spans="2:18" x14ac:dyDescent="0.35">
      <c r="B2756" s="113">
        <v>46188</v>
      </c>
      <c r="C2756" s="4" t="s">
        <v>1844</v>
      </c>
      <c r="D2756" s="4" t="s">
        <v>4568</v>
      </c>
      <c r="E2756" s="1" t="str">
        <f>_xlfn.XLOOKUP(tblSales[[#This Row],[Customer ID]],tblCustomers[Customer ID],tblCustomers[Customer Name],"⚠ Unknown")</f>
        <v>Walk-in Customer</v>
      </c>
      <c r="F2756" s="4" t="s">
        <v>8</v>
      </c>
      <c r="G2756" s="1" t="str">
        <f>_xlfn.XLOOKUP(tblSales[[#This Row],[Product Code]],tblProducts[Code],tblProducts[Product / Service Name],"⚠ Unknown")</f>
        <v>Casual Shorts</v>
      </c>
      <c r="H2756" s="1" t="str">
        <f>_xlfn.XLOOKUP(tblSales[[#This Row],[Product Code]],tblProducts[Code],tblProducts[Category],"")</f>
        <v>Accessories &amp; Basics</v>
      </c>
      <c r="I2756" s="4">
        <v>8</v>
      </c>
      <c r="J2756" s="5">
        <f>_xlfn.XLOOKUP(tblSales[[#This Row],[Product Code]],tblProducts[Code],tblProducts[Selling Price (excl. VAT)],0)</f>
        <v>85000</v>
      </c>
      <c r="K2756" s="5">
        <f>tblSales[[#This Row],[Qty]]*tblSales[[#This Row],[Unit Price]]</f>
        <v>680000</v>
      </c>
      <c r="L2756" s="5">
        <f>ROUND(tblSales[[#This Row],[DPP (excl. VAT)]]*VATEff,0)</f>
        <v>74800</v>
      </c>
      <c r="M2756" s="5">
        <f>tblSales[[#This Row],[DPP (excl. VAT)]]+tblSales[[#This Row],[Output VAT]]</f>
        <v>754800</v>
      </c>
      <c r="N2756" s="5">
        <f>tblSales[[#This Row],[Qty]]*_xlfn.XLOOKUP(tblSales[[#This Row],[Product Code]],tblProducts[Code],tblProducts[Unit Cost],0)</f>
        <v>400000</v>
      </c>
      <c r="O2756" s="4" t="s">
        <v>4865</v>
      </c>
      <c r="P2756" s="4" t="s">
        <v>4860</v>
      </c>
      <c r="Q2756" s="1" t="str">
        <f>_xlfn.XLOOKUP(tblSales[[#This Row],[Channel Code]],tblChannels[Channel Code],tblChannels[Channel Name],"")</f>
        <v>In-store</v>
      </c>
      <c r="R2756" s="1">
        <f>MONTH(tblSales[[#This Row],[Date]])</f>
        <v>6</v>
      </c>
    </row>
    <row r="2757" spans="2:18" x14ac:dyDescent="0.35">
      <c r="B2757" s="113">
        <v>46188</v>
      </c>
      <c r="C2757" s="4" t="s">
        <v>1845</v>
      </c>
      <c r="D2757" s="4" t="s">
        <v>4568</v>
      </c>
      <c r="E2757" s="1" t="str">
        <f>_xlfn.XLOOKUP(tblSales[[#This Row],[Customer ID]],tblCustomers[Customer ID],tblCustomers[Customer Name],"⚠ Unknown")</f>
        <v>Walk-in Customer</v>
      </c>
      <c r="F2757" s="4" t="s">
        <v>11</v>
      </c>
      <c r="G2757" s="1" t="str">
        <f>_xlfn.XLOOKUP(tblSales[[#This Row],[Product Code]],tblProducts[Code],tblProducts[Product / Service Name],"⚠ Unknown")</f>
        <v>Sneakers</v>
      </c>
      <c r="H2757" s="1" t="str">
        <f>_xlfn.XLOOKUP(tblSales[[#This Row],[Product Code]],tblProducts[Code],tblProducts[Category],"")</f>
        <v>Apparel &amp; Footwear</v>
      </c>
      <c r="I2757" s="4">
        <v>2</v>
      </c>
      <c r="J2757" s="5">
        <f>_xlfn.XLOOKUP(tblSales[[#This Row],[Product Code]],tblProducts[Code],tblProducts[Selling Price (excl. VAT)],0)</f>
        <v>250000</v>
      </c>
      <c r="K2757" s="5">
        <f>tblSales[[#This Row],[Qty]]*tblSales[[#This Row],[Unit Price]]</f>
        <v>500000</v>
      </c>
      <c r="L2757" s="5">
        <f>ROUND(tblSales[[#This Row],[DPP (excl. VAT)]]*VATEff,0)</f>
        <v>55000</v>
      </c>
      <c r="M2757" s="5">
        <f>tblSales[[#This Row],[DPP (excl. VAT)]]+tblSales[[#This Row],[Output VAT]]</f>
        <v>555000</v>
      </c>
      <c r="N2757" s="5">
        <f>tblSales[[#This Row],[Qty]]*_xlfn.XLOOKUP(tblSales[[#This Row],[Product Code]],tblProducts[Code],tblProducts[Unit Cost],0)</f>
        <v>310000</v>
      </c>
      <c r="O2757" s="4" t="s">
        <v>4866</v>
      </c>
      <c r="P2757" s="4" t="s">
        <v>4861</v>
      </c>
      <c r="Q2757" s="1" t="str">
        <f>_xlfn.XLOOKUP(tblSales[[#This Row],[Channel Code]],tblChannels[Channel Code],tblChannels[Channel Name],"")</f>
        <v>Marketplace</v>
      </c>
      <c r="R2757" s="1">
        <f>MONTH(tblSales[[#This Row],[Date]])</f>
        <v>6</v>
      </c>
    </row>
    <row r="2758" spans="2:18" x14ac:dyDescent="0.35">
      <c r="B2758" s="113">
        <v>46188</v>
      </c>
      <c r="C2758" s="4" t="s">
        <v>1846</v>
      </c>
      <c r="D2758" s="4" t="s">
        <v>4568</v>
      </c>
      <c r="E2758" s="1" t="str">
        <f>_xlfn.XLOOKUP(tblSales[[#This Row],[Customer ID]],tblCustomers[Customer ID],tblCustomers[Customer Name],"⚠ Unknown")</f>
        <v>Walk-in Customer</v>
      </c>
      <c r="F2758" s="4" t="s">
        <v>6</v>
      </c>
      <c r="G2758" s="1" t="str">
        <f>_xlfn.XLOOKUP(tblSales[[#This Row],[Product Code]],tblProducts[Code],tblProducts[Product / Service Name],"⚠ Unknown")</f>
        <v>Socks &amp; Accessories</v>
      </c>
      <c r="H2758" s="1" t="str">
        <f>_xlfn.XLOOKUP(tblSales[[#This Row],[Product Code]],tblProducts[Code],tblProducts[Category],"")</f>
        <v>Accessories &amp; Basics</v>
      </c>
      <c r="I2758" s="4">
        <v>11</v>
      </c>
      <c r="J2758" s="5">
        <f>_xlfn.XLOOKUP(tblSales[[#This Row],[Product Code]],tblProducts[Code],tblProducts[Selling Price (excl. VAT)],0)</f>
        <v>45000</v>
      </c>
      <c r="K2758" s="5">
        <f>tblSales[[#This Row],[Qty]]*tblSales[[#This Row],[Unit Price]]</f>
        <v>495000</v>
      </c>
      <c r="L2758" s="5">
        <f>ROUND(tblSales[[#This Row],[DPP (excl. VAT)]]*VATEff,0)</f>
        <v>54450</v>
      </c>
      <c r="M2758" s="5">
        <f>tblSales[[#This Row],[DPP (excl. VAT)]]+tblSales[[#This Row],[Output VAT]]</f>
        <v>549450</v>
      </c>
      <c r="N2758" s="5">
        <f>tblSales[[#This Row],[Qty]]*_xlfn.XLOOKUP(tblSales[[#This Row],[Product Code]],tblProducts[Code],tblProducts[Unit Cost],0)</f>
        <v>264000</v>
      </c>
      <c r="O2758" s="4" t="s">
        <v>4866</v>
      </c>
      <c r="P2758" s="4" t="s">
        <v>4860</v>
      </c>
      <c r="Q2758" s="1" t="str">
        <f>_xlfn.XLOOKUP(tblSales[[#This Row],[Channel Code]],tblChannels[Channel Code],tblChannels[Channel Name],"")</f>
        <v>In-store</v>
      </c>
      <c r="R2758" s="1">
        <f>MONTH(tblSales[[#This Row],[Date]])</f>
        <v>6</v>
      </c>
    </row>
    <row r="2759" spans="2:18" x14ac:dyDescent="0.35">
      <c r="B2759" s="113">
        <v>46188</v>
      </c>
      <c r="C2759" s="4" t="s">
        <v>1847</v>
      </c>
      <c r="D2759" s="4" t="s">
        <v>4568</v>
      </c>
      <c r="E2759" s="1" t="str">
        <f>_xlfn.XLOOKUP(tblSales[[#This Row],[Customer ID]],tblCustomers[Customer ID],tblCustomers[Customer Name],"⚠ Unknown")</f>
        <v>Walk-in Customer</v>
      </c>
      <c r="F2759" s="4" t="s">
        <v>7</v>
      </c>
      <c r="G2759" s="1" t="str">
        <f>_xlfn.XLOOKUP(tblSales[[#This Row],[Product Code]],tblProducts[Code],tblProducts[Product / Service Name],"⚠ Unknown")</f>
        <v>Premium Basic T-shirt</v>
      </c>
      <c r="H2759" s="1" t="str">
        <f>_xlfn.XLOOKUP(tblSales[[#This Row],[Product Code]],tblProducts[Code],tblProducts[Category],"")</f>
        <v>Accessories &amp; Basics</v>
      </c>
      <c r="I2759" s="4">
        <v>9</v>
      </c>
      <c r="J2759" s="5">
        <f>_xlfn.XLOOKUP(tblSales[[#This Row],[Product Code]],tblProducts[Code],tblProducts[Selling Price (excl. VAT)],0)</f>
        <v>65000</v>
      </c>
      <c r="K2759" s="5">
        <f>tblSales[[#This Row],[Qty]]*tblSales[[#This Row],[Unit Price]]</f>
        <v>585000</v>
      </c>
      <c r="L2759" s="5">
        <f>ROUND(tblSales[[#This Row],[DPP (excl. VAT)]]*VATEff,0)</f>
        <v>64350</v>
      </c>
      <c r="M2759" s="5">
        <f>tblSales[[#This Row],[DPP (excl. VAT)]]+tblSales[[#This Row],[Output VAT]]</f>
        <v>649350</v>
      </c>
      <c r="N2759" s="5">
        <f>tblSales[[#This Row],[Qty]]*_xlfn.XLOOKUP(tblSales[[#This Row],[Product Code]],tblProducts[Code],tblProducts[Unit Cost],0)</f>
        <v>333000</v>
      </c>
      <c r="O2759" s="4" t="s">
        <v>4865</v>
      </c>
      <c r="P2759" s="4" t="s">
        <v>4860</v>
      </c>
      <c r="Q2759" s="1" t="str">
        <f>_xlfn.XLOOKUP(tblSales[[#This Row],[Channel Code]],tblChannels[Channel Code],tblChannels[Channel Name],"")</f>
        <v>In-store</v>
      </c>
      <c r="R2759" s="1">
        <f>MONTH(tblSales[[#This Row],[Date]])</f>
        <v>6</v>
      </c>
    </row>
    <row r="2760" spans="2:18" x14ac:dyDescent="0.35">
      <c r="B2760" s="113">
        <v>46188</v>
      </c>
      <c r="C2760" s="4" t="s">
        <v>1848</v>
      </c>
      <c r="D2760" s="4" t="s">
        <v>4568</v>
      </c>
      <c r="E2760" s="1" t="str">
        <f>_xlfn.XLOOKUP(tblSales[[#This Row],[Customer ID]],tblCustomers[Customer ID],tblCustomers[Customer Name],"⚠ Unknown")</f>
        <v>Walk-in Customer</v>
      </c>
      <c r="F2760" s="4" t="s">
        <v>7</v>
      </c>
      <c r="G2760" s="1" t="str">
        <f>_xlfn.XLOOKUP(tblSales[[#This Row],[Product Code]],tblProducts[Code],tblProducts[Product / Service Name],"⚠ Unknown")</f>
        <v>Premium Basic T-shirt</v>
      </c>
      <c r="H2760" s="1" t="str">
        <f>_xlfn.XLOOKUP(tblSales[[#This Row],[Product Code]],tblProducts[Code],tblProducts[Category],"")</f>
        <v>Accessories &amp; Basics</v>
      </c>
      <c r="I2760" s="4">
        <v>7</v>
      </c>
      <c r="J2760" s="5">
        <f>_xlfn.XLOOKUP(tblSales[[#This Row],[Product Code]],tblProducts[Code],tblProducts[Selling Price (excl. VAT)],0)</f>
        <v>65000</v>
      </c>
      <c r="K2760" s="5">
        <f>tblSales[[#This Row],[Qty]]*tblSales[[#This Row],[Unit Price]]</f>
        <v>455000</v>
      </c>
      <c r="L2760" s="5">
        <f>ROUND(tblSales[[#This Row],[DPP (excl. VAT)]]*VATEff,0)</f>
        <v>50050</v>
      </c>
      <c r="M2760" s="5">
        <f>tblSales[[#This Row],[DPP (excl. VAT)]]+tblSales[[#This Row],[Output VAT]]</f>
        <v>505050</v>
      </c>
      <c r="N2760" s="5">
        <f>tblSales[[#This Row],[Qty]]*_xlfn.XLOOKUP(tblSales[[#This Row],[Product Code]],tblProducts[Code],tblProducts[Unit Cost],0)</f>
        <v>259000</v>
      </c>
      <c r="O2760" s="4" t="s">
        <v>4866</v>
      </c>
      <c r="P2760" s="4" t="s">
        <v>4861</v>
      </c>
      <c r="Q2760" s="1" t="str">
        <f>_xlfn.XLOOKUP(tblSales[[#This Row],[Channel Code]],tblChannels[Channel Code],tblChannels[Channel Name],"")</f>
        <v>Marketplace</v>
      </c>
      <c r="R2760" s="1">
        <f>MONTH(tblSales[[#This Row],[Date]])</f>
        <v>6</v>
      </c>
    </row>
    <row r="2761" spans="2:18" x14ac:dyDescent="0.35">
      <c r="B2761" s="113">
        <v>46188</v>
      </c>
      <c r="C2761" s="4" t="s">
        <v>1849</v>
      </c>
      <c r="D2761" s="4" t="s">
        <v>4568</v>
      </c>
      <c r="E2761" s="1" t="str">
        <f>_xlfn.XLOOKUP(tblSales[[#This Row],[Customer ID]],tblCustomers[Customer ID],tblCustomers[Customer Name],"⚠ Unknown")</f>
        <v>Walk-in Customer</v>
      </c>
      <c r="F2761" s="4" t="s">
        <v>9</v>
      </c>
      <c r="G2761" s="1" t="str">
        <f>_xlfn.XLOOKUP(tblSales[[#This Row],[Product Code]],tblProducts[Code],tblProducts[Product / Service Name],"⚠ Unknown")</f>
        <v>Casual Shirt</v>
      </c>
      <c r="H2761" s="1" t="str">
        <f>_xlfn.XLOOKUP(tblSales[[#This Row],[Product Code]],tblProducts[Code],tblProducts[Category],"")</f>
        <v>Apparel &amp; Footwear</v>
      </c>
      <c r="I2761" s="4">
        <v>4</v>
      </c>
      <c r="J2761" s="5">
        <f>_xlfn.XLOOKUP(tblSales[[#This Row],[Product Code]],tblProducts[Code],tblProducts[Selling Price (excl. VAT)],0)</f>
        <v>120000</v>
      </c>
      <c r="K2761" s="5">
        <f>tblSales[[#This Row],[Qty]]*tblSales[[#This Row],[Unit Price]]</f>
        <v>480000</v>
      </c>
      <c r="L2761" s="5">
        <f>ROUND(tblSales[[#This Row],[DPP (excl. VAT)]]*VATEff,0)</f>
        <v>52800</v>
      </c>
      <c r="M2761" s="5">
        <f>tblSales[[#This Row],[DPP (excl. VAT)]]+tblSales[[#This Row],[Output VAT]]</f>
        <v>532800</v>
      </c>
      <c r="N2761" s="5">
        <f>tblSales[[#This Row],[Qty]]*_xlfn.XLOOKUP(tblSales[[#This Row],[Product Code]],tblProducts[Code],tblProducts[Unit Cost],0)</f>
        <v>288000</v>
      </c>
      <c r="O2761" s="4" t="s">
        <v>4865</v>
      </c>
      <c r="P2761" s="4" t="s">
        <v>4860</v>
      </c>
      <c r="Q2761" s="1" t="str">
        <f>_xlfn.XLOOKUP(tblSales[[#This Row],[Channel Code]],tblChannels[Channel Code],tblChannels[Channel Name],"")</f>
        <v>In-store</v>
      </c>
      <c r="R2761" s="1">
        <f>MONTH(tblSales[[#This Row],[Date]])</f>
        <v>6</v>
      </c>
    </row>
    <row r="2762" spans="2:18" x14ac:dyDescent="0.35">
      <c r="B2762" s="113">
        <v>46188</v>
      </c>
      <c r="C2762" s="4" t="s">
        <v>1850</v>
      </c>
      <c r="D2762" s="4" t="s">
        <v>4620</v>
      </c>
      <c r="E2762" s="1" t="str">
        <f>_xlfn.XLOOKUP(tblSales[[#This Row],[Customer ID]],tblCustomers[Customer ID],tblCustomers[Customer Name],"⚠ Unknown")</f>
        <v>CV Sumber Rejeki Utama</v>
      </c>
      <c r="F2762" s="4" t="s">
        <v>12</v>
      </c>
      <c r="G2762" s="1" t="str">
        <f>_xlfn.XLOOKUP(tblSales[[#This Row],[Product Code]],tblProducts[Code],tblProducts[Product / Service Name],"⚠ Unknown")</f>
        <v>Bomber Jacket</v>
      </c>
      <c r="H2762" s="1" t="str">
        <f>_xlfn.XLOOKUP(tblSales[[#This Row],[Product Code]],tblProducts[Code],tblProducts[Category],"")</f>
        <v>Apparel &amp; Footwear</v>
      </c>
      <c r="I2762" s="4">
        <v>8</v>
      </c>
      <c r="J2762" s="5">
        <f>_xlfn.XLOOKUP(tblSales[[#This Row],[Product Code]],tblProducts[Code],tblProducts[Selling Price (excl. VAT)],0)</f>
        <v>350000</v>
      </c>
      <c r="K2762" s="5">
        <f>tblSales[[#This Row],[Qty]]*tblSales[[#This Row],[Unit Price]]</f>
        <v>2800000</v>
      </c>
      <c r="L2762" s="5">
        <f>ROUND(tblSales[[#This Row],[DPP (excl. VAT)]]*VATEff,0)</f>
        <v>308000</v>
      </c>
      <c r="M2762" s="5">
        <f>tblSales[[#This Row],[DPP (excl. VAT)]]+tblSales[[#This Row],[Output VAT]]</f>
        <v>3108000</v>
      </c>
      <c r="N2762" s="5">
        <f>tblSales[[#This Row],[Qty]]*_xlfn.XLOOKUP(tblSales[[#This Row],[Product Code]],tblProducts[Code],tblProducts[Unit Cost],0)</f>
        <v>1680000</v>
      </c>
      <c r="O2762" s="4" t="s">
        <v>4867</v>
      </c>
      <c r="P2762" s="4" t="s">
        <v>4860</v>
      </c>
      <c r="Q2762" s="1" t="str">
        <f>_xlfn.XLOOKUP(tblSales[[#This Row],[Channel Code]],tblChannels[Channel Code],tblChannels[Channel Name],"")</f>
        <v>In-store</v>
      </c>
      <c r="R2762" s="1">
        <f>MONTH(tblSales[[#This Row],[Date]])</f>
        <v>6</v>
      </c>
    </row>
    <row r="2763" spans="2:18" x14ac:dyDescent="0.35">
      <c r="B2763" s="113">
        <v>46188</v>
      </c>
      <c r="C2763" s="4" t="s">
        <v>1851</v>
      </c>
      <c r="D2763" s="4" t="s">
        <v>4627</v>
      </c>
      <c r="E2763" s="1" t="str">
        <f>_xlfn.XLOOKUP(tblSales[[#This Row],[Customer ID]],tblCustomers[Customer ID],tblCustomers[Customer Name],"⚠ Unknown")</f>
        <v>PT Kencana Wira Usaha</v>
      </c>
      <c r="F2763" s="4" t="s">
        <v>6</v>
      </c>
      <c r="G2763" s="1" t="str">
        <f>_xlfn.XLOOKUP(tblSales[[#This Row],[Product Code]],tblProducts[Code],tblProducts[Product / Service Name],"⚠ Unknown")</f>
        <v>Socks &amp; Accessories</v>
      </c>
      <c r="H2763" s="1" t="str">
        <f>_xlfn.XLOOKUP(tblSales[[#This Row],[Product Code]],tblProducts[Code],tblProducts[Category],"")</f>
        <v>Accessories &amp; Basics</v>
      </c>
      <c r="I2763" s="4">
        <v>8</v>
      </c>
      <c r="J2763" s="5">
        <f>_xlfn.XLOOKUP(tblSales[[#This Row],[Product Code]],tblProducts[Code],tblProducts[Selling Price (excl. VAT)],0)</f>
        <v>45000</v>
      </c>
      <c r="K2763" s="5">
        <f>tblSales[[#This Row],[Qty]]*tblSales[[#This Row],[Unit Price]]</f>
        <v>360000</v>
      </c>
      <c r="L2763" s="5">
        <f>ROUND(tblSales[[#This Row],[DPP (excl. VAT)]]*VATEff,0)</f>
        <v>39600</v>
      </c>
      <c r="M2763" s="5">
        <f>tblSales[[#This Row],[DPP (excl. VAT)]]+tblSales[[#This Row],[Output VAT]]</f>
        <v>399600</v>
      </c>
      <c r="N2763" s="5">
        <f>tblSales[[#This Row],[Qty]]*_xlfn.XLOOKUP(tblSales[[#This Row],[Product Code]],tblProducts[Code],tblProducts[Unit Cost],0)</f>
        <v>192000</v>
      </c>
      <c r="O2763" s="4" t="s">
        <v>4867</v>
      </c>
      <c r="P2763" s="4" t="s">
        <v>4860</v>
      </c>
      <c r="Q2763" s="1" t="str">
        <f>_xlfn.XLOOKUP(tblSales[[#This Row],[Channel Code]],tblChannels[Channel Code],tblChannels[Channel Name],"")</f>
        <v>In-store</v>
      </c>
      <c r="R2763" s="1">
        <f>MONTH(tblSales[[#This Row],[Date]])</f>
        <v>6</v>
      </c>
    </row>
    <row r="2764" spans="2:18" x14ac:dyDescent="0.35">
      <c r="B2764" s="113">
        <v>46188</v>
      </c>
      <c r="C2764" s="4" t="s">
        <v>1852</v>
      </c>
      <c r="D2764" s="4" t="s">
        <v>4568</v>
      </c>
      <c r="E2764" s="1" t="str">
        <f>_xlfn.XLOOKUP(tblSales[[#This Row],[Customer ID]],tblCustomers[Customer ID],tblCustomers[Customer Name],"⚠ Unknown")</f>
        <v>Walk-in Customer</v>
      </c>
      <c r="F2764" s="4" t="s">
        <v>11</v>
      </c>
      <c r="G2764" s="1" t="str">
        <f>_xlfn.XLOOKUP(tblSales[[#This Row],[Product Code]],tblProducts[Code],tblProducts[Product / Service Name],"⚠ Unknown")</f>
        <v>Sneakers</v>
      </c>
      <c r="H2764" s="1" t="str">
        <f>_xlfn.XLOOKUP(tblSales[[#This Row],[Product Code]],tblProducts[Code],tblProducts[Category],"")</f>
        <v>Apparel &amp; Footwear</v>
      </c>
      <c r="I2764" s="4">
        <v>6</v>
      </c>
      <c r="J2764" s="5">
        <f>_xlfn.XLOOKUP(tblSales[[#This Row],[Product Code]],tblProducts[Code],tblProducts[Selling Price (excl. VAT)],0)</f>
        <v>250000</v>
      </c>
      <c r="K2764" s="5">
        <f>tblSales[[#This Row],[Qty]]*tblSales[[#This Row],[Unit Price]]</f>
        <v>1500000</v>
      </c>
      <c r="L2764" s="5">
        <f>ROUND(tblSales[[#This Row],[DPP (excl. VAT)]]*VATEff,0)</f>
        <v>165000</v>
      </c>
      <c r="M2764" s="5">
        <f>tblSales[[#This Row],[DPP (excl. VAT)]]+tblSales[[#This Row],[Output VAT]]</f>
        <v>1665000</v>
      </c>
      <c r="N2764" s="5">
        <f>tblSales[[#This Row],[Qty]]*_xlfn.XLOOKUP(tblSales[[#This Row],[Product Code]],tblProducts[Code],tblProducts[Unit Cost],0)</f>
        <v>930000</v>
      </c>
      <c r="O2764" s="4" t="s">
        <v>4865</v>
      </c>
      <c r="P2764" s="4" t="s">
        <v>4860</v>
      </c>
      <c r="Q2764" s="1" t="str">
        <f>_xlfn.XLOOKUP(tblSales[[#This Row],[Channel Code]],tblChannels[Channel Code],tblChannels[Channel Name],"")</f>
        <v>In-store</v>
      </c>
      <c r="R2764" s="1">
        <f>MONTH(tblSales[[#This Row],[Date]])</f>
        <v>6</v>
      </c>
    </row>
    <row r="2765" spans="2:18" x14ac:dyDescent="0.35">
      <c r="B2765" s="113">
        <v>46188</v>
      </c>
      <c r="C2765" s="4" t="s">
        <v>1852</v>
      </c>
      <c r="D2765" s="4" t="s">
        <v>4568</v>
      </c>
      <c r="E2765" s="1" t="str">
        <f>_xlfn.XLOOKUP(tblSales[[#This Row],[Customer ID]],tblCustomers[Customer ID],tblCustomers[Customer Name],"⚠ Unknown")</f>
        <v>Walk-in Customer</v>
      </c>
      <c r="F2765" s="4" t="s">
        <v>8</v>
      </c>
      <c r="G2765" s="1" t="str">
        <f>_xlfn.XLOOKUP(tblSales[[#This Row],[Product Code]],tblProducts[Code],tblProducts[Product / Service Name],"⚠ Unknown")</f>
        <v>Casual Shorts</v>
      </c>
      <c r="H2765" s="1" t="str">
        <f>_xlfn.XLOOKUP(tblSales[[#This Row],[Product Code]],tblProducts[Code],tblProducts[Category],"")</f>
        <v>Accessories &amp; Basics</v>
      </c>
      <c r="I2765" s="4">
        <v>4</v>
      </c>
      <c r="J2765" s="5">
        <f>_xlfn.XLOOKUP(tblSales[[#This Row],[Product Code]],tblProducts[Code],tblProducts[Selling Price (excl. VAT)],0)</f>
        <v>85000</v>
      </c>
      <c r="K2765" s="5">
        <f>tblSales[[#This Row],[Qty]]*tblSales[[#This Row],[Unit Price]]</f>
        <v>340000</v>
      </c>
      <c r="L2765" s="5">
        <f>ROUND(tblSales[[#This Row],[DPP (excl. VAT)]]*VATEff,0)</f>
        <v>37400</v>
      </c>
      <c r="M2765" s="5">
        <f>tblSales[[#This Row],[DPP (excl. VAT)]]+tblSales[[#This Row],[Output VAT]]</f>
        <v>377400</v>
      </c>
      <c r="N2765" s="5">
        <f>tblSales[[#This Row],[Qty]]*_xlfn.XLOOKUP(tblSales[[#This Row],[Product Code]],tblProducts[Code],tblProducts[Unit Cost],0)</f>
        <v>200000</v>
      </c>
      <c r="O2765" s="4" t="s">
        <v>4865</v>
      </c>
      <c r="P2765" s="4" t="s">
        <v>4860</v>
      </c>
      <c r="Q2765" s="1" t="str">
        <f>_xlfn.XLOOKUP(tblSales[[#This Row],[Channel Code]],tblChannels[Channel Code],tblChannels[Channel Name],"")</f>
        <v>In-store</v>
      </c>
      <c r="R2765" s="1">
        <f>MONTH(tblSales[[#This Row],[Date]])</f>
        <v>6</v>
      </c>
    </row>
    <row r="2766" spans="2:18" x14ac:dyDescent="0.35">
      <c r="B2766" s="113">
        <v>46188</v>
      </c>
      <c r="C2766" s="4" t="s">
        <v>1853</v>
      </c>
      <c r="D2766" s="4" t="s">
        <v>4568</v>
      </c>
      <c r="E2766" s="1" t="str">
        <f>_xlfn.XLOOKUP(tblSales[[#This Row],[Customer ID]],tblCustomers[Customer ID],tblCustomers[Customer Name],"⚠ Unknown")</f>
        <v>Walk-in Customer</v>
      </c>
      <c r="F2766" s="4" t="s">
        <v>6</v>
      </c>
      <c r="G2766" s="1" t="str">
        <f>_xlfn.XLOOKUP(tblSales[[#This Row],[Product Code]],tblProducts[Code],tblProducts[Product / Service Name],"⚠ Unknown")</f>
        <v>Socks &amp; Accessories</v>
      </c>
      <c r="H2766" s="1" t="str">
        <f>_xlfn.XLOOKUP(tblSales[[#This Row],[Product Code]],tblProducts[Code],tblProducts[Category],"")</f>
        <v>Accessories &amp; Basics</v>
      </c>
      <c r="I2766" s="4">
        <v>12</v>
      </c>
      <c r="J2766" s="5">
        <f>_xlfn.XLOOKUP(tblSales[[#This Row],[Product Code]],tblProducts[Code],tblProducts[Selling Price (excl. VAT)],0)</f>
        <v>45000</v>
      </c>
      <c r="K2766" s="5">
        <f>tblSales[[#This Row],[Qty]]*tblSales[[#This Row],[Unit Price]]</f>
        <v>540000</v>
      </c>
      <c r="L2766" s="5">
        <f>ROUND(tblSales[[#This Row],[DPP (excl. VAT)]]*VATEff,0)</f>
        <v>59400</v>
      </c>
      <c r="M2766" s="5">
        <f>tblSales[[#This Row],[DPP (excl. VAT)]]+tblSales[[#This Row],[Output VAT]]</f>
        <v>599400</v>
      </c>
      <c r="N2766" s="5">
        <f>tblSales[[#This Row],[Qty]]*_xlfn.XLOOKUP(tblSales[[#This Row],[Product Code]],tblProducts[Code],tblProducts[Unit Cost],0)</f>
        <v>288000</v>
      </c>
      <c r="O2766" s="4" t="s">
        <v>4865</v>
      </c>
      <c r="P2766" s="4" t="s">
        <v>4860</v>
      </c>
      <c r="Q2766" s="1" t="str">
        <f>_xlfn.XLOOKUP(tblSales[[#This Row],[Channel Code]],tblChannels[Channel Code],tblChannels[Channel Name],"")</f>
        <v>In-store</v>
      </c>
      <c r="R2766" s="1">
        <f>MONTH(tblSales[[#This Row],[Date]])</f>
        <v>6</v>
      </c>
    </row>
    <row r="2767" spans="2:18" x14ac:dyDescent="0.35">
      <c r="B2767" s="113">
        <v>46188</v>
      </c>
      <c r="C2767" s="4" t="s">
        <v>1854</v>
      </c>
      <c r="D2767" s="4" t="s">
        <v>4568</v>
      </c>
      <c r="E2767" s="1" t="str">
        <f>_xlfn.XLOOKUP(tblSales[[#This Row],[Customer ID]],tblCustomers[Customer ID],tblCustomers[Customer Name],"⚠ Unknown")</f>
        <v>Walk-in Customer</v>
      </c>
      <c r="F2767" s="4" t="s">
        <v>7</v>
      </c>
      <c r="G2767" s="1" t="str">
        <f>_xlfn.XLOOKUP(tblSales[[#This Row],[Product Code]],tblProducts[Code],tblProducts[Product / Service Name],"⚠ Unknown")</f>
        <v>Premium Basic T-shirt</v>
      </c>
      <c r="H2767" s="1" t="str">
        <f>_xlfn.XLOOKUP(tblSales[[#This Row],[Product Code]],tblProducts[Code],tblProducts[Category],"")</f>
        <v>Accessories &amp; Basics</v>
      </c>
      <c r="I2767" s="4">
        <v>7</v>
      </c>
      <c r="J2767" s="5">
        <f>_xlfn.XLOOKUP(tblSales[[#This Row],[Product Code]],tblProducts[Code],tblProducts[Selling Price (excl. VAT)],0)</f>
        <v>65000</v>
      </c>
      <c r="K2767" s="5">
        <f>tblSales[[#This Row],[Qty]]*tblSales[[#This Row],[Unit Price]]</f>
        <v>455000</v>
      </c>
      <c r="L2767" s="5">
        <f>ROUND(tblSales[[#This Row],[DPP (excl. VAT)]]*VATEff,0)</f>
        <v>50050</v>
      </c>
      <c r="M2767" s="5">
        <f>tblSales[[#This Row],[DPP (excl. VAT)]]+tblSales[[#This Row],[Output VAT]]</f>
        <v>505050</v>
      </c>
      <c r="N2767" s="5">
        <f>tblSales[[#This Row],[Qty]]*_xlfn.XLOOKUP(tblSales[[#This Row],[Product Code]],tblProducts[Code],tblProducts[Unit Cost],0)</f>
        <v>259000</v>
      </c>
      <c r="O2767" s="4" t="s">
        <v>4866</v>
      </c>
      <c r="P2767" s="4" t="s">
        <v>4862</v>
      </c>
      <c r="Q2767" s="1" t="str">
        <f>_xlfn.XLOOKUP(tblSales[[#This Row],[Channel Code]],tblChannels[Channel Code],tblChannels[Channel Name],"")</f>
        <v>Website &amp; Social Media</v>
      </c>
      <c r="R2767" s="1">
        <f>MONTH(tblSales[[#This Row],[Date]])</f>
        <v>6</v>
      </c>
    </row>
    <row r="2768" spans="2:18" x14ac:dyDescent="0.35">
      <c r="B2768" s="113">
        <v>46188</v>
      </c>
      <c r="C2768" s="4" t="s">
        <v>1854</v>
      </c>
      <c r="D2768" s="4" t="s">
        <v>4568</v>
      </c>
      <c r="E2768" s="1" t="str">
        <f>_xlfn.XLOOKUP(tblSales[[#This Row],[Customer ID]],tblCustomers[Customer ID],tblCustomers[Customer Name],"⚠ Unknown")</f>
        <v>Walk-in Customer</v>
      </c>
      <c r="F2768" s="4" t="s">
        <v>6</v>
      </c>
      <c r="G2768" s="1" t="str">
        <f>_xlfn.XLOOKUP(tblSales[[#This Row],[Product Code]],tblProducts[Code],tblProducts[Product / Service Name],"⚠ Unknown")</f>
        <v>Socks &amp; Accessories</v>
      </c>
      <c r="H2768" s="1" t="str">
        <f>_xlfn.XLOOKUP(tblSales[[#This Row],[Product Code]],tblProducts[Code],tblProducts[Category],"")</f>
        <v>Accessories &amp; Basics</v>
      </c>
      <c r="I2768" s="4">
        <v>3</v>
      </c>
      <c r="J2768" s="5">
        <f>_xlfn.XLOOKUP(tblSales[[#This Row],[Product Code]],tblProducts[Code],tblProducts[Selling Price (excl. VAT)],0)</f>
        <v>45000</v>
      </c>
      <c r="K2768" s="5">
        <f>tblSales[[#This Row],[Qty]]*tblSales[[#This Row],[Unit Price]]</f>
        <v>135000</v>
      </c>
      <c r="L2768" s="5">
        <f>ROUND(tblSales[[#This Row],[DPP (excl. VAT)]]*VATEff,0)</f>
        <v>14850</v>
      </c>
      <c r="M2768" s="5">
        <f>tblSales[[#This Row],[DPP (excl. VAT)]]+tblSales[[#This Row],[Output VAT]]</f>
        <v>149850</v>
      </c>
      <c r="N2768" s="5">
        <f>tblSales[[#This Row],[Qty]]*_xlfn.XLOOKUP(tblSales[[#This Row],[Product Code]],tblProducts[Code],tblProducts[Unit Cost],0)</f>
        <v>72000</v>
      </c>
      <c r="O2768" s="4" t="s">
        <v>4866</v>
      </c>
      <c r="P2768" s="4" t="s">
        <v>4862</v>
      </c>
      <c r="Q2768" s="1" t="str">
        <f>_xlfn.XLOOKUP(tblSales[[#This Row],[Channel Code]],tblChannels[Channel Code],tblChannels[Channel Name],"")</f>
        <v>Website &amp; Social Media</v>
      </c>
      <c r="R2768" s="1">
        <f>MONTH(tblSales[[#This Row],[Date]])</f>
        <v>6</v>
      </c>
    </row>
    <row r="2769" spans="2:18" x14ac:dyDescent="0.35">
      <c r="B2769" s="113">
        <v>46189</v>
      </c>
      <c r="C2769" s="4" t="s">
        <v>1855</v>
      </c>
      <c r="D2769" s="4" t="s">
        <v>4568</v>
      </c>
      <c r="E2769" s="1" t="str">
        <f>_xlfn.XLOOKUP(tblSales[[#This Row],[Customer ID]],tblCustomers[Customer ID],tblCustomers[Customer Name],"⚠ Unknown")</f>
        <v>Walk-in Customer</v>
      </c>
      <c r="F2769" s="4" t="s">
        <v>14</v>
      </c>
      <c r="G2769" s="1" t="str">
        <f>_xlfn.XLOOKUP(tblSales[[#This Row],[Product Code]],tblProducts[Code],tblProducts[Product / Service Name],"⚠ Unknown")</f>
        <v>Smartwatch</v>
      </c>
      <c r="H2769" s="1" t="str">
        <f>_xlfn.XLOOKUP(tblSales[[#This Row],[Product Code]],tblProducts[Code],tblProducts[Category],"")</f>
        <v>Bags &amp; Gadgets</v>
      </c>
      <c r="I2769" s="4">
        <v>1</v>
      </c>
      <c r="J2769" s="5">
        <f>_xlfn.XLOOKUP(tblSales[[#This Row],[Product Code]],tblProducts[Code],tblProducts[Selling Price (excl. VAT)],0)</f>
        <v>850000</v>
      </c>
      <c r="K2769" s="5">
        <f>tblSales[[#This Row],[Qty]]*tblSales[[#This Row],[Unit Price]]</f>
        <v>850000</v>
      </c>
      <c r="L2769" s="5">
        <f>ROUND(tblSales[[#This Row],[DPP (excl. VAT)]]*VATEff,0)</f>
        <v>93500</v>
      </c>
      <c r="M2769" s="5">
        <f>tblSales[[#This Row],[DPP (excl. VAT)]]+tblSales[[#This Row],[Output VAT]]</f>
        <v>943500</v>
      </c>
      <c r="N2769" s="5">
        <f>tblSales[[#This Row],[Qty]]*_xlfn.XLOOKUP(tblSales[[#This Row],[Product Code]],tblProducts[Code],tblProducts[Unit Cost],0)</f>
        <v>560000</v>
      </c>
      <c r="O2769" s="4" t="s">
        <v>4866</v>
      </c>
      <c r="P2769" s="4" t="s">
        <v>4860</v>
      </c>
      <c r="Q2769" s="1" t="str">
        <f>_xlfn.XLOOKUP(tblSales[[#This Row],[Channel Code]],tblChannels[Channel Code],tblChannels[Channel Name],"")</f>
        <v>In-store</v>
      </c>
      <c r="R2769" s="1">
        <f>MONTH(tblSales[[#This Row],[Date]])</f>
        <v>6</v>
      </c>
    </row>
    <row r="2770" spans="2:18" x14ac:dyDescent="0.35">
      <c r="B2770" s="113">
        <v>46189</v>
      </c>
      <c r="C2770" s="4" t="s">
        <v>1855</v>
      </c>
      <c r="D2770" s="4" t="s">
        <v>4568</v>
      </c>
      <c r="E2770" s="1" t="str">
        <f>_xlfn.XLOOKUP(tblSales[[#This Row],[Customer ID]],tblCustomers[Customer ID],tblCustomers[Customer Name],"⚠ Unknown")</f>
        <v>Walk-in Customer</v>
      </c>
      <c r="F2770" s="4" t="s">
        <v>6</v>
      </c>
      <c r="G2770" s="1" t="str">
        <f>_xlfn.XLOOKUP(tblSales[[#This Row],[Product Code]],tblProducts[Code],tblProducts[Product / Service Name],"⚠ Unknown")</f>
        <v>Socks &amp; Accessories</v>
      </c>
      <c r="H2770" s="1" t="str">
        <f>_xlfn.XLOOKUP(tblSales[[#This Row],[Product Code]],tblProducts[Code],tblProducts[Category],"")</f>
        <v>Accessories &amp; Basics</v>
      </c>
      <c r="I2770" s="4">
        <v>10</v>
      </c>
      <c r="J2770" s="5">
        <f>_xlfn.XLOOKUP(tblSales[[#This Row],[Product Code]],tblProducts[Code],tblProducts[Selling Price (excl. VAT)],0)</f>
        <v>45000</v>
      </c>
      <c r="K2770" s="5">
        <f>tblSales[[#This Row],[Qty]]*tblSales[[#This Row],[Unit Price]]</f>
        <v>450000</v>
      </c>
      <c r="L2770" s="5">
        <f>ROUND(tblSales[[#This Row],[DPP (excl. VAT)]]*VATEff,0)</f>
        <v>49500</v>
      </c>
      <c r="M2770" s="5">
        <f>tblSales[[#This Row],[DPP (excl. VAT)]]+tblSales[[#This Row],[Output VAT]]</f>
        <v>499500</v>
      </c>
      <c r="N2770" s="5">
        <f>tblSales[[#This Row],[Qty]]*_xlfn.XLOOKUP(tblSales[[#This Row],[Product Code]],tblProducts[Code],tblProducts[Unit Cost],0)</f>
        <v>240000</v>
      </c>
      <c r="O2770" s="4" t="s">
        <v>4866</v>
      </c>
      <c r="P2770" s="4" t="s">
        <v>4860</v>
      </c>
      <c r="Q2770" s="1" t="str">
        <f>_xlfn.XLOOKUP(tblSales[[#This Row],[Channel Code]],tblChannels[Channel Code],tblChannels[Channel Name],"")</f>
        <v>In-store</v>
      </c>
      <c r="R2770" s="1">
        <f>MONTH(tblSales[[#This Row],[Date]])</f>
        <v>6</v>
      </c>
    </row>
    <row r="2771" spans="2:18" x14ac:dyDescent="0.35">
      <c r="B2771" s="113">
        <v>46189</v>
      </c>
      <c r="C2771" s="4" t="s">
        <v>1855</v>
      </c>
      <c r="D2771" s="4" t="s">
        <v>4568</v>
      </c>
      <c r="E2771" s="1" t="str">
        <f>_xlfn.XLOOKUP(tblSales[[#This Row],[Customer ID]],tblCustomers[Customer ID],tblCustomers[Customer Name],"⚠ Unknown")</f>
        <v>Walk-in Customer</v>
      </c>
      <c r="F2771" s="4" t="s">
        <v>12</v>
      </c>
      <c r="G2771" s="1" t="str">
        <f>_xlfn.XLOOKUP(tblSales[[#This Row],[Product Code]],tblProducts[Code],tblProducts[Product / Service Name],"⚠ Unknown")</f>
        <v>Bomber Jacket</v>
      </c>
      <c r="H2771" s="1" t="str">
        <f>_xlfn.XLOOKUP(tblSales[[#This Row],[Product Code]],tblProducts[Code],tblProducts[Category],"")</f>
        <v>Apparel &amp; Footwear</v>
      </c>
      <c r="I2771" s="4">
        <v>3</v>
      </c>
      <c r="J2771" s="5">
        <f>_xlfn.XLOOKUP(tblSales[[#This Row],[Product Code]],tblProducts[Code],tblProducts[Selling Price (excl. VAT)],0)</f>
        <v>350000</v>
      </c>
      <c r="K2771" s="5">
        <f>tblSales[[#This Row],[Qty]]*tblSales[[#This Row],[Unit Price]]</f>
        <v>1050000</v>
      </c>
      <c r="L2771" s="5">
        <f>ROUND(tblSales[[#This Row],[DPP (excl. VAT)]]*VATEff,0)</f>
        <v>115500</v>
      </c>
      <c r="M2771" s="5">
        <f>tblSales[[#This Row],[DPP (excl. VAT)]]+tblSales[[#This Row],[Output VAT]]</f>
        <v>1165500</v>
      </c>
      <c r="N2771" s="5">
        <f>tblSales[[#This Row],[Qty]]*_xlfn.XLOOKUP(tblSales[[#This Row],[Product Code]],tblProducts[Code],tblProducts[Unit Cost],0)</f>
        <v>630000</v>
      </c>
      <c r="O2771" s="4" t="s">
        <v>4866</v>
      </c>
      <c r="P2771" s="4" t="s">
        <v>4860</v>
      </c>
      <c r="Q2771" s="1" t="str">
        <f>_xlfn.XLOOKUP(tblSales[[#This Row],[Channel Code]],tblChannels[Channel Code],tblChannels[Channel Name],"")</f>
        <v>In-store</v>
      </c>
      <c r="R2771" s="1">
        <f>MONTH(tblSales[[#This Row],[Date]])</f>
        <v>6</v>
      </c>
    </row>
    <row r="2772" spans="2:18" x14ac:dyDescent="0.35">
      <c r="B2772" s="113">
        <v>46189</v>
      </c>
      <c r="C2772" s="4" t="s">
        <v>1856</v>
      </c>
      <c r="D2772" s="4" t="s">
        <v>4627</v>
      </c>
      <c r="E2772" s="1" t="str">
        <f>_xlfn.XLOOKUP(tblSales[[#This Row],[Customer ID]],tblCustomers[Customer ID],tblCustomers[Customer Name],"⚠ Unknown")</f>
        <v>PT Kencana Wira Usaha</v>
      </c>
      <c r="F2772" s="4" t="s">
        <v>7</v>
      </c>
      <c r="G2772" s="1" t="str">
        <f>_xlfn.XLOOKUP(tblSales[[#This Row],[Product Code]],tblProducts[Code],tblProducts[Product / Service Name],"⚠ Unknown")</f>
        <v>Premium Basic T-shirt</v>
      </c>
      <c r="H2772" s="1" t="str">
        <f>_xlfn.XLOOKUP(tblSales[[#This Row],[Product Code]],tblProducts[Code],tblProducts[Category],"")</f>
        <v>Accessories &amp; Basics</v>
      </c>
      <c r="I2772" s="4">
        <v>64</v>
      </c>
      <c r="J2772" s="5">
        <f>_xlfn.XLOOKUP(tblSales[[#This Row],[Product Code]],tblProducts[Code],tblProducts[Selling Price (excl. VAT)],0)</f>
        <v>65000</v>
      </c>
      <c r="K2772" s="5">
        <f>tblSales[[#This Row],[Qty]]*tblSales[[#This Row],[Unit Price]]</f>
        <v>4160000</v>
      </c>
      <c r="L2772" s="5">
        <f>ROUND(tblSales[[#This Row],[DPP (excl. VAT)]]*VATEff,0)</f>
        <v>457600</v>
      </c>
      <c r="M2772" s="5">
        <f>tblSales[[#This Row],[DPP (excl. VAT)]]+tblSales[[#This Row],[Output VAT]]</f>
        <v>4617600</v>
      </c>
      <c r="N2772" s="5">
        <f>tblSales[[#This Row],[Qty]]*_xlfn.XLOOKUP(tblSales[[#This Row],[Product Code]],tblProducts[Code],tblProducts[Unit Cost],0)</f>
        <v>2368000</v>
      </c>
      <c r="O2772" s="4" t="s">
        <v>4867</v>
      </c>
      <c r="P2772" s="4" t="s">
        <v>4860</v>
      </c>
      <c r="Q2772" s="1" t="str">
        <f>_xlfn.XLOOKUP(tblSales[[#This Row],[Channel Code]],tblChannels[Channel Code],tblChannels[Channel Name],"")</f>
        <v>In-store</v>
      </c>
      <c r="R2772" s="1">
        <f>MONTH(tblSales[[#This Row],[Date]])</f>
        <v>6</v>
      </c>
    </row>
    <row r="2773" spans="2:18" x14ac:dyDescent="0.35">
      <c r="B2773" s="113">
        <v>46189</v>
      </c>
      <c r="C2773" s="4" t="s">
        <v>1857</v>
      </c>
      <c r="D2773" s="4" t="s">
        <v>4568</v>
      </c>
      <c r="E2773" s="1" t="str">
        <f>_xlfn.XLOOKUP(tblSales[[#This Row],[Customer ID]],tblCustomers[Customer ID],tblCustomers[Customer Name],"⚠ Unknown")</f>
        <v>Walk-in Customer</v>
      </c>
      <c r="F2773" s="4" t="s">
        <v>6</v>
      </c>
      <c r="G2773" s="1" t="str">
        <f>_xlfn.XLOOKUP(tblSales[[#This Row],[Product Code]],tblProducts[Code],tblProducts[Product / Service Name],"⚠ Unknown")</f>
        <v>Socks &amp; Accessories</v>
      </c>
      <c r="H2773" s="1" t="str">
        <f>_xlfn.XLOOKUP(tblSales[[#This Row],[Product Code]],tblProducts[Code],tblProducts[Category],"")</f>
        <v>Accessories &amp; Basics</v>
      </c>
      <c r="I2773" s="4">
        <v>7</v>
      </c>
      <c r="J2773" s="5">
        <f>_xlfn.XLOOKUP(tblSales[[#This Row],[Product Code]],tblProducts[Code],tblProducts[Selling Price (excl. VAT)],0)</f>
        <v>45000</v>
      </c>
      <c r="K2773" s="5">
        <f>tblSales[[#This Row],[Qty]]*tblSales[[#This Row],[Unit Price]]</f>
        <v>315000</v>
      </c>
      <c r="L2773" s="5">
        <f>ROUND(tblSales[[#This Row],[DPP (excl. VAT)]]*VATEff,0)</f>
        <v>34650</v>
      </c>
      <c r="M2773" s="5">
        <f>tblSales[[#This Row],[DPP (excl. VAT)]]+tblSales[[#This Row],[Output VAT]]</f>
        <v>349650</v>
      </c>
      <c r="N2773" s="5">
        <f>tblSales[[#This Row],[Qty]]*_xlfn.XLOOKUP(tblSales[[#This Row],[Product Code]],tblProducts[Code],tblProducts[Unit Cost],0)</f>
        <v>168000</v>
      </c>
      <c r="O2773" s="4" t="s">
        <v>4865</v>
      </c>
      <c r="P2773" s="4" t="s">
        <v>4860</v>
      </c>
      <c r="Q2773" s="1" t="str">
        <f>_xlfn.XLOOKUP(tblSales[[#This Row],[Channel Code]],tblChannels[Channel Code],tblChannels[Channel Name],"")</f>
        <v>In-store</v>
      </c>
      <c r="R2773" s="1">
        <f>MONTH(tblSales[[#This Row],[Date]])</f>
        <v>6</v>
      </c>
    </row>
    <row r="2774" spans="2:18" x14ac:dyDescent="0.35">
      <c r="B2774" s="113">
        <v>46189</v>
      </c>
      <c r="C2774" s="4" t="s">
        <v>1857</v>
      </c>
      <c r="D2774" s="4" t="s">
        <v>4568</v>
      </c>
      <c r="E2774" s="1" t="str">
        <f>_xlfn.XLOOKUP(tblSales[[#This Row],[Customer ID]],tblCustomers[Customer ID],tblCustomers[Customer Name],"⚠ Unknown")</f>
        <v>Walk-in Customer</v>
      </c>
      <c r="F2774" s="4" t="s">
        <v>13</v>
      </c>
      <c r="G2774" s="1" t="str">
        <f>_xlfn.XLOOKUP(tblSales[[#This Row],[Product Code]],tblProducts[Code],tblProducts[Product / Service Name],"⚠ Unknown")</f>
        <v>Backpack</v>
      </c>
      <c r="H2774" s="1" t="str">
        <f>_xlfn.XLOOKUP(tblSales[[#This Row],[Product Code]],tblProducts[Code],tblProducts[Category],"")</f>
        <v>Bags &amp; Gadgets</v>
      </c>
      <c r="I2774" s="4">
        <v>2</v>
      </c>
      <c r="J2774" s="5">
        <f>_xlfn.XLOOKUP(tblSales[[#This Row],[Product Code]],tblProducts[Code],tblProducts[Selling Price (excl. VAT)],0)</f>
        <v>500000</v>
      </c>
      <c r="K2774" s="5">
        <f>tblSales[[#This Row],[Qty]]*tblSales[[#This Row],[Unit Price]]</f>
        <v>1000000</v>
      </c>
      <c r="L2774" s="5">
        <f>ROUND(tblSales[[#This Row],[DPP (excl. VAT)]]*VATEff,0)</f>
        <v>110000</v>
      </c>
      <c r="M2774" s="5">
        <f>tblSales[[#This Row],[DPP (excl. VAT)]]+tblSales[[#This Row],[Output VAT]]</f>
        <v>1110000</v>
      </c>
      <c r="N2774" s="5">
        <f>tblSales[[#This Row],[Qty]]*_xlfn.XLOOKUP(tblSales[[#This Row],[Product Code]],tblProducts[Code],tblProducts[Unit Cost],0)</f>
        <v>580000</v>
      </c>
      <c r="O2774" s="4" t="s">
        <v>4865</v>
      </c>
      <c r="P2774" s="4" t="s">
        <v>4860</v>
      </c>
      <c r="Q2774" s="1" t="str">
        <f>_xlfn.XLOOKUP(tblSales[[#This Row],[Channel Code]],tblChannels[Channel Code],tblChannels[Channel Name],"")</f>
        <v>In-store</v>
      </c>
      <c r="R2774" s="1">
        <f>MONTH(tblSales[[#This Row],[Date]])</f>
        <v>6</v>
      </c>
    </row>
    <row r="2775" spans="2:18" x14ac:dyDescent="0.35">
      <c r="B2775" s="113">
        <v>46189</v>
      </c>
      <c r="C2775" s="4" t="s">
        <v>1858</v>
      </c>
      <c r="D2775" s="4" t="s">
        <v>4568</v>
      </c>
      <c r="E2775" s="1" t="str">
        <f>_xlfn.XLOOKUP(tblSales[[#This Row],[Customer ID]],tblCustomers[Customer ID],tblCustomers[Customer Name],"⚠ Unknown")</f>
        <v>Walk-in Customer</v>
      </c>
      <c r="F2775" s="4" t="s">
        <v>6</v>
      </c>
      <c r="G2775" s="1" t="str">
        <f>_xlfn.XLOOKUP(tblSales[[#This Row],[Product Code]],tblProducts[Code],tblProducts[Product / Service Name],"⚠ Unknown")</f>
        <v>Socks &amp; Accessories</v>
      </c>
      <c r="H2775" s="1" t="str">
        <f>_xlfn.XLOOKUP(tblSales[[#This Row],[Product Code]],tblProducts[Code],tblProducts[Category],"")</f>
        <v>Accessories &amp; Basics</v>
      </c>
      <c r="I2775" s="4">
        <v>7</v>
      </c>
      <c r="J2775" s="5">
        <f>_xlfn.XLOOKUP(tblSales[[#This Row],[Product Code]],tblProducts[Code],tblProducts[Selling Price (excl. VAT)],0)</f>
        <v>45000</v>
      </c>
      <c r="K2775" s="5">
        <f>tblSales[[#This Row],[Qty]]*tblSales[[#This Row],[Unit Price]]</f>
        <v>315000</v>
      </c>
      <c r="L2775" s="5">
        <f>ROUND(tblSales[[#This Row],[DPP (excl. VAT)]]*VATEff,0)</f>
        <v>34650</v>
      </c>
      <c r="M2775" s="5">
        <f>tblSales[[#This Row],[DPP (excl. VAT)]]+tblSales[[#This Row],[Output VAT]]</f>
        <v>349650</v>
      </c>
      <c r="N2775" s="5">
        <f>tblSales[[#This Row],[Qty]]*_xlfn.XLOOKUP(tblSales[[#This Row],[Product Code]],tblProducts[Code],tblProducts[Unit Cost],0)</f>
        <v>168000</v>
      </c>
      <c r="O2775" s="4" t="s">
        <v>4865</v>
      </c>
      <c r="P2775" s="4" t="s">
        <v>4860</v>
      </c>
      <c r="Q2775" s="1" t="str">
        <f>_xlfn.XLOOKUP(tblSales[[#This Row],[Channel Code]],tblChannels[Channel Code],tblChannels[Channel Name],"")</f>
        <v>In-store</v>
      </c>
      <c r="R2775" s="1">
        <f>MONTH(tblSales[[#This Row],[Date]])</f>
        <v>6</v>
      </c>
    </row>
    <row r="2776" spans="2:18" x14ac:dyDescent="0.35">
      <c r="B2776" s="113">
        <v>46189</v>
      </c>
      <c r="C2776" s="4" t="s">
        <v>1859</v>
      </c>
      <c r="D2776" s="4" t="s">
        <v>4599</v>
      </c>
      <c r="E2776" s="1" t="str">
        <f>_xlfn.XLOOKUP(tblSales[[#This Row],[Customer ID]],tblCustomers[Customer ID],tblCustomers[Customer Name],"⚠ Unknown")</f>
        <v>PT Samudra Jaya Logistik</v>
      </c>
      <c r="F2776" s="4" t="s">
        <v>12</v>
      </c>
      <c r="G2776" s="1" t="str">
        <f>_xlfn.XLOOKUP(tblSales[[#This Row],[Product Code]],tblProducts[Code],tblProducts[Product / Service Name],"⚠ Unknown")</f>
        <v>Bomber Jacket</v>
      </c>
      <c r="H2776" s="1" t="str">
        <f>_xlfn.XLOOKUP(tblSales[[#This Row],[Product Code]],tblProducts[Code],tblProducts[Category],"")</f>
        <v>Apparel &amp; Footwear</v>
      </c>
      <c r="I2776" s="4">
        <v>24</v>
      </c>
      <c r="J2776" s="5">
        <f>_xlfn.XLOOKUP(tblSales[[#This Row],[Product Code]],tblProducts[Code],tblProducts[Selling Price (excl. VAT)],0)</f>
        <v>350000</v>
      </c>
      <c r="K2776" s="5">
        <f>tblSales[[#This Row],[Qty]]*tblSales[[#This Row],[Unit Price]]</f>
        <v>8400000</v>
      </c>
      <c r="L2776" s="5">
        <f>ROUND(tblSales[[#This Row],[DPP (excl. VAT)]]*VATEff,0)</f>
        <v>924000</v>
      </c>
      <c r="M2776" s="5">
        <f>tblSales[[#This Row],[DPP (excl. VAT)]]+tblSales[[#This Row],[Output VAT]]</f>
        <v>9324000</v>
      </c>
      <c r="N2776" s="5">
        <f>tblSales[[#This Row],[Qty]]*_xlfn.XLOOKUP(tblSales[[#This Row],[Product Code]],tblProducts[Code],tblProducts[Unit Cost],0)</f>
        <v>5040000</v>
      </c>
      <c r="O2776" s="4" t="s">
        <v>4867</v>
      </c>
      <c r="P2776" s="4" t="s">
        <v>4860</v>
      </c>
      <c r="Q2776" s="1" t="str">
        <f>_xlfn.XLOOKUP(tblSales[[#This Row],[Channel Code]],tblChannels[Channel Code],tblChannels[Channel Name],"")</f>
        <v>In-store</v>
      </c>
      <c r="R2776" s="1">
        <f>MONTH(tblSales[[#This Row],[Date]])</f>
        <v>6</v>
      </c>
    </row>
    <row r="2777" spans="2:18" x14ac:dyDescent="0.35">
      <c r="B2777" s="113">
        <v>46189</v>
      </c>
      <c r="C2777" s="4" t="s">
        <v>1860</v>
      </c>
      <c r="D2777" s="4" t="s">
        <v>4568</v>
      </c>
      <c r="E2777" s="1" t="str">
        <f>_xlfn.XLOOKUP(tblSales[[#This Row],[Customer ID]],tblCustomers[Customer ID],tblCustomers[Customer Name],"⚠ Unknown")</f>
        <v>Walk-in Customer</v>
      </c>
      <c r="F2777" s="4" t="s">
        <v>13</v>
      </c>
      <c r="G2777" s="1" t="str">
        <f>_xlfn.XLOOKUP(tblSales[[#This Row],[Product Code]],tblProducts[Code],tblProducts[Product / Service Name],"⚠ Unknown")</f>
        <v>Backpack</v>
      </c>
      <c r="H2777" s="1" t="str">
        <f>_xlfn.XLOOKUP(tblSales[[#This Row],[Product Code]],tblProducts[Code],tblProducts[Category],"")</f>
        <v>Bags &amp; Gadgets</v>
      </c>
      <c r="I2777" s="4">
        <v>6</v>
      </c>
      <c r="J2777" s="5">
        <f>_xlfn.XLOOKUP(tblSales[[#This Row],[Product Code]],tblProducts[Code],tblProducts[Selling Price (excl. VAT)],0)</f>
        <v>500000</v>
      </c>
      <c r="K2777" s="5">
        <f>tblSales[[#This Row],[Qty]]*tblSales[[#This Row],[Unit Price]]</f>
        <v>3000000</v>
      </c>
      <c r="L2777" s="5">
        <f>ROUND(tblSales[[#This Row],[DPP (excl. VAT)]]*VATEff,0)</f>
        <v>330000</v>
      </c>
      <c r="M2777" s="5">
        <f>tblSales[[#This Row],[DPP (excl. VAT)]]+tblSales[[#This Row],[Output VAT]]</f>
        <v>3330000</v>
      </c>
      <c r="N2777" s="5">
        <f>tblSales[[#This Row],[Qty]]*_xlfn.XLOOKUP(tblSales[[#This Row],[Product Code]],tblProducts[Code],tblProducts[Unit Cost],0)</f>
        <v>1740000</v>
      </c>
      <c r="O2777" s="4" t="s">
        <v>4866</v>
      </c>
      <c r="P2777" s="4" t="s">
        <v>4861</v>
      </c>
      <c r="Q2777" s="1" t="str">
        <f>_xlfn.XLOOKUP(tblSales[[#This Row],[Channel Code]],tblChannels[Channel Code],tblChannels[Channel Name],"")</f>
        <v>Marketplace</v>
      </c>
      <c r="R2777" s="1">
        <f>MONTH(tblSales[[#This Row],[Date]])</f>
        <v>6</v>
      </c>
    </row>
    <row r="2778" spans="2:18" x14ac:dyDescent="0.35">
      <c r="B2778" s="113">
        <v>46189</v>
      </c>
      <c r="C2778" s="4" t="s">
        <v>1861</v>
      </c>
      <c r="D2778" s="4" t="s">
        <v>4568</v>
      </c>
      <c r="E2778" s="1" t="str">
        <f>_xlfn.XLOOKUP(tblSales[[#This Row],[Customer ID]],tblCustomers[Customer ID],tblCustomers[Customer Name],"⚠ Unknown")</f>
        <v>Walk-in Customer</v>
      </c>
      <c r="F2778" s="4" t="s">
        <v>7</v>
      </c>
      <c r="G2778" s="1" t="str">
        <f>_xlfn.XLOOKUP(tblSales[[#This Row],[Product Code]],tblProducts[Code],tblProducts[Product / Service Name],"⚠ Unknown")</f>
        <v>Premium Basic T-shirt</v>
      </c>
      <c r="H2778" s="1" t="str">
        <f>_xlfn.XLOOKUP(tblSales[[#This Row],[Product Code]],tblProducts[Code],tblProducts[Category],"")</f>
        <v>Accessories &amp; Basics</v>
      </c>
      <c r="I2778" s="4">
        <v>8</v>
      </c>
      <c r="J2778" s="5">
        <f>_xlfn.XLOOKUP(tblSales[[#This Row],[Product Code]],tblProducts[Code],tblProducts[Selling Price (excl. VAT)],0)</f>
        <v>65000</v>
      </c>
      <c r="K2778" s="5">
        <f>tblSales[[#This Row],[Qty]]*tblSales[[#This Row],[Unit Price]]</f>
        <v>520000</v>
      </c>
      <c r="L2778" s="5">
        <f>ROUND(tblSales[[#This Row],[DPP (excl. VAT)]]*VATEff,0)</f>
        <v>57200</v>
      </c>
      <c r="M2778" s="5">
        <f>tblSales[[#This Row],[DPP (excl. VAT)]]+tblSales[[#This Row],[Output VAT]]</f>
        <v>577200</v>
      </c>
      <c r="N2778" s="5">
        <f>tblSales[[#This Row],[Qty]]*_xlfn.XLOOKUP(tblSales[[#This Row],[Product Code]],tblProducts[Code],tblProducts[Unit Cost],0)</f>
        <v>296000</v>
      </c>
      <c r="O2778" s="4" t="s">
        <v>4866</v>
      </c>
      <c r="P2778" s="4" t="s">
        <v>4860</v>
      </c>
      <c r="Q2778" s="1" t="str">
        <f>_xlfn.XLOOKUP(tblSales[[#This Row],[Channel Code]],tblChannels[Channel Code],tblChannels[Channel Name],"")</f>
        <v>In-store</v>
      </c>
      <c r="R2778" s="1">
        <f>MONTH(tblSales[[#This Row],[Date]])</f>
        <v>6</v>
      </c>
    </row>
    <row r="2779" spans="2:18" x14ac:dyDescent="0.35">
      <c r="B2779" s="113">
        <v>46189</v>
      </c>
      <c r="C2779" s="4" t="s">
        <v>1861</v>
      </c>
      <c r="D2779" s="4" t="s">
        <v>4568</v>
      </c>
      <c r="E2779" s="1" t="str">
        <f>_xlfn.XLOOKUP(tblSales[[#This Row],[Customer ID]],tblCustomers[Customer ID],tblCustomers[Customer Name],"⚠ Unknown")</f>
        <v>Walk-in Customer</v>
      </c>
      <c r="F2779" s="4" t="s">
        <v>12</v>
      </c>
      <c r="G2779" s="1" t="str">
        <f>_xlfn.XLOOKUP(tblSales[[#This Row],[Product Code]],tblProducts[Code],tblProducts[Product / Service Name],"⚠ Unknown")</f>
        <v>Bomber Jacket</v>
      </c>
      <c r="H2779" s="1" t="str">
        <f>_xlfn.XLOOKUP(tblSales[[#This Row],[Product Code]],tblProducts[Code],tblProducts[Category],"")</f>
        <v>Apparel &amp; Footwear</v>
      </c>
      <c r="I2779" s="4">
        <v>2</v>
      </c>
      <c r="J2779" s="5">
        <f>_xlfn.XLOOKUP(tblSales[[#This Row],[Product Code]],tblProducts[Code],tblProducts[Selling Price (excl. VAT)],0)</f>
        <v>350000</v>
      </c>
      <c r="K2779" s="5">
        <f>tblSales[[#This Row],[Qty]]*tblSales[[#This Row],[Unit Price]]</f>
        <v>700000</v>
      </c>
      <c r="L2779" s="5">
        <f>ROUND(tblSales[[#This Row],[DPP (excl. VAT)]]*VATEff,0)</f>
        <v>77000</v>
      </c>
      <c r="M2779" s="5">
        <f>tblSales[[#This Row],[DPP (excl. VAT)]]+tblSales[[#This Row],[Output VAT]]</f>
        <v>777000</v>
      </c>
      <c r="N2779" s="5">
        <f>tblSales[[#This Row],[Qty]]*_xlfn.XLOOKUP(tblSales[[#This Row],[Product Code]],tblProducts[Code],tblProducts[Unit Cost],0)</f>
        <v>420000</v>
      </c>
      <c r="O2779" s="4" t="s">
        <v>4866</v>
      </c>
      <c r="P2779" s="4" t="s">
        <v>4860</v>
      </c>
      <c r="Q2779" s="1" t="str">
        <f>_xlfn.XLOOKUP(tblSales[[#This Row],[Channel Code]],tblChannels[Channel Code],tblChannels[Channel Name],"")</f>
        <v>In-store</v>
      </c>
      <c r="R2779" s="1">
        <f>MONTH(tblSales[[#This Row],[Date]])</f>
        <v>6</v>
      </c>
    </row>
    <row r="2780" spans="2:18" x14ac:dyDescent="0.35">
      <c r="B2780" s="113">
        <v>46189</v>
      </c>
      <c r="C2780" s="4" t="s">
        <v>1862</v>
      </c>
      <c r="D2780" s="4" t="s">
        <v>4568</v>
      </c>
      <c r="E2780" s="1" t="str">
        <f>_xlfn.XLOOKUP(tblSales[[#This Row],[Customer ID]],tblCustomers[Customer ID],tblCustomers[Customer Name],"⚠ Unknown")</f>
        <v>Walk-in Customer</v>
      </c>
      <c r="F2780" s="4" t="s">
        <v>6</v>
      </c>
      <c r="G2780" s="1" t="str">
        <f>_xlfn.XLOOKUP(tblSales[[#This Row],[Product Code]],tblProducts[Code],tblProducts[Product / Service Name],"⚠ Unknown")</f>
        <v>Socks &amp; Accessories</v>
      </c>
      <c r="H2780" s="1" t="str">
        <f>_xlfn.XLOOKUP(tblSales[[#This Row],[Product Code]],tblProducts[Code],tblProducts[Category],"")</f>
        <v>Accessories &amp; Basics</v>
      </c>
      <c r="I2780" s="4">
        <v>6</v>
      </c>
      <c r="J2780" s="5">
        <f>_xlfn.XLOOKUP(tblSales[[#This Row],[Product Code]],tblProducts[Code],tblProducts[Selling Price (excl. VAT)],0)</f>
        <v>45000</v>
      </c>
      <c r="K2780" s="5">
        <f>tblSales[[#This Row],[Qty]]*tblSales[[#This Row],[Unit Price]]</f>
        <v>270000</v>
      </c>
      <c r="L2780" s="5">
        <f>ROUND(tblSales[[#This Row],[DPP (excl. VAT)]]*VATEff,0)</f>
        <v>29700</v>
      </c>
      <c r="M2780" s="5">
        <f>tblSales[[#This Row],[DPP (excl. VAT)]]+tblSales[[#This Row],[Output VAT]]</f>
        <v>299700</v>
      </c>
      <c r="N2780" s="5">
        <f>tblSales[[#This Row],[Qty]]*_xlfn.XLOOKUP(tblSales[[#This Row],[Product Code]],tblProducts[Code],tblProducts[Unit Cost],0)</f>
        <v>144000</v>
      </c>
      <c r="O2780" s="4" t="s">
        <v>4866</v>
      </c>
      <c r="P2780" s="4" t="s">
        <v>4861</v>
      </c>
      <c r="Q2780" s="1" t="str">
        <f>_xlfn.XLOOKUP(tblSales[[#This Row],[Channel Code]],tblChannels[Channel Code],tblChannels[Channel Name],"")</f>
        <v>Marketplace</v>
      </c>
      <c r="R2780" s="1">
        <f>MONTH(tblSales[[#This Row],[Date]])</f>
        <v>6</v>
      </c>
    </row>
    <row r="2781" spans="2:18" x14ac:dyDescent="0.35">
      <c r="B2781" s="113">
        <v>46189</v>
      </c>
      <c r="C2781" s="4" t="s">
        <v>1863</v>
      </c>
      <c r="D2781" s="4" t="s">
        <v>4568</v>
      </c>
      <c r="E2781" s="1" t="str">
        <f>_xlfn.XLOOKUP(tblSales[[#This Row],[Customer ID]],tblCustomers[Customer ID],tblCustomers[Customer Name],"⚠ Unknown")</f>
        <v>Walk-in Customer</v>
      </c>
      <c r="F2781" s="4" t="s">
        <v>14</v>
      </c>
      <c r="G2781" s="1" t="str">
        <f>_xlfn.XLOOKUP(tblSales[[#This Row],[Product Code]],tblProducts[Code],tblProducts[Product / Service Name],"⚠ Unknown")</f>
        <v>Smartwatch</v>
      </c>
      <c r="H2781" s="1" t="str">
        <f>_xlfn.XLOOKUP(tblSales[[#This Row],[Product Code]],tblProducts[Code],tblProducts[Category],"")</f>
        <v>Bags &amp; Gadgets</v>
      </c>
      <c r="I2781" s="4">
        <v>3</v>
      </c>
      <c r="J2781" s="5">
        <f>_xlfn.XLOOKUP(tblSales[[#This Row],[Product Code]],tblProducts[Code],tblProducts[Selling Price (excl. VAT)],0)</f>
        <v>850000</v>
      </c>
      <c r="K2781" s="5">
        <f>tblSales[[#This Row],[Qty]]*tblSales[[#This Row],[Unit Price]]</f>
        <v>2550000</v>
      </c>
      <c r="L2781" s="5">
        <f>ROUND(tblSales[[#This Row],[DPP (excl. VAT)]]*VATEff,0)</f>
        <v>280500</v>
      </c>
      <c r="M2781" s="5">
        <f>tblSales[[#This Row],[DPP (excl. VAT)]]+tblSales[[#This Row],[Output VAT]]</f>
        <v>2830500</v>
      </c>
      <c r="N2781" s="5">
        <f>tblSales[[#This Row],[Qty]]*_xlfn.XLOOKUP(tblSales[[#This Row],[Product Code]],tblProducts[Code],tblProducts[Unit Cost],0)</f>
        <v>1680000</v>
      </c>
      <c r="O2781" s="4" t="s">
        <v>4865</v>
      </c>
      <c r="P2781" s="4" t="s">
        <v>4860</v>
      </c>
      <c r="Q2781" s="1" t="str">
        <f>_xlfn.XLOOKUP(tblSales[[#This Row],[Channel Code]],tblChannels[Channel Code],tblChannels[Channel Name],"")</f>
        <v>In-store</v>
      </c>
      <c r="R2781" s="1">
        <f>MONTH(tblSales[[#This Row],[Date]])</f>
        <v>6</v>
      </c>
    </row>
    <row r="2782" spans="2:18" x14ac:dyDescent="0.35">
      <c r="B2782" s="113">
        <v>46189</v>
      </c>
      <c r="C2782" s="4" t="s">
        <v>1863</v>
      </c>
      <c r="D2782" s="4" t="s">
        <v>4568</v>
      </c>
      <c r="E2782" s="1" t="str">
        <f>_xlfn.XLOOKUP(tblSales[[#This Row],[Customer ID]],tblCustomers[Customer ID],tblCustomers[Customer Name],"⚠ Unknown")</f>
        <v>Walk-in Customer</v>
      </c>
      <c r="F2782" s="4" t="s">
        <v>12</v>
      </c>
      <c r="G2782" s="1" t="str">
        <f>_xlfn.XLOOKUP(tblSales[[#This Row],[Product Code]],tblProducts[Code],tblProducts[Product / Service Name],"⚠ Unknown")</f>
        <v>Bomber Jacket</v>
      </c>
      <c r="H2782" s="1" t="str">
        <f>_xlfn.XLOOKUP(tblSales[[#This Row],[Product Code]],tblProducts[Code],tblProducts[Category],"")</f>
        <v>Apparel &amp; Footwear</v>
      </c>
      <c r="I2782" s="4">
        <v>1</v>
      </c>
      <c r="J2782" s="5">
        <f>_xlfn.XLOOKUP(tblSales[[#This Row],[Product Code]],tblProducts[Code],tblProducts[Selling Price (excl. VAT)],0)</f>
        <v>350000</v>
      </c>
      <c r="K2782" s="5">
        <f>tblSales[[#This Row],[Qty]]*tblSales[[#This Row],[Unit Price]]</f>
        <v>350000</v>
      </c>
      <c r="L2782" s="5">
        <f>ROUND(tblSales[[#This Row],[DPP (excl. VAT)]]*VATEff,0)</f>
        <v>38500</v>
      </c>
      <c r="M2782" s="5">
        <f>tblSales[[#This Row],[DPP (excl. VAT)]]+tblSales[[#This Row],[Output VAT]]</f>
        <v>388500</v>
      </c>
      <c r="N2782" s="5">
        <f>tblSales[[#This Row],[Qty]]*_xlfn.XLOOKUP(tblSales[[#This Row],[Product Code]],tblProducts[Code],tblProducts[Unit Cost],0)</f>
        <v>210000</v>
      </c>
      <c r="O2782" s="4" t="s">
        <v>4865</v>
      </c>
      <c r="P2782" s="4" t="s">
        <v>4860</v>
      </c>
      <c r="Q2782" s="1" t="str">
        <f>_xlfn.XLOOKUP(tblSales[[#This Row],[Channel Code]],tblChannels[Channel Code],tblChannels[Channel Name],"")</f>
        <v>In-store</v>
      </c>
      <c r="R2782" s="1">
        <f>MONTH(tblSales[[#This Row],[Date]])</f>
        <v>6</v>
      </c>
    </row>
    <row r="2783" spans="2:18" x14ac:dyDescent="0.35">
      <c r="B2783" s="113">
        <v>46189</v>
      </c>
      <c r="C2783" s="4" t="s">
        <v>1863</v>
      </c>
      <c r="D2783" s="4" t="s">
        <v>4568</v>
      </c>
      <c r="E2783" s="1" t="str">
        <f>_xlfn.XLOOKUP(tblSales[[#This Row],[Customer ID]],tblCustomers[Customer ID],tblCustomers[Customer Name],"⚠ Unknown")</f>
        <v>Walk-in Customer</v>
      </c>
      <c r="F2783" s="4" t="s">
        <v>6</v>
      </c>
      <c r="G2783" s="1" t="str">
        <f>_xlfn.XLOOKUP(tblSales[[#This Row],[Product Code]],tblProducts[Code],tblProducts[Product / Service Name],"⚠ Unknown")</f>
        <v>Socks &amp; Accessories</v>
      </c>
      <c r="H2783" s="1" t="str">
        <f>_xlfn.XLOOKUP(tblSales[[#This Row],[Product Code]],tblProducts[Code],tblProducts[Category],"")</f>
        <v>Accessories &amp; Basics</v>
      </c>
      <c r="I2783" s="4">
        <v>11</v>
      </c>
      <c r="J2783" s="5">
        <f>_xlfn.XLOOKUP(tblSales[[#This Row],[Product Code]],tblProducts[Code],tblProducts[Selling Price (excl. VAT)],0)</f>
        <v>45000</v>
      </c>
      <c r="K2783" s="5">
        <f>tblSales[[#This Row],[Qty]]*tblSales[[#This Row],[Unit Price]]</f>
        <v>495000</v>
      </c>
      <c r="L2783" s="5">
        <f>ROUND(tblSales[[#This Row],[DPP (excl. VAT)]]*VATEff,0)</f>
        <v>54450</v>
      </c>
      <c r="M2783" s="5">
        <f>tblSales[[#This Row],[DPP (excl. VAT)]]+tblSales[[#This Row],[Output VAT]]</f>
        <v>549450</v>
      </c>
      <c r="N2783" s="5">
        <f>tblSales[[#This Row],[Qty]]*_xlfn.XLOOKUP(tblSales[[#This Row],[Product Code]],tblProducts[Code],tblProducts[Unit Cost],0)</f>
        <v>264000</v>
      </c>
      <c r="O2783" s="4" t="s">
        <v>4865</v>
      </c>
      <c r="P2783" s="4" t="s">
        <v>4860</v>
      </c>
      <c r="Q2783" s="1" t="str">
        <f>_xlfn.XLOOKUP(tblSales[[#This Row],[Channel Code]],tblChannels[Channel Code],tblChannels[Channel Name],"")</f>
        <v>In-store</v>
      </c>
      <c r="R2783" s="1">
        <f>MONTH(tblSales[[#This Row],[Date]])</f>
        <v>6</v>
      </c>
    </row>
    <row r="2784" spans="2:18" x14ac:dyDescent="0.35">
      <c r="B2784" s="113">
        <v>46189</v>
      </c>
      <c r="C2784" s="4" t="s">
        <v>1864</v>
      </c>
      <c r="D2784" s="4" t="s">
        <v>4568</v>
      </c>
      <c r="E2784" s="1" t="str">
        <f>_xlfn.XLOOKUP(tblSales[[#This Row],[Customer ID]],tblCustomers[Customer ID],tblCustomers[Customer Name],"⚠ Unknown")</f>
        <v>Walk-in Customer</v>
      </c>
      <c r="F2784" s="4" t="s">
        <v>7</v>
      </c>
      <c r="G2784" s="1" t="str">
        <f>_xlfn.XLOOKUP(tblSales[[#This Row],[Product Code]],tblProducts[Code],tblProducts[Product / Service Name],"⚠ Unknown")</f>
        <v>Premium Basic T-shirt</v>
      </c>
      <c r="H2784" s="1" t="str">
        <f>_xlfn.XLOOKUP(tblSales[[#This Row],[Product Code]],tblProducts[Code],tblProducts[Category],"")</f>
        <v>Accessories &amp; Basics</v>
      </c>
      <c r="I2784" s="4">
        <v>10</v>
      </c>
      <c r="J2784" s="5">
        <f>_xlfn.XLOOKUP(tblSales[[#This Row],[Product Code]],tblProducts[Code],tblProducts[Selling Price (excl. VAT)],0)</f>
        <v>65000</v>
      </c>
      <c r="K2784" s="5">
        <f>tblSales[[#This Row],[Qty]]*tblSales[[#This Row],[Unit Price]]</f>
        <v>650000</v>
      </c>
      <c r="L2784" s="5">
        <f>ROUND(tblSales[[#This Row],[DPP (excl. VAT)]]*VATEff,0)</f>
        <v>71500</v>
      </c>
      <c r="M2784" s="5">
        <f>tblSales[[#This Row],[DPP (excl. VAT)]]+tblSales[[#This Row],[Output VAT]]</f>
        <v>721500</v>
      </c>
      <c r="N2784" s="5">
        <f>tblSales[[#This Row],[Qty]]*_xlfn.XLOOKUP(tblSales[[#This Row],[Product Code]],tblProducts[Code],tblProducts[Unit Cost],0)</f>
        <v>370000</v>
      </c>
      <c r="O2784" s="4" t="s">
        <v>4865</v>
      </c>
      <c r="P2784" s="4" t="s">
        <v>4860</v>
      </c>
      <c r="Q2784" s="1" t="str">
        <f>_xlfn.XLOOKUP(tblSales[[#This Row],[Channel Code]],tblChannels[Channel Code],tblChannels[Channel Name],"")</f>
        <v>In-store</v>
      </c>
      <c r="R2784" s="1">
        <f>MONTH(tblSales[[#This Row],[Date]])</f>
        <v>6</v>
      </c>
    </row>
    <row r="2785" spans="2:18" x14ac:dyDescent="0.35">
      <c r="B2785" s="113">
        <v>46189</v>
      </c>
      <c r="C2785" s="4" t="s">
        <v>1865</v>
      </c>
      <c r="D2785" s="4" t="s">
        <v>4568</v>
      </c>
      <c r="E2785" s="1" t="str">
        <f>_xlfn.XLOOKUP(tblSales[[#This Row],[Customer ID]],tblCustomers[Customer ID],tblCustomers[Customer Name],"⚠ Unknown")</f>
        <v>Walk-in Customer</v>
      </c>
      <c r="F2785" s="4" t="s">
        <v>8</v>
      </c>
      <c r="G2785" s="1" t="str">
        <f>_xlfn.XLOOKUP(tblSales[[#This Row],[Product Code]],tblProducts[Code],tblProducts[Product / Service Name],"⚠ Unknown")</f>
        <v>Casual Shorts</v>
      </c>
      <c r="H2785" s="1" t="str">
        <f>_xlfn.XLOOKUP(tblSales[[#This Row],[Product Code]],tblProducts[Code],tblProducts[Category],"")</f>
        <v>Accessories &amp; Basics</v>
      </c>
      <c r="I2785" s="4">
        <v>2</v>
      </c>
      <c r="J2785" s="5">
        <f>_xlfn.XLOOKUP(tblSales[[#This Row],[Product Code]],tblProducts[Code],tblProducts[Selling Price (excl. VAT)],0)</f>
        <v>85000</v>
      </c>
      <c r="K2785" s="5">
        <f>tblSales[[#This Row],[Qty]]*tblSales[[#This Row],[Unit Price]]</f>
        <v>170000</v>
      </c>
      <c r="L2785" s="5">
        <f>ROUND(tblSales[[#This Row],[DPP (excl. VAT)]]*VATEff,0)</f>
        <v>18700</v>
      </c>
      <c r="M2785" s="5">
        <f>tblSales[[#This Row],[DPP (excl. VAT)]]+tblSales[[#This Row],[Output VAT]]</f>
        <v>188700</v>
      </c>
      <c r="N2785" s="5">
        <f>tblSales[[#This Row],[Qty]]*_xlfn.XLOOKUP(tblSales[[#This Row],[Product Code]],tblProducts[Code],tblProducts[Unit Cost],0)</f>
        <v>100000</v>
      </c>
      <c r="O2785" s="4" t="s">
        <v>4866</v>
      </c>
      <c r="P2785" s="4" t="s">
        <v>4862</v>
      </c>
      <c r="Q2785" s="1" t="str">
        <f>_xlfn.XLOOKUP(tblSales[[#This Row],[Channel Code]],tblChannels[Channel Code],tblChannels[Channel Name],"")</f>
        <v>Website &amp; Social Media</v>
      </c>
      <c r="R2785" s="1">
        <f>MONTH(tblSales[[#This Row],[Date]])</f>
        <v>6</v>
      </c>
    </row>
    <row r="2786" spans="2:18" x14ac:dyDescent="0.35">
      <c r="B2786" s="113">
        <v>46189</v>
      </c>
      <c r="C2786" s="4" t="s">
        <v>1866</v>
      </c>
      <c r="D2786" s="4" t="s">
        <v>4572</v>
      </c>
      <c r="E2786" s="1" t="str">
        <f>_xlfn.XLOOKUP(tblSales[[#This Row],[Customer ID]],tblCustomers[Customer ID],tblCustomers[Customer Name],"⚠ Unknown")</f>
        <v>PT Cahaya Abadi Makmur</v>
      </c>
      <c r="F2786" s="4" t="s">
        <v>8</v>
      </c>
      <c r="G2786" s="1" t="str">
        <f>_xlfn.XLOOKUP(tblSales[[#This Row],[Product Code]],tblProducts[Code],tblProducts[Product / Service Name],"⚠ Unknown")</f>
        <v>Casual Shorts</v>
      </c>
      <c r="H2786" s="1" t="str">
        <f>_xlfn.XLOOKUP(tblSales[[#This Row],[Product Code]],tblProducts[Code],tblProducts[Category],"")</f>
        <v>Accessories &amp; Basics</v>
      </c>
      <c r="I2786" s="4">
        <v>32</v>
      </c>
      <c r="J2786" s="5">
        <f>_xlfn.XLOOKUP(tblSales[[#This Row],[Product Code]],tblProducts[Code],tblProducts[Selling Price (excl. VAT)],0)</f>
        <v>85000</v>
      </c>
      <c r="K2786" s="5">
        <f>tblSales[[#This Row],[Qty]]*tblSales[[#This Row],[Unit Price]]</f>
        <v>2720000</v>
      </c>
      <c r="L2786" s="5">
        <f>ROUND(tblSales[[#This Row],[DPP (excl. VAT)]]*VATEff,0)</f>
        <v>299200</v>
      </c>
      <c r="M2786" s="5">
        <f>tblSales[[#This Row],[DPP (excl. VAT)]]+tblSales[[#This Row],[Output VAT]]</f>
        <v>3019200</v>
      </c>
      <c r="N2786" s="5">
        <f>tblSales[[#This Row],[Qty]]*_xlfn.XLOOKUP(tblSales[[#This Row],[Product Code]],tblProducts[Code],tblProducts[Unit Cost],0)</f>
        <v>1600000</v>
      </c>
      <c r="O2786" s="4" t="s">
        <v>4867</v>
      </c>
      <c r="P2786" s="4" t="s">
        <v>4862</v>
      </c>
      <c r="Q2786" s="1" t="str">
        <f>_xlfn.XLOOKUP(tblSales[[#This Row],[Channel Code]],tblChannels[Channel Code],tblChannels[Channel Name],"")</f>
        <v>Website &amp; Social Media</v>
      </c>
      <c r="R2786" s="1">
        <f>MONTH(tblSales[[#This Row],[Date]])</f>
        <v>6</v>
      </c>
    </row>
    <row r="2787" spans="2:18" x14ac:dyDescent="0.35">
      <c r="B2787" s="113">
        <v>46190</v>
      </c>
      <c r="C2787" s="4" t="s">
        <v>1867</v>
      </c>
      <c r="D2787" s="4" t="s">
        <v>4568</v>
      </c>
      <c r="E2787" s="1" t="str">
        <f>_xlfn.XLOOKUP(tblSales[[#This Row],[Customer ID]],tblCustomers[Customer ID],tblCustomers[Customer Name],"⚠ Unknown")</f>
        <v>Walk-in Customer</v>
      </c>
      <c r="F2787" s="4" t="s">
        <v>6</v>
      </c>
      <c r="G2787" s="1" t="str">
        <f>_xlfn.XLOOKUP(tblSales[[#This Row],[Product Code]],tblProducts[Code],tblProducts[Product / Service Name],"⚠ Unknown")</f>
        <v>Socks &amp; Accessories</v>
      </c>
      <c r="H2787" s="1" t="str">
        <f>_xlfn.XLOOKUP(tblSales[[#This Row],[Product Code]],tblProducts[Code],tblProducts[Category],"")</f>
        <v>Accessories &amp; Basics</v>
      </c>
      <c r="I2787" s="4">
        <v>5</v>
      </c>
      <c r="J2787" s="5">
        <f>_xlfn.XLOOKUP(tblSales[[#This Row],[Product Code]],tblProducts[Code],tblProducts[Selling Price (excl. VAT)],0)</f>
        <v>45000</v>
      </c>
      <c r="K2787" s="5">
        <f>tblSales[[#This Row],[Qty]]*tblSales[[#This Row],[Unit Price]]</f>
        <v>225000</v>
      </c>
      <c r="L2787" s="5">
        <f>ROUND(tblSales[[#This Row],[DPP (excl. VAT)]]*VATEff,0)</f>
        <v>24750</v>
      </c>
      <c r="M2787" s="5">
        <f>tblSales[[#This Row],[DPP (excl. VAT)]]+tblSales[[#This Row],[Output VAT]]</f>
        <v>249750</v>
      </c>
      <c r="N2787" s="5">
        <f>tblSales[[#This Row],[Qty]]*_xlfn.XLOOKUP(tblSales[[#This Row],[Product Code]],tblProducts[Code],tblProducts[Unit Cost],0)</f>
        <v>120000</v>
      </c>
      <c r="O2787" s="4" t="s">
        <v>4865</v>
      </c>
      <c r="P2787" s="4" t="s">
        <v>4860</v>
      </c>
      <c r="Q2787" s="1" t="str">
        <f>_xlfn.XLOOKUP(tblSales[[#This Row],[Channel Code]],tblChannels[Channel Code],tblChannels[Channel Name],"")</f>
        <v>In-store</v>
      </c>
      <c r="R2787" s="1">
        <f>MONTH(tblSales[[#This Row],[Date]])</f>
        <v>6</v>
      </c>
    </row>
    <row r="2788" spans="2:18" x14ac:dyDescent="0.35">
      <c r="B2788" s="113">
        <v>46190</v>
      </c>
      <c r="C2788" s="4" t="s">
        <v>1868</v>
      </c>
      <c r="D2788" s="4" t="s">
        <v>4568</v>
      </c>
      <c r="E2788" s="1" t="str">
        <f>_xlfn.XLOOKUP(tblSales[[#This Row],[Customer ID]],tblCustomers[Customer ID],tblCustomers[Customer Name],"⚠ Unknown")</f>
        <v>Walk-in Customer</v>
      </c>
      <c r="F2788" s="4" t="s">
        <v>13</v>
      </c>
      <c r="G2788" s="1" t="str">
        <f>_xlfn.XLOOKUP(tblSales[[#This Row],[Product Code]],tblProducts[Code],tblProducts[Product / Service Name],"⚠ Unknown")</f>
        <v>Backpack</v>
      </c>
      <c r="H2788" s="1" t="str">
        <f>_xlfn.XLOOKUP(tblSales[[#This Row],[Product Code]],tblProducts[Code],tblProducts[Category],"")</f>
        <v>Bags &amp; Gadgets</v>
      </c>
      <c r="I2788" s="4">
        <v>4</v>
      </c>
      <c r="J2788" s="5">
        <f>_xlfn.XLOOKUP(tblSales[[#This Row],[Product Code]],tblProducts[Code],tblProducts[Selling Price (excl. VAT)],0)</f>
        <v>500000</v>
      </c>
      <c r="K2788" s="5">
        <f>tblSales[[#This Row],[Qty]]*tblSales[[#This Row],[Unit Price]]</f>
        <v>2000000</v>
      </c>
      <c r="L2788" s="5">
        <f>ROUND(tblSales[[#This Row],[DPP (excl. VAT)]]*VATEff,0)</f>
        <v>220000</v>
      </c>
      <c r="M2788" s="5">
        <f>tblSales[[#This Row],[DPP (excl. VAT)]]+tblSales[[#This Row],[Output VAT]]</f>
        <v>2220000</v>
      </c>
      <c r="N2788" s="5">
        <f>tblSales[[#This Row],[Qty]]*_xlfn.XLOOKUP(tblSales[[#This Row],[Product Code]],tblProducts[Code],tblProducts[Unit Cost],0)</f>
        <v>1160000</v>
      </c>
      <c r="O2788" s="4" t="s">
        <v>4865</v>
      </c>
      <c r="P2788" s="4" t="s">
        <v>4860</v>
      </c>
      <c r="Q2788" s="1" t="str">
        <f>_xlfn.XLOOKUP(tblSales[[#This Row],[Channel Code]],tblChannels[Channel Code],tblChannels[Channel Name],"")</f>
        <v>In-store</v>
      </c>
      <c r="R2788" s="1">
        <f>MONTH(tblSales[[#This Row],[Date]])</f>
        <v>6</v>
      </c>
    </row>
    <row r="2789" spans="2:18" x14ac:dyDescent="0.35">
      <c r="B2789" s="113">
        <v>46190</v>
      </c>
      <c r="C2789" s="4" t="s">
        <v>1869</v>
      </c>
      <c r="D2789" s="4" t="s">
        <v>4568</v>
      </c>
      <c r="E2789" s="1" t="str">
        <f>_xlfn.XLOOKUP(tblSales[[#This Row],[Customer ID]],tblCustomers[Customer ID],tblCustomers[Customer Name],"⚠ Unknown")</f>
        <v>Walk-in Customer</v>
      </c>
      <c r="F2789" s="4" t="s">
        <v>6</v>
      </c>
      <c r="G2789" s="1" t="str">
        <f>_xlfn.XLOOKUP(tblSales[[#This Row],[Product Code]],tblProducts[Code],tblProducts[Product / Service Name],"⚠ Unknown")</f>
        <v>Socks &amp; Accessories</v>
      </c>
      <c r="H2789" s="1" t="str">
        <f>_xlfn.XLOOKUP(tblSales[[#This Row],[Product Code]],tblProducts[Code],tblProducts[Category],"")</f>
        <v>Accessories &amp; Basics</v>
      </c>
      <c r="I2789" s="4">
        <v>10</v>
      </c>
      <c r="J2789" s="5">
        <f>_xlfn.XLOOKUP(tblSales[[#This Row],[Product Code]],tblProducts[Code],tblProducts[Selling Price (excl. VAT)],0)</f>
        <v>45000</v>
      </c>
      <c r="K2789" s="5">
        <f>tblSales[[#This Row],[Qty]]*tblSales[[#This Row],[Unit Price]]</f>
        <v>450000</v>
      </c>
      <c r="L2789" s="5">
        <f>ROUND(tblSales[[#This Row],[DPP (excl. VAT)]]*VATEff,0)</f>
        <v>49500</v>
      </c>
      <c r="M2789" s="5">
        <f>tblSales[[#This Row],[DPP (excl. VAT)]]+tblSales[[#This Row],[Output VAT]]</f>
        <v>499500</v>
      </c>
      <c r="N2789" s="5">
        <f>tblSales[[#This Row],[Qty]]*_xlfn.XLOOKUP(tblSales[[#This Row],[Product Code]],tblProducts[Code],tblProducts[Unit Cost],0)</f>
        <v>240000</v>
      </c>
      <c r="O2789" s="4" t="s">
        <v>4866</v>
      </c>
      <c r="P2789" s="4" t="s">
        <v>4860</v>
      </c>
      <c r="Q2789" s="1" t="str">
        <f>_xlfn.XLOOKUP(tblSales[[#This Row],[Channel Code]],tblChannels[Channel Code],tblChannels[Channel Name],"")</f>
        <v>In-store</v>
      </c>
      <c r="R2789" s="1">
        <f>MONTH(tblSales[[#This Row],[Date]])</f>
        <v>6</v>
      </c>
    </row>
    <row r="2790" spans="2:18" x14ac:dyDescent="0.35">
      <c r="B2790" s="113">
        <v>46190</v>
      </c>
      <c r="C2790" s="4" t="s">
        <v>1869</v>
      </c>
      <c r="D2790" s="4" t="s">
        <v>4568</v>
      </c>
      <c r="E2790" s="1" t="str">
        <f>_xlfn.XLOOKUP(tblSales[[#This Row],[Customer ID]],tblCustomers[Customer ID],tblCustomers[Customer Name],"⚠ Unknown")</f>
        <v>Walk-in Customer</v>
      </c>
      <c r="F2790" s="4" t="s">
        <v>15</v>
      </c>
      <c r="G2790" s="1" t="str">
        <f>_xlfn.XLOOKUP(tblSales[[#This Row],[Product Code]],tblProducts[Code],tblProducts[Product / Service Name],"⚠ Unknown")</f>
        <v>Wireless Earbuds Pro</v>
      </c>
      <c r="H2790" s="1" t="str">
        <f>_xlfn.XLOOKUP(tblSales[[#This Row],[Product Code]],tblProducts[Code],tblProducts[Category],"")</f>
        <v>Bags &amp; Gadgets</v>
      </c>
      <c r="I2790" s="4">
        <v>1</v>
      </c>
      <c r="J2790" s="5">
        <f>_xlfn.XLOOKUP(tblSales[[#This Row],[Product Code]],tblProducts[Code],tblProducts[Selling Price (excl. VAT)],0)</f>
        <v>1250000</v>
      </c>
      <c r="K2790" s="5">
        <f>tblSales[[#This Row],[Qty]]*tblSales[[#This Row],[Unit Price]]</f>
        <v>1250000</v>
      </c>
      <c r="L2790" s="5">
        <f>ROUND(tblSales[[#This Row],[DPP (excl. VAT)]]*VATEff,0)</f>
        <v>137500</v>
      </c>
      <c r="M2790" s="5">
        <f>tblSales[[#This Row],[DPP (excl. VAT)]]+tblSales[[#This Row],[Output VAT]]</f>
        <v>1387500</v>
      </c>
      <c r="N2790" s="5">
        <f>tblSales[[#This Row],[Qty]]*_xlfn.XLOOKUP(tblSales[[#This Row],[Product Code]],tblProducts[Code],tblProducts[Unit Cost],0)</f>
        <v>820000</v>
      </c>
      <c r="O2790" s="4" t="s">
        <v>4866</v>
      </c>
      <c r="P2790" s="4" t="s">
        <v>4860</v>
      </c>
      <c r="Q2790" s="1" t="str">
        <f>_xlfn.XLOOKUP(tblSales[[#This Row],[Channel Code]],tblChannels[Channel Code],tblChannels[Channel Name],"")</f>
        <v>In-store</v>
      </c>
      <c r="R2790" s="1">
        <f>MONTH(tblSales[[#This Row],[Date]])</f>
        <v>6</v>
      </c>
    </row>
    <row r="2791" spans="2:18" x14ac:dyDescent="0.35">
      <c r="B2791" s="113">
        <v>46190</v>
      </c>
      <c r="C2791" s="4" t="s">
        <v>1870</v>
      </c>
      <c r="D2791" s="4" t="s">
        <v>4568</v>
      </c>
      <c r="E2791" s="1" t="str">
        <f>_xlfn.XLOOKUP(tblSales[[#This Row],[Customer ID]],tblCustomers[Customer ID],tblCustomers[Customer Name],"⚠ Unknown")</f>
        <v>Walk-in Customer</v>
      </c>
      <c r="F2791" s="4" t="s">
        <v>14</v>
      </c>
      <c r="G2791" s="1" t="str">
        <f>_xlfn.XLOOKUP(tblSales[[#This Row],[Product Code]],tblProducts[Code],tblProducts[Product / Service Name],"⚠ Unknown")</f>
        <v>Smartwatch</v>
      </c>
      <c r="H2791" s="1" t="str">
        <f>_xlfn.XLOOKUP(tblSales[[#This Row],[Product Code]],tblProducts[Code],tblProducts[Category],"")</f>
        <v>Bags &amp; Gadgets</v>
      </c>
      <c r="I2791" s="4">
        <v>1</v>
      </c>
      <c r="J2791" s="5">
        <f>_xlfn.XLOOKUP(tblSales[[#This Row],[Product Code]],tblProducts[Code],tblProducts[Selling Price (excl. VAT)],0)</f>
        <v>850000</v>
      </c>
      <c r="K2791" s="5">
        <f>tblSales[[#This Row],[Qty]]*tblSales[[#This Row],[Unit Price]]</f>
        <v>850000</v>
      </c>
      <c r="L2791" s="5">
        <f>ROUND(tblSales[[#This Row],[DPP (excl. VAT)]]*VATEff,0)</f>
        <v>93500</v>
      </c>
      <c r="M2791" s="5">
        <f>tblSales[[#This Row],[DPP (excl. VAT)]]+tblSales[[#This Row],[Output VAT]]</f>
        <v>943500</v>
      </c>
      <c r="N2791" s="5">
        <f>tblSales[[#This Row],[Qty]]*_xlfn.XLOOKUP(tblSales[[#This Row],[Product Code]],tblProducts[Code],tblProducts[Unit Cost],0)</f>
        <v>560000</v>
      </c>
      <c r="O2791" s="4" t="s">
        <v>4866</v>
      </c>
      <c r="P2791" s="4" t="s">
        <v>4860</v>
      </c>
      <c r="Q2791" s="1" t="str">
        <f>_xlfn.XLOOKUP(tblSales[[#This Row],[Channel Code]],tblChannels[Channel Code],tblChannels[Channel Name],"")</f>
        <v>In-store</v>
      </c>
      <c r="R2791" s="1">
        <f>MONTH(tblSales[[#This Row],[Date]])</f>
        <v>6</v>
      </c>
    </row>
    <row r="2792" spans="2:18" x14ac:dyDescent="0.35">
      <c r="B2792" s="113">
        <v>46190</v>
      </c>
      <c r="C2792" s="4" t="s">
        <v>1870</v>
      </c>
      <c r="D2792" s="4" t="s">
        <v>4568</v>
      </c>
      <c r="E2792" s="1" t="str">
        <f>_xlfn.XLOOKUP(tblSales[[#This Row],[Customer ID]],tblCustomers[Customer ID],tblCustomers[Customer Name],"⚠ Unknown")</f>
        <v>Walk-in Customer</v>
      </c>
      <c r="F2792" s="4" t="s">
        <v>8</v>
      </c>
      <c r="G2792" s="1" t="str">
        <f>_xlfn.XLOOKUP(tblSales[[#This Row],[Product Code]],tblProducts[Code],tblProducts[Product / Service Name],"⚠ Unknown")</f>
        <v>Casual Shorts</v>
      </c>
      <c r="H2792" s="1" t="str">
        <f>_xlfn.XLOOKUP(tblSales[[#This Row],[Product Code]],tblProducts[Code],tblProducts[Category],"")</f>
        <v>Accessories &amp; Basics</v>
      </c>
      <c r="I2792" s="4">
        <v>7</v>
      </c>
      <c r="J2792" s="5">
        <f>_xlfn.XLOOKUP(tblSales[[#This Row],[Product Code]],tblProducts[Code],tblProducts[Selling Price (excl. VAT)],0)</f>
        <v>85000</v>
      </c>
      <c r="K2792" s="5">
        <f>tblSales[[#This Row],[Qty]]*tblSales[[#This Row],[Unit Price]]</f>
        <v>595000</v>
      </c>
      <c r="L2792" s="5">
        <f>ROUND(tblSales[[#This Row],[DPP (excl. VAT)]]*VATEff,0)</f>
        <v>65450</v>
      </c>
      <c r="M2792" s="5">
        <f>tblSales[[#This Row],[DPP (excl. VAT)]]+tblSales[[#This Row],[Output VAT]]</f>
        <v>660450</v>
      </c>
      <c r="N2792" s="5">
        <f>tblSales[[#This Row],[Qty]]*_xlfn.XLOOKUP(tblSales[[#This Row],[Product Code]],tblProducts[Code],tblProducts[Unit Cost],0)</f>
        <v>350000</v>
      </c>
      <c r="O2792" s="4" t="s">
        <v>4866</v>
      </c>
      <c r="P2792" s="4" t="s">
        <v>4860</v>
      </c>
      <c r="Q2792" s="1" t="str">
        <f>_xlfn.XLOOKUP(tblSales[[#This Row],[Channel Code]],tblChannels[Channel Code],tblChannels[Channel Name],"")</f>
        <v>In-store</v>
      </c>
      <c r="R2792" s="1">
        <f>MONTH(tblSales[[#This Row],[Date]])</f>
        <v>6</v>
      </c>
    </row>
    <row r="2793" spans="2:18" x14ac:dyDescent="0.35">
      <c r="B2793" s="113">
        <v>46190</v>
      </c>
      <c r="C2793" s="4" t="s">
        <v>1870</v>
      </c>
      <c r="D2793" s="4" t="s">
        <v>4568</v>
      </c>
      <c r="E2793" s="1" t="str">
        <f>_xlfn.XLOOKUP(tblSales[[#This Row],[Customer ID]],tblCustomers[Customer ID],tblCustomers[Customer Name],"⚠ Unknown")</f>
        <v>Walk-in Customer</v>
      </c>
      <c r="F2793" s="4" t="s">
        <v>7</v>
      </c>
      <c r="G2793" s="1" t="str">
        <f>_xlfn.XLOOKUP(tblSales[[#This Row],[Product Code]],tblProducts[Code],tblProducts[Product / Service Name],"⚠ Unknown")</f>
        <v>Premium Basic T-shirt</v>
      </c>
      <c r="H2793" s="1" t="str">
        <f>_xlfn.XLOOKUP(tblSales[[#This Row],[Product Code]],tblProducts[Code],tblProducts[Category],"")</f>
        <v>Accessories &amp; Basics</v>
      </c>
      <c r="I2793" s="4">
        <v>9</v>
      </c>
      <c r="J2793" s="5">
        <f>_xlfn.XLOOKUP(tblSales[[#This Row],[Product Code]],tblProducts[Code],tblProducts[Selling Price (excl. VAT)],0)</f>
        <v>65000</v>
      </c>
      <c r="K2793" s="5">
        <f>tblSales[[#This Row],[Qty]]*tblSales[[#This Row],[Unit Price]]</f>
        <v>585000</v>
      </c>
      <c r="L2793" s="5">
        <f>ROUND(tblSales[[#This Row],[DPP (excl. VAT)]]*VATEff,0)</f>
        <v>64350</v>
      </c>
      <c r="M2793" s="5">
        <f>tblSales[[#This Row],[DPP (excl. VAT)]]+tblSales[[#This Row],[Output VAT]]</f>
        <v>649350</v>
      </c>
      <c r="N2793" s="5">
        <f>tblSales[[#This Row],[Qty]]*_xlfn.XLOOKUP(tblSales[[#This Row],[Product Code]],tblProducts[Code],tblProducts[Unit Cost],0)</f>
        <v>333000</v>
      </c>
      <c r="O2793" s="4" t="s">
        <v>4866</v>
      </c>
      <c r="P2793" s="4" t="s">
        <v>4860</v>
      </c>
      <c r="Q2793" s="1" t="str">
        <f>_xlfn.XLOOKUP(tblSales[[#This Row],[Channel Code]],tblChannels[Channel Code],tblChannels[Channel Name],"")</f>
        <v>In-store</v>
      </c>
      <c r="R2793" s="1">
        <f>MONTH(tblSales[[#This Row],[Date]])</f>
        <v>6</v>
      </c>
    </row>
    <row r="2794" spans="2:18" x14ac:dyDescent="0.35">
      <c r="B2794" s="113">
        <v>46190</v>
      </c>
      <c r="C2794" s="4" t="s">
        <v>1871</v>
      </c>
      <c r="D2794" s="4" t="s">
        <v>4568</v>
      </c>
      <c r="E2794" s="1" t="str">
        <f>_xlfn.XLOOKUP(tblSales[[#This Row],[Customer ID]],tblCustomers[Customer ID],tblCustomers[Customer Name],"⚠ Unknown")</f>
        <v>Walk-in Customer</v>
      </c>
      <c r="F2794" s="4" t="s">
        <v>7</v>
      </c>
      <c r="G2794" s="1" t="str">
        <f>_xlfn.XLOOKUP(tblSales[[#This Row],[Product Code]],tblProducts[Code],tblProducts[Product / Service Name],"⚠ Unknown")</f>
        <v>Premium Basic T-shirt</v>
      </c>
      <c r="H2794" s="1" t="str">
        <f>_xlfn.XLOOKUP(tblSales[[#This Row],[Product Code]],tblProducts[Code],tblProducts[Category],"")</f>
        <v>Accessories &amp; Basics</v>
      </c>
      <c r="I2794" s="4">
        <v>8</v>
      </c>
      <c r="J2794" s="5">
        <f>_xlfn.XLOOKUP(tblSales[[#This Row],[Product Code]],tblProducts[Code],tblProducts[Selling Price (excl. VAT)],0)</f>
        <v>65000</v>
      </c>
      <c r="K2794" s="5">
        <f>tblSales[[#This Row],[Qty]]*tblSales[[#This Row],[Unit Price]]</f>
        <v>520000</v>
      </c>
      <c r="L2794" s="5">
        <f>ROUND(tblSales[[#This Row],[DPP (excl. VAT)]]*VATEff,0)</f>
        <v>57200</v>
      </c>
      <c r="M2794" s="5">
        <f>tblSales[[#This Row],[DPP (excl. VAT)]]+tblSales[[#This Row],[Output VAT]]</f>
        <v>577200</v>
      </c>
      <c r="N2794" s="5">
        <f>tblSales[[#This Row],[Qty]]*_xlfn.XLOOKUP(tblSales[[#This Row],[Product Code]],tblProducts[Code],tblProducts[Unit Cost],0)</f>
        <v>296000</v>
      </c>
      <c r="O2794" s="4" t="s">
        <v>4866</v>
      </c>
      <c r="P2794" s="4" t="s">
        <v>4861</v>
      </c>
      <c r="Q2794" s="1" t="str">
        <f>_xlfn.XLOOKUP(tblSales[[#This Row],[Channel Code]],tblChannels[Channel Code],tblChannels[Channel Name],"")</f>
        <v>Marketplace</v>
      </c>
      <c r="R2794" s="1">
        <f>MONTH(tblSales[[#This Row],[Date]])</f>
        <v>6</v>
      </c>
    </row>
    <row r="2795" spans="2:18" x14ac:dyDescent="0.35">
      <c r="B2795" s="113">
        <v>46190</v>
      </c>
      <c r="C2795" s="4" t="s">
        <v>1871</v>
      </c>
      <c r="D2795" s="4" t="s">
        <v>4568</v>
      </c>
      <c r="E2795" s="1" t="str">
        <f>_xlfn.XLOOKUP(tblSales[[#This Row],[Customer ID]],tblCustomers[Customer ID],tblCustomers[Customer Name],"⚠ Unknown")</f>
        <v>Walk-in Customer</v>
      </c>
      <c r="F2795" s="4" t="s">
        <v>14</v>
      </c>
      <c r="G2795" s="1" t="str">
        <f>_xlfn.XLOOKUP(tblSales[[#This Row],[Product Code]],tblProducts[Code],tblProducts[Product / Service Name],"⚠ Unknown")</f>
        <v>Smartwatch</v>
      </c>
      <c r="H2795" s="1" t="str">
        <f>_xlfn.XLOOKUP(tblSales[[#This Row],[Product Code]],tblProducts[Code],tblProducts[Category],"")</f>
        <v>Bags &amp; Gadgets</v>
      </c>
      <c r="I2795" s="4">
        <v>1</v>
      </c>
      <c r="J2795" s="5">
        <f>_xlfn.XLOOKUP(tblSales[[#This Row],[Product Code]],tblProducts[Code],tblProducts[Selling Price (excl. VAT)],0)</f>
        <v>850000</v>
      </c>
      <c r="K2795" s="5">
        <f>tblSales[[#This Row],[Qty]]*tblSales[[#This Row],[Unit Price]]</f>
        <v>850000</v>
      </c>
      <c r="L2795" s="5">
        <f>ROUND(tblSales[[#This Row],[DPP (excl. VAT)]]*VATEff,0)</f>
        <v>93500</v>
      </c>
      <c r="M2795" s="5">
        <f>tblSales[[#This Row],[DPP (excl. VAT)]]+tblSales[[#This Row],[Output VAT]]</f>
        <v>943500</v>
      </c>
      <c r="N2795" s="5">
        <f>tblSales[[#This Row],[Qty]]*_xlfn.XLOOKUP(tblSales[[#This Row],[Product Code]],tblProducts[Code],tblProducts[Unit Cost],0)</f>
        <v>560000</v>
      </c>
      <c r="O2795" s="4" t="s">
        <v>4866</v>
      </c>
      <c r="P2795" s="4" t="s">
        <v>4861</v>
      </c>
      <c r="Q2795" s="1" t="str">
        <f>_xlfn.XLOOKUP(tblSales[[#This Row],[Channel Code]],tblChannels[Channel Code],tblChannels[Channel Name],"")</f>
        <v>Marketplace</v>
      </c>
      <c r="R2795" s="1">
        <f>MONTH(tblSales[[#This Row],[Date]])</f>
        <v>6</v>
      </c>
    </row>
    <row r="2796" spans="2:18" x14ac:dyDescent="0.35">
      <c r="B2796" s="113">
        <v>46190</v>
      </c>
      <c r="C2796" s="4" t="s">
        <v>1872</v>
      </c>
      <c r="D2796" s="4" t="s">
        <v>4568</v>
      </c>
      <c r="E2796" s="1" t="str">
        <f>_xlfn.XLOOKUP(tblSales[[#This Row],[Customer ID]],tblCustomers[Customer ID],tblCustomers[Customer Name],"⚠ Unknown")</f>
        <v>Walk-in Customer</v>
      </c>
      <c r="F2796" s="4" t="s">
        <v>7</v>
      </c>
      <c r="G2796" s="1" t="str">
        <f>_xlfn.XLOOKUP(tblSales[[#This Row],[Product Code]],tblProducts[Code],tblProducts[Product / Service Name],"⚠ Unknown")</f>
        <v>Premium Basic T-shirt</v>
      </c>
      <c r="H2796" s="1" t="str">
        <f>_xlfn.XLOOKUP(tblSales[[#This Row],[Product Code]],tblProducts[Code],tblProducts[Category],"")</f>
        <v>Accessories &amp; Basics</v>
      </c>
      <c r="I2796" s="4">
        <v>9</v>
      </c>
      <c r="J2796" s="5">
        <f>_xlfn.XLOOKUP(tblSales[[#This Row],[Product Code]],tblProducts[Code],tblProducts[Selling Price (excl. VAT)],0)</f>
        <v>65000</v>
      </c>
      <c r="K2796" s="5">
        <f>tblSales[[#This Row],[Qty]]*tblSales[[#This Row],[Unit Price]]</f>
        <v>585000</v>
      </c>
      <c r="L2796" s="5">
        <f>ROUND(tblSales[[#This Row],[DPP (excl. VAT)]]*VATEff,0)</f>
        <v>64350</v>
      </c>
      <c r="M2796" s="5">
        <f>tblSales[[#This Row],[DPP (excl. VAT)]]+tblSales[[#This Row],[Output VAT]]</f>
        <v>649350</v>
      </c>
      <c r="N2796" s="5">
        <f>tblSales[[#This Row],[Qty]]*_xlfn.XLOOKUP(tblSales[[#This Row],[Product Code]],tblProducts[Code],tblProducts[Unit Cost],0)</f>
        <v>333000</v>
      </c>
      <c r="O2796" s="4" t="s">
        <v>4866</v>
      </c>
      <c r="P2796" s="4" t="s">
        <v>4861</v>
      </c>
      <c r="Q2796" s="1" t="str">
        <f>_xlfn.XLOOKUP(tblSales[[#This Row],[Channel Code]],tblChannels[Channel Code],tblChannels[Channel Name],"")</f>
        <v>Marketplace</v>
      </c>
      <c r="R2796" s="1">
        <f>MONTH(tblSales[[#This Row],[Date]])</f>
        <v>6</v>
      </c>
    </row>
    <row r="2797" spans="2:18" x14ac:dyDescent="0.35">
      <c r="B2797" s="113">
        <v>46190</v>
      </c>
      <c r="C2797" s="4" t="s">
        <v>1873</v>
      </c>
      <c r="D2797" s="4" t="s">
        <v>4568</v>
      </c>
      <c r="E2797" s="1" t="str">
        <f>_xlfn.XLOOKUP(tblSales[[#This Row],[Customer ID]],tblCustomers[Customer ID],tblCustomers[Customer Name],"⚠ Unknown")</f>
        <v>Walk-in Customer</v>
      </c>
      <c r="F2797" s="4" t="s">
        <v>6</v>
      </c>
      <c r="G2797" s="1" t="str">
        <f>_xlfn.XLOOKUP(tblSales[[#This Row],[Product Code]],tblProducts[Code],tblProducts[Product / Service Name],"⚠ Unknown")</f>
        <v>Socks &amp; Accessories</v>
      </c>
      <c r="H2797" s="1" t="str">
        <f>_xlfn.XLOOKUP(tblSales[[#This Row],[Product Code]],tblProducts[Code],tblProducts[Category],"")</f>
        <v>Accessories &amp; Basics</v>
      </c>
      <c r="I2797" s="4">
        <v>7</v>
      </c>
      <c r="J2797" s="5">
        <f>_xlfn.XLOOKUP(tblSales[[#This Row],[Product Code]],tblProducts[Code],tblProducts[Selling Price (excl. VAT)],0)</f>
        <v>45000</v>
      </c>
      <c r="K2797" s="5">
        <f>tblSales[[#This Row],[Qty]]*tblSales[[#This Row],[Unit Price]]</f>
        <v>315000</v>
      </c>
      <c r="L2797" s="5">
        <f>ROUND(tblSales[[#This Row],[DPP (excl. VAT)]]*VATEff,0)</f>
        <v>34650</v>
      </c>
      <c r="M2797" s="5">
        <f>tblSales[[#This Row],[DPP (excl. VAT)]]+tblSales[[#This Row],[Output VAT]]</f>
        <v>349650</v>
      </c>
      <c r="N2797" s="5">
        <f>tblSales[[#This Row],[Qty]]*_xlfn.XLOOKUP(tblSales[[#This Row],[Product Code]],tblProducts[Code],tblProducts[Unit Cost],0)</f>
        <v>168000</v>
      </c>
      <c r="O2797" s="4" t="s">
        <v>4866</v>
      </c>
      <c r="P2797" s="4" t="s">
        <v>4862</v>
      </c>
      <c r="Q2797" s="1" t="str">
        <f>_xlfn.XLOOKUP(tblSales[[#This Row],[Channel Code]],tblChannels[Channel Code],tblChannels[Channel Name],"")</f>
        <v>Website &amp; Social Media</v>
      </c>
      <c r="R2797" s="1">
        <f>MONTH(tblSales[[#This Row],[Date]])</f>
        <v>6</v>
      </c>
    </row>
    <row r="2798" spans="2:18" x14ac:dyDescent="0.35">
      <c r="B2798" s="113">
        <v>46190</v>
      </c>
      <c r="C2798" s="4" t="s">
        <v>1874</v>
      </c>
      <c r="D2798" s="4" t="s">
        <v>4572</v>
      </c>
      <c r="E2798" s="1" t="str">
        <f>_xlfn.XLOOKUP(tblSales[[#This Row],[Customer ID]],tblCustomers[Customer ID],tblCustomers[Customer Name],"⚠ Unknown")</f>
        <v>PT Cahaya Abadi Makmur</v>
      </c>
      <c r="F2798" s="4" t="s">
        <v>10</v>
      </c>
      <c r="G2798" s="1" t="str">
        <f>_xlfn.XLOOKUP(tblSales[[#This Row],[Product Code]],tblProducts[Code],tblProducts[Product / Service Name],"⚠ Unknown")</f>
        <v>Chino Pants</v>
      </c>
      <c r="H2798" s="1" t="str">
        <f>_xlfn.XLOOKUP(tblSales[[#This Row],[Product Code]],tblProducts[Code],tblProducts[Category],"")</f>
        <v>Apparel &amp; Footwear</v>
      </c>
      <c r="I2798" s="4">
        <v>80</v>
      </c>
      <c r="J2798" s="5">
        <f>_xlfn.XLOOKUP(tblSales[[#This Row],[Product Code]],tblProducts[Code],tblProducts[Selling Price (excl. VAT)],0)</f>
        <v>150000</v>
      </c>
      <c r="K2798" s="5">
        <f>tblSales[[#This Row],[Qty]]*tblSales[[#This Row],[Unit Price]]</f>
        <v>12000000</v>
      </c>
      <c r="L2798" s="5">
        <f>ROUND(tblSales[[#This Row],[DPP (excl. VAT)]]*VATEff,0)</f>
        <v>1320000</v>
      </c>
      <c r="M2798" s="5">
        <f>tblSales[[#This Row],[DPP (excl. VAT)]]+tblSales[[#This Row],[Output VAT]]</f>
        <v>13320000</v>
      </c>
      <c r="N2798" s="5">
        <f>tblSales[[#This Row],[Qty]]*_xlfn.XLOOKUP(tblSales[[#This Row],[Product Code]],tblProducts[Code],tblProducts[Unit Cost],0)</f>
        <v>7040000</v>
      </c>
      <c r="O2798" s="4" t="s">
        <v>4867</v>
      </c>
      <c r="P2798" s="4" t="s">
        <v>4860</v>
      </c>
      <c r="Q2798" s="1" t="str">
        <f>_xlfn.XLOOKUP(tblSales[[#This Row],[Channel Code]],tblChannels[Channel Code],tblChannels[Channel Name],"")</f>
        <v>In-store</v>
      </c>
      <c r="R2798" s="1">
        <f>MONTH(tblSales[[#This Row],[Date]])</f>
        <v>6</v>
      </c>
    </row>
    <row r="2799" spans="2:18" x14ac:dyDescent="0.35">
      <c r="B2799" s="113">
        <v>46190</v>
      </c>
      <c r="C2799" s="4" t="s">
        <v>1874</v>
      </c>
      <c r="D2799" s="4" t="s">
        <v>4572</v>
      </c>
      <c r="E2799" s="1" t="str">
        <f>_xlfn.XLOOKUP(tblSales[[#This Row],[Customer ID]],tblCustomers[Customer ID],tblCustomers[Customer Name],"⚠ Unknown")</f>
        <v>PT Cahaya Abadi Makmur</v>
      </c>
      <c r="F2799" s="4" t="s">
        <v>8</v>
      </c>
      <c r="G2799" s="1" t="str">
        <f>_xlfn.XLOOKUP(tblSales[[#This Row],[Product Code]],tblProducts[Code],tblProducts[Product / Service Name],"⚠ Unknown")</f>
        <v>Casual Shorts</v>
      </c>
      <c r="H2799" s="1" t="str">
        <f>_xlfn.XLOOKUP(tblSales[[#This Row],[Product Code]],tblProducts[Code],tblProducts[Category],"")</f>
        <v>Accessories &amp; Basics</v>
      </c>
      <c r="I2799" s="4">
        <v>24</v>
      </c>
      <c r="J2799" s="5">
        <f>_xlfn.XLOOKUP(tblSales[[#This Row],[Product Code]],tblProducts[Code],tblProducts[Selling Price (excl. VAT)],0)</f>
        <v>85000</v>
      </c>
      <c r="K2799" s="5">
        <f>tblSales[[#This Row],[Qty]]*tblSales[[#This Row],[Unit Price]]</f>
        <v>2040000</v>
      </c>
      <c r="L2799" s="5">
        <f>ROUND(tblSales[[#This Row],[DPP (excl. VAT)]]*VATEff,0)</f>
        <v>224400</v>
      </c>
      <c r="M2799" s="5">
        <f>tblSales[[#This Row],[DPP (excl. VAT)]]+tblSales[[#This Row],[Output VAT]]</f>
        <v>2264400</v>
      </c>
      <c r="N2799" s="5">
        <f>tblSales[[#This Row],[Qty]]*_xlfn.XLOOKUP(tblSales[[#This Row],[Product Code]],tblProducts[Code],tblProducts[Unit Cost],0)</f>
        <v>1200000</v>
      </c>
      <c r="O2799" s="4" t="s">
        <v>4867</v>
      </c>
      <c r="P2799" s="4" t="s">
        <v>4860</v>
      </c>
      <c r="Q2799" s="1" t="str">
        <f>_xlfn.XLOOKUP(tblSales[[#This Row],[Channel Code]],tblChannels[Channel Code],tblChannels[Channel Name],"")</f>
        <v>In-store</v>
      </c>
      <c r="R2799" s="1">
        <f>MONTH(tblSales[[#This Row],[Date]])</f>
        <v>6</v>
      </c>
    </row>
    <row r="2800" spans="2:18" x14ac:dyDescent="0.35">
      <c r="B2800" s="113">
        <v>46190</v>
      </c>
      <c r="C2800" s="4" t="s">
        <v>1874</v>
      </c>
      <c r="D2800" s="4" t="s">
        <v>4572</v>
      </c>
      <c r="E2800" s="1" t="str">
        <f>_xlfn.XLOOKUP(tblSales[[#This Row],[Customer ID]],tblCustomers[Customer ID],tblCustomers[Customer Name],"⚠ Unknown")</f>
        <v>PT Cahaya Abadi Makmur</v>
      </c>
      <c r="F2800" s="4" t="s">
        <v>9</v>
      </c>
      <c r="G2800" s="1" t="str">
        <f>_xlfn.XLOOKUP(tblSales[[#This Row],[Product Code]],tblProducts[Code],tblProducts[Product / Service Name],"⚠ Unknown")</f>
        <v>Casual Shirt</v>
      </c>
      <c r="H2800" s="1" t="str">
        <f>_xlfn.XLOOKUP(tblSales[[#This Row],[Product Code]],tblProducts[Code],tblProducts[Category],"")</f>
        <v>Apparel &amp; Footwear</v>
      </c>
      <c r="I2800" s="4">
        <v>32</v>
      </c>
      <c r="J2800" s="5">
        <f>_xlfn.XLOOKUP(tblSales[[#This Row],[Product Code]],tblProducts[Code],tblProducts[Selling Price (excl. VAT)],0)</f>
        <v>120000</v>
      </c>
      <c r="K2800" s="5">
        <f>tblSales[[#This Row],[Qty]]*tblSales[[#This Row],[Unit Price]]</f>
        <v>3840000</v>
      </c>
      <c r="L2800" s="5">
        <f>ROUND(tblSales[[#This Row],[DPP (excl. VAT)]]*VATEff,0)</f>
        <v>422400</v>
      </c>
      <c r="M2800" s="5">
        <f>tblSales[[#This Row],[DPP (excl. VAT)]]+tblSales[[#This Row],[Output VAT]]</f>
        <v>4262400</v>
      </c>
      <c r="N2800" s="5">
        <f>tblSales[[#This Row],[Qty]]*_xlfn.XLOOKUP(tblSales[[#This Row],[Product Code]],tblProducts[Code],tblProducts[Unit Cost],0)</f>
        <v>2304000</v>
      </c>
      <c r="O2800" s="4" t="s">
        <v>4867</v>
      </c>
      <c r="P2800" s="4" t="s">
        <v>4860</v>
      </c>
      <c r="Q2800" s="1" t="str">
        <f>_xlfn.XLOOKUP(tblSales[[#This Row],[Channel Code]],tblChannels[Channel Code],tblChannels[Channel Name],"")</f>
        <v>In-store</v>
      </c>
      <c r="R2800" s="1">
        <f>MONTH(tblSales[[#This Row],[Date]])</f>
        <v>6</v>
      </c>
    </row>
    <row r="2801" spans="2:18" x14ac:dyDescent="0.35">
      <c r="B2801" s="113">
        <v>46190</v>
      </c>
      <c r="C2801" s="4" t="s">
        <v>1875</v>
      </c>
      <c r="D2801" s="4" t="s">
        <v>4568</v>
      </c>
      <c r="E2801" s="1" t="str">
        <f>_xlfn.XLOOKUP(tblSales[[#This Row],[Customer ID]],tblCustomers[Customer ID],tblCustomers[Customer Name],"⚠ Unknown")</f>
        <v>Walk-in Customer</v>
      </c>
      <c r="F2801" s="4" t="s">
        <v>14</v>
      </c>
      <c r="G2801" s="1" t="str">
        <f>_xlfn.XLOOKUP(tblSales[[#This Row],[Product Code]],tblProducts[Code],tblProducts[Product / Service Name],"⚠ Unknown")</f>
        <v>Smartwatch</v>
      </c>
      <c r="H2801" s="1" t="str">
        <f>_xlfn.XLOOKUP(tblSales[[#This Row],[Product Code]],tblProducts[Code],tblProducts[Category],"")</f>
        <v>Bags &amp; Gadgets</v>
      </c>
      <c r="I2801" s="4">
        <v>3</v>
      </c>
      <c r="J2801" s="5">
        <f>_xlfn.XLOOKUP(tblSales[[#This Row],[Product Code]],tblProducts[Code],tblProducts[Selling Price (excl. VAT)],0)</f>
        <v>850000</v>
      </c>
      <c r="K2801" s="5">
        <f>tblSales[[#This Row],[Qty]]*tblSales[[#This Row],[Unit Price]]</f>
        <v>2550000</v>
      </c>
      <c r="L2801" s="5">
        <f>ROUND(tblSales[[#This Row],[DPP (excl. VAT)]]*VATEff,0)</f>
        <v>280500</v>
      </c>
      <c r="M2801" s="5">
        <f>tblSales[[#This Row],[DPP (excl. VAT)]]+tblSales[[#This Row],[Output VAT]]</f>
        <v>2830500</v>
      </c>
      <c r="N2801" s="5">
        <f>tblSales[[#This Row],[Qty]]*_xlfn.XLOOKUP(tblSales[[#This Row],[Product Code]],tblProducts[Code],tblProducts[Unit Cost],0)</f>
        <v>1680000</v>
      </c>
      <c r="O2801" s="4" t="s">
        <v>4866</v>
      </c>
      <c r="P2801" s="4" t="s">
        <v>4860</v>
      </c>
      <c r="Q2801" s="1" t="str">
        <f>_xlfn.XLOOKUP(tblSales[[#This Row],[Channel Code]],tblChannels[Channel Code],tblChannels[Channel Name],"")</f>
        <v>In-store</v>
      </c>
      <c r="R2801" s="1">
        <f>MONTH(tblSales[[#This Row],[Date]])</f>
        <v>6</v>
      </c>
    </row>
    <row r="2802" spans="2:18" x14ac:dyDescent="0.35">
      <c r="B2802" s="113">
        <v>46190</v>
      </c>
      <c r="C2802" s="4" t="s">
        <v>1876</v>
      </c>
      <c r="D2802" s="4" t="s">
        <v>4648</v>
      </c>
      <c r="E2802" s="1" t="str">
        <f>_xlfn.XLOOKUP(tblSales[[#This Row],[Customer ID]],tblCustomers[Customer ID],tblCustomers[Customer Name],"⚠ Unknown")</f>
        <v>PT Lintas Benua Niaga</v>
      </c>
      <c r="F2802" s="4" t="s">
        <v>9</v>
      </c>
      <c r="G2802" s="1" t="str">
        <f>_xlfn.XLOOKUP(tblSales[[#This Row],[Product Code]],tblProducts[Code],tblProducts[Product / Service Name],"⚠ Unknown")</f>
        <v>Casual Shirt</v>
      </c>
      <c r="H2802" s="1" t="str">
        <f>_xlfn.XLOOKUP(tblSales[[#This Row],[Product Code]],tblProducts[Code],tblProducts[Category],"")</f>
        <v>Apparel &amp; Footwear</v>
      </c>
      <c r="I2802" s="4">
        <v>40</v>
      </c>
      <c r="J2802" s="5">
        <f>_xlfn.XLOOKUP(tblSales[[#This Row],[Product Code]],tblProducts[Code],tblProducts[Selling Price (excl. VAT)],0)</f>
        <v>120000</v>
      </c>
      <c r="K2802" s="5">
        <f>tblSales[[#This Row],[Qty]]*tblSales[[#This Row],[Unit Price]]</f>
        <v>4800000</v>
      </c>
      <c r="L2802" s="5">
        <f>ROUND(tblSales[[#This Row],[DPP (excl. VAT)]]*VATEff,0)</f>
        <v>528000</v>
      </c>
      <c r="M2802" s="5">
        <f>tblSales[[#This Row],[DPP (excl. VAT)]]+tblSales[[#This Row],[Output VAT]]</f>
        <v>5328000</v>
      </c>
      <c r="N2802" s="5">
        <f>tblSales[[#This Row],[Qty]]*_xlfn.XLOOKUP(tblSales[[#This Row],[Product Code]],tblProducts[Code],tblProducts[Unit Cost],0)</f>
        <v>2880000</v>
      </c>
      <c r="O2802" s="4" t="s">
        <v>4867</v>
      </c>
      <c r="P2802" s="4" t="s">
        <v>4860</v>
      </c>
      <c r="Q2802" s="1" t="str">
        <f>_xlfn.XLOOKUP(tblSales[[#This Row],[Channel Code]],tblChannels[Channel Code],tblChannels[Channel Name],"")</f>
        <v>In-store</v>
      </c>
      <c r="R2802" s="1">
        <f>MONTH(tblSales[[#This Row],[Date]])</f>
        <v>6</v>
      </c>
    </row>
    <row r="2803" spans="2:18" x14ac:dyDescent="0.35">
      <c r="B2803" s="113">
        <v>46190</v>
      </c>
      <c r="C2803" s="4" t="s">
        <v>1876</v>
      </c>
      <c r="D2803" s="4" t="s">
        <v>4648</v>
      </c>
      <c r="E2803" s="1" t="str">
        <f>_xlfn.XLOOKUP(tblSales[[#This Row],[Customer ID]],tblCustomers[Customer ID],tblCustomers[Customer Name],"⚠ Unknown")</f>
        <v>PT Lintas Benua Niaga</v>
      </c>
      <c r="F2803" s="4" t="s">
        <v>8</v>
      </c>
      <c r="G2803" s="1" t="str">
        <f>_xlfn.XLOOKUP(tblSales[[#This Row],[Product Code]],tblProducts[Code],tblProducts[Product / Service Name],"⚠ Unknown")</f>
        <v>Casual Shorts</v>
      </c>
      <c r="H2803" s="1" t="str">
        <f>_xlfn.XLOOKUP(tblSales[[#This Row],[Product Code]],tblProducts[Code],tblProducts[Category],"")</f>
        <v>Accessories &amp; Basics</v>
      </c>
      <c r="I2803" s="4">
        <v>40</v>
      </c>
      <c r="J2803" s="5">
        <f>_xlfn.XLOOKUP(tblSales[[#This Row],[Product Code]],tblProducts[Code],tblProducts[Selling Price (excl. VAT)],0)</f>
        <v>85000</v>
      </c>
      <c r="K2803" s="5">
        <f>tblSales[[#This Row],[Qty]]*tblSales[[#This Row],[Unit Price]]</f>
        <v>3400000</v>
      </c>
      <c r="L2803" s="5">
        <f>ROUND(tblSales[[#This Row],[DPP (excl. VAT)]]*VATEff,0)</f>
        <v>374000</v>
      </c>
      <c r="M2803" s="5">
        <f>tblSales[[#This Row],[DPP (excl. VAT)]]+tblSales[[#This Row],[Output VAT]]</f>
        <v>3774000</v>
      </c>
      <c r="N2803" s="5">
        <f>tblSales[[#This Row],[Qty]]*_xlfn.XLOOKUP(tblSales[[#This Row],[Product Code]],tblProducts[Code],tblProducts[Unit Cost],0)</f>
        <v>2000000</v>
      </c>
      <c r="O2803" s="4" t="s">
        <v>4867</v>
      </c>
      <c r="P2803" s="4" t="s">
        <v>4860</v>
      </c>
      <c r="Q2803" s="1" t="str">
        <f>_xlfn.XLOOKUP(tblSales[[#This Row],[Channel Code]],tblChannels[Channel Code],tblChannels[Channel Name],"")</f>
        <v>In-store</v>
      </c>
      <c r="R2803" s="1">
        <f>MONTH(tblSales[[#This Row],[Date]])</f>
        <v>6</v>
      </c>
    </row>
    <row r="2804" spans="2:18" x14ac:dyDescent="0.35">
      <c r="B2804" s="113">
        <v>46190</v>
      </c>
      <c r="C2804" s="4" t="s">
        <v>1877</v>
      </c>
      <c r="D2804" s="4" t="s">
        <v>4568</v>
      </c>
      <c r="E2804" s="1" t="str">
        <f>_xlfn.XLOOKUP(tblSales[[#This Row],[Customer ID]],tblCustomers[Customer ID],tblCustomers[Customer Name],"⚠ Unknown")</f>
        <v>Walk-in Customer</v>
      </c>
      <c r="F2804" s="4" t="s">
        <v>12</v>
      </c>
      <c r="G2804" s="1" t="str">
        <f>_xlfn.XLOOKUP(tblSales[[#This Row],[Product Code]],tblProducts[Code],tblProducts[Product / Service Name],"⚠ Unknown")</f>
        <v>Bomber Jacket</v>
      </c>
      <c r="H2804" s="1" t="str">
        <f>_xlfn.XLOOKUP(tblSales[[#This Row],[Product Code]],tblProducts[Code],tblProducts[Category],"")</f>
        <v>Apparel &amp; Footwear</v>
      </c>
      <c r="I2804" s="4">
        <v>4</v>
      </c>
      <c r="J2804" s="5">
        <f>_xlfn.XLOOKUP(tblSales[[#This Row],[Product Code]],tblProducts[Code],tblProducts[Selling Price (excl. VAT)],0)</f>
        <v>350000</v>
      </c>
      <c r="K2804" s="5">
        <f>tblSales[[#This Row],[Qty]]*tblSales[[#This Row],[Unit Price]]</f>
        <v>1400000</v>
      </c>
      <c r="L2804" s="5">
        <f>ROUND(tblSales[[#This Row],[DPP (excl. VAT)]]*VATEff,0)</f>
        <v>154000</v>
      </c>
      <c r="M2804" s="5">
        <f>tblSales[[#This Row],[DPP (excl. VAT)]]+tblSales[[#This Row],[Output VAT]]</f>
        <v>1554000</v>
      </c>
      <c r="N2804" s="5">
        <f>tblSales[[#This Row],[Qty]]*_xlfn.XLOOKUP(tblSales[[#This Row],[Product Code]],tblProducts[Code],tblProducts[Unit Cost],0)</f>
        <v>840000</v>
      </c>
      <c r="O2804" s="4" t="s">
        <v>4866</v>
      </c>
      <c r="P2804" s="4" t="s">
        <v>4860</v>
      </c>
      <c r="Q2804" s="1" t="str">
        <f>_xlfn.XLOOKUP(tblSales[[#This Row],[Channel Code]],tblChannels[Channel Code],tblChannels[Channel Name],"")</f>
        <v>In-store</v>
      </c>
      <c r="R2804" s="1">
        <f>MONTH(tblSales[[#This Row],[Date]])</f>
        <v>6</v>
      </c>
    </row>
    <row r="2805" spans="2:18" x14ac:dyDescent="0.35">
      <c r="B2805" s="113">
        <v>46190</v>
      </c>
      <c r="C2805" s="4" t="s">
        <v>1878</v>
      </c>
      <c r="D2805" s="4" t="s">
        <v>4627</v>
      </c>
      <c r="E2805" s="1" t="str">
        <f>_xlfn.XLOOKUP(tblSales[[#This Row],[Customer ID]],tblCustomers[Customer ID],tblCustomers[Customer Name],"⚠ Unknown")</f>
        <v>PT Kencana Wira Usaha</v>
      </c>
      <c r="F2805" s="4" t="s">
        <v>9</v>
      </c>
      <c r="G2805" s="1" t="str">
        <f>_xlfn.XLOOKUP(tblSales[[#This Row],[Product Code]],tblProducts[Code],tblProducts[Product / Service Name],"⚠ Unknown")</f>
        <v>Casual Shirt</v>
      </c>
      <c r="H2805" s="1" t="str">
        <f>_xlfn.XLOOKUP(tblSales[[#This Row],[Product Code]],tblProducts[Code],tblProducts[Category],"")</f>
        <v>Apparel &amp; Footwear</v>
      </c>
      <c r="I2805" s="4">
        <v>96</v>
      </c>
      <c r="J2805" s="5">
        <f>_xlfn.XLOOKUP(tblSales[[#This Row],[Product Code]],tblProducts[Code],tblProducts[Selling Price (excl. VAT)],0)</f>
        <v>120000</v>
      </c>
      <c r="K2805" s="5">
        <f>tblSales[[#This Row],[Qty]]*tblSales[[#This Row],[Unit Price]]</f>
        <v>11520000</v>
      </c>
      <c r="L2805" s="5">
        <f>ROUND(tblSales[[#This Row],[DPP (excl. VAT)]]*VATEff,0)</f>
        <v>1267200</v>
      </c>
      <c r="M2805" s="5">
        <f>tblSales[[#This Row],[DPP (excl. VAT)]]+tblSales[[#This Row],[Output VAT]]</f>
        <v>12787200</v>
      </c>
      <c r="N2805" s="5">
        <f>tblSales[[#This Row],[Qty]]*_xlfn.XLOOKUP(tblSales[[#This Row],[Product Code]],tblProducts[Code],tblProducts[Unit Cost],0)</f>
        <v>6912000</v>
      </c>
      <c r="O2805" s="4" t="s">
        <v>4867</v>
      </c>
      <c r="P2805" s="4" t="s">
        <v>4860</v>
      </c>
      <c r="Q2805" s="1" t="str">
        <f>_xlfn.XLOOKUP(tblSales[[#This Row],[Channel Code]],tblChannels[Channel Code],tblChannels[Channel Name],"")</f>
        <v>In-store</v>
      </c>
      <c r="R2805" s="1">
        <f>MONTH(tblSales[[#This Row],[Date]])</f>
        <v>6</v>
      </c>
    </row>
    <row r="2806" spans="2:18" x14ac:dyDescent="0.35">
      <c r="B2806" s="113">
        <v>46191</v>
      </c>
      <c r="C2806" s="4" t="s">
        <v>1879</v>
      </c>
      <c r="D2806" s="4" t="s">
        <v>4568</v>
      </c>
      <c r="E2806" s="1" t="str">
        <f>_xlfn.XLOOKUP(tblSales[[#This Row],[Customer ID]],tblCustomers[Customer ID],tblCustomers[Customer Name],"⚠ Unknown")</f>
        <v>Walk-in Customer</v>
      </c>
      <c r="F2806" s="4" t="s">
        <v>8</v>
      </c>
      <c r="G2806" s="1" t="str">
        <f>_xlfn.XLOOKUP(tblSales[[#This Row],[Product Code]],tblProducts[Code],tblProducts[Product / Service Name],"⚠ Unknown")</f>
        <v>Casual Shorts</v>
      </c>
      <c r="H2806" s="1" t="str">
        <f>_xlfn.XLOOKUP(tblSales[[#This Row],[Product Code]],tblProducts[Code],tblProducts[Category],"")</f>
        <v>Accessories &amp; Basics</v>
      </c>
      <c r="I2806" s="4">
        <v>12</v>
      </c>
      <c r="J2806" s="5">
        <f>_xlfn.XLOOKUP(tblSales[[#This Row],[Product Code]],tblProducts[Code],tblProducts[Selling Price (excl. VAT)],0)</f>
        <v>85000</v>
      </c>
      <c r="K2806" s="5">
        <f>tblSales[[#This Row],[Qty]]*tblSales[[#This Row],[Unit Price]]</f>
        <v>1020000</v>
      </c>
      <c r="L2806" s="5">
        <f>ROUND(tblSales[[#This Row],[DPP (excl. VAT)]]*VATEff,0)</f>
        <v>112200</v>
      </c>
      <c r="M2806" s="5">
        <f>tblSales[[#This Row],[DPP (excl. VAT)]]+tblSales[[#This Row],[Output VAT]]</f>
        <v>1132200</v>
      </c>
      <c r="N2806" s="5">
        <f>tblSales[[#This Row],[Qty]]*_xlfn.XLOOKUP(tblSales[[#This Row],[Product Code]],tblProducts[Code],tblProducts[Unit Cost],0)</f>
        <v>600000</v>
      </c>
      <c r="O2806" s="4" t="s">
        <v>4866</v>
      </c>
      <c r="P2806" s="4" t="s">
        <v>4861</v>
      </c>
      <c r="Q2806" s="1" t="str">
        <f>_xlfn.XLOOKUP(tblSales[[#This Row],[Channel Code]],tblChannels[Channel Code],tblChannels[Channel Name],"")</f>
        <v>Marketplace</v>
      </c>
      <c r="R2806" s="1">
        <f>MONTH(tblSales[[#This Row],[Date]])</f>
        <v>6</v>
      </c>
    </row>
    <row r="2807" spans="2:18" x14ac:dyDescent="0.35">
      <c r="B2807" s="113">
        <v>46191</v>
      </c>
      <c r="C2807" s="4" t="s">
        <v>1879</v>
      </c>
      <c r="D2807" s="4" t="s">
        <v>4568</v>
      </c>
      <c r="E2807" s="1" t="str">
        <f>_xlfn.XLOOKUP(tblSales[[#This Row],[Customer ID]],tblCustomers[Customer ID],tblCustomers[Customer Name],"⚠ Unknown")</f>
        <v>Walk-in Customer</v>
      </c>
      <c r="F2807" s="4" t="s">
        <v>7</v>
      </c>
      <c r="G2807" s="1" t="str">
        <f>_xlfn.XLOOKUP(tblSales[[#This Row],[Product Code]],tblProducts[Code],tblProducts[Product / Service Name],"⚠ Unknown")</f>
        <v>Premium Basic T-shirt</v>
      </c>
      <c r="H2807" s="1" t="str">
        <f>_xlfn.XLOOKUP(tblSales[[#This Row],[Product Code]],tblProducts[Code],tblProducts[Category],"")</f>
        <v>Accessories &amp; Basics</v>
      </c>
      <c r="I2807" s="4">
        <v>4</v>
      </c>
      <c r="J2807" s="5">
        <f>_xlfn.XLOOKUP(tblSales[[#This Row],[Product Code]],tblProducts[Code],tblProducts[Selling Price (excl. VAT)],0)</f>
        <v>65000</v>
      </c>
      <c r="K2807" s="5">
        <f>tblSales[[#This Row],[Qty]]*tblSales[[#This Row],[Unit Price]]</f>
        <v>260000</v>
      </c>
      <c r="L2807" s="5">
        <f>ROUND(tblSales[[#This Row],[DPP (excl. VAT)]]*VATEff,0)</f>
        <v>28600</v>
      </c>
      <c r="M2807" s="5">
        <f>tblSales[[#This Row],[DPP (excl. VAT)]]+tblSales[[#This Row],[Output VAT]]</f>
        <v>288600</v>
      </c>
      <c r="N2807" s="5">
        <f>tblSales[[#This Row],[Qty]]*_xlfn.XLOOKUP(tblSales[[#This Row],[Product Code]],tblProducts[Code],tblProducts[Unit Cost],0)</f>
        <v>148000</v>
      </c>
      <c r="O2807" s="4" t="s">
        <v>4866</v>
      </c>
      <c r="P2807" s="4" t="s">
        <v>4861</v>
      </c>
      <c r="Q2807" s="1" t="str">
        <f>_xlfn.XLOOKUP(tblSales[[#This Row],[Channel Code]],tblChannels[Channel Code],tblChannels[Channel Name],"")</f>
        <v>Marketplace</v>
      </c>
      <c r="R2807" s="1">
        <f>MONTH(tblSales[[#This Row],[Date]])</f>
        <v>6</v>
      </c>
    </row>
    <row r="2808" spans="2:18" x14ac:dyDescent="0.35">
      <c r="B2808" s="113">
        <v>46191</v>
      </c>
      <c r="C2808" s="4" t="s">
        <v>1880</v>
      </c>
      <c r="D2808" s="4" t="s">
        <v>4568</v>
      </c>
      <c r="E2808" s="1" t="str">
        <f>_xlfn.XLOOKUP(tblSales[[#This Row],[Customer ID]],tblCustomers[Customer ID],tblCustomers[Customer Name],"⚠ Unknown")</f>
        <v>Walk-in Customer</v>
      </c>
      <c r="F2808" s="4" t="s">
        <v>8</v>
      </c>
      <c r="G2808" s="1" t="str">
        <f>_xlfn.XLOOKUP(tblSales[[#This Row],[Product Code]],tblProducts[Code],tblProducts[Product / Service Name],"⚠ Unknown")</f>
        <v>Casual Shorts</v>
      </c>
      <c r="H2808" s="1" t="str">
        <f>_xlfn.XLOOKUP(tblSales[[#This Row],[Product Code]],tblProducts[Code],tblProducts[Category],"")</f>
        <v>Accessories &amp; Basics</v>
      </c>
      <c r="I2808" s="4">
        <v>12</v>
      </c>
      <c r="J2808" s="5">
        <f>_xlfn.XLOOKUP(tblSales[[#This Row],[Product Code]],tblProducts[Code],tblProducts[Selling Price (excl. VAT)],0)</f>
        <v>85000</v>
      </c>
      <c r="K2808" s="5">
        <f>tblSales[[#This Row],[Qty]]*tblSales[[#This Row],[Unit Price]]</f>
        <v>1020000</v>
      </c>
      <c r="L2808" s="5">
        <f>ROUND(tblSales[[#This Row],[DPP (excl. VAT)]]*VATEff,0)</f>
        <v>112200</v>
      </c>
      <c r="M2808" s="5">
        <f>tblSales[[#This Row],[DPP (excl. VAT)]]+tblSales[[#This Row],[Output VAT]]</f>
        <v>1132200</v>
      </c>
      <c r="N2808" s="5">
        <f>tblSales[[#This Row],[Qty]]*_xlfn.XLOOKUP(tblSales[[#This Row],[Product Code]],tblProducts[Code],tblProducts[Unit Cost],0)</f>
        <v>600000</v>
      </c>
      <c r="O2808" s="4" t="s">
        <v>4866</v>
      </c>
      <c r="P2808" s="4" t="s">
        <v>4860</v>
      </c>
      <c r="Q2808" s="1" t="str">
        <f>_xlfn.XLOOKUP(tblSales[[#This Row],[Channel Code]],tblChannels[Channel Code],tblChannels[Channel Name],"")</f>
        <v>In-store</v>
      </c>
      <c r="R2808" s="1">
        <f>MONTH(tblSales[[#This Row],[Date]])</f>
        <v>6</v>
      </c>
    </row>
    <row r="2809" spans="2:18" x14ac:dyDescent="0.35">
      <c r="B2809" s="113">
        <v>46191</v>
      </c>
      <c r="C2809" s="4" t="s">
        <v>1881</v>
      </c>
      <c r="D2809" s="4" t="s">
        <v>4568</v>
      </c>
      <c r="E2809" s="1" t="str">
        <f>_xlfn.XLOOKUP(tblSales[[#This Row],[Customer ID]],tblCustomers[Customer ID],tblCustomers[Customer Name],"⚠ Unknown")</f>
        <v>Walk-in Customer</v>
      </c>
      <c r="F2809" s="4" t="s">
        <v>7</v>
      </c>
      <c r="G2809" s="1" t="str">
        <f>_xlfn.XLOOKUP(tblSales[[#This Row],[Product Code]],tblProducts[Code],tblProducts[Product / Service Name],"⚠ Unknown")</f>
        <v>Premium Basic T-shirt</v>
      </c>
      <c r="H2809" s="1" t="str">
        <f>_xlfn.XLOOKUP(tblSales[[#This Row],[Product Code]],tblProducts[Code],tblProducts[Category],"")</f>
        <v>Accessories &amp; Basics</v>
      </c>
      <c r="I2809" s="4">
        <v>1</v>
      </c>
      <c r="J2809" s="5">
        <f>_xlfn.XLOOKUP(tblSales[[#This Row],[Product Code]],tblProducts[Code],tblProducts[Selling Price (excl. VAT)],0)</f>
        <v>65000</v>
      </c>
      <c r="K2809" s="5">
        <f>tblSales[[#This Row],[Qty]]*tblSales[[#This Row],[Unit Price]]</f>
        <v>65000</v>
      </c>
      <c r="L2809" s="5">
        <f>ROUND(tblSales[[#This Row],[DPP (excl. VAT)]]*VATEff,0)</f>
        <v>7150</v>
      </c>
      <c r="M2809" s="5">
        <f>tblSales[[#This Row],[DPP (excl. VAT)]]+tblSales[[#This Row],[Output VAT]]</f>
        <v>72150</v>
      </c>
      <c r="N2809" s="5">
        <f>tblSales[[#This Row],[Qty]]*_xlfn.XLOOKUP(tblSales[[#This Row],[Product Code]],tblProducts[Code],tblProducts[Unit Cost],0)</f>
        <v>37000</v>
      </c>
      <c r="O2809" s="4" t="s">
        <v>4866</v>
      </c>
      <c r="P2809" s="4" t="s">
        <v>4860</v>
      </c>
      <c r="Q2809" s="1" t="str">
        <f>_xlfn.XLOOKUP(tblSales[[#This Row],[Channel Code]],tblChannels[Channel Code],tblChannels[Channel Name],"")</f>
        <v>In-store</v>
      </c>
      <c r="R2809" s="1">
        <f>MONTH(tblSales[[#This Row],[Date]])</f>
        <v>6</v>
      </c>
    </row>
    <row r="2810" spans="2:18" x14ac:dyDescent="0.35">
      <c r="B2810" s="113">
        <v>46191</v>
      </c>
      <c r="C2810" s="4" t="s">
        <v>1882</v>
      </c>
      <c r="D2810" s="4" t="s">
        <v>4634</v>
      </c>
      <c r="E2810" s="1" t="str">
        <f>_xlfn.XLOOKUP(tblSales[[#This Row],[Customer ID]],tblCustomers[Customer ID],tblCustomers[Customer Name],"⚠ Unknown")</f>
        <v>PT Delta Inti Selaras</v>
      </c>
      <c r="F2810" s="4" t="s">
        <v>8</v>
      </c>
      <c r="G2810" s="1" t="str">
        <f>_xlfn.XLOOKUP(tblSales[[#This Row],[Product Code]],tblProducts[Code],tblProducts[Product / Service Name],"⚠ Unknown")</f>
        <v>Casual Shorts</v>
      </c>
      <c r="H2810" s="1" t="str">
        <f>_xlfn.XLOOKUP(tblSales[[#This Row],[Product Code]],tblProducts[Code],tblProducts[Category],"")</f>
        <v>Accessories &amp; Basics</v>
      </c>
      <c r="I2810" s="4">
        <v>80</v>
      </c>
      <c r="J2810" s="5">
        <f>_xlfn.XLOOKUP(tblSales[[#This Row],[Product Code]],tblProducts[Code],tblProducts[Selling Price (excl. VAT)],0)</f>
        <v>85000</v>
      </c>
      <c r="K2810" s="5">
        <f>tblSales[[#This Row],[Qty]]*tblSales[[#This Row],[Unit Price]]</f>
        <v>6800000</v>
      </c>
      <c r="L2810" s="5">
        <f>ROUND(tblSales[[#This Row],[DPP (excl. VAT)]]*VATEff,0)</f>
        <v>748000</v>
      </c>
      <c r="M2810" s="5">
        <f>tblSales[[#This Row],[DPP (excl. VAT)]]+tblSales[[#This Row],[Output VAT]]</f>
        <v>7548000</v>
      </c>
      <c r="N2810" s="5">
        <f>tblSales[[#This Row],[Qty]]*_xlfn.XLOOKUP(tblSales[[#This Row],[Product Code]],tblProducts[Code],tblProducts[Unit Cost],0)</f>
        <v>4000000</v>
      </c>
      <c r="O2810" s="4" t="s">
        <v>4867</v>
      </c>
      <c r="P2810" s="4" t="s">
        <v>4860</v>
      </c>
      <c r="Q2810" s="1" t="str">
        <f>_xlfn.XLOOKUP(tblSales[[#This Row],[Channel Code]],tblChannels[Channel Code],tblChannels[Channel Name],"")</f>
        <v>In-store</v>
      </c>
      <c r="R2810" s="1">
        <f>MONTH(tblSales[[#This Row],[Date]])</f>
        <v>6</v>
      </c>
    </row>
    <row r="2811" spans="2:18" x14ac:dyDescent="0.35">
      <c r="B2811" s="113">
        <v>46191</v>
      </c>
      <c r="C2811" s="4" t="s">
        <v>1883</v>
      </c>
      <c r="D2811" s="4" t="s">
        <v>4568</v>
      </c>
      <c r="E2811" s="1" t="str">
        <f>_xlfn.XLOOKUP(tblSales[[#This Row],[Customer ID]],tblCustomers[Customer ID],tblCustomers[Customer Name],"⚠ Unknown")</f>
        <v>Walk-in Customer</v>
      </c>
      <c r="F2811" s="4" t="s">
        <v>11</v>
      </c>
      <c r="G2811" s="1" t="str">
        <f>_xlfn.XLOOKUP(tblSales[[#This Row],[Product Code]],tblProducts[Code],tblProducts[Product / Service Name],"⚠ Unknown")</f>
        <v>Sneakers</v>
      </c>
      <c r="H2811" s="1" t="str">
        <f>_xlfn.XLOOKUP(tblSales[[#This Row],[Product Code]],tblProducts[Code],tblProducts[Category],"")</f>
        <v>Apparel &amp; Footwear</v>
      </c>
      <c r="I2811" s="4">
        <v>6</v>
      </c>
      <c r="J2811" s="5">
        <f>_xlfn.XLOOKUP(tblSales[[#This Row],[Product Code]],tblProducts[Code],tblProducts[Selling Price (excl. VAT)],0)</f>
        <v>250000</v>
      </c>
      <c r="K2811" s="5">
        <f>tblSales[[#This Row],[Qty]]*tblSales[[#This Row],[Unit Price]]</f>
        <v>1500000</v>
      </c>
      <c r="L2811" s="5">
        <f>ROUND(tblSales[[#This Row],[DPP (excl. VAT)]]*VATEff,0)</f>
        <v>165000</v>
      </c>
      <c r="M2811" s="5">
        <f>tblSales[[#This Row],[DPP (excl. VAT)]]+tblSales[[#This Row],[Output VAT]]</f>
        <v>1665000</v>
      </c>
      <c r="N2811" s="5">
        <f>tblSales[[#This Row],[Qty]]*_xlfn.XLOOKUP(tblSales[[#This Row],[Product Code]],tblProducts[Code],tblProducts[Unit Cost],0)</f>
        <v>930000</v>
      </c>
      <c r="O2811" s="4" t="s">
        <v>4866</v>
      </c>
      <c r="P2811" s="4" t="s">
        <v>4861</v>
      </c>
      <c r="Q2811" s="1" t="str">
        <f>_xlfn.XLOOKUP(tblSales[[#This Row],[Channel Code]],tblChannels[Channel Code],tblChannels[Channel Name],"")</f>
        <v>Marketplace</v>
      </c>
      <c r="R2811" s="1">
        <f>MONTH(tblSales[[#This Row],[Date]])</f>
        <v>6</v>
      </c>
    </row>
    <row r="2812" spans="2:18" x14ac:dyDescent="0.35">
      <c r="B2812" s="113">
        <v>46191</v>
      </c>
      <c r="C2812" s="4" t="s">
        <v>1883</v>
      </c>
      <c r="D2812" s="4" t="s">
        <v>4568</v>
      </c>
      <c r="E2812" s="1" t="str">
        <f>_xlfn.XLOOKUP(tblSales[[#This Row],[Customer ID]],tblCustomers[Customer ID],tblCustomers[Customer Name],"⚠ Unknown")</f>
        <v>Walk-in Customer</v>
      </c>
      <c r="F2812" s="4" t="s">
        <v>6</v>
      </c>
      <c r="G2812" s="1" t="str">
        <f>_xlfn.XLOOKUP(tblSales[[#This Row],[Product Code]],tblProducts[Code],tblProducts[Product / Service Name],"⚠ Unknown")</f>
        <v>Socks &amp; Accessories</v>
      </c>
      <c r="H2812" s="1" t="str">
        <f>_xlfn.XLOOKUP(tblSales[[#This Row],[Product Code]],tblProducts[Code],tblProducts[Category],"")</f>
        <v>Accessories &amp; Basics</v>
      </c>
      <c r="I2812" s="4">
        <v>9</v>
      </c>
      <c r="J2812" s="5">
        <f>_xlfn.XLOOKUP(tblSales[[#This Row],[Product Code]],tblProducts[Code],tblProducts[Selling Price (excl. VAT)],0)</f>
        <v>45000</v>
      </c>
      <c r="K2812" s="5">
        <f>tblSales[[#This Row],[Qty]]*tblSales[[#This Row],[Unit Price]]</f>
        <v>405000</v>
      </c>
      <c r="L2812" s="5">
        <f>ROUND(tblSales[[#This Row],[DPP (excl. VAT)]]*VATEff,0)</f>
        <v>44550</v>
      </c>
      <c r="M2812" s="5">
        <f>tblSales[[#This Row],[DPP (excl. VAT)]]+tblSales[[#This Row],[Output VAT]]</f>
        <v>449550</v>
      </c>
      <c r="N2812" s="5">
        <f>tblSales[[#This Row],[Qty]]*_xlfn.XLOOKUP(tblSales[[#This Row],[Product Code]],tblProducts[Code],tblProducts[Unit Cost],0)</f>
        <v>216000</v>
      </c>
      <c r="O2812" s="4" t="s">
        <v>4866</v>
      </c>
      <c r="P2812" s="4" t="s">
        <v>4861</v>
      </c>
      <c r="Q2812" s="1" t="str">
        <f>_xlfn.XLOOKUP(tblSales[[#This Row],[Channel Code]],tblChannels[Channel Code],tblChannels[Channel Name],"")</f>
        <v>Marketplace</v>
      </c>
      <c r="R2812" s="1">
        <f>MONTH(tblSales[[#This Row],[Date]])</f>
        <v>6</v>
      </c>
    </row>
    <row r="2813" spans="2:18" x14ac:dyDescent="0.35">
      <c r="B2813" s="113">
        <v>46191</v>
      </c>
      <c r="C2813" s="4" t="s">
        <v>1884</v>
      </c>
      <c r="D2813" s="4" t="s">
        <v>4568</v>
      </c>
      <c r="E2813" s="1" t="str">
        <f>_xlfn.XLOOKUP(tblSales[[#This Row],[Customer ID]],tblCustomers[Customer ID],tblCustomers[Customer Name],"⚠ Unknown")</f>
        <v>Walk-in Customer</v>
      </c>
      <c r="F2813" s="4" t="s">
        <v>6</v>
      </c>
      <c r="G2813" s="1" t="str">
        <f>_xlfn.XLOOKUP(tblSales[[#This Row],[Product Code]],tblProducts[Code],tblProducts[Product / Service Name],"⚠ Unknown")</f>
        <v>Socks &amp; Accessories</v>
      </c>
      <c r="H2813" s="1" t="str">
        <f>_xlfn.XLOOKUP(tblSales[[#This Row],[Product Code]],tblProducts[Code],tblProducts[Category],"")</f>
        <v>Accessories &amp; Basics</v>
      </c>
      <c r="I2813" s="4">
        <v>1</v>
      </c>
      <c r="J2813" s="5">
        <f>_xlfn.XLOOKUP(tblSales[[#This Row],[Product Code]],tblProducts[Code],tblProducts[Selling Price (excl. VAT)],0)</f>
        <v>45000</v>
      </c>
      <c r="K2813" s="5">
        <f>tblSales[[#This Row],[Qty]]*tblSales[[#This Row],[Unit Price]]</f>
        <v>45000</v>
      </c>
      <c r="L2813" s="5">
        <f>ROUND(tblSales[[#This Row],[DPP (excl. VAT)]]*VATEff,0)</f>
        <v>4950</v>
      </c>
      <c r="M2813" s="5">
        <f>tblSales[[#This Row],[DPP (excl. VAT)]]+tblSales[[#This Row],[Output VAT]]</f>
        <v>49950</v>
      </c>
      <c r="N2813" s="5">
        <f>tblSales[[#This Row],[Qty]]*_xlfn.XLOOKUP(tblSales[[#This Row],[Product Code]],tblProducts[Code],tblProducts[Unit Cost],0)</f>
        <v>24000</v>
      </c>
      <c r="O2813" s="4" t="s">
        <v>4865</v>
      </c>
      <c r="P2813" s="4" t="s">
        <v>4860</v>
      </c>
      <c r="Q2813" s="1" t="str">
        <f>_xlfn.XLOOKUP(tblSales[[#This Row],[Channel Code]],tblChannels[Channel Code],tblChannels[Channel Name],"")</f>
        <v>In-store</v>
      </c>
      <c r="R2813" s="1">
        <f>MONTH(tblSales[[#This Row],[Date]])</f>
        <v>6</v>
      </c>
    </row>
    <row r="2814" spans="2:18" x14ac:dyDescent="0.35">
      <c r="B2814" s="113">
        <v>46191</v>
      </c>
      <c r="C2814" s="4" t="s">
        <v>1884</v>
      </c>
      <c r="D2814" s="4" t="s">
        <v>4568</v>
      </c>
      <c r="E2814" s="1" t="str">
        <f>_xlfn.XLOOKUP(tblSales[[#This Row],[Customer ID]],tblCustomers[Customer ID],tblCustomers[Customer Name],"⚠ Unknown")</f>
        <v>Walk-in Customer</v>
      </c>
      <c r="F2814" s="4" t="s">
        <v>10</v>
      </c>
      <c r="G2814" s="1" t="str">
        <f>_xlfn.XLOOKUP(tblSales[[#This Row],[Product Code]],tblProducts[Code],tblProducts[Product / Service Name],"⚠ Unknown")</f>
        <v>Chino Pants</v>
      </c>
      <c r="H2814" s="1" t="str">
        <f>_xlfn.XLOOKUP(tblSales[[#This Row],[Product Code]],tblProducts[Code],tblProducts[Category],"")</f>
        <v>Apparel &amp; Footwear</v>
      </c>
      <c r="I2814" s="4">
        <v>3</v>
      </c>
      <c r="J2814" s="5">
        <f>_xlfn.XLOOKUP(tblSales[[#This Row],[Product Code]],tblProducts[Code],tblProducts[Selling Price (excl. VAT)],0)</f>
        <v>150000</v>
      </c>
      <c r="K2814" s="5">
        <f>tblSales[[#This Row],[Qty]]*tblSales[[#This Row],[Unit Price]]</f>
        <v>450000</v>
      </c>
      <c r="L2814" s="5">
        <f>ROUND(tblSales[[#This Row],[DPP (excl. VAT)]]*VATEff,0)</f>
        <v>49500</v>
      </c>
      <c r="M2814" s="5">
        <f>tblSales[[#This Row],[DPP (excl. VAT)]]+tblSales[[#This Row],[Output VAT]]</f>
        <v>499500</v>
      </c>
      <c r="N2814" s="5">
        <f>tblSales[[#This Row],[Qty]]*_xlfn.XLOOKUP(tblSales[[#This Row],[Product Code]],tblProducts[Code],tblProducts[Unit Cost],0)</f>
        <v>264000</v>
      </c>
      <c r="O2814" s="4" t="s">
        <v>4865</v>
      </c>
      <c r="P2814" s="4" t="s">
        <v>4860</v>
      </c>
      <c r="Q2814" s="1" t="str">
        <f>_xlfn.XLOOKUP(tblSales[[#This Row],[Channel Code]],tblChannels[Channel Code],tblChannels[Channel Name],"")</f>
        <v>In-store</v>
      </c>
      <c r="R2814" s="1">
        <f>MONTH(tblSales[[#This Row],[Date]])</f>
        <v>6</v>
      </c>
    </row>
    <row r="2815" spans="2:18" x14ac:dyDescent="0.35">
      <c r="B2815" s="113">
        <v>46191</v>
      </c>
      <c r="C2815" s="4" t="s">
        <v>1885</v>
      </c>
      <c r="D2815" s="4" t="s">
        <v>4627</v>
      </c>
      <c r="E2815" s="1" t="str">
        <f>_xlfn.XLOOKUP(tblSales[[#This Row],[Customer ID]],tblCustomers[Customer ID],tblCustomers[Customer Name],"⚠ Unknown")</f>
        <v>PT Kencana Wira Usaha</v>
      </c>
      <c r="F2815" s="4" t="s">
        <v>7</v>
      </c>
      <c r="G2815" s="1" t="str">
        <f>_xlfn.XLOOKUP(tblSales[[#This Row],[Product Code]],tblProducts[Code],tblProducts[Product / Service Name],"⚠ Unknown")</f>
        <v>Premium Basic T-shirt</v>
      </c>
      <c r="H2815" s="1" t="str">
        <f>_xlfn.XLOOKUP(tblSales[[#This Row],[Product Code]],tblProducts[Code],tblProducts[Category],"")</f>
        <v>Accessories &amp; Basics</v>
      </c>
      <c r="I2815" s="4">
        <v>40</v>
      </c>
      <c r="J2815" s="5">
        <f>_xlfn.XLOOKUP(tblSales[[#This Row],[Product Code]],tblProducts[Code],tblProducts[Selling Price (excl. VAT)],0)</f>
        <v>65000</v>
      </c>
      <c r="K2815" s="5">
        <f>tblSales[[#This Row],[Qty]]*tblSales[[#This Row],[Unit Price]]</f>
        <v>2600000</v>
      </c>
      <c r="L2815" s="5">
        <f>ROUND(tblSales[[#This Row],[DPP (excl. VAT)]]*VATEff,0)</f>
        <v>286000</v>
      </c>
      <c r="M2815" s="5">
        <f>tblSales[[#This Row],[DPP (excl. VAT)]]+tblSales[[#This Row],[Output VAT]]</f>
        <v>2886000</v>
      </c>
      <c r="N2815" s="5">
        <f>tblSales[[#This Row],[Qty]]*_xlfn.XLOOKUP(tblSales[[#This Row],[Product Code]],tblProducts[Code],tblProducts[Unit Cost],0)</f>
        <v>1480000</v>
      </c>
      <c r="O2815" s="4" t="s">
        <v>4867</v>
      </c>
      <c r="P2815" s="4" t="s">
        <v>4860</v>
      </c>
      <c r="Q2815" s="1" t="str">
        <f>_xlfn.XLOOKUP(tblSales[[#This Row],[Channel Code]],tblChannels[Channel Code],tblChannels[Channel Name],"")</f>
        <v>In-store</v>
      </c>
      <c r="R2815" s="1">
        <f>MONTH(tblSales[[#This Row],[Date]])</f>
        <v>6</v>
      </c>
    </row>
    <row r="2816" spans="2:18" x14ac:dyDescent="0.35">
      <c r="B2816" s="113">
        <v>46191</v>
      </c>
      <c r="C2816" s="4" t="s">
        <v>1886</v>
      </c>
      <c r="D2816" s="4" t="s">
        <v>4568</v>
      </c>
      <c r="E2816" s="1" t="str">
        <f>_xlfn.XLOOKUP(tblSales[[#This Row],[Customer ID]],tblCustomers[Customer ID],tblCustomers[Customer Name],"⚠ Unknown")</f>
        <v>Walk-in Customer</v>
      </c>
      <c r="F2816" s="4" t="s">
        <v>9</v>
      </c>
      <c r="G2816" s="1" t="str">
        <f>_xlfn.XLOOKUP(tblSales[[#This Row],[Product Code]],tblProducts[Code],tblProducts[Product / Service Name],"⚠ Unknown")</f>
        <v>Casual Shirt</v>
      </c>
      <c r="H2816" s="1" t="str">
        <f>_xlfn.XLOOKUP(tblSales[[#This Row],[Product Code]],tblProducts[Code],tblProducts[Category],"")</f>
        <v>Apparel &amp; Footwear</v>
      </c>
      <c r="I2816" s="4">
        <v>4</v>
      </c>
      <c r="J2816" s="5">
        <f>_xlfn.XLOOKUP(tblSales[[#This Row],[Product Code]],tblProducts[Code],tblProducts[Selling Price (excl. VAT)],0)</f>
        <v>120000</v>
      </c>
      <c r="K2816" s="5">
        <f>tblSales[[#This Row],[Qty]]*tblSales[[#This Row],[Unit Price]]</f>
        <v>480000</v>
      </c>
      <c r="L2816" s="5">
        <f>ROUND(tblSales[[#This Row],[DPP (excl. VAT)]]*VATEff,0)</f>
        <v>52800</v>
      </c>
      <c r="M2816" s="5">
        <f>tblSales[[#This Row],[DPP (excl. VAT)]]+tblSales[[#This Row],[Output VAT]]</f>
        <v>532800</v>
      </c>
      <c r="N2816" s="5">
        <f>tblSales[[#This Row],[Qty]]*_xlfn.XLOOKUP(tblSales[[#This Row],[Product Code]],tblProducts[Code],tblProducts[Unit Cost],0)</f>
        <v>288000</v>
      </c>
      <c r="O2816" s="4" t="s">
        <v>4866</v>
      </c>
      <c r="P2816" s="4" t="s">
        <v>4861</v>
      </c>
      <c r="Q2816" s="1" t="str">
        <f>_xlfn.XLOOKUP(tblSales[[#This Row],[Channel Code]],tblChannels[Channel Code],tblChannels[Channel Name],"")</f>
        <v>Marketplace</v>
      </c>
      <c r="R2816" s="1">
        <f>MONTH(tblSales[[#This Row],[Date]])</f>
        <v>6</v>
      </c>
    </row>
    <row r="2817" spans="2:18" x14ac:dyDescent="0.35">
      <c r="B2817" s="113">
        <v>46191</v>
      </c>
      <c r="C2817" s="4" t="s">
        <v>1887</v>
      </c>
      <c r="D2817" s="4" t="s">
        <v>4568</v>
      </c>
      <c r="E2817" s="1" t="str">
        <f>_xlfn.XLOOKUP(tblSales[[#This Row],[Customer ID]],tblCustomers[Customer ID],tblCustomers[Customer Name],"⚠ Unknown")</f>
        <v>Walk-in Customer</v>
      </c>
      <c r="F2817" s="4" t="s">
        <v>10</v>
      </c>
      <c r="G2817" s="1" t="str">
        <f>_xlfn.XLOOKUP(tblSales[[#This Row],[Product Code]],tblProducts[Code],tblProducts[Product / Service Name],"⚠ Unknown")</f>
        <v>Chino Pants</v>
      </c>
      <c r="H2817" s="1" t="str">
        <f>_xlfn.XLOOKUP(tblSales[[#This Row],[Product Code]],tblProducts[Code],tblProducts[Category],"")</f>
        <v>Apparel &amp; Footwear</v>
      </c>
      <c r="I2817" s="4">
        <v>4</v>
      </c>
      <c r="J2817" s="5">
        <f>_xlfn.XLOOKUP(tblSales[[#This Row],[Product Code]],tblProducts[Code],tblProducts[Selling Price (excl. VAT)],0)</f>
        <v>150000</v>
      </c>
      <c r="K2817" s="5">
        <f>tblSales[[#This Row],[Qty]]*tblSales[[#This Row],[Unit Price]]</f>
        <v>600000</v>
      </c>
      <c r="L2817" s="5">
        <f>ROUND(tblSales[[#This Row],[DPP (excl. VAT)]]*VATEff,0)</f>
        <v>66000</v>
      </c>
      <c r="M2817" s="5">
        <f>tblSales[[#This Row],[DPP (excl. VAT)]]+tblSales[[#This Row],[Output VAT]]</f>
        <v>666000</v>
      </c>
      <c r="N2817" s="5">
        <f>tblSales[[#This Row],[Qty]]*_xlfn.XLOOKUP(tblSales[[#This Row],[Product Code]],tblProducts[Code],tblProducts[Unit Cost],0)</f>
        <v>352000</v>
      </c>
      <c r="O2817" s="4" t="s">
        <v>4865</v>
      </c>
      <c r="P2817" s="4" t="s">
        <v>4860</v>
      </c>
      <c r="Q2817" s="1" t="str">
        <f>_xlfn.XLOOKUP(tblSales[[#This Row],[Channel Code]],tblChannels[Channel Code],tblChannels[Channel Name],"")</f>
        <v>In-store</v>
      </c>
      <c r="R2817" s="1">
        <f>MONTH(tblSales[[#This Row],[Date]])</f>
        <v>6</v>
      </c>
    </row>
    <row r="2818" spans="2:18" x14ac:dyDescent="0.35">
      <c r="B2818" s="113">
        <v>46191</v>
      </c>
      <c r="C2818" s="4" t="s">
        <v>1888</v>
      </c>
      <c r="D2818" s="4" t="s">
        <v>4568</v>
      </c>
      <c r="E2818" s="1" t="str">
        <f>_xlfn.XLOOKUP(tblSales[[#This Row],[Customer ID]],tblCustomers[Customer ID],tblCustomers[Customer Name],"⚠ Unknown")</f>
        <v>Walk-in Customer</v>
      </c>
      <c r="F2818" s="4" t="s">
        <v>7</v>
      </c>
      <c r="G2818" s="1" t="str">
        <f>_xlfn.XLOOKUP(tblSales[[#This Row],[Product Code]],tblProducts[Code],tblProducts[Product / Service Name],"⚠ Unknown")</f>
        <v>Premium Basic T-shirt</v>
      </c>
      <c r="H2818" s="1" t="str">
        <f>_xlfn.XLOOKUP(tblSales[[#This Row],[Product Code]],tblProducts[Code],tblProducts[Category],"")</f>
        <v>Accessories &amp; Basics</v>
      </c>
      <c r="I2818" s="4">
        <v>12</v>
      </c>
      <c r="J2818" s="5">
        <f>_xlfn.XLOOKUP(tblSales[[#This Row],[Product Code]],tblProducts[Code],tblProducts[Selling Price (excl. VAT)],0)</f>
        <v>65000</v>
      </c>
      <c r="K2818" s="5">
        <f>tblSales[[#This Row],[Qty]]*tblSales[[#This Row],[Unit Price]]</f>
        <v>780000</v>
      </c>
      <c r="L2818" s="5">
        <f>ROUND(tblSales[[#This Row],[DPP (excl. VAT)]]*VATEff,0)</f>
        <v>85800</v>
      </c>
      <c r="M2818" s="5">
        <f>tblSales[[#This Row],[DPP (excl. VAT)]]+tblSales[[#This Row],[Output VAT]]</f>
        <v>865800</v>
      </c>
      <c r="N2818" s="5">
        <f>tblSales[[#This Row],[Qty]]*_xlfn.XLOOKUP(tblSales[[#This Row],[Product Code]],tblProducts[Code],tblProducts[Unit Cost],0)</f>
        <v>444000</v>
      </c>
      <c r="O2818" s="4" t="s">
        <v>4865</v>
      </c>
      <c r="P2818" s="4" t="s">
        <v>4860</v>
      </c>
      <c r="Q2818" s="1" t="str">
        <f>_xlfn.XLOOKUP(tblSales[[#This Row],[Channel Code]],tblChannels[Channel Code],tblChannels[Channel Name],"")</f>
        <v>In-store</v>
      </c>
      <c r="R2818" s="1">
        <f>MONTH(tblSales[[#This Row],[Date]])</f>
        <v>6</v>
      </c>
    </row>
    <row r="2819" spans="2:18" x14ac:dyDescent="0.35">
      <c r="B2819" s="113">
        <v>46191</v>
      </c>
      <c r="C2819" s="4" t="s">
        <v>1888</v>
      </c>
      <c r="D2819" s="4" t="s">
        <v>4568</v>
      </c>
      <c r="E2819" s="1" t="str">
        <f>_xlfn.XLOOKUP(tblSales[[#This Row],[Customer ID]],tblCustomers[Customer ID],tblCustomers[Customer Name],"⚠ Unknown")</f>
        <v>Walk-in Customer</v>
      </c>
      <c r="F2819" s="4" t="s">
        <v>9</v>
      </c>
      <c r="G2819" s="1" t="str">
        <f>_xlfn.XLOOKUP(tblSales[[#This Row],[Product Code]],tblProducts[Code],tblProducts[Product / Service Name],"⚠ Unknown")</f>
        <v>Casual Shirt</v>
      </c>
      <c r="H2819" s="1" t="str">
        <f>_xlfn.XLOOKUP(tblSales[[#This Row],[Product Code]],tblProducts[Code],tblProducts[Category],"")</f>
        <v>Apparel &amp; Footwear</v>
      </c>
      <c r="I2819" s="4">
        <v>12</v>
      </c>
      <c r="J2819" s="5">
        <f>_xlfn.XLOOKUP(tblSales[[#This Row],[Product Code]],tblProducts[Code],tblProducts[Selling Price (excl. VAT)],0)</f>
        <v>120000</v>
      </c>
      <c r="K2819" s="5">
        <f>tblSales[[#This Row],[Qty]]*tblSales[[#This Row],[Unit Price]]</f>
        <v>1440000</v>
      </c>
      <c r="L2819" s="5">
        <f>ROUND(tblSales[[#This Row],[DPP (excl. VAT)]]*VATEff,0)</f>
        <v>158400</v>
      </c>
      <c r="M2819" s="5">
        <f>tblSales[[#This Row],[DPP (excl. VAT)]]+tblSales[[#This Row],[Output VAT]]</f>
        <v>1598400</v>
      </c>
      <c r="N2819" s="5">
        <f>tblSales[[#This Row],[Qty]]*_xlfn.XLOOKUP(tblSales[[#This Row],[Product Code]],tblProducts[Code],tblProducts[Unit Cost],0)</f>
        <v>864000</v>
      </c>
      <c r="O2819" s="4" t="s">
        <v>4865</v>
      </c>
      <c r="P2819" s="4" t="s">
        <v>4860</v>
      </c>
      <c r="Q2819" s="1" t="str">
        <f>_xlfn.XLOOKUP(tblSales[[#This Row],[Channel Code]],tblChannels[Channel Code],tblChannels[Channel Name],"")</f>
        <v>In-store</v>
      </c>
      <c r="R2819" s="1">
        <f>MONTH(tblSales[[#This Row],[Date]])</f>
        <v>6</v>
      </c>
    </row>
    <row r="2820" spans="2:18" x14ac:dyDescent="0.35">
      <c r="B2820" s="113">
        <v>46191</v>
      </c>
      <c r="C2820" s="4" t="s">
        <v>1889</v>
      </c>
      <c r="D2820" s="4" t="s">
        <v>4627</v>
      </c>
      <c r="E2820" s="1" t="str">
        <f>_xlfn.XLOOKUP(tblSales[[#This Row],[Customer ID]],tblCustomers[Customer ID],tblCustomers[Customer Name],"⚠ Unknown")</f>
        <v>PT Kencana Wira Usaha</v>
      </c>
      <c r="F2820" s="4" t="s">
        <v>12</v>
      </c>
      <c r="G2820" s="1" t="str">
        <f>_xlfn.XLOOKUP(tblSales[[#This Row],[Product Code]],tblProducts[Code],tblProducts[Product / Service Name],"⚠ Unknown")</f>
        <v>Bomber Jacket</v>
      </c>
      <c r="H2820" s="1" t="str">
        <f>_xlfn.XLOOKUP(tblSales[[#This Row],[Product Code]],tblProducts[Code],tblProducts[Category],"")</f>
        <v>Apparel &amp; Footwear</v>
      </c>
      <c r="I2820" s="4">
        <v>24</v>
      </c>
      <c r="J2820" s="5">
        <f>_xlfn.XLOOKUP(tblSales[[#This Row],[Product Code]],tblProducts[Code],tblProducts[Selling Price (excl. VAT)],0)</f>
        <v>350000</v>
      </c>
      <c r="K2820" s="5">
        <f>tblSales[[#This Row],[Qty]]*tblSales[[#This Row],[Unit Price]]</f>
        <v>8400000</v>
      </c>
      <c r="L2820" s="5">
        <f>ROUND(tblSales[[#This Row],[DPP (excl. VAT)]]*VATEff,0)</f>
        <v>924000</v>
      </c>
      <c r="M2820" s="5">
        <f>tblSales[[#This Row],[DPP (excl. VAT)]]+tblSales[[#This Row],[Output VAT]]</f>
        <v>9324000</v>
      </c>
      <c r="N2820" s="5">
        <f>tblSales[[#This Row],[Qty]]*_xlfn.XLOOKUP(tblSales[[#This Row],[Product Code]],tblProducts[Code],tblProducts[Unit Cost],0)</f>
        <v>5040000</v>
      </c>
      <c r="O2820" s="4" t="s">
        <v>4867</v>
      </c>
      <c r="P2820" s="4" t="s">
        <v>4860</v>
      </c>
      <c r="Q2820" s="1" t="str">
        <f>_xlfn.XLOOKUP(tblSales[[#This Row],[Channel Code]],tblChannels[Channel Code],tblChannels[Channel Name],"")</f>
        <v>In-store</v>
      </c>
      <c r="R2820" s="1">
        <f>MONTH(tblSales[[#This Row],[Date]])</f>
        <v>6</v>
      </c>
    </row>
    <row r="2821" spans="2:18" x14ac:dyDescent="0.35">
      <c r="B2821" s="113">
        <v>46191</v>
      </c>
      <c r="C2821" s="4" t="s">
        <v>1890</v>
      </c>
      <c r="D2821" s="4" t="s">
        <v>4568</v>
      </c>
      <c r="E2821" s="1" t="str">
        <f>_xlfn.XLOOKUP(tblSales[[#This Row],[Customer ID]],tblCustomers[Customer ID],tblCustomers[Customer Name],"⚠ Unknown")</f>
        <v>Walk-in Customer</v>
      </c>
      <c r="F2821" s="4" t="s">
        <v>8</v>
      </c>
      <c r="G2821" s="1" t="str">
        <f>_xlfn.XLOOKUP(tblSales[[#This Row],[Product Code]],tblProducts[Code],tblProducts[Product / Service Name],"⚠ Unknown")</f>
        <v>Casual Shorts</v>
      </c>
      <c r="H2821" s="1" t="str">
        <f>_xlfn.XLOOKUP(tblSales[[#This Row],[Product Code]],tblProducts[Code],tblProducts[Category],"")</f>
        <v>Accessories &amp; Basics</v>
      </c>
      <c r="I2821" s="4">
        <v>3</v>
      </c>
      <c r="J2821" s="5">
        <f>_xlfn.XLOOKUP(tblSales[[#This Row],[Product Code]],tblProducts[Code],tblProducts[Selling Price (excl. VAT)],0)</f>
        <v>85000</v>
      </c>
      <c r="K2821" s="5">
        <f>tblSales[[#This Row],[Qty]]*tblSales[[#This Row],[Unit Price]]</f>
        <v>255000</v>
      </c>
      <c r="L2821" s="5">
        <f>ROUND(tblSales[[#This Row],[DPP (excl. VAT)]]*VATEff,0)</f>
        <v>28050</v>
      </c>
      <c r="M2821" s="5">
        <f>tblSales[[#This Row],[DPP (excl. VAT)]]+tblSales[[#This Row],[Output VAT]]</f>
        <v>283050</v>
      </c>
      <c r="N2821" s="5">
        <f>tblSales[[#This Row],[Qty]]*_xlfn.XLOOKUP(tblSales[[#This Row],[Product Code]],tblProducts[Code],tblProducts[Unit Cost],0)</f>
        <v>150000</v>
      </c>
      <c r="O2821" s="4" t="s">
        <v>4865</v>
      </c>
      <c r="P2821" s="4" t="s">
        <v>4860</v>
      </c>
      <c r="Q2821" s="1" t="str">
        <f>_xlfn.XLOOKUP(tblSales[[#This Row],[Channel Code]],tblChannels[Channel Code],tblChannels[Channel Name],"")</f>
        <v>In-store</v>
      </c>
      <c r="R2821" s="1">
        <f>MONTH(tblSales[[#This Row],[Date]])</f>
        <v>6</v>
      </c>
    </row>
    <row r="2822" spans="2:18" x14ac:dyDescent="0.35">
      <c r="B2822" s="113">
        <v>46191</v>
      </c>
      <c r="C2822" s="4" t="s">
        <v>1891</v>
      </c>
      <c r="D2822" s="4" t="s">
        <v>4568</v>
      </c>
      <c r="E2822" s="1" t="str">
        <f>_xlfn.XLOOKUP(tblSales[[#This Row],[Customer ID]],tblCustomers[Customer ID],tblCustomers[Customer Name],"⚠ Unknown")</f>
        <v>Walk-in Customer</v>
      </c>
      <c r="F2822" s="4" t="s">
        <v>12</v>
      </c>
      <c r="G2822" s="1" t="str">
        <f>_xlfn.XLOOKUP(tblSales[[#This Row],[Product Code]],tblProducts[Code],tblProducts[Product / Service Name],"⚠ Unknown")</f>
        <v>Bomber Jacket</v>
      </c>
      <c r="H2822" s="1" t="str">
        <f>_xlfn.XLOOKUP(tblSales[[#This Row],[Product Code]],tblProducts[Code],tblProducts[Category],"")</f>
        <v>Apparel &amp; Footwear</v>
      </c>
      <c r="I2822" s="4">
        <v>6</v>
      </c>
      <c r="J2822" s="5">
        <f>_xlfn.XLOOKUP(tblSales[[#This Row],[Product Code]],tblProducts[Code],tblProducts[Selling Price (excl. VAT)],0)</f>
        <v>350000</v>
      </c>
      <c r="K2822" s="5">
        <f>tblSales[[#This Row],[Qty]]*tblSales[[#This Row],[Unit Price]]</f>
        <v>2100000</v>
      </c>
      <c r="L2822" s="5">
        <f>ROUND(tblSales[[#This Row],[DPP (excl. VAT)]]*VATEff,0)</f>
        <v>231000</v>
      </c>
      <c r="M2822" s="5">
        <f>tblSales[[#This Row],[DPP (excl. VAT)]]+tblSales[[#This Row],[Output VAT]]</f>
        <v>2331000</v>
      </c>
      <c r="N2822" s="5">
        <f>tblSales[[#This Row],[Qty]]*_xlfn.XLOOKUP(tblSales[[#This Row],[Product Code]],tblProducts[Code],tblProducts[Unit Cost],0)</f>
        <v>1260000</v>
      </c>
      <c r="O2822" s="4" t="s">
        <v>4865</v>
      </c>
      <c r="P2822" s="4" t="s">
        <v>4860</v>
      </c>
      <c r="Q2822" s="1" t="str">
        <f>_xlfn.XLOOKUP(tblSales[[#This Row],[Channel Code]],tblChannels[Channel Code],tblChannels[Channel Name],"")</f>
        <v>In-store</v>
      </c>
      <c r="R2822" s="1">
        <f>MONTH(tblSales[[#This Row],[Date]])</f>
        <v>6</v>
      </c>
    </row>
    <row r="2823" spans="2:18" x14ac:dyDescent="0.35">
      <c r="B2823" s="113">
        <v>46192</v>
      </c>
      <c r="C2823" s="4" t="s">
        <v>1892</v>
      </c>
      <c r="D2823" s="4" t="s">
        <v>4568</v>
      </c>
      <c r="E2823" s="1" t="str">
        <f>_xlfn.XLOOKUP(tblSales[[#This Row],[Customer ID]],tblCustomers[Customer ID],tblCustomers[Customer Name],"⚠ Unknown")</f>
        <v>Walk-in Customer</v>
      </c>
      <c r="F2823" s="4" t="s">
        <v>10</v>
      </c>
      <c r="G2823" s="1" t="str">
        <f>_xlfn.XLOOKUP(tblSales[[#This Row],[Product Code]],tblProducts[Code],tblProducts[Product / Service Name],"⚠ Unknown")</f>
        <v>Chino Pants</v>
      </c>
      <c r="H2823" s="1" t="str">
        <f>_xlfn.XLOOKUP(tblSales[[#This Row],[Product Code]],tblProducts[Code],tblProducts[Category],"")</f>
        <v>Apparel &amp; Footwear</v>
      </c>
      <c r="I2823" s="4">
        <v>1</v>
      </c>
      <c r="J2823" s="5">
        <f>_xlfn.XLOOKUP(tblSales[[#This Row],[Product Code]],tblProducts[Code],tblProducts[Selling Price (excl. VAT)],0)</f>
        <v>150000</v>
      </c>
      <c r="K2823" s="5">
        <f>tblSales[[#This Row],[Qty]]*tblSales[[#This Row],[Unit Price]]</f>
        <v>150000</v>
      </c>
      <c r="L2823" s="5">
        <f>ROUND(tblSales[[#This Row],[DPP (excl. VAT)]]*VATEff,0)</f>
        <v>16500</v>
      </c>
      <c r="M2823" s="5">
        <f>tblSales[[#This Row],[DPP (excl. VAT)]]+tblSales[[#This Row],[Output VAT]]</f>
        <v>166500</v>
      </c>
      <c r="N2823" s="5">
        <f>tblSales[[#This Row],[Qty]]*_xlfn.XLOOKUP(tblSales[[#This Row],[Product Code]],tblProducts[Code],tblProducts[Unit Cost],0)</f>
        <v>88000</v>
      </c>
      <c r="O2823" s="4" t="s">
        <v>4865</v>
      </c>
      <c r="P2823" s="4" t="s">
        <v>4860</v>
      </c>
      <c r="Q2823" s="1" t="str">
        <f>_xlfn.XLOOKUP(tblSales[[#This Row],[Channel Code]],tblChannels[Channel Code],tblChannels[Channel Name],"")</f>
        <v>In-store</v>
      </c>
      <c r="R2823" s="1">
        <f>MONTH(tblSales[[#This Row],[Date]])</f>
        <v>6</v>
      </c>
    </row>
    <row r="2824" spans="2:18" x14ac:dyDescent="0.35">
      <c r="B2824" s="113">
        <v>46192</v>
      </c>
      <c r="C2824" s="4" t="s">
        <v>1893</v>
      </c>
      <c r="D2824" s="4" t="s">
        <v>4593</v>
      </c>
      <c r="E2824" s="1" t="str">
        <f>_xlfn.XLOOKUP(tblSales[[#This Row],[Customer ID]],tblCustomers[Customer ID],tblCustomers[Customer Name],"⚠ Unknown")</f>
        <v>PT Graha Nusa Persada</v>
      </c>
      <c r="F2824" s="4" t="s">
        <v>13</v>
      </c>
      <c r="G2824" s="1" t="str">
        <f>_xlfn.XLOOKUP(tblSales[[#This Row],[Product Code]],tblProducts[Code],tblProducts[Product / Service Name],"⚠ Unknown")</f>
        <v>Backpack</v>
      </c>
      <c r="H2824" s="1" t="str">
        <f>_xlfn.XLOOKUP(tblSales[[#This Row],[Product Code]],tblProducts[Code],tblProducts[Category],"")</f>
        <v>Bags &amp; Gadgets</v>
      </c>
      <c r="I2824" s="4">
        <v>40</v>
      </c>
      <c r="J2824" s="5">
        <f>_xlfn.XLOOKUP(tblSales[[#This Row],[Product Code]],tblProducts[Code],tblProducts[Selling Price (excl. VAT)],0)</f>
        <v>500000</v>
      </c>
      <c r="K2824" s="5">
        <f>tblSales[[#This Row],[Qty]]*tblSales[[#This Row],[Unit Price]]</f>
        <v>20000000</v>
      </c>
      <c r="L2824" s="5">
        <f>ROUND(tblSales[[#This Row],[DPP (excl. VAT)]]*VATEff,0)</f>
        <v>2200000</v>
      </c>
      <c r="M2824" s="5">
        <f>tblSales[[#This Row],[DPP (excl. VAT)]]+tblSales[[#This Row],[Output VAT]]</f>
        <v>22200000</v>
      </c>
      <c r="N2824" s="5">
        <f>tblSales[[#This Row],[Qty]]*_xlfn.XLOOKUP(tblSales[[#This Row],[Product Code]],tblProducts[Code],tblProducts[Unit Cost],0)</f>
        <v>11600000</v>
      </c>
      <c r="O2824" s="4" t="s">
        <v>4867</v>
      </c>
      <c r="P2824" s="4" t="s">
        <v>4860</v>
      </c>
      <c r="Q2824" s="1" t="str">
        <f>_xlfn.XLOOKUP(tblSales[[#This Row],[Channel Code]],tblChannels[Channel Code],tblChannels[Channel Name],"")</f>
        <v>In-store</v>
      </c>
      <c r="R2824" s="1">
        <f>MONTH(tblSales[[#This Row],[Date]])</f>
        <v>6</v>
      </c>
    </row>
    <row r="2825" spans="2:18" x14ac:dyDescent="0.35">
      <c r="B2825" s="113">
        <v>46192</v>
      </c>
      <c r="C2825" s="4" t="s">
        <v>1894</v>
      </c>
      <c r="D2825" s="4" t="s">
        <v>4568</v>
      </c>
      <c r="E2825" s="1" t="str">
        <f>_xlfn.XLOOKUP(tblSales[[#This Row],[Customer ID]],tblCustomers[Customer ID],tblCustomers[Customer Name],"⚠ Unknown")</f>
        <v>Walk-in Customer</v>
      </c>
      <c r="F2825" s="4" t="s">
        <v>7</v>
      </c>
      <c r="G2825" s="1" t="str">
        <f>_xlfn.XLOOKUP(tblSales[[#This Row],[Product Code]],tblProducts[Code],tblProducts[Product / Service Name],"⚠ Unknown")</f>
        <v>Premium Basic T-shirt</v>
      </c>
      <c r="H2825" s="1" t="str">
        <f>_xlfn.XLOOKUP(tblSales[[#This Row],[Product Code]],tblProducts[Code],tblProducts[Category],"")</f>
        <v>Accessories &amp; Basics</v>
      </c>
      <c r="I2825" s="4">
        <v>4</v>
      </c>
      <c r="J2825" s="5">
        <f>_xlfn.XLOOKUP(tblSales[[#This Row],[Product Code]],tblProducts[Code],tblProducts[Selling Price (excl. VAT)],0)</f>
        <v>65000</v>
      </c>
      <c r="K2825" s="5">
        <f>tblSales[[#This Row],[Qty]]*tblSales[[#This Row],[Unit Price]]</f>
        <v>260000</v>
      </c>
      <c r="L2825" s="5">
        <f>ROUND(tblSales[[#This Row],[DPP (excl. VAT)]]*VATEff,0)</f>
        <v>28600</v>
      </c>
      <c r="M2825" s="5">
        <f>tblSales[[#This Row],[DPP (excl. VAT)]]+tblSales[[#This Row],[Output VAT]]</f>
        <v>288600</v>
      </c>
      <c r="N2825" s="5">
        <f>tblSales[[#This Row],[Qty]]*_xlfn.XLOOKUP(tblSales[[#This Row],[Product Code]],tblProducts[Code],tblProducts[Unit Cost],0)</f>
        <v>148000</v>
      </c>
      <c r="O2825" s="4" t="s">
        <v>4866</v>
      </c>
      <c r="P2825" s="4" t="s">
        <v>4860</v>
      </c>
      <c r="Q2825" s="1" t="str">
        <f>_xlfn.XLOOKUP(tblSales[[#This Row],[Channel Code]],tblChannels[Channel Code],tblChannels[Channel Name],"")</f>
        <v>In-store</v>
      </c>
      <c r="R2825" s="1">
        <f>MONTH(tblSales[[#This Row],[Date]])</f>
        <v>6</v>
      </c>
    </row>
    <row r="2826" spans="2:18" x14ac:dyDescent="0.35">
      <c r="B2826" s="113">
        <v>46192</v>
      </c>
      <c r="C2826" s="4" t="s">
        <v>1895</v>
      </c>
      <c r="D2826" s="4" t="s">
        <v>4627</v>
      </c>
      <c r="E2826" s="1" t="str">
        <f>_xlfn.XLOOKUP(tblSales[[#This Row],[Customer ID]],tblCustomers[Customer ID],tblCustomers[Customer Name],"⚠ Unknown")</f>
        <v>PT Kencana Wira Usaha</v>
      </c>
      <c r="F2826" s="4" t="s">
        <v>14</v>
      </c>
      <c r="G2826" s="1" t="str">
        <f>_xlfn.XLOOKUP(tblSales[[#This Row],[Product Code]],tblProducts[Code],tblProducts[Product / Service Name],"⚠ Unknown")</f>
        <v>Smartwatch</v>
      </c>
      <c r="H2826" s="1" t="str">
        <f>_xlfn.XLOOKUP(tblSales[[#This Row],[Product Code]],tblProducts[Code],tblProducts[Category],"")</f>
        <v>Bags &amp; Gadgets</v>
      </c>
      <c r="I2826" s="4">
        <v>16</v>
      </c>
      <c r="J2826" s="5">
        <f>_xlfn.XLOOKUP(tblSales[[#This Row],[Product Code]],tblProducts[Code],tblProducts[Selling Price (excl. VAT)],0)</f>
        <v>850000</v>
      </c>
      <c r="K2826" s="5">
        <f>tblSales[[#This Row],[Qty]]*tblSales[[#This Row],[Unit Price]]</f>
        <v>13600000</v>
      </c>
      <c r="L2826" s="5">
        <f>ROUND(tblSales[[#This Row],[DPP (excl. VAT)]]*VATEff,0)</f>
        <v>1496000</v>
      </c>
      <c r="M2826" s="5">
        <f>tblSales[[#This Row],[DPP (excl. VAT)]]+tblSales[[#This Row],[Output VAT]]</f>
        <v>15096000</v>
      </c>
      <c r="N2826" s="5">
        <f>tblSales[[#This Row],[Qty]]*_xlfn.XLOOKUP(tblSales[[#This Row],[Product Code]],tblProducts[Code],tblProducts[Unit Cost],0)</f>
        <v>8960000</v>
      </c>
      <c r="O2826" s="4" t="s">
        <v>4867</v>
      </c>
      <c r="P2826" s="4" t="s">
        <v>4860</v>
      </c>
      <c r="Q2826" s="1" t="str">
        <f>_xlfn.XLOOKUP(tblSales[[#This Row],[Channel Code]],tblChannels[Channel Code],tblChannels[Channel Name],"")</f>
        <v>In-store</v>
      </c>
      <c r="R2826" s="1">
        <f>MONTH(tblSales[[#This Row],[Date]])</f>
        <v>6</v>
      </c>
    </row>
    <row r="2827" spans="2:18" x14ac:dyDescent="0.35">
      <c r="B2827" s="113">
        <v>46192</v>
      </c>
      <c r="C2827" s="4" t="s">
        <v>1895</v>
      </c>
      <c r="D2827" s="4" t="s">
        <v>4627</v>
      </c>
      <c r="E2827" s="1" t="str">
        <f>_xlfn.XLOOKUP(tblSales[[#This Row],[Customer ID]],tblCustomers[Customer ID],tblCustomers[Customer Name],"⚠ Unknown")</f>
        <v>PT Kencana Wira Usaha</v>
      </c>
      <c r="F2827" s="4" t="s">
        <v>10</v>
      </c>
      <c r="G2827" s="1" t="str">
        <f>_xlfn.XLOOKUP(tblSales[[#This Row],[Product Code]],tblProducts[Code],tblProducts[Product / Service Name],"⚠ Unknown")</f>
        <v>Chino Pants</v>
      </c>
      <c r="H2827" s="1" t="str">
        <f>_xlfn.XLOOKUP(tblSales[[#This Row],[Product Code]],tblProducts[Code],tblProducts[Category],"")</f>
        <v>Apparel &amp; Footwear</v>
      </c>
      <c r="I2827" s="4">
        <v>48</v>
      </c>
      <c r="J2827" s="5">
        <f>_xlfn.XLOOKUP(tblSales[[#This Row],[Product Code]],tblProducts[Code],tblProducts[Selling Price (excl. VAT)],0)</f>
        <v>150000</v>
      </c>
      <c r="K2827" s="5">
        <f>tblSales[[#This Row],[Qty]]*tblSales[[#This Row],[Unit Price]]</f>
        <v>7200000</v>
      </c>
      <c r="L2827" s="5">
        <f>ROUND(tblSales[[#This Row],[DPP (excl. VAT)]]*VATEff,0)</f>
        <v>792000</v>
      </c>
      <c r="M2827" s="5">
        <f>tblSales[[#This Row],[DPP (excl. VAT)]]+tblSales[[#This Row],[Output VAT]]</f>
        <v>7992000</v>
      </c>
      <c r="N2827" s="5">
        <f>tblSales[[#This Row],[Qty]]*_xlfn.XLOOKUP(tblSales[[#This Row],[Product Code]],tblProducts[Code],tblProducts[Unit Cost],0)</f>
        <v>4224000</v>
      </c>
      <c r="O2827" s="4" t="s">
        <v>4867</v>
      </c>
      <c r="P2827" s="4" t="s">
        <v>4860</v>
      </c>
      <c r="Q2827" s="1" t="str">
        <f>_xlfn.XLOOKUP(tblSales[[#This Row],[Channel Code]],tblChannels[Channel Code],tblChannels[Channel Name],"")</f>
        <v>In-store</v>
      </c>
      <c r="R2827" s="1">
        <f>MONTH(tblSales[[#This Row],[Date]])</f>
        <v>6</v>
      </c>
    </row>
    <row r="2828" spans="2:18" x14ac:dyDescent="0.35">
      <c r="B2828" s="113">
        <v>46192</v>
      </c>
      <c r="C2828" s="4" t="s">
        <v>1895</v>
      </c>
      <c r="D2828" s="4" t="s">
        <v>4627</v>
      </c>
      <c r="E2828" s="1" t="str">
        <f>_xlfn.XLOOKUP(tblSales[[#This Row],[Customer ID]],tblCustomers[Customer ID],tblCustomers[Customer Name],"⚠ Unknown")</f>
        <v>PT Kencana Wira Usaha</v>
      </c>
      <c r="F2828" s="4" t="s">
        <v>15</v>
      </c>
      <c r="G2828" s="1" t="str">
        <f>_xlfn.XLOOKUP(tblSales[[#This Row],[Product Code]],tblProducts[Code],tblProducts[Product / Service Name],"⚠ Unknown")</f>
        <v>Wireless Earbuds Pro</v>
      </c>
      <c r="H2828" s="1" t="str">
        <f>_xlfn.XLOOKUP(tblSales[[#This Row],[Product Code]],tblProducts[Code],tblProducts[Category],"")</f>
        <v>Bags &amp; Gadgets</v>
      </c>
      <c r="I2828" s="4">
        <v>16</v>
      </c>
      <c r="J2828" s="5">
        <f>_xlfn.XLOOKUP(tblSales[[#This Row],[Product Code]],tblProducts[Code],tblProducts[Selling Price (excl. VAT)],0)</f>
        <v>1250000</v>
      </c>
      <c r="K2828" s="5">
        <f>tblSales[[#This Row],[Qty]]*tblSales[[#This Row],[Unit Price]]</f>
        <v>20000000</v>
      </c>
      <c r="L2828" s="5">
        <f>ROUND(tblSales[[#This Row],[DPP (excl. VAT)]]*VATEff,0)</f>
        <v>2200000</v>
      </c>
      <c r="M2828" s="5">
        <f>tblSales[[#This Row],[DPP (excl. VAT)]]+tblSales[[#This Row],[Output VAT]]</f>
        <v>22200000</v>
      </c>
      <c r="N2828" s="5">
        <f>tblSales[[#This Row],[Qty]]*_xlfn.XLOOKUP(tblSales[[#This Row],[Product Code]],tblProducts[Code],tblProducts[Unit Cost],0)</f>
        <v>13120000</v>
      </c>
      <c r="O2828" s="4" t="s">
        <v>4867</v>
      </c>
      <c r="P2828" s="4" t="s">
        <v>4860</v>
      </c>
      <c r="Q2828" s="1" t="str">
        <f>_xlfn.XLOOKUP(tblSales[[#This Row],[Channel Code]],tblChannels[Channel Code],tblChannels[Channel Name],"")</f>
        <v>In-store</v>
      </c>
      <c r="R2828" s="1">
        <f>MONTH(tblSales[[#This Row],[Date]])</f>
        <v>6</v>
      </c>
    </row>
    <row r="2829" spans="2:18" x14ac:dyDescent="0.35">
      <c r="B2829" s="113">
        <v>46192</v>
      </c>
      <c r="C2829" s="4" t="s">
        <v>1896</v>
      </c>
      <c r="D2829" s="4" t="s">
        <v>4568</v>
      </c>
      <c r="E2829" s="1" t="str">
        <f>_xlfn.XLOOKUP(tblSales[[#This Row],[Customer ID]],tblCustomers[Customer ID],tblCustomers[Customer Name],"⚠ Unknown")</f>
        <v>Walk-in Customer</v>
      </c>
      <c r="F2829" s="4" t="s">
        <v>8</v>
      </c>
      <c r="G2829" s="1" t="str">
        <f>_xlfn.XLOOKUP(tblSales[[#This Row],[Product Code]],tblProducts[Code],tblProducts[Product / Service Name],"⚠ Unknown")</f>
        <v>Casual Shorts</v>
      </c>
      <c r="H2829" s="1" t="str">
        <f>_xlfn.XLOOKUP(tblSales[[#This Row],[Product Code]],tblProducts[Code],tblProducts[Category],"")</f>
        <v>Accessories &amp; Basics</v>
      </c>
      <c r="I2829" s="4">
        <v>5</v>
      </c>
      <c r="J2829" s="5">
        <f>_xlfn.XLOOKUP(tblSales[[#This Row],[Product Code]],tblProducts[Code],tblProducts[Selling Price (excl. VAT)],0)</f>
        <v>85000</v>
      </c>
      <c r="K2829" s="5">
        <f>tblSales[[#This Row],[Qty]]*tblSales[[#This Row],[Unit Price]]</f>
        <v>425000</v>
      </c>
      <c r="L2829" s="5">
        <f>ROUND(tblSales[[#This Row],[DPP (excl. VAT)]]*VATEff,0)</f>
        <v>46750</v>
      </c>
      <c r="M2829" s="5">
        <f>tblSales[[#This Row],[DPP (excl. VAT)]]+tblSales[[#This Row],[Output VAT]]</f>
        <v>471750</v>
      </c>
      <c r="N2829" s="5">
        <f>tblSales[[#This Row],[Qty]]*_xlfn.XLOOKUP(tblSales[[#This Row],[Product Code]],tblProducts[Code],tblProducts[Unit Cost],0)</f>
        <v>250000</v>
      </c>
      <c r="O2829" s="4" t="s">
        <v>4866</v>
      </c>
      <c r="P2829" s="4" t="s">
        <v>4862</v>
      </c>
      <c r="Q2829" s="1" t="str">
        <f>_xlfn.XLOOKUP(tblSales[[#This Row],[Channel Code]],tblChannels[Channel Code],tblChannels[Channel Name],"")</f>
        <v>Website &amp; Social Media</v>
      </c>
      <c r="R2829" s="1">
        <f>MONTH(tblSales[[#This Row],[Date]])</f>
        <v>6</v>
      </c>
    </row>
    <row r="2830" spans="2:18" x14ac:dyDescent="0.35">
      <c r="B2830" s="113">
        <v>46192</v>
      </c>
      <c r="C2830" s="4" t="s">
        <v>1896</v>
      </c>
      <c r="D2830" s="4" t="s">
        <v>4568</v>
      </c>
      <c r="E2830" s="1" t="str">
        <f>_xlfn.XLOOKUP(tblSales[[#This Row],[Customer ID]],tblCustomers[Customer ID],tblCustomers[Customer Name],"⚠ Unknown")</f>
        <v>Walk-in Customer</v>
      </c>
      <c r="F2830" s="4" t="s">
        <v>6</v>
      </c>
      <c r="G2830" s="1" t="str">
        <f>_xlfn.XLOOKUP(tblSales[[#This Row],[Product Code]],tblProducts[Code],tblProducts[Product / Service Name],"⚠ Unknown")</f>
        <v>Socks &amp; Accessories</v>
      </c>
      <c r="H2830" s="1" t="str">
        <f>_xlfn.XLOOKUP(tblSales[[#This Row],[Product Code]],tblProducts[Code],tblProducts[Category],"")</f>
        <v>Accessories &amp; Basics</v>
      </c>
      <c r="I2830" s="4">
        <v>2</v>
      </c>
      <c r="J2830" s="5">
        <f>_xlfn.XLOOKUP(tblSales[[#This Row],[Product Code]],tblProducts[Code],tblProducts[Selling Price (excl. VAT)],0)</f>
        <v>45000</v>
      </c>
      <c r="K2830" s="5">
        <f>tblSales[[#This Row],[Qty]]*tblSales[[#This Row],[Unit Price]]</f>
        <v>90000</v>
      </c>
      <c r="L2830" s="5">
        <f>ROUND(tblSales[[#This Row],[DPP (excl. VAT)]]*VATEff,0)</f>
        <v>9900</v>
      </c>
      <c r="M2830" s="5">
        <f>tblSales[[#This Row],[DPP (excl. VAT)]]+tblSales[[#This Row],[Output VAT]]</f>
        <v>99900</v>
      </c>
      <c r="N2830" s="5">
        <f>tblSales[[#This Row],[Qty]]*_xlfn.XLOOKUP(tblSales[[#This Row],[Product Code]],tblProducts[Code],tblProducts[Unit Cost],0)</f>
        <v>48000</v>
      </c>
      <c r="O2830" s="4" t="s">
        <v>4866</v>
      </c>
      <c r="P2830" s="4" t="s">
        <v>4862</v>
      </c>
      <c r="Q2830" s="1" t="str">
        <f>_xlfn.XLOOKUP(tblSales[[#This Row],[Channel Code]],tblChannels[Channel Code],tblChannels[Channel Name],"")</f>
        <v>Website &amp; Social Media</v>
      </c>
      <c r="R2830" s="1">
        <f>MONTH(tblSales[[#This Row],[Date]])</f>
        <v>6</v>
      </c>
    </row>
    <row r="2831" spans="2:18" x14ac:dyDescent="0.35">
      <c r="B2831" s="113">
        <v>46192</v>
      </c>
      <c r="C2831" s="4" t="s">
        <v>1897</v>
      </c>
      <c r="D2831" s="4" t="s">
        <v>4568</v>
      </c>
      <c r="E2831" s="1" t="str">
        <f>_xlfn.XLOOKUP(tblSales[[#This Row],[Customer ID]],tblCustomers[Customer ID],tblCustomers[Customer Name],"⚠ Unknown")</f>
        <v>Walk-in Customer</v>
      </c>
      <c r="F2831" s="4" t="s">
        <v>8</v>
      </c>
      <c r="G2831" s="1" t="str">
        <f>_xlfn.XLOOKUP(tblSales[[#This Row],[Product Code]],tblProducts[Code],tblProducts[Product / Service Name],"⚠ Unknown")</f>
        <v>Casual Shorts</v>
      </c>
      <c r="H2831" s="1" t="str">
        <f>_xlfn.XLOOKUP(tblSales[[#This Row],[Product Code]],tblProducts[Code],tblProducts[Category],"")</f>
        <v>Accessories &amp; Basics</v>
      </c>
      <c r="I2831" s="4">
        <v>7</v>
      </c>
      <c r="J2831" s="5">
        <f>_xlfn.XLOOKUP(tblSales[[#This Row],[Product Code]],tblProducts[Code],tblProducts[Selling Price (excl. VAT)],0)</f>
        <v>85000</v>
      </c>
      <c r="K2831" s="5">
        <f>tblSales[[#This Row],[Qty]]*tblSales[[#This Row],[Unit Price]]</f>
        <v>595000</v>
      </c>
      <c r="L2831" s="5">
        <f>ROUND(tblSales[[#This Row],[DPP (excl. VAT)]]*VATEff,0)</f>
        <v>65450</v>
      </c>
      <c r="M2831" s="5">
        <f>tblSales[[#This Row],[DPP (excl. VAT)]]+tblSales[[#This Row],[Output VAT]]</f>
        <v>660450</v>
      </c>
      <c r="N2831" s="5">
        <f>tblSales[[#This Row],[Qty]]*_xlfn.XLOOKUP(tblSales[[#This Row],[Product Code]],tblProducts[Code],tblProducts[Unit Cost],0)</f>
        <v>350000</v>
      </c>
      <c r="O2831" s="4" t="s">
        <v>4865</v>
      </c>
      <c r="P2831" s="4" t="s">
        <v>4860</v>
      </c>
      <c r="Q2831" s="1" t="str">
        <f>_xlfn.XLOOKUP(tblSales[[#This Row],[Channel Code]],tblChannels[Channel Code],tblChannels[Channel Name],"")</f>
        <v>In-store</v>
      </c>
      <c r="R2831" s="1">
        <f>MONTH(tblSales[[#This Row],[Date]])</f>
        <v>6</v>
      </c>
    </row>
    <row r="2832" spans="2:18" x14ac:dyDescent="0.35">
      <c r="B2832" s="113">
        <v>46192</v>
      </c>
      <c r="C2832" s="4" t="s">
        <v>1897</v>
      </c>
      <c r="D2832" s="4" t="s">
        <v>4568</v>
      </c>
      <c r="E2832" s="1" t="str">
        <f>_xlfn.XLOOKUP(tblSales[[#This Row],[Customer ID]],tblCustomers[Customer ID],tblCustomers[Customer Name],"⚠ Unknown")</f>
        <v>Walk-in Customer</v>
      </c>
      <c r="F2832" s="4" t="s">
        <v>9</v>
      </c>
      <c r="G2832" s="1" t="str">
        <f>_xlfn.XLOOKUP(tblSales[[#This Row],[Product Code]],tblProducts[Code],tblProducts[Product / Service Name],"⚠ Unknown")</f>
        <v>Casual Shirt</v>
      </c>
      <c r="H2832" s="1" t="str">
        <f>_xlfn.XLOOKUP(tblSales[[#This Row],[Product Code]],tblProducts[Code],tblProducts[Category],"")</f>
        <v>Apparel &amp; Footwear</v>
      </c>
      <c r="I2832" s="4">
        <v>10</v>
      </c>
      <c r="J2832" s="5">
        <f>_xlfn.XLOOKUP(tblSales[[#This Row],[Product Code]],tblProducts[Code],tblProducts[Selling Price (excl. VAT)],0)</f>
        <v>120000</v>
      </c>
      <c r="K2832" s="5">
        <f>tblSales[[#This Row],[Qty]]*tblSales[[#This Row],[Unit Price]]</f>
        <v>1200000</v>
      </c>
      <c r="L2832" s="5">
        <f>ROUND(tblSales[[#This Row],[DPP (excl. VAT)]]*VATEff,0)</f>
        <v>132000</v>
      </c>
      <c r="M2832" s="5">
        <f>tblSales[[#This Row],[DPP (excl. VAT)]]+tblSales[[#This Row],[Output VAT]]</f>
        <v>1332000</v>
      </c>
      <c r="N2832" s="5">
        <f>tblSales[[#This Row],[Qty]]*_xlfn.XLOOKUP(tblSales[[#This Row],[Product Code]],tblProducts[Code],tblProducts[Unit Cost],0)</f>
        <v>720000</v>
      </c>
      <c r="O2832" s="4" t="s">
        <v>4865</v>
      </c>
      <c r="P2832" s="4" t="s">
        <v>4860</v>
      </c>
      <c r="Q2832" s="1" t="str">
        <f>_xlfn.XLOOKUP(tblSales[[#This Row],[Channel Code]],tblChannels[Channel Code],tblChannels[Channel Name],"")</f>
        <v>In-store</v>
      </c>
      <c r="R2832" s="1">
        <f>MONTH(tblSales[[#This Row],[Date]])</f>
        <v>6</v>
      </c>
    </row>
    <row r="2833" spans="2:18" x14ac:dyDescent="0.35">
      <c r="B2833" s="113">
        <v>46192</v>
      </c>
      <c r="C2833" s="4" t="s">
        <v>1897</v>
      </c>
      <c r="D2833" s="4" t="s">
        <v>4568</v>
      </c>
      <c r="E2833" s="1" t="str">
        <f>_xlfn.XLOOKUP(tblSales[[#This Row],[Customer ID]],tblCustomers[Customer ID],tblCustomers[Customer Name],"⚠ Unknown")</f>
        <v>Walk-in Customer</v>
      </c>
      <c r="F2833" s="4" t="s">
        <v>7</v>
      </c>
      <c r="G2833" s="1" t="str">
        <f>_xlfn.XLOOKUP(tblSales[[#This Row],[Product Code]],tblProducts[Code],tblProducts[Product / Service Name],"⚠ Unknown")</f>
        <v>Premium Basic T-shirt</v>
      </c>
      <c r="H2833" s="1" t="str">
        <f>_xlfn.XLOOKUP(tblSales[[#This Row],[Product Code]],tblProducts[Code],tblProducts[Category],"")</f>
        <v>Accessories &amp; Basics</v>
      </c>
      <c r="I2833" s="4">
        <v>8</v>
      </c>
      <c r="J2833" s="5">
        <f>_xlfn.XLOOKUP(tblSales[[#This Row],[Product Code]],tblProducts[Code],tblProducts[Selling Price (excl. VAT)],0)</f>
        <v>65000</v>
      </c>
      <c r="K2833" s="5">
        <f>tblSales[[#This Row],[Qty]]*tblSales[[#This Row],[Unit Price]]</f>
        <v>520000</v>
      </c>
      <c r="L2833" s="5">
        <f>ROUND(tblSales[[#This Row],[DPP (excl. VAT)]]*VATEff,0)</f>
        <v>57200</v>
      </c>
      <c r="M2833" s="5">
        <f>tblSales[[#This Row],[DPP (excl. VAT)]]+tblSales[[#This Row],[Output VAT]]</f>
        <v>577200</v>
      </c>
      <c r="N2833" s="5">
        <f>tblSales[[#This Row],[Qty]]*_xlfn.XLOOKUP(tblSales[[#This Row],[Product Code]],tblProducts[Code],tblProducts[Unit Cost],0)</f>
        <v>296000</v>
      </c>
      <c r="O2833" s="4" t="s">
        <v>4865</v>
      </c>
      <c r="P2833" s="4" t="s">
        <v>4860</v>
      </c>
      <c r="Q2833" s="1" t="str">
        <f>_xlfn.XLOOKUP(tblSales[[#This Row],[Channel Code]],tblChannels[Channel Code],tblChannels[Channel Name],"")</f>
        <v>In-store</v>
      </c>
      <c r="R2833" s="1">
        <f>MONTH(tblSales[[#This Row],[Date]])</f>
        <v>6</v>
      </c>
    </row>
    <row r="2834" spans="2:18" x14ac:dyDescent="0.35">
      <c r="B2834" s="113">
        <v>46192</v>
      </c>
      <c r="C2834" s="4" t="s">
        <v>1898</v>
      </c>
      <c r="D2834" s="4" t="s">
        <v>4568</v>
      </c>
      <c r="E2834" s="1" t="str">
        <f>_xlfn.XLOOKUP(tblSales[[#This Row],[Customer ID]],tblCustomers[Customer ID],tblCustomers[Customer Name],"⚠ Unknown")</f>
        <v>Walk-in Customer</v>
      </c>
      <c r="F2834" s="4" t="s">
        <v>7</v>
      </c>
      <c r="G2834" s="1" t="str">
        <f>_xlfn.XLOOKUP(tblSales[[#This Row],[Product Code]],tblProducts[Code],tblProducts[Product / Service Name],"⚠ Unknown")</f>
        <v>Premium Basic T-shirt</v>
      </c>
      <c r="H2834" s="1" t="str">
        <f>_xlfn.XLOOKUP(tblSales[[#This Row],[Product Code]],tblProducts[Code],tblProducts[Category],"")</f>
        <v>Accessories &amp; Basics</v>
      </c>
      <c r="I2834" s="4">
        <v>4</v>
      </c>
      <c r="J2834" s="5">
        <f>_xlfn.XLOOKUP(tblSales[[#This Row],[Product Code]],tblProducts[Code],tblProducts[Selling Price (excl. VAT)],0)</f>
        <v>65000</v>
      </c>
      <c r="K2834" s="5">
        <f>tblSales[[#This Row],[Qty]]*tblSales[[#This Row],[Unit Price]]</f>
        <v>260000</v>
      </c>
      <c r="L2834" s="5">
        <f>ROUND(tblSales[[#This Row],[DPP (excl. VAT)]]*VATEff,0)</f>
        <v>28600</v>
      </c>
      <c r="M2834" s="5">
        <f>tblSales[[#This Row],[DPP (excl. VAT)]]+tblSales[[#This Row],[Output VAT]]</f>
        <v>288600</v>
      </c>
      <c r="N2834" s="5">
        <f>tblSales[[#This Row],[Qty]]*_xlfn.XLOOKUP(tblSales[[#This Row],[Product Code]],tblProducts[Code],tblProducts[Unit Cost],0)</f>
        <v>148000</v>
      </c>
      <c r="O2834" s="4" t="s">
        <v>4866</v>
      </c>
      <c r="P2834" s="4" t="s">
        <v>4861</v>
      </c>
      <c r="Q2834" s="1" t="str">
        <f>_xlfn.XLOOKUP(tblSales[[#This Row],[Channel Code]],tblChannels[Channel Code],tblChannels[Channel Name],"")</f>
        <v>Marketplace</v>
      </c>
      <c r="R2834" s="1">
        <f>MONTH(tblSales[[#This Row],[Date]])</f>
        <v>6</v>
      </c>
    </row>
    <row r="2835" spans="2:18" x14ac:dyDescent="0.35">
      <c r="B2835" s="113">
        <v>46192</v>
      </c>
      <c r="C2835" s="4" t="s">
        <v>1899</v>
      </c>
      <c r="D2835" s="4" t="s">
        <v>4568</v>
      </c>
      <c r="E2835" s="1" t="str">
        <f>_xlfn.XLOOKUP(tblSales[[#This Row],[Customer ID]],tblCustomers[Customer ID],tblCustomers[Customer Name],"⚠ Unknown")</f>
        <v>Walk-in Customer</v>
      </c>
      <c r="F2835" s="4" t="s">
        <v>7</v>
      </c>
      <c r="G2835" s="1" t="str">
        <f>_xlfn.XLOOKUP(tblSales[[#This Row],[Product Code]],tblProducts[Code],tblProducts[Product / Service Name],"⚠ Unknown")</f>
        <v>Premium Basic T-shirt</v>
      </c>
      <c r="H2835" s="1" t="str">
        <f>_xlfn.XLOOKUP(tblSales[[#This Row],[Product Code]],tblProducts[Code],tblProducts[Category],"")</f>
        <v>Accessories &amp; Basics</v>
      </c>
      <c r="I2835" s="4">
        <v>12</v>
      </c>
      <c r="J2835" s="5">
        <f>_xlfn.XLOOKUP(tblSales[[#This Row],[Product Code]],tblProducts[Code],tblProducts[Selling Price (excl. VAT)],0)</f>
        <v>65000</v>
      </c>
      <c r="K2835" s="5">
        <f>tblSales[[#This Row],[Qty]]*tblSales[[#This Row],[Unit Price]]</f>
        <v>780000</v>
      </c>
      <c r="L2835" s="5">
        <f>ROUND(tblSales[[#This Row],[DPP (excl. VAT)]]*VATEff,0)</f>
        <v>85800</v>
      </c>
      <c r="M2835" s="5">
        <f>tblSales[[#This Row],[DPP (excl. VAT)]]+tblSales[[#This Row],[Output VAT]]</f>
        <v>865800</v>
      </c>
      <c r="N2835" s="5">
        <f>tblSales[[#This Row],[Qty]]*_xlfn.XLOOKUP(tblSales[[#This Row],[Product Code]],tblProducts[Code],tblProducts[Unit Cost],0)</f>
        <v>444000</v>
      </c>
      <c r="O2835" s="4" t="s">
        <v>4865</v>
      </c>
      <c r="P2835" s="4" t="s">
        <v>4860</v>
      </c>
      <c r="Q2835" s="1" t="str">
        <f>_xlfn.XLOOKUP(tblSales[[#This Row],[Channel Code]],tblChannels[Channel Code],tblChannels[Channel Name],"")</f>
        <v>In-store</v>
      </c>
      <c r="R2835" s="1">
        <f>MONTH(tblSales[[#This Row],[Date]])</f>
        <v>6</v>
      </c>
    </row>
    <row r="2836" spans="2:18" x14ac:dyDescent="0.35">
      <c r="B2836" s="113">
        <v>46192</v>
      </c>
      <c r="C2836" s="4" t="s">
        <v>1900</v>
      </c>
      <c r="D2836" s="4" t="s">
        <v>4620</v>
      </c>
      <c r="E2836" s="1" t="str">
        <f>_xlfn.XLOOKUP(tblSales[[#This Row],[Customer ID]],tblCustomers[Customer ID],tblCustomers[Customer Name],"⚠ Unknown")</f>
        <v>CV Sumber Rejeki Utama</v>
      </c>
      <c r="F2836" s="4" t="s">
        <v>8</v>
      </c>
      <c r="G2836" s="1" t="str">
        <f>_xlfn.XLOOKUP(tblSales[[#This Row],[Product Code]],tblProducts[Code],tblProducts[Product / Service Name],"⚠ Unknown")</f>
        <v>Casual Shorts</v>
      </c>
      <c r="H2836" s="1" t="str">
        <f>_xlfn.XLOOKUP(tblSales[[#This Row],[Product Code]],tblProducts[Code],tblProducts[Category],"")</f>
        <v>Accessories &amp; Basics</v>
      </c>
      <c r="I2836" s="4">
        <v>24</v>
      </c>
      <c r="J2836" s="5">
        <f>_xlfn.XLOOKUP(tblSales[[#This Row],[Product Code]],tblProducts[Code],tblProducts[Selling Price (excl. VAT)],0)</f>
        <v>85000</v>
      </c>
      <c r="K2836" s="5">
        <f>tblSales[[#This Row],[Qty]]*tblSales[[#This Row],[Unit Price]]</f>
        <v>2040000</v>
      </c>
      <c r="L2836" s="5">
        <f>ROUND(tblSales[[#This Row],[DPP (excl. VAT)]]*VATEff,0)</f>
        <v>224400</v>
      </c>
      <c r="M2836" s="5">
        <f>tblSales[[#This Row],[DPP (excl. VAT)]]+tblSales[[#This Row],[Output VAT]]</f>
        <v>2264400</v>
      </c>
      <c r="N2836" s="5">
        <f>tblSales[[#This Row],[Qty]]*_xlfn.XLOOKUP(tblSales[[#This Row],[Product Code]],tblProducts[Code],tblProducts[Unit Cost],0)</f>
        <v>1200000</v>
      </c>
      <c r="O2836" s="4" t="s">
        <v>4867</v>
      </c>
      <c r="P2836" s="4" t="s">
        <v>4860</v>
      </c>
      <c r="Q2836" s="1" t="str">
        <f>_xlfn.XLOOKUP(tblSales[[#This Row],[Channel Code]],tblChannels[Channel Code],tblChannels[Channel Name],"")</f>
        <v>In-store</v>
      </c>
      <c r="R2836" s="1">
        <f>MONTH(tblSales[[#This Row],[Date]])</f>
        <v>6</v>
      </c>
    </row>
    <row r="2837" spans="2:18" x14ac:dyDescent="0.35">
      <c r="B2837" s="113">
        <v>46192</v>
      </c>
      <c r="C2837" s="4" t="s">
        <v>1901</v>
      </c>
      <c r="D2837" s="4" t="s">
        <v>4568</v>
      </c>
      <c r="E2837" s="1" t="str">
        <f>_xlfn.XLOOKUP(tblSales[[#This Row],[Customer ID]],tblCustomers[Customer ID],tblCustomers[Customer Name],"⚠ Unknown")</f>
        <v>Walk-in Customer</v>
      </c>
      <c r="F2837" s="4" t="s">
        <v>8</v>
      </c>
      <c r="G2837" s="1" t="str">
        <f>_xlfn.XLOOKUP(tblSales[[#This Row],[Product Code]],tblProducts[Code],tblProducts[Product / Service Name],"⚠ Unknown")</f>
        <v>Casual Shorts</v>
      </c>
      <c r="H2837" s="1" t="str">
        <f>_xlfn.XLOOKUP(tblSales[[#This Row],[Product Code]],tblProducts[Code],tblProducts[Category],"")</f>
        <v>Accessories &amp; Basics</v>
      </c>
      <c r="I2837" s="4">
        <v>6</v>
      </c>
      <c r="J2837" s="5">
        <f>_xlfn.XLOOKUP(tblSales[[#This Row],[Product Code]],tblProducts[Code],tblProducts[Selling Price (excl. VAT)],0)</f>
        <v>85000</v>
      </c>
      <c r="K2837" s="5">
        <f>tblSales[[#This Row],[Qty]]*tblSales[[#This Row],[Unit Price]]</f>
        <v>510000</v>
      </c>
      <c r="L2837" s="5">
        <f>ROUND(tblSales[[#This Row],[DPP (excl. VAT)]]*VATEff,0)</f>
        <v>56100</v>
      </c>
      <c r="M2837" s="5">
        <f>tblSales[[#This Row],[DPP (excl. VAT)]]+tblSales[[#This Row],[Output VAT]]</f>
        <v>566100</v>
      </c>
      <c r="N2837" s="5">
        <f>tblSales[[#This Row],[Qty]]*_xlfn.XLOOKUP(tblSales[[#This Row],[Product Code]],tblProducts[Code],tblProducts[Unit Cost],0)</f>
        <v>300000</v>
      </c>
      <c r="O2837" s="4" t="s">
        <v>4866</v>
      </c>
      <c r="P2837" s="4" t="s">
        <v>4861</v>
      </c>
      <c r="Q2837" s="1" t="str">
        <f>_xlfn.XLOOKUP(tblSales[[#This Row],[Channel Code]],tblChannels[Channel Code],tblChannels[Channel Name],"")</f>
        <v>Marketplace</v>
      </c>
      <c r="R2837" s="1">
        <f>MONTH(tblSales[[#This Row],[Date]])</f>
        <v>6</v>
      </c>
    </row>
    <row r="2838" spans="2:18" x14ac:dyDescent="0.35">
      <c r="B2838" s="113">
        <v>46192</v>
      </c>
      <c r="C2838" s="4" t="s">
        <v>1902</v>
      </c>
      <c r="D2838" s="4" t="s">
        <v>4568</v>
      </c>
      <c r="E2838" s="1" t="str">
        <f>_xlfn.XLOOKUP(tblSales[[#This Row],[Customer ID]],tblCustomers[Customer ID],tblCustomers[Customer Name],"⚠ Unknown")</f>
        <v>Walk-in Customer</v>
      </c>
      <c r="F2838" s="4" t="s">
        <v>15</v>
      </c>
      <c r="G2838" s="1" t="str">
        <f>_xlfn.XLOOKUP(tblSales[[#This Row],[Product Code]],tblProducts[Code],tblProducts[Product / Service Name],"⚠ Unknown")</f>
        <v>Wireless Earbuds Pro</v>
      </c>
      <c r="H2838" s="1" t="str">
        <f>_xlfn.XLOOKUP(tblSales[[#This Row],[Product Code]],tblProducts[Code],tblProducts[Category],"")</f>
        <v>Bags &amp; Gadgets</v>
      </c>
      <c r="I2838" s="4">
        <v>2</v>
      </c>
      <c r="J2838" s="5">
        <f>_xlfn.XLOOKUP(tblSales[[#This Row],[Product Code]],tblProducts[Code],tblProducts[Selling Price (excl. VAT)],0)</f>
        <v>1250000</v>
      </c>
      <c r="K2838" s="5">
        <f>tblSales[[#This Row],[Qty]]*tblSales[[#This Row],[Unit Price]]</f>
        <v>2500000</v>
      </c>
      <c r="L2838" s="5">
        <f>ROUND(tblSales[[#This Row],[DPP (excl. VAT)]]*VATEff,0)</f>
        <v>275000</v>
      </c>
      <c r="M2838" s="5">
        <f>tblSales[[#This Row],[DPP (excl. VAT)]]+tblSales[[#This Row],[Output VAT]]</f>
        <v>2775000</v>
      </c>
      <c r="N2838" s="5">
        <f>tblSales[[#This Row],[Qty]]*_xlfn.XLOOKUP(tblSales[[#This Row],[Product Code]],tblProducts[Code],tblProducts[Unit Cost],0)</f>
        <v>1640000</v>
      </c>
      <c r="O2838" s="4" t="s">
        <v>4865</v>
      </c>
      <c r="P2838" s="4" t="s">
        <v>4860</v>
      </c>
      <c r="Q2838" s="1" t="str">
        <f>_xlfn.XLOOKUP(tblSales[[#This Row],[Channel Code]],tblChannels[Channel Code],tblChannels[Channel Name],"")</f>
        <v>In-store</v>
      </c>
      <c r="R2838" s="1">
        <f>MONTH(tblSales[[#This Row],[Date]])</f>
        <v>6</v>
      </c>
    </row>
    <row r="2839" spans="2:18" x14ac:dyDescent="0.35">
      <c r="B2839" s="113">
        <v>46192</v>
      </c>
      <c r="C2839" s="4" t="s">
        <v>1903</v>
      </c>
      <c r="D2839" s="4" t="s">
        <v>4568</v>
      </c>
      <c r="E2839" s="1" t="str">
        <f>_xlfn.XLOOKUP(tblSales[[#This Row],[Customer ID]],tblCustomers[Customer ID],tblCustomers[Customer Name],"⚠ Unknown")</f>
        <v>Walk-in Customer</v>
      </c>
      <c r="F2839" s="4" t="s">
        <v>6</v>
      </c>
      <c r="G2839" s="1" t="str">
        <f>_xlfn.XLOOKUP(tblSales[[#This Row],[Product Code]],tblProducts[Code],tblProducts[Product / Service Name],"⚠ Unknown")</f>
        <v>Socks &amp; Accessories</v>
      </c>
      <c r="H2839" s="1" t="str">
        <f>_xlfn.XLOOKUP(tblSales[[#This Row],[Product Code]],tblProducts[Code],tblProducts[Category],"")</f>
        <v>Accessories &amp; Basics</v>
      </c>
      <c r="I2839" s="4">
        <v>11</v>
      </c>
      <c r="J2839" s="5">
        <f>_xlfn.XLOOKUP(tblSales[[#This Row],[Product Code]],tblProducts[Code],tblProducts[Selling Price (excl. VAT)],0)</f>
        <v>45000</v>
      </c>
      <c r="K2839" s="5">
        <f>tblSales[[#This Row],[Qty]]*tblSales[[#This Row],[Unit Price]]</f>
        <v>495000</v>
      </c>
      <c r="L2839" s="5">
        <f>ROUND(tblSales[[#This Row],[DPP (excl. VAT)]]*VATEff,0)</f>
        <v>54450</v>
      </c>
      <c r="M2839" s="5">
        <f>tblSales[[#This Row],[DPP (excl. VAT)]]+tblSales[[#This Row],[Output VAT]]</f>
        <v>549450</v>
      </c>
      <c r="N2839" s="5">
        <f>tblSales[[#This Row],[Qty]]*_xlfn.XLOOKUP(tblSales[[#This Row],[Product Code]],tblProducts[Code],tblProducts[Unit Cost],0)</f>
        <v>264000</v>
      </c>
      <c r="O2839" s="4" t="s">
        <v>4866</v>
      </c>
      <c r="P2839" s="4" t="s">
        <v>4860</v>
      </c>
      <c r="Q2839" s="1" t="str">
        <f>_xlfn.XLOOKUP(tblSales[[#This Row],[Channel Code]],tblChannels[Channel Code],tblChannels[Channel Name],"")</f>
        <v>In-store</v>
      </c>
      <c r="R2839" s="1">
        <f>MONTH(tblSales[[#This Row],[Date]])</f>
        <v>6</v>
      </c>
    </row>
    <row r="2840" spans="2:18" x14ac:dyDescent="0.35">
      <c r="B2840" s="113">
        <v>46192</v>
      </c>
      <c r="C2840" s="4" t="s">
        <v>1903</v>
      </c>
      <c r="D2840" s="4" t="s">
        <v>4568</v>
      </c>
      <c r="E2840" s="1" t="str">
        <f>_xlfn.XLOOKUP(tblSales[[#This Row],[Customer ID]],tblCustomers[Customer ID],tblCustomers[Customer Name],"⚠ Unknown")</f>
        <v>Walk-in Customer</v>
      </c>
      <c r="F2840" s="4" t="s">
        <v>12</v>
      </c>
      <c r="G2840" s="1" t="str">
        <f>_xlfn.XLOOKUP(tblSales[[#This Row],[Product Code]],tblProducts[Code],tblProducts[Product / Service Name],"⚠ Unknown")</f>
        <v>Bomber Jacket</v>
      </c>
      <c r="H2840" s="1" t="str">
        <f>_xlfn.XLOOKUP(tblSales[[#This Row],[Product Code]],tblProducts[Code],tblProducts[Category],"")</f>
        <v>Apparel &amp; Footwear</v>
      </c>
      <c r="I2840" s="4">
        <v>6</v>
      </c>
      <c r="J2840" s="5">
        <f>_xlfn.XLOOKUP(tblSales[[#This Row],[Product Code]],tblProducts[Code],tblProducts[Selling Price (excl. VAT)],0)</f>
        <v>350000</v>
      </c>
      <c r="K2840" s="5">
        <f>tblSales[[#This Row],[Qty]]*tblSales[[#This Row],[Unit Price]]</f>
        <v>2100000</v>
      </c>
      <c r="L2840" s="5">
        <f>ROUND(tblSales[[#This Row],[DPP (excl. VAT)]]*VATEff,0)</f>
        <v>231000</v>
      </c>
      <c r="M2840" s="5">
        <f>tblSales[[#This Row],[DPP (excl. VAT)]]+tblSales[[#This Row],[Output VAT]]</f>
        <v>2331000</v>
      </c>
      <c r="N2840" s="5">
        <f>tblSales[[#This Row],[Qty]]*_xlfn.XLOOKUP(tblSales[[#This Row],[Product Code]],tblProducts[Code],tblProducts[Unit Cost],0)</f>
        <v>1260000</v>
      </c>
      <c r="O2840" s="4" t="s">
        <v>4866</v>
      </c>
      <c r="P2840" s="4" t="s">
        <v>4860</v>
      </c>
      <c r="Q2840" s="1" t="str">
        <f>_xlfn.XLOOKUP(tblSales[[#This Row],[Channel Code]],tblChannels[Channel Code],tblChannels[Channel Name],"")</f>
        <v>In-store</v>
      </c>
      <c r="R2840" s="1">
        <f>MONTH(tblSales[[#This Row],[Date]])</f>
        <v>6</v>
      </c>
    </row>
    <row r="2841" spans="2:18" x14ac:dyDescent="0.35">
      <c r="B2841" s="113">
        <v>46192</v>
      </c>
      <c r="C2841" s="4" t="s">
        <v>1903</v>
      </c>
      <c r="D2841" s="4" t="s">
        <v>4568</v>
      </c>
      <c r="E2841" s="1" t="str">
        <f>_xlfn.XLOOKUP(tblSales[[#This Row],[Customer ID]],tblCustomers[Customer ID],tblCustomers[Customer Name],"⚠ Unknown")</f>
        <v>Walk-in Customer</v>
      </c>
      <c r="F2841" s="4" t="s">
        <v>8</v>
      </c>
      <c r="G2841" s="1" t="str">
        <f>_xlfn.XLOOKUP(tblSales[[#This Row],[Product Code]],tblProducts[Code],tblProducts[Product / Service Name],"⚠ Unknown")</f>
        <v>Casual Shorts</v>
      </c>
      <c r="H2841" s="1" t="str">
        <f>_xlfn.XLOOKUP(tblSales[[#This Row],[Product Code]],tblProducts[Code],tblProducts[Category],"")</f>
        <v>Accessories &amp; Basics</v>
      </c>
      <c r="I2841" s="4">
        <v>3</v>
      </c>
      <c r="J2841" s="5">
        <f>_xlfn.XLOOKUP(tblSales[[#This Row],[Product Code]],tblProducts[Code],tblProducts[Selling Price (excl. VAT)],0)</f>
        <v>85000</v>
      </c>
      <c r="K2841" s="5">
        <f>tblSales[[#This Row],[Qty]]*tblSales[[#This Row],[Unit Price]]</f>
        <v>255000</v>
      </c>
      <c r="L2841" s="5">
        <f>ROUND(tblSales[[#This Row],[DPP (excl. VAT)]]*VATEff,0)</f>
        <v>28050</v>
      </c>
      <c r="M2841" s="5">
        <f>tblSales[[#This Row],[DPP (excl. VAT)]]+tblSales[[#This Row],[Output VAT]]</f>
        <v>283050</v>
      </c>
      <c r="N2841" s="5">
        <f>tblSales[[#This Row],[Qty]]*_xlfn.XLOOKUP(tblSales[[#This Row],[Product Code]],tblProducts[Code],tblProducts[Unit Cost],0)</f>
        <v>150000</v>
      </c>
      <c r="O2841" s="4" t="s">
        <v>4866</v>
      </c>
      <c r="P2841" s="4" t="s">
        <v>4860</v>
      </c>
      <c r="Q2841" s="1" t="str">
        <f>_xlfn.XLOOKUP(tblSales[[#This Row],[Channel Code]],tblChannels[Channel Code],tblChannels[Channel Name],"")</f>
        <v>In-store</v>
      </c>
      <c r="R2841" s="1">
        <f>MONTH(tblSales[[#This Row],[Date]])</f>
        <v>6</v>
      </c>
    </row>
    <row r="2842" spans="2:18" x14ac:dyDescent="0.35">
      <c r="B2842" s="113">
        <v>46192</v>
      </c>
      <c r="C2842" s="4" t="s">
        <v>1904</v>
      </c>
      <c r="D2842" s="4" t="s">
        <v>4568</v>
      </c>
      <c r="E2842" s="1" t="str">
        <f>_xlfn.XLOOKUP(tblSales[[#This Row],[Customer ID]],tblCustomers[Customer ID],tblCustomers[Customer Name],"⚠ Unknown")</f>
        <v>Walk-in Customer</v>
      </c>
      <c r="F2842" s="4" t="s">
        <v>15</v>
      </c>
      <c r="G2842" s="1" t="str">
        <f>_xlfn.XLOOKUP(tblSales[[#This Row],[Product Code]],tblProducts[Code],tblProducts[Product / Service Name],"⚠ Unknown")</f>
        <v>Wireless Earbuds Pro</v>
      </c>
      <c r="H2842" s="1" t="str">
        <f>_xlfn.XLOOKUP(tblSales[[#This Row],[Product Code]],tblProducts[Code],tblProducts[Category],"")</f>
        <v>Bags &amp; Gadgets</v>
      </c>
      <c r="I2842" s="4">
        <v>3</v>
      </c>
      <c r="J2842" s="5">
        <f>_xlfn.XLOOKUP(tblSales[[#This Row],[Product Code]],tblProducts[Code],tblProducts[Selling Price (excl. VAT)],0)</f>
        <v>1250000</v>
      </c>
      <c r="K2842" s="5">
        <f>tblSales[[#This Row],[Qty]]*tblSales[[#This Row],[Unit Price]]</f>
        <v>3750000</v>
      </c>
      <c r="L2842" s="5">
        <f>ROUND(tblSales[[#This Row],[DPP (excl. VAT)]]*VATEff,0)</f>
        <v>412500</v>
      </c>
      <c r="M2842" s="5">
        <f>tblSales[[#This Row],[DPP (excl. VAT)]]+tblSales[[#This Row],[Output VAT]]</f>
        <v>4162500</v>
      </c>
      <c r="N2842" s="5">
        <f>tblSales[[#This Row],[Qty]]*_xlfn.XLOOKUP(tblSales[[#This Row],[Product Code]],tblProducts[Code],tblProducts[Unit Cost],0)</f>
        <v>2460000</v>
      </c>
      <c r="O2842" s="4" t="s">
        <v>4866</v>
      </c>
      <c r="P2842" s="4" t="s">
        <v>4860</v>
      </c>
      <c r="Q2842" s="1" t="str">
        <f>_xlfn.XLOOKUP(tblSales[[#This Row],[Channel Code]],tblChannels[Channel Code],tblChannels[Channel Name],"")</f>
        <v>In-store</v>
      </c>
      <c r="R2842" s="1">
        <f>MONTH(tblSales[[#This Row],[Date]])</f>
        <v>6</v>
      </c>
    </row>
    <row r="2843" spans="2:18" x14ac:dyDescent="0.35">
      <c r="B2843" s="113">
        <v>46192</v>
      </c>
      <c r="C2843" s="4" t="s">
        <v>1905</v>
      </c>
      <c r="D2843" s="4" t="s">
        <v>4568</v>
      </c>
      <c r="E2843" s="1" t="str">
        <f>_xlfn.XLOOKUP(tblSales[[#This Row],[Customer ID]],tblCustomers[Customer ID],tblCustomers[Customer Name],"⚠ Unknown")</f>
        <v>Walk-in Customer</v>
      </c>
      <c r="F2843" s="4" t="s">
        <v>8</v>
      </c>
      <c r="G2843" s="1" t="str">
        <f>_xlfn.XLOOKUP(tblSales[[#This Row],[Product Code]],tblProducts[Code],tblProducts[Product / Service Name],"⚠ Unknown")</f>
        <v>Casual Shorts</v>
      </c>
      <c r="H2843" s="1" t="str">
        <f>_xlfn.XLOOKUP(tblSales[[#This Row],[Product Code]],tblProducts[Code],tblProducts[Category],"")</f>
        <v>Accessories &amp; Basics</v>
      </c>
      <c r="I2843" s="4">
        <v>1</v>
      </c>
      <c r="J2843" s="5">
        <f>_xlfn.XLOOKUP(tblSales[[#This Row],[Product Code]],tblProducts[Code],tblProducts[Selling Price (excl. VAT)],0)</f>
        <v>85000</v>
      </c>
      <c r="K2843" s="5">
        <f>tblSales[[#This Row],[Qty]]*tblSales[[#This Row],[Unit Price]]</f>
        <v>85000</v>
      </c>
      <c r="L2843" s="5">
        <f>ROUND(tblSales[[#This Row],[DPP (excl. VAT)]]*VATEff,0)</f>
        <v>9350</v>
      </c>
      <c r="M2843" s="5">
        <f>tblSales[[#This Row],[DPP (excl. VAT)]]+tblSales[[#This Row],[Output VAT]]</f>
        <v>94350</v>
      </c>
      <c r="N2843" s="5">
        <f>tblSales[[#This Row],[Qty]]*_xlfn.XLOOKUP(tblSales[[#This Row],[Product Code]],tblProducts[Code],tblProducts[Unit Cost],0)</f>
        <v>50000</v>
      </c>
      <c r="O2843" s="4" t="s">
        <v>4866</v>
      </c>
      <c r="P2843" s="4" t="s">
        <v>4860</v>
      </c>
      <c r="Q2843" s="1" t="str">
        <f>_xlfn.XLOOKUP(tblSales[[#This Row],[Channel Code]],tblChannels[Channel Code],tblChannels[Channel Name],"")</f>
        <v>In-store</v>
      </c>
      <c r="R2843" s="1">
        <f>MONTH(tblSales[[#This Row],[Date]])</f>
        <v>6</v>
      </c>
    </row>
    <row r="2844" spans="2:18" x14ac:dyDescent="0.35">
      <c r="B2844" s="113">
        <v>46192</v>
      </c>
      <c r="C2844" s="4" t="s">
        <v>1905</v>
      </c>
      <c r="D2844" s="4" t="s">
        <v>4568</v>
      </c>
      <c r="E2844" s="1" t="str">
        <f>_xlfn.XLOOKUP(tblSales[[#This Row],[Customer ID]],tblCustomers[Customer ID],tblCustomers[Customer Name],"⚠ Unknown")</f>
        <v>Walk-in Customer</v>
      </c>
      <c r="F2844" s="4" t="s">
        <v>12</v>
      </c>
      <c r="G2844" s="1" t="str">
        <f>_xlfn.XLOOKUP(tblSales[[#This Row],[Product Code]],tblProducts[Code],tblProducts[Product / Service Name],"⚠ Unknown")</f>
        <v>Bomber Jacket</v>
      </c>
      <c r="H2844" s="1" t="str">
        <f>_xlfn.XLOOKUP(tblSales[[#This Row],[Product Code]],tblProducts[Code],tblProducts[Category],"")</f>
        <v>Apparel &amp; Footwear</v>
      </c>
      <c r="I2844" s="4">
        <v>2</v>
      </c>
      <c r="J2844" s="5">
        <f>_xlfn.XLOOKUP(tblSales[[#This Row],[Product Code]],tblProducts[Code],tblProducts[Selling Price (excl. VAT)],0)</f>
        <v>350000</v>
      </c>
      <c r="K2844" s="5">
        <f>tblSales[[#This Row],[Qty]]*tblSales[[#This Row],[Unit Price]]</f>
        <v>700000</v>
      </c>
      <c r="L2844" s="5">
        <f>ROUND(tblSales[[#This Row],[DPP (excl. VAT)]]*VATEff,0)</f>
        <v>77000</v>
      </c>
      <c r="M2844" s="5">
        <f>tblSales[[#This Row],[DPP (excl. VAT)]]+tblSales[[#This Row],[Output VAT]]</f>
        <v>777000</v>
      </c>
      <c r="N2844" s="5">
        <f>tblSales[[#This Row],[Qty]]*_xlfn.XLOOKUP(tblSales[[#This Row],[Product Code]],tblProducts[Code],tblProducts[Unit Cost],0)</f>
        <v>420000</v>
      </c>
      <c r="O2844" s="4" t="s">
        <v>4866</v>
      </c>
      <c r="P2844" s="4" t="s">
        <v>4860</v>
      </c>
      <c r="Q2844" s="1" t="str">
        <f>_xlfn.XLOOKUP(tblSales[[#This Row],[Channel Code]],tblChannels[Channel Code],tblChannels[Channel Name],"")</f>
        <v>In-store</v>
      </c>
      <c r="R2844" s="1">
        <f>MONTH(tblSales[[#This Row],[Date]])</f>
        <v>6</v>
      </c>
    </row>
    <row r="2845" spans="2:18" x14ac:dyDescent="0.35">
      <c r="B2845" s="113">
        <v>46192</v>
      </c>
      <c r="C2845" s="4" t="s">
        <v>1905</v>
      </c>
      <c r="D2845" s="4" t="s">
        <v>4568</v>
      </c>
      <c r="E2845" s="1" t="str">
        <f>_xlfn.XLOOKUP(tblSales[[#This Row],[Customer ID]],tblCustomers[Customer ID],tblCustomers[Customer Name],"⚠ Unknown")</f>
        <v>Walk-in Customer</v>
      </c>
      <c r="F2845" s="4" t="s">
        <v>9</v>
      </c>
      <c r="G2845" s="1" t="str">
        <f>_xlfn.XLOOKUP(tblSales[[#This Row],[Product Code]],tblProducts[Code],tblProducts[Product / Service Name],"⚠ Unknown")</f>
        <v>Casual Shirt</v>
      </c>
      <c r="H2845" s="1" t="str">
        <f>_xlfn.XLOOKUP(tblSales[[#This Row],[Product Code]],tblProducts[Code],tblProducts[Category],"")</f>
        <v>Apparel &amp; Footwear</v>
      </c>
      <c r="I2845" s="4">
        <v>3</v>
      </c>
      <c r="J2845" s="5">
        <f>_xlfn.XLOOKUP(tblSales[[#This Row],[Product Code]],tblProducts[Code],tblProducts[Selling Price (excl. VAT)],0)</f>
        <v>120000</v>
      </c>
      <c r="K2845" s="5">
        <f>tblSales[[#This Row],[Qty]]*tblSales[[#This Row],[Unit Price]]</f>
        <v>360000</v>
      </c>
      <c r="L2845" s="5">
        <f>ROUND(tblSales[[#This Row],[DPP (excl. VAT)]]*VATEff,0)</f>
        <v>39600</v>
      </c>
      <c r="M2845" s="5">
        <f>tblSales[[#This Row],[DPP (excl. VAT)]]+tblSales[[#This Row],[Output VAT]]</f>
        <v>399600</v>
      </c>
      <c r="N2845" s="5">
        <f>tblSales[[#This Row],[Qty]]*_xlfn.XLOOKUP(tblSales[[#This Row],[Product Code]],tblProducts[Code],tblProducts[Unit Cost],0)</f>
        <v>216000</v>
      </c>
      <c r="O2845" s="4" t="s">
        <v>4866</v>
      </c>
      <c r="P2845" s="4" t="s">
        <v>4860</v>
      </c>
      <c r="Q2845" s="1" t="str">
        <f>_xlfn.XLOOKUP(tblSales[[#This Row],[Channel Code]],tblChannels[Channel Code],tblChannels[Channel Name],"")</f>
        <v>In-store</v>
      </c>
      <c r="R2845" s="1">
        <f>MONTH(tblSales[[#This Row],[Date]])</f>
        <v>6</v>
      </c>
    </row>
    <row r="2846" spans="2:18" x14ac:dyDescent="0.35">
      <c r="B2846" s="113">
        <v>46193</v>
      </c>
      <c r="C2846" s="4" t="s">
        <v>1906</v>
      </c>
      <c r="D2846" s="4" t="s">
        <v>4568</v>
      </c>
      <c r="E2846" s="1" t="str">
        <f>_xlfn.XLOOKUP(tblSales[[#This Row],[Customer ID]],tblCustomers[Customer ID],tblCustomers[Customer Name],"⚠ Unknown")</f>
        <v>Walk-in Customer</v>
      </c>
      <c r="F2846" s="4" t="s">
        <v>6</v>
      </c>
      <c r="G2846" s="1" t="str">
        <f>_xlfn.XLOOKUP(tblSales[[#This Row],[Product Code]],tblProducts[Code],tblProducts[Product / Service Name],"⚠ Unknown")</f>
        <v>Socks &amp; Accessories</v>
      </c>
      <c r="H2846" s="1" t="str">
        <f>_xlfn.XLOOKUP(tblSales[[#This Row],[Product Code]],tblProducts[Code],tblProducts[Category],"")</f>
        <v>Accessories &amp; Basics</v>
      </c>
      <c r="I2846" s="4">
        <v>8</v>
      </c>
      <c r="J2846" s="5">
        <f>_xlfn.XLOOKUP(tblSales[[#This Row],[Product Code]],tblProducts[Code],tblProducts[Selling Price (excl. VAT)],0)</f>
        <v>45000</v>
      </c>
      <c r="K2846" s="5">
        <f>tblSales[[#This Row],[Qty]]*tblSales[[#This Row],[Unit Price]]</f>
        <v>360000</v>
      </c>
      <c r="L2846" s="5">
        <f>ROUND(tblSales[[#This Row],[DPP (excl. VAT)]]*VATEff,0)</f>
        <v>39600</v>
      </c>
      <c r="M2846" s="5">
        <f>tblSales[[#This Row],[DPP (excl. VAT)]]+tblSales[[#This Row],[Output VAT]]</f>
        <v>399600</v>
      </c>
      <c r="N2846" s="5">
        <f>tblSales[[#This Row],[Qty]]*_xlfn.XLOOKUP(tblSales[[#This Row],[Product Code]],tblProducts[Code],tblProducts[Unit Cost],0)</f>
        <v>192000</v>
      </c>
      <c r="O2846" s="4" t="s">
        <v>4866</v>
      </c>
      <c r="P2846" s="4" t="s">
        <v>4861</v>
      </c>
      <c r="Q2846" s="1" t="str">
        <f>_xlfn.XLOOKUP(tblSales[[#This Row],[Channel Code]],tblChannels[Channel Code],tblChannels[Channel Name],"")</f>
        <v>Marketplace</v>
      </c>
      <c r="R2846" s="1">
        <f>MONTH(tblSales[[#This Row],[Date]])</f>
        <v>6</v>
      </c>
    </row>
    <row r="2847" spans="2:18" x14ac:dyDescent="0.35">
      <c r="B2847" s="113">
        <v>46193</v>
      </c>
      <c r="C2847" s="4" t="s">
        <v>1907</v>
      </c>
      <c r="D2847" s="4" t="s">
        <v>4568</v>
      </c>
      <c r="E2847" s="1" t="str">
        <f>_xlfn.XLOOKUP(tblSales[[#This Row],[Customer ID]],tblCustomers[Customer ID],tblCustomers[Customer Name],"⚠ Unknown")</f>
        <v>Walk-in Customer</v>
      </c>
      <c r="F2847" s="4" t="s">
        <v>12</v>
      </c>
      <c r="G2847" s="1" t="str">
        <f>_xlfn.XLOOKUP(tblSales[[#This Row],[Product Code]],tblProducts[Code],tblProducts[Product / Service Name],"⚠ Unknown")</f>
        <v>Bomber Jacket</v>
      </c>
      <c r="H2847" s="1" t="str">
        <f>_xlfn.XLOOKUP(tblSales[[#This Row],[Product Code]],tblProducts[Code],tblProducts[Category],"")</f>
        <v>Apparel &amp; Footwear</v>
      </c>
      <c r="I2847" s="4">
        <v>3</v>
      </c>
      <c r="J2847" s="5">
        <f>_xlfn.XLOOKUP(tblSales[[#This Row],[Product Code]],tblProducts[Code],tblProducts[Selling Price (excl. VAT)],0)</f>
        <v>350000</v>
      </c>
      <c r="K2847" s="5">
        <f>tblSales[[#This Row],[Qty]]*tblSales[[#This Row],[Unit Price]]</f>
        <v>1050000</v>
      </c>
      <c r="L2847" s="5">
        <f>ROUND(tblSales[[#This Row],[DPP (excl. VAT)]]*VATEff,0)</f>
        <v>115500</v>
      </c>
      <c r="M2847" s="5">
        <f>tblSales[[#This Row],[DPP (excl. VAT)]]+tblSales[[#This Row],[Output VAT]]</f>
        <v>1165500</v>
      </c>
      <c r="N2847" s="5">
        <f>tblSales[[#This Row],[Qty]]*_xlfn.XLOOKUP(tblSales[[#This Row],[Product Code]],tblProducts[Code],tblProducts[Unit Cost],0)</f>
        <v>630000</v>
      </c>
      <c r="O2847" s="4" t="s">
        <v>4866</v>
      </c>
      <c r="P2847" s="4" t="s">
        <v>4862</v>
      </c>
      <c r="Q2847" s="1" t="str">
        <f>_xlfn.XLOOKUP(tblSales[[#This Row],[Channel Code]],tblChannels[Channel Code],tblChannels[Channel Name],"")</f>
        <v>Website &amp; Social Media</v>
      </c>
      <c r="R2847" s="1">
        <f>MONTH(tblSales[[#This Row],[Date]])</f>
        <v>6</v>
      </c>
    </row>
    <row r="2848" spans="2:18" x14ac:dyDescent="0.35">
      <c r="B2848" s="113">
        <v>46193</v>
      </c>
      <c r="C2848" s="4" t="s">
        <v>1908</v>
      </c>
      <c r="D2848" s="4" t="s">
        <v>4568</v>
      </c>
      <c r="E2848" s="1" t="str">
        <f>_xlfn.XLOOKUP(tblSales[[#This Row],[Customer ID]],tblCustomers[Customer ID],tblCustomers[Customer Name],"⚠ Unknown")</f>
        <v>Walk-in Customer</v>
      </c>
      <c r="F2848" s="4" t="s">
        <v>7</v>
      </c>
      <c r="G2848" s="1" t="str">
        <f>_xlfn.XLOOKUP(tblSales[[#This Row],[Product Code]],tblProducts[Code],tblProducts[Product / Service Name],"⚠ Unknown")</f>
        <v>Premium Basic T-shirt</v>
      </c>
      <c r="H2848" s="1" t="str">
        <f>_xlfn.XLOOKUP(tblSales[[#This Row],[Product Code]],tblProducts[Code],tblProducts[Category],"")</f>
        <v>Accessories &amp; Basics</v>
      </c>
      <c r="I2848" s="4">
        <v>12</v>
      </c>
      <c r="J2848" s="5">
        <f>_xlfn.XLOOKUP(tblSales[[#This Row],[Product Code]],tblProducts[Code],tblProducts[Selling Price (excl. VAT)],0)</f>
        <v>65000</v>
      </c>
      <c r="K2848" s="5">
        <f>tblSales[[#This Row],[Qty]]*tblSales[[#This Row],[Unit Price]]</f>
        <v>780000</v>
      </c>
      <c r="L2848" s="5">
        <f>ROUND(tblSales[[#This Row],[DPP (excl. VAT)]]*VATEff,0)</f>
        <v>85800</v>
      </c>
      <c r="M2848" s="5">
        <f>tblSales[[#This Row],[DPP (excl. VAT)]]+tblSales[[#This Row],[Output VAT]]</f>
        <v>865800</v>
      </c>
      <c r="N2848" s="5">
        <f>tblSales[[#This Row],[Qty]]*_xlfn.XLOOKUP(tblSales[[#This Row],[Product Code]],tblProducts[Code],tblProducts[Unit Cost],0)</f>
        <v>444000</v>
      </c>
      <c r="O2848" s="4" t="s">
        <v>4865</v>
      </c>
      <c r="P2848" s="4" t="s">
        <v>4860</v>
      </c>
      <c r="Q2848" s="1" t="str">
        <f>_xlfn.XLOOKUP(tblSales[[#This Row],[Channel Code]],tblChannels[Channel Code],tblChannels[Channel Name],"")</f>
        <v>In-store</v>
      </c>
      <c r="R2848" s="1">
        <f>MONTH(tblSales[[#This Row],[Date]])</f>
        <v>6</v>
      </c>
    </row>
    <row r="2849" spans="2:18" x14ac:dyDescent="0.35">
      <c r="B2849" s="113">
        <v>46193</v>
      </c>
      <c r="C2849" s="4" t="s">
        <v>1909</v>
      </c>
      <c r="D2849" s="4" t="s">
        <v>4568</v>
      </c>
      <c r="E2849" s="1" t="str">
        <f>_xlfn.XLOOKUP(tblSales[[#This Row],[Customer ID]],tblCustomers[Customer ID],tblCustomers[Customer Name],"⚠ Unknown")</f>
        <v>Walk-in Customer</v>
      </c>
      <c r="F2849" s="4" t="s">
        <v>13</v>
      </c>
      <c r="G2849" s="1" t="str">
        <f>_xlfn.XLOOKUP(tblSales[[#This Row],[Product Code]],tblProducts[Code],tblProducts[Product / Service Name],"⚠ Unknown")</f>
        <v>Backpack</v>
      </c>
      <c r="H2849" s="1" t="str">
        <f>_xlfn.XLOOKUP(tblSales[[#This Row],[Product Code]],tblProducts[Code],tblProducts[Category],"")</f>
        <v>Bags &amp; Gadgets</v>
      </c>
      <c r="I2849" s="4">
        <v>2</v>
      </c>
      <c r="J2849" s="5">
        <f>_xlfn.XLOOKUP(tblSales[[#This Row],[Product Code]],tblProducts[Code],tblProducts[Selling Price (excl. VAT)],0)</f>
        <v>500000</v>
      </c>
      <c r="K2849" s="5">
        <f>tblSales[[#This Row],[Qty]]*tblSales[[#This Row],[Unit Price]]</f>
        <v>1000000</v>
      </c>
      <c r="L2849" s="5">
        <f>ROUND(tblSales[[#This Row],[DPP (excl. VAT)]]*VATEff,0)</f>
        <v>110000</v>
      </c>
      <c r="M2849" s="5">
        <f>tblSales[[#This Row],[DPP (excl. VAT)]]+tblSales[[#This Row],[Output VAT]]</f>
        <v>1110000</v>
      </c>
      <c r="N2849" s="5">
        <f>tblSales[[#This Row],[Qty]]*_xlfn.XLOOKUP(tblSales[[#This Row],[Product Code]],tblProducts[Code],tblProducts[Unit Cost],0)</f>
        <v>580000</v>
      </c>
      <c r="O2849" s="4" t="s">
        <v>4866</v>
      </c>
      <c r="P2849" s="4" t="s">
        <v>4861</v>
      </c>
      <c r="Q2849" s="1" t="str">
        <f>_xlfn.XLOOKUP(tblSales[[#This Row],[Channel Code]],tblChannels[Channel Code],tblChannels[Channel Name],"")</f>
        <v>Marketplace</v>
      </c>
      <c r="R2849" s="1">
        <f>MONTH(tblSales[[#This Row],[Date]])</f>
        <v>6</v>
      </c>
    </row>
    <row r="2850" spans="2:18" x14ac:dyDescent="0.35">
      <c r="B2850" s="113">
        <v>46193</v>
      </c>
      <c r="C2850" s="4" t="s">
        <v>1909</v>
      </c>
      <c r="D2850" s="4" t="s">
        <v>4568</v>
      </c>
      <c r="E2850" s="1" t="str">
        <f>_xlfn.XLOOKUP(tblSales[[#This Row],[Customer ID]],tblCustomers[Customer ID],tblCustomers[Customer Name],"⚠ Unknown")</f>
        <v>Walk-in Customer</v>
      </c>
      <c r="F2850" s="4" t="s">
        <v>6</v>
      </c>
      <c r="G2850" s="1" t="str">
        <f>_xlfn.XLOOKUP(tblSales[[#This Row],[Product Code]],tblProducts[Code],tblProducts[Product / Service Name],"⚠ Unknown")</f>
        <v>Socks &amp; Accessories</v>
      </c>
      <c r="H2850" s="1" t="str">
        <f>_xlfn.XLOOKUP(tblSales[[#This Row],[Product Code]],tblProducts[Code],tblProducts[Category],"")</f>
        <v>Accessories &amp; Basics</v>
      </c>
      <c r="I2850" s="4">
        <v>11</v>
      </c>
      <c r="J2850" s="5">
        <f>_xlfn.XLOOKUP(tblSales[[#This Row],[Product Code]],tblProducts[Code],tblProducts[Selling Price (excl. VAT)],0)</f>
        <v>45000</v>
      </c>
      <c r="K2850" s="5">
        <f>tblSales[[#This Row],[Qty]]*tblSales[[#This Row],[Unit Price]]</f>
        <v>495000</v>
      </c>
      <c r="L2850" s="5">
        <f>ROUND(tblSales[[#This Row],[DPP (excl. VAT)]]*VATEff,0)</f>
        <v>54450</v>
      </c>
      <c r="M2850" s="5">
        <f>tblSales[[#This Row],[DPP (excl. VAT)]]+tblSales[[#This Row],[Output VAT]]</f>
        <v>549450</v>
      </c>
      <c r="N2850" s="5">
        <f>tblSales[[#This Row],[Qty]]*_xlfn.XLOOKUP(tblSales[[#This Row],[Product Code]],tblProducts[Code],tblProducts[Unit Cost],0)</f>
        <v>264000</v>
      </c>
      <c r="O2850" s="4" t="s">
        <v>4866</v>
      </c>
      <c r="P2850" s="4" t="s">
        <v>4861</v>
      </c>
      <c r="Q2850" s="1" t="str">
        <f>_xlfn.XLOOKUP(tblSales[[#This Row],[Channel Code]],tblChannels[Channel Code],tblChannels[Channel Name],"")</f>
        <v>Marketplace</v>
      </c>
      <c r="R2850" s="1">
        <f>MONTH(tblSales[[#This Row],[Date]])</f>
        <v>6</v>
      </c>
    </row>
    <row r="2851" spans="2:18" x14ac:dyDescent="0.35">
      <c r="B2851" s="113">
        <v>46193</v>
      </c>
      <c r="C2851" s="4" t="s">
        <v>1910</v>
      </c>
      <c r="D2851" s="4" t="s">
        <v>4620</v>
      </c>
      <c r="E2851" s="1" t="str">
        <f>_xlfn.XLOOKUP(tblSales[[#This Row],[Customer ID]],tblCustomers[Customer ID],tblCustomers[Customer Name],"⚠ Unknown")</f>
        <v>CV Sumber Rejeki Utama</v>
      </c>
      <c r="F2851" s="4" t="s">
        <v>10</v>
      </c>
      <c r="G2851" s="1" t="str">
        <f>_xlfn.XLOOKUP(tblSales[[#This Row],[Product Code]],tblProducts[Code],tblProducts[Product / Service Name],"⚠ Unknown")</f>
        <v>Chino Pants</v>
      </c>
      <c r="H2851" s="1" t="str">
        <f>_xlfn.XLOOKUP(tblSales[[#This Row],[Product Code]],tblProducts[Code],tblProducts[Category],"")</f>
        <v>Apparel &amp; Footwear</v>
      </c>
      <c r="I2851" s="4">
        <v>8</v>
      </c>
      <c r="J2851" s="5">
        <f>_xlfn.XLOOKUP(tblSales[[#This Row],[Product Code]],tblProducts[Code],tblProducts[Selling Price (excl. VAT)],0)</f>
        <v>150000</v>
      </c>
      <c r="K2851" s="5">
        <f>tblSales[[#This Row],[Qty]]*tblSales[[#This Row],[Unit Price]]</f>
        <v>1200000</v>
      </c>
      <c r="L2851" s="5">
        <f>ROUND(tblSales[[#This Row],[DPP (excl. VAT)]]*VATEff,0)</f>
        <v>132000</v>
      </c>
      <c r="M2851" s="5">
        <f>tblSales[[#This Row],[DPP (excl. VAT)]]+tblSales[[#This Row],[Output VAT]]</f>
        <v>1332000</v>
      </c>
      <c r="N2851" s="5">
        <f>tblSales[[#This Row],[Qty]]*_xlfn.XLOOKUP(tblSales[[#This Row],[Product Code]],tblProducts[Code],tblProducts[Unit Cost],0)</f>
        <v>704000</v>
      </c>
      <c r="O2851" s="4" t="s">
        <v>4867</v>
      </c>
      <c r="P2851" s="4" t="s">
        <v>4860</v>
      </c>
      <c r="Q2851" s="1" t="str">
        <f>_xlfn.XLOOKUP(tblSales[[#This Row],[Channel Code]],tblChannels[Channel Code],tblChannels[Channel Name],"")</f>
        <v>In-store</v>
      </c>
      <c r="R2851" s="1">
        <f>MONTH(tblSales[[#This Row],[Date]])</f>
        <v>6</v>
      </c>
    </row>
    <row r="2852" spans="2:18" x14ac:dyDescent="0.35">
      <c r="B2852" s="113">
        <v>46193</v>
      </c>
      <c r="C2852" s="4" t="s">
        <v>1911</v>
      </c>
      <c r="D2852" s="4" t="s">
        <v>4648</v>
      </c>
      <c r="E2852" s="1" t="str">
        <f>_xlfn.XLOOKUP(tblSales[[#This Row],[Customer ID]],tblCustomers[Customer ID],tblCustomers[Customer Name],"⚠ Unknown")</f>
        <v>PT Lintas Benua Niaga</v>
      </c>
      <c r="F2852" s="4" t="s">
        <v>7</v>
      </c>
      <c r="G2852" s="1" t="str">
        <f>_xlfn.XLOOKUP(tblSales[[#This Row],[Product Code]],tblProducts[Code],tblProducts[Product / Service Name],"⚠ Unknown")</f>
        <v>Premium Basic T-shirt</v>
      </c>
      <c r="H2852" s="1" t="str">
        <f>_xlfn.XLOOKUP(tblSales[[#This Row],[Product Code]],tblProducts[Code],tblProducts[Category],"")</f>
        <v>Accessories &amp; Basics</v>
      </c>
      <c r="I2852" s="4">
        <v>8</v>
      </c>
      <c r="J2852" s="5">
        <f>_xlfn.XLOOKUP(tblSales[[#This Row],[Product Code]],tblProducts[Code],tblProducts[Selling Price (excl. VAT)],0)</f>
        <v>65000</v>
      </c>
      <c r="K2852" s="5">
        <f>tblSales[[#This Row],[Qty]]*tblSales[[#This Row],[Unit Price]]</f>
        <v>520000</v>
      </c>
      <c r="L2852" s="5">
        <f>ROUND(tblSales[[#This Row],[DPP (excl. VAT)]]*VATEff,0)</f>
        <v>57200</v>
      </c>
      <c r="M2852" s="5">
        <f>tblSales[[#This Row],[DPP (excl. VAT)]]+tblSales[[#This Row],[Output VAT]]</f>
        <v>577200</v>
      </c>
      <c r="N2852" s="5">
        <f>tblSales[[#This Row],[Qty]]*_xlfn.XLOOKUP(tblSales[[#This Row],[Product Code]],tblProducts[Code],tblProducts[Unit Cost],0)</f>
        <v>296000</v>
      </c>
      <c r="O2852" s="4" t="s">
        <v>4867</v>
      </c>
      <c r="P2852" s="4" t="s">
        <v>4860</v>
      </c>
      <c r="Q2852" s="1" t="str">
        <f>_xlfn.XLOOKUP(tblSales[[#This Row],[Channel Code]],tblChannels[Channel Code],tblChannels[Channel Name],"")</f>
        <v>In-store</v>
      </c>
      <c r="R2852" s="1">
        <f>MONTH(tblSales[[#This Row],[Date]])</f>
        <v>6</v>
      </c>
    </row>
    <row r="2853" spans="2:18" x14ac:dyDescent="0.35">
      <c r="B2853" s="113">
        <v>46193</v>
      </c>
      <c r="C2853" s="4" t="s">
        <v>1912</v>
      </c>
      <c r="D2853" s="4" t="s">
        <v>4568</v>
      </c>
      <c r="E2853" s="1" t="str">
        <f>_xlfn.XLOOKUP(tblSales[[#This Row],[Customer ID]],tblCustomers[Customer ID],tblCustomers[Customer Name],"⚠ Unknown")</f>
        <v>Walk-in Customer</v>
      </c>
      <c r="F2853" s="4" t="s">
        <v>13</v>
      </c>
      <c r="G2853" s="1" t="str">
        <f>_xlfn.XLOOKUP(tblSales[[#This Row],[Product Code]],tblProducts[Code],tblProducts[Product / Service Name],"⚠ Unknown")</f>
        <v>Backpack</v>
      </c>
      <c r="H2853" s="1" t="str">
        <f>_xlfn.XLOOKUP(tblSales[[#This Row],[Product Code]],tblProducts[Code],tblProducts[Category],"")</f>
        <v>Bags &amp; Gadgets</v>
      </c>
      <c r="I2853" s="4">
        <v>2</v>
      </c>
      <c r="J2853" s="5">
        <f>_xlfn.XLOOKUP(tblSales[[#This Row],[Product Code]],tblProducts[Code],tblProducts[Selling Price (excl. VAT)],0)</f>
        <v>500000</v>
      </c>
      <c r="K2853" s="5">
        <f>tblSales[[#This Row],[Qty]]*tblSales[[#This Row],[Unit Price]]</f>
        <v>1000000</v>
      </c>
      <c r="L2853" s="5">
        <f>ROUND(tblSales[[#This Row],[DPP (excl. VAT)]]*VATEff,0)</f>
        <v>110000</v>
      </c>
      <c r="M2853" s="5">
        <f>tblSales[[#This Row],[DPP (excl. VAT)]]+tblSales[[#This Row],[Output VAT]]</f>
        <v>1110000</v>
      </c>
      <c r="N2853" s="5">
        <f>tblSales[[#This Row],[Qty]]*_xlfn.XLOOKUP(tblSales[[#This Row],[Product Code]],tblProducts[Code],tblProducts[Unit Cost],0)</f>
        <v>580000</v>
      </c>
      <c r="O2853" s="4" t="s">
        <v>4866</v>
      </c>
      <c r="P2853" s="4" t="s">
        <v>4860</v>
      </c>
      <c r="Q2853" s="1" t="str">
        <f>_xlfn.XLOOKUP(tblSales[[#This Row],[Channel Code]],tblChannels[Channel Code],tblChannels[Channel Name],"")</f>
        <v>In-store</v>
      </c>
      <c r="R2853" s="1">
        <f>MONTH(tblSales[[#This Row],[Date]])</f>
        <v>6</v>
      </c>
    </row>
    <row r="2854" spans="2:18" x14ac:dyDescent="0.35">
      <c r="B2854" s="113">
        <v>46193</v>
      </c>
      <c r="C2854" s="4" t="s">
        <v>1912</v>
      </c>
      <c r="D2854" s="4" t="s">
        <v>4568</v>
      </c>
      <c r="E2854" s="1" t="str">
        <f>_xlfn.XLOOKUP(tblSales[[#This Row],[Customer ID]],tblCustomers[Customer ID],tblCustomers[Customer Name],"⚠ Unknown")</f>
        <v>Walk-in Customer</v>
      </c>
      <c r="F2854" s="4" t="s">
        <v>7</v>
      </c>
      <c r="G2854" s="1" t="str">
        <f>_xlfn.XLOOKUP(tblSales[[#This Row],[Product Code]],tblProducts[Code],tblProducts[Product / Service Name],"⚠ Unknown")</f>
        <v>Premium Basic T-shirt</v>
      </c>
      <c r="H2854" s="1" t="str">
        <f>_xlfn.XLOOKUP(tblSales[[#This Row],[Product Code]],tblProducts[Code],tblProducts[Category],"")</f>
        <v>Accessories &amp; Basics</v>
      </c>
      <c r="I2854" s="4">
        <v>3</v>
      </c>
      <c r="J2854" s="5">
        <f>_xlfn.XLOOKUP(tblSales[[#This Row],[Product Code]],tblProducts[Code],tblProducts[Selling Price (excl. VAT)],0)</f>
        <v>65000</v>
      </c>
      <c r="K2854" s="5">
        <f>tblSales[[#This Row],[Qty]]*tblSales[[#This Row],[Unit Price]]</f>
        <v>195000</v>
      </c>
      <c r="L2854" s="5">
        <f>ROUND(tblSales[[#This Row],[DPP (excl. VAT)]]*VATEff,0)</f>
        <v>21450</v>
      </c>
      <c r="M2854" s="5">
        <f>tblSales[[#This Row],[DPP (excl. VAT)]]+tblSales[[#This Row],[Output VAT]]</f>
        <v>216450</v>
      </c>
      <c r="N2854" s="5">
        <f>tblSales[[#This Row],[Qty]]*_xlfn.XLOOKUP(tblSales[[#This Row],[Product Code]],tblProducts[Code],tblProducts[Unit Cost],0)</f>
        <v>111000</v>
      </c>
      <c r="O2854" s="4" t="s">
        <v>4866</v>
      </c>
      <c r="P2854" s="4" t="s">
        <v>4860</v>
      </c>
      <c r="Q2854" s="1" t="str">
        <f>_xlfn.XLOOKUP(tblSales[[#This Row],[Channel Code]],tblChannels[Channel Code],tblChannels[Channel Name],"")</f>
        <v>In-store</v>
      </c>
      <c r="R2854" s="1">
        <f>MONTH(tblSales[[#This Row],[Date]])</f>
        <v>6</v>
      </c>
    </row>
    <row r="2855" spans="2:18" x14ac:dyDescent="0.35">
      <c r="B2855" s="113">
        <v>46193</v>
      </c>
      <c r="C2855" s="4" t="s">
        <v>1913</v>
      </c>
      <c r="D2855" s="4" t="s">
        <v>4568</v>
      </c>
      <c r="E2855" s="1" t="str">
        <f>_xlfn.XLOOKUP(tblSales[[#This Row],[Customer ID]],tblCustomers[Customer ID],tblCustomers[Customer Name],"⚠ Unknown")</f>
        <v>Walk-in Customer</v>
      </c>
      <c r="F2855" s="4" t="s">
        <v>6</v>
      </c>
      <c r="G2855" s="1" t="str">
        <f>_xlfn.XLOOKUP(tblSales[[#This Row],[Product Code]],tblProducts[Code],tblProducts[Product / Service Name],"⚠ Unknown")</f>
        <v>Socks &amp; Accessories</v>
      </c>
      <c r="H2855" s="1" t="str">
        <f>_xlfn.XLOOKUP(tblSales[[#This Row],[Product Code]],tblProducts[Code],tblProducts[Category],"")</f>
        <v>Accessories &amp; Basics</v>
      </c>
      <c r="I2855" s="4">
        <v>11</v>
      </c>
      <c r="J2855" s="5">
        <f>_xlfn.XLOOKUP(tblSales[[#This Row],[Product Code]],tblProducts[Code],tblProducts[Selling Price (excl. VAT)],0)</f>
        <v>45000</v>
      </c>
      <c r="K2855" s="5">
        <f>tblSales[[#This Row],[Qty]]*tblSales[[#This Row],[Unit Price]]</f>
        <v>495000</v>
      </c>
      <c r="L2855" s="5">
        <f>ROUND(tblSales[[#This Row],[DPP (excl. VAT)]]*VATEff,0)</f>
        <v>54450</v>
      </c>
      <c r="M2855" s="5">
        <f>tblSales[[#This Row],[DPP (excl. VAT)]]+tblSales[[#This Row],[Output VAT]]</f>
        <v>549450</v>
      </c>
      <c r="N2855" s="5">
        <f>tblSales[[#This Row],[Qty]]*_xlfn.XLOOKUP(tblSales[[#This Row],[Product Code]],tblProducts[Code],tblProducts[Unit Cost],0)</f>
        <v>264000</v>
      </c>
      <c r="O2855" s="4" t="s">
        <v>4865</v>
      </c>
      <c r="P2855" s="4" t="s">
        <v>4860</v>
      </c>
      <c r="Q2855" s="1" t="str">
        <f>_xlfn.XLOOKUP(tblSales[[#This Row],[Channel Code]],tblChannels[Channel Code],tblChannels[Channel Name],"")</f>
        <v>In-store</v>
      </c>
      <c r="R2855" s="1">
        <f>MONTH(tblSales[[#This Row],[Date]])</f>
        <v>6</v>
      </c>
    </row>
    <row r="2856" spans="2:18" x14ac:dyDescent="0.35">
      <c r="B2856" s="113">
        <v>46193</v>
      </c>
      <c r="C2856" s="4" t="s">
        <v>1914</v>
      </c>
      <c r="D2856" s="4" t="s">
        <v>4568</v>
      </c>
      <c r="E2856" s="1" t="str">
        <f>_xlfn.XLOOKUP(tblSales[[#This Row],[Customer ID]],tblCustomers[Customer ID],tblCustomers[Customer Name],"⚠ Unknown")</f>
        <v>Walk-in Customer</v>
      </c>
      <c r="F2856" s="4" t="s">
        <v>6</v>
      </c>
      <c r="G2856" s="1" t="str">
        <f>_xlfn.XLOOKUP(tblSales[[#This Row],[Product Code]],tblProducts[Code],tblProducts[Product / Service Name],"⚠ Unknown")</f>
        <v>Socks &amp; Accessories</v>
      </c>
      <c r="H2856" s="1" t="str">
        <f>_xlfn.XLOOKUP(tblSales[[#This Row],[Product Code]],tblProducts[Code],tblProducts[Category],"")</f>
        <v>Accessories &amp; Basics</v>
      </c>
      <c r="I2856" s="4">
        <v>4</v>
      </c>
      <c r="J2856" s="5">
        <f>_xlfn.XLOOKUP(tblSales[[#This Row],[Product Code]],tblProducts[Code],tblProducts[Selling Price (excl. VAT)],0)</f>
        <v>45000</v>
      </c>
      <c r="K2856" s="5">
        <f>tblSales[[#This Row],[Qty]]*tblSales[[#This Row],[Unit Price]]</f>
        <v>180000</v>
      </c>
      <c r="L2856" s="5">
        <f>ROUND(tblSales[[#This Row],[DPP (excl. VAT)]]*VATEff,0)</f>
        <v>19800</v>
      </c>
      <c r="M2856" s="5">
        <f>tblSales[[#This Row],[DPP (excl. VAT)]]+tblSales[[#This Row],[Output VAT]]</f>
        <v>199800</v>
      </c>
      <c r="N2856" s="5">
        <f>tblSales[[#This Row],[Qty]]*_xlfn.XLOOKUP(tblSales[[#This Row],[Product Code]],tblProducts[Code],tblProducts[Unit Cost],0)</f>
        <v>96000</v>
      </c>
      <c r="O2856" s="4" t="s">
        <v>4866</v>
      </c>
      <c r="P2856" s="4" t="s">
        <v>4860</v>
      </c>
      <c r="Q2856" s="1" t="str">
        <f>_xlfn.XLOOKUP(tblSales[[#This Row],[Channel Code]],tblChannels[Channel Code],tblChannels[Channel Name],"")</f>
        <v>In-store</v>
      </c>
      <c r="R2856" s="1">
        <f>MONTH(tblSales[[#This Row],[Date]])</f>
        <v>6</v>
      </c>
    </row>
    <row r="2857" spans="2:18" x14ac:dyDescent="0.35">
      <c r="B2857" s="113">
        <v>46193</v>
      </c>
      <c r="C2857" s="4" t="s">
        <v>1914</v>
      </c>
      <c r="D2857" s="4" t="s">
        <v>4568</v>
      </c>
      <c r="E2857" s="1" t="str">
        <f>_xlfn.XLOOKUP(tblSales[[#This Row],[Customer ID]],tblCustomers[Customer ID],tblCustomers[Customer Name],"⚠ Unknown")</f>
        <v>Walk-in Customer</v>
      </c>
      <c r="F2857" s="4" t="s">
        <v>9</v>
      </c>
      <c r="G2857" s="1" t="str">
        <f>_xlfn.XLOOKUP(tblSales[[#This Row],[Product Code]],tblProducts[Code],tblProducts[Product / Service Name],"⚠ Unknown")</f>
        <v>Casual Shirt</v>
      </c>
      <c r="H2857" s="1" t="str">
        <f>_xlfn.XLOOKUP(tblSales[[#This Row],[Product Code]],tblProducts[Code],tblProducts[Category],"")</f>
        <v>Apparel &amp; Footwear</v>
      </c>
      <c r="I2857" s="4">
        <v>9</v>
      </c>
      <c r="J2857" s="5">
        <f>_xlfn.XLOOKUP(tblSales[[#This Row],[Product Code]],tblProducts[Code],tblProducts[Selling Price (excl. VAT)],0)</f>
        <v>120000</v>
      </c>
      <c r="K2857" s="5">
        <f>tblSales[[#This Row],[Qty]]*tblSales[[#This Row],[Unit Price]]</f>
        <v>1080000</v>
      </c>
      <c r="L2857" s="5">
        <f>ROUND(tblSales[[#This Row],[DPP (excl. VAT)]]*VATEff,0)</f>
        <v>118800</v>
      </c>
      <c r="M2857" s="5">
        <f>tblSales[[#This Row],[DPP (excl. VAT)]]+tblSales[[#This Row],[Output VAT]]</f>
        <v>1198800</v>
      </c>
      <c r="N2857" s="5">
        <f>tblSales[[#This Row],[Qty]]*_xlfn.XLOOKUP(tblSales[[#This Row],[Product Code]],tblProducts[Code],tblProducts[Unit Cost],0)</f>
        <v>648000</v>
      </c>
      <c r="O2857" s="4" t="s">
        <v>4866</v>
      </c>
      <c r="P2857" s="4" t="s">
        <v>4860</v>
      </c>
      <c r="Q2857" s="1" t="str">
        <f>_xlfn.XLOOKUP(tblSales[[#This Row],[Channel Code]],tblChannels[Channel Code],tblChannels[Channel Name],"")</f>
        <v>In-store</v>
      </c>
      <c r="R2857" s="1">
        <f>MONTH(tblSales[[#This Row],[Date]])</f>
        <v>6</v>
      </c>
    </row>
    <row r="2858" spans="2:18" x14ac:dyDescent="0.35">
      <c r="B2858" s="113">
        <v>46193</v>
      </c>
      <c r="C2858" s="4" t="s">
        <v>1915</v>
      </c>
      <c r="D2858" s="4" t="s">
        <v>4568</v>
      </c>
      <c r="E2858" s="1" t="str">
        <f>_xlfn.XLOOKUP(tblSales[[#This Row],[Customer ID]],tblCustomers[Customer ID],tblCustomers[Customer Name],"⚠ Unknown")</f>
        <v>Walk-in Customer</v>
      </c>
      <c r="F2858" s="4" t="s">
        <v>11</v>
      </c>
      <c r="G2858" s="1" t="str">
        <f>_xlfn.XLOOKUP(tblSales[[#This Row],[Product Code]],tblProducts[Code],tblProducts[Product / Service Name],"⚠ Unknown")</f>
        <v>Sneakers</v>
      </c>
      <c r="H2858" s="1" t="str">
        <f>_xlfn.XLOOKUP(tblSales[[#This Row],[Product Code]],tblProducts[Code],tblProducts[Category],"")</f>
        <v>Apparel &amp; Footwear</v>
      </c>
      <c r="I2858" s="4">
        <v>5</v>
      </c>
      <c r="J2858" s="5">
        <f>_xlfn.XLOOKUP(tblSales[[#This Row],[Product Code]],tblProducts[Code],tblProducts[Selling Price (excl. VAT)],0)</f>
        <v>250000</v>
      </c>
      <c r="K2858" s="5">
        <f>tblSales[[#This Row],[Qty]]*tblSales[[#This Row],[Unit Price]]</f>
        <v>1250000</v>
      </c>
      <c r="L2858" s="5">
        <f>ROUND(tblSales[[#This Row],[DPP (excl. VAT)]]*VATEff,0)</f>
        <v>137500</v>
      </c>
      <c r="M2858" s="5">
        <f>tblSales[[#This Row],[DPP (excl. VAT)]]+tblSales[[#This Row],[Output VAT]]</f>
        <v>1387500</v>
      </c>
      <c r="N2858" s="5">
        <f>tblSales[[#This Row],[Qty]]*_xlfn.XLOOKUP(tblSales[[#This Row],[Product Code]],tblProducts[Code],tblProducts[Unit Cost],0)</f>
        <v>775000</v>
      </c>
      <c r="O2858" s="4" t="s">
        <v>4866</v>
      </c>
      <c r="P2858" s="4" t="s">
        <v>4861</v>
      </c>
      <c r="Q2858" s="1" t="str">
        <f>_xlfn.XLOOKUP(tblSales[[#This Row],[Channel Code]],tblChannels[Channel Code],tblChannels[Channel Name],"")</f>
        <v>Marketplace</v>
      </c>
      <c r="R2858" s="1">
        <f>MONTH(tblSales[[#This Row],[Date]])</f>
        <v>6</v>
      </c>
    </row>
    <row r="2859" spans="2:18" x14ac:dyDescent="0.35">
      <c r="B2859" s="113">
        <v>46193</v>
      </c>
      <c r="C2859" s="4" t="s">
        <v>1916</v>
      </c>
      <c r="D2859" s="4" t="s">
        <v>4568</v>
      </c>
      <c r="E2859" s="1" t="str">
        <f>_xlfn.XLOOKUP(tblSales[[#This Row],[Customer ID]],tblCustomers[Customer ID],tblCustomers[Customer Name],"⚠ Unknown")</f>
        <v>Walk-in Customer</v>
      </c>
      <c r="F2859" s="4" t="s">
        <v>8</v>
      </c>
      <c r="G2859" s="1" t="str">
        <f>_xlfn.XLOOKUP(tblSales[[#This Row],[Product Code]],tblProducts[Code],tblProducts[Product / Service Name],"⚠ Unknown")</f>
        <v>Casual Shorts</v>
      </c>
      <c r="H2859" s="1" t="str">
        <f>_xlfn.XLOOKUP(tblSales[[#This Row],[Product Code]],tblProducts[Code],tblProducts[Category],"")</f>
        <v>Accessories &amp; Basics</v>
      </c>
      <c r="I2859" s="4">
        <v>4</v>
      </c>
      <c r="J2859" s="5">
        <f>_xlfn.XLOOKUP(tblSales[[#This Row],[Product Code]],tblProducts[Code],tblProducts[Selling Price (excl. VAT)],0)</f>
        <v>85000</v>
      </c>
      <c r="K2859" s="5">
        <f>tblSales[[#This Row],[Qty]]*tblSales[[#This Row],[Unit Price]]</f>
        <v>340000</v>
      </c>
      <c r="L2859" s="5">
        <f>ROUND(tblSales[[#This Row],[DPP (excl. VAT)]]*VATEff,0)</f>
        <v>37400</v>
      </c>
      <c r="M2859" s="5">
        <f>tblSales[[#This Row],[DPP (excl. VAT)]]+tblSales[[#This Row],[Output VAT]]</f>
        <v>377400</v>
      </c>
      <c r="N2859" s="5">
        <f>tblSales[[#This Row],[Qty]]*_xlfn.XLOOKUP(tblSales[[#This Row],[Product Code]],tblProducts[Code],tblProducts[Unit Cost],0)</f>
        <v>200000</v>
      </c>
      <c r="O2859" s="4" t="s">
        <v>4866</v>
      </c>
      <c r="P2859" s="4" t="s">
        <v>4860</v>
      </c>
      <c r="Q2859" s="1" t="str">
        <f>_xlfn.XLOOKUP(tblSales[[#This Row],[Channel Code]],tblChannels[Channel Code],tblChannels[Channel Name],"")</f>
        <v>In-store</v>
      </c>
      <c r="R2859" s="1">
        <f>MONTH(tblSales[[#This Row],[Date]])</f>
        <v>6</v>
      </c>
    </row>
    <row r="2860" spans="2:18" x14ac:dyDescent="0.35">
      <c r="B2860" s="113">
        <v>46193</v>
      </c>
      <c r="C2860" s="4" t="s">
        <v>1917</v>
      </c>
      <c r="D2860" s="4" t="s">
        <v>4568</v>
      </c>
      <c r="E2860" s="1" t="str">
        <f>_xlfn.XLOOKUP(tblSales[[#This Row],[Customer ID]],tblCustomers[Customer ID],tblCustomers[Customer Name],"⚠ Unknown")</f>
        <v>Walk-in Customer</v>
      </c>
      <c r="F2860" s="4" t="s">
        <v>10</v>
      </c>
      <c r="G2860" s="1" t="str">
        <f>_xlfn.XLOOKUP(tblSales[[#This Row],[Product Code]],tblProducts[Code],tblProducts[Product / Service Name],"⚠ Unknown")</f>
        <v>Chino Pants</v>
      </c>
      <c r="H2860" s="1" t="str">
        <f>_xlfn.XLOOKUP(tblSales[[#This Row],[Product Code]],tblProducts[Code],tblProducts[Category],"")</f>
        <v>Apparel &amp; Footwear</v>
      </c>
      <c r="I2860" s="4">
        <v>11</v>
      </c>
      <c r="J2860" s="5">
        <f>_xlfn.XLOOKUP(tblSales[[#This Row],[Product Code]],tblProducts[Code],tblProducts[Selling Price (excl. VAT)],0)</f>
        <v>150000</v>
      </c>
      <c r="K2860" s="5">
        <f>tblSales[[#This Row],[Qty]]*tblSales[[#This Row],[Unit Price]]</f>
        <v>1650000</v>
      </c>
      <c r="L2860" s="5">
        <f>ROUND(tblSales[[#This Row],[DPP (excl. VAT)]]*VATEff,0)</f>
        <v>181500</v>
      </c>
      <c r="M2860" s="5">
        <f>tblSales[[#This Row],[DPP (excl. VAT)]]+tblSales[[#This Row],[Output VAT]]</f>
        <v>1831500</v>
      </c>
      <c r="N2860" s="5">
        <f>tblSales[[#This Row],[Qty]]*_xlfn.XLOOKUP(tblSales[[#This Row],[Product Code]],tblProducts[Code],tblProducts[Unit Cost],0)</f>
        <v>968000</v>
      </c>
      <c r="O2860" s="4" t="s">
        <v>4866</v>
      </c>
      <c r="P2860" s="4" t="s">
        <v>4861</v>
      </c>
      <c r="Q2860" s="1" t="str">
        <f>_xlfn.XLOOKUP(tblSales[[#This Row],[Channel Code]],tblChannels[Channel Code],tblChannels[Channel Name],"")</f>
        <v>Marketplace</v>
      </c>
      <c r="R2860" s="1">
        <f>MONTH(tblSales[[#This Row],[Date]])</f>
        <v>6</v>
      </c>
    </row>
    <row r="2861" spans="2:18" x14ac:dyDescent="0.35">
      <c r="B2861" s="113">
        <v>46193</v>
      </c>
      <c r="C2861" s="4" t="s">
        <v>1918</v>
      </c>
      <c r="D2861" s="4" t="s">
        <v>4568</v>
      </c>
      <c r="E2861" s="1" t="str">
        <f>_xlfn.XLOOKUP(tblSales[[#This Row],[Customer ID]],tblCustomers[Customer ID],tblCustomers[Customer Name],"⚠ Unknown")</f>
        <v>Walk-in Customer</v>
      </c>
      <c r="F2861" s="4" t="s">
        <v>10</v>
      </c>
      <c r="G2861" s="1" t="str">
        <f>_xlfn.XLOOKUP(tblSales[[#This Row],[Product Code]],tblProducts[Code],tblProducts[Product / Service Name],"⚠ Unknown")</f>
        <v>Chino Pants</v>
      </c>
      <c r="H2861" s="1" t="str">
        <f>_xlfn.XLOOKUP(tblSales[[#This Row],[Product Code]],tblProducts[Code],tblProducts[Category],"")</f>
        <v>Apparel &amp; Footwear</v>
      </c>
      <c r="I2861" s="4">
        <v>2</v>
      </c>
      <c r="J2861" s="5">
        <f>_xlfn.XLOOKUP(tblSales[[#This Row],[Product Code]],tblProducts[Code],tblProducts[Selling Price (excl. VAT)],0)</f>
        <v>150000</v>
      </c>
      <c r="K2861" s="5">
        <f>tblSales[[#This Row],[Qty]]*tblSales[[#This Row],[Unit Price]]</f>
        <v>300000</v>
      </c>
      <c r="L2861" s="5">
        <f>ROUND(tblSales[[#This Row],[DPP (excl. VAT)]]*VATEff,0)</f>
        <v>33000</v>
      </c>
      <c r="M2861" s="5">
        <f>tblSales[[#This Row],[DPP (excl. VAT)]]+tblSales[[#This Row],[Output VAT]]</f>
        <v>333000</v>
      </c>
      <c r="N2861" s="5">
        <f>tblSales[[#This Row],[Qty]]*_xlfn.XLOOKUP(tblSales[[#This Row],[Product Code]],tblProducts[Code],tblProducts[Unit Cost],0)</f>
        <v>176000</v>
      </c>
      <c r="O2861" s="4" t="s">
        <v>4865</v>
      </c>
      <c r="P2861" s="4" t="s">
        <v>4860</v>
      </c>
      <c r="Q2861" s="1" t="str">
        <f>_xlfn.XLOOKUP(tblSales[[#This Row],[Channel Code]],tblChannels[Channel Code],tblChannels[Channel Name],"")</f>
        <v>In-store</v>
      </c>
      <c r="R2861" s="1">
        <f>MONTH(tblSales[[#This Row],[Date]])</f>
        <v>6</v>
      </c>
    </row>
    <row r="2862" spans="2:18" x14ac:dyDescent="0.35">
      <c r="B2862" s="113">
        <v>46193</v>
      </c>
      <c r="C2862" s="4" t="s">
        <v>1919</v>
      </c>
      <c r="D2862" s="4" t="s">
        <v>4568</v>
      </c>
      <c r="E2862" s="1" t="str">
        <f>_xlfn.XLOOKUP(tblSales[[#This Row],[Customer ID]],tblCustomers[Customer ID],tblCustomers[Customer Name],"⚠ Unknown")</f>
        <v>Walk-in Customer</v>
      </c>
      <c r="F2862" s="4" t="s">
        <v>11</v>
      </c>
      <c r="G2862" s="1" t="str">
        <f>_xlfn.XLOOKUP(tblSales[[#This Row],[Product Code]],tblProducts[Code],tblProducts[Product / Service Name],"⚠ Unknown")</f>
        <v>Sneakers</v>
      </c>
      <c r="H2862" s="1" t="str">
        <f>_xlfn.XLOOKUP(tblSales[[#This Row],[Product Code]],tblProducts[Code],tblProducts[Category],"")</f>
        <v>Apparel &amp; Footwear</v>
      </c>
      <c r="I2862" s="4">
        <v>3</v>
      </c>
      <c r="J2862" s="5">
        <f>_xlfn.XLOOKUP(tblSales[[#This Row],[Product Code]],tblProducts[Code],tblProducts[Selling Price (excl. VAT)],0)</f>
        <v>250000</v>
      </c>
      <c r="K2862" s="5">
        <f>tblSales[[#This Row],[Qty]]*tblSales[[#This Row],[Unit Price]]</f>
        <v>750000</v>
      </c>
      <c r="L2862" s="5">
        <f>ROUND(tblSales[[#This Row],[DPP (excl. VAT)]]*VATEff,0)</f>
        <v>82500</v>
      </c>
      <c r="M2862" s="5">
        <f>tblSales[[#This Row],[DPP (excl. VAT)]]+tblSales[[#This Row],[Output VAT]]</f>
        <v>832500</v>
      </c>
      <c r="N2862" s="5">
        <f>tblSales[[#This Row],[Qty]]*_xlfn.XLOOKUP(tblSales[[#This Row],[Product Code]],tblProducts[Code],tblProducts[Unit Cost],0)</f>
        <v>465000</v>
      </c>
      <c r="O2862" s="4" t="s">
        <v>4866</v>
      </c>
      <c r="P2862" s="4" t="s">
        <v>4861</v>
      </c>
      <c r="Q2862" s="1" t="str">
        <f>_xlfn.XLOOKUP(tblSales[[#This Row],[Channel Code]],tblChannels[Channel Code],tblChannels[Channel Name],"")</f>
        <v>Marketplace</v>
      </c>
      <c r="R2862" s="1">
        <f>MONTH(tblSales[[#This Row],[Date]])</f>
        <v>6</v>
      </c>
    </row>
    <row r="2863" spans="2:18" x14ac:dyDescent="0.35">
      <c r="B2863" s="113">
        <v>46193</v>
      </c>
      <c r="C2863" s="4" t="s">
        <v>1920</v>
      </c>
      <c r="D2863" s="4" t="s">
        <v>4599</v>
      </c>
      <c r="E2863" s="1" t="str">
        <f>_xlfn.XLOOKUP(tblSales[[#This Row],[Customer ID]],tblCustomers[Customer ID],tblCustomers[Customer Name],"⚠ Unknown")</f>
        <v>PT Samudra Jaya Logistik</v>
      </c>
      <c r="F2863" s="4" t="s">
        <v>8</v>
      </c>
      <c r="G2863" s="1" t="str">
        <f>_xlfn.XLOOKUP(tblSales[[#This Row],[Product Code]],tblProducts[Code],tblProducts[Product / Service Name],"⚠ Unknown")</f>
        <v>Casual Shorts</v>
      </c>
      <c r="H2863" s="1" t="str">
        <f>_xlfn.XLOOKUP(tblSales[[#This Row],[Product Code]],tblProducts[Code],tblProducts[Category],"")</f>
        <v>Accessories &amp; Basics</v>
      </c>
      <c r="I2863" s="4">
        <v>40</v>
      </c>
      <c r="J2863" s="5">
        <f>_xlfn.XLOOKUP(tblSales[[#This Row],[Product Code]],tblProducts[Code],tblProducts[Selling Price (excl. VAT)],0)</f>
        <v>85000</v>
      </c>
      <c r="K2863" s="5">
        <f>tblSales[[#This Row],[Qty]]*tblSales[[#This Row],[Unit Price]]</f>
        <v>3400000</v>
      </c>
      <c r="L2863" s="5">
        <f>ROUND(tblSales[[#This Row],[DPP (excl. VAT)]]*VATEff,0)</f>
        <v>374000</v>
      </c>
      <c r="M2863" s="5">
        <f>tblSales[[#This Row],[DPP (excl. VAT)]]+tblSales[[#This Row],[Output VAT]]</f>
        <v>3774000</v>
      </c>
      <c r="N2863" s="5">
        <f>tblSales[[#This Row],[Qty]]*_xlfn.XLOOKUP(tblSales[[#This Row],[Product Code]],tblProducts[Code],tblProducts[Unit Cost],0)</f>
        <v>2000000</v>
      </c>
      <c r="O2863" s="4" t="s">
        <v>4867</v>
      </c>
      <c r="P2863" s="4" t="s">
        <v>4860</v>
      </c>
      <c r="Q2863" s="1" t="str">
        <f>_xlfn.XLOOKUP(tblSales[[#This Row],[Channel Code]],tblChannels[Channel Code],tblChannels[Channel Name],"")</f>
        <v>In-store</v>
      </c>
      <c r="R2863" s="1">
        <f>MONTH(tblSales[[#This Row],[Date]])</f>
        <v>6</v>
      </c>
    </row>
    <row r="2864" spans="2:18" x14ac:dyDescent="0.35">
      <c r="B2864" s="113">
        <v>46193</v>
      </c>
      <c r="C2864" s="4" t="s">
        <v>1920</v>
      </c>
      <c r="D2864" s="4" t="s">
        <v>4599</v>
      </c>
      <c r="E2864" s="1" t="str">
        <f>_xlfn.XLOOKUP(tblSales[[#This Row],[Customer ID]],tblCustomers[Customer ID],tblCustomers[Customer Name],"⚠ Unknown")</f>
        <v>PT Samudra Jaya Logistik</v>
      </c>
      <c r="F2864" s="4" t="s">
        <v>6</v>
      </c>
      <c r="G2864" s="1" t="str">
        <f>_xlfn.XLOOKUP(tblSales[[#This Row],[Product Code]],tblProducts[Code],tblProducts[Product / Service Name],"⚠ Unknown")</f>
        <v>Socks &amp; Accessories</v>
      </c>
      <c r="H2864" s="1" t="str">
        <f>_xlfn.XLOOKUP(tblSales[[#This Row],[Product Code]],tblProducts[Code],tblProducts[Category],"")</f>
        <v>Accessories &amp; Basics</v>
      </c>
      <c r="I2864" s="4">
        <v>80</v>
      </c>
      <c r="J2864" s="5">
        <f>_xlfn.XLOOKUP(tblSales[[#This Row],[Product Code]],tblProducts[Code],tblProducts[Selling Price (excl. VAT)],0)</f>
        <v>45000</v>
      </c>
      <c r="K2864" s="5">
        <f>tblSales[[#This Row],[Qty]]*tblSales[[#This Row],[Unit Price]]</f>
        <v>3600000</v>
      </c>
      <c r="L2864" s="5">
        <f>ROUND(tblSales[[#This Row],[DPP (excl. VAT)]]*VATEff,0)</f>
        <v>396000</v>
      </c>
      <c r="M2864" s="5">
        <f>tblSales[[#This Row],[DPP (excl. VAT)]]+tblSales[[#This Row],[Output VAT]]</f>
        <v>3996000</v>
      </c>
      <c r="N2864" s="5">
        <f>tblSales[[#This Row],[Qty]]*_xlfn.XLOOKUP(tblSales[[#This Row],[Product Code]],tblProducts[Code],tblProducts[Unit Cost],0)</f>
        <v>1920000</v>
      </c>
      <c r="O2864" s="4" t="s">
        <v>4867</v>
      </c>
      <c r="P2864" s="4" t="s">
        <v>4860</v>
      </c>
      <c r="Q2864" s="1" t="str">
        <f>_xlfn.XLOOKUP(tblSales[[#This Row],[Channel Code]],tblChannels[Channel Code],tblChannels[Channel Name],"")</f>
        <v>In-store</v>
      </c>
      <c r="R2864" s="1">
        <f>MONTH(tblSales[[#This Row],[Date]])</f>
        <v>6</v>
      </c>
    </row>
    <row r="2865" spans="2:18" x14ac:dyDescent="0.35">
      <c r="B2865" s="113">
        <v>46193</v>
      </c>
      <c r="C2865" s="4" t="s">
        <v>1921</v>
      </c>
      <c r="D2865" s="4" t="s">
        <v>4613</v>
      </c>
      <c r="E2865" s="1" t="str">
        <f>_xlfn.XLOOKUP(tblSales[[#This Row],[Customer ID]],tblCustomers[Customer ID],tblCustomers[Customer Name],"⚠ Unknown")</f>
        <v>PT Mega Prima Distribusi</v>
      </c>
      <c r="F2865" s="4" t="s">
        <v>8</v>
      </c>
      <c r="G2865" s="1" t="str">
        <f>_xlfn.XLOOKUP(tblSales[[#This Row],[Product Code]],tblProducts[Code],tblProducts[Product / Service Name],"⚠ Unknown")</f>
        <v>Casual Shorts</v>
      </c>
      <c r="H2865" s="1" t="str">
        <f>_xlfn.XLOOKUP(tblSales[[#This Row],[Product Code]],tblProducts[Code],tblProducts[Category],"")</f>
        <v>Accessories &amp; Basics</v>
      </c>
      <c r="I2865" s="4">
        <v>96</v>
      </c>
      <c r="J2865" s="5">
        <f>_xlfn.XLOOKUP(tblSales[[#This Row],[Product Code]],tblProducts[Code],tblProducts[Selling Price (excl. VAT)],0)</f>
        <v>85000</v>
      </c>
      <c r="K2865" s="5">
        <f>tblSales[[#This Row],[Qty]]*tblSales[[#This Row],[Unit Price]]</f>
        <v>8160000</v>
      </c>
      <c r="L2865" s="5">
        <f>ROUND(tblSales[[#This Row],[DPP (excl. VAT)]]*VATEff,0)</f>
        <v>897600</v>
      </c>
      <c r="M2865" s="5">
        <f>tblSales[[#This Row],[DPP (excl. VAT)]]+tblSales[[#This Row],[Output VAT]]</f>
        <v>9057600</v>
      </c>
      <c r="N2865" s="5">
        <f>tblSales[[#This Row],[Qty]]*_xlfn.XLOOKUP(tblSales[[#This Row],[Product Code]],tblProducts[Code],tblProducts[Unit Cost],0)</f>
        <v>4800000</v>
      </c>
      <c r="O2865" s="4" t="s">
        <v>4867</v>
      </c>
      <c r="P2865" s="4" t="s">
        <v>4860</v>
      </c>
      <c r="Q2865" s="1" t="str">
        <f>_xlfn.XLOOKUP(tblSales[[#This Row],[Channel Code]],tblChannels[Channel Code],tblChannels[Channel Name],"")</f>
        <v>In-store</v>
      </c>
      <c r="R2865" s="1">
        <f>MONTH(tblSales[[#This Row],[Date]])</f>
        <v>6</v>
      </c>
    </row>
    <row r="2866" spans="2:18" x14ac:dyDescent="0.35">
      <c r="B2866" s="113">
        <v>46194</v>
      </c>
      <c r="C2866" s="4" t="s">
        <v>1922</v>
      </c>
      <c r="D2866" s="4" t="s">
        <v>4568</v>
      </c>
      <c r="E2866" s="1" t="str">
        <f>_xlfn.XLOOKUP(tblSales[[#This Row],[Customer ID]],tblCustomers[Customer ID],tblCustomers[Customer Name],"⚠ Unknown")</f>
        <v>Walk-in Customer</v>
      </c>
      <c r="F2866" s="4" t="s">
        <v>10</v>
      </c>
      <c r="G2866" s="1" t="str">
        <f>_xlfn.XLOOKUP(tblSales[[#This Row],[Product Code]],tblProducts[Code],tblProducts[Product / Service Name],"⚠ Unknown")</f>
        <v>Chino Pants</v>
      </c>
      <c r="H2866" s="1" t="str">
        <f>_xlfn.XLOOKUP(tblSales[[#This Row],[Product Code]],tblProducts[Code],tblProducts[Category],"")</f>
        <v>Apparel &amp; Footwear</v>
      </c>
      <c r="I2866" s="4">
        <v>3</v>
      </c>
      <c r="J2866" s="5">
        <f>_xlfn.XLOOKUP(tblSales[[#This Row],[Product Code]],tblProducts[Code],tblProducts[Selling Price (excl. VAT)],0)</f>
        <v>150000</v>
      </c>
      <c r="K2866" s="5">
        <f>tblSales[[#This Row],[Qty]]*tblSales[[#This Row],[Unit Price]]</f>
        <v>450000</v>
      </c>
      <c r="L2866" s="5">
        <f>ROUND(tblSales[[#This Row],[DPP (excl. VAT)]]*VATEff,0)</f>
        <v>49500</v>
      </c>
      <c r="M2866" s="5">
        <f>tblSales[[#This Row],[DPP (excl. VAT)]]+tblSales[[#This Row],[Output VAT]]</f>
        <v>499500</v>
      </c>
      <c r="N2866" s="5">
        <f>tblSales[[#This Row],[Qty]]*_xlfn.XLOOKUP(tblSales[[#This Row],[Product Code]],tblProducts[Code],tblProducts[Unit Cost],0)</f>
        <v>264000</v>
      </c>
      <c r="O2866" s="4" t="s">
        <v>4865</v>
      </c>
      <c r="P2866" s="4" t="s">
        <v>4860</v>
      </c>
      <c r="Q2866" s="1" t="str">
        <f>_xlfn.XLOOKUP(tblSales[[#This Row],[Channel Code]],tblChannels[Channel Code],tblChannels[Channel Name],"")</f>
        <v>In-store</v>
      </c>
      <c r="R2866" s="1">
        <f>MONTH(tblSales[[#This Row],[Date]])</f>
        <v>6</v>
      </c>
    </row>
    <row r="2867" spans="2:18" x14ac:dyDescent="0.35">
      <c r="B2867" s="113">
        <v>46194</v>
      </c>
      <c r="C2867" s="4" t="s">
        <v>1923</v>
      </c>
      <c r="D2867" s="4" t="s">
        <v>4648</v>
      </c>
      <c r="E2867" s="1" t="str">
        <f>_xlfn.XLOOKUP(tblSales[[#This Row],[Customer ID]],tblCustomers[Customer ID],tblCustomers[Customer Name],"⚠ Unknown")</f>
        <v>PT Lintas Benua Niaga</v>
      </c>
      <c r="F2867" s="4" t="s">
        <v>10</v>
      </c>
      <c r="G2867" s="1" t="str">
        <f>_xlfn.XLOOKUP(tblSales[[#This Row],[Product Code]],tblProducts[Code],tblProducts[Product / Service Name],"⚠ Unknown")</f>
        <v>Chino Pants</v>
      </c>
      <c r="H2867" s="1" t="str">
        <f>_xlfn.XLOOKUP(tblSales[[#This Row],[Product Code]],tblProducts[Code],tblProducts[Category],"")</f>
        <v>Apparel &amp; Footwear</v>
      </c>
      <c r="I2867" s="4">
        <v>40</v>
      </c>
      <c r="J2867" s="5">
        <f>_xlfn.XLOOKUP(tblSales[[#This Row],[Product Code]],tblProducts[Code],tblProducts[Selling Price (excl. VAT)],0)</f>
        <v>150000</v>
      </c>
      <c r="K2867" s="5">
        <f>tblSales[[#This Row],[Qty]]*tblSales[[#This Row],[Unit Price]]</f>
        <v>6000000</v>
      </c>
      <c r="L2867" s="5">
        <f>ROUND(tblSales[[#This Row],[DPP (excl. VAT)]]*VATEff,0)</f>
        <v>660000</v>
      </c>
      <c r="M2867" s="5">
        <f>tblSales[[#This Row],[DPP (excl. VAT)]]+tblSales[[#This Row],[Output VAT]]</f>
        <v>6660000</v>
      </c>
      <c r="N2867" s="5">
        <f>tblSales[[#This Row],[Qty]]*_xlfn.XLOOKUP(tblSales[[#This Row],[Product Code]],tblProducts[Code],tblProducts[Unit Cost],0)</f>
        <v>3520000</v>
      </c>
      <c r="O2867" s="4" t="s">
        <v>4867</v>
      </c>
      <c r="P2867" s="4" t="s">
        <v>4862</v>
      </c>
      <c r="Q2867" s="1" t="str">
        <f>_xlfn.XLOOKUP(tblSales[[#This Row],[Channel Code]],tblChannels[Channel Code],tblChannels[Channel Name],"")</f>
        <v>Website &amp; Social Media</v>
      </c>
      <c r="R2867" s="1">
        <f>MONTH(tblSales[[#This Row],[Date]])</f>
        <v>6</v>
      </c>
    </row>
    <row r="2868" spans="2:18" x14ac:dyDescent="0.35">
      <c r="B2868" s="113">
        <v>46194</v>
      </c>
      <c r="C2868" s="4" t="s">
        <v>1924</v>
      </c>
      <c r="D2868" s="4" t="s">
        <v>4568</v>
      </c>
      <c r="E2868" s="1" t="str">
        <f>_xlfn.XLOOKUP(tblSales[[#This Row],[Customer ID]],tblCustomers[Customer ID],tblCustomers[Customer Name],"⚠ Unknown")</f>
        <v>Walk-in Customer</v>
      </c>
      <c r="F2868" s="4" t="s">
        <v>7</v>
      </c>
      <c r="G2868" s="1" t="str">
        <f>_xlfn.XLOOKUP(tblSales[[#This Row],[Product Code]],tblProducts[Code],tblProducts[Product / Service Name],"⚠ Unknown")</f>
        <v>Premium Basic T-shirt</v>
      </c>
      <c r="H2868" s="1" t="str">
        <f>_xlfn.XLOOKUP(tblSales[[#This Row],[Product Code]],tblProducts[Code],tblProducts[Category],"")</f>
        <v>Accessories &amp; Basics</v>
      </c>
      <c r="I2868" s="4">
        <v>1</v>
      </c>
      <c r="J2868" s="5">
        <f>_xlfn.XLOOKUP(tblSales[[#This Row],[Product Code]],tblProducts[Code],tblProducts[Selling Price (excl. VAT)],0)</f>
        <v>65000</v>
      </c>
      <c r="K2868" s="5">
        <f>tblSales[[#This Row],[Qty]]*tblSales[[#This Row],[Unit Price]]</f>
        <v>65000</v>
      </c>
      <c r="L2868" s="5">
        <f>ROUND(tblSales[[#This Row],[DPP (excl. VAT)]]*VATEff,0)</f>
        <v>7150</v>
      </c>
      <c r="M2868" s="5">
        <f>tblSales[[#This Row],[DPP (excl. VAT)]]+tblSales[[#This Row],[Output VAT]]</f>
        <v>72150</v>
      </c>
      <c r="N2868" s="5">
        <f>tblSales[[#This Row],[Qty]]*_xlfn.XLOOKUP(tblSales[[#This Row],[Product Code]],tblProducts[Code],tblProducts[Unit Cost],0)</f>
        <v>37000</v>
      </c>
      <c r="O2868" s="4" t="s">
        <v>4866</v>
      </c>
      <c r="P2868" s="4" t="s">
        <v>4860</v>
      </c>
      <c r="Q2868" s="1" t="str">
        <f>_xlfn.XLOOKUP(tblSales[[#This Row],[Channel Code]],tblChannels[Channel Code],tblChannels[Channel Name],"")</f>
        <v>In-store</v>
      </c>
      <c r="R2868" s="1">
        <f>MONTH(tblSales[[#This Row],[Date]])</f>
        <v>6</v>
      </c>
    </row>
    <row r="2869" spans="2:18" x14ac:dyDescent="0.35">
      <c r="B2869" s="113">
        <v>46194</v>
      </c>
      <c r="C2869" s="4" t="s">
        <v>1925</v>
      </c>
      <c r="D2869" s="4" t="s">
        <v>4568</v>
      </c>
      <c r="E2869" s="1" t="str">
        <f>_xlfn.XLOOKUP(tblSales[[#This Row],[Customer ID]],tblCustomers[Customer ID],tblCustomers[Customer Name],"⚠ Unknown")</f>
        <v>Walk-in Customer</v>
      </c>
      <c r="F2869" s="4" t="s">
        <v>15</v>
      </c>
      <c r="G2869" s="1" t="str">
        <f>_xlfn.XLOOKUP(tblSales[[#This Row],[Product Code]],tblProducts[Code],tblProducts[Product / Service Name],"⚠ Unknown")</f>
        <v>Wireless Earbuds Pro</v>
      </c>
      <c r="H2869" s="1" t="str">
        <f>_xlfn.XLOOKUP(tblSales[[#This Row],[Product Code]],tblProducts[Code],tblProducts[Category],"")</f>
        <v>Bags &amp; Gadgets</v>
      </c>
      <c r="I2869" s="4">
        <v>2</v>
      </c>
      <c r="J2869" s="5">
        <f>_xlfn.XLOOKUP(tblSales[[#This Row],[Product Code]],tblProducts[Code],tblProducts[Selling Price (excl. VAT)],0)</f>
        <v>1250000</v>
      </c>
      <c r="K2869" s="5">
        <f>tblSales[[#This Row],[Qty]]*tblSales[[#This Row],[Unit Price]]</f>
        <v>2500000</v>
      </c>
      <c r="L2869" s="5">
        <f>ROUND(tblSales[[#This Row],[DPP (excl. VAT)]]*VATEff,0)</f>
        <v>275000</v>
      </c>
      <c r="M2869" s="5">
        <f>tblSales[[#This Row],[DPP (excl. VAT)]]+tblSales[[#This Row],[Output VAT]]</f>
        <v>2775000</v>
      </c>
      <c r="N2869" s="5">
        <f>tblSales[[#This Row],[Qty]]*_xlfn.XLOOKUP(tblSales[[#This Row],[Product Code]],tblProducts[Code],tblProducts[Unit Cost],0)</f>
        <v>1640000</v>
      </c>
      <c r="O2869" s="4" t="s">
        <v>4865</v>
      </c>
      <c r="P2869" s="4" t="s">
        <v>4860</v>
      </c>
      <c r="Q2869" s="1" t="str">
        <f>_xlfn.XLOOKUP(tblSales[[#This Row],[Channel Code]],tblChannels[Channel Code],tblChannels[Channel Name],"")</f>
        <v>In-store</v>
      </c>
      <c r="R2869" s="1">
        <f>MONTH(tblSales[[#This Row],[Date]])</f>
        <v>6</v>
      </c>
    </row>
    <row r="2870" spans="2:18" x14ac:dyDescent="0.35">
      <c r="B2870" s="113">
        <v>46194</v>
      </c>
      <c r="C2870" s="4" t="s">
        <v>1925</v>
      </c>
      <c r="D2870" s="4" t="s">
        <v>4568</v>
      </c>
      <c r="E2870" s="1" t="str">
        <f>_xlfn.XLOOKUP(tblSales[[#This Row],[Customer ID]],tblCustomers[Customer ID],tblCustomers[Customer Name],"⚠ Unknown")</f>
        <v>Walk-in Customer</v>
      </c>
      <c r="F2870" s="4" t="s">
        <v>13</v>
      </c>
      <c r="G2870" s="1" t="str">
        <f>_xlfn.XLOOKUP(tblSales[[#This Row],[Product Code]],tblProducts[Code],tblProducts[Product / Service Name],"⚠ Unknown")</f>
        <v>Backpack</v>
      </c>
      <c r="H2870" s="1" t="str">
        <f>_xlfn.XLOOKUP(tblSales[[#This Row],[Product Code]],tblProducts[Code],tblProducts[Category],"")</f>
        <v>Bags &amp; Gadgets</v>
      </c>
      <c r="I2870" s="4">
        <v>6</v>
      </c>
      <c r="J2870" s="5">
        <f>_xlfn.XLOOKUP(tblSales[[#This Row],[Product Code]],tblProducts[Code],tblProducts[Selling Price (excl. VAT)],0)</f>
        <v>500000</v>
      </c>
      <c r="K2870" s="5">
        <f>tblSales[[#This Row],[Qty]]*tblSales[[#This Row],[Unit Price]]</f>
        <v>3000000</v>
      </c>
      <c r="L2870" s="5">
        <f>ROUND(tblSales[[#This Row],[DPP (excl. VAT)]]*VATEff,0)</f>
        <v>330000</v>
      </c>
      <c r="M2870" s="5">
        <f>tblSales[[#This Row],[DPP (excl. VAT)]]+tblSales[[#This Row],[Output VAT]]</f>
        <v>3330000</v>
      </c>
      <c r="N2870" s="5">
        <f>tblSales[[#This Row],[Qty]]*_xlfn.XLOOKUP(tblSales[[#This Row],[Product Code]],tblProducts[Code],tblProducts[Unit Cost],0)</f>
        <v>1740000</v>
      </c>
      <c r="O2870" s="4" t="s">
        <v>4865</v>
      </c>
      <c r="P2870" s="4" t="s">
        <v>4860</v>
      </c>
      <c r="Q2870" s="1" t="str">
        <f>_xlfn.XLOOKUP(tblSales[[#This Row],[Channel Code]],tblChannels[Channel Code],tblChannels[Channel Name],"")</f>
        <v>In-store</v>
      </c>
      <c r="R2870" s="1">
        <f>MONTH(tblSales[[#This Row],[Date]])</f>
        <v>6</v>
      </c>
    </row>
    <row r="2871" spans="2:18" x14ac:dyDescent="0.35">
      <c r="B2871" s="113">
        <v>46194</v>
      </c>
      <c r="C2871" s="4" t="s">
        <v>1926</v>
      </c>
      <c r="D2871" s="4" t="s">
        <v>4599</v>
      </c>
      <c r="E2871" s="1" t="str">
        <f>_xlfn.XLOOKUP(tblSales[[#This Row],[Customer ID]],tblCustomers[Customer ID],tblCustomers[Customer Name],"⚠ Unknown")</f>
        <v>PT Samudra Jaya Logistik</v>
      </c>
      <c r="F2871" s="4" t="s">
        <v>15</v>
      </c>
      <c r="G2871" s="1" t="str">
        <f>_xlfn.XLOOKUP(tblSales[[#This Row],[Product Code]],tblProducts[Code],tblProducts[Product / Service Name],"⚠ Unknown")</f>
        <v>Wireless Earbuds Pro</v>
      </c>
      <c r="H2871" s="1" t="str">
        <f>_xlfn.XLOOKUP(tblSales[[#This Row],[Product Code]],tblProducts[Code],tblProducts[Category],"")</f>
        <v>Bags &amp; Gadgets</v>
      </c>
      <c r="I2871" s="4">
        <v>16</v>
      </c>
      <c r="J2871" s="5">
        <f>_xlfn.XLOOKUP(tblSales[[#This Row],[Product Code]],tblProducts[Code],tblProducts[Selling Price (excl. VAT)],0)</f>
        <v>1250000</v>
      </c>
      <c r="K2871" s="5">
        <f>tblSales[[#This Row],[Qty]]*tblSales[[#This Row],[Unit Price]]</f>
        <v>20000000</v>
      </c>
      <c r="L2871" s="5">
        <f>ROUND(tblSales[[#This Row],[DPP (excl. VAT)]]*VATEff,0)</f>
        <v>2200000</v>
      </c>
      <c r="M2871" s="5">
        <f>tblSales[[#This Row],[DPP (excl. VAT)]]+tblSales[[#This Row],[Output VAT]]</f>
        <v>22200000</v>
      </c>
      <c r="N2871" s="5">
        <f>tblSales[[#This Row],[Qty]]*_xlfn.XLOOKUP(tblSales[[#This Row],[Product Code]],tblProducts[Code],tblProducts[Unit Cost],0)</f>
        <v>13120000</v>
      </c>
      <c r="O2871" s="4" t="s">
        <v>4867</v>
      </c>
      <c r="P2871" s="4" t="s">
        <v>4860</v>
      </c>
      <c r="Q2871" s="1" t="str">
        <f>_xlfn.XLOOKUP(tblSales[[#This Row],[Channel Code]],tblChannels[Channel Code],tblChannels[Channel Name],"")</f>
        <v>In-store</v>
      </c>
      <c r="R2871" s="1">
        <f>MONTH(tblSales[[#This Row],[Date]])</f>
        <v>6</v>
      </c>
    </row>
    <row r="2872" spans="2:18" x14ac:dyDescent="0.35">
      <c r="B2872" s="113">
        <v>46194</v>
      </c>
      <c r="C2872" s="4" t="s">
        <v>1927</v>
      </c>
      <c r="D2872" s="4" t="s">
        <v>4568</v>
      </c>
      <c r="E2872" s="1" t="str">
        <f>_xlfn.XLOOKUP(tblSales[[#This Row],[Customer ID]],tblCustomers[Customer ID],tblCustomers[Customer Name],"⚠ Unknown")</f>
        <v>Walk-in Customer</v>
      </c>
      <c r="F2872" s="4" t="s">
        <v>7</v>
      </c>
      <c r="G2872" s="1" t="str">
        <f>_xlfn.XLOOKUP(tblSales[[#This Row],[Product Code]],tblProducts[Code],tblProducts[Product / Service Name],"⚠ Unknown")</f>
        <v>Premium Basic T-shirt</v>
      </c>
      <c r="H2872" s="1" t="str">
        <f>_xlfn.XLOOKUP(tblSales[[#This Row],[Product Code]],tblProducts[Code],tblProducts[Category],"")</f>
        <v>Accessories &amp; Basics</v>
      </c>
      <c r="I2872" s="4">
        <v>1</v>
      </c>
      <c r="J2872" s="5">
        <f>_xlfn.XLOOKUP(tblSales[[#This Row],[Product Code]],tblProducts[Code],tblProducts[Selling Price (excl. VAT)],0)</f>
        <v>65000</v>
      </c>
      <c r="K2872" s="5">
        <f>tblSales[[#This Row],[Qty]]*tblSales[[#This Row],[Unit Price]]</f>
        <v>65000</v>
      </c>
      <c r="L2872" s="5">
        <f>ROUND(tblSales[[#This Row],[DPP (excl. VAT)]]*VATEff,0)</f>
        <v>7150</v>
      </c>
      <c r="M2872" s="5">
        <f>tblSales[[#This Row],[DPP (excl. VAT)]]+tblSales[[#This Row],[Output VAT]]</f>
        <v>72150</v>
      </c>
      <c r="N2872" s="5">
        <f>tblSales[[#This Row],[Qty]]*_xlfn.XLOOKUP(tblSales[[#This Row],[Product Code]],tblProducts[Code],tblProducts[Unit Cost],0)</f>
        <v>37000</v>
      </c>
      <c r="O2872" s="4" t="s">
        <v>4866</v>
      </c>
      <c r="P2872" s="4" t="s">
        <v>4860</v>
      </c>
      <c r="Q2872" s="1" t="str">
        <f>_xlfn.XLOOKUP(tblSales[[#This Row],[Channel Code]],tblChannels[Channel Code],tblChannels[Channel Name],"")</f>
        <v>In-store</v>
      </c>
      <c r="R2872" s="1">
        <f>MONTH(tblSales[[#This Row],[Date]])</f>
        <v>6</v>
      </c>
    </row>
    <row r="2873" spans="2:18" x14ac:dyDescent="0.35">
      <c r="B2873" s="113">
        <v>46194</v>
      </c>
      <c r="C2873" s="4" t="s">
        <v>1928</v>
      </c>
      <c r="D2873" s="4" t="s">
        <v>4568</v>
      </c>
      <c r="E2873" s="1" t="str">
        <f>_xlfn.XLOOKUP(tblSales[[#This Row],[Customer ID]],tblCustomers[Customer ID],tblCustomers[Customer Name],"⚠ Unknown")</f>
        <v>Walk-in Customer</v>
      </c>
      <c r="F2873" s="4" t="s">
        <v>13</v>
      </c>
      <c r="G2873" s="1" t="str">
        <f>_xlfn.XLOOKUP(tblSales[[#This Row],[Product Code]],tblProducts[Code],tblProducts[Product / Service Name],"⚠ Unknown")</f>
        <v>Backpack</v>
      </c>
      <c r="H2873" s="1" t="str">
        <f>_xlfn.XLOOKUP(tblSales[[#This Row],[Product Code]],tblProducts[Code],tblProducts[Category],"")</f>
        <v>Bags &amp; Gadgets</v>
      </c>
      <c r="I2873" s="4">
        <v>6</v>
      </c>
      <c r="J2873" s="5">
        <f>_xlfn.XLOOKUP(tblSales[[#This Row],[Product Code]],tblProducts[Code],tblProducts[Selling Price (excl. VAT)],0)</f>
        <v>500000</v>
      </c>
      <c r="K2873" s="5">
        <f>tblSales[[#This Row],[Qty]]*tblSales[[#This Row],[Unit Price]]</f>
        <v>3000000</v>
      </c>
      <c r="L2873" s="5">
        <f>ROUND(tblSales[[#This Row],[DPP (excl. VAT)]]*VATEff,0)</f>
        <v>330000</v>
      </c>
      <c r="M2873" s="5">
        <f>tblSales[[#This Row],[DPP (excl. VAT)]]+tblSales[[#This Row],[Output VAT]]</f>
        <v>3330000</v>
      </c>
      <c r="N2873" s="5">
        <f>tblSales[[#This Row],[Qty]]*_xlfn.XLOOKUP(tblSales[[#This Row],[Product Code]],tblProducts[Code],tblProducts[Unit Cost],0)</f>
        <v>1740000</v>
      </c>
      <c r="O2873" s="4" t="s">
        <v>4865</v>
      </c>
      <c r="P2873" s="4" t="s">
        <v>4860</v>
      </c>
      <c r="Q2873" s="1" t="str">
        <f>_xlfn.XLOOKUP(tblSales[[#This Row],[Channel Code]],tblChannels[Channel Code],tblChannels[Channel Name],"")</f>
        <v>In-store</v>
      </c>
      <c r="R2873" s="1">
        <f>MONTH(tblSales[[#This Row],[Date]])</f>
        <v>6</v>
      </c>
    </row>
    <row r="2874" spans="2:18" x14ac:dyDescent="0.35">
      <c r="B2874" s="113">
        <v>46194</v>
      </c>
      <c r="C2874" s="4" t="s">
        <v>1928</v>
      </c>
      <c r="D2874" s="4" t="s">
        <v>4568</v>
      </c>
      <c r="E2874" s="1" t="str">
        <f>_xlfn.XLOOKUP(tblSales[[#This Row],[Customer ID]],tblCustomers[Customer ID],tblCustomers[Customer Name],"⚠ Unknown")</f>
        <v>Walk-in Customer</v>
      </c>
      <c r="F2874" s="4" t="s">
        <v>6</v>
      </c>
      <c r="G2874" s="1" t="str">
        <f>_xlfn.XLOOKUP(tblSales[[#This Row],[Product Code]],tblProducts[Code],tblProducts[Product / Service Name],"⚠ Unknown")</f>
        <v>Socks &amp; Accessories</v>
      </c>
      <c r="H2874" s="1" t="str">
        <f>_xlfn.XLOOKUP(tblSales[[#This Row],[Product Code]],tblProducts[Code],tblProducts[Category],"")</f>
        <v>Accessories &amp; Basics</v>
      </c>
      <c r="I2874" s="4">
        <v>8</v>
      </c>
      <c r="J2874" s="5">
        <f>_xlfn.XLOOKUP(tblSales[[#This Row],[Product Code]],tblProducts[Code],tblProducts[Selling Price (excl. VAT)],0)</f>
        <v>45000</v>
      </c>
      <c r="K2874" s="5">
        <f>tblSales[[#This Row],[Qty]]*tblSales[[#This Row],[Unit Price]]</f>
        <v>360000</v>
      </c>
      <c r="L2874" s="5">
        <f>ROUND(tblSales[[#This Row],[DPP (excl. VAT)]]*VATEff,0)</f>
        <v>39600</v>
      </c>
      <c r="M2874" s="5">
        <f>tblSales[[#This Row],[DPP (excl. VAT)]]+tblSales[[#This Row],[Output VAT]]</f>
        <v>399600</v>
      </c>
      <c r="N2874" s="5">
        <f>tblSales[[#This Row],[Qty]]*_xlfn.XLOOKUP(tblSales[[#This Row],[Product Code]],tblProducts[Code],tblProducts[Unit Cost],0)</f>
        <v>192000</v>
      </c>
      <c r="O2874" s="4" t="s">
        <v>4865</v>
      </c>
      <c r="P2874" s="4" t="s">
        <v>4860</v>
      </c>
      <c r="Q2874" s="1" t="str">
        <f>_xlfn.XLOOKUP(tblSales[[#This Row],[Channel Code]],tblChannels[Channel Code],tblChannels[Channel Name],"")</f>
        <v>In-store</v>
      </c>
      <c r="R2874" s="1">
        <f>MONTH(tblSales[[#This Row],[Date]])</f>
        <v>6</v>
      </c>
    </row>
    <row r="2875" spans="2:18" x14ac:dyDescent="0.35">
      <c r="B2875" s="113">
        <v>46194</v>
      </c>
      <c r="C2875" s="4" t="s">
        <v>1928</v>
      </c>
      <c r="D2875" s="4" t="s">
        <v>4568</v>
      </c>
      <c r="E2875" s="1" t="str">
        <f>_xlfn.XLOOKUP(tblSales[[#This Row],[Customer ID]],tblCustomers[Customer ID],tblCustomers[Customer Name],"⚠ Unknown")</f>
        <v>Walk-in Customer</v>
      </c>
      <c r="F2875" s="4" t="s">
        <v>8</v>
      </c>
      <c r="G2875" s="1" t="str">
        <f>_xlfn.XLOOKUP(tblSales[[#This Row],[Product Code]],tblProducts[Code],tblProducts[Product / Service Name],"⚠ Unknown")</f>
        <v>Casual Shorts</v>
      </c>
      <c r="H2875" s="1" t="str">
        <f>_xlfn.XLOOKUP(tblSales[[#This Row],[Product Code]],tblProducts[Code],tblProducts[Category],"")</f>
        <v>Accessories &amp; Basics</v>
      </c>
      <c r="I2875" s="4">
        <v>12</v>
      </c>
      <c r="J2875" s="5">
        <f>_xlfn.XLOOKUP(tblSales[[#This Row],[Product Code]],tblProducts[Code],tblProducts[Selling Price (excl. VAT)],0)</f>
        <v>85000</v>
      </c>
      <c r="K2875" s="5">
        <f>tblSales[[#This Row],[Qty]]*tblSales[[#This Row],[Unit Price]]</f>
        <v>1020000</v>
      </c>
      <c r="L2875" s="5">
        <f>ROUND(tblSales[[#This Row],[DPP (excl. VAT)]]*VATEff,0)</f>
        <v>112200</v>
      </c>
      <c r="M2875" s="5">
        <f>tblSales[[#This Row],[DPP (excl. VAT)]]+tblSales[[#This Row],[Output VAT]]</f>
        <v>1132200</v>
      </c>
      <c r="N2875" s="5">
        <f>tblSales[[#This Row],[Qty]]*_xlfn.XLOOKUP(tblSales[[#This Row],[Product Code]],tblProducts[Code],tblProducts[Unit Cost],0)</f>
        <v>600000</v>
      </c>
      <c r="O2875" s="4" t="s">
        <v>4865</v>
      </c>
      <c r="P2875" s="4" t="s">
        <v>4860</v>
      </c>
      <c r="Q2875" s="1" t="str">
        <f>_xlfn.XLOOKUP(tblSales[[#This Row],[Channel Code]],tblChannels[Channel Code],tblChannels[Channel Name],"")</f>
        <v>In-store</v>
      </c>
      <c r="R2875" s="1">
        <f>MONTH(tblSales[[#This Row],[Date]])</f>
        <v>6</v>
      </c>
    </row>
    <row r="2876" spans="2:18" x14ac:dyDescent="0.35">
      <c r="B2876" s="113">
        <v>46194</v>
      </c>
      <c r="C2876" s="4" t="s">
        <v>1929</v>
      </c>
      <c r="D2876" s="4" t="s">
        <v>4568</v>
      </c>
      <c r="E2876" s="1" t="str">
        <f>_xlfn.XLOOKUP(tblSales[[#This Row],[Customer ID]],tblCustomers[Customer ID],tblCustomers[Customer Name],"⚠ Unknown")</f>
        <v>Walk-in Customer</v>
      </c>
      <c r="F2876" s="4" t="s">
        <v>10</v>
      </c>
      <c r="G2876" s="1" t="str">
        <f>_xlfn.XLOOKUP(tblSales[[#This Row],[Product Code]],tblProducts[Code],tblProducts[Product / Service Name],"⚠ Unknown")</f>
        <v>Chino Pants</v>
      </c>
      <c r="H2876" s="1" t="str">
        <f>_xlfn.XLOOKUP(tblSales[[#This Row],[Product Code]],tblProducts[Code],tblProducts[Category],"")</f>
        <v>Apparel &amp; Footwear</v>
      </c>
      <c r="I2876" s="4">
        <v>1</v>
      </c>
      <c r="J2876" s="5">
        <f>_xlfn.XLOOKUP(tblSales[[#This Row],[Product Code]],tblProducts[Code],tblProducts[Selling Price (excl. VAT)],0)</f>
        <v>150000</v>
      </c>
      <c r="K2876" s="5">
        <f>tblSales[[#This Row],[Qty]]*tblSales[[#This Row],[Unit Price]]</f>
        <v>150000</v>
      </c>
      <c r="L2876" s="5">
        <f>ROUND(tblSales[[#This Row],[DPP (excl. VAT)]]*VATEff,0)</f>
        <v>16500</v>
      </c>
      <c r="M2876" s="5">
        <f>tblSales[[#This Row],[DPP (excl. VAT)]]+tblSales[[#This Row],[Output VAT]]</f>
        <v>166500</v>
      </c>
      <c r="N2876" s="5">
        <f>tblSales[[#This Row],[Qty]]*_xlfn.XLOOKUP(tblSales[[#This Row],[Product Code]],tblProducts[Code],tblProducts[Unit Cost],0)</f>
        <v>88000</v>
      </c>
      <c r="O2876" s="4" t="s">
        <v>4865</v>
      </c>
      <c r="P2876" s="4" t="s">
        <v>4860</v>
      </c>
      <c r="Q2876" s="1" t="str">
        <f>_xlfn.XLOOKUP(tblSales[[#This Row],[Channel Code]],tblChannels[Channel Code],tblChannels[Channel Name],"")</f>
        <v>In-store</v>
      </c>
      <c r="R2876" s="1">
        <f>MONTH(tblSales[[#This Row],[Date]])</f>
        <v>6</v>
      </c>
    </row>
    <row r="2877" spans="2:18" x14ac:dyDescent="0.35">
      <c r="B2877" s="113">
        <v>46194</v>
      </c>
      <c r="C2877" s="4" t="s">
        <v>1930</v>
      </c>
      <c r="D2877" s="4" t="s">
        <v>4578</v>
      </c>
      <c r="E2877" s="1" t="str">
        <f>_xlfn.XLOOKUP(tblSales[[#This Row],[Customer ID]],tblCustomers[Customer ID],tblCustomers[Customer Name],"⚠ Unknown")</f>
        <v>PT Bintang Timur Sejahtera</v>
      </c>
      <c r="F2877" s="4" t="s">
        <v>9</v>
      </c>
      <c r="G2877" s="1" t="str">
        <f>_xlfn.XLOOKUP(tblSales[[#This Row],[Product Code]],tblProducts[Code],tblProducts[Product / Service Name],"⚠ Unknown")</f>
        <v>Casual Shirt</v>
      </c>
      <c r="H2877" s="1" t="str">
        <f>_xlfn.XLOOKUP(tblSales[[#This Row],[Product Code]],tblProducts[Code],tblProducts[Category],"")</f>
        <v>Apparel &amp; Footwear</v>
      </c>
      <c r="I2877" s="4">
        <v>96</v>
      </c>
      <c r="J2877" s="5">
        <f>_xlfn.XLOOKUP(tblSales[[#This Row],[Product Code]],tblProducts[Code],tblProducts[Selling Price (excl. VAT)],0)</f>
        <v>120000</v>
      </c>
      <c r="K2877" s="5">
        <f>tblSales[[#This Row],[Qty]]*tblSales[[#This Row],[Unit Price]]</f>
        <v>11520000</v>
      </c>
      <c r="L2877" s="5">
        <f>ROUND(tblSales[[#This Row],[DPP (excl. VAT)]]*VATEff,0)</f>
        <v>1267200</v>
      </c>
      <c r="M2877" s="5">
        <f>tblSales[[#This Row],[DPP (excl. VAT)]]+tblSales[[#This Row],[Output VAT]]</f>
        <v>12787200</v>
      </c>
      <c r="N2877" s="5">
        <f>tblSales[[#This Row],[Qty]]*_xlfn.XLOOKUP(tblSales[[#This Row],[Product Code]],tblProducts[Code],tblProducts[Unit Cost],0)</f>
        <v>6912000</v>
      </c>
      <c r="O2877" s="4" t="s">
        <v>4867</v>
      </c>
      <c r="P2877" s="4" t="s">
        <v>4860</v>
      </c>
      <c r="Q2877" s="1" t="str">
        <f>_xlfn.XLOOKUP(tblSales[[#This Row],[Channel Code]],tblChannels[Channel Code],tblChannels[Channel Name],"")</f>
        <v>In-store</v>
      </c>
      <c r="R2877" s="1">
        <f>MONTH(tblSales[[#This Row],[Date]])</f>
        <v>6</v>
      </c>
    </row>
    <row r="2878" spans="2:18" x14ac:dyDescent="0.35">
      <c r="B2878" s="113">
        <v>46194</v>
      </c>
      <c r="C2878" s="4" t="s">
        <v>1931</v>
      </c>
      <c r="D2878" s="4" t="s">
        <v>4568</v>
      </c>
      <c r="E2878" s="1" t="str">
        <f>_xlfn.XLOOKUP(tblSales[[#This Row],[Customer ID]],tblCustomers[Customer ID],tblCustomers[Customer Name],"⚠ Unknown")</f>
        <v>Walk-in Customer</v>
      </c>
      <c r="F2878" s="4" t="s">
        <v>15</v>
      </c>
      <c r="G2878" s="1" t="str">
        <f>_xlfn.XLOOKUP(tblSales[[#This Row],[Product Code]],tblProducts[Code],tblProducts[Product / Service Name],"⚠ Unknown")</f>
        <v>Wireless Earbuds Pro</v>
      </c>
      <c r="H2878" s="1" t="str">
        <f>_xlfn.XLOOKUP(tblSales[[#This Row],[Product Code]],tblProducts[Code],tblProducts[Category],"")</f>
        <v>Bags &amp; Gadgets</v>
      </c>
      <c r="I2878" s="4">
        <v>3</v>
      </c>
      <c r="J2878" s="5">
        <f>_xlfn.XLOOKUP(tblSales[[#This Row],[Product Code]],tblProducts[Code],tblProducts[Selling Price (excl. VAT)],0)</f>
        <v>1250000</v>
      </c>
      <c r="K2878" s="5">
        <f>tblSales[[#This Row],[Qty]]*tblSales[[#This Row],[Unit Price]]</f>
        <v>3750000</v>
      </c>
      <c r="L2878" s="5">
        <f>ROUND(tblSales[[#This Row],[DPP (excl. VAT)]]*VATEff,0)</f>
        <v>412500</v>
      </c>
      <c r="M2878" s="5">
        <f>tblSales[[#This Row],[DPP (excl. VAT)]]+tblSales[[#This Row],[Output VAT]]</f>
        <v>4162500</v>
      </c>
      <c r="N2878" s="5">
        <f>tblSales[[#This Row],[Qty]]*_xlfn.XLOOKUP(tblSales[[#This Row],[Product Code]],tblProducts[Code],tblProducts[Unit Cost],0)</f>
        <v>2460000</v>
      </c>
      <c r="O2878" s="4" t="s">
        <v>4866</v>
      </c>
      <c r="P2878" s="4" t="s">
        <v>4861</v>
      </c>
      <c r="Q2878" s="1" t="str">
        <f>_xlfn.XLOOKUP(tblSales[[#This Row],[Channel Code]],tblChannels[Channel Code],tblChannels[Channel Name],"")</f>
        <v>Marketplace</v>
      </c>
      <c r="R2878" s="1">
        <f>MONTH(tblSales[[#This Row],[Date]])</f>
        <v>6</v>
      </c>
    </row>
    <row r="2879" spans="2:18" x14ac:dyDescent="0.35">
      <c r="B2879" s="113">
        <v>46194</v>
      </c>
      <c r="C2879" s="4" t="s">
        <v>1932</v>
      </c>
      <c r="D2879" s="4" t="s">
        <v>4572</v>
      </c>
      <c r="E2879" s="1" t="str">
        <f>_xlfn.XLOOKUP(tblSales[[#This Row],[Customer ID]],tblCustomers[Customer ID],tblCustomers[Customer Name],"⚠ Unknown")</f>
        <v>PT Cahaya Abadi Makmur</v>
      </c>
      <c r="F2879" s="4" t="s">
        <v>12</v>
      </c>
      <c r="G2879" s="1" t="str">
        <f>_xlfn.XLOOKUP(tblSales[[#This Row],[Product Code]],tblProducts[Code],tblProducts[Product / Service Name],"⚠ Unknown")</f>
        <v>Bomber Jacket</v>
      </c>
      <c r="H2879" s="1" t="str">
        <f>_xlfn.XLOOKUP(tblSales[[#This Row],[Product Code]],tblProducts[Code],tblProducts[Category],"")</f>
        <v>Apparel &amp; Footwear</v>
      </c>
      <c r="I2879" s="4">
        <v>32</v>
      </c>
      <c r="J2879" s="5">
        <f>_xlfn.XLOOKUP(tblSales[[#This Row],[Product Code]],tblProducts[Code],tblProducts[Selling Price (excl. VAT)],0)</f>
        <v>350000</v>
      </c>
      <c r="K2879" s="5">
        <f>tblSales[[#This Row],[Qty]]*tblSales[[#This Row],[Unit Price]]</f>
        <v>11200000</v>
      </c>
      <c r="L2879" s="5">
        <f>ROUND(tblSales[[#This Row],[DPP (excl. VAT)]]*VATEff,0)</f>
        <v>1232000</v>
      </c>
      <c r="M2879" s="5">
        <f>tblSales[[#This Row],[DPP (excl. VAT)]]+tblSales[[#This Row],[Output VAT]]</f>
        <v>12432000</v>
      </c>
      <c r="N2879" s="5">
        <f>tblSales[[#This Row],[Qty]]*_xlfn.XLOOKUP(tblSales[[#This Row],[Product Code]],tblProducts[Code],tblProducts[Unit Cost],0)</f>
        <v>6720000</v>
      </c>
      <c r="O2879" s="4" t="s">
        <v>4867</v>
      </c>
      <c r="P2879" s="4" t="s">
        <v>4862</v>
      </c>
      <c r="Q2879" s="1" t="str">
        <f>_xlfn.XLOOKUP(tblSales[[#This Row],[Channel Code]],tblChannels[Channel Code],tblChannels[Channel Name],"")</f>
        <v>Website &amp; Social Media</v>
      </c>
      <c r="R2879" s="1">
        <f>MONTH(tblSales[[#This Row],[Date]])</f>
        <v>6</v>
      </c>
    </row>
    <row r="2880" spans="2:18" x14ac:dyDescent="0.35">
      <c r="B2880" s="113">
        <v>46194</v>
      </c>
      <c r="C2880" s="4" t="s">
        <v>1932</v>
      </c>
      <c r="D2880" s="4" t="s">
        <v>4572</v>
      </c>
      <c r="E2880" s="1" t="str">
        <f>_xlfn.XLOOKUP(tblSales[[#This Row],[Customer ID]],tblCustomers[Customer ID],tblCustomers[Customer Name],"⚠ Unknown")</f>
        <v>PT Cahaya Abadi Makmur</v>
      </c>
      <c r="F2880" s="4" t="s">
        <v>11</v>
      </c>
      <c r="G2880" s="1" t="str">
        <f>_xlfn.XLOOKUP(tblSales[[#This Row],[Product Code]],tblProducts[Code],tblProducts[Product / Service Name],"⚠ Unknown")</f>
        <v>Sneakers</v>
      </c>
      <c r="H2880" s="1" t="str">
        <f>_xlfn.XLOOKUP(tblSales[[#This Row],[Product Code]],tblProducts[Code],tblProducts[Category],"")</f>
        <v>Apparel &amp; Footwear</v>
      </c>
      <c r="I2880" s="4">
        <v>8</v>
      </c>
      <c r="J2880" s="5">
        <f>_xlfn.XLOOKUP(tblSales[[#This Row],[Product Code]],tblProducts[Code],tblProducts[Selling Price (excl. VAT)],0)</f>
        <v>250000</v>
      </c>
      <c r="K2880" s="5">
        <f>tblSales[[#This Row],[Qty]]*tblSales[[#This Row],[Unit Price]]</f>
        <v>2000000</v>
      </c>
      <c r="L2880" s="5">
        <f>ROUND(tblSales[[#This Row],[DPP (excl. VAT)]]*VATEff,0)</f>
        <v>220000</v>
      </c>
      <c r="M2880" s="5">
        <f>tblSales[[#This Row],[DPP (excl. VAT)]]+tblSales[[#This Row],[Output VAT]]</f>
        <v>2220000</v>
      </c>
      <c r="N2880" s="5">
        <f>tblSales[[#This Row],[Qty]]*_xlfn.XLOOKUP(tblSales[[#This Row],[Product Code]],tblProducts[Code],tblProducts[Unit Cost],0)</f>
        <v>1240000</v>
      </c>
      <c r="O2880" s="4" t="s">
        <v>4867</v>
      </c>
      <c r="P2880" s="4" t="s">
        <v>4862</v>
      </c>
      <c r="Q2880" s="1" t="str">
        <f>_xlfn.XLOOKUP(tblSales[[#This Row],[Channel Code]],tblChannels[Channel Code],tblChannels[Channel Name],"")</f>
        <v>Website &amp; Social Media</v>
      </c>
      <c r="R2880" s="1">
        <f>MONTH(tblSales[[#This Row],[Date]])</f>
        <v>6</v>
      </c>
    </row>
    <row r="2881" spans="2:18" x14ac:dyDescent="0.35">
      <c r="B2881" s="113">
        <v>46194</v>
      </c>
      <c r="C2881" s="4" t="s">
        <v>1932</v>
      </c>
      <c r="D2881" s="4" t="s">
        <v>4572</v>
      </c>
      <c r="E2881" s="1" t="str">
        <f>_xlfn.XLOOKUP(tblSales[[#This Row],[Customer ID]],tblCustomers[Customer ID],tblCustomers[Customer Name],"⚠ Unknown")</f>
        <v>PT Cahaya Abadi Makmur</v>
      </c>
      <c r="F2881" s="4" t="s">
        <v>13</v>
      </c>
      <c r="G2881" s="1" t="str">
        <f>_xlfn.XLOOKUP(tblSales[[#This Row],[Product Code]],tblProducts[Code],tblProducts[Product / Service Name],"⚠ Unknown")</f>
        <v>Backpack</v>
      </c>
      <c r="H2881" s="1" t="str">
        <f>_xlfn.XLOOKUP(tblSales[[#This Row],[Product Code]],tblProducts[Code],tblProducts[Category],"")</f>
        <v>Bags &amp; Gadgets</v>
      </c>
      <c r="I2881" s="4">
        <v>24</v>
      </c>
      <c r="J2881" s="5">
        <f>_xlfn.XLOOKUP(tblSales[[#This Row],[Product Code]],tblProducts[Code],tblProducts[Selling Price (excl. VAT)],0)</f>
        <v>500000</v>
      </c>
      <c r="K2881" s="5">
        <f>tblSales[[#This Row],[Qty]]*tblSales[[#This Row],[Unit Price]]</f>
        <v>12000000</v>
      </c>
      <c r="L2881" s="5">
        <f>ROUND(tblSales[[#This Row],[DPP (excl. VAT)]]*VATEff,0)</f>
        <v>1320000</v>
      </c>
      <c r="M2881" s="5">
        <f>tblSales[[#This Row],[DPP (excl. VAT)]]+tblSales[[#This Row],[Output VAT]]</f>
        <v>13320000</v>
      </c>
      <c r="N2881" s="5">
        <f>tblSales[[#This Row],[Qty]]*_xlfn.XLOOKUP(tblSales[[#This Row],[Product Code]],tblProducts[Code],tblProducts[Unit Cost],0)</f>
        <v>6960000</v>
      </c>
      <c r="O2881" s="4" t="s">
        <v>4867</v>
      </c>
      <c r="P2881" s="4" t="s">
        <v>4862</v>
      </c>
      <c r="Q2881" s="1" t="str">
        <f>_xlfn.XLOOKUP(tblSales[[#This Row],[Channel Code]],tblChannels[Channel Code],tblChannels[Channel Name],"")</f>
        <v>Website &amp; Social Media</v>
      </c>
      <c r="R2881" s="1">
        <f>MONTH(tblSales[[#This Row],[Date]])</f>
        <v>6</v>
      </c>
    </row>
    <row r="2882" spans="2:18" x14ac:dyDescent="0.35">
      <c r="B2882" s="113">
        <v>46194</v>
      </c>
      <c r="C2882" s="4" t="s">
        <v>1933</v>
      </c>
      <c r="D2882" s="4" t="s">
        <v>4568</v>
      </c>
      <c r="E2882" s="1" t="str">
        <f>_xlfn.XLOOKUP(tblSales[[#This Row],[Customer ID]],tblCustomers[Customer ID],tblCustomers[Customer Name],"⚠ Unknown")</f>
        <v>Walk-in Customer</v>
      </c>
      <c r="F2882" s="4" t="s">
        <v>8</v>
      </c>
      <c r="G2882" s="1" t="str">
        <f>_xlfn.XLOOKUP(tblSales[[#This Row],[Product Code]],tblProducts[Code],tblProducts[Product / Service Name],"⚠ Unknown")</f>
        <v>Casual Shorts</v>
      </c>
      <c r="H2882" s="1" t="str">
        <f>_xlfn.XLOOKUP(tblSales[[#This Row],[Product Code]],tblProducts[Code],tblProducts[Category],"")</f>
        <v>Accessories &amp; Basics</v>
      </c>
      <c r="I2882" s="4">
        <v>8</v>
      </c>
      <c r="J2882" s="5">
        <f>_xlfn.XLOOKUP(tblSales[[#This Row],[Product Code]],tblProducts[Code],tblProducts[Selling Price (excl. VAT)],0)</f>
        <v>85000</v>
      </c>
      <c r="K2882" s="5">
        <f>tblSales[[#This Row],[Qty]]*tblSales[[#This Row],[Unit Price]]</f>
        <v>680000</v>
      </c>
      <c r="L2882" s="5">
        <f>ROUND(tblSales[[#This Row],[DPP (excl. VAT)]]*VATEff,0)</f>
        <v>74800</v>
      </c>
      <c r="M2882" s="5">
        <f>tblSales[[#This Row],[DPP (excl. VAT)]]+tblSales[[#This Row],[Output VAT]]</f>
        <v>754800</v>
      </c>
      <c r="N2882" s="5">
        <f>tblSales[[#This Row],[Qty]]*_xlfn.XLOOKUP(tblSales[[#This Row],[Product Code]],tblProducts[Code],tblProducts[Unit Cost],0)</f>
        <v>400000</v>
      </c>
      <c r="O2882" s="4" t="s">
        <v>4865</v>
      </c>
      <c r="P2882" s="4" t="s">
        <v>4860</v>
      </c>
      <c r="Q2882" s="1" t="str">
        <f>_xlfn.XLOOKUP(tblSales[[#This Row],[Channel Code]],tblChannels[Channel Code],tblChannels[Channel Name],"")</f>
        <v>In-store</v>
      </c>
      <c r="R2882" s="1">
        <f>MONTH(tblSales[[#This Row],[Date]])</f>
        <v>6</v>
      </c>
    </row>
    <row r="2883" spans="2:18" x14ac:dyDescent="0.35">
      <c r="B2883" s="113">
        <v>46194</v>
      </c>
      <c r="C2883" s="4" t="s">
        <v>1934</v>
      </c>
      <c r="D2883" s="4" t="s">
        <v>4568</v>
      </c>
      <c r="E2883" s="1" t="str">
        <f>_xlfn.XLOOKUP(tblSales[[#This Row],[Customer ID]],tblCustomers[Customer ID],tblCustomers[Customer Name],"⚠ Unknown")</f>
        <v>Walk-in Customer</v>
      </c>
      <c r="F2883" s="4" t="s">
        <v>8</v>
      </c>
      <c r="G2883" s="1" t="str">
        <f>_xlfn.XLOOKUP(tblSales[[#This Row],[Product Code]],tblProducts[Code],tblProducts[Product / Service Name],"⚠ Unknown")</f>
        <v>Casual Shorts</v>
      </c>
      <c r="H2883" s="1" t="str">
        <f>_xlfn.XLOOKUP(tblSales[[#This Row],[Product Code]],tblProducts[Code],tblProducts[Category],"")</f>
        <v>Accessories &amp; Basics</v>
      </c>
      <c r="I2883" s="4">
        <v>4</v>
      </c>
      <c r="J2883" s="5">
        <f>_xlfn.XLOOKUP(tblSales[[#This Row],[Product Code]],tblProducts[Code],tblProducts[Selling Price (excl. VAT)],0)</f>
        <v>85000</v>
      </c>
      <c r="K2883" s="5">
        <f>tblSales[[#This Row],[Qty]]*tblSales[[#This Row],[Unit Price]]</f>
        <v>340000</v>
      </c>
      <c r="L2883" s="5">
        <f>ROUND(tblSales[[#This Row],[DPP (excl. VAT)]]*VATEff,0)</f>
        <v>37400</v>
      </c>
      <c r="M2883" s="5">
        <f>tblSales[[#This Row],[DPP (excl. VAT)]]+tblSales[[#This Row],[Output VAT]]</f>
        <v>377400</v>
      </c>
      <c r="N2883" s="5">
        <f>tblSales[[#This Row],[Qty]]*_xlfn.XLOOKUP(tblSales[[#This Row],[Product Code]],tblProducts[Code],tblProducts[Unit Cost],0)</f>
        <v>200000</v>
      </c>
      <c r="O2883" s="4" t="s">
        <v>4866</v>
      </c>
      <c r="P2883" s="4" t="s">
        <v>4860</v>
      </c>
      <c r="Q2883" s="1" t="str">
        <f>_xlfn.XLOOKUP(tblSales[[#This Row],[Channel Code]],tblChannels[Channel Code],tblChannels[Channel Name],"")</f>
        <v>In-store</v>
      </c>
      <c r="R2883" s="1">
        <f>MONTH(tblSales[[#This Row],[Date]])</f>
        <v>6</v>
      </c>
    </row>
    <row r="2884" spans="2:18" x14ac:dyDescent="0.35">
      <c r="B2884" s="113">
        <v>46195</v>
      </c>
      <c r="C2884" s="4" t="s">
        <v>1935</v>
      </c>
      <c r="D2884" s="4" t="s">
        <v>4568</v>
      </c>
      <c r="E2884" s="1" t="str">
        <f>_xlfn.XLOOKUP(tblSales[[#This Row],[Customer ID]],tblCustomers[Customer ID],tblCustomers[Customer Name],"⚠ Unknown")</f>
        <v>Walk-in Customer</v>
      </c>
      <c r="F2884" s="4" t="s">
        <v>10</v>
      </c>
      <c r="G2884" s="1" t="str">
        <f>_xlfn.XLOOKUP(tblSales[[#This Row],[Product Code]],tblProducts[Code],tblProducts[Product / Service Name],"⚠ Unknown")</f>
        <v>Chino Pants</v>
      </c>
      <c r="H2884" s="1" t="str">
        <f>_xlfn.XLOOKUP(tblSales[[#This Row],[Product Code]],tblProducts[Code],tblProducts[Category],"")</f>
        <v>Apparel &amp; Footwear</v>
      </c>
      <c r="I2884" s="4">
        <v>2</v>
      </c>
      <c r="J2884" s="5">
        <f>_xlfn.XLOOKUP(tblSales[[#This Row],[Product Code]],tblProducts[Code],tblProducts[Selling Price (excl. VAT)],0)</f>
        <v>150000</v>
      </c>
      <c r="K2884" s="5">
        <f>tblSales[[#This Row],[Qty]]*tblSales[[#This Row],[Unit Price]]</f>
        <v>300000</v>
      </c>
      <c r="L2884" s="5">
        <f>ROUND(tblSales[[#This Row],[DPP (excl. VAT)]]*VATEff,0)</f>
        <v>33000</v>
      </c>
      <c r="M2884" s="5">
        <f>tblSales[[#This Row],[DPP (excl. VAT)]]+tblSales[[#This Row],[Output VAT]]</f>
        <v>333000</v>
      </c>
      <c r="N2884" s="5">
        <f>tblSales[[#This Row],[Qty]]*_xlfn.XLOOKUP(tblSales[[#This Row],[Product Code]],tblProducts[Code],tblProducts[Unit Cost],0)</f>
        <v>176000</v>
      </c>
      <c r="O2884" s="4" t="s">
        <v>4866</v>
      </c>
      <c r="P2884" s="4" t="s">
        <v>4861</v>
      </c>
      <c r="Q2884" s="1" t="str">
        <f>_xlfn.XLOOKUP(tblSales[[#This Row],[Channel Code]],tblChannels[Channel Code],tblChannels[Channel Name],"")</f>
        <v>Marketplace</v>
      </c>
      <c r="R2884" s="1">
        <f>MONTH(tblSales[[#This Row],[Date]])</f>
        <v>6</v>
      </c>
    </row>
    <row r="2885" spans="2:18" x14ac:dyDescent="0.35">
      <c r="B2885" s="113">
        <v>46195</v>
      </c>
      <c r="C2885" s="4" t="s">
        <v>1936</v>
      </c>
      <c r="D2885" s="4" t="s">
        <v>4568</v>
      </c>
      <c r="E2885" s="1" t="str">
        <f>_xlfn.XLOOKUP(tblSales[[#This Row],[Customer ID]],tblCustomers[Customer ID],tblCustomers[Customer Name],"⚠ Unknown")</f>
        <v>Walk-in Customer</v>
      </c>
      <c r="F2885" s="4" t="s">
        <v>7</v>
      </c>
      <c r="G2885" s="1" t="str">
        <f>_xlfn.XLOOKUP(tblSales[[#This Row],[Product Code]],tblProducts[Code],tblProducts[Product / Service Name],"⚠ Unknown")</f>
        <v>Premium Basic T-shirt</v>
      </c>
      <c r="H2885" s="1" t="str">
        <f>_xlfn.XLOOKUP(tblSales[[#This Row],[Product Code]],tblProducts[Code],tblProducts[Category],"")</f>
        <v>Accessories &amp; Basics</v>
      </c>
      <c r="I2885" s="4">
        <v>2</v>
      </c>
      <c r="J2885" s="5">
        <f>_xlfn.XLOOKUP(tblSales[[#This Row],[Product Code]],tblProducts[Code],tblProducts[Selling Price (excl. VAT)],0)</f>
        <v>65000</v>
      </c>
      <c r="K2885" s="5">
        <f>tblSales[[#This Row],[Qty]]*tblSales[[#This Row],[Unit Price]]</f>
        <v>130000</v>
      </c>
      <c r="L2885" s="5">
        <f>ROUND(tblSales[[#This Row],[DPP (excl. VAT)]]*VATEff,0)</f>
        <v>14300</v>
      </c>
      <c r="M2885" s="5">
        <f>tblSales[[#This Row],[DPP (excl. VAT)]]+tblSales[[#This Row],[Output VAT]]</f>
        <v>144300</v>
      </c>
      <c r="N2885" s="5">
        <f>tblSales[[#This Row],[Qty]]*_xlfn.XLOOKUP(tblSales[[#This Row],[Product Code]],tblProducts[Code],tblProducts[Unit Cost],0)</f>
        <v>74000</v>
      </c>
      <c r="O2885" s="4" t="s">
        <v>4865</v>
      </c>
      <c r="P2885" s="4" t="s">
        <v>4860</v>
      </c>
      <c r="Q2885" s="1" t="str">
        <f>_xlfn.XLOOKUP(tblSales[[#This Row],[Channel Code]],tblChannels[Channel Code],tblChannels[Channel Name],"")</f>
        <v>In-store</v>
      </c>
      <c r="R2885" s="1">
        <f>MONTH(tblSales[[#This Row],[Date]])</f>
        <v>6</v>
      </c>
    </row>
    <row r="2886" spans="2:18" x14ac:dyDescent="0.35">
      <c r="B2886" s="113">
        <v>46195</v>
      </c>
      <c r="C2886" s="4" t="s">
        <v>1937</v>
      </c>
      <c r="D2886" s="4" t="s">
        <v>4568</v>
      </c>
      <c r="E2886" s="1" t="str">
        <f>_xlfn.XLOOKUP(tblSales[[#This Row],[Customer ID]],tblCustomers[Customer ID],tblCustomers[Customer Name],"⚠ Unknown")</f>
        <v>Walk-in Customer</v>
      </c>
      <c r="F2886" s="4" t="s">
        <v>6</v>
      </c>
      <c r="G2886" s="1" t="str">
        <f>_xlfn.XLOOKUP(tblSales[[#This Row],[Product Code]],tblProducts[Code],tblProducts[Product / Service Name],"⚠ Unknown")</f>
        <v>Socks &amp; Accessories</v>
      </c>
      <c r="H2886" s="1" t="str">
        <f>_xlfn.XLOOKUP(tblSales[[#This Row],[Product Code]],tblProducts[Code],tblProducts[Category],"")</f>
        <v>Accessories &amp; Basics</v>
      </c>
      <c r="I2886" s="4">
        <v>1</v>
      </c>
      <c r="J2886" s="5">
        <f>_xlfn.XLOOKUP(tblSales[[#This Row],[Product Code]],tblProducts[Code],tblProducts[Selling Price (excl. VAT)],0)</f>
        <v>45000</v>
      </c>
      <c r="K2886" s="5">
        <f>tblSales[[#This Row],[Qty]]*tblSales[[#This Row],[Unit Price]]</f>
        <v>45000</v>
      </c>
      <c r="L2886" s="5">
        <f>ROUND(tblSales[[#This Row],[DPP (excl. VAT)]]*VATEff,0)</f>
        <v>4950</v>
      </c>
      <c r="M2886" s="5">
        <f>tblSales[[#This Row],[DPP (excl. VAT)]]+tblSales[[#This Row],[Output VAT]]</f>
        <v>49950</v>
      </c>
      <c r="N2886" s="5">
        <f>tblSales[[#This Row],[Qty]]*_xlfn.XLOOKUP(tblSales[[#This Row],[Product Code]],tblProducts[Code],tblProducts[Unit Cost],0)</f>
        <v>24000</v>
      </c>
      <c r="O2886" s="4" t="s">
        <v>4865</v>
      </c>
      <c r="P2886" s="4" t="s">
        <v>4860</v>
      </c>
      <c r="Q2886" s="1" t="str">
        <f>_xlfn.XLOOKUP(tblSales[[#This Row],[Channel Code]],tblChannels[Channel Code],tblChannels[Channel Name],"")</f>
        <v>In-store</v>
      </c>
      <c r="R2886" s="1">
        <f>MONTH(tblSales[[#This Row],[Date]])</f>
        <v>6</v>
      </c>
    </row>
    <row r="2887" spans="2:18" x14ac:dyDescent="0.35">
      <c r="B2887" s="113">
        <v>46195</v>
      </c>
      <c r="C2887" s="4" t="s">
        <v>1938</v>
      </c>
      <c r="D2887" s="4" t="s">
        <v>4568</v>
      </c>
      <c r="E2887" s="1" t="str">
        <f>_xlfn.XLOOKUP(tblSales[[#This Row],[Customer ID]],tblCustomers[Customer ID],tblCustomers[Customer Name],"⚠ Unknown")</f>
        <v>Walk-in Customer</v>
      </c>
      <c r="F2887" s="4" t="s">
        <v>9</v>
      </c>
      <c r="G2887" s="1" t="str">
        <f>_xlfn.XLOOKUP(tblSales[[#This Row],[Product Code]],tblProducts[Code],tblProducts[Product / Service Name],"⚠ Unknown")</f>
        <v>Casual Shirt</v>
      </c>
      <c r="H2887" s="1" t="str">
        <f>_xlfn.XLOOKUP(tblSales[[#This Row],[Product Code]],tblProducts[Code],tblProducts[Category],"")</f>
        <v>Apparel &amp; Footwear</v>
      </c>
      <c r="I2887" s="4">
        <v>5</v>
      </c>
      <c r="J2887" s="5">
        <f>_xlfn.XLOOKUP(tblSales[[#This Row],[Product Code]],tblProducts[Code],tblProducts[Selling Price (excl. VAT)],0)</f>
        <v>120000</v>
      </c>
      <c r="K2887" s="5">
        <f>tblSales[[#This Row],[Qty]]*tblSales[[#This Row],[Unit Price]]</f>
        <v>600000</v>
      </c>
      <c r="L2887" s="5">
        <f>ROUND(tblSales[[#This Row],[DPP (excl. VAT)]]*VATEff,0)</f>
        <v>66000</v>
      </c>
      <c r="M2887" s="5">
        <f>tblSales[[#This Row],[DPP (excl. VAT)]]+tblSales[[#This Row],[Output VAT]]</f>
        <v>666000</v>
      </c>
      <c r="N2887" s="5">
        <f>tblSales[[#This Row],[Qty]]*_xlfn.XLOOKUP(tblSales[[#This Row],[Product Code]],tblProducts[Code],tblProducts[Unit Cost],0)</f>
        <v>360000</v>
      </c>
      <c r="O2887" s="4" t="s">
        <v>4866</v>
      </c>
      <c r="P2887" s="4" t="s">
        <v>4860</v>
      </c>
      <c r="Q2887" s="1" t="str">
        <f>_xlfn.XLOOKUP(tblSales[[#This Row],[Channel Code]],tblChannels[Channel Code],tblChannels[Channel Name],"")</f>
        <v>In-store</v>
      </c>
      <c r="R2887" s="1">
        <f>MONTH(tblSales[[#This Row],[Date]])</f>
        <v>6</v>
      </c>
    </row>
    <row r="2888" spans="2:18" x14ac:dyDescent="0.35">
      <c r="B2888" s="113">
        <v>46195</v>
      </c>
      <c r="C2888" s="4" t="s">
        <v>1938</v>
      </c>
      <c r="D2888" s="4" t="s">
        <v>4568</v>
      </c>
      <c r="E2888" s="1" t="str">
        <f>_xlfn.XLOOKUP(tblSales[[#This Row],[Customer ID]],tblCustomers[Customer ID],tblCustomers[Customer Name],"⚠ Unknown")</f>
        <v>Walk-in Customer</v>
      </c>
      <c r="F2888" s="4" t="s">
        <v>7</v>
      </c>
      <c r="G2888" s="1" t="str">
        <f>_xlfn.XLOOKUP(tblSales[[#This Row],[Product Code]],tblProducts[Code],tblProducts[Product / Service Name],"⚠ Unknown")</f>
        <v>Premium Basic T-shirt</v>
      </c>
      <c r="H2888" s="1" t="str">
        <f>_xlfn.XLOOKUP(tblSales[[#This Row],[Product Code]],tblProducts[Code],tblProducts[Category],"")</f>
        <v>Accessories &amp; Basics</v>
      </c>
      <c r="I2888" s="4">
        <v>7</v>
      </c>
      <c r="J2888" s="5">
        <f>_xlfn.XLOOKUP(tblSales[[#This Row],[Product Code]],tblProducts[Code],tblProducts[Selling Price (excl. VAT)],0)</f>
        <v>65000</v>
      </c>
      <c r="K2888" s="5">
        <f>tblSales[[#This Row],[Qty]]*tblSales[[#This Row],[Unit Price]]</f>
        <v>455000</v>
      </c>
      <c r="L2888" s="5">
        <f>ROUND(tblSales[[#This Row],[DPP (excl. VAT)]]*VATEff,0)</f>
        <v>50050</v>
      </c>
      <c r="M2888" s="5">
        <f>tblSales[[#This Row],[DPP (excl. VAT)]]+tblSales[[#This Row],[Output VAT]]</f>
        <v>505050</v>
      </c>
      <c r="N2888" s="5">
        <f>tblSales[[#This Row],[Qty]]*_xlfn.XLOOKUP(tblSales[[#This Row],[Product Code]],tblProducts[Code],tblProducts[Unit Cost],0)</f>
        <v>259000</v>
      </c>
      <c r="O2888" s="4" t="s">
        <v>4866</v>
      </c>
      <c r="P2888" s="4" t="s">
        <v>4860</v>
      </c>
      <c r="Q2888" s="1" t="str">
        <f>_xlfn.XLOOKUP(tblSales[[#This Row],[Channel Code]],tblChannels[Channel Code],tblChannels[Channel Name],"")</f>
        <v>In-store</v>
      </c>
      <c r="R2888" s="1">
        <f>MONTH(tblSales[[#This Row],[Date]])</f>
        <v>6</v>
      </c>
    </row>
    <row r="2889" spans="2:18" x14ac:dyDescent="0.35">
      <c r="B2889" s="113">
        <v>46195</v>
      </c>
      <c r="C2889" s="4" t="s">
        <v>1939</v>
      </c>
      <c r="D2889" s="4" t="s">
        <v>4568</v>
      </c>
      <c r="E2889" s="1" t="str">
        <f>_xlfn.XLOOKUP(tblSales[[#This Row],[Customer ID]],tblCustomers[Customer ID],tblCustomers[Customer Name],"⚠ Unknown")</f>
        <v>Walk-in Customer</v>
      </c>
      <c r="F2889" s="4" t="s">
        <v>7</v>
      </c>
      <c r="G2889" s="1" t="str">
        <f>_xlfn.XLOOKUP(tblSales[[#This Row],[Product Code]],tblProducts[Code],tblProducts[Product / Service Name],"⚠ Unknown")</f>
        <v>Premium Basic T-shirt</v>
      </c>
      <c r="H2889" s="1" t="str">
        <f>_xlfn.XLOOKUP(tblSales[[#This Row],[Product Code]],tblProducts[Code],tblProducts[Category],"")</f>
        <v>Accessories &amp; Basics</v>
      </c>
      <c r="I2889" s="4">
        <v>8</v>
      </c>
      <c r="J2889" s="5">
        <f>_xlfn.XLOOKUP(tblSales[[#This Row],[Product Code]],tblProducts[Code],tblProducts[Selling Price (excl. VAT)],0)</f>
        <v>65000</v>
      </c>
      <c r="K2889" s="5">
        <f>tblSales[[#This Row],[Qty]]*tblSales[[#This Row],[Unit Price]]</f>
        <v>520000</v>
      </c>
      <c r="L2889" s="5">
        <f>ROUND(tblSales[[#This Row],[DPP (excl. VAT)]]*VATEff,0)</f>
        <v>57200</v>
      </c>
      <c r="M2889" s="5">
        <f>tblSales[[#This Row],[DPP (excl. VAT)]]+tblSales[[#This Row],[Output VAT]]</f>
        <v>577200</v>
      </c>
      <c r="N2889" s="5">
        <f>tblSales[[#This Row],[Qty]]*_xlfn.XLOOKUP(tblSales[[#This Row],[Product Code]],tblProducts[Code],tblProducts[Unit Cost],0)</f>
        <v>296000</v>
      </c>
      <c r="O2889" s="4" t="s">
        <v>4866</v>
      </c>
      <c r="P2889" s="4" t="s">
        <v>4861</v>
      </c>
      <c r="Q2889" s="1" t="str">
        <f>_xlfn.XLOOKUP(tblSales[[#This Row],[Channel Code]],tblChannels[Channel Code],tblChannels[Channel Name],"")</f>
        <v>Marketplace</v>
      </c>
      <c r="R2889" s="1">
        <f>MONTH(tblSales[[#This Row],[Date]])</f>
        <v>6</v>
      </c>
    </row>
    <row r="2890" spans="2:18" x14ac:dyDescent="0.35">
      <c r="B2890" s="113">
        <v>46195</v>
      </c>
      <c r="C2890" s="4" t="s">
        <v>1939</v>
      </c>
      <c r="D2890" s="4" t="s">
        <v>4568</v>
      </c>
      <c r="E2890" s="1" t="str">
        <f>_xlfn.XLOOKUP(tblSales[[#This Row],[Customer ID]],tblCustomers[Customer ID],tblCustomers[Customer Name],"⚠ Unknown")</f>
        <v>Walk-in Customer</v>
      </c>
      <c r="F2890" s="4" t="s">
        <v>10</v>
      </c>
      <c r="G2890" s="1" t="str">
        <f>_xlfn.XLOOKUP(tblSales[[#This Row],[Product Code]],tblProducts[Code],tblProducts[Product / Service Name],"⚠ Unknown")</f>
        <v>Chino Pants</v>
      </c>
      <c r="H2890" s="1" t="str">
        <f>_xlfn.XLOOKUP(tblSales[[#This Row],[Product Code]],tblProducts[Code],tblProducts[Category],"")</f>
        <v>Apparel &amp; Footwear</v>
      </c>
      <c r="I2890" s="4">
        <v>2</v>
      </c>
      <c r="J2890" s="5">
        <f>_xlfn.XLOOKUP(tblSales[[#This Row],[Product Code]],tblProducts[Code],tblProducts[Selling Price (excl. VAT)],0)</f>
        <v>150000</v>
      </c>
      <c r="K2890" s="5">
        <f>tblSales[[#This Row],[Qty]]*tblSales[[#This Row],[Unit Price]]</f>
        <v>300000</v>
      </c>
      <c r="L2890" s="5">
        <f>ROUND(tblSales[[#This Row],[DPP (excl. VAT)]]*VATEff,0)</f>
        <v>33000</v>
      </c>
      <c r="M2890" s="5">
        <f>tblSales[[#This Row],[DPP (excl. VAT)]]+tblSales[[#This Row],[Output VAT]]</f>
        <v>333000</v>
      </c>
      <c r="N2890" s="5">
        <f>tblSales[[#This Row],[Qty]]*_xlfn.XLOOKUP(tblSales[[#This Row],[Product Code]],tblProducts[Code],tblProducts[Unit Cost],0)</f>
        <v>176000</v>
      </c>
      <c r="O2890" s="4" t="s">
        <v>4866</v>
      </c>
      <c r="P2890" s="4" t="s">
        <v>4861</v>
      </c>
      <c r="Q2890" s="1" t="str">
        <f>_xlfn.XLOOKUP(tblSales[[#This Row],[Channel Code]],tblChannels[Channel Code],tblChannels[Channel Name],"")</f>
        <v>Marketplace</v>
      </c>
      <c r="R2890" s="1">
        <f>MONTH(tblSales[[#This Row],[Date]])</f>
        <v>6</v>
      </c>
    </row>
    <row r="2891" spans="2:18" x14ac:dyDescent="0.35">
      <c r="B2891" s="113">
        <v>46195</v>
      </c>
      <c r="C2891" s="4" t="s">
        <v>1940</v>
      </c>
      <c r="D2891" s="4" t="s">
        <v>4568</v>
      </c>
      <c r="E2891" s="1" t="str">
        <f>_xlfn.XLOOKUP(tblSales[[#This Row],[Customer ID]],tblCustomers[Customer ID],tblCustomers[Customer Name],"⚠ Unknown")</f>
        <v>Walk-in Customer</v>
      </c>
      <c r="F2891" s="4" t="s">
        <v>15</v>
      </c>
      <c r="G2891" s="1" t="str">
        <f>_xlfn.XLOOKUP(tblSales[[#This Row],[Product Code]],tblProducts[Code],tblProducts[Product / Service Name],"⚠ Unknown")</f>
        <v>Wireless Earbuds Pro</v>
      </c>
      <c r="H2891" s="1" t="str">
        <f>_xlfn.XLOOKUP(tblSales[[#This Row],[Product Code]],tblProducts[Code],tblProducts[Category],"")</f>
        <v>Bags &amp; Gadgets</v>
      </c>
      <c r="I2891" s="4">
        <v>2</v>
      </c>
      <c r="J2891" s="5">
        <f>_xlfn.XLOOKUP(tblSales[[#This Row],[Product Code]],tblProducts[Code],tblProducts[Selling Price (excl. VAT)],0)</f>
        <v>1250000</v>
      </c>
      <c r="K2891" s="5">
        <f>tblSales[[#This Row],[Qty]]*tblSales[[#This Row],[Unit Price]]</f>
        <v>2500000</v>
      </c>
      <c r="L2891" s="5">
        <f>ROUND(tblSales[[#This Row],[DPP (excl. VAT)]]*VATEff,0)</f>
        <v>275000</v>
      </c>
      <c r="M2891" s="5">
        <f>tblSales[[#This Row],[DPP (excl. VAT)]]+tblSales[[#This Row],[Output VAT]]</f>
        <v>2775000</v>
      </c>
      <c r="N2891" s="5">
        <f>tblSales[[#This Row],[Qty]]*_xlfn.XLOOKUP(tblSales[[#This Row],[Product Code]],tblProducts[Code],tblProducts[Unit Cost],0)</f>
        <v>1640000</v>
      </c>
      <c r="O2891" s="4" t="s">
        <v>4866</v>
      </c>
      <c r="P2891" s="4" t="s">
        <v>4860</v>
      </c>
      <c r="Q2891" s="1" t="str">
        <f>_xlfn.XLOOKUP(tblSales[[#This Row],[Channel Code]],tblChannels[Channel Code],tblChannels[Channel Name],"")</f>
        <v>In-store</v>
      </c>
      <c r="R2891" s="1">
        <f>MONTH(tblSales[[#This Row],[Date]])</f>
        <v>6</v>
      </c>
    </row>
    <row r="2892" spans="2:18" x14ac:dyDescent="0.35">
      <c r="B2892" s="113">
        <v>46195</v>
      </c>
      <c r="C2892" s="4" t="s">
        <v>1941</v>
      </c>
      <c r="D2892" s="4" t="s">
        <v>4568</v>
      </c>
      <c r="E2892" s="1" t="str">
        <f>_xlfn.XLOOKUP(tblSales[[#This Row],[Customer ID]],tblCustomers[Customer ID],tblCustomers[Customer Name],"⚠ Unknown")</f>
        <v>Walk-in Customer</v>
      </c>
      <c r="F2892" s="4" t="s">
        <v>6</v>
      </c>
      <c r="G2892" s="1" t="str">
        <f>_xlfn.XLOOKUP(tblSales[[#This Row],[Product Code]],tblProducts[Code],tblProducts[Product / Service Name],"⚠ Unknown")</f>
        <v>Socks &amp; Accessories</v>
      </c>
      <c r="H2892" s="1" t="str">
        <f>_xlfn.XLOOKUP(tblSales[[#This Row],[Product Code]],tblProducts[Code],tblProducts[Category],"")</f>
        <v>Accessories &amp; Basics</v>
      </c>
      <c r="I2892" s="4">
        <v>3</v>
      </c>
      <c r="J2892" s="5">
        <f>_xlfn.XLOOKUP(tblSales[[#This Row],[Product Code]],tblProducts[Code],tblProducts[Selling Price (excl. VAT)],0)</f>
        <v>45000</v>
      </c>
      <c r="K2892" s="5">
        <f>tblSales[[#This Row],[Qty]]*tblSales[[#This Row],[Unit Price]]</f>
        <v>135000</v>
      </c>
      <c r="L2892" s="5">
        <f>ROUND(tblSales[[#This Row],[DPP (excl. VAT)]]*VATEff,0)</f>
        <v>14850</v>
      </c>
      <c r="M2892" s="5">
        <f>tblSales[[#This Row],[DPP (excl. VAT)]]+tblSales[[#This Row],[Output VAT]]</f>
        <v>149850</v>
      </c>
      <c r="N2892" s="5">
        <f>tblSales[[#This Row],[Qty]]*_xlfn.XLOOKUP(tblSales[[#This Row],[Product Code]],tblProducts[Code],tblProducts[Unit Cost],0)</f>
        <v>72000</v>
      </c>
      <c r="O2892" s="4" t="s">
        <v>4866</v>
      </c>
      <c r="P2892" s="4" t="s">
        <v>4861</v>
      </c>
      <c r="Q2892" s="1" t="str">
        <f>_xlfn.XLOOKUP(tblSales[[#This Row],[Channel Code]],tblChannels[Channel Code],tblChannels[Channel Name],"")</f>
        <v>Marketplace</v>
      </c>
      <c r="R2892" s="1">
        <f>MONTH(tblSales[[#This Row],[Date]])</f>
        <v>6</v>
      </c>
    </row>
    <row r="2893" spans="2:18" x14ac:dyDescent="0.35">
      <c r="B2893" s="113">
        <v>46195</v>
      </c>
      <c r="C2893" s="4" t="s">
        <v>1942</v>
      </c>
      <c r="D2893" s="4" t="s">
        <v>4568</v>
      </c>
      <c r="E2893" s="1" t="str">
        <f>_xlfn.XLOOKUP(tblSales[[#This Row],[Customer ID]],tblCustomers[Customer ID],tblCustomers[Customer Name],"⚠ Unknown")</f>
        <v>Walk-in Customer</v>
      </c>
      <c r="F2893" s="4" t="s">
        <v>10</v>
      </c>
      <c r="G2893" s="1" t="str">
        <f>_xlfn.XLOOKUP(tblSales[[#This Row],[Product Code]],tblProducts[Code],tblProducts[Product / Service Name],"⚠ Unknown")</f>
        <v>Chino Pants</v>
      </c>
      <c r="H2893" s="1" t="str">
        <f>_xlfn.XLOOKUP(tblSales[[#This Row],[Product Code]],tblProducts[Code],tblProducts[Category],"")</f>
        <v>Apparel &amp; Footwear</v>
      </c>
      <c r="I2893" s="4">
        <v>2</v>
      </c>
      <c r="J2893" s="5">
        <f>_xlfn.XLOOKUP(tblSales[[#This Row],[Product Code]],tblProducts[Code],tblProducts[Selling Price (excl. VAT)],0)</f>
        <v>150000</v>
      </c>
      <c r="K2893" s="5">
        <f>tblSales[[#This Row],[Qty]]*tblSales[[#This Row],[Unit Price]]</f>
        <v>300000</v>
      </c>
      <c r="L2893" s="5">
        <f>ROUND(tblSales[[#This Row],[DPP (excl. VAT)]]*VATEff,0)</f>
        <v>33000</v>
      </c>
      <c r="M2893" s="5">
        <f>tblSales[[#This Row],[DPP (excl. VAT)]]+tblSales[[#This Row],[Output VAT]]</f>
        <v>333000</v>
      </c>
      <c r="N2893" s="5">
        <f>tblSales[[#This Row],[Qty]]*_xlfn.XLOOKUP(tblSales[[#This Row],[Product Code]],tblProducts[Code],tblProducts[Unit Cost],0)</f>
        <v>176000</v>
      </c>
      <c r="O2893" s="4" t="s">
        <v>4866</v>
      </c>
      <c r="P2893" s="4" t="s">
        <v>4861</v>
      </c>
      <c r="Q2893" s="1" t="str">
        <f>_xlfn.XLOOKUP(tblSales[[#This Row],[Channel Code]],tblChannels[Channel Code],tblChannels[Channel Name],"")</f>
        <v>Marketplace</v>
      </c>
      <c r="R2893" s="1">
        <f>MONTH(tblSales[[#This Row],[Date]])</f>
        <v>6</v>
      </c>
    </row>
    <row r="2894" spans="2:18" x14ac:dyDescent="0.35">
      <c r="B2894" s="113">
        <v>46195</v>
      </c>
      <c r="C2894" s="4" t="s">
        <v>1943</v>
      </c>
      <c r="D2894" s="4" t="s">
        <v>4568</v>
      </c>
      <c r="E2894" s="1" t="str">
        <f>_xlfn.XLOOKUP(tblSales[[#This Row],[Customer ID]],tblCustomers[Customer ID],tblCustomers[Customer Name],"⚠ Unknown")</f>
        <v>Walk-in Customer</v>
      </c>
      <c r="F2894" s="4" t="s">
        <v>6</v>
      </c>
      <c r="G2894" s="1" t="str">
        <f>_xlfn.XLOOKUP(tblSales[[#This Row],[Product Code]],tblProducts[Code],tblProducts[Product / Service Name],"⚠ Unknown")</f>
        <v>Socks &amp; Accessories</v>
      </c>
      <c r="H2894" s="1" t="str">
        <f>_xlfn.XLOOKUP(tblSales[[#This Row],[Product Code]],tblProducts[Code],tblProducts[Category],"")</f>
        <v>Accessories &amp; Basics</v>
      </c>
      <c r="I2894" s="4">
        <v>9</v>
      </c>
      <c r="J2894" s="5">
        <f>_xlfn.XLOOKUP(tblSales[[#This Row],[Product Code]],tblProducts[Code],tblProducts[Selling Price (excl. VAT)],0)</f>
        <v>45000</v>
      </c>
      <c r="K2894" s="5">
        <f>tblSales[[#This Row],[Qty]]*tblSales[[#This Row],[Unit Price]]</f>
        <v>405000</v>
      </c>
      <c r="L2894" s="5">
        <f>ROUND(tblSales[[#This Row],[DPP (excl. VAT)]]*VATEff,0)</f>
        <v>44550</v>
      </c>
      <c r="M2894" s="5">
        <f>tblSales[[#This Row],[DPP (excl. VAT)]]+tblSales[[#This Row],[Output VAT]]</f>
        <v>449550</v>
      </c>
      <c r="N2894" s="5">
        <f>tblSales[[#This Row],[Qty]]*_xlfn.XLOOKUP(tblSales[[#This Row],[Product Code]],tblProducts[Code],tblProducts[Unit Cost],0)</f>
        <v>216000</v>
      </c>
      <c r="O2894" s="4" t="s">
        <v>4866</v>
      </c>
      <c r="P2894" s="4" t="s">
        <v>4860</v>
      </c>
      <c r="Q2894" s="1" t="str">
        <f>_xlfn.XLOOKUP(tblSales[[#This Row],[Channel Code]],tblChannels[Channel Code],tblChannels[Channel Name],"")</f>
        <v>In-store</v>
      </c>
      <c r="R2894" s="1">
        <f>MONTH(tblSales[[#This Row],[Date]])</f>
        <v>6</v>
      </c>
    </row>
    <row r="2895" spans="2:18" x14ac:dyDescent="0.35">
      <c r="B2895" s="113">
        <v>46195</v>
      </c>
      <c r="C2895" s="4" t="s">
        <v>1944</v>
      </c>
      <c r="D2895" s="4" t="s">
        <v>4568</v>
      </c>
      <c r="E2895" s="1" t="str">
        <f>_xlfn.XLOOKUP(tblSales[[#This Row],[Customer ID]],tblCustomers[Customer ID],tblCustomers[Customer Name],"⚠ Unknown")</f>
        <v>Walk-in Customer</v>
      </c>
      <c r="F2895" s="4" t="s">
        <v>13</v>
      </c>
      <c r="G2895" s="1" t="str">
        <f>_xlfn.XLOOKUP(tblSales[[#This Row],[Product Code]],tblProducts[Code],tblProducts[Product / Service Name],"⚠ Unknown")</f>
        <v>Backpack</v>
      </c>
      <c r="H2895" s="1" t="str">
        <f>_xlfn.XLOOKUP(tblSales[[#This Row],[Product Code]],tblProducts[Code],tblProducts[Category],"")</f>
        <v>Bags &amp; Gadgets</v>
      </c>
      <c r="I2895" s="4">
        <v>1</v>
      </c>
      <c r="J2895" s="5">
        <f>_xlfn.XLOOKUP(tblSales[[#This Row],[Product Code]],tblProducts[Code],tblProducts[Selling Price (excl. VAT)],0)</f>
        <v>500000</v>
      </c>
      <c r="K2895" s="5">
        <f>tblSales[[#This Row],[Qty]]*tblSales[[#This Row],[Unit Price]]</f>
        <v>500000</v>
      </c>
      <c r="L2895" s="5">
        <f>ROUND(tblSales[[#This Row],[DPP (excl. VAT)]]*VATEff,0)</f>
        <v>55000</v>
      </c>
      <c r="M2895" s="5">
        <f>tblSales[[#This Row],[DPP (excl. VAT)]]+tblSales[[#This Row],[Output VAT]]</f>
        <v>555000</v>
      </c>
      <c r="N2895" s="5">
        <f>tblSales[[#This Row],[Qty]]*_xlfn.XLOOKUP(tblSales[[#This Row],[Product Code]],tblProducts[Code],tblProducts[Unit Cost],0)</f>
        <v>290000</v>
      </c>
      <c r="O2895" s="4" t="s">
        <v>4866</v>
      </c>
      <c r="P2895" s="4" t="s">
        <v>4860</v>
      </c>
      <c r="Q2895" s="1" t="str">
        <f>_xlfn.XLOOKUP(tblSales[[#This Row],[Channel Code]],tblChannels[Channel Code],tblChannels[Channel Name],"")</f>
        <v>In-store</v>
      </c>
      <c r="R2895" s="1">
        <f>MONTH(tblSales[[#This Row],[Date]])</f>
        <v>6</v>
      </c>
    </row>
    <row r="2896" spans="2:18" x14ac:dyDescent="0.35">
      <c r="B2896" s="113">
        <v>46195</v>
      </c>
      <c r="C2896" s="4" t="s">
        <v>1945</v>
      </c>
      <c r="D2896" s="4" t="s">
        <v>4568</v>
      </c>
      <c r="E2896" s="1" t="str">
        <f>_xlfn.XLOOKUP(tblSales[[#This Row],[Customer ID]],tblCustomers[Customer ID],tblCustomers[Customer Name],"⚠ Unknown")</f>
        <v>Walk-in Customer</v>
      </c>
      <c r="F2896" s="4" t="s">
        <v>7</v>
      </c>
      <c r="G2896" s="1" t="str">
        <f>_xlfn.XLOOKUP(tblSales[[#This Row],[Product Code]],tblProducts[Code],tblProducts[Product / Service Name],"⚠ Unknown")</f>
        <v>Premium Basic T-shirt</v>
      </c>
      <c r="H2896" s="1" t="str">
        <f>_xlfn.XLOOKUP(tblSales[[#This Row],[Product Code]],tblProducts[Code],tblProducts[Category],"")</f>
        <v>Accessories &amp; Basics</v>
      </c>
      <c r="I2896" s="4">
        <v>12</v>
      </c>
      <c r="J2896" s="5">
        <f>_xlfn.XLOOKUP(tblSales[[#This Row],[Product Code]],tblProducts[Code],tblProducts[Selling Price (excl. VAT)],0)</f>
        <v>65000</v>
      </c>
      <c r="K2896" s="5">
        <f>tblSales[[#This Row],[Qty]]*tblSales[[#This Row],[Unit Price]]</f>
        <v>780000</v>
      </c>
      <c r="L2896" s="5">
        <f>ROUND(tblSales[[#This Row],[DPP (excl. VAT)]]*VATEff,0)</f>
        <v>85800</v>
      </c>
      <c r="M2896" s="5">
        <f>tblSales[[#This Row],[DPP (excl. VAT)]]+tblSales[[#This Row],[Output VAT]]</f>
        <v>865800</v>
      </c>
      <c r="N2896" s="5">
        <f>tblSales[[#This Row],[Qty]]*_xlfn.XLOOKUP(tblSales[[#This Row],[Product Code]],tblProducts[Code],tblProducts[Unit Cost],0)</f>
        <v>444000</v>
      </c>
      <c r="O2896" s="4" t="s">
        <v>4865</v>
      </c>
      <c r="P2896" s="4" t="s">
        <v>4860</v>
      </c>
      <c r="Q2896" s="1" t="str">
        <f>_xlfn.XLOOKUP(tblSales[[#This Row],[Channel Code]],tblChannels[Channel Code],tblChannels[Channel Name],"")</f>
        <v>In-store</v>
      </c>
      <c r="R2896" s="1">
        <f>MONTH(tblSales[[#This Row],[Date]])</f>
        <v>6</v>
      </c>
    </row>
    <row r="2897" spans="2:18" x14ac:dyDescent="0.35">
      <c r="B2897" s="113">
        <v>46195</v>
      </c>
      <c r="C2897" s="4" t="s">
        <v>1945</v>
      </c>
      <c r="D2897" s="4" t="s">
        <v>4568</v>
      </c>
      <c r="E2897" s="1" t="str">
        <f>_xlfn.XLOOKUP(tblSales[[#This Row],[Customer ID]],tblCustomers[Customer ID],tblCustomers[Customer Name],"⚠ Unknown")</f>
        <v>Walk-in Customer</v>
      </c>
      <c r="F2897" s="4" t="s">
        <v>6</v>
      </c>
      <c r="G2897" s="1" t="str">
        <f>_xlfn.XLOOKUP(tblSales[[#This Row],[Product Code]],tblProducts[Code],tblProducts[Product / Service Name],"⚠ Unknown")</f>
        <v>Socks &amp; Accessories</v>
      </c>
      <c r="H2897" s="1" t="str">
        <f>_xlfn.XLOOKUP(tblSales[[#This Row],[Product Code]],tblProducts[Code],tblProducts[Category],"")</f>
        <v>Accessories &amp; Basics</v>
      </c>
      <c r="I2897" s="4">
        <v>11</v>
      </c>
      <c r="J2897" s="5">
        <f>_xlfn.XLOOKUP(tblSales[[#This Row],[Product Code]],tblProducts[Code],tblProducts[Selling Price (excl. VAT)],0)</f>
        <v>45000</v>
      </c>
      <c r="K2897" s="5">
        <f>tblSales[[#This Row],[Qty]]*tblSales[[#This Row],[Unit Price]]</f>
        <v>495000</v>
      </c>
      <c r="L2897" s="5">
        <f>ROUND(tblSales[[#This Row],[DPP (excl. VAT)]]*VATEff,0)</f>
        <v>54450</v>
      </c>
      <c r="M2897" s="5">
        <f>tblSales[[#This Row],[DPP (excl. VAT)]]+tblSales[[#This Row],[Output VAT]]</f>
        <v>549450</v>
      </c>
      <c r="N2897" s="5">
        <f>tblSales[[#This Row],[Qty]]*_xlfn.XLOOKUP(tblSales[[#This Row],[Product Code]],tblProducts[Code],tblProducts[Unit Cost],0)</f>
        <v>264000</v>
      </c>
      <c r="O2897" s="4" t="s">
        <v>4865</v>
      </c>
      <c r="P2897" s="4" t="s">
        <v>4860</v>
      </c>
      <c r="Q2897" s="1" t="str">
        <f>_xlfn.XLOOKUP(tblSales[[#This Row],[Channel Code]],tblChannels[Channel Code],tblChannels[Channel Name],"")</f>
        <v>In-store</v>
      </c>
      <c r="R2897" s="1">
        <f>MONTH(tblSales[[#This Row],[Date]])</f>
        <v>6</v>
      </c>
    </row>
    <row r="2898" spans="2:18" x14ac:dyDescent="0.35">
      <c r="B2898" s="113">
        <v>46196</v>
      </c>
      <c r="C2898" s="4" t="s">
        <v>1946</v>
      </c>
      <c r="D2898" s="4" t="s">
        <v>4572</v>
      </c>
      <c r="E2898" s="1" t="str">
        <f>_xlfn.XLOOKUP(tblSales[[#This Row],[Customer ID]],tblCustomers[Customer ID],tblCustomers[Customer Name],"⚠ Unknown")</f>
        <v>PT Cahaya Abadi Makmur</v>
      </c>
      <c r="F2898" s="4" t="s">
        <v>9</v>
      </c>
      <c r="G2898" s="1" t="str">
        <f>_xlfn.XLOOKUP(tblSales[[#This Row],[Product Code]],tblProducts[Code],tblProducts[Product / Service Name],"⚠ Unknown")</f>
        <v>Casual Shirt</v>
      </c>
      <c r="H2898" s="1" t="str">
        <f>_xlfn.XLOOKUP(tblSales[[#This Row],[Product Code]],tblProducts[Code],tblProducts[Category],"")</f>
        <v>Apparel &amp; Footwear</v>
      </c>
      <c r="I2898" s="4">
        <v>96</v>
      </c>
      <c r="J2898" s="5">
        <f>_xlfn.XLOOKUP(tblSales[[#This Row],[Product Code]],tblProducts[Code],tblProducts[Selling Price (excl. VAT)],0)</f>
        <v>120000</v>
      </c>
      <c r="K2898" s="5">
        <f>tblSales[[#This Row],[Qty]]*tblSales[[#This Row],[Unit Price]]</f>
        <v>11520000</v>
      </c>
      <c r="L2898" s="5">
        <f>ROUND(tblSales[[#This Row],[DPP (excl. VAT)]]*VATEff,0)</f>
        <v>1267200</v>
      </c>
      <c r="M2898" s="5">
        <f>tblSales[[#This Row],[DPP (excl. VAT)]]+tblSales[[#This Row],[Output VAT]]</f>
        <v>12787200</v>
      </c>
      <c r="N2898" s="5">
        <f>tblSales[[#This Row],[Qty]]*_xlfn.XLOOKUP(tblSales[[#This Row],[Product Code]],tblProducts[Code],tblProducts[Unit Cost],0)</f>
        <v>6912000</v>
      </c>
      <c r="O2898" s="4" t="s">
        <v>4867</v>
      </c>
      <c r="P2898" s="4" t="s">
        <v>4862</v>
      </c>
      <c r="Q2898" s="1" t="str">
        <f>_xlfn.XLOOKUP(tblSales[[#This Row],[Channel Code]],tblChannels[Channel Code],tblChannels[Channel Name],"")</f>
        <v>Website &amp; Social Media</v>
      </c>
      <c r="R2898" s="1">
        <f>MONTH(tblSales[[#This Row],[Date]])</f>
        <v>6</v>
      </c>
    </row>
    <row r="2899" spans="2:18" x14ac:dyDescent="0.35">
      <c r="B2899" s="113">
        <v>46196</v>
      </c>
      <c r="C2899" s="4" t="s">
        <v>1947</v>
      </c>
      <c r="D2899" s="4" t="s">
        <v>4568</v>
      </c>
      <c r="E2899" s="1" t="str">
        <f>_xlfn.XLOOKUP(tblSales[[#This Row],[Customer ID]],tblCustomers[Customer ID],tblCustomers[Customer Name],"⚠ Unknown")</f>
        <v>Walk-in Customer</v>
      </c>
      <c r="F2899" s="4" t="s">
        <v>6</v>
      </c>
      <c r="G2899" s="1" t="str">
        <f>_xlfn.XLOOKUP(tblSales[[#This Row],[Product Code]],tblProducts[Code],tblProducts[Product / Service Name],"⚠ Unknown")</f>
        <v>Socks &amp; Accessories</v>
      </c>
      <c r="H2899" s="1" t="str">
        <f>_xlfn.XLOOKUP(tblSales[[#This Row],[Product Code]],tblProducts[Code],tblProducts[Category],"")</f>
        <v>Accessories &amp; Basics</v>
      </c>
      <c r="I2899" s="4">
        <v>8</v>
      </c>
      <c r="J2899" s="5">
        <f>_xlfn.XLOOKUP(tblSales[[#This Row],[Product Code]],tblProducts[Code],tblProducts[Selling Price (excl. VAT)],0)</f>
        <v>45000</v>
      </c>
      <c r="K2899" s="5">
        <f>tblSales[[#This Row],[Qty]]*tblSales[[#This Row],[Unit Price]]</f>
        <v>360000</v>
      </c>
      <c r="L2899" s="5">
        <f>ROUND(tblSales[[#This Row],[DPP (excl. VAT)]]*VATEff,0)</f>
        <v>39600</v>
      </c>
      <c r="M2899" s="5">
        <f>tblSales[[#This Row],[DPP (excl. VAT)]]+tblSales[[#This Row],[Output VAT]]</f>
        <v>399600</v>
      </c>
      <c r="N2899" s="5">
        <f>tblSales[[#This Row],[Qty]]*_xlfn.XLOOKUP(tblSales[[#This Row],[Product Code]],tblProducts[Code],tblProducts[Unit Cost],0)</f>
        <v>192000</v>
      </c>
      <c r="O2899" s="4" t="s">
        <v>4865</v>
      </c>
      <c r="P2899" s="4" t="s">
        <v>4860</v>
      </c>
      <c r="Q2899" s="1" t="str">
        <f>_xlfn.XLOOKUP(tblSales[[#This Row],[Channel Code]],tblChannels[Channel Code],tblChannels[Channel Name],"")</f>
        <v>In-store</v>
      </c>
      <c r="R2899" s="1">
        <f>MONTH(tblSales[[#This Row],[Date]])</f>
        <v>6</v>
      </c>
    </row>
    <row r="2900" spans="2:18" x14ac:dyDescent="0.35">
      <c r="B2900" s="113">
        <v>46196</v>
      </c>
      <c r="C2900" s="4" t="s">
        <v>1948</v>
      </c>
      <c r="D2900" s="4" t="s">
        <v>4568</v>
      </c>
      <c r="E2900" s="1" t="str">
        <f>_xlfn.XLOOKUP(tblSales[[#This Row],[Customer ID]],tblCustomers[Customer ID],tblCustomers[Customer Name],"⚠ Unknown")</f>
        <v>Walk-in Customer</v>
      </c>
      <c r="F2900" s="4" t="s">
        <v>10</v>
      </c>
      <c r="G2900" s="1" t="str">
        <f>_xlfn.XLOOKUP(tblSales[[#This Row],[Product Code]],tblProducts[Code],tblProducts[Product / Service Name],"⚠ Unknown")</f>
        <v>Chino Pants</v>
      </c>
      <c r="H2900" s="1" t="str">
        <f>_xlfn.XLOOKUP(tblSales[[#This Row],[Product Code]],tblProducts[Code],tblProducts[Category],"")</f>
        <v>Apparel &amp; Footwear</v>
      </c>
      <c r="I2900" s="4">
        <v>11</v>
      </c>
      <c r="J2900" s="5">
        <f>_xlfn.XLOOKUP(tblSales[[#This Row],[Product Code]],tblProducts[Code],tblProducts[Selling Price (excl. VAT)],0)</f>
        <v>150000</v>
      </c>
      <c r="K2900" s="5">
        <f>tblSales[[#This Row],[Qty]]*tblSales[[#This Row],[Unit Price]]</f>
        <v>1650000</v>
      </c>
      <c r="L2900" s="5">
        <f>ROUND(tblSales[[#This Row],[DPP (excl. VAT)]]*VATEff,0)</f>
        <v>181500</v>
      </c>
      <c r="M2900" s="5">
        <f>tblSales[[#This Row],[DPP (excl. VAT)]]+tblSales[[#This Row],[Output VAT]]</f>
        <v>1831500</v>
      </c>
      <c r="N2900" s="5">
        <f>tblSales[[#This Row],[Qty]]*_xlfn.XLOOKUP(tblSales[[#This Row],[Product Code]],tblProducts[Code],tblProducts[Unit Cost],0)</f>
        <v>968000</v>
      </c>
      <c r="O2900" s="4" t="s">
        <v>4865</v>
      </c>
      <c r="P2900" s="4" t="s">
        <v>4860</v>
      </c>
      <c r="Q2900" s="1" t="str">
        <f>_xlfn.XLOOKUP(tblSales[[#This Row],[Channel Code]],tblChannels[Channel Code],tblChannels[Channel Name],"")</f>
        <v>In-store</v>
      </c>
      <c r="R2900" s="1">
        <f>MONTH(tblSales[[#This Row],[Date]])</f>
        <v>6</v>
      </c>
    </row>
    <row r="2901" spans="2:18" x14ac:dyDescent="0.35">
      <c r="B2901" s="113">
        <v>46196</v>
      </c>
      <c r="C2901" s="4" t="s">
        <v>1949</v>
      </c>
      <c r="D2901" s="4" t="s">
        <v>4572</v>
      </c>
      <c r="E2901" s="1" t="str">
        <f>_xlfn.XLOOKUP(tblSales[[#This Row],[Customer ID]],tblCustomers[Customer ID],tblCustomers[Customer Name],"⚠ Unknown")</f>
        <v>PT Cahaya Abadi Makmur</v>
      </c>
      <c r="F2901" s="4" t="s">
        <v>8</v>
      </c>
      <c r="G2901" s="1" t="str">
        <f>_xlfn.XLOOKUP(tblSales[[#This Row],[Product Code]],tblProducts[Code],tblProducts[Product / Service Name],"⚠ Unknown")</f>
        <v>Casual Shorts</v>
      </c>
      <c r="H2901" s="1" t="str">
        <f>_xlfn.XLOOKUP(tblSales[[#This Row],[Product Code]],tblProducts[Code],tblProducts[Category],"")</f>
        <v>Accessories &amp; Basics</v>
      </c>
      <c r="I2901" s="4">
        <v>96</v>
      </c>
      <c r="J2901" s="5">
        <f>_xlfn.XLOOKUP(tblSales[[#This Row],[Product Code]],tblProducts[Code],tblProducts[Selling Price (excl. VAT)],0)</f>
        <v>85000</v>
      </c>
      <c r="K2901" s="5">
        <f>tblSales[[#This Row],[Qty]]*tblSales[[#This Row],[Unit Price]]</f>
        <v>8160000</v>
      </c>
      <c r="L2901" s="5">
        <f>ROUND(tblSales[[#This Row],[DPP (excl. VAT)]]*VATEff,0)</f>
        <v>897600</v>
      </c>
      <c r="M2901" s="5">
        <f>tblSales[[#This Row],[DPP (excl. VAT)]]+tblSales[[#This Row],[Output VAT]]</f>
        <v>9057600</v>
      </c>
      <c r="N2901" s="5">
        <f>tblSales[[#This Row],[Qty]]*_xlfn.XLOOKUP(tblSales[[#This Row],[Product Code]],tblProducts[Code],tblProducts[Unit Cost],0)</f>
        <v>4800000</v>
      </c>
      <c r="O2901" s="4" t="s">
        <v>4867</v>
      </c>
      <c r="P2901" s="4" t="s">
        <v>4860</v>
      </c>
      <c r="Q2901" s="1" t="str">
        <f>_xlfn.XLOOKUP(tblSales[[#This Row],[Channel Code]],tblChannels[Channel Code],tblChannels[Channel Name],"")</f>
        <v>In-store</v>
      </c>
      <c r="R2901" s="1">
        <f>MONTH(tblSales[[#This Row],[Date]])</f>
        <v>6</v>
      </c>
    </row>
    <row r="2902" spans="2:18" x14ac:dyDescent="0.35">
      <c r="B2902" s="113">
        <v>46196</v>
      </c>
      <c r="C2902" s="4" t="s">
        <v>1949</v>
      </c>
      <c r="D2902" s="4" t="s">
        <v>4572</v>
      </c>
      <c r="E2902" s="1" t="str">
        <f>_xlfn.XLOOKUP(tblSales[[#This Row],[Customer ID]],tblCustomers[Customer ID],tblCustomers[Customer Name],"⚠ Unknown")</f>
        <v>PT Cahaya Abadi Makmur</v>
      </c>
      <c r="F2902" s="4" t="s">
        <v>14</v>
      </c>
      <c r="G2902" s="1" t="str">
        <f>_xlfn.XLOOKUP(tblSales[[#This Row],[Product Code]],tblProducts[Code],tblProducts[Product / Service Name],"⚠ Unknown")</f>
        <v>Smartwatch</v>
      </c>
      <c r="H2902" s="1" t="str">
        <f>_xlfn.XLOOKUP(tblSales[[#This Row],[Product Code]],tblProducts[Code],tblProducts[Category],"")</f>
        <v>Bags &amp; Gadgets</v>
      </c>
      <c r="I2902" s="4">
        <v>16</v>
      </c>
      <c r="J2902" s="5">
        <f>_xlfn.XLOOKUP(tblSales[[#This Row],[Product Code]],tblProducts[Code],tblProducts[Selling Price (excl. VAT)],0)</f>
        <v>850000</v>
      </c>
      <c r="K2902" s="5">
        <f>tblSales[[#This Row],[Qty]]*tblSales[[#This Row],[Unit Price]]</f>
        <v>13600000</v>
      </c>
      <c r="L2902" s="5">
        <f>ROUND(tblSales[[#This Row],[DPP (excl. VAT)]]*VATEff,0)</f>
        <v>1496000</v>
      </c>
      <c r="M2902" s="5">
        <f>tblSales[[#This Row],[DPP (excl. VAT)]]+tblSales[[#This Row],[Output VAT]]</f>
        <v>15096000</v>
      </c>
      <c r="N2902" s="5">
        <f>tblSales[[#This Row],[Qty]]*_xlfn.XLOOKUP(tblSales[[#This Row],[Product Code]],tblProducts[Code],tblProducts[Unit Cost],0)</f>
        <v>8960000</v>
      </c>
      <c r="O2902" s="4" t="s">
        <v>4867</v>
      </c>
      <c r="P2902" s="4" t="s">
        <v>4860</v>
      </c>
      <c r="Q2902" s="1" t="str">
        <f>_xlfn.XLOOKUP(tblSales[[#This Row],[Channel Code]],tblChannels[Channel Code],tblChannels[Channel Name],"")</f>
        <v>In-store</v>
      </c>
      <c r="R2902" s="1">
        <f>MONTH(tblSales[[#This Row],[Date]])</f>
        <v>6</v>
      </c>
    </row>
    <row r="2903" spans="2:18" x14ac:dyDescent="0.35">
      <c r="B2903" s="113">
        <v>46196</v>
      </c>
      <c r="C2903" s="4" t="s">
        <v>1950</v>
      </c>
      <c r="D2903" s="4" t="s">
        <v>4568</v>
      </c>
      <c r="E2903" s="1" t="str">
        <f>_xlfn.XLOOKUP(tblSales[[#This Row],[Customer ID]],tblCustomers[Customer ID],tblCustomers[Customer Name],"⚠ Unknown")</f>
        <v>Walk-in Customer</v>
      </c>
      <c r="F2903" s="4" t="s">
        <v>8</v>
      </c>
      <c r="G2903" s="1" t="str">
        <f>_xlfn.XLOOKUP(tblSales[[#This Row],[Product Code]],tblProducts[Code],tblProducts[Product / Service Name],"⚠ Unknown")</f>
        <v>Casual Shorts</v>
      </c>
      <c r="H2903" s="1" t="str">
        <f>_xlfn.XLOOKUP(tblSales[[#This Row],[Product Code]],tblProducts[Code],tblProducts[Category],"")</f>
        <v>Accessories &amp; Basics</v>
      </c>
      <c r="I2903" s="4">
        <v>4</v>
      </c>
      <c r="J2903" s="5">
        <f>_xlfn.XLOOKUP(tblSales[[#This Row],[Product Code]],tblProducts[Code],tblProducts[Selling Price (excl. VAT)],0)</f>
        <v>85000</v>
      </c>
      <c r="K2903" s="5">
        <f>tblSales[[#This Row],[Qty]]*tblSales[[#This Row],[Unit Price]]</f>
        <v>340000</v>
      </c>
      <c r="L2903" s="5">
        <f>ROUND(tblSales[[#This Row],[DPP (excl. VAT)]]*VATEff,0)</f>
        <v>37400</v>
      </c>
      <c r="M2903" s="5">
        <f>tblSales[[#This Row],[DPP (excl. VAT)]]+tblSales[[#This Row],[Output VAT]]</f>
        <v>377400</v>
      </c>
      <c r="N2903" s="5">
        <f>tblSales[[#This Row],[Qty]]*_xlfn.XLOOKUP(tblSales[[#This Row],[Product Code]],tblProducts[Code],tblProducts[Unit Cost],0)</f>
        <v>200000</v>
      </c>
      <c r="O2903" s="4" t="s">
        <v>4865</v>
      </c>
      <c r="P2903" s="4" t="s">
        <v>4860</v>
      </c>
      <c r="Q2903" s="1" t="str">
        <f>_xlfn.XLOOKUP(tblSales[[#This Row],[Channel Code]],tblChannels[Channel Code],tblChannels[Channel Name],"")</f>
        <v>In-store</v>
      </c>
      <c r="R2903" s="1">
        <f>MONTH(tblSales[[#This Row],[Date]])</f>
        <v>6</v>
      </c>
    </row>
    <row r="2904" spans="2:18" x14ac:dyDescent="0.35">
      <c r="B2904" s="113">
        <v>46196</v>
      </c>
      <c r="C2904" s="4" t="s">
        <v>1951</v>
      </c>
      <c r="D2904" s="4" t="s">
        <v>4568</v>
      </c>
      <c r="E2904" s="1" t="str">
        <f>_xlfn.XLOOKUP(tblSales[[#This Row],[Customer ID]],tblCustomers[Customer ID],tblCustomers[Customer Name],"⚠ Unknown")</f>
        <v>Walk-in Customer</v>
      </c>
      <c r="F2904" s="4" t="s">
        <v>6</v>
      </c>
      <c r="G2904" s="1" t="str">
        <f>_xlfn.XLOOKUP(tblSales[[#This Row],[Product Code]],tblProducts[Code],tblProducts[Product / Service Name],"⚠ Unknown")</f>
        <v>Socks &amp; Accessories</v>
      </c>
      <c r="H2904" s="1" t="str">
        <f>_xlfn.XLOOKUP(tblSales[[#This Row],[Product Code]],tblProducts[Code],tblProducts[Category],"")</f>
        <v>Accessories &amp; Basics</v>
      </c>
      <c r="I2904" s="4">
        <v>2</v>
      </c>
      <c r="J2904" s="5">
        <f>_xlfn.XLOOKUP(tblSales[[#This Row],[Product Code]],tblProducts[Code],tblProducts[Selling Price (excl. VAT)],0)</f>
        <v>45000</v>
      </c>
      <c r="K2904" s="5">
        <f>tblSales[[#This Row],[Qty]]*tblSales[[#This Row],[Unit Price]]</f>
        <v>90000</v>
      </c>
      <c r="L2904" s="5">
        <f>ROUND(tblSales[[#This Row],[DPP (excl. VAT)]]*VATEff,0)</f>
        <v>9900</v>
      </c>
      <c r="M2904" s="5">
        <f>tblSales[[#This Row],[DPP (excl. VAT)]]+tblSales[[#This Row],[Output VAT]]</f>
        <v>99900</v>
      </c>
      <c r="N2904" s="5">
        <f>tblSales[[#This Row],[Qty]]*_xlfn.XLOOKUP(tblSales[[#This Row],[Product Code]],tblProducts[Code],tblProducts[Unit Cost],0)</f>
        <v>48000</v>
      </c>
      <c r="O2904" s="4" t="s">
        <v>4866</v>
      </c>
      <c r="P2904" s="4" t="s">
        <v>4860</v>
      </c>
      <c r="Q2904" s="1" t="str">
        <f>_xlfn.XLOOKUP(tblSales[[#This Row],[Channel Code]],tblChannels[Channel Code],tblChannels[Channel Name],"")</f>
        <v>In-store</v>
      </c>
      <c r="R2904" s="1">
        <f>MONTH(tblSales[[#This Row],[Date]])</f>
        <v>6</v>
      </c>
    </row>
    <row r="2905" spans="2:18" x14ac:dyDescent="0.35">
      <c r="B2905" s="113">
        <v>46196</v>
      </c>
      <c r="C2905" s="4" t="s">
        <v>1952</v>
      </c>
      <c r="D2905" s="4" t="s">
        <v>4568</v>
      </c>
      <c r="E2905" s="1" t="str">
        <f>_xlfn.XLOOKUP(tblSales[[#This Row],[Customer ID]],tblCustomers[Customer ID],tblCustomers[Customer Name],"⚠ Unknown")</f>
        <v>Walk-in Customer</v>
      </c>
      <c r="F2905" s="4" t="s">
        <v>7</v>
      </c>
      <c r="G2905" s="1" t="str">
        <f>_xlfn.XLOOKUP(tblSales[[#This Row],[Product Code]],tblProducts[Code],tblProducts[Product / Service Name],"⚠ Unknown")</f>
        <v>Premium Basic T-shirt</v>
      </c>
      <c r="H2905" s="1" t="str">
        <f>_xlfn.XLOOKUP(tblSales[[#This Row],[Product Code]],tblProducts[Code],tblProducts[Category],"")</f>
        <v>Accessories &amp; Basics</v>
      </c>
      <c r="I2905" s="4">
        <v>1</v>
      </c>
      <c r="J2905" s="5">
        <f>_xlfn.XLOOKUP(tblSales[[#This Row],[Product Code]],tblProducts[Code],tblProducts[Selling Price (excl. VAT)],0)</f>
        <v>65000</v>
      </c>
      <c r="K2905" s="5">
        <f>tblSales[[#This Row],[Qty]]*tblSales[[#This Row],[Unit Price]]</f>
        <v>65000</v>
      </c>
      <c r="L2905" s="5">
        <f>ROUND(tblSales[[#This Row],[DPP (excl. VAT)]]*VATEff,0)</f>
        <v>7150</v>
      </c>
      <c r="M2905" s="5">
        <f>tblSales[[#This Row],[DPP (excl. VAT)]]+tblSales[[#This Row],[Output VAT]]</f>
        <v>72150</v>
      </c>
      <c r="N2905" s="5">
        <f>tblSales[[#This Row],[Qty]]*_xlfn.XLOOKUP(tblSales[[#This Row],[Product Code]],tblProducts[Code],tblProducts[Unit Cost],0)</f>
        <v>37000</v>
      </c>
      <c r="O2905" s="4" t="s">
        <v>4866</v>
      </c>
      <c r="P2905" s="4" t="s">
        <v>4860</v>
      </c>
      <c r="Q2905" s="1" t="str">
        <f>_xlfn.XLOOKUP(tblSales[[#This Row],[Channel Code]],tblChannels[Channel Code],tblChannels[Channel Name],"")</f>
        <v>In-store</v>
      </c>
      <c r="R2905" s="1">
        <f>MONTH(tblSales[[#This Row],[Date]])</f>
        <v>6</v>
      </c>
    </row>
    <row r="2906" spans="2:18" x14ac:dyDescent="0.35">
      <c r="B2906" s="113">
        <v>46196</v>
      </c>
      <c r="C2906" s="4" t="s">
        <v>1953</v>
      </c>
      <c r="D2906" s="4" t="s">
        <v>4568</v>
      </c>
      <c r="E2906" s="1" t="str">
        <f>_xlfn.XLOOKUP(tblSales[[#This Row],[Customer ID]],tblCustomers[Customer ID],tblCustomers[Customer Name],"⚠ Unknown")</f>
        <v>Walk-in Customer</v>
      </c>
      <c r="F2906" s="4" t="s">
        <v>10</v>
      </c>
      <c r="G2906" s="1" t="str">
        <f>_xlfn.XLOOKUP(tblSales[[#This Row],[Product Code]],tblProducts[Code],tblProducts[Product / Service Name],"⚠ Unknown")</f>
        <v>Chino Pants</v>
      </c>
      <c r="H2906" s="1" t="str">
        <f>_xlfn.XLOOKUP(tblSales[[#This Row],[Product Code]],tblProducts[Code],tblProducts[Category],"")</f>
        <v>Apparel &amp; Footwear</v>
      </c>
      <c r="I2906" s="4">
        <v>1</v>
      </c>
      <c r="J2906" s="5">
        <f>_xlfn.XLOOKUP(tblSales[[#This Row],[Product Code]],tblProducts[Code],tblProducts[Selling Price (excl. VAT)],0)</f>
        <v>150000</v>
      </c>
      <c r="K2906" s="5">
        <f>tblSales[[#This Row],[Qty]]*tblSales[[#This Row],[Unit Price]]</f>
        <v>150000</v>
      </c>
      <c r="L2906" s="5">
        <f>ROUND(tblSales[[#This Row],[DPP (excl. VAT)]]*VATEff,0)</f>
        <v>16500</v>
      </c>
      <c r="M2906" s="5">
        <f>tblSales[[#This Row],[DPP (excl. VAT)]]+tblSales[[#This Row],[Output VAT]]</f>
        <v>166500</v>
      </c>
      <c r="N2906" s="5">
        <f>tblSales[[#This Row],[Qty]]*_xlfn.XLOOKUP(tblSales[[#This Row],[Product Code]],tblProducts[Code],tblProducts[Unit Cost],0)</f>
        <v>88000</v>
      </c>
      <c r="O2906" s="4" t="s">
        <v>4865</v>
      </c>
      <c r="P2906" s="4" t="s">
        <v>4860</v>
      </c>
      <c r="Q2906" s="1" t="str">
        <f>_xlfn.XLOOKUP(tblSales[[#This Row],[Channel Code]],tblChannels[Channel Code],tblChannels[Channel Name],"")</f>
        <v>In-store</v>
      </c>
      <c r="R2906" s="1">
        <f>MONTH(tblSales[[#This Row],[Date]])</f>
        <v>6</v>
      </c>
    </row>
    <row r="2907" spans="2:18" x14ac:dyDescent="0.35">
      <c r="B2907" s="113">
        <v>46196</v>
      </c>
      <c r="C2907" s="4" t="s">
        <v>1953</v>
      </c>
      <c r="D2907" s="4" t="s">
        <v>4568</v>
      </c>
      <c r="E2907" s="1" t="str">
        <f>_xlfn.XLOOKUP(tblSales[[#This Row],[Customer ID]],tblCustomers[Customer ID],tblCustomers[Customer Name],"⚠ Unknown")</f>
        <v>Walk-in Customer</v>
      </c>
      <c r="F2907" s="4" t="s">
        <v>8</v>
      </c>
      <c r="G2907" s="1" t="str">
        <f>_xlfn.XLOOKUP(tblSales[[#This Row],[Product Code]],tblProducts[Code],tblProducts[Product / Service Name],"⚠ Unknown")</f>
        <v>Casual Shorts</v>
      </c>
      <c r="H2907" s="1" t="str">
        <f>_xlfn.XLOOKUP(tblSales[[#This Row],[Product Code]],tblProducts[Code],tblProducts[Category],"")</f>
        <v>Accessories &amp; Basics</v>
      </c>
      <c r="I2907" s="4">
        <v>9</v>
      </c>
      <c r="J2907" s="5">
        <f>_xlfn.XLOOKUP(tblSales[[#This Row],[Product Code]],tblProducts[Code],tblProducts[Selling Price (excl. VAT)],0)</f>
        <v>85000</v>
      </c>
      <c r="K2907" s="5">
        <f>tblSales[[#This Row],[Qty]]*tblSales[[#This Row],[Unit Price]]</f>
        <v>765000</v>
      </c>
      <c r="L2907" s="5">
        <f>ROUND(tblSales[[#This Row],[DPP (excl. VAT)]]*VATEff,0)</f>
        <v>84150</v>
      </c>
      <c r="M2907" s="5">
        <f>tblSales[[#This Row],[DPP (excl. VAT)]]+tblSales[[#This Row],[Output VAT]]</f>
        <v>849150</v>
      </c>
      <c r="N2907" s="5">
        <f>tblSales[[#This Row],[Qty]]*_xlfn.XLOOKUP(tblSales[[#This Row],[Product Code]],tblProducts[Code],tblProducts[Unit Cost],0)</f>
        <v>450000</v>
      </c>
      <c r="O2907" s="4" t="s">
        <v>4865</v>
      </c>
      <c r="P2907" s="4" t="s">
        <v>4860</v>
      </c>
      <c r="Q2907" s="1" t="str">
        <f>_xlfn.XLOOKUP(tblSales[[#This Row],[Channel Code]],tblChannels[Channel Code],tblChannels[Channel Name],"")</f>
        <v>In-store</v>
      </c>
      <c r="R2907" s="1">
        <f>MONTH(tblSales[[#This Row],[Date]])</f>
        <v>6</v>
      </c>
    </row>
    <row r="2908" spans="2:18" x14ac:dyDescent="0.35">
      <c r="B2908" s="113">
        <v>46196</v>
      </c>
      <c r="C2908" s="4" t="s">
        <v>1954</v>
      </c>
      <c r="D2908" s="4" t="s">
        <v>4568</v>
      </c>
      <c r="E2908" s="1" t="str">
        <f>_xlfn.XLOOKUP(tblSales[[#This Row],[Customer ID]],tblCustomers[Customer ID],tblCustomers[Customer Name],"⚠ Unknown")</f>
        <v>Walk-in Customer</v>
      </c>
      <c r="F2908" s="4" t="s">
        <v>7</v>
      </c>
      <c r="G2908" s="1" t="str">
        <f>_xlfn.XLOOKUP(tblSales[[#This Row],[Product Code]],tblProducts[Code],tblProducts[Product / Service Name],"⚠ Unknown")</f>
        <v>Premium Basic T-shirt</v>
      </c>
      <c r="H2908" s="1" t="str">
        <f>_xlfn.XLOOKUP(tblSales[[#This Row],[Product Code]],tblProducts[Code],tblProducts[Category],"")</f>
        <v>Accessories &amp; Basics</v>
      </c>
      <c r="I2908" s="4">
        <v>7</v>
      </c>
      <c r="J2908" s="5">
        <f>_xlfn.XLOOKUP(tblSales[[#This Row],[Product Code]],tblProducts[Code],tblProducts[Selling Price (excl. VAT)],0)</f>
        <v>65000</v>
      </c>
      <c r="K2908" s="5">
        <f>tblSales[[#This Row],[Qty]]*tblSales[[#This Row],[Unit Price]]</f>
        <v>455000</v>
      </c>
      <c r="L2908" s="5">
        <f>ROUND(tblSales[[#This Row],[DPP (excl. VAT)]]*VATEff,0)</f>
        <v>50050</v>
      </c>
      <c r="M2908" s="5">
        <f>tblSales[[#This Row],[DPP (excl. VAT)]]+tblSales[[#This Row],[Output VAT]]</f>
        <v>505050</v>
      </c>
      <c r="N2908" s="5">
        <f>tblSales[[#This Row],[Qty]]*_xlfn.XLOOKUP(tblSales[[#This Row],[Product Code]],tblProducts[Code],tblProducts[Unit Cost],0)</f>
        <v>259000</v>
      </c>
      <c r="O2908" s="4" t="s">
        <v>4866</v>
      </c>
      <c r="P2908" s="4" t="s">
        <v>4861</v>
      </c>
      <c r="Q2908" s="1" t="str">
        <f>_xlfn.XLOOKUP(tblSales[[#This Row],[Channel Code]],tblChannels[Channel Code],tblChannels[Channel Name],"")</f>
        <v>Marketplace</v>
      </c>
      <c r="R2908" s="1">
        <f>MONTH(tblSales[[#This Row],[Date]])</f>
        <v>6</v>
      </c>
    </row>
    <row r="2909" spans="2:18" x14ac:dyDescent="0.35">
      <c r="B2909" s="113">
        <v>46196</v>
      </c>
      <c r="C2909" s="4" t="s">
        <v>1955</v>
      </c>
      <c r="D2909" s="4" t="s">
        <v>4568</v>
      </c>
      <c r="E2909" s="1" t="str">
        <f>_xlfn.XLOOKUP(tblSales[[#This Row],[Customer ID]],tblCustomers[Customer ID],tblCustomers[Customer Name],"⚠ Unknown")</f>
        <v>Walk-in Customer</v>
      </c>
      <c r="F2909" s="4" t="s">
        <v>13</v>
      </c>
      <c r="G2909" s="1" t="str">
        <f>_xlfn.XLOOKUP(tblSales[[#This Row],[Product Code]],tblProducts[Code],tblProducts[Product / Service Name],"⚠ Unknown")</f>
        <v>Backpack</v>
      </c>
      <c r="H2909" s="1" t="str">
        <f>_xlfn.XLOOKUP(tblSales[[#This Row],[Product Code]],tblProducts[Code],tblProducts[Category],"")</f>
        <v>Bags &amp; Gadgets</v>
      </c>
      <c r="I2909" s="4">
        <v>1</v>
      </c>
      <c r="J2909" s="5">
        <f>_xlfn.XLOOKUP(tblSales[[#This Row],[Product Code]],tblProducts[Code],tblProducts[Selling Price (excl. VAT)],0)</f>
        <v>500000</v>
      </c>
      <c r="K2909" s="5">
        <f>tblSales[[#This Row],[Qty]]*tblSales[[#This Row],[Unit Price]]</f>
        <v>500000</v>
      </c>
      <c r="L2909" s="5">
        <f>ROUND(tblSales[[#This Row],[DPP (excl. VAT)]]*VATEff,0)</f>
        <v>55000</v>
      </c>
      <c r="M2909" s="5">
        <f>tblSales[[#This Row],[DPP (excl. VAT)]]+tblSales[[#This Row],[Output VAT]]</f>
        <v>555000</v>
      </c>
      <c r="N2909" s="5">
        <f>tblSales[[#This Row],[Qty]]*_xlfn.XLOOKUP(tblSales[[#This Row],[Product Code]],tblProducts[Code],tblProducts[Unit Cost],0)</f>
        <v>290000</v>
      </c>
      <c r="O2909" s="4" t="s">
        <v>4865</v>
      </c>
      <c r="P2909" s="4" t="s">
        <v>4860</v>
      </c>
      <c r="Q2909" s="1" t="str">
        <f>_xlfn.XLOOKUP(tblSales[[#This Row],[Channel Code]],tblChannels[Channel Code],tblChannels[Channel Name],"")</f>
        <v>In-store</v>
      </c>
      <c r="R2909" s="1">
        <f>MONTH(tblSales[[#This Row],[Date]])</f>
        <v>6</v>
      </c>
    </row>
    <row r="2910" spans="2:18" x14ac:dyDescent="0.35">
      <c r="B2910" s="113">
        <v>46196</v>
      </c>
      <c r="C2910" s="4" t="s">
        <v>1955</v>
      </c>
      <c r="D2910" s="4" t="s">
        <v>4568</v>
      </c>
      <c r="E2910" s="1" t="str">
        <f>_xlfn.XLOOKUP(tblSales[[#This Row],[Customer ID]],tblCustomers[Customer ID],tblCustomers[Customer Name],"⚠ Unknown")</f>
        <v>Walk-in Customer</v>
      </c>
      <c r="F2910" s="4" t="s">
        <v>6</v>
      </c>
      <c r="G2910" s="1" t="str">
        <f>_xlfn.XLOOKUP(tblSales[[#This Row],[Product Code]],tblProducts[Code],tblProducts[Product / Service Name],"⚠ Unknown")</f>
        <v>Socks &amp; Accessories</v>
      </c>
      <c r="H2910" s="1" t="str">
        <f>_xlfn.XLOOKUP(tblSales[[#This Row],[Product Code]],tblProducts[Code],tblProducts[Category],"")</f>
        <v>Accessories &amp; Basics</v>
      </c>
      <c r="I2910" s="4">
        <v>1</v>
      </c>
      <c r="J2910" s="5">
        <f>_xlfn.XLOOKUP(tblSales[[#This Row],[Product Code]],tblProducts[Code],tblProducts[Selling Price (excl. VAT)],0)</f>
        <v>45000</v>
      </c>
      <c r="K2910" s="5">
        <f>tblSales[[#This Row],[Qty]]*tblSales[[#This Row],[Unit Price]]</f>
        <v>45000</v>
      </c>
      <c r="L2910" s="5">
        <f>ROUND(tblSales[[#This Row],[DPP (excl. VAT)]]*VATEff,0)</f>
        <v>4950</v>
      </c>
      <c r="M2910" s="5">
        <f>tblSales[[#This Row],[DPP (excl. VAT)]]+tblSales[[#This Row],[Output VAT]]</f>
        <v>49950</v>
      </c>
      <c r="N2910" s="5">
        <f>tblSales[[#This Row],[Qty]]*_xlfn.XLOOKUP(tblSales[[#This Row],[Product Code]],tblProducts[Code],tblProducts[Unit Cost],0)</f>
        <v>24000</v>
      </c>
      <c r="O2910" s="4" t="s">
        <v>4865</v>
      </c>
      <c r="P2910" s="4" t="s">
        <v>4860</v>
      </c>
      <c r="Q2910" s="1" t="str">
        <f>_xlfn.XLOOKUP(tblSales[[#This Row],[Channel Code]],tblChannels[Channel Code],tblChannels[Channel Name],"")</f>
        <v>In-store</v>
      </c>
      <c r="R2910" s="1">
        <f>MONTH(tblSales[[#This Row],[Date]])</f>
        <v>6</v>
      </c>
    </row>
    <row r="2911" spans="2:18" x14ac:dyDescent="0.35">
      <c r="B2911" s="113">
        <v>46196</v>
      </c>
      <c r="C2911" s="4" t="s">
        <v>1956</v>
      </c>
      <c r="D2911" s="4" t="s">
        <v>4568</v>
      </c>
      <c r="E2911" s="1" t="str">
        <f>_xlfn.XLOOKUP(tblSales[[#This Row],[Customer ID]],tblCustomers[Customer ID],tblCustomers[Customer Name],"⚠ Unknown")</f>
        <v>Walk-in Customer</v>
      </c>
      <c r="F2911" s="4" t="s">
        <v>6</v>
      </c>
      <c r="G2911" s="1" t="str">
        <f>_xlfn.XLOOKUP(tblSales[[#This Row],[Product Code]],tblProducts[Code],tblProducts[Product / Service Name],"⚠ Unknown")</f>
        <v>Socks &amp; Accessories</v>
      </c>
      <c r="H2911" s="1" t="str">
        <f>_xlfn.XLOOKUP(tblSales[[#This Row],[Product Code]],tblProducts[Code],tblProducts[Category],"")</f>
        <v>Accessories &amp; Basics</v>
      </c>
      <c r="I2911" s="4">
        <v>7</v>
      </c>
      <c r="J2911" s="5">
        <f>_xlfn.XLOOKUP(tblSales[[#This Row],[Product Code]],tblProducts[Code],tblProducts[Selling Price (excl. VAT)],0)</f>
        <v>45000</v>
      </c>
      <c r="K2911" s="5">
        <f>tblSales[[#This Row],[Qty]]*tblSales[[#This Row],[Unit Price]]</f>
        <v>315000</v>
      </c>
      <c r="L2911" s="5">
        <f>ROUND(tblSales[[#This Row],[DPP (excl. VAT)]]*VATEff,0)</f>
        <v>34650</v>
      </c>
      <c r="M2911" s="5">
        <f>tblSales[[#This Row],[DPP (excl. VAT)]]+tblSales[[#This Row],[Output VAT]]</f>
        <v>349650</v>
      </c>
      <c r="N2911" s="5">
        <f>tblSales[[#This Row],[Qty]]*_xlfn.XLOOKUP(tblSales[[#This Row],[Product Code]],tblProducts[Code],tblProducts[Unit Cost],0)</f>
        <v>168000</v>
      </c>
      <c r="O2911" s="4" t="s">
        <v>4866</v>
      </c>
      <c r="P2911" s="4" t="s">
        <v>4862</v>
      </c>
      <c r="Q2911" s="1" t="str">
        <f>_xlfn.XLOOKUP(tblSales[[#This Row],[Channel Code]],tblChannels[Channel Code],tblChannels[Channel Name],"")</f>
        <v>Website &amp; Social Media</v>
      </c>
      <c r="R2911" s="1">
        <f>MONTH(tblSales[[#This Row],[Date]])</f>
        <v>6</v>
      </c>
    </row>
    <row r="2912" spans="2:18" x14ac:dyDescent="0.35">
      <c r="B2912" s="113">
        <v>46196</v>
      </c>
      <c r="C2912" s="4" t="s">
        <v>1957</v>
      </c>
      <c r="D2912" s="4" t="s">
        <v>4568</v>
      </c>
      <c r="E2912" s="1" t="str">
        <f>_xlfn.XLOOKUP(tblSales[[#This Row],[Customer ID]],tblCustomers[Customer ID],tblCustomers[Customer Name],"⚠ Unknown")</f>
        <v>Walk-in Customer</v>
      </c>
      <c r="F2912" s="4" t="s">
        <v>6</v>
      </c>
      <c r="G2912" s="1" t="str">
        <f>_xlfn.XLOOKUP(tblSales[[#This Row],[Product Code]],tblProducts[Code],tblProducts[Product / Service Name],"⚠ Unknown")</f>
        <v>Socks &amp; Accessories</v>
      </c>
      <c r="H2912" s="1" t="str">
        <f>_xlfn.XLOOKUP(tblSales[[#This Row],[Product Code]],tblProducts[Code],tblProducts[Category],"")</f>
        <v>Accessories &amp; Basics</v>
      </c>
      <c r="I2912" s="4">
        <v>4</v>
      </c>
      <c r="J2912" s="5">
        <f>_xlfn.XLOOKUP(tblSales[[#This Row],[Product Code]],tblProducts[Code],tblProducts[Selling Price (excl. VAT)],0)</f>
        <v>45000</v>
      </c>
      <c r="K2912" s="5">
        <f>tblSales[[#This Row],[Qty]]*tblSales[[#This Row],[Unit Price]]</f>
        <v>180000</v>
      </c>
      <c r="L2912" s="5">
        <f>ROUND(tblSales[[#This Row],[DPP (excl. VAT)]]*VATEff,0)</f>
        <v>19800</v>
      </c>
      <c r="M2912" s="5">
        <f>tblSales[[#This Row],[DPP (excl. VAT)]]+tblSales[[#This Row],[Output VAT]]</f>
        <v>199800</v>
      </c>
      <c r="N2912" s="5">
        <f>tblSales[[#This Row],[Qty]]*_xlfn.XLOOKUP(tblSales[[#This Row],[Product Code]],tblProducts[Code],tblProducts[Unit Cost],0)</f>
        <v>96000</v>
      </c>
      <c r="O2912" s="4" t="s">
        <v>4865</v>
      </c>
      <c r="P2912" s="4" t="s">
        <v>4860</v>
      </c>
      <c r="Q2912" s="1" t="str">
        <f>_xlfn.XLOOKUP(tblSales[[#This Row],[Channel Code]],tblChannels[Channel Code],tblChannels[Channel Name],"")</f>
        <v>In-store</v>
      </c>
      <c r="R2912" s="1">
        <f>MONTH(tblSales[[#This Row],[Date]])</f>
        <v>6</v>
      </c>
    </row>
    <row r="2913" spans="2:18" x14ac:dyDescent="0.35">
      <c r="B2913" s="113">
        <v>46197</v>
      </c>
      <c r="C2913" s="4" t="s">
        <v>1958</v>
      </c>
      <c r="D2913" s="4" t="s">
        <v>4568</v>
      </c>
      <c r="E2913" s="1" t="str">
        <f>_xlfn.XLOOKUP(tblSales[[#This Row],[Customer ID]],tblCustomers[Customer ID],tblCustomers[Customer Name],"⚠ Unknown")</f>
        <v>Walk-in Customer</v>
      </c>
      <c r="F2913" s="4" t="s">
        <v>12</v>
      </c>
      <c r="G2913" s="1" t="str">
        <f>_xlfn.XLOOKUP(tblSales[[#This Row],[Product Code]],tblProducts[Code],tblProducts[Product / Service Name],"⚠ Unknown")</f>
        <v>Bomber Jacket</v>
      </c>
      <c r="H2913" s="1" t="str">
        <f>_xlfn.XLOOKUP(tblSales[[#This Row],[Product Code]],tblProducts[Code],tblProducts[Category],"")</f>
        <v>Apparel &amp; Footwear</v>
      </c>
      <c r="I2913" s="4">
        <v>6</v>
      </c>
      <c r="J2913" s="5">
        <f>_xlfn.XLOOKUP(tblSales[[#This Row],[Product Code]],tblProducts[Code],tblProducts[Selling Price (excl. VAT)],0)</f>
        <v>350000</v>
      </c>
      <c r="K2913" s="5">
        <f>tblSales[[#This Row],[Qty]]*tblSales[[#This Row],[Unit Price]]</f>
        <v>2100000</v>
      </c>
      <c r="L2913" s="5">
        <f>ROUND(tblSales[[#This Row],[DPP (excl. VAT)]]*VATEff,0)</f>
        <v>231000</v>
      </c>
      <c r="M2913" s="5">
        <f>tblSales[[#This Row],[DPP (excl. VAT)]]+tblSales[[#This Row],[Output VAT]]</f>
        <v>2331000</v>
      </c>
      <c r="N2913" s="5">
        <f>tblSales[[#This Row],[Qty]]*_xlfn.XLOOKUP(tblSales[[#This Row],[Product Code]],tblProducts[Code],tblProducts[Unit Cost],0)</f>
        <v>1260000</v>
      </c>
      <c r="O2913" s="4" t="s">
        <v>4866</v>
      </c>
      <c r="P2913" s="4" t="s">
        <v>4860</v>
      </c>
      <c r="Q2913" s="1" t="str">
        <f>_xlfn.XLOOKUP(tblSales[[#This Row],[Channel Code]],tblChannels[Channel Code],tblChannels[Channel Name],"")</f>
        <v>In-store</v>
      </c>
      <c r="R2913" s="1">
        <f>MONTH(tblSales[[#This Row],[Date]])</f>
        <v>6</v>
      </c>
    </row>
    <row r="2914" spans="2:18" x14ac:dyDescent="0.35">
      <c r="B2914" s="113">
        <v>46197</v>
      </c>
      <c r="C2914" s="4" t="s">
        <v>1958</v>
      </c>
      <c r="D2914" s="4" t="s">
        <v>4568</v>
      </c>
      <c r="E2914" s="1" t="str">
        <f>_xlfn.XLOOKUP(tblSales[[#This Row],[Customer ID]],tblCustomers[Customer ID],tblCustomers[Customer Name],"⚠ Unknown")</f>
        <v>Walk-in Customer</v>
      </c>
      <c r="F2914" s="4" t="s">
        <v>7</v>
      </c>
      <c r="G2914" s="1" t="str">
        <f>_xlfn.XLOOKUP(tblSales[[#This Row],[Product Code]],tblProducts[Code],tblProducts[Product / Service Name],"⚠ Unknown")</f>
        <v>Premium Basic T-shirt</v>
      </c>
      <c r="H2914" s="1" t="str">
        <f>_xlfn.XLOOKUP(tblSales[[#This Row],[Product Code]],tblProducts[Code],tblProducts[Category],"")</f>
        <v>Accessories &amp; Basics</v>
      </c>
      <c r="I2914" s="4">
        <v>12</v>
      </c>
      <c r="J2914" s="5">
        <f>_xlfn.XLOOKUP(tblSales[[#This Row],[Product Code]],tblProducts[Code],tblProducts[Selling Price (excl. VAT)],0)</f>
        <v>65000</v>
      </c>
      <c r="K2914" s="5">
        <f>tblSales[[#This Row],[Qty]]*tblSales[[#This Row],[Unit Price]]</f>
        <v>780000</v>
      </c>
      <c r="L2914" s="5">
        <f>ROUND(tblSales[[#This Row],[DPP (excl. VAT)]]*VATEff,0)</f>
        <v>85800</v>
      </c>
      <c r="M2914" s="5">
        <f>tblSales[[#This Row],[DPP (excl. VAT)]]+tblSales[[#This Row],[Output VAT]]</f>
        <v>865800</v>
      </c>
      <c r="N2914" s="5">
        <f>tblSales[[#This Row],[Qty]]*_xlfn.XLOOKUP(tblSales[[#This Row],[Product Code]],tblProducts[Code],tblProducts[Unit Cost],0)</f>
        <v>444000</v>
      </c>
      <c r="O2914" s="4" t="s">
        <v>4866</v>
      </c>
      <c r="P2914" s="4" t="s">
        <v>4860</v>
      </c>
      <c r="Q2914" s="1" t="str">
        <f>_xlfn.XLOOKUP(tblSales[[#This Row],[Channel Code]],tblChannels[Channel Code],tblChannels[Channel Name],"")</f>
        <v>In-store</v>
      </c>
      <c r="R2914" s="1">
        <f>MONTH(tblSales[[#This Row],[Date]])</f>
        <v>6</v>
      </c>
    </row>
    <row r="2915" spans="2:18" x14ac:dyDescent="0.35">
      <c r="B2915" s="113">
        <v>46197</v>
      </c>
      <c r="C2915" s="4" t="s">
        <v>1959</v>
      </c>
      <c r="D2915" s="4" t="s">
        <v>4568</v>
      </c>
      <c r="E2915" s="1" t="str">
        <f>_xlfn.XLOOKUP(tblSales[[#This Row],[Customer ID]],tblCustomers[Customer ID],tblCustomers[Customer Name],"⚠ Unknown")</f>
        <v>Walk-in Customer</v>
      </c>
      <c r="F2915" s="4" t="s">
        <v>10</v>
      </c>
      <c r="G2915" s="1" t="str">
        <f>_xlfn.XLOOKUP(tblSales[[#This Row],[Product Code]],tblProducts[Code],tblProducts[Product / Service Name],"⚠ Unknown")</f>
        <v>Chino Pants</v>
      </c>
      <c r="H2915" s="1" t="str">
        <f>_xlfn.XLOOKUP(tblSales[[#This Row],[Product Code]],tblProducts[Code],tblProducts[Category],"")</f>
        <v>Apparel &amp; Footwear</v>
      </c>
      <c r="I2915" s="4">
        <v>7</v>
      </c>
      <c r="J2915" s="5">
        <f>_xlfn.XLOOKUP(tblSales[[#This Row],[Product Code]],tblProducts[Code],tblProducts[Selling Price (excl. VAT)],0)</f>
        <v>150000</v>
      </c>
      <c r="K2915" s="5">
        <f>tblSales[[#This Row],[Qty]]*tblSales[[#This Row],[Unit Price]]</f>
        <v>1050000</v>
      </c>
      <c r="L2915" s="5">
        <f>ROUND(tblSales[[#This Row],[DPP (excl. VAT)]]*VATEff,0)</f>
        <v>115500</v>
      </c>
      <c r="M2915" s="5">
        <f>tblSales[[#This Row],[DPP (excl. VAT)]]+tblSales[[#This Row],[Output VAT]]</f>
        <v>1165500</v>
      </c>
      <c r="N2915" s="5">
        <f>tblSales[[#This Row],[Qty]]*_xlfn.XLOOKUP(tblSales[[#This Row],[Product Code]],tblProducts[Code],tblProducts[Unit Cost],0)</f>
        <v>616000</v>
      </c>
      <c r="O2915" s="4" t="s">
        <v>4866</v>
      </c>
      <c r="P2915" s="4" t="s">
        <v>4860</v>
      </c>
      <c r="Q2915" s="1" t="str">
        <f>_xlfn.XLOOKUP(tblSales[[#This Row],[Channel Code]],tblChannels[Channel Code],tblChannels[Channel Name],"")</f>
        <v>In-store</v>
      </c>
      <c r="R2915" s="1">
        <f>MONTH(tblSales[[#This Row],[Date]])</f>
        <v>6</v>
      </c>
    </row>
    <row r="2916" spans="2:18" x14ac:dyDescent="0.35">
      <c r="B2916" s="113">
        <v>46197</v>
      </c>
      <c r="C2916" s="4" t="s">
        <v>1960</v>
      </c>
      <c r="D2916" s="4" t="s">
        <v>4568</v>
      </c>
      <c r="E2916" s="1" t="str">
        <f>_xlfn.XLOOKUP(tblSales[[#This Row],[Customer ID]],tblCustomers[Customer ID],tblCustomers[Customer Name],"⚠ Unknown")</f>
        <v>Walk-in Customer</v>
      </c>
      <c r="F2916" s="4" t="s">
        <v>11</v>
      </c>
      <c r="G2916" s="1" t="str">
        <f>_xlfn.XLOOKUP(tblSales[[#This Row],[Product Code]],tblProducts[Code],tblProducts[Product / Service Name],"⚠ Unknown")</f>
        <v>Sneakers</v>
      </c>
      <c r="H2916" s="1" t="str">
        <f>_xlfn.XLOOKUP(tblSales[[#This Row],[Product Code]],tblProducts[Code],tblProducts[Category],"")</f>
        <v>Apparel &amp; Footwear</v>
      </c>
      <c r="I2916" s="4">
        <v>2</v>
      </c>
      <c r="J2916" s="5">
        <f>_xlfn.XLOOKUP(tblSales[[#This Row],[Product Code]],tblProducts[Code],tblProducts[Selling Price (excl. VAT)],0)</f>
        <v>250000</v>
      </c>
      <c r="K2916" s="5">
        <f>tblSales[[#This Row],[Qty]]*tblSales[[#This Row],[Unit Price]]</f>
        <v>500000</v>
      </c>
      <c r="L2916" s="5">
        <f>ROUND(tblSales[[#This Row],[DPP (excl. VAT)]]*VATEff,0)</f>
        <v>55000</v>
      </c>
      <c r="M2916" s="5">
        <f>tblSales[[#This Row],[DPP (excl. VAT)]]+tblSales[[#This Row],[Output VAT]]</f>
        <v>555000</v>
      </c>
      <c r="N2916" s="5">
        <f>tblSales[[#This Row],[Qty]]*_xlfn.XLOOKUP(tblSales[[#This Row],[Product Code]],tblProducts[Code],tblProducts[Unit Cost],0)</f>
        <v>310000</v>
      </c>
      <c r="O2916" s="4" t="s">
        <v>4865</v>
      </c>
      <c r="P2916" s="4" t="s">
        <v>4860</v>
      </c>
      <c r="Q2916" s="1" t="str">
        <f>_xlfn.XLOOKUP(tblSales[[#This Row],[Channel Code]],tblChannels[Channel Code],tblChannels[Channel Name],"")</f>
        <v>In-store</v>
      </c>
      <c r="R2916" s="1">
        <f>MONTH(tblSales[[#This Row],[Date]])</f>
        <v>6</v>
      </c>
    </row>
    <row r="2917" spans="2:18" x14ac:dyDescent="0.35">
      <c r="B2917" s="113">
        <v>46197</v>
      </c>
      <c r="C2917" s="4" t="s">
        <v>1961</v>
      </c>
      <c r="D2917" s="4" t="s">
        <v>4634</v>
      </c>
      <c r="E2917" s="1" t="str">
        <f>_xlfn.XLOOKUP(tblSales[[#This Row],[Customer ID]],tblCustomers[Customer ID],tblCustomers[Customer Name],"⚠ Unknown")</f>
        <v>PT Delta Inti Selaras</v>
      </c>
      <c r="F2917" s="4" t="s">
        <v>9</v>
      </c>
      <c r="G2917" s="1" t="str">
        <f>_xlfn.XLOOKUP(tblSales[[#This Row],[Product Code]],tblProducts[Code],tblProducts[Product / Service Name],"⚠ Unknown")</f>
        <v>Casual Shirt</v>
      </c>
      <c r="H2917" s="1" t="str">
        <f>_xlfn.XLOOKUP(tblSales[[#This Row],[Product Code]],tblProducts[Code],tblProducts[Category],"")</f>
        <v>Apparel &amp; Footwear</v>
      </c>
      <c r="I2917" s="4">
        <v>96</v>
      </c>
      <c r="J2917" s="5">
        <f>_xlfn.XLOOKUP(tblSales[[#This Row],[Product Code]],tblProducts[Code],tblProducts[Selling Price (excl. VAT)],0)</f>
        <v>120000</v>
      </c>
      <c r="K2917" s="5">
        <f>tblSales[[#This Row],[Qty]]*tblSales[[#This Row],[Unit Price]]</f>
        <v>11520000</v>
      </c>
      <c r="L2917" s="5">
        <f>ROUND(tblSales[[#This Row],[DPP (excl. VAT)]]*VATEff,0)</f>
        <v>1267200</v>
      </c>
      <c r="M2917" s="5">
        <f>tblSales[[#This Row],[DPP (excl. VAT)]]+tblSales[[#This Row],[Output VAT]]</f>
        <v>12787200</v>
      </c>
      <c r="N2917" s="5">
        <f>tblSales[[#This Row],[Qty]]*_xlfn.XLOOKUP(tblSales[[#This Row],[Product Code]],tblProducts[Code],tblProducts[Unit Cost],0)</f>
        <v>6912000</v>
      </c>
      <c r="O2917" s="4" t="s">
        <v>4867</v>
      </c>
      <c r="P2917" s="4" t="s">
        <v>4862</v>
      </c>
      <c r="Q2917" s="1" t="str">
        <f>_xlfn.XLOOKUP(tblSales[[#This Row],[Channel Code]],tblChannels[Channel Code],tblChannels[Channel Name],"")</f>
        <v>Website &amp; Social Media</v>
      </c>
      <c r="R2917" s="1">
        <f>MONTH(tblSales[[#This Row],[Date]])</f>
        <v>6</v>
      </c>
    </row>
    <row r="2918" spans="2:18" x14ac:dyDescent="0.35">
      <c r="B2918" s="113">
        <v>46197</v>
      </c>
      <c r="C2918" s="4" t="s">
        <v>1961</v>
      </c>
      <c r="D2918" s="4" t="s">
        <v>4634</v>
      </c>
      <c r="E2918" s="1" t="str">
        <f>_xlfn.XLOOKUP(tblSales[[#This Row],[Customer ID]],tblCustomers[Customer ID],tblCustomers[Customer Name],"⚠ Unknown")</f>
        <v>PT Delta Inti Selaras</v>
      </c>
      <c r="F2918" s="4" t="s">
        <v>12</v>
      </c>
      <c r="G2918" s="1" t="str">
        <f>_xlfn.XLOOKUP(tblSales[[#This Row],[Product Code]],tblProducts[Code],tblProducts[Product / Service Name],"⚠ Unknown")</f>
        <v>Bomber Jacket</v>
      </c>
      <c r="H2918" s="1" t="str">
        <f>_xlfn.XLOOKUP(tblSales[[#This Row],[Product Code]],tblProducts[Code],tblProducts[Category],"")</f>
        <v>Apparel &amp; Footwear</v>
      </c>
      <c r="I2918" s="4">
        <v>8</v>
      </c>
      <c r="J2918" s="5">
        <f>_xlfn.XLOOKUP(tblSales[[#This Row],[Product Code]],tblProducts[Code],tblProducts[Selling Price (excl. VAT)],0)</f>
        <v>350000</v>
      </c>
      <c r="K2918" s="5">
        <f>tblSales[[#This Row],[Qty]]*tblSales[[#This Row],[Unit Price]]</f>
        <v>2800000</v>
      </c>
      <c r="L2918" s="5">
        <f>ROUND(tblSales[[#This Row],[DPP (excl. VAT)]]*VATEff,0)</f>
        <v>308000</v>
      </c>
      <c r="M2918" s="5">
        <f>tblSales[[#This Row],[DPP (excl. VAT)]]+tblSales[[#This Row],[Output VAT]]</f>
        <v>3108000</v>
      </c>
      <c r="N2918" s="5">
        <f>tblSales[[#This Row],[Qty]]*_xlfn.XLOOKUP(tblSales[[#This Row],[Product Code]],tblProducts[Code],tblProducts[Unit Cost],0)</f>
        <v>1680000</v>
      </c>
      <c r="O2918" s="4" t="s">
        <v>4867</v>
      </c>
      <c r="P2918" s="4" t="s">
        <v>4862</v>
      </c>
      <c r="Q2918" s="1" t="str">
        <f>_xlfn.XLOOKUP(tblSales[[#This Row],[Channel Code]],tblChannels[Channel Code],tblChannels[Channel Name],"")</f>
        <v>Website &amp; Social Media</v>
      </c>
      <c r="R2918" s="1">
        <f>MONTH(tblSales[[#This Row],[Date]])</f>
        <v>6</v>
      </c>
    </row>
    <row r="2919" spans="2:18" x14ac:dyDescent="0.35">
      <c r="B2919" s="113">
        <v>46197</v>
      </c>
      <c r="C2919" s="4" t="s">
        <v>1961</v>
      </c>
      <c r="D2919" s="4" t="s">
        <v>4634</v>
      </c>
      <c r="E2919" s="1" t="str">
        <f>_xlfn.XLOOKUP(tblSales[[#This Row],[Customer ID]],tblCustomers[Customer ID],tblCustomers[Customer Name],"⚠ Unknown")</f>
        <v>PT Delta Inti Selaras</v>
      </c>
      <c r="F2919" s="4" t="s">
        <v>6</v>
      </c>
      <c r="G2919" s="1" t="str">
        <f>_xlfn.XLOOKUP(tblSales[[#This Row],[Product Code]],tblProducts[Code],tblProducts[Product / Service Name],"⚠ Unknown")</f>
        <v>Socks &amp; Accessories</v>
      </c>
      <c r="H2919" s="1" t="str">
        <f>_xlfn.XLOOKUP(tblSales[[#This Row],[Product Code]],tblProducts[Code],tblProducts[Category],"")</f>
        <v>Accessories &amp; Basics</v>
      </c>
      <c r="I2919" s="4">
        <v>96</v>
      </c>
      <c r="J2919" s="5">
        <f>_xlfn.XLOOKUP(tblSales[[#This Row],[Product Code]],tblProducts[Code],tblProducts[Selling Price (excl. VAT)],0)</f>
        <v>45000</v>
      </c>
      <c r="K2919" s="5">
        <f>tblSales[[#This Row],[Qty]]*tblSales[[#This Row],[Unit Price]]</f>
        <v>4320000</v>
      </c>
      <c r="L2919" s="5">
        <f>ROUND(tblSales[[#This Row],[DPP (excl. VAT)]]*VATEff,0)</f>
        <v>475200</v>
      </c>
      <c r="M2919" s="5">
        <f>tblSales[[#This Row],[DPP (excl. VAT)]]+tblSales[[#This Row],[Output VAT]]</f>
        <v>4795200</v>
      </c>
      <c r="N2919" s="5">
        <f>tblSales[[#This Row],[Qty]]*_xlfn.XLOOKUP(tblSales[[#This Row],[Product Code]],tblProducts[Code],tblProducts[Unit Cost],0)</f>
        <v>2304000</v>
      </c>
      <c r="O2919" s="4" t="s">
        <v>4867</v>
      </c>
      <c r="P2919" s="4" t="s">
        <v>4862</v>
      </c>
      <c r="Q2919" s="1" t="str">
        <f>_xlfn.XLOOKUP(tblSales[[#This Row],[Channel Code]],tblChannels[Channel Code],tblChannels[Channel Name],"")</f>
        <v>Website &amp; Social Media</v>
      </c>
      <c r="R2919" s="1">
        <f>MONTH(tblSales[[#This Row],[Date]])</f>
        <v>6</v>
      </c>
    </row>
    <row r="2920" spans="2:18" x14ac:dyDescent="0.35">
      <c r="B2920" s="113">
        <v>46197</v>
      </c>
      <c r="C2920" s="4" t="s">
        <v>1962</v>
      </c>
      <c r="D2920" s="4" t="s">
        <v>4627</v>
      </c>
      <c r="E2920" s="1" t="str">
        <f>_xlfn.XLOOKUP(tblSales[[#This Row],[Customer ID]],tblCustomers[Customer ID],tblCustomers[Customer Name],"⚠ Unknown")</f>
        <v>PT Kencana Wira Usaha</v>
      </c>
      <c r="F2920" s="4" t="s">
        <v>6</v>
      </c>
      <c r="G2920" s="1" t="str">
        <f>_xlfn.XLOOKUP(tblSales[[#This Row],[Product Code]],tblProducts[Code],tblProducts[Product / Service Name],"⚠ Unknown")</f>
        <v>Socks &amp; Accessories</v>
      </c>
      <c r="H2920" s="1" t="str">
        <f>_xlfn.XLOOKUP(tblSales[[#This Row],[Product Code]],tblProducts[Code],tblProducts[Category],"")</f>
        <v>Accessories &amp; Basics</v>
      </c>
      <c r="I2920" s="4">
        <v>48</v>
      </c>
      <c r="J2920" s="5">
        <f>_xlfn.XLOOKUP(tblSales[[#This Row],[Product Code]],tblProducts[Code],tblProducts[Selling Price (excl. VAT)],0)</f>
        <v>45000</v>
      </c>
      <c r="K2920" s="5">
        <f>tblSales[[#This Row],[Qty]]*tblSales[[#This Row],[Unit Price]]</f>
        <v>2160000</v>
      </c>
      <c r="L2920" s="5">
        <f>ROUND(tblSales[[#This Row],[DPP (excl. VAT)]]*VATEff,0)</f>
        <v>237600</v>
      </c>
      <c r="M2920" s="5">
        <f>tblSales[[#This Row],[DPP (excl. VAT)]]+tblSales[[#This Row],[Output VAT]]</f>
        <v>2397600</v>
      </c>
      <c r="N2920" s="5">
        <f>tblSales[[#This Row],[Qty]]*_xlfn.XLOOKUP(tblSales[[#This Row],[Product Code]],tblProducts[Code],tblProducts[Unit Cost],0)</f>
        <v>1152000</v>
      </c>
      <c r="O2920" s="4" t="s">
        <v>4867</v>
      </c>
      <c r="P2920" s="4" t="s">
        <v>4860</v>
      </c>
      <c r="Q2920" s="1" t="str">
        <f>_xlfn.XLOOKUP(tblSales[[#This Row],[Channel Code]],tblChannels[Channel Code],tblChannels[Channel Name],"")</f>
        <v>In-store</v>
      </c>
      <c r="R2920" s="1">
        <f>MONTH(tblSales[[#This Row],[Date]])</f>
        <v>6</v>
      </c>
    </row>
    <row r="2921" spans="2:18" x14ac:dyDescent="0.35">
      <c r="B2921" s="113">
        <v>46197</v>
      </c>
      <c r="C2921" s="4" t="s">
        <v>1963</v>
      </c>
      <c r="D2921" s="4" t="s">
        <v>4568</v>
      </c>
      <c r="E2921" s="1" t="str">
        <f>_xlfn.XLOOKUP(tblSales[[#This Row],[Customer ID]],tblCustomers[Customer ID],tblCustomers[Customer Name],"⚠ Unknown")</f>
        <v>Walk-in Customer</v>
      </c>
      <c r="F2921" s="4" t="s">
        <v>13</v>
      </c>
      <c r="G2921" s="1" t="str">
        <f>_xlfn.XLOOKUP(tblSales[[#This Row],[Product Code]],tblProducts[Code],tblProducts[Product / Service Name],"⚠ Unknown")</f>
        <v>Backpack</v>
      </c>
      <c r="H2921" s="1" t="str">
        <f>_xlfn.XLOOKUP(tblSales[[#This Row],[Product Code]],tblProducts[Code],tblProducts[Category],"")</f>
        <v>Bags &amp; Gadgets</v>
      </c>
      <c r="I2921" s="4">
        <v>3</v>
      </c>
      <c r="J2921" s="5">
        <f>_xlfn.XLOOKUP(tblSales[[#This Row],[Product Code]],tblProducts[Code],tblProducts[Selling Price (excl. VAT)],0)</f>
        <v>500000</v>
      </c>
      <c r="K2921" s="5">
        <f>tblSales[[#This Row],[Qty]]*tblSales[[#This Row],[Unit Price]]</f>
        <v>1500000</v>
      </c>
      <c r="L2921" s="5">
        <f>ROUND(tblSales[[#This Row],[DPP (excl. VAT)]]*VATEff,0)</f>
        <v>165000</v>
      </c>
      <c r="M2921" s="5">
        <f>tblSales[[#This Row],[DPP (excl. VAT)]]+tblSales[[#This Row],[Output VAT]]</f>
        <v>1665000</v>
      </c>
      <c r="N2921" s="5">
        <f>tblSales[[#This Row],[Qty]]*_xlfn.XLOOKUP(tblSales[[#This Row],[Product Code]],tblProducts[Code],tblProducts[Unit Cost],0)</f>
        <v>870000</v>
      </c>
      <c r="O2921" s="4" t="s">
        <v>4865</v>
      </c>
      <c r="P2921" s="4" t="s">
        <v>4860</v>
      </c>
      <c r="Q2921" s="1" t="str">
        <f>_xlfn.XLOOKUP(tblSales[[#This Row],[Channel Code]],tblChannels[Channel Code],tblChannels[Channel Name],"")</f>
        <v>In-store</v>
      </c>
      <c r="R2921" s="1">
        <f>MONTH(tblSales[[#This Row],[Date]])</f>
        <v>6</v>
      </c>
    </row>
    <row r="2922" spans="2:18" x14ac:dyDescent="0.35">
      <c r="B2922" s="113">
        <v>46197</v>
      </c>
      <c r="C2922" s="4" t="s">
        <v>1964</v>
      </c>
      <c r="D2922" s="4" t="s">
        <v>4568</v>
      </c>
      <c r="E2922" s="1" t="str">
        <f>_xlfn.XLOOKUP(tblSales[[#This Row],[Customer ID]],tblCustomers[Customer ID],tblCustomers[Customer Name],"⚠ Unknown")</f>
        <v>Walk-in Customer</v>
      </c>
      <c r="F2922" s="4" t="s">
        <v>8</v>
      </c>
      <c r="G2922" s="1" t="str">
        <f>_xlfn.XLOOKUP(tblSales[[#This Row],[Product Code]],tblProducts[Code],tblProducts[Product / Service Name],"⚠ Unknown")</f>
        <v>Casual Shorts</v>
      </c>
      <c r="H2922" s="1" t="str">
        <f>_xlfn.XLOOKUP(tblSales[[#This Row],[Product Code]],tblProducts[Code],tblProducts[Category],"")</f>
        <v>Accessories &amp; Basics</v>
      </c>
      <c r="I2922" s="4">
        <v>5</v>
      </c>
      <c r="J2922" s="5">
        <f>_xlfn.XLOOKUP(tblSales[[#This Row],[Product Code]],tblProducts[Code],tblProducts[Selling Price (excl. VAT)],0)</f>
        <v>85000</v>
      </c>
      <c r="K2922" s="5">
        <f>tblSales[[#This Row],[Qty]]*tblSales[[#This Row],[Unit Price]]</f>
        <v>425000</v>
      </c>
      <c r="L2922" s="5">
        <f>ROUND(tblSales[[#This Row],[DPP (excl. VAT)]]*VATEff,0)</f>
        <v>46750</v>
      </c>
      <c r="M2922" s="5">
        <f>tblSales[[#This Row],[DPP (excl. VAT)]]+tblSales[[#This Row],[Output VAT]]</f>
        <v>471750</v>
      </c>
      <c r="N2922" s="5">
        <f>tblSales[[#This Row],[Qty]]*_xlfn.XLOOKUP(tblSales[[#This Row],[Product Code]],tblProducts[Code],tblProducts[Unit Cost],0)</f>
        <v>250000</v>
      </c>
      <c r="O2922" s="4" t="s">
        <v>4865</v>
      </c>
      <c r="P2922" s="4" t="s">
        <v>4860</v>
      </c>
      <c r="Q2922" s="1" t="str">
        <f>_xlfn.XLOOKUP(tblSales[[#This Row],[Channel Code]],tblChannels[Channel Code],tblChannels[Channel Name],"")</f>
        <v>In-store</v>
      </c>
      <c r="R2922" s="1">
        <f>MONTH(tblSales[[#This Row],[Date]])</f>
        <v>6</v>
      </c>
    </row>
    <row r="2923" spans="2:18" x14ac:dyDescent="0.35">
      <c r="B2923" s="113">
        <v>46197</v>
      </c>
      <c r="C2923" s="4" t="s">
        <v>1965</v>
      </c>
      <c r="D2923" s="4" t="s">
        <v>4568</v>
      </c>
      <c r="E2923" s="1" t="str">
        <f>_xlfn.XLOOKUP(tblSales[[#This Row],[Customer ID]],tblCustomers[Customer ID],tblCustomers[Customer Name],"⚠ Unknown")</f>
        <v>Walk-in Customer</v>
      </c>
      <c r="F2923" s="4" t="s">
        <v>6</v>
      </c>
      <c r="G2923" s="1" t="str">
        <f>_xlfn.XLOOKUP(tblSales[[#This Row],[Product Code]],tblProducts[Code],tblProducts[Product / Service Name],"⚠ Unknown")</f>
        <v>Socks &amp; Accessories</v>
      </c>
      <c r="H2923" s="1" t="str">
        <f>_xlfn.XLOOKUP(tblSales[[#This Row],[Product Code]],tblProducts[Code],tblProducts[Category],"")</f>
        <v>Accessories &amp; Basics</v>
      </c>
      <c r="I2923" s="4">
        <v>8</v>
      </c>
      <c r="J2923" s="5">
        <f>_xlfn.XLOOKUP(tblSales[[#This Row],[Product Code]],tblProducts[Code],tblProducts[Selling Price (excl. VAT)],0)</f>
        <v>45000</v>
      </c>
      <c r="K2923" s="5">
        <f>tblSales[[#This Row],[Qty]]*tblSales[[#This Row],[Unit Price]]</f>
        <v>360000</v>
      </c>
      <c r="L2923" s="5">
        <f>ROUND(tblSales[[#This Row],[DPP (excl. VAT)]]*VATEff,0)</f>
        <v>39600</v>
      </c>
      <c r="M2923" s="5">
        <f>tblSales[[#This Row],[DPP (excl. VAT)]]+tblSales[[#This Row],[Output VAT]]</f>
        <v>399600</v>
      </c>
      <c r="N2923" s="5">
        <f>tblSales[[#This Row],[Qty]]*_xlfn.XLOOKUP(tblSales[[#This Row],[Product Code]],tblProducts[Code],tblProducts[Unit Cost],0)</f>
        <v>192000</v>
      </c>
      <c r="O2923" s="4" t="s">
        <v>4865</v>
      </c>
      <c r="P2923" s="4" t="s">
        <v>4860</v>
      </c>
      <c r="Q2923" s="1" t="str">
        <f>_xlfn.XLOOKUP(tblSales[[#This Row],[Channel Code]],tblChannels[Channel Code],tblChannels[Channel Name],"")</f>
        <v>In-store</v>
      </c>
      <c r="R2923" s="1">
        <f>MONTH(tblSales[[#This Row],[Date]])</f>
        <v>6</v>
      </c>
    </row>
    <row r="2924" spans="2:18" x14ac:dyDescent="0.35">
      <c r="B2924" s="113">
        <v>46197</v>
      </c>
      <c r="C2924" s="4" t="s">
        <v>1966</v>
      </c>
      <c r="D2924" s="4" t="s">
        <v>4568</v>
      </c>
      <c r="E2924" s="1" t="str">
        <f>_xlfn.XLOOKUP(tblSales[[#This Row],[Customer ID]],tblCustomers[Customer ID],tblCustomers[Customer Name],"⚠ Unknown")</f>
        <v>Walk-in Customer</v>
      </c>
      <c r="F2924" s="4" t="s">
        <v>6</v>
      </c>
      <c r="G2924" s="1" t="str">
        <f>_xlfn.XLOOKUP(tblSales[[#This Row],[Product Code]],tblProducts[Code],tblProducts[Product / Service Name],"⚠ Unknown")</f>
        <v>Socks &amp; Accessories</v>
      </c>
      <c r="H2924" s="1" t="str">
        <f>_xlfn.XLOOKUP(tblSales[[#This Row],[Product Code]],tblProducts[Code],tblProducts[Category],"")</f>
        <v>Accessories &amp; Basics</v>
      </c>
      <c r="I2924" s="4">
        <v>8</v>
      </c>
      <c r="J2924" s="5">
        <f>_xlfn.XLOOKUP(tblSales[[#This Row],[Product Code]],tblProducts[Code],tblProducts[Selling Price (excl. VAT)],0)</f>
        <v>45000</v>
      </c>
      <c r="K2924" s="5">
        <f>tblSales[[#This Row],[Qty]]*tblSales[[#This Row],[Unit Price]]</f>
        <v>360000</v>
      </c>
      <c r="L2924" s="5">
        <f>ROUND(tblSales[[#This Row],[DPP (excl. VAT)]]*VATEff,0)</f>
        <v>39600</v>
      </c>
      <c r="M2924" s="5">
        <f>tblSales[[#This Row],[DPP (excl. VAT)]]+tblSales[[#This Row],[Output VAT]]</f>
        <v>399600</v>
      </c>
      <c r="N2924" s="5">
        <f>tblSales[[#This Row],[Qty]]*_xlfn.XLOOKUP(tblSales[[#This Row],[Product Code]],tblProducts[Code],tblProducts[Unit Cost],0)</f>
        <v>192000</v>
      </c>
      <c r="O2924" s="4" t="s">
        <v>4866</v>
      </c>
      <c r="P2924" s="4" t="s">
        <v>4861</v>
      </c>
      <c r="Q2924" s="1" t="str">
        <f>_xlfn.XLOOKUP(tblSales[[#This Row],[Channel Code]],tblChannels[Channel Code],tblChannels[Channel Name],"")</f>
        <v>Marketplace</v>
      </c>
      <c r="R2924" s="1">
        <f>MONTH(tblSales[[#This Row],[Date]])</f>
        <v>6</v>
      </c>
    </row>
    <row r="2925" spans="2:18" x14ac:dyDescent="0.35">
      <c r="B2925" s="113">
        <v>46197</v>
      </c>
      <c r="C2925" s="4" t="s">
        <v>1966</v>
      </c>
      <c r="D2925" s="4" t="s">
        <v>4568</v>
      </c>
      <c r="E2925" s="1" t="str">
        <f>_xlfn.XLOOKUP(tblSales[[#This Row],[Customer ID]],tblCustomers[Customer ID],tblCustomers[Customer Name],"⚠ Unknown")</f>
        <v>Walk-in Customer</v>
      </c>
      <c r="F2925" s="4" t="s">
        <v>12</v>
      </c>
      <c r="G2925" s="1" t="str">
        <f>_xlfn.XLOOKUP(tblSales[[#This Row],[Product Code]],tblProducts[Code],tblProducts[Product / Service Name],"⚠ Unknown")</f>
        <v>Bomber Jacket</v>
      </c>
      <c r="H2925" s="1" t="str">
        <f>_xlfn.XLOOKUP(tblSales[[#This Row],[Product Code]],tblProducts[Code],tblProducts[Category],"")</f>
        <v>Apparel &amp; Footwear</v>
      </c>
      <c r="I2925" s="4">
        <v>2</v>
      </c>
      <c r="J2925" s="5">
        <f>_xlfn.XLOOKUP(tblSales[[#This Row],[Product Code]],tblProducts[Code],tblProducts[Selling Price (excl. VAT)],0)</f>
        <v>350000</v>
      </c>
      <c r="K2925" s="5">
        <f>tblSales[[#This Row],[Qty]]*tblSales[[#This Row],[Unit Price]]</f>
        <v>700000</v>
      </c>
      <c r="L2925" s="5">
        <f>ROUND(tblSales[[#This Row],[DPP (excl. VAT)]]*VATEff,0)</f>
        <v>77000</v>
      </c>
      <c r="M2925" s="5">
        <f>tblSales[[#This Row],[DPP (excl. VAT)]]+tblSales[[#This Row],[Output VAT]]</f>
        <v>777000</v>
      </c>
      <c r="N2925" s="5">
        <f>tblSales[[#This Row],[Qty]]*_xlfn.XLOOKUP(tblSales[[#This Row],[Product Code]],tblProducts[Code],tblProducts[Unit Cost],0)</f>
        <v>420000</v>
      </c>
      <c r="O2925" s="4" t="s">
        <v>4866</v>
      </c>
      <c r="P2925" s="4" t="s">
        <v>4861</v>
      </c>
      <c r="Q2925" s="1" t="str">
        <f>_xlfn.XLOOKUP(tblSales[[#This Row],[Channel Code]],tblChannels[Channel Code],tblChannels[Channel Name],"")</f>
        <v>Marketplace</v>
      </c>
      <c r="R2925" s="1">
        <f>MONTH(tblSales[[#This Row],[Date]])</f>
        <v>6</v>
      </c>
    </row>
    <row r="2926" spans="2:18" x14ac:dyDescent="0.35">
      <c r="B2926" s="113">
        <v>46197</v>
      </c>
      <c r="C2926" s="4" t="s">
        <v>1967</v>
      </c>
      <c r="D2926" s="4" t="s">
        <v>4568</v>
      </c>
      <c r="E2926" s="1" t="str">
        <f>_xlfn.XLOOKUP(tblSales[[#This Row],[Customer ID]],tblCustomers[Customer ID],tblCustomers[Customer Name],"⚠ Unknown")</f>
        <v>Walk-in Customer</v>
      </c>
      <c r="F2926" s="4" t="s">
        <v>8</v>
      </c>
      <c r="G2926" s="1" t="str">
        <f>_xlfn.XLOOKUP(tblSales[[#This Row],[Product Code]],tblProducts[Code],tblProducts[Product / Service Name],"⚠ Unknown")</f>
        <v>Casual Shorts</v>
      </c>
      <c r="H2926" s="1" t="str">
        <f>_xlfn.XLOOKUP(tblSales[[#This Row],[Product Code]],tblProducts[Code],tblProducts[Category],"")</f>
        <v>Accessories &amp; Basics</v>
      </c>
      <c r="I2926" s="4">
        <v>5</v>
      </c>
      <c r="J2926" s="5">
        <f>_xlfn.XLOOKUP(tblSales[[#This Row],[Product Code]],tblProducts[Code],tblProducts[Selling Price (excl. VAT)],0)</f>
        <v>85000</v>
      </c>
      <c r="K2926" s="5">
        <f>tblSales[[#This Row],[Qty]]*tblSales[[#This Row],[Unit Price]]</f>
        <v>425000</v>
      </c>
      <c r="L2926" s="5">
        <f>ROUND(tblSales[[#This Row],[DPP (excl. VAT)]]*VATEff,0)</f>
        <v>46750</v>
      </c>
      <c r="M2926" s="5">
        <f>tblSales[[#This Row],[DPP (excl. VAT)]]+tblSales[[#This Row],[Output VAT]]</f>
        <v>471750</v>
      </c>
      <c r="N2926" s="5">
        <f>tblSales[[#This Row],[Qty]]*_xlfn.XLOOKUP(tblSales[[#This Row],[Product Code]],tblProducts[Code],tblProducts[Unit Cost],0)</f>
        <v>250000</v>
      </c>
      <c r="O2926" s="4" t="s">
        <v>4866</v>
      </c>
      <c r="P2926" s="4" t="s">
        <v>4862</v>
      </c>
      <c r="Q2926" s="1" t="str">
        <f>_xlfn.XLOOKUP(tblSales[[#This Row],[Channel Code]],tblChannels[Channel Code],tblChannels[Channel Name],"")</f>
        <v>Website &amp; Social Media</v>
      </c>
      <c r="R2926" s="1">
        <f>MONTH(tblSales[[#This Row],[Date]])</f>
        <v>6</v>
      </c>
    </row>
    <row r="2927" spans="2:18" x14ac:dyDescent="0.35">
      <c r="B2927" s="113">
        <v>46197</v>
      </c>
      <c r="C2927" s="4" t="s">
        <v>1967</v>
      </c>
      <c r="D2927" s="4" t="s">
        <v>4568</v>
      </c>
      <c r="E2927" s="1" t="str">
        <f>_xlfn.XLOOKUP(tblSales[[#This Row],[Customer ID]],tblCustomers[Customer ID],tblCustomers[Customer Name],"⚠ Unknown")</f>
        <v>Walk-in Customer</v>
      </c>
      <c r="F2927" s="4" t="s">
        <v>7</v>
      </c>
      <c r="G2927" s="1" t="str">
        <f>_xlfn.XLOOKUP(tblSales[[#This Row],[Product Code]],tblProducts[Code],tblProducts[Product / Service Name],"⚠ Unknown")</f>
        <v>Premium Basic T-shirt</v>
      </c>
      <c r="H2927" s="1" t="str">
        <f>_xlfn.XLOOKUP(tblSales[[#This Row],[Product Code]],tblProducts[Code],tblProducts[Category],"")</f>
        <v>Accessories &amp; Basics</v>
      </c>
      <c r="I2927" s="4">
        <v>12</v>
      </c>
      <c r="J2927" s="5">
        <f>_xlfn.XLOOKUP(tblSales[[#This Row],[Product Code]],tblProducts[Code],tblProducts[Selling Price (excl. VAT)],0)</f>
        <v>65000</v>
      </c>
      <c r="K2927" s="5">
        <f>tblSales[[#This Row],[Qty]]*tblSales[[#This Row],[Unit Price]]</f>
        <v>780000</v>
      </c>
      <c r="L2927" s="5">
        <f>ROUND(tblSales[[#This Row],[DPP (excl. VAT)]]*VATEff,0)</f>
        <v>85800</v>
      </c>
      <c r="M2927" s="5">
        <f>tblSales[[#This Row],[DPP (excl. VAT)]]+tblSales[[#This Row],[Output VAT]]</f>
        <v>865800</v>
      </c>
      <c r="N2927" s="5">
        <f>tblSales[[#This Row],[Qty]]*_xlfn.XLOOKUP(tblSales[[#This Row],[Product Code]],tblProducts[Code],tblProducts[Unit Cost],0)</f>
        <v>444000</v>
      </c>
      <c r="O2927" s="4" t="s">
        <v>4866</v>
      </c>
      <c r="P2927" s="4" t="s">
        <v>4862</v>
      </c>
      <c r="Q2927" s="1" t="str">
        <f>_xlfn.XLOOKUP(tblSales[[#This Row],[Channel Code]],tblChannels[Channel Code],tblChannels[Channel Name],"")</f>
        <v>Website &amp; Social Media</v>
      </c>
      <c r="R2927" s="1">
        <f>MONTH(tblSales[[#This Row],[Date]])</f>
        <v>6</v>
      </c>
    </row>
    <row r="2928" spans="2:18" x14ac:dyDescent="0.35">
      <c r="B2928" s="113">
        <v>46198</v>
      </c>
      <c r="C2928" s="4" t="s">
        <v>1968</v>
      </c>
      <c r="D2928" s="4" t="s">
        <v>4568</v>
      </c>
      <c r="E2928" s="1" t="str">
        <f>_xlfn.XLOOKUP(tblSales[[#This Row],[Customer ID]],tblCustomers[Customer ID],tblCustomers[Customer Name],"⚠ Unknown")</f>
        <v>Walk-in Customer</v>
      </c>
      <c r="F2928" s="4" t="s">
        <v>9</v>
      </c>
      <c r="G2928" s="1" t="str">
        <f>_xlfn.XLOOKUP(tblSales[[#This Row],[Product Code]],tblProducts[Code],tblProducts[Product / Service Name],"⚠ Unknown")</f>
        <v>Casual Shirt</v>
      </c>
      <c r="H2928" s="1" t="str">
        <f>_xlfn.XLOOKUP(tblSales[[#This Row],[Product Code]],tblProducts[Code],tblProducts[Category],"")</f>
        <v>Apparel &amp; Footwear</v>
      </c>
      <c r="I2928" s="4">
        <v>1</v>
      </c>
      <c r="J2928" s="5">
        <f>_xlfn.XLOOKUP(tblSales[[#This Row],[Product Code]],tblProducts[Code],tblProducts[Selling Price (excl. VAT)],0)</f>
        <v>120000</v>
      </c>
      <c r="K2928" s="5">
        <f>tblSales[[#This Row],[Qty]]*tblSales[[#This Row],[Unit Price]]</f>
        <v>120000</v>
      </c>
      <c r="L2928" s="5">
        <f>ROUND(tblSales[[#This Row],[DPP (excl. VAT)]]*VATEff,0)</f>
        <v>13200</v>
      </c>
      <c r="M2928" s="5">
        <f>tblSales[[#This Row],[DPP (excl. VAT)]]+tblSales[[#This Row],[Output VAT]]</f>
        <v>133200</v>
      </c>
      <c r="N2928" s="5">
        <f>tblSales[[#This Row],[Qty]]*_xlfn.XLOOKUP(tblSales[[#This Row],[Product Code]],tblProducts[Code],tblProducts[Unit Cost],0)</f>
        <v>72000</v>
      </c>
      <c r="O2928" s="4" t="s">
        <v>4865</v>
      </c>
      <c r="P2928" s="4" t="s">
        <v>4860</v>
      </c>
      <c r="Q2928" s="1" t="str">
        <f>_xlfn.XLOOKUP(tblSales[[#This Row],[Channel Code]],tblChannels[Channel Code],tblChannels[Channel Name],"")</f>
        <v>In-store</v>
      </c>
      <c r="R2928" s="1">
        <f>MONTH(tblSales[[#This Row],[Date]])</f>
        <v>6</v>
      </c>
    </row>
    <row r="2929" spans="2:18" x14ac:dyDescent="0.35">
      <c r="B2929" s="113">
        <v>46198</v>
      </c>
      <c r="C2929" s="4" t="s">
        <v>1969</v>
      </c>
      <c r="D2929" s="4" t="s">
        <v>4568</v>
      </c>
      <c r="E2929" s="1" t="str">
        <f>_xlfn.XLOOKUP(tblSales[[#This Row],[Customer ID]],tblCustomers[Customer ID],tblCustomers[Customer Name],"⚠ Unknown")</f>
        <v>Walk-in Customer</v>
      </c>
      <c r="F2929" s="4" t="s">
        <v>11</v>
      </c>
      <c r="G2929" s="1" t="str">
        <f>_xlfn.XLOOKUP(tblSales[[#This Row],[Product Code]],tblProducts[Code],tblProducts[Product / Service Name],"⚠ Unknown")</f>
        <v>Sneakers</v>
      </c>
      <c r="H2929" s="1" t="str">
        <f>_xlfn.XLOOKUP(tblSales[[#This Row],[Product Code]],tblProducts[Code],tblProducts[Category],"")</f>
        <v>Apparel &amp; Footwear</v>
      </c>
      <c r="I2929" s="4">
        <v>5</v>
      </c>
      <c r="J2929" s="5">
        <f>_xlfn.XLOOKUP(tblSales[[#This Row],[Product Code]],tblProducts[Code],tblProducts[Selling Price (excl. VAT)],0)</f>
        <v>250000</v>
      </c>
      <c r="K2929" s="5">
        <f>tblSales[[#This Row],[Qty]]*tblSales[[#This Row],[Unit Price]]</f>
        <v>1250000</v>
      </c>
      <c r="L2929" s="5">
        <f>ROUND(tblSales[[#This Row],[DPP (excl. VAT)]]*VATEff,0)</f>
        <v>137500</v>
      </c>
      <c r="M2929" s="5">
        <f>tblSales[[#This Row],[DPP (excl. VAT)]]+tblSales[[#This Row],[Output VAT]]</f>
        <v>1387500</v>
      </c>
      <c r="N2929" s="5">
        <f>tblSales[[#This Row],[Qty]]*_xlfn.XLOOKUP(tblSales[[#This Row],[Product Code]],tblProducts[Code],tblProducts[Unit Cost],0)</f>
        <v>775000</v>
      </c>
      <c r="O2929" s="4" t="s">
        <v>4866</v>
      </c>
      <c r="P2929" s="4" t="s">
        <v>4860</v>
      </c>
      <c r="Q2929" s="1" t="str">
        <f>_xlfn.XLOOKUP(tblSales[[#This Row],[Channel Code]],tblChannels[Channel Code],tblChannels[Channel Name],"")</f>
        <v>In-store</v>
      </c>
      <c r="R2929" s="1">
        <f>MONTH(tblSales[[#This Row],[Date]])</f>
        <v>6</v>
      </c>
    </row>
    <row r="2930" spans="2:18" x14ac:dyDescent="0.35">
      <c r="B2930" s="113">
        <v>46198</v>
      </c>
      <c r="C2930" s="4" t="s">
        <v>1969</v>
      </c>
      <c r="D2930" s="4" t="s">
        <v>4568</v>
      </c>
      <c r="E2930" s="1" t="str">
        <f>_xlfn.XLOOKUP(tblSales[[#This Row],[Customer ID]],tblCustomers[Customer ID],tblCustomers[Customer Name],"⚠ Unknown")</f>
        <v>Walk-in Customer</v>
      </c>
      <c r="F2930" s="4" t="s">
        <v>14</v>
      </c>
      <c r="G2930" s="1" t="str">
        <f>_xlfn.XLOOKUP(tblSales[[#This Row],[Product Code]],tblProducts[Code],tblProducts[Product / Service Name],"⚠ Unknown")</f>
        <v>Smartwatch</v>
      </c>
      <c r="H2930" s="1" t="str">
        <f>_xlfn.XLOOKUP(tblSales[[#This Row],[Product Code]],tblProducts[Code],tblProducts[Category],"")</f>
        <v>Bags &amp; Gadgets</v>
      </c>
      <c r="I2930" s="4">
        <v>1</v>
      </c>
      <c r="J2930" s="5">
        <f>_xlfn.XLOOKUP(tblSales[[#This Row],[Product Code]],tblProducts[Code],tblProducts[Selling Price (excl. VAT)],0)</f>
        <v>850000</v>
      </c>
      <c r="K2930" s="5">
        <f>tblSales[[#This Row],[Qty]]*tblSales[[#This Row],[Unit Price]]</f>
        <v>850000</v>
      </c>
      <c r="L2930" s="5">
        <f>ROUND(tblSales[[#This Row],[DPP (excl. VAT)]]*VATEff,0)</f>
        <v>93500</v>
      </c>
      <c r="M2930" s="5">
        <f>tblSales[[#This Row],[DPP (excl. VAT)]]+tblSales[[#This Row],[Output VAT]]</f>
        <v>943500</v>
      </c>
      <c r="N2930" s="5">
        <f>tblSales[[#This Row],[Qty]]*_xlfn.XLOOKUP(tblSales[[#This Row],[Product Code]],tblProducts[Code],tblProducts[Unit Cost],0)</f>
        <v>560000</v>
      </c>
      <c r="O2930" s="4" t="s">
        <v>4866</v>
      </c>
      <c r="P2930" s="4" t="s">
        <v>4860</v>
      </c>
      <c r="Q2930" s="1" t="str">
        <f>_xlfn.XLOOKUP(tblSales[[#This Row],[Channel Code]],tblChannels[Channel Code],tblChannels[Channel Name],"")</f>
        <v>In-store</v>
      </c>
      <c r="R2930" s="1">
        <f>MONTH(tblSales[[#This Row],[Date]])</f>
        <v>6</v>
      </c>
    </row>
    <row r="2931" spans="2:18" x14ac:dyDescent="0.35">
      <c r="B2931" s="113">
        <v>46198</v>
      </c>
      <c r="C2931" s="4" t="s">
        <v>1970</v>
      </c>
      <c r="D2931" s="4" t="s">
        <v>4585</v>
      </c>
      <c r="E2931" s="1" t="str">
        <f>_xlfn.XLOOKUP(tblSales[[#This Row],[Customer ID]],tblCustomers[Customer ID],tblCustomers[Customer Name],"⚠ Unknown")</f>
        <v>CV Mitra Karya Mandiri</v>
      </c>
      <c r="F2931" s="4" t="s">
        <v>6</v>
      </c>
      <c r="G2931" s="1" t="str">
        <f>_xlfn.XLOOKUP(tblSales[[#This Row],[Product Code]],tblProducts[Code],tblProducts[Product / Service Name],"⚠ Unknown")</f>
        <v>Socks &amp; Accessories</v>
      </c>
      <c r="H2931" s="1" t="str">
        <f>_xlfn.XLOOKUP(tblSales[[#This Row],[Product Code]],tblProducts[Code],tblProducts[Category],"")</f>
        <v>Accessories &amp; Basics</v>
      </c>
      <c r="I2931" s="4">
        <v>72</v>
      </c>
      <c r="J2931" s="5">
        <f>_xlfn.XLOOKUP(tblSales[[#This Row],[Product Code]],tblProducts[Code],tblProducts[Selling Price (excl. VAT)],0)</f>
        <v>45000</v>
      </c>
      <c r="K2931" s="5">
        <f>tblSales[[#This Row],[Qty]]*tblSales[[#This Row],[Unit Price]]</f>
        <v>3240000</v>
      </c>
      <c r="L2931" s="5">
        <f>ROUND(tblSales[[#This Row],[DPP (excl. VAT)]]*VATEff,0)</f>
        <v>356400</v>
      </c>
      <c r="M2931" s="5">
        <f>tblSales[[#This Row],[DPP (excl. VAT)]]+tblSales[[#This Row],[Output VAT]]</f>
        <v>3596400</v>
      </c>
      <c r="N2931" s="5">
        <f>tblSales[[#This Row],[Qty]]*_xlfn.XLOOKUP(tblSales[[#This Row],[Product Code]],tblProducts[Code],tblProducts[Unit Cost],0)</f>
        <v>1728000</v>
      </c>
      <c r="O2931" s="4" t="s">
        <v>4867</v>
      </c>
      <c r="P2931" s="4" t="s">
        <v>4860</v>
      </c>
      <c r="Q2931" s="1" t="str">
        <f>_xlfn.XLOOKUP(tblSales[[#This Row],[Channel Code]],tblChannels[Channel Code],tblChannels[Channel Name],"")</f>
        <v>In-store</v>
      </c>
      <c r="R2931" s="1">
        <f>MONTH(tblSales[[#This Row],[Date]])</f>
        <v>6</v>
      </c>
    </row>
    <row r="2932" spans="2:18" x14ac:dyDescent="0.35">
      <c r="B2932" s="113">
        <v>46198</v>
      </c>
      <c r="C2932" s="4" t="s">
        <v>1970</v>
      </c>
      <c r="D2932" s="4" t="s">
        <v>4585</v>
      </c>
      <c r="E2932" s="1" t="str">
        <f>_xlfn.XLOOKUP(tblSales[[#This Row],[Customer ID]],tblCustomers[Customer ID],tblCustomers[Customer Name],"⚠ Unknown")</f>
        <v>CV Mitra Karya Mandiri</v>
      </c>
      <c r="F2932" s="4" t="s">
        <v>8</v>
      </c>
      <c r="G2932" s="1" t="str">
        <f>_xlfn.XLOOKUP(tblSales[[#This Row],[Product Code]],tblProducts[Code],tblProducts[Product / Service Name],"⚠ Unknown")</f>
        <v>Casual Shorts</v>
      </c>
      <c r="H2932" s="1" t="str">
        <f>_xlfn.XLOOKUP(tblSales[[#This Row],[Product Code]],tblProducts[Code],tblProducts[Category],"")</f>
        <v>Accessories &amp; Basics</v>
      </c>
      <c r="I2932" s="4">
        <v>16</v>
      </c>
      <c r="J2932" s="5">
        <f>_xlfn.XLOOKUP(tblSales[[#This Row],[Product Code]],tblProducts[Code],tblProducts[Selling Price (excl. VAT)],0)</f>
        <v>85000</v>
      </c>
      <c r="K2932" s="5">
        <f>tblSales[[#This Row],[Qty]]*tblSales[[#This Row],[Unit Price]]</f>
        <v>1360000</v>
      </c>
      <c r="L2932" s="5">
        <f>ROUND(tblSales[[#This Row],[DPP (excl. VAT)]]*VATEff,0)</f>
        <v>149600</v>
      </c>
      <c r="M2932" s="5">
        <f>tblSales[[#This Row],[DPP (excl. VAT)]]+tblSales[[#This Row],[Output VAT]]</f>
        <v>1509600</v>
      </c>
      <c r="N2932" s="5">
        <f>tblSales[[#This Row],[Qty]]*_xlfn.XLOOKUP(tblSales[[#This Row],[Product Code]],tblProducts[Code],tblProducts[Unit Cost],0)</f>
        <v>800000</v>
      </c>
      <c r="O2932" s="4" t="s">
        <v>4867</v>
      </c>
      <c r="P2932" s="4" t="s">
        <v>4860</v>
      </c>
      <c r="Q2932" s="1" t="str">
        <f>_xlfn.XLOOKUP(tblSales[[#This Row],[Channel Code]],tblChannels[Channel Code],tblChannels[Channel Name],"")</f>
        <v>In-store</v>
      </c>
      <c r="R2932" s="1">
        <f>MONTH(tblSales[[#This Row],[Date]])</f>
        <v>6</v>
      </c>
    </row>
    <row r="2933" spans="2:18" x14ac:dyDescent="0.35">
      <c r="B2933" s="113">
        <v>46198</v>
      </c>
      <c r="C2933" s="4" t="s">
        <v>1970</v>
      </c>
      <c r="D2933" s="4" t="s">
        <v>4585</v>
      </c>
      <c r="E2933" s="1" t="str">
        <f>_xlfn.XLOOKUP(tblSales[[#This Row],[Customer ID]],tblCustomers[Customer ID],tblCustomers[Customer Name],"⚠ Unknown")</f>
        <v>CV Mitra Karya Mandiri</v>
      </c>
      <c r="F2933" s="4" t="s">
        <v>7</v>
      </c>
      <c r="G2933" s="1" t="str">
        <f>_xlfn.XLOOKUP(tblSales[[#This Row],[Product Code]],tblProducts[Code],tblProducts[Product / Service Name],"⚠ Unknown")</f>
        <v>Premium Basic T-shirt</v>
      </c>
      <c r="H2933" s="1" t="str">
        <f>_xlfn.XLOOKUP(tblSales[[#This Row],[Product Code]],tblProducts[Code],tblProducts[Category],"")</f>
        <v>Accessories &amp; Basics</v>
      </c>
      <c r="I2933" s="4">
        <v>96</v>
      </c>
      <c r="J2933" s="5">
        <f>_xlfn.XLOOKUP(tblSales[[#This Row],[Product Code]],tblProducts[Code],tblProducts[Selling Price (excl. VAT)],0)</f>
        <v>65000</v>
      </c>
      <c r="K2933" s="5">
        <f>tblSales[[#This Row],[Qty]]*tblSales[[#This Row],[Unit Price]]</f>
        <v>6240000</v>
      </c>
      <c r="L2933" s="5">
        <f>ROUND(tblSales[[#This Row],[DPP (excl. VAT)]]*VATEff,0)</f>
        <v>686400</v>
      </c>
      <c r="M2933" s="5">
        <f>tblSales[[#This Row],[DPP (excl. VAT)]]+tblSales[[#This Row],[Output VAT]]</f>
        <v>6926400</v>
      </c>
      <c r="N2933" s="5">
        <f>tblSales[[#This Row],[Qty]]*_xlfn.XLOOKUP(tblSales[[#This Row],[Product Code]],tblProducts[Code],tblProducts[Unit Cost],0)</f>
        <v>3552000</v>
      </c>
      <c r="O2933" s="4" t="s">
        <v>4867</v>
      </c>
      <c r="P2933" s="4" t="s">
        <v>4860</v>
      </c>
      <c r="Q2933" s="1" t="str">
        <f>_xlfn.XLOOKUP(tblSales[[#This Row],[Channel Code]],tblChannels[Channel Code],tblChannels[Channel Name],"")</f>
        <v>In-store</v>
      </c>
      <c r="R2933" s="1">
        <f>MONTH(tblSales[[#This Row],[Date]])</f>
        <v>6</v>
      </c>
    </row>
    <row r="2934" spans="2:18" x14ac:dyDescent="0.35">
      <c r="B2934" s="113">
        <v>46198</v>
      </c>
      <c r="C2934" s="4" t="s">
        <v>1971</v>
      </c>
      <c r="D2934" s="4" t="s">
        <v>4568</v>
      </c>
      <c r="E2934" s="1" t="str">
        <f>_xlfn.XLOOKUP(tblSales[[#This Row],[Customer ID]],tblCustomers[Customer ID],tblCustomers[Customer Name],"⚠ Unknown")</f>
        <v>Walk-in Customer</v>
      </c>
      <c r="F2934" s="4" t="s">
        <v>11</v>
      </c>
      <c r="G2934" s="1" t="str">
        <f>_xlfn.XLOOKUP(tblSales[[#This Row],[Product Code]],tblProducts[Code],tblProducts[Product / Service Name],"⚠ Unknown")</f>
        <v>Sneakers</v>
      </c>
      <c r="H2934" s="1" t="str">
        <f>_xlfn.XLOOKUP(tblSales[[#This Row],[Product Code]],tblProducts[Code],tblProducts[Category],"")</f>
        <v>Apparel &amp; Footwear</v>
      </c>
      <c r="I2934" s="4">
        <v>4</v>
      </c>
      <c r="J2934" s="5">
        <f>_xlfn.XLOOKUP(tblSales[[#This Row],[Product Code]],tblProducts[Code],tblProducts[Selling Price (excl. VAT)],0)</f>
        <v>250000</v>
      </c>
      <c r="K2934" s="5">
        <f>tblSales[[#This Row],[Qty]]*tblSales[[#This Row],[Unit Price]]</f>
        <v>1000000</v>
      </c>
      <c r="L2934" s="5">
        <f>ROUND(tblSales[[#This Row],[DPP (excl. VAT)]]*VATEff,0)</f>
        <v>110000</v>
      </c>
      <c r="M2934" s="5">
        <f>tblSales[[#This Row],[DPP (excl. VAT)]]+tblSales[[#This Row],[Output VAT]]</f>
        <v>1110000</v>
      </c>
      <c r="N2934" s="5">
        <f>tblSales[[#This Row],[Qty]]*_xlfn.XLOOKUP(tblSales[[#This Row],[Product Code]],tblProducts[Code],tblProducts[Unit Cost],0)</f>
        <v>620000</v>
      </c>
      <c r="O2934" s="4" t="s">
        <v>4866</v>
      </c>
      <c r="P2934" s="4" t="s">
        <v>4860</v>
      </c>
      <c r="Q2934" s="1" t="str">
        <f>_xlfn.XLOOKUP(tblSales[[#This Row],[Channel Code]],tblChannels[Channel Code],tblChannels[Channel Name],"")</f>
        <v>In-store</v>
      </c>
      <c r="R2934" s="1">
        <f>MONTH(tblSales[[#This Row],[Date]])</f>
        <v>6</v>
      </c>
    </row>
    <row r="2935" spans="2:18" x14ac:dyDescent="0.35">
      <c r="B2935" s="113">
        <v>46198</v>
      </c>
      <c r="C2935" s="4" t="s">
        <v>1972</v>
      </c>
      <c r="D2935" s="4" t="s">
        <v>4568</v>
      </c>
      <c r="E2935" s="1" t="str">
        <f>_xlfn.XLOOKUP(tblSales[[#This Row],[Customer ID]],tblCustomers[Customer ID],tblCustomers[Customer Name],"⚠ Unknown")</f>
        <v>Walk-in Customer</v>
      </c>
      <c r="F2935" s="4" t="s">
        <v>10</v>
      </c>
      <c r="G2935" s="1" t="str">
        <f>_xlfn.XLOOKUP(tblSales[[#This Row],[Product Code]],tblProducts[Code],tblProducts[Product / Service Name],"⚠ Unknown")</f>
        <v>Chino Pants</v>
      </c>
      <c r="H2935" s="1" t="str">
        <f>_xlfn.XLOOKUP(tblSales[[#This Row],[Product Code]],tblProducts[Code],tblProducts[Category],"")</f>
        <v>Apparel &amp; Footwear</v>
      </c>
      <c r="I2935" s="4">
        <v>7</v>
      </c>
      <c r="J2935" s="5">
        <f>_xlfn.XLOOKUP(tblSales[[#This Row],[Product Code]],tblProducts[Code],tblProducts[Selling Price (excl. VAT)],0)</f>
        <v>150000</v>
      </c>
      <c r="K2935" s="5">
        <f>tblSales[[#This Row],[Qty]]*tblSales[[#This Row],[Unit Price]]</f>
        <v>1050000</v>
      </c>
      <c r="L2935" s="5">
        <f>ROUND(tblSales[[#This Row],[DPP (excl. VAT)]]*VATEff,0)</f>
        <v>115500</v>
      </c>
      <c r="M2935" s="5">
        <f>tblSales[[#This Row],[DPP (excl. VAT)]]+tblSales[[#This Row],[Output VAT]]</f>
        <v>1165500</v>
      </c>
      <c r="N2935" s="5">
        <f>tblSales[[#This Row],[Qty]]*_xlfn.XLOOKUP(tblSales[[#This Row],[Product Code]],tblProducts[Code],tblProducts[Unit Cost],0)</f>
        <v>616000</v>
      </c>
      <c r="O2935" s="4" t="s">
        <v>4866</v>
      </c>
      <c r="P2935" s="4" t="s">
        <v>4861</v>
      </c>
      <c r="Q2935" s="1" t="str">
        <f>_xlfn.XLOOKUP(tblSales[[#This Row],[Channel Code]],tblChannels[Channel Code],tblChannels[Channel Name],"")</f>
        <v>Marketplace</v>
      </c>
      <c r="R2935" s="1">
        <f>MONTH(tblSales[[#This Row],[Date]])</f>
        <v>6</v>
      </c>
    </row>
    <row r="2936" spans="2:18" x14ac:dyDescent="0.35">
      <c r="B2936" s="113">
        <v>46198</v>
      </c>
      <c r="C2936" s="4" t="s">
        <v>1973</v>
      </c>
      <c r="D2936" s="4" t="s">
        <v>4568</v>
      </c>
      <c r="E2936" s="1" t="str">
        <f>_xlfn.XLOOKUP(tblSales[[#This Row],[Customer ID]],tblCustomers[Customer ID],tblCustomers[Customer Name],"⚠ Unknown")</f>
        <v>Walk-in Customer</v>
      </c>
      <c r="F2936" s="4" t="s">
        <v>8</v>
      </c>
      <c r="G2936" s="1" t="str">
        <f>_xlfn.XLOOKUP(tblSales[[#This Row],[Product Code]],tblProducts[Code],tblProducts[Product / Service Name],"⚠ Unknown")</f>
        <v>Casual Shorts</v>
      </c>
      <c r="H2936" s="1" t="str">
        <f>_xlfn.XLOOKUP(tblSales[[#This Row],[Product Code]],tblProducts[Code],tblProducts[Category],"")</f>
        <v>Accessories &amp; Basics</v>
      </c>
      <c r="I2936" s="4">
        <v>8</v>
      </c>
      <c r="J2936" s="5">
        <f>_xlfn.XLOOKUP(tblSales[[#This Row],[Product Code]],tblProducts[Code],tblProducts[Selling Price (excl. VAT)],0)</f>
        <v>85000</v>
      </c>
      <c r="K2936" s="5">
        <f>tblSales[[#This Row],[Qty]]*tblSales[[#This Row],[Unit Price]]</f>
        <v>680000</v>
      </c>
      <c r="L2936" s="5">
        <f>ROUND(tblSales[[#This Row],[DPP (excl. VAT)]]*VATEff,0)</f>
        <v>74800</v>
      </c>
      <c r="M2936" s="5">
        <f>tblSales[[#This Row],[DPP (excl. VAT)]]+tblSales[[#This Row],[Output VAT]]</f>
        <v>754800</v>
      </c>
      <c r="N2936" s="5">
        <f>tblSales[[#This Row],[Qty]]*_xlfn.XLOOKUP(tblSales[[#This Row],[Product Code]],tblProducts[Code],tblProducts[Unit Cost],0)</f>
        <v>400000</v>
      </c>
      <c r="O2936" s="4" t="s">
        <v>4865</v>
      </c>
      <c r="P2936" s="4" t="s">
        <v>4860</v>
      </c>
      <c r="Q2936" s="1" t="str">
        <f>_xlfn.XLOOKUP(tblSales[[#This Row],[Channel Code]],tblChannels[Channel Code],tblChannels[Channel Name],"")</f>
        <v>In-store</v>
      </c>
      <c r="R2936" s="1">
        <f>MONTH(tblSales[[#This Row],[Date]])</f>
        <v>6</v>
      </c>
    </row>
    <row r="2937" spans="2:18" x14ac:dyDescent="0.35">
      <c r="B2937" s="113">
        <v>46198</v>
      </c>
      <c r="C2937" s="4" t="s">
        <v>1973</v>
      </c>
      <c r="D2937" s="4" t="s">
        <v>4568</v>
      </c>
      <c r="E2937" s="1" t="str">
        <f>_xlfn.XLOOKUP(tblSales[[#This Row],[Customer ID]],tblCustomers[Customer ID],tblCustomers[Customer Name],"⚠ Unknown")</f>
        <v>Walk-in Customer</v>
      </c>
      <c r="F2937" s="4" t="s">
        <v>11</v>
      </c>
      <c r="G2937" s="1" t="str">
        <f>_xlfn.XLOOKUP(tblSales[[#This Row],[Product Code]],tblProducts[Code],tblProducts[Product / Service Name],"⚠ Unknown")</f>
        <v>Sneakers</v>
      </c>
      <c r="H2937" s="1" t="str">
        <f>_xlfn.XLOOKUP(tblSales[[#This Row],[Product Code]],tblProducts[Code],tblProducts[Category],"")</f>
        <v>Apparel &amp; Footwear</v>
      </c>
      <c r="I2937" s="4">
        <v>1</v>
      </c>
      <c r="J2937" s="5">
        <f>_xlfn.XLOOKUP(tblSales[[#This Row],[Product Code]],tblProducts[Code],tblProducts[Selling Price (excl. VAT)],0)</f>
        <v>250000</v>
      </c>
      <c r="K2937" s="5">
        <f>tblSales[[#This Row],[Qty]]*tblSales[[#This Row],[Unit Price]]</f>
        <v>250000</v>
      </c>
      <c r="L2937" s="5">
        <f>ROUND(tblSales[[#This Row],[DPP (excl. VAT)]]*VATEff,0)</f>
        <v>27500</v>
      </c>
      <c r="M2937" s="5">
        <f>tblSales[[#This Row],[DPP (excl. VAT)]]+tblSales[[#This Row],[Output VAT]]</f>
        <v>277500</v>
      </c>
      <c r="N2937" s="5">
        <f>tblSales[[#This Row],[Qty]]*_xlfn.XLOOKUP(tblSales[[#This Row],[Product Code]],tblProducts[Code],tblProducts[Unit Cost],0)</f>
        <v>155000</v>
      </c>
      <c r="O2937" s="4" t="s">
        <v>4865</v>
      </c>
      <c r="P2937" s="4" t="s">
        <v>4860</v>
      </c>
      <c r="Q2937" s="1" t="str">
        <f>_xlfn.XLOOKUP(tblSales[[#This Row],[Channel Code]],tblChannels[Channel Code],tblChannels[Channel Name],"")</f>
        <v>In-store</v>
      </c>
      <c r="R2937" s="1">
        <f>MONTH(tblSales[[#This Row],[Date]])</f>
        <v>6</v>
      </c>
    </row>
    <row r="2938" spans="2:18" x14ac:dyDescent="0.35">
      <c r="B2938" s="113">
        <v>46198</v>
      </c>
      <c r="C2938" s="4" t="s">
        <v>1974</v>
      </c>
      <c r="D2938" s="4" t="s">
        <v>4568</v>
      </c>
      <c r="E2938" s="1" t="str">
        <f>_xlfn.XLOOKUP(tblSales[[#This Row],[Customer ID]],tblCustomers[Customer ID],tblCustomers[Customer Name],"⚠ Unknown")</f>
        <v>Walk-in Customer</v>
      </c>
      <c r="F2938" s="4" t="s">
        <v>14</v>
      </c>
      <c r="G2938" s="1" t="str">
        <f>_xlfn.XLOOKUP(tblSales[[#This Row],[Product Code]],tblProducts[Code],tblProducts[Product / Service Name],"⚠ Unknown")</f>
        <v>Smartwatch</v>
      </c>
      <c r="H2938" s="1" t="str">
        <f>_xlfn.XLOOKUP(tblSales[[#This Row],[Product Code]],tblProducts[Code],tblProducts[Category],"")</f>
        <v>Bags &amp; Gadgets</v>
      </c>
      <c r="I2938" s="4">
        <v>3</v>
      </c>
      <c r="J2938" s="5">
        <f>_xlfn.XLOOKUP(tblSales[[#This Row],[Product Code]],tblProducts[Code],tblProducts[Selling Price (excl. VAT)],0)</f>
        <v>850000</v>
      </c>
      <c r="K2938" s="5">
        <f>tblSales[[#This Row],[Qty]]*tblSales[[#This Row],[Unit Price]]</f>
        <v>2550000</v>
      </c>
      <c r="L2938" s="5">
        <f>ROUND(tblSales[[#This Row],[DPP (excl. VAT)]]*VATEff,0)</f>
        <v>280500</v>
      </c>
      <c r="M2938" s="5">
        <f>tblSales[[#This Row],[DPP (excl. VAT)]]+tblSales[[#This Row],[Output VAT]]</f>
        <v>2830500</v>
      </c>
      <c r="N2938" s="5">
        <f>tblSales[[#This Row],[Qty]]*_xlfn.XLOOKUP(tblSales[[#This Row],[Product Code]],tblProducts[Code],tblProducts[Unit Cost],0)</f>
        <v>1680000</v>
      </c>
      <c r="O2938" s="4" t="s">
        <v>4866</v>
      </c>
      <c r="P2938" s="4" t="s">
        <v>4860</v>
      </c>
      <c r="Q2938" s="1" t="str">
        <f>_xlfn.XLOOKUP(tblSales[[#This Row],[Channel Code]],tblChannels[Channel Code],tblChannels[Channel Name],"")</f>
        <v>In-store</v>
      </c>
      <c r="R2938" s="1">
        <f>MONTH(tblSales[[#This Row],[Date]])</f>
        <v>6</v>
      </c>
    </row>
    <row r="2939" spans="2:18" x14ac:dyDescent="0.35">
      <c r="B2939" s="113">
        <v>46198</v>
      </c>
      <c r="C2939" s="4" t="s">
        <v>1975</v>
      </c>
      <c r="D2939" s="4" t="s">
        <v>4641</v>
      </c>
      <c r="E2939" s="1" t="str">
        <f>_xlfn.XLOOKUP(tblSales[[#This Row],[Customer ID]],tblCustomers[Customer ID],tblCustomers[Customer Name],"⚠ Unknown")</f>
        <v>PT Harmoni Pangan Lestari</v>
      </c>
      <c r="F2939" s="4" t="s">
        <v>8</v>
      </c>
      <c r="G2939" s="1" t="str">
        <f>_xlfn.XLOOKUP(tblSales[[#This Row],[Product Code]],tblProducts[Code],tblProducts[Product / Service Name],"⚠ Unknown")</f>
        <v>Casual Shorts</v>
      </c>
      <c r="H2939" s="1" t="str">
        <f>_xlfn.XLOOKUP(tblSales[[#This Row],[Product Code]],tblProducts[Code],tblProducts[Category],"")</f>
        <v>Accessories &amp; Basics</v>
      </c>
      <c r="I2939" s="4">
        <v>56</v>
      </c>
      <c r="J2939" s="5">
        <f>_xlfn.XLOOKUP(tblSales[[#This Row],[Product Code]],tblProducts[Code],tblProducts[Selling Price (excl. VAT)],0)</f>
        <v>85000</v>
      </c>
      <c r="K2939" s="5">
        <f>tblSales[[#This Row],[Qty]]*tblSales[[#This Row],[Unit Price]]</f>
        <v>4760000</v>
      </c>
      <c r="L2939" s="5">
        <f>ROUND(tblSales[[#This Row],[DPP (excl. VAT)]]*VATEff,0)</f>
        <v>523600</v>
      </c>
      <c r="M2939" s="5">
        <f>tblSales[[#This Row],[DPP (excl. VAT)]]+tblSales[[#This Row],[Output VAT]]</f>
        <v>5283600</v>
      </c>
      <c r="N2939" s="5">
        <f>tblSales[[#This Row],[Qty]]*_xlfn.XLOOKUP(tblSales[[#This Row],[Product Code]],tblProducts[Code],tblProducts[Unit Cost],0)</f>
        <v>2800000</v>
      </c>
      <c r="O2939" s="4" t="s">
        <v>4867</v>
      </c>
      <c r="P2939" s="4" t="s">
        <v>4862</v>
      </c>
      <c r="Q2939" s="1" t="str">
        <f>_xlfn.XLOOKUP(tblSales[[#This Row],[Channel Code]],tblChannels[Channel Code],tblChannels[Channel Name],"")</f>
        <v>Website &amp; Social Media</v>
      </c>
      <c r="R2939" s="1">
        <f>MONTH(tblSales[[#This Row],[Date]])</f>
        <v>6</v>
      </c>
    </row>
    <row r="2940" spans="2:18" x14ac:dyDescent="0.35">
      <c r="B2940" s="113">
        <v>46198</v>
      </c>
      <c r="C2940" s="4" t="s">
        <v>1975</v>
      </c>
      <c r="D2940" s="4" t="s">
        <v>4641</v>
      </c>
      <c r="E2940" s="1" t="str">
        <f>_xlfn.XLOOKUP(tblSales[[#This Row],[Customer ID]],tblCustomers[Customer ID],tblCustomers[Customer Name],"⚠ Unknown")</f>
        <v>PT Harmoni Pangan Lestari</v>
      </c>
      <c r="F2940" s="4" t="s">
        <v>14</v>
      </c>
      <c r="G2940" s="1" t="str">
        <f>_xlfn.XLOOKUP(tblSales[[#This Row],[Product Code]],tblProducts[Code],tblProducts[Product / Service Name],"⚠ Unknown")</f>
        <v>Smartwatch</v>
      </c>
      <c r="H2940" s="1" t="str">
        <f>_xlfn.XLOOKUP(tblSales[[#This Row],[Product Code]],tblProducts[Code],tblProducts[Category],"")</f>
        <v>Bags &amp; Gadgets</v>
      </c>
      <c r="I2940" s="4">
        <v>16</v>
      </c>
      <c r="J2940" s="5">
        <f>_xlfn.XLOOKUP(tblSales[[#This Row],[Product Code]],tblProducts[Code],tblProducts[Selling Price (excl. VAT)],0)</f>
        <v>850000</v>
      </c>
      <c r="K2940" s="5">
        <f>tblSales[[#This Row],[Qty]]*tblSales[[#This Row],[Unit Price]]</f>
        <v>13600000</v>
      </c>
      <c r="L2940" s="5">
        <f>ROUND(tblSales[[#This Row],[DPP (excl. VAT)]]*VATEff,0)</f>
        <v>1496000</v>
      </c>
      <c r="M2940" s="5">
        <f>tblSales[[#This Row],[DPP (excl. VAT)]]+tblSales[[#This Row],[Output VAT]]</f>
        <v>15096000</v>
      </c>
      <c r="N2940" s="5">
        <f>tblSales[[#This Row],[Qty]]*_xlfn.XLOOKUP(tblSales[[#This Row],[Product Code]],tblProducts[Code],tblProducts[Unit Cost],0)</f>
        <v>8960000</v>
      </c>
      <c r="O2940" s="4" t="s">
        <v>4867</v>
      </c>
      <c r="P2940" s="4" t="s">
        <v>4862</v>
      </c>
      <c r="Q2940" s="1" t="str">
        <f>_xlfn.XLOOKUP(tblSales[[#This Row],[Channel Code]],tblChannels[Channel Code],tblChannels[Channel Name],"")</f>
        <v>Website &amp; Social Media</v>
      </c>
      <c r="R2940" s="1">
        <f>MONTH(tblSales[[#This Row],[Date]])</f>
        <v>6</v>
      </c>
    </row>
    <row r="2941" spans="2:18" x14ac:dyDescent="0.35">
      <c r="B2941" s="113">
        <v>46198</v>
      </c>
      <c r="C2941" s="4" t="s">
        <v>1976</v>
      </c>
      <c r="D2941" s="4" t="s">
        <v>4568</v>
      </c>
      <c r="E2941" s="1" t="str">
        <f>_xlfn.XLOOKUP(tblSales[[#This Row],[Customer ID]],tblCustomers[Customer ID],tblCustomers[Customer Name],"⚠ Unknown")</f>
        <v>Walk-in Customer</v>
      </c>
      <c r="F2941" s="4" t="s">
        <v>6</v>
      </c>
      <c r="G2941" s="1" t="str">
        <f>_xlfn.XLOOKUP(tblSales[[#This Row],[Product Code]],tblProducts[Code],tblProducts[Product / Service Name],"⚠ Unknown")</f>
        <v>Socks &amp; Accessories</v>
      </c>
      <c r="H2941" s="1" t="str">
        <f>_xlfn.XLOOKUP(tblSales[[#This Row],[Product Code]],tblProducts[Code],tblProducts[Category],"")</f>
        <v>Accessories &amp; Basics</v>
      </c>
      <c r="I2941" s="4">
        <v>2</v>
      </c>
      <c r="J2941" s="5">
        <f>_xlfn.XLOOKUP(tblSales[[#This Row],[Product Code]],tblProducts[Code],tblProducts[Selling Price (excl. VAT)],0)</f>
        <v>45000</v>
      </c>
      <c r="K2941" s="5">
        <f>tblSales[[#This Row],[Qty]]*tblSales[[#This Row],[Unit Price]]</f>
        <v>90000</v>
      </c>
      <c r="L2941" s="5">
        <f>ROUND(tblSales[[#This Row],[DPP (excl. VAT)]]*VATEff,0)</f>
        <v>9900</v>
      </c>
      <c r="M2941" s="5">
        <f>tblSales[[#This Row],[DPP (excl. VAT)]]+tblSales[[#This Row],[Output VAT]]</f>
        <v>99900</v>
      </c>
      <c r="N2941" s="5">
        <f>tblSales[[#This Row],[Qty]]*_xlfn.XLOOKUP(tblSales[[#This Row],[Product Code]],tblProducts[Code],tblProducts[Unit Cost],0)</f>
        <v>48000</v>
      </c>
      <c r="O2941" s="4" t="s">
        <v>4865</v>
      </c>
      <c r="P2941" s="4" t="s">
        <v>4860</v>
      </c>
      <c r="Q2941" s="1" t="str">
        <f>_xlfn.XLOOKUP(tblSales[[#This Row],[Channel Code]],tblChannels[Channel Code],tblChannels[Channel Name],"")</f>
        <v>In-store</v>
      </c>
      <c r="R2941" s="1">
        <f>MONTH(tblSales[[#This Row],[Date]])</f>
        <v>6</v>
      </c>
    </row>
    <row r="2942" spans="2:18" x14ac:dyDescent="0.35">
      <c r="B2942" s="113">
        <v>46198</v>
      </c>
      <c r="C2942" s="4" t="s">
        <v>1977</v>
      </c>
      <c r="D2942" s="4" t="s">
        <v>4568</v>
      </c>
      <c r="E2942" s="1" t="str">
        <f>_xlfn.XLOOKUP(tblSales[[#This Row],[Customer ID]],tblCustomers[Customer ID],tblCustomers[Customer Name],"⚠ Unknown")</f>
        <v>Walk-in Customer</v>
      </c>
      <c r="F2942" s="4" t="s">
        <v>7</v>
      </c>
      <c r="G2942" s="1" t="str">
        <f>_xlfn.XLOOKUP(tblSales[[#This Row],[Product Code]],tblProducts[Code],tblProducts[Product / Service Name],"⚠ Unknown")</f>
        <v>Premium Basic T-shirt</v>
      </c>
      <c r="H2942" s="1" t="str">
        <f>_xlfn.XLOOKUP(tblSales[[#This Row],[Product Code]],tblProducts[Code],tblProducts[Category],"")</f>
        <v>Accessories &amp; Basics</v>
      </c>
      <c r="I2942" s="4">
        <v>6</v>
      </c>
      <c r="J2942" s="5">
        <f>_xlfn.XLOOKUP(tblSales[[#This Row],[Product Code]],tblProducts[Code],tblProducts[Selling Price (excl. VAT)],0)</f>
        <v>65000</v>
      </c>
      <c r="K2942" s="5">
        <f>tblSales[[#This Row],[Qty]]*tblSales[[#This Row],[Unit Price]]</f>
        <v>390000</v>
      </c>
      <c r="L2942" s="5">
        <f>ROUND(tblSales[[#This Row],[DPP (excl. VAT)]]*VATEff,0)</f>
        <v>42900</v>
      </c>
      <c r="M2942" s="5">
        <f>tblSales[[#This Row],[DPP (excl. VAT)]]+tblSales[[#This Row],[Output VAT]]</f>
        <v>432900</v>
      </c>
      <c r="N2942" s="5">
        <f>tblSales[[#This Row],[Qty]]*_xlfn.XLOOKUP(tblSales[[#This Row],[Product Code]],tblProducts[Code],tblProducts[Unit Cost],0)</f>
        <v>222000</v>
      </c>
      <c r="O2942" s="4" t="s">
        <v>4866</v>
      </c>
      <c r="P2942" s="4" t="s">
        <v>4861</v>
      </c>
      <c r="Q2942" s="1" t="str">
        <f>_xlfn.XLOOKUP(tblSales[[#This Row],[Channel Code]],tblChannels[Channel Code],tblChannels[Channel Name],"")</f>
        <v>Marketplace</v>
      </c>
      <c r="R2942" s="1">
        <f>MONTH(tblSales[[#This Row],[Date]])</f>
        <v>6</v>
      </c>
    </row>
    <row r="2943" spans="2:18" x14ac:dyDescent="0.35">
      <c r="B2943" s="113">
        <v>46198</v>
      </c>
      <c r="C2943" s="4" t="s">
        <v>1978</v>
      </c>
      <c r="D2943" s="4" t="s">
        <v>4568</v>
      </c>
      <c r="E2943" s="1" t="str">
        <f>_xlfn.XLOOKUP(tblSales[[#This Row],[Customer ID]],tblCustomers[Customer ID],tblCustomers[Customer Name],"⚠ Unknown")</f>
        <v>Walk-in Customer</v>
      </c>
      <c r="F2943" s="4" t="s">
        <v>6</v>
      </c>
      <c r="G2943" s="1" t="str">
        <f>_xlfn.XLOOKUP(tblSales[[#This Row],[Product Code]],tblProducts[Code],tblProducts[Product / Service Name],"⚠ Unknown")</f>
        <v>Socks &amp; Accessories</v>
      </c>
      <c r="H2943" s="1" t="str">
        <f>_xlfn.XLOOKUP(tblSales[[#This Row],[Product Code]],tblProducts[Code],tblProducts[Category],"")</f>
        <v>Accessories &amp; Basics</v>
      </c>
      <c r="I2943" s="4">
        <v>3</v>
      </c>
      <c r="J2943" s="5">
        <f>_xlfn.XLOOKUP(tblSales[[#This Row],[Product Code]],tblProducts[Code],tblProducts[Selling Price (excl. VAT)],0)</f>
        <v>45000</v>
      </c>
      <c r="K2943" s="5">
        <f>tblSales[[#This Row],[Qty]]*tblSales[[#This Row],[Unit Price]]</f>
        <v>135000</v>
      </c>
      <c r="L2943" s="5">
        <f>ROUND(tblSales[[#This Row],[DPP (excl. VAT)]]*VATEff,0)</f>
        <v>14850</v>
      </c>
      <c r="M2943" s="5">
        <f>tblSales[[#This Row],[DPP (excl. VAT)]]+tblSales[[#This Row],[Output VAT]]</f>
        <v>149850</v>
      </c>
      <c r="N2943" s="5">
        <f>tblSales[[#This Row],[Qty]]*_xlfn.XLOOKUP(tblSales[[#This Row],[Product Code]],tblProducts[Code],tblProducts[Unit Cost],0)</f>
        <v>72000</v>
      </c>
      <c r="O2943" s="4" t="s">
        <v>4865</v>
      </c>
      <c r="P2943" s="4" t="s">
        <v>4860</v>
      </c>
      <c r="Q2943" s="1" t="str">
        <f>_xlfn.XLOOKUP(tblSales[[#This Row],[Channel Code]],tblChannels[Channel Code],tblChannels[Channel Name],"")</f>
        <v>In-store</v>
      </c>
      <c r="R2943" s="1">
        <f>MONTH(tblSales[[#This Row],[Date]])</f>
        <v>6</v>
      </c>
    </row>
    <row r="2944" spans="2:18" x14ac:dyDescent="0.35">
      <c r="B2944" s="113">
        <v>46199</v>
      </c>
      <c r="C2944" s="4" t="s">
        <v>1979</v>
      </c>
      <c r="D2944" s="4" t="s">
        <v>4568</v>
      </c>
      <c r="E2944" s="1" t="str">
        <f>_xlfn.XLOOKUP(tblSales[[#This Row],[Customer ID]],tblCustomers[Customer ID],tblCustomers[Customer Name],"⚠ Unknown")</f>
        <v>Walk-in Customer</v>
      </c>
      <c r="F2944" s="4" t="s">
        <v>8</v>
      </c>
      <c r="G2944" s="1" t="str">
        <f>_xlfn.XLOOKUP(tblSales[[#This Row],[Product Code]],tblProducts[Code],tblProducts[Product / Service Name],"⚠ Unknown")</f>
        <v>Casual Shorts</v>
      </c>
      <c r="H2944" s="1" t="str">
        <f>_xlfn.XLOOKUP(tblSales[[#This Row],[Product Code]],tblProducts[Code],tblProducts[Category],"")</f>
        <v>Accessories &amp; Basics</v>
      </c>
      <c r="I2944" s="4">
        <v>2</v>
      </c>
      <c r="J2944" s="5">
        <f>_xlfn.XLOOKUP(tblSales[[#This Row],[Product Code]],tblProducts[Code],tblProducts[Selling Price (excl. VAT)],0)</f>
        <v>85000</v>
      </c>
      <c r="K2944" s="5">
        <f>tblSales[[#This Row],[Qty]]*tblSales[[#This Row],[Unit Price]]</f>
        <v>170000</v>
      </c>
      <c r="L2944" s="5">
        <f>ROUND(tblSales[[#This Row],[DPP (excl. VAT)]]*VATEff,0)</f>
        <v>18700</v>
      </c>
      <c r="M2944" s="5">
        <f>tblSales[[#This Row],[DPP (excl. VAT)]]+tblSales[[#This Row],[Output VAT]]</f>
        <v>188700</v>
      </c>
      <c r="N2944" s="5">
        <f>tblSales[[#This Row],[Qty]]*_xlfn.XLOOKUP(tblSales[[#This Row],[Product Code]],tblProducts[Code],tblProducts[Unit Cost],0)</f>
        <v>100000</v>
      </c>
      <c r="O2944" s="4" t="s">
        <v>4865</v>
      </c>
      <c r="P2944" s="4" t="s">
        <v>4860</v>
      </c>
      <c r="Q2944" s="1" t="str">
        <f>_xlfn.XLOOKUP(tblSales[[#This Row],[Channel Code]],tblChannels[Channel Code],tblChannels[Channel Name],"")</f>
        <v>In-store</v>
      </c>
      <c r="R2944" s="1">
        <f>MONTH(tblSales[[#This Row],[Date]])</f>
        <v>6</v>
      </c>
    </row>
    <row r="2945" spans="2:18" x14ac:dyDescent="0.35">
      <c r="B2945" s="113">
        <v>46199</v>
      </c>
      <c r="C2945" s="4" t="s">
        <v>1980</v>
      </c>
      <c r="D2945" s="4" t="s">
        <v>4568</v>
      </c>
      <c r="E2945" s="1" t="str">
        <f>_xlfn.XLOOKUP(tblSales[[#This Row],[Customer ID]],tblCustomers[Customer ID],tblCustomers[Customer Name],"⚠ Unknown")</f>
        <v>Walk-in Customer</v>
      </c>
      <c r="F2945" s="4" t="s">
        <v>9</v>
      </c>
      <c r="G2945" s="1" t="str">
        <f>_xlfn.XLOOKUP(tblSales[[#This Row],[Product Code]],tblProducts[Code],tblProducts[Product / Service Name],"⚠ Unknown")</f>
        <v>Casual Shirt</v>
      </c>
      <c r="H2945" s="1" t="str">
        <f>_xlfn.XLOOKUP(tblSales[[#This Row],[Product Code]],tblProducts[Code],tblProducts[Category],"")</f>
        <v>Apparel &amp; Footwear</v>
      </c>
      <c r="I2945" s="4">
        <v>1</v>
      </c>
      <c r="J2945" s="5">
        <f>_xlfn.XLOOKUP(tblSales[[#This Row],[Product Code]],tblProducts[Code],tblProducts[Selling Price (excl. VAT)],0)</f>
        <v>120000</v>
      </c>
      <c r="K2945" s="5">
        <f>tblSales[[#This Row],[Qty]]*tblSales[[#This Row],[Unit Price]]</f>
        <v>120000</v>
      </c>
      <c r="L2945" s="5">
        <f>ROUND(tblSales[[#This Row],[DPP (excl. VAT)]]*VATEff,0)</f>
        <v>13200</v>
      </c>
      <c r="M2945" s="5">
        <f>tblSales[[#This Row],[DPP (excl. VAT)]]+tblSales[[#This Row],[Output VAT]]</f>
        <v>133200</v>
      </c>
      <c r="N2945" s="5">
        <f>tblSales[[#This Row],[Qty]]*_xlfn.XLOOKUP(tblSales[[#This Row],[Product Code]],tblProducts[Code],tblProducts[Unit Cost],0)</f>
        <v>72000</v>
      </c>
      <c r="O2945" s="4" t="s">
        <v>4865</v>
      </c>
      <c r="P2945" s="4" t="s">
        <v>4860</v>
      </c>
      <c r="Q2945" s="1" t="str">
        <f>_xlfn.XLOOKUP(tblSales[[#This Row],[Channel Code]],tblChannels[Channel Code],tblChannels[Channel Name],"")</f>
        <v>In-store</v>
      </c>
      <c r="R2945" s="1">
        <f>MONTH(tblSales[[#This Row],[Date]])</f>
        <v>6</v>
      </c>
    </row>
    <row r="2946" spans="2:18" x14ac:dyDescent="0.35">
      <c r="B2946" s="113">
        <v>46199</v>
      </c>
      <c r="C2946" s="4" t="s">
        <v>1981</v>
      </c>
      <c r="D2946" s="4" t="s">
        <v>4568</v>
      </c>
      <c r="E2946" s="1" t="str">
        <f>_xlfn.XLOOKUP(tblSales[[#This Row],[Customer ID]],tblCustomers[Customer ID],tblCustomers[Customer Name],"⚠ Unknown")</f>
        <v>Walk-in Customer</v>
      </c>
      <c r="F2946" s="4" t="s">
        <v>6</v>
      </c>
      <c r="G2946" s="1" t="str">
        <f>_xlfn.XLOOKUP(tblSales[[#This Row],[Product Code]],tblProducts[Code],tblProducts[Product / Service Name],"⚠ Unknown")</f>
        <v>Socks &amp; Accessories</v>
      </c>
      <c r="H2946" s="1" t="str">
        <f>_xlfn.XLOOKUP(tblSales[[#This Row],[Product Code]],tblProducts[Code],tblProducts[Category],"")</f>
        <v>Accessories &amp; Basics</v>
      </c>
      <c r="I2946" s="4">
        <v>12</v>
      </c>
      <c r="J2946" s="5">
        <f>_xlfn.XLOOKUP(tblSales[[#This Row],[Product Code]],tblProducts[Code],tblProducts[Selling Price (excl. VAT)],0)</f>
        <v>45000</v>
      </c>
      <c r="K2946" s="5">
        <f>tblSales[[#This Row],[Qty]]*tblSales[[#This Row],[Unit Price]]</f>
        <v>540000</v>
      </c>
      <c r="L2946" s="5">
        <f>ROUND(tblSales[[#This Row],[DPP (excl. VAT)]]*VATEff,0)</f>
        <v>59400</v>
      </c>
      <c r="M2946" s="5">
        <f>tblSales[[#This Row],[DPP (excl. VAT)]]+tblSales[[#This Row],[Output VAT]]</f>
        <v>599400</v>
      </c>
      <c r="N2946" s="5">
        <f>tblSales[[#This Row],[Qty]]*_xlfn.XLOOKUP(tblSales[[#This Row],[Product Code]],tblProducts[Code],tblProducts[Unit Cost],0)</f>
        <v>288000</v>
      </c>
      <c r="O2946" s="4" t="s">
        <v>4865</v>
      </c>
      <c r="P2946" s="4" t="s">
        <v>4860</v>
      </c>
      <c r="Q2946" s="1" t="str">
        <f>_xlfn.XLOOKUP(tblSales[[#This Row],[Channel Code]],tblChannels[Channel Code],tblChannels[Channel Name],"")</f>
        <v>In-store</v>
      </c>
      <c r="R2946" s="1">
        <f>MONTH(tblSales[[#This Row],[Date]])</f>
        <v>6</v>
      </c>
    </row>
    <row r="2947" spans="2:18" x14ac:dyDescent="0.35">
      <c r="B2947" s="113">
        <v>46199</v>
      </c>
      <c r="C2947" s="4" t="s">
        <v>1981</v>
      </c>
      <c r="D2947" s="4" t="s">
        <v>4568</v>
      </c>
      <c r="E2947" s="1" t="str">
        <f>_xlfn.XLOOKUP(tblSales[[#This Row],[Customer ID]],tblCustomers[Customer ID],tblCustomers[Customer Name],"⚠ Unknown")</f>
        <v>Walk-in Customer</v>
      </c>
      <c r="F2947" s="4" t="s">
        <v>12</v>
      </c>
      <c r="G2947" s="1" t="str">
        <f>_xlfn.XLOOKUP(tblSales[[#This Row],[Product Code]],tblProducts[Code],tblProducts[Product / Service Name],"⚠ Unknown")</f>
        <v>Bomber Jacket</v>
      </c>
      <c r="H2947" s="1" t="str">
        <f>_xlfn.XLOOKUP(tblSales[[#This Row],[Product Code]],tblProducts[Code],tblProducts[Category],"")</f>
        <v>Apparel &amp; Footwear</v>
      </c>
      <c r="I2947" s="4">
        <v>5</v>
      </c>
      <c r="J2947" s="5">
        <f>_xlfn.XLOOKUP(tblSales[[#This Row],[Product Code]],tblProducts[Code],tblProducts[Selling Price (excl. VAT)],0)</f>
        <v>350000</v>
      </c>
      <c r="K2947" s="5">
        <f>tblSales[[#This Row],[Qty]]*tblSales[[#This Row],[Unit Price]]</f>
        <v>1750000</v>
      </c>
      <c r="L2947" s="5">
        <f>ROUND(tblSales[[#This Row],[DPP (excl. VAT)]]*VATEff,0)</f>
        <v>192500</v>
      </c>
      <c r="M2947" s="5">
        <f>tblSales[[#This Row],[DPP (excl. VAT)]]+tblSales[[#This Row],[Output VAT]]</f>
        <v>1942500</v>
      </c>
      <c r="N2947" s="5">
        <f>tblSales[[#This Row],[Qty]]*_xlfn.XLOOKUP(tblSales[[#This Row],[Product Code]],tblProducts[Code],tblProducts[Unit Cost],0)</f>
        <v>1050000</v>
      </c>
      <c r="O2947" s="4" t="s">
        <v>4865</v>
      </c>
      <c r="P2947" s="4" t="s">
        <v>4860</v>
      </c>
      <c r="Q2947" s="1" t="str">
        <f>_xlfn.XLOOKUP(tblSales[[#This Row],[Channel Code]],tblChannels[Channel Code],tblChannels[Channel Name],"")</f>
        <v>In-store</v>
      </c>
      <c r="R2947" s="1">
        <f>MONTH(tblSales[[#This Row],[Date]])</f>
        <v>6</v>
      </c>
    </row>
    <row r="2948" spans="2:18" x14ac:dyDescent="0.35">
      <c r="B2948" s="113">
        <v>46199</v>
      </c>
      <c r="C2948" s="4" t="s">
        <v>1982</v>
      </c>
      <c r="D2948" s="4" t="s">
        <v>4568</v>
      </c>
      <c r="E2948" s="1" t="str">
        <f>_xlfn.XLOOKUP(tblSales[[#This Row],[Customer ID]],tblCustomers[Customer ID],tblCustomers[Customer Name],"⚠ Unknown")</f>
        <v>Walk-in Customer</v>
      </c>
      <c r="F2948" s="4" t="s">
        <v>7</v>
      </c>
      <c r="G2948" s="1" t="str">
        <f>_xlfn.XLOOKUP(tblSales[[#This Row],[Product Code]],tblProducts[Code],tblProducts[Product / Service Name],"⚠ Unknown")</f>
        <v>Premium Basic T-shirt</v>
      </c>
      <c r="H2948" s="1" t="str">
        <f>_xlfn.XLOOKUP(tblSales[[#This Row],[Product Code]],tblProducts[Code],tblProducts[Category],"")</f>
        <v>Accessories &amp; Basics</v>
      </c>
      <c r="I2948" s="4">
        <v>12</v>
      </c>
      <c r="J2948" s="5">
        <f>_xlfn.XLOOKUP(tblSales[[#This Row],[Product Code]],tblProducts[Code],tblProducts[Selling Price (excl. VAT)],0)</f>
        <v>65000</v>
      </c>
      <c r="K2948" s="5">
        <f>tblSales[[#This Row],[Qty]]*tblSales[[#This Row],[Unit Price]]</f>
        <v>780000</v>
      </c>
      <c r="L2948" s="5">
        <f>ROUND(tblSales[[#This Row],[DPP (excl. VAT)]]*VATEff,0)</f>
        <v>85800</v>
      </c>
      <c r="M2948" s="5">
        <f>tblSales[[#This Row],[DPP (excl. VAT)]]+tblSales[[#This Row],[Output VAT]]</f>
        <v>865800</v>
      </c>
      <c r="N2948" s="5">
        <f>tblSales[[#This Row],[Qty]]*_xlfn.XLOOKUP(tblSales[[#This Row],[Product Code]],tblProducts[Code],tblProducts[Unit Cost],0)</f>
        <v>444000</v>
      </c>
      <c r="O2948" s="4" t="s">
        <v>4866</v>
      </c>
      <c r="P2948" s="4" t="s">
        <v>4861</v>
      </c>
      <c r="Q2948" s="1" t="str">
        <f>_xlfn.XLOOKUP(tblSales[[#This Row],[Channel Code]],tblChannels[Channel Code],tblChannels[Channel Name],"")</f>
        <v>Marketplace</v>
      </c>
      <c r="R2948" s="1">
        <f>MONTH(tblSales[[#This Row],[Date]])</f>
        <v>6</v>
      </c>
    </row>
    <row r="2949" spans="2:18" x14ac:dyDescent="0.35">
      <c r="B2949" s="113">
        <v>46199</v>
      </c>
      <c r="C2949" s="4" t="s">
        <v>1983</v>
      </c>
      <c r="D2949" s="4" t="s">
        <v>4634</v>
      </c>
      <c r="E2949" s="1" t="str">
        <f>_xlfn.XLOOKUP(tblSales[[#This Row],[Customer ID]],tblCustomers[Customer ID],tblCustomers[Customer Name],"⚠ Unknown")</f>
        <v>PT Delta Inti Selaras</v>
      </c>
      <c r="F2949" s="4" t="s">
        <v>8</v>
      </c>
      <c r="G2949" s="1" t="str">
        <f>_xlfn.XLOOKUP(tblSales[[#This Row],[Product Code]],tblProducts[Code],tblProducts[Product / Service Name],"⚠ Unknown")</f>
        <v>Casual Shorts</v>
      </c>
      <c r="H2949" s="1" t="str">
        <f>_xlfn.XLOOKUP(tblSales[[#This Row],[Product Code]],tblProducts[Code],tblProducts[Category],"")</f>
        <v>Accessories &amp; Basics</v>
      </c>
      <c r="I2949" s="4">
        <v>96</v>
      </c>
      <c r="J2949" s="5">
        <f>_xlfn.XLOOKUP(tblSales[[#This Row],[Product Code]],tblProducts[Code],tblProducts[Selling Price (excl. VAT)],0)</f>
        <v>85000</v>
      </c>
      <c r="K2949" s="5">
        <f>tblSales[[#This Row],[Qty]]*tblSales[[#This Row],[Unit Price]]</f>
        <v>8160000</v>
      </c>
      <c r="L2949" s="5">
        <f>ROUND(tblSales[[#This Row],[DPP (excl. VAT)]]*VATEff,0)</f>
        <v>897600</v>
      </c>
      <c r="M2949" s="5">
        <f>tblSales[[#This Row],[DPP (excl. VAT)]]+tblSales[[#This Row],[Output VAT]]</f>
        <v>9057600</v>
      </c>
      <c r="N2949" s="5">
        <f>tblSales[[#This Row],[Qty]]*_xlfn.XLOOKUP(tblSales[[#This Row],[Product Code]],tblProducts[Code],tblProducts[Unit Cost],0)</f>
        <v>4800000</v>
      </c>
      <c r="O2949" s="4" t="s">
        <v>4867</v>
      </c>
      <c r="P2949" s="4" t="s">
        <v>4862</v>
      </c>
      <c r="Q2949" s="1" t="str">
        <f>_xlfn.XLOOKUP(tblSales[[#This Row],[Channel Code]],tblChannels[Channel Code],tblChannels[Channel Name],"")</f>
        <v>Website &amp; Social Media</v>
      </c>
      <c r="R2949" s="1">
        <f>MONTH(tblSales[[#This Row],[Date]])</f>
        <v>6</v>
      </c>
    </row>
    <row r="2950" spans="2:18" x14ac:dyDescent="0.35">
      <c r="B2950" s="113">
        <v>46199</v>
      </c>
      <c r="C2950" s="4" t="s">
        <v>1984</v>
      </c>
      <c r="D2950" s="4" t="s">
        <v>4634</v>
      </c>
      <c r="E2950" s="1" t="str">
        <f>_xlfn.XLOOKUP(tblSales[[#This Row],[Customer ID]],tblCustomers[Customer ID],tblCustomers[Customer Name],"⚠ Unknown")</f>
        <v>PT Delta Inti Selaras</v>
      </c>
      <c r="F2950" s="4" t="s">
        <v>12</v>
      </c>
      <c r="G2950" s="1" t="str">
        <f>_xlfn.XLOOKUP(tblSales[[#This Row],[Product Code]],tblProducts[Code],tblProducts[Product / Service Name],"⚠ Unknown")</f>
        <v>Bomber Jacket</v>
      </c>
      <c r="H2950" s="1" t="str">
        <f>_xlfn.XLOOKUP(tblSales[[#This Row],[Product Code]],tblProducts[Code],tblProducts[Category],"")</f>
        <v>Apparel &amp; Footwear</v>
      </c>
      <c r="I2950" s="4">
        <v>16</v>
      </c>
      <c r="J2950" s="5">
        <f>_xlfn.XLOOKUP(tblSales[[#This Row],[Product Code]],tblProducts[Code],tblProducts[Selling Price (excl. VAT)],0)</f>
        <v>350000</v>
      </c>
      <c r="K2950" s="5">
        <f>tblSales[[#This Row],[Qty]]*tblSales[[#This Row],[Unit Price]]</f>
        <v>5600000</v>
      </c>
      <c r="L2950" s="5">
        <f>ROUND(tblSales[[#This Row],[DPP (excl. VAT)]]*VATEff,0)</f>
        <v>616000</v>
      </c>
      <c r="M2950" s="5">
        <f>tblSales[[#This Row],[DPP (excl. VAT)]]+tblSales[[#This Row],[Output VAT]]</f>
        <v>6216000</v>
      </c>
      <c r="N2950" s="5">
        <f>tblSales[[#This Row],[Qty]]*_xlfn.XLOOKUP(tblSales[[#This Row],[Product Code]],tblProducts[Code],tblProducts[Unit Cost],0)</f>
        <v>3360000</v>
      </c>
      <c r="O2950" s="4" t="s">
        <v>4867</v>
      </c>
      <c r="P2950" s="4" t="s">
        <v>4860</v>
      </c>
      <c r="Q2950" s="1" t="str">
        <f>_xlfn.XLOOKUP(tblSales[[#This Row],[Channel Code]],tblChannels[Channel Code],tblChannels[Channel Name],"")</f>
        <v>In-store</v>
      </c>
      <c r="R2950" s="1">
        <f>MONTH(tblSales[[#This Row],[Date]])</f>
        <v>6</v>
      </c>
    </row>
    <row r="2951" spans="2:18" x14ac:dyDescent="0.35">
      <c r="B2951" s="113">
        <v>46199</v>
      </c>
      <c r="C2951" s="4" t="s">
        <v>1984</v>
      </c>
      <c r="D2951" s="4" t="s">
        <v>4634</v>
      </c>
      <c r="E2951" s="1" t="str">
        <f>_xlfn.XLOOKUP(tblSales[[#This Row],[Customer ID]],tblCustomers[Customer ID],tblCustomers[Customer Name],"⚠ Unknown")</f>
        <v>PT Delta Inti Selaras</v>
      </c>
      <c r="F2951" s="4" t="s">
        <v>11</v>
      </c>
      <c r="G2951" s="1" t="str">
        <f>_xlfn.XLOOKUP(tblSales[[#This Row],[Product Code]],tblProducts[Code],tblProducts[Product / Service Name],"⚠ Unknown")</f>
        <v>Sneakers</v>
      </c>
      <c r="H2951" s="1" t="str">
        <f>_xlfn.XLOOKUP(tblSales[[#This Row],[Product Code]],tblProducts[Code],tblProducts[Category],"")</f>
        <v>Apparel &amp; Footwear</v>
      </c>
      <c r="I2951" s="4">
        <v>24</v>
      </c>
      <c r="J2951" s="5">
        <f>_xlfn.XLOOKUP(tblSales[[#This Row],[Product Code]],tblProducts[Code],tblProducts[Selling Price (excl. VAT)],0)</f>
        <v>250000</v>
      </c>
      <c r="K2951" s="5">
        <f>tblSales[[#This Row],[Qty]]*tblSales[[#This Row],[Unit Price]]</f>
        <v>6000000</v>
      </c>
      <c r="L2951" s="5">
        <f>ROUND(tblSales[[#This Row],[DPP (excl. VAT)]]*VATEff,0)</f>
        <v>660000</v>
      </c>
      <c r="M2951" s="5">
        <f>tblSales[[#This Row],[DPP (excl. VAT)]]+tblSales[[#This Row],[Output VAT]]</f>
        <v>6660000</v>
      </c>
      <c r="N2951" s="5">
        <f>tblSales[[#This Row],[Qty]]*_xlfn.XLOOKUP(tblSales[[#This Row],[Product Code]],tblProducts[Code],tblProducts[Unit Cost],0)</f>
        <v>3720000</v>
      </c>
      <c r="O2951" s="4" t="s">
        <v>4867</v>
      </c>
      <c r="P2951" s="4" t="s">
        <v>4860</v>
      </c>
      <c r="Q2951" s="1" t="str">
        <f>_xlfn.XLOOKUP(tblSales[[#This Row],[Channel Code]],tblChannels[Channel Code],tblChannels[Channel Name],"")</f>
        <v>In-store</v>
      </c>
      <c r="R2951" s="1">
        <f>MONTH(tblSales[[#This Row],[Date]])</f>
        <v>6</v>
      </c>
    </row>
    <row r="2952" spans="2:18" x14ac:dyDescent="0.35">
      <c r="B2952" s="113">
        <v>46199</v>
      </c>
      <c r="C2952" s="4" t="s">
        <v>1985</v>
      </c>
      <c r="D2952" s="4" t="s">
        <v>4620</v>
      </c>
      <c r="E2952" s="1" t="str">
        <f>_xlfn.XLOOKUP(tblSales[[#This Row],[Customer ID]],tblCustomers[Customer ID],tblCustomers[Customer Name],"⚠ Unknown")</f>
        <v>CV Sumber Rejeki Utama</v>
      </c>
      <c r="F2952" s="4" t="s">
        <v>14</v>
      </c>
      <c r="G2952" s="1" t="str">
        <f>_xlfn.XLOOKUP(tblSales[[#This Row],[Product Code]],tblProducts[Code],tblProducts[Product / Service Name],"⚠ Unknown")</f>
        <v>Smartwatch</v>
      </c>
      <c r="H2952" s="1" t="str">
        <f>_xlfn.XLOOKUP(tblSales[[#This Row],[Product Code]],tblProducts[Code],tblProducts[Category],"")</f>
        <v>Bags &amp; Gadgets</v>
      </c>
      <c r="I2952" s="4">
        <v>16</v>
      </c>
      <c r="J2952" s="5">
        <f>_xlfn.XLOOKUP(tblSales[[#This Row],[Product Code]],tblProducts[Code],tblProducts[Selling Price (excl. VAT)],0)</f>
        <v>850000</v>
      </c>
      <c r="K2952" s="5">
        <f>tblSales[[#This Row],[Qty]]*tblSales[[#This Row],[Unit Price]]</f>
        <v>13600000</v>
      </c>
      <c r="L2952" s="5">
        <f>ROUND(tblSales[[#This Row],[DPP (excl. VAT)]]*VATEff,0)</f>
        <v>1496000</v>
      </c>
      <c r="M2952" s="5">
        <f>tblSales[[#This Row],[DPP (excl. VAT)]]+tblSales[[#This Row],[Output VAT]]</f>
        <v>15096000</v>
      </c>
      <c r="N2952" s="5">
        <f>tblSales[[#This Row],[Qty]]*_xlfn.XLOOKUP(tblSales[[#This Row],[Product Code]],tblProducts[Code],tblProducts[Unit Cost],0)</f>
        <v>8960000</v>
      </c>
      <c r="O2952" s="4" t="s">
        <v>4867</v>
      </c>
      <c r="P2952" s="4" t="s">
        <v>4860</v>
      </c>
      <c r="Q2952" s="1" t="str">
        <f>_xlfn.XLOOKUP(tblSales[[#This Row],[Channel Code]],tblChannels[Channel Code],tblChannels[Channel Name],"")</f>
        <v>In-store</v>
      </c>
      <c r="R2952" s="1">
        <f>MONTH(tblSales[[#This Row],[Date]])</f>
        <v>6</v>
      </c>
    </row>
    <row r="2953" spans="2:18" x14ac:dyDescent="0.35">
      <c r="B2953" s="113">
        <v>46199</v>
      </c>
      <c r="C2953" s="4" t="s">
        <v>1986</v>
      </c>
      <c r="D2953" s="4" t="s">
        <v>4606</v>
      </c>
      <c r="E2953" s="1" t="str">
        <f>_xlfn.XLOOKUP(tblSales[[#This Row],[Customer ID]],tblCustomers[Customer ID],tblCustomers[Customer Name],"⚠ Unknown")</f>
        <v>PT Arunika Digital Kreatif</v>
      </c>
      <c r="F2953" s="4" t="s">
        <v>10</v>
      </c>
      <c r="G2953" s="1" t="str">
        <f>_xlfn.XLOOKUP(tblSales[[#This Row],[Product Code]],tblProducts[Code],tblProducts[Product / Service Name],"⚠ Unknown")</f>
        <v>Chino Pants</v>
      </c>
      <c r="H2953" s="1" t="str">
        <f>_xlfn.XLOOKUP(tblSales[[#This Row],[Product Code]],tblProducts[Code],tblProducts[Category],"")</f>
        <v>Apparel &amp; Footwear</v>
      </c>
      <c r="I2953" s="4">
        <v>64</v>
      </c>
      <c r="J2953" s="5">
        <f>_xlfn.XLOOKUP(tblSales[[#This Row],[Product Code]],tblProducts[Code],tblProducts[Selling Price (excl. VAT)],0)</f>
        <v>150000</v>
      </c>
      <c r="K2953" s="5">
        <f>tblSales[[#This Row],[Qty]]*tblSales[[#This Row],[Unit Price]]</f>
        <v>9600000</v>
      </c>
      <c r="L2953" s="5">
        <f>ROUND(tblSales[[#This Row],[DPP (excl. VAT)]]*VATEff,0)</f>
        <v>1056000</v>
      </c>
      <c r="M2953" s="5">
        <f>tblSales[[#This Row],[DPP (excl. VAT)]]+tblSales[[#This Row],[Output VAT]]</f>
        <v>10656000</v>
      </c>
      <c r="N2953" s="5">
        <f>tblSales[[#This Row],[Qty]]*_xlfn.XLOOKUP(tblSales[[#This Row],[Product Code]],tblProducts[Code],tblProducts[Unit Cost],0)</f>
        <v>5632000</v>
      </c>
      <c r="O2953" s="4" t="s">
        <v>4867</v>
      </c>
      <c r="P2953" s="4" t="s">
        <v>4860</v>
      </c>
      <c r="Q2953" s="1" t="str">
        <f>_xlfn.XLOOKUP(tblSales[[#This Row],[Channel Code]],tblChannels[Channel Code],tblChannels[Channel Name],"")</f>
        <v>In-store</v>
      </c>
      <c r="R2953" s="1">
        <f>MONTH(tblSales[[#This Row],[Date]])</f>
        <v>6</v>
      </c>
    </row>
    <row r="2954" spans="2:18" x14ac:dyDescent="0.35">
      <c r="B2954" s="113">
        <v>46199</v>
      </c>
      <c r="C2954" s="4" t="s">
        <v>1987</v>
      </c>
      <c r="D2954" s="4" t="s">
        <v>4568</v>
      </c>
      <c r="E2954" s="1" t="str">
        <f>_xlfn.XLOOKUP(tblSales[[#This Row],[Customer ID]],tblCustomers[Customer ID],tblCustomers[Customer Name],"⚠ Unknown")</f>
        <v>Walk-in Customer</v>
      </c>
      <c r="F2954" s="4" t="s">
        <v>7</v>
      </c>
      <c r="G2954" s="1" t="str">
        <f>_xlfn.XLOOKUP(tblSales[[#This Row],[Product Code]],tblProducts[Code],tblProducts[Product / Service Name],"⚠ Unknown")</f>
        <v>Premium Basic T-shirt</v>
      </c>
      <c r="H2954" s="1" t="str">
        <f>_xlfn.XLOOKUP(tblSales[[#This Row],[Product Code]],tblProducts[Code],tblProducts[Category],"")</f>
        <v>Accessories &amp; Basics</v>
      </c>
      <c r="I2954" s="4">
        <v>6</v>
      </c>
      <c r="J2954" s="5">
        <f>_xlfn.XLOOKUP(tblSales[[#This Row],[Product Code]],tblProducts[Code],tblProducts[Selling Price (excl. VAT)],0)</f>
        <v>65000</v>
      </c>
      <c r="K2954" s="5">
        <f>tblSales[[#This Row],[Qty]]*tblSales[[#This Row],[Unit Price]]</f>
        <v>390000</v>
      </c>
      <c r="L2954" s="5">
        <f>ROUND(tblSales[[#This Row],[DPP (excl. VAT)]]*VATEff,0)</f>
        <v>42900</v>
      </c>
      <c r="M2954" s="5">
        <f>tblSales[[#This Row],[DPP (excl. VAT)]]+tblSales[[#This Row],[Output VAT]]</f>
        <v>432900</v>
      </c>
      <c r="N2954" s="5">
        <f>tblSales[[#This Row],[Qty]]*_xlfn.XLOOKUP(tblSales[[#This Row],[Product Code]],tblProducts[Code],tblProducts[Unit Cost],0)</f>
        <v>222000</v>
      </c>
      <c r="O2954" s="4" t="s">
        <v>4866</v>
      </c>
      <c r="P2954" s="4" t="s">
        <v>4861</v>
      </c>
      <c r="Q2954" s="1" t="str">
        <f>_xlfn.XLOOKUP(tblSales[[#This Row],[Channel Code]],tblChannels[Channel Code],tblChannels[Channel Name],"")</f>
        <v>Marketplace</v>
      </c>
      <c r="R2954" s="1">
        <f>MONTH(tblSales[[#This Row],[Date]])</f>
        <v>6</v>
      </c>
    </row>
    <row r="2955" spans="2:18" x14ac:dyDescent="0.35">
      <c r="B2955" s="113">
        <v>46199</v>
      </c>
      <c r="C2955" s="4" t="s">
        <v>1988</v>
      </c>
      <c r="D2955" s="4" t="s">
        <v>4585</v>
      </c>
      <c r="E2955" s="1" t="str">
        <f>_xlfn.XLOOKUP(tblSales[[#This Row],[Customer ID]],tblCustomers[Customer ID],tblCustomers[Customer Name],"⚠ Unknown")</f>
        <v>CV Mitra Karya Mandiri</v>
      </c>
      <c r="F2955" s="4" t="s">
        <v>11</v>
      </c>
      <c r="G2955" s="1" t="str">
        <f>_xlfn.XLOOKUP(tblSales[[#This Row],[Product Code]],tblProducts[Code],tblProducts[Product / Service Name],"⚠ Unknown")</f>
        <v>Sneakers</v>
      </c>
      <c r="H2955" s="1" t="str">
        <f>_xlfn.XLOOKUP(tblSales[[#This Row],[Product Code]],tblProducts[Code],tblProducts[Category],"")</f>
        <v>Apparel &amp; Footwear</v>
      </c>
      <c r="I2955" s="4">
        <v>48</v>
      </c>
      <c r="J2955" s="5">
        <f>_xlfn.XLOOKUP(tblSales[[#This Row],[Product Code]],tblProducts[Code],tblProducts[Selling Price (excl. VAT)],0)</f>
        <v>250000</v>
      </c>
      <c r="K2955" s="5">
        <f>tblSales[[#This Row],[Qty]]*tblSales[[#This Row],[Unit Price]]</f>
        <v>12000000</v>
      </c>
      <c r="L2955" s="5">
        <f>ROUND(tblSales[[#This Row],[DPP (excl. VAT)]]*VATEff,0)</f>
        <v>1320000</v>
      </c>
      <c r="M2955" s="5">
        <f>tblSales[[#This Row],[DPP (excl. VAT)]]+tblSales[[#This Row],[Output VAT]]</f>
        <v>13320000</v>
      </c>
      <c r="N2955" s="5">
        <f>tblSales[[#This Row],[Qty]]*_xlfn.XLOOKUP(tblSales[[#This Row],[Product Code]],tblProducts[Code],tblProducts[Unit Cost],0)</f>
        <v>7440000</v>
      </c>
      <c r="O2955" s="4" t="s">
        <v>4867</v>
      </c>
      <c r="P2955" s="4" t="s">
        <v>4860</v>
      </c>
      <c r="Q2955" s="1" t="str">
        <f>_xlfn.XLOOKUP(tblSales[[#This Row],[Channel Code]],tblChannels[Channel Code],tblChannels[Channel Name],"")</f>
        <v>In-store</v>
      </c>
      <c r="R2955" s="1">
        <f>MONTH(tblSales[[#This Row],[Date]])</f>
        <v>6</v>
      </c>
    </row>
    <row r="2956" spans="2:18" x14ac:dyDescent="0.35">
      <c r="B2956" s="113">
        <v>46199</v>
      </c>
      <c r="C2956" s="4" t="s">
        <v>1988</v>
      </c>
      <c r="D2956" s="4" t="s">
        <v>4585</v>
      </c>
      <c r="E2956" s="1" t="str">
        <f>_xlfn.XLOOKUP(tblSales[[#This Row],[Customer ID]],tblCustomers[Customer ID],tblCustomers[Customer Name],"⚠ Unknown")</f>
        <v>CV Mitra Karya Mandiri</v>
      </c>
      <c r="F2956" s="4" t="s">
        <v>7</v>
      </c>
      <c r="G2956" s="1" t="str">
        <f>_xlfn.XLOOKUP(tblSales[[#This Row],[Product Code]],tblProducts[Code],tblProducts[Product / Service Name],"⚠ Unknown")</f>
        <v>Premium Basic T-shirt</v>
      </c>
      <c r="H2956" s="1" t="str">
        <f>_xlfn.XLOOKUP(tblSales[[#This Row],[Product Code]],tblProducts[Code],tblProducts[Category],"")</f>
        <v>Accessories &amp; Basics</v>
      </c>
      <c r="I2956" s="4">
        <v>56</v>
      </c>
      <c r="J2956" s="5">
        <f>_xlfn.XLOOKUP(tblSales[[#This Row],[Product Code]],tblProducts[Code],tblProducts[Selling Price (excl. VAT)],0)</f>
        <v>65000</v>
      </c>
      <c r="K2956" s="5">
        <f>tblSales[[#This Row],[Qty]]*tblSales[[#This Row],[Unit Price]]</f>
        <v>3640000</v>
      </c>
      <c r="L2956" s="5">
        <f>ROUND(tblSales[[#This Row],[DPP (excl. VAT)]]*VATEff,0)</f>
        <v>400400</v>
      </c>
      <c r="M2956" s="5">
        <f>tblSales[[#This Row],[DPP (excl. VAT)]]+tblSales[[#This Row],[Output VAT]]</f>
        <v>4040400</v>
      </c>
      <c r="N2956" s="5">
        <f>tblSales[[#This Row],[Qty]]*_xlfn.XLOOKUP(tblSales[[#This Row],[Product Code]],tblProducts[Code],tblProducts[Unit Cost],0)</f>
        <v>2072000</v>
      </c>
      <c r="O2956" s="4" t="s">
        <v>4867</v>
      </c>
      <c r="P2956" s="4" t="s">
        <v>4860</v>
      </c>
      <c r="Q2956" s="1" t="str">
        <f>_xlfn.XLOOKUP(tblSales[[#This Row],[Channel Code]],tblChannels[Channel Code],tblChannels[Channel Name],"")</f>
        <v>In-store</v>
      </c>
      <c r="R2956" s="1">
        <f>MONTH(tblSales[[#This Row],[Date]])</f>
        <v>6</v>
      </c>
    </row>
    <row r="2957" spans="2:18" x14ac:dyDescent="0.35">
      <c r="B2957" s="113">
        <v>46199</v>
      </c>
      <c r="C2957" s="4" t="s">
        <v>1989</v>
      </c>
      <c r="D2957" s="4" t="s">
        <v>4568</v>
      </c>
      <c r="E2957" s="1" t="str">
        <f>_xlfn.XLOOKUP(tblSales[[#This Row],[Customer ID]],tblCustomers[Customer ID],tblCustomers[Customer Name],"⚠ Unknown")</f>
        <v>Walk-in Customer</v>
      </c>
      <c r="F2957" s="4" t="s">
        <v>12</v>
      </c>
      <c r="G2957" s="1" t="str">
        <f>_xlfn.XLOOKUP(tblSales[[#This Row],[Product Code]],tblProducts[Code],tblProducts[Product / Service Name],"⚠ Unknown")</f>
        <v>Bomber Jacket</v>
      </c>
      <c r="H2957" s="1" t="str">
        <f>_xlfn.XLOOKUP(tblSales[[#This Row],[Product Code]],tblProducts[Code],tblProducts[Category],"")</f>
        <v>Apparel &amp; Footwear</v>
      </c>
      <c r="I2957" s="4">
        <v>6</v>
      </c>
      <c r="J2957" s="5">
        <f>_xlfn.XLOOKUP(tblSales[[#This Row],[Product Code]],tblProducts[Code],tblProducts[Selling Price (excl. VAT)],0)</f>
        <v>350000</v>
      </c>
      <c r="K2957" s="5">
        <f>tblSales[[#This Row],[Qty]]*tblSales[[#This Row],[Unit Price]]</f>
        <v>2100000</v>
      </c>
      <c r="L2957" s="5">
        <f>ROUND(tblSales[[#This Row],[DPP (excl. VAT)]]*VATEff,0)</f>
        <v>231000</v>
      </c>
      <c r="M2957" s="5">
        <f>tblSales[[#This Row],[DPP (excl. VAT)]]+tblSales[[#This Row],[Output VAT]]</f>
        <v>2331000</v>
      </c>
      <c r="N2957" s="5">
        <f>tblSales[[#This Row],[Qty]]*_xlfn.XLOOKUP(tblSales[[#This Row],[Product Code]],tblProducts[Code],tblProducts[Unit Cost],0)</f>
        <v>1260000</v>
      </c>
      <c r="O2957" s="4" t="s">
        <v>4866</v>
      </c>
      <c r="P2957" s="4" t="s">
        <v>4861</v>
      </c>
      <c r="Q2957" s="1" t="str">
        <f>_xlfn.XLOOKUP(tblSales[[#This Row],[Channel Code]],tblChannels[Channel Code],tblChannels[Channel Name],"")</f>
        <v>Marketplace</v>
      </c>
      <c r="R2957" s="1">
        <f>MONTH(tblSales[[#This Row],[Date]])</f>
        <v>6</v>
      </c>
    </row>
    <row r="2958" spans="2:18" x14ac:dyDescent="0.35">
      <c r="B2958" s="113">
        <v>46200</v>
      </c>
      <c r="C2958" s="4" t="s">
        <v>1990</v>
      </c>
      <c r="D2958" s="4" t="s">
        <v>4568</v>
      </c>
      <c r="E2958" s="1" t="str">
        <f>_xlfn.XLOOKUP(tblSales[[#This Row],[Customer ID]],tblCustomers[Customer ID],tblCustomers[Customer Name],"⚠ Unknown")</f>
        <v>Walk-in Customer</v>
      </c>
      <c r="F2958" s="4" t="s">
        <v>13</v>
      </c>
      <c r="G2958" s="1" t="str">
        <f>_xlfn.XLOOKUP(tblSales[[#This Row],[Product Code]],tblProducts[Code],tblProducts[Product / Service Name],"⚠ Unknown")</f>
        <v>Backpack</v>
      </c>
      <c r="H2958" s="1" t="str">
        <f>_xlfn.XLOOKUP(tblSales[[#This Row],[Product Code]],tblProducts[Code],tblProducts[Category],"")</f>
        <v>Bags &amp; Gadgets</v>
      </c>
      <c r="I2958" s="4">
        <v>5</v>
      </c>
      <c r="J2958" s="5">
        <f>_xlfn.XLOOKUP(tblSales[[#This Row],[Product Code]],tblProducts[Code],tblProducts[Selling Price (excl. VAT)],0)</f>
        <v>500000</v>
      </c>
      <c r="K2958" s="5">
        <f>tblSales[[#This Row],[Qty]]*tblSales[[#This Row],[Unit Price]]</f>
        <v>2500000</v>
      </c>
      <c r="L2958" s="5">
        <f>ROUND(tblSales[[#This Row],[DPP (excl. VAT)]]*VATEff,0)</f>
        <v>275000</v>
      </c>
      <c r="M2958" s="5">
        <f>tblSales[[#This Row],[DPP (excl. VAT)]]+tblSales[[#This Row],[Output VAT]]</f>
        <v>2775000</v>
      </c>
      <c r="N2958" s="5">
        <f>tblSales[[#This Row],[Qty]]*_xlfn.XLOOKUP(tblSales[[#This Row],[Product Code]],tblProducts[Code],tblProducts[Unit Cost],0)</f>
        <v>1450000</v>
      </c>
      <c r="O2958" s="4" t="s">
        <v>4865</v>
      </c>
      <c r="P2958" s="4" t="s">
        <v>4860</v>
      </c>
      <c r="Q2958" s="1" t="str">
        <f>_xlfn.XLOOKUP(tblSales[[#This Row],[Channel Code]],tblChannels[Channel Code],tblChannels[Channel Name],"")</f>
        <v>In-store</v>
      </c>
      <c r="R2958" s="1">
        <f>MONTH(tblSales[[#This Row],[Date]])</f>
        <v>6</v>
      </c>
    </row>
    <row r="2959" spans="2:18" x14ac:dyDescent="0.35">
      <c r="B2959" s="113">
        <v>46200</v>
      </c>
      <c r="C2959" s="4" t="s">
        <v>1991</v>
      </c>
      <c r="D2959" s="4" t="s">
        <v>4568</v>
      </c>
      <c r="E2959" s="1" t="str">
        <f>_xlfn.XLOOKUP(tblSales[[#This Row],[Customer ID]],tblCustomers[Customer ID],tblCustomers[Customer Name],"⚠ Unknown")</f>
        <v>Walk-in Customer</v>
      </c>
      <c r="F2959" s="4" t="s">
        <v>10</v>
      </c>
      <c r="G2959" s="1" t="str">
        <f>_xlfn.XLOOKUP(tblSales[[#This Row],[Product Code]],tblProducts[Code],tblProducts[Product / Service Name],"⚠ Unknown")</f>
        <v>Chino Pants</v>
      </c>
      <c r="H2959" s="1" t="str">
        <f>_xlfn.XLOOKUP(tblSales[[#This Row],[Product Code]],tblProducts[Code],tblProducts[Category],"")</f>
        <v>Apparel &amp; Footwear</v>
      </c>
      <c r="I2959" s="4">
        <v>2</v>
      </c>
      <c r="J2959" s="5">
        <f>_xlfn.XLOOKUP(tblSales[[#This Row],[Product Code]],tblProducts[Code],tblProducts[Selling Price (excl. VAT)],0)</f>
        <v>150000</v>
      </c>
      <c r="K2959" s="5">
        <f>tblSales[[#This Row],[Qty]]*tblSales[[#This Row],[Unit Price]]</f>
        <v>300000</v>
      </c>
      <c r="L2959" s="5">
        <f>ROUND(tblSales[[#This Row],[DPP (excl. VAT)]]*VATEff,0)</f>
        <v>33000</v>
      </c>
      <c r="M2959" s="5">
        <f>tblSales[[#This Row],[DPP (excl. VAT)]]+tblSales[[#This Row],[Output VAT]]</f>
        <v>333000</v>
      </c>
      <c r="N2959" s="5">
        <f>tblSales[[#This Row],[Qty]]*_xlfn.XLOOKUP(tblSales[[#This Row],[Product Code]],tblProducts[Code],tblProducts[Unit Cost],0)</f>
        <v>176000</v>
      </c>
      <c r="O2959" s="4" t="s">
        <v>4866</v>
      </c>
      <c r="P2959" s="4" t="s">
        <v>4861</v>
      </c>
      <c r="Q2959" s="1" t="str">
        <f>_xlfn.XLOOKUP(tblSales[[#This Row],[Channel Code]],tblChannels[Channel Code],tblChannels[Channel Name],"")</f>
        <v>Marketplace</v>
      </c>
      <c r="R2959" s="1">
        <f>MONTH(tblSales[[#This Row],[Date]])</f>
        <v>6</v>
      </c>
    </row>
    <row r="2960" spans="2:18" x14ac:dyDescent="0.35">
      <c r="B2960" s="113">
        <v>46200</v>
      </c>
      <c r="C2960" s="4" t="s">
        <v>1991</v>
      </c>
      <c r="D2960" s="4" t="s">
        <v>4568</v>
      </c>
      <c r="E2960" s="1" t="str">
        <f>_xlfn.XLOOKUP(tblSales[[#This Row],[Customer ID]],tblCustomers[Customer ID],tblCustomers[Customer Name],"⚠ Unknown")</f>
        <v>Walk-in Customer</v>
      </c>
      <c r="F2960" s="4" t="s">
        <v>7</v>
      </c>
      <c r="G2960" s="1" t="str">
        <f>_xlfn.XLOOKUP(tblSales[[#This Row],[Product Code]],tblProducts[Code],tblProducts[Product / Service Name],"⚠ Unknown")</f>
        <v>Premium Basic T-shirt</v>
      </c>
      <c r="H2960" s="1" t="str">
        <f>_xlfn.XLOOKUP(tblSales[[#This Row],[Product Code]],tblProducts[Code],tblProducts[Category],"")</f>
        <v>Accessories &amp; Basics</v>
      </c>
      <c r="I2960" s="4">
        <v>1</v>
      </c>
      <c r="J2960" s="5">
        <f>_xlfn.XLOOKUP(tblSales[[#This Row],[Product Code]],tblProducts[Code],tblProducts[Selling Price (excl. VAT)],0)</f>
        <v>65000</v>
      </c>
      <c r="K2960" s="5">
        <f>tblSales[[#This Row],[Qty]]*tblSales[[#This Row],[Unit Price]]</f>
        <v>65000</v>
      </c>
      <c r="L2960" s="5">
        <f>ROUND(tblSales[[#This Row],[DPP (excl. VAT)]]*VATEff,0)</f>
        <v>7150</v>
      </c>
      <c r="M2960" s="5">
        <f>tblSales[[#This Row],[DPP (excl. VAT)]]+tblSales[[#This Row],[Output VAT]]</f>
        <v>72150</v>
      </c>
      <c r="N2960" s="5">
        <f>tblSales[[#This Row],[Qty]]*_xlfn.XLOOKUP(tblSales[[#This Row],[Product Code]],tblProducts[Code],tblProducts[Unit Cost],0)</f>
        <v>37000</v>
      </c>
      <c r="O2960" s="4" t="s">
        <v>4866</v>
      </c>
      <c r="P2960" s="4" t="s">
        <v>4861</v>
      </c>
      <c r="Q2960" s="1" t="str">
        <f>_xlfn.XLOOKUP(tblSales[[#This Row],[Channel Code]],tblChannels[Channel Code],tblChannels[Channel Name],"")</f>
        <v>Marketplace</v>
      </c>
      <c r="R2960" s="1">
        <f>MONTH(tblSales[[#This Row],[Date]])</f>
        <v>6</v>
      </c>
    </row>
    <row r="2961" spans="2:18" x14ac:dyDescent="0.35">
      <c r="B2961" s="113">
        <v>46200</v>
      </c>
      <c r="C2961" s="4" t="s">
        <v>1992</v>
      </c>
      <c r="D2961" s="4" t="s">
        <v>4568</v>
      </c>
      <c r="E2961" s="1" t="str">
        <f>_xlfn.XLOOKUP(tblSales[[#This Row],[Customer ID]],tblCustomers[Customer ID],tblCustomers[Customer Name],"⚠ Unknown")</f>
        <v>Walk-in Customer</v>
      </c>
      <c r="F2961" s="4" t="s">
        <v>8</v>
      </c>
      <c r="G2961" s="1" t="str">
        <f>_xlfn.XLOOKUP(tblSales[[#This Row],[Product Code]],tblProducts[Code],tblProducts[Product / Service Name],"⚠ Unknown")</f>
        <v>Casual Shorts</v>
      </c>
      <c r="H2961" s="1" t="str">
        <f>_xlfn.XLOOKUP(tblSales[[#This Row],[Product Code]],tblProducts[Code],tblProducts[Category],"")</f>
        <v>Accessories &amp; Basics</v>
      </c>
      <c r="I2961" s="4">
        <v>5</v>
      </c>
      <c r="J2961" s="5">
        <f>_xlfn.XLOOKUP(tblSales[[#This Row],[Product Code]],tblProducts[Code],tblProducts[Selling Price (excl. VAT)],0)</f>
        <v>85000</v>
      </c>
      <c r="K2961" s="5">
        <f>tblSales[[#This Row],[Qty]]*tblSales[[#This Row],[Unit Price]]</f>
        <v>425000</v>
      </c>
      <c r="L2961" s="5">
        <f>ROUND(tblSales[[#This Row],[DPP (excl. VAT)]]*VATEff,0)</f>
        <v>46750</v>
      </c>
      <c r="M2961" s="5">
        <f>tblSales[[#This Row],[DPP (excl. VAT)]]+tblSales[[#This Row],[Output VAT]]</f>
        <v>471750</v>
      </c>
      <c r="N2961" s="5">
        <f>tblSales[[#This Row],[Qty]]*_xlfn.XLOOKUP(tblSales[[#This Row],[Product Code]],tblProducts[Code],tblProducts[Unit Cost],0)</f>
        <v>250000</v>
      </c>
      <c r="O2961" s="4" t="s">
        <v>4866</v>
      </c>
      <c r="P2961" s="4" t="s">
        <v>4862</v>
      </c>
      <c r="Q2961" s="1" t="str">
        <f>_xlfn.XLOOKUP(tblSales[[#This Row],[Channel Code]],tblChannels[Channel Code],tblChannels[Channel Name],"")</f>
        <v>Website &amp; Social Media</v>
      </c>
      <c r="R2961" s="1">
        <f>MONTH(tblSales[[#This Row],[Date]])</f>
        <v>6</v>
      </c>
    </row>
    <row r="2962" spans="2:18" x14ac:dyDescent="0.35">
      <c r="B2962" s="113">
        <v>46200</v>
      </c>
      <c r="C2962" s="4" t="s">
        <v>1993</v>
      </c>
      <c r="D2962" s="4" t="s">
        <v>4568</v>
      </c>
      <c r="E2962" s="1" t="str">
        <f>_xlfn.XLOOKUP(tblSales[[#This Row],[Customer ID]],tblCustomers[Customer ID],tblCustomers[Customer Name],"⚠ Unknown")</f>
        <v>Walk-in Customer</v>
      </c>
      <c r="F2962" s="4" t="s">
        <v>11</v>
      </c>
      <c r="G2962" s="1" t="str">
        <f>_xlfn.XLOOKUP(tblSales[[#This Row],[Product Code]],tblProducts[Code],tblProducts[Product / Service Name],"⚠ Unknown")</f>
        <v>Sneakers</v>
      </c>
      <c r="H2962" s="1" t="str">
        <f>_xlfn.XLOOKUP(tblSales[[#This Row],[Product Code]],tblProducts[Code],tblProducts[Category],"")</f>
        <v>Apparel &amp; Footwear</v>
      </c>
      <c r="I2962" s="4">
        <v>3</v>
      </c>
      <c r="J2962" s="5">
        <f>_xlfn.XLOOKUP(tblSales[[#This Row],[Product Code]],tblProducts[Code],tblProducts[Selling Price (excl. VAT)],0)</f>
        <v>250000</v>
      </c>
      <c r="K2962" s="5">
        <f>tblSales[[#This Row],[Qty]]*tblSales[[#This Row],[Unit Price]]</f>
        <v>750000</v>
      </c>
      <c r="L2962" s="5">
        <f>ROUND(tblSales[[#This Row],[DPP (excl. VAT)]]*VATEff,0)</f>
        <v>82500</v>
      </c>
      <c r="M2962" s="5">
        <f>tblSales[[#This Row],[DPP (excl. VAT)]]+tblSales[[#This Row],[Output VAT]]</f>
        <v>832500</v>
      </c>
      <c r="N2962" s="5">
        <f>tblSales[[#This Row],[Qty]]*_xlfn.XLOOKUP(tblSales[[#This Row],[Product Code]],tblProducts[Code],tblProducts[Unit Cost],0)</f>
        <v>465000</v>
      </c>
      <c r="O2962" s="4" t="s">
        <v>4865</v>
      </c>
      <c r="P2962" s="4" t="s">
        <v>4860</v>
      </c>
      <c r="Q2962" s="1" t="str">
        <f>_xlfn.XLOOKUP(tblSales[[#This Row],[Channel Code]],tblChannels[Channel Code],tblChannels[Channel Name],"")</f>
        <v>In-store</v>
      </c>
      <c r="R2962" s="1">
        <f>MONTH(tblSales[[#This Row],[Date]])</f>
        <v>6</v>
      </c>
    </row>
    <row r="2963" spans="2:18" x14ac:dyDescent="0.35">
      <c r="B2963" s="113">
        <v>46200</v>
      </c>
      <c r="C2963" s="4" t="s">
        <v>1994</v>
      </c>
      <c r="D2963" s="4" t="s">
        <v>4568</v>
      </c>
      <c r="E2963" s="1" t="str">
        <f>_xlfn.XLOOKUP(tblSales[[#This Row],[Customer ID]],tblCustomers[Customer ID],tblCustomers[Customer Name],"⚠ Unknown")</f>
        <v>Walk-in Customer</v>
      </c>
      <c r="F2963" s="4" t="s">
        <v>6</v>
      </c>
      <c r="G2963" s="1" t="str">
        <f>_xlfn.XLOOKUP(tblSales[[#This Row],[Product Code]],tblProducts[Code],tblProducts[Product / Service Name],"⚠ Unknown")</f>
        <v>Socks &amp; Accessories</v>
      </c>
      <c r="H2963" s="1" t="str">
        <f>_xlfn.XLOOKUP(tblSales[[#This Row],[Product Code]],tblProducts[Code],tblProducts[Category],"")</f>
        <v>Accessories &amp; Basics</v>
      </c>
      <c r="I2963" s="4">
        <v>6</v>
      </c>
      <c r="J2963" s="5">
        <f>_xlfn.XLOOKUP(tblSales[[#This Row],[Product Code]],tblProducts[Code],tblProducts[Selling Price (excl. VAT)],0)</f>
        <v>45000</v>
      </c>
      <c r="K2963" s="5">
        <f>tblSales[[#This Row],[Qty]]*tblSales[[#This Row],[Unit Price]]</f>
        <v>270000</v>
      </c>
      <c r="L2963" s="5">
        <f>ROUND(tblSales[[#This Row],[DPP (excl. VAT)]]*VATEff,0)</f>
        <v>29700</v>
      </c>
      <c r="M2963" s="5">
        <f>tblSales[[#This Row],[DPP (excl. VAT)]]+tblSales[[#This Row],[Output VAT]]</f>
        <v>299700</v>
      </c>
      <c r="N2963" s="5">
        <f>tblSales[[#This Row],[Qty]]*_xlfn.XLOOKUP(tblSales[[#This Row],[Product Code]],tblProducts[Code],tblProducts[Unit Cost],0)</f>
        <v>144000</v>
      </c>
      <c r="O2963" s="4" t="s">
        <v>4866</v>
      </c>
      <c r="P2963" s="4" t="s">
        <v>4861</v>
      </c>
      <c r="Q2963" s="1" t="str">
        <f>_xlfn.XLOOKUP(tblSales[[#This Row],[Channel Code]],tblChannels[Channel Code],tblChannels[Channel Name],"")</f>
        <v>Marketplace</v>
      </c>
      <c r="R2963" s="1">
        <f>MONTH(tblSales[[#This Row],[Date]])</f>
        <v>6</v>
      </c>
    </row>
    <row r="2964" spans="2:18" x14ac:dyDescent="0.35">
      <c r="B2964" s="113">
        <v>46200</v>
      </c>
      <c r="C2964" s="4" t="s">
        <v>1995</v>
      </c>
      <c r="D2964" s="4" t="s">
        <v>4568</v>
      </c>
      <c r="E2964" s="1" t="str">
        <f>_xlfn.XLOOKUP(tblSales[[#This Row],[Customer ID]],tblCustomers[Customer ID],tblCustomers[Customer Name],"⚠ Unknown")</f>
        <v>Walk-in Customer</v>
      </c>
      <c r="F2964" s="4" t="s">
        <v>7</v>
      </c>
      <c r="G2964" s="1" t="str">
        <f>_xlfn.XLOOKUP(tblSales[[#This Row],[Product Code]],tblProducts[Code],tblProducts[Product / Service Name],"⚠ Unknown")</f>
        <v>Premium Basic T-shirt</v>
      </c>
      <c r="H2964" s="1" t="str">
        <f>_xlfn.XLOOKUP(tblSales[[#This Row],[Product Code]],tblProducts[Code],tblProducts[Category],"")</f>
        <v>Accessories &amp; Basics</v>
      </c>
      <c r="I2964" s="4">
        <v>4</v>
      </c>
      <c r="J2964" s="5">
        <f>_xlfn.XLOOKUP(tblSales[[#This Row],[Product Code]],tblProducts[Code],tblProducts[Selling Price (excl. VAT)],0)</f>
        <v>65000</v>
      </c>
      <c r="K2964" s="5">
        <f>tblSales[[#This Row],[Qty]]*tblSales[[#This Row],[Unit Price]]</f>
        <v>260000</v>
      </c>
      <c r="L2964" s="5">
        <f>ROUND(tblSales[[#This Row],[DPP (excl. VAT)]]*VATEff,0)</f>
        <v>28600</v>
      </c>
      <c r="M2964" s="5">
        <f>tblSales[[#This Row],[DPP (excl. VAT)]]+tblSales[[#This Row],[Output VAT]]</f>
        <v>288600</v>
      </c>
      <c r="N2964" s="5">
        <f>tblSales[[#This Row],[Qty]]*_xlfn.XLOOKUP(tblSales[[#This Row],[Product Code]],tblProducts[Code],tblProducts[Unit Cost],0)</f>
        <v>148000</v>
      </c>
      <c r="O2964" s="4" t="s">
        <v>4865</v>
      </c>
      <c r="P2964" s="4" t="s">
        <v>4860</v>
      </c>
      <c r="Q2964" s="1" t="str">
        <f>_xlfn.XLOOKUP(tblSales[[#This Row],[Channel Code]],tblChannels[Channel Code],tblChannels[Channel Name],"")</f>
        <v>In-store</v>
      </c>
      <c r="R2964" s="1">
        <f>MONTH(tblSales[[#This Row],[Date]])</f>
        <v>6</v>
      </c>
    </row>
    <row r="2965" spans="2:18" x14ac:dyDescent="0.35">
      <c r="B2965" s="113">
        <v>46200</v>
      </c>
      <c r="C2965" s="4" t="s">
        <v>1996</v>
      </c>
      <c r="D2965" s="4" t="s">
        <v>4568</v>
      </c>
      <c r="E2965" s="1" t="str">
        <f>_xlfn.XLOOKUP(tblSales[[#This Row],[Customer ID]],tblCustomers[Customer ID],tblCustomers[Customer Name],"⚠ Unknown")</f>
        <v>Walk-in Customer</v>
      </c>
      <c r="F2965" s="4" t="s">
        <v>10</v>
      </c>
      <c r="G2965" s="1" t="str">
        <f>_xlfn.XLOOKUP(tblSales[[#This Row],[Product Code]],tblProducts[Code],tblProducts[Product / Service Name],"⚠ Unknown")</f>
        <v>Chino Pants</v>
      </c>
      <c r="H2965" s="1" t="str">
        <f>_xlfn.XLOOKUP(tblSales[[#This Row],[Product Code]],tblProducts[Code],tblProducts[Category],"")</f>
        <v>Apparel &amp; Footwear</v>
      </c>
      <c r="I2965" s="4">
        <v>6</v>
      </c>
      <c r="J2965" s="5">
        <f>_xlfn.XLOOKUP(tblSales[[#This Row],[Product Code]],tblProducts[Code],tblProducts[Selling Price (excl. VAT)],0)</f>
        <v>150000</v>
      </c>
      <c r="K2965" s="5">
        <f>tblSales[[#This Row],[Qty]]*tblSales[[#This Row],[Unit Price]]</f>
        <v>900000</v>
      </c>
      <c r="L2965" s="5">
        <f>ROUND(tblSales[[#This Row],[DPP (excl. VAT)]]*VATEff,0)</f>
        <v>99000</v>
      </c>
      <c r="M2965" s="5">
        <f>tblSales[[#This Row],[DPP (excl. VAT)]]+tblSales[[#This Row],[Output VAT]]</f>
        <v>999000</v>
      </c>
      <c r="N2965" s="5">
        <f>tblSales[[#This Row],[Qty]]*_xlfn.XLOOKUP(tblSales[[#This Row],[Product Code]],tblProducts[Code],tblProducts[Unit Cost],0)</f>
        <v>528000</v>
      </c>
      <c r="O2965" s="4" t="s">
        <v>4866</v>
      </c>
      <c r="P2965" s="4" t="s">
        <v>4860</v>
      </c>
      <c r="Q2965" s="1" t="str">
        <f>_xlfn.XLOOKUP(tblSales[[#This Row],[Channel Code]],tblChannels[Channel Code],tblChannels[Channel Name],"")</f>
        <v>In-store</v>
      </c>
      <c r="R2965" s="1">
        <f>MONTH(tblSales[[#This Row],[Date]])</f>
        <v>6</v>
      </c>
    </row>
    <row r="2966" spans="2:18" x14ac:dyDescent="0.35">
      <c r="B2966" s="113">
        <v>46200</v>
      </c>
      <c r="C2966" s="4" t="s">
        <v>1997</v>
      </c>
      <c r="D2966" s="4" t="s">
        <v>4568</v>
      </c>
      <c r="E2966" s="1" t="str">
        <f>_xlfn.XLOOKUP(tblSales[[#This Row],[Customer ID]],tblCustomers[Customer ID],tblCustomers[Customer Name],"⚠ Unknown")</f>
        <v>Walk-in Customer</v>
      </c>
      <c r="F2966" s="4" t="s">
        <v>8</v>
      </c>
      <c r="G2966" s="1" t="str">
        <f>_xlfn.XLOOKUP(tblSales[[#This Row],[Product Code]],tblProducts[Code],tblProducts[Product / Service Name],"⚠ Unknown")</f>
        <v>Casual Shorts</v>
      </c>
      <c r="H2966" s="1" t="str">
        <f>_xlfn.XLOOKUP(tblSales[[#This Row],[Product Code]],tblProducts[Code],tblProducts[Category],"")</f>
        <v>Accessories &amp; Basics</v>
      </c>
      <c r="I2966" s="4">
        <v>7</v>
      </c>
      <c r="J2966" s="5">
        <f>_xlfn.XLOOKUP(tblSales[[#This Row],[Product Code]],tblProducts[Code],tblProducts[Selling Price (excl. VAT)],0)</f>
        <v>85000</v>
      </c>
      <c r="K2966" s="5">
        <f>tblSales[[#This Row],[Qty]]*tblSales[[#This Row],[Unit Price]]</f>
        <v>595000</v>
      </c>
      <c r="L2966" s="5">
        <f>ROUND(tblSales[[#This Row],[DPP (excl. VAT)]]*VATEff,0)</f>
        <v>65450</v>
      </c>
      <c r="M2966" s="5">
        <f>tblSales[[#This Row],[DPP (excl. VAT)]]+tblSales[[#This Row],[Output VAT]]</f>
        <v>660450</v>
      </c>
      <c r="N2966" s="5">
        <f>tblSales[[#This Row],[Qty]]*_xlfn.XLOOKUP(tblSales[[#This Row],[Product Code]],tblProducts[Code],tblProducts[Unit Cost],0)</f>
        <v>350000</v>
      </c>
      <c r="O2966" s="4" t="s">
        <v>4865</v>
      </c>
      <c r="P2966" s="4" t="s">
        <v>4860</v>
      </c>
      <c r="Q2966" s="1" t="str">
        <f>_xlfn.XLOOKUP(tblSales[[#This Row],[Channel Code]],tblChannels[Channel Code],tblChannels[Channel Name],"")</f>
        <v>In-store</v>
      </c>
      <c r="R2966" s="1">
        <f>MONTH(tblSales[[#This Row],[Date]])</f>
        <v>6</v>
      </c>
    </row>
    <row r="2967" spans="2:18" x14ac:dyDescent="0.35">
      <c r="B2967" s="113">
        <v>46200</v>
      </c>
      <c r="C2967" s="4" t="s">
        <v>1998</v>
      </c>
      <c r="D2967" s="4" t="s">
        <v>4613</v>
      </c>
      <c r="E2967" s="1" t="str">
        <f>_xlfn.XLOOKUP(tblSales[[#This Row],[Customer ID]],tblCustomers[Customer ID],tblCustomers[Customer Name],"⚠ Unknown")</f>
        <v>PT Mega Prima Distribusi</v>
      </c>
      <c r="F2967" s="4" t="s">
        <v>9</v>
      </c>
      <c r="G2967" s="1" t="str">
        <f>_xlfn.XLOOKUP(tblSales[[#This Row],[Product Code]],tblProducts[Code],tblProducts[Product / Service Name],"⚠ Unknown")</f>
        <v>Casual Shirt</v>
      </c>
      <c r="H2967" s="1" t="str">
        <f>_xlfn.XLOOKUP(tblSales[[#This Row],[Product Code]],tblProducts[Code],tblProducts[Category],"")</f>
        <v>Apparel &amp; Footwear</v>
      </c>
      <c r="I2967" s="4">
        <v>72</v>
      </c>
      <c r="J2967" s="5">
        <f>_xlfn.XLOOKUP(tblSales[[#This Row],[Product Code]],tblProducts[Code],tblProducts[Selling Price (excl. VAT)],0)</f>
        <v>120000</v>
      </c>
      <c r="K2967" s="5">
        <f>tblSales[[#This Row],[Qty]]*tblSales[[#This Row],[Unit Price]]</f>
        <v>8640000</v>
      </c>
      <c r="L2967" s="5">
        <f>ROUND(tblSales[[#This Row],[DPP (excl. VAT)]]*VATEff,0)</f>
        <v>950400</v>
      </c>
      <c r="M2967" s="5">
        <f>tblSales[[#This Row],[DPP (excl. VAT)]]+tblSales[[#This Row],[Output VAT]]</f>
        <v>9590400</v>
      </c>
      <c r="N2967" s="5">
        <f>tblSales[[#This Row],[Qty]]*_xlfn.XLOOKUP(tblSales[[#This Row],[Product Code]],tblProducts[Code],tblProducts[Unit Cost],0)</f>
        <v>5184000</v>
      </c>
      <c r="O2967" s="4" t="s">
        <v>4867</v>
      </c>
      <c r="P2967" s="4" t="s">
        <v>4860</v>
      </c>
      <c r="Q2967" s="1" t="str">
        <f>_xlfn.XLOOKUP(tblSales[[#This Row],[Channel Code]],tblChannels[Channel Code],tblChannels[Channel Name],"")</f>
        <v>In-store</v>
      </c>
      <c r="R2967" s="1">
        <f>MONTH(tblSales[[#This Row],[Date]])</f>
        <v>6</v>
      </c>
    </row>
    <row r="2968" spans="2:18" x14ac:dyDescent="0.35">
      <c r="B2968" s="113">
        <v>46200</v>
      </c>
      <c r="C2968" s="4" t="s">
        <v>1999</v>
      </c>
      <c r="D2968" s="4" t="s">
        <v>4568</v>
      </c>
      <c r="E2968" s="1" t="str">
        <f>_xlfn.XLOOKUP(tblSales[[#This Row],[Customer ID]],tblCustomers[Customer ID],tblCustomers[Customer Name],"⚠ Unknown")</f>
        <v>Walk-in Customer</v>
      </c>
      <c r="F2968" s="4" t="s">
        <v>10</v>
      </c>
      <c r="G2968" s="1" t="str">
        <f>_xlfn.XLOOKUP(tblSales[[#This Row],[Product Code]],tblProducts[Code],tblProducts[Product / Service Name],"⚠ Unknown")</f>
        <v>Chino Pants</v>
      </c>
      <c r="H2968" s="1" t="str">
        <f>_xlfn.XLOOKUP(tblSales[[#This Row],[Product Code]],tblProducts[Code],tblProducts[Category],"")</f>
        <v>Apparel &amp; Footwear</v>
      </c>
      <c r="I2968" s="4">
        <v>1</v>
      </c>
      <c r="J2968" s="5">
        <f>_xlfn.XLOOKUP(tblSales[[#This Row],[Product Code]],tblProducts[Code],tblProducts[Selling Price (excl. VAT)],0)</f>
        <v>150000</v>
      </c>
      <c r="K2968" s="5">
        <f>tblSales[[#This Row],[Qty]]*tblSales[[#This Row],[Unit Price]]</f>
        <v>150000</v>
      </c>
      <c r="L2968" s="5">
        <f>ROUND(tblSales[[#This Row],[DPP (excl. VAT)]]*VATEff,0)</f>
        <v>16500</v>
      </c>
      <c r="M2968" s="5">
        <f>tblSales[[#This Row],[DPP (excl. VAT)]]+tblSales[[#This Row],[Output VAT]]</f>
        <v>166500</v>
      </c>
      <c r="N2968" s="5">
        <f>tblSales[[#This Row],[Qty]]*_xlfn.XLOOKUP(tblSales[[#This Row],[Product Code]],tblProducts[Code],tblProducts[Unit Cost],0)</f>
        <v>88000</v>
      </c>
      <c r="O2968" s="4" t="s">
        <v>4866</v>
      </c>
      <c r="P2968" s="4" t="s">
        <v>4860</v>
      </c>
      <c r="Q2968" s="1" t="str">
        <f>_xlfn.XLOOKUP(tblSales[[#This Row],[Channel Code]],tblChannels[Channel Code],tblChannels[Channel Name],"")</f>
        <v>In-store</v>
      </c>
      <c r="R2968" s="1">
        <f>MONTH(tblSales[[#This Row],[Date]])</f>
        <v>6</v>
      </c>
    </row>
    <row r="2969" spans="2:18" x14ac:dyDescent="0.35">
      <c r="B2969" s="113">
        <v>46200</v>
      </c>
      <c r="C2969" s="4" t="s">
        <v>1999</v>
      </c>
      <c r="D2969" s="4" t="s">
        <v>4568</v>
      </c>
      <c r="E2969" s="1" t="str">
        <f>_xlfn.XLOOKUP(tblSales[[#This Row],[Customer ID]],tblCustomers[Customer ID],tblCustomers[Customer Name],"⚠ Unknown")</f>
        <v>Walk-in Customer</v>
      </c>
      <c r="F2969" s="4" t="s">
        <v>7</v>
      </c>
      <c r="G2969" s="1" t="str">
        <f>_xlfn.XLOOKUP(tblSales[[#This Row],[Product Code]],tblProducts[Code],tblProducts[Product / Service Name],"⚠ Unknown")</f>
        <v>Premium Basic T-shirt</v>
      </c>
      <c r="H2969" s="1" t="str">
        <f>_xlfn.XLOOKUP(tblSales[[#This Row],[Product Code]],tblProducts[Code],tblProducts[Category],"")</f>
        <v>Accessories &amp; Basics</v>
      </c>
      <c r="I2969" s="4">
        <v>12</v>
      </c>
      <c r="J2969" s="5">
        <f>_xlfn.XLOOKUP(tblSales[[#This Row],[Product Code]],tblProducts[Code],tblProducts[Selling Price (excl. VAT)],0)</f>
        <v>65000</v>
      </c>
      <c r="K2969" s="5">
        <f>tblSales[[#This Row],[Qty]]*tblSales[[#This Row],[Unit Price]]</f>
        <v>780000</v>
      </c>
      <c r="L2969" s="5">
        <f>ROUND(tblSales[[#This Row],[DPP (excl. VAT)]]*VATEff,0)</f>
        <v>85800</v>
      </c>
      <c r="M2969" s="5">
        <f>tblSales[[#This Row],[DPP (excl. VAT)]]+tblSales[[#This Row],[Output VAT]]</f>
        <v>865800</v>
      </c>
      <c r="N2969" s="5">
        <f>tblSales[[#This Row],[Qty]]*_xlfn.XLOOKUP(tblSales[[#This Row],[Product Code]],tblProducts[Code],tblProducts[Unit Cost],0)</f>
        <v>444000</v>
      </c>
      <c r="O2969" s="4" t="s">
        <v>4866</v>
      </c>
      <c r="P2969" s="4" t="s">
        <v>4860</v>
      </c>
      <c r="Q2969" s="1" t="str">
        <f>_xlfn.XLOOKUP(tblSales[[#This Row],[Channel Code]],tblChannels[Channel Code],tblChannels[Channel Name],"")</f>
        <v>In-store</v>
      </c>
      <c r="R2969" s="1">
        <f>MONTH(tblSales[[#This Row],[Date]])</f>
        <v>6</v>
      </c>
    </row>
    <row r="2970" spans="2:18" x14ac:dyDescent="0.35">
      <c r="B2970" s="113">
        <v>46200</v>
      </c>
      <c r="C2970" s="4" t="s">
        <v>2000</v>
      </c>
      <c r="D2970" s="4" t="s">
        <v>4568</v>
      </c>
      <c r="E2970" s="1" t="str">
        <f>_xlfn.XLOOKUP(tblSales[[#This Row],[Customer ID]],tblCustomers[Customer ID],tblCustomers[Customer Name],"⚠ Unknown")</f>
        <v>Walk-in Customer</v>
      </c>
      <c r="F2970" s="4" t="s">
        <v>7</v>
      </c>
      <c r="G2970" s="1" t="str">
        <f>_xlfn.XLOOKUP(tblSales[[#This Row],[Product Code]],tblProducts[Code],tblProducts[Product / Service Name],"⚠ Unknown")</f>
        <v>Premium Basic T-shirt</v>
      </c>
      <c r="H2970" s="1" t="str">
        <f>_xlfn.XLOOKUP(tblSales[[#This Row],[Product Code]],tblProducts[Code],tblProducts[Category],"")</f>
        <v>Accessories &amp; Basics</v>
      </c>
      <c r="I2970" s="4">
        <v>1</v>
      </c>
      <c r="J2970" s="5">
        <f>_xlfn.XLOOKUP(tblSales[[#This Row],[Product Code]],tblProducts[Code],tblProducts[Selling Price (excl. VAT)],0)</f>
        <v>65000</v>
      </c>
      <c r="K2970" s="5">
        <f>tblSales[[#This Row],[Qty]]*tblSales[[#This Row],[Unit Price]]</f>
        <v>65000</v>
      </c>
      <c r="L2970" s="5">
        <f>ROUND(tblSales[[#This Row],[DPP (excl. VAT)]]*VATEff,0)</f>
        <v>7150</v>
      </c>
      <c r="M2970" s="5">
        <f>tblSales[[#This Row],[DPP (excl. VAT)]]+tblSales[[#This Row],[Output VAT]]</f>
        <v>72150</v>
      </c>
      <c r="N2970" s="5">
        <f>tblSales[[#This Row],[Qty]]*_xlfn.XLOOKUP(tblSales[[#This Row],[Product Code]],tblProducts[Code],tblProducts[Unit Cost],0)</f>
        <v>37000</v>
      </c>
      <c r="O2970" s="4" t="s">
        <v>4866</v>
      </c>
      <c r="P2970" s="4" t="s">
        <v>4861</v>
      </c>
      <c r="Q2970" s="1" t="str">
        <f>_xlfn.XLOOKUP(tblSales[[#This Row],[Channel Code]],tblChannels[Channel Code],tblChannels[Channel Name],"")</f>
        <v>Marketplace</v>
      </c>
      <c r="R2970" s="1">
        <f>MONTH(tblSales[[#This Row],[Date]])</f>
        <v>6</v>
      </c>
    </row>
    <row r="2971" spans="2:18" x14ac:dyDescent="0.35">
      <c r="B2971" s="113">
        <v>46200</v>
      </c>
      <c r="C2971" s="4" t="s">
        <v>2001</v>
      </c>
      <c r="D2971" s="4" t="s">
        <v>4568</v>
      </c>
      <c r="E2971" s="1" t="str">
        <f>_xlfn.XLOOKUP(tblSales[[#This Row],[Customer ID]],tblCustomers[Customer ID],tblCustomers[Customer Name],"⚠ Unknown")</f>
        <v>Walk-in Customer</v>
      </c>
      <c r="F2971" s="4" t="s">
        <v>15</v>
      </c>
      <c r="G2971" s="1" t="str">
        <f>_xlfn.XLOOKUP(tblSales[[#This Row],[Product Code]],tblProducts[Code],tblProducts[Product / Service Name],"⚠ Unknown")</f>
        <v>Wireless Earbuds Pro</v>
      </c>
      <c r="H2971" s="1" t="str">
        <f>_xlfn.XLOOKUP(tblSales[[#This Row],[Product Code]],tblProducts[Code],tblProducts[Category],"")</f>
        <v>Bags &amp; Gadgets</v>
      </c>
      <c r="I2971" s="4">
        <v>2</v>
      </c>
      <c r="J2971" s="5">
        <f>_xlfn.XLOOKUP(tblSales[[#This Row],[Product Code]],tblProducts[Code],tblProducts[Selling Price (excl. VAT)],0)</f>
        <v>1250000</v>
      </c>
      <c r="K2971" s="5">
        <f>tblSales[[#This Row],[Qty]]*tblSales[[#This Row],[Unit Price]]</f>
        <v>2500000</v>
      </c>
      <c r="L2971" s="5">
        <f>ROUND(tblSales[[#This Row],[DPP (excl. VAT)]]*VATEff,0)</f>
        <v>275000</v>
      </c>
      <c r="M2971" s="5">
        <f>tblSales[[#This Row],[DPP (excl. VAT)]]+tblSales[[#This Row],[Output VAT]]</f>
        <v>2775000</v>
      </c>
      <c r="N2971" s="5">
        <f>tblSales[[#This Row],[Qty]]*_xlfn.XLOOKUP(tblSales[[#This Row],[Product Code]],tblProducts[Code],tblProducts[Unit Cost],0)</f>
        <v>1640000</v>
      </c>
      <c r="O2971" s="4" t="s">
        <v>4866</v>
      </c>
      <c r="P2971" s="4" t="s">
        <v>4861</v>
      </c>
      <c r="Q2971" s="1" t="str">
        <f>_xlfn.XLOOKUP(tblSales[[#This Row],[Channel Code]],tblChannels[Channel Code],tblChannels[Channel Name],"")</f>
        <v>Marketplace</v>
      </c>
      <c r="R2971" s="1">
        <f>MONTH(tblSales[[#This Row],[Date]])</f>
        <v>6</v>
      </c>
    </row>
    <row r="2972" spans="2:18" x14ac:dyDescent="0.35">
      <c r="B2972" s="113">
        <v>46200</v>
      </c>
      <c r="C2972" s="4" t="s">
        <v>2002</v>
      </c>
      <c r="D2972" s="4" t="s">
        <v>4568</v>
      </c>
      <c r="E2972" s="1" t="str">
        <f>_xlfn.XLOOKUP(tblSales[[#This Row],[Customer ID]],tblCustomers[Customer ID],tblCustomers[Customer Name],"⚠ Unknown")</f>
        <v>Walk-in Customer</v>
      </c>
      <c r="F2972" s="4" t="s">
        <v>13</v>
      </c>
      <c r="G2972" s="1" t="str">
        <f>_xlfn.XLOOKUP(tblSales[[#This Row],[Product Code]],tblProducts[Code],tblProducts[Product / Service Name],"⚠ Unknown")</f>
        <v>Backpack</v>
      </c>
      <c r="H2972" s="1" t="str">
        <f>_xlfn.XLOOKUP(tblSales[[#This Row],[Product Code]],tblProducts[Code],tblProducts[Category],"")</f>
        <v>Bags &amp; Gadgets</v>
      </c>
      <c r="I2972" s="4">
        <v>5</v>
      </c>
      <c r="J2972" s="5">
        <f>_xlfn.XLOOKUP(tblSales[[#This Row],[Product Code]],tblProducts[Code],tblProducts[Selling Price (excl. VAT)],0)</f>
        <v>500000</v>
      </c>
      <c r="K2972" s="5">
        <f>tblSales[[#This Row],[Qty]]*tblSales[[#This Row],[Unit Price]]</f>
        <v>2500000</v>
      </c>
      <c r="L2972" s="5">
        <f>ROUND(tblSales[[#This Row],[DPP (excl. VAT)]]*VATEff,0)</f>
        <v>275000</v>
      </c>
      <c r="M2972" s="5">
        <f>tblSales[[#This Row],[DPP (excl. VAT)]]+tblSales[[#This Row],[Output VAT]]</f>
        <v>2775000</v>
      </c>
      <c r="N2972" s="5">
        <f>tblSales[[#This Row],[Qty]]*_xlfn.XLOOKUP(tblSales[[#This Row],[Product Code]],tblProducts[Code],tblProducts[Unit Cost],0)</f>
        <v>1450000</v>
      </c>
      <c r="O2972" s="4" t="s">
        <v>4865</v>
      </c>
      <c r="P2972" s="4" t="s">
        <v>4860</v>
      </c>
      <c r="Q2972" s="1" t="str">
        <f>_xlfn.XLOOKUP(tblSales[[#This Row],[Channel Code]],tblChannels[Channel Code],tblChannels[Channel Name],"")</f>
        <v>In-store</v>
      </c>
      <c r="R2972" s="1">
        <f>MONTH(tblSales[[#This Row],[Date]])</f>
        <v>6</v>
      </c>
    </row>
    <row r="2973" spans="2:18" x14ac:dyDescent="0.35">
      <c r="B2973" s="113">
        <v>46200</v>
      </c>
      <c r="C2973" s="4" t="s">
        <v>2003</v>
      </c>
      <c r="D2973" s="4" t="s">
        <v>4568</v>
      </c>
      <c r="E2973" s="1" t="str">
        <f>_xlfn.XLOOKUP(tblSales[[#This Row],[Customer ID]],tblCustomers[Customer ID],tblCustomers[Customer Name],"⚠ Unknown")</f>
        <v>Walk-in Customer</v>
      </c>
      <c r="F2973" s="4" t="s">
        <v>8</v>
      </c>
      <c r="G2973" s="1" t="str">
        <f>_xlfn.XLOOKUP(tblSales[[#This Row],[Product Code]],tblProducts[Code],tblProducts[Product / Service Name],"⚠ Unknown")</f>
        <v>Casual Shorts</v>
      </c>
      <c r="H2973" s="1" t="str">
        <f>_xlfn.XLOOKUP(tblSales[[#This Row],[Product Code]],tblProducts[Code],tblProducts[Category],"")</f>
        <v>Accessories &amp; Basics</v>
      </c>
      <c r="I2973" s="4">
        <v>10</v>
      </c>
      <c r="J2973" s="5">
        <f>_xlfn.XLOOKUP(tblSales[[#This Row],[Product Code]],tblProducts[Code],tblProducts[Selling Price (excl. VAT)],0)</f>
        <v>85000</v>
      </c>
      <c r="K2973" s="5">
        <f>tblSales[[#This Row],[Qty]]*tblSales[[#This Row],[Unit Price]]</f>
        <v>850000</v>
      </c>
      <c r="L2973" s="5">
        <f>ROUND(tblSales[[#This Row],[DPP (excl. VAT)]]*VATEff,0)</f>
        <v>93500</v>
      </c>
      <c r="M2973" s="5">
        <f>tblSales[[#This Row],[DPP (excl. VAT)]]+tblSales[[#This Row],[Output VAT]]</f>
        <v>943500</v>
      </c>
      <c r="N2973" s="5">
        <f>tblSales[[#This Row],[Qty]]*_xlfn.XLOOKUP(tblSales[[#This Row],[Product Code]],tblProducts[Code],tblProducts[Unit Cost],0)</f>
        <v>500000</v>
      </c>
      <c r="O2973" s="4" t="s">
        <v>4866</v>
      </c>
      <c r="P2973" s="4" t="s">
        <v>4861</v>
      </c>
      <c r="Q2973" s="1" t="str">
        <f>_xlfn.XLOOKUP(tblSales[[#This Row],[Channel Code]],tblChannels[Channel Code],tblChannels[Channel Name],"")</f>
        <v>Marketplace</v>
      </c>
      <c r="R2973" s="1">
        <f>MONTH(tblSales[[#This Row],[Date]])</f>
        <v>6</v>
      </c>
    </row>
    <row r="2974" spans="2:18" x14ac:dyDescent="0.35">
      <c r="B2974" s="113">
        <v>46200</v>
      </c>
      <c r="C2974" s="4" t="s">
        <v>2004</v>
      </c>
      <c r="D2974" s="4" t="s">
        <v>4568</v>
      </c>
      <c r="E2974" s="1" t="str">
        <f>_xlfn.XLOOKUP(tblSales[[#This Row],[Customer ID]],tblCustomers[Customer ID],tblCustomers[Customer Name],"⚠ Unknown")</f>
        <v>Walk-in Customer</v>
      </c>
      <c r="F2974" s="4" t="s">
        <v>13</v>
      </c>
      <c r="G2974" s="1" t="str">
        <f>_xlfn.XLOOKUP(tblSales[[#This Row],[Product Code]],tblProducts[Code],tblProducts[Product / Service Name],"⚠ Unknown")</f>
        <v>Backpack</v>
      </c>
      <c r="H2974" s="1" t="str">
        <f>_xlfn.XLOOKUP(tblSales[[#This Row],[Product Code]],tblProducts[Code],tblProducts[Category],"")</f>
        <v>Bags &amp; Gadgets</v>
      </c>
      <c r="I2974" s="4">
        <v>1</v>
      </c>
      <c r="J2974" s="5">
        <f>_xlfn.XLOOKUP(tblSales[[#This Row],[Product Code]],tblProducts[Code],tblProducts[Selling Price (excl. VAT)],0)</f>
        <v>500000</v>
      </c>
      <c r="K2974" s="5">
        <f>tblSales[[#This Row],[Qty]]*tblSales[[#This Row],[Unit Price]]</f>
        <v>500000</v>
      </c>
      <c r="L2974" s="5">
        <f>ROUND(tblSales[[#This Row],[DPP (excl. VAT)]]*VATEff,0)</f>
        <v>55000</v>
      </c>
      <c r="M2974" s="5">
        <f>tblSales[[#This Row],[DPP (excl. VAT)]]+tblSales[[#This Row],[Output VAT]]</f>
        <v>555000</v>
      </c>
      <c r="N2974" s="5">
        <f>tblSales[[#This Row],[Qty]]*_xlfn.XLOOKUP(tblSales[[#This Row],[Product Code]],tblProducts[Code],tblProducts[Unit Cost],0)</f>
        <v>290000</v>
      </c>
      <c r="O2974" s="4" t="s">
        <v>4866</v>
      </c>
      <c r="P2974" s="4" t="s">
        <v>4860</v>
      </c>
      <c r="Q2974" s="1" t="str">
        <f>_xlfn.XLOOKUP(tblSales[[#This Row],[Channel Code]],tblChannels[Channel Code],tblChannels[Channel Name],"")</f>
        <v>In-store</v>
      </c>
      <c r="R2974" s="1">
        <f>MONTH(tblSales[[#This Row],[Date]])</f>
        <v>6</v>
      </c>
    </row>
    <row r="2975" spans="2:18" x14ac:dyDescent="0.35">
      <c r="B2975" s="113">
        <v>46200</v>
      </c>
      <c r="C2975" s="4" t="s">
        <v>2004</v>
      </c>
      <c r="D2975" s="4" t="s">
        <v>4568</v>
      </c>
      <c r="E2975" s="1" t="str">
        <f>_xlfn.XLOOKUP(tblSales[[#This Row],[Customer ID]],tblCustomers[Customer ID],tblCustomers[Customer Name],"⚠ Unknown")</f>
        <v>Walk-in Customer</v>
      </c>
      <c r="F2975" s="4" t="s">
        <v>6</v>
      </c>
      <c r="G2975" s="1" t="str">
        <f>_xlfn.XLOOKUP(tblSales[[#This Row],[Product Code]],tblProducts[Code],tblProducts[Product / Service Name],"⚠ Unknown")</f>
        <v>Socks &amp; Accessories</v>
      </c>
      <c r="H2975" s="1" t="str">
        <f>_xlfn.XLOOKUP(tblSales[[#This Row],[Product Code]],tblProducts[Code],tblProducts[Category],"")</f>
        <v>Accessories &amp; Basics</v>
      </c>
      <c r="I2975" s="4">
        <v>1</v>
      </c>
      <c r="J2975" s="5">
        <f>_xlfn.XLOOKUP(tblSales[[#This Row],[Product Code]],tblProducts[Code],tblProducts[Selling Price (excl. VAT)],0)</f>
        <v>45000</v>
      </c>
      <c r="K2975" s="5">
        <f>tblSales[[#This Row],[Qty]]*tblSales[[#This Row],[Unit Price]]</f>
        <v>45000</v>
      </c>
      <c r="L2975" s="5">
        <f>ROUND(tblSales[[#This Row],[DPP (excl. VAT)]]*VATEff,0)</f>
        <v>4950</v>
      </c>
      <c r="M2975" s="5">
        <f>tblSales[[#This Row],[DPP (excl. VAT)]]+tblSales[[#This Row],[Output VAT]]</f>
        <v>49950</v>
      </c>
      <c r="N2975" s="5">
        <f>tblSales[[#This Row],[Qty]]*_xlfn.XLOOKUP(tblSales[[#This Row],[Product Code]],tblProducts[Code],tblProducts[Unit Cost],0)</f>
        <v>24000</v>
      </c>
      <c r="O2975" s="4" t="s">
        <v>4866</v>
      </c>
      <c r="P2975" s="4" t="s">
        <v>4860</v>
      </c>
      <c r="Q2975" s="1" t="str">
        <f>_xlfn.XLOOKUP(tblSales[[#This Row],[Channel Code]],tblChannels[Channel Code],tblChannels[Channel Name],"")</f>
        <v>In-store</v>
      </c>
      <c r="R2975" s="1">
        <f>MONTH(tblSales[[#This Row],[Date]])</f>
        <v>6</v>
      </c>
    </row>
    <row r="2976" spans="2:18" x14ac:dyDescent="0.35">
      <c r="B2976" s="113">
        <v>46200</v>
      </c>
      <c r="C2976" s="4" t="s">
        <v>2004</v>
      </c>
      <c r="D2976" s="4" t="s">
        <v>4568</v>
      </c>
      <c r="E2976" s="1" t="str">
        <f>_xlfn.XLOOKUP(tblSales[[#This Row],[Customer ID]],tblCustomers[Customer ID],tblCustomers[Customer Name],"⚠ Unknown")</f>
        <v>Walk-in Customer</v>
      </c>
      <c r="F2976" s="4" t="s">
        <v>12</v>
      </c>
      <c r="G2976" s="1" t="str">
        <f>_xlfn.XLOOKUP(tblSales[[#This Row],[Product Code]],tblProducts[Code],tblProducts[Product / Service Name],"⚠ Unknown")</f>
        <v>Bomber Jacket</v>
      </c>
      <c r="H2976" s="1" t="str">
        <f>_xlfn.XLOOKUP(tblSales[[#This Row],[Product Code]],tblProducts[Code],tblProducts[Category],"")</f>
        <v>Apparel &amp; Footwear</v>
      </c>
      <c r="I2976" s="4">
        <v>1</v>
      </c>
      <c r="J2976" s="5">
        <f>_xlfn.XLOOKUP(tblSales[[#This Row],[Product Code]],tblProducts[Code],tblProducts[Selling Price (excl. VAT)],0)</f>
        <v>350000</v>
      </c>
      <c r="K2976" s="5">
        <f>tblSales[[#This Row],[Qty]]*tblSales[[#This Row],[Unit Price]]</f>
        <v>350000</v>
      </c>
      <c r="L2976" s="5">
        <f>ROUND(tblSales[[#This Row],[DPP (excl. VAT)]]*VATEff,0)</f>
        <v>38500</v>
      </c>
      <c r="M2976" s="5">
        <f>tblSales[[#This Row],[DPP (excl. VAT)]]+tblSales[[#This Row],[Output VAT]]</f>
        <v>388500</v>
      </c>
      <c r="N2976" s="5">
        <f>tblSales[[#This Row],[Qty]]*_xlfn.XLOOKUP(tblSales[[#This Row],[Product Code]],tblProducts[Code],tblProducts[Unit Cost],0)</f>
        <v>210000</v>
      </c>
      <c r="O2976" s="4" t="s">
        <v>4866</v>
      </c>
      <c r="P2976" s="4" t="s">
        <v>4860</v>
      </c>
      <c r="Q2976" s="1" t="str">
        <f>_xlfn.XLOOKUP(tblSales[[#This Row],[Channel Code]],tblChannels[Channel Code],tblChannels[Channel Name],"")</f>
        <v>In-store</v>
      </c>
      <c r="R2976" s="1">
        <f>MONTH(tblSales[[#This Row],[Date]])</f>
        <v>6</v>
      </c>
    </row>
    <row r="2977" spans="2:18" x14ac:dyDescent="0.35">
      <c r="B2977" s="113">
        <v>46200</v>
      </c>
      <c r="C2977" s="4" t="s">
        <v>2005</v>
      </c>
      <c r="D2977" s="4" t="s">
        <v>4599</v>
      </c>
      <c r="E2977" s="1" t="str">
        <f>_xlfn.XLOOKUP(tblSales[[#This Row],[Customer ID]],tblCustomers[Customer ID],tblCustomers[Customer Name],"⚠ Unknown")</f>
        <v>PT Samudra Jaya Logistik</v>
      </c>
      <c r="F2977" s="4" t="s">
        <v>6</v>
      </c>
      <c r="G2977" s="1" t="str">
        <f>_xlfn.XLOOKUP(tblSales[[#This Row],[Product Code]],tblProducts[Code],tblProducts[Product / Service Name],"⚠ Unknown")</f>
        <v>Socks &amp; Accessories</v>
      </c>
      <c r="H2977" s="1" t="str">
        <f>_xlfn.XLOOKUP(tblSales[[#This Row],[Product Code]],tblProducts[Code],tblProducts[Category],"")</f>
        <v>Accessories &amp; Basics</v>
      </c>
      <c r="I2977" s="4">
        <v>8</v>
      </c>
      <c r="J2977" s="5">
        <f>_xlfn.XLOOKUP(tblSales[[#This Row],[Product Code]],tblProducts[Code],tblProducts[Selling Price (excl. VAT)],0)</f>
        <v>45000</v>
      </c>
      <c r="K2977" s="5">
        <f>tblSales[[#This Row],[Qty]]*tblSales[[#This Row],[Unit Price]]</f>
        <v>360000</v>
      </c>
      <c r="L2977" s="5">
        <f>ROUND(tblSales[[#This Row],[DPP (excl. VAT)]]*VATEff,0)</f>
        <v>39600</v>
      </c>
      <c r="M2977" s="5">
        <f>tblSales[[#This Row],[DPP (excl. VAT)]]+tblSales[[#This Row],[Output VAT]]</f>
        <v>399600</v>
      </c>
      <c r="N2977" s="5">
        <f>tblSales[[#This Row],[Qty]]*_xlfn.XLOOKUP(tblSales[[#This Row],[Product Code]],tblProducts[Code],tblProducts[Unit Cost],0)</f>
        <v>192000</v>
      </c>
      <c r="O2977" s="4" t="s">
        <v>4867</v>
      </c>
      <c r="P2977" s="4" t="s">
        <v>4860</v>
      </c>
      <c r="Q2977" s="1" t="str">
        <f>_xlfn.XLOOKUP(tblSales[[#This Row],[Channel Code]],tblChannels[Channel Code],tblChannels[Channel Name],"")</f>
        <v>In-store</v>
      </c>
      <c r="R2977" s="1">
        <f>MONTH(tblSales[[#This Row],[Date]])</f>
        <v>6</v>
      </c>
    </row>
    <row r="2978" spans="2:18" x14ac:dyDescent="0.35">
      <c r="B2978" s="113">
        <v>46201</v>
      </c>
      <c r="C2978" s="4" t="s">
        <v>2006</v>
      </c>
      <c r="D2978" s="4" t="s">
        <v>4648</v>
      </c>
      <c r="E2978" s="1" t="str">
        <f>_xlfn.XLOOKUP(tblSales[[#This Row],[Customer ID]],tblCustomers[Customer ID],tblCustomers[Customer Name],"⚠ Unknown")</f>
        <v>PT Lintas Benua Niaga</v>
      </c>
      <c r="F2978" s="4" t="s">
        <v>10</v>
      </c>
      <c r="G2978" s="1" t="str">
        <f>_xlfn.XLOOKUP(tblSales[[#This Row],[Product Code]],tblProducts[Code],tblProducts[Product / Service Name],"⚠ Unknown")</f>
        <v>Chino Pants</v>
      </c>
      <c r="H2978" s="1" t="str">
        <f>_xlfn.XLOOKUP(tblSales[[#This Row],[Product Code]],tblProducts[Code],tblProducts[Category],"")</f>
        <v>Apparel &amp; Footwear</v>
      </c>
      <c r="I2978" s="4">
        <v>80</v>
      </c>
      <c r="J2978" s="5">
        <f>_xlfn.XLOOKUP(tblSales[[#This Row],[Product Code]],tblProducts[Code],tblProducts[Selling Price (excl. VAT)],0)</f>
        <v>150000</v>
      </c>
      <c r="K2978" s="5">
        <f>tblSales[[#This Row],[Qty]]*tblSales[[#This Row],[Unit Price]]</f>
        <v>12000000</v>
      </c>
      <c r="L2978" s="5">
        <f>ROUND(tblSales[[#This Row],[DPP (excl. VAT)]]*VATEff,0)</f>
        <v>1320000</v>
      </c>
      <c r="M2978" s="5">
        <f>tblSales[[#This Row],[DPP (excl. VAT)]]+tblSales[[#This Row],[Output VAT]]</f>
        <v>13320000</v>
      </c>
      <c r="N2978" s="5">
        <f>tblSales[[#This Row],[Qty]]*_xlfn.XLOOKUP(tblSales[[#This Row],[Product Code]],tblProducts[Code],tblProducts[Unit Cost],0)</f>
        <v>7040000</v>
      </c>
      <c r="O2978" s="4" t="s">
        <v>4867</v>
      </c>
      <c r="P2978" s="4" t="s">
        <v>4860</v>
      </c>
      <c r="Q2978" s="1" t="str">
        <f>_xlfn.XLOOKUP(tblSales[[#This Row],[Channel Code]],tblChannels[Channel Code],tblChannels[Channel Name],"")</f>
        <v>In-store</v>
      </c>
      <c r="R2978" s="1">
        <f>MONTH(tblSales[[#This Row],[Date]])</f>
        <v>6</v>
      </c>
    </row>
    <row r="2979" spans="2:18" x14ac:dyDescent="0.35">
      <c r="B2979" s="113">
        <v>46201</v>
      </c>
      <c r="C2979" s="4" t="s">
        <v>2006</v>
      </c>
      <c r="D2979" s="4" t="s">
        <v>4648</v>
      </c>
      <c r="E2979" s="1" t="str">
        <f>_xlfn.XLOOKUP(tblSales[[#This Row],[Customer ID]],tblCustomers[Customer ID],tblCustomers[Customer Name],"⚠ Unknown")</f>
        <v>PT Lintas Benua Niaga</v>
      </c>
      <c r="F2979" s="4" t="s">
        <v>7</v>
      </c>
      <c r="G2979" s="1" t="str">
        <f>_xlfn.XLOOKUP(tblSales[[#This Row],[Product Code]],tblProducts[Code],tblProducts[Product / Service Name],"⚠ Unknown")</f>
        <v>Premium Basic T-shirt</v>
      </c>
      <c r="H2979" s="1" t="str">
        <f>_xlfn.XLOOKUP(tblSales[[#This Row],[Product Code]],tblProducts[Code],tblProducts[Category],"")</f>
        <v>Accessories &amp; Basics</v>
      </c>
      <c r="I2979" s="4">
        <v>64</v>
      </c>
      <c r="J2979" s="5">
        <f>_xlfn.XLOOKUP(tblSales[[#This Row],[Product Code]],tblProducts[Code],tblProducts[Selling Price (excl. VAT)],0)</f>
        <v>65000</v>
      </c>
      <c r="K2979" s="5">
        <f>tblSales[[#This Row],[Qty]]*tblSales[[#This Row],[Unit Price]]</f>
        <v>4160000</v>
      </c>
      <c r="L2979" s="5">
        <f>ROUND(tblSales[[#This Row],[DPP (excl. VAT)]]*VATEff,0)</f>
        <v>457600</v>
      </c>
      <c r="M2979" s="5">
        <f>tblSales[[#This Row],[DPP (excl. VAT)]]+tblSales[[#This Row],[Output VAT]]</f>
        <v>4617600</v>
      </c>
      <c r="N2979" s="5">
        <f>tblSales[[#This Row],[Qty]]*_xlfn.XLOOKUP(tblSales[[#This Row],[Product Code]],tblProducts[Code],tblProducts[Unit Cost],0)</f>
        <v>2368000</v>
      </c>
      <c r="O2979" s="4" t="s">
        <v>4867</v>
      </c>
      <c r="P2979" s="4" t="s">
        <v>4860</v>
      </c>
      <c r="Q2979" s="1" t="str">
        <f>_xlfn.XLOOKUP(tblSales[[#This Row],[Channel Code]],tblChannels[Channel Code],tblChannels[Channel Name],"")</f>
        <v>In-store</v>
      </c>
      <c r="R2979" s="1">
        <f>MONTH(tblSales[[#This Row],[Date]])</f>
        <v>6</v>
      </c>
    </row>
    <row r="2980" spans="2:18" x14ac:dyDescent="0.35">
      <c r="B2980" s="113">
        <v>46201</v>
      </c>
      <c r="C2980" s="4" t="s">
        <v>2007</v>
      </c>
      <c r="D2980" s="4" t="s">
        <v>4568</v>
      </c>
      <c r="E2980" s="1" t="str">
        <f>_xlfn.XLOOKUP(tblSales[[#This Row],[Customer ID]],tblCustomers[Customer ID],tblCustomers[Customer Name],"⚠ Unknown")</f>
        <v>Walk-in Customer</v>
      </c>
      <c r="F2980" s="4" t="s">
        <v>11</v>
      </c>
      <c r="G2980" s="1" t="str">
        <f>_xlfn.XLOOKUP(tblSales[[#This Row],[Product Code]],tblProducts[Code],tblProducts[Product / Service Name],"⚠ Unknown")</f>
        <v>Sneakers</v>
      </c>
      <c r="H2980" s="1" t="str">
        <f>_xlfn.XLOOKUP(tblSales[[#This Row],[Product Code]],tblProducts[Code],tblProducts[Category],"")</f>
        <v>Apparel &amp; Footwear</v>
      </c>
      <c r="I2980" s="4">
        <v>6</v>
      </c>
      <c r="J2980" s="5">
        <f>_xlfn.XLOOKUP(tblSales[[#This Row],[Product Code]],tblProducts[Code],tblProducts[Selling Price (excl. VAT)],0)</f>
        <v>250000</v>
      </c>
      <c r="K2980" s="5">
        <f>tblSales[[#This Row],[Qty]]*tblSales[[#This Row],[Unit Price]]</f>
        <v>1500000</v>
      </c>
      <c r="L2980" s="5">
        <f>ROUND(tblSales[[#This Row],[DPP (excl. VAT)]]*VATEff,0)</f>
        <v>165000</v>
      </c>
      <c r="M2980" s="5">
        <f>tblSales[[#This Row],[DPP (excl. VAT)]]+tblSales[[#This Row],[Output VAT]]</f>
        <v>1665000</v>
      </c>
      <c r="N2980" s="5">
        <f>tblSales[[#This Row],[Qty]]*_xlfn.XLOOKUP(tblSales[[#This Row],[Product Code]],tblProducts[Code],tblProducts[Unit Cost],0)</f>
        <v>930000</v>
      </c>
      <c r="O2980" s="4" t="s">
        <v>4865</v>
      </c>
      <c r="P2980" s="4" t="s">
        <v>4860</v>
      </c>
      <c r="Q2980" s="1" t="str">
        <f>_xlfn.XLOOKUP(tblSales[[#This Row],[Channel Code]],tblChannels[Channel Code],tblChannels[Channel Name],"")</f>
        <v>In-store</v>
      </c>
      <c r="R2980" s="1">
        <f>MONTH(tblSales[[#This Row],[Date]])</f>
        <v>6</v>
      </c>
    </row>
    <row r="2981" spans="2:18" x14ac:dyDescent="0.35">
      <c r="B2981" s="113">
        <v>46201</v>
      </c>
      <c r="C2981" s="4" t="s">
        <v>2007</v>
      </c>
      <c r="D2981" s="4" t="s">
        <v>4568</v>
      </c>
      <c r="E2981" s="1" t="str">
        <f>_xlfn.XLOOKUP(tblSales[[#This Row],[Customer ID]],tblCustomers[Customer ID],tblCustomers[Customer Name],"⚠ Unknown")</f>
        <v>Walk-in Customer</v>
      </c>
      <c r="F2981" s="4" t="s">
        <v>10</v>
      </c>
      <c r="G2981" s="1" t="str">
        <f>_xlfn.XLOOKUP(tblSales[[#This Row],[Product Code]],tblProducts[Code],tblProducts[Product / Service Name],"⚠ Unknown")</f>
        <v>Chino Pants</v>
      </c>
      <c r="H2981" s="1" t="str">
        <f>_xlfn.XLOOKUP(tblSales[[#This Row],[Product Code]],tblProducts[Code],tblProducts[Category],"")</f>
        <v>Apparel &amp; Footwear</v>
      </c>
      <c r="I2981" s="4">
        <v>5</v>
      </c>
      <c r="J2981" s="5">
        <f>_xlfn.XLOOKUP(tblSales[[#This Row],[Product Code]],tblProducts[Code],tblProducts[Selling Price (excl. VAT)],0)</f>
        <v>150000</v>
      </c>
      <c r="K2981" s="5">
        <f>tblSales[[#This Row],[Qty]]*tblSales[[#This Row],[Unit Price]]</f>
        <v>750000</v>
      </c>
      <c r="L2981" s="5">
        <f>ROUND(tblSales[[#This Row],[DPP (excl. VAT)]]*VATEff,0)</f>
        <v>82500</v>
      </c>
      <c r="M2981" s="5">
        <f>tblSales[[#This Row],[DPP (excl. VAT)]]+tblSales[[#This Row],[Output VAT]]</f>
        <v>832500</v>
      </c>
      <c r="N2981" s="5">
        <f>tblSales[[#This Row],[Qty]]*_xlfn.XLOOKUP(tblSales[[#This Row],[Product Code]],tblProducts[Code],tblProducts[Unit Cost],0)</f>
        <v>440000</v>
      </c>
      <c r="O2981" s="4" t="s">
        <v>4865</v>
      </c>
      <c r="P2981" s="4" t="s">
        <v>4860</v>
      </c>
      <c r="Q2981" s="1" t="str">
        <f>_xlfn.XLOOKUP(tblSales[[#This Row],[Channel Code]],tblChannels[Channel Code],tblChannels[Channel Name],"")</f>
        <v>In-store</v>
      </c>
      <c r="R2981" s="1">
        <f>MONTH(tblSales[[#This Row],[Date]])</f>
        <v>6</v>
      </c>
    </row>
    <row r="2982" spans="2:18" x14ac:dyDescent="0.35">
      <c r="B2982" s="113">
        <v>46201</v>
      </c>
      <c r="C2982" s="4" t="s">
        <v>2008</v>
      </c>
      <c r="D2982" s="4" t="s">
        <v>4568</v>
      </c>
      <c r="E2982" s="1" t="str">
        <f>_xlfn.XLOOKUP(tblSales[[#This Row],[Customer ID]],tblCustomers[Customer ID],tblCustomers[Customer Name],"⚠ Unknown")</f>
        <v>Walk-in Customer</v>
      </c>
      <c r="F2982" s="4" t="s">
        <v>13</v>
      </c>
      <c r="G2982" s="1" t="str">
        <f>_xlfn.XLOOKUP(tblSales[[#This Row],[Product Code]],tblProducts[Code],tblProducts[Product / Service Name],"⚠ Unknown")</f>
        <v>Backpack</v>
      </c>
      <c r="H2982" s="1" t="str">
        <f>_xlfn.XLOOKUP(tblSales[[#This Row],[Product Code]],tblProducts[Code],tblProducts[Category],"")</f>
        <v>Bags &amp; Gadgets</v>
      </c>
      <c r="I2982" s="4">
        <v>2</v>
      </c>
      <c r="J2982" s="5">
        <f>_xlfn.XLOOKUP(tblSales[[#This Row],[Product Code]],tblProducts[Code],tblProducts[Selling Price (excl. VAT)],0)</f>
        <v>500000</v>
      </c>
      <c r="K2982" s="5">
        <f>tblSales[[#This Row],[Qty]]*tblSales[[#This Row],[Unit Price]]</f>
        <v>1000000</v>
      </c>
      <c r="L2982" s="5">
        <f>ROUND(tblSales[[#This Row],[DPP (excl. VAT)]]*VATEff,0)</f>
        <v>110000</v>
      </c>
      <c r="M2982" s="5">
        <f>tblSales[[#This Row],[DPP (excl. VAT)]]+tblSales[[#This Row],[Output VAT]]</f>
        <v>1110000</v>
      </c>
      <c r="N2982" s="5">
        <f>tblSales[[#This Row],[Qty]]*_xlfn.XLOOKUP(tblSales[[#This Row],[Product Code]],tblProducts[Code],tblProducts[Unit Cost],0)</f>
        <v>580000</v>
      </c>
      <c r="O2982" s="4" t="s">
        <v>4865</v>
      </c>
      <c r="P2982" s="4" t="s">
        <v>4860</v>
      </c>
      <c r="Q2982" s="1" t="str">
        <f>_xlfn.XLOOKUP(tblSales[[#This Row],[Channel Code]],tblChannels[Channel Code],tblChannels[Channel Name],"")</f>
        <v>In-store</v>
      </c>
      <c r="R2982" s="1">
        <f>MONTH(tblSales[[#This Row],[Date]])</f>
        <v>6</v>
      </c>
    </row>
    <row r="2983" spans="2:18" x14ac:dyDescent="0.35">
      <c r="B2983" s="113">
        <v>46201</v>
      </c>
      <c r="C2983" s="4" t="s">
        <v>2008</v>
      </c>
      <c r="D2983" s="4" t="s">
        <v>4568</v>
      </c>
      <c r="E2983" s="1" t="str">
        <f>_xlfn.XLOOKUP(tblSales[[#This Row],[Customer ID]],tblCustomers[Customer ID],tblCustomers[Customer Name],"⚠ Unknown")</f>
        <v>Walk-in Customer</v>
      </c>
      <c r="F2983" s="4" t="s">
        <v>6</v>
      </c>
      <c r="G2983" s="1" t="str">
        <f>_xlfn.XLOOKUP(tblSales[[#This Row],[Product Code]],tblProducts[Code],tblProducts[Product / Service Name],"⚠ Unknown")</f>
        <v>Socks &amp; Accessories</v>
      </c>
      <c r="H2983" s="1" t="str">
        <f>_xlfn.XLOOKUP(tblSales[[#This Row],[Product Code]],tblProducts[Code],tblProducts[Category],"")</f>
        <v>Accessories &amp; Basics</v>
      </c>
      <c r="I2983" s="4">
        <v>12</v>
      </c>
      <c r="J2983" s="5">
        <f>_xlfn.XLOOKUP(tblSales[[#This Row],[Product Code]],tblProducts[Code],tblProducts[Selling Price (excl. VAT)],0)</f>
        <v>45000</v>
      </c>
      <c r="K2983" s="5">
        <f>tblSales[[#This Row],[Qty]]*tblSales[[#This Row],[Unit Price]]</f>
        <v>540000</v>
      </c>
      <c r="L2983" s="5">
        <f>ROUND(tblSales[[#This Row],[DPP (excl. VAT)]]*VATEff,0)</f>
        <v>59400</v>
      </c>
      <c r="M2983" s="5">
        <f>tblSales[[#This Row],[DPP (excl. VAT)]]+tblSales[[#This Row],[Output VAT]]</f>
        <v>599400</v>
      </c>
      <c r="N2983" s="5">
        <f>tblSales[[#This Row],[Qty]]*_xlfn.XLOOKUP(tblSales[[#This Row],[Product Code]],tblProducts[Code],tblProducts[Unit Cost],0)</f>
        <v>288000</v>
      </c>
      <c r="O2983" s="4" t="s">
        <v>4865</v>
      </c>
      <c r="P2983" s="4" t="s">
        <v>4860</v>
      </c>
      <c r="Q2983" s="1" t="str">
        <f>_xlfn.XLOOKUP(tblSales[[#This Row],[Channel Code]],tblChannels[Channel Code],tblChannels[Channel Name],"")</f>
        <v>In-store</v>
      </c>
      <c r="R2983" s="1">
        <f>MONTH(tblSales[[#This Row],[Date]])</f>
        <v>6</v>
      </c>
    </row>
    <row r="2984" spans="2:18" x14ac:dyDescent="0.35">
      <c r="B2984" s="113">
        <v>46201</v>
      </c>
      <c r="C2984" s="4" t="s">
        <v>2009</v>
      </c>
      <c r="D2984" s="4" t="s">
        <v>4568</v>
      </c>
      <c r="E2984" s="1" t="str">
        <f>_xlfn.XLOOKUP(tblSales[[#This Row],[Customer ID]],tblCustomers[Customer ID],tblCustomers[Customer Name],"⚠ Unknown")</f>
        <v>Walk-in Customer</v>
      </c>
      <c r="F2984" s="4" t="s">
        <v>7</v>
      </c>
      <c r="G2984" s="1" t="str">
        <f>_xlfn.XLOOKUP(tblSales[[#This Row],[Product Code]],tblProducts[Code],tblProducts[Product / Service Name],"⚠ Unknown")</f>
        <v>Premium Basic T-shirt</v>
      </c>
      <c r="H2984" s="1" t="str">
        <f>_xlfn.XLOOKUP(tblSales[[#This Row],[Product Code]],tblProducts[Code],tblProducts[Category],"")</f>
        <v>Accessories &amp; Basics</v>
      </c>
      <c r="I2984" s="4">
        <v>1</v>
      </c>
      <c r="J2984" s="5">
        <f>_xlfn.XLOOKUP(tblSales[[#This Row],[Product Code]],tblProducts[Code],tblProducts[Selling Price (excl. VAT)],0)</f>
        <v>65000</v>
      </c>
      <c r="K2984" s="5">
        <f>tblSales[[#This Row],[Qty]]*tblSales[[#This Row],[Unit Price]]</f>
        <v>65000</v>
      </c>
      <c r="L2984" s="5">
        <f>ROUND(tblSales[[#This Row],[DPP (excl. VAT)]]*VATEff,0)</f>
        <v>7150</v>
      </c>
      <c r="M2984" s="5">
        <f>tblSales[[#This Row],[DPP (excl. VAT)]]+tblSales[[#This Row],[Output VAT]]</f>
        <v>72150</v>
      </c>
      <c r="N2984" s="5">
        <f>tblSales[[#This Row],[Qty]]*_xlfn.XLOOKUP(tblSales[[#This Row],[Product Code]],tblProducts[Code],tblProducts[Unit Cost],0)</f>
        <v>37000</v>
      </c>
      <c r="O2984" s="4" t="s">
        <v>4865</v>
      </c>
      <c r="P2984" s="4" t="s">
        <v>4860</v>
      </c>
      <c r="Q2984" s="1" t="str">
        <f>_xlfn.XLOOKUP(tblSales[[#This Row],[Channel Code]],tblChannels[Channel Code],tblChannels[Channel Name],"")</f>
        <v>In-store</v>
      </c>
      <c r="R2984" s="1">
        <f>MONTH(tblSales[[#This Row],[Date]])</f>
        <v>6</v>
      </c>
    </row>
    <row r="2985" spans="2:18" x14ac:dyDescent="0.35">
      <c r="B2985" s="113">
        <v>46201</v>
      </c>
      <c r="C2985" s="4" t="s">
        <v>2009</v>
      </c>
      <c r="D2985" s="4" t="s">
        <v>4568</v>
      </c>
      <c r="E2985" s="1" t="str">
        <f>_xlfn.XLOOKUP(tblSales[[#This Row],[Customer ID]],tblCustomers[Customer ID],tblCustomers[Customer Name],"⚠ Unknown")</f>
        <v>Walk-in Customer</v>
      </c>
      <c r="F2985" s="4" t="s">
        <v>11</v>
      </c>
      <c r="G2985" s="1" t="str">
        <f>_xlfn.XLOOKUP(tblSales[[#This Row],[Product Code]],tblProducts[Code],tblProducts[Product / Service Name],"⚠ Unknown")</f>
        <v>Sneakers</v>
      </c>
      <c r="H2985" s="1" t="str">
        <f>_xlfn.XLOOKUP(tblSales[[#This Row],[Product Code]],tblProducts[Code],tblProducts[Category],"")</f>
        <v>Apparel &amp; Footwear</v>
      </c>
      <c r="I2985" s="4">
        <v>5</v>
      </c>
      <c r="J2985" s="5">
        <f>_xlfn.XLOOKUP(tblSales[[#This Row],[Product Code]],tblProducts[Code],tblProducts[Selling Price (excl. VAT)],0)</f>
        <v>250000</v>
      </c>
      <c r="K2985" s="5">
        <f>tblSales[[#This Row],[Qty]]*tblSales[[#This Row],[Unit Price]]</f>
        <v>1250000</v>
      </c>
      <c r="L2985" s="5">
        <f>ROUND(tblSales[[#This Row],[DPP (excl. VAT)]]*VATEff,0)</f>
        <v>137500</v>
      </c>
      <c r="M2985" s="5">
        <f>tblSales[[#This Row],[DPP (excl. VAT)]]+tblSales[[#This Row],[Output VAT]]</f>
        <v>1387500</v>
      </c>
      <c r="N2985" s="5">
        <f>tblSales[[#This Row],[Qty]]*_xlfn.XLOOKUP(tblSales[[#This Row],[Product Code]],tblProducts[Code],tblProducts[Unit Cost],0)</f>
        <v>775000</v>
      </c>
      <c r="O2985" s="4" t="s">
        <v>4865</v>
      </c>
      <c r="P2985" s="4" t="s">
        <v>4860</v>
      </c>
      <c r="Q2985" s="1" t="str">
        <f>_xlfn.XLOOKUP(tblSales[[#This Row],[Channel Code]],tblChannels[Channel Code],tblChannels[Channel Name],"")</f>
        <v>In-store</v>
      </c>
      <c r="R2985" s="1">
        <f>MONTH(tblSales[[#This Row],[Date]])</f>
        <v>6</v>
      </c>
    </row>
    <row r="2986" spans="2:18" x14ac:dyDescent="0.35">
      <c r="B2986" s="113">
        <v>46201</v>
      </c>
      <c r="C2986" s="4" t="s">
        <v>2010</v>
      </c>
      <c r="D2986" s="4" t="s">
        <v>4568</v>
      </c>
      <c r="E2986" s="1" t="str">
        <f>_xlfn.XLOOKUP(tblSales[[#This Row],[Customer ID]],tblCustomers[Customer ID],tblCustomers[Customer Name],"⚠ Unknown")</f>
        <v>Walk-in Customer</v>
      </c>
      <c r="F2986" s="4" t="s">
        <v>6</v>
      </c>
      <c r="G2986" s="1" t="str">
        <f>_xlfn.XLOOKUP(tblSales[[#This Row],[Product Code]],tblProducts[Code],tblProducts[Product / Service Name],"⚠ Unknown")</f>
        <v>Socks &amp; Accessories</v>
      </c>
      <c r="H2986" s="1" t="str">
        <f>_xlfn.XLOOKUP(tblSales[[#This Row],[Product Code]],tblProducts[Code],tblProducts[Category],"")</f>
        <v>Accessories &amp; Basics</v>
      </c>
      <c r="I2986" s="4">
        <v>8</v>
      </c>
      <c r="J2986" s="5">
        <f>_xlfn.XLOOKUP(tblSales[[#This Row],[Product Code]],tblProducts[Code],tblProducts[Selling Price (excl. VAT)],0)</f>
        <v>45000</v>
      </c>
      <c r="K2986" s="5">
        <f>tblSales[[#This Row],[Qty]]*tblSales[[#This Row],[Unit Price]]</f>
        <v>360000</v>
      </c>
      <c r="L2986" s="5">
        <f>ROUND(tblSales[[#This Row],[DPP (excl. VAT)]]*VATEff,0)</f>
        <v>39600</v>
      </c>
      <c r="M2986" s="5">
        <f>tblSales[[#This Row],[DPP (excl. VAT)]]+tblSales[[#This Row],[Output VAT]]</f>
        <v>399600</v>
      </c>
      <c r="N2986" s="5">
        <f>tblSales[[#This Row],[Qty]]*_xlfn.XLOOKUP(tblSales[[#This Row],[Product Code]],tblProducts[Code],tblProducts[Unit Cost],0)</f>
        <v>192000</v>
      </c>
      <c r="O2986" s="4" t="s">
        <v>4866</v>
      </c>
      <c r="P2986" s="4" t="s">
        <v>4861</v>
      </c>
      <c r="Q2986" s="1" t="str">
        <f>_xlfn.XLOOKUP(tblSales[[#This Row],[Channel Code]],tblChannels[Channel Code],tblChannels[Channel Name],"")</f>
        <v>Marketplace</v>
      </c>
      <c r="R2986" s="1">
        <f>MONTH(tblSales[[#This Row],[Date]])</f>
        <v>6</v>
      </c>
    </row>
    <row r="2987" spans="2:18" x14ac:dyDescent="0.35">
      <c r="B2987" s="113">
        <v>46201</v>
      </c>
      <c r="C2987" s="4" t="s">
        <v>2010</v>
      </c>
      <c r="D2987" s="4" t="s">
        <v>4568</v>
      </c>
      <c r="E2987" s="1" t="str">
        <f>_xlfn.XLOOKUP(tblSales[[#This Row],[Customer ID]],tblCustomers[Customer ID],tblCustomers[Customer Name],"⚠ Unknown")</f>
        <v>Walk-in Customer</v>
      </c>
      <c r="F2987" s="4" t="s">
        <v>10</v>
      </c>
      <c r="G2987" s="1" t="str">
        <f>_xlfn.XLOOKUP(tblSales[[#This Row],[Product Code]],tblProducts[Code],tblProducts[Product / Service Name],"⚠ Unknown")</f>
        <v>Chino Pants</v>
      </c>
      <c r="H2987" s="1" t="str">
        <f>_xlfn.XLOOKUP(tblSales[[#This Row],[Product Code]],tblProducts[Code],tblProducts[Category],"")</f>
        <v>Apparel &amp; Footwear</v>
      </c>
      <c r="I2987" s="4">
        <v>10</v>
      </c>
      <c r="J2987" s="5">
        <f>_xlfn.XLOOKUP(tblSales[[#This Row],[Product Code]],tblProducts[Code],tblProducts[Selling Price (excl. VAT)],0)</f>
        <v>150000</v>
      </c>
      <c r="K2987" s="5">
        <f>tblSales[[#This Row],[Qty]]*tblSales[[#This Row],[Unit Price]]</f>
        <v>1500000</v>
      </c>
      <c r="L2987" s="5">
        <f>ROUND(tblSales[[#This Row],[DPP (excl. VAT)]]*VATEff,0)</f>
        <v>165000</v>
      </c>
      <c r="M2987" s="5">
        <f>tblSales[[#This Row],[DPP (excl. VAT)]]+tblSales[[#This Row],[Output VAT]]</f>
        <v>1665000</v>
      </c>
      <c r="N2987" s="5">
        <f>tblSales[[#This Row],[Qty]]*_xlfn.XLOOKUP(tblSales[[#This Row],[Product Code]],tblProducts[Code],tblProducts[Unit Cost],0)</f>
        <v>880000</v>
      </c>
      <c r="O2987" s="4" t="s">
        <v>4866</v>
      </c>
      <c r="P2987" s="4" t="s">
        <v>4861</v>
      </c>
      <c r="Q2987" s="1" t="str">
        <f>_xlfn.XLOOKUP(tblSales[[#This Row],[Channel Code]],tblChannels[Channel Code],tblChannels[Channel Name],"")</f>
        <v>Marketplace</v>
      </c>
      <c r="R2987" s="1">
        <f>MONTH(tblSales[[#This Row],[Date]])</f>
        <v>6</v>
      </c>
    </row>
    <row r="2988" spans="2:18" x14ac:dyDescent="0.35">
      <c r="B2988" s="113">
        <v>46201</v>
      </c>
      <c r="C2988" s="4" t="s">
        <v>2010</v>
      </c>
      <c r="D2988" s="4" t="s">
        <v>4568</v>
      </c>
      <c r="E2988" s="1" t="str">
        <f>_xlfn.XLOOKUP(tblSales[[#This Row],[Customer ID]],tblCustomers[Customer ID],tblCustomers[Customer Name],"⚠ Unknown")</f>
        <v>Walk-in Customer</v>
      </c>
      <c r="F2988" s="4" t="s">
        <v>8</v>
      </c>
      <c r="G2988" s="1" t="str">
        <f>_xlfn.XLOOKUP(tblSales[[#This Row],[Product Code]],tblProducts[Code],tblProducts[Product / Service Name],"⚠ Unknown")</f>
        <v>Casual Shorts</v>
      </c>
      <c r="H2988" s="1" t="str">
        <f>_xlfn.XLOOKUP(tblSales[[#This Row],[Product Code]],tblProducts[Code],tblProducts[Category],"")</f>
        <v>Accessories &amp; Basics</v>
      </c>
      <c r="I2988" s="4">
        <v>8</v>
      </c>
      <c r="J2988" s="5">
        <f>_xlfn.XLOOKUP(tblSales[[#This Row],[Product Code]],tblProducts[Code],tblProducts[Selling Price (excl. VAT)],0)</f>
        <v>85000</v>
      </c>
      <c r="K2988" s="5">
        <f>tblSales[[#This Row],[Qty]]*tblSales[[#This Row],[Unit Price]]</f>
        <v>680000</v>
      </c>
      <c r="L2988" s="5">
        <f>ROUND(tblSales[[#This Row],[DPP (excl. VAT)]]*VATEff,0)</f>
        <v>74800</v>
      </c>
      <c r="M2988" s="5">
        <f>tblSales[[#This Row],[DPP (excl. VAT)]]+tblSales[[#This Row],[Output VAT]]</f>
        <v>754800</v>
      </c>
      <c r="N2988" s="5">
        <f>tblSales[[#This Row],[Qty]]*_xlfn.XLOOKUP(tblSales[[#This Row],[Product Code]],tblProducts[Code],tblProducts[Unit Cost],0)</f>
        <v>400000</v>
      </c>
      <c r="O2988" s="4" t="s">
        <v>4866</v>
      </c>
      <c r="P2988" s="4" t="s">
        <v>4861</v>
      </c>
      <c r="Q2988" s="1" t="str">
        <f>_xlfn.XLOOKUP(tblSales[[#This Row],[Channel Code]],tblChannels[Channel Code],tblChannels[Channel Name],"")</f>
        <v>Marketplace</v>
      </c>
      <c r="R2988" s="1">
        <f>MONTH(tblSales[[#This Row],[Date]])</f>
        <v>6</v>
      </c>
    </row>
    <row r="2989" spans="2:18" x14ac:dyDescent="0.35">
      <c r="B2989" s="113">
        <v>46201</v>
      </c>
      <c r="C2989" s="4" t="s">
        <v>2011</v>
      </c>
      <c r="D2989" s="4" t="s">
        <v>4568</v>
      </c>
      <c r="E2989" s="1" t="str">
        <f>_xlfn.XLOOKUP(tblSales[[#This Row],[Customer ID]],tblCustomers[Customer ID],tblCustomers[Customer Name],"⚠ Unknown")</f>
        <v>Walk-in Customer</v>
      </c>
      <c r="F2989" s="4" t="s">
        <v>10</v>
      </c>
      <c r="G2989" s="1" t="str">
        <f>_xlfn.XLOOKUP(tblSales[[#This Row],[Product Code]],tblProducts[Code],tblProducts[Product / Service Name],"⚠ Unknown")</f>
        <v>Chino Pants</v>
      </c>
      <c r="H2989" s="1" t="str">
        <f>_xlfn.XLOOKUP(tblSales[[#This Row],[Product Code]],tblProducts[Code],tblProducts[Category],"")</f>
        <v>Apparel &amp; Footwear</v>
      </c>
      <c r="I2989" s="4">
        <v>6</v>
      </c>
      <c r="J2989" s="5">
        <f>_xlfn.XLOOKUP(tblSales[[#This Row],[Product Code]],tblProducts[Code],tblProducts[Selling Price (excl. VAT)],0)</f>
        <v>150000</v>
      </c>
      <c r="K2989" s="5">
        <f>tblSales[[#This Row],[Qty]]*tblSales[[#This Row],[Unit Price]]</f>
        <v>900000</v>
      </c>
      <c r="L2989" s="5">
        <f>ROUND(tblSales[[#This Row],[DPP (excl. VAT)]]*VATEff,0)</f>
        <v>99000</v>
      </c>
      <c r="M2989" s="5">
        <f>tblSales[[#This Row],[DPP (excl. VAT)]]+tblSales[[#This Row],[Output VAT]]</f>
        <v>999000</v>
      </c>
      <c r="N2989" s="5">
        <f>tblSales[[#This Row],[Qty]]*_xlfn.XLOOKUP(tblSales[[#This Row],[Product Code]],tblProducts[Code],tblProducts[Unit Cost],0)</f>
        <v>528000</v>
      </c>
      <c r="O2989" s="4" t="s">
        <v>4865</v>
      </c>
      <c r="P2989" s="4" t="s">
        <v>4860</v>
      </c>
      <c r="Q2989" s="1" t="str">
        <f>_xlfn.XLOOKUP(tblSales[[#This Row],[Channel Code]],tblChannels[Channel Code],tblChannels[Channel Name],"")</f>
        <v>In-store</v>
      </c>
      <c r="R2989" s="1">
        <f>MONTH(tblSales[[#This Row],[Date]])</f>
        <v>6</v>
      </c>
    </row>
    <row r="2990" spans="2:18" x14ac:dyDescent="0.35">
      <c r="B2990" s="113">
        <v>46201</v>
      </c>
      <c r="C2990" s="4" t="s">
        <v>2011</v>
      </c>
      <c r="D2990" s="4" t="s">
        <v>4568</v>
      </c>
      <c r="E2990" s="1" t="str">
        <f>_xlfn.XLOOKUP(tblSales[[#This Row],[Customer ID]],tblCustomers[Customer ID],tblCustomers[Customer Name],"⚠ Unknown")</f>
        <v>Walk-in Customer</v>
      </c>
      <c r="F2990" s="4" t="s">
        <v>6</v>
      </c>
      <c r="G2990" s="1" t="str">
        <f>_xlfn.XLOOKUP(tblSales[[#This Row],[Product Code]],tblProducts[Code],tblProducts[Product / Service Name],"⚠ Unknown")</f>
        <v>Socks &amp; Accessories</v>
      </c>
      <c r="H2990" s="1" t="str">
        <f>_xlfn.XLOOKUP(tblSales[[#This Row],[Product Code]],tblProducts[Code],tblProducts[Category],"")</f>
        <v>Accessories &amp; Basics</v>
      </c>
      <c r="I2990" s="4">
        <v>7</v>
      </c>
      <c r="J2990" s="5">
        <f>_xlfn.XLOOKUP(tblSales[[#This Row],[Product Code]],tblProducts[Code],tblProducts[Selling Price (excl. VAT)],0)</f>
        <v>45000</v>
      </c>
      <c r="K2990" s="5">
        <f>tblSales[[#This Row],[Qty]]*tblSales[[#This Row],[Unit Price]]</f>
        <v>315000</v>
      </c>
      <c r="L2990" s="5">
        <f>ROUND(tblSales[[#This Row],[DPP (excl. VAT)]]*VATEff,0)</f>
        <v>34650</v>
      </c>
      <c r="M2990" s="5">
        <f>tblSales[[#This Row],[DPP (excl. VAT)]]+tblSales[[#This Row],[Output VAT]]</f>
        <v>349650</v>
      </c>
      <c r="N2990" s="5">
        <f>tblSales[[#This Row],[Qty]]*_xlfn.XLOOKUP(tblSales[[#This Row],[Product Code]],tblProducts[Code],tblProducts[Unit Cost],0)</f>
        <v>168000</v>
      </c>
      <c r="O2990" s="4" t="s">
        <v>4865</v>
      </c>
      <c r="P2990" s="4" t="s">
        <v>4860</v>
      </c>
      <c r="Q2990" s="1" t="str">
        <f>_xlfn.XLOOKUP(tblSales[[#This Row],[Channel Code]],tblChannels[Channel Code],tblChannels[Channel Name],"")</f>
        <v>In-store</v>
      </c>
      <c r="R2990" s="1">
        <f>MONTH(tblSales[[#This Row],[Date]])</f>
        <v>6</v>
      </c>
    </row>
    <row r="2991" spans="2:18" x14ac:dyDescent="0.35">
      <c r="B2991" s="113">
        <v>46201</v>
      </c>
      <c r="C2991" s="4" t="s">
        <v>2011</v>
      </c>
      <c r="D2991" s="4" t="s">
        <v>4568</v>
      </c>
      <c r="E2991" s="1" t="str">
        <f>_xlfn.XLOOKUP(tblSales[[#This Row],[Customer ID]],tblCustomers[Customer ID],tblCustomers[Customer Name],"⚠ Unknown")</f>
        <v>Walk-in Customer</v>
      </c>
      <c r="F2991" s="4" t="s">
        <v>8</v>
      </c>
      <c r="G2991" s="1" t="str">
        <f>_xlfn.XLOOKUP(tblSales[[#This Row],[Product Code]],tblProducts[Code],tblProducts[Product / Service Name],"⚠ Unknown")</f>
        <v>Casual Shorts</v>
      </c>
      <c r="H2991" s="1" t="str">
        <f>_xlfn.XLOOKUP(tblSales[[#This Row],[Product Code]],tblProducts[Code],tblProducts[Category],"")</f>
        <v>Accessories &amp; Basics</v>
      </c>
      <c r="I2991" s="4">
        <v>1</v>
      </c>
      <c r="J2991" s="5">
        <f>_xlfn.XLOOKUP(tblSales[[#This Row],[Product Code]],tblProducts[Code],tblProducts[Selling Price (excl. VAT)],0)</f>
        <v>85000</v>
      </c>
      <c r="K2991" s="5">
        <f>tblSales[[#This Row],[Qty]]*tblSales[[#This Row],[Unit Price]]</f>
        <v>85000</v>
      </c>
      <c r="L2991" s="5">
        <f>ROUND(tblSales[[#This Row],[DPP (excl. VAT)]]*VATEff,0)</f>
        <v>9350</v>
      </c>
      <c r="M2991" s="5">
        <f>tblSales[[#This Row],[DPP (excl. VAT)]]+tblSales[[#This Row],[Output VAT]]</f>
        <v>94350</v>
      </c>
      <c r="N2991" s="5">
        <f>tblSales[[#This Row],[Qty]]*_xlfn.XLOOKUP(tblSales[[#This Row],[Product Code]],tblProducts[Code],tblProducts[Unit Cost],0)</f>
        <v>50000</v>
      </c>
      <c r="O2991" s="4" t="s">
        <v>4865</v>
      </c>
      <c r="P2991" s="4" t="s">
        <v>4860</v>
      </c>
      <c r="Q2991" s="1" t="str">
        <f>_xlfn.XLOOKUP(tblSales[[#This Row],[Channel Code]],tblChannels[Channel Code],tblChannels[Channel Name],"")</f>
        <v>In-store</v>
      </c>
      <c r="R2991" s="1">
        <f>MONTH(tblSales[[#This Row],[Date]])</f>
        <v>6</v>
      </c>
    </row>
    <row r="2992" spans="2:18" x14ac:dyDescent="0.35">
      <c r="B2992" s="113">
        <v>46201</v>
      </c>
      <c r="C2992" s="4" t="s">
        <v>2012</v>
      </c>
      <c r="D2992" s="4" t="s">
        <v>4568</v>
      </c>
      <c r="E2992" s="1" t="str">
        <f>_xlfn.XLOOKUP(tblSales[[#This Row],[Customer ID]],tblCustomers[Customer ID],tblCustomers[Customer Name],"⚠ Unknown")</f>
        <v>Walk-in Customer</v>
      </c>
      <c r="F2992" s="4" t="s">
        <v>9</v>
      </c>
      <c r="G2992" s="1" t="str">
        <f>_xlfn.XLOOKUP(tblSales[[#This Row],[Product Code]],tblProducts[Code],tblProducts[Product / Service Name],"⚠ Unknown")</f>
        <v>Casual Shirt</v>
      </c>
      <c r="H2992" s="1" t="str">
        <f>_xlfn.XLOOKUP(tblSales[[#This Row],[Product Code]],tblProducts[Code],tblProducts[Category],"")</f>
        <v>Apparel &amp; Footwear</v>
      </c>
      <c r="I2992" s="4">
        <v>11</v>
      </c>
      <c r="J2992" s="5">
        <f>_xlfn.XLOOKUP(tblSales[[#This Row],[Product Code]],tblProducts[Code],tblProducts[Selling Price (excl. VAT)],0)</f>
        <v>120000</v>
      </c>
      <c r="K2992" s="5">
        <f>tblSales[[#This Row],[Qty]]*tblSales[[#This Row],[Unit Price]]</f>
        <v>1320000</v>
      </c>
      <c r="L2992" s="5">
        <f>ROUND(tblSales[[#This Row],[DPP (excl. VAT)]]*VATEff,0)</f>
        <v>145200</v>
      </c>
      <c r="M2992" s="5">
        <f>tblSales[[#This Row],[DPP (excl. VAT)]]+tblSales[[#This Row],[Output VAT]]</f>
        <v>1465200</v>
      </c>
      <c r="N2992" s="5">
        <f>tblSales[[#This Row],[Qty]]*_xlfn.XLOOKUP(tblSales[[#This Row],[Product Code]],tblProducts[Code],tblProducts[Unit Cost],0)</f>
        <v>792000</v>
      </c>
      <c r="O2992" s="4" t="s">
        <v>4866</v>
      </c>
      <c r="P2992" s="4" t="s">
        <v>4861</v>
      </c>
      <c r="Q2992" s="1" t="str">
        <f>_xlfn.XLOOKUP(tblSales[[#This Row],[Channel Code]],tblChannels[Channel Code],tblChannels[Channel Name],"")</f>
        <v>Marketplace</v>
      </c>
      <c r="R2992" s="1">
        <f>MONTH(tblSales[[#This Row],[Date]])</f>
        <v>6</v>
      </c>
    </row>
    <row r="2993" spans="2:18" x14ac:dyDescent="0.35">
      <c r="B2993" s="113">
        <v>46201</v>
      </c>
      <c r="C2993" s="4" t="s">
        <v>2013</v>
      </c>
      <c r="D2993" s="4" t="s">
        <v>4568</v>
      </c>
      <c r="E2993" s="1" t="str">
        <f>_xlfn.XLOOKUP(tblSales[[#This Row],[Customer ID]],tblCustomers[Customer ID],tblCustomers[Customer Name],"⚠ Unknown")</f>
        <v>Walk-in Customer</v>
      </c>
      <c r="F2993" s="4" t="s">
        <v>8</v>
      </c>
      <c r="G2993" s="1" t="str">
        <f>_xlfn.XLOOKUP(tblSales[[#This Row],[Product Code]],tblProducts[Code],tblProducts[Product / Service Name],"⚠ Unknown")</f>
        <v>Casual Shorts</v>
      </c>
      <c r="H2993" s="1" t="str">
        <f>_xlfn.XLOOKUP(tblSales[[#This Row],[Product Code]],tblProducts[Code],tblProducts[Category],"")</f>
        <v>Accessories &amp; Basics</v>
      </c>
      <c r="I2993" s="4">
        <v>7</v>
      </c>
      <c r="J2993" s="5">
        <f>_xlfn.XLOOKUP(tblSales[[#This Row],[Product Code]],tblProducts[Code],tblProducts[Selling Price (excl. VAT)],0)</f>
        <v>85000</v>
      </c>
      <c r="K2993" s="5">
        <f>tblSales[[#This Row],[Qty]]*tblSales[[#This Row],[Unit Price]]</f>
        <v>595000</v>
      </c>
      <c r="L2993" s="5">
        <f>ROUND(tblSales[[#This Row],[DPP (excl. VAT)]]*VATEff,0)</f>
        <v>65450</v>
      </c>
      <c r="M2993" s="5">
        <f>tblSales[[#This Row],[DPP (excl. VAT)]]+tblSales[[#This Row],[Output VAT]]</f>
        <v>660450</v>
      </c>
      <c r="N2993" s="5">
        <f>tblSales[[#This Row],[Qty]]*_xlfn.XLOOKUP(tblSales[[#This Row],[Product Code]],tblProducts[Code],tblProducts[Unit Cost],0)</f>
        <v>350000</v>
      </c>
      <c r="O2993" s="4" t="s">
        <v>4866</v>
      </c>
      <c r="P2993" s="4" t="s">
        <v>4861</v>
      </c>
      <c r="Q2993" s="1" t="str">
        <f>_xlfn.XLOOKUP(tblSales[[#This Row],[Channel Code]],tblChannels[Channel Code],tblChannels[Channel Name],"")</f>
        <v>Marketplace</v>
      </c>
      <c r="R2993" s="1">
        <f>MONTH(tblSales[[#This Row],[Date]])</f>
        <v>6</v>
      </c>
    </row>
    <row r="2994" spans="2:18" x14ac:dyDescent="0.35">
      <c r="B2994" s="113">
        <v>46201</v>
      </c>
      <c r="C2994" s="4" t="s">
        <v>2014</v>
      </c>
      <c r="D2994" s="4" t="s">
        <v>4568</v>
      </c>
      <c r="E2994" s="1" t="str">
        <f>_xlfn.XLOOKUP(tblSales[[#This Row],[Customer ID]],tblCustomers[Customer ID],tblCustomers[Customer Name],"⚠ Unknown")</f>
        <v>Walk-in Customer</v>
      </c>
      <c r="F2994" s="4" t="s">
        <v>9</v>
      </c>
      <c r="G2994" s="1" t="str">
        <f>_xlfn.XLOOKUP(tblSales[[#This Row],[Product Code]],tblProducts[Code],tblProducts[Product / Service Name],"⚠ Unknown")</f>
        <v>Casual Shirt</v>
      </c>
      <c r="H2994" s="1" t="str">
        <f>_xlfn.XLOOKUP(tblSales[[#This Row],[Product Code]],tblProducts[Code],tblProducts[Category],"")</f>
        <v>Apparel &amp; Footwear</v>
      </c>
      <c r="I2994" s="4">
        <v>11</v>
      </c>
      <c r="J2994" s="5">
        <f>_xlfn.XLOOKUP(tblSales[[#This Row],[Product Code]],tblProducts[Code],tblProducts[Selling Price (excl. VAT)],0)</f>
        <v>120000</v>
      </c>
      <c r="K2994" s="5">
        <f>tblSales[[#This Row],[Qty]]*tblSales[[#This Row],[Unit Price]]</f>
        <v>1320000</v>
      </c>
      <c r="L2994" s="5">
        <f>ROUND(tblSales[[#This Row],[DPP (excl. VAT)]]*VATEff,0)</f>
        <v>145200</v>
      </c>
      <c r="M2994" s="5">
        <f>tblSales[[#This Row],[DPP (excl. VAT)]]+tblSales[[#This Row],[Output VAT]]</f>
        <v>1465200</v>
      </c>
      <c r="N2994" s="5">
        <f>tblSales[[#This Row],[Qty]]*_xlfn.XLOOKUP(tblSales[[#This Row],[Product Code]],tblProducts[Code],tblProducts[Unit Cost],0)</f>
        <v>792000</v>
      </c>
      <c r="O2994" s="4" t="s">
        <v>4866</v>
      </c>
      <c r="P2994" s="4" t="s">
        <v>4860</v>
      </c>
      <c r="Q2994" s="1" t="str">
        <f>_xlfn.XLOOKUP(tblSales[[#This Row],[Channel Code]],tblChannels[Channel Code],tblChannels[Channel Name],"")</f>
        <v>In-store</v>
      </c>
      <c r="R2994" s="1">
        <f>MONTH(tblSales[[#This Row],[Date]])</f>
        <v>6</v>
      </c>
    </row>
    <row r="2995" spans="2:18" x14ac:dyDescent="0.35">
      <c r="B2995" s="113">
        <v>46201</v>
      </c>
      <c r="C2995" s="4" t="s">
        <v>2015</v>
      </c>
      <c r="D2995" s="4" t="s">
        <v>4620</v>
      </c>
      <c r="E2995" s="1" t="str">
        <f>_xlfn.XLOOKUP(tblSales[[#This Row],[Customer ID]],tblCustomers[Customer ID],tblCustomers[Customer Name],"⚠ Unknown")</f>
        <v>CV Sumber Rejeki Utama</v>
      </c>
      <c r="F2995" s="4" t="s">
        <v>11</v>
      </c>
      <c r="G2995" s="1" t="str">
        <f>_xlfn.XLOOKUP(tblSales[[#This Row],[Product Code]],tblProducts[Code],tblProducts[Product / Service Name],"⚠ Unknown")</f>
        <v>Sneakers</v>
      </c>
      <c r="H2995" s="1" t="str">
        <f>_xlfn.XLOOKUP(tblSales[[#This Row],[Product Code]],tblProducts[Code],tblProducts[Category],"")</f>
        <v>Apparel &amp; Footwear</v>
      </c>
      <c r="I2995" s="4">
        <v>16</v>
      </c>
      <c r="J2995" s="5">
        <f>_xlfn.XLOOKUP(tblSales[[#This Row],[Product Code]],tblProducts[Code],tblProducts[Selling Price (excl. VAT)],0)</f>
        <v>250000</v>
      </c>
      <c r="K2995" s="5">
        <f>tblSales[[#This Row],[Qty]]*tblSales[[#This Row],[Unit Price]]</f>
        <v>4000000</v>
      </c>
      <c r="L2995" s="5">
        <f>ROUND(tblSales[[#This Row],[DPP (excl. VAT)]]*VATEff,0)</f>
        <v>440000</v>
      </c>
      <c r="M2995" s="5">
        <f>tblSales[[#This Row],[DPP (excl. VAT)]]+tblSales[[#This Row],[Output VAT]]</f>
        <v>4440000</v>
      </c>
      <c r="N2995" s="5">
        <f>tblSales[[#This Row],[Qty]]*_xlfn.XLOOKUP(tblSales[[#This Row],[Product Code]],tblProducts[Code],tblProducts[Unit Cost],0)</f>
        <v>2480000</v>
      </c>
      <c r="O2995" s="4" t="s">
        <v>4867</v>
      </c>
      <c r="P2995" s="4" t="s">
        <v>4860</v>
      </c>
      <c r="Q2995" s="1" t="str">
        <f>_xlfn.XLOOKUP(tblSales[[#This Row],[Channel Code]],tblChannels[Channel Code],tblChannels[Channel Name],"")</f>
        <v>In-store</v>
      </c>
      <c r="R2995" s="1">
        <f>MONTH(tblSales[[#This Row],[Date]])</f>
        <v>6</v>
      </c>
    </row>
    <row r="2996" spans="2:18" x14ac:dyDescent="0.35">
      <c r="B2996" s="113">
        <v>46201</v>
      </c>
      <c r="C2996" s="4" t="s">
        <v>2016</v>
      </c>
      <c r="D2996" s="4" t="s">
        <v>4568</v>
      </c>
      <c r="E2996" s="1" t="str">
        <f>_xlfn.XLOOKUP(tblSales[[#This Row],[Customer ID]],tblCustomers[Customer ID],tblCustomers[Customer Name],"⚠ Unknown")</f>
        <v>Walk-in Customer</v>
      </c>
      <c r="F2996" s="4" t="s">
        <v>10</v>
      </c>
      <c r="G2996" s="1" t="str">
        <f>_xlfn.XLOOKUP(tblSales[[#This Row],[Product Code]],tblProducts[Code],tblProducts[Product / Service Name],"⚠ Unknown")</f>
        <v>Chino Pants</v>
      </c>
      <c r="H2996" s="1" t="str">
        <f>_xlfn.XLOOKUP(tblSales[[#This Row],[Product Code]],tblProducts[Code],tblProducts[Category],"")</f>
        <v>Apparel &amp; Footwear</v>
      </c>
      <c r="I2996" s="4">
        <v>11</v>
      </c>
      <c r="J2996" s="5">
        <f>_xlfn.XLOOKUP(tblSales[[#This Row],[Product Code]],tblProducts[Code],tblProducts[Selling Price (excl. VAT)],0)</f>
        <v>150000</v>
      </c>
      <c r="K2996" s="5">
        <f>tblSales[[#This Row],[Qty]]*tblSales[[#This Row],[Unit Price]]</f>
        <v>1650000</v>
      </c>
      <c r="L2996" s="5">
        <f>ROUND(tblSales[[#This Row],[DPP (excl. VAT)]]*VATEff,0)</f>
        <v>181500</v>
      </c>
      <c r="M2996" s="5">
        <f>tblSales[[#This Row],[DPP (excl. VAT)]]+tblSales[[#This Row],[Output VAT]]</f>
        <v>1831500</v>
      </c>
      <c r="N2996" s="5">
        <f>tblSales[[#This Row],[Qty]]*_xlfn.XLOOKUP(tblSales[[#This Row],[Product Code]],tblProducts[Code],tblProducts[Unit Cost],0)</f>
        <v>968000</v>
      </c>
      <c r="O2996" s="4" t="s">
        <v>4865</v>
      </c>
      <c r="P2996" s="4" t="s">
        <v>4860</v>
      </c>
      <c r="Q2996" s="1" t="str">
        <f>_xlfn.XLOOKUP(tblSales[[#This Row],[Channel Code]],tblChannels[Channel Code],tblChannels[Channel Name],"")</f>
        <v>In-store</v>
      </c>
      <c r="R2996" s="1">
        <f>MONTH(tblSales[[#This Row],[Date]])</f>
        <v>6</v>
      </c>
    </row>
    <row r="2997" spans="2:18" x14ac:dyDescent="0.35">
      <c r="B2997" s="113">
        <v>46202</v>
      </c>
      <c r="C2997" s="4" t="s">
        <v>2017</v>
      </c>
      <c r="D2997" s="4" t="s">
        <v>4627</v>
      </c>
      <c r="E2997" s="1" t="str">
        <f>_xlfn.XLOOKUP(tblSales[[#This Row],[Customer ID]],tblCustomers[Customer ID],tblCustomers[Customer Name],"⚠ Unknown")</f>
        <v>PT Kencana Wira Usaha</v>
      </c>
      <c r="F2997" s="4" t="s">
        <v>8</v>
      </c>
      <c r="G2997" s="1" t="str">
        <f>_xlfn.XLOOKUP(tblSales[[#This Row],[Product Code]],tblProducts[Code],tblProducts[Product / Service Name],"⚠ Unknown")</f>
        <v>Casual Shorts</v>
      </c>
      <c r="H2997" s="1" t="str">
        <f>_xlfn.XLOOKUP(tblSales[[#This Row],[Product Code]],tblProducts[Code],tblProducts[Category],"")</f>
        <v>Accessories &amp; Basics</v>
      </c>
      <c r="I2997" s="4">
        <v>96</v>
      </c>
      <c r="J2997" s="5">
        <f>_xlfn.XLOOKUP(tblSales[[#This Row],[Product Code]],tblProducts[Code],tblProducts[Selling Price (excl. VAT)],0)</f>
        <v>85000</v>
      </c>
      <c r="K2997" s="5">
        <f>tblSales[[#This Row],[Qty]]*tblSales[[#This Row],[Unit Price]]</f>
        <v>8160000</v>
      </c>
      <c r="L2997" s="5">
        <f>ROUND(tblSales[[#This Row],[DPP (excl. VAT)]]*VATEff,0)</f>
        <v>897600</v>
      </c>
      <c r="M2997" s="5">
        <f>tblSales[[#This Row],[DPP (excl. VAT)]]+tblSales[[#This Row],[Output VAT]]</f>
        <v>9057600</v>
      </c>
      <c r="N2997" s="5">
        <f>tblSales[[#This Row],[Qty]]*_xlfn.XLOOKUP(tblSales[[#This Row],[Product Code]],tblProducts[Code],tblProducts[Unit Cost],0)</f>
        <v>4800000</v>
      </c>
      <c r="O2997" s="4" t="s">
        <v>4867</v>
      </c>
      <c r="P2997" s="4" t="s">
        <v>4860</v>
      </c>
      <c r="Q2997" s="1" t="str">
        <f>_xlfn.XLOOKUP(tblSales[[#This Row],[Channel Code]],tblChannels[Channel Code],tblChannels[Channel Name],"")</f>
        <v>In-store</v>
      </c>
      <c r="R2997" s="1">
        <f>MONTH(tblSales[[#This Row],[Date]])</f>
        <v>6</v>
      </c>
    </row>
    <row r="2998" spans="2:18" x14ac:dyDescent="0.35">
      <c r="B2998" s="113">
        <v>46202</v>
      </c>
      <c r="C2998" s="4" t="s">
        <v>5283</v>
      </c>
      <c r="D2998" s="4" t="s">
        <v>4568</v>
      </c>
      <c r="E2998" s="1" t="str">
        <f>_xlfn.XLOOKUP(tblSales[[#This Row],[Customer ID]],tblCustomers[Customer ID],tblCustomers[Customer Name],"⚠ Unknown")</f>
        <v>Walk-in Customer</v>
      </c>
      <c r="F2998" s="4" t="s">
        <v>7</v>
      </c>
      <c r="G2998" s="1" t="str">
        <f>_xlfn.XLOOKUP(tblSales[[#This Row],[Product Code]],tblProducts[Code],tblProducts[Product / Service Name],"⚠ Unknown")</f>
        <v>Premium Basic T-shirt</v>
      </c>
      <c r="H2998" s="1" t="str">
        <f>_xlfn.XLOOKUP(tblSales[[#This Row],[Product Code]],tblProducts[Code],tblProducts[Category],"")</f>
        <v>Accessories &amp; Basics</v>
      </c>
      <c r="I2998" s="4">
        <v>4</v>
      </c>
      <c r="J2998" s="5">
        <f>_xlfn.XLOOKUP(tblSales[[#This Row],[Product Code]],tblProducts[Code],tblProducts[Selling Price (excl. VAT)],0)</f>
        <v>65000</v>
      </c>
      <c r="K2998" s="5">
        <f>tblSales[[#This Row],[Qty]]*tblSales[[#This Row],[Unit Price]]</f>
        <v>260000</v>
      </c>
      <c r="L2998" s="5">
        <f>ROUND(tblSales[[#This Row],[DPP (excl. VAT)]]*VATEff,0)</f>
        <v>28600</v>
      </c>
      <c r="M2998" s="5">
        <f>tblSales[[#This Row],[DPP (excl. VAT)]]+tblSales[[#This Row],[Output VAT]]</f>
        <v>288600</v>
      </c>
      <c r="N2998" s="5">
        <f>tblSales[[#This Row],[Qty]]*_xlfn.XLOOKUP(tblSales[[#This Row],[Product Code]],tblProducts[Code],tblProducts[Unit Cost],0)</f>
        <v>148000</v>
      </c>
      <c r="O2998" s="4" t="s">
        <v>4865</v>
      </c>
      <c r="P2998" s="4" t="s">
        <v>4860</v>
      </c>
      <c r="Q2998" s="1" t="str">
        <f>_xlfn.XLOOKUP(tblSales[[#This Row],[Channel Code]],tblChannels[Channel Code],tblChannels[Channel Name],"")</f>
        <v>In-store</v>
      </c>
      <c r="R2998" s="1">
        <f>MONTH(tblSales[[#This Row],[Date]])</f>
        <v>6</v>
      </c>
    </row>
    <row r="2999" spans="2:18" x14ac:dyDescent="0.35">
      <c r="B2999" s="113">
        <v>46202</v>
      </c>
      <c r="C2999" s="4" t="s">
        <v>5284</v>
      </c>
      <c r="D2999" s="4" t="s">
        <v>4568</v>
      </c>
      <c r="E2999" s="1" t="str">
        <f>_xlfn.XLOOKUP(tblSales[[#This Row],[Customer ID]],tblCustomers[Customer ID],tblCustomers[Customer Name],"⚠ Unknown")</f>
        <v>Walk-in Customer</v>
      </c>
      <c r="F2999" s="4" t="s">
        <v>9</v>
      </c>
      <c r="G2999" s="1" t="str">
        <f>_xlfn.XLOOKUP(tblSales[[#This Row],[Product Code]],tblProducts[Code],tblProducts[Product / Service Name],"⚠ Unknown")</f>
        <v>Casual Shirt</v>
      </c>
      <c r="H2999" s="1" t="str">
        <f>_xlfn.XLOOKUP(tblSales[[#This Row],[Product Code]],tblProducts[Code],tblProducts[Category],"")</f>
        <v>Apparel &amp; Footwear</v>
      </c>
      <c r="I2999" s="4">
        <v>9</v>
      </c>
      <c r="J2999" s="5">
        <f>_xlfn.XLOOKUP(tblSales[[#This Row],[Product Code]],tblProducts[Code],tblProducts[Selling Price (excl. VAT)],0)</f>
        <v>120000</v>
      </c>
      <c r="K2999" s="5">
        <f>tblSales[[#This Row],[Qty]]*tblSales[[#This Row],[Unit Price]]</f>
        <v>1080000</v>
      </c>
      <c r="L2999" s="5">
        <f>ROUND(tblSales[[#This Row],[DPP (excl. VAT)]]*VATEff,0)</f>
        <v>118800</v>
      </c>
      <c r="M2999" s="5">
        <f>tblSales[[#This Row],[DPP (excl. VAT)]]+tblSales[[#This Row],[Output VAT]]</f>
        <v>1198800</v>
      </c>
      <c r="N2999" s="5">
        <f>tblSales[[#This Row],[Qty]]*_xlfn.XLOOKUP(tblSales[[#This Row],[Product Code]],tblProducts[Code],tblProducts[Unit Cost],0)</f>
        <v>648000</v>
      </c>
      <c r="O2999" s="4" t="s">
        <v>4865</v>
      </c>
      <c r="P2999" s="4" t="s">
        <v>4860</v>
      </c>
      <c r="Q2999" s="1" t="str">
        <f>_xlfn.XLOOKUP(tblSales[[#This Row],[Channel Code]],tblChannels[Channel Code],tblChannels[Channel Name],"")</f>
        <v>In-store</v>
      </c>
      <c r="R2999" s="1">
        <f>MONTH(tblSales[[#This Row],[Date]])</f>
        <v>6</v>
      </c>
    </row>
    <row r="3000" spans="2:18" x14ac:dyDescent="0.35">
      <c r="B3000" s="113">
        <v>46202</v>
      </c>
      <c r="C3000" s="4" t="s">
        <v>5285</v>
      </c>
      <c r="D3000" s="4" t="s">
        <v>4585</v>
      </c>
      <c r="E3000" s="1" t="str">
        <f>_xlfn.XLOOKUP(tblSales[[#This Row],[Customer ID]],tblCustomers[Customer ID],tblCustomers[Customer Name],"⚠ Unknown")</f>
        <v>CV Mitra Karya Mandiri</v>
      </c>
      <c r="F3000" s="4" t="s">
        <v>6</v>
      </c>
      <c r="G3000" s="1" t="str">
        <f>_xlfn.XLOOKUP(tblSales[[#This Row],[Product Code]],tblProducts[Code],tblProducts[Product / Service Name],"⚠ Unknown")</f>
        <v>Socks &amp; Accessories</v>
      </c>
      <c r="H3000" s="1" t="str">
        <f>_xlfn.XLOOKUP(tblSales[[#This Row],[Product Code]],tblProducts[Code],tblProducts[Category],"")</f>
        <v>Accessories &amp; Basics</v>
      </c>
      <c r="I3000" s="4">
        <v>32</v>
      </c>
      <c r="J3000" s="5">
        <f>_xlfn.XLOOKUP(tblSales[[#This Row],[Product Code]],tblProducts[Code],tblProducts[Selling Price (excl. VAT)],0)</f>
        <v>45000</v>
      </c>
      <c r="K3000" s="5">
        <f>tblSales[[#This Row],[Qty]]*tblSales[[#This Row],[Unit Price]]</f>
        <v>1440000</v>
      </c>
      <c r="L3000" s="5">
        <f>ROUND(tblSales[[#This Row],[DPP (excl. VAT)]]*VATEff,0)</f>
        <v>158400</v>
      </c>
      <c r="M3000" s="5">
        <f>tblSales[[#This Row],[DPP (excl. VAT)]]+tblSales[[#This Row],[Output VAT]]</f>
        <v>1598400</v>
      </c>
      <c r="N3000" s="5">
        <f>tblSales[[#This Row],[Qty]]*_xlfn.XLOOKUP(tblSales[[#This Row],[Product Code]],tblProducts[Code],tblProducts[Unit Cost],0)</f>
        <v>768000</v>
      </c>
      <c r="O3000" s="4" t="s">
        <v>4867</v>
      </c>
      <c r="P3000" s="4" t="s">
        <v>4860</v>
      </c>
      <c r="Q3000" s="1" t="str">
        <f>_xlfn.XLOOKUP(tblSales[[#This Row],[Channel Code]],tblChannels[Channel Code],tblChannels[Channel Name],"")</f>
        <v>In-store</v>
      </c>
      <c r="R3000" s="1">
        <f>MONTH(tblSales[[#This Row],[Date]])</f>
        <v>6</v>
      </c>
    </row>
    <row r="3001" spans="2:18" x14ac:dyDescent="0.35">
      <c r="B3001" s="113">
        <v>46202</v>
      </c>
      <c r="C3001" s="4" t="s">
        <v>5286</v>
      </c>
      <c r="D3001" s="4" t="s">
        <v>4568</v>
      </c>
      <c r="E3001" s="1" t="str">
        <f>_xlfn.XLOOKUP(tblSales[[#This Row],[Customer ID]],tblCustomers[Customer ID],tblCustomers[Customer Name],"⚠ Unknown")</f>
        <v>Walk-in Customer</v>
      </c>
      <c r="F3001" s="4" t="s">
        <v>10</v>
      </c>
      <c r="G3001" s="1" t="str">
        <f>_xlfn.XLOOKUP(tblSales[[#This Row],[Product Code]],tblProducts[Code],tblProducts[Product / Service Name],"⚠ Unknown")</f>
        <v>Chino Pants</v>
      </c>
      <c r="H3001" s="1" t="str">
        <f>_xlfn.XLOOKUP(tblSales[[#This Row],[Product Code]],tblProducts[Code],tblProducts[Category],"")</f>
        <v>Apparel &amp; Footwear</v>
      </c>
      <c r="I3001" s="4">
        <v>8</v>
      </c>
      <c r="J3001" s="5">
        <f>_xlfn.XLOOKUP(tblSales[[#This Row],[Product Code]],tblProducts[Code],tblProducts[Selling Price (excl. VAT)],0)</f>
        <v>150000</v>
      </c>
      <c r="K3001" s="5">
        <f>tblSales[[#This Row],[Qty]]*tblSales[[#This Row],[Unit Price]]</f>
        <v>1200000</v>
      </c>
      <c r="L3001" s="5">
        <f>ROUND(tblSales[[#This Row],[DPP (excl. VAT)]]*VATEff,0)</f>
        <v>132000</v>
      </c>
      <c r="M3001" s="5">
        <f>tblSales[[#This Row],[DPP (excl. VAT)]]+tblSales[[#This Row],[Output VAT]]</f>
        <v>1332000</v>
      </c>
      <c r="N3001" s="5">
        <f>tblSales[[#This Row],[Qty]]*_xlfn.XLOOKUP(tblSales[[#This Row],[Product Code]],tblProducts[Code],tblProducts[Unit Cost],0)</f>
        <v>704000</v>
      </c>
      <c r="O3001" s="4" t="s">
        <v>4866</v>
      </c>
      <c r="P3001" s="4" t="s">
        <v>4861</v>
      </c>
      <c r="Q3001" s="1" t="str">
        <f>_xlfn.XLOOKUP(tblSales[[#This Row],[Channel Code]],tblChannels[Channel Code],tblChannels[Channel Name],"")</f>
        <v>Marketplace</v>
      </c>
      <c r="R3001" s="1">
        <f>MONTH(tblSales[[#This Row],[Date]])</f>
        <v>6</v>
      </c>
    </row>
    <row r="3002" spans="2:18" x14ac:dyDescent="0.35">
      <c r="B3002" s="113">
        <v>46202</v>
      </c>
      <c r="C3002" s="4" t="s">
        <v>5287</v>
      </c>
      <c r="D3002" s="4" t="s">
        <v>4568</v>
      </c>
      <c r="E3002" s="1" t="str">
        <f>_xlfn.XLOOKUP(tblSales[[#This Row],[Customer ID]],tblCustomers[Customer ID],tblCustomers[Customer Name],"⚠ Unknown")</f>
        <v>Walk-in Customer</v>
      </c>
      <c r="F3002" s="4" t="s">
        <v>6</v>
      </c>
      <c r="G3002" s="1" t="str">
        <f>_xlfn.XLOOKUP(tblSales[[#This Row],[Product Code]],tblProducts[Code],tblProducts[Product / Service Name],"⚠ Unknown")</f>
        <v>Socks &amp; Accessories</v>
      </c>
      <c r="H3002" s="1" t="str">
        <f>_xlfn.XLOOKUP(tblSales[[#This Row],[Product Code]],tblProducts[Code],tblProducts[Category],"")</f>
        <v>Accessories &amp; Basics</v>
      </c>
      <c r="I3002" s="4">
        <v>4</v>
      </c>
      <c r="J3002" s="5">
        <f>_xlfn.XLOOKUP(tblSales[[#This Row],[Product Code]],tblProducts[Code],tblProducts[Selling Price (excl. VAT)],0)</f>
        <v>45000</v>
      </c>
      <c r="K3002" s="5">
        <f>tblSales[[#This Row],[Qty]]*tblSales[[#This Row],[Unit Price]]</f>
        <v>180000</v>
      </c>
      <c r="L3002" s="5">
        <f>ROUND(tblSales[[#This Row],[DPP (excl. VAT)]]*VATEff,0)</f>
        <v>19800</v>
      </c>
      <c r="M3002" s="5">
        <f>tblSales[[#This Row],[DPP (excl. VAT)]]+tblSales[[#This Row],[Output VAT]]</f>
        <v>199800</v>
      </c>
      <c r="N3002" s="5">
        <f>tblSales[[#This Row],[Qty]]*_xlfn.XLOOKUP(tblSales[[#This Row],[Product Code]],tblProducts[Code],tblProducts[Unit Cost],0)</f>
        <v>96000</v>
      </c>
      <c r="O3002" s="4" t="s">
        <v>4866</v>
      </c>
      <c r="P3002" s="4" t="s">
        <v>4861</v>
      </c>
      <c r="Q3002" s="1" t="str">
        <f>_xlfn.XLOOKUP(tblSales[[#This Row],[Channel Code]],tblChannels[Channel Code],tblChannels[Channel Name],"")</f>
        <v>Marketplace</v>
      </c>
      <c r="R3002" s="1">
        <f>MONTH(tblSales[[#This Row],[Date]])</f>
        <v>6</v>
      </c>
    </row>
    <row r="3003" spans="2:18" x14ac:dyDescent="0.35">
      <c r="B3003" s="113">
        <v>46202</v>
      </c>
      <c r="C3003" s="4" t="s">
        <v>5288</v>
      </c>
      <c r="D3003" s="4" t="s">
        <v>4568</v>
      </c>
      <c r="E3003" s="1" t="str">
        <f>_xlfn.XLOOKUP(tblSales[[#This Row],[Customer ID]],tblCustomers[Customer ID],tblCustomers[Customer Name],"⚠ Unknown")</f>
        <v>Walk-in Customer</v>
      </c>
      <c r="F3003" s="4" t="s">
        <v>15</v>
      </c>
      <c r="G3003" s="1" t="str">
        <f>_xlfn.XLOOKUP(tblSales[[#This Row],[Product Code]],tblProducts[Code],tblProducts[Product / Service Name],"⚠ Unknown")</f>
        <v>Wireless Earbuds Pro</v>
      </c>
      <c r="H3003" s="1" t="str">
        <f>_xlfn.XLOOKUP(tblSales[[#This Row],[Product Code]],tblProducts[Code],tblProducts[Category],"")</f>
        <v>Bags &amp; Gadgets</v>
      </c>
      <c r="I3003" s="4">
        <v>3</v>
      </c>
      <c r="J3003" s="5">
        <f>_xlfn.XLOOKUP(tblSales[[#This Row],[Product Code]],tblProducts[Code],tblProducts[Selling Price (excl. VAT)],0)</f>
        <v>1250000</v>
      </c>
      <c r="K3003" s="5">
        <f>tblSales[[#This Row],[Qty]]*tblSales[[#This Row],[Unit Price]]</f>
        <v>3750000</v>
      </c>
      <c r="L3003" s="5">
        <f>ROUND(tblSales[[#This Row],[DPP (excl. VAT)]]*VATEff,0)</f>
        <v>412500</v>
      </c>
      <c r="M3003" s="5">
        <f>tblSales[[#This Row],[DPP (excl. VAT)]]+tblSales[[#This Row],[Output VAT]]</f>
        <v>4162500</v>
      </c>
      <c r="N3003" s="5">
        <f>tblSales[[#This Row],[Qty]]*_xlfn.XLOOKUP(tblSales[[#This Row],[Product Code]],tblProducts[Code],tblProducts[Unit Cost],0)</f>
        <v>2460000</v>
      </c>
      <c r="O3003" s="4" t="s">
        <v>4865</v>
      </c>
      <c r="P3003" s="4" t="s">
        <v>4860</v>
      </c>
      <c r="Q3003" s="1" t="str">
        <f>_xlfn.XLOOKUP(tblSales[[#This Row],[Channel Code]],tblChannels[Channel Code],tblChannels[Channel Name],"")</f>
        <v>In-store</v>
      </c>
      <c r="R3003" s="1">
        <f>MONTH(tblSales[[#This Row],[Date]])</f>
        <v>6</v>
      </c>
    </row>
    <row r="3004" spans="2:18" x14ac:dyDescent="0.35">
      <c r="B3004" s="113">
        <v>46202</v>
      </c>
      <c r="C3004" s="4" t="s">
        <v>5289</v>
      </c>
      <c r="D3004" s="4" t="s">
        <v>4568</v>
      </c>
      <c r="E3004" s="1" t="str">
        <f>_xlfn.XLOOKUP(tblSales[[#This Row],[Customer ID]],tblCustomers[Customer ID],tblCustomers[Customer Name],"⚠ Unknown")</f>
        <v>Walk-in Customer</v>
      </c>
      <c r="F3004" s="4" t="s">
        <v>6</v>
      </c>
      <c r="G3004" s="1" t="str">
        <f>_xlfn.XLOOKUP(tblSales[[#This Row],[Product Code]],tblProducts[Code],tblProducts[Product / Service Name],"⚠ Unknown")</f>
        <v>Socks &amp; Accessories</v>
      </c>
      <c r="H3004" s="1" t="str">
        <f>_xlfn.XLOOKUP(tblSales[[#This Row],[Product Code]],tblProducts[Code],tblProducts[Category],"")</f>
        <v>Accessories &amp; Basics</v>
      </c>
      <c r="I3004" s="4">
        <v>9</v>
      </c>
      <c r="J3004" s="5">
        <f>_xlfn.XLOOKUP(tblSales[[#This Row],[Product Code]],tblProducts[Code],tblProducts[Selling Price (excl. VAT)],0)</f>
        <v>45000</v>
      </c>
      <c r="K3004" s="5">
        <f>tblSales[[#This Row],[Qty]]*tblSales[[#This Row],[Unit Price]]</f>
        <v>405000</v>
      </c>
      <c r="L3004" s="5">
        <f>ROUND(tblSales[[#This Row],[DPP (excl. VAT)]]*VATEff,0)</f>
        <v>44550</v>
      </c>
      <c r="M3004" s="5">
        <f>tblSales[[#This Row],[DPP (excl. VAT)]]+tblSales[[#This Row],[Output VAT]]</f>
        <v>449550</v>
      </c>
      <c r="N3004" s="5">
        <f>tblSales[[#This Row],[Qty]]*_xlfn.XLOOKUP(tblSales[[#This Row],[Product Code]],tblProducts[Code],tblProducts[Unit Cost],0)</f>
        <v>216000</v>
      </c>
      <c r="O3004" s="4" t="s">
        <v>4865</v>
      </c>
      <c r="P3004" s="4" t="s">
        <v>4860</v>
      </c>
      <c r="Q3004" s="1" t="str">
        <f>_xlfn.XLOOKUP(tblSales[[#This Row],[Channel Code]],tblChannels[Channel Code],tblChannels[Channel Name],"")</f>
        <v>In-store</v>
      </c>
      <c r="R3004" s="1">
        <f>MONTH(tblSales[[#This Row],[Date]])</f>
        <v>6</v>
      </c>
    </row>
    <row r="3005" spans="2:18" x14ac:dyDescent="0.35">
      <c r="B3005" s="113">
        <v>46202</v>
      </c>
      <c r="C3005" s="4" t="s">
        <v>5290</v>
      </c>
      <c r="D3005" s="4" t="s">
        <v>4568</v>
      </c>
      <c r="E3005" s="1" t="str">
        <f>_xlfn.XLOOKUP(tblSales[[#This Row],[Customer ID]],tblCustomers[Customer ID],tblCustomers[Customer Name],"⚠ Unknown")</f>
        <v>Walk-in Customer</v>
      </c>
      <c r="F3005" s="4" t="s">
        <v>12</v>
      </c>
      <c r="G3005" s="1" t="str">
        <f>_xlfn.XLOOKUP(tblSales[[#This Row],[Product Code]],tblProducts[Code],tblProducts[Product / Service Name],"⚠ Unknown")</f>
        <v>Bomber Jacket</v>
      </c>
      <c r="H3005" s="1" t="str">
        <f>_xlfn.XLOOKUP(tblSales[[#This Row],[Product Code]],tblProducts[Code],tblProducts[Category],"")</f>
        <v>Apparel &amp; Footwear</v>
      </c>
      <c r="I3005" s="4">
        <v>2</v>
      </c>
      <c r="J3005" s="5">
        <f>_xlfn.XLOOKUP(tblSales[[#This Row],[Product Code]],tblProducts[Code],tblProducts[Selling Price (excl. VAT)],0)</f>
        <v>350000</v>
      </c>
      <c r="K3005" s="5">
        <f>tblSales[[#This Row],[Qty]]*tblSales[[#This Row],[Unit Price]]</f>
        <v>700000</v>
      </c>
      <c r="L3005" s="5">
        <f>ROUND(tblSales[[#This Row],[DPP (excl. VAT)]]*VATEff,0)</f>
        <v>77000</v>
      </c>
      <c r="M3005" s="5">
        <f>tblSales[[#This Row],[DPP (excl. VAT)]]+tblSales[[#This Row],[Output VAT]]</f>
        <v>777000</v>
      </c>
      <c r="N3005" s="5">
        <f>tblSales[[#This Row],[Qty]]*_xlfn.XLOOKUP(tblSales[[#This Row],[Product Code]],tblProducts[Code],tblProducts[Unit Cost],0)</f>
        <v>420000</v>
      </c>
      <c r="O3005" s="4" t="s">
        <v>4865</v>
      </c>
      <c r="P3005" s="4" t="s">
        <v>4860</v>
      </c>
      <c r="Q3005" s="1" t="str">
        <f>_xlfn.XLOOKUP(tblSales[[#This Row],[Channel Code]],tblChannels[Channel Code],tblChannels[Channel Name],"")</f>
        <v>In-store</v>
      </c>
      <c r="R3005" s="1">
        <f>MONTH(tblSales[[#This Row],[Date]])</f>
        <v>6</v>
      </c>
    </row>
    <row r="3006" spans="2:18" x14ac:dyDescent="0.35">
      <c r="B3006" s="113">
        <v>46202</v>
      </c>
      <c r="C3006" s="4" t="s">
        <v>5291</v>
      </c>
      <c r="D3006" s="4" t="s">
        <v>4634</v>
      </c>
      <c r="E3006" s="1" t="str">
        <f>_xlfn.XLOOKUP(tblSales[[#This Row],[Customer ID]],tblCustomers[Customer ID],tblCustomers[Customer Name],"⚠ Unknown")</f>
        <v>PT Delta Inti Selaras</v>
      </c>
      <c r="F3006" s="4" t="s">
        <v>6</v>
      </c>
      <c r="G3006" s="1" t="str">
        <f>_xlfn.XLOOKUP(tblSales[[#This Row],[Product Code]],tblProducts[Code],tblProducts[Product / Service Name],"⚠ Unknown")</f>
        <v>Socks &amp; Accessories</v>
      </c>
      <c r="H3006" s="1" t="str">
        <f>_xlfn.XLOOKUP(tblSales[[#This Row],[Product Code]],tblProducts[Code],tblProducts[Category],"")</f>
        <v>Accessories &amp; Basics</v>
      </c>
      <c r="I3006" s="4">
        <v>16</v>
      </c>
      <c r="J3006" s="5">
        <f>_xlfn.XLOOKUP(tblSales[[#This Row],[Product Code]],tblProducts[Code],tblProducts[Selling Price (excl. VAT)],0)</f>
        <v>45000</v>
      </c>
      <c r="K3006" s="5">
        <f>tblSales[[#This Row],[Qty]]*tblSales[[#This Row],[Unit Price]]</f>
        <v>720000</v>
      </c>
      <c r="L3006" s="5">
        <f>ROUND(tblSales[[#This Row],[DPP (excl. VAT)]]*VATEff,0)</f>
        <v>79200</v>
      </c>
      <c r="M3006" s="5">
        <f>tblSales[[#This Row],[DPP (excl. VAT)]]+tblSales[[#This Row],[Output VAT]]</f>
        <v>799200</v>
      </c>
      <c r="N3006" s="5">
        <f>tblSales[[#This Row],[Qty]]*_xlfn.XLOOKUP(tblSales[[#This Row],[Product Code]],tblProducts[Code],tblProducts[Unit Cost],0)</f>
        <v>384000</v>
      </c>
      <c r="O3006" s="4" t="s">
        <v>4867</v>
      </c>
      <c r="P3006" s="4" t="s">
        <v>4860</v>
      </c>
      <c r="Q3006" s="1" t="str">
        <f>_xlfn.XLOOKUP(tblSales[[#This Row],[Channel Code]],tblChannels[Channel Code],tblChannels[Channel Name],"")</f>
        <v>In-store</v>
      </c>
      <c r="R3006" s="1">
        <f>MONTH(tblSales[[#This Row],[Date]])</f>
        <v>6</v>
      </c>
    </row>
    <row r="3007" spans="2:18" x14ac:dyDescent="0.35">
      <c r="B3007" s="113">
        <v>46202</v>
      </c>
      <c r="C3007" s="4" t="s">
        <v>5291</v>
      </c>
      <c r="D3007" s="4" t="s">
        <v>4634</v>
      </c>
      <c r="E3007" s="1" t="str">
        <f>_xlfn.XLOOKUP(tblSales[[#This Row],[Customer ID]],tblCustomers[Customer ID],tblCustomers[Customer Name],"⚠ Unknown")</f>
        <v>PT Delta Inti Selaras</v>
      </c>
      <c r="F3007" s="4" t="s">
        <v>10</v>
      </c>
      <c r="G3007" s="1" t="str">
        <f>_xlfn.XLOOKUP(tblSales[[#This Row],[Product Code]],tblProducts[Code],tblProducts[Product / Service Name],"⚠ Unknown")</f>
        <v>Chino Pants</v>
      </c>
      <c r="H3007" s="1" t="str">
        <f>_xlfn.XLOOKUP(tblSales[[#This Row],[Product Code]],tblProducts[Code],tblProducts[Category],"")</f>
        <v>Apparel &amp; Footwear</v>
      </c>
      <c r="I3007" s="4">
        <v>96</v>
      </c>
      <c r="J3007" s="5">
        <f>_xlfn.XLOOKUP(tblSales[[#This Row],[Product Code]],tblProducts[Code],tblProducts[Selling Price (excl. VAT)],0)</f>
        <v>150000</v>
      </c>
      <c r="K3007" s="5">
        <f>tblSales[[#This Row],[Qty]]*tblSales[[#This Row],[Unit Price]]</f>
        <v>14400000</v>
      </c>
      <c r="L3007" s="5">
        <f>ROUND(tblSales[[#This Row],[DPP (excl. VAT)]]*VATEff,0)</f>
        <v>1584000</v>
      </c>
      <c r="M3007" s="5">
        <f>tblSales[[#This Row],[DPP (excl. VAT)]]+tblSales[[#This Row],[Output VAT]]</f>
        <v>15984000</v>
      </c>
      <c r="N3007" s="5">
        <f>tblSales[[#This Row],[Qty]]*_xlfn.XLOOKUP(tblSales[[#This Row],[Product Code]],tblProducts[Code],tblProducts[Unit Cost],0)</f>
        <v>8448000</v>
      </c>
      <c r="O3007" s="4" t="s">
        <v>4867</v>
      </c>
      <c r="P3007" s="4" t="s">
        <v>4860</v>
      </c>
      <c r="Q3007" s="1" t="str">
        <f>_xlfn.XLOOKUP(tblSales[[#This Row],[Channel Code]],tblChannels[Channel Code],tblChannels[Channel Name],"")</f>
        <v>In-store</v>
      </c>
      <c r="R3007" s="1">
        <f>MONTH(tblSales[[#This Row],[Date]])</f>
        <v>6</v>
      </c>
    </row>
    <row r="3008" spans="2:18" x14ac:dyDescent="0.35">
      <c r="B3008" s="113">
        <v>46202</v>
      </c>
      <c r="C3008" s="4" t="s">
        <v>5291</v>
      </c>
      <c r="D3008" s="4" t="s">
        <v>4634</v>
      </c>
      <c r="E3008" s="1" t="str">
        <f>_xlfn.XLOOKUP(tblSales[[#This Row],[Customer ID]],tblCustomers[Customer ID],tblCustomers[Customer Name],"⚠ Unknown")</f>
        <v>PT Delta Inti Selaras</v>
      </c>
      <c r="F3008" s="4" t="s">
        <v>8</v>
      </c>
      <c r="G3008" s="1" t="str">
        <f>_xlfn.XLOOKUP(tblSales[[#This Row],[Product Code]],tblProducts[Code],tblProducts[Product / Service Name],"⚠ Unknown")</f>
        <v>Casual Shorts</v>
      </c>
      <c r="H3008" s="1" t="str">
        <f>_xlfn.XLOOKUP(tblSales[[#This Row],[Product Code]],tblProducts[Code],tblProducts[Category],"")</f>
        <v>Accessories &amp; Basics</v>
      </c>
      <c r="I3008" s="4">
        <v>88</v>
      </c>
      <c r="J3008" s="5">
        <f>_xlfn.XLOOKUP(tblSales[[#This Row],[Product Code]],tblProducts[Code],tblProducts[Selling Price (excl. VAT)],0)</f>
        <v>85000</v>
      </c>
      <c r="K3008" s="5">
        <f>tblSales[[#This Row],[Qty]]*tblSales[[#This Row],[Unit Price]]</f>
        <v>7480000</v>
      </c>
      <c r="L3008" s="5">
        <f>ROUND(tblSales[[#This Row],[DPP (excl. VAT)]]*VATEff,0)</f>
        <v>822800</v>
      </c>
      <c r="M3008" s="5">
        <f>tblSales[[#This Row],[DPP (excl. VAT)]]+tblSales[[#This Row],[Output VAT]]</f>
        <v>8302800</v>
      </c>
      <c r="N3008" s="5">
        <f>tblSales[[#This Row],[Qty]]*_xlfn.XLOOKUP(tblSales[[#This Row],[Product Code]],tblProducts[Code],tblProducts[Unit Cost],0)</f>
        <v>4400000</v>
      </c>
      <c r="O3008" s="4" t="s">
        <v>4867</v>
      </c>
      <c r="P3008" s="4" t="s">
        <v>4860</v>
      </c>
      <c r="Q3008" s="1" t="str">
        <f>_xlfn.XLOOKUP(tblSales[[#This Row],[Channel Code]],tblChannels[Channel Code],tblChannels[Channel Name],"")</f>
        <v>In-store</v>
      </c>
      <c r="R3008" s="1">
        <f>MONTH(tblSales[[#This Row],[Date]])</f>
        <v>6</v>
      </c>
    </row>
    <row r="3009" spans="2:18" x14ac:dyDescent="0.35">
      <c r="B3009" s="113">
        <v>46202</v>
      </c>
      <c r="C3009" s="4" t="s">
        <v>5292</v>
      </c>
      <c r="D3009" s="4" t="s">
        <v>4568</v>
      </c>
      <c r="E3009" s="1" t="str">
        <f>_xlfn.XLOOKUP(tblSales[[#This Row],[Customer ID]],tblCustomers[Customer ID],tblCustomers[Customer Name],"⚠ Unknown")</f>
        <v>Walk-in Customer</v>
      </c>
      <c r="F3009" s="4" t="s">
        <v>8</v>
      </c>
      <c r="G3009" s="1" t="str">
        <f>_xlfn.XLOOKUP(tblSales[[#This Row],[Product Code]],tblProducts[Code],tblProducts[Product / Service Name],"⚠ Unknown")</f>
        <v>Casual Shorts</v>
      </c>
      <c r="H3009" s="1" t="str">
        <f>_xlfn.XLOOKUP(tblSales[[#This Row],[Product Code]],tblProducts[Code],tblProducts[Category],"")</f>
        <v>Accessories &amp; Basics</v>
      </c>
      <c r="I3009" s="4">
        <v>12</v>
      </c>
      <c r="J3009" s="5">
        <f>_xlfn.XLOOKUP(tblSales[[#This Row],[Product Code]],tblProducts[Code],tblProducts[Selling Price (excl. VAT)],0)</f>
        <v>85000</v>
      </c>
      <c r="K3009" s="5">
        <f>tblSales[[#This Row],[Qty]]*tblSales[[#This Row],[Unit Price]]</f>
        <v>1020000</v>
      </c>
      <c r="L3009" s="5">
        <f>ROUND(tblSales[[#This Row],[DPP (excl. VAT)]]*VATEff,0)</f>
        <v>112200</v>
      </c>
      <c r="M3009" s="5">
        <f>tblSales[[#This Row],[DPP (excl. VAT)]]+tblSales[[#This Row],[Output VAT]]</f>
        <v>1132200</v>
      </c>
      <c r="N3009" s="5">
        <f>tblSales[[#This Row],[Qty]]*_xlfn.XLOOKUP(tblSales[[#This Row],[Product Code]],tblProducts[Code],tblProducts[Unit Cost],0)</f>
        <v>600000</v>
      </c>
      <c r="O3009" s="4" t="s">
        <v>4866</v>
      </c>
      <c r="P3009" s="4" t="s">
        <v>4860</v>
      </c>
      <c r="Q3009" s="1" t="str">
        <f>_xlfn.XLOOKUP(tblSales[[#This Row],[Channel Code]],tblChannels[Channel Code],tblChannels[Channel Name],"")</f>
        <v>In-store</v>
      </c>
      <c r="R3009" s="1">
        <f>MONTH(tblSales[[#This Row],[Date]])</f>
        <v>6</v>
      </c>
    </row>
    <row r="3010" spans="2:18" x14ac:dyDescent="0.35">
      <c r="B3010" s="113">
        <v>46202</v>
      </c>
      <c r="C3010" s="4" t="s">
        <v>5293</v>
      </c>
      <c r="D3010" s="4" t="s">
        <v>4568</v>
      </c>
      <c r="E3010" s="1" t="str">
        <f>_xlfn.XLOOKUP(tblSales[[#This Row],[Customer ID]],tblCustomers[Customer ID],tblCustomers[Customer Name],"⚠ Unknown")</f>
        <v>Walk-in Customer</v>
      </c>
      <c r="F3010" s="4" t="s">
        <v>7</v>
      </c>
      <c r="G3010" s="1" t="str">
        <f>_xlfn.XLOOKUP(tblSales[[#This Row],[Product Code]],tblProducts[Code],tblProducts[Product / Service Name],"⚠ Unknown")</f>
        <v>Premium Basic T-shirt</v>
      </c>
      <c r="H3010" s="1" t="str">
        <f>_xlfn.XLOOKUP(tblSales[[#This Row],[Product Code]],tblProducts[Code],tblProducts[Category],"")</f>
        <v>Accessories &amp; Basics</v>
      </c>
      <c r="I3010" s="4">
        <v>9</v>
      </c>
      <c r="J3010" s="5">
        <f>_xlfn.XLOOKUP(tblSales[[#This Row],[Product Code]],tblProducts[Code],tblProducts[Selling Price (excl. VAT)],0)</f>
        <v>65000</v>
      </c>
      <c r="K3010" s="5">
        <f>tblSales[[#This Row],[Qty]]*tblSales[[#This Row],[Unit Price]]</f>
        <v>585000</v>
      </c>
      <c r="L3010" s="5">
        <f>ROUND(tblSales[[#This Row],[DPP (excl. VAT)]]*VATEff,0)</f>
        <v>64350</v>
      </c>
      <c r="M3010" s="5">
        <f>tblSales[[#This Row],[DPP (excl. VAT)]]+tblSales[[#This Row],[Output VAT]]</f>
        <v>649350</v>
      </c>
      <c r="N3010" s="5">
        <f>tblSales[[#This Row],[Qty]]*_xlfn.XLOOKUP(tblSales[[#This Row],[Product Code]],tblProducts[Code],tblProducts[Unit Cost],0)</f>
        <v>333000</v>
      </c>
      <c r="O3010" s="4" t="s">
        <v>4865</v>
      </c>
      <c r="P3010" s="4" t="s">
        <v>4860</v>
      </c>
      <c r="Q3010" s="1" t="str">
        <f>_xlfn.XLOOKUP(tblSales[[#This Row],[Channel Code]],tblChannels[Channel Code],tblChannels[Channel Name],"")</f>
        <v>In-store</v>
      </c>
      <c r="R3010" s="1">
        <f>MONTH(tblSales[[#This Row],[Date]])</f>
        <v>6</v>
      </c>
    </row>
    <row r="3011" spans="2:18" x14ac:dyDescent="0.35">
      <c r="B3011" s="113">
        <v>46202</v>
      </c>
      <c r="C3011" s="4" t="s">
        <v>5294</v>
      </c>
      <c r="D3011" s="4" t="s">
        <v>4568</v>
      </c>
      <c r="E3011" s="1" t="str">
        <f>_xlfn.XLOOKUP(tblSales[[#This Row],[Customer ID]],tblCustomers[Customer ID],tblCustomers[Customer Name],"⚠ Unknown")</f>
        <v>Walk-in Customer</v>
      </c>
      <c r="F3011" s="4" t="s">
        <v>7</v>
      </c>
      <c r="G3011" s="1" t="str">
        <f>_xlfn.XLOOKUP(tblSales[[#This Row],[Product Code]],tblProducts[Code],tblProducts[Product / Service Name],"⚠ Unknown")</f>
        <v>Premium Basic T-shirt</v>
      </c>
      <c r="H3011" s="1" t="str">
        <f>_xlfn.XLOOKUP(tblSales[[#This Row],[Product Code]],tblProducts[Code],tblProducts[Category],"")</f>
        <v>Accessories &amp; Basics</v>
      </c>
      <c r="I3011" s="4">
        <v>8</v>
      </c>
      <c r="J3011" s="5">
        <f>_xlfn.XLOOKUP(tblSales[[#This Row],[Product Code]],tblProducts[Code],tblProducts[Selling Price (excl. VAT)],0)</f>
        <v>65000</v>
      </c>
      <c r="K3011" s="5">
        <f>tblSales[[#This Row],[Qty]]*tblSales[[#This Row],[Unit Price]]</f>
        <v>520000</v>
      </c>
      <c r="L3011" s="5">
        <f>ROUND(tblSales[[#This Row],[DPP (excl. VAT)]]*VATEff,0)</f>
        <v>57200</v>
      </c>
      <c r="M3011" s="5">
        <f>tblSales[[#This Row],[DPP (excl. VAT)]]+tblSales[[#This Row],[Output VAT]]</f>
        <v>577200</v>
      </c>
      <c r="N3011" s="5">
        <f>tblSales[[#This Row],[Qty]]*_xlfn.XLOOKUP(tblSales[[#This Row],[Product Code]],tblProducts[Code],tblProducts[Unit Cost],0)</f>
        <v>296000</v>
      </c>
      <c r="O3011" s="4" t="s">
        <v>4865</v>
      </c>
      <c r="P3011" s="4" t="s">
        <v>4860</v>
      </c>
      <c r="Q3011" s="1" t="str">
        <f>_xlfn.XLOOKUP(tblSales[[#This Row],[Channel Code]],tblChannels[Channel Code],tblChannels[Channel Name],"")</f>
        <v>In-store</v>
      </c>
      <c r="R3011" s="1">
        <f>MONTH(tblSales[[#This Row],[Date]])</f>
        <v>6</v>
      </c>
    </row>
    <row r="3012" spans="2:18" x14ac:dyDescent="0.35">
      <c r="B3012" s="113">
        <v>46203</v>
      </c>
      <c r="C3012" s="4" t="s">
        <v>5295</v>
      </c>
      <c r="D3012" s="4" t="s">
        <v>4620</v>
      </c>
      <c r="E3012" s="1" t="str">
        <f>_xlfn.XLOOKUP(tblSales[[#This Row],[Customer ID]],tblCustomers[Customer ID],tblCustomers[Customer Name],"⚠ Unknown")</f>
        <v>CV Sumber Rejeki Utama</v>
      </c>
      <c r="F3012" s="4" t="s">
        <v>7</v>
      </c>
      <c r="G3012" s="1" t="str">
        <f>_xlfn.XLOOKUP(tblSales[[#This Row],[Product Code]],tblProducts[Code],tblProducts[Product / Service Name],"⚠ Unknown")</f>
        <v>Premium Basic T-shirt</v>
      </c>
      <c r="H3012" s="1" t="str">
        <f>_xlfn.XLOOKUP(tblSales[[#This Row],[Product Code]],tblProducts[Code],tblProducts[Category],"")</f>
        <v>Accessories &amp; Basics</v>
      </c>
      <c r="I3012" s="4">
        <v>40</v>
      </c>
      <c r="J3012" s="5">
        <f>_xlfn.XLOOKUP(tblSales[[#This Row],[Product Code]],tblProducts[Code],tblProducts[Selling Price (excl. VAT)],0)</f>
        <v>65000</v>
      </c>
      <c r="K3012" s="5">
        <f>tblSales[[#This Row],[Qty]]*tblSales[[#This Row],[Unit Price]]</f>
        <v>2600000</v>
      </c>
      <c r="L3012" s="5">
        <f>ROUND(tblSales[[#This Row],[DPP (excl. VAT)]]*VATEff,0)</f>
        <v>286000</v>
      </c>
      <c r="M3012" s="5">
        <f>tblSales[[#This Row],[DPP (excl. VAT)]]+tblSales[[#This Row],[Output VAT]]</f>
        <v>2886000</v>
      </c>
      <c r="N3012" s="5">
        <f>tblSales[[#This Row],[Qty]]*_xlfn.XLOOKUP(tblSales[[#This Row],[Product Code]],tblProducts[Code],tblProducts[Unit Cost],0)</f>
        <v>1480000</v>
      </c>
      <c r="O3012" s="4" t="s">
        <v>4867</v>
      </c>
      <c r="P3012" s="4" t="s">
        <v>4860</v>
      </c>
      <c r="Q3012" s="1" t="str">
        <f>_xlfn.XLOOKUP(tblSales[[#This Row],[Channel Code]],tblChannels[Channel Code],tblChannels[Channel Name],"")</f>
        <v>In-store</v>
      </c>
      <c r="R3012" s="1">
        <f>MONTH(tblSales[[#This Row],[Date]])</f>
        <v>6</v>
      </c>
    </row>
    <row r="3013" spans="2:18" x14ac:dyDescent="0.35">
      <c r="B3013" s="113">
        <v>46203</v>
      </c>
      <c r="C3013" s="4" t="s">
        <v>5295</v>
      </c>
      <c r="D3013" s="4" t="s">
        <v>4620</v>
      </c>
      <c r="E3013" s="1" t="str">
        <f>_xlfn.XLOOKUP(tblSales[[#This Row],[Customer ID]],tblCustomers[Customer ID],tblCustomers[Customer Name],"⚠ Unknown")</f>
        <v>CV Sumber Rejeki Utama</v>
      </c>
      <c r="F3013" s="4" t="s">
        <v>13</v>
      </c>
      <c r="G3013" s="1" t="str">
        <f>_xlfn.XLOOKUP(tblSales[[#This Row],[Product Code]],tblProducts[Code],tblProducts[Product / Service Name],"⚠ Unknown")</f>
        <v>Backpack</v>
      </c>
      <c r="H3013" s="1" t="str">
        <f>_xlfn.XLOOKUP(tblSales[[#This Row],[Product Code]],tblProducts[Code],tblProducts[Category],"")</f>
        <v>Bags &amp; Gadgets</v>
      </c>
      <c r="I3013" s="4">
        <v>16</v>
      </c>
      <c r="J3013" s="5">
        <f>_xlfn.XLOOKUP(tblSales[[#This Row],[Product Code]],tblProducts[Code],tblProducts[Selling Price (excl. VAT)],0)</f>
        <v>500000</v>
      </c>
      <c r="K3013" s="5">
        <f>tblSales[[#This Row],[Qty]]*tblSales[[#This Row],[Unit Price]]</f>
        <v>8000000</v>
      </c>
      <c r="L3013" s="5">
        <f>ROUND(tblSales[[#This Row],[DPP (excl. VAT)]]*VATEff,0)</f>
        <v>880000</v>
      </c>
      <c r="M3013" s="5">
        <f>tblSales[[#This Row],[DPP (excl. VAT)]]+tblSales[[#This Row],[Output VAT]]</f>
        <v>8880000</v>
      </c>
      <c r="N3013" s="5">
        <f>tblSales[[#This Row],[Qty]]*_xlfn.XLOOKUP(tblSales[[#This Row],[Product Code]],tblProducts[Code],tblProducts[Unit Cost],0)</f>
        <v>4640000</v>
      </c>
      <c r="O3013" s="4" t="s">
        <v>4867</v>
      </c>
      <c r="P3013" s="4" t="s">
        <v>4860</v>
      </c>
      <c r="Q3013" s="1" t="str">
        <f>_xlfn.XLOOKUP(tblSales[[#This Row],[Channel Code]],tblChannels[Channel Code],tblChannels[Channel Name],"")</f>
        <v>In-store</v>
      </c>
      <c r="R3013" s="1">
        <f>MONTH(tblSales[[#This Row],[Date]])</f>
        <v>6</v>
      </c>
    </row>
    <row r="3014" spans="2:18" x14ac:dyDescent="0.35">
      <c r="B3014" s="113">
        <v>46203</v>
      </c>
      <c r="C3014" s="4" t="s">
        <v>5296</v>
      </c>
      <c r="D3014" s="4" t="s">
        <v>4568</v>
      </c>
      <c r="E3014" s="1" t="str">
        <f>_xlfn.XLOOKUP(tblSales[[#This Row],[Customer ID]],tblCustomers[Customer ID],tblCustomers[Customer Name],"⚠ Unknown")</f>
        <v>Walk-in Customer</v>
      </c>
      <c r="F3014" s="4" t="s">
        <v>6</v>
      </c>
      <c r="G3014" s="1" t="str">
        <f>_xlfn.XLOOKUP(tblSales[[#This Row],[Product Code]],tblProducts[Code],tblProducts[Product / Service Name],"⚠ Unknown")</f>
        <v>Socks &amp; Accessories</v>
      </c>
      <c r="H3014" s="1" t="str">
        <f>_xlfn.XLOOKUP(tblSales[[#This Row],[Product Code]],tblProducts[Code],tblProducts[Category],"")</f>
        <v>Accessories &amp; Basics</v>
      </c>
      <c r="I3014" s="4">
        <v>3</v>
      </c>
      <c r="J3014" s="5">
        <f>_xlfn.XLOOKUP(tblSales[[#This Row],[Product Code]],tblProducts[Code],tblProducts[Selling Price (excl. VAT)],0)</f>
        <v>45000</v>
      </c>
      <c r="K3014" s="5">
        <f>tblSales[[#This Row],[Qty]]*tblSales[[#This Row],[Unit Price]]</f>
        <v>135000</v>
      </c>
      <c r="L3014" s="5">
        <f>ROUND(tblSales[[#This Row],[DPP (excl. VAT)]]*VATEff,0)</f>
        <v>14850</v>
      </c>
      <c r="M3014" s="5">
        <f>tblSales[[#This Row],[DPP (excl. VAT)]]+tblSales[[#This Row],[Output VAT]]</f>
        <v>149850</v>
      </c>
      <c r="N3014" s="5">
        <f>tblSales[[#This Row],[Qty]]*_xlfn.XLOOKUP(tblSales[[#This Row],[Product Code]],tblProducts[Code],tblProducts[Unit Cost],0)</f>
        <v>72000</v>
      </c>
      <c r="O3014" s="4" t="s">
        <v>4865</v>
      </c>
      <c r="P3014" s="4" t="s">
        <v>4860</v>
      </c>
      <c r="Q3014" s="1" t="str">
        <f>_xlfn.XLOOKUP(tblSales[[#This Row],[Channel Code]],tblChannels[Channel Code],tblChannels[Channel Name],"")</f>
        <v>In-store</v>
      </c>
      <c r="R3014" s="1">
        <f>MONTH(tblSales[[#This Row],[Date]])</f>
        <v>6</v>
      </c>
    </row>
    <row r="3015" spans="2:18" x14ac:dyDescent="0.35">
      <c r="B3015" s="113">
        <v>46203</v>
      </c>
      <c r="C3015" s="4" t="s">
        <v>5296</v>
      </c>
      <c r="D3015" s="4" t="s">
        <v>4568</v>
      </c>
      <c r="E3015" s="1" t="str">
        <f>_xlfn.XLOOKUP(tblSales[[#This Row],[Customer ID]],tblCustomers[Customer ID],tblCustomers[Customer Name],"⚠ Unknown")</f>
        <v>Walk-in Customer</v>
      </c>
      <c r="F3015" s="4" t="s">
        <v>10</v>
      </c>
      <c r="G3015" s="1" t="str">
        <f>_xlfn.XLOOKUP(tblSales[[#This Row],[Product Code]],tblProducts[Code],tblProducts[Product / Service Name],"⚠ Unknown")</f>
        <v>Chino Pants</v>
      </c>
      <c r="H3015" s="1" t="str">
        <f>_xlfn.XLOOKUP(tblSales[[#This Row],[Product Code]],tblProducts[Code],tblProducts[Category],"")</f>
        <v>Apparel &amp; Footwear</v>
      </c>
      <c r="I3015" s="4">
        <v>7</v>
      </c>
      <c r="J3015" s="5">
        <f>_xlfn.XLOOKUP(tblSales[[#This Row],[Product Code]],tblProducts[Code],tblProducts[Selling Price (excl. VAT)],0)</f>
        <v>150000</v>
      </c>
      <c r="K3015" s="5">
        <f>tblSales[[#This Row],[Qty]]*tblSales[[#This Row],[Unit Price]]</f>
        <v>1050000</v>
      </c>
      <c r="L3015" s="5">
        <f>ROUND(tblSales[[#This Row],[DPP (excl. VAT)]]*VATEff,0)</f>
        <v>115500</v>
      </c>
      <c r="M3015" s="5">
        <f>tblSales[[#This Row],[DPP (excl. VAT)]]+tblSales[[#This Row],[Output VAT]]</f>
        <v>1165500</v>
      </c>
      <c r="N3015" s="5">
        <f>tblSales[[#This Row],[Qty]]*_xlfn.XLOOKUP(tblSales[[#This Row],[Product Code]],tblProducts[Code],tblProducts[Unit Cost],0)</f>
        <v>616000</v>
      </c>
      <c r="O3015" s="4" t="s">
        <v>4865</v>
      </c>
      <c r="P3015" s="4" t="s">
        <v>4860</v>
      </c>
      <c r="Q3015" s="1" t="str">
        <f>_xlfn.XLOOKUP(tblSales[[#This Row],[Channel Code]],tblChannels[Channel Code],tblChannels[Channel Name],"")</f>
        <v>In-store</v>
      </c>
      <c r="R3015" s="1">
        <f>MONTH(tblSales[[#This Row],[Date]])</f>
        <v>6</v>
      </c>
    </row>
    <row r="3016" spans="2:18" x14ac:dyDescent="0.35">
      <c r="B3016" s="113">
        <v>46203</v>
      </c>
      <c r="C3016" s="4" t="s">
        <v>5297</v>
      </c>
      <c r="D3016" s="4" t="s">
        <v>4568</v>
      </c>
      <c r="E3016" s="1" t="str">
        <f>_xlfn.XLOOKUP(tblSales[[#This Row],[Customer ID]],tblCustomers[Customer ID],tblCustomers[Customer Name],"⚠ Unknown")</f>
        <v>Walk-in Customer</v>
      </c>
      <c r="F3016" s="4" t="s">
        <v>7</v>
      </c>
      <c r="G3016" s="1" t="str">
        <f>_xlfn.XLOOKUP(tblSales[[#This Row],[Product Code]],tblProducts[Code],tblProducts[Product / Service Name],"⚠ Unknown")</f>
        <v>Premium Basic T-shirt</v>
      </c>
      <c r="H3016" s="1" t="str">
        <f>_xlfn.XLOOKUP(tblSales[[#This Row],[Product Code]],tblProducts[Code],tblProducts[Category],"")</f>
        <v>Accessories &amp; Basics</v>
      </c>
      <c r="I3016" s="4">
        <v>9</v>
      </c>
      <c r="J3016" s="5">
        <f>_xlfn.XLOOKUP(tblSales[[#This Row],[Product Code]],tblProducts[Code],tblProducts[Selling Price (excl. VAT)],0)</f>
        <v>65000</v>
      </c>
      <c r="K3016" s="5">
        <f>tblSales[[#This Row],[Qty]]*tblSales[[#This Row],[Unit Price]]</f>
        <v>585000</v>
      </c>
      <c r="L3016" s="5">
        <f>ROUND(tblSales[[#This Row],[DPP (excl. VAT)]]*VATEff,0)</f>
        <v>64350</v>
      </c>
      <c r="M3016" s="5">
        <f>tblSales[[#This Row],[DPP (excl. VAT)]]+tblSales[[#This Row],[Output VAT]]</f>
        <v>649350</v>
      </c>
      <c r="N3016" s="5">
        <f>tblSales[[#This Row],[Qty]]*_xlfn.XLOOKUP(tblSales[[#This Row],[Product Code]],tblProducts[Code],tblProducts[Unit Cost],0)</f>
        <v>333000</v>
      </c>
      <c r="O3016" s="4" t="s">
        <v>4866</v>
      </c>
      <c r="P3016" s="4" t="s">
        <v>4862</v>
      </c>
      <c r="Q3016" s="1" t="str">
        <f>_xlfn.XLOOKUP(tblSales[[#This Row],[Channel Code]],tblChannels[Channel Code],tblChannels[Channel Name],"")</f>
        <v>Website &amp; Social Media</v>
      </c>
      <c r="R3016" s="1">
        <f>MONTH(tblSales[[#This Row],[Date]])</f>
        <v>6</v>
      </c>
    </row>
    <row r="3017" spans="2:18" x14ac:dyDescent="0.35">
      <c r="B3017" s="113">
        <v>46203</v>
      </c>
      <c r="C3017" s="4" t="s">
        <v>5297</v>
      </c>
      <c r="D3017" s="4" t="s">
        <v>4568</v>
      </c>
      <c r="E3017" s="1" t="str">
        <f>_xlfn.XLOOKUP(tblSales[[#This Row],[Customer ID]],tblCustomers[Customer ID],tblCustomers[Customer Name],"⚠ Unknown")</f>
        <v>Walk-in Customer</v>
      </c>
      <c r="F3017" s="4" t="s">
        <v>13</v>
      </c>
      <c r="G3017" s="1" t="str">
        <f>_xlfn.XLOOKUP(tblSales[[#This Row],[Product Code]],tblProducts[Code],tblProducts[Product / Service Name],"⚠ Unknown")</f>
        <v>Backpack</v>
      </c>
      <c r="H3017" s="1" t="str">
        <f>_xlfn.XLOOKUP(tblSales[[#This Row],[Product Code]],tblProducts[Code],tblProducts[Category],"")</f>
        <v>Bags &amp; Gadgets</v>
      </c>
      <c r="I3017" s="4">
        <v>2</v>
      </c>
      <c r="J3017" s="5">
        <f>_xlfn.XLOOKUP(tblSales[[#This Row],[Product Code]],tblProducts[Code],tblProducts[Selling Price (excl. VAT)],0)</f>
        <v>500000</v>
      </c>
      <c r="K3017" s="5">
        <f>tblSales[[#This Row],[Qty]]*tblSales[[#This Row],[Unit Price]]</f>
        <v>1000000</v>
      </c>
      <c r="L3017" s="5">
        <f>ROUND(tblSales[[#This Row],[DPP (excl. VAT)]]*VATEff,0)</f>
        <v>110000</v>
      </c>
      <c r="M3017" s="5">
        <f>tblSales[[#This Row],[DPP (excl. VAT)]]+tblSales[[#This Row],[Output VAT]]</f>
        <v>1110000</v>
      </c>
      <c r="N3017" s="5">
        <f>tblSales[[#This Row],[Qty]]*_xlfn.XLOOKUP(tblSales[[#This Row],[Product Code]],tblProducts[Code],tblProducts[Unit Cost],0)</f>
        <v>580000</v>
      </c>
      <c r="O3017" s="4" t="s">
        <v>4866</v>
      </c>
      <c r="P3017" s="4" t="s">
        <v>4862</v>
      </c>
      <c r="Q3017" s="1" t="str">
        <f>_xlfn.XLOOKUP(tblSales[[#This Row],[Channel Code]],tblChannels[Channel Code],tblChannels[Channel Name],"")</f>
        <v>Website &amp; Social Media</v>
      </c>
      <c r="R3017" s="1">
        <f>MONTH(tblSales[[#This Row],[Date]])</f>
        <v>6</v>
      </c>
    </row>
    <row r="3018" spans="2:18" x14ac:dyDescent="0.35">
      <c r="B3018" s="113">
        <v>46203</v>
      </c>
      <c r="C3018" s="4" t="s">
        <v>5298</v>
      </c>
      <c r="D3018" s="4" t="s">
        <v>4568</v>
      </c>
      <c r="E3018" s="1" t="str">
        <f>_xlfn.XLOOKUP(tblSales[[#This Row],[Customer ID]],tblCustomers[Customer ID],tblCustomers[Customer Name],"⚠ Unknown")</f>
        <v>Walk-in Customer</v>
      </c>
      <c r="F3018" s="4" t="s">
        <v>11</v>
      </c>
      <c r="G3018" s="1" t="str">
        <f>_xlfn.XLOOKUP(tblSales[[#This Row],[Product Code]],tblProducts[Code],tblProducts[Product / Service Name],"⚠ Unknown")</f>
        <v>Sneakers</v>
      </c>
      <c r="H3018" s="1" t="str">
        <f>_xlfn.XLOOKUP(tblSales[[#This Row],[Product Code]],tblProducts[Code],tblProducts[Category],"")</f>
        <v>Apparel &amp; Footwear</v>
      </c>
      <c r="I3018" s="4">
        <v>1</v>
      </c>
      <c r="J3018" s="5">
        <f>_xlfn.XLOOKUP(tblSales[[#This Row],[Product Code]],tblProducts[Code],tblProducts[Selling Price (excl. VAT)],0)</f>
        <v>250000</v>
      </c>
      <c r="K3018" s="5">
        <f>tblSales[[#This Row],[Qty]]*tblSales[[#This Row],[Unit Price]]</f>
        <v>250000</v>
      </c>
      <c r="L3018" s="5">
        <f>ROUND(tblSales[[#This Row],[DPP (excl. VAT)]]*VATEff,0)</f>
        <v>27500</v>
      </c>
      <c r="M3018" s="5">
        <f>tblSales[[#This Row],[DPP (excl. VAT)]]+tblSales[[#This Row],[Output VAT]]</f>
        <v>277500</v>
      </c>
      <c r="N3018" s="5">
        <f>tblSales[[#This Row],[Qty]]*_xlfn.XLOOKUP(tblSales[[#This Row],[Product Code]],tblProducts[Code],tblProducts[Unit Cost],0)</f>
        <v>155000</v>
      </c>
      <c r="O3018" s="4" t="s">
        <v>4866</v>
      </c>
      <c r="P3018" s="4" t="s">
        <v>4861</v>
      </c>
      <c r="Q3018" s="1" t="str">
        <f>_xlfn.XLOOKUP(tblSales[[#This Row],[Channel Code]],tblChannels[Channel Code],tblChannels[Channel Name],"")</f>
        <v>Marketplace</v>
      </c>
      <c r="R3018" s="1">
        <f>MONTH(tblSales[[#This Row],[Date]])</f>
        <v>6</v>
      </c>
    </row>
    <row r="3019" spans="2:18" x14ac:dyDescent="0.35">
      <c r="B3019" s="113">
        <v>46203</v>
      </c>
      <c r="C3019" s="4" t="s">
        <v>5299</v>
      </c>
      <c r="D3019" s="4" t="s">
        <v>4620</v>
      </c>
      <c r="E3019" s="1" t="str">
        <f>_xlfn.XLOOKUP(tblSales[[#This Row],[Customer ID]],tblCustomers[Customer ID],tblCustomers[Customer Name],"⚠ Unknown")</f>
        <v>CV Sumber Rejeki Utama</v>
      </c>
      <c r="F3019" s="4" t="s">
        <v>10</v>
      </c>
      <c r="G3019" s="1" t="str">
        <f>_xlfn.XLOOKUP(tblSales[[#This Row],[Product Code]],tblProducts[Code],tblProducts[Product / Service Name],"⚠ Unknown")</f>
        <v>Chino Pants</v>
      </c>
      <c r="H3019" s="1" t="str">
        <f>_xlfn.XLOOKUP(tblSales[[#This Row],[Product Code]],tblProducts[Code],tblProducts[Category],"")</f>
        <v>Apparel &amp; Footwear</v>
      </c>
      <c r="I3019" s="4">
        <v>80</v>
      </c>
      <c r="J3019" s="5">
        <f>_xlfn.XLOOKUP(tblSales[[#This Row],[Product Code]],tblProducts[Code],tblProducts[Selling Price (excl. VAT)],0)</f>
        <v>150000</v>
      </c>
      <c r="K3019" s="5">
        <f>tblSales[[#This Row],[Qty]]*tblSales[[#This Row],[Unit Price]]</f>
        <v>12000000</v>
      </c>
      <c r="L3019" s="5">
        <f>ROUND(tblSales[[#This Row],[DPP (excl. VAT)]]*VATEff,0)</f>
        <v>1320000</v>
      </c>
      <c r="M3019" s="5">
        <f>tblSales[[#This Row],[DPP (excl. VAT)]]+tblSales[[#This Row],[Output VAT]]</f>
        <v>13320000</v>
      </c>
      <c r="N3019" s="5">
        <f>tblSales[[#This Row],[Qty]]*_xlfn.XLOOKUP(tblSales[[#This Row],[Product Code]],tblProducts[Code],tblProducts[Unit Cost],0)</f>
        <v>7040000</v>
      </c>
      <c r="O3019" s="4" t="s">
        <v>4867</v>
      </c>
      <c r="P3019" s="4" t="s">
        <v>4860</v>
      </c>
      <c r="Q3019" s="1" t="str">
        <f>_xlfn.XLOOKUP(tblSales[[#This Row],[Channel Code]],tblChannels[Channel Code],tblChannels[Channel Name],"")</f>
        <v>In-store</v>
      </c>
      <c r="R3019" s="1">
        <f>MONTH(tblSales[[#This Row],[Date]])</f>
        <v>6</v>
      </c>
    </row>
    <row r="3020" spans="2:18" x14ac:dyDescent="0.35">
      <c r="B3020" s="113">
        <v>46203</v>
      </c>
      <c r="C3020" s="4" t="s">
        <v>5299</v>
      </c>
      <c r="D3020" s="4" t="s">
        <v>4620</v>
      </c>
      <c r="E3020" s="1" t="str">
        <f>_xlfn.XLOOKUP(tblSales[[#This Row],[Customer ID]],tblCustomers[Customer ID],tblCustomers[Customer Name],"⚠ Unknown")</f>
        <v>CV Sumber Rejeki Utama</v>
      </c>
      <c r="F3020" s="4" t="s">
        <v>6</v>
      </c>
      <c r="G3020" s="1" t="str">
        <f>_xlfn.XLOOKUP(tblSales[[#This Row],[Product Code]],tblProducts[Code],tblProducts[Product / Service Name],"⚠ Unknown")</f>
        <v>Socks &amp; Accessories</v>
      </c>
      <c r="H3020" s="1" t="str">
        <f>_xlfn.XLOOKUP(tblSales[[#This Row],[Product Code]],tblProducts[Code],tblProducts[Category],"")</f>
        <v>Accessories &amp; Basics</v>
      </c>
      <c r="I3020" s="4">
        <v>48</v>
      </c>
      <c r="J3020" s="5">
        <f>_xlfn.XLOOKUP(tblSales[[#This Row],[Product Code]],tblProducts[Code],tblProducts[Selling Price (excl. VAT)],0)</f>
        <v>45000</v>
      </c>
      <c r="K3020" s="5">
        <f>tblSales[[#This Row],[Qty]]*tblSales[[#This Row],[Unit Price]]</f>
        <v>2160000</v>
      </c>
      <c r="L3020" s="5">
        <f>ROUND(tblSales[[#This Row],[DPP (excl. VAT)]]*VATEff,0)</f>
        <v>237600</v>
      </c>
      <c r="M3020" s="5">
        <f>tblSales[[#This Row],[DPP (excl. VAT)]]+tblSales[[#This Row],[Output VAT]]</f>
        <v>2397600</v>
      </c>
      <c r="N3020" s="5">
        <f>tblSales[[#This Row],[Qty]]*_xlfn.XLOOKUP(tblSales[[#This Row],[Product Code]],tblProducts[Code],tblProducts[Unit Cost],0)</f>
        <v>1152000</v>
      </c>
      <c r="O3020" s="4" t="s">
        <v>4867</v>
      </c>
      <c r="P3020" s="4" t="s">
        <v>4860</v>
      </c>
      <c r="Q3020" s="1" t="str">
        <f>_xlfn.XLOOKUP(tblSales[[#This Row],[Channel Code]],tblChannels[Channel Code],tblChannels[Channel Name],"")</f>
        <v>In-store</v>
      </c>
      <c r="R3020" s="1">
        <f>MONTH(tblSales[[#This Row],[Date]])</f>
        <v>6</v>
      </c>
    </row>
    <row r="3021" spans="2:18" x14ac:dyDescent="0.35">
      <c r="B3021" s="113">
        <v>46203</v>
      </c>
      <c r="C3021" s="4" t="s">
        <v>5300</v>
      </c>
      <c r="D3021" s="4" t="s">
        <v>4641</v>
      </c>
      <c r="E3021" s="1" t="str">
        <f>_xlfn.XLOOKUP(tblSales[[#This Row],[Customer ID]],tblCustomers[Customer ID],tblCustomers[Customer Name],"⚠ Unknown")</f>
        <v>PT Harmoni Pangan Lestari</v>
      </c>
      <c r="F3021" s="4" t="s">
        <v>9</v>
      </c>
      <c r="G3021" s="1" t="str">
        <f>_xlfn.XLOOKUP(tblSales[[#This Row],[Product Code]],tblProducts[Code],tblProducts[Product / Service Name],"⚠ Unknown")</f>
        <v>Casual Shirt</v>
      </c>
      <c r="H3021" s="1" t="str">
        <f>_xlfn.XLOOKUP(tblSales[[#This Row],[Product Code]],tblProducts[Code],tblProducts[Category],"")</f>
        <v>Apparel &amp; Footwear</v>
      </c>
      <c r="I3021" s="4">
        <v>72</v>
      </c>
      <c r="J3021" s="5">
        <f>_xlfn.XLOOKUP(tblSales[[#This Row],[Product Code]],tblProducts[Code],tblProducts[Selling Price (excl. VAT)],0)</f>
        <v>120000</v>
      </c>
      <c r="K3021" s="5">
        <f>tblSales[[#This Row],[Qty]]*tblSales[[#This Row],[Unit Price]]</f>
        <v>8640000</v>
      </c>
      <c r="L3021" s="5">
        <f>ROUND(tblSales[[#This Row],[DPP (excl. VAT)]]*VATEff,0)</f>
        <v>950400</v>
      </c>
      <c r="M3021" s="5">
        <f>tblSales[[#This Row],[DPP (excl. VAT)]]+tblSales[[#This Row],[Output VAT]]</f>
        <v>9590400</v>
      </c>
      <c r="N3021" s="5">
        <f>tblSales[[#This Row],[Qty]]*_xlfn.XLOOKUP(tblSales[[#This Row],[Product Code]],tblProducts[Code],tblProducts[Unit Cost],0)</f>
        <v>5184000</v>
      </c>
      <c r="O3021" s="4" t="s">
        <v>4867</v>
      </c>
      <c r="P3021" s="4" t="s">
        <v>4860</v>
      </c>
      <c r="Q3021" s="1" t="str">
        <f>_xlfn.XLOOKUP(tblSales[[#This Row],[Channel Code]],tblChannels[Channel Code],tblChannels[Channel Name],"")</f>
        <v>In-store</v>
      </c>
      <c r="R3021" s="1">
        <f>MONTH(tblSales[[#This Row],[Date]])</f>
        <v>6</v>
      </c>
    </row>
    <row r="3022" spans="2:18" x14ac:dyDescent="0.35">
      <c r="B3022" s="113">
        <v>46203</v>
      </c>
      <c r="C3022" s="4" t="s">
        <v>5300</v>
      </c>
      <c r="D3022" s="4" t="s">
        <v>4641</v>
      </c>
      <c r="E3022" s="1" t="str">
        <f>_xlfn.XLOOKUP(tblSales[[#This Row],[Customer ID]],tblCustomers[Customer ID],tblCustomers[Customer Name],"⚠ Unknown")</f>
        <v>PT Harmoni Pangan Lestari</v>
      </c>
      <c r="F3022" s="4" t="s">
        <v>12</v>
      </c>
      <c r="G3022" s="1" t="str">
        <f>_xlfn.XLOOKUP(tblSales[[#This Row],[Product Code]],tblProducts[Code],tblProducts[Product / Service Name],"⚠ Unknown")</f>
        <v>Bomber Jacket</v>
      </c>
      <c r="H3022" s="1" t="str">
        <f>_xlfn.XLOOKUP(tblSales[[#This Row],[Product Code]],tblProducts[Code],tblProducts[Category],"")</f>
        <v>Apparel &amp; Footwear</v>
      </c>
      <c r="I3022" s="4">
        <v>8</v>
      </c>
      <c r="J3022" s="5">
        <f>_xlfn.XLOOKUP(tblSales[[#This Row],[Product Code]],tblProducts[Code],tblProducts[Selling Price (excl. VAT)],0)</f>
        <v>350000</v>
      </c>
      <c r="K3022" s="5">
        <f>tblSales[[#This Row],[Qty]]*tblSales[[#This Row],[Unit Price]]</f>
        <v>2800000</v>
      </c>
      <c r="L3022" s="5">
        <f>ROUND(tblSales[[#This Row],[DPP (excl. VAT)]]*VATEff,0)</f>
        <v>308000</v>
      </c>
      <c r="M3022" s="5">
        <f>tblSales[[#This Row],[DPP (excl. VAT)]]+tblSales[[#This Row],[Output VAT]]</f>
        <v>3108000</v>
      </c>
      <c r="N3022" s="5">
        <f>tblSales[[#This Row],[Qty]]*_xlfn.XLOOKUP(tblSales[[#This Row],[Product Code]],tblProducts[Code],tblProducts[Unit Cost],0)</f>
        <v>1680000</v>
      </c>
      <c r="O3022" s="4" t="s">
        <v>4867</v>
      </c>
      <c r="P3022" s="4" t="s">
        <v>4860</v>
      </c>
      <c r="Q3022" s="1" t="str">
        <f>_xlfn.XLOOKUP(tblSales[[#This Row],[Channel Code]],tblChannels[Channel Code],tblChannels[Channel Name],"")</f>
        <v>In-store</v>
      </c>
      <c r="R3022" s="1">
        <f>MONTH(tblSales[[#This Row],[Date]])</f>
        <v>6</v>
      </c>
    </row>
    <row r="3023" spans="2:18" x14ac:dyDescent="0.35">
      <c r="B3023" s="113">
        <v>46203</v>
      </c>
      <c r="C3023" s="4" t="s">
        <v>5301</v>
      </c>
      <c r="D3023" s="4" t="s">
        <v>4613</v>
      </c>
      <c r="E3023" s="1" t="str">
        <f>_xlfn.XLOOKUP(tblSales[[#This Row],[Customer ID]],tblCustomers[Customer ID],tblCustomers[Customer Name],"⚠ Unknown")</f>
        <v>PT Mega Prima Distribusi</v>
      </c>
      <c r="F3023" s="4" t="s">
        <v>9</v>
      </c>
      <c r="G3023" s="1" t="str">
        <f>_xlfn.XLOOKUP(tblSales[[#This Row],[Product Code]],tblProducts[Code],tblProducts[Product / Service Name],"⚠ Unknown")</f>
        <v>Casual Shirt</v>
      </c>
      <c r="H3023" s="1" t="str">
        <f>_xlfn.XLOOKUP(tblSales[[#This Row],[Product Code]],tblProducts[Code],tblProducts[Category],"")</f>
        <v>Apparel &amp; Footwear</v>
      </c>
      <c r="I3023" s="4">
        <v>88</v>
      </c>
      <c r="J3023" s="5">
        <f>_xlfn.XLOOKUP(tblSales[[#This Row],[Product Code]],tblProducts[Code],tblProducts[Selling Price (excl. VAT)],0)</f>
        <v>120000</v>
      </c>
      <c r="K3023" s="5">
        <f>tblSales[[#This Row],[Qty]]*tblSales[[#This Row],[Unit Price]]</f>
        <v>10560000</v>
      </c>
      <c r="L3023" s="5">
        <f>ROUND(tblSales[[#This Row],[DPP (excl. VAT)]]*VATEff,0)</f>
        <v>1161600</v>
      </c>
      <c r="M3023" s="5">
        <f>tblSales[[#This Row],[DPP (excl. VAT)]]+tblSales[[#This Row],[Output VAT]]</f>
        <v>11721600</v>
      </c>
      <c r="N3023" s="5">
        <f>tblSales[[#This Row],[Qty]]*_xlfn.XLOOKUP(tblSales[[#This Row],[Product Code]],tblProducts[Code],tblProducts[Unit Cost],0)</f>
        <v>6336000</v>
      </c>
      <c r="O3023" s="4" t="s">
        <v>4867</v>
      </c>
      <c r="P3023" s="4" t="s">
        <v>4860</v>
      </c>
      <c r="Q3023" s="1" t="str">
        <f>_xlfn.XLOOKUP(tblSales[[#This Row],[Channel Code]],tblChannels[Channel Code],tblChannels[Channel Name],"")</f>
        <v>In-store</v>
      </c>
      <c r="R3023" s="1">
        <f>MONTH(tblSales[[#This Row],[Date]])</f>
        <v>6</v>
      </c>
    </row>
    <row r="3024" spans="2:18" x14ac:dyDescent="0.35">
      <c r="B3024" s="113">
        <v>46203</v>
      </c>
      <c r="C3024" s="4" t="s">
        <v>5301</v>
      </c>
      <c r="D3024" s="4" t="s">
        <v>4613</v>
      </c>
      <c r="E3024" s="1" t="str">
        <f>_xlfn.XLOOKUP(tblSales[[#This Row],[Customer ID]],tblCustomers[Customer ID],tblCustomers[Customer Name],"⚠ Unknown")</f>
        <v>PT Mega Prima Distribusi</v>
      </c>
      <c r="F3024" s="4" t="s">
        <v>15</v>
      </c>
      <c r="G3024" s="1" t="str">
        <f>_xlfn.XLOOKUP(tblSales[[#This Row],[Product Code]],tblProducts[Code],tblProducts[Product / Service Name],"⚠ Unknown")</f>
        <v>Wireless Earbuds Pro</v>
      </c>
      <c r="H3024" s="1" t="str">
        <f>_xlfn.XLOOKUP(tblSales[[#This Row],[Product Code]],tblProducts[Code],tblProducts[Category],"")</f>
        <v>Bags &amp; Gadgets</v>
      </c>
      <c r="I3024" s="4">
        <v>16</v>
      </c>
      <c r="J3024" s="5">
        <f>_xlfn.XLOOKUP(tblSales[[#This Row],[Product Code]],tblProducts[Code],tblProducts[Selling Price (excl. VAT)],0)</f>
        <v>1250000</v>
      </c>
      <c r="K3024" s="5">
        <f>tblSales[[#This Row],[Qty]]*tblSales[[#This Row],[Unit Price]]</f>
        <v>20000000</v>
      </c>
      <c r="L3024" s="5">
        <f>ROUND(tblSales[[#This Row],[DPP (excl. VAT)]]*VATEff,0)</f>
        <v>2200000</v>
      </c>
      <c r="M3024" s="5">
        <f>tblSales[[#This Row],[DPP (excl. VAT)]]+tblSales[[#This Row],[Output VAT]]</f>
        <v>22200000</v>
      </c>
      <c r="N3024" s="5">
        <f>tblSales[[#This Row],[Qty]]*_xlfn.XLOOKUP(tblSales[[#This Row],[Product Code]],tblProducts[Code],tblProducts[Unit Cost],0)</f>
        <v>13120000</v>
      </c>
      <c r="O3024" s="4" t="s">
        <v>4867</v>
      </c>
      <c r="P3024" s="4" t="s">
        <v>4860</v>
      </c>
      <c r="Q3024" s="1" t="str">
        <f>_xlfn.XLOOKUP(tblSales[[#This Row],[Channel Code]],tblChannels[Channel Code],tblChannels[Channel Name],"")</f>
        <v>In-store</v>
      </c>
      <c r="R3024" s="1">
        <f>MONTH(tblSales[[#This Row],[Date]])</f>
        <v>6</v>
      </c>
    </row>
    <row r="3025" spans="2:18" x14ac:dyDescent="0.35">
      <c r="B3025" s="113">
        <v>46203</v>
      </c>
      <c r="C3025" s="4" t="s">
        <v>5302</v>
      </c>
      <c r="D3025" s="4" t="s">
        <v>4648</v>
      </c>
      <c r="E3025" s="1" t="str">
        <f>_xlfn.XLOOKUP(tblSales[[#This Row],[Customer ID]],tblCustomers[Customer ID],tblCustomers[Customer Name],"⚠ Unknown")</f>
        <v>PT Lintas Benua Niaga</v>
      </c>
      <c r="F3025" s="4" t="s">
        <v>10</v>
      </c>
      <c r="G3025" s="1" t="str">
        <f>_xlfn.XLOOKUP(tblSales[[#This Row],[Product Code]],tblProducts[Code],tblProducts[Product / Service Name],"⚠ Unknown")</f>
        <v>Chino Pants</v>
      </c>
      <c r="H3025" s="1" t="str">
        <f>_xlfn.XLOOKUP(tblSales[[#This Row],[Product Code]],tblProducts[Code],tblProducts[Category],"")</f>
        <v>Apparel &amp; Footwear</v>
      </c>
      <c r="I3025" s="4">
        <v>88</v>
      </c>
      <c r="J3025" s="5">
        <f>_xlfn.XLOOKUP(tblSales[[#This Row],[Product Code]],tblProducts[Code],tblProducts[Selling Price (excl. VAT)],0)</f>
        <v>150000</v>
      </c>
      <c r="K3025" s="5">
        <f>tblSales[[#This Row],[Qty]]*tblSales[[#This Row],[Unit Price]]</f>
        <v>13200000</v>
      </c>
      <c r="L3025" s="5">
        <f>ROUND(tblSales[[#This Row],[DPP (excl. VAT)]]*VATEff,0)</f>
        <v>1452000</v>
      </c>
      <c r="M3025" s="5">
        <f>tblSales[[#This Row],[DPP (excl. VAT)]]+tblSales[[#This Row],[Output VAT]]</f>
        <v>14652000</v>
      </c>
      <c r="N3025" s="5">
        <f>tblSales[[#This Row],[Qty]]*_xlfn.XLOOKUP(tblSales[[#This Row],[Product Code]],tblProducts[Code],tblProducts[Unit Cost],0)</f>
        <v>7744000</v>
      </c>
      <c r="O3025" s="4" t="s">
        <v>4867</v>
      </c>
      <c r="P3025" s="4" t="s">
        <v>4860</v>
      </c>
      <c r="Q3025" s="1" t="str">
        <f>_xlfn.XLOOKUP(tblSales[[#This Row],[Channel Code]],tblChannels[Channel Code],tblChannels[Channel Name],"")</f>
        <v>In-store</v>
      </c>
      <c r="R3025" s="1">
        <f>MONTH(tblSales[[#This Row],[Date]])</f>
        <v>6</v>
      </c>
    </row>
    <row r="3026" spans="2:18" x14ac:dyDescent="0.35">
      <c r="B3026" s="113">
        <v>46203</v>
      </c>
      <c r="C3026" s="4" t="s">
        <v>5303</v>
      </c>
      <c r="D3026" s="4" t="s">
        <v>4568</v>
      </c>
      <c r="E3026" s="1" t="str">
        <f>_xlfn.XLOOKUP(tblSales[[#This Row],[Customer ID]],tblCustomers[Customer ID],tblCustomers[Customer Name],"⚠ Unknown")</f>
        <v>Walk-in Customer</v>
      </c>
      <c r="F3026" s="4" t="s">
        <v>6</v>
      </c>
      <c r="G3026" s="1" t="str">
        <f>_xlfn.XLOOKUP(tblSales[[#This Row],[Product Code]],tblProducts[Code],tblProducts[Product / Service Name],"⚠ Unknown")</f>
        <v>Socks &amp; Accessories</v>
      </c>
      <c r="H3026" s="1" t="str">
        <f>_xlfn.XLOOKUP(tblSales[[#This Row],[Product Code]],tblProducts[Code],tblProducts[Category],"")</f>
        <v>Accessories &amp; Basics</v>
      </c>
      <c r="I3026" s="4">
        <v>2</v>
      </c>
      <c r="J3026" s="5">
        <f>_xlfn.XLOOKUP(tblSales[[#This Row],[Product Code]],tblProducts[Code],tblProducts[Selling Price (excl. VAT)],0)</f>
        <v>45000</v>
      </c>
      <c r="K3026" s="5">
        <f>tblSales[[#This Row],[Qty]]*tblSales[[#This Row],[Unit Price]]</f>
        <v>90000</v>
      </c>
      <c r="L3026" s="5">
        <f>ROUND(tblSales[[#This Row],[DPP (excl. VAT)]]*VATEff,0)</f>
        <v>9900</v>
      </c>
      <c r="M3026" s="5">
        <f>tblSales[[#This Row],[DPP (excl. VAT)]]+tblSales[[#This Row],[Output VAT]]</f>
        <v>99900</v>
      </c>
      <c r="N3026" s="5">
        <f>tblSales[[#This Row],[Qty]]*_xlfn.XLOOKUP(tblSales[[#This Row],[Product Code]],tblProducts[Code],tblProducts[Unit Cost],0)</f>
        <v>48000</v>
      </c>
      <c r="O3026" s="4" t="s">
        <v>4865</v>
      </c>
      <c r="P3026" s="4" t="s">
        <v>4860</v>
      </c>
      <c r="Q3026" s="1" t="str">
        <f>_xlfn.XLOOKUP(tblSales[[#This Row],[Channel Code]],tblChannels[Channel Code],tblChannels[Channel Name],"")</f>
        <v>In-store</v>
      </c>
      <c r="R3026" s="1">
        <f>MONTH(tblSales[[#This Row],[Date]])</f>
        <v>6</v>
      </c>
    </row>
    <row r="3027" spans="2:18" x14ac:dyDescent="0.35">
      <c r="B3027" s="113">
        <v>46203</v>
      </c>
      <c r="C3027" s="4" t="s">
        <v>5304</v>
      </c>
      <c r="D3027" s="4" t="s">
        <v>4568</v>
      </c>
      <c r="E3027" s="1" t="str">
        <f>_xlfn.XLOOKUP(tblSales[[#This Row],[Customer ID]],tblCustomers[Customer ID],tblCustomers[Customer Name],"⚠ Unknown")</f>
        <v>Walk-in Customer</v>
      </c>
      <c r="F3027" s="4" t="s">
        <v>14</v>
      </c>
      <c r="G3027" s="1" t="str">
        <f>_xlfn.XLOOKUP(tblSales[[#This Row],[Product Code]],tblProducts[Code],tblProducts[Product / Service Name],"⚠ Unknown")</f>
        <v>Smartwatch</v>
      </c>
      <c r="H3027" s="1" t="str">
        <f>_xlfn.XLOOKUP(tblSales[[#This Row],[Product Code]],tblProducts[Code],tblProducts[Category],"")</f>
        <v>Bags &amp; Gadgets</v>
      </c>
      <c r="I3027" s="4">
        <v>2</v>
      </c>
      <c r="J3027" s="5">
        <f>_xlfn.XLOOKUP(tblSales[[#This Row],[Product Code]],tblProducts[Code],tblProducts[Selling Price (excl. VAT)],0)</f>
        <v>850000</v>
      </c>
      <c r="K3027" s="5">
        <f>tblSales[[#This Row],[Qty]]*tblSales[[#This Row],[Unit Price]]</f>
        <v>1700000</v>
      </c>
      <c r="L3027" s="5">
        <f>ROUND(tblSales[[#This Row],[DPP (excl. VAT)]]*VATEff,0)</f>
        <v>187000</v>
      </c>
      <c r="M3027" s="5">
        <f>tblSales[[#This Row],[DPP (excl. VAT)]]+tblSales[[#This Row],[Output VAT]]</f>
        <v>1887000</v>
      </c>
      <c r="N3027" s="5">
        <f>tblSales[[#This Row],[Qty]]*_xlfn.XLOOKUP(tblSales[[#This Row],[Product Code]],tblProducts[Code],tblProducts[Unit Cost],0)</f>
        <v>1120000</v>
      </c>
      <c r="O3027" s="4" t="s">
        <v>4866</v>
      </c>
      <c r="P3027" s="4" t="s">
        <v>4862</v>
      </c>
      <c r="Q3027" s="1" t="str">
        <f>_xlfn.XLOOKUP(tblSales[[#This Row],[Channel Code]],tblChannels[Channel Code],tblChannels[Channel Name],"")</f>
        <v>Website &amp; Social Media</v>
      </c>
      <c r="R3027" s="1">
        <f>MONTH(tblSales[[#This Row],[Date]])</f>
        <v>6</v>
      </c>
    </row>
    <row r="3028" spans="2:18" x14ac:dyDescent="0.35">
      <c r="B3028" s="113">
        <v>46203</v>
      </c>
      <c r="C3028" s="4" t="s">
        <v>5305</v>
      </c>
      <c r="D3028" s="4" t="s">
        <v>4568</v>
      </c>
      <c r="E3028" s="1" t="str">
        <f>_xlfn.XLOOKUP(tblSales[[#This Row],[Customer ID]],tblCustomers[Customer ID],tblCustomers[Customer Name],"⚠ Unknown")</f>
        <v>Walk-in Customer</v>
      </c>
      <c r="F3028" s="4" t="s">
        <v>10</v>
      </c>
      <c r="G3028" s="1" t="str">
        <f>_xlfn.XLOOKUP(tblSales[[#This Row],[Product Code]],tblProducts[Code],tblProducts[Product / Service Name],"⚠ Unknown")</f>
        <v>Chino Pants</v>
      </c>
      <c r="H3028" s="1" t="str">
        <f>_xlfn.XLOOKUP(tblSales[[#This Row],[Product Code]],tblProducts[Code],tblProducts[Category],"")</f>
        <v>Apparel &amp; Footwear</v>
      </c>
      <c r="I3028" s="4">
        <v>6</v>
      </c>
      <c r="J3028" s="5">
        <f>_xlfn.XLOOKUP(tblSales[[#This Row],[Product Code]],tblProducts[Code],tblProducts[Selling Price (excl. VAT)],0)</f>
        <v>150000</v>
      </c>
      <c r="K3028" s="5">
        <f>tblSales[[#This Row],[Qty]]*tblSales[[#This Row],[Unit Price]]</f>
        <v>900000</v>
      </c>
      <c r="L3028" s="5">
        <f>ROUND(tblSales[[#This Row],[DPP (excl. VAT)]]*VATEff,0)</f>
        <v>99000</v>
      </c>
      <c r="M3028" s="5">
        <f>tblSales[[#This Row],[DPP (excl. VAT)]]+tblSales[[#This Row],[Output VAT]]</f>
        <v>999000</v>
      </c>
      <c r="N3028" s="5">
        <f>tblSales[[#This Row],[Qty]]*_xlfn.XLOOKUP(tblSales[[#This Row],[Product Code]],tblProducts[Code],tblProducts[Unit Cost],0)</f>
        <v>528000</v>
      </c>
      <c r="O3028" s="4" t="s">
        <v>4865</v>
      </c>
      <c r="P3028" s="4" t="s">
        <v>4860</v>
      </c>
      <c r="Q3028" s="1" t="str">
        <f>_xlfn.XLOOKUP(tblSales[[#This Row],[Channel Code]],tblChannels[Channel Code],tblChannels[Channel Name],"")</f>
        <v>In-store</v>
      </c>
      <c r="R3028" s="1">
        <f>MONTH(tblSales[[#This Row],[Date]])</f>
        <v>6</v>
      </c>
    </row>
    <row r="3029" spans="2:18" x14ac:dyDescent="0.35">
      <c r="B3029" s="113">
        <v>46203</v>
      </c>
      <c r="C3029" s="4" t="s">
        <v>5306</v>
      </c>
      <c r="D3029" s="4" t="s">
        <v>4593</v>
      </c>
      <c r="E3029" s="1" t="str">
        <f>_xlfn.XLOOKUP(tblSales[[#This Row],[Customer ID]],tblCustomers[Customer ID],tblCustomers[Customer Name],"⚠ Unknown")</f>
        <v>PT Graha Nusa Persada</v>
      </c>
      <c r="F3029" s="4" t="s">
        <v>12</v>
      </c>
      <c r="G3029" s="1" t="str">
        <f>_xlfn.XLOOKUP(tblSales[[#This Row],[Product Code]],tblProducts[Code],tblProducts[Product / Service Name],"⚠ Unknown")</f>
        <v>Bomber Jacket</v>
      </c>
      <c r="H3029" s="1" t="str">
        <f>_xlfn.XLOOKUP(tblSales[[#This Row],[Product Code]],tblProducts[Code],tblProducts[Category],"")</f>
        <v>Apparel &amp; Footwear</v>
      </c>
      <c r="I3029" s="4">
        <v>8</v>
      </c>
      <c r="J3029" s="5">
        <f>_xlfn.XLOOKUP(tblSales[[#This Row],[Product Code]],tblProducts[Code],tblProducts[Selling Price (excl. VAT)],0)</f>
        <v>350000</v>
      </c>
      <c r="K3029" s="5">
        <f>tblSales[[#This Row],[Qty]]*tblSales[[#This Row],[Unit Price]]</f>
        <v>2800000</v>
      </c>
      <c r="L3029" s="5">
        <f>ROUND(tblSales[[#This Row],[DPP (excl. VAT)]]*VATEff,0)</f>
        <v>308000</v>
      </c>
      <c r="M3029" s="5">
        <f>tblSales[[#This Row],[DPP (excl. VAT)]]+tblSales[[#This Row],[Output VAT]]</f>
        <v>3108000</v>
      </c>
      <c r="N3029" s="5">
        <f>tblSales[[#This Row],[Qty]]*_xlfn.XLOOKUP(tblSales[[#This Row],[Product Code]],tblProducts[Code],tblProducts[Unit Cost],0)</f>
        <v>1680000</v>
      </c>
      <c r="O3029" s="4" t="s">
        <v>4867</v>
      </c>
      <c r="P3029" s="4" t="s">
        <v>4860</v>
      </c>
      <c r="Q3029" s="1" t="str">
        <f>_xlfn.XLOOKUP(tblSales[[#This Row],[Channel Code]],tblChannels[Channel Code],tblChannels[Channel Name],"")</f>
        <v>In-store</v>
      </c>
      <c r="R3029" s="1">
        <f>MONTH(tblSales[[#This Row],[Date]])</f>
        <v>6</v>
      </c>
    </row>
    <row r="3030" spans="2:18" x14ac:dyDescent="0.35">
      <c r="B3030" s="113">
        <v>46204</v>
      </c>
      <c r="C3030" s="4" t="s">
        <v>2018</v>
      </c>
      <c r="D3030" s="4" t="s">
        <v>4606</v>
      </c>
      <c r="E3030" s="1" t="str">
        <f>_xlfn.XLOOKUP(tblSales[[#This Row],[Customer ID]],tblCustomers[Customer ID],tblCustomers[Customer Name],"⚠ Unknown")</f>
        <v>PT Arunika Digital Kreatif</v>
      </c>
      <c r="F3030" s="4" t="s">
        <v>10</v>
      </c>
      <c r="G3030" s="1" t="str">
        <f>_xlfn.XLOOKUP(tblSales[[#This Row],[Product Code]],tblProducts[Code],tblProducts[Product / Service Name],"⚠ Unknown")</f>
        <v>Chino Pants</v>
      </c>
      <c r="H3030" s="1" t="str">
        <f>_xlfn.XLOOKUP(tblSales[[#This Row],[Product Code]],tblProducts[Code],tblProducts[Category],"")</f>
        <v>Apparel &amp; Footwear</v>
      </c>
      <c r="I3030" s="4">
        <v>24</v>
      </c>
      <c r="J3030" s="5">
        <f>_xlfn.XLOOKUP(tblSales[[#This Row],[Product Code]],tblProducts[Code],tblProducts[Selling Price (excl. VAT)],0)</f>
        <v>150000</v>
      </c>
      <c r="K3030" s="5">
        <f>tblSales[[#This Row],[Qty]]*tblSales[[#This Row],[Unit Price]]</f>
        <v>3600000</v>
      </c>
      <c r="L3030" s="5">
        <f>ROUND(tblSales[[#This Row],[DPP (excl. VAT)]]*VATEff,0)</f>
        <v>396000</v>
      </c>
      <c r="M3030" s="5">
        <f>tblSales[[#This Row],[DPP (excl. VAT)]]+tblSales[[#This Row],[Output VAT]]</f>
        <v>3996000</v>
      </c>
      <c r="N3030" s="5">
        <f>tblSales[[#This Row],[Qty]]*_xlfn.XLOOKUP(tblSales[[#This Row],[Product Code]],tblProducts[Code],tblProducts[Unit Cost],0)</f>
        <v>2112000</v>
      </c>
      <c r="O3030" s="4" t="s">
        <v>4867</v>
      </c>
      <c r="P3030" s="4" t="s">
        <v>4860</v>
      </c>
      <c r="Q3030" s="1" t="str">
        <f>_xlfn.XLOOKUP(tblSales[[#This Row],[Channel Code]],tblChannels[Channel Code],tblChannels[Channel Name],"")</f>
        <v>In-store</v>
      </c>
      <c r="R3030" s="1">
        <f>MONTH(tblSales[[#This Row],[Date]])</f>
        <v>7</v>
      </c>
    </row>
    <row r="3031" spans="2:18" x14ac:dyDescent="0.35">
      <c r="B3031" s="113">
        <v>46204</v>
      </c>
      <c r="C3031" s="4" t="s">
        <v>2018</v>
      </c>
      <c r="D3031" s="4" t="s">
        <v>4606</v>
      </c>
      <c r="E3031" s="1" t="str">
        <f>_xlfn.XLOOKUP(tblSales[[#This Row],[Customer ID]],tblCustomers[Customer ID],tblCustomers[Customer Name],"⚠ Unknown")</f>
        <v>PT Arunika Digital Kreatif</v>
      </c>
      <c r="F3031" s="4" t="s">
        <v>7</v>
      </c>
      <c r="G3031" s="1" t="str">
        <f>_xlfn.XLOOKUP(tblSales[[#This Row],[Product Code]],tblProducts[Code],tblProducts[Product / Service Name],"⚠ Unknown")</f>
        <v>Premium Basic T-shirt</v>
      </c>
      <c r="H3031" s="1" t="str">
        <f>_xlfn.XLOOKUP(tblSales[[#This Row],[Product Code]],tblProducts[Code],tblProducts[Category],"")</f>
        <v>Accessories &amp; Basics</v>
      </c>
      <c r="I3031" s="4">
        <v>72</v>
      </c>
      <c r="J3031" s="5">
        <f>_xlfn.XLOOKUP(tblSales[[#This Row],[Product Code]],tblProducts[Code],tblProducts[Selling Price (excl. VAT)],0)</f>
        <v>65000</v>
      </c>
      <c r="K3031" s="5">
        <f>tblSales[[#This Row],[Qty]]*tblSales[[#This Row],[Unit Price]]</f>
        <v>4680000</v>
      </c>
      <c r="L3031" s="5">
        <f>ROUND(tblSales[[#This Row],[DPP (excl. VAT)]]*VATEff,0)</f>
        <v>514800</v>
      </c>
      <c r="M3031" s="5">
        <f>tblSales[[#This Row],[DPP (excl. VAT)]]+tblSales[[#This Row],[Output VAT]]</f>
        <v>5194800</v>
      </c>
      <c r="N3031" s="5">
        <f>tblSales[[#This Row],[Qty]]*_xlfn.XLOOKUP(tblSales[[#This Row],[Product Code]],tblProducts[Code],tblProducts[Unit Cost],0)</f>
        <v>2664000</v>
      </c>
      <c r="O3031" s="4" t="s">
        <v>4867</v>
      </c>
      <c r="P3031" s="4" t="s">
        <v>4860</v>
      </c>
      <c r="Q3031" s="1" t="str">
        <f>_xlfn.XLOOKUP(tblSales[[#This Row],[Channel Code]],tblChannels[Channel Code],tblChannels[Channel Name],"")</f>
        <v>In-store</v>
      </c>
      <c r="R3031" s="1">
        <f>MONTH(tblSales[[#This Row],[Date]])</f>
        <v>7</v>
      </c>
    </row>
    <row r="3032" spans="2:18" x14ac:dyDescent="0.35">
      <c r="B3032" s="113">
        <v>46204</v>
      </c>
      <c r="C3032" s="4" t="s">
        <v>2019</v>
      </c>
      <c r="D3032" s="4" t="s">
        <v>4606</v>
      </c>
      <c r="E3032" s="1" t="str">
        <f>_xlfn.XLOOKUP(tblSales[[#This Row],[Customer ID]],tblCustomers[Customer ID],tblCustomers[Customer Name],"⚠ Unknown")</f>
        <v>PT Arunika Digital Kreatif</v>
      </c>
      <c r="F3032" s="4" t="s">
        <v>9</v>
      </c>
      <c r="G3032" s="1" t="str">
        <f>_xlfn.XLOOKUP(tblSales[[#This Row],[Product Code]],tblProducts[Code],tblProducts[Product / Service Name],"⚠ Unknown")</f>
        <v>Casual Shirt</v>
      </c>
      <c r="H3032" s="1" t="str">
        <f>_xlfn.XLOOKUP(tblSales[[#This Row],[Product Code]],tblProducts[Code],tblProducts[Category],"")</f>
        <v>Apparel &amp; Footwear</v>
      </c>
      <c r="I3032" s="4">
        <v>48</v>
      </c>
      <c r="J3032" s="5">
        <f>_xlfn.XLOOKUP(tblSales[[#This Row],[Product Code]],tblProducts[Code],tblProducts[Selling Price (excl. VAT)],0)</f>
        <v>120000</v>
      </c>
      <c r="K3032" s="5">
        <f>tblSales[[#This Row],[Qty]]*tblSales[[#This Row],[Unit Price]]</f>
        <v>5760000</v>
      </c>
      <c r="L3032" s="5">
        <f>ROUND(tblSales[[#This Row],[DPP (excl. VAT)]]*VATEff,0)</f>
        <v>633600</v>
      </c>
      <c r="M3032" s="5">
        <f>tblSales[[#This Row],[DPP (excl. VAT)]]+tblSales[[#This Row],[Output VAT]]</f>
        <v>6393600</v>
      </c>
      <c r="N3032" s="5">
        <f>tblSales[[#This Row],[Qty]]*_xlfn.XLOOKUP(tblSales[[#This Row],[Product Code]],tblProducts[Code],tblProducts[Unit Cost],0)</f>
        <v>3456000</v>
      </c>
      <c r="O3032" s="4" t="s">
        <v>4867</v>
      </c>
      <c r="P3032" s="4" t="s">
        <v>4860</v>
      </c>
      <c r="Q3032" s="1" t="str">
        <f>_xlfn.XLOOKUP(tblSales[[#This Row],[Channel Code]],tblChannels[Channel Code],tblChannels[Channel Name],"")</f>
        <v>In-store</v>
      </c>
      <c r="R3032" s="1">
        <f>MONTH(tblSales[[#This Row],[Date]])</f>
        <v>7</v>
      </c>
    </row>
    <row r="3033" spans="2:18" x14ac:dyDescent="0.35">
      <c r="B3033" s="113">
        <v>46204</v>
      </c>
      <c r="C3033" s="4" t="s">
        <v>2020</v>
      </c>
      <c r="D3033" s="4" t="s">
        <v>4568</v>
      </c>
      <c r="E3033" s="1" t="str">
        <f>_xlfn.XLOOKUP(tblSales[[#This Row],[Customer ID]],tblCustomers[Customer ID],tblCustomers[Customer Name],"⚠ Unknown")</f>
        <v>Walk-in Customer</v>
      </c>
      <c r="F3033" s="4" t="s">
        <v>6</v>
      </c>
      <c r="G3033" s="1" t="str">
        <f>_xlfn.XLOOKUP(tblSales[[#This Row],[Product Code]],tblProducts[Code],tblProducts[Product / Service Name],"⚠ Unknown")</f>
        <v>Socks &amp; Accessories</v>
      </c>
      <c r="H3033" s="1" t="str">
        <f>_xlfn.XLOOKUP(tblSales[[#This Row],[Product Code]],tblProducts[Code],tblProducts[Category],"")</f>
        <v>Accessories &amp; Basics</v>
      </c>
      <c r="I3033" s="4">
        <v>4</v>
      </c>
      <c r="J3033" s="5">
        <f>_xlfn.XLOOKUP(tblSales[[#This Row],[Product Code]],tblProducts[Code],tblProducts[Selling Price (excl. VAT)],0)</f>
        <v>45000</v>
      </c>
      <c r="K3033" s="5">
        <f>tblSales[[#This Row],[Qty]]*tblSales[[#This Row],[Unit Price]]</f>
        <v>180000</v>
      </c>
      <c r="L3033" s="5">
        <f>ROUND(tblSales[[#This Row],[DPP (excl. VAT)]]*VATEff,0)</f>
        <v>19800</v>
      </c>
      <c r="M3033" s="5">
        <f>tblSales[[#This Row],[DPP (excl. VAT)]]+tblSales[[#This Row],[Output VAT]]</f>
        <v>199800</v>
      </c>
      <c r="N3033" s="5">
        <f>tblSales[[#This Row],[Qty]]*_xlfn.XLOOKUP(tblSales[[#This Row],[Product Code]],tblProducts[Code],tblProducts[Unit Cost],0)</f>
        <v>96000</v>
      </c>
      <c r="O3033" s="4" t="s">
        <v>4865</v>
      </c>
      <c r="P3033" s="4" t="s">
        <v>4860</v>
      </c>
      <c r="Q3033" s="1" t="str">
        <f>_xlfn.XLOOKUP(tblSales[[#This Row],[Channel Code]],tblChannels[Channel Code],tblChannels[Channel Name],"")</f>
        <v>In-store</v>
      </c>
      <c r="R3033" s="1">
        <f>MONTH(tblSales[[#This Row],[Date]])</f>
        <v>7</v>
      </c>
    </row>
    <row r="3034" spans="2:18" x14ac:dyDescent="0.35">
      <c r="B3034" s="113">
        <v>46204</v>
      </c>
      <c r="C3034" s="4" t="s">
        <v>2021</v>
      </c>
      <c r="D3034" s="4" t="s">
        <v>4568</v>
      </c>
      <c r="E3034" s="1" t="str">
        <f>_xlfn.XLOOKUP(tblSales[[#This Row],[Customer ID]],tblCustomers[Customer ID],tblCustomers[Customer Name],"⚠ Unknown")</f>
        <v>Walk-in Customer</v>
      </c>
      <c r="F3034" s="4" t="s">
        <v>11</v>
      </c>
      <c r="G3034" s="1" t="str">
        <f>_xlfn.XLOOKUP(tblSales[[#This Row],[Product Code]],tblProducts[Code],tblProducts[Product / Service Name],"⚠ Unknown")</f>
        <v>Sneakers</v>
      </c>
      <c r="H3034" s="1" t="str">
        <f>_xlfn.XLOOKUP(tblSales[[#This Row],[Product Code]],tblProducts[Code],tblProducts[Category],"")</f>
        <v>Apparel &amp; Footwear</v>
      </c>
      <c r="I3034" s="4">
        <v>2</v>
      </c>
      <c r="J3034" s="5">
        <f>_xlfn.XLOOKUP(tblSales[[#This Row],[Product Code]],tblProducts[Code],tblProducts[Selling Price (excl. VAT)],0)</f>
        <v>250000</v>
      </c>
      <c r="K3034" s="5">
        <f>tblSales[[#This Row],[Qty]]*tblSales[[#This Row],[Unit Price]]</f>
        <v>500000</v>
      </c>
      <c r="L3034" s="5">
        <f>ROUND(tblSales[[#This Row],[DPP (excl. VAT)]]*VATEff,0)</f>
        <v>55000</v>
      </c>
      <c r="M3034" s="5">
        <f>tblSales[[#This Row],[DPP (excl. VAT)]]+tblSales[[#This Row],[Output VAT]]</f>
        <v>555000</v>
      </c>
      <c r="N3034" s="5">
        <f>tblSales[[#This Row],[Qty]]*_xlfn.XLOOKUP(tblSales[[#This Row],[Product Code]],tblProducts[Code],tblProducts[Unit Cost],0)</f>
        <v>310000</v>
      </c>
      <c r="O3034" s="4" t="s">
        <v>4866</v>
      </c>
      <c r="P3034" s="4" t="s">
        <v>4860</v>
      </c>
      <c r="Q3034" s="1" t="str">
        <f>_xlfn.XLOOKUP(tblSales[[#This Row],[Channel Code]],tblChannels[Channel Code],tblChannels[Channel Name],"")</f>
        <v>In-store</v>
      </c>
      <c r="R3034" s="1">
        <f>MONTH(tblSales[[#This Row],[Date]])</f>
        <v>7</v>
      </c>
    </row>
    <row r="3035" spans="2:18" x14ac:dyDescent="0.35">
      <c r="B3035" s="113">
        <v>46204</v>
      </c>
      <c r="C3035" s="4" t="s">
        <v>2021</v>
      </c>
      <c r="D3035" s="4" t="s">
        <v>4568</v>
      </c>
      <c r="E3035" s="1" t="str">
        <f>_xlfn.XLOOKUP(tblSales[[#This Row],[Customer ID]],tblCustomers[Customer ID],tblCustomers[Customer Name],"⚠ Unknown")</f>
        <v>Walk-in Customer</v>
      </c>
      <c r="F3035" s="4" t="s">
        <v>8</v>
      </c>
      <c r="G3035" s="1" t="str">
        <f>_xlfn.XLOOKUP(tblSales[[#This Row],[Product Code]],tblProducts[Code],tblProducts[Product / Service Name],"⚠ Unknown")</f>
        <v>Casual Shorts</v>
      </c>
      <c r="H3035" s="1" t="str">
        <f>_xlfn.XLOOKUP(tblSales[[#This Row],[Product Code]],tblProducts[Code],tblProducts[Category],"")</f>
        <v>Accessories &amp; Basics</v>
      </c>
      <c r="I3035" s="4">
        <v>12</v>
      </c>
      <c r="J3035" s="5">
        <f>_xlfn.XLOOKUP(tblSales[[#This Row],[Product Code]],tblProducts[Code],tblProducts[Selling Price (excl. VAT)],0)</f>
        <v>85000</v>
      </c>
      <c r="K3035" s="5">
        <f>tblSales[[#This Row],[Qty]]*tblSales[[#This Row],[Unit Price]]</f>
        <v>1020000</v>
      </c>
      <c r="L3035" s="5">
        <f>ROUND(tblSales[[#This Row],[DPP (excl. VAT)]]*VATEff,0)</f>
        <v>112200</v>
      </c>
      <c r="M3035" s="5">
        <f>tblSales[[#This Row],[DPP (excl. VAT)]]+tblSales[[#This Row],[Output VAT]]</f>
        <v>1132200</v>
      </c>
      <c r="N3035" s="5">
        <f>tblSales[[#This Row],[Qty]]*_xlfn.XLOOKUP(tblSales[[#This Row],[Product Code]],tblProducts[Code],tblProducts[Unit Cost],0)</f>
        <v>600000</v>
      </c>
      <c r="O3035" s="4" t="s">
        <v>4866</v>
      </c>
      <c r="P3035" s="4" t="s">
        <v>4860</v>
      </c>
      <c r="Q3035" s="1" t="str">
        <f>_xlfn.XLOOKUP(tblSales[[#This Row],[Channel Code]],tblChannels[Channel Code],tblChannels[Channel Name],"")</f>
        <v>In-store</v>
      </c>
      <c r="R3035" s="1">
        <f>MONTH(tblSales[[#This Row],[Date]])</f>
        <v>7</v>
      </c>
    </row>
    <row r="3036" spans="2:18" x14ac:dyDescent="0.35">
      <c r="B3036" s="113">
        <v>46204</v>
      </c>
      <c r="C3036" s="4" t="s">
        <v>2022</v>
      </c>
      <c r="D3036" s="4" t="s">
        <v>4568</v>
      </c>
      <c r="E3036" s="1" t="str">
        <f>_xlfn.XLOOKUP(tblSales[[#This Row],[Customer ID]],tblCustomers[Customer ID],tblCustomers[Customer Name],"⚠ Unknown")</f>
        <v>Walk-in Customer</v>
      </c>
      <c r="F3036" s="4" t="s">
        <v>15</v>
      </c>
      <c r="G3036" s="1" t="str">
        <f>_xlfn.XLOOKUP(tblSales[[#This Row],[Product Code]],tblProducts[Code],tblProducts[Product / Service Name],"⚠ Unknown")</f>
        <v>Wireless Earbuds Pro</v>
      </c>
      <c r="H3036" s="1" t="str">
        <f>_xlfn.XLOOKUP(tblSales[[#This Row],[Product Code]],tblProducts[Code],tblProducts[Category],"")</f>
        <v>Bags &amp; Gadgets</v>
      </c>
      <c r="I3036" s="4">
        <v>1</v>
      </c>
      <c r="J3036" s="5">
        <f>_xlfn.XLOOKUP(tblSales[[#This Row],[Product Code]],tblProducts[Code],tblProducts[Selling Price (excl. VAT)],0)</f>
        <v>1250000</v>
      </c>
      <c r="K3036" s="5">
        <f>tblSales[[#This Row],[Qty]]*tblSales[[#This Row],[Unit Price]]</f>
        <v>1250000</v>
      </c>
      <c r="L3036" s="5">
        <f>ROUND(tblSales[[#This Row],[DPP (excl. VAT)]]*VATEff,0)</f>
        <v>137500</v>
      </c>
      <c r="M3036" s="5">
        <f>tblSales[[#This Row],[DPP (excl. VAT)]]+tblSales[[#This Row],[Output VAT]]</f>
        <v>1387500</v>
      </c>
      <c r="N3036" s="5">
        <f>tblSales[[#This Row],[Qty]]*_xlfn.XLOOKUP(tblSales[[#This Row],[Product Code]],tblProducts[Code],tblProducts[Unit Cost],0)</f>
        <v>820000</v>
      </c>
      <c r="O3036" s="4" t="s">
        <v>4866</v>
      </c>
      <c r="P3036" s="4" t="s">
        <v>4861</v>
      </c>
      <c r="Q3036" s="1" t="str">
        <f>_xlfn.XLOOKUP(tblSales[[#This Row],[Channel Code]],tblChannels[Channel Code],tblChannels[Channel Name],"")</f>
        <v>Marketplace</v>
      </c>
      <c r="R3036" s="1">
        <f>MONTH(tblSales[[#This Row],[Date]])</f>
        <v>7</v>
      </c>
    </row>
    <row r="3037" spans="2:18" x14ac:dyDescent="0.35">
      <c r="B3037" s="113">
        <v>46204</v>
      </c>
      <c r="C3037" s="4" t="s">
        <v>2023</v>
      </c>
      <c r="D3037" s="4" t="s">
        <v>4606</v>
      </c>
      <c r="E3037" s="1" t="str">
        <f>_xlfn.XLOOKUP(tblSales[[#This Row],[Customer ID]],tblCustomers[Customer ID],tblCustomers[Customer Name],"⚠ Unknown")</f>
        <v>PT Arunika Digital Kreatif</v>
      </c>
      <c r="F3037" s="4" t="s">
        <v>7</v>
      </c>
      <c r="G3037" s="1" t="str">
        <f>_xlfn.XLOOKUP(tblSales[[#This Row],[Product Code]],tblProducts[Code],tblProducts[Product / Service Name],"⚠ Unknown")</f>
        <v>Premium Basic T-shirt</v>
      </c>
      <c r="H3037" s="1" t="str">
        <f>_xlfn.XLOOKUP(tblSales[[#This Row],[Product Code]],tblProducts[Code],tblProducts[Category],"")</f>
        <v>Accessories &amp; Basics</v>
      </c>
      <c r="I3037" s="4">
        <v>96</v>
      </c>
      <c r="J3037" s="5">
        <f>_xlfn.XLOOKUP(tblSales[[#This Row],[Product Code]],tblProducts[Code],tblProducts[Selling Price (excl. VAT)],0)</f>
        <v>65000</v>
      </c>
      <c r="K3037" s="5">
        <f>tblSales[[#This Row],[Qty]]*tblSales[[#This Row],[Unit Price]]</f>
        <v>6240000</v>
      </c>
      <c r="L3037" s="5">
        <f>ROUND(tblSales[[#This Row],[DPP (excl. VAT)]]*VATEff,0)</f>
        <v>686400</v>
      </c>
      <c r="M3037" s="5">
        <f>tblSales[[#This Row],[DPP (excl. VAT)]]+tblSales[[#This Row],[Output VAT]]</f>
        <v>6926400</v>
      </c>
      <c r="N3037" s="5">
        <f>tblSales[[#This Row],[Qty]]*_xlfn.XLOOKUP(tblSales[[#This Row],[Product Code]],tblProducts[Code],tblProducts[Unit Cost],0)</f>
        <v>3552000</v>
      </c>
      <c r="O3037" s="4" t="s">
        <v>4867</v>
      </c>
      <c r="P3037" s="4" t="s">
        <v>4860</v>
      </c>
      <c r="Q3037" s="1" t="str">
        <f>_xlfn.XLOOKUP(tblSales[[#This Row],[Channel Code]],tblChannels[Channel Code],tblChannels[Channel Name],"")</f>
        <v>In-store</v>
      </c>
      <c r="R3037" s="1">
        <f>MONTH(tblSales[[#This Row],[Date]])</f>
        <v>7</v>
      </c>
    </row>
    <row r="3038" spans="2:18" x14ac:dyDescent="0.35">
      <c r="B3038" s="113">
        <v>46204</v>
      </c>
      <c r="C3038" s="4" t="s">
        <v>2024</v>
      </c>
      <c r="D3038" s="4" t="s">
        <v>4568</v>
      </c>
      <c r="E3038" s="1" t="str">
        <f>_xlfn.XLOOKUP(tblSales[[#This Row],[Customer ID]],tblCustomers[Customer ID],tblCustomers[Customer Name],"⚠ Unknown")</f>
        <v>Walk-in Customer</v>
      </c>
      <c r="F3038" s="4" t="s">
        <v>15</v>
      </c>
      <c r="G3038" s="1" t="str">
        <f>_xlfn.XLOOKUP(tblSales[[#This Row],[Product Code]],tblProducts[Code],tblProducts[Product / Service Name],"⚠ Unknown")</f>
        <v>Wireless Earbuds Pro</v>
      </c>
      <c r="H3038" s="1" t="str">
        <f>_xlfn.XLOOKUP(tblSales[[#This Row],[Product Code]],tblProducts[Code],tblProducts[Category],"")</f>
        <v>Bags &amp; Gadgets</v>
      </c>
      <c r="I3038" s="4">
        <v>3</v>
      </c>
      <c r="J3038" s="5">
        <f>_xlfn.XLOOKUP(tblSales[[#This Row],[Product Code]],tblProducts[Code],tblProducts[Selling Price (excl. VAT)],0)</f>
        <v>1250000</v>
      </c>
      <c r="K3038" s="5">
        <f>tblSales[[#This Row],[Qty]]*tblSales[[#This Row],[Unit Price]]</f>
        <v>3750000</v>
      </c>
      <c r="L3038" s="5">
        <f>ROUND(tblSales[[#This Row],[DPP (excl. VAT)]]*VATEff,0)</f>
        <v>412500</v>
      </c>
      <c r="M3038" s="5">
        <f>tblSales[[#This Row],[DPP (excl. VAT)]]+tblSales[[#This Row],[Output VAT]]</f>
        <v>4162500</v>
      </c>
      <c r="N3038" s="5">
        <f>tblSales[[#This Row],[Qty]]*_xlfn.XLOOKUP(tblSales[[#This Row],[Product Code]],tblProducts[Code],tblProducts[Unit Cost],0)</f>
        <v>2460000</v>
      </c>
      <c r="O3038" s="4" t="s">
        <v>4865</v>
      </c>
      <c r="P3038" s="4" t="s">
        <v>4860</v>
      </c>
      <c r="Q3038" s="1" t="str">
        <f>_xlfn.XLOOKUP(tblSales[[#This Row],[Channel Code]],tblChannels[Channel Code],tblChannels[Channel Name],"")</f>
        <v>In-store</v>
      </c>
      <c r="R3038" s="1">
        <f>MONTH(tblSales[[#This Row],[Date]])</f>
        <v>7</v>
      </c>
    </row>
    <row r="3039" spans="2:18" x14ac:dyDescent="0.35">
      <c r="B3039" s="113">
        <v>46204</v>
      </c>
      <c r="C3039" s="4" t="s">
        <v>2025</v>
      </c>
      <c r="D3039" s="4" t="s">
        <v>4568</v>
      </c>
      <c r="E3039" s="1" t="str">
        <f>_xlfn.XLOOKUP(tblSales[[#This Row],[Customer ID]],tblCustomers[Customer ID],tblCustomers[Customer Name],"⚠ Unknown")</f>
        <v>Walk-in Customer</v>
      </c>
      <c r="F3039" s="4" t="s">
        <v>14</v>
      </c>
      <c r="G3039" s="1" t="str">
        <f>_xlfn.XLOOKUP(tblSales[[#This Row],[Product Code]],tblProducts[Code],tblProducts[Product / Service Name],"⚠ Unknown")</f>
        <v>Smartwatch</v>
      </c>
      <c r="H3039" s="1" t="str">
        <f>_xlfn.XLOOKUP(tblSales[[#This Row],[Product Code]],tblProducts[Code],tblProducts[Category],"")</f>
        <v>Bags &amp; Gadgets</v>
      </c>
      <c r="I3039" s="4">
        <v>3</v>
      </c>
      <c r="J3039" s="5">
        <f>_xlfn.XLOOKUP(tblSales[[#This Row],[Product Code]],tblProducts[Code],tblProducts[Selling Price (excl. VAT)],0)</f>
        <v>850000</v>
      </c>
      <c r="K3039" s="5">
        <f>tblSales[[#This Row],[Qty]]*tblSales[[#This Row],[Unit Price]]</f>
        <v>2550000</v>
      </c>
      <c r="L3039" s="5">
        <f>ROUND(tblSales[[#This Row],[DPP (excl. VAT)]]*VATEff,0)</f>
        <v>280500</v>
      </c>
      <c r="M3039" s="5">
        <f>tblSales[[#This Row],[DPP (excl. VAT)]]+tblSales[[#This Row],[Output VAT]]</f>
        <v>2830500</v>
      </c>
      <c r="N3039" s="5">
        <f>tblSales[[#This Row],[Qty]]*_xlfn.XLOOKUP(tblSales[[#This Row],[Product Code]],tblProducts[Code],tblProducts[Unit Cost],0)</f>
        <v>1680000</v>
      </c>
      <c r="O3039" s="4" t="s">
        <v>4865</v>
      </c>
      <c r="P3039" s="4" t="s">
        <v>4860</v>
      </c>
      <c r="Q3039" s="1" t="str">
        <f>_xlfn.XLOOKUP(tblSales[[#This Row],[Channel Code]],tblChannels[Channel Code],tblChannels[Channel Name],"")</f>
        <v>In-store</v>
      </c>
      <c r="R3039" s="1">
        <f>MONTH(tblSales[[#This Row],[Date]])</f>
        <v>7</v>
      </c>
    </row>
    <row r="3040" spans="2:18" x14ac:dyDescent="0.35">
      <c r="B3040" s="113">
        <v>46204</v>
      </c>
      <c r="C3040" s="4" t="s">
        <v>2026</v>
      </c>
      <c r="D3040" s="4" t="s">
        <v>4568</v>
      </c>
      <c r="E3040" s="1" t="str">
        <f>_xlfn.XLOOKUP(tblSales[[#This Row],[Customer ID]],tblCustomers[Customer ID],tblCustomers[Customer Name],"⚠ Unknown")</f>
        <v>Walk-in Customer</v>
      </c>
      <c r="F3040" s="4" t="s">
        <v>7</v>
      </c>
      <c r="G3040" s="1" t="str">
        <f>_xlfn.XLOOKUP(tblSales[[#This Row],[Product Code]],tblProducts[Code],tblProducts[Product / Service Name],"⚠ Unknown")</f>
        <v>Premium Basic T-shirt</v>
      </c>
      <c r="H3040" s="1" t="str">
        <f>_xlfn.XLOOKUP(tblSales[[#This Row],[Product Code]],tblProducts[Code],tblProducts[Category],"")</f>
        <v>Accessories &amp; Basics</v>
      </c>
      <c r="I3040" s="4">
        <v>12</v>
      </c>
      <c r="J3040" s="5">
        <f>_xlfn.XLOOKUP(tblSales[[#This Row],[Product Code]],tblProducts[Code],tblProducts[Selling Price (excl. VAT)],0)</f>
        <v>65000</v>
      </c>
      <c r="K3040" s="5">
        <f>tblSales[[#This Row],[Qty]]*tblSales[[#This Row],[Unit Price]]</f>
        <v>780000</v>
      </c>
      <c r="L3040" s="5">
        <f>ROUND(tblSales[[#This Row],[DPP (excl. VAT)]]*VATEff,0)</f>
        <v>85800</v>
      </c>
      <c r="M3040" s="5">
        <f>tblSales[[#This Row],[DPP (excl. VAT)]]+tblSales[[#This Row],[Output VAT]]</f>
        <v>865800</v>
      </c>
      <c r="N3040" s="5">
        <f>tblSales[[#This Row],[Qty]]*_xlfn.XLOOKUP(tblSales[[#This Row],[Product Code]],tblProducts[Code],tblProducts[Unit Cost],0)</f>
        <v>444000</v>
      </c>
      <c r="O3040" s="4" t="s">
        <v>4865</v>
      </c>
      <c r="P3040" s="4" t="s">
        <v>4860</v>
      </c>
      <c r="Q3040" s="1" t="str">
        <f>_xlfn.XLOOKUP(tblSales[[#This Row],[Channel Code]],tblChannels[Channel Code],tblChannels[Channel Name],"")</f>
        <v>In-store</v>
      </c>
      <c r="R3040" s="1">
        <f>MONTH(tblSales[[#This Row],[Date]])</f>
        <v>7</v>
      </c>
    </row>
    <row r="3041" spans="2:18" x14ac:dyDescent="0.35">
      <c r="B3041" s="113">
        <v>46204</v>
      </c>
      <c r="C3041" s="4" t="s">
        <v>2026</v>
      </c>
      <c r="D3041" s="4" t="s">
        <v>4568</v>
      </c>
      <c r="E3041" s="1" t="str">
        <f>_xlfn.XLOOKUP(tblSales[[#This Row],[Customer ID]],tblCustomers[Customer ID],tblCustomers[Customer Name],"⚠ Unknown")</f>
        <v>Walk-in Customer</v>
      </c>
      <c r="F3041" s="4" t="s">
        <v>11</v>
      </c>
      <c r="G3041" s="1" t="str">
        <f>_xlfn.XLOOKUP(tblSales[[#This Row],[Product Code]],tblProducts[Code],tblProducts[Product / Service Name],"⚠ Unknown")</f>
        <v>Sneakers</v>
      </c>
      <c r="H3041" s="1" t="str">
        <f>_xlfn.XLOOKUP(tblSales[[#This Row],[Product Code]],tblProducts[Code],tblProducts[Category],"")</f>
        <v>Apparel &amp; Footwear</v>
      </c>
      <c r="I3041" s="4">
        <v>3</v>
      </c>
      <c r="J3041" s="5">
        <f>_xlfn.XLOOKUP(tblSales[[#This Row],[Product Code]],tblProducts[Code],tblProducts[Selling Price (excl. VAT)],0)</f>
        <v>250000</v>
      </c>
      <c r="K3041" s="5">
        <f>tblSales[[#This Row],[Qty]]*tblSales[[#This Row],[Unit Price]]</f>
        <v>750000</v>
      </c>
      <c r="L3041" s="5">
        <f>ROUND(tblSales[[#This Row],[DPP (excl. VAT)]]*VATEff,0)</f>
        <v>82500</v>
      </c>
      <c r="M3041" s="5">
        <f>tblSales[[#This Row],[DPP (excl. VAT)]]+tblSales[[#This Row],[Output VAT]]</f>
        <v>832500</v>
      </c>
      <c r="N3041" s="5">
        <f>tblSales[[#This Row],[Qty]]*_xlfn.XLOOKUP(tblSales[[#This Row],[Product Code]],tblProducts[Code],tblProducts[Unit Cost],0)</f>
        <v>465000</v>
      </c>
      <c r="O3041" s="4" t="s">
        <v>4865</v>
      </c>
      <c r="P3041" s="4" t="s">
        <v>4860</v>
      </c>
      <c r="Q3041" s="1" t="str">
        <f>_xlfn.XLOOKUP(tblSales[[#This Row],[Channel Code]],tblChannels[Channel Code],tblChannels[Channel Name],"")</f>
        <v>In-store</v>
      </c>
      <c r="R3041" s="1">
        <f>MONTH(tblSales[[#This Row],[Date]])</f>
        <v>7</v>
      </c>
    </row>
    <row r="3042" spans="2:18" x14ac:dyDescent="0.35">
      <c r="B3042" s="113">
        <v>46204</v>
      </c>
      <c r="C3042" s="4" t="s">
        <v>2026</v>
      </c>
      <c r="D3042" s="4" t="s">
        <v>4568</v>
      </c>
      <c r="E3042" s="1" t="str">
        <f>_xlfn.XLOOKUP(tblSales[[#This Row],[Customer ID]],tblCustomers[Customer ID],tblCustomers[Customer Name],"⚠ Unknown")</f>
        <v>Walk-in Customer</v>
      </c>
      <c r="F3042" s="4" t="s">
        <v>8</v>
      </c>
      <c r="G3042" s="1" t="str">
        <f>_xlfn.XLOOKUP(tblSales[[#This Row],[Product Code]],tblProducts[Code],tblProducts[Product / Service Name],"⚠ Unknown")</f>
        <v>Casual Shorts</v>
      </c>
      <c r="H3042" s="1" t="str">
        <f>_xlfn.XLOOKUP(tblSales[[#This Row],[Product Code]],tblProducts[Code],tblProducts[Category],"")</f>
        <v>Accessories &amp; Basics</v>
      </c>
      <c r="I3042" s="4">
        <v>11</v>
      </c>
      <c r="J3042" s="5">
        <f>_xlfn.XLOOKUP(tblSales[[#This Row],[Product Code]],tblProducts[Code],tblProducts[Selling Price (excl. VAT)],0)</f>
        <v>85000</v>
      </c>
      <c r="K3042" s="5">
        <f>tblSales[[#This Row],[Qty]]*tblSales[[#This Row],[Unit Price]]</f>
        <v>935000</v>
      </c>
      <c r="L3042" s="5">
        <f>ROUND(tblSales[[#This Row],[DPP (excl. VAT)]]*VATEff,0)</f>
        <v>102850</v>
      </c>
      <c r="M3042" s="5">
        <f>tblSales[[#This Row],[DPP (excl. VAT)]]+tblSales[[#This Row],[Output VAT]]</f>
        <v>1037850</v>
      </c>
      <c r="N3042" s="5">
        <f>tblSales[[#This Row],[Qty]]*_xlfn.XLOOKUP(tblSales[[#This Row],[Product Code]],tblProducts[Code],tblProducts[Unit Cost],0)</f>
        <v>550000</v>
      </c>
      <c r="O3042" s="4" t="s">
        <v>4865</v>
      </c>
      <c r="P3042" s="4" t="s">
        <v>4860</v>
      </c>
      <c r="Q3042" s="1" t="str">
        <f>_xlfn.XLOOKUP(tblSales[[#This Row],[Channel Code]],tblChannels[Channel Code],tblChannels[Channel Name],"")</f>
        <v>In-store</v>
      </c>
      <c r="R3042" s="1">
        <f>MONTH(tblSales[[#This Row],[Date]])</f>
        <v>7</v>
      </c>
    </row>
    <row r="3043" spans="2:18" x14ac:dyDescent="0.35">
      <c r="B3043" s="113">
        <v>46205</v>
      </c>
      <c r="C3043" s="4" t="s">
        <v>2027</v>
      </c>
      <c r="D3043" s="4" t="s">
        <v>4585</v>
      </c>
      <c r="E3043" s="1" t="str">
        <f>_xlfn.XLOOKUP(tblSales[[#This Row],[Customer ID]],tblCustomers[Customer ID],tblCustomers[Customer Name],"⚠ Unknown")</f>
        <v>CV Mitra Karya Mandiri</v>
      </c>
      <c r="F3043" s="4" t="s">
        <v>7</v>
      </c>
      <c r="G3043" s="1" t="str">
        <f>_xlfn.XLOOKUP(tblSales[[#This Row],[Product Code]],tblProducts[Code],tblProducts[Product / Service Name],"⚠ Unknown")</f>
        <v>Premium Basic T-shirt</v>
      </c>
      <c r="H3043" s="1" t="str">
        <f>_xlfn.XLOOKUP(tblSales[[#This Row],[Product Code]],tblProducts[Code],tblProducts[Category],"")</f>
        <v>Accessories &amp; Basics</v>
      </c>
      <c r="I3043" s="4">
        <v>72</v>
      </c>
      <c r="J3043" s="5">
        <f>_xlfn.XLOOKUP(tblSales[[#This Row],[Product Code]],tblProducts[Code],tblProducts[Selling Price (excl. VAT)],0)</f>
        <v>65000</v>
      </c>
      <c r="K3043" s="5">
        <f>tblSales[[#This Row],[Qty]]*tblSales[[#This Row],[Unit Price]]</f>
        <v>4680000</v>
      </c>
      <c r="L3043" s="5">
        <f>ROUND(tblSales[[#This Row],[DPP (excl. VAT)]]*VATEff,0)</f>
        <v>514800</v>
      </c>
      <c r="M3043" s="5">
        <f>tblSales[[#This Row],[DPP (excl. VAT)]]+tblSales[[#This Row],[Output VAT]]</f>
        <v>5194800</v>
      </c>
      <c r="N3043" s="5">
        <f>tblSales[[#This Row],[Qty]]*_xlfn.XLOOKUP(tblSales[[#This Row],[Product Code]],tblProducts[Code],tblProducts[Unit Cost],0)</f>
        <v>2664000</v>
      </c>
      <c r="O3043" s="4" t="s">
        <v>4867</v>
      </c>
      <c r="P3043" s="4" t="s">
        <v>4862</v>
      </c>
      <c r="Q3043" s="1" t="str">
        <f>_xlfn.XLOOKUP(tblSales[[#This Row],[Channel Code]],tblChannels[Channel Code],tblChannels[Channel Name],"")</f>
        <v>Website &amp; Social Media</v>
      </c>
      <c r="R3043" s="1">
        <f>MONTH(tblSales[[#This Row],[Date]])</f>
        <v>7</v>
      </c>
    </row>
    <row r="3044" spans="2:18" x14ac:dyDescent="0.35">
      <c r="B3044" s="113">
        <v>46205</v>
      </c>
      <c r="C3044" s="4" t="s">
        <v>2028</v>
      </c>
      <c r="D3044" s="4" t="s">
        <v>4627</v>
      </c>
      <c r="E3044" s="1" t="str">
        <f>_xlfn.XLOOKUP(tblSales[[#This Row],[Customer ID]],tblCustomers[Customer ID],tblCustomers[Customer Name],"⚠ Unknown")</f>
        <v>PT Kencana Wira Usaha</v>
      </c>
      <c r="F3044" s="4" t="s">
        <v>6</v>
      </c>
      <c r="G3044" s="1" t="str">
        <f>_xlfn.XLOOKUP(tblSales[[#This Row],[Product Code]],tblProducts[Code],tblProducts[Product / Service Name],"⚠ Unknown")</f>
        <v>Socks &amp; Accessories</v>
      </c>
      <c r="H3044" s="1" t="str">
        <f>_xlfn.XLOOKUP(tblSales[[#This Row],[Product Code]],tblProducts[Code],tblProducts[Category],"")</f>
        <v>Accessories &amp; Basics</v>
      </c>
      <c r="I3044" s="4">
        <v>72</v>
      </c>
      <c r="J3044" s="5">
        <f>_xlfn.XLOOKUP(tblSales[[#This Row],[Product Code]],tblProducts[Code],tblProducts[Selling Price (excl. VAT)],0)</f>
        <v>45000</v>
      </c>
      <c r="K3044" s="5">
        <f>tblSales[[#This Row],[Qty]]*tblSales[[#This Row],[Unit Price]]</f>
        <v>3240000</v>
      </c>
      <c r="L3044" s="5">
        <f>ROUND(tblSales[[#This Row],[DPP (excl. VAT)]]*VATEff,0)</f>
        <v>356400</v>
      </c>
      <c r="M3044" s="5">
        <f>tblSales[[#This Row],[DPP (excl. VAT)]]+tblSales[[#This Row],[Output VAT]]</f>
        <v>3596400</v>
      </c>
      <c r="N3044" s="5">
        <f>tblSales[[#This Row],[Qty]]*_xlfn.XLOOKUP(tblSales[[#This Row],[Product Code]],tblProducts[Code],tblProducts[Unit Cost],0)</f>
        <v>1728000</v>
      </c>
      <c r="O3044" s="4" t="s">
        <v>4867</v>
      </c>
      <c r="P3044" s="4" t="s">
        <v>4860</v>
      </c>
      <c r="Q3044" s="1" t="str">
        <f>_xlfn.XLOOKUP(tblSales[[#This Row],[Channel Code]],tblChannels[Channel Code],tblChannels[Channel Name],"")</f>
        <v>In-store</v>
      </c>
      <c r="R3044" s="1">
        <f>MONTH(tblSales[[#This Row],[Date]])</f>
        <v>7</v>
      </c>
    </row>
    <row r="3045" spans="2:18" x14ac:dyDescent="0.35">
      <c r="B3045" s="113">
        <v>46205</v>
      </c>
      <c r="C3045" s="4" t="s">
        <v>2028</v>
      </c>
      <c r="D3045" s="4" t="s">
        <v>4627</v>
      </c>
      <c r="E3045" s="1" t="str">
        <f>_xlfn.XLOOKUP(tblSales[[#This Row],[Customer ID]],tblCustomers[Customer ID],tblCustomers[Customer Name],"⚠ Unknown")</f>
        <v>PT Kencana Wira Usaha</v>
      </c>
      <c r="F3045" s="4" t="s">
        <v>13</v>
      </c>
      <c r="G3045" s="1" t="str">
        <f>_xlfn.XLOOKUP(tblSales[[#This Row],[Product Code]],tblProducts[Code],tblProducts[Product / Service Name],"⚠ Unknown")</f>
        <v>Backpack</v>
      </c>
      <c r="H3045" s="1" t="str">
        <f>_xlfn.XLOOKUP(tblSales[[#This Row],[Product Code]],tblProducts[Code],tblProducts[Category],"")</f>
        <v>Bags &amp; Gadgets</v>
      </c>
      <c r="I3045" s="4">
        <v>8</v>
      </c>
      <c r="J3045" s="5">
        <f>_xlfn.XLOOKUP(tblSales[[#This Row],[Product Code]],tblProducts[Code],tblProducts[Selling Price (excl. VAT)],0)</f>
        <v>500000</v>
      </c>
      <c r="K3045" s="5">
        <f>tblSales[[#This Row],[Qty]]*tblSales[[#This Row],[Unit Price]]</f>
        <v>4000000</v>
      </c>
      <c r="L3045" s="5">
        <f>ROUND(tblSales[[#This Row],[DPP (excl. VAT)]]*VATEff,0)</f>
        <v>440000</v>
      </c>
      <c r="M3045" s="5">
        <f>tblSales[[#This Row],[DPP (excl. VAT)]]+tblSales[[#This Row],[Output VAT]]</f>
        <v>4440000</v>
      </c>
      <c r="N3045" s="5">
        <f>tblSales[[#This Row],[Qty]]*_xlfn.XLOOKUP(tblSales[[#This Row],[Product Code]],tblProducts[Code],tblProducts[Unit Cost],0)</f>
        <v>2320000</v>
      </c>
      <c r="O3045" s="4" t="s">
        <v>4867</v>
      </c>
      <c r="P3045" s="4" t="s">
        <v>4860</v>
      </c>
      <c r="Q3045" s="1" t="str">
        <f>_xlfn.XLOOKUP(tblSales[[#This Row],[Channel Code]],tblChannels[Channel Code],tblChannels[Channel Name],"")</f>
        <v>In-store</v>
      </c>
      <c r="R3045" s="1">
        <f>MONTH(tblSales[[#This Row],[Date]])</f>
        <v>7</v>
      </c>
    </row>
    <row r="3046" spans="2:18" x14ac:dyDescent="0.35">
      <c r="B3046" s="113">
        <v>46205</v>
      </c>
      <c r="C3046" s="4" t="s">
        <v>2028</v>
      </c>
      <c r="D3046" s="4" t="s">
        <v>4627</v>
      </c>
      <c r="E3046" s="1" t="str">
        <f>_xlfn.XLOOKUP(tblSales[[#This Row],[Customer ID]],tblCustomers[Customer ID],tblCustomers[Customer Name],"⚠ Unknown")</f>
        <v>PT Kencana Wira Usaha</v>
      </c>
      <c r="F3046" s="4" t="s">
        <v>12</v>
      </c>
      <c r="G3046" s="1" t="str">
        <f>_xlfn.XLOOKUP(tblSales[[#This Row],[Product Code]],tblProducts[Code],tblProducts[Product / Service Name],"⚠ Unknown")</f>
        <v>Bomber Jacket</v>
      </c>
      <c r="H3046" s="1" t="str">
        <f>_xlfn.XLOOKUP(tblSales[[#This Row],[Product Code]],tblProducts[Code],tblProducts[Category],"")</f>
        <v>Apparel &amp; Footwear</v>
      </c>
      <c r="I3046" s="4">
        <v>48</v>
      </c>
      <c r="J3046" s="5">
        <f>_xlfn.XLOOKUP(tblSales[[#This Row],[Product Code]],tblProducts[Code],tblProducts[Selling Price (excl. VAT)],0)</f>
        <v>350000</v>
      </c>
      <c r="K3046" s="5">
        <f>tblSales[[#This Row],[Qty]]*tblSales[[#This Row],[Unit Price]]</f>
        <v>16800000</v>
      </c>
      <c r="L3046" s="5">
        <f>ROUND(tblSales[[#This Row],[DPP (excl. VAT)]]*VATEff,0)</f>
        <v>1848000</v>
      </c>
      <c r="M3046" s="5">
        <f>tblSales[[#This Row],[DPP (excl. VAT)]]+tblSales[[#This Row],[Output VAT]]</f>
        <v>18648000</v>
      </c>
      <c r="N3046" s="5">
        <f>tblSales[[#This Row],[Qty]]*_xlfn.XLOOKUP(tblSales[[#This Row],[Product Code]],tblProducts[Code],tblProducts[Unit Cost],0)</f>
        <v>10080000</v>
      </c>
      <c r="O3046" s="4" t="s">
        <v>4867</v>
      </c>
      <c r="P3046" s="4" t="s">
        <v>4860</v>
      </c>
      <c r="Q3046" s="1" t="str">
        <f>_xlfn.XLOOKUP(tblSales[[#This Row],[Channel Code]],tblChannels[Channel Code],tblChannels[Channel Name],"")</f>
        <v>In-store</v>
      </c>
      <c r="R3046" s="1">
        <f>MONTH(tblSales[[#This Row],[Date]])</f>
        <v>7</v>
      </c>
    </row>
    <row r="3047" spans="2:18" x14ac:dyDescent="0.35">
      <c r="B3047" s="113">
        <v>46205</v>
      </c>
      <c r="C3047" s="4" t="s">
        <v>2029</v>
      </c>
      <c r="D3047" s="4" t="s">
        <v>4568</v>
      </c>
      <c r="E3047" s="1" t="str">
        <f>_xlfn.XLOOKUP(tblSales[[#This Row],[Customer ID]],tblCustomers[Customer ID],tblCustomers[Customer Name],"⚠ Unknown")</f>
        <v>Walk-in Customer</v>
      </c>
      <c r="F3047" s="4" t="s">
        <v>10</v>
      </c>
      <c r="G3047" s="1" t="str">
        <f>_xlfn.XLOOKUP(tblSales[[#This Row],[Product Code]],tblProducts[Code],tblProducts[Product / Service Name],"⚠ Unknown")</f>
        <v>Chino Pants</v>
      </c>
      <c r="H3047" s="1" t="str">
        <f>_xlfn.XLOOKUP(tblSales[[#This Row],[Product Code]],tblProducts[Code],tblProducts[Category],"")</f>
        <v>Apparel &amp; Footwear</v>
      </c>
      <c r="I3047" s="4">
        <v>9</v>
      </c>
      <c r="J3047" s="5">
        <f>_xlfn.XLOOKUP(tblSales[[#This Row],[Product Code]],tblProducts[Code],tblProducts[Selling Price (excl. VAT)],0)</f>
        <v>150000</v>
      </c>
      <c r="K3047" s="5">
        <f>tblSales[[#This Row],[Qty]]*tblSales[[#This Row],[Unit Price]]</f>
        <v>1350000</v>
      </c>
      <c r="L3047" s="5">
        <f>ROUND(tblSales[[#This Row],[DPP (excl. VAT)]]*VATEff,0)</f>
        <v>148500</v>
      </c>
      <c r="M3047" s="5">
        <f>tblSales[[#This Row],[DPP (excl. VAT)]]+tblSales[[#This Row],[Output VAT]]</f>
        <v>1498500</v>
      </c>
      <c r="N3047" s="5">
        <f>tblSales[[#This Row],[Qty]]*_xlfn.XLOOKUP(tblSales[[#This Row],[Product Code]],tblProducts[Code],tblProducts[Unit Cost],0)</f>
        <v>792000</v>
      </c>
      <c r="O3047" s="4" t="s">
        <v>4866</v>
      </c>
      <c r="P3047" s="4" t="s">
        <v>4861</v>
      </c>
      <c r="Q3047" s="1" t="str">
        <f>_xlfn.XLOOKUP(tblSales[[#This Row],[Channel Code]],tblChannels[Channel Code],tblChannels[Channel Name],"")</f>
        <v>Marketplace</v>
      </c>
      <c r="R3047" s="1">
        <f>MONTH(tblSales[[#This Row],[Date]])</f>
        <v>7</v>
      </c>
    </row>
    <row r="3048" spans="2:18" x14ac:dyDescent="0.35">
      <c r="B3048" s="113">
        <v>46205</v>
      </c>
      <c r="C3048" s="4" t="s">
        <v>2030</v>
      </c>
      <c r="D3048" s="4" t="s">
        <v>4568</v>
      </c>
      <c r="E3048" s="1" t="str">
        <f>_xlfn.XLOOKUP(tblSales[[#This Row],[Customer ID]],tblCustomers[Customer ID],tblCustomers[Customer Name],"⚠ Unknown")</f>
        <v>Walk-in Customer</v>
      </c>
      <c r="F3048" s="4" t="s">
        <v>11</v>
      </c>
      <c r="G3048" s="1" t="str">
        <f>_xlfn.XLOOKUP(tblSales[[#This Row],[Product Code]],tblProducts[Code],tblProducts[Product / Service Name],"⚠ Unknown")</f>
        <v>Sneakers</v>
      </c>
      <c r="H3048" s="1" t="str">
        <f>_xlfn.XLOOKUP(tblSales[[#This Row],[Product Code]],tblProducts[Code],tblProducts[Category],"")</f>
        <v>Apparel &amp; Footwear</v>
      </c>
      <c r="I3048" s="4">
        <v>2</v>
      </c>
      <c r="J3048" s="5">
        <f>_xlfn.XLOOKUP(tblSales[[#This Row],[Product Code]],tblProducts[Code],tblProducts[Selling Price (excl. VAT)],0)</f>
        <v>250000</v>
      </c>
      <c r="K3048" s="5">
        <f>tblSales[[#This Row],[Qty]]*tblSales[[#This Row],[Unit Price]]</f>
        <v>500000</v>
      </c>
      <c r="L3048" s="5">
        <f>ROUND(tblSales[[#This Row],[DPP (excl. VAT)]]*VATEff,0)</f>
        <v>55000</v>
      </c>
      <c r="M3048" s="5">
        <f>tblSales[[#This Row],[DPP (excl. VAT)]]+tblSales[[#This Row],[Output VAT]]</f>
        <v>555000</v>
      </c>
      <c r="N3048" s="5">
        <f>tblSales[[#This Row],[Qty]]*_xlfn.XLOOKUP(tblSales[[#This Row],[Product Code]],tblProducts[Code],tblProducts[Unit Cost],0)</f>
        <v>310000</v>
      </c>
      <c r="O3048" s="4" t="s">
        <v>4866</v>
      </c>
      <c r="P3048" s="4" t="s">
        <v>4860</v>
      </c>
      <c r="Q3048" s="1" t="str">
        <f>_xlfn.XLOOKUP(tblSales[[#This Row],[Channel Code]],tblChannels[Channel Code],tblChannels[Channel Name],"")</f>
        <v>In-store</v>
      </c>
      <c r="R3048" s="1">
        <f>MONTH(tblSales[[#This Row],[Date]])</f>
        <v>7</v>
      </c>
    </row>
    <row r="3049" spans="2:18" x14ac:dyDescent="0.35">
      <c r="B3049" s="113">
        <v>46205</v>
      </c>
      <c r="C3049" s="4" t="s">
        <v>2031</v>
      </c>
      <c r="D3049" s="4" t="s">
        <v>4568</v>
      </c>
      <c r="E3049" s="1" t="str">
        <f>_xlfn.XLOOKUP(tblSales[[#This Row],[Customer ID]],tblCustomers[Customer ID],tblCustomers[Customer Name],"⚠ Unknown")</f>
        <v>Walk-in Customer</v>
      </c>
      <c r="F3049" s="4" t="s">
        <v>12</v>
      </c>
      <c r="G3049" s="1" t="str">
        <f>_xlfn.XLOOKUP(tblSales[[#This Row],[Product Code]],tblProducts[Code],tblProducts[Product / Service Name],"⚠ Unknown")</f>
        <v>Bomber Jacket</v>
      </c>
      <c r="H3049" s="1" t="str">
        <f>_xlfn.XLOOKUP(tblSales[[#This Row],[Product Code]],tblProducts[Code],tblProducts[Category],"")</f>
        <v>Apparel &amp; Footwear</v>
      </c>
      <c r="I3049" s="4">
        <v>2</v>
      </c>
      <c r="J3049" s="5">
        <f>_xlfn.XLOOKUP(tblSales[[#This Row],[Product Code]],tblProducts[Code],tblProducts[Selling Price (excl. VAT)],0)</f>
        <v>350000</v>
      </c>
      <c r="K3049" s="5">
        <f>tblSales[[#This Row],[Qty]]*tblSales[[#This Row],[Unit Price]]</f>
        <v>700000</v>
      </c>
      <c r="L3049" s="5">
        <f>ROUND(tblSales[[#This Row],[DPP (excl. VAT)]]*VATEff,0)</f>
        <v>77000</v>
      </c>
      <c r="M3049" s="5">
        <f>tblSales[[#This Row],[DPP (excl. VAT)]]+tblSales[[#This Row],[Output VAT]]</f>
        <v>777000</v>
      </c>
      <c r="N3049" s="5">
        <f>tblSales[[#This Row],[Qty]]*_xlfn.XLOOKUP(tblSales[[#This Row],[Product Code]],tblProducts[Code],tblProducts[Unit Cost],0)</f>
        <v>420000</v>
      </c>
      <c r="O3049" s="4" t="s">
        <v>4866</v>
      </c>
      <c r="P3049" s="4" t="s">
        <v>4861</v>
      </c>
      <c r="Q3049" s="1" t="str">
        <f>_xlfn.XLOOKUP(tblSales[[#This Row],[Channel Code]],tblChannels[Channel Code],tblChannels[Channel Name],"")</f>
        <v>Marketplace</v>
      </c>
      <c r="R3049" s="1">
        <f>MONTH(tblSales[[#This Row],[Date]])</f>
        <v>7</v>
      </c>
    </row>
    <row r="3050" spans="2:18" x14ac:dyDescent="0.35">
      <c r="B3050" s="113">
        <v>46205</v>
      </c>
      <c r="C3050" s="4" t="s">
        <v>2032</v>
      </c>
      <c r="D3050" s="4" t="s">
        <v>4568</v>
      </c>
      <c r="E3050" s="1" t="str">
        <f>_xlfn.XLOOKUP(tblSales[[#This Row],[Customer ID]],tblCustomers[Customer ID],tblCustomers[Customer Name],"⚠ Unknown")</f>
        <v>Walk-in Customer</v>
      </c>
      <c r="F3050" s="4" t="s">
        <v>7</v>
      </c>
      <c r="G3050" s="1" t="str">
        <f>_xlfn.XLOOKUP(tblSales[[#This Row],[Product Code]],tblProducts[Code],tblProducts[Product / Service Name],"⚠ Unknown")</f>
        <v>Premium Basic T-shirt</v>
      </c>
      <c r="H3050" s="1" t="str">
        <f>_xlfn.XLOOKUP(tblSales[[#This Row],[Product Code]],tblProducts[Code],tblProducts[Category],"")</f>
        <v>Accessories &amp; Basics</v>
      </c>
      <c r="I3050" s="4">
        <v>4</v>
      </c>
      <c r="J3050" s="5">
        <f>_xlfn.XLOOKUP(tblSales[[#This Row],[Product Code]],tblProducts[Code],tblProducts[Selling Price (excl. VAT)],0)</f>
        <v>65000</v>
      </c>
      <c r="K3050" s="5">
        <f>tblSales[[#This Row],[Qty]]*tblSales[[#This Row],[Unit Price]]</f>
        <v>260000</v>
      </c>
      <c r="L3050" s="5">
        <f>ROUND(tblSales[[#This Row],[DPP (excl. VAT)]]*VATEff,0)</f>
        <v>28600</v>
      </c>
      <c r="M3050" s="5">
        <f>tblSales[[#This Row],[DPP (excl. VAT)]]+tblSales[[#This Row],[Output VAT]]</f>
        <v>288600</v>
      </c>
      <c r="N3050" s="5">
        <f>tblSales[[#This Row],[Qty]]*_xlfn.XLOOKUP(tblSales[[#This Row],[Product Code]],tblProducts[Code],tblProducts[Unit Cost],0)</f>
        <v>148000</v>
      </c>
      <c r="O3050" s="4" t="s">
        <v>4865</v>
      </c>
      <c r="P3050" s="4" t="s">
        <v>4860</v>
      </c>
      <c r="Q3050" s="1" t="str">
        <f>_xlfn.XLOOKUP(tblSales[[#This Row],[Channel Code]],tblChannels[Channel Code],tblChannels[Channel Name],"")</f>
        <v>In-store</v>
      </c>
      <c r="R3050" s="1">
        <f>MONTH(tblSales[[#This Row],[Date]])</f>
        <v>7</v>
      </c>
    </row>
    <row r="3051" spans="2:18" x14ac:dyDescent="0.35">
      <c r="B3051" s="113">
        <v>46205</v>
      </c>
      <c r="C3051" s="4" t="s">
        <v>2033</v>
      </c>
      <c r="D3051" s="4" t="s">
        <v>4585</v>
      </c>
      <c r="E3051" s="1" t="str">
        <f>_xlfn.XLOOKUP(tblSales[[#This Row],[Customer ID]],tblCustomers[Customer ID],tblCustomers[Customer Name],"⚠ Unknown")</f>
        <v>CV Mitra Karya Mandiri</v>
      </c>
      <c r="F3051" s="4" t="s">
        <v>6</v>
      </c>
      <c r="G3051" s="1" t="str">
        <f>_xlfn.XLOOKUP(tblSales[[#This Row],[Product Code]],tblProducts[Code],tblProducts[Product / Service Name],"⚠ Unknown")</f>
        <v>Socks &amp; Accessories</v>
      </c>
      <c r="H3051" s="1" t="str">
        <f>_xlfn.XLOOKUP(tblSales[[#This Row],[Product Code]],tblProducts[Code],tblProducts[Category],"")</f>
        <v>Accessories &amp; Basics</v>
      </c>
      <c r="I3051" s="4">
        <v>80</v>
      </c>
      <c r="J3051" s="5">
        <f>_xlfn.XLOOKUP(tblSales[[#This Row],[Product Code]],tblProducts[Code],tblProducts[Selling Price (excl. VAT)],0)</f>
        <v>45000</v>
      </c>
      <c r="K3051" s="5">
        <f>tblSales[[#This Row],[Qty]]*tblSales[[#This Row],[Unit Price]]</f>
        <v>3600000</v>
      </c>
      <c r="L3051" s="5">
        <f>ROUND(tblSales[[#This Row],[DPP (excl. VAT)]]*VATEff,0)</f>
        <v>396000</v>
      </c>
      <c r="M3051" s="5">
        <f>tblSales[[#This Row],[DPP (excl. VAT)]]+tblSales[[#This Row],[Output VAT]]</f>
        <v>3996000</v>
      </c>
      <c r="N3051" s="5">
        <f>tblSales[[#This Row],[Qty]]*_xlfn.XLOOKUP(tblSales[[#This Row],[Product Code]],tblProducts[Code],tblProducts[Unit Cost],0)</f>
        <v>1920000</v>
      </c>
      <c r="O3051" s="4" t="s">
        <v>4867</v>
      </c>
      <c r="P3051" s="4" t="s">
        <v>4860</v>
      </c>
      <c r="Q3051" s="1" t="str">
        <f>_xlfn.XLOOKUP(tblSales[[#This Row],[Channel Code]],tblChannels[Channel Code],tblChannels[Channel Name],"")</f>
        <v>In-store</v>
      </c>
      <c r="R3051" s="1">
        <f>MONTH(tblSales[[#This Row],[Date]])</f>
        <v>7</v>
      </c>
    </row>
    <row r="3052" spans="2:18" x14ac:dyDescent="0.35">
      <c r="B3052" s="113">
        <v>46205</v>
      </c>
      <c r="C3052" s="4" t="s">
        <v>2034</v>
      </c>
      <c r="D3052" s="4" t="s">
        <v>4568</v>
      </c>
      <c r="E3052" s="1" t="str">
        <f>_xlfn.XLOOKUP(tblSales[[#This Row],[Customer ID]],tblCustomers[Customer ID],tblCustomers[Customer Name],"⚠ Unknown")</f>
        <v>Walk-in Customer</v>
      </c>
      <c r="F3052" s="4" t="s">
        <v>8</v>
      </c>
      <c r="G3052" s="1" t="str">
        <f>_xlfn.XLOOKUP(tblSales[[#This Row],[Product Code]],tblProducts[Code],tblProducts[Product / Service Name],"⚠ Unknown")</f>
        <v>Casual Shorts</v>
      </c>
      <c r="H3052" s="1" t="str">
        <f>_xlfn.XLOOKUP(tblSales[[#This Row],[Product Code]],tblProducts[Code],tblProducts[Category],"")</f>
        <v>Accessories &amp; Basics</v>
      </c>
      <c r="I3052" s="4">
        <v>9</v>
      </c>
      <c r="J3052" s="5">
        <f>_xlfn.XLOOKUP(tblSales[[#This Row],[Product Code]],tblProducts[Code],tblProducts[Selling Price (excl. VAT)],0)</f>
        <v>85000</v>
      </c>
      <c r="K3052" s="5">
        <f>tblSales[[#This Row],[Qty]]*tblSales[[#This Row],[Unit Price]]</f>
        <v>765000</v>
      </c>
      <c r="L3052" s="5">
        <f>ROUND(tblSales[[#This Row],[DPP (excl. VAT)]]*VATEff,0)</f>
        <v>84150</v>
      </c>
      <c r="M3052" s="5">
        <f>tblSales[[#This Row],[DPP (excl. VAT)]]+tblSales[[#This Row],[Output VAT]]</f>
        <v>849150</v>
      </c>
      <c r="N3052" s="5">
        <f>tblSales[[#This Row],[Qty]]*_xlfn.XLOOKUP(tblSales[[#This Row],[Product Code]],tblProducts[Code],tblProducts[Unit Cost],0)</f>
        <v>450000</v>
      </c>
      <c r="O3052" s="4" t="s">
        <v>4865</v>
      </c>
      <c r="P3052" s="4" t="s">
        <v>4860</v>
      </c>
      <c r="Q3052" s="1" t="str">
        <f>_xlfn.XLOOKUP(tblSales[[#This Row],[Channel Code]],tblChannels[Channel Code],tblChannels[Channel Name],"")</f>
        <v>In-store</v>
      </c>
      <c r="R3052" s="1">
        <f>MONTH(tblSales[[#This Row],[Date]])</f>
        <v>7</v>
      </c>
    </row>
    <row r="3053" spans="2:18" x14ac:dyDescent="0.35">
      <c r="B3053" s="113">
        <v>46205</v>
      </c>
      <c r="C3053" s="4" t="s">
        <v>2035</v>
      </c>
      <c r="D3053" s="4" t="s">
        <v>4593</v>
      </c>
      <c r="E3053" s="1" t="str">
        <f>_xlfn.XLOOKUP(tblSales[[#This Row],[Customer ID]],tblCustomers[Customer ID],tblCustomers[Customer Name],"⚠ Unknown")</f>
        <v>PT Graha Nusa Persada</v>
      </c>
      <c r="F3053" s="4" t="s">
        <v>6</v>
      </c>
      <c r="G3053" s="1" t="str">
        <f>_xlfn.XLOOKUP(tblSales[[#This Row],[Product Code]],tblProducts[Code],tblProducts[Product / Service Name],"⚠ Unknown")</f>
        <v>Socks &amp; Accessories</v>
      </c>
      <c r="H3053" s="1" t="str">
        <f>_xlfn.XLOOKUP(tblSales[[#This Row],[Product Code]],tblProducts[Code],tblProducts[Category],"")</f>
        <v>Accessories &amp; Basics</v>
      </c>
      <c r="I3053" s="4">
        <v>80</v>
      </c>
      <c r="J3053" s="5">
        <f>_xlfn.XLOOKUP(tblSales[[#This Row],[Product Code]],tblProducts[Code],tblProducts[Selling Price (excl. VAT)],0)</f>
        <v>45000</v>
      </c>
      <c r="K3053" s="5">
        <f>tblSales[[#This Row],[Qty]]*tblSales[[#This Row],[Unit Price]]</f>
        <v>3600000</v>
      </c>
      <c r="L3053" s="5">
        <f>ROUND(tblSales[[#This Row],[DPP (excl. VAT)]]*VATEff,0)</f>
        <v>396000</v>
      </c>
      <c r="M3053" s="5">
        <f>tblSales[[#This Row],[DPP (excl. VAT)]]+tblSales[[#This Row],[Output VAT]]</f>
        <v>3996000</v>
      </c>
      <c r="N3053" s="5">
        <f>tblSales[[#This Row],[Qty]]*_xlfn.XLOOKUP(tblSales[[#This Row],[Product Code]],tblProducts[Code],tblProducts[Unit Cost],0)</f>
        <v>1920000</v>
      </c>
      <c r="O3053" s="4" t="s">
        <v>4867</v>
      </c>
      <c r="P3053" s="4" t="s">
        <v>4860</v>
      </c>
      <c r="Q3053" s="1" t="str">
        <f>_xlfn.XLOOKUP(tblSales[[#This Row],[Channel Code]],tblChannels[Channel Code],tblChannels[Channel Name],"")</f>
        <v>In-store</v>
      </c>
      <c r="R3053" s="1">
        <f>MONTH(tblSales[[#This Row],[Date]])</f>
        <v>7</v>
      </c>
    </row>
    <row r="3054" spans="2:18" x14ac:dyDescent="0.35">
      <c r="B3054" s="113">
        <v>46205</v>
      </c>
      <c r="C3054" s="4" t="s">
        <v>2036</v>
      </c>
      <c r="D3054" s="4" t="s">
        <v>4568</v>
      </c>
      <c r="E3054" s="1" t="str">
        <f>_xlfn.XLOOKUP(tblSales[[#This Row],[Customer ID]],tblCustomers[Customer ID],tblCustomers[Customer Name],"⚠ Unknown")</f>
        <v>Walk-in Customer</v>
      </c>
      <c r="F3054" s="4" t="s">
        <v>12</v>
      </c>
      <c r="G3054" s="1" t="str">
        <f>_xlfn.XLOOKUP(tblSales[[#This Row],[Product Code]],tblProducts[Code],tblProducts[Product / Service Name],"⚠ Unknown")</f>
        <v>Bomber Jacket</v>
      </c>
      <c r="H3054" s="1" t="str">
        <f>_xlfn.XLOOKUP(tblSales[[#This Row],[Product Code]],tblProducts[Code],tblProducts[Category],"")</f>
        <v>Apparel &amp; Footwear</v>
      </c>
      <c r="I3054" s="4">
        <v>6</v>
      </c>
      <c r="J3054" s="5">
        <f>_xlfn.XLOOKUP(tblSales[[#This Row],[Product Code]],tblProducts[Code],tblProducts[Selling Price (excl. VAT)],0)</f>
        <v>350000</v>
      </c>
      <c r="K3054" s="5">
        <f>tblSales[[#This Row],[Qty]]*tblSales[[#This Row],[Unit Price]]</f>
        <v>2100000</v>
      </c>
      <c r="L3054" s="5">
        <f>ROUND(tblSales[[#This Row],[DPP (excl. VAT)]]*VATEff,0)</f>
        <v>231000</v>
      </c>
      <c r="M3054" s="5">
        <f>tblSales[[#This Row],[DPP (excl. VAT)]]+tblSales[[#This Row],[Output VAT]]</f>
        <v>2331000</v>
      </c>
      <c r="N3054" s="5">
        <f>tblSales[[#This Row],[Qty]]*_xlfn.XLOOKUP(tblSales[[#This Row],[Product Code]],tblProducts[Code],tblProducts[Unit Cost],0)</f>
        <v>1260000</v>
      </c>
      <c r="O3054" s="4" t="s">
        <v>4866</v>
      </c>
      <c r="P3054" s="4" t="s">
        <v>4862</v>
      </c>
      <c r="Q3054" s="1" t="str">
        <f>_xlfn.XLOOKUP(tblSales[[#This Row],[Channel Code]],tblChannels[Channel Code],tblChannels[Channel Name],"")</f>
        <v>Website &amp; Social Media</v>
      </c>
      <c r="R3054" s="1">
        <f>MONTH(tblSales[[#This Row],[Date]])</f>
        <v>7</v>
      </c>
    </row>
    <row r="3055" spans="2:18" x14ac:dyDescent="0.35">
      <c r="B3055" s="113">
        <v>46205</v>
      </c>
      <c r="C3055" s="4" t="s">
        <v>2037</v>
      </c>
      <c r="D3055" s="4" t="s">
        <v>4568</v>
      </c>
      <c r="E3055" s="1" t="str">
        <f>_xlfn.XLOOKUP(tblSales[[#This Row],[Customer ID]],tblCustomers[Customer ID],tblCustomers[Customer Name],"⚠ Unknown")</f>
        <v>Walk-in Customer</v>
      </c>
      <c r="F3055" s="4" t="s">
        <v>9</v>
      </c>
      <c r="G3055" s="1" t="str">
        <f>_xlfn.XLOOKUP(tblSales[[#This Row],[Product Code]],tblProducts[Code],tblProducts[Product / Service Name],"⚠ Unknown")</f>
        <v>Casual Shirt</v>
      </c>
      <c r="H3055" s="1" t="str">
        <f>_xlfn.XLOOKUP(tblSales[[#This Row],[Product Code]],tblProducts[Code],tblProducts[Category],"")</f>
        <v>Apparel &amp; Footwear</v>
      </c>
      <c r="I3055" s="4">
        <v>4</v>
      </c>
      <c r="J3055" s="5">
        <f>_xlfn.XLOOKUP(tblSales[[#This Row],[Product Code]],tblProducts[Code],tblProducts[Selling Price (excl. VAT)],0)</f>
        <v>120000</v>
      </c>
      <c r="K3055" s="5">
        <f>tblSales[[#This Row],[Qty]]*tblSales[[#This Row],[Unit Price]]</f>
        <v>480000</v>
      </c>
      <c r="L3055" s="5">
        <f>ROUND(tblSales[[#This Row],[DPP (excl. VAT)]]*VATEff,0)</f>
        <v>52800</v>
      </c>
      <c r="M3055" s="5">
        <f>tblSales[[#This Row],[DPP (excl. VAT)]]+tblSales[[#This Row],[Output VAT]]</f>
        <v>532800</v>
      </c>
      <c r="N3055" s="5">
        <f>tblSales[[#This Row],[Qty]]*_xlfn.XLOOKUP(tblSales[[#This Row],[Product Code]],tblProducts[Code],tblProducts[Unit Cost],0)</f>
        <v>288000</v>
      </c>
      <c r="O3055" s="4" t="s">
        <v>4866</v>
      </c>
      <c r="P3055" s="4" t="s">
        <v>4861</v>
      </c>
      <c r="Q3055" s="1" t="str">
        <f>_xlfn.XLOOKUP(tblSales[[#This Row],[Channel Code]],tblChannels[Channel Code],tblChannels[Channel Name],"")</f>
        <v>Marketplace</v>
      </c>
      <c r="R3055" s="1">
        <f>MONTH(tblSales[[#This Row],[Date]])</f>
        <v>7</v>
      </c>
    </row>
    <row r="3056" spans="2:18" x14ac:dyDescent="0.35">
      <c r="B3056" s="113">
        <v>46205</v>
      </c>
      <c r="C3056" s="4" t="s">
        <v>2038</v>
      </c>
      <c r="D3056" s="4" t="s">
        <v>4613</v>
      </c>
      <c r="E3056" s="1" t="str">
        <f>_xlfn.XLOOKUP(tblSales[[#This Row],[Customer ID]],tblCustomers[Customer ID],tblCustomers[Customer Name],"⚠ Unknown")</f>
        <v>PT Mega Prima Distribusi</v>
      </c>
      <c r="F3056" s="4" t="s">
        <v>15</v>
      </c>
      <c r="G3056" s="1" t="str">
        <f>_xlfn.XLOOKUP(tblSales[[#This Row],[Product Code]],tblProducts[Code],tblProducts[Product / Service Name],"⚠ Unknown")</f>
        <v>Wireless Earbuds Pro</v>
      </c>
      <c r="H3056" s="1" t="str">
        <f>_xlfn.XLOOKUP(tblSales[[#This Row],[Product Code]],tblProducts[Code],tblProducts[Category],"")</f>
        <v>Bags &amp; Gadgets</v>
      </c>
      <c r="I3056" s="4">
        <v>16</v>
      </c>
      <c r="J3056" s="5">
        <f>_xlfn.XLOOKUP(tblSales[[#This Row],[Product Code]],tblProducts[Code],tblProducts[Selling Price (excl. VAT)],0)</f>
        <v>1250000</v>
      </c>
      <c r="K3056" s="5">
        <f>tblSales[[#This Row],[Qty]]*tblSales[[#This Row],[Unit Price]]</f>
        <v>20000000</v>
      </c>
      <c r="L3056" s="5">
        <f>ROUND(tblSales[[#This Row],[DPP (excl. VAT)]]*VATEff,0)</f>
        <v>2200000</v>
      </c>
      <c r="M3056" s="5">
        <f>tblSales[[#This Row],[DPP (excl. VAT)]]+tblSales[[#This Row],[Output VAT]]</f>
        <v>22200000</v>
      </c>
      <c r="N3056" s="5">
        <f>tblSales[[#This Row],[Qty]]*_xlfn.XLOOKUP(tblSales[[#This Row],[Product Code]],tblProducts[Code],tblProducts[Unit Cost],0)</f>
        <v>13120000</v>
      </c>
      <c r="O3056" s="4" t="s">
        <v>4867</v>
      </c>
      <c r="P3056" s="4" t="s">
        <v>4860</v>
      </c>
      <c r="Q3056" s="1" t="str">
        <f>_xlfn.XLOOKUP(tblSales[[#This Row],[Channel Code]],tblChannels[Channel Code],tblChannels[Channel Name],"")</f>
        <v>In-store</v>
      </c>
      <c r="R3056" s="1">
        <f>MONTH(tblSales[[#This Row],[Date]])</f>
        <v>7</v>
      </c>
    </row>
    <row r="3057" spans="2:18" x14ac:dyDescent="0.35">
      <c r="B3057" s="113">
        <v>46205</v>
      </c>
      <c r="C3057" s="4" t="s">
        <v>2039</v>
      </c>
      <c r="D3057" s="4" t="s">
        <v>4568</v>
      </c>
      <c r="E3057" s="1" t="str">
        <f>_xlfn.XLOOKUP(tblSales[[#This Row],[Customer ID]],tblCustomers[Customer ID],tblCustomers[Customer Name],"⚠ Unknown")</f>
        <v>Walk-in Customer</v>
      </c>
      <c r="F3057" s="4" t="s">
        <v>10</v>
      </c>
      <c r="G3057" s="1" t="str">
        <f>_xlfn.XLOOKUP(tblSales[[#This Row],[Product Code]],tblProducts[Code],tblProducts[Product / Service Name],"⚠ Unknown")</f>
        <v>Chino Pants</v>
      </c>
      <c r="H3057" s="1" t="str">
        <f>_xlfn.XLOOKUP(tblSales[[#This Row],[Product Code]],tblProducts[Code],tblProducts[Category],"")</f>
        <v>Apparel &amp; Footwear</v>
      </c>
      <c r="I3057" s="4">
        <v>4</v>
      </c>
      <c r="J3057" s="5">
        <f>_xlfn.XLOOKUP(tblSales[[#This Row],[Product Code]],tblProducts[Code],tblProducts[Selling Price (excl. VAT)],0)</f>
        <v>150000</v>
      </c>
      <c r="K3057" s="5">
        <f>tblSales[[#This Row],[Qty]]*tblSales[[#This Row],[Unit Price]]</f>
        <v>600000</v>
      </c>
      <c r="L3057" s="5">
        <f>ROUND(tblSales[[#This Row],[DPP (excl. VAT)]]*VATEff,0)</f>
        <v>66000</v>
      </c>
      <c r="M3057" s="5">
        <f>tblSales[[#This Row],[DPP (excl. VAT)]]+tblSales[[#This Row],[Output VAT]]</f>
        <v>666000</v>
      </c>
      <c r="N3057" s="5">
        <f>tblSales[[#This Row],[Qty]]*_xlfn.XLOOKUP(tblSales[[#This Row],[Product Code]],tblProducts[Code],tblProducts[Unit Cost],0)</f>
        <v>352000</v>
      </c>
      <c r="O3057" s="4" t="s">
        <v>4865</v>
      </c>
      <c r="P3057" s="4" t="s">
        <v>4860</v>
      </c>
      <c r="Q3057" s="1" t="str">
        <f>_xlfn.XLOOKUP(tblSales[[#This Row],[Channel Code]],tblChannels[Channel Code],tblChannels[Channel Name],"")</f>
        <v>In-store</v>
      </c>
      <c r="R3057" s="1">
        <f>MONTH(tblSales[[#This Row],[Date]])</f>
        <v>7</v>
      </c>
    </row>
    <row r="3058" spans="2:18" x14ac:dyDescent="0.35">
      <c r="B3058" s="113">
        <v>46206</v>
      </c>
      <c r="C3058" s="4" t="s">
        <v>2040</v>
      </c>
      <c r="D3058" s="4" t="s">
        <v>4568</v>
      </c>
      <c r="E3058" s="1" t="str">
        <f>_xlfn.XLOOKUP(tblSales[[#This Row],[Customer ID]],tblCustomers[Customer ID],tblCustomers[Customer Name],"⚠ Unknown")</f>
        <v>Walk-in Customer</v>
      </c>
      <c r="F3058" s="4" t="s">
        <v>8</v>
      </c>
      <c r="G3058" s="1" t="str">
        <f>_xlfn.XLOOKUP(tblSales[[#This Row],[Product Code]],tblProducts[Code],tblProducts[Product / Service Name],"⚠ Unknown")</f>
        <v>Casual Shorts</v>
      </c>
      <c r="H3058" s="1" t="str">
        <f>_xlfn.XLOOKUP(tblSales[[#This Row],[Product Code]],tblProducts[Code],tblProducts[Category],"")</f>
        <v>Accessories &amp; Basics</v>
      </c>
      <c r="I3058" s="4">
        <v>4</v>
      </c>
      <c r="J3058" s="5">
        <f>_xlfn.XLOOKUP(tblSales[[#This Row],[Product Code]],tblProducts[Code],tblProducts[Selling Price (excl. VAT)],0)</f>
        <v>85000</v>
      </c>
      <c r="K3058" s="5">
        <f>tblSales[[#This Row],[Qty]]*tblSales[[#This Row],[Unit Price]]</f>
        <v>340000</v>
      </c>
      <c r="L3058" s="5">
        <f>ROUND(tblSales[[#This Row],[DPP (excl. VAT)]]*VATEff,0)</f>
        <v>37400</v>
      </c>
      <c r="M3058" s="5">
        <f>tblSales[[#This Row],[DPP (excl. VAT)]]+tblSales[[#This Row],[Output VAT]]</f>
        <v>377400</v>
      </c>
      <c r="N3058" s="5">
        <f>tblSales[[#This Row],[Qty]]*_xlfn.XLOOKUP(tblSales[[#This Row],[Product Code]],tblProducts[Code],tblProducts[Unit Cost],0)</f>
        <v>200000</v>
      </c>
      <c r="O3058" s="4" t="s">
        <v>4865</v>
      </c>
      <c r="P3058" s="4" t="s">
        <v>4860</v>
      </c>
      <c r="Q3058" s="1" t="str">
        <f>_xlfn.XLOOKUP(tblSales[[#This Row],[Channel Code]],tblChannels[Channel Code],tblChannels[Channel Name],"")</f>
        <v>In-store</v>
      </c>
      <c r="R3058" s="1">
        <f>MONTH(tblSales[[#This Row],[Date]])</f>
        <v>7</v>
      </c>
    </row>
    <row r="3059" spans="2:18" x14ac:dyDescent="0.35">
      <c r="B3059" s="113">
        <v>46206</v>
      </c>
      <c r="C3059" s="4" t="s">
        <v>2041</v>
      </c>
      <c r="D3059" s="4" t="s">
        <v>4568</v>
      </c>
      <c r="E3059" s="1" t="str">
        <f>_xlfn.XLOOKUP(tblSales[[#This Row],[Customer ID]],tblCustomers[Customer ID],tblCustomers[Customer Name],"⚠ Unknown")</f>
        <v>Walk-in Customer</v>
      </c>
      <c r="F3059" s="4" t="s">
        <v>9</v>
      </c>
      <c r="G3059" s="1" t="str">
        <f>_xlfn.XLOOKUP(tblSales[[#This Row],[Product Code]],tblProducts[Code],tblProducts[Product / Service Name],"⚠ Unknown")</f>
        <v>Casual Shirt</v>
      </c>
      <c r="H3059" s="1" t="str">
        <f>_xlfn.XLOOKUP(tblSales[[#This Row],[Product Code]],tblProducts[Code],tblProducts[Category],"")</f>
        <v>Apparel &amp; Footwear</v>
      </c>
      <c r="I3059" s="4">
        <v>10</v>
      </c>
      <c r="J3059" s="5">
        <f>_xlfn.XLOOKUP(tblSales[[#This Row],[Product Code]],tblProducts[Code],tblProducts[Selling Price (excl. VAT)],0)</f>
        <v>120000</v>
      </c>
      <c r="K3059" s="5">
        <f>tblSales[[#This Row],[Qty]]*tblSales[[#This Row],[Unit Price]]</f>
        <v>1200000</v>
      </c>
      <c r="L3059" s="5">
        <f>ROUND(tblSales[[#This Row],[DPP (excl. VAT)]]*VATEff,0)</f>
        <v>132000</v>
      </c>
      <c r="M3059" s="5">
        <f>tblSales[[#This Row],[DPP (excl. VAT)]]+tblSales[[#This Row],[Output VAT]]</f>
        <v>1332000</v>
      </c>
      <c r="N3059" s="5">
        <f>tblSales[[#This Row],[Qty]]*_xlfn.XLOOKUP(tblSales[[#This Row],[Product Code]],tblProducts[Code],tblProducts[Unit Cost],0)</f>
        <v>720000</v>
      </c>
      <c r="O3059" s="4" t="s">
        <v>4865</v>
      </c>
      <c r="P3059" s="4" t="s">
        <v>4860</v>
      </c>
      <c r="Q3059" s="1" t="str">
        <f>_xlfn.XLOOKUP(tblSales[[#This Row],[Channel Code]],tblChannels[Channel Code],tblChannels[Channel Name],"")</f>
        <v>In-store</v>
      </c>
      <c r="R3059" s="1">
        <f>MONTH(tblSales[[#This Row],[Date]])</f>
        <v>7</v>
      </c>
    </row>
    <row r="3060" spans="2:18" x14ac:dyDescent="0.35">
      <c r="B3060" s="113">
        <v>46206</v>
      </c>
      <c r="C3060" s="4" t="s">
        <v>2042</v>
      </c>
      <c r="D3060" s="4" t="s">
        <v>4568</v>
      </c>
      <c r="E3060" s="1" t="str">
        <f>_xlfn.XLOOKUP(tblSales[[#This Row],[Customer ID]],tblCustomers[Customer ID],tblCustomers[Customer Name],"⚠ Unknown")</f>
        <v>Walk-in Customer</v>
      </c>
      <c r="F3060" s="4" t="s">
        <v>14</v>
      </c>
      <c r="G3060" s="1" t="str">
        <f>_xlfn.XLOOKUP(tblSales[[#This Row],[Product Code]],tblProducts[Code],tblProducts[Product / Service Name],"⚠ Unknown")</f>
        <v>Smartwatch</v>
      </c>
      <c r="H3060" s="1" t="str">
        <f>_xlfn.XLOOKUP(tblSales[[#This Row],[Product Code]],tblProducts[Code],tblProducts[Category],"")</f>
        <v>Bags &amp; Gadgets</v>
      </c>
      <c r="I3060" s="4">
        <v>2</v>
      </c>
      <c r="J3060" s="5">
        <f>_xlfn.XLOOKUP(tblSales[[#This Row],[Product Code]],tblProducts[Code],tblProducts[Selling Price (excl. VAT)],0)</f>
        <v>850000</v>
      </c>
      <c r="K3060" s="5">
        <f>tblSales[[#This Row],[Qty]]*tblSales[[#This Row],[Unit Price]]</f>
        <v>1700000</v>
      </c>
      <c r="L3060" s="5">
        <f>ROUND(tblSales[[#This Row],[DPP (excl. VAT)]]*VATEff,0)</f>
        <v>187000</v>
      </c>
      <c r="M3060" s="5">
        <f>tblSales[[#This Row],[DPP (excl. VAT)]]+tblSales[[#This Row],[Output VAT]]</f>
        <v>1887000</v>
      </c>
      <c r="N3060" s="5">
        <f>tblSales[[#This Row],[Qty]]*_xlfn.XLOOKUP(tblSales[[#This Row],[Product Code]],tblProducts[Code],tblProducts[Unit Cost],0)</f>
        <v>1120000</v>
      </c>
      <c r="O3060" s="4" t="s">
        <v>4866</v>
      </c>
      <c r="P3060" s="4" t="s">
        <v>4860</v>
      </c>
      <c r="Q3060" s="1" t="str">
        <f>_xlfn.XLOOKUP(tblSales[[#This Row],[Channel Code]],tblChannels[Channel Code],tblChannels[Channel Name],"")</f>
        <v>In-store</v>
      </c>
      <c r="R3060" s="1">
        <f>MONTH(tblSales[[#This Row],[Date]])</f>
        <v>7</v>
      </c>
    </row>
    <row r="3061" spans="2:18" x14ac:dyDescent="0.35">
      <c r="B3061" s="113">
        <v>46206</v>
      </c>
      <c r="C3061" s="4" t="s">
        <v>2043</v>
      </c>
      <c r="D3061" s="4" t="s">
        <v>4568</v>
      </c>
      <c r="E3061" s="1" t="str">
        <f>_xlfn.XLOOKUP(tblSales[[#This Row],[Customer ID]],tblCustomers[Customer ID],tblCustomers[Customer Name],"⚠ Unknown")</f>
        <v>Walk-in Customer</v>
      </c>
      <c r="F3061" s="4" t="s">
        <v>6</v>
      </c>
      <c r="G3061" s="1" t="str">
        <f>_xlfn.XLOOKUP(tblSales[[#This Row],[Product Code]],tblProducts[Code],tblProducts[Product / Service Name],"⚠ Unknown")</f>
        <v>Socks &amp; Accessories</v>
      </c>
      <c r="H3061" s="1" t="str">
        <f>_xlfn.XLOOKUP(tblSales[[#This Row],[Product Code]],tblProducts[Code],tblProducts[Category],"")</f>
        <v>Accessories &amp; Basics</v>
      </c>
      <c r="I3061" s="4">
        <v>4</v>
      </c>
      <c r="J3061" s="5">
        <f>_xlfn.XLOOKUP(tblSales[[#This Row],[Product Code]],tblProducts[Code],tblProducts[Selling Price (excl. VAT)],0)</f>
        <v>45000</v>
      </c>
      <c r="K3061" s="5">
        <f>tblSales[[#This Row],[Qty]]*tblSales[[#This Row],[Unit Price]]</f>
        <v>180000</v>
      </c>
      <c r="L3061" s="5">
        <f>ROUND(tblSales[[#This Row],[DPP (excl. VAT)]]*VATEff,0)</f>
        <v>19800</v>
      </c>
      <c r="M3061" s="5">
        <f>tblSales[[#This Row],[DPP (excl. VAT)]]+tblSales[[#This Row],[Output VAT]]</f>
        <v>199800</v>
      </c>
      <c r="N3061" s="5">
        <f>tblSales[[#This Row],[Qty]]*_xlfn.XLOOKUP(tblSales[[#This Row],[Product Code]],tblProducts[Code],tblProducts[Unit Cost],0)</f>
        <v>96000</v>
      </c>
      <c r="O3061" s="4" t="s">
        <v>4866</v>
      </c>
      <c r="P3061" s="4" t="s">
        <v>4860</v>
      </c>
      <c r="Q3061" s="1" t="str">
        <f>_xlfn.XLOOKUP(tblSales[[#This Row],[Channel Code]],tblChannels[Channel Code],tblChannels[Channel Name],"")</f>
        <v>In-store</v>
      </c>
      <c r="R3061" s="1">
        <f>MONTH(tblSales[[#This Row],[Date]])</f>
        <v>7</v>
      </c>
    </row>
    <row r="3062" spans="2:18" x14ac:dyDescent="0.35">
      <c r="B3062" s="113">
        <v>46206</v>
      </c>
      <c r="C3062" s="4" t="s">
        <v>2043</v>
      </c>
      <c r="D3062" s="4" t="s">
        <v>4568</v>
      </c>
      <c r="E3062" s="1" t="str">
        <f>_xlfn.XLOOKUP(tblSales[[#This Row],[Customer ID]],tblCustomers[Customer ID],tblCustomers[Customer Name],"⚠ Unknown")</f>
        <v>Walk-in Customer</v>
      </c>
      <c r="F3062" s="4" t="s">
        <v>7</v>
      </c>
      <c r="G3062" s="1" t="str">
        <f>_xlfn.XLOOKUP(tblSales[[#This Row],[Product Code]],tblProducts[Code],tblProducts[Product / Service Name],"⚠ Unknown")</f>
        <v>Premium Basic T-shirt</v>
      </c>
      <c r="H3062" s="1" t="str">
        <f>_xlfn.XLOOKUP(tblSales[[#This Row],[Product Code]],tblProducts[Code],tblProducts[Category],"")</f>
        <v>Accessories &amp; Basics</v>
      </c>
      <c r="I3062" s="4">
        <v>11</v>
      </c>
      <c r="J3062" s="5">
        <f>_xlfn.XLOOKUP(tblSales[[#This Row],[Product Code]],tblProducts[Code],tblProducts[Selling Price (excl. VAT)],0)</f>
        <v>65000</v>
      </c>
      <c r="K3062" s="5">
        <f>tblSales[[#This Row],[Qty]]*tblSales[[#This Row],[Unit Price]]</f>
        <v>715000</v>
      </c>
      <c r="L3062" s="5">
        <f>ROUND(tblSales[[#This Row],[DPP (excl. VAT)]]*VATEff,0)</f>
        <v>78650</v>
      </c>
      <c r="M3062" s="5">
        <f>tblSales[[#This Row],[DPP (excl. VAT)]]+tblSales[[#This Row],[Output VAT]]</f>
        <v>793650</v>
      </c>
      <c r="N3062" s="5">
        <f>tblSales[[#This Row],[Qty]]*_xlfn.XLOOKUP(tblSales[[#This Row],[Product Code]],tblProducts[Code],tblProducts[Unit Cost],0)</f>
        <v>407000</v>
      </c>
      <c r="O3062" s="4" t="s">
        <v>4866</v>
      </c>
      <c r="P3062" s="4" t="s">
        <v>4860</v>
      </c>
      <c r="Q3062" s="1" t="str">
        <f>_xlfn.XLOOKUP(tblSales[[#This Row],[Channel Code]],tblChannels[Channel Code],tblChannels[Channel Name],"")</f>
        <v>In-store</v>
      </c>
      <c r="R3062" s="1">
        <f>MONTH(tblSales[[#This Row],[Date]])</f>
        <v>7</v>
      </c>
    </row>
    <row r="3063" spans="2:18" x14ac:dyDescent="0.35">
      <c r="B3063" s="113">
        <v>46206</v>
      </c>
      <c r="C3063" s="4" t="s">
        <v>2043</v>
      </c>
      <c r="D3063" s="4" t="s">
        <v>4568</v>
      </c>
      <c r="E3063" s="1" t="str">
        <f>_xlfn.XLOOKUP(tblSales[[#This Row],[Customer ID]],tblCustomers[Customer ID],tblCustomers[Customer Name],"⚠ Unknown")</f>
        <v>Walk-in Customer</v>
      </c>
      <c r="F3063" s="4" t="s">
        <v>10</v>
      </c>
      <c r="G3063" s="1" t="str">
        <f>_xlfn.XLOOKUP(tblSales[[#This Row],[Product Code]],tblProducts[Code],tblProducts[Product / Service Name],"⚠ Unknown")</f>
        <v>Chino Pants</v>
      </c>
      <c r="H3063" s="1" t="str">
        <f>_xlfn.XLOOKUP(tblSales[[#This Row],[Product Code]],tblProducts[Code],tblProducts[Category],"")</f>
        <v>Apparel &amp; Footwear</v>
      </c>
      <c r="I3063" s="4">
        <v>5</v>
      </c>
      <c r="J3063" s="5">
        <f>_xlfn.XLOOKUP(tblSales[[#This Row],[Product Code]],tblProducts[Code],tblProducts[Selling Price (excl. VAT)],0)</f>
        <v>150000</v>
      </c>
      <c r="K3063" s="5">
        <f>tblSales[[#This Row],[Qty]]*tblSales[[#This Row],[Unit Price]]</f>
        <v>750000</v>
      </c>
      <c r="L3063" s="5">
        <f>ROUND(tblSales[[#This Row],[DPP (excl. VAT)]]*VATEff,0)</f>
        <v>82500</v>
      </c>
      <c r="M3063" s="5">
        <f>tblSales[[#This Row],[DPP (excl. VAT)]]+tblSales[[#This Row],[Output VAT]]</f>
        <v>832500</v>
      </c>
      <c r="N3063" s="5">
        <f>tblSales[[#This Row],[Qty]]*_xlfn.XLOOKUP(tblSales[[#This Row],[Product Code]],tblProducts[Code],tblProducts[Unit Cost],0)</f>
        <v>440000</v>
      </c>
      <c r="O3063" s="4" t="s">
        <v>4866</v>
      </c>
      <c r="P3063" s="4" t="s">
        <v>4860</v>
      </c>
      <c r="Q3063" s="1" t="str">
        <f>_xlfn.XLOOKUP(tblSales[[#This Row],[Channel Code]],tblChannels[Channel Code],tblChannels[Channel Name],"")</f>
        <v>In-store</v>
      </c>
      <c r="R3063" s="1">
        <f>MONTH(tblSales[[#This Row],[Date]])</f>
        <v>7</v>
      </c>
    </row>
    <row r="3064" spans="2:18" x14ac:dyDescent="0.35">
      <c r="B3064" s="113">
        <v>46206</v>
      </c>
      <c r="C3064" s="4" t="s">
        <v>2044</v>
      </c>
      <c r="D3064" s="4" t="s">
        <v>4641</v>
      </c>
      <c r="E3064" s="1" t="str">
        <f>_xlfn.XLOOKUP(tblSales[[#This Row],[Customer ID]],tblCustomers[Customer ID],tblCustomers[Customer Name],"⚠ Unknown")</f>
        <v>PT Harmoni Pangan Lestari</v>
      </c>
      <c r="F3064" s="4" t="s">
        <v>7</v>
      </c>
      <c r="G3064" s="1" t="str">
        <f>_xlfn.XLOOKUP(tblSales[[#This Row],[Product Code]],tblProducts[Code],tblProducts[Product / Service Name],"⚠ Unknown")</f>
        <v>Premium Basic T-shirt</v>
      </c>
      <c r="H3064" s="1" t="str">
        <f>_xlfn.XLOOKUP(tblSales[[#This Row],[Product Code]],tblProducts[Code],tblProducts[Category],"")</f>
        <v>Accessories &amp; Basics</v>
      </c>
      <c r="I3064" s="4">
        <v>96</v>
      </c>
      <c r="J3064" s="5">
        <f>_xlfn.XLOOKUP(tblSales[[#This Row],[Product Code]],tblProducts[Code],tblProducts[Selling Price (excl. VAT)],0)</f>
        <v>65000</v>
      </c>
      <c r="K3064" s="5">
        <f>tblSales[[#This Row],[Qty]]*tblSales[[#This Row],[Unit Price]]</f>
        <v>6240000</v>
      </c>
      <c r="L3064" s="5">
        <f>ROUND(tblSales[[#This Row],[DPP (excl. VAT)]]*VATEff,0)</f>
        <v>686400</v>
      </c>
      <c r="M3064" s="5">
        <f>tblSales[[#This Row],[DPP (excl. VAT)]]+tblSales[[#This Row],[Output VAT]]</f>
        <v>6926400</v>
      </c>
      <c r="N3064" s="5">
        <f>tblSales[[#This Row],[Qty]]*_xlfn.XLOOKUP(tblSales[[#This Row],[Product Code]],tblProducts[Code],tblProducts[Unit Cost],0)</f>
        <v>3552000</v>
      </c>
      <c r="O3064" s="4" t="s">
        <v>4867</v>
      </c>
      <c r="P3064" s="4" t="s">
        <v>4860</v>
      </c>
      <c r="Q3064" s="1" t="str">
        <f>_xlfn.XLOOKUP(tblSales[[#This Row],[Channel Code]],tblChannels[Channel Code],tblChannels[Channel Name],"")</f>
        <v>In-store</v>
      </c>
      <c r="R3064" s="1">
        <f>MONTH(tblSales[[#This Row],[Date]])</f>
        <v>7</v>
      </c>
    </row>
    <row r="3065" spans="2:18" x14ac:dyDescent="0.35">
      <c r="B3065" s="113">
        <v>46206</v>
      </c>
      <c r="C3065" s="4" t="s">
        <v>2045</v>
      </c>
      <c r="D3065" s="4" t="s">
        <v>4568</v>
      </c>
      <c r="E3065" s="1" t="str">
        <f>_xlfn.XLOOKUP(tblSales[[#This Row],[Customer ID]],tblCustomers[Customer ID],tblCustomers[Customer Name],"⚠ Unknown")</f>
        <v>Walk-in Customer</v>
      </c>
      <c r="F3065" s="4" t="s">
        <v>10</v>
      </c>
      <c r="G3065" s="1" t="str">
        <f>_xlfn.XLOOKUP(tblSales[[#This Row],[Product Code]],tblProducts[Code],tblProducts[Product / Service Name],"⚠ Unknown")</f>
        <v>Chino Pants</v>
      </c>
      <c r="H3065" s="1" t="str">
        <f>_xlfn.XLOOKUP(tblSales[[#This Row],[Product Code]],tblProducts[Code],tblProducts[Category],"")</f>
        <v>Apparel &amp; Footwear</v>
      </c>
      <c r="I3065" s="4">
        <v>5</v>
      </c>
      <c r="J3065" s="5">
        <f>_xlfn.XLOOKUP(tblSales[[#This Row],[Product Code]],tblProducts[Code],tblProducts[Selling Price (excl. VAT)],0)</f>
        <v>150000</v>
      </c>
      <c r="K3065" s="5">
        <f>tblSales[[#This Row],[Qty]]*tblSales[[#This Row],[Unit Price]]</f>
        <v>750000</v>
      </c>
      <c r="L3065" s="5">
        <f>ROUND(tblSales[[#This Row],[DPP (excl. VAT)]]*VATEff,0)</f>
        <v>82500</v>
      </c>
      <c r="M3065" s="5">
        <f>tblSales[[#This Row],[DPP (excl. VAT)]]+tblSales[[#This Row],[Output VAT]]</f>
        <v>832500</v>
      </c>
      <c r="N3065" s="5">
        <f>tblSales[[#This Row],[Qty]]*_xlfn.XLOOKUP(tblSales[[#This Row],[Product Code]],tblProducts[Code],tblProducts[Unit Cost],0)</f>
        <v>440000</v>
      </c>
      <c r="O3065" s="4" t="s">
        <v>4865</v>
      </c>
      <c r="P3065" s="4" t="s">
        <v>4860</v>
      </c>
      <c r="Q3065" s="1" t="str">
        <f>_xlfn.XLOOKUP(tblSales[[#This Row],[Channel Code]],tblChannels[Channel Code],tblChannels[Channel Name],"")</f>
        <v>In-store</v>
      </c>
      <c r="R3065" s="1">
        <f>MONTH(tblSales[[#This Row],[Date]])</f>
        <v>7</v>
      </c>
    </row>
    <row r="3066" spans="2:18" x14ac:dyDescent="0.35">
      <c r="B3066" s="113">
        <v>46206</v>
      </c>
      <c r="C3066" s="4" t="s">
        <v>2046</v>
      </c>
      <c r="D3066" s="4" t="s">
        <v>4568</v>
      </c>
      <c r="E3066" s="1" t="str">
        <f>_xlfn.XLOOKUP(tblSales[[#This Row],[Customer ID]],tblCustomers[Customer ID],tblCustomers[Customer Name],"⚠ Unknown")</f>
        <v>Walk-in Customer</v>
      </c>
      <c r="F3066" s="4" t="s">
        <v>6</v>
      </c>
      <c r="G3066" s="1" t="str">
        <f>_xlfn.XLOOKUP(tblSales[[#This Row],[Product Code]],tblProducts[Code],tblProducts[Product / Service Name],"⚠ Unknown")</f>
        <v>Socks &amp; Accessories</v>
      </c>
      <c r="H3066" s="1" t="str">
        <f>_xlfn.XLOOKUP(tblSales[[#This Row],[Product Code]],tblProducts[Code],tblProducts[Category],"")</f>
        <v>Accessories &amp; Basics</v>
      </c>
      <c r="I3066" s="4">
        <v>2</v>
      </c>
      <c r="J3066" s="5">
        <f>_xlfn.XLOOKUP(tblSales[[#This Row],[Product Code]],tblProducts[Code],tblProducts[Selling Price (excl. VAT)],0)</f>
        <v>45000</v>
      </c>
      <c r="K3066" s="5">
        <f>tblSales[[#This Row],[Qty]]*tblSales[[#This Row],[Unit Price]]</f>
        <v>90000</v>
      </c>
      <c r="L3066" s="5">
        <f>ROUND(tblSales[[#This Row],[DPP (excl. VAT)]]*VATEff,0)</f>
        <v>9900</v>
      </c>
      <c r="M3066" s="5">
        <f>tblSales[[#This Row],[DPP (excl. VAT)]]+tblSales[[#This Row],[Output VAT]]</f>
        <v>99900</v>
      </c>
      <c r="N3066" s="5">
        <f>tblSales[[#This Row],[Qty]]*_xlfn.XLOOKUP(tblSales[[#This Row],[Product Code]],tblProducts[Code],tblProducts[Unit Cost],0)</f>
        <v>48000</v>
      </c>
      <c r="O3066" s="4" t="s">
        <v>4865</v>
      </c>
      <c r="P3066" s="4" t="s">
        <v>4860</v>
      </c>
      <c r="Q3066" s="1" t="str">
        <f>_xlfn.XLOOKUP(tblSales[[#This Row],[Channel Code]],tblChannels[Channel Code],tblChannels[Channel Name],"")</f>
        <v>In-store</v>
      </c>
      <c r="R3066" s="1">
        <f>MONTH(tblSales[[#This Row],[Date]])</f>
        <v>7</v>
      </c>
    </row>
    <row r="3067" spans="2:18" x14ac:dyDescent="0.35">
      <c r="B3067" s="113">
        <v>46206</v>
      </c>
      <c r="C3067" s="4" t="s">
        <v>2046</v>
      </c>
      <c r="D3067" s="4" t="s">
        <v>4568</v>
      </c>
      <c r="E3067" s="1" t="str">
        <f>_xlfn.XLOOKUP(tblSales[[#This Row],[Customer ID]],tblCustomers[Customer ID],tblCustomers[Customer Name],"⚠ Unknown")</f>
        <v>Walk-in Customer</v>
      </c>
      <c r="F3067" s="4" t="s">
        <v>9</v>
      </c>
      <c r="G3067" s="1" t="str">
        <f>_xlfn.XLOOKUP(tblSales[[#This Row],[Product Code]],tblProducts[Code],tblProducts[Product / Service Name],"⚠ Unknown")</f>
        <v>Casual Shirt</v>
      </c>
      <c r="H3067" s="1" t="str">
        <f>_xlfn.XLOOKUP(tblSales[[#This Row],[Product Code]],tblProducts[Code],tblProducts[Category],"")</f>
        <v>Apparel &amp; Footwear</v>
      </c>
      <c r="I3067" s="4">
        <v>6</v>
      </c>
      <c r="J3067" s="5">
        <f>_xlfn.XLOOKUP(tblSales[[#This Row],[Product Code]],tblProducts[Code],tblProducts[Selling Price (excl. VAT)],0)</f>
        <v>120000</v>
      </c>
      <c r="K3067" s="5">
        <f>tblSales[[#This Row],[Qty]]*tblSales[[#This Row],[Unit Price]]</f>
        <v>720000</v>
      </c>
      <c r="L3067" s="5">
        <f>ROUND(tblSales[[#This Row],[DPP (excl. VAT)]]*VATEff,0)</f>
        <v>79200</v>
      </c>
      <c r="M3067" s="5">
        <f>tblSales[[#This Row],[DPP (excl. VAT)]]+tblSales[[#This Row],[Output VAT]]</f>
        <v>799200</v>
      </c>
      <c r="N3067" s="5">
        <f>tblSales[[#This Row],[Qty]]*_xlfn.XLOOKUP(tblSales[[#This Row],[Product Code]],tblProducts[Code],tblProducts[Unit Cost],0)</f>
        <v>432000</v>
      </c>
      <c r="O3067" s="4" t="s">
        <v>4865</v>
      </c>
      <c r="P3067" s="4" t="s">
        <v>4860</v>
      </c>
      <c r="Q3067" s="1" t="str">
        <f>_xlfn.XLOOKUP(tblSales[[#This Row],[Channel Code]],tblChannels[Channel Code],tblChannels[Channel Name],"")</f>
        <v>In-store</v>
      </c>
      <c r="R3067" s="1">
        <f>MONTH(tblSales[[#This Row],[Date]])</f>
        <v>7</v>
      </c>
    </row>
    <row r="3068" spans="2:18" x14ac:dyDescent="0.35">
      <c r="B3068" s="113">
        <v>46206</v>
      </c>
      <c r="C3068" s="4" t="s">
        <v>2047</v>
      </c>
      <c r="D3068" s="4" t="s">
        <v>4568</v>
      </c>
      <c r="E3068" s="1" t="str">
        <f>_xlfn.XLOOKUP(tblSales[[#This Row],[Customer ID]],tblCustomers[Customer ID],tblCustomers[Customer Name],"⚠ Unknown")</f>
        <v>Walk-in Customer</v>
      </c>
      <c r="F3068" s="4" t="s">
        <v>6</v>
      </c>
      <c r="G3068" s="1" t="str">
        <f>_xlfn.XLOOKUP(tblSales[[#This Row],[Product Code]],tblProducts[Code],tblProducts[Product / Service Name],"⚠ Unknown")</f>
        <v>Socks &amp; Accessories</v>
      </c>
      <c r="H3068" s="1" t="str">
        <f>_xlfn.XLOOKUP(tblSales[[#This Row],[Product Code]],tblProducts[Code],tblProducts[Category],"")</f>
        <v>Accessories &amp; Basics</v>
      </c>
      <c r="I3068" s="4">
        <v>4</v>
      </c>
      <c r="J3068" s="5">
        <f>_xlfn.XLOOKUP(tblSales[[#This Row],[Product Code]],tblProducts[Code],tblProducts[Selling Price (excl. VAT)],0)</f>
        <v>45000</v>
      </c>
      <c r="K3068" s="5">
        <f>tblSales[[#This Row],[Qty]]*tblSales[[#This Row],[Unit Price]]</f>
        <v>180000</v>
      </c>
      <c r="L3068" s="5">
        <f>ROUND(tblSales[[#This Row],[DPP (excl. VAT)]]*VATEff,0)</f>
        <v>19800</v>
      </c>
      <c r="M3068" s="5">
        <f>tblSales[[#This Row],[DPP (excl. VAT)]]+tblSales[[#This Row],[Output VAT]]</f>
        <v>199800</v>
      </c>
      <c r="N3068" s="5">
        <f>tblSales[[#This Row],[Qty]]*_xlfn.XLOOKUP(tblSales[[#This Row],[Product Code]],tblProducts[Code],tblProducts[Unit Cost],0)</f>
        <v>96000</v>
      </c>
      <c r="O3068" s="4" t="s">
        <v>4865</v>
      </c>
      <c r="P3068" s="4" t="s">
        <v>4860</v>
      </c>
      <c r="Q3068" s="1" t="str">
        <f>_xlfn.XLOOKUP(tblSales[[#This Row],[Channel Code]],tblChannels[Channel Code],tblChannels[Channel Name],"")</f>
        <v>In-store</v>
      </c>
      <c r="R3068" s="1">
        <f>MONTH(tblSales[[#This Row],[Date]])</f>
        <v>7</v>
      </c>
    </row>
    <row r="3069" spans="2:18" x14ac:dyDescent="0.35">
      <c r="B3069" s="113">
        <v>46206</v>
      </c>
      <c r="C3069" s="4" t="s">
        <v>2047</v>
      </c>
      <c r="D3069" s="4" t="s">
        <v>4568</v>
      </c>
      <c r="E3069" s="1" t="str">
        <f>_xlfn.XLOOKUP(tblSales[[#This Row],[Customer ID]],tblCustomers[Customer ID],tblCustomers[Customer Name],"⚠ Unknown")</f>
        <v>Walk-in Customer</v>
      </c>
      <c r="F3069" s="4" t="s">
        <v>10</v>
      </c>
      <c r="G3069" s="1" t="str">
        <f>_xlfn.XLOOKUP(tblSales[[#This Row],[Product Code]],tblProducts[Code],tblProducts[Product / Service Name],"⚠ Unknown")</f>
        <v>Chino Pants</v>
      </c>
      <c r="H3069" s="1" t="str">
        <f>_xlfn.XLOOKUP(tblSales[[#This Row],[Product Code]],tblProducts[Code],tblProducts[Category],"")</f>
        <v>Apparel &amp; Footwear</v>
      </c>
      <c r="I3069" s="4">
        <v>4</v>
      </c>
      <c r="J3069" s="5">
        <f>_xlfn.XLOOKUP(tblSales[[#This Row],[Product Code]],tblProducts[Code],tblProducts[Selling Price (excl. VAT)],0)</f>
        <v>150000</v>
      </c>
      <c r="K3069" s="5">
        <f>tblSales[[#This Row],[Qty]]*tblSales[[#This Row],[Unit Price]]</f>
        <v>600000</v>
      </c>
      <c r="L3069" s="5">
        <f>ROUND(tblSales[[#This Row],[DPP (excl. VAT)]]*VATEff,0)</f>
        <v>66000</v>
      </c>
      <c r="M3069" s="5">
        <f>tblSales[[#This Row],[DPP (excl. VAT)]]+tblSales[[#This Row],[Output VAT]]</f>
        <v>666000</v>
      </c>
      <c r="N3069" s="5">
        <f>tblSales[[#This Row],[Qty]]*_xlfn.XLOOKUP(tblSales[[#This Row],[Product Code]],tblProducts[Code],tblProducts[Unit Cost],0)</f>
        <v>352000</v>
      </c>
      <c r="O3069" s="4" t="s">
        <v>4865</v>
      </c>
      <c r="P3069" s="4" t="s">
        <v>4860</v>
      </c>
      <c r="Q3069" s="1" t="str">
        <f>_xlfn.XLOOKUP(tblSales[[#This Row],[Channel Code]],tblChannels[Channel Code],tblChannels[Channel Name],"")</f>
        <v>In-store</v>
      </c>
      <c r="R3069" s="1">
        <f>MONTH(tblSales[[#This Row],[Date]])</f>
        <v>7</v>
      </c>
    </row>
    <row r="3070" spans="2:18" x14ac:dyDescent="0.35">
      <c r="B3070" s="113">
        <v>46206</v>
      </c>
      <c r="C3070" s="4" t="s">
        <v>2047</v>
      </c>
      <c r="D3070" s="4" t="s">
        <v>4568</v>
      </c>
      <c r="E3070" s="1" t="str">
        <f>_xlfn.XLOOKUP(tblSales[[#This Row],[Customer ID]],tblCustomers[Customer ID],tblCustomers[Customer Name],"⚠ Unknown")</f>
        <v>Walk-in Customer</v>
      </c>
      <c r="F3070" s="4" t="s">
        <v>13</v>
      </c>
      <c r="G3070" s="1" t="str">
        <f>_xlfn.XLOOKUP(tblSales[[#This Row],[Product Code]],tblProducts[Code],tblProducts[Product / Service Name],"⚠ Unknown")</f>
        <v>Backpack</v>
      </c>
      <c r="H3070" s="1" t="str">
        <f>_xlfn.XLOOKUP(tblSales[[#This Row],[Product Code]],tblProducts[Code],tblProducts[Category],"")</f>
        <v>Bags &amp; Gadgets</v>
      </c>
      <c r="I3070" s="4">
        <v>1</v>
      </c>
      <c r="J3070" s="5">
        <f>_xlfn.XLOOKUP(tblSales[[#This Row],[Product Code]],tblProducts[Code],tblProducts[Selling Price (excl. VAT)],0)</f>
        <v>500000</v>
      </c>
      <c r="K3070" s="5">
        <f>tblSales[[#This Row],[Qty]]*tblSales[[#This Row],[Unit Price]]</f>
        <v>500000</v>
      </c>
      <c r="L3070" s="5">
        <f>ROUND(tblSales[[#This Row],[DPP (excl. VAT)]]*VATEff,0)</f>
        <v>55000</v>
      </c>
      <c r="M3070" s="5">
        <f>tblSales[[#This Row],[DPP (excl. VAT)]]+tblSales[[#This Row],[Output VAT]]</f>
        <v>555000</v>
      </c>
      <c r="N3070" s="5">
        <f>tblSales[[#This Row],[Qty]]*_xlfn.XLOOKUP(tblSales[[#This Row],[Product Code]],tblProducts[Code],tblProducts[Unit Cost],0)</f>
        <v>290000</v>
      </c>
      <c r="O3070" s="4" t="s">
        <v>4865</v>
      </c>
      <c r="P3070" s="4" t="s">
        <v>4860</v>
      </c>
      <c r="Q3070" s="1" t="str">
        <f>_xlfn.XLOOKUP(tblSales[[#This Row],[Channel Code]],tblChannels[Channel Code],tblChannels[Channel Name],"")</f>
        <v>In-store</v>
      </c>
      <c r="R3070" s="1">
        <f>MONTH(tblSales[[#This Row],[Date]])</f>
        <v>7</v>
      </c>
    </row>
    <row r="3071" spans="2:18" x14ac:dyDescent="0.35">
      <c r="B3071" s="113">
        <v>46206</v>
      </c>
      <c r="C3071" s="4" t="s">
        <v>2048</v>
      </c>
      <c r="D3071" s="4" t="s">
        <v>4568</v>
      </c>
      <c r="E3071" s="1" t="str">
        <f>_xlfn.XLOOKUP(tblSales[[#This Row],[Customer ID]],tblCustomers[Customer ID],tblCustomers[Customer Name],"⚠ Unknown")</f>
        <v>Walk-in Customer</v>
      </c>
      <c r="F3071" s="4" t="s">
        <v>11</v>
      </c>
      <c r="G3071" s="1" t="str">
        <f>_xlfn.XLOOKUP(tblSales[[#This Row],[Product Code]],tblProducts[Code],tblProducts[Product / Service Name],"⚠ Unknown")</f>
        <v>Sneakers</v>
      </c>
      <c r="H3071" s="1" t="str">
        <f>_xlfn.XLOOKUP(tblSales[[#This Row],[Product Code]],tblProducts[Code],tblProducts[Category],"")</f>
        <v>Apparel &amp; Footwear</v>
      </c>
      <c r="I3071" s="4">
        <v>2</v>
      </c>
      <c r="J3071" s="5">
        <f>_xlfn.XLOOKUP(tblSales[[#This Row],[Product Code]],tblProducts[Code],tblProducts[Selling Price (excl. VAT)],0)</f>
        <v>250000</v>
      </c>
      <c r="K3071" s="5">
        <f>tblSales[[#This Row],[Qty]]*tblSales[[#This Row],[Unit Price]]</f>
        <v>500000</v>
      </c>
      <c r="L3071" s="5">
        <f>ROUND(tblSales[[#This Row],[DPP (excl. VAT)]]*VATEff,0)</f>
        <v>55000</v>
      </c>
      <c r="M3071" s="5">
        <f>tblSales[[#This Row],[DPP (excl. VAT)]]+tblSales[[#This Row],[Output VAT]]</f>
        <v>555000</v>
      </c>
      <c r="N3071" s="5">
        <f>tblSales[[#This Row],[Qty]]*_xlfn.XLOOKUP(tblSales[[#This Row],[Product Code]],tblProducts[Code],tblProducts[Unit Cost],0)</f>
        <v>310000</v>
      </c>
      <c r="O3071" s="4" t="s">
        <v>4865</v>
      </c>
      <c r="P3071" s="4" t="s">
        <v>4860</v>
      </c>
      <c r="Q3071" s="1" t="str">
        <f>_xlfn.XLOOKUP(tblSales[[#This Row],[Channel Code]],tblChannels[Channel Code],tblChannels[Channel Name],"")</f>
        <v>In-store</v>
      </c>
      <c r="R3071" s="1">
        <f>MONTH(tblSales[[#This Row],[Date]])</f>
        <v>7</v>
      </c>
    </row>
    <row r="3072" spans="2:18" x14ac:dyDescent="0.35">
      <c r="B3072" s="113">
        <v>46206</v>
      </c>
      <c r="C3072" s="4" t="s">
        <v>2049</v>
      </c>
      <c r="D3072" s="4" t="s">
        <v>4568</v>
      </c>
      <c r="E3072" s="1" t="str">
        <f>_xlfn.XLOOKUP(tblSales[[#This Row],[Customer ID]],tblCustomers[Customer ID],tblCustomers[Customer Name],"⚠ Unknown")</f>
        <v>Walk-in Customer</v>
      </c>
      <c r="F3072" s="4" t="s">
        <v>8</v>
      </c>
      <c r="G3072" s="1" t="str">
        <f>_xlfn.XLOOKUP(tblSales[[#This Row],[Product Code]],tblProducts[Code],tblProducts[Product / Service Name],"⚠ Unknown")</f>
        <v>Casual Shorts</v>
      </c>
      <c r="H3072" s="1" t="str">
        <f>_xlfn.XLOOKUP(tblSales[[#This Row],[Product Code]],tblProducts[Code],tblProducts[Category],"")</f>
        <v>Accessories &amp; Basics</v>
      </c>
      <c r="I3072" s="4">
        <v>2</v>
      </c>
      <c r="J3072" s="5">
        <f>_xlfn.XLOOKUP(tblSales[[#This Row],[Product Code]],tblProducts[Code],tblProducts[Selling Price (excl. VAT)],0)</f>
        <v>85000</v>
      </c>
      <c r="K3072" s="5">
        <f>tblSales[[#This Row],[Qty]]*tblSales[[#This Row],[Unit Price]]</f>
        <v>170000</v>
      </c>
      <c r="L3072" s="5">
        <f>ROUND(tblSales[[#This Row],[DPP (excl. VAT)]]*VATEff,0)</f>
        <v>18700</v>
      </c>
      <c r="M3072" s="5">
        <f>tblSales[[#This Row],[DPP (excl. VAT)]]+tblSales[[#This Row],[Output VAT]]</f>
        <v>188700</v>
      </c>
      <c r="N3072" s="5">
        <f>tblSales[[#This Row],[Qty]]*_xlfn.XLOOKUP(tblSales[[#This Row],[Product Code]],tblProducts[Code],tblProducts[Unit Cost],0)</f>
        <v>100000</v>
      </c>
      <c r="O3072" s="4" t="s">
        <v>4866</v>
      </c>
      <c r="P3072" s="4" t="s">
        <v>4861</v>
      </c>
      <c r="Q3072" s="1" t="str">
        <f>_xlfn.XLOOKUP(tblSales[[#This Row],[Channel Code]],tblChannels[Channel Code],tblChannels[Channel Name],"")</f>
        <v>Marketplace</v>
      </c>
      <c r="R3072" s="1">
        <f>MONTH(tblSales[[#This Row],[Date]])</f>
        <v>7</v>
      </c>
    </row>
    <row r="3073" spans="2:18" x14ac:dyDescent="0.35">
      <c r="B3073" s="113">
        <v>46206</v>
      </c>
      <c r="C3073" s="4" t="s">
        <v>2049</v>
      </c>
      <c r="D3073" s="4" t="s">
        <v>4568</v>
      </c>
      <c r="E3073" s="1" t="str">
        <f>_xlfn.XLOOKUP(tblSales[[#This Row],[Customer ID]],tblCustomers[Customer ID],tblCustomers[Customer Name],"⚠ Unknown")</f>
        <v>Walk-in Customer</v>
      </c>
      <c r="F3073" s="4" t="s">
        <v>13</v>
      </c>
      <c r="G3073" s="1" t="str">
        <f>_xlfn.XLOOKUP(tblSales[[#This Row],[Product Code]],tblProducts[Code],tblProducts[Product / Service Name],"⚠ Unknown")</f>
        <v>Backpack</v>
      </c>
      <c r="H3073" s="1" t="str">
        <f>_xlfn.XLOOKUP(tblSales[[#This Row],[Product Code]],tblProducts[Code],tblProducts[Category],"")</f>
        <v>Bags &amp; Gadgets</v>
      </c>
      <c r="I3073" s="4">
        <v>4</v>
      </c>
      <c r="J3073" s="5">
        <f>_xlfn.XLOOKUP(tblSales[[#This Row],[Product Code]],tblProducts[Code],tblProducts[Selling Price (excl. VAT)],0)</f>
        <v>500000</v>
      </c>
      <c r="K3073" s="5">
        <f>tblSales[[#This Row],[Qty]]*tblSales[[#This Row],[Unit Price]]</f>
        <v>2000000</v>
      </c>
      <c r="L3073" s="5">
        <f>ROUND(tblSales[[#This Row],[DPP (excl. VAT)]]*VATEff,0)</f>
        <v>220000</v>
      </c>
      <c r="M3073" s="5">
        <f>tblSales[[#This Row],[DPP (excl. VAT)]]+tblSales[[#This Row],[Output VAT]]</f>
        <v>2220000</v>
      </c>
      <c r="N3073" s="5">
        <f>tblSales[[#This Row],[Qty]]*_xlfn.XLOOKUP(tblSales[[#This Row],[Product Code]],tblProducts[Code],tblProducts[Unit Cost],0)</f>
        <v>1160000</v>
      </c>
      <c r="O3073" s="4" t="s">
        <v>4866</v>
      </c>
      <c r="P3073" s="4" t="s">
        <v>4861</v>
      </c>
      <c r="Q3073" s="1" t="str">
        <f>_xlfn.XLOOKUP(tblSales[[#This Row],[Channel Code]],tblChannels[Channel Code],tblChannels[Channel Name],"")</f>
        <v>Marketplace</v>
      </c>
      <c r="R3073" s="1">
        <f>MONTH(tblSales[[#This Row],[Date]])</f>
        <v>7</v>
      </c>
    </row>
    <row r="3074" spans="2:18" x14ac:dyDescent="0.35">
      <c r="B3074" s="113">
        <v>46206</v>
      </c>
      <c r="C3074" s="4" t="s">
        <v>2050</v>
      </c>
      <c r="D3074" s="4" t="s">
        <v>4568</v>
      </c>
      <c r="E3074" s="1" t="str">
        <f>_xlfn.XLOOKUP(tblSales[[#This Row],[Customer ID]],tblCustomers[Customer ID],tblCustomers[Customer Name],"⚠ Unknown")</f>
        <v>Walk-in Customer</v>
      </c>
      <c r="F3074" s="4" t="s">
        <v>6</v>
      </c>
      <c r="G3074" s="1" t="str">
        <f>_xlfn.XLOOKUP(tblSales[[#This Row],[Product Code]],tblProducts[Code],tblProducts[Product / Service Name],"⚠ Unknown")</f>
        <v>Socks &amp; Accessories</v>
      </c>
      <c r="H3074" s="1" t="str">
        <f>_xlfn.XLOOKUP(tblSales[[#This Row],[Product Code]],tblProducts[Code],tblProducts[Category],"")</f>
        <v>Accessories &amp; Basics</v>
      </c>
      <c r="I3074" s="4">
        <v>8</v>
      </c>
      <c r="J3074" s="5">
        <f>_xlfn.XLOOKUP(tblSales[[#This Row],[Product Code]],tblProducts[Code],tblProducts[Selling Price (excl. VAT)],0)</f>
        <v>45000</v>
      </c>
      <c r="K3074" s="5">
        <f>tblSales[[#This Row],[Qty]]*tblSales[[#This Row],[Unit Price]]</f>
        <v>360000</v>
      </c>
      <c r="L3074" s="5">
        <f>ROUND(tblSales[[#This Row],[DPP (excl. VAT)]]*VATEff,0)</f>
        <v>39600</v>
      </c>
      <c r="M3074" s="5">
        <f>tblSales[[#This Row],[DPP (excl. VAT)]]+tblSales[[#This Row],[Output VAT]]</f>
        <v>399600</v>
      </c>
      <c r="N3074" s="5">
        <f>tblSales[[#This Row],[Qty]]*_xlfn.XLOOKUP(tblSales[[#This Row],[Product Code]],tblProducts[Code],tblProducts[Unit Cost],0)</f>
        <v>192000</v>
      </c>
      <c r="O3074" s="4" t="s">
        <v>4866</v>
      </c>
      <c r="P3074" s="4" t="s">
        <v>4861</v>
      </c>
      <c r="Q3074" s="1" t="str">
        <f>_xlfn.XLOOKUP(tblSales[[#This Row],[Channel Code]],tblChannels[Channel Code],tblChannels[Channel Name],"")</f>
        <v>Marketplace</v>
      </c>
      <c r="R3074" s="1">
        <f>MONTH(tblSales[[#This Row],[Date]])</f>
        <v>7</v>
      </c>
    </row>
    <row r="3075" spans="2:18" x14ac:dyDescent="0.35">
      <c r="B3075" s="113">
        <v>46206</v>
      </c>
      <c r="C3075" s="4" t="s">
        <v>2051</v>
      </c>
      <c r="D3075" s="4" t="s">
        <v>4599</v>
      </c>
      <c r="E3075" s="1" t="str">
        <f>_xlfn.XLOOKUP(tblSales[[#This Row],[Customer ID]],tblCustomers[Customer ID],tblCustomers[Customer Name],"⚠ Unknown")</f>
        <v>PT Samudra Jaya Logistik</v>
      </c>
      <c r="F3075" s="4" t="s">
        <v>6</v>
      </c>
      <c r="G3075" s="1" t="str">
        <f>_xlfn.XLOOKUP(tblSales[[#This Row],[Product Code]],tblProducts[Code],tblProducts[Product / Service Name],"⚠ Unknown")</f>
        <v>Socks &amp; Accessories</v>
      </c>
      <c r="H3075" s="1" t="str">
        <f>_xlfn.XLOOKUP(tblSales[[#This Row],[Product Code]],tblProducts[Code],tblProducts[Category],"")</f>
        <v>Accessories &amp; Basics</v>
      </c>
      <c r="I3075" s="4">
        <v>24</v>
      </c>
      <c r="J3075" s="5">
        <f>_xlfn.XLOOKUP(tblSales[[#This Row],[Product Code]],tblProducts[Code],tblProducts[Selling Price (excl. VAT)],0)</f>
        <v>45000</v>
      </c>
      <c r="K3075" s="5">
        <f>tblSales[[#This Row],[Qty]]*tblSales[[#This Row],[Unit Price]]</f>
        <v>1080000</v>
      </c>
      <c r="L3075" s="5">
        <f>ROUND(tblSales[[#This Row],[DPP (excl. VAT)]]*VATEff,0)</f>
        <v>118800</v>
      </c>
      <c r="M3075" s="5">
        <f>tblSales[[#This Row],[DPP (excl. VAT)]]+tblSales[[#This Row],[Output VAT]]</f>
        <v>1198800</v>
      </c>
      <c r="N3075" s="5">
        <f>tblSales[[#This Row],[Qty]]*_xlfn.XLOOKUP(tblSales[[#This Row],[Product Code]],tblProducts[Code],tblProducts[Unit Cost],0)</f>
        <v>576000</v>
      </c>
      <c r="O3075" s="4" t="s">
        <v>4867</v>
      </c>
      <c r="P3075" s="4" t="s">
        <v>4860</v>
      </c>
      <c r="Q3075" s="1" t="str">
        <f>_xlfn.XLOOKUP(tblSales[[#This Row],[Channel Code]],tblChannels[Channel Code],tblChannels[Channel Name],"")</f>
        <v>In-store</v>
      </c>
      <c r="R3075" s="1">
        <f>MONTH(tblSales[[#This Row],[Date]])</f>
        <v>7</v>
      </c>
    </row>
    <row r="3076" spans="2:18" x14ac:dyDescent="0.35">
      <c r="B3076" s="113">
        <v>46206</v>
      </c>
      <c r="C3076" s="4" t="s">
        <v>2052</v>
      </c>
      <c r="D3076" s="4" t="s">
        <v>4568</v>
      </c>
      <c r="E3076" s="1" t="str">
        <f>_xlfn.XLOOKUP(tblSales[[#This Row],[Customer ID]],tblCustomers[Customer ID],tblCustomers[Customer Name],"⚠ Unknown")</f>
        <v>Walk-in Customer</v>
      </c>
      <c r="F3076" s="4" t="s">
        <v>15</v>
      </c>
      <c r="G3076" s="1" t="str">
        <f>_xlfn.XLOOKUP(tblSales[[#This Row],[Product Code]],tblProducts[Code],tblProducts[Product / Service Name],"⚠ Unknown")</f>
        <v>Wireless Earbuds Pro</v>
      </c>
      <c r="H3076" s="1" t="str">
        <f>_xlfn.XLOOKUP(tblSales[[#This Row],[Product Code]],tblProducts[Code],tblProducts[Category],"")</f>
        <v>Bags &amp; Gadgets</v>
      </c>
      <c r="I3076" s="4">
        <v>1</v>
      </c>
      <c r="J3076" s="5">
        <f>_xlfn.XLOOKUP(tblSales[[#This Row],[Product Code]],tblProducts[Code],tblProducts[Selling Price (excl. VAT)],0)</f>
        <v>1250000</v>
      </c>
      <c r="K3076" s="5">
        <f>tblSales[[#This Row],[Qty]]*tblSales[[#This Row],[Unit Price]]</f>
        <v>1250000</v>
      </c>
      <c r="L3076" s="5">
        <f>ROUND(tblSales[[#This Row],[DPP (excl. VAT)]]*VATEff,0)</f>
        <v>137500</v>
      </c>
      <c r="M3076" s="5">
        <f>tblSales[[#This Row],[DPP (excl. VAT)]]+tblSales[[#This Row],[Output VAT]]</f>
        <v>1387500</v>
      </c>
      <c r="N3076" s="5">
        <f>tblSales[[#This Row],[Qty]]*_xlfn.XLOOKUP(tblSales[[#This Row],[Product Code]],tblProducts[Code],tblProducts[Unit Cost],0)</f>
        <v>820000</v>
      </c>
      <c r="O3076" s="4" t="s">
        <v>4865</v>
      </c>
      <c r="P3076" s="4" t="s">
        <v>4860</v>
      </c>
      <c r="Q3076" s="1" t="str">
        <f>_xlfn.XLOOKUP(tblSales[[#This Row],[Channel Code]],tblChannels[Channel Code],tblChannels[Channel Name],"")</f>
        <v>In-store</v>
      </c>
      <c r="R3076" s="1">
        <f>MONTH(tblSales[[#This Row],[Date]])</f>
        <v>7</v>
      </c>
    </row>
    <row r="3077" spans="2:18" x14ac:dyDescent="0.35">
      <c r="B3077" s="113">
        <v>46206</v>
      </c>
      <c r="C3077" s="4" t="s">
        <v>2053</v>
      </c>
      <c r="D3077" s="4" t="s">
        <v>4568</v>
      </c>
      <c r="E3077" s="1" t="str">
        <f>_xlfn.XLOOKUP(tblSales[[#This Row],[Customer ID]],tblCustomers[Customer ID],tblCustomers[Customer Name],"⚠ Unknown")</f>
        <v>Walk-in Customer</v>
      </c>
      <c r="F3077" s="4" t="s">
        <v>10</v>
      </c>
      <c r="G3077" s="1" t="str">
        <f>_xlfn.XLOOKUP(tblSales[[#This Row],[Product Code]],tblProducts[Code],tblProducts[Product / Service Name],"⚠ Unknown")</f>
        <v>Chino Pants</v>
      </c>
      <c r="H3077" s="1" t="str">
        <f>_xlfn.XLOOKUP(tblSales[[#This Row],[Product Code]],tblProducts[Code],tblProducts[Category],"")</f>
        <v>Apparel &amp; Footwear</v>
      </c>
      <c r="I3077" s="4">
        <v>5</v>
      </c>
      <c r="J3077" s="5">
        <f>_xlfn.XLOOKUP(tblSales[[#This Row],[Product Code]],tblProducts[Code],tblProducts[Selling Price (excl. VAT)],0)</f>
        <v>150000</v>
      </c>
      <c r="K3077" s="5">
        <f>tblSales[[#This Row],[Qty]]*tblSales[[#This Row],[Unit Price]]</f>
        <v>750000</v>
      </c>
      <c r="L3077" s="5">
        <f>ROUND(tblSales[[#This Row],[DPP (excl. VAT)]]*VATEff,0)</f>
        <v>82500</v>
      </c>
      <c r="M3077" s="5">
        <f>tblSales[[#This Row],[DPP (excl. VAT)]]+tblSales[[#This Row],[Output VAT]]</f>
        <v>832500</v>
      </c>
      <c r="N3077" s="5">
        <f>tblSales[[#This Row],[Qty]]*_xlfn.XLOOKUP(tblSales[[#This Row],[Product Code]],tblProducts[Code],tblProducts[Unit Cost],0)</f>
        <v>440000</v>
      </c>
      <c r="O3077" s="4" t="s">
        <v>4866</v>
      </c>
      <c r="P3077" s="4" t="s">
        <v>4862</v>
      </c>
      <c r="Q3077" s="1" t="str">
        <f>_xlfn.XLOOKUP(tblSales[[#This Row],[Channel Code]],tblChannels[Channel Code],tblChannels[Channel Name],"")</f>
        <v>Website &amp; Social Media</v>
      </c>
      <c r="R3077" s="1">
        <f>MONTH(tblSales[[#This Row],[Date]])</f>
        <v>7</v>
      </c>
    </row>
    <row r="3078" spans="2:18" x14ac:dyDescent="0.35">
      <c r="B3078" s="113">
        <v>46206</v>
      </c>
      <c r="C3078" s="4" t="s">
        <v>2053</v>
      </c>
      <c r="D3078" s="4" t="s">
        <v>4568</v>
      </c>
      <c r="E3078" s="1" t="str">
        <f>_xlfn.XLOOKUP(tblSales[[#This Row],[Customer ID]],tblCustomers[Customer ID],tblCustomers[Customer Name],"⚠ Unknown")</f>
        <v>Walk-in Customer</v>
      </c>
      <c r="F3078" s="4" t="s">
        <v>8</v>
      </c>
      <c r="G3078" s="1" t="str">
        <f>_xlfn.XLOOKUP(tblSales[[#This Row],[Product Code]],tblProducts[Code],tblProducts[Product / Service Name],"⚠ Unknown")</f>
        <v>Casual Shorts</v>
      </c>
      <c r="H3078" s="1" t="str">
        <f>_xlfn.XLOOKUP(tblSales[[#This Row],[Product Code]],tblProducts[Code],tblProducts[Category],"")</f>
        <v>Accessories &amp; Basics</v>
      </c>
      <c r="I3078" s="4">
        <v>1</v>
      </c>
      <c r="J3078" s="5">
        <f>_xlfn.XLOOKUP(tblSales[[#This Row],[Product Code]],tblProducts[Code],tblProducts[Selling Price (excl. VAT)],0)</f>
        <v>85000</v>
      </c>
      <c r="K3078" s="5">
        <f>tblSales[[#This Row],[Qty]]*tblSales[[#This Row],[Unit Price]]</f>
        <v>85000</v>
      </c>
      <c r="L3078" s="5">
        <f>ROUND(tblSales[[#This Row],[DPP (excl. VAT)]]*VATEff,0)</f>
        <v>9350</v>
      </c>
      <c r="M3078" s="5">
        <f>tblSales[[#This Row],[DPP (excl. VAT)]]+tblSales[[#This Row],[Output VAT]]</f>
        <v>94350</v>
      </c>
      <c r="N3078" s="5">
        <f>tblSales[[#This Row],[Qty]]*_xlfn.XLOOKUP(tblSales[[#This Row],[Product Code]],tblProducts[Code],tblProducts[Unit Cost],0)</f>
        <v>50000</v>
      </c>
      <c r="O3078" s="4" t="s">
        <v>4866</v>
      </c>
      <c r="P3078" s="4" t="s">
        <v>4862</v>
      </c>
      <c r="Q3078" s="1" t="str">
        <f>_xlfn.XLOOKUP(tblSales[[#This Row],[Channel Code]],tblChannels[Channel Code],tblChannels[Channel Name],"")</f>
        <v>Website &amp; Social Media</v>
      </c>
      <c r="R3078" s="1">
        <f>MONTH(tblSales[[#This Row],[Date]])</f>
        <v>7</v>
      </c>
    </row>
    <row r="3079" spans="2:18" x14ac:dyDescent="0.35">
      <c r="B3079" s="113">
        <v>46206</v>
      </c>
      <c r="C3079" s="4" t="s">
        <v>2053</v>
      </c>
      <c r="D3079" s="4" t="s">
        <v>4568</v>
      </c>
      <c r="E3079" s="1" t="str">
        <f>_xlfn.XLOOKUP(tblSales[[#This Row],[Customer ID]],tblCustomers[Customer ID],tblCustomers[Customer Name],"⚠ Unknown")</f>
        <v>Walk-in Customer</v>
      </c>
      <c r="F3079" s="4" t="s">
        <v>11</v>
      </c>
      <c r="G3079" s="1" t="str">
        <f>_xlfn.XLOOKUP(tblSales[[#This Row],[Product Code]],tblProducts[Code],tblProducts[Product / Service Name],"⚠ Unknown")</f>
        <v>Sneakers</v>
      </c>
      <c r="H3079" s="1" t="str">
        <f>_xlfn.XLOOKUP(tblSales[[#This Row],[Product Code]],tblProducts[Code],tblProducts[Category],"")</f>
        <v>Apparel &amp; Footwear</v>
      </c>
      <c r="I3079" s="4">
        <v>5</v>
      </c>
      <c r="J3079" s="5">
        <f>_xlfn.XLOOKUP(tblSales[[#This Row],[Product Code]],tblProducts[Code],tblProducts[Selling Price (excl. VAT)],0)</f>
        <v>250000</v>
      </c>
      <c r="K3079" s="5">
        <f>tblSales[[#This Row],[Qty]]*tblSales[[#This Row],[Unit Price]]</f>
        <v>1250000</v>
      </c>
      <c r="L3079" s="5">
        <f>ROUND(tblSales[[#This Row],[DPP (excl. VAT)]]*VATEff,0)</f>
        <v>137500</v>
      </c>
      <c r="M3079" s="5">
        <f>tblSales[[#This Row],[DPP (excl. VAT)]]+tblSales[[#This Row],[Output VAT]]</f>
        <v>1387500</v>
      </c>
      <c r="N3079" s="5">
        <f>tblSales[[#This Row],[Qty]]*_xlfn.XLOOKUP(tblSales[[#This Row],[Product Code]],tblProducts[Code],tblProducts[Unit Cost],0)</f>
        <v>775000</v>
      </c>
      <c r="O3079" s="4" t="s">
        <v>4866</v>
      </c>
      <c r="P3079" s="4" t="s">
        <v>4862</v>
      </c>
      <c r="Q3079" s="1" t="str">
        <f>_xlfn.XLOOKUP(tblSales[[#This Row],[Channel Code]],tblChannels[Channel Code],tblChannels[Channel Name],"")</f>
        <v>Website &amp; Social Media</v>
      </c>
      <c r="R3079" s="1">
        <f>MONTH(tblSales[[#This Row],[Date]])</f>
        <v>7</v>
      </c>
    </row>
    <row r="3080" spans="2:18" x14ac:dyDescent="0.35">
      <c r="B3080" s="113">
        <v>46207</v>
      </c>
      <c r="C3080" s="4" t="s">
        <v>2054</v>
      </c>
      <c r="D3080" s="4" t="s">
        <v>4568</v>
      </c>
      <c r="E3080" s="1" t="str">
        <f>_xlfn.XLOOKUP(tblSales[[#This Row],[Customer ID]],tblCustomers[Customer ID],tblCustomers[Customer Name],"⚠ Unknown")</f>
        <v>Walk-in Customer</v>
      </c>
      <c r="F3080" s="4" t="s">
        <v>7</v>
      </c>
      <c r="G3080" s="1" t="str">
        <f>_xlfn.XLOOKUP(tblSales[[#This Row],[Product Code]],tblProducts[Code],tblProducts[Product / Service Name],"⚠ Unknown")</f>
        <v>Premium Basic T-shirt</v>
      </c>
      <c r="H3080" s="1" t="str">
        <f>_xlfn.XLOOKUP(tblSales[[#This Row],[Product Code]],tblProducts[Code],tblProducts[Category],"")</f>
        <v>Accessories &amp; Basics</v>
      </c>
      <c r="I3080" s="4">
        <v>11</v>
      </c>
      <c r="J3080" s="5">
        <f>_xlfn.XLOOKUP(tblSales[[#This Row],[Product Code]],tblProducts[Code],tblProducts[Selling Price (excl. VAT)],0)</f>
        <v>65000</v>
      </c>
      <c r="K3080" s="5">
        <f>tblSales[[#This Row],[Qty]]*tblSales[[#This Row],[Unit Price]]</f>
        <v>715000</v>
      </c>
      <c r="L3080" s="5">
        <f>ROUND(tblSales[[#This Row],[DPP (excl. VAT)]]*VATEff,0)</f>
        <v>78650</v>
      </c>
      <c r="M3080" s="5">
        <f>tblSales[[#This Row],[DPP (excl. VAT)]]+tblSales[[#This Row],[Output VAT]]</f>
        <v>793650</v>
      </c>
      <c r="N3080" s="5">
        <f>tblSales[[#This Row],[Qty]]*_xlfn.XLOOKUP(tblSales[[#This Row],[Product Code]],tblProducts[Code],tblProducts[Unit Cost],0)</f>
        <v>407000</v>
      </c>
      <c r="O3080" s="4" t="s">
        <v>4866</v>
      </c>
      <c r="P3080" s="4" t="s">
        <v>4860</v>
      </c>
      <c r="Q3080" s="1" t="str">
        <f>_xlfn.XLOOKUP(tblSales[[#This Row],[Channel Code]],tblChannels[Channel Code],tblChannels[Channel Name],"")</f>
        <v>In-store</v>
      </c>
      <c r="R3080" s="1">
        <f>MONTH(tblSales[[#This Row],[Date]])</f>
        <v>7</v>
      </c>
    </row>
    <row r="3081" spans="2:18" x14ac:dyDescent="0.35">
      <c r="B3081" s="113">
        <v>46207</v>
      </c>
      <c r="C3081" s="4" t="s">
        <v>2054</v>
      </c>
      <c r="D3081" s="4" t="s">
        <v>4568</v>
      </c>
      <c r="E3081" s="1" t="str">
        <f>_xlfn.XLOOKUP(tblSales[[#This Row],[Customer ID]],tblCustomers[Customer ID],tblCustomers[Customer Name],"⚠ Unknown")</f>
        <v>Walk-in Customer</v>
      </c>
      <c r="F3081" s="4" t="s">
        <v>8</v>
      </c>
      <c r="G3081" s="1" t="str">
        <f>_xlfn.XLOOKUP(tblSales[[#This Row],[Product Code]],tblProducts[Code],tblProducts[Product / Service Name],"⚠ Unknown")</f>
        <v>Casual Shorts</v>
      </c>
      <c r="H3081" s="1" t="str">
        <f>_xlfn.XLOOKUP(tblSales[[#This Row],[Product Code]],tblProducts[Code],tblProducts[Category],"")</f>
        <v>Accessories &amp; Basics</v>
      </c>
      <c r="I3081" s="4">
        <v>11</v>
      </c>
      <c r="J3081" s="5">
        <f>_xlfn.XLOOKUP(tblSales[[#This Row],[Product Code]],tblProducts[Code],tblProducts[Selling Price (excl. VAT)],0)</f>
        <v>85000</v>
      </c>
      <c r="K3081" s="5">
        <f>tblSales[[#This Row],[Qty]]*tblSales[[#This Row],[Unit Price]]</f>
        <v>935000</v>
      </c>
      <c r="L3081" s="5">
        <f>ROUND(tblSales[[#This Row],[DPP (excl. VAT)]]*VATEff,0)</f>
        <v>102850</v>
      </c>
      <c r="M3081" s="5">
        <f>tblSales[[#This Row],[DPP (excl. VAT)]]+tblSales[[#This Row],[Output VAT]]</f>
        <v>1037850</v>
      </c>
      <c r="N3081" s="5">
        <f>tblSales[[#This Row],[Qty]]*_xlfn.XLOOKUP(tblSales[[#This Row],[Product Code]],tblProducts[Code],tblProducts[Unit Cost],0)</f>
        <v>550000</v>
      </c>
      <c r="O3081" s="4" t="s">
        <v>4866</v>
      </c>
      <c r="P3081" s="4" t="s">
        <v>4860</v>
      </c>
      <c r="Q3081" s="1" t="str">
        <f>_xlfn.XLOOKUP(tblSales[[#This Row],[Channel Code]],tblChannels[Channel Code],tblChannels[Channel Name],"")</f>
        <v>In-store</v>
      </c>
      <c r="R3081" s="1">
        <f>MONTH(tblSales[[#This Row],[Date]])</f>
        <v>7</v>
      </c>
    </row>
    <row r="3082" spans="2:18" x14ac:dyDescent="0.35">
      <c r="B3082" s="113">
        <v>46207</v>
      </c>
      <c r="C3082" s="4" t="s">
        <v>2055</v>
      </c>
      <c r="D3082" s="4" t="s">
        <v>4599</v>
      </c>
      <c r="E3082" s="1" t="str">
        <f>_xlfn.XLOOKUP(tblSales[[#This Row],[Customer ID]],tblCustomers[Customer ID],tblCustomers[Customer Name],"⚠ Unknown")</f>
        <v>PT Samudra Jaya Logistik</v>
      </c>
      <c r="F3082" s="4" t="s">
        <v>9</v>
      </c>
      <c r="G3082" s="1" t="str">
        <f>_xlfn.XLOOKUP(tblSales[[#This Row],[Product Code]],tblProducts[Code],tblProducts[Product / Service Name],"⚠ Unknown")</f>
        <v>Casual Shirt</v>
      </c>
      <c r="H3082" s="1" t="str">
        <f>_xlfn.XLOOKUP(tblSales[[#This Row],[Product Code]],tblProducts[Code],tblProducts[Category],"")</f>
        <v>Apparel &amp; Footwear</v>
      </c>
      <c r="I3082" s="4">
        <v>80</v>
      </c>
      <c r="J3082" s="5">
        <f>_xlfn.XLOOKUP(tblSales[[#This Row],[Product Code]],tblProducts[Code],tblProducts[Selling Price (excl. VAT)],0)</f>
        <v>120000</v>
      </c>
      <c r="K3082" s="5">
        <f>tblSales[[#This Row],[Qty]]*tblSales[[#This Row],[Unit Price]]</f>
        <v>9600000</v>
      </c>
      <c r="L3082" s="5">
        <f>ROUND(tblSales[[#This Row],[DPP (excl. VAT)]]*VATEff,0)</f>
        <v>1056000</v>
      </c>
      <c r="M3082" s="5">
        <f>tblSales[[#This Row],[DPP (excl. VAT)]]+tblSales[[#This Row],[Output VAT]]</f>
        <v>10656000</v>
      </c>
      <c r="N3082" s="5">
        <f>tblSales[[#This Row],[Qty]]*_xlfn.XLOOKUP(tblSales[[#This Row],[Product Code]],tblProducts[Code],tblProducts[Unit Cost],0)</f>
        <v>5760000</v>
      </c>
      <c r="O3082" s="4" t="s">
        <v>4867</v>
      </c>
      <c r="P3082" s="4" t="s">
        <v>4860</v>
      </c>
      <c r="Q3082" s="1" t="str">
        <f>_xlfn.XLOOKUP(tblSales[[#This Row],[Channel Code]],tblChannels[Channel Code],tblChannels[Channel Name],"")</f>
        <v>In-store</v>
      </c>
      <c r="R3082" s="1">
        <f>MONTH(tblSales[[#This Row],[Date]])</f>
        <v>7</v>
      </c>
    </row>
    <row r="3083" spans="2:18" x14ac:dyDescent="0.35">
      <c r="B3083" s="113">
        <v>46207</v>
      </c>
      <c r="C3083" s="4" t="s">
        <v>2055</v>
      </c>
      <c r="D3083" s="4" t="s">
        <v>4599</v>
      </c>
      <c r="E3083" s="1" t="str">
        <f>_xlfn.XLOOKUP(tblSales[[#This Row],[Customer ID]],tblCustomers[Customer ID],tblCustomers[Customer Name],"⚠ Unknown")</f>
        <v>PT Samudra Jaya Logistik</v>
      </c>
      <c r="F3083" s="4" t="s">
        <v>6</v>
      </c>
      <c r="G3083" s="1" t="str">
        <f>_xlfn.XLOOKUP(tblSales[[#This Row],[Product Code]],tblProducts[Code],tblProducts[Product / Service Name],"⚠ Unknown")</f>
        <v>Socks &amp; Accessories</v>
      </c>
      <c r="H3083" s="1" t="str">
        <f>_xlfn.XLOOKUP(tblSales[[#This Row],[Product Code]],tblProducts[Code],tblProducts[Category],"")</f>
        <v>Accessories &amp; Basics</v>
      </c>
      <c r="I3083" s="4">
        <v>72</v>
      </c>
      <c r="J3083" s="5">
        <f>_xlfn.XLOOKUP(tblSales[[#This Row],[Product Code]],tblProducts[Code],tblProducts[Selling Price (excl. VAT)],0)</f>
        <v>45000</v>
      </c>
      <c r="K3083" s="5">
        <f>tblSales[[#This Row],[Qty]]*tblSales[[#This Row],[Unit Price]]</f>
        <v>3240000</v>
      </c>
      <c r="L3083" s="5">
        <f>ROUND(tblSales[[#This Row],[DPP (excl. VAT)]]*VATEff,0)</f>
        <v>356400</v>
      </c>
      <c r="M3083" s="5">
        <f>tblSales[[#This Row],[DPP (excl. VAT)]]+tblSales[[#This Row],[Output VAT]]</f>
        <v>3596400</v>
      </c>
      <c r="N3083" s="5">
        <f>tblSales[[#This Row],[Qty]]*_xlfn.XLOOKUP(tblSales[[#This Row],[Product Code]],tblProducts[Code],tblProducts[Unit Cost],0)</f>
        <v>1728000</v>
      </c>
      <c r="O3083" s="4" t="s">
        <v>4867</v>
      </c>
      <c r="P3083" s="4" t="s">
        <v>4860</v>
      </c>
      <c r="Q3083" s="1" t="str">
        <f>_xlfn.XLOOKUP(tblSales[[#This Row],[Channel Code]],tblChannels[Channel Code],tblChannels[Channel Name],"")</f>
        <v>In-store</v>
      </c>
      <c r="R3083" s="1">
        <f>MONTH(tblSales[[#This Row],[Date]])</f>
        <v>7</v>
      </c>
    </row>
    <row r="3084" spans="2:18" x14ac:dyDescent="0.35">
      <c r="B3084" s="113">
        <v>46207</v>
      </c>
      <c r="C3084" s="4" t="s">
        <v>2056</v>
      </c>
      <c r="D3084" s="4" t="s">
        <v>4568</v>
      </c>
      <c r="E3084" s="1" t="str">
        <f>_xlfn.XLOOKUP(tblSales[[#This Row],[Customer ID]],tblCustomers[Customer ID],tblCustomers[Customer Name],"⚠ Unknown")</f>
        <v>Walk-in Customer</v>
      </c>
      <c r="F3084" s="4" t="s">
        <v>10</v>
      </c>
      <c r="G3084" s="1" t="str">
        <f>_xlfn.XLOOKUP(tblSales[[#This Row],[Product Code]],tblProducts[Code],tblProducts[Product / Service Name],"⚠ Unknown")</f>
        <v>Chino Pants</v>
      </c>
      <c r="H3084" s="1" t="str">
        <f>_xlfn.XLOOKUP(tblSales[[#This Row],[Product Code]],tblProducts[Code],tblProducts[Category],"")</f>
        <v>Apparel &amp; Footwear</v>
      </c>
      <c r="I3084" s="4">
        <v>6</v>
      </c>
      <c r="J3084" s="5">
        <f>_xlfn.XLOOKUP(tblSales[[#This Row],[Product Code]],tblProducts[Code],tblProducts[Selling Price (excl. VAT)],0)</f>
        <v>150000</v>
      </c>
      <c r="K3084" s="5">
        <f>tblSales[[#This Row],[Qty]]*tblSales[[#This Row],[Unit Price]]</f>
        <v>900000</v>
      </c>
      <c r="L3084" s="5">
        <f>ROUND(tblSales[[#This Row],[DPP (excl. VAT)]]*VATEff,0)</f>
        <v>99000</v>
      </c>
      <c r="M3084" s="5">
        <f>tblSales[[#This Row],[DPP (excl. VAT)]]+tblSales[[#This Row],[Output VAT]]</f>
        <v>999000</v>
      </c>
      <c r="N3084" s="5">
        <f>tblSales[[#This Row],[Qty]]*_xlfn.XLOOKUP(tblSales[[#This Row],[Product Code]],tblProducts[Code],tblProducts[Unit Cost],0)</f>
        <v>528000</v>
      </c>
      <c r="O3084" s="4" t="s">
        <v>4866</v>
      </c>
      <c r="P3084" s="4" t="s">
        <v>4860</v>
      </c>
      <c r="Q3084" s="1" t="str">
        <f>_xlfn.XLOOKUP(tblSales[[#This Row],[Channel Code]],tblChannels[Channel Code],tblChannels[Channel Name],"")</f>
        <v>In-store</v>
      </c>
      <c r="R3084" s="1">
        <f>MONTH(tblSales[[#This Row],[Date]])</f>
        <v>7</v>
      </c>
    </row>
    <row r="3085" spans="2:18" x14ac:dyDescent="0.35">
      <c r="B3085" s="113">
        <v>46207</v>
      </c>
      <c r="C3085" s="4" t="s">
        <v>2056</v>
      </c>
      <c r="D3085" s="4" t="s">
        <v>4568</v>
      </c>
      <c r="E3085" s="1" t="str">
        <f>_xlfn.XLOOKUP(tblSales[[#This Row],[Customer ID]],tblCustomers[Customer ID],tblCustomers[Customer Name],"⚠ Unknown")</f>
        <v>Walk-in Customer</v>
      </c>
      <c r="F3085" s="4" t="s">
        <v>14</v>
      </c>
      <c r="G3085" s="1" t="str">
        <f>_xlfn.XLOOKUP(tblSales[[#This Row],[Product Code]],tblProducts[Code],tblProducts[Product / Service Name],"⚠ Unknown")</f>
        <v>Smartwatch</v>
      </c>
      <c r="H3085" s="1" t="str">
        <f>_xlfn.XLOOKUP(tblSales[[#This Row],[Product Code]],tblProducts[Code],tblProducts[Category],"")</f>
        <v>Bags &amp; Gadgets</v>
      </c>
      <c r="I3085" s="4">
        <v>2</v>
      </c>
      <c r="J3085" s="5">
        <f>_xlfn.XLOOKUP(tblSales[[#This Row],[Product Code]],tblProducts[Code],tblProducts[Selling Price (excl. VAT)],0)</f>
        <v>850000</v>
      </c>
      <c r="K3085" s="5">
        <f>tblSales[[#This Row],[Qty]]*tblSales[[#This Row],[Unit Price]]</f>
        <v>1700000</v>
      </c>
      <c r="L3085" s="5">
        <f>ROUND(tblSales[[#This Row],[DPP (excl. VAT)]]*VATEff,0)</f>
        <v>187000</v>
      </c>
      <c r="M3085" s="5">
        <f>tblSales[[#This Row],[DPP (excl. VAT)]]+tblSales[[#This Row],[Output VAT]]</f>
        <v>1887000</v>
      </c>
      <c r="N3085" s="5">
        <f>tblSales[[#This Row],[Qty]]*_xlfn.XLOOKUP(tblSales[[#This Row],[Product Code]],tblProducts[Code],tblProducts[Unit Cost],0)</f>
        <v>1120000</v>
      </c>
      <c r="O3085" s="4" t="s">
        <v>4866</v>
      </c>
      <c r="P3085" s="4" t="s">
        <v>4860</v>
      </c>
      <c r="Q3085" s="1" t="str">
        <f>_xlfn.XLOOKUP(tblSales[[#This Row],[Channel Code]],tblChannels[Channel Code],tblChannels[Channel Name],"")</f>
        <v>In-store</v>
      </c>
      <c r="R3085" s="1">
        <f>MONTH(tblSales[[#This Row],[Date]])</f>
        <v>7</v>
      </c>
    </row>
    <row r="3086" spans="2:18" x14ac:dyDescent="0.35">
      <c r="B3086" s="113">
        <v>46207</v>
      </c>
      <c r="C3086" s="4" t="s">
        <v>2056</v>
      </c>
      <c r="D3086" s="4" t="s">
        <v>4568</v>
      </c>
      <c r="E3086" s="1" t="str">
        <f>_xlfn.XLOOKUP(tblSales[[#This Row],[Customer ID]],tblCustomers[Customer ID],tblCustomers[Customer Name],"⚠ Unknown")</f>
        <v>Walk-in Customer</v>
      </c>
      <c r="F3086" s="4" t="s">
        <v>6</v>
      </c>
      <c r="G3086" s="1" t="str">
        <f>_xlfn.XLOOKUP(tblSales[[#This Row],[Product Code]],tblProducts[Code],tblProducts[Product / Service Name],"⚠ Unknown")</f>
        <v>Socks &amp; Accessories</v>
      </c>
      <c r="H3086" s="1" t="str">
        <f>_xlfn.XLOOKUP(tblSales[[#This Row],[Product Code]],tblProducts[Code],tblProducts[Category],"")</f>
        <v>Accessories &amp; Basics</v>
      </c>
      <c r="I3086" s="4">
        <v>8</v>
      </c>
      <c r="J3086" s="5">
        <f>_xlfn.XLOOKUP(tblSales[[#This Row],[Product Code]],tblProducts[Code],tblProducts[Selling Price (excl. VAT)],0)</f>
        <v>45000</v>
      </c>
      <c r="K3086" s="5">
        <f>tblSales[[#This Row],[Qty]]*tblSales[[#This Row],[Unit Price]]</f>
        <v>360000</v>
      </c>
      <c r="L3086" s="5">
        <f>ROUND(tblSales[[#This Row],[DPP (excl. VAT)]]*VATEff,0)</f>
        <v>39600</v>
      </c>
      <c r="M3086" s="5">
        <f>tblSales[[#This Row],[DPP (excl. VAT)]]+tblSales[[#This Row],[Output VAT]]</f>
        <v>399600</v>
      </c>
      <c r="N3086" s="5">
        <f>tblSales[[#This Row],[Qty]]*_xlfn.XLOOKUP(tblSales[[#This Row],[Product Code]],tblProducts[Code],tblProducts[Unit Cost],0)</f>
        <v>192000</v>
      </c>
      <c r="O3086" s="4" t="s">
        <v>4866</v>
      </c>
      <c r="P3086" s="4" t="s">
        <v>4860</v>
      </c>
      <c r="Q3086" s="1" t="str">
        <f>_xlfn.XLOOKUP(tblSales[[#This Row],[Channel Code]],tblChannels[Channel Code],tblChannels[Channel Name],"")</f>
        <v>In-store</v>
      </c>
      <c r="R3086" s="1">
        <f>MONTH(tblSales[[#This Row],[Date]])</f>
        <v>7</v>
      </c>
    </row>
    <row r="3087" spans="2:18" x14ac:dyDescent="0.35">
      <c r="B3087" s="113">
        <v>46207</v>
      </c>
      <c r="C3087" s="4" t="s">
        <v>2057</v>
      </c>
      <c r="D3087" s="4" t="s">
        <v>4568</v>
      </c>
      <c r="E3087" s="1" t="str">
        <f>_xlfn.XLOOKUP(tblSales[[#This Row],[Customer ID]],tblCustomers[Customer ID],tblCustomers[Customer Name],"⚠ Unknown")</f>
        <v>Walk-in Customer</v>
      </c>
      <c r="F3087" s="4" t="s">
        <v>8</v>
      </c>
      <c r="G3087" s="1" t="str">
        <f>_xlfn.XLOOKUP(tblSales[[#This Row],[Product Code]],tblProducts[Code],tblProducts[Product / Service Name],"⚠ Unknown")</f>
        <v>Casual Shorts</v>
      </c>
      <c r="H3087" s="1" t="str">
        <f>_xlfn.XLOOKUP(tblSales[[#This Row],[Product Code]],tblProducts[Code],tblProducts[Category],"")</f>
        <v>Accessories &amp; Basics</v>
      </c>
      <c r="I3087" s="4">
        <v>1</v>
      </c>
      <c r="J3087" s="5">
        <f>_xlfn.XLOOKUP(tblSales[[#This Row],[Product Code]],tblProducts[Code],tblProducts[Selling Price (excl. VAT)],0)</f>
        <v>85000</v>
      </c>
      <c r="K3087" s="5">
        <f>tblSales[[#This Row],[Qty]]*tblSales[[#This Row],[Unit Price]]</f>
        <v>85000</v>
      </c>
      <c r="L3087" s="5">
        <f>ROUND(tblSales[[#This Row],[DPP (excl. VAT)]]*VATEff,0)</f>
        <v>9350</v>
      </c>
      <c r="M3087" s="5">
        <f>tblSales[[#This Row],[DPP (excl. VAT)]]+tblSales[[#This Row],[Output VAT]]</f>
        <v>94350</v>
      </c>
      <c r="N3087" s="5">
        <f>tblSales[[#This Row],[Qty]]*_xlfn.XLOOKUP(tblSales[[#This Row],[Product Code]],tblProducts[Code],tblProducts[Unit Cost],0)</f>
        <v>50000</v>
      </c>
      <c r="O3087" s="4" t="s">
        <v>4865</v>
      </c>
      <c r="P3087" s="4" t="s">
        <v>4860</v>
      </c>
      <c r="Q3087" s="1" t="str">
        <f>_xlfn.XLOOKUP(tblSales[[#This Row],[Channel Code]],tblChannels[Channel Code],tblChannels[Channel Name],"")</f>
        <v>In-store</v>
      </c>
      <c r="R3087" s="1">
        <f>MONTH(tblSales[[#This Row],[Date]])</f>
        <v>7</v>
      </c>
    </row>
    <row r="3088" spans="2:18" x14ac:dyDescent="0.35">
      <c r="B3088" s="113">
        <v>46207</v>
      </c>
      <c r="C3088" s="4" t="s">
        <v>2058</v>
      </c>
      <c r="D3088" s="4" t="s">
        <v>4568</v>
      </c>
      <c r="E3088" s="1" t="str">
        <f>_xlfn.XLOOKUP(tblSales[[#This Row],[Customer ID]],tblCustomers[Customer ID],tblCustomers[Customer Name],"⚠ Unknown")</f>
        <v>Walk-in Customer</v>
      </c>
      <c r="F3088" s="4" t="s">
        <v>10</v>
      </c>
      <c r="G3088" s="1" t="str">
        <f>_xlfn.XLOOKUP(tblSales[[#This Row],[Product Code]],tblProducts[Code],tblProducts[Product / Service Name],"⚠ Unknown")</f>
        <v>Chino Pants</v>
      </c>
      <c r="H3088" s="1" t="str">
        <f>_xlfn.XLOOKUP(tblSales[[#This Row],[Product Code]],tblProducts[Code],tblProducts[Category],"")</f>
        <v>Apparel &amp; Footwear</v>
      </c>
      <c r="I3088" s="4">
        <v>5</v>
      </c>
      <c r="J3088" s="5">
        <f>_xlfn.XLOOKUP(tblSales[[#This Row],[Product Code]],tblProducts[Code],tblProducts[Selling Price (excl. VAT)],0)</f>
        <v>150000</v>
      </c>
      <c r="K3088" s="5">
        <f>tblSales[[#This Row],[Qty]]*tblSales[[#This Row],[Unit Price]]</f>
        <v>750000</v>
      </c>
      <c r="L3088" s="5">
        <f>ROUND(tblSales[[#This Row],[DPP (excl. VAT)]]*VATEff,0)</f>
        <v>82500</v>
      </c>
      <c r="M3088" s="5">
        <f>tblSales[[#This Row],[DPP (excl. VAT)]]+tblSales[[#This Row],[Output VAT]]</f>
        <v>832500</v>
      </c>
      <c r="N3088" s="5">
        <f>tblSales[[#This Row],[Qty]]*_xlfn.XLOOKUP(tblSales[[#This Row],[Product Code]],tblProducts[Code],tblProducts[Unit Cost],0)</f>
        <v>440000</v>
      </c>
      <c r="O3088" s="4" t="s">
        <v>4866</v>
      </c>
      <c r="P3088" s="4" t="s">
        <v>4860</v>
      </c>
      <c r="Q3088" s="1" t="str">
        <f>_xlfn.XLOOKUP(tblSales[[#This Row],[Channel Code]],tblChannels[Channel Code],tblChannels[Channel Name],"")</f>
        <v>In-store</v>
      </c>
      <c r="R3088" s="1">
        <f>MONTH(tblSales[[#This Row],[Date]])</f>
        <v>7</v>
      </c>
    </row>
    <row r="3089" spans="2:18" x14ac:dyDescent="0.35">
      <c r="B3089" s="113">
        <v>46207</v>
      </c>
      <c r="C3089" s="4" t="s">
        <v>2059</v>
      </c>
      <c r="D3089" s="4" t="s">
        <v>4568</v>
      </c>
      <c r="E3089" s="1" t="str">
        <f>_xlfn.XLOOKUP(tblSales[[#This Row],[Customer ID]],tblCustomers[Customer ID],tblCustomers[Customer Name],"⚠ Unknown")</f>
        <v>Walk-in Customer</v>
      </c>
      <c r="F3089" s="4" t="s">
        <v>7</v>
      </c>
      <c r="G3089" s="1" t="str">
        <f>_xlfn.XLOOKUP(tblSales[[#This Row],[Product Code]],tblProducts[Code],tblProducts[Product / Service Name],"⚠ Unknown")</f>
        <v>Premium Basic T-shirt</v>
      </c>
      <c r="H3089" s="1" t="str">
        <f>_xlfn.XLOOKUP(tblSales[[#This Row],[Product Code]],tblProducts[Code],tblProducts[Category],"")</f>
        <v>Accessories &amp; Basics</v>
      </c>
      <c r="I3089" s="4">
        <v>6</v>
      </c>
      <c r="J3089" s="5">
        <f>_xlfn.XLOOKUP(tblSales[[#This Row],[Product Code]],tblProducts[Code],tblProducts[Selling Price (excl. VAT)],0)</f>
        <v>65000</v>
      </c>
      <c r="K3089" s="5">
        <f>tblSales[[#This Row],[Qty]]*tblSales[[#This Row],[Unit Price]]</f>
        <v>390000</v>
      </c>
      <c r="L3089" s="5">
        <f>ROUND(tblSales[[#This Row],[DPP (excl. VAT)]]*VATEff,0)</f>
        <v>42900</v>
      </c>
      <c r="M3089" s="5">
        <f>tblSales[[#This Row],[DPP (excl. VAT)]]+tblSales[[#This Row],[Output VAT]]</f>
        <v>432900</v>
      </c>
      <c r="N3089" s="5">
        <f>tblSales[[#This Row],[Qty]]*_xlfn.XLOOKUP(tblSales[[#This Row],[Product Code]],tblProducts[Code],tblProducts[Unit Cost],0)</f>
        <v>222000</v>
      </c>
      <c r="O3089" s="4" t="s">
        <v>4866</v>
      </c>
      <c r="P3089" s="4" t="s">
        <v>4861</v>
      </c>
      <c r="Q3089" s="1" t="str">
        <f>_xlfn.XLOOKUP(tblSales[[#This Row],[Channel Code]],tblChannels[Channel Code],tblChannels[Channel Name],"")</f>
        <v>Marketplace</v>
      </c>
      <c r="R3089" s="1">
        <f>MONTH(tblSales[[#This Row],[Date]])</f>
        <v>7</v>
      </c>
    </row>
    <row r="3090" spans="2:18" x14ac:dyDescent="0.35">
      <c r="B3090" s="113">
        <v>46207</v>
      </c>
      <c r="C3090" s="4" t="s">
        <v>2060</v>
      </c>
      <c r="D3090" s="4" t="s">
        <v>4568</v>
      </c>
      <c r="E3090" s="1" t="str">
        <f>_xlfn.XLOOKUP(tblSales[[#This Row],[Customer ID]],tblCustomers[Customer ID],tblCustomers[Customer Name],"⚠ Unknown")</f>
        <v>Walk-in Customer</v>
      </c>
      <c r="F3090" s="4" t="s">
        <v>7</v>
      </c>
      <c r="G3090" s="1" t="str">
        <f>_xlfn.XLOOKUP(tblSales[[#This Row],[Product Code]],tblProducts[Code],tblProducts[Product / Service Name],"⚠ Unknown")</f>
        <v>Premium Basic T-shirt</v>
      </c>
      <c r="H3090" s="1" t="str">
        <f>_xlfn.XLOOKUP(tblSales[[#This Row],[Product Code]],tblProducts[Code],tblProducts[Category],"")</f>
        <v>Accessories &amp; Basics</v>
      </c>
      <c r="I3090" s="4">
        <v>7</v>
      </c>
      <c r="J3090" s="5">
        <f>_xlfn.XLOOKUP(tblSales[[#This Row],[Product Code]],tblProducts[Code],tblProducts[Selling Price (excl. VAT)],0)</f>
        <v>65000</v>
      </c>
      <c r="K3090" s="5">
        <f>tblSales[[#This Row],[Qty]]*tblSales[[#This Row],[Unit Price]]</f>
        <v>455000</v>
      </c>
      <c r="L3090" s="5">
        <f>ROUND(tblSales[[#This Row],[DPP (excl. VAT)]]*VATEff,0)</f>
        <v>50050</v>
      </c>
      <c r="M3090" s="5">
        <f>tblSales[[#This Row],[DPP (excl. VAT)]]+tblSales[[#This Row],[Output VAT]]</f>
        <v>505050</v>
      </c>
      <c r="N3090" s="5">
        <f>tblSales[[#This Row],[Qty]]*_xlfn.XLOOKUP(tblSales[[#This Row],[Product Code]],tblProducts[Code],tblProducts[Unit Cost],0)</f>
        <v>259000</v>
      </c>
      <c r="O3090" s="4" t="s">
        <v>4866</v>
      </c>
      <c r="P3090" s="4" t="s">
        <v>4860</v>
      </c>
      <c r="Q3090" s="1" t="str">
        <f>_xlfn.XLOOKUP(tblSales[[#This Row],[Channel Code]],tblChannels[Channel Code],tblChannels[Channel Name],"")</f>
        <v>In-store</v>
      </c>
      <c r="R3090" s="1">
        <f>MONTH(tblSales[[#This Row],[Date]])</f>
        <v>7</v>
      </c>
    </row>
    <row r="3091" spans="2:18" x14ac:dyDescent="0.35">
      <c r="B3091" s="113">
        <v>46207</v>
      </c>
      <c r="C3091" s="4" t="s">
        <v>2061</v>
      </c>
      <c r="D3091" s="4" t="s">
        <v>4568</v>
      </c>
      <c r="E3091" s="1" t="str">
        <f>_xlfn.XLOOKUP(tblSales[[#This Row],[Customer ID]],tblCustomers[Customer ID],tblCustomers[Customer Name],"⚠ Unknown")</f>
        <v>Walk-in Customer</v>
      </c>
      <c r="F3091" s="4" t="s">
        <v>11</v>
      </c>
      <c r="G3091" s="1" t="str">
        <f>_xlfn.XLOOKUP(tblSales[[#This Row],[Product Code]],tblProducts[Code],tblProducts[Product / Service Name],"⚠ Unknown")</f>
        <v>Sneakers</v>
      </c>
      <c r="H3091" s="1" t="str">
        <f>_xlfn.XLOOKUP(tblSales[[#This Row],[Product Code]],tblProducts[Code],tblProducts[Category],"")</f>
        <v>Apparel &amp; Footwear</v>
      </c>
      <c r="I3091" s="4">
        <v>5</v>
      </c>
      <c r="J3091" s="5">
        <f>_xlfn.XLOOKUP(tblSales[[#This Row],[Product Code]],tblProducts[Code],tblProducts[Selling Price (excl. VAT)],0)</f>
        <v>250000</v>
      </c>
      <c r="K3091" s="5">
        <f>tblSales[[#This Row],[Qty]]*tblSales[[#This Row],[Unit Price]]</f>
        <v>1250000</v>
      </c>
      <c r="L3091" s="5">
        <f>ROUND(tblSales[[#This Row],[DPP (excl. VAT)]]*VATEff,0)</f>
        <v>137500</v>
      </c>
      <c r="M3091" s="5">
        <f>tblSales[[#This Row],[DPP (excl. VAT)]]+tblSales[[#This Row],[Output VAT]]</f>
        <v>1387500</v>
      </c>
      <c r="N3091" s="5">
        <f>tblSales[[#This Row],[Qty]]*_xlfn.XLOOKUP(tblSales[[#This Row],[Product Code]],tblProducts[Code],tblProducts[Unit Cost],0)</f>
        <v>775000</v>
      </c>
      <c r="O3091" s="4" t="s">
        <v>4866</v>
      </c>
      <c r="P3091" s="4" t="s">
        <v>4862</v>
      </c>
      <c r="Q3091" s="1" t="str">
        <f>_xlfn.XLOOKUP(tblSales[[#This Row],[Channel Code]],tblChannels[Channel Code],tblChannels[Channel Name],"")</f>
        <v>Website &amp; Social Media</v>
      </c>
      <c r="R3091" s="1">
        <f>MONTH(tblSales[[#This Row],[Date]])</f>
        <v>7</v>
      </c>
    </row>
    <row r="3092" spans="2:18" x14ac:dyDescent="0.35">
      <c r="B3092" s="113">
        <v>46207</v>
      </c>
      <c r="C3092" s="4" t="s">
        <v>2062</v>
      </c>
      <c r="D3092" s="4" t="s">
        <v>4568</v>
      </c>
      <c r="E3092" s="1" t="str">
        <f>_xlfn.XLOOKUP(tblSales[[#This Row],[Customer ID]],tblCustomers[Customer ID],tblCustomers[Customer Name],"⚠ Unknown")</f>
        <v>Walk-in Customer</v>
      </c>
      <c r="F3092" s="4" t="s">
        <v>8</v>
      </c>
      <c r="G3092" s="1" t="str">
        <f>_xlfn.XLOOKUP(tblSales[[#This Row],[Product Code]],tblProducts[Code],tblProducts[Product / Service Name],"⚠ Unknown")</f>
        <v>Casual Shorts</v>
      </c>
      <c r="H3092" s="1" t="str">
        <f>_xlfn.XLOOKUP(tblSales[[#This Row],[Product Code]],tblProducts[Code],tblProducts[Category],"")</f>
        <v>Accessories &amp; Basics</v>
      </c>
      <c r="I3092" s="4">
        <v>11</v>
      </c>
      <c r="J3092" s="5">
        <f>_xlfn.XLOOKUP(tblSales[[#This Row],[Product Code]],tblProducts[Code],tblProducts[Selling Price (excl. VAT)],0)</f>
        <v>85000</v>
      </c>
      <c r="K3092" s="5">
        <f>tblSales[[#This Row],[Qty]]*tblSales[[#This Row],[Unit Price]]</f>
        <v>935000</v>
      </c>
      <c r="L3092" s="5">
        <f>ROUND(tblSales[[#This Row],[DPP (excl. VAT)]]*VATEff,0)</f>
        <v>102850</v>
      </c>
      <c r="M3092" s="5">
        <f>tblSales[[#This Row],[DPP (excl. VAT)]]+tblSales[[#This Row],[Output VAT]]</f>
        <v>1037850</v>
      </c>
      <c r="N3092" s="5">
        <f>tblSales[[#This Row],[Qty]]*_xlfn.XLOOKUP(tblSales[[#This Row],[Product Code]],tblProducts[Code],tblProducts[Unit Cost],0)</f>
        <v>550000</v>
      </c>
      <c r="O3092" s="4" t="s">
        <v>4866</v>
      </c>
      <c r="P3092" s="4" t="s">
        <v>4861</v>
      </c>
      <c r="Q3092" s="1" t="str">
        <f>_xlfn.XLOOKUP(tblSales[[#This Row],[Channel Code]],tblChannels[Channel Code],tblChannels[Channel Name],"")</f>
        <v>Marketplace</v>
      </c>
      <c r="R3092" s="1">
        <f>MONTH(tblSales[[#This Row],[Date]])</f>
        <v>7</v>
      </c>
    </row>
    <row r="3093" spans="2:18" x14ac:dyDescent="0.35">
      <c r="B3093" s="113">
        <v>46207</v>
      </c>
      <c r="C3093" s="4" t="s">
        <v>2063</v>
      </c>
      <c r="D3093" s="4" t="s">
        <v>4568</v>
      </c>
      <c r="E3093" s="1" t="str">
        <f>_xlfn.XLOOKUP(tblSales[[#This Row],[Customer ID]],tblCustomers[Customer ID],tblCustomers[Customer Name],"⚠ Unknown")</f>
        <v>Walk-in Customer</v>
      </c>
      <c r="F3093" s="4" t="s">
        <v>10</v>
      </c>
      <c r="G3093" s="1" t="str">
        <f>_xlfn.XLOOKUP(tblSales[[#This Row],[Product Code]],tblProducts[Code],tblProducts[Product / Service Name],"⚠ Unknown")</f>
        <v>Chino Pants</v>
      </c>
      <c r="H3093" s="1" t="str">
        <f>_xlfn.XLOOKUP(tblSales[[#This Row],[Product Code]],tblProducts[Code],tblProducts[Category],"")</f>
        <v>Apparel &amp; Footwear</v>
      </c>
      <c r="I3093" s="4">
        <v>5</v>
      </c>
      <c r="J3093" s="5">
        <f>_xlfn.XLOOKUP(tblSales[[#This Row],[Product Code]],tblProducts[Code],tblProducts[Selling Price (excl. VAT)],0)</f>
        <v>150000</v>
      </c>
      <c r="K3093" s="5">
        <f>tblSales[[#This Row],[Qty]]*tblSales[[#This Row],[Unit Price]]</f>
        <v>750000</v>
      </c>
      <c r="L3093" s="5">
        <f>ROUND(tblSales[[#This Row],[DPP (excl. VAT)]]*VATEff,0)</f>
        <v>82500</v>
      </c>
      <c r="M3093" s="5">
        <f>tblSales[[#This Row],[DPP (excl. VAT)]]+tblSales[[#This Row],[Output VAT]]</f>
        <v>832500</v>
      </c>
      <c r="N3093" s="5">
        <f>tblSales[[#This Row],[Qty]]*_xlfn.XLOOKUP(tblSales[[#This Row],[Product Code]],tblProducts[Code],tblProducts[Unit Cost],0)</f>
        <v>440000</v>
      </c>
      <c r="O3093" s="4" t="s">
        <v>4866</v>
      </c>
      <c r="P3093" s="4" t="s">
        <v>4860</v>
      </c>
      <c r="Q3093" s="1" t="str">
        <f>_xlfn.XLOOKUP(tblSales[[#This Row],[Channel Code]],tblChannels[Channel Code],tblChannels[Channel Name],"")</f>
        <v>In-store</v>
      </c>
      <c r="R3093" s="1">
        <f>MONTH(tblSales[[#This Row],[Date]])</f>
        <v>7</v>
      </c>
    </row>
    <row r="3094" spans="2:18" x14ac:dyDescent="0.35">
      <c r="B3094" s="113">
        <v>46207</v>
      </c>
      <c r="C3094" s="4" t="s">
        <v>2064</v>
      </c>
      <c r="D3094" s="4" t="s">
        <v>4641</v>
      </c>
      <c r="E3094" s="1" t="str">
        <f>_xlfn.XLOOKUP(tblSales[[#This Row],[Customer ID]],tblCustomers[Customer ID],tblCustomers[Customer Name],"⚠ Unknown")</f>
        <v>PT Harmoni Pangan Lestari</v>
      </c>
      <c r="F3094" s="4" t="s">
        <v>9</v>
      </c>
      <c r="G3094" s="1" t="str">
        <f>_xlfn.XLOOKUP(tblSales[[#This Row],[Product Code]],tblProducts[Code],tblProducts[Product / Service Name],"⚠ Unknown")</f>
        <v>Casual Shirt</v>
      </c>
      <c r="H3094" s="1" t="str">
        <f>_xlfn.XLOOKUP(tblSales[[#This Row],[Product Code]],tblProducts[Code],tblProducts[Category],"")</f>
        <v>Apparel &amp; Footwear</v>
      </c>
      <c r="I3094" s="4">
        <v>40</v>
      </c>
      <c r="J3094" s="5">
        <f>_xlfn.XLOOKUP(tblSales[[#This Row],[Product Code]],tblProducts[Code],tblProducts[Selling Price (excl. VAT)],0)</f>
        <v>120000</v>
      </c>
      <c r="K3094" s="5">
        <f>tblSales[[#This Row],[Qty]]*tblSales[[#This Row],[Unit Price]]</f>
        <v>4800000</v>
      </c>
      <c r="L3094" s="5">
        <f>ROUND(tblSales[[#This Row],[DPP (excl. VAT)]]*VATEff,0)</f>
        <v>528000</v>
      </c>
      <c r="M3094" s="5">
        <f>tblSales[[#This Row],[DPP (excl. VAT)]]+tblSales[[#This Row],[Output VAT]]</f>
        <v>5328000</v>
      </c>
      <c r="N3094" s="5">
        <f>tblSales[[#This Row],[Qty]]*_xlfn.XLOOKUP(tblSales[[#This Row],[Product Code]],tblProducts[Code],tblProducts[Unit Cost],0)</f>
        <v>2880000</v>
      </c>
      <c r="O3094" s="4" t="s">
        <v>4867</v>
      </c>
      <c r="P3094" s="4" t="s">
        <v>4860</v>
      </c>
      <c r="Q3094" s="1" t="str">
        <f>_xlfn.XLOOKUP(tblSales[[#This Row],[Channel Code]],tblChannels[Channel Code],tblChannels[Channel Name],"")</f>
        <v>In-store</v>
      </c>
      <c r="R3094" s="1">
        <f>MONTH(tblSales[[#This Row],[Date]])</f>
        <v>7</v>
      </c>
    </row>
    <row r="3095" spans="2:18" x14ac:dyDescent="0.35">
      <c r="B3095" s="113">
        <v>46207</v>
      </c>
      <c r="C3095" s="4" t="s">
        <v>2065</v>
      </c>
      <c r="D3095" s="4" t="s">
        <v>4568</v>
      </c>
      <c r="E3095" s="1" t="str">
        <f>_xlfn.XLOOKUP(tblSales[[#This Row],[Customer ID]],tblCustomers[Customer ID],tblCustomers[Customer Name],"⚠ Unknown")</f>
        <v>Walk-in Customer</v>
      </c>
      <c r="F3095" s="4" t="s">
        <v>9</v>
      </c>
      <c r="G3095" s="1" t="str">
        <f>_xlfn.XLOOKUP(tblSales[[#This Row],[Product Code]],tblProducts[Code],tblProducts[Product / Service Name],"⚠ Unknown")</f>
        <v>Casual Shirt</v>
      </c>
      <c r="H3095" s="1" t="str">
        <f>_xlfn.XLOOKUP(tblSales[[#This Row],[Product Code]],tblProducts[Code],tblProducts[Category],"")</f>
        <v>Apparel &amp; Footwear</v>
      </c>
      <c r="I3095" s="4">
        <v>4</v>
      </c>
      <c r="J3095" s="5">
        <f>_xlfn.XLOOKUP(tblSales[[#This Row],[Product Code]],tblProducts[Code],tblProducts[Selling Price (excl. VAT)],0)</f>
        <v>120000</v>
      </c>
      <c r="K3095" s="5">
        <f>tblSales[[#This Row],[Qty]]*tblSales[[#This Row],[Unit Price]]</f>
        <v>480000</v>
      </c>
      <c r="L3095" s="5">
        <f>ROUND(tblSales[[#This Row],[DPP (excl. VAT)]]*VATEff,0)</f>
        <v>52800</v>
      </c>
      <c r="M3095" s="5">
        <f>tblSales[[#This Row],[DPP (excl. VAT)]]+tblSales[[#This Row],[Output VAT]]</f>
        <v>532800</v>
      </c>
      <c r="N3095" s="5">
        <f>tblSales[[#This Row],[Qty]]*_xlfn.XLOOKUP(tblSales[[#This Row],[Product Code]],tblProducts[Code],tblProducts[Unit Cost],0)</f>
        <v>288000</v>
      </c>
      <c r="O3095" s="4" t="s">
        <v>4866</v>
      </c>
      <c r="P3095" s="4" t="s">
        <v>4860</v>
      </c>
      <c r="Q3095" s="1" t="str">
        <f>_xlfn.XLOOKUP(tblSales[[#This Row],[Channel Code]],tblChannels[Channel Code],tblChannels[Channel Name],"")</f>
        <v>In-store</v>
      </c>
      <c r="R3095" s="1">
        <f>MONTH(tblSales[[#This Row],[Date]])</f>
        <v>7</v>
      </c>
    </row>
    <row r="3096" spans="2:18" x14ac:dyDescent="0.35">
      <c r="B3096" s="113">
        <v>46207</v>
      </c>
      <c r="C3096" s="4" t="s">
        <v>2066</v>
      </c>
      <c r="D3096" s="4" t="s">
        <v>4568</v>
      </c>
      <c r="E3096" s="1" t="str">
        <f>_xlfn.XLOOKUP(tblSales[[#This Row],[Customer ID]],tblCustomers[Customer ID],tblCustomers[Customer Name],"⚠ Unknown")</f>
        <v>Walk-in Customer</v>
      </c>
      <c r="F3096" s="4" t="s">
        <v>9</v>
      </c>
      <c r="G3096" s="1" t="str">
        <f>_xlfn.XLOOKUP(tblSales[[#This Row],[Product Code]],tblProducts[Code],tblProducts[Product / Service Name],"⚠ Unknown")</f>
        <v>Casual Shirt</v>
      </c>
      <c r="H3096" s="1" t="str">
        <f>_xlfn.XLOOKUP(tblSales[[#This Row],[Product Code]],tblProducts[Code],tblProducts[Category],"")</f>
        <v>Apparel &amp; Footwear</v>
      </c>
      <c r="I3096" s="4">
        <v>9</v>
      </c>
      <c r="J3096" s="5">
        <f>_xlfn.XLOOKUP(tblSales[[#This Row],[Product Code]],tblProducts[Code],tblProducts[Selling Price (excl. VAT)],0)</f>
        <v>120000</v>
      </c>
      <c r="K3096" s="5">
        <f>tblSales[[#This Row],[Qty]]*tblSales[[#This Row],[Unit Price]]</f>
        <v>1080000</v>
      </c>
      <c r="L3096" s="5">
        <f>ROUND(tblSales[[#This Row],[DPP (excl. VAT)]]*VATEff,0)</f>
        <v>118800</v>
      </c>
      <c r="M3096" s="5">
        <f>tblSales[[#This Row],[DPP (excl. VAT)]]+tblSales[[#This Row],[Output VAT]]</f>
        <v>1198800</v>
      </c>
      <c r="N3096" s="5">
        <f>tblSales[[#This Row],[Qty]]*_xlfn.XLOOKUP(tblSales[[#This Row],[Product Code]],tblProducts[Code],tblProducts[Unit Cost],0)</f>
        <v>648000</v>
      </c>
      <c r="O3096" s="4" t="s">
        <v>4865</v>
      </c>
      <c r="P3096" s="4" t="s">
        <v>4860</v>
      </c>
      <c r="Q3096" s="1" t="str">
        <f>_xlfn.XLOOKUP(tblSales[[#This Row],[Channel Code]],tblChannels[Channel Code],tblChannels[Channel Name],"")</f>
        <v>In-store</v>
      </c>
      <c r="R3096" s="1">
        <f>MONTH(tblSales[[#This Row],[Date]])</f>
        <v>7</v>
      </c>
    </row>
    <row r="3097" spans="2:18" x14ac:dyDescent="0.35">
      <c r="B3097" s="113">
        <v>46207</v>
      </c>
      <c r="C3097" s="4" t="s">
        <v>2067</v>
      </c>
      <c r="D3097" s="4" t="s">
        <v>4568</v>
      </c>
      <c r="E3097" s="1" t="str">
        <f>_xlfn.XLOOKUP(tblSales[[#This Row],[Customer ID]],tblCustomers[Customer ID],tblCustomers[Customer Name],"⚠ Unknown")</f>
        <v>Walk-in Customer</v>
      </c>
      <c r="F3097" s="4" t="s">
        <v>6</v>
      </c>
      <c r="G3097" s="1" t="str">
        <f>_xlfn.XLOOKUP(tblSales[[#This Row],[Product Code]],tblProducts[Code],tblProducts[Product / Service Name],"⚠ Unknown")</f>
        <v>Socks &amp; Accessories</v>
      </c>
      <c r="H3097" s="1" t="str">
        <f>_xlfn.XLOOKUP(tblSales[[#This Row],[Product Code]],tblProducts[Code],tblProducts[Category],"")</f>
        <v>Accessories &amp; Basics</v>
      </c>
      <c r="I3097" s="4">
        <v>11</v>
      </c>
      <c r="J3097" s="5">
        <f>_xlfn.XLOOKUP(tblSales[[#This Row],[Product Code]],tblProducts[Code],tblProducts[Selling Price (excl. VAT)],0)</f>
        <v>45000</v>
      </c>
      <c r="K3097" s="5">
        <f>tblSales[[#This Row],[Qty]]*tblSales[[#This Row],[Unit Price]]</f>
        <v>495000</v>
      </c>
      <c r="L3097" s="5">
        <f>ROUND(tblSales[[#This Row],[DPP (excl. VAT)]]*VATEff,0)</f>
        <v>54450</v>
      </c>
      <c r="M3097" s="5">
        <f>tblSales[[#This Row],[DPP (excl. VAT)]]+tblSales[[#This Row],[Output VAT]]</f>
        <v>549450</v>
      </c>
      <c r="N3097" s="5">
        <f>tblSales[[#This Row],[Qty]]*_xlfn.XLOOKUP(tblSales[[#This Row],[Product Code]],tblProducts[Code],tblProducts[Unit Cost],0)</f>
        <v>264000</v>
      </c>
      <c r="O3097" s="4" t="s">
        <v>4865</v>
      </c>
      <c r="P3097" s="4" t="s">
        <v>4860</v>
      </c>
      <c r="Q3097" s="1" t="str">
        <f>_xlfn.XLOOKUP(tblSales[[#This Row],[Channel Code]],tblChannels[Channel Code],tblChannels[Channel Name],"")</f>
        <v>In-store</v>
      </c>
      <c r="R3097" s="1">
        <f>MONTH(tblSales[[#This Row],[Date]])</f>
        <v>7</v>
      </c>
    </row>
    <row r="3098" spans="2:18" x14ac:dyDescent="0.35">
      <c r="B3098" s="113">
        <v>46207</v>
      </c>
      <c r="C3098" s="4" t="s">
        <v>2067</v>
      </c>
      <c r="D3098" s="4" t="s">
        <v>4568</v>
      </c>
      <c r="E3098" s="1" t="str">
        <f>_xlfn.XLOOKUP(tblSales[[#This Row],[Customer ID]],tblCustomers[Customer ID],tblCustomers[Customer Name],"⚠ Unknown")</f>
        <v>Walk-in Customer</v>
      </c>
      <c r="F3098" s="4" t="s">
        <v>8</v>
      </c>
      <c r="G3098" s="1" t="str">
        <f>_xlfn.XLOOKUP(tblSales[[#This Row],[Product Code]],tblProducts[Code],tblProducts[Product / Service Name],"⚠ Unknown")</f>
        <v>Casual Shorts</v>
      </c>
      <c r="H3098" s="1" t="str">
        <f>_xlfn.XLOOKUP(tblSales[[#This Row],[Product Code]],tblProducts[Code],tblProducts[Category],"")</f>
        <v>Accessories &amp; Basics</v>
      </c>
      <c r="I3098" s="4">
        <v>11</v>
      </c>
      <c r="J3098" s="5">
        <f>_xlfn.XLOOKUP(tblSales[[#This Row],[Product Code]],tblProducts[Code],tblProducts[Selling Price (excl. VAT)],0)</f>
        <v>85000</v>
      </c>
      <c r="K3098" s="5">
        <f>tblSales[[#This Row],[Qty]]*tblSales[[#This Row],[Unit Price]]</f>
        <v>935000</v>
      </c>
      <c r="L3098" s="5">
        <f>ROUND(tblSales[[#This Row],[DPP (excl. VAT)]]*VATEff,0)</f>
        <v>102850</v>
      </c>
      <c r="M3098" s="5">
        <f>tblSales[[#This Row],[DPP (excl. VAT)]]+tblSales[[#This Row],[Output VAT]]</f>
        <v>1037850</v>
      </c>
      <c r="N3098" s="5">
        <f>tblSales[[#This Row],[Qty]]*_xlfn.XLOOKUP(tblSales[[#This Row],[Product Code]],tblProducts[Code],tblProducts[Unit Cost],0)</f>
        <v>550000</v>
      </c>
      <c r="O3098" s="4" t="s">
        <v>4865</v>
      </c>
      <c r="P3098" s="4" t="s">
        <v>4860</v>
      </c>
      <c r="Q3098" s="1" t="str">
        <f>_xlfn.XLOOKUP(tblSales[[#This Row],[Channel Code]],tblChannels[Channel Code],tblChannels[Channel Name],"")</f>
        <v>In-store</v>
      </c>
      <c r="R3098" s="1">
        <f>MONTH(tblSales[[#This Row],[Date]])</f>
        <v>7</v>
      </c>
    </row>
    <row r="3099" spans="2:18" x14ac:dyDescent="0.35">
      <c r="B3099" s="113">
        <v>46207</v>
      </c>
      <c r="C3099" s="4" t="s">
        <v>2068</v>
      </c>
      <c r="D3099" s="4" t="s">
        <v>4568</v>
      </c>
      <c r="E3099" s="1" t="str">
        <f>_xlfn.XLOOKUP(tblSales[[#This Row],[Customer ID]],tblCustomers[Customer ID],tblCustomers[Customer Name],"⚠ Unknown")</f>
        <v>Walk-in Customer</v>
      </c>
      <c r="F3099" s="4" t="s">
        <v>6</v>
      </c>
      <c r="G3099" s="1" t="str">
        <f>_xlfn.XLOOKUP(tblSales[[#This Row],[Product Code]],tblProducts[Code],tblProducts[Product / Service Name],"⚠ Unknown")</f>
        <v>Socks &amp; Accessories</v>
      </c>
      <c r="H3099" s="1" t="str">
        <f>_xlfn.XLOOKUP(tblSales[[#This Row],[Product Code]],tblProducts[Code],tblProducts[Category],"")</f>
        <v>Accessories &amp; Basics</v>
      </c>
      <c r="I3099" s="4">
        <v>4</v>
      </c>
      <c r="J3099" s="5">
        <f>_xlfn.XLOOKUP(tblSales[[#This Row],[Product Code]],tblProducts[Code],tblProducts[Selling Price (excl. VAT)],0)</f>
        <v>45000</v>
      </c>
      <c r="K3099" s="5">
        <f>tblSales[[#This Row],[Qty]]*tblSales[[#This Row],[Unit Price]]</f>
        <v>180000</v>
      </c>
      <c r="L3099" s="5">
        <f>ROUND(tblSales[[#This Row],[DPP (excl. VAT)]]*VATEff,0)</f>
        <v>19800</v>
      </c>
      <c r="M3099" s="5">
        <f>tblSales[[#This Row],[DPP (excl. VAT)]]+tblSales[[#This Row],[Output VAT]]</f>
        <v>199800</v>
      </c>
      <c r="N3099" s="5">
        <f>tblSales[[#This Row],[Qty]]*_xlfn.XLOOKUP(tblSales[[#This Row],[Product Code]],tblProducts[Code],tblProducts[Unit Cost],0)</f>
        <v>96000</v>
      </c>
      <c r="O3099" s="4" t="s">
        <v>4866</v>
      </c>
      <c r="P3099" s="4" t="s">
        <v>4860</v>
      </c>
      <c r="Q3099" s="1" t="str">
        <f>_xlfn.XLOOKUP(tblSales[[#This Row],[Channel Code]],tblChannels[Channel Code],tblChannels[Channel Name],"")</f>
        <v>In-store</v>
      </c>
      <c r="R3099" s="1">
        <f>MONTH(tblSales[[#This Row],[Date]])</f>
        <v>7</v>
      </c>
    </row>
    <row r="3100" spans="2:18" x14ac:dyDescent="0.35">
      <c r="B3100" s="113">
        <v>46207</v>
      </c>
      <c r="C3100" s="4" t="s">
        <v>2069</v>
      </c>
      <c r="D3100" s="4" t="s">
        <v>4568</v>
      </c>
      <c r="E3100" s="1" t="str">
        <f>_xlfn.XLOOKUP(tblSales[[#This Row],[Customer ID]],tblCustomers[Customer ID],tblCustomers[Customer Name],"⚠ Unknown")</f>
        <v>Walk-in Customer</v>
      </c>
      <c r="F3100" s="4" t="s">
        <v>14</v>
      </c>
      <c r="G3100" s="1" t="str">
        <f>_xlfn.XLOOKUP(tblSales[[#This Row],[Product Code]],tblProducts[Code],tblProducts[Product / Service Name],"⚠ Unknown")</f>
        <v>Smartwatch</v>
      </c>
      <c r="H3100" s="1" t="str">
        <f>_xlfn.XLOOKUP(tblSales[[#This Row],[Product Code]],tblProducts[Code],tblProducts[Category],"")</f>
        <v>Bags &amp; Gadgets</v>
      </c>
      <c r="I3100" s="4">
        <v>1</v>
      </c>
      <c r="J3100" s="5">
        <f>_xlfn.XLOOKUP(tblSales[[#This Row],[Product Code]],tblProducts[Code],tblProducts[Selling Price (excl. VAT)],0)</f>
        <v>850000</v>
      </c>
      <c r="K3100" s="5">
        <f>tblSales[[#This Row],[Qty]]*tblSales[[#This Row],[Unit Price]]</f>
        <v>850000</v>
      </c>
      <c r="L3100" s="5">
        <f>ROUND(tblSales[[#This Row],[DPP (excl. VAT)]]*VATEff,0)</f>
        <v>93500</v>
      </c>
      <c r="M3100" s="5">
        <f>tblSales[[#This Row],[DPP (excl. VAT)]]+tblSales[[#This Row],[Output VAT]]</f>
        <v>943500</v>
      </c>
      <c r="N3100" s="5">
        <f>tblSales[[#This Row],[Qty]]*_xlfn.XLOOKUP(tblSales[[#This Row],[Product Code]],tblProducts[Code],tblProducts[Unit Cost],0)</f>
        <v>560000</v>
      </c>
      <c r="O3100" s="4" t="s">
        <v>4865</v>
      </c>
      <c r="P3100" s="4" t="s">
        <v>4860</v>
      </c>
      <c r="Q3100" s="1" t="str">
        <f>_xlfn.XLOOKUP(tblSales[[#This Row],[Channel Code]],tblChannels[Channel Code],tblChannels[Channel Name],"")</f>
        <v>In-store</v>
      </c>
      <c r="R3100" s="1">
        <f>MONTH(tblSales[[#This Row],[Date]])</f>
        <v>7</v>
      </c>
    </row>
    <row r="3101" spans="2:18" x14ac:dyDescent="0.35">
      <c r="B3101" s="113">
        <v>46207</v>
      </c>
      <c r="C3101" s="4" t="s">
        <v>2069</v>
      </c>
      <c r="D3101" s="4" t="s">
        <v>4568</v>
      </c>
      <c r="E3101" s="1" t="str">
        <f>_xlfn.XLOOKUP(tblSales[[#This Row],[Customer ID]],tblCustomers[Customer ID],tblCustomers[Customer Name],"⚠ Unknown")</f>
        <v>Walk-in Customer</v>
      </c>
      <c r="F3101" s="4" t="s">
        <v>15</v>
      </c>
      <c r="G3101" s="1" t="str">
        <f>_xlfn.XLOOKUP(tblSales[[#This Row],[Product Code]],tblProducts[Code],tblProducts[Product / Service Name],"⚠ Unknown")</f>
        <v>Wireless Earbuds Pro</v>
      </c>
      <c r="H3101" s="1" t="str">
        <f>_xlfn.XLOOKUP(tblSales[[#This Row],[Product Code]],tblProducts[Code],tblProducts[Category],"")</f>
        <v>Bags &amp; Gadgets</v>
      </c>
      <c r="I3101" s="4">
        <v>2</v>
      </c>
      <c r="J3101" s="5">
        <f>_xlfn.XLOOKUP(tblSales[[#This Row],[Product Code]],tblProducts[Code],tblProducts[Selling Price (excl. VAT)],0)</f>
        <v>1250000</v>
      </c>
      <c r="K3101" s="5">
        <f>tblSales[[#This Row],[Qty]]*tblSales[[#This Row],[Unit Price]]</f>
        <v>2500000</v>
      </c>
      <c r="L3101" s="5">
        <f>ROUND(tblSales[[#This Row],[DPP (excl. VAT)]]*VATEff,0)</f>
        <v>275000</v>
      </c>
      <c r="M3101" s="5">
        <f>tblSales[[#This Row],[DPP (excl. VAT)]]+tblSales[[#This Row],[Output VAT]]</f>
        <v>2775000</v>
      </c>
      <c r="N3101" s="5">
        <f>tblSales[[#This Row],[Qty]]*_xlfn.XLOOKUP(tblSales[[#This Row],[Product Code]],tblProducts[Code],tblProducts[Unit Cost],0)</f>
        <v>1640000</v>
      </c>
      <c r="O3101" s="4" t="s">
        <v>4865</v>
      </c>
      <c r="P3101" s="4" t="s">
        <v>4860</v>
      </c>
      <c r="Q3101" s="1" t="str">
        <f>_xlfn.XLOOKUP(tblSales[[#This Row],[Channel Code]],tblChannels[Channel Code],tblChannels[Channel Name],"")</f>
        <v>In-store</v>
      </c>
      <c r="R3101" s="1">
        <f>MONTH(tblSales[[#This Row],[Date]])</f>
        <v>7</v>
      </c>
    </row>
    <row r="3102" spans="2:18" x14ac:dyDescent="0.35">
      <c r="B3102" s="113">
        <v>46208</v>
      </c>
      <c r="C3102" s="4" t="s">
        <v>2070</v>
      </c>
      <c r="D3102" s="4" t="s">
        <v>4627</v>
      </c>
      <c r="E3102" s="1" t="str">
        <f>_xlfn.XLOOKUP(tblSales[[#This Row],[Customer ID]],tblCustomers[Customer ID],tblCustomers[Customer Name],"⚠ Unknown")</f>
        <v>PT Kencana Wira Usaha</v>
      </c>
      <c r="F3102" s="4" t="s">
        <v>6</v>
      </c>
      <c r="G3102" s="1" t="str">
        <f>_xlfn.XLOOKUP(tblSales[[#This Row],[Product Code]],tblProducts[Code],tblProducts[Product / Service Name],"⚠ Unknown")</f>
        <v>Socks &amp; Accessories</v>
      </c>
      <c r="H3102" s="1" t="str">
        <f>_xlfn.XLOOKUP(tblSales[[#This Row],[Product Code]],tblProducts[Code],tblProducts[Category],"")</f>
        <v>Accessories &amp; Basics</v>
      </c>
      <c r="I3102" s="4">
        <v>72</v>
      </c>
      <c r="J3102" s="5">
        <f>_xlfn.XLOOKUP(tblSales[[#This Row],[Product Code]],tblProducts[Code],tblProducts[Selling Price (excl. VAT)],0)</f>
        <v>45000</v>
      </c>
      <c r="K3102" s="5">
        <f>tblSales[[#This Row],[Qty]]*tblSales[[#This Row],[Unit Price]]</f>
        <v>3240000</v>
      </c>
      <c r="L3102" s="5">
        <f>ROUND(tblSales[[#This Row],[DPP (excl. VAT)]]*VATEff,0)</f>
        <v>356400</v>
      </c>
      <c r="M3102" s="5">
        <f>tblSales[[#This Row],[DPP (excl. VAT)]]+tblSales[[#This Row],[Output VAT]]</f>
        <v>3596400</v>
      </c>
      <c r="N3102" s="5">
        <f>tblSales[[#This Row],[Qty]]*_xlfn.XLOOKUP(tblSales[[#This Row],[Product Code]],tblProducts[Code],tblProducts[Unit Cost],0)</f>
        <v>1728000</v>
      </c>
      <c r="O3102" s="4" t="s">
        <v>4867</v>
      </c>
      <c r="P3102" s="4" t="s">
        <v>4860</v>
      </c>
      <c r="Q3102" s="1" t="str">
        <f>_xlfn.XLOOKUP(tblSales[[#This Row],[Channel Code]],tblChannels[Channel Code],tblChannels[Channel Name],"")</f>
        <v>In-store</v>
      </c>
      <c r="R3102" s="1">
        <f>MONTH(tblSales[[#This Row],[Date]])</f>
        <v>7</v>
      </c>
    </row>
    <row r="3103" spans="2:18" x14ac:dyDescent="0.35">
      <c r="B3103" s="113">
        <v>46208</v>
      </c>
      <c r="C3103" s="4" t="s">
        <v>2071</v>
      </c>
      <c r="D3103" s="4" t="s">
        <v>4568</v>
      </c>
      <c r="E3103" s="1" t="str">
        <f>_xlfn.XLOOKUP(tblSales[[#This Row],[Customer ID]],tblCustomers[Customer ID],tblCustomers[Customer Name],"⚠ Unknown")</f>
        <v>Walk-in Customer</v>
      </c>
      <c r="F3103" s="4" t="s">
        <v>8</v>
      </c>
      <c r="G3103" s="1" t="str">
        <f>_xlfn.XLOOKUP(tblSales[[#This Row],[Product Code]],tblProducts[Code],tblProducts[Product / Service Name],"⚠ Unknown")</f>
        <v>Casual Shorts</v>
      </c>
      <c r="H3103" s="1" t="str">
        <f>_xlfn.XLOOKUP(tblSales[[#This Row],[Product Code]],tblProducts[Code],tblProducts[Category],"")</f>
        <v>Accessories &amp; Basics</v>
      </c>
      <c r="I3103" s="4">
        <v>4</v>
      </c>
      <c r="J3103" s="5">
        <f>_xlfn.XLOOKUP(tblSales[[#This Row],[Product Code]],tblProducts[Code],tblProducts[Selling Price (excl. VAT)],0)</f>
        <v>85000</v>
      </c>
      <c r="K3103" s="5">
        <f>tblSales[[#This Row],[Qty]]*tblSales[[#This Row],[Unit Price]]</f>
        <v>340000</v>
      </c>
      <c r="L3103" s="5">
        <f>ROUND(tblSales[[#This Row],[DPP (excl. VAT)]]*VATEff,0)</f>
        <v>37400</v>
      </c>
      <c r="M3103" s="5">
        <f>tblSales[[#This Row],[DPP (excl. VAT)]]+tblSales[[#This Row],[Output VAT]]</f>
        <v>377400</v>
      </c>
      <c r="N3103" s="5">
        <f>tblSales[[#This Row],[Qty]]*_xlfn.XLOOKUP(tblSales[[#This Row],[Product Code]],tblProducts[Code],tblProducts[Unit Cost],0)</f>
        <v>200000</v>
      </c>
      <c r="O3103" s="4" t="s">
        <v>4865</v>
      </c>
      <c r="P3103" s="4" t="s">
        <v>4860</v>
      </c>
      <c r="Q3103" s="1" t="str">
        <f>_xlfn.XLOOKUP(tblSales[[#This Row],[Channel Code]],tblChannels[Channel Code],tblChannels[Channel Name],"")</f>
        <v>In-store</v>
      </c>
      <c r="R3103" s="1">
        <f>MONTH(tblSales[[#This Row],[Date]])</f>
        <v>7</v>
      </c>
    </row>
    <row r="3104" spans="2:18" x14ac:dyDescent="0.35">
      <c r="B3104" s="113">
        <v>46208</v>
      </c>
      <c r="C3104" s="4" t="s">
        <v>2072</v>
      </c>
      <c r="D3104" s="4" t="s">
        <v>4568</v>
      </c>
      <c r="E3104" s="1" t="str">
        <f>_xlfn.XLOOKUP(tblSales[[#This Row],[Customer ID]],tblCustomers[Customer ID],tblCustomers[Customer Name],"⚠ Unknown")</f>
        <v>Walk-in Customer</v>
      </c>
      <c r="F3104" s="4" t="s">
        <v>12</v>
      </c>
      <c r="G3104" s="1" t="str">
        <f>_xlfn.XLOOKUP(tblSales[[#This Row],[Product Code]],tblProducts[Code],tblProducts[Product / Service Name],"⚠ Unknown")</f>
        <v>Bomber Jacket</v>
      </c>
      <c r="H3104" s="1" t="str">
        <f>_xlfn.XLOOKUP(tblSales[[#This Row],[Product Code]],tblProducts[Code],tblProducts[Category],"")</f>
        <v>Apparel &amp; Footwear</v>
      </c>
      <c r="I3104" s="4">
        <v>3</v>
      </c>
      <c r="J3104" s="5">
        <f>_xlfn.XLOOKUP(tblSales[[#This Row],[Product Code]],tblProducts[Code],tblProducts[Selling Price (excl. VAT)],0)</f>
        <v>350000</v>
      </c>
      <c r="K3104" s="5">
        <f>tblSales[[#This Row],[Qty]]*tblSales[[#This Row],[Unit Price]]</f>
        <v>1050000</v>
      </c>
      <c r="L3104" s="5">
        <f>ROUND(tblSales[[#This Row],[DPP (excl. VAT)]]*VATEff,0)</f>
        <v>115500</v>
      </c>
      <c r="M3104" s="5">
        <f>tblSales[[#This Row],[DPP (excl. VAT)]]+tblSales[[#This Row],[Output VAT]]</f>
        <v>1165500</v>
      </c>
      <c r="N3104" s="5">
        <f>tblSales[[#This Row],[Qty]]*_xlfn.XLOOKUP(tblSales[[#This Row],[Product Code]],tblProducts[Code],tblProducts[Unit Cost],0)</f>
        <v>630000</v>
      </c>
      <c r="O3104" s="4" t="s">
        <v>4866</v>
      </c>
      <c r="P3104" s="4" t="s">
        <v>4860</v>
      </c>
      <c r="Q3104" s="1" t="str">
        <f>_xlfn.XLOOKUP(tblSales[[#This Row],[Channel Code]],tblChannels[Channel Code],tblChannels[Channel Name],"")</f>
        <v>In-store</v>
      </c>
      <c r="R3104" s="1">
        <f>MONTH(tblSales[[#This Row],[Date]])</f>
        <v>7</v>
      </c>
    </row>
    <row r="3105" spans="2:18" x14ac:dyDescent="0.35">
      <c r="B3105" s="113">
        <v>46208</v>
      </c>
      <c r="C3105" s="4" t="s">
        <v>2073</v>
      </c>
      <c r="D3105" s="4" t="s">
        <v>4568</v>
      </c>
      <c r="E3105" s="1" t="str">
        <f>_xlfn.XLOOKUP(tblSales[[#This Row],[Customer ID]],tblCustomers[Customer ID],tblCustomers[Customer Name],"⚠ Unknown")</f>
        <v>Walk-in Customer</v>
      </c>
      <c r="F3105" s="4" t="s">
        <v>12</v>
      </c>
      <c r="G3105" s="1" t="str">
        <f>_xlfn.XLOOKUP(tblSales[[#This Row],[Product Code]],tblProducts[Code],tblProducts[Product / Service Name],"⚠ Unknown")</f>
        <v>Bomber Jacket</v>
      </c>
      <c r="H3105" s="1" t="str">
        <f>_xlfn.XLOOKUP(tblSales[[#This Row],[Product Code]],tblProducts[Code],tblProducts[Category],"")</f>
        <v>Apparel &amp; Footwear</v>
      </c>
      <c r="I3105" s="4">
        <v>5</v>
      </c>
      <c r="J3105" s="5">
        <f>_xlfn.XLOOKUP(tblSales[[#This Row],[Product Code]],tblProducts[Code],tblProducts[Selling Price (excl. VAT)],0)</f>
        <v>350000</v>
      </c>
      <c r="K3105" s="5">
        <f>tblSales[[#This Row],[Qty]]*tblSales[[#This Row],[Unit Price]]</f>
        <v>1750000</v>
      </c>
      <c r="L3105" s="5">
        <f>ROUND(tblSales[[#This Row],[DPP (excl. VAT)]]*VATEff,0)</f>
        <v>192500</v>
      </c>
      <c r="M3105" s="5">
        <f>tblSales[[#This Row],[DPP (excl. VAT)]]+tblSales[[#This Row],[Output VAT]]</f>
        <v>1942500</v>
      </c>
      <c r="N3105" s="5">
        <f>tblSales[[#This Row],[Qty]]*_xlfn.XLOOKUP(tblSales[[#This Row],[Product Code]],tblProducts[Code],tblProducts[Unit Cost],0)</f>
        <v>1050000</v>
      </c>
      <c r="O3105" s="4" t="s">
        <v>4865</v>
      </c>
      <c r="P3105" s="4" t="s">
        <v>4860</v>
      </c>
      <c r="Q3105" s="1" t="str">
        <f>_xlfn.XLOOKUP(tblSales[[#This Row],[Channel Code]],tblChannels[Channel Code],tblChannels[Channel Name],"")</f>
        <v>In-store</v>
      </c>
      <c r="R3105" s="1">
        <f>MONTH(tblSales[[#This Row],[Date]])</f>
        <v>7</v>
      </c>
    </row>
    <row r="3106" spans="2:18" x14ac:dyDescent="0.35">
      <c r="B3106" s="113">
        <v>46208</v>
      </c>
      <c r="C3106" s="4" t="s">
        <v>2074</v>
      </c>
      <c r="D3106" s="4" t="s">
        <v>4599</v>
      </c>
      <c r="E3106" s="1" t="str">
        <f>_xlfn.XLOOKUP(tblSales[[#This Row],[Customer ID]],tblCustomers[Customer ID],tblCustomers[Customer Name],"⚠ Unknown")</f>
        <v>PT Samudra Jaya Logistik</v>
      </c>
      <c r="F3106" s="4" t="s">
        <v>11</v>
      </c>
      <c r="G3106" s="1" t="str">
        <f>_xlfn.XLOOKUP(tblSales[[#This Row],[Product Code]],tblProducts[Code],tblProducts[Product / Service Name],"⚠ Unknown")</f>
        <v>Sneakers</v>
      </c>
      <c r="H3106" s="1" t="str">
        <f>_xlfn.XLOOKUP(tblSales[[#This Row],[Product Code]],tblProducts[Code],tblProducts[Category],"")</f>
        <v>Apparel &amp; Footwear</v>
      </c>
      <c r="I3106" s="4">
        <v>8</v>
      </c>
      <c r="J3106" s="5">
        <f>_xlfn.XLOOKUP(tblSales[[#This Row],[Product Code]],tblProducts[Code],tblProducts[Selling Price (excl. VAT)],0)</f>
        <v>250000</v>
      </c>
      <c r="K3106" s="5">
        <f>tblSales[[#This Row],[Qty]]*tblSales[[#This Row],[Unit Price]]</f>
        <v>2000000</v>
      </c>
      <c r="L3106" s="5">
        <f>ROUND(tblSales[[#This Row],[DPP (excl. VAT)]]*VATEff,0)</f>
        <v>220000</v>
      </c>
      <c r="M3106" s="5">
        <f>tblSales[[#This Row],[DPP (excl. VAT)]]+tblSales[[#This Row],[Output VAT]]</f>
        <v>2220000</v>
      </c>
      <c r="N3106" s="5">
        <f>tblSales[[#This Row],[Qty]]*_xlfn.XLOOKUP(tblSales[[#This Row],[Product Code]],tblProducts[Code],tblProducts[Unit Cost],0)</f>
        <v>1240000</v>
      </c>
      <c r="O3106" s="4" t="s">
        <v>4867</v>
      </c>
      <c r="P3106" s="4" t="s">
        <v>4860</v>
      </c>
      <c r="Q3106" s="1" t="str">
        <f>_xlfn.XLOOKUP(tblSales[[#This Row],[Channel Code]],tblChannels[Channel Code],tblChannels[Channel Name],"")</f>
        <v>In-store</v>
      </c>
      <c r="R3106" s="1">
        <f>MONTH(tblSales[[#This Row],[Date]])</f>
        <v>7</v>
      </c>
    </row>
    <row r="3107" spans="2:18" x14ac:dyDescent="0.35">
      <c r="B3107" s="113">
        <v>46208</v>
      </c>
      <c r="C3107" s="4" t="s">
        <v>2075</v>
      </c>
      <c r="D3107" s="4" t="s">
        <v>4572</v>
      </c>
      <c r="E3107" s="1" t="str">
        <f>_xlfn.XLOOKUP(tblSales[[#This Row],[Customer ID]],tblCustomers[Customer ID],tblCustomers[Customer Name],"⚠ Unknown")</f>
        <v>PT Cahaya Abadi Makmur</v>
      </c>
      <c r="F3107" s="4" t="s">
        <v>8</v>
      </c>
      <c r="G3107" s="1" t="str">
        <f>_xlfn.XLOOKUP(tblSales[[#This Row],[Product Code]],tblProducts[Code],tblProducts[Product / Service Name],"⚠ Unknown")</f>
        <v>Casual Shorts</v>
      </c>
      <c r="H3107" s="1" t="str">
        <f>_xlfn.XLOOKUP(tblSales[[#This Row],[Product Code]],tblProducts[Code],tblProducts[Category],"")</f>
        <v>Accessories &amp; Basics</v>
      </c>
      <c r="I3107" s="4">
        <v>64</v>
      </c>
      <c r="J3107" s="5">
        <f>_xlfn.XLOOKUP(tblSales[[#This Row],[Product Code]],tblProducts[Code],tblProducts[Selling Price (excl. VAT)],0)</f>
        <v>85000</v>
      </c>
      <c r="K3107" s="5">
        <f>tblSales[[#This Row],[Qty]]*tblSales[[#This Row],[Unit Price]]</f>
        <v>5440000</v>
      </c>
      <c r="L3107" s="5">
        <f>ROUND(tblSales[[#This Row],[DPP (excl. VAT)]]*VATEff,0)</f>
        <v>598400</v>
      </c>
      <c r="M3107" s="5">
        <f>tblSales[[#This Row],[DPP (excl. VAT)]]+tblSales[[#This Row],[Output VAT]]</f>
        <v>6038400</v>
      </c>
      <c r="N3107" s="5">
        <f>tblSales[[#This Row],[Qty]]*_xlfn.XLOOKUP(tblSales[[#This Row],[Product Code]],tblProducts[Code],tblProducts[Unit Cost],0)</f>
        <v>3200000</v>
      </c>
      <c r="O3107" s="4" t="s">
        <v>4867</v>
      </c>
      <c r="P3107" s="4" t="s">
        <v>4860</v>
      </c>
      <c r="Q3107" s="1" t="str">
        <f>_xlfn.XLOOKUP(tblSales[[#This Row],[Channel Code]],tblChannels[Channel Code],tblChannels[Channel Name],"")</f>
        <v>In-store</v>
      </c>
      <c r="R3107" s="1">
        <f>MONTH(tblSales[[#This Row],[Date]])</f>
        <v>7</v>
      </c>
    </row>
    <row r="3108" spans="2:18" x14ac:dyDescent="0.35">
      <c r="B3108" s="113">
        <v>46208</v>
      </c>
      <c r="C3108" s="4" t="s">
        <v>2075</v>
      </c>
      <c r="D3108" s="4" t="s">
        <v>4572</v>
      </c>
      <c r="E3108" s="1" t="str">
        <f>_xlfn.XLOOKUP(tblSales[[#This Row],[Customer ID]],tblCustomers[Customer ID],tblCustomers[Customer Name],"⚠ Unknown")</f>
        <v>PT Cahaya Abadi Makmur</v>
      </c>
      <c r="F3108" s="4" t="s">
        <v>7</v>
      </c>
      <c r="G3108" s="1" t="str">
        <f>_xlfn.XLOOKUP(tblSales[[#This Row],[Product Code]],tblProducts[Code],tblProducts[Product / Service Name],"⚠ Unknown")</f>
        <v>Premium Basic T-shirt</v>
      </c>
      <c r="H3108" s="1" t="str">
        <f>_xlfn.XLOOKUP(tblSales[[#This Row],[Product Code]],tblProducts[Code],tblProducts[Category],"")</f>
        <v>Accessories &amp; Basics</v>
      </c>
      <c r="I3108" s="4">
        <v>48</v>
      </c>
      <c r="J3108" s="5">
        <f>_xlfn.XLOOKUP(tblSales[[#This Row],[Product Code]],tblProducts[Code],tblProducts[Selling Price (excl. VAT)],0)</f>
        <v>65000</v>
      </c>
      <c r="K3108" s="5">
        <f>tblSales[[#This Row],[Qty]]*tblSales[[#This Row],[Unit Price]]</f>
        <v>3120000</v>
      </c>
      <c r="L3108" s="5">
        <f>ROUND(tblSales[[#This Row],[DPP (excl. VAT)]]*VATEff,0)</f>
        <v>343200</v>
      </c>
      <c r="M3108" s="5">
        <f>tblSales[[#This Row],[DPP (excl. VAT)]]+tblSales[[#This Row],[Output VAT]]</f>
        <v>3463200</v>
      </c>
      <c r="N3108" s="5">
        <f>tblSales[[#This Row],[Qty]]*_xlfn.XLOOKUP(tblSales[[#This Row],[Product Code]],tblProducts[Code],tblProducts[Unit Cost],0)</f>
        <v>1776000</v>
      </c>
      <c r="O3108" s="4" t="s">
        <v>4867</v>
      </c>
      <c r="P3108" s="4" t="s">
        <v>4860</v>
      </c>
      <c r="Q3108" s="1" t="str">
        <f>_xlfn.XLOOKUP(tblSales[[#This Row],[Channel Code]],tblChannels[Channel Code],tblChannels[Channel Name],"")</f>
        <v>In-store</v>
      </c>
      <c r="R3108" s="1">
        <f>MONTH(tblSales[[#This Row],[Date]])</f>
        <v>7</v>
      </c>
    </row>
    <row r="3109" spans="2:18" x14ac:dyDescent="0.35">
      <c r="B3109" s="113">
        <v>46208</v>
      </c>
      <c r="C3109" s="4" t="s">
        <v>2076</v>
      </c>
      <c r="D3109" s="4" t="s">
        <v>4568</v>
      </c>
      <c r="E3109" s="1" t="str">
        <f>_xlfn.XLOOKUP(tblSales[[#This Row],[Customer ID]],tblCustomers[Customer ID],tblCustomers[Customer Name],"⚠ Unknown")</f>
        <v>Walk-in Customer</v>
      </c>
      <c r="F3109" s="4" t="s">
        <v>14</v>
      </c>
      <c r="G3109" s="1" t="str">
        <f>_xlfn.XLOOKUP(tblSales[[#This Row],[Product Code]],tblProducts[Code],tblProducts[Product / Service Name],"⚠ Unknown")</f>
        <v>Smartwatch</v>
      </c>
      <c r="H3109" s="1" t="str">
        <f>_xlfn.XLOOKUP(tblSales[[#This Row],[Product Code]],tblProducts[Code],tblProducts[Category],"")</f>
        <v>Bags &amp; Gadgets</v>
      </c>
      <c r="I3109" s="4">
        <v>3</v>
      </c>
      <c r="J3109" s="5">
        <f>_xlfn.XLOOKUP(tblSales[[#This Row],[Product Code]],tblProducts[Code],tblProducts[Selling Price (excl. VAT)],0)</f>
        <v>850000</v>
      </c>
      <c r="K3109" s="5">
        <f>tblSales[[#This Row],[Qty]]*tblSales[[#This Row],[Unit Price]]</f>
        <v>2550000</v>
      </c>
      <c r="L3109" s="5">
        <f>ROUND(tblSales[[#This Row],[DPP (excl. VAT)]]*VATEff,0)</f>
        <v>280500</v>
      </c>
      <c r="M3109" s="5">
        <f>tblSales[[#This Row],[DPP (excl. VAT)]]+tblSales[[#This Row],[Output VAT]]</f>
        <v>2830500</v>
      </c>
      <c r="N3109" s="5">
        <f>tblSales[[#This Row],[Qty]]*_xlfn.XLOOKUP(tblSales[[#This Row],[Product Code]],tblProducts[Code],tblProducts[Unit Cost],0)</f>
        <v>1680000</v>
      </c>
      <c r="O3109" s="4" t="s">
        <v>4865</v>
      </c>
      <c r="P3109" s="4" t="s">
        <v>4860</v>
      </c>
      <c r="Q3109" s="1" t="str">
        <f>_xlfn.XLOOKUP(tblSales[[#This Row],[Channel Code]],tblChannels[Channel Code],tblChannels[Channel Name],"")</f>
        <v>In-store</v>
      </c>
      <c r="R3109" s="1">
        <f>MONTH(tblSales[[#This Row],[Date]])</f>
        <v>7</v>
      </c>
    </row>
    <row r="3110" spans="2:18" x14ac:dyDescent="0.35">
      <c r="B3110" s="113">
        <v>46208</v>
      </c>
      <c r="C3110" s="4" t="s">
        <v>2076</v>
      </c>
      <c r="D3110" s="4" t="s">
        <v>4568</v>
      </c>
      <c r="E3110" s="1" t="str">
        <f>_xlfn.XLOOKUP(tblSales[[#This Row],[Customer ID]],tblCustomers[Customer ID],tblCustomers[Customer Name],"⚠ Unknown")</f>
        <v>Walk-in Customer</v>
      </c>
      <c r="F3110" s="4" t="s">
        <v>11</v>
      </c>
      <c r="G3110" s="1" t="str">
        <f>_xlfn.XLOOKUP(tblSales[[#This Row],[Product Code]],tblProducts[Code],tblProducts[Product / Service Name],"⚠ Unknown")</f>
        <v>Sneakers</v>
      </c>
      <c r="H3110" s="1" t="str">
        <f>_xlfn.XLOOKUP(tblSales[[#This Row],[Product Code]],tblProducts[Code],tblProducts[Category],"")</f>
        <v>Apparel &amp; Footwear</v>
      </c>
      <c r="I3110" s="4">
        <v>6</v>
      </c>
      <c r="J3110" s="5">
        <f>_xlfn.XLOOKUP(tblSales[[#This Row],[Product Code]],tblProducts[Code],tblProducts[Selling Price (excl. VAT)],0)</f>
        <v>250000</v>
      </c>
      <c r="K3110" s="5">
        <f>tblSales[[#This Row],[Qty]]*tblSales[[#This Row],[Unit Price]]</f>
        <v>1500000</v>
      </c>
      <c r="L3110" s="5">
        <f>ROUND(tblSales[[#This Row],[DPP (excl. VAT)]]*VATEff,0)</f>
        <v>165000</v>
      </c>
      <c r="M3110" s="5">
        <f>tblSales[[#This Row],[DPP (excl. VAT)]]+tblSales[[#This Row],[Output VAT]]</f>
        <v>1665000</v>
      </c>
      <c r="N3110" s="5">
        <f>tblSales[[#This Row],[Qty]]*_xlfn.XLOOKUP(tblSales[[#This Row],[Product Code]],tblProducts[Code],tblProducts[Unit Cost],0)</f>
        <v>930000</v>
      </c>
      <c r="O3110" s="4" t="s">
        <v>4865</v>
      </c>
      <c r="P3110" s="4" t="s">
        <v>4860</v>
      </c>
      <c r="Q3110" s="1" t="str">
        <f>_xlfn.XLOOKUP(tblSales[[#This Row],[Channel Code]],tblChannels[Channel Code],tblChannels[Channel Name],"")</f>
        <v>In-store</v>
      </c>
      <c r="R3110" s="1">
        <f>MONTH(tblSales[[#This Row],[Date]])</f>
        <v>7</v>
      </c>
    </row>
    <row r="3111" spans="2:18" x14ac:dyDescent="0.35">
      <c r="B3111" s="113">
        <v>46208</v>
      </c>
      <c r="C3111" s="4" t="s">
        <v>2077</v>
      </c>
      <c r="D3111" s="4" t="s">
        <v>4620</v>
      </c>
      <c r="E3111" s="1" t="str">
        <f>_xlfn.XLOOKUP(tblSales[[#This Row],[Customer ID]],tblCustomers[Customer ID],tblCustomers[Customer Name],"⚠ Unknown")</f>
        <v>CV Sumber Rejeki Utama</v>
      </c>
      <c r="F3111" s="4" t="s">
        <v>8</v>
      </c>
      <c r="G3111" s="1" t="str">
        <f>_xlfn.XLOOKUP(tblSales[[#This Row],[Product Code]],tblProducts[Code],tblProducts[Product / Service Name],"⚠ Unknown")</f>
        <v>Casual Shorts</v>
      </c>
      <c r="H3111" s="1" t="str">
        <f>_xlfn.XLOOKUP(tblSales[[#This Row],[Product Code]],tblProducts[Code],tblProducts[Category],"")</f>
        <v>Accessories &amp; Basics</v>
      </c>
      <c r="I3111" s="4">
        <v>80</v>
      </c>
      <c r="J3111" s="5">
        <f>_xlfn.XLOOKUP(tblSales[[#This Row],[Product Code]],tblProducts[Code],tblProducts[Selling Price (excl. VAT)],0)</f>
        <v>85000</v>
      </c>
      <c r="K3111" s="5">
        <f>tblSales[[#This Row],[Qty]]*tblSales[[#This Row],[Unit Price]]</f>
        <v>6800000</v>
      </c>
      <c r="L3111" s="5">
        <f>ROUND(tblSales[[#This Row],[DPP (excl. VAT)]]*VATEff,0)</f>
        <v>748000</v>
      </c>
      <c r="M3111" s="5">
        <f>tblSales[[#This Row],[DPP (excl. VAT)]]+tblSales[[#This Row],[Output VAT]]</f>
        <v>7548000</v>
      </c>
      <c r="N3111" s="5">
        <f>tblSales[[#This Row],[Qty]]*_xlfn.XLOOKUP(tblSales[[#This Row],[Product Code]],tblProducts[Code],tblProducts[Unit Cost],0)</f>
        <v>4000000</v>
      </c>
      <c r="O3111" s="4" t="s">
        <v>4867</v>
      </c>
      <c r="P3111" s="4" t="s">
        <v>4860</v>
      </c>
      <c r="Q3111" s="1" t="str">
        <f>_xlfn.XLOOKUP(tblSales[[#This Row],[Channel Code]],tblChannels[Channel Code],tblChannels[Channel Name],"")</f>
        <v>In-store</v>
      </c>
      <c r="R3111" s="1">
        <f>MONTH(tblSales[[#This Row],[Date]])</f>
        <v>7</v>
      </c>
    </row>
    <row r="3112" spans="2:18" x14ac:dyDescent="0.35">
      <c r="B3112" s="113">
        <v>46208</v>
      </c>
      <c r="C3112" s="4" t="s">
        <v>2078</v>
      </c>
      <c r="D3112" s="4" t="s">
        <v>4634</v>
      </c>
      <c r="E3112" s="1" t="str">
        <f>_xlfn.XLOOKUP(tblSales[[#This Row],[Customer ID]],tblCustomers[Customer ID],tblCustomers[Customer Name],"⚠ Unknown")</f>
        <v>PT Delta Inti Selaras</v>
      </c>
      <c r="F3112" s="4" t="s">
        <v>10</v>
      </c>
      <c r="G3112" s="1" t="str">
        <f>_xlfn.XLOOKUP(tblSales[[#This Row],[Product Code]],tblProducts[Code],tblProducts[Product / Service Name],"⚠ Unknown")</f>
        <v>Chino Pants</v>
      </c>
      <c r="H3112" s="1" t="str">
        <f>_xlfn.XLOOKUP(tblSales[[#This Row],[Product Code]],tblProducts[Code],tblProducts[Category],"")</f>
        <v>Apparel &amp; Footwear</v>
      </c>
      <c r="I3112" s="4">
        <v>96</v>
      </c>
      <c r="J3112" s="5">
        <f>_xlfn.XLOOKUP(tblSales[[#This Row],[Product Code]],tblProducts[Code],tblProducts[Selling Price (excl. VAT)],0)</f>
        <v>150000</v>
      </c>
      <c r="K3112" s="5">
        <f>tblSales[[#This Row],[Qty]]*tblSales[[#This Row],[Unit Price]]</f>
        <v>14400000</v>
      </c>
      <c r="L3112" s="5">
        <f>ROUND(tblSales[[#This Row],[DPP (excl. VAT)]]*VATEff,0)</f>
        <v>1584000</v>
      </c>
      <c r="M3112" s="5">
        <f>tblSales[[#This Row],[DPP (excl. VAT)]]+tblSales[[#This Row],[Output VAT]]</f>
        <v>15984000</v>
      </c>
      <c r="N3112" s="5">
        <f>tblSales[[#This Row],[Qty]]*_xlfn.XLOOKUP(tblSales[[#This Row],[Product Code]],tblProducts[Code],tblProducts[Unit Cost],0)</f>
        <v>8448000</v>
      </c>
      <c r="O3112" s="4" t="s">
        <v>4867</v>
      </c>
      <c r="P3112" s="4" t="s">
        <v>4862</v>
      </c>
      <c r="Q3112" s="1" t="str">
        <f>_xlfn.XLOOKUP(tblSales[[#This Row],[Channel Code]],tblChannels[Channel Code],tblChannels[Channel Name],"")</f>
        <v>Website &amp; Social Media</v>
      </c>
      <c r="R3112" s="1">
        <f>MONTH(tblSales[[#This Row],[Date]])</f>
        <v>7</v>
      </c>
    </row>
    <row r="3113" spans="2:18" x14ac:dyDescent="0.35">
      <c r="B3113" s="113">
        <v>46208</v>
      </c>
      <c r="C3113" s="4" t="s">
        <v>2079</v>
      </c>
      <c r="D3113" s="4" t="s">
        <v>4593</v>
      </c>
      <c r="E3113" s="1" t="str">
        <f>_xlfn.XLOOKUP(tblSales[[#This Row],[Customer ID]],tblCustomers[Customer ID],tblCustomers[Customer Name],"⚠ Unknown")</f>
        <v>PT Graha Nusa Persada</v>
      </c>
      <c r="F3113" s="4" t="s">
        <v>7</v>
      </c>
      <c r="G3113" s="1" t="str">
        <f>_xlfn.XLOOKUP(tblSales[[#This Row],[Product Code]],tblProducts[Code],tblProducts[Product / Service Name],"⚠ Unknown")</f>
        <v>Premium Basic T-shirt</v>
      </c>
      <c r="H3113" s="1" t="str">
        <f>_xlfn.XLOOKUP(tblSales[[#This Row],[Product Code]],tblProducts[Code],tblProducts[Category],"")</f>
        <v>Accessories &amp; Basics</v>
      </c>
      <c r="I3113" s="4">
        <v>40</v>
      </c>
      <c r="J3113" s="5">
        <f>_xlfn.XLOOKUP(tblSales[[#This Row],[Product Code]],tblProducts[Code],tblProducts[Selling Price (excl. VAT)],0)</f>
        <v>65000</v>
      </c>
      <c r="K3113" s="5">
        <f>tblSales[[#This Row],[Qty]]*tblSales[[#This Row],[Unit Price]]</f>
        <v>2600000</v>
      </c>
      <c r="L3113" s="5">
        <f>ROUND(tblSales[[#This Row],[DPP (excl. VAT)]]*VATEff,0)</f>
        <v>286000</v>
      </c>
      <c r="M3113" s="5">
        <f>tblSales[[#This Row],[DPP (excl. VAT)]]+tblSales[[#This Row],[Output VAT]]</f>
        <v>2886000</v>
      </c>
      <c r="N3113" s="5">
        <f>tblSales[[#This Row],[Qty]]*_xlfn.XLOOKUP(tblSales[[#This Row],[Product Code]],tblProducts[Code],tblProducts[Unit Cost],0)</f>
        <v>1480000</v>
      </c>
      <c r="O3113" s="4" t="s">
        <v>4867</v>
      </c>
      <c r="P3113" s="4" t="s">
        <v>4862</v>
      </c>
      <c r="Q3113" s="1" t="str">
        <f>_xlfn.XLOOKUP(tblSales[[#This Row],[Channel Code]],tblChannels[Channel Code],tblChannels[Channel Name],"")</f>
        <v>Website &amp; Social Media</v>
      </c>
      <c r="R3113" s="1">
        <f>MONTH(tblSales[[#This Row],[Date]])</f>
        <v>7</v>
      </c>
    </row>
    <row r="3114" spans="2:18" x14ac:dyDescent="0.35">
      <c r="B3114" s="113">
        <v>46208</v>
      </c>
      <c r="C3114" s="4" t="s">
        <v>2079</v>
      </c>
      <c r="D3114" s="4" t="s">
        <v>4593</v>
      </c>
      <c r="E3114" s="1" t="str">
        <f>_xlfn.XLOOKUP(tblSales[[#This Row],[Customer ID]],tblCustomers[Customer ID],tblCustomers[Customer Name],"⚠ Unknown")</f>
        <v>PT Graha Nusa Persada</v>
      </c>
      <c r="F3114" s="4" t="s">
        <v>9</v>
      </c>
      <c r="G3114" s="1" t="str">
        <f>_xlfn.XLOOKUP(tblSales[[#This Row],[Product Code]],tblProducts[Code],tblProducts[Product / Service Name],"⚠ Unknown")</f>
        <v>Casual Shirt</v>
      </c>
      <c r="H3114" s="1" t="str">
        <f>_xlfn.XLOOKUP(tblSales[[#This Row],[Product Code]],tblProducts[Code],tblProducts[Category],"")</f>
        <v>Apparel &amp; Footwear</v>
      </c>
      <c r="I3114" s="4">
        <v>56</v>
      </c>
      <c r="J3114" s="5">
        <f>_xlfn.XLOOKUP(tblSales[[#This Row],[Product Code]],tblProducts[Code],tblProducts[Selling Price (excl. VAT)],0)</f>
        <v>120000</v>
      </c>
      <c r="K3114" s="5">
        <f>tblSales[[#This Row],[Qty]]*tblSales[[#This Row],[Unit Price]]</f>
        <v>6720000</v>
      </c>
      <c r="L3114" s="5">
        <f>ROUND(tblSales[[#This Row],[DPP (excl. VAT)]]*VATEff,0)</f>
        <v>739200</v>
      </c>
      <c r="M3114" s="5">
        <f>tblSales[[#This Row],[DPP (excl. VAT)]]+tblSales[[#This Row],[Output VAT]]</f>
        <v>7459200</v>
      </c>
      <c r="N3114" s="5">
        <f>tblSales[[#This Row],[Qty]]*_xlfn.XLOOKUP(tblSales[[#This Row],[Product Code]],tblProducts[Code],tblProducts[Unit Cost],0)</f>
        <v>4032000</v>
      </c>
      <c r="O3114" s="4" t="s">
        <v>4867</v>
      </c>
      <c r="P3114" s="4" t="s">
        <v>4862</v>
      </c>
      <c r="Q3114" s="1" t="str">
        <f>_xlfn.XLOOKUP(tblSales[[#This Row],[Channel Code]],tblChannels[Channel Code],tblChannels[Channel Name],"")</f>
        <v>Website &amp; Social Media</v>
      </c>
      <c r="R3114" s="1">
        <f>MONTH(tblSales[[#This Row],[Date]])</f>
        <v>7</v>
      </c>
    </row>
    <row r="3115" spans="2:18" x14ac:dyDescent="0.35">
      <c r="B3115" s="113">
        <v>46208</v>
      </c>
      <c r="C3115" s="4" t="s">
        <v>2080</v>
      </c>
      <c r="D3115" s="4" t="s">
        <v>4648</v>
      </c>
      <c r="E3115" s="1" t="str">
        <f>_xlfn.XLOOKUP(tblSales[[#This Row],[Customer ID]],tblCustomers[Customer ID],tblCustomers[Customer Name],"⚠ Unknown")</f>
        <v>PT Lintas Benua Niaga</v>
      </c>
      <c r="F3115" s="4" t="s">
        <v>9</v>
      </c>
      <c r="G3115" s="1" t="str">
        <f>_xlfn.XLOOKUP(tblSales[[#This Row],[Product Code]],tblProducts[Code],tblProducts[Product / Service Name],"⚠ Unknown")</f>
        <v>Casual Shirt</v>
      </c>
      <c r="H3115" s="1" t="str">
        <f>_xlfn.XLOOKUP(tblSales[[#This Row],[Product Code]],tblProducts[Code],tblProducts[Category],"")</f>
        <v>Apparel &amp; Footwear</v>
      </c>
      <c r="I3115" s="4">
        <v>8</v>
      </c>
      <c r="J3115" s="5">
        <f>_xlfn.XLOOKUP(tblSales[[#This Row],[Product Code]],tblProducts[Code],tblProducts[Selling Price (excl. VAT)],0)</f>
        <v>120000</v>
      </c>
      <c r="K3115" s="5">
        <f>tblSales[[#This Row],[Qty]]*tblSales[[#This Row],[Unit Price]]</f>
        <v>960000</v>
      </c>
      <c r="L3115" s="5">
        <f>ROUND(tblSales[[#This Row],[DPP (excl. VAT)]]*VATEff,0)</f>
        <v>105600</v>
      </c>
      <c r="M3115" s="5">
        <f>tblSales[[#This Row],[DPP (excl. VAT)]]+tblSales[[#This Row],[Output VAT]]</f>
        <v>1065600</v>
      </c>
      <c r="N3115" s="5">
        <f>tblSales[[#This Row],[Qty]]*_xlfn.XLOOKUP(tblSales[[#This Row],[Product Code]],tblProducts[Code],tblProducts[Unit Cost],0)</f>
        <v>576000</v>
      </c>
      <c r="O3115" s="4" t="s">
        <v>4867</v>
      </c>
      <c r="P3115" s="4" t="s">
        <v>4860</v>
      </c>
      <c r="Q3115" s="1" t="str">
        <f>_xlfn.XLOOKUP(tblSales[[#This Row],[Channel Code]],tblChannels[Channel Code],tblChannels[Channel Name],"")</f>
        <v>In-store</v>
      </c>
      <c r="R3115" s="1">
        <f>MONTH(tblSales[[#This Row],[Date]])</f>
        <v>7</v>
      </c>
    </row>
    <row r="3116" spans="2:18" x14ac:dyDescent="0.35">
      <c r="B3116" s="113">
        <v>46209</v>
      </c>
      <c r="C3116" s="4" t="s">
        <v>2081</v>
      </c>
      <c r="D3116" s="4" t="s">
        <v>4568</v>
      </c>
      <c r="E3116" s="1" t="str">
        <f>_xlfn.XLOOKUP(tblSales[[#This Row],[Customer ID]],tblCustomers[Customer ID],tblCustomers[Customer Name],"⚠ Unknown")</f>
        <v>Walk-in Customer</v>
      </c>
      <c r="F3116" s="4" t="s">
        <v>10</v>
      </c>
      <c r="G3116" s="1" t="str">
        <f>_xlfn.XLOOKUP(tblSales[[#This Row],[Product Code]],tblProducts[Code],tblProducts[Product / Service Name],"⚠ Unknown")</f>
        <v>Chino Pants</v>
      </c>
      <c r="H3116" s="1" t="str">
        <f>_xlfn.XLOOKUP(tblSales[[#This Row],[Product Code]],tblProducts[Code],tblProducts[Category],"")</f>
        <v>Apparel &amp; Footwear</v>
      </c>
      <c r="I3116" s="4">
        <v>12</v>
      </c>
      <c r="J3116" s="5">
        <f>_xlfn.XLOOKUP(tblSales[[#This Row],[Product Code]],tblProducts[Code],tblProducts[Selling Price (excl. VAT)],0)</f>
        <v>150000</v>
      </c>
      <c r="K3116" s="5">
        <f>tblSales[[#This Row],[Qty]]*tblSales[[#This Row],[Unit Price]]</f>
        <v>1800000</v>
      </c>
      <c r="L3116" s="5">
        <f>ROUND(tblSales[[#This Row],[DPP (excl. VAT)]]*VATEff,0)</f>
        <v>198000</v>
      </c>
      <c r="M3116" s="5">
        <f>tblSales[[#This Row],[DPP (excl. VAT)]]+tblSales[[#This Row],[Output VAT]]</f>
        <v>1998000</v>
      </c>
      <c r="N3116" s="5">
        <f>tblSales[[#This Row],[Qty]]*_xlfn.XLOOKUP(tblSales[[#This Row],[Product Code]],tblProducts[Code],tblProducts[Unit Cost],0)</f>
        <v>1056000</v>
      </c>
      <c r="O3116" s="4" t="s">
        <v>4866</v>
      </c>
      <c r="P3116" s="4" t="s">
        <v>4860</v>
      </c>
      <c r="Q3116" s="1" t="str">
        <f>_xlfn.XLOOKUP(tblSales[[#This Row],[Channel Code]],tblChannels[Channel Code],tblChannels[Channel Name],"")</f>
        <v>In-store</v>
      </c>
      <c r="R3116" s="1">
        <f>MONTH(tblSales[[#This Row],[Date]])</f>
        <v>7</v>
      </c>
    </row>
    <row r="3117" spans="2:18" x14ac:dyDescent="0.35">
      <c r="B3117" s="113">
        <v>46209</v>
      </c>
      <c r="C3117" s="4" t="s">
        <v>2081</v>
      </c>
      <c r="D3117" s="4" t="s">
        <v>4568</v>
      </c>
      <c r="E3117" s="1" t="str">
        <f>_xlfn.XLOOKUP(tblSales[[#This Row],[Customer ID]],tblCustomers[Customer ID],tblCustomers[Customer Name],"⚠ Unknown")</f>
        <v>Walk-in Customer</v>
      </c>
      <c r="F3117" s="4" t="s">
        <v>15</v>
      </c>
      <c r="G3117" s="1" t="str">
        <f>_xlfn.XLOOKUP(tblSales[[#This Row],[Product Code]],tblProducts[Code],tblProducts[Product / Service Name],"⚠ Unknown")</f>
        <v>Wireless Earbuds Pro</v>
      </c>
      <c r="H3117" s="1" t="str">
        <f>_xlfn.XLOOKUP(tblSales[[#This Row],[Product Code]],tblProducts[Code],tblProducts[Category],"")</f>
        <v>Bags &amp; Gadgets</v>
      </c>
      <c r="I3117" s="4">
        <v>3</v>
      </c>
      <c r="J3117" s="5">
        <f>_xlfn.XLOOKUP(tblSales[[#This Row],[Product Code]],tblProducts[Code],tblProducts[Selling Price (excl. VAT)],0)</f>
        <v>1250000</v>
      </c>
      <c r="K3117" s="5">
        <f>tblSales[[#This Row],[Qty]]*tblSales[[#This Row],[Unit Price]]</f>
        <v>3750000</v>
      </c>
      <c r="L3117" s="5">
        <f>ROUND(tblSales[[#This Row],[DPP (excl. VAT)]]*VATEff,0)</f>
        <v>412500</v>
      </c>
      <c r="M3117" s="5">
        <f>tblSales[[#This Row],[DPP (excl. VAT)]]+tblSales[[#This Row],[Output VAT]]</f>
        <v>4162500</v>
      </c>
      <c r="N3117" s="5">
        <f>tblSales[[#This Row],[Qty]]*_xlfn.XLOOKUP(tblSales[[#This Row],[Product Code]],tblProducts[Code],tblProducts[Unit Cost],0)</f>
        <v>2460000</v>
      </c>
      <c r="O3117" s="4" t="s">
        <v>4866</v>
      </c>
      <c r="P3117" s="4" t="s">
        <v>4860</v>
      </c>
      <c r="Q3117" s="1" t="str">
        <f>_xlfn.XLOOKUP(tblSales[[#This Row],[Channel Code]],tblChannels[Channel Code],tblChannels[Channel Name],"")</f>
        <v>In-store</v>
      </c>
      <c r="R3117" s="1">
        <f>MONTH(tblSales[[#This Row],[Date]])</f>
        <v>7</v>
      </c>
    </row>
    <row r="3118" spans="2:18" x14ac:dyDescent="0.35">
      <c r="B3118" s="113">
        <v>46209</v>
      </c>
      <c r="C3118" s="4" t="s">
        <v>2081</v>
      </c>
      <c r="D3118" s="4" t="s">
        <v>4568</v>
      </c>
      <c r="E3118" s="1" t="str">
        <f>_xlfn.XLOOKUP(tblSales[[#This Row],[Customer ID]],tblCustomers[Customer ID],tblCustomers[Customer Name],"⚠ Unknown")</f>
        <v>Walk-in Customer</v>
      </c>
      <c r="F3118" s="4" t="s">
        <v>9</v>
      </c>
      <c r="G3118" s="1" t="str">
        <f>_xlfn.XLOOKUP(tblSales[[#This Row],[Product Code]],tblProducts[Code],tblProducts[Product / Service Name],"⚠ Unknown")</f>
        <v>Casual Shirt</v>
      </c>
      <c r="H3118" s="1" t="str">
        <f>_xlfn.XLOOKUP(tblSales[[#This Row],[Product Code]],tblProducts[Code],tblProducts[Category],"")</f>
        <v>Apparel &amp; Footwear</v>
      </c>
      <c r="I3118" s="4">
        <v>3</v>
      </c>
      <c r="J3118" s="5">
        <f>_xlfn.XLOOKUP(tblSales[[#This Row],[Product Code]],tblProducts[Code],tblProducts[Selling Price (excl. VAT)],0)</f>
        <v>120000</v>
      </c>
      <c r="K3118" s="5">
        <f>tblSales[[#This Row],[Qty]]*tblSales[[#This Row],[Unit Price]]</f>
        <v>360000</v>
      </c>
      <c r="L3118" s="5">
        <f>ROUND(tblSales[[#This Row],[DPP (excl. VAT)]]*VATEff,0)</f>
        <v>39600</v>
      </c>
      <c r="M3118" s="5">
        <f>tblSales[[#This Row],[DPP (excl. VAT)]]+tblSales[[#This Row],[Output VAT]]</f>
        <v>399600</v>
      </c>
      <c r="N3118" s="5">
        <f>tblSales[[#This Row],[Qty]]*_xlfn.XLOOKUP(tblSales[[#This Row],[Product Code]],tblProducts[Code],tblProducts[Unit Cost],0)</f>
        <v>216000</v>
      </c>
      <c r="O3118" s="4" t="s">
        <v>4866</v>
      </c>
      <c r="P3118" s="4" t="s">
        <v>4860</v>
      </c>
      <c r="Q3118" s="1" t="str">
        <f>_xlfn.XLOOKUP(tblSales[[#This Row],[Channel Code]],tblChannels[Channel Code],tblChannels[Channel Name],"")</f>
        <v>In-store</v>
      </c>
      <c r="R3118" s="1">
        <f>MONTH(tblSales[[#This Row],[Date]])</f>
        <v>7</v>
      </c>
    </row>
    <row r="3119" spans="2:18" x14ac:dyDescent="0.35">
      <c r="B3119" s="113">
        <v>46209</v>
      </c>
      <c r="C3119" s="4" t="s">
        <v>2082</v>
      </c>
      <c r="D3119" s="4" t="s">
        <v>4568</v>
      </c>
      <c r="E3119" s="1" t="str">
        <f>_xlfn.XLOOKUP(tblSales[[#This Row],[Customer ID]],tblCustomers[Customer ID],tblCustomers[Customer Name],"⚠ Unknown")</f>
        <v>Walk-in Customer</v>
      </c>
      <c r="F3119" s="4" t="s">
        <v>6</v>
      </c>
      <c r="G3119" s="1" t="str">
        <f>_xlfn.XLOOKUP(tblSales[[#This Row],[Product Code]],tblProducts[Code],tblProducts[Product / Service Name],"⚠ Unknown")</f>
        <v>Socks &amp; Accessories</v>
      </c>
      <c r="H3119" s="1" t="str">
        <f>_xlfn.XLOOKUP(tblSales[[#This Row],[Product Code]],tblProducts[Code],tblProducts[Category],"")</f>
        <v>Accessories &amp; Basics</v>
      </c>
      <c r="I3119" s="4">
        <v>7</v>
      </c>
      <c r="J3119" s="5">
        <f>_xlfn.XLOOKUP(tblSales[[#This Row],[Product Code]],tblProducts[Code],tblProducts[Selling Price (excl. VAT)],0)</f>
        <v>45000</v>
      </c>
      <c r="K3119" s="5">
        <f>tblSales[[#This Row],[Qty]]*tblSales[[#This Row],[Unit Price]]</f>
        <v>315000</v>
      </c>
      <c r="L3119" s="5">
        <f>ROUND(tblSales[[#This Row],[DPP (excl. VAT)]]*VATEff,0)</f>
        <v>34650</v>
      </c>
      <c r="M3119" s="5">
        <f>tblSales[[#This Row],[DPP (excl. VAT)]]+tblSales[[#This Row],[Output VAT]]</f>
        <v>349650</v>
      </c>
      <c r="N3119" s="5">
        <f>tblSales[[#This Row],[Qty]]*_xlfn.XLOOKUP(tblSales[[#This Row],[Product Code]],tblProducts[Code],tblProducts[Unit Cost],0)</f>
        <v>168000</v>
      </c>
      <c r="O3119" s="4" t="s">
        <v>4865</v>
      </c>
      <c r="P3119" s="4" t="s">
        <v>4860</v>
      </c>
      <c r="Q3119" s="1" t="str">
        <f>_xlfn.XLOOKUP(tblSales[[#This Row],[Channel Code]],tblChannels[Channel Code],tblChannels[Channel Name],"")</f>
        <v>In-store</v>
      </c>
      <c r="R3119" s="1">
        <f>MONTH(tblSales[[#This Row],[Date]])</f>
        <v>7</v>
      </c>
    </row>
    <row r="3120" spans="2:18" x14ac:dyDescent="0.35">
      <c r="B3120" s="113">
        <v>46209</v>
      </c>
      <c r="C3120" s="4" t="s">
        <v>2082</v>
      </c>
      <c r="D3120" s="4" t="s">
        <v>4568</v>
      </c>
      <c r="E3120" s="1" t="str">
        <f>_xlfn.XLOOKUP(tblSales[[#This Row],[Customer ID]],tblCustomers[Customer ID],tblCustomers[Customer Name],"⚠ Unknown")</f>
        <v>Walk-in Customer</v>
      </c>
      <c r="F3120" s="4" t="s">
        <v>8</v>
      </c>
      <c r="G3120" s="1" t="str">
        <f>_xlfn.XLOOKUP(tblSales[[#This Row],[Product Code]],tblProducts[Code],tblProducts[Product / Service Name],"⚠ Unknown")</f>
        <v>Casual Shorts</v>
      </c>
      <c r="H3120" s="1" t="str">
        <f>_xlfn.XLOOKUP(tblSales[[#This Row],[Product Code]],tblProducts[Code],tblProducts[Category],"")</f>
        <v>Accessories &amp; Basics</v>
      </c>
      <c r="I3120" s="4">
        <v>5</v>
      </c>
      <c r="J3120" s="5">
        <f>_xlfn.XLOOKUP(tblSales[[#This Row],[Product Code]],tblProducts[Code],tblProducts[Selling Price (excl. VAT)],0)</f>
        <v>85000</v>
      </c>
      <c r="K3120" s="5">
        <f>tblSales[[#This Row],[Qty]]*tblSales[[#This Row],[Unit Price]]</f>
        <v>425000</v>
      </c>
      <c r="L3120" s="5">
        <f>ROUND(tblSales[[#This Row],[DPP (excl. VAT)]]*VATEff,0)</f>
        <v>46750</v>
      </c>
      <c r="M3120" s="5">
        <f>tblSales[[#This Row],[DPP (excl. VAT)]]+tblSales[[#This Row],[Output VAT]]</f>
        <v>471750</v>
      </c>
      <c r="N3120" s="5">
        <f>tblSales[[#This Row],[Qty]]*_xlfn.XLOOKUP(tblSales[[#This Row],[Product Code]],tblProducts[Code],tblProducts[Unit Cost],0)</f>
        <v>250000</v>
      </c>
      <c r="O3120" s="4" t="s">
        <v>4865</v>
      </c>
      <c r="P3120" s="4" t="s">
        <v>4860</v>
      </c>
      <c r="Q3120" s="1" t="str">
        <f>_xlfn.XLOOKUP(tblSales[[#This Row],[Channel Code]],tblChannels[Channel Code],tblChannels[Channel Name],"")</f>
        <v>In-store</v>
      </c>
      <c r="R3120" s="1">
        <f>MONTH(tblSales[[#This Row],[Date]])</f>
        <v>7</v>
      </c>
    </row>
    <row r="3121" spans="2:18" x14ac:dyDescent="0.35">
      <c r="B3121" s="113">
        <v>46209</v>
      </c>
      <c r="C3121" s="4" t="s">
        <v>2083</v>
      </c>
      <c r="D3121" s="4" t="s">
        <v>4568</v>
      </c>
      <c r="E3121" s="1" t="str">
        <f>_xlfn.XLOOKUP(tblSales[[#This Row],[Customer ID]],tblCustomers[Customer ID],tblCustomers[Customer Name],"⚠ Unknown")</f>
        <v>Walk-in Customer</v>
      </c>
      <c r="F3121" s="4" t="s">
        <v>7</v>
      </c>
      <c r="G3121" s="1" t="str">
        <f>_xlfn.XLOOKUP(tblSales[[#This Row],[Product Code]],tblProducts[Code],tblProducts[Product / Service Name],"⚠ Unknown")</f>
        <v>Premium Basic T-shirt</v>
      </c>
      <c r="H3121" s="1" t="str">
        <f>_xlfn.XLOOKUP(tblSales[[#This Row],[Product Code]],tblProducts[Code],tblProducts[Category],"")</f>
        <v>Accessories &amp; Basics</v>
      </c>
      <c r="I3121" s="4">
        <v>10</v>
      </c>
      <c r="J3121" s="5">
        <f>_xlfn.XLOOKUP(tblSales[[#This Row],[Product Code]],tblProducts[Code],tblProducts[Selling Price (excl. VAT)],0)</f>
        <v>65000</v>
      </c>
      <c r="K3121" s="5">
        <f>tblSales[[#This Row],[Qty]]*tblSales[[#This Row],[Unit Price]]</f>
        <v>650000</v>
      </c>
      <c r="L3121" s="5">
        <f>ROUND(tblSales[[#This Row],[DPP (excl. VAT)]]*VATEff,0)</f>
        <v>71500</v>
      </c>
      <c r="M3121" s="5">
        <f>tblSales[[#This Row],[DPP (excl. VAT)]]+tblSales[[#This Row],[Output VAT]]</f>
        <v>721500</v>
      </c>
      <c r="N3121" s="5">
        <f>tblSales[[#This Row],[Qty]]*_xlfn.XLOOKUP(tblSales[[#This Row],[Product Code]],tblProducts[Code],tblProducts[Unit Cost],0)</f>
        <v>370000</v>
      </c>
      <c r="O3121" s="4" t="s">
        <v>4865</v>
      </c>
      <c r="P3121" s="4" t="s">
        <v>4860</v>
      </c>
      <c r="Q3121" s="1" t="str">
        <f>_xlfn.XLOOKUP(tblSales[[#This Row],[Channel Code]],tblChannels[Channel Code],tblChannels[Channel Name],"")</f>
        <v>In-store</v>
      </c>
      <c r="R3121" s="1">
        <f>MONTH(tblSales[[#This Row],[Date]])</f>
        <v>7</v>
      </c>
    </row>
    <row r="3122" spans="2:18" x14ac:dyDescent="0.35">
      <c r="B3122" s="113">
        <v>46209</v>
      </c>
      <c r="C3122" s="4" t="s">
        <v>2084</v>
      </c>
      <c r="D3122" s="4" t="s">
        <v>4568</v>
      </c>
      <c r="E3122" s="1" t="str">
        <f>_xlfn.XLOOKUP(tblSales[[#This Row],[Customer ID]],tblCustomers[Customer ID],tblCustomers[Customer Name],"⚠ Unknown")</f>
        <v>Walk-in Customer</v>
      </c>
      <c r="F3122" s="4" t="s">
        <v>12</v>
      </c>
      <c r="G3122" s="1" t="str">
        <f>_xlfn.XLOOKUP(tblSales[[#This Row],[Product Code]],tblProducts[Code],tblProducts[Product / Service Name],"⚠ Unknown")</f>
        <v>Bomber Jacket</v>
      </c>
      <c r="H3122" s="1" t="str">
        <f>_xlfn.XLOOKUP(tblSales[[#This Row],[Product Code]],tblProducts[Code],tblProducts[Category],"")</f>
        <v>Apparel &amp; Footwear</v>
      </c>
      <c r="I3122" s="4">
        <v>3</v>
      </c>
      <c r="J3122" s="5">
        <f>_xlfn.XLOOKUP(tblSales[[#This Row],[Product Code]],tblProducts[Code],tblProducts[Selling Price (excl. VAT)],0)</f>
        <v>350000</v>
      </c>
      <c r="K3122" s="5">
        <f>tblSales[[#This Row],[Qty]]*tblSales[[#This Row],[Unit Price]]</f>
        <v>1050000</v>
      </c>
      <c r="L3122" s="5">
        <f>ROUND(tblSales[[#This Row],[DPP (excl. VAT)]]*VATEff,0)</f>
        <v>115500</v>
      </c>
      <c r="M3122" s="5">
        <f>tblSales[[#This Row],[DPP (excl. VAT)]]+tblSales[[#This Row],[Output VAT]]</f>
        <v>1165500</v>
      </c>
      <c r="N3122" s="5">
        <f>tblSales[[#This Row],[Qty]]*_xlfn.XLOOKUP(tblSales[[#This Row],[Product Code]],tblProducts[Code],tblProducts[Unit Cost],0)</f>
        <v>630000</v>
      </c>
      <c r="O3122" s="4" t="s">
        <v>4866</v>
      </c>
      <c r="P3122" s="4" t="s">
        <v>4860</v>
      </c>
      <c r="Q3122" s="1" t="str">
        <f>_xlfn.XLOOKUP(tblSales[[#This Row],[Channel Code]],tblChannels[Channel Code],tblChannels[Channel Name],"")</f>
        <v>In-store</v>
      </c>
      <c r="R3122" s="1">
        <f>MONTH(tblSales[[#This Row],[Date]])</f>
        <v>7</v>
      </c>
    </row>
    <row r="3123" spans="2:18" x14ac:dyDescent="0.35">
      <c r="B3123" s="113">
        <v>46209</v>
      </c>
      <c r="C3123" s="4" t="s">
        <v>2085</v>
      </c>
      <c r="D3123" s="4" t="s">
        <v>4568</v>
      </c>
      <c r="E3123" s="1" t="str">
        <f>_xlfn.XLOOKUP(tblSales[[#This Row],[Customer ID]],tblCustomers[Customer ID],tblCustomers[Customer Name],"⚠ Unknown")</f>
        <v>Walk-in Customer</v>
      </c>
      <c r="F3123" s="4" t="s">
        <v>9</v>
      </c>
      <c r="G3123" s="1" t="str">
        <f>_xlfn.XLOOKUP(tblSales[[#This Row],[Product Code]],tblProducts[Code],tblProducts[Product / Service Name],"⚠ Unknown")</f>
        <v>Casual Shirt</v>
      </c>
      <c r="H3123" s="1" t="str">
        <f>_xlfn.XLOOKUP(tblSales[[#This Row],[Product Code]],tblProducts[Code],tblProducts[Category],"")</f>
        <v>Apparel &amp; Footwear</v>
      </c>
      <c r="I3123" s="4">
        <v>5</v>
      </c>
      <c r="J3123" s="5">
        <f>_xlfn.XLOOKUP(tblSales[[#This Row],[Product Code]],tblProducts[Code],tblProducts[Selling Price (excl. VAT)],0)</f>
        <v>120000</v>
      </c>
      <c r="K3123" s="5">
        <f>tblSales[[#This Row],[Qty]]*tblSales[[#This Row],[Unit Price]]</f>
        <v>600000</v>
      </c>
      <c r="L3123" s="5">
        <f>ROUND(tblSales[[#This Row],[DPP (excl. VAT)]]*VATEff,0)</f>
        <v>66000</v>
      </c>
      <c r="M3123" s="5">
        <f>tblSales[[#This Row],[DPP (excl. VAT)]]+tblSales[[#This Row],[Output VAT]]</f>
        <v>666000</v>
      </c>
      <c r="N3123" s="5">
        <f>tblSales[[#This Row],[Qty]]*_xlfn.XLOOKUP(tblSales[[#This Row],[Product Code]],tblProducts[Code],tblProducts[Unit Cost],0)</f>
        <v>360000</v>
      </c>
      <c r="O3123" s="4" t="s">
        <v>4866</v>
      </c>
      <c r="P3123" s="4" t="s">
        <v>4861</v>
      </c>
      <c r="Q3123" s="1" t="str">
        <f>_xlfn.XLOOKUP(tblSales[[#This Row],[Channel Code]],tblChannels[Channel Code],tblChannels[Channel Name],"")</f>
        <v>Marketplace</v>
      </c>
      <c r="R3123" s="1">
        <f>MONTH(tblSales[[#This Row],[Date]])</f>
        <v>7</v>
      </c>
    </row>
    <row r="3124" spans="2:18" x14ac:dyDescent="0.35">
      <c r="B3124" s="113">
        <v>46209</v>
      </c>
      <c r="C3124" s="4" t="s">
        <v>2086</v>
      </c>
      <c r="D3124" s="4" t="s">
        <v>4568</v>
      </c>
      <c r="E3124" s="1" t="str">
        <f>_xlfn.XLOOKUP(tblSales[[#This Row],[Customer ID]],tblCustomers[Customer ID],tblCustomers[Customer Name],"⚠ Unknown")</f>
        <v>Walk-in Customer</v>
      </c>
      <c r="F3124" s="4" t="s">
        <v>10</v>
      </c>
      <c r="G3124" s="1" t="str">
        <f>_xlfn.XLOOKUP(tblSales[[#This Row],[Product Code]],tblProducts[Code],tblProducts[Product / Service Name],"⚠ Unknown")</f>
        <v>Chino Pants</v>
      </c>
      <c r="H3124" s="1" t="str">
        <f>_xlfn.XLOOKUP(tblSales[[#This Row],[Product Code]],tblProducts[Code],tblProducts[Category],"")</f>
        <v>Apparel &amp; Footwear</v>
      </c>
      <c r="I3124" s="4">
        <v>11</v>
      </c>
      <c r="J3124" s="5">
        <f>_xlfn.XLOOKUP(tblSales[[#This Row],[Product Code]],tblProducts[Code],tblProducts[Selling Price (excl. VAT)],0)</f>
        <v>150000</v>
      </c>
      <c r="K3124" s="5">
        <f>tblSales[[#This Row],[Qty]]*tblSales[[#This Row],[Unit Price]]</f>
        <v>1650000</v>
      </c>
      <c r="L3124" s="5">
        <f>ROUND(tblSales[[#This Row],[DPP (excl. VAT)]]*VATEff,0)</f>
        <v>181500</v>
      </c>
      <c r="M3124" s="5">
        <f>tblSales[[#This Row],[DPP (excl. VAT)]]+tblSales[[#This Row],[Output VAT]]</f>
        <v>1831500</v>
      </c>
      <c r="N3124" s="5">
        <f>tblSales[[#This Row],[Qty]]*_xlfn.XLOOKUP(tblSales[[#This Row],[Product Code]],tblProducts[Code],tblProducts[Unit Cost],0)</f>
        <v>968000</v>
      </c>
      <c r="O3124" s="4" t="s">
        <v>4865</v>
      </c>
      <c r="P3124" s="4" t="s">
        <v>4860</v>
      </c>
      <c r="Q3124" s="1" t="str">
        <f>_xlfn.XLOOKUP(tblSales[[#This Row],[Channel Code]],tblChannels[Channel Code],tblChannels[Channel Name],"")</f>
        <v>In-store</v>
      </c>
      <c r="R3124" s="1">
        <f>MONTH(tblSales[[#This Row],[Date]])</f>
        <v>7</v>
      </c>
    </row>
    <row r="3125" spans="2:18" x14ac:dyDescent="0.35">
      <c r="B3125" s="113">
        <v>46209</v>
      </c>
      <c r="C3125" s="4" t="s">
        <v>2086</v>
      </c>
      <c r="D3125" s="4" t="s">
        <v>4568</v>
      </c>
      <c r="E3125" s="1" t="str">
        <f>_xlfn.XLOOKUP(tblSales[[#This Row],[Customer ID]],tblCustomers[Customer ID],tblCustomers[Customer Name],"⚠ Unknown")</f>
        <v>Walk-in Customer</v>
      </c>
      <c r="F3125" s="4" t="s">
        <v>12</v>
      </c>
      <c r="G3125" s="1" t="str">
        <f>_xlfn.XLOOKUP(tblSales[[#This Row],[Product Code]],tblProducts[Code],tblProducts[Product / Service Name],"⚠ Unknown")</f>
        <v>Bomber Jacket</v>
      </c>
      <c r="H3125" s="1" t="str">
        <f>_xlfn.XLOOKUP(tblSales[[#This Row],[Product Code]],tblProducts[Code],tblProducts[Category],"")</f>
        <v>Apparel &amp; Footwear</v>
      </c>
      <c r="I3125" s="4">
        <v>3</v>
      </c>
      <c r="J3125" s="5">
        <f>_xlfn.XLOOKUP(tblSales[[#This Row],[Product Code]],tblProducts[Code],tblProducts[Selling Price (excl. VAT)],0)</f>
        <v>350000</v>
      </c>
      <c r="K3125" s="5">
        <f>tblSales[[#This Row],[Qty]]*tblSales[[#This Row],[Unit Price]]</f>
        <v>1050000</v>
      </c>
      <c r="L3125" s="5">
        <f>ROUND(tblSales[[#This Row],[DPP (excl. VAT)]]*VATEff,0)</f>
        <v>115500</v>
      </c>
      <c r="M3125" s="5">
        <f>tblSales[[#This Row],[DPP (excl. VAT)]]+tblSales[[#This Row],[Output VAT]]</f>
        <v>1165500</v>
      </c>
      <c r="N3125" s="5">
        <f>tblSales[[#This Row],[Qty]]*_xlfn.XLOOKUP(tblSales[[#This Row],[Product Code]],tblProducts[Code],tblProducts[Unit Cost],0)</f>
        <v>630000</v>
      </c>
      <c r="O3125" s="4" t="s">
        <v>4865</v>
      </c>
      <c r="P3125" s="4" t="s">
        <v>4860</v>
      </c>
      <c r="Q3125" s="1" t="str">
        <f>_xlfn.XLOOKUP(tblSales[[#This Row],[Channel Code]],tblChannels[Channel Code],tblChannels[Channel Name],"")</f>
        <v>In-store</v>
      </c>
      <c r="R3125" s="1">
        <f>MONTH(tblSales[[#This Row],[Date]])</f>
        <v>7</v>
      </c>
    </row>
    <row r="3126" spans="2:18" x14ac:dyDescent="0.35">
      <c r="B3126" s="113">
        <v>46209</v>
      </c>
      <c r="C3126" s="4" t="s">
        <v>2086</v>
      </c>
      <c r="D3126" s="4" t="s">
        <v>4568</v>
      </c>
      <c r="E3126" s="1" t="str">
        <f>_xlfn.XLOOKUP(tblSales[[#This Row],[Customer ID]],tblCustomers[Customer ID],tblCustomers[Customer Name],"⚠ Unknown")</f>
        <v>Walk-in Customer</v>
      </c>
      <c r="F3126" s="4" t="s">
        <v>13</v>
      </c>
      <c r="G3126" s="1" t="str">
        <f>_xlfn.XLOOKUP(tblSales[[#This Row],[Product Code]],tblProducts[Code],tblProducts[Product / Service Name],"⚠ Unknown")</f>
        <v>Backpack</v>
      </c>
      <c r="H3126" s="1" t="str">
        <f>_xlfn.XLOOKUP(tblSales[[#This Row],[Product Code]],tblProducts[Code],tblProducts[Category],"")</f>
        <v>Bags &amp; Gadgets</v>
      </c>
      <c r="I3126" s="4">
        <v>4</v>
      </c>
      <c r="J3126" s="5">
        <f>_xlfn.XLOOKUP(tblSales[[#This Row],[Product Code]],tblProducts[Code],tblProducts[Selling Price (excl. VAT)],0)</f>
        <v>500000</v>
      </c>
      <c r="K3126" s="5">
        <f>tblSales[[#This Row],[Qty]]*tblSales[[#This Row],[Unit Price]]</f>
        <v>2000000</v>
      </c>
      <c r="L3126" s="5">
        <f>ROUND(tblSales[[#This Row],[DPP (excl. VAT)]]*VATEff,0)</f>
        <v>220000</v>
      </c>
      <c r="M3126" s="5">
        <f>tblSales[[#This Row],[DPP (excl. VAT)]]+tblSales[[#This Row],[Output VAT]]</f>
        <v>2220000</v>
      </c>
      <c r="N3126" s="5">
        <f>tblSales[[#This Row],[Qty]]*_xlfn.XLOOKUP(tblSales[[#This Row],[Product Code]],tblProducts[Code],tblProducts[Unit Cost],0)</f>
        <v>1160000</v>
      </c>
      <c r="O3126" s="4" t="s">
        <v>4865</v>
      </c>
      <c r="P3126" s="4" t="s">
        <v>4860</v>
      </c>
      <c r="Q3126" s="1" t="str">
        <f>_xlfn.XLOOKUP(tblSales[[#This Row],[Channel Code]],tblChannels[Channel Code],tblChannels[Channel Name],"")</f>
        <v>In-store</v>
      </c>
      <c r="R3126" s="1">
        <f>MONTH(tblSales[[#This Row],[Date]])</f>
        <v>7</v>
      </c>
    </row>
    <row r="3127" spans="2:18" x14ac:dyDescent="0.35">
      <c r="B3127" s="113">
        <v>46209</v>
      </c>
      <c r="C3127" s="4" t="s">
        <v>2087</v>
      </c>
      <c r="D3127" s="4" t="s">
        <v>4568</v>
      </c>
      <c r="E3127" s="1" t="str">
        <f>_xlfn.XLOOKUP(tblSales[[#This Row],[Customer ID]],tblCustomers[Customer ID],tblCustomers[Customer Name],"⚠ Unknown")</f>
        <v>Walk-in Customer</v>
      </c>
      <c r="F3127" s="4" t="s">
        <v>7</v>
      </c>
      <c r="G3127" s="1" t="str">
        <f>_xlfn.XLOOKUP(tblSales[[#This Row],[Product Code]],tblProducts[Code],tblProducts[Product / Service Name],"⚠ Unknown")</f>
        <v>Premium Basic T-shirt</v>
      </c>
      <c r="H3127" s="1" t="str">
        <f>_xlfn.XLOOKUP(tblSales[[#This Row],[Product Code]],tblProducts[Code],tblProducts[Category],"")</f>
        <v>Accessories &amp; Basics</v>
      </c>
      <c r="I3127" s="4">
        <v>11</v>
      </c>
      <c r="J3127" s="5">
        <f>_xlfn.XLOOKUP(tblSales[[#This Row],[Product Code]],tblProducts[Code],tblProducts[Selling Price (excl. VAT)],0)</f>
        <v>65000</v>
      </c>
      <c r="K3127" s="5">
        <f>tblSales[[#This Row],[Qty]]*tblSales[[#This Row],[Unit Price]]</f>
        <v>715000</v>
      </c>
      <c r="L3127" s="5">
        <f>ROUND(tblSales[[#This Row],[DPP (excl. VAT)]]*VATEff,0)</f>
        <v>78650</v>
      </c>
      <c r="M3127" s="5">
        <f>tblSales[[#This Row],[DPP (excl. VAT)]]+tblSales[[#This Row],[Output VAT]]</f>
        <v>793650</v>
      </c>
      <c r="N3127" s="5">
        <f>tblSales[[#This Row],[Qty]]*_xlfn.XLOOKUP(tblSales[[#This Row],[Product Code]],tblProducts[Code],tblProducts[Unit Cost],0)</f>
        <v>407000</v>
      </c>
      <c r="O3127" s="4" t="s">
        <v>4866</v>
      </c>
      <c r="P3127" s="4" t="s">
        <v>4862</v>
      </c>
      <c r="Q3127" s="1" t="str">
        <f>_xlfn.XLOOKUP(tblSales[[#This Row],[Channel Code]],tblChannels[Channel Code],tblChannels[Channel Name],"")</f>
        <v>Website &amp; Social Media</v>
      </c>
      <c r="R3127" s="1">
        <f>MONTH(tblSales[[#This Row],[Date]])</f>
        <v>7</v>
      </c>
    </row>
    <row r="3128" spans="2:18" x14ac:dyDescent="0.35">
      <c r="B3128" s="113">
        <v>46209</v>
      </c>
      <c r="C3128" s="4" t="s">
        <v>2088</v>
      </c>
      <c r="D3128" s="4" t="s">
        <v>4568</v>
      </c>
      <c r="E3128" s="1" t="str">
        <f>_xlfn.XLOOKUP(tblSales[[#This Row],[Customer ID]],tblCustomers[Customer ID],tblCustomers[Customer Name],"⚠ Unknown")</f>
        <v>Walk-in Customer</v>
      </c>
      <c r="F3128" s="4" t="s">
        <v>7</v>
      </c>
      <c r="G3128" s="1" t="str">
        <f>_xlfn.XLOOKUP(tblSales[[#This Row],[Product Code]],tblProducts[Code],tblProducts[Product / Service Name],"⚠ Unknown")</f>
        <v>Premium Basic T-shirt</v>
      </c>
      <c r="H3128" s="1" t="str">
        <f>_xlfn.XLOOKUP(tblSales[[#This Row],[Product Code]],tblProducts[Code],tblProducts[Category],"")</f>
        <v>Accessories &amp; Basics</v>
      </c>
      <c r="I3128" s="4">
        <v>11</v>
      </c>
      <c r="J3128" s="5">
        <f>_xlfn.XLOOKUP(tblSales[[#This Row],[Product Code]],tblProducts[Code],tblProducts[Selling Price (excl. VAT)],0)</f>
        <v>65000</v>
      </c>
      <c r="K3128" s="5">
        <f>tblSales[[#This Row],[Qty]]*tblSales[[#This Row],[Unit Price]]</f>
        <v>715000</v>
      </c>
      <c r="L3128" s="5">
        <f>ROUND(tblSales[[#This Row],[DPP (excl. VAT)]]*VATEff,0)</f>
        <v>78650</v>
      </c>
      <c r="M3128" s="5">
        <f>tblSales[[#This Row],[DPP (excl. VAT)]]+tblSales[[#This Row],[Output VAT]]</f>
        <v>793650</v>
      </c>
      <c r="N3128" s="5">
        <f>tblSales[[#This Row],[Qty]]*_xlfn.XLOOKUP(tblSales[[#This Row],[Product Code]],tblProducts[Code],tblProducts[Unit Cost],0)</f>
        <v>407000</v>
      </c>
      <c r="O3128" s="4" t="s">
        <v>4866</v>
      </c>
      <c r="P3128" s="4" t="s">
        <v>4861</v>
      </c>
      <c r="Q3128" s="1" t="str">
        <f>_xlfn.XLOOKUP(tblSales[[#This Row],[Channel Code]],tblChannels[Channel Code],tblChannels[Channel Name],"")</f>
        <v>Marketplace</v>
      </c>
      <c r="R3128" s="1">
        <f>MONTH(tblSales[[#This Row],[Date]])</f>
        <v>7</v>
      </c>
    </row>
    <row r="3129" spans="2:18" x14ac:dyDescent="0.35">
      <c r="B3129" s="113">
        <v>46209</v>
      </c>
      <c r="C3129" s="4" t="s">
        <v>2089</v>
      </c>
      <c r="D3129" s="4" t="s">
        <v>4568</v>
      </c>
      <c r="E3129" s="1" t="str">
        <f>_xlfn.XLOOKUP(tblSales[[#This Row],[Customer ID]],tblCustomers[Customer ID],tblCustomers[Customer Name],"⚠ Unknown")</f>
        <v>Walk-in Customer</v>
      </c>
      <c r="F3129" s="4" t="s">
        <v>9</v>
      </c>
      <c r="G3129" s="1" t="str">
        <f>_xlfn.XLOOKUP(tblSales[[#This Row],[Product Code]],tblProducts[Code],tblProducts[Product / Service Name],"⚠ Unknown")</f>
        <v>Casual Shirt</v>
      </c>
      <c r="H3129" s="1" t="str">
        <f>_xlfn.XLOOKUP(tblSales[[#This Row],[Product Code]],tblProducts[Code],tblProducts[Category],"")</f>
        <v>Apparel &amp; Footwear</v>
      </c>
      <c r="I3129" s="4">
        <v>2</v>
      </c>
      <c r="J3129" s="5">
        <f>_xlfn.XLOOKUP(tblSales[[#This Row],[Product Code]],tblProducts[Code],tblProducts[Selling Price (excl. VAT)],0)</f>
        <v>120000</v>
      </c>
      <c r="K3129" s="5">
        <f>tblSales[[#This Row],[Qty]]*tblSales[[#This Row],[Unit Price]]</f>
        <v>240000</v>
      </c>
      <c r="L3129" s="5">
        <f>ROUND(tblSales[[#This Row],[DPP (excl. VAT)]]*VATEff,0)</f>
        <v>26400</v>
      </c>
      <c r="M3129" s="5">
        <f>tblSales[[#This Row],[DPP (excl. VAT)]]+tblSales[[#This Row],[Output VAT]]</f>
        <v>266400</v>
      </c>
      <c r="N3129" s="5">
        <f>tblSales[[#This Row],[Qty]]*_xlfn.XLOOKUP(tblSales[[#This Row],[Product Code]],tblProducts[Code],tblProducts[Unit Cost],0)</f>
        <v>144000</v>
      </c>
      <c r="O3129" s="4" t="s">
        <v>4866</v>
      </c>
      <c r="P3129" s="4" t="s">
        <v>4860</v>
      </c>
      <c r="Q3129" s="1" t="str">
        <f>_xlfn.XLOOKUP(tblSales[[#This Row],[Channel Code]],tblChannels[Channel Code],tblChannels[Channel Name],"")</f>
        <v>In-store</v>
      </c>
      <c r="R3129" s="1">
        <f>MONTH(tblSales[[#This Row],[Date]])</f>
        <v>7</v>
      </c>
    </row>
    <row r="3130" spans="2:18" x14ac:dyDescent="0.35">
      <c r="B3130" s="113">
        <v>46209</v>
      </c>
      <c r="C3130" s="4" t="s">
        <v>2090</v>
      </c>
      <c r="D3130" s="4" t="s">
        <v>4568</v>
      </c>
      <c r="E3130" s="1" t="str">
        <f>_xlfn.XLOOKUP(tblSales[[#This Row],[Customer ID]],tblCustomers[Customer ID],tblCustomers[Customer Name],"⚠ Unknown")</f>
        <v>Walk-in Customer</v>
      </c>
      <c r="F3130" s="4" t="s">
        <v>9</v>
      </c>
      <c r="G3130" s="1" t="str">
        <f>_xlfn.XLOOKUP(tblSales[[#This Row],[Product Code]],tblProducts[Code],tblProducts[Product / Service Name],"⚠ Unknown")</f>
        <v>Casual Shirt</v>
      </c>
      <c r="H3130" s="1" t="str">
        <f>_xlfn.XLOOKUP(tblSales[[#This Row],[Product Code]],tblProducts[Code],tblProducts[Category],"")</f>
        <v>Apparel &amp; Footwear</v>
      </c>
      <c r="I3130" s="4">
        <v>7</v>
      </c>
      <c r="J3130" s="5">
        <f>_xlfn.XLOOKUP(tblSales[[#This Row],[Product Code]],tblProducts[Code],tblProducts[Selling Price (excl. VAT)],0)</f>
        <v>120000</v>
      </c>
      <c r="K3130" s="5">
        <f>tblSales[[#This Row],[Qty]]*tblSales[[#This Row],[Unit Price]]</f>
        <v>840000</v>
      </c>
      <c r="L3130" s="5">
        <f>ROUND(tblSales[[#This Row],[DPP (excl. VAT)]]*VATEff,0)</f>
        <v>92400</v>
      </c>
      <c r="M3130" s="5">
        <f>tblSales[[#This Row],[DPP (excl. VAT)]]+tblSales[[#This Row],[Output VAT]]</f>
        <v>932400</v>
      </c>
      <c r="N3130" s="5">
        <f>tblSales[[#This Row],[Qty]]*_xlfn.XLOOKUP(tblSales[[#This Row],[Product Code]],tblProducts[Code],tblProducts[Unit Cost],0)</f>
        <v>504000</v>
      </c>
      <c r="O3130" s="4" t="s">
        <v>4866</v>
      </c>
      <c r="P3130" s="4" t="s">
        <v>4861</v>
      </c>
      <c r="Q3130" s="1" t="str">
        <f>_xlfn.XLOOKUP(tblSales[[#This Row],[Channel Code]],tblChannels[Channel Code],tblChannels[Channel Name],"")</f>
        <v>Marketplace</v>
      </c>
      <c r="R3130" s="1">
        <f>MONTH(tblSales[[#This Row],[Date]])</f>
        <v>7</v>
      </c>
    </row>
    <row r="3131" spans="2:18" x14ac:dyDescent="0.35">
      <c r="B3131" s="113">
        <v>46209</v>
      </c>
      <c r="C3131" s="4" t="s">
        <v>2091</v>
      </c>
      <c r="D3131" s="4" t="s">
        <v>4568</v>
      </c>
      <c r="E3131" s="1" t="str">
        <f>_xlfn.XLOOKUP(tblSales[[#This Row],[Customer ID]],tblCustomers[Customer ID],tblCustomers[Customer Name],"⚠ Unknown")</f>
        <v>Walk-in Customer</v>
      </c>
      <c r="F3131" s="4" t="s">
        <v>8</v>
      </c>
      <c r="G3131" s="1" t="str">
        <f>_xlfn.XLOOKUP(tblSales[[#This Row],[Product Code]],tblProducts[Code],tblProducts[Product / Service Name],"⚠ Unknown")</f>
        <v>Casual Shorts</v>
      </c>
      <c r="H3131" s="1" t="str">
        <f>_xlfn.XLOOKUP(tblSales[[#This Row],[Product Code]],tblProducts[Code],tblProducts[Category],"")</f>
        <v>Accessories &amp; Basics</v>
      </c>
      <c r="I3131" s="4">
        <v>5</v>
      </c>
      <c r="J3131" s="5">
        <f>_xlfn.XLOOKUP(tblSales[[#This Row],[Product Code]],tblProducts[Code],tblProducts[Selling Price (excl. VAT)],0)</f>
        <v>85000</v>
      </c>
      <c r="K3131" s="5">
        <f>tblSales[[#This Row],[Qty]]*tblSales[[#This Row],[Unit Price]]</f>
        <v>425000</v>
      </c>
      <c r="L3131" s="5">
        <f>ROUND(tblSales[[#This Row],[DPP (excl. VAT)]]*VATEff,0)</f>
        <v>46750</v>
      </c>
      <c r="M3131" s="5">
        <f>tblSales[[#This Row],[DPP (excl. VAT)]]+tblSales[[#This Row],[Output VAT]]</f>
        <v>471750</v>
      </c>
      <c r="N3131" s="5">
        <f>tblSales[[#This Row],[Qty]]*_xlfn.XLOOKUP(tblSales[[#This Row],[Product Code]],tblProducts[Code],tblProducts[Unit Cost],0)</f>
        <v>250000</v>
      </c>
      <c r="O3131" s="4" t="s">
        <v>4866</v>
      </c>
      <c r="P3131" s="4" t="s">
        <v>4860</v>
      </c>
      <c r="Q3131" s="1" t="str">
        <f>_xlfn.XLOOKUP(tblSales[[#This Row],[Channel Code]],tblChannels[Channel Code],tblChannels[Channel Name],"")</f>
        <v>In-store</v>
      </c>
      <c r="R3131" s="1">
        <f>MONTH(tblSales[[#This Row],[Date]])</f>
        <v>7</v>
      </c>
    </row>
    <row r="3132" spans="2:18" x14ac:dyDescent="0.35">
      <c r="B3132" s="113">
        <v>46209</v>
      </c>
      <c r="C3132" s="4" t="s">
        <v>2091</v>
      </c>
      <c r="D3132" s="4" t="s">
        <v>4568</v>
      </c>
      <c r="E3132" s="1" t="str">
        <f>_xlfn.XLOOKUP(tblSales[[#This Row],[Customer ID]],tblCustomers[Customer ID],tblCustomers[Customer Name],"⚠ Unknown")</f>
        <v>Walk-in Customer</v>
      </c>
      <c r="F3132" s="4" t="s">
        <v>7</v>
      </c>
      <c r="G3132" s="1" t="str">
        <f>_xlfn.XLOOKUP(tblSales[[#This Row],[Product Code]],tblProducts[Code],tblProducts[Product / Service Name],"⚠ Unknown")</f>
        <v>Premium Basic T-shirt</v>
      </c>
      <c r="H3132" s="1" t="str">
        <f>_xlfn.XLOOKUP(tblSales[[#This Row],[Product Code]],tblProducts[Code],tblProducts[Category],"")</f>
        <v>Accessories &amp; Basics</v>
      </c>
      <c r="I3132" s="4">
        <v>11</v>
      </c>
      <c r="J3132" s="5">
        <f>_xlfn.XLOOKUP(tblSales[[#This Row],[Product Code]],tblProducts[Code],tblProducts[Selling Price (excl. VAT)],0)</f>
        <v>65000</v>
      </c>
      <c r="K3132" s="5">
        <f>tblSales[[#This Row],[Qty]]*tblSales[[#This Row],[Unit Price]]</f>
        <v>715000</v>
      </c>
      <c r="L3132" s="5">
        <f>ROUND(tblSales[[#This Row],[DPP (excl. VAT)]]*VATEff,0)</f>
        <v>78650</v>
      </c>
      <c r="M3132" s="5">
        <f>tblSales[[#This Row],[DPP (excl. VAT)]]+tblSales[[#This Row],[Output VAT]]</f>
        <v>793650</v>
      </c>
      <c r="N3132" s="5">
        <f>tblSales[[#This Row],[Qty]]*_xlfn.XLOOKUP(tblSales[[#This Row],[Product Code]],tblProducts[Code],tblProducts[Unit Cost],0)</f>
        <v>407000</v>
      </c>
      <c r="O3132" s="4" t="s">
        <v>4866</v>
      </c>
      <c r="P3132" s="4" t="s">
        <v>4860</v>
      </c>
      <c r="Q3132" s="1" t="str">
        <f>_xlfn.XLOOKUP(tblSales[[#This Row],[Channel Code]],tblChannels[Channel Code],tblChannels[Channel Name],"")</f>
        <v>In-store</v>
      </c>
      <c r="R3132" s="1">
        <f>MONTH(tblSales[[#This Row],[Date]])</f>
        <v>7</v>
      </c>
    </row>
    <row r="3133" spans="2:18" x14ac:dyDescent="0.35">
      <c r="B3133" s="113">
        <v>46209</v>
      </c>
      <c r="C3133" s="4" t="s">
        <v>2091</v>
      </c>
      <c r="D3133" s="4" t="s">
        <v>4568</v>
      </c>
      <c r="E3133" s="1" t="str">
        <f>_xlfn.XLOOKUP(tblSales[[#This Row],[Customer ID]],tblCustomers[Customer ID],tblCustomers[Customer Name],"⚠ Unknown")</f>
        <v>Walk-in Customer</v>
      </c>
      <c r="F3133" s="4" t="s">
        <v>6</v>
      </c>
      <c r="G3133" s="1" t="str">
        <f>_xlfn.XLOOKUP(tblSales[[#This Row],[Product Code]],tblProducts[Code],tblProducts[Product / Service Name],"⚠ Unknown")</f>
        <v>Socks &amp; Accessories</v>
      </c>
      <c r="H3133" s="1" t="str">
        <f>_xlfn.XLOOKUP(tblSales[[#This Row],[Product Code]],tblProducts[Code],tblProducts[Category],"")</f>
        <v>Accessories &amp; Basics</v>
      </c>
      <c r="I3133" s="4">
        <v>7</v>
      </c>
      <c r="J3133" s="5">
        <f>_xlfn.XLOOKUP(tblSales[[#This Row],[Product Code]],tblProducts[Code],tblProducts[Selling Price (excl. VAT)],0)</f>
        <v>45000</v>
      </c>
      <c r="K3133" s="5">
        <f>tblSales[[#This Row],[Qty]]*tblSales[[#This Row],[Unit Price]]</f>
        <v>315000</v>
      </c>
      <c r="L3133" s="5">
        <f>ROUND(tblSales[[#This Row],[DPP (excl. VAT)]]*VATEff,0)</f>
        <v>34650</v>
      </c>
      <c r="M3133" s="5">
        <f>tblSales[[#This Row],[DPP (excl. VAT)]]+tblSales[[#This Row],[Output VAT]]</f>
        <v>349650</v>
      </c>
      <c r="N3133" s="5">
        <f>tblSales[[#This Row],[Qty]]*_xlfn.XLOOKUP(tblSales[[#This Row],[Product Code]],tblProducts[Code],tblProducts[Unit Cost],0)</f>
        <v>168000</v>
      </c>
      <c r="O3133" s="4" t="s">
        <v>4866</v>
      </c>
      <c r="P3133" s="4" t="s">
        <v>4860</v>
      </c>
      <c r="Q3133" s="1" t="str">
        <f>_xlfn.XLOOKUP(tblSales[[#This Row],[Channel Code]],tblChannels[Channel Code],tblChannels[Channel Name],"")</f>
        <v>In-store</v>
      </c>
      <c r="R3133" s="1">
        <f>MONTH(tblSales[[#This Row],[Date]])</f>
        <v>7</v>
      </c>
    </row>
    <row r="3134" spans="2:18" x14ac:dyDescent="0.35">
      <c r="B3134" s="113">
        <v>46210</v>
      </c>
      <c r="C3134" s="4" t="s">
        <v>2092</v>
      </c>
      <c r="D3134" s="4" t="s">
        <v>4568</v>
      </c>
      <c r="E3134" s="1" t="str">
        <f>_xlfn.XLOOKUP(tblSales[[#This Row],[Customer ID]],tblCustomers[Customer ID],tblCustomers[Customer Name],"⚠ Unknown")</f>
        <v>Walk-in Customer</v>
      </c>
      <c r="F3134" s="4" t="s">
        <v>11</v>
      </c>
      <c r="G3134" s="1" t="str">
        <f>_xlfn.XLOOKUP(tblSales[[#This Row],[Product Code]],tblProducts[Code],tblProducts[Product / Service Name],"⚠ Unknown")</f>
        <v>Sneakers</v>
      </c>
      <c r="H3134" s="1" t="str">
        <f>_xlfn.XLOOKUP(tblSales[[#This Row],[Product Code]],tblProducts[Code],tblProducts[Category],"")</f>
        <v>Apparel &amp; Footwear</v>
      </c>
      <c r="I3134" s="4">
        <v>2</v>
      </c>
      <c r="J3134" s="5">
        <f>_xlfn.XLOOKUP(tblSales[[#This Row],[Product Code]],tblProducts[Code],tblProducts[Selling Price (excl. VAT)],0)</f>
        <v>250000</v>
      </c>
      <c r="K3134" s="5">
        <f>tblSales[[#This Row],[Qty]]*tblSales[[#This Row],[Unit Price]]</f>
        <v>500000</v>
      </c>
      <c r="L3134" s="5">
        <f>ROUND(tblSales[[#This Row],[DPP (excl. VAT)]]*VATEff,0)</f>
        <v>55000</v>
      </c>
      <c r="M3134" s="5">
        <f>tblSales[[#This Row],[DPP (excl. VAT)]]+tblSales[[#This Row],[Output VAT]]</f>
        <v>555000</v>
      </c>
      <c r="N3134" s="5">
        <f>tblSales[[#This Row],[Qty]]*_xlfn.XLOOKUP(tblSales[[#This Row],[Product Code]],tblProducts[Code],tblProducts[Unit Cost],0)</f>
        <v>310000</v>
      </c>
      <c r="O3134" s="4" t="s">
        <v>4866</v>
      </c>
      <c r="P3134" s="4" t="s">
        <v>4861</v>
      </c>
      <c r="Q3134" s="1" t="str">
        <f>_xlfn.XLOOKUP(tblSales[[#This Row],[Channel Code]],tblChannels[Channel Code],tblChannels[Channel Name],"")</f>
        <v>Marketplace</v>
      </c>
      <c r="R3134" s="1">
        <f>MONTH(tblSales[[#This Row],[Date]])</f>
        <v>7</v>
      </c>
    </row>
    <row r="3135" spans="2:18" x14ac:dyDescent="0.35">
      <c r="B3135" s="113">
        <v>46210</v>
      </c>
      <c r="C3135" s="4" t="s">
        <v>2093</v>
      </c>
      <c r="D3135" s="4" t="s">
        <v>4572</v>
      </c>
      <c r="E3135" s="1" t="str">
        <f>_xlfn.XLOOKUP(tblSales[[#This Row],[Customer ID]],tblCustomers[Customer ID],tblCustomers[Customer Name],"⚠ Unknown")</f>
        <v>PT Cahaya Abadi Makmur</v>
      </c>
      <c r="F3135" s="4" t="s">
        <v>8</v>
      </c>
      <c r="G3135" s="1" t="str">
        <f>_xlfn.XLOOKUP(tblSales[[#This Row],[Product Code]],tblProducts[Code],tblProducts[Product / Service Name],"⚠ Unknown")</f>
        <v>Casual Shorts</v>
      </c>
      <c r="H3135" s="1" t="str">
        <f>_xlfn.XLOOKUP(tblSales[[#This Row],[Product Code]],tblProducts[Code],tblProducts[Category],"")</f>
        <v>Accessories &amp; Basics</v>
      </c>
      <c r="I3135" s="4">
        <v>80</v>
      </c>
      <c r="J3135" s="5">
        <f>_xlfn.XLOOKUP(tblSales[[#This Row],[Product Code]],tblProducts[Code],tblProducts[Selling Price (excl. VAT)],0)</f>
        <v>85000</v>
      </c>
      <c r="K3135" s="5">
        <f>tblSales[[#This Row],[Qty]]*tblSales[[#This Row],[Unit Price]]</f>
        <v>6800000</v>
      </c>
      <c r="L3135" s="5">
        <f>ROUND(tblSales[[#This Row],[DPP (excl. VAT)]]*VATEff,0)</f>
        <v>748000</v>
      </c>
      <c r="M3135" s="5">
        <f>tblSales[[#This Row],[DPP (excl. VAT)]]+tblSales[[#This Row],[Output VAT]]</f>
        <v>7548000</v>
      </c>
      <c r="N3135" s="5">
        <f>tblSales[[#This Row],[Qty]]*_xlfn.XLOOKUP(tblSales[[#This Row],[Product Code]],tblProducts[Code],tblProducts[Unit Cost],0)</f>
        <v>4000000</v>
      </c>
      <c r="O3135" s="4" t="s">
        <v>4867</v>
      </c>
      <c r="P3135" s="4" t="s">
        <v>4862</v>
      </c>
      <c r="Q3135" s="1" t="str">
        <f>_xlfn.XLOOKUP(tblSales[[#This Row],[Channel Code]],tblChannels[Channel Code],tblChannels[Channel Name],"")</f>
        <v>Website &amp; Social Media</v>
      </c>
      <c r="R3135" s="1">
        <f>MONTH(tblSales[[#This Row],[Date]])</f>
        <v>7</v>
      </c>
    </row>
    <row r="3136" spans="2:18" x14ac:dyDescent="0.35">
      <c r="B3136" s="113">
        <v>46210</v>
      </c>
      <c r="C3136" s="4" t="s">
        <v>2094</v>
      </c>
      <c r="D3136" s="4" t="s">
        <v>4568</v>
      </c>
      <c r="E3136" s="1" t="str">
        <f>_xlfn.XLOOKUP(tblSales[[#This Row],[Customer ID]],tblCustomers[Customer ID],tblCustomers[Customer Name],"⚠ Unknown")</f>
        <v>Walk-in Customer</v>
      </c>
      <c r="F3136" s="4" t="s">
        <v>7</v>
      </c>
      <c r="G3136" s="1" t="str">
        <f>_xlfn.XLOOKUP(tblSales[[#This Row],[Product Code]],tblProducts[Code],tblProducts[Product / Service Name],"⚠ Unknown")</f>
        <v>Premium Basic T-shirt</v>
      </c>
      <c r="H3136" s="1" t="str">
        <f>_xlfn.XLOOKUP(tblSales[[#This Row],[Product Code]],tblProducts[Code],tblProducts[Category],"")</f>
        <v>Accessories &amp; Basics</v>
      </c>
      <c r="I3136" s="4">
        <v>2</v>
      </c>
      <c r="J3136" s="5">
        <f>_xlfn.XLOOKUP(tblSales[[#This Row],[Product Code]],tblProducts[Code],tblProducts[Selling Price (excl. VAT)],0)</f>
        <v>65000</v>
      </c>
      <c r="K3136" s="5">
        <f>tblSales[[#This Row],[Qty]]*tblSales[[#This Row],[Unit Price]]</f>
        <v>130000</v>
      </c>
      <c r="L3136" s="5">
        <f>ROUND(tblSales[[#This Row],[DPP (excl. VAT)]]*VATEff,0)</f>
        <v>14300</v>
      </c>
      <c r="M3136" s="5">
        <f>tblSales[[#This Row],[DPP (excl. VAT)]]+tblSales[[#This Row],[Output VAT]]</f>
        <v>144300</v>
      </c>
      <c r="N3136" s="5">
        <f>tblSales[[#This Row],[Qty]]*_xlfn.XLOOKUP(tblSales[[#This Row],[Product Code]],tblProducts[Code],tblProducts[Unit Cost],0)</f>
        <v>74000</v>
      </c>
      <c r="O3136" s="4" t="s">
        <v>4866</v>
      </c>
      <c r="P3136" s="4" t="s">
        <v>4861</v>
      </c>
      <c r="Q3136" s="1" t="str">
        <f>_xlfn.XLOOKUP(tblSales[[#This Row],[Channel Code]],tblChannels[Channel Code],tblChannels[Channel Name],"")</f>
        <v>Marketplace</v>
      </c>
      <c r="R3136" s="1">
        <f>MONTH(tblSales[[#This Row],[Date]])</f>
        <v>7</v>
      </c>
    </row>
    <row r="3137" spans="2:18" x14ac:dyDescent="0.35">
      <c r="B3137" s="113">
        <v>46210</v>
      </c>
      <c r="C3137" s="4" t="s">
        <v>2095</v>
      </c>
      <c r="D3137" s="4" t="s">
        <v>4627</v>
      </c>
      <c r="E3137" s="1" t="str">
        <f>_xlfn.XLOOKUP(tblSales[[#This Row],[Customer ID]],tblCustomers[Customer ID],tblCustomers[Customer Name],"⚠ Unknown")</f>
        <v>PT Kencana Wira Usaha</v>
      </c>
      <c r="F3137" s="4" t="s">
        <v>12</v>
      </c>
      <c r="G3137" s="1" t="str">
        <f>_xlfn.XLOOKUP(tblSales[[#This Row],[Product Code]],tblProducts[Code],tblProducts[Product / Service Name],"⚠ Unknown")</f>
        <v>Bomber Jacket</v>
      </c>
      <c r="H3137" s="1" t="str">
        <f>_xlfn.XLOOKUP(tblSales[[#This Row],[Product Code]],tblProducts[Code],tblProducts[Category],"")</f>
        <v>Apparel &amp; Footwear</v>
      </c>
      <c r="I3137" s="4">
        <v>48</v>
      </c>
      <c r="J3137" s="5">
        <f>_xlfn.XLOOKUP(tblSales[[#This Row],[Product Code]],tblProducts[Code],tblProducts[Selling Price (excl. VAT)],0)</f>
        <v>350000</v>
      </c>
      <c r="K3137" s="5">
        <f>tblSales[[#This Row],[Qty]]*tblSales[[#This Row],[Unit Price]]</f>
        <v>16800000</v>
      </c>
      <c r="L3137" s="5">
        <f>ROUND(tblSales[[#This Row],[DPP (excl. VAT)]]*VATEff,0)</f>
        <v>1848000</v>
      </c>
      <c r="M3137" s="5">
        <f>tblSales[[#This Row],[DPP (excl. VAT)]]+tblSales[[#This Row],[Output VAT]]</f>
        <v>18648000</v>
      </c>
      <c r="N3137" s="5">
        <f>tblSales[[#This Row],[Qty]]*_xlfn.XLOOKUP(tblSales[[#This Row],[Product Code]],tblProducts[Code],tblProducts[Unit Cost],0)</f>
        <v>10080000</v>
      </c>
      <c r="O3137" s="4" t="s">
        <v>4867</v>
      </c>
      <c r="P3137" s="4" t="s">
        <v>4860</v>
      </c>
      <c r="Q3137" s="1" t="str">
        <f>_xlfn.XLOOKUP(tblSales[[#This Row],[Channel Code]],tblChannels[Channel Code],tblChannels[Channel Name],"")</f>
        <v>In-store</v>
      </c>
      <c r="R3137" s="1">
        <f>MONTH(tblSales[[#This Row],[Date]])</f>
        <v>7</v>
      </c>
    </row>
    <row r="3138" spans="2:18" x14ac:dyDescent="0.35">
      <c r="B3138" s="113">
        <v>46210</v>
      </c>
      <c r="C3138" s="4" t="s">
        <v>2095</v>
      </c>
      <c r="D3138" s="4" t="s">
        <v>4627</v>
      </c>
      <c r="E3138" s="1" t="str">
        <f>_xlfn.XLOOKUP(tblSales[[#This Row],[Customer ID]],tblCustomers[Customer ID],tblCustomers[Customer Name],"⚠ Unknown")</f>
        <v>PT Kencana Wira Usaha</v>
      </c>
      <c r="F3138" s="4" t="s">
        <v>13</v>
      </c>
      <c r="G3138" s="1" t="str">
        <f>_xlfn.XLOOKUP(tblSales[[#This Row],[Product Code]],tblProducts[Code],tblProducts[Product / Service Name],"⚠ Unknown")</f>
        <v>Backpack</v>
      </c>
      <c r="H3138" s="1" t="str">
        <f>_xlfn.XLOOKUP(tblSales[[#This Row],[Product Code]],tblProducts[Code],tblProducts[Category],"")</f>
        <v>Bags &amp; Gadgets</v>
      </c>
      <c r="I3138" s="4">
        <v>40</v>
      </c>
      <c r="J3138" s="5">
        <f>_xlfn.XLOOKUP(tblSales[[#This Row],[Product Code]],tblProducts[Code],tblProducts[Selling Price (excl. VAT)],0)</f>
        <v>500000</v>
      </c>
      <c r="K3138" s="5">
        <f>tblSales[[#This Row],[Qty]]*tblSales[[#This Row],[Unit Price]]</f>
        <v>20000000</v>
      </c>
      <c r="L3138" s="5">
        <f>ROUND(tblSales[[#This Row],[DPP (excl. VAT)]]*VATEff,0)</f>
        <v>2200000</v>
      </c>
      <c r="M3138" s="5">
        <f>tblSales[[#This Row],[DPP (excl. VAT)]]+tblSales[[#This Row],[Output VAT]]</f>
        <v>22200000</v>
      </c>
      <c r="N3138" s="5">
        <f>tblSales[[#This Row],[Qty]]*_xlfn.XLOOKUP(tblSales[[#This Row],[Product Code]],tblProducts[Code],tblProducts[Unit Cost],0)</f>
        <v>11600000</v>
      </c>
      <c r="O3138" s="4" t="s">
        <v>4867</v>
      </c>
      <c r="P3138" s="4" t="s">
        <v>4860</v>
      </c>
      <c r="Q3138" s="1" t="str">
        <f>_xlfn.XLOOKUP(tblSales[[#This Row],[Channel Code]],tblChannels[Channel Code],tblChannels[Channel Name],"")</f>
        <v>In-store</v>
      </c>
      <c r="R3138" s="1">
        <f>MONTH(tblSales[[#This Row],[Date]])</f>
        <v>7</v>
      </c>
    </row>
    <row r="3139" spans="2:18" x14ac:dyDescent="0.35">
      <c r="B3139" s="113">
        <v>46210</v>
      </c>
      <c r="C3139" s="4" t="s">
        <v>2096</v>
      </c>
      <c r="D3139" s="4" t="s">
        <v>4593</v>
      </c>
      <c r="E3139" s="1" t="str">
        <f>_xlfn.XLOOKUP(tblSales[[#This Row],[Customer ID]],tblCustomers[Customer ID],tblCustomers[Customer Name],"⚠ Unknown")</f>
        <v>PT Graha Nusa Persada</v>
      </c>
      <c r="F3139" s="4" t="s">
        <v>15</v>
      </c>
      <c r="G3139" s="1" t="str">
        <f>_xlfn.XLOOKUP(tblSales[[#This Row],[Product Code]],tblProducts[Code],tblProducts[Product / Service Name],"⚠ Unknown")</f>
        <v>Wireless Earbuds Pro</v>
      </c>
      <c r="H3139" s="1" t="str">
        <f>_xlfn.XLOOKUP(tblSales[[#This Row],[Product Code]],tblProducts[Code],tblProducts[Category],"")</f>
        <v>Bags &amp; Gadgets</v>
      </c>
      <c r="I3139" s="4">
        <v>16</v>
      </c>
      <c r="J3139" s="5">
        <f>_xlfn.XLOOKUP(tblSales[[#This Row],[Product Code]],tblProducts[Code],tblProducts[Selling Price (excl. VAT)],0)</f>
        <v>1250000</v>
      </c>
      <c r="K3139" s="5">
        <f>tblSales[[#This Row],[Qty]]*tblSales[[#This Row],[Unit Price]]</f>
        <v>20000000</v>
      </c>
      <c r="L3139" s="5">
        <f>ROUND(tblSales[[#This Row],[DPP (excl. VAT)]]*VATEff,0)</f>
        <v>2200000</v>
      </c>
      <c r="M3139" s="5">
        <f>tblSales[[#This Row],[DPP (excl. VAT)]]+tblSales[[#This Row],[Output VAT]]</f>
        <v>22200000</v>
      </c>
      <c r="N3139" s="5">
        <f>tblSales[[#This Row],[Qty]]*_xlfn.XLOOKUP(tblSales[[#This Row],[Product Code]],tblProducts[Code],tblProducts[Unit Cost],0)</f>
        <v>13120000</v>
      </c>
      <c r="O3139" s="4" t="s">
        <v>4867</v>
      </c>
      <c r="P3139" s="4" t="s">
        <v>4860</v>
      </c>
      <c r="Q3139" s="1" t="str">
        <f>_xlfn.XLOOKUP(tblSales[[#This Row],[Channel Code]],tblChannels[Channel Code],tblChannels[Channel Name],"")</f>
        <v>In-store</v>
      </c>
      <c r="R3139" s="1">
        <f>MONTH(tblSales[[#This Row],[Date]])</f>
        <v>7</v>
      </c>
    </row>
    <row r="3140" spans="2:18" x14ac:dyDescent="0.35">
      <c r="B3140" s="113">
        <v>46210</v>
      </c>
      <c r="C3140" s="4" t="s">
        <v>2097</v>
      </c>
      <c r="D3140" s="4" t="s">
        <v>4568</v>
      </c>
      <c r="E3140" s="1" t="str">
        <f>_xlfn.XLOOKUP(tblSales[[#This Row],[Customer ID]],tblCustomers[Customer ID],tblCustomers[Customer Name],"⚠ Unknown")</f>
        <v>Walk-in Customer</v>
      </c>
      <c r="F3140" s="4" t="s">
        <v>12</v>
      </c>
      <c r="G3140" s="1" t="str">
        <f>_xlfn.XLOOKUP(tblSales[[#This Row],[Product Code]],tblProducts[Code],tblProducts[Product / Service Name],"⚠ Unknown")</f>
        <v>Bomber Jacket</v>
      </c>
      <c r="H3140" s="1" t="str">
        <f>_xlfn.XLOOKUP(tblSales[[#This Row],[Product Code]],tblProducts[Code],tblProducts[Category],"")</f>
        <v>Apparel &amp; Footwear</v>
      </c>
      <c r="I3140" s="4">
        <v>2</v>
      </c>
      <c r="J3140" s="5">
        <f>_xlfn.XLOOKUP(tblSales[[#This Row],[Product Code]],tblProducts[Code],tblProducts[Selling Price (excl. VAT)],0)</f>
        <v>350000</v>
      </c>
      <c r="K3140" s="5">
        <f>tblSales[[#This Row],[Qty]]*tblSales[[#This Row],[Unit Price]]</f>
        <v>700000</v>
      </c>
      <c r="L3140" s="5">
        <f>ROUND(tblSales[[#This Row],[DPP (excl. VAT)]]*VATEff,0)</f>
        <v>77000</v>
      </c>
      <c r="M3140" s="5">
        <f>tblSales[[#This Row],[DPP (excl. VAT)]]+tblSales[[#This Row],[Output VAT]]</f>
        <v>777000</v>
      </c>
      <c r="N3140" s="5">
        <f>tblSales[[#This Row],[Qty]]*_xlfn.XLOOKUP(tblSales[[#This Row],[Product Code]],tblProducts[Code],tblProducts[Unit Cost],0)</f>
        <v>420000</v>
      </c>
      <c r="O3140" s="4" t="s">
        <v>4865</v>
      </c>
      <c r="P3140" s="4" t="s">
        <v>4860</v>
      </c>
      <c r="Q3140" s="1" t="str">
        <f>_xlfn.XLOOKUP(tblSales[[#This Row],[Channel Code]],tblChannels[Channel Code],tblChannels[Channel Name],"")</f>
        <v>In-store</v>
      </c>
      <c r="R3140" s="1">
        <f>MONTH(tblSales[[#This Row],[Date]])</f>
        <v>7</v>
      </c>
    </row>
    <row r="3141" spans="2:18" x14ac:dyDescent="0.35">
      <c r="B3141" s="113">
        <v>46210</v>
      </c>
      <c r="C3141" s="4" t="s">
        <v>2098</v>
      </c>
      <c r="D3141" s="4" t="s">
        <v>4568</v>
      </c>
      <c r="E3141" s="1" t="str">
        <f>_xlfn.XLOOKUP(tblSales[[#This Row],[Customer ID]],tblCustomers[Customer ID],tblCustomers[Customer Name],"⚠ Unknown")</f>
        <v>Walk-in Customer</v>
      </c>
      <c r="F3141" s="4" t="s">
        <v>11</v>
      </c>
      <c r="G3141" s="1" t="str">
        <f>_xlfn.XLOOKUP(tblSales[[#This Row],[Product Code]],tblProducts[Code],tblProducts[Product / Service Name],"⚠ Unknown")</f>
        <v>Sneakers</v>
      </c>
      <c r="H3141" s="1" t="str">
        <f>_xlfn.XLOOKUP(tblSales[[#This Row],[Product Code]],tblProducts[Code],tblProducts[Category],"")</f>
        <v>Apparel &amp; Footwear</v>
      </c>
      <c r="I3141" s="4">
        <v>2</v>
      </c>
      <c r="J3141" s="5">
        <f>_xlfn.XLOOKUP(tblSales[[#This Row],[Product Code]],tblProducts[Code],tblProducts[Selling Price (excl. VAT)],0)</f>
        <v>250000</v>
      </c>
      <c r="K3141" s="5">
        <f>tblSales[[#This Row],[Qty]]*tblSales[[#This Row],[Unit Price]]</f>
        <v>500000</v>
      </c>
      <c r="L3141" s="5">
        <f>ROUND(tblSales[[#This Row],[DPP (excl. VAT)]]*VATEff,0)</f>
        <v>55000</v>
      </c>
      <c r="M3141" s="5">
        <f>tblSales[[#This Row],[DPP (excl. VAT)]]+tblSales[[#This Row],[Output VAT]]</f>
        <v>555000</v>
      </c>
      <c r="N3141" s="5">
        <f>tblSales[[#This Row],[Qty]]*_xlfn.XLOOKUP(tblSales[[#This Row],[Product Code]],tblProducts[Code],tblProducts[Unit Cost],0)</f>
        <v>310000</v>
      </c>
      <c r="O3141" s="4" t="s">
        <v>4866</v>
      </c>
      <c r="P3141" s="4" t="s">
        <v>4861</v>
      </c>
      <c r="Q3141" s="1" t="str">
        <f>_xlfn.XLOOKUP(tblSales[[#This Row],[Channel Code]],tblChannels[Channel Code],tblChannels[Channel Name],"")</f>
        <v>Marketplace</v>
      </c>
      <c r="R3141" s="1">
        <f>MONTH(tblSales[[#This Row],[Date]])</f>
        <v>7</v>
      </c>
    </row>
    <row r="3142" spans="2:18" x14ac:dyDescent="0.35">
      <c r="B3142" s="113">
        <v>46210</v>
      </c>
      <c r="C3142" s="4" t="s">
        <v>2099</v>
      </c>
      <c r="D3142" s="4" t="s">
        <v>4568</v>
      </c>
      <c r="E3142" s="1" t="str">
        <f>_xlfn.XLOOKUP(tblSales[[#This Row],[Customer ID]],tblCustomers[Customer ID],tblCustomers[Customer Name],"⚠ Unknown")</f>
        <v>Walk-in Customer</v>
      </c>
      <c r="F3142" s="4" t="s">
        <v>6</v>
      </c>
      <c r="G3142" s="1" t="str">
        <f>_xlfn.XLOOKUP(tblSales[[#This Row],[Product Code]],tblProducts[Code],tblProducts[Product / Service Name],"⚠ Unknown")</f>
        <v>Socks &amp; Accessories</v>
      </c>
      <c r="H3142" s="1" t="str">
        <f>_xlfn.XLOOKUP(tblSales[[#This Row],[Product Code]],tblProducts[Code],tblProducts[Category],"")</f>
        <v>Accessories &amp; Basics</v>
      </c>
      <c r="I3142" s="4">
        <v>8</v>
      </c>
      <c r="J3142" s="5">
        <f>_xlfn.XLOOKUP(tblSales[[#This Row],[Product Code]],tblProducts[Code],tblProducts[Selling Price (excl. VAT)],0)</f>
        <v>45000</v>
      </c>
      <c r="K3142" s="5">
        <f>tblSales[[#This Row],[Qty]]*tblSales[[#This Row],[Unit Price]]</f>
        <v>360000</v>
      </c>
      <c r="L3142" s="5">
        <f>ROUND(tblSales[[#This Row],[DPP (excl. VAT)]]*VATEff,0)</f>
        <v>39600</v>
      </c>
      <c r="M3142" s="5">
        <f>tblSales[[#This Row],[DPP (excl. VAT)]]+tblSales[[#This Row],[Output VAT]]</f>
        <v>399600</v>
      </c>
      <c r="N3142" s="5">
        <f>tblSales[[#This Row],[Qty]]*_xlfn.XLOOKUP(tblSales[[#This Row],[Product Code]],tblProducts[Code],tblProducts[Unit Cost],0)</f>
        <v>192000</v>
      </c>
      <c r="O3142" s="4" t="s">
        <v>4865</v>
      </c>
      <c r="P3142" s="4" t="s">
        <v>4860</v>
      </c>
      <c r="Q3142" s="1" t="str">
        <f>_xlfn.XLOOKUP(tblSales[[#This Row],[Channel Code]],tblChannels[Channel Code],tblChannels[Channel Name],"")</f>
        <v>In-store</v>
      </c>
      <c r="R3142" s="1">
        <f>MONTH(tblSales[[#This Row],[Date]])</f>
        <v>7</v>
      </c>
    </row>
    <row r="3143" spans="2:18" x14ac:dyDescent="0.35">
      <c r="B3143" s="113">
        <v>46210</v>
      </c>
      <c r="C3143" s="4" t="s">
        <v>2100</v>
      </c>
      <c r="D3143" s="4" t="s">
        <v>4578</v>
      </c>
      <c r="E3143" s="1" t="str">
        <f>_xlfn.XLOOKUP(tblSales[[#This Row],[Customer ID]],tblCustomers[Customer ID],tblCustomers[Customer Name],"⚠ Unknown")</f>
        <v>PT Bintang Timur Sejahtera</v>
      </c>
      <c r="F3143" s="4" t="s">
        <v>9</v>
      </c>
      <c r="G3143" s="1" t="str">
        <f>_xlfn.XLOOKUP(tblSales[[#This Row],[Product Code]],tblProducts[Code],tblProducts[Product / Service Name],"⚠ Unknown")</f>
        <v>Casual Shirt</v>
      </c>
      <c r="H3143" s="1" t="str">
        <f>_xlfn.XLOOKUP(tblSales[[#This Row],[Product Code]],tblProducts[Code],tblProducts[Category],"")</f>
        <v>Apparel &amp; Footwear</v>
      </c>
      <c r="I3143" s="4">
        <v>64</v>
      </c>
      <c r="J3143" s="5">
        <f>_xlfn.XLOOKUP(tblSales[[#This Row],[Product Code]],tblProducts[Code],tblProducts[Selling Price (excl. VAT)],0)</f>
        <v>120000</v>
      </c>
      <c r="K3143" s="5">
        <f>tblSales[[#This Row],[Qty]]*tblSales[[#This Row],[Unit Price]]</f>
        <v>7680000</v>
      </c>
      <c r="L3143" s="5">
        <f>ROUND(tblSales[[#This Row],[DPP (excl. VAT)]]*VATEff,0)</f>
        <v>844800</v>
      </c>
      <c r="M3143" s="5">
        <f>tblSales[[#This Row],[DPP (excl. VAT)]]+tblSales[[#This Row],[Output VAT]]</f>
        <v>8524800</v>
      </c>
      <c r="N3143" s="5">
        <f>tblSales[[#This Row],[Qty]]*_xlfn.XLOOKUP(tblSales[[#This Row],[Product Code]],tblProducts[Code],tblProducts[Unit Cost],0)</f>
        <v>4608000</v>
      </c>
      <c r="O3143" s="4" t="s">
        <v>4867</v>
      </c>
      <c r="P3143" s="4" t="s">
        <v>4860</v>
      </c>
      <c r="Q3143" s="1" t="str">
        <f>_xlfn.XLOOKUP(tblSales[[#This Row],[Channel Code]],tblChannels[Channel Code],tblChannels[Channel Name],"")</f>
        <v>In-store</v>
      </c>
      <c r="R3143" s="1">
        <f>MONTH(tblSales[[#This Row],[Date]])</f>
        <v>7</v>
      </c>
    </row>
    <row r="3144" spans="2:18" x14ac:dyDescent="0.35">
      <c r="B3144" s="113">
        <v>46210</v>
      </c>
      <c r="C3144" s="4" t="s">
        <v>2101</v>
      </c>
      <c r="D3144" s="4" t="s">
        <v>4599</v>
      </c>
      <c r="E3144" s="1" t="str">
        <f>_xlfn.XLOOKUP(tblSales[[#This Row],[Customer ID]],tblCustomers[Customer ID],tblCustomers[Customer Name],"⚠ Unknown")</f>
        <v>PT Samudra Jaya Logistik</v>
      </c>
      <c r="F3144" s="4" t="s">
        <v>15</v>
      </c>
      <c r="G3144" s="1" t="str">
        <f>_xlfn.XLOOKUP(tblSales[[#This Row],[Product Code]],tblProducts[Code],tblProducts[Product / Service Name],"⚠ Unknown")</f>
        <v>Wireless Earbuds Pro</v>
      </c>
      <c r="H3144" s="1" t="str">
        <f>_xlfn.XLOOKUP(tblSales[[#This Row],[Product Code]],tblProducts[Code],tblProducts[Category],"")</f>
        <v>Bags &amp; Gadgets</v>
      </c>
      <c r="I3144" s="4">
        <v>8</v>
      </c>
      <c r="J3144" s="5">
        <f>_xlfn.XLOOKUP(tblSales[[#This Row],[Product Code]],tblProducts[Code],tblProducts[Selling Price (excl. VAT)],0)</f>
        <v>1250000</v>
      </c>
      <c r="K3144" s="5">
        <f>tblSales[[#This Row],[Qty]]*tblSales[[#This Row],[Unit Price]]</f>
        <v>10000000</v>
      </c>
      <c r="L3144" s="5">
        <f>ROUND(tblSales[[#This Row],[DPP (excl. VAT)]]*VATEff,0)</f>
        <v>1100000</v>
      </c>
      <c r="M3144" s="5">
        <f>tblSales[[#This Row],[DPP (excl. VAT)]]+tblSales[[#This Row],[Output VAT]]</f>
        <v>11100000</v>
      </c>
      <c r="N3144" s="5">
        <f>tblSales[[#This Row],[Qty]]*_xlfn.XLOOKUP(tblSales[[#This Row],[Product Code]],tblProducts[Code],tblProducts[Unit Cost],0)</f>
        <v>6560000</v>
      </c>
      <c r="O3144" s="4" t="s">
        <v>4867</v>
      </c>
      <c r="P3144" s="4" t="s">
        <v>4860</v>
      </c>
      <c r="Q3144" s="1" t="str">
        <f>_xlfn.XLOOKUP(tblSales[[#This Row],[Channel Code]],tblChannels[Channel Code],tblChannels[Channel Name],"")</f>
        <v>In-store</v>
      </c>
      <c r="R3144" s="1">
        <f>MONTH(tblSales[[#This Row],[Date]])</f>
        <v>7</v>
      </c>
    </row>
    <row r="3145" spans="2:18" x14ac:dyDescent="0.35">
      <c r="B3145" s="113">
        <v>46210</v>
      </c>
      <c r="C3145" s="4" t="s">
        <v>2102</v>
      </c>
      <c r="D3145" s="4" t="s">
        <v>4568</v>
      </c>
      <c r="E3145" s="1" t="str">
        <f>_xlfn.XLOOKUP(tblSales[[#This Row],[Customer ID]],tblCustomers[Customer ID],tblCustomers[Customer Name],"⚠ Unknown")</f>
        <v>Walk-in Customer</v>
      </c>
      <c r="F3145" s="4" t="s">
        <v>7</v>
      </c>
      <c r="G3145" s="1" t="str">
        <f>_xlfn.XLOOKUP(tblSales[[#This Row],[Product Code]],tblProducts[Code],tblProducts[Product / Service Name],"⚠ Unknown")</f>
        <v>Premium Basic T-shirt</v>
      </c>
      <c r="H3145" s="1" t="str">
        <f>_xlfn.XLOOKUP(tblSales[[#This Row],[Product Code]],tblProducts[Code],tblProducts[Category],"")</f>
        <v>Accessories &amp; Basics</v>
      </c>
      <c r="I3145" s="4">
        <v>7</v>
      </c>
      <c r="J3145" s="5">
        <f>_xlfn.XLOOKUP(tblSales[[#This Row],[Product Code]],tblProducts[Code],tblProducts[Selling Price (excl. VAT)],0)</f>
        <v>65000</v>
      </c>
      <c r="K3145" s="5">
        <f>tblSales[[#This Row],[Qty]]*tblSales[[#This Row],[Unit Price]]</f>
        <v>455000</v>
      </c>
      <c r="L3145" s="5">
        <f>ROUND(tblSales[[#This Row],[DPP (excl. VAT)]]*VATEff,0)</f>
        <v>50050</v>
      </c>
      <c r="M3145" s="5">
        <f>tblSales[[#This Row],[DPP (excl. VAT)]]+tblSales[[#This Row],[Output VAT]]</f>
        <v>505050</v>
      </c>
      <c r="N3145" s="5">
        <f>tblSales[[#This Row],[Qty]]*_xlfn.XLOOKUP(tblSales[[#This Row],[Product Code]],tblProducts[Code],tblProducts[Unit Cost],0)</f>
        <v>259000</v>
      </c>
      <c r="O3145" s="4" t="s">
        <v>4866</v>
      </c>
      <c r="P3145" s="4" t="s">
        <v>4862</v>
      </c>
      <c r="Q3145" s="1" t="str">
        <f>_xlfn.XLOOKUP(tblSales[[#This Row],[Channel Code]],tblChannels[Channel Code],tblChannels[Channel Name],"")</f>
        <v>Website &amp; Social Media</v>
      </c>
      <c r="R3145" s="1">
        <f>MONTH(tblSales[[#This Row],[Date]])</f>
        <v>7</v>
      </c>
    </row>
    <row r="3146" spans="2:18" x14ac:dyDescent="0.35">
      <c r="B3146" s="113">
        <v>46211</v>
      </c>
      <c r="C3146" s="4" t="s">
        <v>2103</v>
      </c>
      <c r="D3146" s="4" t="s">
        <v>4568</v>
      </c>
      <c r="E3146" s="1" t="str">
        <f>_xlfn.XLOOKUP(tblSales[[#This Row],[Customer ID]],tblCustomers[Customer ID],tblCustomers[Customer Name],"⚠ Unknown")</f>
        <v>Walk-in Customer</v>
      </c>
      <c r="F3146" s="4" t="s">
        <v>6</v>
      </c>
      <c r="G3146" s="1" t="str">
        <f>_xlfn.XLOOKUP(tblSales[[#This Row],[Product Code]],tblProducts[Code],tblProducts[Product / Service Name],"⚠ Unknown")</f>
        <v>Socks &amp; Accessories</v>
      </c>
      <c r="H3146" s="1" t="str">
        <f>_xlfn.XLOOKUP(tblSales[[#This Row],[Product Code]],tblProducts[Code],tblProducts[Category],"")</f>
        <v>Accessories &amp; Basics</v>
      </c>
      <c r="I3146" s="4">
        <v>2</v>
      </c>
      <c r="J3146" s="5">
        <f>_xlfn.XLOOKUP(tblSales[[#This Row],[Product Code]],tblProducts[Code],tblProducts[Selling Price (excl. VAT)],0)</f>
        <v>45000</v>
      </c>
      <c r="K3146" s="5">
        <f>tblSales[[#This Row],[Qty]]*tblSales[[#This Row],[Unit Price]]</f>
        <v>90000</v>
      </c>
      <c r="L3146" s="5">
        <f>ROUND(tblSales[[#This Row],[DPP (excl. VAT)]]*VATEff,0)</f>
        <v>9900</v>
      </c>
      <c r="M3146" s="5">
        <f>tblSales[[#This Row],[DPP (excl. VAT)]]+tblSales[[#This Row],[Output VAT]]</f>
        <v>99900</v>
      </c>
      <c r="N3146" s="5">
        <f>tblSales[[#This Row],[Qty]]*_xlfn.XLOOKUP(tblSales[[#This Row],[Product Code]],tblProducts[Code],tblProducts[Unit Cost],0)</f>
        <v>48000</v>
      </c>
      <c r="O3146" s="4" t="s">
        <v>4865</v>
      </c>
      <c r="P3146" s="4" t="s">
        <v>4860</v>
      </c>
      <c r="Q3146" s="1" t="str">
        <f>_xlfn.XLOOKUP(tblSales[[#This Row],[Channel Code]],tblChannels[Channel Code],tblChannels[Channel Name],"")</f>
        <v>In-store</v>
      </c>
      <c r="R3146" s="1">
        <f>MONTH(tblSales[[#This Row],[Date]])</f>
        <v>7</v>
      </c>
    </row>
    <row r="3147" spans="2:18" x14ac:dyDescent="0.35">
      <c r="B3147" s="113">
        <v>46211</v>
      </c>
      <c r="C3147" s="4" t="s">
        <v>2104</v>
      </c>
      <c r="D3147" s="4" t="s">
        <v>4613</v>
      </c>
      <c r="E3147" s="1" t="str">
        <f>_xlfn.XLOOKUP(tblSales[[#This Row],[Customer ID]],tblCustomers[Customer ID],tblCustomers[Customer Name],"⚠ Unknown")</f>
        <v>PT Mega Prima Distribusi</v>
      </c>
      <c r="F3147" s="4" t="s">
        <v>7</v>
      </c>
      <c r="G3147" s="1" t="str">
        <f>_xlfn.XLOOKUP(tblSales[[#This Row],[Product Code]],tblProducts[Code],tblProducts[Product / Service Name],"⚠ Unknown")</f>
        <v>Premium Basic T-shirt</v>
      </c>
      <c r="H3147" s="1" t="str">
        <f>_xlfn.XLOOKUP(tblSales[[#This Row],[Product Code]],tblProducts[Code],tblProducts[Category],"")</f>
        <v>Accessories &amp; Basics</v>
      </c>
      <c r="I3147" s="4">
        <v>24</v>
      </c>
      <c r="J3147" s="5">
        <f>_xlfn.XLOOKUP(tblSales[[#This Row],[Product Code]],tblProducts[Code],tblProducts[Selling Price (excl. VAT)],0)</f>
        <v>65000</v>
      </c>
      <c r="K3147" s="5">
        <f>tblSales[[#This Row],[Qty]]*tblSales[[#This Row],[Unit Price]]</f>
        <v>1560000</v>
      </c>
      <c r="L3147" s="5">
        <f>ROUND(tblSales[[#This Row],[DPP (excl. VAT)]]*VATEff,0)</f>
        <v>171600</v>
      </c>
      <c r="M3147" s="5">
        <f>tblSales[[#This Row],[DPP (excl. VAT)]]+tblSales[[#This Row],[Output VAT]]</f>
        <v>1731600</v>
      </c>
      <c r="N3147" s="5">
        <f>tblSales[[#This Row],[Qty]]*_xlfn.XLOOKUP(tblSales[[#This Row],[Product Code]],tblProducts[Code],tblProducts[Unit Cost],0)</f>
        <v>888000</v>
      </c>
      <c r="O3147" s="4" t="s">
        <v>4867</v>
      </c>
      <c r="P3147" s="4" t="s">
        <v>4860</v>
      </c>
      <c r="Q3147" s="1" t="str">
        <f>_xlfn.XLOOKUP(tblSales[[#This Row],[Channel Code]],tblChannels[Channel Code],tblChannels[Channel Name],"")</f>
        <v>In-store</v>
      </c>
      <c r="R3147" s="1">
        <f>MONTH(tblSales[[#This Row],[Date]])</f>
        <v>7</v>
      </c>
    </row>
    <row r="3148" spans="2:18" x14ac:dyDescent="0.35">
      <c r="B3148" s="113">
        <v>46211</v>
      </c>
      <c r="C3148" s="4" t="s">
        <v>2104</v>
      </c>
      <c r="D3148" s="4" t="s">
        <v>4613</v>
      </c>
      <c r="E3148" s="1" t="str">
        <f>_xlfn.XLOOKUP(tblSales[[#This Row],[Customer ID]],tblCustomers[Customer ID],tblCustomers[Customer Name],"⚠ Unknown")</f>
        <v>PT Mega Prima Distribusi</v>
      </c>
      <c r="F3148" s="4" t="s">
        <v>15</v>
      </c>
      <c r="G3148" s="1" t="str">
        <f>_xlfn.XLOOKUP(tblSales[[#This Row],[Product Code]],tblProducts[Code],tblProducts[Product / Service Name],"⚠ Unknown")</f>
        <v>Wireless Earbuds Pro</v>
      </c>
      <c r="H3148" s="1" t="str">
        <f>_xlfn.XLOOKUP(tblSales[[#This Row],[Product Code]],tblProducts[Code],tblProducts[Category],"")</f>
        <v>Bags &amp; Gadgets</v>
      </c>
      <c r="I3148" s="4">
        <v>24</v>
      </c>
      <c r="J3148" s="5">
        <f>_xlfn.XLOOKUP(tblSales[[#This Row],[Product Code]],tblProducts[Code],tblProducts[Selling Price (excl. VAT)],0)</f>
        <v>1250000</v>
      </c>
      <c r="K3148" s="5">
        <f>tblSales[[#This Row],[Qty]]*tblSales[[#This Row],[Unit Price]]</f>
        <v>30000000</v>
      </c>
      <c r="L3148" s="5">
        <f>ROUND(tblSales[[#This Row],[DPP (excl. VAT)]]*VATEff,0)</f>
        <v>3300000</v>
      </c>
      <c r="M3148" s="5">
        <f>tblSales[[#This Row],[DPP (excl. VAT)]]+tblSales[[#This Row],[Output VAT]]</f>
        <v>33300000</v>
      </c>
      <c r="N3148" s="5">
        <f>tblSales[[#This Row],[Qty]]*_xlfn.XLOOKUP(tblSales[[#This Row],[Product Code]],tblProducts[Code],tblProducts[Unit Cost],0)</f>
        <v>19680000</v>
      </c>
      <c r="O3148" s="4" t="s">
        <v>4867</v>
      </c>
      <c r="P3148" s="4" t="s">
        <v>4860</v>
      </c>
      <c r="Q3148" s="1" t="str">
        <f>_xlfn.XLOOKUP(tblSales[[#This Row],[Channel Code]],tblChannels[Channel Code],tblChannels[Channel Name],"")</f>
        <v>In-store</v>
      </c>
      <c r="R3148" s="1">
        <f>MONTH(tblSales[[#This Row],[Date]])</f>
        <v>7</v>
      </c>
    </row>
    <row r="3149" spans="2:18" x14ac:dyDescent="0.35">
      <c r="B3149" s="113">
        <v>46211</v>
      </c>
      <c r="C3149" s="4" t="s">
        <v>2105</v>
      </c>
      <c r="D3149" s="4" t="s">
        <v>4572</v>
      </c>
      <c r="E3149" s="1" t="str">
        <f>_xlfn.XLOOKUP(tblSales[[#This Row],[Customer ID]],tblCustomers[Customer ID],tblCustomers[Customer Name],"⚠ Unknown")</f>
        <v>PT Cahaya Abadi Makmur</v>
      </c>
      <c r="F3149" s="4" t="s">
        <v>8</v>
      </c>
      <c r="G3149" s="1" t="str">
        <f>_xlfn.XLOOKUP(tblSales[[#This Row],[Product Code]],tblProducts[Code],tblProducts[Product / Service Name],"⚠ Unknown")</f>
        <v>Casual Shorts</v>
      </c>
      <c r="H3149" s="1" t="str">
        <f>_xlfn.XLOOKUP(tblSales[[#This Row],[Product Code]],tblProducts[Code],tblProducts[Category],"")</f>
        <v>Accessories &amp; Basics</v>
      </c>
      <c r="I3149" s="4">
        <v>72</v>
      </c>
      <c r="J3149" s="5">
        <f>_xlfn.XLOOKUP(tblSales[[#This Row],[Product Code]],tblProducts[Code],tblProducts[Selling Price (excl. VAT)],0)</f>
        <v>85000</v>
      </c>
      <c r="K3149" s="5">
        <f>tblSales[[#This Row],[Qty]]*tblSales[[#This Row],[Unit Price]]</f>
        <v>6120000</v>
      </c>
      <c r="L3149" s="5">
        <f>ROUND(tblSales[[#This Row],[DPP (excl. VAT)]]*VATEff,0)</f>
        <v>673200</v>
      </c>
      <c r="M3149" s="5">
        <f>tblSales[[#This Row],[DPP (excl. VAT)]]+tblSales[[#This Row],[Output VAT]]</f>
        <v>6793200</v>
      </c>
      <c r="N3149" s="5">
        <f>tblSales[[#This Row],[Qty]]*_xlfn.XLOOKUP(tblSales[[#This Row],[Product Code]],tblProducts[Code],tblProducts[Unit Cost],0)</f>
        <v>3600000</v>
      </c>
      <c r="O3149" s="4" t="s">
        <v>4867</v>
      </c>
      <c r="P3149" s="4" t="s">
        <v>4860</v>
      </c>
      <c r="Q3149" s="1" t="str">
        <f>_xlfn.XLOOKUP(tblSales[[#This Row],[Channel Code]],tblChannels[Channel Code],tblChannels[Channel Name],"")</f>
        <v>In-store</v>
      </c>
      <c r="R3149" s="1">
        <f>MONTH(tblSales[[#This Row],[Date]])</f>
        <v>7</v>
      </c>
    </row>
    <row r="3150" spans="2:18" x14ac:dyDescent="0.35">
      <c r="B3150" s="113">
        <v>46211</v>
      </c>
      <c r="C3150" s="4" t="s">
        <v>2106</v>
      </c>
      <c r="D3150" s="4" t="s">
        <v>4613</v>
      </c>
      <c r="E3150" s="1" t="str">
        <f>_xlfn.XLOOKUP(tblSales[[#This Row],[Customer ID]],tblCustomers[Customer ID],tblCustomers[Customer Name],"⚠ Unknown")</f>
        <v>PT Mega Prima Distribusi</v>
      </c>
      <c r="F3150" s="4" t="s">
        <v>6</v>
      </c>
      <c r="G3150" s="1" t="str">
        <f>_xlfn.XLOOKUP(tblSales[[#This Row],[Product Code]],tblProducts[Code],tblProducts[Product / Service Name],"⚠ Unknown")</f>
        <v>Socks &amp; Accessories</v>
      </c>
      <c r="H3150" s="1" t="str">
        <f>_xlfn.XLOOKUP(tblSales[[#This Row],[Product Code]],tblProducts[Code],tblProducts[Category],"")</f>
        <v>Accessories &amp; Basics</v>
      </c>
      <c r="I3150" s="4">
        <v>64</v>
      </c>
      <c r="J3150" s="5">
        <f>_xlfn.XLOOKUP(tblSales[[#This Row],[Product Code]],tblProducts[Code],tblProducts[Selling Price (excl. VAT)],0)</f>
        <v>45000</v>
      </c>
      <c r="K3150" s="5">
        <f>tblSales[[#This Row],[Qty]]*tblSales[[#This Row],[Unit Price]]</f>
        <v>2880000</v>
      </c>
      <c r="L3150" s="5">
        <f>ROUND(tblSales[[#This Row],[DPP (excl. VAT)]]*VATEff,0)</f>
        <v>316800</v>
      </c>
      <c r="M3150" s="5">
        <f>tblSales[[#This Row],[DPP (excl. VAT)]]+tblSales[[#This Row],[Output VAT]]</f>
        <v>3196800</v>
      </c>
      <c r="N3150" s="5">
        <f>tblSales[[#This Row],[Qty]]*_xlfn.XLOOKUP(tblSales[[#This Row],[Product Code]],tblProducts[Code],tblProducts[Unit Cost],0)</f>
        <v>1536000</v>
      </c>
      <c r="O3150" s="4" t="s">
        <v>4867</v>
      </c>
      <c r="P3150" s="4" t="s">
        <v>4860</v>
      </c>
      <c r="Q3150" s="1" t="str">
        <f>_xlfn.XLOOKUP(tblSales[[#This Row],[Channel Code]],tblChannels[Channel Code],tblChannels[Channel Name],"")</f>
        <v>In-store</v>
      </c>
      <c r="R3150" s="1">
        <f>MONTH(tblSales[[#This Row],[Date]])</f>
        <v>7</v>
      </c>
    </row>
    <row r="3151" spans="2:18" x14ac:dyDescent="0.35">
      <c r="B3151" s="113">
        <v>46211</v>
      </c>
      <c r="C3151" s="4" t="s">
        <v>2106</v>
      </c>
      <c r="D3151" s="4" t="s">
        <v>4613</v>
      </c>
      <c r="E3151" s="1" t="str">
        <f>_xlfn.XLOOKUP(tblSales[[#This Row],[Customer ID]],tblCustomers[Customer ID],tblCustomers[Customer Name],"⚠ Unknown")</f>
        <v>PT Mega Prima Distribusi</v>
      </c>
      <c r="F3151" s="4" t="s">
        <v>9</v>
      </c>
      <c r="G3151" s="1" t="str">
        <f>_xlfn.XLOOKUP(tblSales[[#This Row],[Product Code]],tblProducts[Code],tblProducts[Product / Service Name],"⚠ Unknown")</f>
        <v>Casual Shirt</v>
      </c>
      <c r="H3151" s="1" t="str">
        <f>_xlfn.XLOOKUP(tblSales[[#This Row],[Product Code]],tblProducts[Code],tblProducts[Category],"")</f>
        <v>Apparel &amp; Footwear</v>
      </c>
      <c r="I3151" s="4">
        <v>8</v>
      </c>
      <c r="J3151" s="5">
        <f>_xlfn.XLOOKUP(tblSales[[#This Row],[Product Code]],tblProducts[Code],tblProducts[Selling Price (excl. VAT)],0)</f>
        <v>120000</v>
      </c>
      <c r="K3151" s="5">
        <f>tblSales[[#This Row],[Qty]]*tblSales[[#This Row],[Unit Price]]</f>
        <v>960000</v>
      </c>
      <c r="L3151" s="5">
        <f>ROUND(tblSales[[#This Row],[DPP (excl. VAT)]]*VATEff,0)</f>
        <v>105600</v>
      </c>
      <c r="M3151" s="5">
        <f>tblSales[[#This Row],[DPP (excl. VAT)]]+tblSales[[#This Row],[Output VAT]]</f>
        <v>1065600</v>
      </c>
      <c r="N3151" s="5">
        <f>tblSales[[#This Row],[Qty]]*_xlfn.XLOOKUP(tblSales[[#This Row],[Product Code]],tblProducts[Code],tblProducts[Unit Cost],0)</f>
        <v>576000</v>
      </c>
      <c r="O3151" s="4" t="s">
        <v>4867</v>
      </c>
      <c r="P3151" s="4" t="s">
        <v>4860</v>
      </c>
      <c r="Q3151" s="1" t="str">
        <f>_xlfn.XLOOKUP(tblSales[[#This Row],[Channel Code]],tblChannels[Channel Code],tblChannels[Channel Name],"")</f>
        <v>In-store</v>
      </c>
      <c r="R3151" s="1">
        <f>MONTH(tblSales[[#This Row],[Date]])</f>
        <v>7</v>
      </c>
    </row>
    <row r="3152" spans="2:18" x14ac:dyDescent="0.35">
      <c r="B3152" s="113">
        <v>46211</v>
      </c>
      <c r="C3152" s="4" t="s">
        <v>2107</v>
      </c>
      <c r="D3152" s="4" t="s">
        <v>4568</v>
      </c>
      <c r="E3152" s="1" t="str">
        <f>_xlfn.XLOOKUP(tblSales[[#This Row],[Customer ID]],tblCustomers[Customer ID],tblCustomers[Customer Name],"⚠ Unknown")</f>
        <v>Walk-in Customer</v>
      </c>
      <c r="F3152" s="4" t="s">
        <v>8</v>
      </c>
      <c r="G3152" s="1" t="str">
        <f>_xlfn.XLOOKUP(tblSales[[#This Row],[Product Code]],tblProducts[Code],tblProducts[Product / Service Name],"⚠ Unknown")</f>
        <v>Casual Shorts</v>
      </c>
      <c r="H3152" s="1" t="str">
        <f>_xlfn.XLOOKUP(tblSales[[#This Row],[Product Code]],tblProducts[Code],tblProducts[Category],"")</f>
        <v>Accessories &amp; Basics</v>
      </c>
      <c r="I3152" s="4">
        <v>12</v>
      </c>
      <c r="J3152" s="5">
        <f>_xlfn.XLOOKUP(tblSales[[#This Row],[Product Code]],tblProducts[Code],tblProducts[Selling Price (excl. VAT)],0)</f>
        <v>85000</v>
      </c>
      <c r="K3152" s="5">
        <f>tblSales[[#This Row],[Qty]]*tblSales[[#This Row],[Unit Price]]</f>
        <v>1020000</v>
      </c>
      <c r="L3152" s="5">
        <f>ROUND(tblSales[[#This Row],[DPP (excl. VAT)]]*VATEff,0)</f>
        <v>112200</v>
      </c>
      <c r="M3152" s="5">
        <f>tblSales[[#This Row],[DPP (excl. VAT)]]+tblSales[[#This Row],[Output VAT]]</f>
        <v>1132200</v>
      </c>
      <c r="N3152" s="5">
        <f>tblSales[[#This Row],[Qty]]*_xlfn.XLOOKUP(tblSales[[#This Row],[Product Code]],tblProducts[Code],tblProducts[Unit Cost],0)</f>
        <v>600000</v>
      </c>
      <c r="O3152" s="4" t="s">
        <v>4866</v>
      </c>
      <c r="P3152" s="4" t="s">
        <v>4861</v>
      </c>
      <c r="Q3152" s="1" t="str">
        <f>_xlfn.XLOOKUP(tblSales[[#This Row],[Channel Code]],tblChannels[Channel Code],tblChannels[Channel Name],"")</f>
        <v>Marketplace</v>
      </c>
      <c r="R3152" s="1">
        <f>MONTH(tblSales[[#This Row],[Date]])</f>
        <v>7</v>
      </c>
    </row>
    <row r="3153" spans="2:18" x14ac:dyDescent="0.35">
      <c r="B3153" s="113">
        <v>46211</v>
      </c>
      <c r="C3153" s="4" t="s">
        <v>2108</v>
      </c>
      <c r="D3153" s="4" t="s">
        <v>4613</v>
      </c>
      <c r="E3153" s="1" t="str">
        <f>_xlfn.XLOOKUP(tblSales[[#This Row],[Customer ID]],tblCustomers[Customer ID],tblCustomers[Customer Name],"⚠ Unknown")</f>
        <v>PT Mega Prima Distribusi</v>
      </c>
      <c r="F3153" s="4" t="s">
        <v>14</v>
      </c>
      <c r="G3153" s="1" t="str">
        <f>_xlfn.XLOOKUP(tblSales[[#This Row],[Product Code]],tblProducts[Code],tblProducts[Product / Service Name],"⚠ Unknown")</f>
        <v>Smartwatch</v>
      </c>
      <c r="H3153" s="1" t="str">
        <f>_xlfn.XLOOKUP(tblSales[[#This Row],[Product Code]],tblProducts[Code],tblProducts[Category],"")</f>
        <v>Bags &amp; Gadgets</v>
      </c>
      <c r="I3153" s="4">
        <v>24</v>
      </c>
      <c r="J3153" s="5">
        <f>_xlfn.XLOOKUP(tblSales[[#This Row],[Product Code]],tblProducts[Code],tblProducts[Selling Price (excl. VAT)],0)</f>
        <v>850000</v>
      </c>
      <c r="K3153" s="5">
        <f>tblSales[[#This Row],[Qty]]*tblSales[[#This Row],[Unit Price]]</f>
        <v>20400000</v>
      </c>
      <c r="L3153" s="5">
        <f>ROUND(tblSales[[#This Row],[DPP (excl. VAT)]]*VATEff,0)</f>
        <v>2244000</v>
      </c>
      <c r="M3153" s="5">
        <f>tblSales[[#This Row],[DPP (excl. VAT)]]+tblSales[[#This Row],[Output VAT]]</f>
        <v>22644000</v>
      </c>
      <c r="N3153" s="5">
        <f>tblSales[[#This Row],[Qty]]*_xlfn.XLOOKUP(tblSales[[#This Row],[Product Code]],tblProducts[Code],tblProducts[Unit Cost],0)</f>
        <v>13440000</v>
      </c>
      <c r="O3153" s="4" t="s">
        <v>4867</v>
      </c>
      <c r="P3153" s="4" t="s">
        <v>4860</v>
      </c>
      <c r="Q3153" s="1" t="str">
        <f>_xlfn.XLOOKUP(tblSales[[#This Row],[Channel Code]],tblChannels[Channel Code],tblChannels[Channel Name],"")</f>
        <v>In-store</v>
      </c>
      <c r="R3153" s="1">
        <f>MONTH(tblSales[[#This Row],[Date]])</f>
        <v>7</v>
      </c>
    </row>
    <row r="3154" spans="2:18" x14ac:dyDescent="0.35">
      <c r="B3154" s="113">
        <v>46211</v>
      </c>
      <c r="C3154" s="4" t="s">
        <v>2108</v>
      </c>
      <c r="D3154" s="4" t="s">
        <v>4613</v>
      </c>
      <c r="E3154" s="1" t="str">
        <f>_xlfn.XLOOKUP(tblSales[[#This Row],[Customer ID]],tblCustomers[Customer ID],tblCustomers[Customer Name],"⚠ Unknown")</f>
        <v>PT Mega Prima Distribusi</v>
      </c>
      <c r="F3154" s="4" t="s">
        <v>8</v>
      </c>
      <c r="G3154" s="1" t="str">
        <f>_xlfn.XLOOKUP(tblSales[[#This Row],[Product Code]],tblProducts[Code],tblProducts[Product / Service Name],"⚠ Unknown")</f>
        <v>Casual Shorts</v>
      </c>
      <c r="H3154" s="1" t="str">
        <f>_xlfn.XLOOKUP(tblSales[[#This Row],[Product Code]],tblProducts[Code],tblProducts[Category],"")</f>
        <v>Accessories &amp; Basics</v>
      </c>
      <c r="I3154" s="4">
        <v>16</v>
      </c>
      <c r="J3154" s="5">
        <f>_xlfn.XLOOKUP(tblSales[[#This Row],[Product Code]],tblProducts[Code],tblProducts[Selling Price (excl. VAT)],0)</f>
        <v>85000</v>
      </c>
      <c r="K3154" s="5">
        <f>tblSales[[#This Row],[Qty]]*tblSales[[#This Row],[Unit Price]]</f>
        <v>1360000</v>
      </c>
      <c r="L3154" s="5">
        <f>ROUND(tblSales[[#This Row],[DPP (excl. VAT)]]*VATEff,0)</f>
        <v>149600</v>
      </c>
      <c r="M3154" s="5">
        <f>tblSales[[#This Row],[DPP (excl. VAT)]]+tblSales[[#This Row],[Output VAT]]</f>
        <v>1509600</v>
      </c>
      <c r="N3154" s="5">
        <f>tblSales[[#This Row],[Qty]]*_xlfn.XLOOKUP(tblSales[[#This Row],[Product Code]],tblProducts[Code],tblProducts[Unit Cost],0)</f>
        <v>800000</v>
      </c>
      <c r="O3154" s="4" t="s">
        <v>4867</v>
      </c>
      <c r="P3154" s="4" t="s">
        <v>4860</v>
      </c>
      <c r="Q3154" s="1" t="str">
        <f>_xlfn.XLOOKUP(tblSales[[#This Row],[Channel Code]],tblChannels[Channel Code],tblChannels[Channel Name],"")</f>
        <v>In-store</v>
      </c>
      <c r="R3154" s="1">
        <f>MONTH(tblSales[[#This Row],[Date]])</f>
        <v>7</v>
      </c>
    </row>
    <row r="3155" spans="2:18" x14ac:dyDescent="0.35">
      <c r="B3155" s="113">
        <v>46211</v>
      </c>
      <c r="C3155" s="4" t="s">
        <v>2108</v>
      </c>
      <c r="D3155" s="4" t="s">
        <v>4613</v>
      </c>
      <c r="E3155" s="1" t="str">
        <f>_xlfn.XLOOKUP(tblSales[[#This Row],[Customer ID]],tblCustomers[Customer ID],tblCustomers[Customer Name],"⚠ Unknown")</f>
        <v>PT Mega Prima Distribusi</v>
      </c>
      <c r="F3155" s="4" t="s">
        <v>7</v>
      </c>
      <c r="G3155" s="1" t="str">
        <f>_xlfn.XLOOKUP(tblSales[[#This Row],[Product Code]],tblProducts[Code],tblProducts[Product / Service Name],"⚠ Unknown")</f>
        <v>Premium Basic T-shirt</v>
      </c>
      <c r="H3155" s="1" t="str">
        <f>_xlfn.XLOOKUP(tblSales[[#This Row],[Product Code]],tblProducts[Code],tblProducts[Category],"")</f>
        <v>Accessories &amp; Basics</v>
      </c>
      <c r="I3155" s="4">
        <v>48</v>
      </c>
      <c r="J3155" s="5">
        <f>_xlfn.XLOOKUP(tblSales[[#This Row],[Product Code]],tblProducts[Code],tblProducts[Selling Price (excl. VAT)],0)</f>
        <v>65000</v>
      </c>
      <c r="K3155" s="5">
        <f>tblSales[[#This Row],[Qty]]*tblSales[[#This Row],[Unit Price]]</f>
        <v>3120000</v>
      </c>
      <c r="L3155" s="5">
        <f>ROUND(tblSales[[#This Row],[DPP (excl. VAT)]]*VATEff,0)</f>
        <v>343200</v>
      </c>
      <c r="M3155" s="5">
        <f>tblSales[[#This Row],[DPP (excl. VAT)]]+tblSales[[#This Row],[Output VAT]]</f>
        <v>3463200</v>
      </c>
      <c r="N3155" s="5">
        <f>tblSales[[#This Row],[Qty]]*_xlfn.XLOOKUP(tblSales[[#This Row],[Product Code]],tblProducts[Code],tblProducts[Unit Cost],0)</f>
        <v>1776000</v>
      </c>
      <c r="O3155" s="4" t="s">
        <v>4867</v>
      </c>
      <c r="P3155" s="4" t="s">
        <v>4860</v>
      </c>
      <c r="Q3155" s="1" t="str">
        <f>_xlfn.XLOOKUP(tblSales[[#This Row],[Channel Code]],tblChannels[Channel Code],tblChannels[Channel Name],"")</f>
        <v>In-store</v>
      </c>
      <c r="R3155" s="1">
        <f>MONTH(tblSales[[#This Row],[Date]])</f>
        <v>7</v>
      </c>
    </row>
    <row r="3156" spans="2:18" x14ac:dyDescent="0.35">
      <c r="B3156" s="113">
        <v>46211</v>
      </c>
      <c r="C3156" s="4" t="s">
        <v>2109</v>
      </c>
      <c r="D3156" s="4" t="s">
        <v>4593</v>
      </c>
      <c r="E3156" s="1" t="str">
        <f>_xlfn.XLOOKUP(tblSales[[#This Row],[Customer ID]],tblCustomers[Customer ID],tblCustomers[Customer Name],"⚠ Unknown")</f>
        <v>PT Graha Nusa Persada</v>
      </c>
      <c r="F3156" s="4" t="s">
        <v>9</v>
      </c>
      <c r="G3156" s="1" t="str">
        <f>_xlfn.XLOOKUP(tblSales[[#This Row],[Product Code]],tblProducts[Code],tblProducts[Product / Service Name],"⚠ Unknown")</f>
        <v>Casual Shirt</v>
      </c>
      <c r="H3156" s="1" t="str">
        <f>_xlfn.XLOOKUP(tblSales[[#This Row],[Product Code]],tblProducts[Code],tblProducts[Category],"")</f>
        <v>Apparel &amp; Footwear</v>
      </c>
      <c r="I3156" s="4">
        <v>88</v>
      </c>
      <c r="J3156" s="5">
        <f>_xlfn.XLOOKUP(tblSales[[#This Row],[Product Code]],tblProducts[Code],tblProducts[Selling Price (excl. VAT)],0)</f>
        <v>120000</v>
      </c>
      <c r="K3156" s="5">
        <f>tblSales[[#This Row],[Qty]]*tblSales[[#This Row],[Unit Price]]</f>
        <v>10560000</v>
      </c>
      <c r="L3156" s="5">
        <f>ROUND(tblSales[[#This Row],[DPP (excl. VAT)]]*VATEff,0)</f>
        <v>1161600</v>
      </c>
      <c r="M3156" s="5">
        <f>tblSales[[#This Row],[DPP (excl. VAT)]]+tblSales[[#This Row],[Output VAT]]</f>
        <v>11721600</v>
      </c>
      <c r="N3156" s="5">
        <f>tblSales[[#This Row],[Qty]]*_xlfn.XLOOKUP(tblSales[[#This Row],[Product Code]],tblProducts[Code],tblProducts[Unit Cost],0)</f>
        <v>6336000</v>
      </c>
      <c r="O3156" s="4" t="s">
        <v>4867</v>
      </c>
      <c r="P3156" s="4" t="s">
        <v>4860</v>
      </c>
      <c r="Q3156" s="1" t="str">
        <f>_xlfn.XLOOKUP(tblSales[[#This Row],[Channel Code]],tblChannels[Channel Code],tblChannels[Channel Name],"")</f>
        <v>In-store</v>
      </c>
      <c r="R3156" s="1">
        <f>MONTH(tblSales[[#This Row],[Date]])</f>
        <v>7</v>
      </c>
    </row>
    <row r="3157" spans="2:18" x14ac:dyDescent="0.35">
      <c r="B3157" s="113">
        <v>46211</v>
      </c>
      <c r="C3157" s="4" t="s">
        <v>2110</v>
      </c>
      <c r="D3157" s="4" t="s">
        <v>4568</v>
      </c>
      <c r="E3157" s="1" t="str">
        <f>_xlfn.XLOOKUP(tblSales[[#This Row],[Customer ID]],tblCustomers[Customer ID],tblCustomers[Customer Name],"⚠ Unknown")</f>
        <v>Walk-in Customer</v>
      </c>
      <c r="F3157" s="4" t="s">
        <v>12</v>
      </c>
      <c r="G3157" s="1" t="str">
        <f>_xlfn.XLOOKUP(tblSales[[#This Row],[Product Code]],tblProducts[Code],tblProducts[Product / Service Name],"⚠ Unknown")</f>
        <v>Bomber Jacket</v>
      </c>
      <c r="H3157" s="1" t="str">
        <f>_xlfn.XLOOKUP(tblSales[[#This Row],[Product Code]],tblProducts[Code],tblProducts[Category],"")</f>
        <v>Apparel &amp; Footwear</v>
      </c>
      <c r="I3157" s="4">
        <v>4</v>
      </c>
      <c r="J3157" s="5">
        <f>_xlfn.XLOOKUP(tblSales[[#This Row],[Product Code]],tblProducts[Code],tblProducts[Selling Price (excl. VAT)],0)</f>
        <v>350000</v>
      </c>
      <c r="K3157" s="5">
        <f>tblSales[[#This Row],[Qty]]*tblSales[[#This Row],[Unit Price]]</f>
        <v>1400000</v>
      </c>
      <c r="L3157" s="5">
        <f>ROUND(tblSales[[#This Row],[DPP (excl. VAT)]]*VATEff,0)</f>
        <v>154000</v>
      </c>
      <c r="M3157" s="5">
        <f>tblSales[[#This Row],[DPP (excl. VAT)]]+tblSales[[#This Row],[Output VAT]]</f>
        <v>1554000</v>
      </c>
      <c r="N3157" s="5">
        <f>tblSales[[#This Row],[Qty]]*_xlfn.XLOOKUP(tblSales[[#This Row],[Product Code]],tblProducts[Code],tblProducts[Unit Cost],0)</f>
        <v>840000</v>
      </c>
      <c r="O3157" s="4" t="s">
        <v>4866</v>
      </c>
      <c r="P3157" s="4" t="s">
        <v>4861</v>
      </c>
      <c r="Q3157" s="1" t="str">
        <f>_xlfn.XLOOKUP(tblSales[[#This Row],[Channel Code]],tblChannels[Channel Code],tblChannels[Channel Name],"")</f>
        <v>Marketplace</v>
      </c>
      <c r="R3157" s="1">
        <f>MONTH(tblSales[[#This Row],[Date]])</f>
        <v>7</v>
      </c>
    </row>
    <row r="3158" spans="2:18" x14ac:dyDescent="0.35">
      <c r="B3158" s="113">
        <v>46211</v>
      </c>
      <c r="C3158" s="4" t="s">
        <v>2110</v>
      </c>
      <c r="D3158" s="4" t="s">
        <v>4568</v>
      </c>
      <c r="E3158" s="1" t="str">
        <f>_xlfn.XLOOKUP(tblSales[[#This Row],[Customer ID]],tblCustomers[Customer ID],tblCustomers[Customer Name],"⚠ Unknown")</f>
        <v>Walk-in Customer</v>
      </c>
      <c r="F3158" s="4" t="s">
        <v>7</v>
      </c>
      <c r="G3158" s="1" t="str">
        <f>_xlfn.XLOOKUP(tblSales[[#This Row],[Product Code]],tblProducts[Code],tblProducts[Product / Service Name],"⚠ Unknown")</f>
        <v>Premium Basic T-shirt</v>
      </c>
      <c r="H3158" s="1" t="str">
        <f>_xlfn.XLOOKUP(tblSales[[#This Row],[Product Code]],tblProducts[Code],tblProducts[Category],"")</f>
        <v>Accessories &amp; Basics</v>
      </c>
      <c r="I3158" s="4">
        <v>1</v>
      </c>
      <c r="J3158" s="5">
        <f>_xlfn.XLOOKUP(tblSales[[#This Row],[Product Code]],tblProducts[Code],tblProducts[Selling Price (excl. VAT)],0)</f>
        <v>65000</v>
      </c>
      <c r="K3158" s="5">
        <f>tblSales[[#This Row],[Qty]]*tblSales[[#This Row],[Unit Price]]</f>
        <v>65000</v>
      </c>
      <c r="L3158" s="5">
        <f>ROUND(tblSales[[#This Row],[DPP (excl. VAT)]]*VATEff,0)</f>
        <v>7150</v>
      </c>
      <c r="M3158" s="5">
        <f>tblSales[[#This Row],[DPP (excl. VAT)]]+tblSales[[#This Row],[Output VAT]]</f>
        <v>72150</v>
      </c>
      <c r="N3158" s="5">
        <f>tblSales[[#This Row],[Qty]]*_xlfn.XLOOKUP(tblSales[[#This Row],[Product Code]],tblProducts[Code],tblProducts[Unit Cost],0)</f>
        <v>37000</v>
      </c>
      <c r="O3158" s="4" t="s">
        <v>4866</v>
      </c>
      <c r="P3158" s="4" t="s">
        <v>4861</v>
      </c>
      <c r="Q3158" s="1" t="str">
        <f>_xlfn.XLOOKUP(tblSales[[#This Row],[Channel Code]],tblChannels[Channel Code],tblChannels[Channel Name],"")</f>
        <v>Marketplace</v>
      </c>
      <c r="R3158" s="1">
        <f>MONTH(tblSales[[#This Row],[Date]])</f>
        <v>7</v>
      </c>
    </row>
    <row r="3159" spans="2:18" x14ac:dyDescent="0.35">
      <c r="B3159" s="113">
        <v>46211</v>
      </c>
      <c r="C3159" s="4" t="s">
        <v>2111</v>
      </c>
      <c r="D3159" s="4" t="s">
        <v>4568</v>
      </c>
      <c r="E3159" s="1" t="str">
        <f>_xlfn.XLOOKUP(tblSales[[#This Row],[Customer ID]],tblCustomers[Customer ID],tblCustomers[Customer Name],"⚠ Unknown")</f>
        <v>Walk-in Customer</v>
      </c>
      <c r="F3159" s="4" t="s">
        <v>10</v>
      </c>
      <c r="G3159" s="1" t="str">
        <f>_xlfn.XLOOKUP(tblSales[[#This Row],[Product Code]],tblProducts[Code],tblProducts[Product / Service Name],"⚠ Unknown")</f>
        <v>Chino Pants</v>
      </c>
      <c r="H3159" s="1" t="str">
        <f>_xlfn.XLOOKUP(tblSales[[#This Row],[Product Code]],tblProducts[Code],tblProducts[Category],"")</f>
        <v>Apparel &amp; Footwear</v>
      </c>
      <c r="I3159" s="4">
        <v>12</v>
      </c>
      <c r="J3159" s="5">
        <f>_xlfn.XLOOKUP(tblSales[[#This Row],[Product Code]],tblProducts[Code],tblProducts[Selling Price (excl. VAT)],0)</f>
        <v>150000</v>
      </c>
      <c r="K3159" s="5">
        <f>tblSales[[#This Row],[Qty]]*tblSales[[#This Row],[Unit Price]]</f>
        <v>1800000</v>
      </c>
      <c r="L3159" s="5">
        <f>ROUND(tblSales[[#This Row],[DPP (excl. VAT)]]*VATEff,0)</f>
        <v>198000</v>
      </c>
      <c r="M3159" s="5">
        <f>tblSales[[#This Row],[DPP (excl. VAT)]]+tblSales[[#This Row],[Output VAT]]</f>
        <v>1998000</v>
      </c>
      <c r="N3159" s="5">
        <f>tblSales[[#This Row],[Qty]]*_xlfn.XLOOKUP(tblSales[[#This Row],[Product Code]],tblProducts[Code],tblProducts[Unit Cost],0)</f>
        <v>1056000</v>
      </c>
      <c r="O3159" s="4" t="s">
        <v>4866</v>
      </c>
      <c r="P3159" s="4" t="s">
        <v>4861</v>
      </c>
      <c r="Q3159" s="1" t="str">
        <f>_xlfn.XLOOKUP(tblSales[[#This Row],[Channel Code]],tblChannels[Channel Code],tblChannels[Channel Name],"")</f>
        <v>Marketplace</v>
      </c>
      <c r="R3159" s="1">
        <f>MONTH(tblSales[[#This Row],[Date]])</f>
        <v>7</v>
      </c>
    </row>
    <row r="3160" spans="2:18" x14ac:dyDescent="0.35">
      <c r="B3160" s="113">
        <v>46211</v>
      </c>
      <c r="C3160" s="4" t="s">
        <v>2111</v>
      </c>
      <c r="D3160" s="4" t="s">
        <v>4568</v>
      </c>
      <c r="E3160" s="1" t="str">
        <f>_xlfn.XLOOKUP(tblSales[[#This Row],[Customer ID]],tblCustomers[Customer ID],tblCustomers[Customer Name],"⚠ Unknown")</f>
        <v>Walk-in Customer</v>
      </c>
      <c r="F3160" s="4" t="s">
        <v>8</v>
      </c>
      <c r="G3160" s="1" t="str">
        <f>_xlfn.XLOOKUP(tblSales[[#This Row],[Product Code]],tblProducts[Code],tblProducts[Product / Service Name],"⚠ Unknown")</f>
        <v>Casual Shorts</v>
      </c>
      <c r="H3160" s="1" t="str">
        <f>_xlfn.XLOOKUP(tblSales[[#This Row],[Product Code]],tblProducts[Code],tblProducts[Category],"")</f>
        <v>Accessories &amp; Basics</v>
      </c>
      <c r="I3160" s="4">
        <v>4</v>
      </c>
      <c r="J3160" s="5">
        <f>_xlfn.XLOOKUP(tblSales[[#This Row],[Product Code]],tblProducts[Code],tblProducts[Selling Price (excl. VAT)],0)</f>
        <v>85000</v>
      </c>
      <c r="K3160" s="5">
        <f>tblSales[[#This Row],[Qty]]*tblSales[[#This Row],[Unit Price]]</f>
        <v>340000</v>
      </c>
      <c r="L3160" s="5">
        <f>ROUND(tblSales[[#This Row],[DPP (excl. VAT)]]*VATEff,0)</f>
        <v>37400</v>
      </c>
      <c r="M3160" s="5">
        <f>tblSales[[#This Row],[DPP (excl. VAT)]]+tblSales[[#This Row],[Output VAT]]</f>
        <v>377400</v>
      </c>
      <c r="N3160" s="5">
        <f>tblSales[[#This Row],[Qty]]*_xlfn.XLOOKUP(tblSales[[#This Row],[Product Code]],tblProducts[Code],tblProducts[Unit Cost],0)</f>
        <v>200000</v>
      </c>
      <c r="O3160" s="4" t="s">
        <v>4866</v>
      </c>
      <c r="P3160" s="4" t="s">
        <v>4861</v>
      </c>
      <c r="Q3160" s="1" t="str">
        <f>_xlfn.XLOOKUP(tblSales[[#This Row],[Channel Code]],tblChannels[Channel Code],tblChannels[Channel Name],"")</f>
        <v>Marketplace</v>
      </c>
      <c r="R3160" s="1">
        <f>MONTH(tblSales[[#This Row],[Date]])</f>
        <v>7</v>
      </c>
    </row>
    <row r="3161" spans="2:18" x14ac:dyDescent="0.35">
      <c r="B3161" s="113">
        <v>46212</v>
      </c>
      <c r="C3161" s="4" t="s">
        <v>2112</v>
      </c>
      <c r="D3161" s="4" t="s">
        <v>4568</v>
      </c>
      <c r="E3161" s="1" t="str">
        <f>_xlfn.XLOOKUP(tblSales[[#This Row],[Customer ID]],tblCustomers[Customer ID],tblCustomers[Customer Name],"⚠ Unknown")</f>
        <v>Walk-in Customer</v>
      </c>
      <c r="F3161" s="4" t="s">
        <v>6</v>
      </c>
      <c r="G3161" s="1" t="str">
        <f>_xlfn.XLOOKUP(tblSales[[#This Row],[Product Code]],tblProducts[Code],tblProducts[Product / Service Name],"⚠ Unknown")</f>
        <v>Socks &amp; Accessories</v>
      </c>
      <c r="H3161" s="1" t="str">
        <f>_xlfn.XLOOKUP(tblSales[[#This Row],[Product Code]],tblProducts[Code],tblProducts[Category],"")</f>
        <v>Accessories &amp; Basics</v>
      </c>
      <c r="I3161" s="4">
        <v>12</v>
      </c>
      <c r="J3161" s="5">
        <f>_xlfn.XLOOKUP(tblSales[[#This Row],[Product Code]],tblProducts[Code],tblProducts[Selling Price (excl. VAT)],0)</f>
        <v>45000</v>
      </c>
      <c r="K3161" s="5">
        <f>tblSales[[#This Row],[Qty]]*tblSales[[#This Row],[Unit Price]]</f>
        <v>540000</v>
      </c>
      <c r="L3161" s="5">
        <f>ROUND(tblSales[[#This Row],[DPP (excl. VAT)]]*VATEff,0)</f>
        <v>59400</v>
      </c>
      <c r="M3161" s="5">
        <f>tblSales[[#This Row],[DPP (excl. VAT)]]+tblSales[[#This Row],[Output VAT]]</f>
        <v>599400</v>
      </c>
      <c r="N3161" s="5">
        <f>tblSales[[#This Row],[Qty]]*_xlfn.XLOOKUP(tblSales[[#This Row],[Product Code]],tblProducts[Code],tblProducts[Unit Cost],0)</f>
        <v>288000</v>
      </c>
      <c r="O3161" s="4" t="s">
        <v>4866</v>
      </c>
      <c r="P3161" s="4" t="s">
        <v>4860</v>
      </c>
      <c r="Q3161" s="1" t="str">
        <f>_xlfn.XLOOKUP(tblSales[[#This Row],[Channel Code]],tblChannels[Channel Code],tblChannels[Channel Name],"")</f>
        <v>In-store</v>
      </c>
      <c r="R3161" s="1">
        <f>MONTH(tblSales[[#This Row],[Date]])</f>
        <v>7</v>
      </c>
    </row>
    <row r="3162" spans="2:18" x14ac:dyDescent="0.35">
      <c r="B3162" s="113">
        <v>46212</v>
      </c>
      <c r="C3162" s="4" t="s">
        <v>2113</v>
      </c>
      <c r="D3162" s="4" t="s">
        <v>4641</v>
      </c>
      <c r="E3162" s="1" t="str">
        <f>_xlfn.XLOOKUP(tblSales[[#This Row],[Customer ID]],tblCustomers[Customer ID],tblCustomers[Customer Name],"⚠ Unknown")</f>
        <v>PT Harmoni Pangan Lestari</v>
      </c>
      <c r="F3162" s="4" t="s">
        <v>9</v>
      </c>
      <c r="G3162" s="1" t="str">
        <f>_xlfn.XLOOKUP(tblSales[[#This Row],[Product Code]],tblProducts[Code],tblProducts[Product / Service Name],"⚠ Unknown")</f>
        <v>Casual Shirt</v>
      </c>
      <c r="H3162" s="1" t="str">
        <f>_xlfn.XLOOKUP(tblSales[[#This Row],[Product Code]],tblProducts[Code],tblProducts[Category],"")</f>
        <v>Apparel &amp; Footwear</v>
      </c>
      <c r="I3162" s="4">
        <v>80</v>
      </c>
      <c r="J3162" s="5">
        <f>_xlfn.XLOOKUP(tblSales[[#This Row],[Product Code]],tblProducts[Code],tblProducts[Selling Price (excl. VAT)],0)</f>
        <v>120000</v>
      </c>
      <c r="K3162" s="5">
        <f>tblSales[[#This Row],[Qty]]*tblSales[[#This Row],[Unit Price]]</f>
        <v>9600000</v>
      </c>
      <c r="L3162" s="5">
        <f>ROUND(tblSales[[#This Row],[DPP (excl. VAT)]]*VATEff,0)</f>
        <v>1056000</v>
      </c>
      <c r="M3162" s="5">
        <f>tblSales[[#This Row],[DPP (excl. VAT)]]+tblSales[[#This Row],[Output VAT]]</f>
        <v>10656000</v>
      </c>
      <c r="N3162" s="5">
        <f>tblSales[[#This Row],[Qty]]*_xlfn.XLOOKUP(tblSales[[#This Row],[Product Code]],tblProducts[Code],tblProducts[Unit Cost],0)</f>
        <v>5760000</v>
      </c>
      <c r="O3162" s="4" t="s">
        <v>4867</v>
      </c>
      <c r="P3162" s="4" t="s">
        <v>4860</v>
      </c>
      <c r="Q3162" s="1" t="str">
        <f>_xlfn.XLOOKUP(tblSales[[#This Row],[Channel Code]],tblChannels[Channel Code],tblChannels[Channel Name],"")</f>
        <v>In-store</v>
      </c>
      <c r="R3162" s="1">
        <f>MONTH(tblSales[[#This Row],[Date]])</f>
        <v>7</v>
      </c>
    </row>
    <row r="3163" spans="2:18" x14ac:dyDescent="0.35">
      <c r="B3163" s="113">
        <v>46212</v>
      </c>
      <c r="C3163" s="4" t="s">
        <v>2113</v>
      </c>
      <c r="D3163" s="4" t="s">
        <v>4641</v>
      </c>
      <c r="E3163" s="1" t="str">
        <f>_xlfn.XLOOKUP(tblSales[[#This Row],[Customer ID]],tblCustomers[Customer ID],tblCustomers[Customer Name],"⚠ Unknown")</f>
        <v>PT Harmoni Pangan Lestari</v>
      </c>
      <c r="F3163" s="4" t="s">
        <v>12</v>
      </c>
      <c r="G3163" s="1" t="str">
        <f>_xlfn.XLOOKUP(tblSales[[#This Row],[Product Code]],tblProducts[Code],tblProducts[Product / Service Name],"⚠ Unknown")</f>
        <v>Bomber Jacket</v>
      </c>
      <c r="H3163" s="1" t="str">
        <f>_xlfn.XLOOKUP(tblSales[[#This Row],[Product Code]],tblProducts[Code],tblProducts[Category],"")</f>
        <v>Apparel &amp; Footwear</v>
      </c>
      <c r="I3163" s="4">
        <v>48</v>
      </c>
      <c r="J3163" s="5">
        <f>_xlfn.XLOOKUP(tblSales[[#This Row],[Product Code]],tblProducts[Code],tblProducts[Selling Price (excl. VAT)],0)</f>
        <v>350000</v>
      </c>
      <c r="K3163" s="5">
        <f>tblSales[[#This Row],[Qty]]*tblSales[[#This Row],[Unit Price]]</f>
        <v>16800000</v>
      </c>
      <c r="L3163" s="5">
        <f>ROUND(tblSales[[#This Row],[DPP (excl. VAT)]]*VATEff,0)</f>
        <v>1848000</v>
      </c>
      <c r="M3163" s="5">
        <f>tblSales[[#This Row],[DPP (excl. VAT)]]+tblSales[[#This Row],[Output VAT]]</f>
        <v>18648000</v>
      </c>
      <c r="N3163" s="5">
        <f>tblSales[[#This Row],[Qty]]*_xlfn.XLOOKUP(tblSales[[#This Row],[Product Code]],tblProducts[Code],tblProducts[Unit Cost],0)</f>
        <v>10080000</v>
      </c>
      <c r="O3163" s="4" t="s">
        <v>4867</v>
      </c>
      <c r="P3163" s="4" t="s">
        <v>4860</v>
      </c>
      <c r="Q3163" s="1" t="str">
        <f>_xlfn.XLOOKUP(tblSales[[#This Row],[Channel Code]],tblChannels[Channel Code],tblChannels[Channel Name],"")</f>
        <v>In-store</v>
      </c>
      <c r="R3163" s="1">
        <f>MONTH(tblSales[[#This Row],[Date]])</f>
        <v>7</v>
      </c>
    </row>
    <row r="3164" spans="2:18" x14ac:dyDescent="0.35">
      <c r="B3164" s="113">
        <v>46212</v>
      </c>
      <c r="C3164" s="4" t="s">
        <v>2114</v>
      </c>
      <c r="D3164" s="4" t="s">
        <v>4568</v>
      </c>
      <c r="E3164" s="1" t="str">
        <f>_xlfn.XLOOKUP(tblSales[[#This Row],[Customer ID]],tblCustomers[Customer ID],tblCustomers[Customer Name],"⚠ Unknown")</f>
        <v>Walk-in Customer</v>
      </c>
      <c r="F3164" s="4" t="s">
        <v>6</v>
      </c>
      <c r="G3164" s="1" t="str">
        <f>_xlfn.XLOOKUP(tblSales[[#This Row],[Product Code]],tblProducts[Code],tblProducts[Product / Service Name],"⚠ Unknown")</f>
        <v>Socks &amp; Accessories</v>
      </c>
      <c r="H3164" s="1" t="str">
        <f>_xlfn.XLOOKUP(tblSales[[#This Row],[Product Code]],tblProducts[Code],tblProducts[Category],"")</f>
        <v>Accessories &amp; Basics</v>
      </c>
      <c r="I3164" s="4">
        <v>11</v>
      </c>
      <c r="J3164" s="5">
        <f>_xlfn.XLOOKUP(tblSales[[#This Row],[Product Code]],tblProducts[Code],tblProducts[Selling Price (excl. VAT)],0)</f>
        <v>45000</v>
      </c>
      <c r="K3164" s="5">
        <f>tblSales[[#This Row],[Qty]]*tblSales[[#This Row],[Unit Price]]</f>
        <v>495000</v>
      </c>
      <c r="L3164" s="5">
        <f>ROUND(tblSales[[#This Row],[DPP (excl. VAT)]]*VATEff,0)</f>
        <v>54450</v>
      </c>
      <c r="M3164" s="5">
        <f>tblSales[[#This Row],[DPP (excl. VAT)]]+tblSales[[#This Row],[Output VAT]]</f>
        <v>549450</v>
      </c>
      <c r="N3164" s="5">
        <f>tblSales[[#This Row],[Qty]]*_xlfn.XLOOKUP(tblSales[[#This Row],[Product Code]],tblProducts[Code],tblProducts[Unit Cost],0)</f>
        <v>264000</v>
      </c>
      <c r="O3164" s="4" t="s">
        <v>4866</v>
      </c>
      <c r="P3164" s="4" t="s">
        <v>4862</v>
      </c>
      <c r="Q3164" s="1" t="str">
        <f>_xlfn.XLOOKUP(tblSales[[#This Row],[Channel Code]],tblChannels[Channel Code],tblChannels[Channel Name],"")</f>
        <v>Website &amp; Social Media</v>
      </c>
      <c r="R3164" s="1">
        <f>MONTH(tblSales[[#This Row],[Date]])</f>
        <v>7</v>
      </c>
    </row>
    <row r="3165" spans="2:18" x14ac:dyDescent="0.35">
      <c r="B3165" s="113">
        <v>46212</v>
      </c>
      <c r="C3165" s="4" t="s">
        <v>2115</v>
      </c>
      <c r="D3165" s="4" t="s">
        <v>4568</v>
      </c>
      <c r="E3165" s="1" t="str">
        <f>_xlfn.XLOOKUP(tblSales[[#This Row],[Customer ID]],tblCustomers[Customer ID],tblCustomers[Customer Name],"⚠ Unknown")</f>
        <v>Walk-in Customer</v>
      </c>
      <c r="F3165" s="4" t="s">
        <v>15</v>
      </c>
      <c r="G3165" s="1" t="str">
        <f>_xlfn.XLOOKUP(tblSales[[#This Row],[Product Code]],tblProducts[Code],tblProducts[Product / Service Name],"⚠ Unknown")</f>
        <v>Wireless Earbuds Pro</v>
      </c>
      <c r="H3165" s="1" t="str">
        <f>_xlfn.XLOOKUP(tblSales[[#This Row],[Product Code]],tblProducts[Code],tblProducts[Category],"")</f>
        <v>Bags &amp; Gadgets</v>
      </c>
      <c r="I3165" s="4">
        <v>2</v>
      </c>
      <c r="J3165" s="5">
        <f>_xlfn.XLOOKUP(tblSales[[#This Row],[Product Code]],tblProducts[Code],tblProducts[Selling Price (excl. VAT)],0)</f>
        <v>1250000</v>
      </c>
      <c r="K3165" s="5">
        <f>tblSales[[#This Row],[Qty]]*tblSales[[#This Row],[Unit Price]]</f>
        <v>2500000</v>
      </c>
      <c r="L3165" s="5">
        <f>ROUND(tblSales[[#This Row],[DPP (excl. VAT)]]*VATEff,0)</f>
        <v>275000</v>
      </c>
      <c r="M3165" s="5">
        <f>tblSales[[#This Row],[DPP (excl. VAT)]]+tblSales[[#This Row],[Output VAT]]</f>
        <v>2775000</v>
      </c>
      <c r="N3165" s="5">
        <f>tblSales[[#This Row],[Qty]]*_xlfn.XLOOKUP(tblSales[[#This Row],[Product Code]],tblProducts[Code],tblProducts[Unit Cost],0)</f>
        <v>1640000</v>
      </c>
      <c r="O3165" s="4" t="s">
        <v>4865</v>
      </c>
      <c r="P3165" s="4" t="s">
        <v>4860</v>
      </c>
      <c r="Q3165" s="1" t="str">
        <f>_xlfn.XLOOKUP(tblSales[[#This Row],[Channel Code]],tblChannels[Channel Code],tblChannels[Channel Name],"")</f>
        <v>In-store</v>
      </c>
      <c r="R3165" s="1">
        <f>MONTH(tblSales[[#This Row],[Date]])</f>
        <v>7</v>
      </c>
    </row>
    <row r="3166" spans="2:18" x14ac:dyDescent="0.35">
      <c r="B3166" s="113">
        <v>46212</v>
      </c>
      <c r="C3166" s="4" t="s">
        <v>2116</v>
      </c>
      <c r="D3166" s="4" t="s">
        <v>4620</v>
      </c>
      <c r="E3166" s="1" t="str">
        <f>_xlfn.XLOOKUP(tblSales[[#This Row],[Customer ID]],tblCustomers[Customer ID],tblCustomers[Customer Name],"⚠ Unknown")</f>
        <v>CV Sumber Rejeki Utama</v>
      </c>
      <c r="F3166" s="4" t="s">
        <v>6</v>
      </c>
      <c r="G3166" s="1" t="str">
        <f>_xlfn.XLOOKUP(tblSales[[#This Row],[Product Code]],tblProducts[Code],tblProducts[Product / Service Name],"⚠ Unknown")</f>
        <v>Socks &amp; Accessories</v>
      </c>
      <c r="H3166" s="1" t="str">
        <f>_xlfn.XLOOKUP(tblSales[[#This Row],[Product Code]],tblProducts[Code],tblProducts[Category],"")</f>
        <v>Accessories &amp; Basics</v>
      </c>
      <c r="I3166" s="4">
        <v>8</v>
      </c>
      <c r="J3166" s="5">
        <f>_xlfn.XLOOKUP(tblSales[[#This Row],[Product Code]],tblProducts[Code],tblProducts[Selling Price (excl. VAT)],0)</f>
        <v>45000</v>
      </c>
      <c r="K3166" s="5">
        <f>tblSales[[#This Row],[Qty]]*tblSales[[#This Row],[Unit Price]]</f>
        <v>360000</v>
      </c>
      <c r="L3166" s="5">
        <f>ROUND(tblSales[[#This Row],[DPP (excl. VAT)]]*VATEff,0)</f>
        <v>39600</v>
      </c>
      <c r="M3166" s="5">
        <f>tblSales[[#This Row],[DPP (excl. VAT)]]+tblSales[[#This Row],[Output VAT]]</f>
        <v>399600</v>
      </c>
      <c r="N3166" s="5">
        <f>tblSales[[#This Row],[Qty]]*_xlfn.XLOOKUP(tblSales[[#This Row],[Product Code]],tblProducts[Code],tblProducts[Unit Cost],0)</f>
        <v>192000</v>
      </c>
      <c r="O3166" s="4" t="s">
        <v>4867</v>
      </c>
      <c r="P3166" s="4" t="s">
        <v>4860</v>
      </c>
      <c r="Q3166" s="1" t="str">
        <f>_xlfn.XLOOKUP(tblSales[[#This Row],[Channel Code]],tblChannels[Channel Code],tblChannels[Channel Name],"")</f>
        <v>In-store</v>
      </c>
      <c r="R3166" s="1">
        <f>MONTH(tblSales[[#This Row],[Date]])</f>
        <v>7</v>
      </c>
    </row>
    <row r="3167" spans="2:18" x14ac:dyDescent="0.35">
      <c r="B3167" s="113">
        <v>46212</v>
      </c>
      <c r="C3167" s="4" t="s">
        <v>2117</v>
      </c>
      <c r="D3167" s="4" t="s">
        <v>4568</v>
      </c>
      <c r="E3167" s="1" t="str">
        <f>_xlfn.XLOOKUP(tblSales[[#This Row],[Customer ID]],tblCustomers[Customer ID],tblCustomers[Customer Name],"⚠ Unknown")</f>
        <v>Walk-in Customer</v>
      </c>
      <c r="F3167" s="4" t="s">
        <v>8</v>
      </c>
      <c r="G3167" s="1" t="str">
        <f>_xlfn.XLOOKUP(tblSales[[#This Row],[Product Code]],tblProducts[Code],tblProducts[Product / Service Name],"⚠ Unknown")</f>
        <v>Casual Shorts</v>
      </c>
      <c r="H3167" s="1" t="str">
        <f>_xlfn.XLOOKUP(tblSales[[#This Row],[Product Code]],tblProducts[Code],tblProducts[Category],"")</f>
        <v>Accessories &amp; Basics</v>
      </c>
      <c r="I3167" s="4">
        <v>12</v>
      </c>
      <c r="J3167" s="5">
        <f>_xlfn.XLOOKUP(tblSales[[#This Row],[Product Code]],tblProducts[Code],tblProducts[Selling Price (excl. VAT)],0)</f>
        <v>85000</v>
      </c>
      <c r="K3167" s="5">
        <f>tblSales[[#This Row],[Qty]]*tblSales[[#This Row],[Unit Price]]</f>
        <v>1020000</v>
      </c>
      <c r="L3167" s="5">
        <f>ROUND(tblSales[[#This Row],[DPP (excl. VAT)]]*VATEff,0)</f>
        <v>112200</v>
      </c>
      <c r="M3167" s="5">
        <f>tblSales[[#This Row],[DPP (excl. VAT)]]+tblSales[[#This Row],[Output VAT]]</f>
        <v>1132200</v>
      </c>
      <c r="N3167" s="5">
        <f>tblSales[[#This Row],[Qty]]*_xlfn.XLOOKUP(tblSales[[#This Row],[Product Code]],tblProducts[Code],tblProducts[Unit Cost],0)</f>
        <v>600000</v>
      </c>
      <c r="O3167" s="4" t="s">
        <v>4866</v>
      </c>
      <c r="P3167" s="4" t="s">
        <v>4862</v>
      </c>
      <c r="Q3167" s="1" t="str">
        <f>_xlfn.XLOOKUP(tblSales[[#This Row],[Channel Code]],tblChannels[Channel Code],tblChannels[Channel Name],"")</f>
        <v>Website &amp; Social Media</v>
      </c>
      <c r="R3167" s="1">
        <f>MONTH(tblSales[[#This Row],[Date]])</f>
        <v>7</v>
      </c>
    </row>
    <row r="3168" spans="2:18" x14ac:dyDescent="0.35">
      <c r="B3168" s="113">
        <v>46212</v>
      </c>
      <c r="C3168" s="4" t="s">
        <v>2118</v>
      </c>
      <c r="D3168" s="4" t="s">
        <v>4634</v>
      </c>
      <c r="E3168" s="1" t="str">
        <f>_xlfn.XLOOKUP(tblSales[[#This Row],[Customer ID]],tblCustomers[Customer ID],tblCustomers[Customer Name],"⚠ Unknown")</f>
        <v>PT Delta Inti Selaras</v>
      </c>
      <c r="F3168" s="4" t="s">
        <v>9</v>
      </c>
      <c r="G3168" s="1" t="str">
        <f>_xlfn.XLOOKUP(tblSales[[#This Row],[Product Code]],tblProducts[Code],tblProducts[Product / Service Name],"⚠ Unknown")</f>
        <v>Casual Shirt</v>
      </c>
      <c r="H3168" s="1" t="str">
        <f>_xlfn.XLOOKUP(tblSales[[#This Row],[Product Code]],tblProducts[Code],tblProducts[Category],"")</f>
        <v>Apparel &amp; Footwear</v>
      </c>
      <c r="I3168" s="4">
        <v>80</v>
      </c>
      <c r="J3168" s="5">
        <f>_xlfn.XLOOKUP(tblSales[[#This Row],[Product Code]],tblProducts[Code],tblProducts[Selling Price (excl. VAT)],0)</f>
        <v>120000</v>
      </c>
      <c r="K3168" s="5">
        <f>tblSales[[#This Row],[Qty]]*tblSales[[#This Row],[Unit Price]]</f>
        <v>9600000</v>
      </c>
      <c r="L3168" s="5">
        <f>ROUND(tblSales[[#This Row],[DPP (excl. VAT)]]*VATEff,0)</f>
        <v>1056000</v>
      </c>
      <c r="M3168" s="5">
        <f>tblSales[[#This Row],[DPP (excl. VAT)]]+tblSales[[#This Row],[Output VAT]]</f>
        <v>10656000</v>
      </c>
      <c r="N3168" s="5">
        <f>tblSales[[#This Row],[Qty]]*_xlfn.XLOOKUP(tblSales[[#This Row],[Product Code]],tblProducts[Code],tblProducts[Unit Cost],0)</f>
        <v>5760000</v>
      </c>
      <c r="O3168" s="4" t="s">
        <v>4867</v>
      </c>
      <c r="P3168" s="4" t="s">
        <v>4860</v>
      </c>
      <c r="Q3168" s="1" t="str">
        <f>_xlfn.XLOOKUP(tblSales[[#This Row],[Channel Code]],tblChannels[Channel Code],tblChannels[Channel Name],"")</f>
        <v>In-store</v>
      </c>
      <c r="R3168" s="1">
        <f>MONTH(tblSales[[#This Row],[Date]])</f>
        <v>7</v>
      </c>
    </row>
    <row r="3169" spans="2:18" x14ac:dyDescent="0.35">
      <c r="B3169" s="113">
        <v>46212</v>
      </c>
      <c r="C3169" s="4" t="s">
        <v>2119</v>
      </c>
      <c r="D3169" s="4" t="s">
        <v>4568</v>
      </c>
      <c r="E3169" s="1" t="str">
        <f>_xlfn.XLOOKUP(tblSales[[#This Row],[Customer ID]],tblCustomers[Customer ID],tblCustomers[Customer Name],"⚠ Unknown")</f>
        <v>Walk-in Customer</v>
      </c>
      <c r="F3169" s="4" t="s">
        <v>6</v>
      </c>
      <c r="G3169" s="1" t="str">
        <f>_xlfn.XLOOKUP(tblSales[[#This Row],[Product Code]],tblProducts[Code],tblProducts[Product / Service Name],"⚠ Unknown")</f>
        <v>Socks &amp; Accessories</v>
      </c>
      <c r="H3169" s="1" t="str">
        <f>_xlfn.XLOOKUP(tblSales[[#This Row],[Product Code]],tblProducts[Code],tblProducts[Category],"")</f>
        <v>Accessories &amp; Basics</v>
      </c>
      <c r="I3169" s="4">
        <v>6</v>
      </c>
      <c r="J3169" s="5">
        <f>_xlfn.XLOOKUP(tblSales[[#This Row],[Product Code]],tblProducts[Code],tblProducts[Selling Price (excl. VAT)],0)</f>
        <v>45000</v>
      </c>
      <c r="K3169" s="5">
        <f>tblSales[[#This Row],[Qty]]*tblSales[[#This Row],[Unit Price]]</f>
        <v>270000</v>
      </c>
      <c r="L3169" s="5">
        <f>ROUND(tblSales[[#This Row],[DPP (excl. VAT)]]*VATEff,0)</f>
        <v>29700</v>
      </c>
      <c r="M3169" s="5">
        <f>tblSales[[#This Row],[DPP (excl. VAT)]]+tblSales[[#This Row],[Output VAT]]</f>
        <v>299700</v>
      </c>
      <c r="N3169" s="5">
        <f>tblSales[[#This Row],[Qty]]*_xlfn.XLOOKUP(tblSales[[#This Row],[Product Code]],tblProducts[Code],tblProducts[Unit Cost],0)</f>
        <v>144000</v>
      </c>
      <c r="O3169" s="4" t="s">
        <v>4866</v>
      </c>
      <c r="P3169" s="4" t="s">
        <v>4860</v>
      </c>
      <c r="Q3169" s="1" t="str">
        <f>_xlfn.XLOOKUP(tblSales[[#This Row],[Channel Code]],tblChannels[Channel Code],tblChannels[Channel Name],"")</f>
        <v>In-store</v>
      </c>
      <c r="R3169" s="1">
        <f>MONTH(tblSales[[#This Row],[Date]])</f>
        <v>7</v>
      </c>
    </row>
    <row r="3170" spans="2:18" x14ac:dyDescent="0.35">
      <c r="B3170" s="113">
        <v>46212</v>
      </c>
      <c r="C3170" s="4" t="s">
        <v>2120</v>
      </c>
      <c r="D3170" s="4" t="s">
        <v>4578</v>
      </c>
      <c r="E3170" s="1" t="str">
        <f>_xlfn.XLOOKUP(tblSales[[#This Row],[Customer ID]],tblCustomers[Customer ID],tblCustomers[Customer Name],"⚠ Unknown")</f>
        <v>PT Bintang Timur Sejahtera</v>
      </c>
      <c r="F3170" s="4" t="s">
        <v>15</v>
      </c>
      <c r="G3170" s="1" t="str">
        <f>_xlfn.XLOOKUP(tblSales[[#This Row],[Product Code]],tblProducts[Code],tblProducts[Product / Service Name],"⚠ Unknown")</f>
        <v>Wireless Earbuds Pro</v>
      </c>
      <c r="H3170" s="1" t="str">
        <f>_xlfn.XLOOKUP(tblSales[[#This Row],[Product Code]],tblProducts[Code],tblProducts[Category],"")</f>
        <v>Bags &amp; Gadgets</v>
      </c>
      <c r="I3170" s="4">
        <v>8</v>
      </c>
      <c r="J3170" s="5">
        <f>_xlfn.XLOOKUP(tblSales[[#This Row],[Product Code]],tblProducts[Code],tblProducts[Selling Price (excl. VAT)],0)</f>
        <v>1250000</v>
      </c>
      <c r="K3170" s="5">
        <f>tblSales[[#This Row],[Qty]]*tblSales[[#This Row],[Unit Price]]</f>
        <v>10000000</v>
      </c>
      <c r="L3170" s="5">
        <f>ROUND(tblSales[[#This Row],[DPP (excl. VAT)]]*VATEff,0)</f>
        <v>1100000</v>
      </c>
      <c r="M3170" s="5">
        <f>tblSales[[#This Row],[DPP (excl. VAT)]]+tblSales[[#This Row],[Output VAT]]</f>
        <v>11100000</v>
      </c>
      <c r="N3170" s="5">
        <f>tblSales[[#This Row],[Qty]]*_xlfn.XLOOKUP(tblSales[[#This Row],[Product Code]],tblProducts[Code],tblProducts[Unit Cost],0)</f>
        <v>6560000</v>
      </c>
      <c r="O3170" s="4" t="s">
        <v>4867</v>
      </c>
      <c r="P3170" s="4" t="s">
        <v>4860</v>
      </c>
      <c r="Q3170" s="1" t="str">
        <f>_xlfn.XLOOKUP(tblSales[[#This Row],[Channel Code]],tblChannels[Channel Code],tblChannels[Channel Name],"")</f>
        <v>In-store</v>
      </c>
      <c r="R3170" s="1">
        <f>MONTH(tblSales[[#This Row],[Date]])</f>
        <v>7</v>
      </c>
    </row>
    <row r="3171" spans="2:18" x14ac:dyDescent="0.35">
      <c r="B3171" s="113">
        <v>46212</v>
      </c>
      <c r="C3171" s="4" t="s">
        <v>2120</v>
      </c>
      <c r="D3171" s="4" t="s">
        <v>4578</v>
      </c>
      <c r="E3171" s="1" t="str">
        <f>_xlfn.XLOOKUP(tblSales[[#This Row],[Customer ID]],tblCustomers[Customer ID],tblCustomers[Customer Name],"⚠ Unknown")</f>
        <v>PT Bintang Timur Sejahtera</v>
      </c>
      <c r="F3171" s="4" t="s">
        <v>13</v>
      </c>
      <c r="G3171" s="1" t="str">
        <f>_xlfn.XLOOKUP(tblSales[[#This Row],[Product Code]],tblProducts[Code],tblProducts[Product / Service Name],"⚠ Unknown")</f>
        <v>Backpack</v>
      </c>
      <c r="H3171" s="1" t="str">
        <f>_xlfn.XLOOKUP(tblSales[[#This Row],[Product Code]],tblProducts[Code],tblProducts[Category],"")</f>
        <v>Bags &amp; Gadgets</v>
      </c>
      <c r="I3171" s="4">
        <v>16</v>
      </c>
      <c r="J3171" s="5">
        <f>_xlfn.XLOOKUP(tblSales[[#This Row],[Product Code]],tblProducts[Code],tblProducts[Selling Price (excl. VAT)],0)</f>
        <v>500000</v>
      </c>
      <c r="K3171" s="5">
        <f>tblSales[[#This Row],[Qty]]*tblSales[[#This Row],[Unit Price]]</f>
        <v>8000000</v>
      </c>
      <c r="L3171" s="5">
        <f>ROUND(tblSales[[#This Row],[DPP (excl. VAT)]]*VATEff,0)</f>
        <v>880000</v>
      </c>
      <c r="M3171" s="5">
        <f>tblSales[[#This Row],[DPP (excl. VAT)]]+tblSales[[#This Row],[Output VAT]]</f>
        <v>8880000</v>
      </c>
      <c r="N3171" s="5">
        <f>tblSales[[#This Row],[Qty]]*_xlfn.XLOOKUP(tblSales[[#This Row],[Product Code]],tblProducts[Code],tblProducts[Unit Cost],0)</f>
        <v>4640000</v>
      </c>
      <c r="O3171" s="4" t="s">
        <v>4867</v>
      </c>
      <c r="P3171" s="4" t="s">
        <v>4860</v>
      </c>
      <c r="Q3171" s="1" t="str">
        <f>_xlfn.XLOOKUP(tblSales[[#This Row],[Channel Code]],tblChannels[Channel Code],tblChannels[Channel Name],"")</f>
        <v>In-store</v>
      </c>
      <c r="R3171" s="1">
        <f>MONTH(tblSales[[#This Row],[Date]])</f>
        <v>7</v>
      </c>
    </row>
    <row r="3172" spans="2:18" x14ac:dyDescent="0.35">
      <c r="B3172" s="113">
        <v>46212</v>
      </c>
      <c r="C3172" s="4" t="s">
        <v>2120</v>
      </c>
      <c r="D3172" s="4" t="s">
        <v>4578</v>
      </c>
      <c r="E3172" s="1" t="str">
        <f>_xlfn.XLOOKUP(tblSales[[#This Row],[Customer ID]],tblCustomers[Customer ID],tblCustomers[Customer Name],"⚠ Unknown")</f>
        <v>PT Bintang Timur Sejahtera</v>
      </c>
      <c r="F3172" s="4" t="s">
        <v>7</v>
      </c>
      <c r="G3172" s="1" t="str">
        <f>_xlfn.XLOOKUP(tblSales[[#This Row],[Product Code]],tblProducts[Code],tblProducts[Product / Service Name],"⚠ Unknown")</f>
        <v>Premium Basic T-shirt</v>
      </c>
      <c r="H3172" s="1" t="str">
        <f>_xlfn.XLOOKUP(tblSales[[#This Row],[Product Code]],tblProducts[Code],tblProducts[Category],"")</f>
        <v>Accessories &amp; Basics</v>
      </c>
      <c r="I3172" s="4">
        <v>32</v>
      </c>
      <c r="J3172" s="5">
        <f>_xlfn.XLOOKUP(tblSales[[#This Row],[Product Code]],tblProducts[Code],tblProducts[Selling Price (excl. VAT)],0)</f>
        <v>65000</v>
      </c>
      <c r="K3172" s="5">
        <f>tblSales[[#This Row],[Qty]]*tblSales[[#This Row],[Unit Price]]</f>
        <v>2080000</v>
      </c>
      <c r="L3172" s="5">
        <f>ROUND(tblSales[[#This Row],[DPP (excl. VAT)]]*VATEff,0)</f>
        <v>228800</v>
      </c>
      <c r="M3172" s="5">
        <f>tblSales[[#This Row],[DPP (excl. VAT)]]+tblSales[[#This Row],[Output VAT]]</f>
        <v>2308800</v>
      </c>
      <c r="N3172" s="5">
        <f>tblSales[[#This Row],[Qty]]*_xlfn.XLOOKUP(tblSales[[#This Row],[Product Code]],tblProducts[Code],tblProducts[Unit Cost],0)</f>
        <v>1184000</v>
      </c>
      <c r="O3172" s="4" t="s">
        <v>4867</v>
      </c>
      <c r="P3172" s="4" t="s">
        <v>4860</v>
      </c>
      <c r="Q3172" s="1" t="str">
        <f>_xlfn.XLOOKUP(tblSales[[#This Row],[Channel Code]],tblChannels[Channel Code],tblChannels[Channel Name],"")</f>
        <v>In-store</v>
      </c>
      <c r="R3172" s="1">
        <f>MONTH(tblSales[[#This Row],[Date]])</f>
        <v>7</v>
      </c>
    </row>
    <row r="3173" spans="2:18" x14ac:dyDescent="0.35">
      <c r="B3173" s="113">
        <v>46212</v>
      </c>
      <c r="C3173" s="4" t="s">
        <v>2121</v>
      </c>
      <c r="D3173" s="4" t="s">
        <v>4568</v>
      </c>
      <c r="E3173" s="1" t="str">
        <f>_xlfn.XLOOKUP(tblSales[[#This Row],[Customer ID]],tblCustomers[Customer ID],tblCustomers[Customer Name],"⚠ Unknown")</f>
        <v>Walk-in Customer</v>
      </c>
      <c r="F3173" s="4" t="s">
        <v>6</v>
      </c>
      <c r="G3173" s="1" t="str">
        <f>_xlfn.XLOOKUP(tblSales[[#This Row],[Product Code]],tblProducts[Code],tblProducts[Product / Service Name],"⚠ Unknown")</f>
        <v>Socks &amp; Accessories</v>
      </c>
      <c r="H3173" s="1" t="str">
        <f>_xlfn.XLOOKUP(tblSales[[#This Row],[Product Code]],tblProducts[Code],tblProducts[Category],"")</f>
        <v>Accessories &amp; Basics</v>
      </c>
      <c r="I3173" s="4">
        <v>5</v>
      </c>
      <c r="J3173" s="5">
        <f>_xlfn.XLOOKUP(tblSales[[#This Row],[Product Code]],tblProducts[Code],tblProducts[Selling Price (excl. VAT)],0)</f>
        <v>45000</v>
      </c>
      <c r="K3173" s="5">
        <f>tblSales[[#This Row],[Qty]]*tblSales[[#This Row],[Unit Price]]</f>
        <v>225000</v>
      </c>
      <c r="L3173" s="5">
        <f>ROUND(tblSales[[#This Row],[DPP (excl. VAT)]]*VATEff,0)</f>
        <v>24750</v>
      </c>
      <c r="M3173" s="5">
        <f>tblSales[[#This Row],[DPP (excl. VAT)]]+tblSales[[#This Row],[Output VAT]]</f>
        <v>249750</v>
      </c>
      <c r="N3173" s="5">
        <f>tblSales[[#This Row],[Qty]]*_xlfn.XLOOKUP(tblSales[[#This Row],[Product Code]],tblProducts[Code],tblProducts[Unit Cost],0)</f>
        <v>120000</v>
      </c>
      <c r="O3173" s="4" t="s">
        <v>4865</v>
      </c>
      <c r="P3173" s="4" t="s">
        <v>4860</v>
      </c>
      <c r="Q3173" s="1" t="str">
        <f>_xlfn.XLOOKUP(tblSales[[#This Row],[Channel Code]],tblChannels[Channel Code],tblChannels[Channel Name],"")</f>
        <v>In-store</v>
      </c>
      <c r="R3173" s="1">
        <f>MONTH(tblSales[[#This Row],[Date]])</f>
        <v>7</v>
      </c>
    </row>
    <row r="3174" spans="2:18" x14ac:dyDescent="0.35">
      <c r="B3174" s="113">
        <v>46213</v>
      </c>
      <c r="C3174" s="4" t="s">
        <v>2122</v>
      </c>
      <c r="D3174" s="4" t="s">
        <v>4568</v>
      </c>
      <c r="E3174" s="1" t="str">
        <f>_xlfn.XLOOKUP(tblSales[[#This Row],[Customer ID]],tblCustomers[Customer ID],tblCustomers[Customer Name],"⚠ Unknown")</f>
        <v>Walk-in Customer</v>
      </c>
      <c r="F3174" s="4" t="s">
        <v>11</v>
      </c>
      <c r="G3174" s="1" t="str">
        <f>_xlfn.XLOOKUP(tblSales[[#This Row],[Product Code]],tblProducts[Code],tblProducts[Product / Service Name],"⚠ Unknown")</f>
        <v>Sneakers</v>
      </c>
      <c r="H3174" s="1" t="str">
        <f>_xlfn.XLOOKUP(tblSales[[#This Row],[Product Code]],tblProducts[Code],tblProducts[Category],"")</f>
        <v>Apparel &amp; Footwear</v>
      </c>
      <c r="I3174" s="4">
        <v>4</v>
      </c>
      <c r="J3174" s="5">
        <f>_xlfn.XLOOKUP(tblSales[[#This Row],[Product Code]],tblProducts[Code],tblProducts[Selling Price (excl. VAT)],0)</f>
        <v>250000</v>
      </c>
      <c r="K3174" s="5">
        <f>tblSales[[#This Row],[Qty]]*tblSales[[#This Row],[Unit Price]]</f>
        <v>1000000</v>
      </c>
      <c r="L3174" s="5">
        <f>ROUND(tblSales[[#This Row],[DPP (excl. VAT)]]*VATEff,0)</f>
        <v>110000</v>
      </c>
      <c r="M3174" s="5">
        <f>tblSales[[#This Row],[DPP (excl. VAT)]]+tblSales[[#This Row],[Output VAT]]</f>
        <v>1110000</v>
      </c>
      <c r="N3174" s="5">
        <f>tblSales[[#This Row],[Qty]]*_xlfn.XLOOKUP(tblSales[[#This Row],[Product Code]],tblProducts[Code],tblProducts[Unit Cost],0)</f>
        <v>620000</v>
      </c>
      <c r="O3174" s="4" t="s">
        <v>4866</v>
      </c>
      <c r="P3174" s="4" t="s">
        <v>4861</v>
      </c>
      <c r="Q3174" s="1" t="str">
        <f>_xlfn.XLOOKUP(tblSales[[#This Row],[Channel Code]],tblChannels[Channel Code],tblChannels[Channel Name],"")</f>
        <v>Marketplace</v>
      </c>
      <c r="R3174" s="1">
        <f>MONTH(tblSales[[#This Row],[Date]])</f>
        <v>7</v>
      </c>
    </row>
    <row r="3175" spans="2:18" x14ac:dyDescent="0.35">
      <c r="B3175" s="113">
        <v>46213</v>
      </c>
      <c r="C3175" s="4" t="s">
        <v>2122</v>
      </c>
      <c r="D3175" s="4" t="s">
        <v>4568</v>
      </c>
      <c r="E3175" s="1" t="str">
        <f>_xlfn.XLOOKUP(tblSales[[#This Row],[Customer ID]],tblCustomers[Customer ID],tblCustomers[Customer Name],"⚠ Unknown")</f>
        <v>Walk-in Customer</v>
      </c>
      <c r="F3175" s="4" t="s">
        <v>10</v>
      </c>
      <c r="G3175" s="1" t="str">
        <f>_xlfn.XLOOKUP(tblSales[[#This Row],[Product Code]],tblProducts[Code],tblProducts[Product / Service Name],"⚠ Unknown")</f>
        <v>Chino Pants</v>
      </c>
      <c r="H3175" s="1" t="str">
        <f>_xlfn.XLOOKUP(tblSales[[#This Row],[Product Code]],tblProducts[Code],tblProducts[Category],"")</f>
        <v>Apparel &amp; Footwear</v>
      </c>
      <c r="I3175" s="4">
        <v>12</v>
      </c>
      <c r="J3175" s="5">
        <f>_xlfn.XLOOKUP(tblSales[[#This Row],[Product Code]],tblProducts[Code],tblProducts[Selling Price (excl. VAT)],0)</f>
        <v>150000</v>
      </c>
      <c r="K3175" s="5">
        <f>tblSales[[#This Row],[Qty]]*tblSales[[#This Row],[Unit Price]]</f>
        <v>1800000</v>
      </c>
      <c r="L3175" s="5">
        <f>ROUND(tblSales[[#This Row],[DPP (excl. VAT)]]*VATEff,0)</f>
        <v>198000</v>
      </c>
      <c r="M3175" s="5">
        <f>tblSales[[#This Row],[DPP (excl. VAT)]]+tblSales[[#This Row],[Output VAT]]</f>
        <v>1998000</v>
      </c>
      <c r="N3175" s="5">
        <f>tblSales[[#This Row],[Qty]]*_xlfn.XLOOKUP(tblSales[[#This Row],[Product Code]],tblProducts[Code],tblProducts[Unit Cost],0)</f>
        <v>1056000</v>
      </c>
      <c r="O3175" s="4" t="s">
        <v>4866</v>
      </c>
      <c r="P3175" s="4" t="s">
        <v>4861</v>
      </c>
      <c r="Q3175" s="1" t="str">
        <f>_xlfn.XLOOKUP(tblSales[[#This Row],[Channel Code]],tblChannels[Channel Code],tblChannels[Channel Name],"")</f>
        <v>Marketplace</v>
      </c>
      <c r="R3175" s="1">
        <f>MONTH(tblSales[[#This Row],[Date]])</f>
        <v>7</v>
      </c>
    </row>
    <row r="3176" spans="2:18" x14ac:dyDescent="0.35">
      <c r="B3176" s="113">
        <v>46213</v>
      </c>
      <c r="C3176" s="4" t="s">
        <v>2123</v>
      </c>
      <c r="D3176" s="4" t="s">
        <v>4599</v>
      </c>
      <c r="E3176" s="1" t="str">
        <f>_xlfn.XLOOKUP(tblSales[[#This Row],[Customer ID]],tblCustomers[Customer ID],tblCustomers[Customer Name],"⚠ Unknown")</f>
        <v>PT Samudra Jaya Logistik</v>
      </c>
      <c r="F3176" s="4" t="s">
        <v>13</v>
      </c>
      <c r="G3176" s="1" t="str">
        <f>_xlfn.XLOOKUP(tblSales[[#This Row],[Product Code]],tblProducts[Code],tblProducts[Product / Service Name],"⚠ Unknown")</f>
        <v>Backpack</v>
      </c>
      <c r="H3176" s="1" t="str">
        <f>_xlfn.XLOOKUP(tblSales[[#This Row],[Product Code]],tblProducts[Code],tblProducts[Category],"")</f>
        <v>Bags &amp; Gadgets</v>
      </c>
      <c r="I3176" s="4">
        <v>48</v>
      </c>
      <c r="J3176" s="5">
        <f>_xlfn.XLOOKUP(tblSales[[#This Row],[Product Code]],tblProducts[Code],tblProducts[Selling Price (excl. VAT)],0)</f>
        <v>500000</v>
      </c>
      <c r="K3176" s="5">
        <f>tblSales[[#This Row],[Qty]]*tblSales[[#This Row],[Unit Price]]</f>
        <v>24000000</v>
      </c>
      <c r="L3176" s="5">
        <f>ROUND(tblSales[[#This Row],[DPP (excl. VAT)]]*VATEff,0)</f>
        <v>2640000</v>
      </c>
      <c r="M3176" s="5">
        <f>tblSales[[#This Row],[DPP (excl. VAT)]]+tblSales[[#This Row],[Output VAT]]</f>
        <v>26640000</v>
      </c>
      <c r="N3176" s="5">
        <f>tblSales[[#This Row],[Qty]]*_xlfn.XLOOKUP(tblSales[[#This Row],[Product Code]],tblProducts[Code],tblProducts[Unit Cost],0)</f>
        <v>13920000</v>
      </c>
      <c r="O3176" s="4" t="s">
        <v>4867</v>
      </c>
      <c r="P3176" s="4" t="s">
        <v>4860</v>
      </c>
      <c r="Q3176" s="1" t="str">
        <f>_xlfn.XLOOKUP(tblSales[[#This Row],[Channel Code]],tblChannels[Channel Code],tblChannels[Channel Name],"")</f>
        <v>In-store</v>
      </c>
      <c r="R3176" s="1">
        <f>MONTH(tblSales[[#This Row],[Date]])</f>
        <v>7</v>
      </c>
    </row>
    <row r="3177" spans="2:18" x14ac:dyDescent="0.35">
      <c r="B3177" s="113">
        <v>46213</v>
      </c>
      <c r="C3177" s="4" t="s">
        <v>2124</v>
      </c>
      <c r="D3177" s="4" t="s">
        <v>4568</v>
      </c>
      <c r="E3177" s="1" t="str">
        <f>_xlfn.XLOOKUP(tblSales[[#This Row],[Customer ID]],tblCustomers[Customer ID],tblCustomers[Customer Name],"⚠ Unknown")</f>
        <v>Walk-in Customer</v>
      </c>
      <c r="F3177" s="4" t="s">
        <v>7</v>
      </c>
      <c r="G3177" s="1" t="str">
        <f>_xlfn.XLOOKUP(tblSales[[#This Row],[Product Code]],tblProducts[Code],tblProducts[Product / Service Name],"⚠ Unknown")</f>
        <v>Premium Basic T-shirt</v>
      </c>
      <c r="H3177" s="1" t="str">
        <f>_xlfn.XLOOKUP(tblSales[[#This Row],[Product Code]],tblProducts[Code],tblProducts[Category],"")</f>
        <v>Accessories &amp; Basics</v>
      </c>
      <c r="I3177" s="4">
        <v>5</v>
      </c>
      <c r="J3177" s="5">
        <f>_xlfn.XLOOKUP(tblSales[[#This Row],[Product Code]],tblProducts[Code],tblProducts[Selling Price (excl. VAT)],0)</f>
        <v>65000</v>
      </c>
      <c r="K3177" s="5">
        <f>tblSales[[#This Row],[Qty]]*tblSales[[#This Row],[Unit Price]]</f>
        <v>325000</v>
      </c>
      <c r="L3177" s="5">
        <f>ROUND(tblSales[[#This Row],[DPP (excl. VAT)]]*VATEff,0)</f>
        <v>35750</v>
      </c>
      <c r="M3177" s="5">
        <f>tblSales[[#This Row],[DPP (excl. VAT)]]+tblSales[[#This Row],[Output VAT]]</f>
        <v>360750</v>
      </c>
      <c r="N3177" s="5">
        <f>tblSales[[#This Row],[Qty]]*_xlfn.XLOOKUP(tblSales[[#This Row],[Product Code]],tblProducts[Code],tblProducts[Unit Cost],0)</f>
        <v>185000</v>
      </c>
      <c r="O3177" s="4" t="s">
        <v>4866</v>
      </c>
      <c r="P3177" s="4" t="s">
        <v>4861</v>
      </c>
      <c r="Q3177" s="1" t="str">
        <f>_xlfn.XLOOKUP(tblSales[[#This Row],[Channel Code]],tblChannels[Channel Code],tblChannels[Channel Name],"")</f>
        <v>Marketplace</v>
      </c>
      <c r="R3177" s="1">
        <f>MONTH(tblSales[[#This Row],[Date]])</f>
        <v>7</v>
      </c>
    </row>
    <row r="3178" spans="2:18" x14ac:dyDescent="0.35">
      <c r="B3178" s="113">
        <v>46213</v>
      </c>
      <c r="C3178" s="4" t="s">
        <v>2125</v>
      </c>
      <c r="D3178" s="4" t="s">
        <v>4568</v>
      </c>
      <c r="E3178" s="1" t="str">
        <f>_xlfn.XLOOKUP(tblSales[[#This Row],[Customer ID]],tblCustomers[Customer ID],tblCustomers[Customer Name],"⚠ Unknown")</f>
        <v>Walk-in Customer</v>
      </c>
      <c r="F3178" s="4" t="s">
        <v>7</v>
      </c>
      <c r="G3178" s="1" t="str">
        <f>_xlfn.XLOOKUP(tblSales[[#This Row],[Product Code]],tblProducts[Code],tblProducts[Product / Service Name],"⚠ Unknown")</f>
        <v>Premium Basic T-shirt</v>
      </c>
      <c r="H3178" s="1" t="str">
        <f>_xlfn.XLOOKUP(tblSales[[#This Row],[Product Code]],tblProducts[Code],tblProducts[Category],"")</f>
        <v>Accessories &amp; Basics</v>
      </c>
      <c r="I3178" s="4">
        <v>7</v>
      </c>
      <c r="J3178" s="5">
        <f>_xlfn.XLOOKUP(tblSales[[#This Row],[Product Code]],tblProducts[Code],tblProducts[Selling Price (excl. VAT)],0)</f>
        <v>65000</v>
      </c>
      <c r="K3178" s="5">
        <f>tblSales[[#This Row],[Qty]]*tblSales[[#This Row],[Unit Price]]</f>
        <v>455000</v>
      </c>
      <c r="L3178" s="5">
        <f>ROUND(tblSales[[#This Row],[DPP (excl. VAT)]]*VATEff,0)</f>
        <v>50050</v>
      </c>
      <c r="M3178" s="5">
        <f>tblSales[[#This Row],[DPP (excl. VAT)]]+tblSales[[#This Row],[Output VAT]]</f>
        <v>505050</v>
      </c>
      <c r="N3178" s="5">
        <f>tblSales[[#This Row],[Qty]]*_xlfn.XLOOKUP(tblSales[[#This Row],[Product Code]],tblProducts[Code],tblProducts[Unit Cost],0)</f>
        <v>259000</v>
      </c>
      <c r="O3178" s="4" t="s">
        <v>4865</v>
      </c>
      <c r="P3178" s="4" t="s">
        <v>4860</v>
      </c>
      <c r="Q3178" s="1" t="str">
        <f>_xlfn.XLOOKUP(tblSales[[#This Row],[Channel Code]],tblChannels[Channel Code],tblChannels[Channel Name],"")</f>
        <v>In-store</v>
      </c>
      <c r="R3178" s="1">
        <f>MONTH(tblSales[[#This Row],[Date]])</f>
        <v>7</v>
      </c>
    </row>
    <row r="3179" spans="2:18" x14ac:dyDescent="0.35">
      <c r="B3179" s="113">
        <v>46213</v>
      </c>
      <c r="C3179" s="4" t="s">
        <v>2125</v>
      </c>
      <c r="D3179" s="4" t="s">
        <v>4568</v>
      </c>
      <c r="E3179" s="1" t="str">
        <f>_xlfn.XLOOKUP(tblSales[[#This Row],[Customer ID]],tblCustomers[Customer ID],tblCustomers[Customer Name],"⚠ Unknown")</f>
        <v>Walk-in Customer</v>
      </c>
      <c r="F3179" s="4" t="s">
        <v>6</v>
      </c>
      <c r="G3179" s="1" t="str">
        <f>_xlfn.XLOOKUP(tblSales[[#This Row],[Product Code]],tblProducts[Code],tblProducts[Product / Service Name],"⚠ Unknown")</f>
        <v>Socks &amp; Accessories</v>
      </c>
      <c r="H3179" s="1" t="str">
        <f>_xlfn.XLOOKUP(tblSales[[#This Row],[Product Code]],tblProducts[Code],tblProducts[Category],"")</f>
        <v>Accessories &amp; Basics</v>
      </c>
      <c r="I3179" s="4">
        <v>2</v>
      </c>
      <c r="J3179" s="5">
        <f>_xlfn.XLOOKUP(tblSales[[#This Row],[Product Code]],tblProducts[Code],tblProducts[Selling Price (excl. VAT)],0)</f>
        <v>45000</v>
      </c>
      <c r="K3179" s="5">
        <f>tblSales[[#This Row],[Qty]]*tblSales[[#This Row],[Unit Price]]</f>
        <v>90000</v>
      </c>
      <c r="L3179" s="5">
        <f>ROUND(tblSales[[#This Row],[DPP (excl. VAT)]]*VATEff,0)</f>
        <v>9900</v>
      </c>
      <c r="M3179" s="5">
        <f>tblSales[[#This Row],[DPP (excl. VAT)]]+tblSales[[#This Row],[Output VAT]]</f>
        <v>99900</v>
      </c>
      <c r="N3179" s="5">
        <f>tblSales[[#This Row],[Qty]]*_xlfn.XLOOKUP(tblSales[[#This Row],[Product Code]],tblProducts[Code],tblProducts[Unit Cost],0)</f>
        <v>48000</v>
      </c>
      <c r="O3179" s="4" t="s">
        <v>4865</v>
      </c>
      <c r="P3179" s="4" t="s">
        <v>4860</v>
      </c>
      <c r="Q3179" s="1" t="str">
        <f>_xlfn.XLOOKUP(tblSales[[#This Row],[Channel Code]],tblChannels[Channel Code],tblChannels[Channel Name],"")</f>
        <v>In-store</v>
      </c>
      <c r="R3179" s="1">
        <f>MONTH(tblSales[[#This Row],[Date]])</f>
        <v>7</v>
      </c>
    </row>
    <row r="3180" spans="2:18" x14ac:dyDescent="0.35">
      <c r="B3180" s="113">
        <v>46213</v>
      </c>
      <c r="C3180" s="4" t="s">
        <v>2125</v>
      </c>
      <c r="D3180" s="4" t="s">
        <v>4568</v>
      </c>
      <c r="E3180" s="1" t="str">
        <f>_xlfn.XLOOKUP(tblSales[[#This Row],[Customer ID]],tblCustomers[Customer ID],tblCustomers[Customer Name],"⚠ Unknown")</f>
        <v>Walk-in Customer</v>
      </c>
      <c r="F3180" s="4" t="s">
        <v>14</v>
      </c>
      <c r="G3180" s="1" t="str">
        <f>_xlfn.XLOOKUP(tblSales[[#This Row],[Product Code]],tblProducts[Code],tblProducts[Product / Service Name],"⚠ Unknown")</f>
        <v>Smartwatch</v>
      </c>
      <c r="H3180" s="1" t="str">
        <f>_xlfn.XLOOKUP(tblSales[[#This Row],[Product Code]],tblProducts[Code],tblProducts[Category],"")</f>
        <v>Bags &amp; Gadgets</v>
      </c>
      <c r="I3180" s="4">
        <v>1</v>
      </c>
      <c r="J3180" s="5">
        <f>_xlfn.XLOOKUP(tblSales[[#This Row],[Product Code]],tblProducts[Code],tblProducts[Selling Price (excl. VAT)],0)</f>
        <v>850000</v>
      </c>
      <c r="K3180" s="5">
        <f>tblSales[[#This Row],[Qty]]*tblSales[[#This Row],[Unit Price]]</f>
        <v>850000</v>
      </c>
      <c r="L3180" s="5">
        <f>ROUND(tblSales[[#This Row],[DPP (excl. VAT)]]*VATEff,0)</f>
        <v>93500</v>
      </c>
      <c r="M3180" s="5">
        <f>tblSales[[#This Row],[DPP (excl. VAT)]]+tblSales[[#This Row],[Output VAT]]</f>
        <v>943500</v>
      </c>
      <c r="N3180" s="5">
        <f>tblSales[[#This Row],[Qty]]*_xlfn.XLOOKUP(tblSales[[#This Row],[Product Code]],tblProducts[Code],tblProducts[Unit Cost],0)</f>
        <v>560000</v>
      </c>
      <c r="O3180" s="4" t="s">
        <v>4865</v>
      </c>
      <c r="P3180" s="4" t="s">
        <v>4860</v>
      </c>
      <c r="Q3180" s="1" t="str">
        <f>_xlfn.XLOOKUP(tblSales[[#This Row],[Channel Code]],tblChannels[Channel Code],tblChannels[Channel Name],"")</f>
        <v>In-store</v>
      </c>
      <c r="R3180" s="1">
        <f>MONTH(tblSales[[#This Row],[Date]])</f>
        <v>7</v>
      </c>
    </row>
    <row r="3181" spans="2:18" x14ac:dyDescent="0.35">
      <c r="B3181" s="113">
        <v>46213</v>
      </c>
      <c r="C3181" s="4" t="s">
        <v>2126</v>
      </c>
      <c r="D3181" s="4" t="s">
        <v>4568</v>
      </c>
      <c r="E3181" s="1" t="str">
        <f>_xlfn.XLOOKUP(tblSales[[#This Row],[Customer ID]],tblCustomers[Customer ID],tblCustomers[Customer Name],"⚠ Unknown")</f>
        <v>Walk-in Customer</v>
      </c>
      <c r="F3181" s="4" t="s">
        <v>15</v>
      </c>
      <c r="G3181" s="1" t="str">
        <f>_xlfn.XLOOKUP(tblSales[[#This Row],[Product Code]],tblProducts[Code],tblProducts[Product / Service Name],"⚠ Unknown")</f>
        <v>Wireless Earbuds Pro</v>
      </c>
      <c r="H3181" s="1" t="str">
        <f>_xlfn.XLOOKUP(tblSales[[#This Row],[Product Code]],tblProducts[Code],tblProducts[Category],"")</f>
        <v>Bags &amp; Gadgets</v>
      </c>
      <c r="I3181" s="4">
        <v>2</v>
      </c>
      <c r="J3181" s="5">
        <f>_xlfn.XLOOKUP(tblSales[[#This Row],[Product Code]],tblProducts[Code],tblProducts[Selling Price (excl. VAT)],0)</f>
        <v>1250000</v>
      </c>
      <c r="K3181" s="5">
        <f>tblSales[[#This Row],[Qty]]*tblSales[[#This Row],[Unit Price]]</f>
        <v>2500000</v>
      </c>
      <c r="L3181" s="5">
        <f>ROUND(tblSales[[#This Row],[DPP (excl. VAT)]]*VATEff,0)</f>
        <v>275000</v>
      </c>
      <c r="M3181" s="5">
        <f>tblSales[[#This Row],[DPP (excl. VAT)]]+tblSales[[#This Row],[Output VAT]]</f>
        <v>2775000</v>
      </c>
      <c r="N3181" s="5">
        <f>tblSales[[#This Row],[Qty]]*_xlfn.XLOOKUP(tblSales[[#This Row],[Product Code]],tblProducts[Code],tblProducts[Unit Cost],0)</f>
        <v>1640000</v>
      </c>
      <c r="O3181" s="4" t="s">
        <v>4866</v>
      </c>
      <c r="P3181" s="4" t="s">
        <v>4860</v>
      </c>
      <c r="Q3181" s="1" t="str">
        <f>_xlfn.XLOOKUP(tblSales[[#This Row],[Channel Code]],tblChannels[Channel Code],tblChannels[Channel Name],"")</f>
        <v>In-store</v>
      </c>
      <c r="R3181" s="1">
        <f>MONTH(tblSales[[#This Row],[Date]])</f>
        <v>7</v>
      </c>
    </row>
    <row r="3182" spans="2:18" x14ac:dyDescent="0.35">
      <c r="B3182" s="113">
        <v>46213</v>
      </c>
      <c r="C3182" s="4" t="s">
        <v>2126</v>
      </c>
      <c r="D3182" s="4" t="s">
        <v>4568</v>
      </c>
      <c r="E3182" s="1" t="str">
        <f>_xlfn.XLOOKUP(tblSales[[#This Row],[Customer ID]],tblCustomers[Customer ID],tblCustomers[Customer Name],"⚠ Unknown")</f>
        <v>Walk-in Customer</v>
      </c>
      <c r="F3182" s="4" t="s">
        <v>12</v>
      </c>
      <c r="G3182" s="1" t="str">
        <f>_xlfn.XLOOKUP(tblSales[[#This Row],[Product Code]],tblProducts[Code],tblProducts[Product / Service Name],"⚠ Unknown")</f>
        <v>Bomber Jacket</v>
      </c>
      <c r="H3182" s="1" t="str">
        <f>_xlfn.XLOOKUP(tblSales[[#This Row],[Product Code]],tblProducts[Code],tblProducts[Category],"")</f>
        <v>Apparel &amp; Footwear</v>
      </c>
      <c r="I3182" s="4">
        <v>3</v>
      </c>
      <c r="J3182" s="5">
        <f>_xlfn.XLOOKUP(tblSales[[#This Row],[Product Code]],tblProducts[Code],tblProducts[Selling Price (excl. VAT)],0)</f>
        <v>350000</v>
      </c>
      <c r="K3182" s="5">
        <f>tblSales[[#This Row],[Qty]]*tblSales[[#This Row],[Unit Price]]</f>
        <v>1050000</v>
      </c>
      <c r="L3182" s="5">
        <f>ROUND(tblSales[[#This Row],[DPP (excl. VAT)]]*VATEff,0)</f>
        <v>115500</v>
      </c>
      <c r="M3182" s="5">
        <f>tblSales[[#This Row],[DPP (excl. VAT)]]+tblSales[[#This Row],[Output VAT]]</f>
        <v>1165500</v>
      </c>
      <c r="N3182" s="5">
        <f>tblSales[[#This Row],[Qty]]*_xlfn.XLOOKUP(tblSales[[#This Row],[Product Code]],tblProducts[Code],tblProducts[Unit Cost],0)</f>
        <v>630000</v>
      </c>
      <c r="O3182" s="4" t="s">
        <v>4866</v>
      </c>
      <c r="P3182" s="4" t="s">
        <v>4860</v>
      </c>
      <c r="Q3182" s="1" t="str">
        <f>_xlfn.XLOOKUP(tblSales[[#This Row],[Channel Code]],tblChannels[Channel Code],tblChannels[Channel Name],"")</f>
        <v>In-store</v>
      </c>
      <c r="R3182" s="1">
        <f>MONTH(tblSales[[#This Row],[Date]])</f>
        <v>7</v>
      </c>
    </row>
    <row r="3183" spans="2:18" x14ac:dyDescent="0.35">
      <c r="B3183" s="113">
        <v>46213</v>
      </c>
      <c r="C3183" s="4" t="s">
        <v>2127</v>
      </c>
      <c r="D3183" s="4" t="s">
        <v>4585</v>
      </c>
      <c r="E3183" s="1" t="str">
        <f>_xlfn.XLOOKUP(tblSales[[#This Row],[Customer ID]],tblCustomers[Customer ID],tblCustomers[Customer Name],"⚠ Unknown")</f>
        <v>CV Mitra Karya Mandiri</v>
      </c>
      <c r="F3183" s="4" t="s">
        <v>15</v>
      </c>
      <c r="G3183" s="1" t="str">
        <f>_xlfn.XLOOKUP(tblSales[[#This Row],[Product Code]],tblProducts[Code],tblProducts[Product / Service Name],"⚠ Unknown")</f>
        <v>Wireless Earbuds Pro</v>
      </c>
      <c r="H3183" s="1" t="str">
        <f>_xlfn.XLOOKUP(tblSales[[#This Row],[Product Code]],tblProducts[Code],tblProducts[Category],"")</f>
        <v>Bags &amp; Gadgets</v>
      </c>
      <c r="I3183" s="4">
        <v>24</v>
      </c>
      <c r="J3183" s="5">
        <f>_xlfn.XLOOKUP(tblSales[[#This Row],[Product Code]],tblProducts[Code],tblProducts[Selling Price (excl. VAT)],0)</f>
        <v>1250000</v>
      </c>
      <c r="K3183" s="5">
        <f>tblSales[[#This Row],[Qty]]*tblSales[[#This Row],[Unit Price]]</f>
        <v>30000000</v>
      </c>
      <c r="L3183" s="5">
        <f>ROUND(tblSales[[#This Row],[DPP (excl. VAT)]]*VATEff,0)</f>
        <v>3300000</v>
      </c>
      <c r="M3183" s="5">
        <f>tblSales[[#This Row],[DPP (excl. VAT)]]+tblSales[[#This Row],[Output VAT]]</f>
        <v>33300000</v>
      </c>
      <c r="N3183" s="5">
        <f>tblSales[[#This Row],[Qty]]*_xlfn.XLOOKUP(tblSales[[#This Row],[Product Code]],tblProducts[Code],tblProducts[Unit Cost],0)</f>
        <v>19680000</v>
      </c>
      <c r="O3183" s="4" t="s">
        <v>4867</v>
      </c>
      <c r="P3183" s="4" t="s">
        <v>4860</v>
      </c>
      <c r="Q3183" s="1" t="str">
        <f>_xlfn.XLOOKUP(tblSales[[#This Row],[Channel Code]],tblChannels[Channel Code],tblChannels[Channel Name],"")</f>
        <v>In-store</v>
      </c>
      <c r="R3183" s="1">
        <f>MONTH(tblSales[[#This Row],[Date]])</f>
        <v>7</v>
      </c>
    </row>
    <row r="3184" spans="2:18" x14ac:dyDescent="0.35">
      <c r="B3184" s="113">
        <v>46213</v>
      </c>
      <c r="C3184" s="4" t="s">
        <v>2127</v>
      </c>
      <c r="D3184" s="4" t="s">
        <v>4585</v>
      </c>
      <c r="E3184" s="1" t="str">
        <f>_xlfn.XLOOKUP(tblSales[[#This Row],[Customer ID]],tblCustomers[Customer ID],tblCustomers[Customer Name],"⚠ Unknown")</f>
        <v>CV Mitra Karya Mandiri</v>
      </c>
      <c r="F3184" s="4" t="s">
        <v>6</v>
      </c>
      <c r="G3184" s="1" t="str">
        <f>_xlfn.XLOOKUP(tblSales[[#This Row],[Product Code]],tblProducts[Code],tblProducts[Product / Service Name],"⚠ Unknown")</f>
        <v>Socks &amp; Accessories</v>
      </c>
      <c r="H3184" s="1" t="str">
        <f>_xlfn.XLOOKUP(tblSales[[#This Row],[Product Code]],tblProducts[Code],tblProducts[Category],"")</f>
        <v>Accessories &amp; Basics</v>
      </c>
      <c r="I3184" s="4">
        <v>80</v>
      </c>
      <c r="J3184" s="5">
        <f>_xlfn.XLOOKUP(tblSales[[#This Row],[Product Code]],tblProducts[Code],tblProducts[Selling Price (excl. VAT)],0)</f>
        <v>45000</v>
      </c>
      <c r="K3184" s="5">
        <f>tblSales[[#This Row],[Qty]]*tblSales[[#This Row],[Unit Price]]</f>
        <v>3600000</v>
      </c>
      <c r="L3184" s="5">
        <f>ROUND(tblSales[[#This Row],[DPP (excl. VAT)]]*VATEff,0)</f>
        <v>396000</v>
      </c>
      <c r="M3184" s="5">
        <f>tblSales[[#This Row],[DPP (excl. VAT)]]+tblSales[[#This Row],[Output VAT]]</f>
        <v>3996000</v>
      </c>
      <c r="N3184" s="5">
        <f>tblSales[[#This Row],[Qty]]*_xlfn.XLOOKUP(tblSales[[#This Row],[Product Code]],tblProducts[Code],tblProducts[Unit Cost],0)</f>
        <v>1920000</v>
      </c>
      <c r="O3184" s="4" t="s">
        <v>4867</v>
      </c>
      <c r="P3184" s="4" t="s">
        <v>4860</v>
      </c>
      <c r="Q3184" s="1" t="str">
        <f>_xlfn.XLOOKUP(tblSales[[#This Row],[Channel Code]],tblChannels[Channel Code],tblChannels[Channel Name],"")</f>
        <v>In-store</v>
      </c>
      <c r="R3184" s="1">
        <f>MONTH(tblSales[[#This Row],[Date]])</f>
        <v>7</v>
      </c>
    </row>
    <row r="3185" spans="2:18" x14ac:dyDescent="0.35">
      <c r="B3185" s="113">
        <v>46213</v>
      </c>
      <c r="C3185" s="4" t="s">
        <v>2128</v>
      </c>
      <c r="D3185" s="4" t="s">
        <v>4568</v>
      </c>
      <c r="E3185" s="1" t="str">
        <f>_xlfn.XLOOKUP(tblSales[[#This Row],[Customer ID]],tblCustomers[Customer ID],tblCustomers[Customer Name],"⚠ Unknown")</f>
        <v>Walk-in Customer</v>
      </c>
      <c r="F3185" s="4" t="s">
        <v>9</v>
      </c>
      <c r="G3185" s="1" t="str">
        <f>_xlfn.XLOOKUP(tblSales[[#This Row],[Product Code]],tblProducts[Code],tblProducts[Product / Service Name],"⚠ Unknown")</f>
        <v>Casual Shirt</v>
      </c>
      <c r="H3185" s="1" t="str">
        <f>_xlfn.XLOOKUP(tblSales[[#This Row],[Product Code]],tblProducts[Code],tblProducts[Category],"")</f>
        <v>Apparel &amp; Footwear</v>
      </c>
      <c r="I3185" s="4">
        <v>6</v>
      </c>
      <c r="J3185" s="5">
        <f>_xlfn.XLOOKUP(tblSales[[#This Row],[Product Code]],tblProducts[Code],tblProducts[Selling Price (excl. VAT)],0)</f>
        <v>120000</v>
      </c>
      <c r="K3185" s="5">
        <f>tblSales[[#This Row],[Qty]]*tblSales[[#This Row],[Unit Price]]</f>
        <v>720000</v>
      </c>
      <c r="L3185" s="5">
        <f>ROUND(tblSales[[#This Row],[DPP (excl. VAT)]]*VATEff,0)</f>
        <v>79200</v>
      </c>
      <c r="M3185" s="5">
        <f>tblSales[[#This Row],[DPP (excl. VAT)]]+tblSales[[#This Row],[Output VAT]]</f>
        <v>799200</v>
      </c>
      <c r="N3185" s="5">
        <f>tblSales[[#This Row],[Qty]]*_xlfn.XLOOKUP(tblSales[[#This Row],[Product Code]],tblProducts[Code],tblProducts[Unit Cost],0)</f>
        <v>432000</v>
      </c>
      <c r="O3185" s="4" t="s">
        <v>4866</v>
      </c>
      <c r="P3185" s="4" t="s">
        <v>4861</v>
      </c>
      <c r="Q3185" s="1" t="str">
        <f>_xlfn.XLOOKUP(tblSales[[#This Row],[Channel Code]],tblChannels[Channel Code],tblChannels[Channel Name],"")</f>
        <v>Marketplace</v>
      </c>
      <c r="R3185" s="1">
        <f>MONTH(tblSales[[#This Row],[Date]])</f>
        <v>7</v>
      </c>
    </row>
    <row r="3186" spans="2:18" x14ac:dyDescent="0.35">
      <c r="B3186" s="113">
        <v>46213</v>
      </c>
      <c r="C3186" s="4" t="s">
        <v>2128</v>
      </c>
      <c r="D3186" s="4" t="s">
        <v>4568</v>
      </c>
      <c r="E3186" s="1" t="str">
        <f>_xlfn.XLOOKUP(tblSales[[#This Row],[Customer ID]],tblCustomers[Customer ID],tblCustomers[Customer Name],"⚠ Unknown")</f>
        <v>Walk-in Customer</v>
      </c>
      <c r="F3186" s="4" t="s">
        <v>13</v>
      </c>
      <c r="G3186" s="1" t="str">
        <f>_xlfn.XLOOKUP(tblSales[[#This Row],[Product Code]],tblProducts[Code],tblProducts[Product / Service Name],"⚠ Unknown")</f>
        <v>Backpack</v>
      </c>
      <c r="H3186" s="1" t="str">
        <f>_xlfn.XLOOKUP(tblSales[[#This Row],[Product Code]],tblProducts[Code],tblProducts[Category],"")</f>
        <v>Bags &amp; Gadgets</v>
      </c>
      <c r="I3186" s="4">
        <v>4</v>
      </c>
      <c r="J3186" s="5">
        <f>_xlfn.XLOOKUP(tblSales[[#This Row],[Product Code]],tblProducts[Code],tblProducts[Selling Price (excl. VAT)],0)</f>
        <v>500000</v>
      </c>
      <c r="K3186" s="5">
        <f>tblSales[[#This Row],[Qty]]*tblSales[[#This Row],[Unit Price]]</f>
        <v>2000000</v>
      </c>
      <c r="L3186" s="5">
        <f>ROUND(tblSales[[#This Row],[DPP (excl. VAT)]]*VATEff,0)</f>
        <v>220000</v>
      </c>
      <c r="M3186" s="5">
        <f>tblSales[[#This Row],[DPP (excl. VAT)]]+tblSales[[#This Row],[Output VAT]]</f>
        <v>2220000</v>
      </c>
      <c r="N3186" s="5">
        <f>tblSales[[#This Row],[Qty]]*_xlfn.XLOOKUP(tblSales[[#This Row],[Product Code]],tblProducts[Code],tblProducts[Unit Cost],0)</f>
        <v>1160000</v>
      </c>
      <c r="O3186" s="4" t="s">
        <v>4866</v>
      </c>
      <c r="P3186" s="4" t="s">
        <v>4861</v>
      </c>
      <c r="Q3186" s="1" t="str">
        <f>_xlfn.XLOOKUP(tblSales[[#This Row],[Channel Code]],tblChannels[Channel Code],tblChannels[Channel Name],"")</f>
        <v>Marketplace</v>
      </c>
      <c r="R3186" s="1">
        <f>MONTH(tblSales[[#This Row],[Date]])</f>
        <v>7</v>
      </c>
    </row>
    <row r="3187" spans="2:18" x14ac:dyDescent="0.35">
      <c r="B3187" s="113">
        <v>46213</v>
      </c>
      <c r="C3187" s="4" t="s">
        <v>2129</v>
      </c>
      <c r="D3187" s="4" t="s">
        <v>4568</v>
      </c>
      <c r="E3187" s="1" t="str">
        <f>_xlfn.XLOOKUP(tblSales[[#This Row],[Customer ID]],tblCustomers[Customer ID],tblCustomers[Customer Name],"⚠ Unknown")</f>
        <v>Walk-in Customer</v>
      </c>
      <c r="F3187" s="4" t="s">
        <v>6</v>
      </c>
      <c r="G3187" s="1" t="str">
        <f>_xlfn.XLOOKUP(tblSales[[#This Row],[Product Code]],tblProducts[Code],tblProducts[Product / Service Name],"⚠ Unknown")</f>
        <v>Socks &amp; Accessories</v>
      </c>
      <c r="H3187" s="1" t="str">
        <f>_xlfn.XLOOKUP(tblSales[[#This Row],[Product Code]],tblProducts[Code],tblProducts[Category],"")</f>
        <v>Accessories &amp; Basics</v>
      </c>
      <c r="I3187" s="4">
        <v>4</v>
      </c>
      <c r="J3187" s="5">
        <f>_xlfn.XLOOKUP(tblSales[[#This Row],[Product Code]],tblProducts[Code],tblProducts[Selling Price (excl. VAT)],0)</f>
        <v>45000</v>
      </c>
      <c r="K3187" s="5">
        <f>tblSales[[#This Row],[Qty]]*tblSales[[#This Row],[Unit Price]]</f>
        <v>180000</v>
      </c>
      <c r="L3187" s="5">
        <f>ROUND(tblSales[[#This Row],[DPP (excl. VAT)]]*VATEff,0)</f>
        <v>19800</v>
      </c>
      <c r="M3187" s="5">
        <f>tblSales[[#This Row],[DPP (excl. VAT)]]+tblSales[[#This Row],[Output VAT]]</f>
        <v>199800</v>
      </c>
      <c r="N3187" s="5">
        <f>tblSales[[#This Row],[Qty]]*_xlfn.XLOOKUP(tblSales[[#This Row],[Product Code]],tblProducts[Code],tblProducts[Unit Cost],0)</f>
        <v>96000</v>
      </c>
      <c r="O3187" s="4" t="s">
        <v>4865</v>
      </c>
      <c r="P3187" s="4" t="s">
        <v>4860</v>
      </c>
      <c r="Q3187" s="1" t="str">
        <f>_xlfn.XLOOKUP(tblSales[[#This Row],[Channel Code]],tblChannels[Channel Code],tblChannels[Channel Name],"")</f>
        <v>In-store</v>
      </c>
      <c r="R3187" s="1">
        <f>MONTH(tblSales[[#This Row],[Date]])</f>
        <v>7</v>
      </c>
    </row>
    <row r="3188" spans="2:18" x14ac:dyDescent="0.35">
      <c r="B3188" s="113">
        <v>46213</v>
      </c>
      <c r="C3188" s="4" t="s">
        <v>2130</v>
      </c>
      <c r="D3188" s="4" t="s">
        <v>4578</v>
      </c>
      <c r="E3188" s="1" t="str">
        <f>_xlfn.XLOOKUP(tblSales[[#This Row],[Customer ID]],tblCustomers[Customer ID],tblCustomers[Customer Name],"⚠ Unknown")</f>
        <v>PT Bintang Timur Sejahtera</v>
      </c>
      <c r="F3188" s="4" t="s">
        <v>8</v>
      </c>
      <c r="G3188" s="1" t="str">
        <f>_xlfn.XLOOKUP(tblSales[[#This Row],[Product Code]],tblProducts[Code],tblProducts[Product / Service Name],"⚠ Unknown")</f>
        <v>Casual Shorts</v>
      </c>
      <c r="H3188" s="1" t="str">
        <f>_xlfn.XLOOKUP(tblSales[[#This Row],[Product Code]],tblProducts[Code],tblProducts[Category],"")</f>
        <v>Accessories &amp; Basics</v>
      </c>
      <c r="I3188" s="4">
        <v>40</v>
      </c>
      <c r="J3188" s="5">
        <f>_xlfn.XLOOKUP(tblSales[[#This Row],[Product Code]],tblProducts[Code],tblProducts[Selling Price (excl. VAT)],0)</f>
        <v>85000</v>
      </c>
      <c r="K3188" s="5">
        <f>tblSales[[#This Row],[Qty]]*tblSales[[#This Row],[Unit Price]]</f>
        <v>3400000</v>
      </c>
      <c r="L3188" s="5">
        <f>ROUND(tblSales[[#This Row],[DPP (excl. VAT)]]*VATEff,0)</f>
        <v>374000</v>
      </c>
      <c r="M3188" s="5">
        <f>tblSales[[#This Row],[DPP (excl. VAT)]]+tblSales[[#This Row],[Output VAT]]</f>
        <v>3774000</v>
      </c>
      <c r="N3188" s="5">
        <f>tblSales[[#This Row],[Qty]]*_xlfn.XLOOKUP(tblSales[[#This Row],[Product Code]],tblProducts[Code],tblProducts[Unit Cost],0)</f>
        <v>2000000</v>
      </c>
      <c r="O3188" s="4" t="s">
        <v>4867</v>
      </c>
      <c r="P3188" s="4" t="s">
        <v>4860</v>
      </c>
      <c r="Q3188" s="1" t="str">
        <f>_xlfn.XLOOKUP(tblSales[[#This Row],[Channel Code]],tblChannels[Channel Code],tblChannels[Channel Name],"")</f>
        <v>In-store</v>
      </c>
      <c r="R3188" s="1">
        <f>MONTH(tblSales[[#This Row],[Date]])</f>
        <v>7</v>
      </c>
    </row>
    <row r="3189" spans="2:18" x14ac:dyDescent="0.35">
      <c r="B3189" s="113">
        <v>46213</v>
      </c>
      <c r="C3189" s="4" t="s">
        <v>2131</v>
      </c>
      <c r="D3189" s="4" t="s">
        <v>4568</v>
      </c>
      <c r="E3189" s="1" t="str">
        <f>_xlfn.XLOOKUP(tblSales[[#This Row],[Customer ID]],tblCustomers[Customer ID],tblCustomers[Customer Name],"⚠ Unknown")</f>
        <v>Walk-in Customer</v>
      </c>
      <c r="F3189" s="4" t="s">
        <v>9</v>
      </c>
      <c r="G3189" s="1" t="str">
        <f>_xlfn.XLOOKUP(tblSales[[#This Row],[Product Code]],tblProducts[Code],tblProducts[Product / Service Name],"⚠ Unknown")</f>
        <v>Casual Shirt</v>
      </c>
      <c r="H3189" s="1" t="str">
        <f>_xlfn.XLOOKUP(tblSales[[#This Row],[Product Code]],tblProducts[Code],tblProducts[Category],"")</f>
        <v>Apparel &amp; Footwear</v>
      </c>
      <c r="I3189" s="4">
        <v>11</v>
      </c>
      <c r="J3189" s="5">
        <f>_xlfn.XLOOKUP(tblSales[[#This Row],[Product Code]],tblProducts[Code],tblProducts[Selling Price (excl. VAT)],0)</f>
        <v>120000</v>
      </c>
      <c r="K3189" s="5">
        <f>tblSales[[#This Row],[Qty]]*tblSales[[#This Row],[Unit Price]]</f>
        <v>1320000</v>
      </c>
      <c r="L3189" s="5">
        <f>ROUND(tblSales[[#This Row],[DPP (excl. VAT)]]*VATEff,0)</f>
        <v>145200</v>
      </c>
      <c r="M3189" s="5">
        <f>tblSales[[#This Row],[DPP (excl. VAT)]]+tblSales[[#This Row],[Output VAT]]</f>
        <v>1465200</v>
      </c>
      <c r="N3189" s="5">
        <f>tblSales[[#This Row],[Qty]]*_xlfn.XLOOKUP(tblSales[[#This Row],[Product Code]],tblProducts[Code],tblProducts[Unit Cost],0)</f>
        <v>792000</v>
      </c>
      <c r="O3189" s="4" t="s">
        <v>4866</v>
      </c>
      <c r="P3189" s="4" t="s">
        <v>4861</v>
      </c>
      <c r="Q3189" s="1" t="str">
        <f>_xlfn.XLOOKUP(tblSales[[#This Row],[Channel Code]],tblChannels[Channel Code],tblChannels[Channel Name],"")</f>
        <v>Marketplace</v>
      </c>
      <c r="R3189" s="1">
        <f>MONTH(tblSales[[#This Row],[Date]])</f>
        <v>7</v>
      </c>
    </row>
    <row r="3190" spans="2:18" x14ac:dyDescent="0.35">
      <c r="B3190" s="113">
        <v>46213</v>
      </c>
      <c r="C3190" s="4" t="s">
        <v>2131</v>
      </c>
      <c r="D3190" s="4" t="s">
        <v>4568</v>
      </c>
      <c r="E3190" s="1" t="str">
        <f>_xlfn.XLOOKUP(tblSales[[#This Row],[Customer ID]],tblCustomers[Customer ID],tblCustomers[Customer Name],"⚠ Unknown")</f>
        <v>Walk-in Customer</v>
      </c>
      <c r="F3190" s="4" t="s">
        <v>7</v>
      </c>
      <c r="G3190" s="1" t="str">
        <f>_xlfn.XLOOKUP(tblSales[[#This Row],[Product Code]],tblProducts[Code],tblProducts[Product / Service Name],"⚠ Unknown")</f>
        <v>Premium Basic T-shirt</v>
      </c>
      <c r="H3190" s="1" t="str">
        <f>_xlfn.XLOOKUP(tblSales[[#This Row],[Product Code]],tblProducts[Code],tblProducts[Category],"")</f>
        <v>Accessories &amp; Basics</v>
      </c>
      <c r="I3190" s="4">
        <v>12</v>
      </c>
      <c r="J3190" s="5">
        <f>_xlfn.XLOOKUP(tblSales[[#This Row],[Product Code]],tblProducts[Code],tblProducts[Selling Price (excl. VAT)],0)</f>
        <v>65000</v>
      </c>
      <c r="K3190" s="5">
        <f>tblSales[[#This Row],[Qty]]*tblSales[[#This Row],[Unit Price]]</f>
        <v>780000</v>
      </c>
      <c r="L3190" s="5">
        <f>ROUND(tblSales[[#This Row],[DPP (excl. VAT)]]*VATEff,0)</f>
        <v>85800</v>
      </c>
      <c r="M3190" s="5">
        <f>tblSales[[#This Row],[DPP (excl. VAT)]]+tblSales[[#This Row],[Output VAT]]</f>
        <v>865800</v>
      </c>
      <c r="N3190" s="5">
        <f>tblSales[[#This Row],[Qty]]*_xlfn.XLOOKUP(tblSales[[#This Row],[Product Code]],tblProducts[Code],tblProducts[Unit Cost],0)</f>
        <v>444000</v>
      </c>
      <c r="O3190" s="4" t="s">
        <v>4866</v>
      </c>
      <c r="P3190" s="4" t="s">
        <v>4861</v>
      </c>
      <c r="Q3190" s="1" t="str">
        <f>_xlfn.XLOOKUP(tblSales[[#This Row],[Channel Code]],tblChannels[Channel Code],tblChannels[Channel Name],"")</f>
        <v>Marketplace</v>
      </c>
      <c r="R3190" s="1">
        <f>MONTH(tblSales[[#This Row],[Date]])</f>
        <v>7</v>
      </c>
    </row>
    <row r="3191" spans="2:18" x14ac:dyDescent="0.35">
      <c r="B3191" s="113">
        <v>46213</v>
      </c>
      <c r="C3191" s="4" t="s">
        <v>2132</v>
      </c>
      <c r="D3191" s="4" t="s">
        <v>4568</v>
      </c>
      <c r="E3191" s="1" t="str">
        <f>_xlfn.XLOOKUP(tblSales[[#This Row],[Customer ID]],tblCustomers[Customer ID],tblCustomers[Customer Name],"⚠ Unknown")</f>
        <v>Walk-in Customer</v>
      </c>
      <c r="F3191" s="4" t="s">
        <v>12</v>
      </c>
      <c r="G3191" s="1" t="str">
        <f>_xlfn.XLOOKUP(tblSales[[#This Row],[Product Code]],tblProducts[Code],tblProducts[Product / Service Name],"⚠ Unknown")</f>
        <v>Bomber Jacket</v>
      </c>
      <c r="H3191" s="1" t="str">
        <f>_xlfn.XLOOKUP(tblSales[[#This Row],[Product Code]],tblProducts[Code],tblProducts[Category],"")</f>
        <v>Apparel &amp; Footwear</v>
      </c>
      <c r="I3191" s="4">
        <v>4</v>
      </c>
      <c r="J3191" s="5">
        <f>_xlfn.XLOOKUP(tblSales[[#This Row],[Product Code]],tblProducts[Code],tblProducts[Selling Price (excl. VAT)],0)</f>
        <v>350000</v>
      </c>
      <c r="K3191" s="5">
        <f>tblSales[[#This Row],[Qty]]*tblSales[[#This Row],[Unit Price]]</f>
        <v>1400000</v>
      </c>
      <c r="L3191" s="5">
        <f>ROUND(tblSales[[#This Row],[DPP (excl. VAT)]]*VATEff,0)</f>
        <v>154000</v>
      </c>
      <c r="M3191" s="5">
        <f>tblSales[[#This Row],[DPP (excl. VAT)]]+tblSales[[#This Row],[Output VAT]]</f>
        <v>1554000</v>
      </c>
      <c r="N3191" s="5">
        <f>tblSales[[#This Row],[Qty]]*_xlfn.XLOOKUP(tblSales[[#This Row],[Product Code]],tblProducts[Code],tblProducts[Unit Cost],0)</f>
        <v>840000</v>
      </c>
      <c r="O3191" s="4" t="s">
        <v>4866</v>
      </c>
      <c r="P3191" s="4" t="s">
        <v>4860</v>
      </c>
      <c r="Q3191" s="1" t="str">
        <f>_xlfn.XLOOKUP(tblSales[[#This Row],[Channel Code]],tblChannels[Channel Code],tblChannels[Channel Name],"")</f>
        <v>In-store</v>
      </c>
      <c r="R3191" s="1">
        <f>MONTH(tblSales[[#This Row],[Date]])</f>
        <v>7</v>
      </c>
    </row>
    <row r="3192" spans="2:18" x14ac:dyDescent="0.35">
      <c r="B3192" s="113">
        <v>46213</v>
      </c>
      <c r="C3192" s="4" t="s">
        <v>2133</v>
      </c>
      <c r="D3192" s="4" t="s">
        <v>4613</v>
      </c>
      <c r="E3192" s="1" t="str">
        <f>_xlfn.XLOOKUP(tblSales[[#This Row],[Customer ID]],tblCustomers[Customer ID],tblCustomers[Customer Name],"⚠ Unknown")</f>
        <v>PT Mega Prima Distribusi</v>
      </c>
      <c r="F3192" s="4" t="s">
        <v>15</v>
      </c>
      <c r="G3192" s="1" t="str">
        <f>_xlfn.XLOOKUP(tblSales[[#This Row],[Product Code]],tblProducts[Code],tblProducts[Product / Service Name],"⚠ Unknown")</f>
        <v>Wireless Earbuds Pro</v>
      </c>
      <c r="H3192" s="1" t="str">
        <f>_xlfn.XLOOKUP(tblSales[[#This Row],[Product Code]],tblProducts[Code],tblProducts[Category],"")</f>
        <v>Bags &amp; Gadgets</v>
      </c>
      <c r="I3192" s="4">
        <v>24</v>
      </c>
      <c r="J3192" s="5">
        <f>_xlfn.XLOOKUP(tblSales[[#This Row],[Product Code]],tblProducts[Code],tblProducts[Selling Price (excl. VAT)],0)</f>
        <v>1250000</v>
      </c>
      <c r="K3192" s="5">
        <f>tblSales[[#This Row],[Qty]]*tblSales[[#This Row],[Unit Price]]</f>
        <v>30000000</v>
      </c>
      <c r="L3192" s="5">
        <f>ROUND(tblSales[[#This Row],[DPP (excl. VAT)]]*VATEff,0)</f>
        <v>3300000</v>
      </c>
      <c r="M3192" s="5">
        <f>tblSales[[#This Row],[DPP (excl. VAT)]]+tblSales[[#This Row],[Output VAT]]</f>
        <v>33300000</v>
      </c>
      <c r="N3192" s="5">
        <f>tblSales[[#This Row],[Qty]]*_xlfn.XLOOKUP(tblSales[[#This Row],[Product Code]],tblProducts[Code],tblProducts[Unit Cost],0)</f>
        <v>19680000</v>
      </c>
      <c r="O3192" s="4" t="s">
        <v>4867</v>
      </c>
      <c r="P3192" s="4" t="s">
        <v>4860</v>
      </c>
      <c r="Q3192" s="1" t="str">
        <f>_xlfn.XLOOKUP(tblSales[[#This Row],[Channel Code]],tblChannels[Channel Code],tblChannels[Channel Name],"")</f>
        <v>In-store</v>
      </c>
      <c r="R3192" s="1">
        <f>MONTH(tblSales[[#This Row],[Date]])</f>
        <v>7</v>
      </c>
    </row>
    <row r="3193" spans="2:18" x14ac:dyDescent="0.35">
      <c r="B3193" s="113">
        <v>46213</v>
      </c>
      <c r="C3193" s="4" t="s">
        <v>2134</v>
      </c>
      <c r="D3193" s="4" t="s">
        <v>4620</v>
      </c>
      <c r="E3193" s="1" t="str">
        <f>_xlfn.XLOOKUP(tblSales[[#This Row],[Customer ID]],tblCustomers[Customer ID],tblCustomers[Customer Name],"⚠ Unknown")</f>
        <v>CV Sumber Rejeki Utama</v>
      </c>
      <c r="F3193" s="4" t="s">
        <v>10</v>
      </c>
      <c r="G3193" s="1" t="str">
        <f>_xlfn.XLOOKUP(tblSales[[#This Row],[Product Code]],tblProducts[Code],tblProducts[Product / Service Name],"⚠ Unknown")</f>
        <v>Chino Pants</v>
      </c>
      <c r="H3193" s="1" t="str">
        <f>_xlfn.XLOOKUP(tblSales[[#This Row],[Product Code]],tblProducts[Code],tblProducts[Category],"")</f>
        <v>Apparel &amp; Footwear</v>
      </c>
      <c r="I3193" s="4">
        <v>48</v>
      </c>
      <c r="J3193" s="5">
        <f>_xlfn.XLOOKUP(tblSales[[#This Row],[Product Code]],tblProducts[Code],tblProducts[Selling Price (excl. VAT)],0)</f>
        <v>150000</v>
      </c>
      <c r="K3193" s="5">
        <f>tblSales[[#This Row],[Qty]]*tblSales[[#This Row],[Unit Price]]</f>
        <v>7200000</v>
      </c>
      <c r="L3193" s="5">
        <f>ROUND(tblSales[[#This Row],[DPP (excl. VAT)]]*VATEff,0)</f>
        <v>792000</v>
      </c>
      <c r="M3193" s="5">
        <f>tblSales[[#This Row],[DPP (excl. VAT)]]+tblSales[[#This Row],[Output VAT]]</f>
        <v>7992000</v>
      </c>
      <c r="N3193" s="5">
        <f>tblSales[[#This Row],[Qty]]*_xlfn.XLOOKUP(tblSales[[#This Row],[Product Code]],tblProducts[Code],tblProducts[Unit Cost],0)</f>
        <v>4224000</v>
      </c>
      <c r="O3193" s="4" t="s">
        <v>4867</v>
      </c>
      <c r="P3193" s="4" t="s">
        <v>4860</v>
      </c>
      <c r="Q3193" s="1" t="str">
        <f>_xlfn.XLOOKUP(tblSales[[#This Row],[Channel Code]],tblChannels[Channel Code],tblChannels[Channel Name],"")</f>
        <v>In-store</v>
      </c>
      <c r="R3193" s="1">
        <f>MONTH(tblSales[[#This Row],[Date]])</f>
        <v>7</v>
      </c>
    </row>
    <row r="3194" spans="2:18" x14ac:dyDescent="0.35">
      <c r="B3194" s="113">
        <v>46213</v>
      </c>
      <c r="C3194" s="4" t="s">
        <v>2135</v>
      </c>
      <c r="D3194" s="4" t="s">
        <v>4568</v>
      </c>
      <c r="E3194" s="1" t="str">
        <f>_xlfn.XLOOKUP(tblSales[[#This Row],[Customer ID]],tblCustomers[Customer ID],tblCustomers[Customer Name],"⚠ Unknown")</f>
        <v>Walk-in Customer</v>
      </c>
      <c r="F3194" s="4" t="s">
        <v>9</v>
      </c>
      <c r="G3194" s="1" t="str">
        <f>_xlfn.XLOOKUP(tblSales[[#This Row],[Product Code]],tblProducts[Code],tblProducts[Product / Service Name],"⚠ Unknown")</f>
        <v>Casual Shirt</v>
      </c>
      <c r="H3194" s="1" t="str">
        <f>_xlfn.XLOOKUP(tblSales[[#This Row],[Product Code]],tblProducts[Code],tblProducts[Category],"")</f>
        <v>Apparel &amp; Footwear</v>
      </c>
      <c r="I3194" s="4">
        <v>4</v>
      </c>
      <c r="J3194" s="5">
        <f>_xlfn.XLOOKUP(tblSales[[#This Row],[Product Code]],tblProducts[Code],tblProducts[Selling Price (excl. VAT)],0)</f>
        <v>120000</v>
      </c>
      <c r="K3194" s="5">
        <f>tblSales[[#This Row],[Qty]]*tblSales[[#This Row],[Unit Price]]</f>
        <v>480000</v>
      </c>
      <c r="L3194" s="5">
        <f>ROUND(tblSales[[#This Row],[DPP (excl. VAT)]]*VATEff,0)</f>
        <v>52800</v>
      </c>
      <c r="M3194" s="5">
        <f>tblSales[[#This Row],[DPP (excl. VAT)]]+tblSales[[#This Row],[Output VAT]]</f>
        <v>532800</v>
      </c>
      <c r="N3194" s="5">
        <f>tblSales[[#This Row],[Qty]]*_xlfn.XLOOKUP(tblSales[[#This Row],[Product Code]],tblProducts[Code],tblProducts[Unit Cost],0)</f>
        <v>288000</v>
      </c>
      <c r="O3194" s="4" t="s">
        <v>4866</v>
      </c>
      <c r="P3194" s="4" t="s">
        <v>4860</v>
      </c>
      <c r="Q3194" s="1" t="str">
        <f>_xlfn.XLOOKUP(tblSales[[#This Row],[Channel Code]],tblChannels[Channel Code],tblChannels[Channel Name],"")</f>
        <v>In-store</v>
      </c>
      <c r="R3194" s="1">
        <f>MONTH(tblSales[[#This Row],[Date]])</f>
        <v>7</v>
      </c>
    </row>
    <row r="3195" spans="2:18" x14ac:dyDescent="0.35">
      <c r="B3195" s="113">
        <v>46213</v>
      </c>
      <c r="C3195" s="4" t="s">
        <v>2136</v>
      </c>
      <c r="D3195" s="4" t="s">
        <v>4568</v>
      </c>
      <c r="E3195" s="1" t="str">
        <f>_xlfn.XLOOKUP(tblSales[[#This Row],[Customer ID]],tblCustomers[Customer ID],tblCustomers[Customer Name],"⚠ Unknown")</f>
        <v>Walk-in Customer</v>
      </c>
      <c r="F3195" s="4" t="s">
        <v>15</v>
      </c>
      <c r="G3195" s="1" t="str">
        <f>_xlfn.XLOOKUP(tblSales[[#This Row],[Product Code]],tblProducts[Code],tblProducts[Product / Service Name],"⚠ Unknown")</f>
        <v>Wireless Earbuds Pro</v>
      </c>
      <c r="H3195" s="1" t="str">
        <f>_xlfn.XLOOKUP(tblSales[[#This Row],[Product Code]],tblProducts[Code],tblProducts[Category],"")</f>
        <v>Bags &amp; Gadgets</v>
      </c>
      <c r="I3195" s="4">
        <v>3</v>
      </c>
      <c r="J3195" s="5">
        <f>_xlfn.XLOOKUP(tblSales[[#This Row],[Product Code]],tblProducts[Code],tblProducts[Selling Price (excl. VAT)],0)</f>
        <v>1250000</v>
      </c>
      <c r="K3195" s="5">
        <f>tblSales[[#This Row],[Qty]]*tblSales[[#This Row],[Unit Price]]</f>
        <v>3750000</v>
      </c>
      <c r="L3195" s="5">
        <f>ROUND(tblSales[[#This Row],[DPP (excl. VAT)]]*VATEff,0)</f>
        <v>412500</v>
      </c>
      <c r="M3195" s="5">
        <f>tblSales[[#This Row],[DPP (excl. VAT)]]+tblSales[[#This Row],[Output VAT]]</f>
        <v>4162500</v>
      </c>
      <c r="N3195" s="5">
        <f>tblSales[[#This Row],[Qty]]*_xlfn.XLOOKUP(tblSales[[#This Row],[Product Code]],tblProducts[Code],tblProducts[Unit Cost],0)</f>
        <v>2460000</v>
      </c>
      <c r="O3195" s="4" t="s">
        <v>4866</v>
      </c>
      <c r="P3195" s="4" t="s">
        <v>4861</v>
      </c>
      <c r="Q3195" s="1" t="str">
        <f>_xlfn.XLOOKUP(tblSales[[#This Row],[Channel Code]],tblChannels[Channel Code],tblChannels[Channel Name],"")</f>
        <v>Marketplace</v>
      </c>
      <c r="R3195" s="1">
        <f>MONTH(tblSales[[#This Row],[Date]])</f>
        <v>7</v>
      </c>
    </row>
    <row r="3196" spans="2:18" x14ac:dyDescent="0.35">
      <c r="B3196" s="113">
        <v>46214</v>
      </c>
      <c r="C3196" s="4" t="s">
        <v>2137</v>
      </c>
      <c r="D3196" s="4" t="s">
        <v>4568</v>
      </c>
      <c r="E3196" s="1" t="str">
        <f>_xlfn.XLOOKUP(tblSales[[#This Row],[Customer ID]],tblCustomers[Customer ID],tblCustomers[Customer Name],"⚠ Unknown")</f>
        <v>Walk-in Customer</v>
      </c>
      <c r="F3196" s="4" t="s">
        <v>8</v>
      </c>
      <c r="G3196" s="1" t="str">
        <f>_xlfn.XLOOKUP(tblSales[[#This Row],[Product Code]],tblProducts[Code],tblProducts[Product / Service Name],"⚠ Unknown")</f>
        <v>Casual Shorts</v>
      </c>
      <c r="H3196" s="1" t="str">
        <f>_xlfn.XLOOKUP(tblSales[[#This Row],[Product Code]],tblProducts[Code],tblProducts[Category],"")</f>
        <v>Accessories &amp; Basics</v>
      </c>
      <c r="I3196" s="4">
        <v>7</v>
      </c>
      <c r="J3196" s="5">
        <f>_xlfn.XLOOKUP(tblSales[[#This Row],[Product Code]],tblProducts[Code],tblProducts[Selling Price (excl. VAT)],0)</f>
        <v>85000</v>
      </c>
      <c r="K3196" s="5">
        <f>tblSales[[#This Row],[Qty]]*tblSales[[#This Row],[Unit Price]]</f>
        <v>595000</v>
      </c>
      <c r="L3196" s="5">
        <f>ROUND(tblSales[[#This Row],[DPP (excl. VAT)]]*VATEff,0)</f>
        <v>65450</v>
      </c>
      <c r="M3196" s="5">
        <f>tblSales[[#This Row],[DPP (excl. VAT)]]+tblSales[[#This Row],[Output VAT]]</f>
        <v>660450</v>
      </c>
      <c r="N3196" s="5">
        <f>tblSales[[#This Row],[Qty]]*_xlfn.XLOOKUP(tblSales[[#This Row],[Product Code]],tblProducts[Code],tblProducts[Unit Cost],0)</f>
        <v>350000</v>
      </c>
      <c r="O3196" s="4" t="s">
        <v>4866</v>
      </c>
      <c r="P3196" s="4" t="s">
        <v>4861</v>
      </c>
      <c r="Q3196" s="1" t="str">
        <f>_xlfn.XLOOKUP(tblSales[[#This Row],[Channel Code]],tblChannels[Channel Code],tblChannels[Channel Name],"")</f>
        <v>Marketplace</v>
      </c>
      <c r="R3196" s="1">
        <f>MONTH(tblSales[[#This Row],[Date]])</f>
        <v>7</v>
      </c>
    </row>
    <row r="3197" spans="2:18" x14ac:dyDescent="0.35">
      <c r="B3197" s="113">
        <v>46214</v>
      </c>
      <c r="C3197" s="4" t="s">
        <v>2138</v>
      </c>
      <c r="D3197" s="4" t="s">
        <v>4648</v>
      </c>
      <c r="E3197" s="1" t="str">
        <f>_xlfn.XLOOKUP(tblSales[[#This Row],[Customer ID]],tblCustomers[Customer ID],tblCustomers[Customer Name],"⚠ Unknown")</f>
        <v>PT Lintas Benua Niaga</v>
      </c>
      <c r="F3197" s="4" t="s">
        <v>9</v>
      </c>
      <c r="G3197" s="1" t="str">
        <f>_xlfn.XLOOKUP(tblSales[[#This Row],[Product Code]],tblProducts[Code],tblProducts[Product / Service Name],"⚠ Unknown")</f>
        <v>Casual Shirt</v>
      </c>
      <c r="H3197" s="1" t="str">
        <f>_xlfn.XLOOKUP(tblSales[[#This Row],[Product Code]],tblProducts[Code],tblProducts[Category],"")</f>
        <v>Apparel &amp; Footwear</v>
      </c>
      <c r="I3197" s="4">
        <v>64</v>
      </c>
      <c r="J3197" s="5">
        <f>_xlfn.XLOOKUP(tblSales[[#This Row],[Product Code]],tblProducts[Code],tblProducts[Selling Price (excl. VAT)],0)</f>
        <v>120000</v>
      </c>
      <c r="K3197" s="5">
        <f>tblSales[[#This Row],[Qty]]*tblSales[[#This Row],[Unit Price]]</f>
        <v>7680000</v>
      </c>
      <c r="L3197" s="5">
        <f>ROUND(tblSales[[#This Row],[DPP (excl. VAT)]]*VATEff,0)</f>
        <v>844800</v>
      </c>
      <c r="M3197" s="5">
        <f>tblSales[[#This Row],[DPP (excl. VAT)]]+tblSales[[#This Row],[Output VAT]]</f>
        <v>8524800</v>
      </c>
      <c r="N3197" s="5">
        <f>tblSales[[#This Row],[Qty]]*_xlfn.XLOOKUP(tblSales[[#This Row],[Product Code]],tblProducts[Code],tblProducts[Unit Cost],0)</f>
        <v>4608000</v>
      </c>
      <c r="O3197" s="4" t="s">
        <v>4867</v>
      </c>
      <c r="P3197" s="4" t="s">
        <v>4860</v>
      </c>
      <c r="Q3197" s="1" t="str">
        <f>_xlfn.XLOOKUP(tblSales[[#This Row],[Channel Code]],tblChannels[Channel Code],tblChannels[Channel Name],"")</f>
        <v>In-store</v>
      </c>
      <c r="R3197" s="1">
        <f>MONTH(tblSales[[#This Row],[Date]])</f>
        <v>7</v>
      </c>
    </row>
    <row r="3198" spans="2:18" x14ac:dyDescent="0.35">
      <c r="B3198" s="113">
        <v>46214</v>
      </c>
      <c r="C3198" s="4" t="s">
        <v>2139</v>
      </c>
      <c r="D3198" s="4" t="s">
        <v>4568</v>
      </c>
      <c r="E3198" s="1" t="str">
        <f>_xlfn.XLOOKUP(tblSales[[#This Row],[Customer ID]],tblCustomers[Customer ID],tblCustomers[Customer Name],"⚠ Unknown")</f>
        <v>Walk-in Customer</v>
      </c>
      <c r="F3198" s="4" t="s">
        <v>6</v>
      </c>
      <c r="G3198" s="1" t="str">
        <f>_xlfn.XLOOKUP(tblSales[[#This Row],[Product Code]],tblProducts[Code],tblProducts[Product / Service Name],"⚠ Unknown")</f>
        <v>Socks &amp; Accessories</v>
      </c>
      <c r="H3198" s="1" t="str">
        <f>_xlfn.XLOOKUP(tblSales[[#This Row],[Product Code]],tblProducts[Code],tblProducts[Category],"")</f>
        <v>Accessories &amp; Basics</v>
      </c>
      <c r="I3198" s="4">
        <v>11</v>
      </c>
      <c r="J3198" s="5">
        <f>_xlfn.XLOOKUP(tblSales[[#This Row],[Product Code]],tblProducts[Code],tblProducts[Selling Price (excl. VAT)],0)</f>
        <v>45000</v>
      </c>
      <c r="K3198" s="5">
        <f>tblSales[[#This Row],[Qty]]*tblSales[[#This Row],[Unit Price]]</f>
        <v>495000</v>
      </c>
      <c r="L3198" s="5">
        <f>ROUND(tblSales[[#This Row],[DPP (excl. VAT)]]*VATEff,0)</f>
        <v>54450</v>
      </c>
      <c r="M3198" s="5">
        <f>tblSales[[#This Row],[DPP (excl. VAT)]]+tblSales[[#This Row],[Output VAT]]</f>
        <v>549450</v>
      </c>
      <c r="N3198" s="5">
        <f>tblSales[[#This Row],[Qty]]*_xlfn.XLOOKUP(tblSales[[#This Row],[Product Code]],tblProducts[Code],tblProducts[Unit Cost],0)</f>
        <v>264000</v>
      </c>
      <c r="O3198" s="4" t="s">
        <v>4865</v>
      </c>
      <c r="P3198" s="4" t="s">
        <v>4860</v>
      </c>
      <c r="Q3198" s="1" t="str">
        <f>_xlfn.XLOOKUP(tblSales[[#This Row],[Channel Code]],tblChannels[Channel Code],tblChannels[Channel Name],"")</f>
        <v>In-store</v>
      </c>
      <c r="R3198" s="1">
        <f>MONTH(tblSales[[#This Row],[Date]])</f>
        <v>7</v>
      </c>
    </row>
    <row r="3199" spans="2:18" x14ac:dyDescent="0.35">
      <c r="B3199" s="113">
        <v>46214</v>
      </c>
      <c r="C3199" s="4" t="s">
        <v>2140</v>
      </c>
      <c r="D3199" s="4" t="s">
        <v>4648</v>
      </c>
      <c r="E3199" s="1" t="str">
        <f>_xlfn.XLOOKUP(tblSales[[#This Row],[Customer ID]],tblCustomers[Customer ID],tblCustomers[Customer Name],"⚠ Unknown")</f>
        <v>PT Lintas Benua Niaga</v>
      </c>
      <c r="F3199" s="4" t="s">
        <v>12</v>
      </c>
      <c r="G3199" s="1" t="str">
        <f>_xlfn.XLOOKUP(tblSales[[#This Row],[Product Code]],tblProducts[Code],tblProducts[Product / Service Name],"⚠ Unknown")</f>
        <v>Bomber Jacket</v>
      </c>
      <c r="H3199" s="1" t="str">
        <f>_xlfn.XLOOKUP(tblSales[[#This Row],[Product Code]],tblProducts[Code],tblProducts[Category],"")</f>
        <v>Apparel &amp; Footwear</v>
      </c>
      <c r="I3199" s="4">
        <v>8</v>
      </c>
      <c r="J3199" s="5">
        <f>_xlfn.XLOOKUP(tblSales[[#This Row],[Product Code]],tblProducts[Code],tblProducts[Selling Price (excl. VAT)],0)</f>
        <v>350000</v>
      </c>
      <c r="K3199" s="5">
        <f>tblSales[[#This Row],[Qty]]*tblSales[[#This Row],[Unit Price]]</f>
        <v>2800000</v>
      </c>
      <c r="L3199" s="5">
        <f>ROUND(tblSales[[#This Row],[DPP (excl. VAT)]]*VATEff,0)</f>
        <v>308000</v>
      </c>
      <c r="M3199" s="5">
        <f>tblSales[[#This Row],[DPP (excl. VAT)]]+tblSales[[#This Row],[Output VAT]]</f>
        <v>3108000</v>
      </c>
      <c r="N3199" s="5">
        <f>tblSales[[#This Row],[Qty]]*_xlfn.XLOOKUP(tblSales[[#This Row],[Product Code]],tblProducts[Code],tblProducts[Unit Cost],0)</f>
        <v>1680000</v>
      </c>
      <c r="O3199" s="4" t="s">
        <v>4867</v>
      </c>
      <c r="P3199" s="4" t="s">
        <v>4860</v>
      </c>
      <c r="Q3199" s="1" t="str">
        <f>_xlfn.XLOOKUP(tblSales[[#This Row],[Channel Code]],tblChannels[Channel Code],tblChannels[Channel Name],"")</f>
        <v>In-store</v>
      </c>
      <c r="R3199" s="1">
        <f>MONTH(tblSales[[#This Row],[Date]])</f>
        <v>7</v>
      </c>
    </row>
    <row r="3200" spans="2:18" x14ac:dyDescent="0.35">
      <c r="B3200" s="113">
        <v>46214</v>
      </c>
      <c r="C3200" s="4" t="s">
        <v>2141</v>
      </c>
      <c r="D3200" s="4" t="s">
        <v>4568</v>
      </c>
      <c r="E3200" s="1" t="str">
        <f>_xlfn.XLOOKUP(tblSales[[#This Row],[Customer ID]],tblCustomers[Customer ID],tblCustomers[Customer Name],"⚠ Unknown")</f>
        <v>Walk-in Customer</v>
      </c>
      <c r="F3200" s="4" t="s">
        <v>9</v>
      </c>
      <c r="G3200" s="1" t="str">
        <f>_xlfn.XLOOKUP(tblSales[[#This Row],[Product Code]],tblProducts[Code],tblProducts[Product / Service Name],"⚠ Unknown")</f>
        <v>Casual Shirt</v>
      </c>
      <c r="H3200" s="1" t="str">
        <f>_xlfn.XLOOKUP(tblSales[[#This Row],[Product Code]],tblProducts[Code],tblProducts[Category],"")</f>
        <v>Apparel &amp; Footwear</v>
      </c>
      <c r="I3200" s="4">
        <v>1</v>
      </c>
      <c r="J3200" s="5">
        <f>_xlfn.XLOOKUP(tblSales[[#This Row],[Product Code]],tblProducts[Code],tblProducts[Selling Price (excl. VAT)],0)</f>
        <v>120000</v>
      </c>
      <c r="K3200" s="5">
        <f>tblSales[[#This Row],[Qty]]*tblSales[[#This Row],[Unit Price]]</f>
        <v>120000</v>
      </c>
      <c r="L3200" s="5">
        <f>ROUND(tblSales[[#This Row],[DPP (excl. VAT)]]*VATEff,0)</f>
        <v>13200</v>
      </c>
      <c r="M3200" s="5">
        <f>tblSales[[#This Row],[DPP (excl. VAT)]]+tblSales[[#This Row],[Output VAT]]</f>
        <v>133200</v>
      </c>
      <c r="N3200" s="5">
        <f>tblSales[[#This Row],[Qty]]*_xlfn.XLOOKUP(tblSales[[#This Row],[Product Code]],tblProducts[Code],tblProducts[Unit Cost],0)</f>
        <v>72000</v>
      </c>
      <c r="O3200" s="4" t="s">
        <v>4866</v>
      </c>
      <c r="P3200" s="4" t="s">
        <v>4861</v>
      </c>
      <c r="Q3200" s="1" t="str">
        <f>_xlfn.XLOOKUP(tblSales[[#This Row],[Channel Code]],tblChannels[Channel Code],tblChannels[Channel Name],"")</f>
        <v>Marketplace</v>
      </c>
      <c r="R3200" s="1">
        <f>MONTH(tblSales[[#This Row],[Date]])</f>
        <v>7</v>
      </c>
    </row>
    <row r="3201" spans="2:18" x14ac:dyDescent="0.35">
      <c r="B3201" s="113">
        <v>46214</v>
      </c>
      <c r="C3201" s="4" t="s">
        <v>2142</v>
      </c>
      <c r="D3201" s="4" t="s">
        <v>4568</v>
      </c>
      <c r="E3201" s="1" t="str">
        <f>_xlfn.XLOOKUP(tblSales[[#This Row],[Customer ID]],tblCustomers[Customer ID],tblCustomers[Customer Name],"⚠ Unknown")</f>
        <v>Walk-in Customer</v>
      </c>
      <c r="F3201" s="4" t="s">
        <v>8</v>
      </c>
      <c r="G3201" s="1" t="str">
        <f>_xlfn.XLOOKUP(tblSales[[#This Row],[Product Code]],tblProducts[Code],tblProducts[Product / Service Name],"⚠ Unknown")</f>
        <v>Casual Shorts</v>
      </c>
      <c r="H3201" s="1" t="str">
        <f>_xlfn.XLOOKUP(tblSales[[#This Row],[Product Code]],tblProducts[Code],tblProducts[Category],"")</f>
        <v>Accessories &amp; Basics</v>
      </c>
      <c r="I3201" s="4">
        <v>7</v>
      </c>
      <c r="J3201" s="5">
        <f>_xlfn.XLOOKUP(tblSales[[#This Row],[Product Code]],tblProducts[Code],tblProducts[Selling Price (excl. VAT)],0)</f>
        <v>85000</v>
      </c>
      <c r="K3201" s="5">
        <f>tblSales[[#This Row],[Qty]]*tblSales[[#This Row],[Unit Price]]</f>
        <v>595000</v>
      </c>
      <c r="L3201" s="5">
        <f>ROUND(tblSales[[#This Row],[DPP (excl. VAT)]]*VATEff,0)</f>
        <v>65450</v>
      </c>
      <c r="M3201" s="5">
        <f>tblSales[[#This Row],[DPP (excl. VAT)]]+tblSales[[#This Row],[Output VAT]]</f>
        <v>660450</v>
      </c>
      <c r="N3201" s="5">
        <f>tblSales[[#This Row],[Qty]]*_xlfn.XLOOKUP(tblSales[[#This Row],[Product Code]],tblProducts[Code],tblProducts[Unit Cost],0)</f>
        <v>350000</v>
      </c>
      <c r="O3201" s="4" t="s">
        <v>4866</v>
      </c>
      <c r="P3201" s="4" t="s">
        <v>4860</v>
      </c>
      <c r="Q3201" s="1" t="str">
        <f>_xlfn.XLOOKUP(tblSales[[#This Row],[Channel Code]],tblChannels[Channel Code],tblChannels[Channel Name],"")</f>
        <v>In-store</v>
      </c>
      <c r="R3201" s="1">
        <f>MONTH(tblSales[[#This Row],[Date]])</f>
        <v>7</v>
      </c>
    </row>
    <row r="3202" spans="2:18" x14ac:dyDescent="0.35">
      <c r="B3202" s="113">
        <v>46214</v>
      </c>
      <c r="C3202" s="4" t="s">
        <v>2143</v>
      </c>
      <c r="D3202" s="4" t="s">
        <v>4568</v>
      </c>
      <c r="E3202" s="1" t="str">
        <f>_xlfn.XLOOKUP(tblSales[[#This Row],[Customer ID]],tblCustomers[Customer ID],tblCustomers[Customer Name],"⚠ Unknown")</f>
        <v>Walk-in Customer</v>
      </c>
      <c r="F3202" s="4" t="s">
        <v>7</v>
      </c>
      <c r="G3202" s="1" t="str">
        <f>_xlfn.XLOOKUP(tblSales[[#This Row],[Product Code]],tblProducts[Code],tblProducts[Product / Service Name],"⚠ Unknown")</f>
        <v>Premium Basic T-shirt</v>
      </c>
      <c r="H3202" s="1" t="str">
        <f>_xlfn.XLOOKUP(tblSales[[#This Row],[Product Code]],tblProducts[Code],tblProducts[Category],"")</f>
        <v>Accessories &amp; Basics</v>
      </c>
      <c r="I3202" s="4">
        <v>5</v>
      </c>
      <c r="J3202" s="5">
        <f>_xlfn.XLOOKUP(tblSales[[#This Row],[Product Code]],tblProducts[Code],tblProducts[Selling Price (excl. VAT)],0)</f>
        <v>65000</v>
      </c>
      <c r="K3202" s="5">
        <f>tblSales[[#This Row],[Qty]]*tblSales[[#This Row],[Unit Price]]</f>
        <v>325000</v>
      </c>
      <c r="L3202" s="5">
        <f>ROUND(tblSales[[#This Row],[DPP (excl. VAT)]]*VATEff,0)</f>
        <v>35750</v>
      </c>
      <c r="M3202" s="5">
        <f>tblSales[[#This Row],[DPP (excl. VAT)]]+tblSales[[#This Row],[Output VAT]]</f>
        <v>360750</v>
      </c>
      <c r="N3202" s="5">
        <f>tblSales[[#This Row],[Qty]]*_xlfn.XLOOKUP(tblSales[[#This Row],[Product Code]],tblProducts[Code],tblProducts[Unit Cost],0)</f>
        <v>185000</v>
      </c>
      <c r="O3202" s="4" t="s">
        <v>4866</v>
      </c>
      <c r="P3202" s="4" t="s">
        <v>4860</v>
      </c>
      <c r="Q3202" s="1" t="str">
        <f>_xlfn.XLOOKUP(tblSales[[#This Row],[Channel Code]],tblChannels[Channel Code],tblChannels[Channel Name],"")</f>
        <v>In-store</v>
      </c>
      <c r="R3202" s="1">
        <f>MONTH(tblSales[[#This Row],[Date]])</f>
        <v>7</v>
      </c>
    </row>
    <row r="3203" spans="2:18" x14ac:dyDescent="0.35">
      <c r="B3203" s="113">
        <v>46214</v>
      </c>
      <c r="C3203" s="4" t="s">
        <v>2144</v>
      </c>
      <c r="D3203" s="4" t="s">
        <v>4568</v>
      </c>
      <c r="E3203" s="1" t="str">
        <f>_xlfn.XLOOKUP(tblSales[[#This Row],[Customer ID]],tblCustomers[Customer ID],tblCustomers[Customer Name],"⚠ Unknown")</f>
        <v>Walk-in Customer</v>
      </c>
      <c r="F3203" s="4" t="s">
        <v>6</v>
      </c>
      <c r="G3203" s="1" t="str">
        <f>_xlfn.XLOOKUP(tblSales[[#This Row],[Product Code]],tblProducts[Code],tblProducts[Product / Service Name],"⚠ Unknown")</f>
        <v>Socks &amp; Accessories</v>
      </c>
      <c r="H3203" s="1" t="str">
        <f>_xlfn.XLOOKUP(tblSales[[#This Row],[Product Code]],tblProducts[Code],tblProducts[Category],"")</f>
        <v>Accessories &amp; Basics</v>
      </c>
      <c r="I3203" s="4">
        <v>4</v>
      </c>
      <c r="J3203" s="5">
        <f>_xlfn.XLOOKUP(tblSales[[#This Row],[Product Code]],tblProducts[Code],tblProducts[Selling Price (excl. VAT)],0)</f>
        <v>45000</v>
      </c>
      <c r="K3203" s="5">
        <f>tblSales[[#This Row],[Qty]]*tblSales[[#This Row],[Unit Price]]</f>
        <v>180000</v>
      </c>
      <c r="L3203" s="5">
        <f>ROUND(tblSales[[#This Row],[DPP (excl. VAT)]]*VATEff,0)</f>
        <v>19800</v>
      </c>
      <c r="M3203" s="5">
        <f>tblSales[[#This Row],[DPP (excl. VAT)]]+tblSales[[#This Row],[Output VAT]]</f>
        <v>199800</v>
      </c>
      <c r="N3203" s="5">
        <f>tblSales[[#This Row],[Qty]]*_xlfn.XLOOKUP(tblSales[[#This Row],[Product Code]],tblProducts[Code],tblProducts[Unit Cost],0)</f>
        <v>96000</v>
      </c>
      <c r="O3203" s="4" t="s">
        <v>4866</v>
      </c>
      <c r="P3203" s="4" t="s">
        <v>4861</v>
      </c>
      <c r="Q3203" s="1" t="str">
        <f>_xlfn.XLOOKUP(tblSales[[#This Row],[Channel Code]],tblChannels[Channel Code],tblChannels[Channel Name],"")</f>
        <v>Marketplace</v>
      </c>
      <c r="R3203" s="1">
        <f>MONTH(tblSales[[#This Row],[Date]])</f>
        <v>7</v>
      </c>
    </row>
    <row r="3204" spans="2:18" x14ac:dyDescent="0.35">
      <c r="B3204" s="113">
        <v>46214</v>
      </c>
      <c r="C3204" s="4" t="s">
        <v>2145</v>
      </c>
      <c r="D3204" s="4" t="s">
        <v>4568</v>
      </c>
      <c r="E3204" s="1" t="str">
        <f>_xlfn.XLOOKUP(tblSales[[#This Row],[Customer ID]],tblCustomers[Customer ID],tblCustomers[Customer Name],"⚠ Unknown")</f>
        <v>Walk-in Customer</v>
      </c>
      <c r="F3204" s="4" t="s">
        <v>11</v>
      </c>
      <c r="G3204" s="1" t="str">
        <f>_xlfn.XLOOKUP(tblSales[[#This Row],[Product Code]],tblProducts[Code],tblProducts[Product / Service Name],"⚠ Unknown")</f>
        <v>Sneakers</v>
      </c>
      <c r="H3204" s="1" t="str">
        <f>_xlfn.XLOOKUP(tblSales[[#This Row],[Product Code]],tblProducts[Code],tblProducts[Category],"")</f>
        <v>Apparel &amp; Footwear</v>
      </c>
      <c r="I3204" s="4">
        <v>3</v>
      </c>
      <c r="J3204" s="5">
        <f>_xlfn.XLOOKUP(tblSales[[#This Row],[Product Code]],tblProducts[Code],tblProducts[Selling Price (excl. VAT)],0)</f>
        <v>250000</v>
      </c>
      <c r="K3204" s="5">
        <f>tblSales[[#This Row],[Qty]]*tblSales[[#This Row],[Unit Price]]</f>
        <v>750000</v>
      </c>
      <c r="L3204" s="5">
        <f>ROUND(tblSales[[#This Row],[DPP (excl. VAT)]]*VATEff,0)</f>
        <v>82500</v>
      </c>
      <c r="M3204" s="5">
        <f>tblSales[[#This Row],[DPP (excl. VAT)]]+tblSales[[#This Row],[Output VAT]]</f>
        <v>832500</v>
      </c>
      <c r="N3204" s="5">
        <f>tblSales[[#This Row],[Qty]]*_xlfn.XLOOKUP(tblSales[[#This Row],[Product Code]],tblProducts[Code],tblProducts[Unit Cost],0)</f>
        <v>465000</v>
      </c>
      <c r="O3204" s="4" t="s">
        <v>4865</v>
      </c>
      <c r="P3204" s="4" t="s">
        <v>4860</v>
      </c>
      <c r="Q3204" s="1" t="str">
        <f>_xlfn.XLOOKUP(tblSales[[#This Row],[Channel Code]],tblChannels[Channel Code],tblChannels[Channel Name],"")</f>
        <v>In-store</v>
      </c>
      <c r="R3204" s="1">
        <f>MONTH(tblSales[[#This Row],[Date]])</f>
        <v>7</v>
      </c>
    </row>
    <row r="3205" spans="2:18" x14ac:dyDescent="0.35">
      <c r="B3205" s="113">
        <v>46214</v>
      </c>
      <c r="C3205" s="4" t="s">
        <v>2146</v>
      </c>
      <c r="D3205" s="4" t="s">
        <v>4568</v>
      </c>
      <c r="E3205" s="1" t="str">
        <f>_xlfn.XLOOKUP(tblSales[[#This Row],[Customer ID]],tblCustomers[Customer ID],tblCustomers[Customer Name],"⚠ Unknown")</f>
        <v>Walk-in Customer</v>
      </c>
      <c r="F3205" s="4" t="s">
        <v>12</v>
      </c>
      <c r="G3205" s="1" t="str">
        <f>_xlfn.XLOOKUP(tblSales[[#This Row],[Product Code]],tblProducts[Code],tblProducts[Product / Service Name],"⚠ Unknown")</f>
        <v>Bomber Jacket</v>
      </c>
      <c r="H3205" s="1" t="str">
        <f>_xlfn.XLOOKUP(tblSales[[#This Row],[Product Code]],tblProducts[Code],tblProducts[Category],"")</f>
        <v>Apparel &amp; Footwear</v>
      </c>
      <c r="I3205" s="4">
        <v>4</v>
      </c>
      <c r="J3205" s="5">
        <f>_xlfn.XLOOKUP(tblSales[[#This Row],[Product Code]],tblProducts[Code],tblProducts[Selling Price (excl. VAT)],0)</f>
        <v>350000</v>
      </c>
      <c r="K3205" s="5">
        <f>tblSales[[#This Row],[Qty]]*tblSales[[#This Row],[Unit Price]]</f>
        <v>1400000</v>
      </c>
      <c r="L3205" s="5">
        <f>ROUND(tblSales[[#This Row],[DPP (excl. VAT)]]*VATEff,0)</f>
        <v>154000</v>
      </c>
      <c r="M3205" s="5">
        <f>tblSales[[#This Row],[DPP (excl. VAT)]]+tblSales[[#This Row],[Output VAT]]</f>
        <v>1554000</v>
      </c>
      <c r="N3205" s="5">
        <f>tblSales[[#This Row],[Qty]]*_xlfn.XLOOKUP(tblSales[[#This Row],[Product Code]],tblProducts[Code],tblProducts[Unit Cost],0)</f>
        <v>840000</v>
      </c>
      <c r="O3205" s="4" t="s">
        <v>4865</v>
      </c>
      <c r="P3205" s="4" t="s">
        <v>4860</v>
      </c>
      <c r="Q3205" s="1" t="str">
        <f>_xlfn.XLOOKUP(tblSales[[#This Row],[Channel Code]],tblChannels[Channel Code],tblChannels[Channel Name],"")</f>
        <v>In-store</v>
      </c>
      <c r="R3205" s="1">
        <f>MONTH(tblSales[[#This Row],[Date]])</f>
        <v>7</v>
      </c>
    </row>
    <row r="3206" spans="2:18" x14ac:dyDescent="0.35">
      <c r="B3206" s="113">
        <v>46214</v>
      </c>
      <c r="C3206" s="4" t="s">
        <v>2147</v>
      </c>
      <c r="D3206" s="4" t="s">
        <v>4599</v>
      </c>
      <c r="E3206" s="1" t="str">
        <f>_xlfn.XLOOKUP(tblSales[[#This Row],[Customer ID]],tblCustomers[Customer ID],tblCustomers[Customer Name],"⚠ Unknown")</f>
        <v>PT Samudra Jaya Logistik</v>
      </c>
      <c r="F3206" s="4" t="s">
        <v>9</v>
      </c>
      <c r="G3206" s="1" t="str">
        <f>_xlfn.XLOOKUP(tblSales[[#This Row],[Product Code]],tblProducts[Code],tblProducts[Product / Service Name],"⚠ Unknown")</f>
        <v>Casual Shirt</v>
      </c>
      <c r="H3206" s="1" t="str">
        <f>_xlfn.XLOOKUP(tblSales[[#This Row],[Product Code]],tblProducts[Code],tblProducts[Category],"")</f>
        <v>Apparel &amp; Footwear</v>
      </c>
      <c r="I3206" s="4">
        <v>40</v>
      </c>
      <c r="J3206" s="5">
        <f>_xlfn.XLOOKUP(tblSales[[#This Row],[Product Code]],tblProducts[Code],tblProducts[Selling Price (excl. VAT)],0)</f>
        <v>120000</v>
      </c>
      <c r="K3206" s="5">
        <f>tblSales[[#This Row],[Qty]]*tblSales[[#This Row],[Unit Price]]</f>
        <v>4800000</v>
      </c>
      <c r="L3206" s="5">
        <f>ROUND(tblSales[[#This Row],[DPP (excl. VAT)]]*VATEff,0)</f>
        <v>528000</v>
      </c>
      <c r="M3206" s="5">
        <f>tblSales[[#This Row],[DPP (excl. VAT)]]+tblSales[[#This Row],[Output VAT]]</f>
        <v>5328000</v>
      </c>
      <c r="N3206" s="5">
        <f>tblSales[[#This Row],[Qty]]*_xlfn.XLOOKUP(tblSales[[#This Row],[Product Code]],tblProducts[Code],tblProducts[Unit Cost],0)</f>
        <v>2880000</v>
      </c>
      <c r="O3206" s="4" t="s">
        <v>4867</v>
      </c>
      <c r="P3206" s="4" t="s">
        <v>4860</v>
      </c>
      <c r="Q3206" s="1" t="str">
        <f>_xlfn.XLOOKUP(tblSales[[#This Row],[Channel Code]],tblChannels[Channel Code],tblChannels[Channel Name],"")</f>
        <v>In-store</v>
      </c>
      <c r="R3206" s="1">
        <f>MONTH(tblSales[[#This Row],[Date]])</f>
        <v>7</v>
      </c>
    </row>
    <row r="3207" spans="2:18" x14ac:dyDescent="0.35">
      <c r="B3207" s="113">
        <v>46214</v>
      </c>
      <c r="C3207" s="4" t="s">
        <v>2148</v>
      </c>
      <c r="D3207" s="4" t="s">
        <v>4593</v>
      </c>
      <c r="E3207" s="1" t="str">
        <f>_xlfn.XLOOKUP(tblSales[[#This Row],[Customer ID]],tblCustomers[Customer ID],tblCustomers[Customer Name],"⚠ Unknown")</f>
        <v>PT Graha Nusa Persada</v>
      </c>
      <c r="F3207" s="4" t="s">
        <v>13</v>
      </c>
      <c r="G3207" s="1" t="str">
        <f>_xlfn.XLOOKUP(tblSales[[#This Row],[Product Code]],tblProducts[Code],tblProducts[Product / Service Name],"⚠ Unknown")</f>
        <v>Backpack</v>
      </c>
      <c r="H3207" s="1" t="str">
        <f>_xlfn.XLOOKUP(tblSales[[#This Row],[Product Code]],tblProducts[Code],tblProducts[Category],"")</f>
        <v>Bags &amp; Gadgets</v>
      </c>
      <c r="I3207" s="4">
        <v>8</v>
      </c>
      <c r="J3207" s="5">
        <f>_xlfn.XLOOKUP(tblSales[[#This Row],[Product Code]],tblProducts[Code],tblProducts[Selling Price (excl. VAT)],0)</f>
        <v>500000</v>
      </c>
      <c r="K3207" s="5">
        <f>tblSales[[#This Row],[Qty]]*tblSales[[#This Row],[Unit Price]]</f>
        <v>4000000</v>
      </c>
      <c r="L3207" s="5">
        <f>ROUND(tblSales[[#This Row],[DPP (excl. VAT)]]*VATEff,0)</f>
        <v>440000</v>
      </c>
      <c r="M3207" s="5">
        <f>tblSales[[#This Row],[DPP (excl. VAT)]]+tblSales[[#This Row],[Output VAT]]</f>
        <v>4440000</v>
      </c>
      <c r="N3207" s="5">
        <f>tblSales[[#This Row],[Qty]]*_xlfn.XLOOKUP(tblSales[[#This Row],[Product Code]],tblProducts[Code],tblProducts[Unit Cost],0)</f>
        <v>2320000</v>
      </c>
      <c r="O3207" s="4" t="s">
        <v>4867</v>
      </c>
      <c r="P3207" s="4" t="s">
        <v>4860</v>
      </c>
      <c r="Q3207" s="1" t="str">
        <f>_xlfn.XLOOKUP(tblSales[[#This Row],[Channel Code]],tblChannels[Channel Code],tblChannels[Channel Name],"")</f>
        <v>In-store</v>
      </c>
      <c r="R3207" s="1">
        <f>MONTH(tblSales[[#This Row],[Date]])</f>
        <v>7</v>
      </c>
    </row>
    <row r="3208" spans="2:18" x14ac:dyDescent="0.35">
      <c r="B3208" s="113">
        <v>46214</v>
      </c>
      <c r="C3208" s="4" t="s">
        <v>2149</v>
      </c>
      <c r="D3208" s="4" t="s">
        <v>4593</v>
      </c>
      <c r="E3208" s="1" t="str">
        <f>_xlfn.XLOOKUP(tblSales[[#This Row],[Customer ID]],tblCustomers[Customer ID],tblCustomers[Customer Name],"⚠ Unknown")</f>
        <v>PT Graha Nusa Persada</v>
      </c>
      <c r="F3208" s="4" t="s">
        <v>7</v>
      </c>
      <c r="G3208" s="1" t="str">
        <f>_xlfn.XLOOKUP(tblSales[[#This Row],[Product Code]],tblProducts[Code],tblProducts[Product / Service Name],"⚠ Unknown")</f>
        <v>Premium Basic T-shirt</v>
      </c>
      <c r="H3208" s="1" t="str">
        <f>_xlfn.XLOOKUP(tblSales[[#This Row],[Product Code]],tblProducts[Code],tblProducts[Category],"")</f>
        <v>Accessories &amp; Basics</v>
      </c>
      <c r="I3208" s="4">
        <v>32</v>
      </c>
      <c r="J3208" s="5">
        <f>_xlfn.XLOOKUP(tblSales[[#This Row],[Product Code]],tblProducts[Code],tblProducts[Selling Price (excl. VAT)],0)</f>
        <v>65000</v>
      </c>
      <c r="K3208" s="5">
        <f>tblSales[[#This Row],[Qty]]*tblSales[[#This Row],[Unit Price]]</f>
        <v>2080000</v>
      </c>
      <c r="L3208" s="5">
        <f>ROUND(tblSales[[#This Row],[DPP (excl. VAT)]]*VATEff,0)</f>
        <v>228800</v>
      </c>
      <c r="M3208" s="5">
        <f>tblSales[[#This Row],[DPP (excl. VAT)]]+tblSales[[#This Row],[Output VAT]]</f>
        <v>2308800</v>
      </c>
      <c r="N3208" s="5">
        <f>tblSales[[#This Row],[Qty]]*_xlfn.XLOOKUP(tblSales[[#This Row],[Product Code]],tblProducts[Code],tblProducts[Unit Cost],0)</f>
        <v>1184000</v>
      </c>
      <c r="O3208" s="4" t="s">
        <v>4867</v>
      </c>
      <c r="P3208" s="4" t="s">
        <v>4860</v>
      </c>
      <c r="Q3208" s="1" t="str">
        <f>_xlfn.XLOOKUP(tblSales[[#This Row],[Channel Code]],tblChannels[Channel Code],tblChannels[Channel Name],"")</f>
        <v>In-store</v>
      </c>
      <c r="R3208" s="1">
        <f>MONTH(tblSales[[#This Row],[Date]])</f>
        <v>7</v>
      </c>
    </row>
    <row r="3209" spans="2:18" x14ac:dyDescent="0.35">
      <c r="B3209" s="113">
        <v>46214</v>
      </c>
      <c r="C3209" s="4" t="s">
        <v>2150</v>
      </c>
      <c r="D3209" s="4" t="s">
        <v>4568</v>
      </c>
      <c r="E3209" s="1" t="str">
        <f>_xlfn.XLOOKUP(tblSales[[#This Row],[Customer ID]],tblCustomers[Customer ID],tblCustomers[Customer Name],"⚠ Unknown")</f>
        <v>Walk-in Customer</v>
      </c>
      <c r="F3209" s="4" t="s">
        <v>14</v>
      </c>
      <c r="G3209" s="1" t="str">
        <f>_xlfn.XLOOKUP(tblSales[[#This Row],[Product Code]],tblProducts[Code],tblProducts[Product / Service Name],"⚠ Unknown")</f>
        <v>Smartwatch</v>
      </c>
      <c r="H3209" s="1" t="str">
        <f>_xlfn.XLOOKUP(tblSales[[#This Row],[Product Code]],tblProducts[Code],tblProducts[Category],"")</f>
        <v>Bags &amp; Gadgets</v>
      </c>
      <c r="I3209" s="4">
        <v>3</v>
      </c>
      <c r="J3209" s="5">
        <f>_xlfn.XLOOKUP(tblSales[[#This Row],[Product Code]],tblProducts[Code],tblProducts[Selling Price (excl. VAT)],0)</f>
        <v>850000</v>
      </c>
      <c r="K3209" s="5">
        <f>tblSales[[#This Row],[Qty]]*tblSales[[#This Row],[Unit Price]]</f>
        <v>2550000</v>
      </c>
      <c r="L3209" s="5">
        <f>ROUND(tblSales[[#This Row],[DPP (excl. VAT)]]*VATEff,0)</f>
        <v>280500</v>
      </c>
      <c r="M3209" s="5">
        <f>tblSales[[#This Row],[DPP (excl. VAT)]]+tblSales[[#This Row],[Output VAT]]</f>
        <v>2830500</v>
      </c>
      <c r="N3209" s="5">
        <f>tblSales[[#This Row],[Qty]]*_xlfn.XLOOKUP(tblSales[[#This Row],[Product Code]],tblProducts[Code],tblProducts[Unit Cost],0)</f>
        <v>1680000</v>
      </c>
      <c r="O3209" s="4" t="s">
        <v>4866</v>
      </c>
      <c r="P3209" s="4" t="s">
        <v>4862</v>
      </c>
      <c r="Q3209" s="1" t="str">
        <f>_xlfn.XLOOKUP(tblSales[[#This Row],[Channel Code]],tblChannels[Channel Code],tblChannels[Channel Name],"")</f>
        <v>Website &amp; Social Media</v>
      </c>
      <c r="R3209" s="1">
        <f>MONTH(tblSales[[#This Row],[Date]])</f>
        <v>7</v>
      </c>
    </row>
    <row r="3210" spans="2:18" x14ac:dyDescent="0.35">
      <c r="B3210" s="113">
        <v>46214</v>
      </c>
      <c r="C3210" s="4" t="s">
        <v>2151</v>
      </c>
      <c r="D3210" s="4" t="s">
        <v>4568</v>
      </c>
      <c r="E3210" s="1" t="str">
        <f>_xlfn.XLOOKUP(tblSales[[#This Row],[Customer ID]],tblCustomers[Customer ID],tblCustomers[Customer Name],"⚠ Unknown")</f>
        <v>Walk-in Customer</v>
      </c>
      <c r="F3210" s="4" t="s">
        <v>9</v>
      </c>
      <c r="G3210" s="1" t="str">
        <f>_xlfn.XLOOKUP(tblSales[[#This Row],[Product Code]],tblProducts[Code],tblProducts[Product / Service Name],"⚠ Unknown")</f>
        <v>Casual Shirt</v>
      </c>
      <c r="H3210" s="1" t="str">
        <f>_xlfn.XLOOKUP(tblSales[[#This Row],[Product Code]],tblProducts[Code],tblProducts[Category],"")</f>
        <v>Apparel &amp; Footwear</v>
      </c>
      <c r="I3210" s="4">
        <v>2</v>
      </c>
      <c r="J3210" s="5">
        <f>_xlfn.XLOOKUP(tblSales[[#This Row],[Product Code]],tblProducts[Code],tblProducts[Selling Price (excl. VAT)],0)</f>
        <v>120000</v>
      </c>
      <c r="K3210" s="5">
        <f>tblSales[[#This Row],[Qty]]*tblSales[[#This Row],[Unit Price]]</f>
        <v>240000</v>
      </c>
      <c r="L3210" s="5">
        <f>ROUND(tblSales[[#This Row],[DPP (excl. VAT)]]*VATEff,0)</f>
        <v>26400</v>
      </c>
      <c r="M3210" s="5">
        <f>tblSales[[#This Row],[DPP (excl. VAT)]]+tblSales[[#This Row],[Output VAT]]</f>
        <v>266400</v>
      </c>
      <c r="N3210" s="5">
        <f>tblSales[[#This Row],[Qty]]*_xlfn.XLOOKUP(tblSales[[#This Row],[Product Code]],tblProducts[Code],tblProducts[Unit Cost],0)</f>
        <v>144000</v>
      </c>
      <c r="O3210" s="4" t="s">
        <v>4866</v>
      </c>
      <c r="P3210" s="4" t="s">
        <v>4860</v>
      </c>
      <c r="Q3210" s="1" t="str">
        <f>_xlfn.XLOOKUP(tblSales[[#This Row],[Channel Code]],tblChannels[Channel Code],tblChannels[Channel Name],"")</f>
        <v>In-store</v>
      </c>
      <c r="R3210" s="1">
        <f>MONTH(tblSales[[#This Row],[Date]])</f>
        <v>7</v>
      </c>
    </row>
    <row r="3211" spans="2:18" x14ac:dyDescent="0.35">
      <c r="B3211" s="113">
        <v>46214</v>
      </c>
      <c r="C3211" s="4" t="s">
        <v>2151</v>
      </c>
      <c r="D3211" s="4" t="s">
        <v>4568</v>
      </c>
      <c r="E3211" s="1" t="str">
        <f>_xlfn.XLOOKUP(tblSales[[#This Row],[Customer ID]],tblCustomers[Customer ID],tblCustomers[Customer Name],"⚠ Unknown")</f>
        <v>Walk-in Customer</v>
      </c>
      <c r="F3211" s="4" t="s">
        <v>6</v>
      </c>
      <c r="G3211" s="1" t="str">
        <f>_xlfn.XLOOKUP(tblSales[[#This Row],[Product Code]],tblProducts[Code],tblProducts[Product / Service Name],"⚠ Unknown")</f>
        <v>Socks &amp; Accessories</v>
      </c>
      <c r="H3211" s="1" t="str">
        <f>_xlfn.XLOOKUP(tblSales[[#This Row],[Product Code]],tblProducts[Code],tblProducts[Category],"")</f>
        <v>Accessories &amp; Basics</v>
      </c>
      <c r="I3211" s="4">
        <v>3</v>
      </c>
      <c r="J3211" s="5">
        <f>_xlfn.XLOOKUP(tblSales[[#This Row],[Product Code]],tblProducts[Code],tblProducts[Selling Price (excl. VAT)],0)</f>
        <v>45000</v>
      </c>
      <c r="K3211" s="5">
        <f>tblSales[[#This Row],[Qty]]*tblSales[[#This Row],[Unit Price]]</f>
        <v>135000</v>
      </c>
      <c r="L3211" s="5">
        <f>ROUND(tblSales[[#This Row],[DPP (excl. VAT)]]*VATEff,0)</f>
        <v>14850</v>
      </c>
      <c r="M3211" s="5">
        <f>tblSales[[#This Row],[DPP (excl. VAT)]]+tblSales[[#This Row],[Output VAT]]</f>
        <v>149850</v>
      </c>
      <c r="N3211" s="5">
        <f>tblSales[[#This Row],[Qty]]*_xlfn.XLOOKUP(tblSales[[#This Row],[Product Code]],tblProducts[Code],tblProducts[Unit Cost],0)</f>
        <v>72000</v>
      </c>
      <c r="O3211" s="4" t="s">
        <v>4866</v>
      </c>
      <c r="P3211" s="4" t="s">
        <v>4860</v>
      </c>
      <c r="Q3211" s="1" t="str">
        <f>_xlfn.XLOOKUP(tblSales[[#This Row],[Channel Code]],tblChannels[Channel Code],tblChannels[Channel Name],"")</f>
        <v>In-store</v>
      </c>
      <c r="R3211" s="1">
        <f>MONTH(tblSales[[#This Row],[Date]])</f>
        <v>7</v>
      </c>
    </row>
    <row r="3212" spans="2:18" x14ac:dyDescent="0.35">
      <c r="B3212" s="113">
        <v>46214</v>
      </c>
      <c r="C3212" s="4" t="s">
        <v>2151</v>
      </c>
      <c r="D3212" s="4" t="s">
        <v>4568</v>
      </c>
      <c r="E3212" s="1" t="str">
        <f>_xlfn.XLOOKUP(tblSales[[#This Row],[Customer ID]],tblCustomers[Customer ID],tblCustomers[Customer Name],"⚠ Unknown")</f>
        <v>Walk-in Customer</v>
      </c>
      <c r="F3212" s="4" t="s">
        <v>7</v>
      </c>
      <c r="G3212" s="1" t="str">
        <f>_xlfn.XLOOKUP(tblSales[[#This Row],[Product Code]],tblProducts[Code],tblProducts[Product / Service Name],"⚠ Unknown")</f>
        <v>Premium Basic T-shirt</v>
      </c>
      <c r="H3212" s="1" t="str">
        <f>_xlfn.XLOOKUP(tblSales[[#This Row],[Product Code]],tblProducts[Code],tblProducts[Category],"")</f>
        <v>Accessories &amp; Basics</v>
      </c>
      <c r="I3212" s="4">
        <v>11</v>
      </c>
      <c r="J3212" s="5">
        <f>_xlfn.XLOOKUP(tblSales[[#This Row],[Product Code]],tblProducts[Code],tblProducts[Selling Price (excl. VAT)],0)</f>
        <v>65000</v>
      </c>
      <c r="K3212" s="5">
        <f>tblSales[[#This Row],[Qty]]*tblSales[[#This Row],[Unit Price]]</f>
        <v>715000</v>
      </c>
      <c r="L3212" s="5">
        <f>ROUND(tblSales[[#This Row],[DPP (excl. VAT)]]*VATEff,0)</f>
        <v>78650</v>
      </c>
      <c r="M3212" s="5">
        <f>tblSales[[#This Row],[DPP (excl. VAT)]]+tblSales[[#This Row],[Output VAT]]</f>
        <v>793650</v>
      </c>
      <c r="N3212" s="5">
        <f>tblSales[[#This Row],[Qty]]*_xlfn.XLOOKUP(tblSales[[#This Row],[Product Code]],tblProducts[Code],tblProducts[Unit Cost],0)</f>
        <v>407000</v>
      </c>
      <c r="O3212" s="4" t="s">
        <v>4866</v>
      </c>
      <c r="P3212" s="4" t="s">
        <v>4860</v>
      </c>
      <c r="Q3212" s="1" t="str">
        <f>_xlfn.XLOOKUP(tblSales[[#This Row],[Channel Code]],tblChannels[Channel Code],tblChannels[Channel Name],"")</f>
        <v>In-store</v>
      </c>
      <c r="R3212" s="1">
        <f>MONTH(tblSales[[#This Row],[Date]])</f>
        <v>7</v>
      </c>
    </row>
    <row r="3213" spans="2:18" x14ac:dyDescent="0.35">
      <c r="B3213" s="113">
        <v>46214</v>
      </c>
      <c r="C3213" s="4" t="s">
        <v>2152</v>
      </c>
      <c r="D3213" s="4" t="s">
        <v>4568</v>
      </c>
      <c r="E3213" s="1" t="str">
        <f>_xlfn.XLOOKUP(tblSales[[#This Row],[Customer ID]],tblCustomers[Customer ID],tblCustomers[Customer Name],"⚠ Unknown")</f>
        <v>Walk-in Customer</v>
      </c>
      <c r="F3213" s="4" t="s">
        <v>12</v>
      </c>
      <c r="G3213" s="1" t="str">
        <f>_xlfn.XLOOKUP(tblSales[[#This Row],[Product Code]],tblProducts[Code],tblProducts[Product / Service Name],"⚠ Unknown")</f>
        <v>Bomber Jacket</v>
      </c>
      <c r="H3213" s="1" t="str">
        <f>_xlfn.XLOOKUP(tblSales[[#This Row],[Product Code]],tblProducts[Code],tblProducts[Category],"")</f>
        <v>Apparel &amp; Footwear</v>
      </c>
      <c r="I3213" s="4">
        <v>2</v>
      </c>
      <c r="J3213" s="5">
        <f>_xlfn.XLOOKUP(tblSales[[#This Row],[Product Code]],tblProducts[Code],tblProducts[Selling Price (excl. VAT)],0)</f>
        <v>350000</v>
      </c>
      <c r="K3213" s="5">
        <f>tblSales[[#This Row],[Qty]]*tblSales[[#This Row],[Unit Price]]</f>
        <v>700000</v>
      </c>
      <c r="L3213" s="5">
        <f>ROUND(tblSales[[#This Row],[DPP (excl. VAT)]]*VATEff,0)</f>
        <v>77000</v>
      </c>
      <c r="M3213" s="5">
        <f>tblSales[[#This Row],[DPP (excl. VAT)]]+tblSales[[#This Row],[Output VAT]]</f>
        <v>777000</v>
      </c>
      <c r="N3213" s="5">
        <f>tblSales[[#This Row],[Qty]]*_xlfn.XLOOKUP(tblSales[[#This Row],[Product Code]],tblProducts[Code],tblProducts[Unit Cost],0)</f>
        <v>420000</v>
      </c>
      <c r="O3213" s="4" t="s">
        <v>4866</v>
      </c>
      <c r="P3213" s="4" t="s">
        <v>4862</v>
      </c>
      <c r="Q3213" s="1" t="str">
        <f>_xlfn.XLOOKUP(tblSales[[#This Row],[Channel Code]],tblChannels[Channel Code],tblChannels[Channel Name],"")</f>
        <v>Website &amp; Social Media</v>
      </c>
      <c r="R3213" s="1">
        <f>MONTH(tblSales[[#This Row],[Date]])</f>
        <v>7</v>
      </c>
    </row>
    <row r="3214" spans="2:18" x14ac:dyDescent="0.35">
      <c r="B3214" s="113">
        <v>46214</v>
      </c>
      <c r="C3214" s="4" t="s">
        <v>2153</v>
      </c>
      <c r="D3214" s="4" t="s">
        <v>4568</v>
      </c>
      <c r="E3214" s="1" t="str">
        <f>_xlfn.XLOOKUP(tblSales[[#This Row],[Customer ID]],tblCustomers[Customer ID],tblCustomers[Customer Name],"⚠ Unknown")</f>
        <v>Walk-in Customer</v>
      </c>
      <c r="F3214" s="4" t="s">
        <v>6</v>
      </c>
      <c r="G3214" s="1" t="str">
        <f>_xlfn.XLOOKUP(tblSales[[#This Row],[Product Code]],tblProducts[Code],tblProducts[Product / Service Name],"⚠ Unknown")</f>
        <v>Socks &amp; Accessories</v>
      </c>
      <c r="H3214" s="1" t="str">
        <f>_xlfn.XLOOKUP(tblSales[[#This Row],[Product Code]],tblProducts[Code],tblProducts[Category],"")</f>
        <v>Accessories &amp; Basics</v>
      </c>
      <c r="I3214" s="4">
        <v>3</v>
      </c>
      <c r="J3214" s="5">
        <f>_xlfn.XLOOKUP(tblSales[[#This Row],[Product Code]],tblProducts[Code],tblProducts[Selling Price (excl. VAT)],0)</f>
        <v>45000</v>
      </c>
      <c r="K3214" s="5">
        <f>tblSales[[#This Row],[Qty]]*tblSales[[#This Row],[Unit Price]]</f>
        <v>135000</v>
      </c>
      <c r="L3214" s="5">
        <f>ROUND(tblSales[[#This Row],[DPP (excl. VAT)]]*VATEff,0)</f>
        <v>14850</v>
      </c>
      <c r="M3214" s="5">
        <f>tblSales[[#This Row],[DPP (excl. VAT)]]+tblSales[[#This Row],[Output VAT]]</f>
        <v>149850</v>
      </c>
      <c r="N3214" s="5">
        <f>tblSales[[#This Row],[Qty]]*_xlfn.XLOOKUP(tblSales[[#This Row],[Product Code]],tblProducts[Code],tblProducts[Unit Cost],0)</f>
        <v>72000</v>
      </c>
      <c r="O3214" s="4" t="s">
        <v>4865</v>
      </c>
      <c r="P3214" s="4" t="s">
        <v>4860</v>
      </c>
      <c r="Q3214" s="1" t="str">
        <f>_xlfn.XLOOKUP(tblSales[[#This Row],[Channel Code]],tblChannels[Channel Code],tblChannels[Channel Name],"")</f>
        <v>In-store</v>
      </c>
      <c r="R3214" s="1">
        <f>MONTH(tblSales[[#This Row],[Date]])</f>
        <v>7</v>
      </c>
    </row>
    <row r="3215" spans="2:18" x14ac:dyDescent="0.35">
      <c r="B3215" s="113">
        <v>46215</v>
      </c>
      <c r="C3215" s="4" t="s">
        <v>2154</v>
      </c>
      <c r="D3215" s="4" t="s">
        <v>4568</v>
      </c>
      <c r="E3215" s="1" t="str">
        <f>_xlfn.XLOOKUP(tblSales[[#This Row],[Customer ID]],tblCustomers[Customer ID],tblCustomers[Customer Name],"⚠ Unknown")</f>
        <v>Walk-in Customer</v>
      </c>
      <c r="F3215" s="4" t="s">
        <v>6</v>
      </c>
      <c r="G3215" s="1" t="str">
        <f>_xlfn.XLOOKUP(tblSales[[#This Row],[Product Code]],tblProducts[Code],tblProducts[Product / Service Name],"⚠ Unknown")</f>
        <v>Socks &amp; Accessories</v>
      </c>
      <c r="H3215" s="1" t="str">
        <f>_xlfn.XLOOKUP(tblSales[[#This Row],[Product Code]],tblProducts[Code],tblProducts[Category],"")</f>
        <v>Accessories &amp; Basics</v>
      </c>
      <c r="I3215" s="4">
        <v>5</v>
      </c>
      <c r="J3215" s="5">
        <f>_xlfn.XLOOKUP(tblSales[[#This Row],[Product Code]],tblProducts[Code],tblProducts[Selling Price (excl. VAT)],0)</f>
        <v>45000</v>
      </c>
      <c r="K3215" s="5">
        <f>tblSales[[#This Row],[Qty]]*tblSales[[#This Row],[Unit Price]]</f>
        <v>225000</v>
      </c>
      <c r="L3215" s="5">
        <f>ROUND(tblSales[[#This Row],[DPP (excl. VAT)]]*VATEff,0)</f>
        <v>24750</v>
      </c>
      <c r="M3215" s="5">
        <f>tblSales[[#This Row],[DPP (excl. VAT)]]+tblSales[[#This Row],[Output VAT]]</f>
        <v>249750</v>
      </c>
      <c r="N3215" s="5">
        <f>tblSales[[#This Row],[Qty]]*_xlfn.XLOOKUP(tblSales[[#This Row],[Product Code]],tblProducts[Code],tblProducts[Unit Cost],0)</f>
        <v>120000</v>
      </c>
      <c r="O3215" s="4" t="s">
        <v>4865</v>
      </c>
      <c r="P3215" s="4" t="s">
        <v>4860</v>
      </c>
      <c r="Q3215" s="1" t="str">
        <f>_xlfn.XLOOKUP(tblSales[[#This Row],[Channel Code]],tblChannels[Channel Code],tblChannels[Channel Name],"")</f>
        <v>In-store</v>
      </c>
      <c r="R3215" s="1">
        <f>MONTH(tblSales[[#This Row],[Date]])</f>
        <v>7</v>
      </c>
    </row>
    <row r="3216" spans="2:18" x14ac:dyDescent="0.35">
      <c r="B3216" s="113">
        <v>46215</v>
      </c>
      <c r="C3216" s="4" t="s">
        <v>2155</v>
      </c>
      <c r="D3216" s="4" t="s">
        <v>4568</v>
      </c>
      <c r="E3216" s="1" t="str">
        <f>_xlfn.XLOOKUP(tblSales[[#This Row],[Customer ID]],tblCustomers[Customer ID],tblCustomers[Customer Name],"⚠ Unknown")</f>
        <v>Walk-in Customer</v>
      </c>
      <c r="F3216" s="4" t="s">
        <v>9</v>
      </c>
      <c r="G3216" s="1" t="str">
        <f>_xlfn.XLOOKUP(tblSales[[#This Row],[Product Code]],tblProducts[Code],tblProducts[Product / Service Name],"⚠ Unknown")</f>
        <v>Casual Shirt</v>
      </c>
      <c r="H3216" s="1" t="str">
        <f>_xlfn.XLOOKUP(tblSales[[#This Row],[Product Code]],tblProducts[Code],tblProducts[Category],"")</f>
        <v>Apparel &amp; Footwear</v>
      </c>
      <c r="I3216" s="4">
        <v>3</v>
      </c>
      <c r="J3216" s="5">
        <f>_xlfn.XLOOKUP(tblSales[[#This Row],[Product Code]],tblProducts[Code],tblProducts[Selling Price (excl. VAT)],0)</f>
        <v>120000</v>
      </c>
      <c r="K3216" s="5">
        <f>tblSales[[#This Row],[Qty]]*tblSales[[#This Row],[Unit Price]]</f>
        <v>360000</v>
      </c>
      <c r="L3216" s="5">
        <f>ROUND(tblSales[[#This Row],[DPP (excl. VAT)]]*VATEff,0)</f>
        <v>39600</v>
      </c>
      <c r="M3216" s="5">
        <f>tblSales[[#This Row],[DPP (excl. VAT)]]+tblSales[[#This Row],[Output VAT]]</f>
        <v>399600</v>
      </c>
      <c r="N3216" s="5">
        <f>tblSales[[#This Row],[Qty]]*_xlfn.XLOOKUP(tblSales[[#This Row],[Product Code]],tblProducts[Code],tblProducts[Unit Cost],0)</f>
        <v>216000</v>
      </c>
      <c r="O3216" s="4" t="s">
        <v>4865</v>
      </c>
      <c r="P3216" s="4" t="s">
        <v>4860</v>
      </c>
      <c r="Q3216" s="1" t="str">
        <f>_xlfn.XLOOKUP(tblSales[[#This Row],[Channel Code]],tblChannels[Channel Code],tblChannels[Channel Name],"")</f>
        <v>In-store</v>
      </c>
      <c r="R3216" s="1">
        <f>MONTH(tblSales[[#This Row],[Date]])</f>
        <v>7</v>
      </c>
    </row>
    <row r="3217" spans="2:18" x14ac:dyDescent="0.35">
      <c r="B3217" s="113">
        <v>46215</v>
      </c>
      <c r="C3217" s="4" t="s">
        <v>2156</v>
      </c>
      <c r="D3217" s="4" t="s">
        <v>4585</v>
      </c>
      <c r="E3217" s="1" t="str">
        <f>_xlfn.XLOOKUP(tblSales[[#This Row],[Customer ID]],tblCustomers[Customer ID],tblCustomers[Customer Name],"⚠ Unknown")</f>
        <v>CV Mitra Karya Mandiri</v>
      </c>
      <c r="F3217" s="4" t="s">
        <v>8</v>
      </c>
      <c r="G3217" s="1" t="str">
        <f>_xlfn.XLOOKUP(tblSales[[#This Row],[Product Code]],tblProducts[Code],tblProducts[Product / Service Name],"⚠ Unknown")</f>
        <v>Casual Shorts</v>
      </c>
      <c r="H3217" s="1" t="str">
        <f>_xlfn.XLOOKUP(tblSales[[#This Row],[Product Code]],tblProducts[Code],tblProducts[Category],"")</f>
        <v>Accessories &amp; Basics</v>
      </c>
      <c r="I3217" s="4">
        <v>88</v>
      </c>
      <c r="J3217" s="5">
        <f>_xlfn.XLOOKUP(tblSales[[#This Row],[Product Code]],tblProducts[Code],tblProducts[Selling Price (excl. VAT)],0)</f>
        <v>85000</v>
      </c>
      <c r="K3217" s="5">
        <f>tblSales[[#This Row],[Qty]]*tblSales[[#This Row],[Unit Price]]</f>
        <v>7480000</v>
      </c>
      <c r="L3217" s="5">
        <f>ROUND(tblSales[[#This Row],[DPP (excl. VAT)]]*VATEff,0)</f>
        <v>822800</v>
      </c>
      <c r="M3217" s="5">
        <f>tblSales[[#This Row],[DPP (excl. VAT)]]+tblSales[[#This Row],[Output VAT]]</f>
        <v>8302800</v>
      </c>
      <c r="N3217" s="5">
        <f>tblSales[[#This Row],[Qty]]*_xlfn.XLOOKUP(tblSales[[#This Row],[Product Code]],tblProducts[Code],tblProducts[Unit Cost],0)</f>
        <v>4400000</v>
      </c>
      <c r="O3217" s="4" t="s">
        <v>4867</v>
      </c>
      <c r="P3217" s="4" t="s">
        <v>4860</v>
      </c>
      <c r="Q3217" s="1" t="str">
        <f>_xlfn.XLOOKUP(tblSales[[#This Row],[Channel Code]],tblChannels[Channel Code],tblChannels[Channel Name],"")</f>
        <v>In-store</v>
      </c>
      <c r="R3217" s="1">
        <f>MONTH(tblSales[[#This Row],[Date]])</f>
        <v>7</v>
      </c>
    </row>
    <row r="3218" spans="2:18" x14ac:dyDescent="0.35">
      <c r="B3218" s="113">
        <v>46215</v>
      </c>
      <c r="C3218" s="4" t="s">
        <v>2157</v>
      </c>
      <c r="D3218" s="4" t="s">
        <v>4568</v>
      </c>
      <c r="E3218" s="1" t="str">
        <f>_xlfn.XLOOKUP(tblSales[[#This Row],[Customer ID]],tblCustomers[Customer ID],tblCustomers[Customer Name],"⚠ Unknown")</f>
        <v>Walk-in Customer</v>
      </c>
      <c r="F3218" s="4" t="s">
        <v>7</v>
      </c>
      <c r="G3218" s="1" t="str">
        <f>_xlfn.XLOOKUP(tblSales[[#This Row],[Product Code]],tblProducts[Code],tblProducts[Product / Service Name],"⚠ Unknown")</f>
        <v>Premium Basic T-shirt</v>
      </c>
      <c r="H3218" s="1" t="str">
        <f>_xlfn.XLOOKUP(tblSales[[#This Row],[Product Code]],tblProducts[Code],tblProducts[Category],"")</f>
        <v>Accessories &amp; Basics</v>
      </c>
      <c r="I3218" s="4">
        <v>7</v>
      </c>
      <c r="J3218" s="5">
        <f>_xlfn.XLOOKUP(tblSales[[#This Row],[Product Code]],tblProducts[Code],tblProducts[Selling Price (excl. VAT)],0)</f>
        <v>65000</v>
      </c>
      <c r="K3218" s="5">
        <f>tblSales[[#This Row],[Qty]]*tblSales[[#This Row],[Unit Price]]</f>
        <v>455000</v>
      </c>
      <c r="L3218" s="5">
        <f>ROUND(tblSales[[#This Row],[DPP (excl. VAT)]]*VATEff,0)</f>
        <v>50050</v>
      </c>
      <c r="M3218" s="5">
        <f>tblSales[[#This Row],[DPP (excl. VAT)]]+tblSales[[#This Row],[Output VAT]]</f>
        <v>505050</v>
      </c>
      <c r="N3218" s="5">
        <f>tblSales[[#This Row],[Qty]]*_xlfn.XLOOKUP(tblSales[[#This Row],[Product Code]],tblProducts[Code],tblProducts[Unit Cost],0)</f>
        <v>259000</v>
      </c>
      <c r="O3218" s="4" t="s">
        <v>4866</v>
      </c>
      <c r="P3218" s="4" t="s">
        <v>4862</v>
      </c>
      <c r="Q3218" s="1" t="str">
        <f>_xlfn.XLOOKUP(tblSales[[#This Row],[Channel Code]],tblChannels[Channel Code],tblChannels[Channel Name],"")</f>
        <v>Website &amp; Social Media</v>
      </c>
      <c r="R3218" s="1">
        <f>MONTH(tblSales[[#This Row],[Date]])</f>
        <v>7</v>
      </c>
    </row>
    <row r="3219" spans="2:18" x14ac:dyDescent="0.35">
      <c r="B3219" s="113">
        <v>46215</v>
      </c>
      <c r="C3219" s="4" t="s">
        <v>2158</v>
      </c>
      <c r="D3219" s="4" t="s">
        <v>4568</v>
      </c>
      <c r="E3219" s="1" t="str">
        <f>_xlfn.XLOOKUP(tblSales[[#This Row],[Customer ID]],tblCustomers[Customer ID],tblCustomers[Customer Name],"⚠ Unknown")</f>
        <v>Walk-in Customer</v>
      </c>
      <c r="F3219" s="4" t="s">
        <v>8</v>
      </c>
      <c r="G3219" s="1" t="str">
        <f>_xlfn.XLOOKUP(tblSales[[#This Row],[Product Code]],tblProducts[Code],tblProducts[Product / Service Name],"⚠ Unknown")</f>
        <v>Casual Shorts</v>
      </c>
      <c r="H3219" s="1" t="str">
        <f>_xlfn.XLOOKUP(tblSales[[#This Row],[Product Code]],tblProducts[Code],tblProducts[Category],"")</f>
        <v>Accessories &amp; Basics</v>
      </c>
      <c r="I3219" s="4">
        <v>8</v>
      </c>
      <c r="J3219" s="5">
        <f>_xlfn.XLOOKUP(tblSales[[#This Row],[Product Code]],tblProducts[Code],tblProducts[Selling Price (excl. VAT)],0)</f>
        <v>85000</v>
      </c>
      <c r="K3219" s="5">
        <f>tblSales[[#This Row],[Qty]]*tblSales[[#This Row],[Unit Price]]</f>
        <v>680000</v>
      </c>
      <c r="L3219" s="5">
        <f>ROUND(tblSales[[#This Row],[DPP (excl. VAT)]]*VATEff,0)</f>
        <v>74800</v>
      </c>
      <c r="M3219" s="5">
        <f>tblSales[[#This Row],[DPP (excl. VAT)]]+tblSales[[#This Row],[Output VAT]]</f>
        <v>754800</v>
      </c>
      <c r="N3219" s="5">
        <f>tblSales[[#This Row],[Qty]]*_xlfn.XLOOKUP(tblSales[[#This Row],[Product Code]],tblProducts[Code],tblProducts[Unit Cost],0)</f>
        <v>400000</v>
      </c>
      <c r="O3219" s="4" t="s">
        <v>4866</v>
      </c>
      <c r="P3219" s="4" t="s">
        <v>4861</v>
      </c>
      <c r="Q3219" s="1" t="str">
        <f>_xlfn.XLOOKUP(tblSales[[#This Row],[Channel Code]],tblChannels[Channel Code],tblChannels[Channel Name],"")</f>
        <v>Marketplace</v>
      </c>
      <c r="R3219" s="1">
        <f>MONTH(tblSales[[#This Row],[Date]])</f>
        <v>7</v>
      </c>
    </row>
    <row r="3220" spans="2:18" x14ac:dyDescent="0.35">
      <c r="B3220" s="113">
        <v>46215</v>
      </c>
      <c r="C3220" s="4" t="s">
        <v>2159</v>
      </c>
      <c r="D3220" s="4" t="s">
        <v>4568</v>
      </c>
      <c r="E3220" s="1" t="str">
        <f>_xlfn.XLOOKUP(tblSales[[#This Row],[Customer ID]],tblCustomers[Customer ID],tblCustomers[Customer Name],"⚠ Unknown")</f>
        <v>Walk-in Customer</v>
      </c>
      <c r="F3220" s="4" t="s">
        <v>7</v>
      </c>
      <c r="G3220" s="1" t="str">
        <f>_xlfn.XLOOKUP(tblSales[[#This Row],[Product Code]],tblProducts[Code],tblProducts[Product / Service Name],"⚠ Unknown")</f>
        <v>Premium Basic T-shirt</v>
      </c>
      <c r="H3220" s="1" t="str">
        <f>_xlfn.XLOOKUP(tblSales[[#This Row],[Product Code]],tblProducts[Code],tblProducts[Category],"")</f>
        <v>Accessories &amp; Basics</v>
      </c>
      <c r="I3220" s="4">
        <v>11</v>
      </c>
      <c r="J3220" s="5">
        <f>_xlfn.XLOOKUP(tblSales[[#This Row],[Product Code]],tblProducts[Code],tblProducts[Selling Price (excl. VAT)],0)</f>
        <v>65000</v>
      </c>
      <c r="K3220" s="5">
        <f>tblSales[[#This Row],[Qty]]*tblSales[[#This Row],[Unit Price]]</f>
        <v>715000</v>
      </c>
      <c r="L3220" s="5">
        <f>ROUND(tblSales[[#This Row],[DPP (excl. VAT)]]*VATEff,0)</f>
        <v>78650</v>
      </c>
      <c r="M3220" s="5">
        <f>tblSales[[#This Row],[DPP (excl. VAT)]]+tblSales[[#This Row],[Output VAT]]</f>
        <v>793650</v>
      </c>
      <c r="N3220" s="5">
        <f>tblSales[[#This Row],[Qty]]*_xlfn.XLOOKUP(tblSales[[#This Row],[Product Code]],tblProducts[Code],tblProducts[Unit Cost],0)</f>
        <v>407000</v>
      </c>
      <c r="O3220" s="4" t="s">
        <v>4866</v>
      </c>
      <c r="P3220" s="4" t="s">
        <v>4862</v>
      </c>
      <c r="Q3220" s="1" t="str">
        <f>_xlfn.XLOOKUP(tblSales[[#This Row],[Channel Code]],tblChannels[Channel Code],tblChannels[Channel Name],"")</f>
        <v>Website &amp; Social Media</v>
      </c>
      <c r="R3220" s="1">
        <f>MONTH(tblSales[[#This Row],[Date]])</f>
        <v>7</v>
      </c>
    </row>
    <row r="3221" spans="2:18" x14ac:dyDescent="0.35">
      <c r="B3221" s="113">
        <v>46215</v>
      </c>
      <c r="C3221" s="4" t="s">
        <v>2160</v>
      </c>
      <c r="D3221" s="4" t="s">
        <v>4568</v>
      </c>
      <c r="E3221" s="1" t="str">
        <f>_xlfn.XLOOKUP(tblSales[[#This Row],[Customer ID]],tblCustomers[Customer ID],tblCustomers[Customer Name],"⚠ Unknown")</f>
        <v>Walk-in Customer</v>
      </c>
      <c r="F3221" s="4" t="s">
        <v>9</v>
      </c>
      <c r="G3221" s="1" t="str">
        <f>_xlfn.XLOOKUP(tblSales[[#This Row],[Product Code]],tblProducts[Code],tblProducts[Product / Service Name],"⚠ Unknown")</f>
        <v>Casual Shirt</v>
      </c>
      <c r="H3221" s="1" t="str">
        <f>_xlfn.XLOOKUP(tblSales[[#This Row],[Product Code]],tblProducts[Code],tblProducts[Category],"")</f>
        <v>Apparel &amp; Footwear</v>
      </c>
      <c r="I3221" s="4">
        <v>9</v>
      </c>
      <c r="J3221" s="5">
        <f>_xlfn.XLOOKUP(tblSales[[#This Row],[Product Code]],tblProducts[Code],tblProducts[Selling Price (excl. VAT)],0)</f>
        <v>120000</v>
      </c>
      <c r="K3221" s="5">
        <f>tblSales[[#This Row],[Qty]]*tblSales[[#This Row],[Unit Price]]</f>
        <v>1080000</v>
      </c>
      <c r="L3221" s="5">
        <f>ROUND(tblSales[[#This Row],[DPP (excl. VAT)]]*VATEff,0)</f>
        <v>118800</v>
      </c>
      <c r="M3221" s="5">
        <f>tblSales[[#This Row],[DPP (excl. VAT)]]+tblSales[[#This Row],[Output VAT]]</f>
        <v>1198800</v>
      </c>
      <c r="N3221" s="5">
        <f>tblSales[[#This Row],[Qty]]*_xlfn.XLOOKUP(tblSales[[#This Row],[Product Code]],tblProducts[Code],tblProducts[Unit Cost],0)</f>
        <v>648000</v>
      </c>
      <c r="O3221" s="4" t="s">
        <v>4865</v>
      </c>
      <c r="P3221" s="4" t="s">
        <v>4860</v>
      </c>
      <c r="Q3221" s="1" t="str">
        <f>_xlfn.XLOOKUP(tblSales[[#This Row],[Channel Code]],tblChannels[Channel Code],tblChannels[Channel Name],"")</f>
        <v>In-store</v>
      </c>
      <c r="R3221" s="1">
        <f>MONTH(tblSales[[#This Row],[Date]])</f>
        <v>7</v>
      </c>
    </row>
    <row r="3222" spans="2:18" x14ac:dyDescent="0.35">
      <c r="B3222" s="113">
        <v>46215</v>
      </c>
      <c r="C3222" s="4" t="s">
        <v>2161</v>
      </c>
      <c r="D3222" s="4" t="s">
        <v>4568</v>
      </c>
      <c r="E3222" s="1" t="str">
        <f>_xlfn.XLOOKUP(tblSales[[#This Row],[Customer ID]],tblCustomers[Customer ID],tblCustomers[Customer Name],"⚠ Unknown")</f>
        <v>Walk-in Customer</v>
      </c>
      <c r="F3222" s="4" t="s">
        <v>8</v>
      </c>
      <c r="G3222" s="1" t="str">
        <f>_xlfn.XLOOKUP(tblSales[[#This Row],[Product Code]],tblProducts[Code],tblProducts[Product / Service Name],"⚠ Unknown")</f>
        <v>Casual Shorts</v>
      </c>
      <c r="H3222" s="1" t="str">
        <f>_xlfn.XLOOKUP(tblSales[[#This Row],[Product Code]],tblProducts[Code],tblProducts[Category],"")</f>
        <v>Accessories &amp; Basics</v>
      </c>
      <c r="I3222" s="4">
        <v>3</v>
      </c>
      <c r="J3222" s="5">
        <f>_xlfn.XLOOKUP(tblSales[[#This Row],[Product Code]],tblProducts[Code],tblProducts[Selling Price (excl. VAT)],0)</f>
        <v>85000</v>
      </c>
      <c r="K3222" s="5">
        <f>tblSales[[#This Row],[Qty]]*tblSales[[#This Row],[Unit Price]]</f>
        <v>255000</v>
      </c>
      <c r="L3222" s="5">
        <f>ROUND(tblSales[[#This Row],[DPP (excl. VAT)]]*VATEff,0)</f>
        <v>28050</v>
      </c>
      <c r="M3222" s="5">
        <f>tblSales[[#This Row],[DPP (excl. VAT)]]+tblSales[[#This Row],[Output VAT]]</f>
        <v>283050</v>
      </c>
      <c r="N3222" s="5">
        <f>tblSales[[#This Row],[Qty]]*_xlfn.XLOOKUP(tblSales[[#This Row],[Product Code]],tblProducts[Code],tblProducts[Unit Cost],0)</f>
        <v>150000</v>
      </c>
      <c r="O3222" s="4" t="s">
        <v>4866</v>
      </c>
      <c r="P3222" s="4" t="s">
        <v>4860</v>
      </c>
      <c r="Q3222" s="1" t="str">
        <f>_xlfn.XLOOKUP(tblSales[[#This Row],[Channel Code]],tblChannels[Channel Code],tblChannels[Channel Name],"")</f>
        <v>In-store</v>
      </c>
      <c r="R3222" s="1">
        <f>MONTH(tblSales[[#This Row],[Date]])</f>
        <v>7</v>
      </c>
    </row>
    <row r="3223" spans="2:18" x14ac:dyDescent="0.35">
      <c r="B3223" s="113">
        <v>46215</v>
      </c>
      <c r="C3223" s="4" t="s">
        <v>2162</v>
      </c>
      <c r="D3223" s="4" t="s">
        <v>4568</v>
      </c>
      <c r="E3223" s="1" t="str">
        <f>_xlfn.XLOOKUP(tblSales[[#This Row],[Customer ID]],tblCustomers[Customer ID],tblCustomers[Customer Name],"⚠ Unknown")</f>
        <v>Walk-in Customer</v>
      </c>
      <c r="F3223" s="4" t="s">
        <v>10</v>
      </c>
      <c r="G3223" s="1" t="str">
        <f>_xlfn.XLOOKUP(tblSales[[#This Row],[Product Code]],tblProducts[Code],tblProducts[Product / Service Name],"⚠ Unknown")</f>
        <v>Chino Pants</v>
      </c>
      <c r="H3223" s="1" t="str">
        <f>_xlfn.XLOOKUP(tblSales[[#This Row],[Product Code]],tblProducts[Code],tblProducts[Category],"")</f>
        <v>Apparel &amp; Footwear</v>
      </c>
      <c r="I3223" s="4">
        <v>4</v>
      </c>
      <c r="J3223" s="5">
        <f>_xlfn.XLOOKUP(tblSales[[#This Row],[Product Code]],tblProducts[Code],tblProducts[Selling Price (excl. VAT)],0)</f>
        <v>150000</v>
      </c>
      <c r="K3223" s="5">
        <f>tblSales[[#This Row],[Qty]]*tblSales[[#This Row],[Unit Price]]</f>
        <v>600000</v>
      </c>
      <c r="L3223" s="5">
        <f>ROUND(tblSales[[#This Row],[DPP (excl. VAT)]]*VATEff,0)</f>
        <v>66000</v>
      </c>
      <c r="M3223" s="5">
        <f>tblSales[[#This Row],[DPP (excl. VAT)]]+tblSales[[#This Row],[Output VAT]]</f>
        <v>666000</v>
      </c>
      <c r="N3223" s="5">
        <f>tblSales[[#This Row],[Qty]]*_xlfn.XLOOKUP(tblSales[[#This Row],[Product Code]],tblProducts[Code],tblProducts[Unit Cost],0)</f>
        <v>352000</v>
      </c>
      <c r="O3223" s="4" t="s">
        <v>4866</v>
      </c>
      <c r="P3223" s="4" t="s">
        <v>4860</v>
      </c>
      <c r="Q3223" s="1" t="str">
        <f>_xlfn.XLOOKUP(tblSales[[#This Row],[Channel Code]],tblChannels[Channel Code],tblChannels[Channel Name],"")</f>
        <v>In-store</v>
      </c>
      <c r="R3223" s="1">
        <f>MONTH(tblSales[[#This Row],[Date]])</f>
        <v>7</v>
      </c>
    </row>
    <row r="3224" spans="2:18" x14ac:dyDescent="0.35">
      <c r="B3224" s="113">
        <v>46215</v>
      </c>
      <c r="C3224" s="4" t="s">
        <v>2163</v>
      </c>
      <c r="D3224" s="4" t="s">
        <v>4568</v>
      </c>
      <c r="E3224" s="1" t="str">
        <f>_xlfn.XLOOKUP(tblSales[[#This Row],[Customer ID]],tblCustomers[Customer ID],tblCustomers[Customer Name],"⚠ Unknown")</f>
        <v>Walk-in Customer</v>
      </c>
      <c r="F3224" s="4" t="s">
        <v>13</v>
      </c>
      <c r="G3224" s="1" t="str">
        <f>_xlfn.XLOOKUP(tblSales[[#This Row],[Product Code]],tblProducts[Code],tblProducts[Product / Service Name],"⚠ Unknown")</f>
        <v>Backpack</v>
      </c>
      <c r="H3224" s="1" t="str">
        <f>_xlfn.XLOOKUP(tblSales[[#This Row],[Product Code]],tblProducts[Code],tblProducts[Category],"")</f>
        <v>Bags &amp; Gadgets</v>
      </c>
      <c r="I3224" s="4">
        <v>1</v>
      </c>
      <c r="J3224" s="5">
        <f>_xlfn.XLOOKUP(tblSales[[#This Row],[Product Code]],tblProducts[Code],tblProducts[Selling Price (excl. VAT)],0)</f>
        <v>500000</v>
      </c>
      <c r="K3224" s="5">
        <f>tblSales[[#This Row],[Qty]]*tblSales[[#This Row],[Unit Price]]</f>
        <v>500000</v>
      </c>
      <c r="L3224" s="5">
        <f>ROUND(tblSales[[#This Row],[DPP (excl. VAT)]]*VATEff,0)</f>
        <v>55000</v>
      </c>
      <c r="M3224" s="5">
        <f>tblSales[[#This Row],[DPP (excl. VAT)]]+tblSales[[#This Row],[Output VAT]]</f>
        <v>555000</v>
      </c>
      <c r="N3224" s="5">
        <f>tblSales[[#This Row],[Qty]]*_xlfn.XLOOKUP(tblSales[[#This Row],[Product Code]],tblProducts[Code],tblProducts[Unit Cost],0)</f>
        <v>290000</v>
      </c>
      <c r="O3224" s="4" t="s">
        <v>4865</v>
      </c>
      <c r="P3224" s="4" t="s">
        <v>4860</v>
      </c>
      <c r="Q3224" s="1" t="str">
        <f>_xlfn.XLOOKUP(tblSales[[#This Row],[Channel Code]],tblChannels[Channel Code],tblChannels[Channel Name],"")</f>
        <v>In-store</v>
      </c>
      <c r="R3224" s="1">
        <f>MONTH(tblSales[[#This Row],[Date]])</f>
        <v>7</v>
      </c>
    </row>
    <row r="3225" spans="2:18" x14ac:dyDescent="0.35">
      <c r="B3225" s="113">
        <v>46215</v>
      </c>
      <c r="C3225" s="4" t="s">
        <v>2163</v>
      </c>
      <c r="D3225" s="4" t="s">
        <v>4568</v>
      </c>
      <c r="E3225" s="1" t="str">
        <f>_xlfn.XLOOKUP(tblSales[[#This Row],[Customer ID]],tblCustomers[Customer ID],tblCustomers[Customer Name],"⚠ Unknown")</f>
        <v>Walk-in Customer</v>
      </c>
      <c r="F3225" s="4" t="s">
        <v>10</v>
      </c>
      <c r="G3225" s="1" t="str">
        <f>_xlfn.XLOOKUP(tblSales[[#This Row],[Product Code]],tblProducts[Code],tblProducts[Product / Service Name],"⚠ Unknown")</f>
        <v>Chino Pants</v>
      </c>
      <c r="H3225" s="1" t="str">
        <f>_xlfn.XLOOKUP(tblSales[[#This Row],[Product Code]],tblProducts[Code],tblProducts[Category],"")</f>
        <v>Apparel &amp; Footwear</v>
      </c>
      <c r="I3225" s="4">
        <v>12</v>
      </c>
      <c r="J3225" s="5">
        <f>_xlfn.XLOOKUP(tblSales[[#This Row],[Product Code]],tblProducts[Code],tblProducts[Selling Price (excl. VAT)],0)</f>
        <v>150000</v>
      </c>
      <c r="K3225" s="5">
        <f>tblSales[[#This Row],[Qty]]*tblSales[[#This Row],[Unit Price]]</f>
        <v>1800000</v>
      </c>
      <c r="L3225" s="5">
        <f>ROUND(tblSales[[#This Row],[DPP (excl. VAT)]]*VATEff,0)</f>
        <v>198000</v>
      </c>
      <c r="M3225" s="5">
        <f>tblSales[[#This Row],[DPP (excl. VAT)]]+tblSales[[#This Row],[Output VAT]]</f>
        <v>1998000</v>
      </c>
      <c r="N3225" s="5">
        <f>tblSales[[#This Row],[Qty]]*_xlfn.XLOOKUP(tblSales[[#This Row],[Product Code]],tblProducts[Code],tblProducts[Unit Cost],0)</f>
        <v>1056000</v>
      </c>
      <c r="O3225" s="4" t="s">
        <v>4865</v>
      </c>
      <c r="P3225" s="4" t="s">
        <v>4860</v>
      </c>
      <c r="Q3225" s="1" t="str">
        <f>_xlfn.XLOOKUP(tblSales[[#This Row],[Channel Code]],tblChannels[Channel Code],tblChannels[Channel Name],"")</f>
        <v>In-store</v>
      </c>
      <c r="R3225" s="1">
        <f>MONTH(tblSales[[#This Row],[Date]])</f>
        <v>7</v>
      </c>
    </row>
    <row r="3226" spans="2:18" x14ac:dyDescent="0.35">
      <c r="B3226" s="113">
        <v>46215</v>
      </c>
      <c r="C3226" s="4" t="s">
        <v>2164</v>
      </c>
      <c r="D3226" s="4" t="s">
        <v>4572</v>
      </c>
      <c r="E3226" s="1" t="str">
        <f>_xlfn.XLOOKUP(tblSales[[#This Row],[Customer ID]],tblCustomers[Customer ID],tblCustomers[Customer Name],"⚠ Unknown")</f>
        <v>PT Cahaya Abadi Makmur</v>
      </c>
      <c r="F3226" s="4" t="s">
        <v>6</v>
      </c>
      <c r="G3226" s="1" t="str">
        <f>_xlfn.XLOOKUP(tblSales[[#This Row],[Product Code]],tblProducts[Code],tblProducts[Product / Service Name],"⚠ Unknown")</f>
        <v>Socks &amp; Accessories</v>
      </c>
      <c r="H3226" s="1" t="str">
        <f>_xlfn.XLOOKUP(tblSales[[#This Row],[Product Code]],tblProducts[Code],tblProducts[Category],"")</f>
        <v>Accessories &amp; Basics</v>
      </c>
      <c r="I3226" s="4">
        <v>8</v>
      </c>
      <c r="J3226" s="5">
        <f>_xlfn.XLOOKUP(tblSales[[#This Row],[Product Code]],tblProducts[Code],tblProducts[Selling Price (excl. VAT)],0)</f>
        <v>45000</v>
      </c>
      <c r="K3226" s="5">
        <f>tblSales[[#This Row],[Qty]]*tblSales[[#This Row],[Unit Price]]</f>
        <v>360000</v>
      </c>
      <c r="L3226" s="5">
        <f>ROUND(tblSales[[#This Row],[DPP (excl. VAT)]]*VATEff,0)</f>
        <v>39600</v>
      </c>
      <c r="M3226" s="5">
        <f>tblSales[[#This Row],[DPP (excl. VAT)]]+tblSales[[#This Row],[Output VAT]]</f>
        <v>399600</v>
      </c>
      <c r="N3226" s="5">
        <f>tblSales[[#This Row],[Qty]]*_xlfn.XLOOKUP(tblSales[[#This Row],[Product Code]],tblProducts[Code],tblProducts[Unit Cost],0)</f>
        <v>192000</v>
      </c>
      <c r="O3226" s="4" t="s">
        <v>4867</v>
      </c>
      <c r="P3226" s="4" t="s">
        <v>4862</v>
      </c>
      <c r="Q3226" s="1" t="str">
        <f>_xlfn.XLOOKUP(tblSales[[#This Row],[Channel Code]],tblChannels[Channel Code],tblChannels[Channel Name],"")</f>
        <v>Website &amp; Social Media</v>
      </c>
      <c r="R3226" s="1">
        <f>MONTH(tblSales[[#This Row],[Date]])</f>
        <v>7</v>
      </c>
    </row>
    <row r="3227" spans="2:18" x14ac:dyDescent="0.35">
      <c r="B3227" s="113">
        <v>46215</v>
      </c>
      <c r="C3227" s="4" t="s">
        <v>2165</v>
      </c>
      <c r="D3227" s="4" t="s">
        <v>4568</v>
      </c>
      <c r="E3227" s="1" t="str">
        <f>_xlfn.XLOOKUP(tblSales[[#This Row],[Customer ID]],tblCustomers[Customer ID],tblCustomers[Customer Name],"⚠ Unknown")</f>
        <v>Walk-in Customer</v>
      </c>
      <c r="F3227" s="4" t="s">
        <v>12</v>
      </c>
      <c r="G3227" s="1" t="str">
        <f>_xlfn.XLOOKUP(tblSales[[#This Row],[Product Code]],tblProducts[Code],tblProducts[Product / Service Name],"⚠ Unknown")</f>
        <v>Bomber Jacket</v>
      </c>
      <c r="H3227" s="1" t="str">
        <f>_xlfn.XLOOKUP(tblSales[[#This Row],[Product Code]],tblProducts[Code],tblProducts[Category],"")</f>
        <v>Apparel &amp; Footwear</v>
      </c>
      <c r="I3227" s="4">
        <v>1</v>
      </c>
      <c r="J3227" s="5">
        <f>_xlfn.XLOOKUP(tblSales[[#This Row],[Product Code]],tblProducts[Code],tblProducts[Selling Price (excl. VAT)],0)</f>
        <v>350000</v>
      </c>
      <c r="K3227" s="5">
        <f>tblSales[[#This Row],[Qty]]*tblSales[[#This Row],[Unit Price]]</f>
        <v>350000</v>
      </c>
      <c r="L3227" s="5">
        <f>ROUND(tblSales[[#This Row],[DPP (excl. VAT)]]*VATEff,0)</f>
        <v>38500</v>
      </c>
      <c r="M3227" s="5">
        <f>tblSales[[#This Row],[DPP (excl. VAT)]]+tblSales[[#This Row],[Output VAT]]</f>
        <v>388500</v>
      </c>
      <c r="N3227" s="5">
        <f>tblSales[[#This Row],[Qty]]*_xlfn.XLOOKUP(tblSales[[#This Row],[Product Code]],tblProducts[Code],tblProducts[Unit Cost],0)</f>
        <v>210000</v>
      </c>
      <c r="O3227" s="4" t="s">
        <v>4865</v>
      </c>
      <c r="P3227" s="4" t="s">
        <v>4860</v>
      </c>
      <c r="Q3227" s="1" t="str">
        <f>_xlfn.XLOOKUP(tblSales[[#This Row],[Channel Code]],tblChannels[Channel Code],tblChannels[Channel Name],"")</f>
        <v>In-store</v>
      </c>
      <c r="R3227" s="1">
        <f>MONTH(tblSales[[#This Row],[Date]])</f>
        <v>7</v>
      </c>
    </row>
    <row r="3228" spans="2:18" x14ac:dyDescent="0.35">
      <c r="B3228" s="113">
        <v>46215</v>
      </c>
      <c r="C3228" s="4" t="s">
        <v>2166</v>
      </c>
      <c r="D3228" s="4" t="s">
        <v>4568</v>
      </c>
      <c r="E3228" s="1" t="str">
        <f>_xlfn.XLOOKUP(tblSales[[#This Row],[Customer ID]],tblCustomers[Customer ID],tblCustomers[Customer Name],"⚠ Unknown")</f>
        <v>Walk-in Customer</v>
      </c>
      <c r="F3228" s="4" t="s">
        <v>11</v>
      </c>
      <c r="G3228" s="1" t="str">
        <f>_xlfn.XLOOKUP(tblSales[[#This Row],[Product Code]],tblProducts[Code],tblProducts[Product / Service Name],"⚠ Unknown")</f>
        <v>Sneakers</v>
      </c>
      <c r="H3228" s="1" t="str">
        <f>_xlfn.XLOOKUP(tblSales[[#This Row],[Product Code]],tblProducts[Code],tblProducts[Category],"")</f>
        <v>Apparel &amp; Footwear</v>
      </c>
      <c r="I3228" s="4">
        <v>6</v>
      </c>
      <c r="J3228" s="5">
        <f>_xlfn.XLOOKUP(tblSales[[#This Row],[Product Code]],tblProducts[Code],tblProducts[Selling Price (excl. VAT)],0)</f>
        <v>250000</v>
      </c>
      <c r="K3228" s="5">
        <f>tblSales[[#This Row],[Qty]]*tblSales[[#This Row],[Unit Price]]</f>
        <v>1500000</v>
      </c>
      <c r="L3228" s="5">
        <f>ROUND(tblSales[[#This Row],[DPP (excl. VAT)]]*VATEff,0)</f>
        <v>165000</v>
      </c>
      <c r="M3228" s="5">
        <f>tblSales[[#This Row],[DPP (excl. VAT)]]+tblSales[[#This Row],[Output VAT]]</f>
        <v>1665000</v>
      </c>
      <c r="N3228" s="5">
        <f>tblSales[[#This Row],[Qty]]*_xlfn.XLOOKUP(tblSales[[#This Row],[Product Code]],tblProducts[Code],tblProducts[Unit Cost],0)</f>
        <v>930000</v>
      </c>
      <c r="O3228" s="4" t="s">
        <v>4865</v>
      </c>
      <c r="P3228" s="4" t="s">
        <v>4860</v>
      </c>
      <c r="Q3228" s="1" t="str">
        <f>_xlfn.XLOOKUP(tblSales[[#This Row],[Channel Code]],tblChannels[Channel Code],tblChannels[Channel Name],"")</f>
        <v>In-store</v>
      </c>
      <c r="R3228" s="1">
        <f>MONTH(tblSales[[#This Row],[Date]])</f>
        <v>7</v>
      </c>
    </row>
    <row r="3229" spans="2:18" x14ac:dyDescent="0.35">
      <c r="B3229" s="113">
        <v>46215</v>
      </c>
      <c r="C3229" s="4" t="s">
        <v>2167</v>
      </c>
      <c r="D3229" s="4" t="s">
        <v>4568</v>
      </c>
      <c r="E3229" s="1" t="str">
        <f>_xlfn.XLOOKUP(tblSales[[#This Row],[Customer ID]],tblCustomers[Customer ID],tblCustomers[Customer Name],"⚠ Unknown")</f>
        <v>Walk-in Customer</v>
      </c>
      <c r="F3229" s="4" t="s">
        <v>6</v>
      </c>
      <c r="G3229" s="1" t="str">
        <f>_xlfn.XLOOKUP(tblSales[[#This Row],[Product Code]],tblProducts[Code],tblProducts[Product / Service Name],"⚠ Unknown")</f>
        <v>Socks &amp; Accessories</v>
      </c>
      <c r="H3229" s="1" t="str">
        <f>_xlfn.XLOOKUP(tblSales[[#This Row],[Product Code]],tblProducts[Code],tblProducts[Category],"")</f>
        <v>Accessories &amp; Basics</v>
      </c>
      <c r="I3229" s="4">
        <v>8</v>
      </c>
      <c r="J3229" s="5">
        <f>_xlfn.XLOOKUP(tblSales[[#This Row],[Product Code]],tblProducts[Code],tblProducts[Selling Price (excl. VAT)],0)</f>
        <v>45000</v>
      </c>
      <c r="K3229" s="5">
        <f>tblSales[[#This Row],[Qty]]*tblSales[[#This Row],[Unit Price]]</f>
        <v>360000</v>
      </c>
      <c r="L3229" s="5">
        <f>ROUND(tblSales[[#This Row],[DPP (excl. VAT)]]*VATEff,0)</f>
        <v>39600</v>
      </c>
      <c r="M3229" s="5">
        <f>tblSales[[#This Row],[DPP (excl. VAT)]]+tblSales[[#This Row],[Output VAT]]</f>
        <v>399600</v>
      </c>
      <c r="N3229" s="5">
        <f>tblSales[[#This Row],[Qty]]*_xlfn.XLOOKUP(tblSales[[#This Row],[Product Code]],tblProducts[Code],tblProducts[Unit Cost],0)</f>
        <v>192000</v>
      </c>
      <c r="O3229" s="4" t="s">
        <v>4866</v>
      </c>
      <c r="P3229" s="4" t="s">
        <v>4862</v>
      </c>
      <c r="Q3229" s="1" t="str">
        <f>_xlfn.XLOOKUP(tblSales[[#This Row],[Channel Code]],tblChannels[Channel Code],tblChannels[Channel Name],"")</f>
        <v>Website &amp; Social Media</v>
      </c>
      <c r="R3229" s="1">
        <f>MONTH(tblSales[[#This Row],[Date]])</f>
        <v>7</v>
      </c>
    </row>
    <row r="3230" spans="2:18" x14ac:dyDescent="0.35">
      <c r="B3230" s="113">
        <v>46215</v>
      </c>
      <c r="C3230" s="4" t="s">
        <v>2167</v>
      </c>
      <c r="D3230" s="4" t="s">
        <v>4568</v>
      </c>
      <c r="E3230" s="1" t="str">
        <f>_xlfn.XLOOKUP(tblSales[[#This Row],[Customer ID]],tblCustomers[Customer ID],tblCustomers[Customer Name],"⚠ Unknown")</f>
        <v>Walk-in Customer</v>
      </c>
      <c r="F3230" s="4" t="s">
        <v>7</v>
      </c>
      <c r="G3230" s="1" t="str">
        <f>_xlfn.XLOOKUP(tblSales[[#This Row],[Product Code]],tblProducts[Code],tblProducts[Product / Service Name],"⚠ Unknown")</f>
        <v>Premium Basic T-shirt</v>
      </c>
      <c r="H3230" s="1" t="str">
        <f>_xlfn.XLOOKUP(tblSales[[#This Row],[Product Code]],tblProducts[Code],tblProducts[Category],"")</f>
        <v>Accessories &amp; Basics</v>
      </c>
      <c r="I3230" s="4">
        <v>4</v>
      </c>
      <c r="J3230" s="5">
        <f>_xlfn.XLOOKUP(tblSales[[#This Row],[Product Code]],tblProducts[Code],tblProducts[Selling Price (excl. VAT)],0)</f>
        <v>65000</v>
      </c>
      <c r="K3230" s="5">
        <f>tblSales[[#This Row],[Qty]]*tblSales[[#This Row],[Unit Price]]</f>
        <v>260000</v>
      </c>
      <c r="L3230" s="5">
        <f>ROUND(tblSales[[#This Row],[DPP (excl. VAT)]]*VATEff,0)</f>
        <v>28600</v>
      </c>
      <c r="M3230" s="5">
        <f>tblSales[[#This Row],[DPP (excl. VAT)]]+tblSales[[#This Row],[Output VAT]]</f>
        <v>288600</v>
      </c>
      <c r="N3230" s="5">
        <f>tblSales[[#This Row],[Qty]]*_xlfn.XLOOKUP(tblSales[[#This Row],[Product Code]],tblProducts[Code],tblProducts[Unit Cost],0)</f>
        <v>148000</v>
      </c>
      <c r="O3230" s="4" t="s">
        <v>4866</v>
      </c>
      <c r="P3230" s="4" t="s">
        <v>4862</v>
      </c>
      <c r="Q3230" s="1" t="str">
        <f>_xlfn.XLOOKUP(tblSales[[#This Row],[Channel Code]],tblChannels[Channel Code],tblChannels[Channel Name],"")</f>
        <v>Website &amp; Social Media</v>
      </c>
      <c r="R3230" s="1">
        <f>MONTH(tblSales[[#This Row],[Date]])</f>
        <v>7</v>
      </c>
    </row>
    <row r="3231" spans="2:18" x14ac:dyDescent="0.35">
      <c r="B3231" s="113">
        <v>46215</v>
      </c>
      <c r="C3231" s="4" t="s">
        <v>2167</v>
      </c>
      <c r="D3231" s="4" t="s">
        <v>4568</v>
      </c>
      <c r="E3231" s="1" t="str">
        <f>_xlfn.XLOOKUP(tblSales[[#This Row],[Customer ID]],tblCustomers[Customer ID],tblCustomers[Customer Name],"⚠ Unknown")</f>
        <v>Walk-in Customer</v>
      </c>
      <c r="F3231" s="4" t="s">
        <v>8</v>
      </c>
      <c r="G3231" s="1" t="str">
        <f>_xlfn.XLOOKUP(tblSales[[#This Row],[Product Code]],tblProducts[Code],tblProducts[Product / Service Name],"⚠ Unknown")</f>
        <v>Casual Shorts</v>
      </c>
      <c r="H3231" s="1" t="str">
        <f>_xlfn.XLOOKUP(tblSales[[#This Row],[Product Code]],tblProducts[Code],tblProducts[Category],"")</f>
        <v>Accessories &amp; Basics</v>
      </c>
      <c r="I3231" s="4">
        <v>9</v>
      </c>
      <c r="J3231" s="5">
        <f>_xlfn.XLOOKUP(tblSales[[#This Row],[Product Code]],tblProducts[Code],tblProducts[Selling Price (excl. VAT)],0)</f>
        <v>85000</v>
      </c>
      <c r="K3231" s="5">
        <f>tblSales[[#This Row],[Qty]]*tblSales[[#This Row],[Unit Price]]</f>
        <v>765000</v>
      </c>
      <c r="L3231" s="5">
        <f>ROUND(tblSales[[#This Row],[DPP (excl. VAT)]]*VATEff,0)</f>
        <v>84150</v>
      </c>
      <c r="M3231" s="5">
        <f>tblSales[[#This Row],[DPP (excl. VAT)]]+tblSales[[#This Row],[Output VAT]]</f>
        <v>849150</v>
      </c>
      <c r="N3231" s="5">
        <f>tblSales[[#This Row],[Qty]]*_xlfn.XLOOKUP(tblSales[[#This Row],[Product Code]],tblProducts[Code],tblProducts[Unit Cost],0)</f>
        <v>450000</v>
      </c>
      <c r="O3231" s="4" t="s">
        <v>4866</v>
      </c>
      <c r="P3231" s="4" t="s">
        <v>4862</v>
      </c>
      <c r="Q3231" s="1" t="str">
        <f>_xlfn.XLOOKUP(tblSales[[#This Row],[Channel Code]],tblChannels[Channel Code],tblChannels[Channel Name],"")</f>
        <v>Website &amp; Social Media</v>
      </c>
      <c r="R3231" s="1">
        <f>MONTH(tblSales[[#This Row],[Date]])</f>
        <v>7</v>
      </c>
    </row>
    <row r="3232" spans="2:18" x14ac:dyDescent="0.35">
      <c r="B3232" s="113">
        <v>46215</v>
      </c>
      <c r="C3232" s="4" t="s">
        <v>2168</v>
      </c>
      <c r="D3232" s="4" t="s">
        <v>4568</v>
      </c>
      <c r="E3232" s="1" t="str">
        <f>_xlfn.XLOOKUP(tblSales[[#This Row],[Customer ID]],tblCustomers[Customer ID],tblCustomers[Customer Name],"⚠ Unknown")</f>
        <v>Walk-in Customer</v>
      </c>
      <c r="F3232" s="4" t="s">
        <v>6</v>
      </c>
      <c r="G3232" s="1" t="str">
        <f>_xlfn.XLOOKUP(tblSales[[#This Row],[Product Code]],tblProducts[Code],tblProducts[Product / Service Name],"⚠ Unknown")</f>
        <v>Socks &amp; Accessories</v>
      </c>
      <c r="H3232" s="1" t="str">
        <f>_xlfn.XLOOKUP(tblSales[[#This Row],[Product Code]],tblProducts[Code],tblProducts[Category],"")</f>
        <v>Accessories &amp; Basics</v>
      </c>
      <c r="I3232" s="4">
        <v>4</v>
      </c>
      <c r="J3232" s="5">
        <f>_xlfn.XLOOKUP(tblSales[[#This Row],[Product Code]],tblProducts[Code],tblProducts[Selling Price (excl. VAT)],0)</f>
        <v>45000</v>
      </c>
      <c r="K3232" s="5">
        <f>tblSales[[#This Row],[Qty]]*tblSales[[#This Row],[Unit Price]]</f>
        <v>180000</v>
      </c>
      <c r="L3232" s="5">
        <f>ROUND(tblSales[[#This Row],[DPP (excl. VAT)]]*VATEff,0)</f>
        <v>19800</v>
      </c>
      <c r="M3232" s="5">
        <f>tblSales[[#This Row],[DPP (excl. VAT)]]+tblSales[[#This Row],[Output VAT]]</f>
        <v>199800</v>
      </c>
      <c r="N3232" s="5">
        <f>tblSales[[#This Row],[Qty]]*_xlfn.XLOOKUP(tblSales[[#This Row],[Product Code]],tblProducts[Code],tblProducts[Unit Cost],0)</f>
        <v>96000</v>
      </c>
      <c r="O3232" s="4" t="s">
        <v>4866</v>
      </c>
      <c r="P3232" s="4" t="s">
        <v>4860</v>
      </c>
      <c r="Q3232" s="1" t="str">
        <f>_xlfn.XLOOKUP(tblSales[[#This Row],[Channel Code]],tblChannels[Channel Code],tblChannels[Channel Name],"")</f>
        <v>In-store</v>
      </c>
      <c r="R3232" s="1">
        <f>MONTH(tblSales[[#This Row],[Date]])</f>
        <v>7</v>
      </c>
    </row>
    <row r="3233" spans="2:18" x14ac:dyDescent="0.35">
      <c r="B3233" s="113">
        <v>46215</v>
      </c>
      <c r="C3233" s="4" t="s">
        <v>2169</v>
      </c>
      <c r="D3233" s="4" t="s">
        <v>4568</v>
      </c>
      <c r="E3233" s="1" t="str">
        <f>_xlfn.XLOOKUP(tblSales[[#This Row],[Customer ID]],tblCustomers[Customer ID],tblCustomers[Customer Name],"⚠ Unknown")</f>
        <v>Walk-in Customer</v>
      </c>
      <c r="F3233" s="4" t="s">
        <v>11</v>
      </c>
      <c r="G3233" s="1" t="str">
        <f>_xlfn.XLOOKUP(tblSales[[#This Row],[Product Code]],tblProducts[Code],tblProducts[Product / Service Name],"⚠ Unknown")</f>
        <v>Sneakers</v>
      </c>
      <c r="H3233" s="1" t="str">
        <f>_xlfn.XLOOKUP(tblSales[[#This Row],[Product Code]],tblProducts[Code],tblProducts[Category],"")</f>
        <v>Apparel &amp; Footwear</v>
      </c>
      <c r="I3233" s="4">
        <v>6</v>
      </c>
      <c r="J3233" s="5">
        <f>_xlfn.XLOOKUP(tblSales[[#This Row],[Product Code]],tblProducts[Code],tblProducts[Selling Price (excl. VAT)],0)</f>
        <v>250000</v>
      </c>
      <c r="K3233" s="5">
        <f>tblSales[[#This Row],[Qty]]*tblSales[[#This Row],[Unit Price]]</f>
        <v>1500000</v>
      </c>
      <c r="L3233" s="5">
        <f>ROUND(tblSales[[#This Row],[DPP (excl. VAT)]]*VATEff,0)</f>
        <v>165000</v>
      </c>
      <c r="M3233" s="5">
        <f>tblSales[[#This Row],[DPP (excl. VAT)]]+tblSales[[#This Row],[Output VAT]]</f>
        <v>1665000</v>
      </c>
      <c r="N3233" s="5">
        <f>tblSales[[#This Row],[Qty]]*_xlfn.XLOOKUP(tblSales[[#This Row],[Product Code]],tblProducts[Code],tblProducts[Unit Cost],0)</f>
        <v>930000</v>
      </c>
      <c r="O3233" s="4" t="s">
        <v>4865</v>
      </c>
      <c r="P3233" s="4" t="s">
        <v>4860</v>
      </c>
      <c r="Q3233" s="1" t="str">
        <f>_xlfn.XLOOKUP(tblSales[[#This Row],[Channel Code]],tblChannels[Channel Code],tblChannels[Channel Name],"")</f>
        <v>In-store</v>
      </c>
      <c r="R3233" s="1">
        <f>MONTH(tblSales[[#This Row],[Date]])</f>
        <v>7</v>
      </c>
    </row>
    <row r="3234" spans="2:18" x14ac:dyDescent="0.35">
      <c r="B3234" s="113">
        <v>46215</v>
      </c>
      <c r="C3234" s="4" t="s">
        <v>2170</v>
      </c>
      <c r="D3234" s="4" t="s">
        <v>4568</v>
      </c>
      <c r="E3234" s="1" t="str">
        <f>_xlfn.XLOOKUP(tblSales[[#This Row],[Customer ID]],tblCustomers[Customer ID],tblCustomers[Customer Name],"⚠ Unknown")</f>
        <v>Walk-in Customer</v>
      </c>
      <c r="F3234" s="4" t="s">
        <v>6</v>
      </c>
      <c r="G3234" s="1" t="str">
        <f>_xlfn.XLOOKUP(tblSales[[#This Row],[Product Code]],tblProducts[Code],tblProducts[Product / Service Name],"⚠ Unknown")</f>
        <v>Socks &amp; Accessories</v>
      </c>
      <c r="H3234" s="1" t="str">
        <f>_xlfn.XLOOKUP(tblSales[[#This Row],[Product Code]],tblProducts[Code],tblProducts[Category],"")</f>
        <v>Accessories &amp; Basics</v>
      </c>
      <c r="I3234" s="4">
        <v>8</v>
      </c>
      <c r="J3234" s="5">
        <f>_xlfn.XLOOKUP(tblSales[[#This Row],[Product Code]],tblProducts[Code],tblProducts[Selling Price (excl. VAT)],0)</f>
        <v>45000</v>
      </c>
      <c r="K3234" s="5">
        <f>tblSales[[#This Row],[Qty]]*tblSales[[#This Row],[Unit Price]]</f>
        <v>360000</v>
      </c>
      <c r="L3234" s="5">
        <f>ROUND(tblSales[[#This Row],[DPP (excl. VAT)]]*VATEff,0)</f>
        <v>39600</v>
      </c>
      <c r="M3234" s="5">
        <f>tblSales[[#This Row],[DPP (excl. VAT)]]+tblSales[[#This Row],[Output VAT]]</f>
        <v>399600</v>
      </c>
      <c r="N3234" s="5">
        <f>tblSales[[#This Row],[Qty]]*_xlfn.XLOOKUP(tblSales[[#This Row],[Product Code]],tblProducts[Code],tblProducts[Unit Cost],0)</f>
        <v>192000</v>
      </c>
      <c r="O3234" s="4" t="s">
        <v>4866</v>
      </c>
      <c r="P3234" s="4" t="s">
        <v>4860</v>
      </c>
      <c r="Q3234" s="1" t="str">
        <f>_xlfn.XLOOKUP(tblSales[[#This Row],[Channel Code]],tblChannels[Channel Code],tblChannels[Channel Name],"")</f>
        <v>In-store</v>
      </c>
      <c r="R3234" s="1">
        <f>MONTH(tblSales[[#This Row],[Date]])</f>
        <v>7</v>
      </c>
    </row>
    <row r="3235" spans="2:18" x14ac:dyDescent="0.35">
      <c r="B3235" s="113">
        <v>46216</v>
      </c>
      <c r="C3235" s="4" t="s">
        <v>2171</v>
      </c>
      <c r="D3235" s="4" t="s">
        <v>4568</v>
      </c>
      <c r="E3235" s="1" t="str">
        <f>_xlfn.XLOOKUP(tblSales[[#This Row],[Customer ID]],tblCustomers[Customer ID],tblCustomers[Customer Name],"⚠ Unknown")</f>
        <v>Walk-in Customer</v>
      </c>
      <c r="F3235" s="4" t="s">
        <v>13</v>
      </c>
      <c r="G3235" s="1" t="str">
        <f>_xlfn.XLOOKUP(tblSales[[#This Row],[Product Code]],tblProducts[Code],tblProducts[Product / Service Name],"⚠ Unknown")</f>
        <v>Backpack</v>
      </c>
      <c r="H3235" s="1" t="str">
        <f>_xlfn.XLOOKUP(tblSales[[#This Row],[Product Code]],tblProducts[Code],tblProducts[Category],"")</f>
        <v>Bags &amp; Gadgets</v>
      </c>
      <c r="I3235" s="4">
        <v>4</v>
      </c>
      <c r="J3235" s="5">
        <f>_xlfn.XLOOKUP(tblSales[[#This Row],[Product Code]],tblProducts[Code],tblProducts[Selling Price (excl. VAT)],0)</f>
        <v>500000</v>
      </c>
      <c r="K3235" s="5">
        <f>tblSales[[#This Row],[Qty]]*tblSales[[#This Row],[Unit Price]]</f>
        <v>2000000</v>
      </c>
      <c r="L3235" s="5">
        <f>ROUND(tblSales[[#This Row],[DPP (excl. VAT)]]*VATEff,0)</f>
        <v>220000</v>
      </c>
      <c r="M3235" s="5">
        <f>tblSales[[#This Row],[DPP (excl. VAT)]]+tblSales[[#This Row],[Output VAT]]</f>
        <v>2220000</v>
      </c>
      <c r="N3235" s="5">
        <f>tblSales[[#This Row],[Qty]]*_xlfn.XLOOKUP(tblSales[[#This Row],[Product Code]],tblProducts[Code],tblProducts[Unit Cost],0)</f>
        <v>1160000</v>
      </c>
      <c r="O3235" s="4" t="s">
        <v>4865</v>
      </c>
      <c r="P3235" s="4" t="s">
        <v>4860</v>
      </c>
      <c r="Q3235" s="1" t="str">
        <f>_xlfn.XLOOKUP(tblSales[[#This Row],[Channel Code]],tblChannels[Channel Code],tblChannels[Channel Name],"")</f>
        <v>In-store</v>
      </c>
      <c r="R3235" s="1">
        <f>MONTH(tblSales[[#This Row],[Date]])</f>
        <v>7</v>
      </c>
    </row>
    <row r="3236" spans="2:18" x14ac:dyDescent="0.35">
      <c r="B3236" s="113">
        <v>46216</v>
      </c>
      <c r="C3236" s="4" t="s">
        <v>2171</v>
      </c>
      <c r="D3236" s="4" t="s">
        <v>4568</v>
      </c>
      <c r="E3236" s="1" t="str">
        <f>_xlfn.XLOOKUP(tblSales[[#This Row],[Customer ID]],tblCustomers[Customer ID],tblCustomers[Customer Name],"⚠ Unknown")</f>
        <v>Walk-in Customer</v>
      </c>
      <c r="F3236" s="4" t="s">
        <v>6</v>
      </c>
      <c r="G3236" s="1" t="str">
        <f>_xlfn.XLOOKUP(tblSales[[#This Row],[Product Code]],tblProducts[Code],tblProducts[Product / Service Name],"⚠ Unknown")</f>
        <v>Socks &amp; Accessories</v>
      </c>
      <c r="H3236" s="1" t="str">
        <f>_xlfn.XLOOKUP(tblSales[[#This Row],[Product Code]],tblProducts[Code],tblProducts[Category],"")</f>
        <v>Accessories &amp; Basics</v>
      </c>
      <c r="I3236" s="4">
        <v>5</v>
      </c>
      <c r="J3236" s="5">
        <f>_xlfn.XLOOKUP(tblSales[[#This Row],[Product Code]],tblProducts[Code],tblProducts[Selling Price (excl. VAT)],0)</f>
        <v>45000</v>
      </c>
      <c r="K3236" s="5">
        <f>tblSales[[#This Row],[Qty]]*tblSales[[#This Row],[Unit Price]]</f>
        <v>225000</v>
      </c>
      <c r="L3236" s="5">
        <f>ROUND(tblSales[[#This Row],[DPP (excl. VAT)]]*VATEff,0)</f>
        <v>24750</v>
      </c>
      <c r="M3236" s="5">
        <f>tblSales[[#This Row],[DPP (excl. VAT)]]+tblSales[[#This Row],[Output VAT]]</f>
        <v>249750</v>
      </c>
      <c r="N3236" s="5">
        <f>tblSales[[#This Row],[Qty]]*_xlfn.XLOOKUP(tblSales[[#This Row],[Product Code]],tblProducts[Code],tblProducts[Unit Cost],0)</f>
        <v>120000</v>
      </c>
      <c r="O3236" s="4" t="s">
        <v>4865</v>
      </c>
      <c r="P3236" s="4" t="s">
        <v>4860</v>
      </c>
      <c r="Q3236" s="1" t="str">
        <f>_xlfn.XLOOKUP(tblSales[[#This Row],[Channel Code]],tblChannels[Channel Code],tblChannels[Channel Name],"")</f>
        <v>In-store</v>
      </c>
      <c r="R3236" s="1">
        <f>MONTH(tblSales[[#This Row],[Date]])</f>
        <v>7</v>
      </c>
    </row>
    <row r="3237" spans="2:18" x14ac:dyDescent="0.35">
      <c r="B3237" s="113">
        <v>46216</v>
      </c>
      <c r="C3237" s="4" t="s">
        <v>2172</v>
      </c>
      <c r="D3237" s="4" t="s">
        <v>4648</v>
      </c>
      <c r="E3237" s="1" t="str">
        <f>_xlfn.XLOOKUP(tblSales[[#This Row],[Customer ID]],tblCustomers[Customer ID],tblCustomers[Customer Name],"⚠ Unknown")</f>
        <v>PT Lintas Benua Niaga</v>
      </c>
      <c r="F3237" s="4" t="s">
        <v>12</v>
      </c>
      <c r="G3237" s="1" t="str">
        <f>_xlfn.XLOOKUP(tblSales[[#This Row],[Product Code]],tblProducts[Code],tblProducts[Product / Service Name],"⚠ Unknown")</f>
        <v>Bomber Jacket</v>
      </c>
      <c r="H3237" s="1" t="str">
        <f>_xlfn.XLOOKUP(tblSales[[#This Row],[Product Code]],tblProducts[Code],tblProducts[Category],"")</f>
        <v>Apparel &amp; Footwear</v>
      </c>
      <c r="I3237" s="4">
        <v>32</v>
      </c>
      <c r="J3237" s="5">
        <f>_xlfn.XLOOKUP(tblSales[[#This Row],[Product Code]],tblProducts[Code],tblProducts[Selling Price (excl. VAT)],0)</f>
        <v>350000</v>
      </c>
      <c r="K3237" s="5">
        <f>tblSales[[#This Row],[Qty]]*tblSales[[#This Row],[Unit Price]]</f>
        <v>11200000</v>
      </c>
      <c r="L3237" s="5">
        <f>ROUND(tblSales[[#This Row],[DPP (excl. VAT)]]*VATEff,0)</f>
        <v>1232000</v>
      </c>
      <c r="M3237" s="5">
        <f>tblSales[[#This Row],[DPP (excl. VAT)]]+tblSales[[#This Row],[Output VAT]]</f>
        <v>12432000</v>
      </c>
      <c r="N3237" s="5">
        <f>tblSales[[#This Row],[Qty]]*_xlfn.XLOOKUP(tblSales[[#This Row],[Product Code]],tblProducts[Code],tblProducts[Unit Cost],0)</f>
        <v>6720000</v>
      </c>
      <c r="O3237" s="4" t="s">
        <v>4867</v>
      </c>
      <c r="P3237" s="4" t="s">
        <v>4860</v>
      </c>
      <c r="Q3237" s="1" t="str">
        <f>_xlfn.XLOOKUP(tblSales[[#This Row],[Channel Code]],tblChannels[Channel Code],tblChannels[Channel Name],"")</f>
        <v>In-store</v>
      </c>
      <c r="R3237" s="1">
        <f>MONTH(tblSales[[#This Row],[Date]])</f>
        <v>7</v>
      </c>
    </row>
    <row r="3238" spans="2:18" x14ac:dyDescent="0.35">
      <c r="B3238" s="113">
        <v>46216</v>
      </c>
      <c r="C3238" s="4" t="s">
        <v>2173</v>
      </c>
      <c r="D3238" s="4" t="s">
        <v>4568</v>
      </c>
      <c r="E3238" s="1" t="str">
        <f>_xlfn.XLOOKUP(tblSales[[#This Row],[Customer ID]],tblCustomers[Customer ID],tblCustomers[Customer Name],"⚠ Unknown")</f>
        <v>Walk-in Customer</v>
      </c>
      <c r="F3238" s="4" t="s">
        <v>10</v>
      </c>
      <c r="G3238" s="1" t="str">
        <f>_xlfn.XLOOKUP(tblSales[[#This Row],[Product Code]],tblProducts[Code],tblProducts[Product / Service Name],"⚠ Unknown")</f>
        <v>Chino Pants</v>
      </c>
      <c r="H3238" s="1" t="str">
        <f>_xlfn.XLOOKUP(tblSales[[#This Row],[Product Code]],tblProducts[Code],tblProducts[Category],"")</f>
        <v>Apparel &amp; Footwear</v>
      </c>
      <c r="I3238" s="4">
        <v>6</v>
      </c>
      <c r="J3238" s="5">
        <f>_xlfn.XLOOKUP(tblSales[[#This Row],[Product Code]],tblProducts[Code],tblProducts[Selling Price (excl. VAT)],0)</f>
        <v>150000</v>
      </c>
      <c r="K3238" s="5">
        <f>tblSales[[#This Row],[Qty]]*tblSales[[#This Row],[Unit Price]]</f>
        <v>900000</v>
      </c>
      <c r="L3238" s="5">
        <f>ROUND(tblSales[[#This Row],[DPP (excl. VAT)]]*VATEff,0)</f>
        <v>99000</v>
      </c>
      <c r="M3238" s="5">
        <f>tblSales[[#This Row],[DPP (excl. VAT)]]+tblSales[[#This Row],[Output VAT]]</f>
        <v>999000</v>
      </c>
      <c r="N3238" s="5">
        <f>tblSales[[#This Row],[Qty]]*_xlfn.XLOOKUP(tblSales[[#This Row],[Product Code]],tblProducts[Code],tblProducts[Unit Cost],0)</f>
        <v>528000</v>
      </c>
      <c r="O3238" s="4" t="s">
        <v>4866</v>
      </c>
      <c r="P3238" s="4" t="s">
        <v>4861</v>
      </c>
      <c r="Q3238" s="1" t="str">
        <f>_xlfn.XLOOKUP(tblSales[[#This Row],[Channel Code]],tblChannels[Channel Code],tblChannels[Channel Name],"")</f>
        <v>Marketplace</v>
      </c>
      <c r="R3238" s="1">
        <f>MONTH(tblSales[[#This Row],[Date]])</f>
        <v>7</v>
      </c>
    </row>
    <row r="3239" spans="2:18" x14ac:dyDescent="0.35">
      <c r="B3239" s="113">
        <v>46216</v>
      </c>
      <c r="C3239" s="4" t="s">
        <v>2173</v>
      </c>
      <c r="D3239" s="4" t="s">
        <v>4568</v>
      </c>
      <c r="E3239" s="1" t="str">
        <f>_xlfn.XLOOKUP(tblSales[[#This Row],[Customer ID]],tblCustomers[Customer ID],tblCustomers[Customer Name],"⚠ Unknown")</f>
        <v>Walk-in Customer</v>
      </c>
      <c r="F3239" s="4" t="s">
        <v>8</v>
      </c>
      <c r="G3239" s="1" t="str">
        <f>_xlfn.XLOOKUP(tblSales[[#This Row],[Product Code]],tblProducts[Code],tblProducts[Product / Service Name],"⚠ Unknown")</f>
        <v>Casual Shorts</v>
      </c>
      <c r="H3239" s="1" t="str">
        <f>_xlfn.XLOOKUP(tblSales[[#This Row],[Product Code]],tblProducts[Code],tblProducts[Category],"")</f>
        <v>Accessories &amp; Basics</v>
      </c>
      <c r="I3239" s="4">
        <v>12</v>
      </c>
      <c r="J3239" s="5">
        <f>_xlfn.XLOOKUP(tblSales[[#This Row],[Product Code]],tblProducts[Code],tblProducts[Selling Price (excl. VAT)],0)</f>
        <v>85000</v>
      </c>
      <c r="K3239" s="5">
        <f>tblSales[[#This Row],[Qty]]*tblSales[[#This Row],[Unit Price]]</f>
        <v>1020000</v>
      </c>
      <c r="L3239" s="5">
        <f>ROUND(tblSales[[#This Row],[DPP (excl. VAT)]]*VATEff,0)</f>
        <v>112200</v>
      </c>
      <c r="M3239" s="5">
        <f>tblSales[[#This Row],[DPP (excl. VAT)]]+tblSales[[#This Row],[Output VAT]]</f>
        <v>1132200</v>
      </c>
      <c r="N3239" s="5">
        <f>tblSales[[#This Row],[Qty]]*_xlfn.XLOOKUP(tblSales[[#This Row],[Product Code]],tblProducts[Code],tblProducts[Unit Cost],0)</f>
        <v>600000</v>
      </c>
      <c r="O3239" s="4" t="s">
        <v>4866</v>
      </c>
      <c r="P3239" s="4" t="s">
        <v>4861</v>
      </c>
      <c r="Q3239" s="1" t="str">
        <f>_xlfn.XLOOKUP(tblSales[[#This Row],[Channel Code]],tblChannels[Channel Code],tblChannels[Channel Name],"")</f>
        <v>Marketplace</v>
      </c>
      <c r="R3239" s="1">
        <f>MONTH(tblSales[[#This Row],[Date]])</f>
        <v>7</v>
      </c>
    </row>
    <row r="3240" spans="2:18" x14ac:dyDescent="0.35">
      <c r="B3240" s="113">
        <v>46216</v>
      </c>
      <c r="C3240" s="4" t="s">
        <v>2174</v>
      </c>
      <c r="D3240" s="4" t="s">
        <v>4620</v>
      </c>
      <c r="E3240" s="1" t="str">
        <f>_xlfn.XLOOKUP(tblSales[[#This Row],[Customer ID]],tblCustomers[Customer ID],tblCustomers[Customer Name],"⚠ Unknown")</f>
        <v>CV Sumber Rejeki Utama</v>
      </c>
      <c r="F3240" s="4" t="s">
        <v>14</v>
      </c>
      <c r="G3240" s="1" t="str">
        <f>_xlfn.XLOOKUP(tblSales[[#This Row],[Product Code]],tblProducts[Code],tblProducts[Product / Service Name],"⚠ Unknown")</f>
        <v>Smartwatch</v>
      </c>
      <c r="H3240" s="1" t="str">
        <f>_xlfn.XLOOKUP(tblSales[[#This Row],[Product Code]],tblProducts[Code],tblProducts[Category],"")</f>
        <v>Bags &amp; Gadgets</v>
      </c>
      <c r="I3240" s="4">
        <v>24</v>
      </c>
      <c r="J3240" s="5">
        <f>_xlfn.XLOOKUP(tblSales[[#This Row],[Product Code]],tblProducts[Code],tblProducts[Selling Price (excl. VAT)],0)</f>
        <v>850000</v>
      </c>
      <c r="K3240" s="5">
        <f>tblSales[[#This Row],[Qty]]*tblSales[[#This Row],[Unit Price]]</f>
        <v>20400000</v>
      </c>
      <c r="L3240" s="5">
        <f>ROUND(tblSales[[#This Row],[DPP (excl. VAT)]]*VATEff,0)</f>
        <v>2244000</v>
      </c>
      <c r="M3240" s="5">
        <f>tblSales[[#This Row],[DPP (excl. VAT)]]+tblSales[[#This Row],[Output VAT]]</f>
        <v>22644000</v>
      </c>
      <c r="N3240" s="5">
        <f>tblSales[[#This Row],[Qty]]*_xlfn.XLOOKUP(tblSales[[#This Row],[Product Code]],tblProducts[Code],tblProducts[Unit Cost],0)</f>
        <v>13440000</v>
      </c>
      <c r="O3240" s="4" t="s">
        <v>4867</v>
      </c>
      <c r="P3240" s="4" t="s">
        <v>4862</v>
      </c>
      <c r="Q3240" s="1" t="str">
        <f>_xlfn.XLOOKUP(tblSales[[#This Row],[Channel Code]],tblChannels[Channel Code],tblChannels[Channel Name],"")</f>
        <v>Website &amp; Social Media</v>
      </c>
      <c r="R3240" s="1">
        <f>MONTH(tblSales[[#This Row],[Date]])</f>
        <v>7</v>
      </c>
    </row>
    <row r="3241" spans="2:18" x14ac:dyDescent="0.35">
      <c r="B3241" s="113">
        <v>46216</v>
      </c>
      <c r="C3241" s="4" t="s">
        <v>2175</v>
      </c>
      <c r="D3241" s="4" t="s">
        <v>4634</v>
      </c>
      <c r="E3241" s="1" t="str">
        <f>_xlfn.XLOOKUP(tblSales[[#This Row],[Customer ID]],tblCustomers[Customer ID],tblCustomers[Customer Name],"⚠ Unknown")</f>
        <v>PT Delta Inti Selaras</v>
      </c>
      <c r="F3241" s="4" t="s">
        <v>6</v>
      </c>
      <c r="G3241" s="1" t="str">
        <f>_xlfn.XLOOKUP(tblSales[[#This Row],[Product Code]],tblProducts[Code],tblProducts[Product / Service Name],"⚠ Unknown")</f>
        <v>Socks &amp; Accessories</v>
      </c>
      <c r="H3241" s="1" t="str">
        <f>_xlfn.XLOOKUP(tblSales[[#This Row],[Product Code]],tblProducts[Code],tblProducts[Category],"")</f>
        <v>Accessories &amp; Basics</v>
      </c>
      <c r="I3241" s="4">
        <v>56</v>
      </c>
      <c r="J3241" s="5">
        <f>_xlfn.XLOOKUP(tblSales[[#This Row],[Product Code]],tblProducts[Code],tblProducts[Selling Price (excl. VAT)],0)</f>
        <v>45000</v>
      </c>
      <c r="K3241" s="5">
        <f>tblSales[[#This Row],[Qty]]*tblSales[[#This Row],[Unit Price]]</f>
        <v>2520000</v>
      </c>
      <c r="L3241" s="5">
        <f>ROUND(tblSales[[#This Row],[DPP (excl. VAT)]]*VATEff,0)</f>
        <v>277200</v>
      </c>
      <c r="M3241" s="5">
        <f>tblSales[[#This Row],[DPP (excl. VAT)]]+tblSales[[#This Row],[Output VAT]]</f>
        <v>2797200</v>
      </c>
      <c r="N3241" s="5">
        <f>tblSales[[#This Row],[Qty]]*_xlfn.XLOOKUP(tblSales[[#This Row],[Product Code]],tblProducts[Code],tblProducts[Unit Cost],0)</f>
        <v>1344000</v>
      </c>
      <c r="O3241" s="4" t="s">
        <v>4867</v>
      </c>
      <c r="P3241" s="4" t="s">
        <v>4862</v>
      </c>
      <c r="Q3241" s="1" t="str">
        <f>_xlfn.XLOOKUP(tblSales[[#This Row],[Channel Code]],tblChannels[Channel Code],tblChannels[Channel Name],"")</f>
        <v>Website &amp; Social Media</v>
      </c>
      <c r="R3241" s="1">
        <f>MONTH(tblSales[[#This Row],[Date]])</f>
        <v>7</v>
      </c>
    </row>
    <row r="3242" spans="2:18" x14ac:dyDescent="0.35">
      <c r="B3242" s="113">
        <v>46216</v>
      </c>
      <c r="C3242" s="4" t="s">
        <v>2176</v>
      </c>
      <c r="D3242" s="4" t="s">
        <v>4568</v>
      </c>
      <c r="E3242" s="1" t="str">
        <f>_xlfn.XLOOKUP(tblSales[[#This Row],[Customer ID]],tblCustomers[Customer ID],tblCustomers[Customer Name],"⚠ Unknown")</f>
        <v>Walk-in Customer</v>
      </c>
      <c r="F3242" s="4" t="s">
        <v>8</v>
      </c>
      <c r="G3242" s="1" t="str">
        <f>_xlfn.XLOOKUP(tblSales[[#This Row],[Product Code]],tblProducts[Code],tblProducts[Product / Service Name],"⚠ Unknown")</f>
        <v>Casual Shorts</v>
      </c>
      <c r="H3242" s="1" t="str">
        <f>_xlfn.XLOOKUP(tblSales[[#This Row],[Product Code]],tblProducts[Code],tblProducts[Category],"")</f>
        <v>Accessories &amp; Basics</v>
      </c>
      <c r="I3242" s="4">
        <v>12</v>
      </c>
      <c r="J3242" s="5">
        <f>_xlfn.XLOOKUP(tblSales[[#This Row],[Product Code]],tblProducts[Code],tblProducts[Selling Price (excl. VAT)],0)</f>
        <v>85000</v>
      </c>
      <c r="K3242" s="5">
        <f>tblSales[[#This Row],[Qty]]*tblSales[[#This Row],[Unit Price]]</f>
        <v>1020000</v>
      </c>
      <c r="L3242" s="5">
        <f>ROUND(tblSales[[#This Row],[DPP (excl. VAT)]]*VATEff,0)</f>
        <v>112200</v>
      </c>
      <c r="M3242" s="5">
        <f>tblSales[[#This Row],[DPP (excl. VAT)]]+tblSales[[#This Row],[Output VAT]]</f>
        <v>1132200</v>
      </c>
      <c r="N3242" s="5">
        <f>tblSales[[#This Row],[Qty]]*_xlfn.XLOOKUP(tblSales[[#This Row],[Product Code]],tblProducts[Code],tblProducts[Unit Cost],0)</f>
        <v>600000</v>
      </c>
      <c r="O3242" s="4" t="s">
        <v>4866</v>
      </c>
      <c r="P3242" s="4" t="s">
        <v>4860</v>
      </c>
      <c r="Q3242" s="1" t="str">
        <f>_xlfn.XLOOKUP(tblSales[[#This Row],[Channel Code]],tblChannels[Channel Code],tblChannels[Channel Name],"")</f>
        <v>In-store</v>
      </c>
      <c r="R3242" s="1">
        <f>MONTH(tblSales[[#This Row],[Date]])</f>
        <v>7</v>
      </c>
    </row>
    <row r="3243" spans="2:18" x14ac:dyDescent="0.35">
      <c r="B3243" s="113">
        <v>46216</v>
      </c>
      <c r="C3243" s="4" t="s">
        <v>2176</v>
      </c>
      <c r="D3243" s="4" t="s">
        <v>4568</v>
      </c>
      <c r="E3243" s="1" t="str">
        <f>_xlfn.XLOOKUP(tblSales[[#This Row],[Customer ID]],tblCustomers[Customer ID],tblCustomers[Customer Name],"⚠ Unknown")</f>
        <v>Walk-in Customer</v>
      </c>
      <c r="F3243" s="4" t="s">
        <v>13</v>
      </c>
      <c r="G3243" s="1" t="str">
        <f>_xlfn.XLOOKUP(tblSales[[#This Row],[Product Code]],tblProducts[Code],tblProducts[Product / Service Name],"⚠ Unknown")</f>
        <v>Backpack</v>
      </c>
      <c r="H3243" s="1" t="str">
        <f>_xlfn.XLOOKUP(tblSales[[#This Row],[Product Code]],tblProducts[Code],tblProducts[Category],"")</f>
        <v>Bags &amp; Gadgets</v>
      </c>
      <c r="I3243" s="4">
        <v>2</v>
      </c>
      <c r="J3243" s="5">
        <f>_xlfn.XLOOKUP(tblSales[[#This Row],[Product Code]],tblProducts[Code],tblProducts[Selling Price (excl. VAT)],0)</f>
        <v>500000</v>
      </c>
      <c r="K3243" s="5">
        <f>tblSales[[#This Row],[Qty]]*tblSales[[#This Row],[Unit Price]]</f>
        <v>1000000</v>
      </c>
      <c r="L3243" s="5">
        <f>ROUND(tblSales[[#This Row],[DPP (excl. VAT)]]*VATEff,0)</f>
        <v>110000</v>
      </c>
      <c r="M3243" s="5">
        <f>tblSales[[#This Row],[DPP (excl. VAT)]]+tblSales[[#This Row],[Output VAT]]</f>
        <v>1110000</v>
      </c>
      <c r="N3243" s="5">
        <f>tblSales[[#This Row],[Qty]]*_xlfn.XLOOKUP(tblSales[[#This Row],[Product Code]],tblProducts[Code],tblProducts[Unit Cost],0)</f>
        <v>580000</v>
      </c>
      <c r="O3243" s="4" t="s">
        <v>4866</v>
      </c>
      <c r="P3243" s="4" t="s">
        <v>4860</v>
      </c>
      <c r="Q3243" s="1" t="str">
        <f>_xlfn.XLOOKUP(tblSales[[#This Row],[Channel Code]],tblChannels[Channel Code],tblChannels[Channel Name],"")</f>
        <v>In-store</v>
      </c>
      <c r="R3243" s="1">
        <f>MONTH(tblSales[[#This Row],[Date]])</f>
        <v>7</v>
      </c>
    </row>
    <row r="3244" spans="2:18" x14ac:dyDescent="0.35">
      <c r="B3244" s="113">
        <v>46216</v>
      </c>
      <c r="C3244" s="4" t="s">
        <v>2177</v>
      </c>
      <c r="D3244" s="4" t="s">
        <v>4568</v>
      </c>
      <c r="E3244" s="1" t="str">
        <f>_xlfn.XLOOKUP(tblSales[[#This Row],[Customer ID]],tblCustomers[Customer ID],tblCustomers[Customer Name],"⚠ Unknown")</f>
        <v>Walk-in Customer</v>
      </c>
      <c r="F3244" s="4" t="s">
        <v>9</v>
      </c>
      <c r="G3244" s="1" t="str">
        <f>_xlfn.XLOOKUP(tblSales[[#This Row],[Product Code]],tblProducts[Code],tblProducts[Product / Service Name],"⚠ Unknown")</f>
        <v>Casual Shirt</v>
      </c>
      <c r="H3244" s="1" t="str">
        <f>_xlfn.XLOOKUP(tblSales[[#This Row],[Product Code]],tblProducts[Code],tblProducts[Category],"")</f>
        <v>Apparel &amp; Footwear</v>
      </c>
      <c r="I3244" s="4">
        <v>3</v>
      </c>
      <c r="J3244" s="5">
        <f>_xlfn.XLOOKUP(tblSales[[#This Row],[Product Code]],tblProducts[Code],tblProducts[Selling Price (excl. VAT)],0)</f>
        <v>120000</v>
      </c>
      <c r="K3244" s="5">
        <f>tblSales[[#This Row],[Qty]]*tblSales[[#This Row],[Unit Price]]</f>
        <v>360000</v>
      </c>
      <c r="L3244" s="5">
        <f>ROUND(tblSales[[#This Row],[DPP (excl. VAT)]]*VATEff,0)</f>
        <v>39600</v>
      </c>
      <c r="M3244" s="5">
        <f>tblSales[[#This Row],[DPP (excl. VAT)]]+tblSales[[#This Row],[Output VAT]]</f>
        <v>399600</v>
      </c>
      <c r="N3244" s="5">
        <f>tblSales[[#This Row],[Qty]]*_xlfn.XLOOKUP(tblSales[[#This Row],[Product Code]],tblProducts[Code],tblProducts[Unit Cost],0)</f>
        <v>216000</v>
      </c>
      <c r="O3244" s="4" t="s">
        <v>4866</v>
      </c>
      <c r="P3244" s="4" t="s">
        <v>4862</v>
      </c>
      <c r="Q3244" s="1" t="str">
        <f>_xlfn.XLOOKUP(tblSales[[#This Row],[Channel Code]],tblChannels[Channel Code],tblChannels[Channel Name],"")</f>
        <v>Website &amp; Social Media</v>
      </c>
      <c r="R3244" s="1">
        <f>MONTH(tblSales[[#This Row],[Date]])</f>
        <v>7</v>
      </c>
    </row>
    <row r="3245" spans="2:18" x14ac:dyDescent="0.35">
      <c r="B3245" s="113">
        <v>46216</v>
      </c>
      <c r="C3245" s="4" t="s">
        <v>2177</v>
      </c>
      <c r="D3245" s="4" t="s">
        <v>4568</v>
      </c>
      <c r="E3245" s="1" t="str">
        <f>_xlfn.XLOOKUP(tblSales[[#This Row],[Customer ID]],tblCustomers[Customer ID],tblCustomers[Customer Name],"⚠ Unknown")</f>
        <v>Walk-in Customer</v>
      </c>
      <c r="F3245" s="4" t="s">
        <v>7</v>
      </c>
      <c r="G3245" s="1" t="str">
        <f>_xlfn.XLOOKUP(tblSales[[#This Row],[Product Code]],tblProducts[Code],tblProducts[Product / Service Name],"⚠ Unknown")</f>
        <v>Premium Basic T-shirt</v>
      </c>
      <c r="H3245" s="1" t="str">
        <f>_xlfn.XLOOKUP(tblSales[[#This Row],[Product Code]],tblProducts[Code],tblProducts[Category],"")</f>
        <v>Accessories &amp; Basics</v>
      </c>
      <c r="I3245" s="4">
        <v>1</v>
      </c>
      <c r="J3245" s="5">
        <f>_xlfn.XLOOKUP(tblSales[[#This Row],[Product Code]],tblProducts[Code],tblProducts[Selling Price (excl. VAT)],0)</f>
        <v>65000</v>
      </c>
      <c r="K3245" s="5">
        <f>tblSales[[#This Row],[Qty]]*tblSales[[#This Row],[Unit Price]]</f>
        <v>65000</v>
      </c>
      <c r="L3245" s="5">
        <f>ROUND(tblSales[[#This Row],[DPP (excl. VAT)]]*VATEff,0)</f>
        <v>7150</v>
      </c>
      <c r="M3245" s="5">
        <f>tblSales[[#This Row],[DPP (excl. VAT)]]+tblSales[[#This Row],[Output VAT]]</f>
        <v>72150</v>
      </c>
      <c r="N3245" s="5">
        <f>tblSales[[#This Row],[Qty]]*_xlfn.XLOOKUP(tblSales[[#This Row],[Product Code]],tblProducts[Code],tblProducts[Unit Cost],0)</f>
        <v>37000</v>
      </c>
      <c r="O3245" s="4" t="s">
        <v>4866</v>
      </c>
      <c r="P3245" s="4" t="s">
        <v>4862</v>
      </c>
      <c r="Q3245" s="1" t="str">
        <f>_xlfn.XLOOKUP(tblSales[[#This Row],[Channel Code]],tblChannels[Channel Code],tblChannels[Channel Name],"")</f>
        <v>Website &amp; Social Media</v>
      </c>
      <c r="R3245" s="1">
        <f>MONTH(tblSales[[#This Row],[Date]])</f>
        <v>7</v>
      </c>
    </row>
    <row r="3246" spans="2:18" x14ac:dyDescent="0.35">
      <c r="B3246" s="113">
        <v>46216</v>
      </c>
      <c r="C3246" s="4" t="s">
        <v>2178</v>
      </c>
      <c r="D3246" s="4" t="s">
        <v>4572</v>
      </c>
      <c r="E3246" s="1" t="str">
        <f>_xlfn.XLOOKUP(tblSales[[#This Row],[Customer ID]],tblCustomers[Customer ID],tblCustomers[Customer Name],"⚠ Unknown")</f>
        <v>PT Cahaya Abadi Makmur</v>
      </c>
      <c r="F3246" s="4" t="s">
        <v>9</v>
      </c>
      <c r="G3246" s="1" t="str">
        <f>_xlfn.XLOOKUP(tblSales[[#This Row],[Product Code]],tblProducts[Code],tblProducts[Product / Service Name],"⚠ Unknown")</f>
        <v>Casual Shirt</v>
      </c>
      <c r="H3246" s="1" t="str">
        <f>_xlfn.XLOOKUP(tblSales[[#This Row],[Product Code]],tblProducts[Code],tblProducts[Category],"")</f>
        <v>Apparel &amp; Footwear</v>
      </c>
      <c r="I3246" s="4">
        <v>88</v>
      </c>
      <c r="J3246" s="5">
        <f>_xlfn.XLOOKUP(tblSales[[#This Row],[Product Code]],tblProducts[Code],tblProducts[Selling Price (excl. VAT)],0)</f>
        <v>120000</v>
      </c>
      <c r="K3246" s="5">
        <f>tblSales[[#This Row],[Qty]]*tblSales[[#This Row],[Unit Price]]</f>
        <v>10560000</v>
      </c>
      <c r="L3246" s="5">
        <f>ROUND(tblSales[[#This Row],[DPP (excl. VAT)]]*VATEff,0)</f>
        <v>1161600</v>
      </c>
      <c r="M3246" s="5">
        <f>tblSales[[#This Row],[DPP (excl. VAT)]]+tblSales[[#This Row],[Output VAT]]</f>
        <v>11721600</v>
      </c>
      <c r="N3246" s="5">
        <f>tblSales[[#This Row],[Qty]]*_xlfn.XLOOKUP(tblSales[[#This Row],[Product Code]],tblProducts[Code],tblProducts[Unit Cost],0)</f>
        <v>6336000</v>
      </c>
      <c r="O3246" s="4" t="s">
        <v>4867</v>
      </c>
      <c r="P3246" s="4" t="s">
        <v>4862</v>
      </c>
      <c r="Q3246" s="1" t="str">
        <f>_xlfn.XLOOKUP(tblSales[[#This Row],[Channel Code]],tblChannels[Channel Code],tblChannels[Channel Name],"")</f>
        <v>Website &amp; Social Media</v>
      </c>
      <c r="R3246" s="1">
        <f>MONTH(tblSales[[#This Row],[Date]])</f>
        <v>7</v>
      </c>
    </row>
    <row r="3247" spans="2:18" x14ac:dyDescent="0.35">
      <c r="B3247" s="113">
        <v>46216</v>
      </c>
      <c r="C3247" s="4" t="s">
        <v>2178</v>
      </c>
      <c r="D3247" s="4" t="s">
        <v>4572</v>
      </c>
      <c r="E3247" s="1" t="str">
        <f>_xlfn.XLOOKUP(tblSales[[#This Row],[Customer ID]],tblCustomers[Customer ID],tblCustomers[Customer Name],"⚠ Unknown")</f>
        <v>PT Cahaya Abadi Makmur</v>
      </c>
      <c r="F3247" s="4" t="s">
        <v>12</v>
      </c>
      <c r="G3247" s="1" t="str">
        <f>_xlfn.XLOOKUP(tblSales[[#This Row],[Product Code]],tblProducts[Code],tblProducts[Product / Service Name],"⚠ Unknown")</f>
        <v>Bomber Jacket</v>
      </c>
      <c r="H3247" s="1" t="str">
        <f>_xlfn.XLOOKUP(tblSales[[#This Row],[Product Code]],tblProducts[Code],tblProducts[Category],"")</f>
        <v>Apparel &amp; Footwear</v>
      </c>
      <c r="I3247" s="4">
        <v>40</v>
      </c>
      <c r="J3247" s="5">
        <f>_xlfn.XLOOKUP(tblSales[[#This Row],[Product Code]],tblProducts[Code],tblProducts[Selling Price (excl. VAT)],0)</f>
        <v>350000</v>
      </c>
      <c r="K3247" s="5">
        <f>tblSales[[#This Row],[Qty]]*tblSales[[#This Row],[Unit Price]]</f>
        <v>14000000</v>
      </c>
      <c r="L3247" s="5">
        <f>ROUND(tblSales[[#This Row],[DPP (excl. VAT)]]*VATEff,0)</f>
        <v>1540000</v>
      </c>
      <c r="M3247" s="5">
        <f>tblSales[[#This Row],[DPP (excl. VAT)]]+tblSales[[#This Row],[Output VAT]]</f>
        <v>15540000</v>
      </c>
      <c r="N3247" s="5">
        <f>tblSales[[#This Row],[Qty]]*_xlfn.XLOOKUP(tblSales[[#This Row],[Product Code]],tblProducts[Code],tblProducts[Unit Cost],0)</f>
        <v>8400000</v>
      </c>
      <c r="O3247" s="4" t="s">
        <v>4867</v>
      </c>
      <c r="P3247" s="4" t="s">
        <v>4862</v>
      </c>
      <c r="Q3247" s="1" t="str">
        <f>_xlfn.XLOOKUP(tblSales[[#This Row],[Channel Code]],tblChannels[Channel Code],tblChannels[Channel Name],"")</f>
        <v>Website &amp; Social Media</v>
      </c>
      <c r="R3247" s="1">
        <f>MONTH(tblSales[[#This Row],[Date]])</f>
        <v>7</v>
      </c>
    </row>
    <row r="3248" spans="2:18" x14ac:dyDescent="0.35">
      <c r="B3248" s="113">
        <v>46216</v>
      </c>
      <c r="C3248" s="4" t="s">
        <v>2179</v>
      </c>
      <c r="D3248" s="4" t="s">
        <v>4568</v>
      </c>
      <c r="E3248" s="1" t="str">
        <f>_xlfn.XLOOKUP(tblSales[[#This Row],[Customer ID]],tblCustomers[Customer ID],tblCustomers[Customer Name],"⚠ Unknown")</f>
        <v>Walk-in Customer</v>
      </c>
      <c r="F3248" s="4" t="s">
        <v>11</v>
      </c>
      <c r="G3248" s="1" t="str">
        <f>_xlfn.XLOOKUP(tblSales[[#This Row],[Product Code]],tblProducts[Code],tblProducts[Product / Service Name],"⚠ Unknown")</f>
        <v>Sneakers</v>
      </c>
      <c r="H3248" s="1" t="str">
        <f>_xlfn.XLOOKUP(tblSales[[#This Row],[Product Code]],tblProducts[Code],tblProducts[Category],"")</f>
        <v>Apparel &amp; Footwear</v>
      </c>
      <c r="I3248" s="4">
        <v>1</v>
      </c>
      <c r="J3248" s="5">
        <f>_xlfn.XLOOKUP(tblSales[[#This Row],[Product Code]],tblProducts[Code],tblProducts[Selling Price (excl. VAT)],0)</f>
        <v>250000</v>
      </c>
      <c r="K3248" s="5">
        <f>tblSales[[#This Row],[Qty]]*tblSales[[#This Row],[Unit Price]]</f>
        <v>250000</v>
      </c>
      <c r="L3248" s="5">
        <f>ROUND(tblSales[[#This Row],[DPP (excl. VAT)]]*VATEff,0)</f>
        <v>27500</v>
      </c>
      <c r="M3248" s="5">
        <f>tblSales[[#This Row],[DPP (excl. VAT)]]+tblSales[[#This Row],[Output VAT]]</f>
        <v>277500</v>
      </c>
      <c r="N3248" s="5">
        <f>tblSales[[#This Row],[Qty]]*_xlfn.XLOOKUP(tblSales[[#This Row],[Product Code]],tblProducts[Code],tblProducts[Unit Cost],0)</f>
        <v>155000</v>
      </c>
      <c r="O3248" s="4" t="s">
        <v>4865</v>
      </c>
      <c r="P3248" s="4" t="s">
        <v>4860</v>
      </c>
      <c r="Q3248" s="1" t="str">
        <f>_xlfn.XLOOKUP(tblSales[[#This Row],[Channel Code]],tblChannels[Channel Code],tblChannels[Channel Name],"")</f>
        <v>In-store</v>
      </c>
      <c r="R3248" s="1">
        <f>MONTH(tblSales[[#This Row],[Date]])</f>
        <v>7</v>
      </c>
    </row>
    <row r="3249" spans="2:18" x14ac:dyDescent="0.35">
      <c r="B3249" s="113">
        <v>46216</v>
      </c>
      <c r="C3249" s="4" t="s">
        <v>2180</v>
      </c>
      <c r="D3249" s="4" t="s">
        <v>4568</v>
      </c>
      <c r="E3249" s="1" t="str">
        <f>_xlfn.XLOOKUP(tblSales[[#This Row],[Customer ID]],tblCustomers[Customer ID],tblCustomers[Customer Name],"⚠ Unknown")</f>
        <v>Walk-in Customer</v>
      </c>
      <c r="F3249" s="4" t="s">
        <v>6</v>
      </c>
      <c r="G3249" s="1" t="str">
        <f>_xlfn.XLOOKUP(tblSales[[#This Row],[Product Code]],tblProducts[Code],tblProducts[Product / Service Name],"⚠ Unknown")</f>
        <v>Socks &amp; Accessories</v>
      </c>
      <c r="H3249" s="1" t="str">
        <f>_xlfn.XLOOKUP(tblSales[[#This Row],[Product Code]],tblProducts[Code],tblProducts[Category],"")</f>
        <v>Accessories &amp; Basics</v>
      </c>
      <c r="I3249" s="4">
        <v>10</v>
      </c>
      <c r="J3249" s="5">
        <f>_xlfn.XLOOKUP(tblSales[[#This Row],[Product Code]],tblProducts[Code],tblProducts[Selling Price (excl. VAT)],0)</f>
        <v>45000</v>
      </c>
      <c r="K3249" s="5">
        <f>tblSales[[#This Row],[Qty]]*tblSales[[#This Row],[Unit Price]]</f>
        <v>450000</v>
      </c>
      <c r="L3249" s="5">
        <f>ROUND(tblSales[[#This Row],[DPP (excl. VAT)]]*VATEff,0)</f>
        <v>49500</v>
      </c>
      <c r="M3249" s="5">
        <f>tblSales[[#This Row],[DPP (excl. VAT)]]+tblSales[[#This Row],[Output VAT]]</f>
        <v>499500</v>
      </c>
      <c r="N3249" s="5">
        <f>tblSales[[#This Row],[Qty]]*_xlfn.XLOOKUP(tblSales[[#This Row],[Product Code]],tblProducts[Code],tblProducts[Unit Cost],0)</f>
        <v>240000</v>
      </c>
      <c r="O3249" s="4" t="s">
        <v>4865</v>
      </c>
      <c r="P3249" s="4" t="s">
        <v>4860</v>
      </c>
      <c r="Q3249" s="1" t="str">
        <f>_xlfn.XLOOKUP(tblSales[[#This Row],[Channel Code]],tblChannels[Channel Code],tblChannels[Channel Name],"")</f>
        <v>In-store</v>
      </c>
      <c r="R3249" s="1">
        <f>MONTH(tblSales[[#This Row],[Date]])</f>
        <v>7</v>
      </c>
    </row>
    <row r="3250" spans="2:18" x14ac:dyDescent="0.35">
      <c r="B3250" s="113">
        <v>46217</v>
      </c>
      <c r="C3250" s="4" t="s">
        <v>2181</v>
      </c>
      <c r="D3250" s="4" t="s">
        <v>4568</v>
      </c>
      <c r="E3250" s="1" t="str">
        <f>_xlfn.XLOOKUP(tblSales[[#This Row],[Customer ID]],tblCustomers[Customer ID],tblCustomers[Customer Name],"⚠ Unknown")</f>
        <v>Walk-in Customer</v>
      </c>
      <c r="F3250" s="4" t="s">
        <v>6</v>
      </c>
      <c r="G3250" s="1" t="str">
        <f>_xlfn.XLOOKUP(tblSales[[#This Row],[Product Code]],tblProducts[Code],tblProducts[Product / Service Name],"⚠ Unknown")</f>
        <v>Socks &amp; Accessories</v>
      </c>
      <c r="H3250" s="1" t="str">
        <f>_xlfn.XLOOKUP(tblSales[[#This Row],[Product Code]],tblProducts[Code],tblProducts[Category],"")</f>
        <v>Accessories &amp; Basics</v>
      </c>
      <c r="I3250" s="4">
        <v>2</v>
      </c>
      <c r="J3250" s="5">
        <f>_xlfn.XLOOKUP(tblSales[[#This Row],[Product Code]],tblProducts[Code],tblProducts[Selling Price (excl. VAT)],0)</f>
        <v>45000</v>
      </c>
      <c r="K3250" s="5">
        <f>tblSales[[#This Row],[Qty]]*tblSales[[#This Row],[Unit Price]]</f>
        <v>90000</v>
      </c>
      <c r="L3250" s="5">
        <f>ROUND(tblSales[[#This Row],[DPP (excl. VAT)]]*VATEff,0)</f>
        <v>9900</v>
      </c>
      <c r="M3250" s="5">
        <f>tblSales[[#This Row],[DPP (excl. VAT)]]+tblSales[[#This Row],[Output VAT]]</f>
        <v>99900</v>
      </c>
      <c r="N3250" s="5">
        <f>tblSales[[#This Row],[Qty]]*_xlfn.XLOOKUP(tblSales[[#This Row],[Product Code]],tblProducts[Code],tblProducts[Unit Cost],0)</f>
        <v>48000</v>
      </c>
      <c r="O3250" s="4" t="s">
        <v>4866</v>
      </c>
      <c r="P3250" s="4" t="s">
        <v>4861</v>
      </c>
      <c r="Q3250" s="1" t="str">
        <f>_xlfn.XLOOKUP(tblSales[[#This Row],[Channel Code]],tblChannels[Channel Code],tblChannels[Channel Name],"")</f>
        <v>Marketplace</v>
      </c>
      <c r="R3250" s="1">
        <f>MONTH(tblSales[[#This Row],[Date]])</f>
        <v>7</v>
      </c>
    </row>
    <row r="3251" spans="2:18" x14ac:dyDescent="0.35">
      <c r="B3251" s="113">
        <v>46217</v>
      </c>
      <c r="C3251" s="4" t="s">
        <v>2181</v>
      </c>
      <c r="D3251" s="4" t="s">
        <v>4568</v>
      </c>
      <c r="E3251" s="1" t="str">
        <f>_xlfn.XLOOKUP(tblSales[[#This Row],[Customer ID]],tblCustomers[Customer ID],tblCustomers[Customer Name],"⚠ Unknown")</f>
        <v>Walk-in Customer</v>
      </c>
      <c r="F3251" s="4" t="s">
        <v>8</v>
      </c>
      <c r="G3251" s="1" t="str">
        <f>_xlfn.XLOOKUP(tblSales[[#This Row],[Product Code]],tblProducts[Code],tblProducts[Product / Service Name],"⚠ Unknown")</f>
        <v>Casual Shorts</v>
      </c>
      <c r="H3251" s="1" t="str">
        <f>_xlfn.XLOOKUP(tblSales[[#This Row],[Product Code]],tblProducts[Code],tblProducts[Category],"")</f>
        <v>Accessories &amp; Basics</v>
      </c>
      <c r="I3251" s="4">
        <v>10</v>
      </c>
      <c r="J3251" s="5">
        <f>_xlfn.XLOOKUP(tblSales[[#This Row],[Product Code]],tblProducts[Code],tblProducts[Selling Price (excl. VAT)],0)</f>
        <v>85000</v>
      </c>
      <c r="K3251" s="5">
        <f>tblSales[[#This Row],[Qty]]*tblSales[[#This Row],[Unit Price]]</f>
        <v>850000</v>
      </c>
      <c r="L3251" s="5">
        <f>ROUND(tblSales[[#This Row],[DPP (excl. VAT)]]*VATEff,0)</f>
        <v>93500</v>
      </c>
      <c r="M3251" s="5">
        <f>tblSales[[#This Row],[DPP (excl. VAT)]]+tblSales[[#This Row],[Output VAT]]</f>
        <v>943500</v>
      </c>
      <c r="N3251" s="5">
        <f>tblSales[[#This Row],[Qty]]*_xlfn.XLOOKUP(tblSales[[#This Row],[Product Code]],tblProducts[Code],tblProducts[Unit Cost],0)</f>
        <v>500000</v>
      </c>
      <c r="O3251" s="4" t="s">
        <v>4866</v>
      </c>
      <c r="P3251" s="4" t="s">
        <v>4861</v>
      </c>
      <c r="Q3251" s="1" t="str">
        <f>_xlfn.XLOOKUP(tblSales[[#This Row],[Channel Code]],tblChannels[Channel Code],tblChannels[Channel Name],"")</f>
        <v>Marketplace</v>
      </c>
      <c r="R3251" s="1">
        <f>MONTH(tblSales[[#This Row],[Date]])</f>
        <v>7</v>
      </c>
    </row>
    <row r="3252" spans="2:18" x14ac:dyDescent="0.35">
      <c r="B3252" s="113">
        <v>46217</v>
      </c>
      <c r="C3252" s="4" t="s">
        <v>2182</v>
      </c>
      <c r="D3252" s="4" t="s">
        <v>4568</v>
      </c>
      <c r="E3252" s="1" t="str">
        <f>_xlfn.XLOOKUP(tblSales[[#This Row],[Customer ID]],tblCustomers[Customer ID],tblCustomers[Customer Name],"⚠ Unknown")</f>
        <v>Walk-in Customer</v>
      </c>
      <c r="F3252" s="4" t="s">
        <v>6</v>
      </c>
      <c r="G3252" s="1" t="str">
        <f>_xlfn.XLOOKUP(tblSales[[#This Row],[Product Code]],tblProducts[Code],tblProducts[Product / Service Name],"⚠ Unknown")</f>
        <v>Socks &amp; Accessories</v>
      </c>
      <c r="H3252" s="1" t="str">
        <f>_xlfn.XLOOKUP(tblSales[[#This Row],[Product Code]],tblProducts[Code],tblProducts[Category],"")</f>
        <v>Accessories &amp; Basics</v>
      </c>
      <c r="I3252" s="4">
        <v>1</v>
      </c>
      <c r="J3252" s="5">
        <f>_xlfn.XLOOKUP(tblSales[[#This Row],[Product Code]],tblProducts[Code],tblProducts[Selling Price (excl. VAT)],0)</f>
        <v>45000</v>
      </c>
      <c r="K3252" s="5">
        <f>tblSales[[#This Row],[Qty]]*tblSales[[#This Row],[Unit Price]]</f>
        <v>45000</v>
      </c>
      <c r="L3252" s="5">
        <f>ROUND(tblSales[[#This Row],[DPP (excl. VAT)]]*VATEff,0)</f>
        <v>4950</v>
      </c>
      <c r="M3252" s="5">
        <f>tblSales[[#This Row],[DPP (excl. VAT)]]+tblSales[[#This Row],[Output VAT]]</f>
        <v>49950</v>
      </c>
      <c r="N3252" s="5">
        <f>tblSales[[#This Row],[Qty]]*_xlfn.XLOOKUP(tblSales[[#This Row],[Product Code]],tblProducts[Code],tblProducts[Unit Cost],0)</f>
        <v>24000</v>
      </c>
      <c r="O3252" s="4" t="s">
        <v>4866</v>
      </c>
      <c r="P3252" s="4" t="s">
        <v>4862</v>
      </c>
      <c r="Q3252" s="1" t="str">
        <f>_xlfn.XLOOKUP(tblSales[[#This Row],[Channel Code]],tblChannels[Channel Code],tblChannels[Channel Name],"")</f>
        <v>Website &amp; Social Media</v>
      </c>
      <c r="R3252" s="1">
        <f>MONTH(tblSales[[#This Row],[Date]])</f>
        <v>7</v>
      </c>
    </row>
    <row r="3253" spans="2:18" x14ac:dyDescent="0.35">
      <c r="B3253" s="113">
        <v>46217</v>
      </c>
      <c r="C3253" s="4" t="s">
        <v>2182</v>
      </c>
      <c r="D3253" s="4" t="s">
        <v>4568</v>
      </c>
      <c r="E3253" s="1" t="str">
        <f>_xlfn.XLOOKUP(tblSales[[#This Row],[Customer ID]],tblCustomers[Customer ID],tblCustomers[Customer Name],"⚠ Unknown")</f>
        <v>Walk-in Customer</v>
      </c>
      <c r="F3253" s="4" t="s">
        <v>7</v>
      </c>
      <c r="G3253" s="1" t="str">
        <f>_xlfn.XLOOKUP(tblSales[[#This Row],[Product Code]],tblProducts[Code],tblProducts[Product / Service Name],"⚠ Unknown")</f>
        <v>Premium Basic T-shirt</v>
      </c>
      <c r="H3253" s="1" t="str">
        <f>_xlfn.XLOOKUP(tblSales[[#This Row],[Product Code]],tblProducts[Code],tblProducts[Category],"")</f>
        <v>Accessories &amp; Basics</v>
      </c>
      <c r="I3253" s="4">
        <v>10</v>
      </c>
      <c r="J3253" s="5">
        <f>_xlfn.XLOOKUP(tblSales[[#This Row],[Product Code]],tblProducts[Code],tblProducts[Selling Price (excl. VAT)],0)</f>
        <v>65000</v>
      </c>
      <c r="K3253" s="5">
        <f>tblSales[[#This Row],[Qty]]*tblSales[[#This Row],[Unit Price]]</f>
        <v>650000</v>
      </c>
      <c r="L3253" s="5">
        <f>ROUND(tblSales[[#This Row],[DPP (excl. VAT)]]*VATEff,0)</f>
        <v>71500</v>
      </c>
      <c r="M3253" s="5">
        <f>tblSales[[#This Row],[DPP (excl. VAT)]]+tblSales[[#This Row],[Output VAT]]</f>
        <v>721500</v>
      </c>
      <c r="N3253" s="5">
        <f>tblSales[[#This Row],[Qty]]*_xlfn.XLOOKUP(tblSales[[#This Row],[Product Code]],tblProducts[Code],tblProducts[Unit Cost],0)</f>
        <v>370000</v>
      </c>
      <c r="O3253" s="4" t="s">
        <v>4866</v>
      </c>
      <c r="P3253" s="4" t="s">
        <v>4862</v>
      </c>
      <c r="Q3253" s="1" t="str">
        <f>_xlfn.XLOOKUP(tblSales[[#This Row],[Channel Code]],tblChannels[Channel Code],tblChannels[Channel Name],"")</f>
        <v>Website &amp; Social Media</v>
      </c>
      <c r="R3253" s="1">
        <f>MONTH(tblSales[[#This Row],[Date]])</f>
        <v>7</v>
      </c>
    </row>
    <row r="3254" spans="2:18" x14ac:dyDescent="0.35">
      <c r="B3254" s="113">
        <v>46217</v>
      </c>
      <c r="C3254" s="4" t="s">
        <v>2183</v>
      </c>
      <c r="D3254" s="4" t="s">
        <v>4568</v>
      </c>
      <c r="E3254" s="1" t="str">
        <f>_xlfn.XLOOKUP(tblSales[[#This Row],[Customer ID]],tblCustomers[Customer ID],tblCustomers[Customer Name],"⚠ Unknown")</f>
        <v>Walk-in Customer</v>
      </c>
      <c r="F3254" s="4" t="s">
        <v>10</v>
      </c>
      <c r="G3254" s="1" t="str">
        <f>_xlfn.XLOOKUP(tblSales[[#This Row],[Product Code]],tblProducts[Code],tblProducts[Product / Service Name],"⚠ Unknown")</f>
        <v>Chino Pants</v>
      </c>
      <c r="H3254" s="1" t="str">
        <f>_xlfn.XLOOKUP(tblSales[[#This Row],[Product Code]],tblProducts[Code],tblProducts[Category],"")</f>
        <v>Apparel &amp; Footwear</v>
      </c>
      <c r="I3254" s="4">
        <v>8</v>
      </c>
      <c r="J3254" s="5">
        <f>_xlfn.XLOOKUP(tblSales[[#This Row],[Product Code]],tblProducts[Code],tblProducts[Selling Price (excl. VAT)],0)</f>
        <v>150000</v>
      </c>
      <c r="K3254" s="5">
        <f>tblSales[[#This Row],[Qty]]*tblSales[[#This Row],[Unit Price]]</f>
        <v>1200000</v>
      </c>
      <c r="L3254" s="5">
        <f>ROUND(tblSales[[#This Row],[DPP (excl. VAT)]]*VATEff,0)</f>
        <v>132000</v>
      </c>
      <c r="M3254" s="5">
        <f>tblSales[[#This Row],[DPP (excl. VAT)]]+tblSales[[#This Row],[Output VAT]]</f>
        <v>1332000</v>
      </c>
      <c r="N3254" s="5">
        <f>tblSales[[#This Row],[Qty]]*_xlfn.XLOOKUP(tblSales[[#This Row],[Product Code]],tblProducts[Code],tblProducts[Unit Cost],0)</f>
        <v>704000</v>
      </c>
      <c r="O3254" s="4" t="s">
        <v>4866</v>
      </c>
      <c r="P3254" s="4" t="s">
        <v>4861</v>
      </c>
      <c r="Q3254" s="1" t="str">
        <f>_xlfn.XLOOKUP(tblSales[[#This Row],[Channel Code]],tblChannels[Channel Code],tblChannels[Channel Name],"")</f>
        <v>Marketplace</v>
      </c>
      <c r="R3254" s="1">
        <f>MONTH(tblSales[[#This Row],[Date]])</f>
        <v>7</v>
      </c>
    </row>
    <row r="3255" spans="2:18" x14ac:dyDescent="0.35">
      <c r="B3255" s="113">
        <v>46217</v>
      </c>
      <c r="C3255" s="4" t="s">
        <v>2184</v>
      </c>
      <c r="D3255" s="4" t="s">
        <v>4568</v>
      </c>
      <c r="E3255" s="1" t="str">
        <f>_xlfn.XLOOKUP(tblSales[[#This Row],[Customer ID]],tblCustomers[Customer ID],tblCustomers[Customer Name],"⚠ Unknown")</f>
        <v>Walk-in Customer</v>
      </c>
      <c r="F3255" s="4" t="s">
        <v>6</v>
      </c>
      <c r="G3255" s="1" t="str">
        <f>_xlfn.XLOOKUP(tblSales[[#This Row],[Product Code]],tblProducts[Code],tblProducts[Product / Service Name],"⚠ Unknown")</f>
        <v>Socks &amp; Accessories</v>
      </c>
      <c r="H3255" s="1" t="str">
        <f>_xlfn.XLOOKUP(tblSales[[#This Row],[Product Code]],tblProducts[Code],tblProducts[Category],"")</f>
        <v>Accessories &amp; Basics</v>
      </c>
      <c r="I3255" s="4">
        <v>2</v>
      </c>
      <c r="J3255" s="5">
        <f>_xlfn.XLOOKUP(tblSales[[#This Row],[Product Code]],tblProducts[Code],tblProducts[Selling Price (excl. VAT)],0)</f>
        <v>45000</v>
      </c>
      <c r="K3255" s="5">
        <f>tblSales[[#This Row],[Qty]]*tblSales[[#This Row],[Unit Price]]</f>
        <v>90000</v>
      </c>
      <c r="L3255" s="5">
        <f>ROUND(tblSales[[#This Row],[DPP (excl. VAT)]]*VATEff,0)</f>
        <v>9900</v>
      </c>
      <c r="M3255" s="5">
        <f>tblSales[[#This Row],[DPP (excl. VAT)]]+tblSales[[#This Row],[Output VAT]]</f>
        <v>99900</v>
      </c>
      <c r="N3255" s="5">
        <f>tblSales[[#This Row],[Qty]]*_xlfn.XLOOKUP(tblSales[[#This Row],[Product Code]],tblProducts[Code],tblProducts[Unit Cost],0)</f>
        <v>48000</v>
      </c>
      <c r="O3255" s="4" t="s">
        <v>4866</v>
      </c>
      <c r="P3255" s="4" t="s">
        <v>4860</v>
      </c>
      <c r="Q3255" s="1" t="str">
        <f>_xlfn.XLOOKUP(tblSales[[#This Row],[Channel Code]],tblChannels[Channel Code],tblChannels[Channel Name],"")</f>
        <v>In-store</v>
      </c>
      <c r="R3255" s="1">
        <f>MONTH(tblSales[[#This Row],[Date]])</f>
        <v>7</v>
      </c>
    </row>
    <row r="3256" spans="2:18" x14ac:dyDescent="0.35">
      <c r="B3256" s="113">
        <v>46217</v>
      </c>
      <c r="C3256" s="4" t="s">
        <v>2185</v>
      </c>
      <c r="D3256" s="4" t="s">
        <v>4599</v>
      </c>
      <c r="E3256" s="1" t="str">
        <f>_xlfn.XLOOKUP(tblSales[[#This Row],[Customer ID]],tblCustomers[Customer ID],tblCustomers[Customer Name],"⚠ Unknown")</f>
        <v>PT Samudra Jaya Logistik</v>
      </c>
      <c r="F3256" s="4" t="s">
        <v>13</v>
      </c>
      <c r="G3256" s="1" t="str">
        <f>_xlfn.XLOOKUP(tblSales[[#This Row],[Product Code]],tblProducts[Code],tblProducts[Product / Service Name],"⚠ Unknown")</f>
        <v>Backpack</v>
      </c>
      <c r="H3256" s="1" t="str">
        <f>_xlfn.XLOOKUP(tblSales[[#This Row],[Product Code]],tblProducts[Code],tblProducts[Category],"")</f>
        <v>Bags &amp; Gadgets</v>
      </c>
      <c r="I3256" s="4">
        <v>16</v>
      </c>
      <c r="J3256" s="5">
        <f>_xlfn.XLOOKUP(tblSales[[#This Row],[Product Code]],tblProducts[Code],tblProducts[Selling Price (excl. VAT)],0)</f>
        <v>500000</v>
      </c>
      <c r="K3256" s="5">
        <f>tblSales[[#This Row],[Qty]]*tblSales[[#This Row],[Unit Price]]</f>
        <v>8000000</v>
      </c>
      <c r="L3256" s="5">
        <f>ROUND(tblSales[[#This Row],[DPP (excl. VAT)]]*VATEff,0)</f>
        <v>880000</v>
      </c>
      <c r="M3256" s="5">
        <f>tblSales[[#This Row],[DPP (excl. VAT)]]+tblSales[[#This Row],[Output VAT]]</f>
        <v>8880000</v>
      </c>
      <c r="N3256" s="5">
        <f>tblSales[[#This Row],[Qty]]*_xlfn.XLOOKUP(tblSales[[#This Row],[Product Code]],tblProducts[Code],tblProducts[Unit Cost],0)</f>
        <v>4640000</v>
      </c>
      <c r="O3256" s="4" t="s">
        <v>4867</v>
      </c>
      <c r="P3256" s="4" t="s">
        <v>4860</v>
      </c>
      <c r="Q3256" s="1" t="str">
        <f>_xlfn.XLOOKUP(tblSales[[#This Row],[Channel Code]],tblChannels[Channel Code],tblChannels[Channel Name],"")</f>
        <v>In-store</v>
      </c>
      <c r="R3256" s="1">
        <f>MONTH(tblSales[[#This Row],[Date]])</f>
        <v>7</v>
      </c>
    </row>
    <row r="3257" spans="2:18" x14ac:dyDescent="0.35">
      <c r="B3257" s="113">
        <v>46217</v>
      </c>
      <c r="C3257" s="4" t="s">
        <v>2186</v>
      </c>
      <c r="D3257" s="4" t="s">
        <v>4568</v>
      </c>
      <c r="E3257" s="1" t="str">
        <f>_xlfn.XLOOKUP(tblSales[[#This Row],[Customer ID]],tblCustomers[Customer ID],tblCustomers[Customer Name],"⚠ Unknown")</f>
        <v>Walk-in Customer</v>
      </c>
      <c r="F3257" s="4" t="s">
        <v>7</v>
      </c>
      <c r="G3257" s="1" t="str">
        <f>_xlfn.XLOOKUP(tblSales[[#This Row],[Product Code]],tblProducts[Code],tblProducts[Product / Service Name],"⚠ Unknown")</f>
        <v>Premium Basic T-shirt</v>
      </c>
      <c r="H3257" s="1" t="str">
        <f>_xlfn.XLOOKUP(tblSales[[#This Row],[Product Code]],tblProducts[Code],tblProducts[Category],"")</f>
        <v>Accessories &amp; Basics</v>
      </c>
      <c r="I3257" s="4">
        <v>1</v>
      </c>
      <c r="J3257" s="5">
        <f>_xlfn.XLOOKUP(tblSales[[#This Row],[Product Code]],tblProducts[Code],tblProducts[Selling Price (excl. VAT)],0)</f>
        <v>65000</v>
      </c>
      <c r="K3257" s="5">
        <f>tblSales[[#This Row],[Qty]]*tblSales[[#This Row],[Unit Price]]</f>
        <v>65000</v>
      </c>
      <c r="L3257" s="5">
        <f>ROUND(tblSales[[#This Row],[DPP (excl. VAT)]]*VATEff,0)</f>
        <v>7150</v>
      </c>
      <c r="M3257" s="5">
        <f>tblSales[[#This Row],[DPP (excl. VAT)]]+tblSales[[#This Row],[Output VAT]]</f>
        <v>72150</v>
      </c>
      <c r="N3257" s="5">
        <f>tblSales[[#This Row],[Qty]]*_xlfn.XLOOKUP(tblSales[[#This Row],[Product Code]],tblProducts[Code],tblProducts[Unit Cost],0)</f>
        <v>37000</v>
      </c>
      <c r="O3257" s="4" t="s">
        <v>4866</v>
      </c>
      <c r="P3257" s="4" t="s">
        <v>4861</v>
      </c>
      <c r="Q3257" s="1" t="str">
        <f>_xlfn.XLOOKUP(tblSales[[#This Row],[Channel Code]],tblChannels[Channel Code],tblChannels[Channel Name],"")</f>
        <v>Marketplace</v>
      </c>
      <c r="R3257" s="1">
        <f>MONTH(tblSales[[#This Row],[Date]])</f>
        <v>7</v>
      </c>
    </row>
    <row r="3258" spans="2:18" x14ac:dyDescent="0.35">
      <c r="B3258" s="113">
        <v>46217</v>
      </c>
      <c r="C3258" s="4" t="s">
        <v>2186</v>
      </c>
      <c r="D3258" s="4" t="s">
        <v>4568</v>
      </c>
      <c r="E3258" s="1" t="str">
        <f>_xlfn.XLOOKUP(tblSales[[#This Row],[Customer ID]],tblCustomers[Customer ID],tblCustomers[Customer Name],"⚠ Unknown")</f>
        <v>Walk-in Customer</v>
      </c>
      <c r="F3258" s="4" t="s">
        <v>6</v>
      </c>
      <c r="G3258" s="1" t="str">
        <f>_xlfn.XLOOKUP(tblSales[[#This Row],[Product Code]],tblProducts[Code],tblProducts[Product / Service Name],"⚠ Unknown")</f>
        <v>Socks &amp; Accessories</v>
      </c>
      <c r="H3258" s="1" t="str">
        <f>_xlfn.XLOOKUP(tblSales[[#This Row],[Product Code]],tblProducts[Code],tblProducts[Category],"")</f>
        <v>Accessories &amp; Basics</v>
      </c>
      <c r="I3258" s="4">
        <v>8</v>
      </c>
      <c r="J3258" s="5">
        <f>_xlfn.XLOOKUP(tblSales[[#This Row],[Product Code]],tblProducts[Code],tblProducts[Selling Price (excl. VAT)],0)</f>
        <v>45000</v>
      </c>
      <c r="K3258" s="5">
        <f>tblSales[[#This Row],[Qty]]*tblSales[[#This Row],[Unit Price]]</f>
        <v>360000</v>
      </c>
      <c r="L3258" s="5">
        <f>ROUND(tblSales[[#This Row],[DPP (excl. VAT)]]*VATEff,0)</f>
        <v>39600</v>
      </c>
      <c r="M3258" s="5">
        <f>tblSales[[#This Row],[DPP (excl. VAT)]]+tblSales[[#This Row],[Output VAT]]</f>
        <v>399600</v>
      </c>
      <c r="N3258" s="5">
        <f>tblSales[[#This Row],[Qty]]*_xlfn.XLOOKUP(tblSales[[#This Row],[Product Code]],tblProducts[Code],tblProducts[Unit Cost],0)</f>
        <v>192000</v>
      </c>
      <c r="O3258" s="4" t="s">
        <v>4866</v>
      </c>
      <c r="P3258" s="4" t="s">
        <v>4861</v>
      </c>
      <c r="Q3258" s="1" t="str">
        <f>_xlfn.XLOOKUP(tblSales[[#This Row],[Channel Code]],tblChannels[Channel Code],tblChannels[Channel Name],"")</f>
        <v>Marketplace</v>
      </c>
      <c r="R3258" s="1">
        <f>MONTH(tblSales[[#This Row],[Date]])</f>
        <v>7</v>
      </c>
    </row>
    <row r="3259" spans="2:18" x14ac:dyDescent="0.35">
      <c r="B3259" s="113">
        <v>46217</v>
      </c>
      <c r="C3259" s="4" t="s">
        <v>2187</v>
      </c>
      <c r="D3259" s="4" t="s">
        <v>4568</v>
      </c>
      <c r="E3259" s="1" t="str">
        <f>_xlfn.XLOOKUP(tblSales[[#This Row],[Customer ID]],tblCustomers[Customer ID],tblCustomers[Customer Name],"⚠ Unknown")</f>
        <v>Walk-in Customer</v>
      </c>
      <c r="F3259" s="4" t="s">
        <v>7</v>
      </c>
      <c r="G3259" s="1" t="str">
        <f>_xlfn.XLOOKUP(tblSales[[#This Row],[Product Code]],tblProducts[Code],tblProducts[Product / Service Name],"⚠ Unknown")</f>
        <v>Premium Basic T-shirt</v>
      </c>
      <c r="H3259" s="1" t="str">
        <f>_xlfn.XLOOKUP(tblSales[[#This Row],[Product Code]],tblProducts[Code],tblProducts[Category],"")</f>
        <v>Accessories &amp; Basics</v>
      </c>
      <c r="I3259" s="4">
        <v>12</v>
      </c>
      <c r="J3259" s="5">
        <f>_xlfn.XLOOKUP(tblSales[[#This Row],[Product Code]],tblProducts[Code],tblProducts[Selling Price (excl. VAT)],0)</f>
        <v>65000</v>
      </c>
      <c r="K3259" s="5">
        <f>tblSales[[#This Row],[Qty]]*tblSales[[#This Row],[Unit Price]]</f>
        <v>780000</v>
      </c>
      <c r="L3259" s="5">
        <f>ROUND(tblSales[[#This Row],[DPP (excl. VAT)]]*VATEff,0)</f>
        <v>85800</v>
      </c>
      <c r="M3259" s="5">
        <f>tblSales[[#This Row],[DPP (excl. VAT)]]+tblSales[[#This Row],[Output VAT]]</f>
        <v>865800</v>
      </c>
      <c r="N3259" s="5">
        <f>tblSales[[#This Row],[Qty]]*_xlfn.XLOOKUP(tblSales[[#This Row],[Product Code]],tblProducts[Code],tblProducts[Unit Cost],0)</f>
        <v>444000</v>
      </c>
      <c r="O3259" s="4" t="s">
        <v>4865</v>
      </c>
      <c r="P3259" s="4" t="s">
        <v>4860</v>
      </c>
      <c r="Q3259" s="1" t="str">
        <f>_xlfn.XLOOKUP(tblSales[[#This Row],[Channel Code]],tblChannels[Channel Code],tblChannels[Channel Name],"")</f>
        <v>In-store</v>
      </c>
      <c r="R3259" s="1">
        <f>MONTH(tblSales[[#This Row],[Date]])</f>
        <v>7</v>
      </c>
    </row>
    <row r="3260" spans="2:18" x14ac:dyDescent="0.35">
      <c r="B3260" s="113">
        <v>46217</v>
      </c>
      <c r="C3260" s="4" t="s">
        <v>2188</v>
      </c>
      <c r="D3260" s="4" t="s">
        <v>4593</v>
      </c>
      <c r="E3260" s="1" t="str">
        <f>_xlfn.XLOOKUP(tblSales[[#This Row],[Customer ID]],tblCustomers[Customer ID],tblCustomers[Customer Name],"⚠ Unknown")</f>
        <v>PT Graha Nusa Persada</v>
      </c>
      <c r="F3260" s="4" t="s">
        <v>8</v>
      </c>
      <c r="G3260" s="1" t="str">
        <f>_xlfn.XLOOKUP(tblSales[[#This Row],[Product Code]],tblProducts[Code],tblProducts[Product / Service Name],"⚠ Unknown")</f>
        <v>Casual Shorts</v>
      </c>
      <c r="H3260" s="1" t="str">
        <f>_xlfn.XLOOKUP(tblSales[[#This Row],[Product Code]],tblProducts[Code],tblProducts[Category],"")</f>
        <v>Accessories &amp; Basics</v>
      </c>
      <c r="I3260" s="4">
        <v>8</v>
      </c>
      <c r="J3260" s="5">
        <f>_xlfn.XLOOKUP(tblSales[[#This Row],[Product Code]],tblProducts[Code],tblProducts[Selling Price (excl. VAT)],0)</f>
        <v>85000</v>
      </c>
      <c r="K3260" s="5">
        <f>tblSales[[#This Row],[Qty]]*tblSales[[#This Row],[Unit Price]]</f>
        <v>680000</v>
      </c>
      <c r="L3260" s="5">
        <f>ROUND(tblSales[[#This Row],[DPP (excl. VAT)]]*VATEff,0)</f>
        <v>74800</v>
      </c>
      <c r="M3260" s="5">
        <f>tblSales[[#This Row],[DPP (excl. VAT)]]+tblSales[[#This Row],[Output VAT]]</f>
        <v>754800</v>
      </c>
      <c r="N3260" s="5">
        <f>tblSales[[#This Row],[Qty]]*_xlfn.XLOOKUP(tblSales[[#This Row],[Product Code]],tblProducts[Code],tblProducts[Unit Cost],0)</f>
        <v>400000</v>
      </c>
      <c r="O3260" s="4" t="s">
        <v>4867</v>
      </c>
      <c r="P3260" s="4" t="s">
        <v>4860</v>
      </c>
      <c r="Q3260" s="1" t="str">
        <f>_xlfn.XLOOKUP(tblSales[[#This Row],[Channel Code]],tblChannels[Channel Code],tblChannels[Channel Name],"")</f>
        <v>In-store</v>
      </c>
      <c r="R3260" s="1">
        <f>MONTH(tblSales[[#This Row],[Date]])</f>
        <v>7</v>
      </c>
    </row>
    <row r="3261" spans="2:18" x14ac:dyDescent="0.35">
      <c r="B3261" s="113">
        <v>46217</v>
      </c>
      <c r="C3261" s="4" t="s">
        <v>2188</v>
      </c>
      <c r="D3261" s="4" t="s">
        <v>4593</v>
      </c>
      <c r="E3261" s="1" t="str">
        <f>_xlfn.XLOOKUP(tblSales[[#This Row],[Customer ID]],tblCustomers[Customer ID],tblCustomers[Customer Name],"⚠ Unknown")</f>
        <v>PT Graha Nusa Persada</v>
      </c>
      <c r="F3261" s="4" t="s">
        <v>11</v>
      </c>
      <c r="G3261" s="1" t="str">
        <f>_xlfn.XLOOKUP(tblSales[[#This Row],[Product Code]],tblProducts[Code],tblProducts[Product / Service Name],"⚠ Unknown")</f>
        <v>Sneakers</v>
      </c>
      <c r="H3261" s="1" t="str">
        <f>_xlfn.XLOOKUP(tblSales[[#This Row],[Product Code]],tblProducts[Code],tblProducts[Category],"")</f>
        <v>Apparel &amp; Footwear</v>
      </c>
      <c r="I3261" s="4">
        <v>48</v>
      </c>
      <c r="J3261" s="5">
        <f>_xlfn.XLOOKUP(tblSales[[#This Row],[Product Code]],tblProducts[Code],tblProducts[Selling Price (excl. VAT)],0)</f>
        <v>250000</v>
      </c>
      <c r="K3261" s="5">
        <f>tblSales[[#This Row],[Qty]]*tblSales[[#This Row],[Unit Price]]</f>
        <v>12000000</v>
      </c>
      <c r="L3261" s="5">
        <f>ROUND(tblSales[[#This Row],[DPP (excl. VAT)]]*VATEff,0)</f>
        <v>1320000</v>
      </c>
      <c r="M3261" s="5">
        <f>tblSales[[#This Row],[DPP (excl. VAT)]]+tblSales[[#This Row],[Output VAT]]</f>
        <v>13320000</v>
      </c>
      <c r="N3261" s="5">
        <f>tblSales[[#This Row],[Qty]]*_xlfn.XLOOKUP(tblSales[[#This Row],[Product Code]],tblProducts[Code],tblProducts[Unit Cost],0)</f>
        <v>7440000</v>
      </c>
      <c r="O3261" s="4" t="s">
        <v>4867</v>
      </c>
      <c r="P3261" s="4" t="s">
        <v>4860</v>
      </c>
      <c r="Q3261" s="1" t="str">
        <f>_xlfn.XLOOKUP(tblSales[[#This Row],[Channel Code]],tblChannels[Channel Code],tblChannels[Channel Name],"")</f>
        <v>In-store</v>
      </c>
      <c r="R3261" s="1">
        <f>MONTH(tblSales[[#This Row],[Date]])</f>
        <v>7</v>
      </c>
    </row>
    <row r="3262" spans="2:18" x14ac:dyDescent="0.35">
      <c r="B3262" s="113">
        <v>46217</v>
      </c>
      <c r="C3262" s="4" t="s">
        <v>2189</v>
      </c>
      <c r="D3262" s="4" t="s">
        <v>4568</v>
      </c>
      <c r="E3262" s="1" t="str">
        <f>_xlfn.XLOOKUP(tblSales[[#This Row],[Customer ID]],tblCustomers[Customer ID],tblCustomers[Customer Name],"⚠ Unknown")</f>
        <v>Walk-in Customer</v>
      </c>
      <c r="F3262" s="4" t="s">
        <v>8</v>
      </c>
      <c r="G3262" s="1" t="str">
        <f>_xlfn.XLOOKUP(tblSales[[#This Row],[Product Code]],tblProducts[Code],tblProducts[Product / Service Name],"⚠ Unknown")</f>
        <v>Casual Shorts</v>
      </c>
      <c r="H3262" s="1" t="str">
        <f>_xlfn.XLOOKUP(tblSales[[#This Row],[Product Code]],tblProducts[Code],tblProducts[Category],"")</f>
        <v>Accessories &amp; Basics</v>
      </c>
      <c r="I3262" s="4">
        <v>8</v>
      </c>
      <c r="J3262" s="5">
        <f>_xlfn.XLOOKUP(tblSales[[#This Row],[Product Code]],tblProducts[Code],tblProducts[Selling Price (excl. VAT)],0)</f>
        <v>85000</v>
      </c>
      <c r="K3262" s="5">
        <f>tblSales[[#This Row],[Qty]]*tblSales[[#This Row],[Unit Price]]</f>
        <v>680000</v>
      </c>
      <c r="L3262" s="5">
        <f>ROUND(tblSales[[#This Row],[DPP (excl. VAT)]]*VATEff,0)</f>
        <v>74800</v>
      </c>
      <c r="M3262" s="5">
        <f>tblSales[[#This Row],[DPP (excl. VAT)]]+tblSales[[#This Row],[Output VAT]]</f>
        <v>754800</v>
      </c>
      <c r="N3262" s="5">
        <f>tblSales[[#This Row],[Qty]]*_xlfn.XLOOKUP(tblSales[[#This Row],[Product Code]],tblProducts[Code],tblProducts[Unit Cost],0)</f>
        <v>400000</v>
      </c>
      <c r="O3262" s="4" t="s">
        <v>4866</v>
      </c>
      <c r="P3262" s="4" t="s">
        <v>4861</v>
      </c>
      <c r="Q3262" s="1" t="str">
        <f>_xlfn.XLOOKUP(tblSales[[#This Row],[Channel Code]],tblChannels[Channel Code],tblChannels[Channel Name],"")</f>
        <v>Marketplace</v>
      </c>
      <c r="R3262" s="1">
        <f>MONTH(tblSales[[#This Row],[Date]])</f>
        <v>7</v>
      </c>
    </row>
    <row r="3263" spans="2:18" x14ac:dyDescent="0.35">
      <c r="B3263" s="113">
        <v>46217</v>
      </c>
      <c r="C3263" s="4" t="s">
        <v>2190</v>
      </c>
      <c r="D3263" s="4" t="s">
        <v>4568</v>
      </c>
      <c r="E3263" s="1" t="str">
        <f>_xlfn.XLOOKUP(tblSales[[#This Row],[Customer ID]],tblCustomers[Customer ID],tblCustomers[Customer Name],"⚠ Unknown")</f>
        <v>Walk-in Customer</v>
      </c>
      <c r="F3263" s="4" t="s">
        <v>9</v>
      </c>
      <c r="G3263" s="1" t="str">
        <f>_xlfn.XLOOKUP(tblSales[[#This Row],[Product Code]],tblProducts[Code],tblProducts[Product / Service Name],"⚠ Unknown")</f>
        <v>Casual Shirt</v>
      </c>
      <c r="H3263" s="1" t="str">
        <f>_xlfn.XLOOKUP(tblSales[[#This Row],[Product Code]],tblProducts[Code],tblProducts[Category],"")</f>
        <v>Apparel &amp; Footwear</v>
      </c>
      <c r="I3263" s="4">
        <v>8</v>
      </c>
      <c r="J3263" s="5">
        <f>_xlfn.XLOOKUP(tblSales[[#This Row],[Product Code]],tblProducts[Code],tblProducts[Selling Price (excl. VAT)],0)</f>
        <v>120000</v>
      </c>
      <c r="K3263" s="5">
        <f>tblSales[[#This Row],[Qty]]*tblSales[[#This Row],[Unit Price]]</f>
        <v>960000</v>
      </c>
      <c r="L3263" s="5">
        <f>ROUND(tblSales[[#This Row],[DPP (excl. VAT)]]*VATEff,0)</f>
        <v>105600</v>
      </c>
      <c r="M3263" s="5">
        <f>tblSales[[#This Row],[DPP (excl. VAT)]]+tblSales[[#This Row],[Output VAT]]</f>
        <v>1065600</v>
      </c>
      <c r="N3263" s="5">
        <f>tblSales[[#This Row],[Qty]]*_xlfn.XLOOKUP(tblSales[[#This Row],[Product Code]],tblProducts[Code],tblProducts[Unit Cost],0)</f>
        <v>576000</v>
      </c>
      <c r="O3263" s="4" t="s">
        <v>4865</v>
      </c>
      <c r="P3263" s="4" t="s">
        <v>4860</v>
      </c>
      <c r="Q3263" s="1" t="str">
        <f>_xlfn.XLOOKUP(tblSales[[#This Row],[Channel Code]],tblChannels[Channel Code],tblChannels[Channel Name],"")</f>
        <v>In-store</v>
      </c>
      <c r="R3263" s="1">
        <f>MONTH(tblSales[[#This Row],[Date]])</f>
        <v>7</v>
      </c>
    </row>
    <row r="3264" spans="2:18" x14ac:dyDescent="0.35">
      <c r="B3264" s="113">
        <v>46217</v>
      </c>
      <c r="C3264" s="4" t="s">
        <v>2191</v>
      </c>
      <c r="D3264" s="4" t="s">
        <v>4568</v>
      </c>
      <c r="E3264" s="1" t="str">
        <f>_xlfn.XLOOKUP(tblSales[[#This Row],[Customer ID]],tblCustomers[Customer ID],tblCustomers[Customer Name],"⚠ Unknown")</f>
        <v>Walk-in Customer</v>
      </c>
      <c r="F3264" s="4" t="s">
        <v>12</v>
      </c>
      <c r="G3264" s="1" t="str">
        <f>_xlfn.XLOOKUP(tblSales[[#This Row],[Product Code]],tblProducts[Code],tblProducts[Product / Service Name],"⚠ Unknown")</f>
        <v>Bomber Jacket</v>
      </c>
      <c r="H3264" s="1" t="str">
        <f>_xlfn.XLOOKUP(tblSales[[#This Row],[Product Code]],tblProducts[Code],tblProducts[Category],"")</f>
        <v>Apparel &amp; Footwear</v>
      </c>
      <c r="I3264" s="4">
        <v>1</v>
      </c>
      <c r="J3264" s="5">
        <f>_xlfn.XLOOKUP(tblSales[[#This Row],[Product Code]],tblProducts[Code],tblProducts[Selling Price (excl. VAT)],0)</f>
        <v>350000</v>
      </c>
      <c r="K3264" s="5">
        <f>tblSales[[#This Row],[Qty]]*tblSales[[#This Row],[Unit Price]]</f>
        <v>350000</v>
      </c>
      <c r="L3264" s="5">
        <f>ROUND(tblSales[[#This Row],[DPP (excl. VAT)]]*VATEff,0)</f>
        <v>38500</v>
      </c>
      <c r="M3264" s="5">
        <f>tblSales[[#This Row],[DPP (excl. VAT)]]+tblSales[[#This Row],[Output VAT]]</f>
        <v>388500</v>
      </c>
      <c r="N3264" s="5">
        <f>tblSales[[#This Row],[Qty]]*_xlfn.XLOOKUP(tblSales[[#This Row],[Product Code]],tblProducts[Code],tblProducts[Unit Cost],0)</f>
        <v>210000</v>
      </c>
      <c r="O3264" s="4" t="s">
        <v>4866</v>
      </c>
      <c r="P3264" s="4" t="s">
        <v>4862</v>
      </c>
      <c r="Q3264" s="1" t="str">
        <f>_xlfn.XLOOKUP(tblSales[[#This Row],[Channel Code]],tblChannels[Channel Code],tblChannels[Channel Name],"")</f>
        <v>Website &amp; Social Media</v>
      </c>
      <c r="R3264" s="1">
        <f>MONTH(tblSales[[#This Row],[Date]])</f>
        <v>7</v>
      </c>
    </row>
    <row r="3265" spans="2:18" x14ac:dyDescent="0.35">
      <c r="B3265" s="113">
        <v>46217</v>
      </c>
      <c r="C3265" s="4" t="s">
        <v>2191</v>
      </c>
      <c r="D3265" s="4" t="s">
        <v>4568</v>
      </c>
      <c r="E3265" s="1" t="str">
        <f>_xlfn.XLOOKUP(tblSales[[#This Row],[Customer ID]],tblCustomers[Customer ID],tblCustomers[Customer Name],"⚠ Unknown")</f>
        <v>Walk-in Customer</v>
      </c>
      <c r="F3265" s="4" t="s">
        <v>6</v>
      </c>
      <c r="G3265" s="1" t="str">
        <f>_xlfn.XLOOKUP(tblSales[[#This Row],[Product Code]],tblProducts[Code],tblProducts[Product / Service Name],"⚠ Unknown")</f>
        <v>Socks &amp; Accessories</v>
      </c>
      <c r="H3265" s="1" t="str">
        <f>_xlfn.XLOOKUP(tblSales[[#This Row],[Product Code]],tblProducts[Code],tblProducts[Category],"")</f>
        <v>Accessories &amp; Basics</v>
      </c>
      <c r="I3265" s="4">
        <v>9</v>
      </c>
      <c r="J3265" s="5">
        <f>_xlfn.XLOOKUP(tblSales[[#This Row],[Product Code]],tblProducts[Code],tblProducts[Selling Price (excl. VAT)],0)</f>
        <v>45000</v>
      </c>
      <c r="K3265" s="5">
        <f>tblSales[[#This Row],[Qty]]*tblSales[[#This Row],[Unit Price]]</f>
        <v>405000</v>
      </c>
      <c r="L3265" s="5">
        <f>ROUND(tblSales[[#This Row],[DPP (excl. VAT)]]*VATEff,0)</f>
        <v>44550</v>
      </c>
      <c r="M3265" s="5">
        <f>tblSales[[#This Row],[DPP (excl. VAT)]]+tblSales[[#This Row],[Output VAT]]</f>
        <v>449550</v>
      </c>
      <c r="N3265" s="5">
        <f>tblSales[[#This Row],[Qty]]*_xlfn.XLOOKUP(tblSales[[#This Row],[Product Code]],tblProducts[Code],tblProducts[Unit Cost],0)</f>
        <v>216000</v>
      </c>
      <c r="O3265" s="4" t="s">
        <v>4866</v>
      </c>
      <c r="P3265" s="4" t="s">
        <v>4862</v>
      </c>
      <c r="Q3265" s="1" t="str">
        <f>_xlfn.XLOOKUP(tblSales[[#This Row],[Channel Code]],tblChannels[Channel Code],tblChannels[Channel Name],"")</f>
        <v>Website &amp; Social Media</v>
      </c>
      <c r="R3265" s="1">
        <f>MONTH(tblSales[[#This Row],[Date]])</f>
        <v>7</v>
      </c>
    </row>
    <row r="3266" spans="2:18" x14ac:dyDescent="0.35">
      <c r="B3266" s="113">
        <v>46217</v>
      </c>
      <c r="C3266" s="4" t="s">
        <v>2192</v>
      </c>
      <c r="D3266" s="4" t="s">
        <v>4568</v>
      </c>
      <c r="E3266" s="1" t="str">
        <f>_xlfn.XLOOKUP(tblSales[[#This Row],[Customer ID]],tblCustomers[Customer ID],tblCustomers[Customer Name],"⚠ Unknown")</f>
        <v>Walk-in Customer</v>
      </c>
      <c r="F3266" s="4" t="s">
        <v>6</v>
      </c>
      <c r="G3266" s="1" t="str">
        <f>_xlfn.XLOOKUP(tblSales[[#This Row],[Product Code]],tblProducts[Code],tblProducts[Product / Service Name],"⚠ Unknown")</f>
        <v>Socks &amp; Accessories</v>
      </c>
      <c r="H3266" s="1" t="str">
        <f>_xlfn.XLOOKUP(tblSales[[#This Row],[Product Code]],tblProducts[Code],tblProducts[Category],"")</f>
        <v>Accessories &amp; Basics</v>
      </c>
      <c r="I3266" s="4">
        <v>6</v>
      </c>
      <c r="J3266" s="5">
        <f>_xlfn.XLOOKUP(tblSales[[#This Row],[Product Code]],tblProducts[Code],tblProducts[Selling Price (excl. VAT)],0)</f>
        <v>45000</v>
      </c>
      <c r="K3266" s="5">
        <f>tblSales[[#This Row],[Qty]]*tblSales[[#This Row],[Unit Price]]</f>
        <v>270000</v>
      </c>
      <c r="L3266" s="5">
        <f>ROUND(tblSales[[#This Row],[DPP (excl. VAT)]]*VATEff,0)</f>
        <v>29700</v>
      </c>
      <c r="M3266" s="5">
        <f>tblSales[[#This Row],[DPP (excl. VAT)]]+tblSales[[#This Row],[Output VAT]]</f>
        <v>299700</v>
      </c>
      <c r="N3266" s="5">
        <f>tblSales[[#This Row],[Qty]]*_xlfn.XLOOKUP(tblSales[[#This Row],[Product Code]],tblProducts[Code],tblProducts[Unit Cost],0)</f>
        <v>144000</v>
      </c>
      <c r="O3266" s="4" t="s">
        <v>4866</v>
      </c>
      <c r="P3266" s="4" t="s">
        <v>4860</v>
      </c>
      <c r="Q3266" s="1" t="str">
        <f>_xlfn.XLOOKUP(tblSales[[#This Row],[Channel Code]],tblChannels[Channel Code],tblChannels[Channel Name],"")</f>
        <v>In-store</v>
      </c>
      <c r="R3266" s="1">
        <f>MONTH(tblSales[[#This Row],[Date]])</f>
        <v>7</v>
      </c>
    </row>
    <row r="3267" spans="2:18" x14ac:dyDescent="0.35">
      <c r="B3267" s="113">
        <v>46218</v>
      </c>
      <c r="C3267" s="4" t="s">
        <v>2193</v>
      </c>
      <c r="D3267" s="4" t="s">
        <v>4568</v>
      </c>
      <c r="E3267" s="1" t="str">
        <f>_xlfn.XLOOKUP(tblSales[[#This Row],[Customer ID]],tblCustomers[Customer ID],tblCustomers[Customer Name],"⚠ Unknown")</f>
        <v>Walk-in Customer</v>
      </c>
      <c r="F3267" s="4" t="s">
        <v>14</v>
      </c>
      <c r="G3267" s="1" t="str">
        <f>_xlfn.XLOOKUP(tblSales[[#This Row],[Product Code]],tblProducts[Code],tblProducts[Product / Service Name],"⚠ Unknown")</f>
        <v>Smartwatch</v>
      </c>
      <c r="H3267" s="1" t="str">
        <f>_xlfn.XLOOKUP(tblSales[[#This Row],[Product Code]],tblProducts[Code],tblProducts[Category],"")</f>
        <v>Bags &amp; Gadgets</v>
      </c>
      <c r="I3267" s="4">
        <v>1</v>
      </c>
      <c r="J3267" s="5">
        <f>_xlfn.XLOOKUP(tblSales[[#This Row],[Product Code]],tblProducts[Code],tblProducts[Selling Price (excl. VAT)],0)</f>
        <v>850000</v>
      </c>
      <c r="K3267" s="5">
        <f>tblSales[[#This Row],[Qty]]*tblSales[[#This Row],[Unit Price]]</f>
        <v>850000</v>
      </c>
      <c r="L3267" s="5">
        <f>ROUND(tblSales[[#This Row],[DPP (excl. VAT)]]*VATEff,0)</f>
        <v>93500</v>
      </c>
      <c r="M3267" s="5">
        <f>tblSales[[#This Row],[DPP (excl. VAT)]]+tblSales[[#This Row],[Output VAT]]</f>
        <v>943500</v>
      </c>
      <c r="N3267" s="5">
        <f>tblSales[[#This Row],[Qty]]*_xlfn.XLOOKUP(tblSales[[#This Row],[Product Code]],tblProducts[Code],tblProducts[Unit Cost],0)</f>
        <v>560000</v>
      </c>
      <c r="O3267" s="4" t="s">
        <v>4866</v>
      </c>
      <c r="P3267" s="4" t="s">
        <v>4860</v>
      </c>
      <c r="Q3267" s="1" t="str">
        <f>_xlfn.XLOOKUP(tblSales[[#This Row],[Channel Code]],tblChannels[Channel Code],tblChannels[Channel Name],"")</f>
        <v>In-store</v>
      </c>
      <c r="R3267" s="1">
        <f>MONTH(tblSales[[#This Row],[Date]])</f>
        <v>7</v>
      </c>
    </row>
    <row r="3268" spans="2:18" x14ac:dyDescent="0.35">
      <c r="B3268" s="113">
        <v>46218</v>
      </c>
      <c r="C3268" s="4" t="s">
        <v>2194</v>
      </c>
      <c r="D3268" s="4" t="s">
        <v>4568</v>
      </c>
      <c r="E3268" s="1" t="str">
        <f>_xlfn.XLOOKUP(tblSales[[#This Row],[Customer ID]],tblCustomers[Customer ID],tblCustomers[Customer Name],"⚠ Unknown")</f>
        <v>Walk-in Customer</v>
      </c>
      <c r="F3268" s="4" t="s">
        <v>10</v>
      </c>
      <c r="G3268" s="1" t="str">
        <f>_xlfn.XLOOKUP(tblSales[[#This Row],[Product Code]],tblProducts[Code],tblProducts[Product / Service Name],"⚠ Unknown")</f>
        <v>Chino Pants</v>
      </c>
      <c r="H3268" s="1" t="str">
        <f>_xlfn.XLOOKUP(tblSales[[#This Row],[Product Code]],tblProducts[Code],tblProducts[Category],"")</f>
        <v>Apparel &amp; Footwear</v>
      </c>
      <c r="I3268" s="4">
        <v>8</v>
      </c>
      <c r="J3268" s="5">
        <f>_xlfn.XLOOKUP(tblSales[[#This Row],[Product Code]],tblProducts[Code],tblProducts[Selling Price (excl. VAT)],0)</f>
        <v>150000</v>
      </c>
      <c r="K3268" s="5">
        <f>tblSales[[#This Row],[Qty]]*tblSales[[#This Row],[Unit Price]]</f>
        <v>1200000</v>
      </c>
      <c r="L3268" s="5">
        <f>ROUND(tblSales[[#This Row],[DPP (excl. VAT)]]*VATEff,0)</f>
        <v>132000</v>
      </c>
      <c r="M3268" s="5">
        <f>tblSales[[#This Row],[DPP (excl. VAT)]]+tblSales[[#This Row],[Output VAT]]</f>
        <v>1332000</v>
      </c>
      <c r="N3268" s="5">
        <f>tblSales[[#This Row],[Qty]]*_xlfn.XLOOKUP(tblSales[[#This Row],[Product Code]],tblProducts[Code],tblProducts[Unit Cost],0)</f>
        <v>704000</v>
      </c>
      <c r="O3268" s="4" t="s">
        <v>4866</v>
      </c>
      <c r="P3268" s="4" t="s">
        <v>4860</v>
      </c>
      <c r="Q3268" s="1" t="str">
        <f>_xlfn.XLOOKUP(tblSales[[#This Row],[Channel Code]],tblChannels[Channel Code],tblChannels[Channel Name],"")</f>
        <v>In-store</v>
      </c>
      <c r="R3268" s="1">
        <f>MONTH(tblSales[[#This Row],[Date]])</f>
        <v>7</v>
      </c>
    </row>
    <row r="3269" spans="2:18" x14ac:dyDescent="0.35">
      <c r="B3269" s="113">
        <v>46218</v>
      </c>
      <c r="C3269" s="4" t="s">
        <v>2195</v>
      </c>
      <c r="D3269" s="4" t="s">
        <v>4568</v>
      </c>
      <c r="E3269" s="1" t="str">
        <f>_xlfn.XLOOKUP(tblSales[[#This Row],[Customer ID]],tblCustomers[Customer ID],tblCustomers[Customer Name],"⚠ Unknown")</f>
        <v>Walk-in Customer</v>
      </c>
      <c r="F3269" s="4" t="s">
        <v>7</v>
      </c>
      <c r="G3269" s="1" t="str">
        <f>_xlfn.XLOOKUP(tblSales[[#This Row],[Product Code]],tblProducts[Code],tblProducts[Product / Service Name],"⚠ Unknown")</f>
        <v>Premium Basic T-shirt</v>
      </c>
      <c r="H3269" s="1" t="str">
        <f>_xlfn.XLOOKUP(tblSales[[#This Row],[Product Code]],tblProducts[Code],tblProducts[Category],"")</f>
        <v>Accessories &amp; Basics</v>
      </c>
      <c r="I3269" s="4">
        <v>8</v>
      </c>
      <c r="J3269" s="5">
        <f>_xlfn.XLOOKUP(tblSales[[#This Row],[Product Code]],tblProducts[Code],tblProducts[Selling Price (excl. VAT)],0)</f>
        <v>65000</v>
      </c>
      <c r="K3269" s="5">
        <f>tblSales[[#This Row],[Qty]]*tblSales[[#This Row],[Unit Price]]</f>
        <v>520000</v>
      </c>
      <c r="L3269" s="5">
        <f>ROUND(tblSales[[#This Row],[DPP (excl. VAT)]]*VATEff,0)</f>
        <v>57200</v>
      </c>
      <c r="M3269" s="5">
        <f>tblSales[[#This Row],[DPP (excl. VAT)]]+tblSales[[#This Row],[Output VAT]]</f>
        <v>577200</v>
      </c>
      <c r="N3269" s="5">
        <f>tblSales[[#This Row],[Qty]]*_xlfn.XLOOKUP(tblSales[[#This Row],[Product Code]],tblProducts[Code],tblProducts[Unit Cost],0)</f>
        <v>296000</v>
      </c>
      <c r="O3269" s="4" t="s">
        <v>4866</v>
      </c>
      <c r="P3269" s="4" t="s">
        <v>4861</v>
      </c>
      <c r="Q3269" s="1" t="str">
        <f>_xlfn.XLOOKUP(tblSales[[#This Row],[Channel Code]],tblChannels[Channel Code],tblChannels[Channel Name],"")</f>
        <v>Marketplace</v>
      </c>
      <c r="R3269" s="1">
        <f>MONTH(tblSales[[#This Row],[Date]])</f>
        <v>7</v>
      </c>
    </row>
    <row r="3270" spans="2:18" x14ac:dyDescent="0.35">
      <c r="B3270" s="113">
        <v>46218</v>
      </c>
      <c r="C3270" s="4" t="s">
        <v>2196</v>
      </c>
      <c r="D3270" s="4" t="s">
        <v>4568</v>
      </c>
      <c r="E3270" s="1" t="str">
        <f>_xlfn.XLOOKUP(tblSales[[#This Row],[Customer ID]],tblCustomers[Customer ID],tblCustomers[Customer Name],"⚠ Unknown")</f>
        <v>Walk-in Customer</v>
      </c>
      <c r="F3270" s="4" t="s">
        <v>6</v>
      </c>
      <c r="G3270" s="1" t="str">
        <f>_xlfn.XLOOKUP(tblSales[[#This Row],[Product Code]],tblProducts[Code],tblProducts[Product / Service Name],"⚠ Unknown")</f>
        <v>Socks &amp; Accessories</v>
      </c>
      <c r="H3270" s="1" t="str">
        <f>_xlfn.XLOOKUP(tblSales[[#This Row],[Product Code]],tblProducts[Code],tblProducts[Category],"")</f>
        <v>Accessories &amp; Basics</v>
      </c>
      <c r="I3270" s="4">
        <v>10</v>
      </c>
      <c r="J3270" s="5">
        <f>_xlfn.XLOOKUP(tblSales[[#This Row],[Product Code]],tblProducts[Code],tblProducts[Selling Price (excl. VAT)],0)</f>
        <v>45000</v>
      </c>
      <c r="K3270" s="5">
        <f>tblSales[[#This Row],[Qty]]*tblSales[[#This Row],[Unit Price]]</f>
        <v>450000</v>
      </c>
      <c r="L3270" s="5">
        <f>ROUND(tblSales[[#This Row],[DPP (excl. VAT)]]*VATEff,0)</f>
        <v>49500</v>
      </c>
      <c r="M3270" s="5">
        <f>tblSales[[#This Row],[DPP (excl. VAT)]]+tblSales[[#This Row],[Output VAT]]</f>
        <v>499500</v>
      </c>
      <c r="N3270" s="5">
        <f>tblSales[[#This Row],[Qty]]*_xlfn.XLOOKUP(tblSales[[#This Row],[Product Code]],tblProducts[Code],tblProducts[Unit Cost],0)</f>
        <v>240000</v>
      </c>
      <c r="O3270" s="4" t="s">
        <v>4866</v>
      </c>
      <c r="P3270" s="4" t="s">
        <v>4860</v>
      </c>
      <c r="Q3270" s="1" t="str">
        <f>_xlfn.XLOOKUP(tblSales[[#This Row],[Channel Code]],tblChannels[Channel Code],tblChannels[Channel Name],"")</f>
        <v>In-store</v>
      </c>
      <c r="R3270" s="1">
        <f>MONTH(tblSales[[#This Row],[Date]])</f>
        <v>7</v>
      </c>
    </row>
    <row r="3271" spans="2:18" x14ac:dyDescent="0.35">
      <c r="B3271" s="113">
        <v>46218</v>
      </c>
      <c r="C3271" s="4" t="s">
        <v>2197</v>
      </c>
      <c r="D3271" s="4" t="s">
        <v>4568</v>
      </c>
      <c r="E3271" s="1" t="str">
        <f>_xlfn.XLOOKUP(tblSales[[#This Row],[Customer ID]],tblCustomers[Customer ID],tblCustomers[Customer Name],"⚠ Unknown")</f>
        <v>Walk-in Customer</v>
      </c>
      <c r="F3271" s="4" t="s">
        <v>7</v>
      </c>
      <c r="G3271" s="1" t="str">
        <f>_xlfn.XLOOKUP(tblSales[[#This Row],[Product Code]],tblProducts[Code],tblProducts[Product / Service Name],"⚠ Unknown")</f>
        <v>Premium Basic T-shirt</v>
      </c>
      <c r="H3271" s="1" t="str">
        <f>_xlfn.XLOOKUP(tblSales[[#This Row],[Product Code]],tblProducts[Code],tblProducts[Category],"")</f>
        <v>Accessories &amp; Basics</v>
      </c>
      <c r="I3271" s="4">
        <v>2</v>
      </c>
      <c r="J3271" s="5">
        <f>_xlfn.XLOOKUP(tblSales[[#This Row],[Product Code]],tblProducts[Code],tblProducts[Selling Price (excl. VAT)],0)</f>
        <v>65000</v>
      </c>
      <c r="K3271" s="5">
        <f>tblSales[[#This Row],[Qty]]*tblSales[[#This Row],[Unit Price]]</f>
        <v>130000</v>
      </c>
      <c r="L3271" s="5">
        <f>ROUND(tblSales[[#This Row],[DPP (excl. VAT)]]*VATEff,0)</f>
        <v>14300</v>
      </c>
      <c r="M3271" s="5">
        <f>tblSales[[#This Row],[DPP (excl. VAT)]]+tblSales[[#This Row],[Output VAT]]</f>
        <v>144300</v>
      </c>
      <c r="N3271" s="5">
        <f>tblSales[[#This Row],[Qty]]*_xlfn.XLOOKUP(tblSales[[#This Row],[Product Code]],tblProducts[Code],tblProducts[Unit Cost],0)</f>
        <v>74000</v>
      </c>
      <c r="O3271" s="4" t="s">
        <v>4866</v>
      </c>
      <c r="P3271" s="4" t="s">
        <v>4862</v>
      </c>
      <c r="Q3271" s="1" t="str">
        <f>_xlfn.XLOOKUP(tblSales[[#This Row],[Channel Code]],tblChannels[Channel Code],tblChannels[Channel Name],"")</f>
        <v>Website &amp; Social Media</v>
      </c>
      <c r="R3271" s="1">
        <f>MONTH(tblSales[[#This Row],[Date]])</f>
        <v>7</v>
      </c>
    </row>
    <row r="3272" spans="2:18" x14ac:dyDescent="0.35">
      <c r="B3272" s="113">
        <v>46218</v>
      </c>
      <c r="C3272" s="4" t="s">
        <v>2197</v>
      </c>
      <c r="D3272" s="4" t="s">
        <v>4568</v>
      </c>
      <c r="E3272" s="1" t="str">
        <f>_xlfn.XLOOKUP(tblSales[[#This Row],[Customer ID]],tblCustomers[Customer ID],tblCustomers[Customer Name],"⚠ Unknown")</f>
        <v>Walk-in Customer</v>
      </c>
      <c r="F3272" s="4" t="s">
        <v>12</v>
      </c>
      <c r="G3272" s="1" t="str">
        <f>_xlfn.XLOOKUP(tblSales[[#This Row],[Product Code]],tblProducts[Code],tblProducts[Product / Service Name],"⚠ Unknown")</f>
        <v>Bomber Jacket</v>
      </c>
      <c r="H3272" s="1" t="str">
        <f>_xlfn.XLOOKUP(tblSales[[#This Row],[Product Code]],tblProducts[Code],tblProducts[Category],"")</f>
        <v>Apparel &amp; Footwear</v>
      </c>
      <c r="I3272" s="4">
        <v>6</v>
      </c>
      <c r="J3272" s="5">
        <f>_xlfn.XLOOKUP(tblSales[[#This Row],[Product Code]],tblProducts[Code],tblProducts[Selling Price (excl. VAT)],0)</f>
        <v>350000</v>
      </c>
      <c r="K3272" s="5">
        <f>tblSales[[#This Row],[Qty]]*tblSales[[#This Row],[Unit Price]]</f>
        <v>2100000</v>
      </c>
      <c r="L3272" s="5">
        <f>ROUND(tblSales[[#This Row],[DPP (excl. VAT)]]*VATEff,0)</f>
        <v>231000</v>
      </c>
      <c r="M3272" s="5">
        <f>tblSales[[#This Row],[DPP (excl. VAT)]]+tblSales[[#This Row],[Output VAT]]</f>
        <v>2331000</v>
      </c>
      <c r="N3272" s="5">
        <f>tblSales[[#This Row],[Qty]]*_xlfn.XLOOKUP(tblSales[[#This Row],[Product Code]],tblProducts[Code],tblProducts[Unit Cost],0)</f>
        <v>1260000</v>
      </c>
      <c r="O3272" s="4" t="s">
        <v>4866</v>
      </c>
      <c r="P3272" s="4" t="s">
        <v>4862</v>
      </c>
      <c r="Q3272" s="1" t="str">
        <f>_xlfn.XLOOKUP(tblSales[[#This Row],[Channel Code]],tblChannels[Channel Code],tblChannels[Channel Name],"")</f>
        <v>Website &amp; Social Media</v>
      </c>
      <c r="R3272" s="1">
        <f>MONTH(tblSales[[#This Row],[Date]])</f>
        <v>7</v>
      </c>
    </row>
    <row r="3273" spans="2:18" x14ac:dyDescent="0.35">
      <c r="B3273" s="113">
        <v>46218</v>
      </c>
      <c r="C3273" s="4" t="s">
        <v>2197</v>
      </c>
      <c r="D3273" s="4" t="s">
        <v>4568</v>
      </c>
      <c r="E3273" s="1" t="str">
        <f>_xlfn.XLOOKUP(tblSales[[#This Row],[Customer ID]],tblCustomers[Customer ID],tblCustomers[Customer Name],"⚠ Unknown")</f>
        <v>Walk-in Customer</v>
      </c>
      <c r="F3273" s="4" t="s">
        <v>10</v>
      </c>
      <c r="G3273" s="1" t="str">
        <f>_xlfn.XLOOKUP(tblSales[[#This Row],[Product Code]],tblProducts[Code],tblProducts[Product / Service Name],"⚠ Unknown")</f>
        <v>Chino Pants</v>
      </c>
      <c r="H3273" s="1" t="str">
        <f>_xlfn.XLOOKUP(tblSales[[#This Row],[Product Code]],tblProducts[Code],tblProducts[Category],"")</f>
        <v>Apparel &amp; Footwear</v>
      </c>
      <c r="I3273" s="4">
        <v>11</v>
      </c>
      <c r="J3273" s="5">
        <f>_xlfn.XLOOKUP(tblSales[[#This Row],[Product Code]],tblProducts[Code],tblProducts[Selling Price (excl. VAT)],0)</f>
        <v>150000</v>
      </c>
      <c r="K3273" s="5">
        <f>tblSales[[#This Row],[Qty]]*tblSales[[#This Row],[Unit Price]]</f>
        <v>1650000</v>
      </c>
      <c r="L3273" s="5">
        <f>ROUND(tblSales[[#This Row],[DPP (excl. VAT)]]*VATEff,0)</f>
        <v>181500</v>
      </c>
      <c r="M3273" s="5">
        <f>tblSales[[#This Row],[DPP (excl. VAT)]]+tblSales[[#This Row],[Output VAT]]</f>
        <v>1831500</v>
      </c>
      <c r="N3273" s="5">
        <f>tblSales[[#This Row],[Qty]]*_xlfn.XLOOKUP(tblSales[[#This Row],[Product Code]],tblProducts[Code],tblProducts[Unit Cost],0)</f>
        <v>968000</v>
      </c>
      <c r="O3273" s="4" t="s">
        <v>4866</v>
      </c>
      <c r="P3273" s="4" t="s">
        <v>4862</v>
      </c>
      <c r="Q3273" s="1" t="str">
        <f>_xlfn.XLOOKUP(tblSales[[#This Row],[Channel Code]],tblChannels[Channel Code],tblChannels[Channel Name],"")</f>
        <v>Website &amp; Social Media</v>
      </c>
      <c r="R3273" s="1">
        <f>MONTH(tblSales[[#This Row],[Date]])</f>
        <v>7</v>
      </c>
    </row>
    <row r="3274" spans="2:18" x14ac:dyDescent="0.35">
      <c r="B3274" s="113">
        <v>46218</v>
      </c>
      <c r="C3274" s="4" t="s">
        <v>2198</v>
      </c>
      <c r="D3274" s="4" t="s">
        <v>4593</v>
      </c>
      <c r="E3274" s="1" t="str">
        <f>_xlfn.XLOOKUP(tblSales[[#This Row],[Customer ID]],tblCustomers[Customer ID],tblCustomers[Customer Name],"⚠ Unknown")</f>
        <v>PT Graha Nusa Persada</v>
      </c>
      <c r="F3274" s="4" t="s">
        <v>8</v>
      </c>
      <c r="G3274" s="1" t="str">
        <f>_xlfn.XLOOKUP(tblSales[[#This Row],[Product Code]],tblProducts[Code],tblProducts[Product / Service Name],"⚠ Unknown")</f>
        <v>Casual Shorts</v>
      </c>
      <c r="H3274" s="1" t="str">
        <f>_xlfn.XLOOKUP(tblSales[[#This Row],[Product Code]],tblProducts[Code],tblProducts[Category],"")</f>
        <v>Accessories &amp; Basics</v>
      </c>
      <c r="I3274" s="4">
        <v>56</v>
      </c>
      <c r="J3274" s="5">
        <f>_xlfn.XLOOKUP(tblSales[[#This Row],[Product Code]],tblProducts[Code],tblProducts[Selling Price (excl. VAT)],0)</f>
        <v>85000</v>
      </c>
      <c r="K3274" s="5">
        <f>tblSales[[#This Row],[Qty]]*tblSales[[#This Row],[Unit Price]]</f>
        <v>4760000</v>
      </c>
      <c r="L3274" s="5">
        <f>ROUND(tblSales[[#This Row],[DPP (excl. VAT)]]*VATEff,0)</f>
        <v>523600</v>
      </c>
      <c r="M3274" s="5">
        <f>tblSales[[#This Row],[DPP (excl. VAT)]]+tblSales[[#This Row],[Output VAT]]</f>
        <v>5283600</v>
      </c>
      <c r="N3274" s="5">
        <f>tblSales[[#This Row],[Qty]]*_xlfn.XLOOKUP(tblSales[[#This Row],[Product Code]],tblProducts[Code],tblProducts[Unit Cost],0)</f>
        <v>2800000</v>
      </c>
      <c r="O3274" s="4" t="s">
        <v>4867</v>
      </c>
      <c r="P3274" s="4" t="s">
        <v>4860</v>
      </c>
      <c r="Q3274" s="1" t="str">
        <f>_xlfn.XLOOKUP(tblSales[[#This Row],[Channel Code]],tblChannels[Channel Code],tblChannels[Channel Name],"")</f>
        <v>In-store</v>
      </c>
      <c r="R3274" s="1">
        <f>MONTH(tblSales[[#This Row],[Date]])</f>
        <v>7</v>
      </c>
    </row>
    <row r="3275" spans="2:18" x14ac:dyDescent="0.35">
      <c r="B3275" s="113">
        <v>46218</v>
      </c>
      <c r="C3275" s="4" t="s">
        <v>2199</v>
      </c>
      <c r="D3275" s="4" t="s">
        <v>4568</v>
      </c>
      <c r="E3275" s="1" t="str">
        <f>_xlfn.XLOOKUP(tblSales[[#This Row],[Customer ID]],tblCustomers[Customer ID],tblCustomers[Customer Name],"⚠ Unknown")</f>
        <v>Walk-in Customer</v>
      </c>
      <c r="F3275" s="4" t="s">
        <v>9</v>
      </c>
      <c r="G3275" s="1" t="str">
        <f>_xlfn.XLOOKUP(tblSales[[#This Row],[Product Code]],tblProducts[Code],tblProducts[Product / Service Name],"⚠ Unknown")</f>
        <v>Casual Shirt</v>
      </c>
      <c r="H3275" s="1" t="str">
        <f>_xlfn.XLOOKUP(tblSales[[#This Row],[Product Code]],tblProducts[Code],tblProducts[Category],"")</f>
        <v>Apparel &amp; Footwear</v>
      </c>
      <c r="I3275" s="4">
        <v>6</v>
      </c>
      <c r="J3275" s="5">
        <f>_xlfn.XLOOKUP(tblSales[[#This Row],[Product Code]],tblProducts[Code],tblProducts[Selling Price (excl. VAT)],0)</f>
        <v>120000</v>
      </c>
      <c r="K3275" s="5">
        <f>tblSales[[#This Row],[Qty]]*tblSales[[#This Row],[Unit Price]]</f>
        <v>720000</v>
      </c>
      <c r="L3275" s="5">
        <f>ROUND(tblSales[[#This Row],[DPP (excl. VAT)]]*VATEff,0)</f>
        <v>79200</v>
      </c>
      <c r="M3275" s="5">
        <f>tblSales[[#This Row],[DPP (excl. VAT)]]+tblSales[[#This Row],[Output VAT]]</f>
        <v>799200</v>
      </c>
      <c r="N3275" s="5">
        <f>tblSales[[#This Row],[Qty]]*_xlfn.XLOOKUP(tblSales[[#This Row],[Product Code]],tblProducts[Code],tblProducts[Unit Cost],0)</f>
        <v>432000</v>
      </c>
      <c r="O3275" s="4" t="s">
        <v>4865</v>
      </c>
      <c r="P3275" s="4" t="s">
        <v>4860</v>
      </c>
      <c r="Q3275" s="1" t="str">
        <f>_xlfn.XLOOKUP(tblSales[[#This Row],[Channel Code]],tblChannels[Channel Code],tblChannels[Channel Name],"")</f>
        <v>In-store</v>
      </c>
      <c r="R3275" s="1">
        <f>MONTH(tblSales[[#This Row],[Date]])</f>
        <v>7</v>
      </c>
    </row>
    <row r="3276" spans="2:18" x14ac:dyDescent="0.35">
      <c r="B3276" s="113">
        <v>46218</v>
      </c>
      <c r="C3276" s="4" t="s">
        <v>2200</v>
      </c>
      <c r="D3276" s="4" t="s">
        <v>4568</v>
      </c>
      <c r="E3276" s="1" t="str">
        <f>_xlfn.XLOOKUP(tblSales[[#This Row],[Customer ID]],tblCustomers[Customer ID],tblCustomers[Customer Name],"⚠ Unknown")</f>
        <v>Walk-in Customer</v>
      </c>
      <c r="F3276" s="4" t="s">
        <v>12</v>
      </c>
      <c r="G3276" s="1" t="str">
        <f>_xlfn.XLOOKUP(tblSales[[#This Row],[Product Code]],tblProducts[Code],tblProducts[Product / Service Name],"⚠ Unknown")</f>
        <v>Bomber Jacket</v>
      </c>
      <c r="H3276" s="1" t="str">
        <f>_xlfn.XLOOKUP(tblSales[[#This Row],[Product Code]],tblProducts[Code],tblProducts[Category],"")</f>
        <v>Apparel &amp; Footwear</v>
      </c>
      <c r="I3276" s="4">
        <v>5</v>
      </c>
      <c r="J3276" s="5">
        <f>_xlfn.XLOOKUP(tblSales[[#This Row],[Product Code]],tblProducts[Code],tblProducts[Selling Price (excl. VAT)],0)</f>
        <v>350000</v>
      </c>
      <c r="K3276" s="5">
        <f>tblSales[[#This Row],[Qty]]*tblSales[[#This Row],[Unit Price]]</f>
        <v>1750000</v>
      </c>
      <c r="L3276" s="5">
        <f>ROUND(tblSales[[#This Row],[DPP (excl. VAT)]]*VATEff,0)</f>
        <v>192500</v>
      </c>
      <c r="M3276" s="5">
        <f>tblSales[[#This Row],[DPP (excl. VAT)]]+tblSales[[#This Row],[Output VAT]]</f>
        <v>1942500</v>
      </c>
      <c r="N3276" s="5">
        <f>tblSales[[#This Row],[Qty]]*_xlfn.XLOOKUP(tblSales[[#This Row],[Product Code]],tblProducts[Code],tblProducts[Unit Cost],0)</f>
        <v>1050000</v>
      </c>
      <c r="O3276" s="4" t="s">
        <v>4866</v>
      </c>
      <c r="P3276" s="4" t="s">
        <v>4862</v>
      </c>
      <c r="Q3276" s="1" t="str">
        <f>_xlfn.XLOOKUP(tblSales[[#This Row],[Channel Code]],tblChannels[Channel Code],tblChannels[Channel Name],"")</f>
        <v>Website &amp; Social Media</v>
      </c>
      <c r="R3276" s="1">
        <f>MONTH(tblSales[[#This Row],[Date]])</f>
        <v>7</v>
      </c>
    </row>
    <row r="3277" spans="2:18" x14ac:dyDescent="0.35">
      <c r="B3277" s="113">
        <v>46218</v>
      </c>
      <c r="C3277" s="4" t="s">
        <v>2201</v>
      </c>
      <c r="D3277" s="4" t="s">
        <v>4568</v>
      </c>
      <c r="E3277" s="1" t="str">
        <f>_xlfn.XLOOKUP(tblSales[[#This Row],[Customer ID]],tblCustomers[Customer ID],tblCustomers[Customer Name],"⚠ Unknown")</f>
        <v>Walk-in Customer</v>
      </c>
      <c r="F3277" s="4" t="s">
        <v>6</v>
      </c>
      <c r="G3277" s="1" t="str">
        <f>_xlfn.XLOOKUP(tblSales[[#This Row],[Product Code]],tblProducts[Code],tblProducts[Product / Service Name],"⚠ Unknown")</f>
        <v>Socks &amp; Accessories</v>
      </c>
      <c r="H3277" s="1" t="str">
        <f>_xlfn.XLOOKUP(tblSales[[#This Row],[Product Code]],tblProducts[Code],tblProducts[Category],"")</f>
        <v>Accessories &amp; Basics</v>
      </c>
      <c r="I3277" s="4">
        <v>5</v>
      </c>
      <c r="J3277" s="5">
        <f>_xlfn.XLOOKUP(tblSales[[#This Row],[Product Code]],tblProducts[Code],tblProducts[Selling Price (excl. VAT)],0)</f>
        <v>45000</v>
      </c>
      <c r="K3277" s="5">
        <f>tblSales[[#This Row],[Qty]]*tblSales[[#This Row],[Unit Price]]</f>
        <v>225000</v>
      </c>
      <c r="L3277" s="5">
        <f>ROUND(tblSales[[#This Row],[DPP (excl. VAT)]]*VATEff,0)</f>
        <v>24750</v>
      </c>
      <c r="M3277" s="5">
        <f>tblSales[[#This Row],[DPP (excl. VAT)]]+tblSales[[#This Row],[Output VAT]]</f>
        <v>249750</v>
      </c>
      <c r="N3277" s="5">
        <f>tblSales[[#This Row],[Qty]]*_xlfn.XLOOKUP(tblSales[[#This Row],[Product Code]],tblProducts[Code],tblProducts[Unit Cost],0)</f>
        <v>120000</v>
      </c>
      <c r="O3277" s="4" t="s">
        <v>4866</v>
      </c>
      <c r="P3277" s="4" t="s">
        <v>4861</v>
      </c>
      <c r="Q3277" s="1" t="str">
        <f>_xlfn.XLOOKUP(tblSales[[#This Row],[Channel Code]],tblChannels[Channel Code],tblChannels[Channel Name],"")</f>
        <v>Marketplace</v>
      </c>
      <c r="R3277" s="1">
        <f>MONTH(tblSales[[#This Row],[Date]])</f>
        <v>7</v>
      </c>
    </row>
    <row r="3278" spans="2:18" x14ac:dyDescent="0.35">
      <c r="B3278" s="113">
        <v>46218</v>
      </c>
      <c r="C3278" s="4" t="s">
        <v>2202</v>
      </c>
      <c r="D3278" s="4" t="s">
        <v>4568</v>
      </c>
      <c r="E3278" s="1" t="str">
        <f>_xlfn.XLOOKUP(tblSales[[#This Row],[Customer ID]],tblCustomers[Customer ID],tblCustomers[Customer Name],"⚠ Unknown")</f>
        <v>Walk-in Customer</v>
      </c>
      <c r="F3278" s="4" t="s">
        <v>13</v>
      </c>
      <c r="G3278" s="1" t="str">
        <f>_xlfn.XLOOKUP(tblSales[[#This Row],[Product Code]],tblProducts[Code],tblProducts[Product / Service Name],"⚠ Unknown")</f>
        <v>Backpack</v>
      </c>
      <c r="H3278" s="1" t="str">
        <f>_xlfn.XLOOKUP(tblSales[[#This Row],[Product Code]],tblProducts[Code],tblProducts[Category],"")</f>
        <v>Bags &amp; Gadgets</v>
      </c>
      <c r="I3278" s="4">
        <v>1</v>
      </c>
      <c r="J3278" s="5">
        <f>_xlfn.XLOOKUP(tblSales[[#This Row],[Product Code]],tblProducts[Code],tblProducts[Selling Price (excl. VAT)],0)</f>
        <v>500000</v>
      </c>
      <c r="K3278" s="5">
        <f>tblSales[[#This Row],[Qty]]*tblSales[[#This Row],[Unit Price]]</f>
        <v>500000</v>
      </c>
      <c r="L3278" s="5">
        <f>ROUND(tblSales[[#This Row],[DPP (excl. VAT)]]*VATEff,0)</f>
        <v>55000</v>
      </c>
      <c r="M3278" s="5">
        <f>tblSales[[#This Row],[DPP (excl. VAT)]]+tblSales[[#This Row],[Output VAT]]</f>
        <v>555000</v>
      </c>
      <c r="N3278" s="5">
        <f>tblSales[[#This Row],[Qty]]*_xlfn.XLOOKUP(tblSales[[#This Row],[Product Code]],tblProducts[Code],tblProducts[Unit Cost],0)</f>
        <v>290000</v>
      </c>
      <c r="O3278" s="4" t="s">
        <v>4865</v>
      </c>
      <c r="P3278" s="4" t="s">
        <v>4860</v>
      </c>
      <c r="Q3278" s="1" t="str">
        <f>_xlfn.XLOOKUP(tblSales[[#This Row],[Channel Code]],tblChannels[Channel Code],tblChannels[Channel Name],"")</f>
        <v>In-store</v>
      </c>
      <c r="R3278" s="1">
        <f>MONTH(tblSales[[#This Row],[Date]])</f>
        <v>7</v>
      </c>
    </row>
    <row r="3279" spans="2:18" x14ac:dyDescent="0.35">
      <c r="B3279" s="113">
        <v>46218</v>
      </c>
      <c r="C3279" s="4" t="s">
        <v>2202</v>
      </c>
      <c r="D3279" s="4" t="s">
        <v>4568</v>
      </c>
      <c r="E3279" s="1" t="str">
        <f>_xlfn.XLOOKUP(tblSales[[#This Row],[Customer ID]],tblCustomers[Customer ID],tblCustomers[Customer Name],"⚠ Unknown")</f>
        <v>Walk-in Customer</v>
      </c>
      <c r="F3279" s="4" t="s">
        <v>7</v>
      </c>
      <c r="G3279" s="1" t="str">
        <f>_xlfn.XLOOKUP(tblSales[[#This Row],[Product Code]],tblProducts[Code],tblProducts[Product / Service Name],"⚠ Unknown")</f>
        <v>Premium Basic T-shirt</v>
      </c>
      <c r="H3279" s="1" t="str">
        <f>_xlfn.XLOOKUP(tblSales[[#This Row],[Product Code]],tblProducts[Code],tblProducts[Category],"")</f>
        <v>Accessories &amp; Basics</v>
      </c>
      <c r="I3279" s="4">
        <v>5</v>
      </c>
      <c r="J3279" s="5">
        <f>_xlfn.XLOOKUP(tblSales[[#This Row],[Product Code]],tblProducts[Code],tblProducts[Selling Price (excl. VAT)],0)</f>
        <v>65000</v>
      </c>
      <c r="K3279" s="5">
        <f>tblSales[[#This Row],[Qty]]*tblSales[[#This Row],[Unit Price]]</f>
        <v>325000</v>
      </c>
      <c r="L3279" s="5">
        <f>ROUND(tblSales[[#This Row],[DPP (excl. VAT)]]*VATEff,0)</f>
        <v>35750</v>
      </c>
      <c r="M3279" s="5">
        <f>tblSales[[#This Row],[DPP (excl. VAT)]]+tblSales[[#This Row],[Output VAT]]</f>
        <v>360750</v>
      </c>
      <c r="N3279" s="5">
        <f>tblSales[[#This Row],[Qty]]*_xlfn.XLOOKUP(tblSales[[#This Row],[Product Code]],tblProducts[Code],tblProducts[Unit Cost],0)</f>
        <v>185000</v>
      </c>
      <c r="O3279" s="4" t="s">
        <v>4865</v>
      </c>
      <c r="P3279" s="4" t="s">
        <v>4860</v>
      </c>
      <c r="Q3279" s="1" t="str">
        <f>_xlfn.XLOOKUP(tblSales[[#This Row],[Channel Code]],tblChannels[Channel Code],tblChannels[Channel Name],"")</f>
        <v>In-store</v>
      </c>
      <c r="R3279" s="1">
        <f>MONTH(tblSales[[#This Row],[Date]])</f>
        <v>7</v>
      </c>
    </row>
    <row r="3280" spans="2:18" x14ac:dyDescent="0.35">
      <c r="B3280" s="113">
        <v>46218</v>
      </c>
      <c r="C3280" s="4" t="s">
        <v>2203</v>
      </c>
      <c r="D3280" s="4" t="s">
        <v>4568</v>
      </c>
      <c r="E3280" s="1" t="str">
        <f>_xlfn.XLOOKUP(tblSales[[#This Row],[Customer ID]],tblCustomers[Customer ID],tblCustomers[Customer Name],"⚠ Unknown")</f>
        <v>Walk-in Customer</v>
      </c>
      <c r="F3280" s="4" t="s">
        <v>6</v>
      </c>
      <c r="G3280" s="1" t="str">
        <f>_xlfn.XLOOKUP(tblSales[[#This Row],[Product Code]],tblProducts[Code],tblProducts[Product / Service Name],"⚠ Unknown")</f>
        <v>Socks &amp; Accessories</v>
      </c>
      <c r="H3280" s="1" t="str">
        <f>_xlfn.XLOOKUP(tblSales[[#This Row],[Product Code]],tblProducts[Code],tblProducts[Category],"")</f>
        <v>Accessories &amp; Basics</v>
      </c>
      <c r="I3280" s="4">
        <v>7</v>
      </c>
      <c r="J3280" s="5">
        <f>_xlfn.XLOOKUP(tblSales[[#This Row],[Product Code]],tblProducts[Code],tblProducts[Selling Price (excl. VAT)],0)</f>
        <v>45000</v>
      </c>
      <c r="K3280" s="5">
        <f>tblSales[[#This Row],[Qty]]*tblSales[[#This Row],[Unit Price]]</f>
        <v>315000</v>
      </c>
      <c r="L3280" s="5">
        <f>ROUND(tblSales[[#This Row],[DPP (excl. VAT)]]*VATEff,0)</f>
        <v>34650</v>
      </c>
      <c r="M3280" s="5">
        <f>tblSales[[#This Row],[DPP (excl. VAT)]]+tblSales[[#This Row],[Output VAT]]</f>
        <v>349650</v>
      </c>
      <c r="N3280" s="5">
        <f>tblSales[[#This Row],[Qty]]*_xlfn.XLOOKUP(tblSales[[#This Row],[Product Code]],tblProducts[Code],tblProducts[Unit Cost],0)</f>
        <v>168000</v>
      </c>
      <c r="O3280" s="4" t="s">
        <v>4865</v>
      </c>
      <c r="P3280" s="4" t="s">
        <v>4860</v>
      </c>
      <c r="Q3280" s="1" t="str">
        <f>_xlfn.XLOOKUP(tblSales[[#This Row],[Channel Code]],tblChannels[Channel Code],tblChannels[Channel Name],"")</f>
        <v>In-store</v>
      </c>
      <c r="R3280" s="1">
        <f>MONTH(tblSales[[#This Row],[Date]])</f>
        <v>7</v>
      </c>
    </row>
    <row r="3281" spans="2:18" x14ac:dyDescent="0.35">
      <c r="B3281" s="113">
        <v>46218</v>
      </c>
      <c r="C3281" s="4" t="s">
        <v>2204</v>
      </c>
      <c r="D3281" s="4" t="s">
        <v>4568</v>
      </c>
      <c r="E3281" s="1" t="str">
        <f>_xlfn.XLOOKUP(tblSales[[#This Row],[Customer ID]],tblCustomers[Customer ID],tblCustomers[Customer Name],"⚠ Unknown")</f>
        <v>Walk-in Customer</v>
      </c>
      <c r="F3281" s="4" t="s">
        <v>7</v>
      </c>
      <c r="G3281" s="1" t="str">
        <f>_xlfn.XLOOKUP(tblSales[[#This Row],[Product Code]],tblProducts[Code],tblProducts[Product / Service Name],"⚠ Unknown")</f>
        <v>Premium Basic T-shirt</v>
      </c>
      <c r="H3281" s="1" t="str">
        <f>_xlfn.XLOOKUP(tblSales[[#This Row],[Product Code]],tblProducts[Code],tblProducts[Category],"")</f>
        <v>Accessories &amp; Basics</v>
      </c>
      <c r="I3281" s="4">
        <v>10</v>
      </c>
      <c r="J3281" s="5">
        <f>_xlfn.XLOOKUP(tblSales[[#This Row],[Product Code]],tblProducts[Code],tblProducts[Selling Price (excl. VAT)],0)</f>
        <v>65000</v>
      </c>
      <c r="K3281" s="5">
        <f>tblSales[[#This Row],[Qty]]*tblSales[[#This Row],[Unit Price]]</f>
        <v>650000</v>
      </c>
      <c r="L3281" s="5">
        <f>ROUND(tblSales[[#This Row],[DPP (excl. VAT)]]*VATEff,0)</f>
        <v>71500</v>
      </c>
      <c r="M3281" s="5">
        <f>tblSales[[#This Row],[DPP (excl. VAT)]]+tblSales[[#This Row],[Output VAT]]</f>
        <v>721500</v>
      </c>
      <c r="N3281" s="5">
        <f>tblSales[[#This Row],[Qty]]*_xlfn.XLOOKUP(tblSales[[#This Row],[Product Code]],tblProducts[Code],tblProducts[Unit Cost],0)</f>
        <v>370000</v>
      </c>
      <c r="O3281" s="4" t="s">
        <v>4865</v>
      </c>
      <c r="P3281" s="4" t="s">
        <v>4860</v>
      </c>
      <c r="Q3281" s="1" t="str">
        <f>_xlfn.XLOOKUP(tblSales[[#This Row],[Channel Code]],tblChannels[Channel Code],tblChannels[Channel Name],"")</f>
        <v>In-store</v>
      </c>
      <c r="R3281" s="1">
        <f>MONTH(tblSales[[#This Row],[Date]])</f>
        <v>7</v>
      </c>
    </row>
    <row r="3282" spans="2:18" x14ac:dyDescent="0.35">
      <c r="B3282" s="113">
        <v>46218</v>
      </c>
      <c r="C3282" s="4" t="s">
        <v>2204</v>
      </c>
      <c r="D3282" s="4" t="s">
        <v>4568</v>
      </c>
      <c r="E3282" s="1" t="str">
        <f>_xlfn.XLOOKUP(tblSales[[#This Row],[Customer ID]],tblCustomers[Customer ID],tblCustomers[Customer Name],"⚠ Unknown")</f>
        <v>Walk-in Customer</v>
      </c>
      <c r="F3282" s="4" t="s">
        <v>8</v>
      </c>
      <c r="G3282" s="1" t="str">
        <f>_xlfn.XLOOKUP(tblSales[[#This Row],[Product Code]],tblProducts[Code],tblProducts[Product / Service Name],"⚠ Unknown")</f>
        <v>Casual Shorts</v>
      </c>
      <c r="H3282" s="1" t="str">
        <f>_xlfn.XLOOKUP(tblSales[[#This Row],[Product Code]],tblProducts[Code],tblProducts[Category],"")</f>
        <v>Accessories &amp; Basics</v>
      </c>
      <c r="I3282" s="4">
        <v>2</v>
      </c>
      <c r="J3282" s="5">
        <f>_xlfn.XLOOKUP(tblSales[[#This Row],[Product Code]],tblProducts[Code],tblProducts[Selling Price (excl. VAT)],0)</f>
        <v>85000</v>
      </c>
      <c r="K3282" s="5">
        <f>tblSales[[#This Row],[Qty]]*tblSales[[#This Row],[Unit Price]]</f>
        <v>170000</v>
      </c>
      <c r="L3282" s="5">
        <f>ROUND(tblSales[[#This Row],[DPP (excl. VAT)]]*VATEff,0)</f>
        <v>18700</v>
      </c>
      <c r="M3282" s="5">
        <f>tblSales[[#This Row],[DPP (excl. VAT)]]+tblSales[[#This Row],[Output VAT]]</f>
        <v>188700</v>
      </c>
      <c r="N3282" s="5">
        <f>tblSales[[#This Row],[Qty]]*_xlfn.XLOOKUP(tblSales[[#This Row],[Product Code]],tblProducts[Code],tblProducts[Unit Cost],0)</f>
        <v>100000</v>
      </c>
      <c r="O3282" s="4" t="s">
        <v>4865</v>
      </c>
      <c r="P3282" s="4" t="s">
        <v>4860</v>
      </c>
      <c r="Q3282" s="1" t="str">
        <f>_xlfn.XLOOKUP(tblSales[[#This Row],[Channel Code]],tblChannels[Channel Code],tblChannels[Channel Name],"")</f>
        <v>In-store</v>
      </c>
      <c r="R3282" s="1">
        <f>MONTH(tblSales[[#This Row],[Date]])</f>
        <v>7</v>
      </c>
    </row>
    <row r="3283" spans="2:18" x14ac:dyDescent="0.35">
      <c r="B3283" s="113">
        <v>46218</v>
      </c>
      <c r="C3283" s="4" t="s">
        <v>2205</v>
      </c>
      <c r="D3283" s="4" t="s">
        <v>4578</v>
      </c>
      <c r="E3283" s="1" t="str">
        <f>_xlfn.XLOOKUP(tblSales[[#This Row],[Customer ID]],tblCustomers[Customer ID],tblCustomers[Customer Name],"⚠ Unknown")</f>
        <v>PT Bintang Timur Sejahtera</v>
      </c>
      <c r="F3283" s="4" t="s">
        <v>15</v>
      </c>
      <c r="G3283" s="1" t="str">
        <f>_xlfn.XLOOKUP(tblSales[[#This Row],[Product Code]],tblProducts[Code],tblProducts[Product / Service Name],"⚠ Unknown")</f>
        <v>Wireless Earbuds Pro</v>
      </c>
      <c r="H3283" s="1" t="str">
        <f>_xlfn.XLOOKUP(tblSales[[#This Row],[Product Code]],tblProducts[Code],tblProducts[Category],"")</f>
        <v>Bags &amp; Gadgets</v>
      </c>
      <c r="I3283" s="4">
        <v>8</v>
      </c>
      <c r="J3283" s="5">
        <f>_xlfn.XLOOKUP(tblSales[[#This Row],[Product Code]],tblProducts[Code],tblProducts[Selling Price (excl. VAT)],0)</f>
        <v>1250000</v>
      </c>
      <c r="K3283" s="5">
        <f>tblSales[[#This Row],[Qty]]*tblSales[[#This Row],[Unit Price]]</f>
        <v>10000000</v>
      </c>
      <c r="L3283" s="5">
        <f>ROUND(tblSales[[#This Row],[DPP (excl. VAT)]]*VATEff,0)</f>
        <v>1100000</v>
      </c>
      <c r="M3283" s="5">
        <f>tblSales[[#This Row],[DPP (excl. VAT)]]+tblSales[[#This Row],[Output VAT]]</f>
        <v>11100000</v>
      </c>
      <c r="N3283" s="5">
        <f>tblSales[[#This Row],[Qty]]*_xlfn.XLOOKUP(tblSales[[#This Row],[Product Code]],tblProducts[Code],tblProducts[Unit Cost],0)</f>
        <v>6560000</v>
      </c>
      <c r="O3283" s="4" t="s">
        <v>4867</v>
      </c>
      <c r="P3283" s="4" t="s">
        <v>4860</v>
      </c>
      <c r="Q3283" s="1" t="str">
        <f>_xlfn.XLOOKUP(tblSales[[#This Row],[Channel Code]],tblChannels[Channel Code],tblChannels[Channel Name],"")</f>
        <v>In-store</v>
      </c>
      <c r="R3283" s="1">
        <f>MONTH(tblSales[[#This Row],[Date]])</f>
        <v>7</v>
      </c>
    </row>
    <row r="3284" spans="2:18" x14ac:dyDescent="0.35">
      <c r="B3284" s="113">
        <v>46219</v>
      </c>
      <c r="C3284" s="4" t="s">
        <v>2206</v>
      </c>
      <c r="D3284" s="4" t="s">
        <v>4613</v>
      </c>
      <c r="E3284" s="1" t="str">
        <f>_xlfn.XLOOKUP(tblSales[[#This Row],[Customer ID]],tblCustomers[Customer ID],tblCustomers[Customer Name],"⚠ Unknown")</f>
        <v>PT Mega Prima Distribusi</v>
      </c>
      <c r="F3284" s="4" t="s">
        <v>7</v>
      </c>
      <c r="G3284" s="1" t="str">
        <f>_xlfn.XLOOKUP(tblSales[[#This Row],[Product Code]],tblProducts[Code],tblProducts[Product / Service Name],"⚠ Unknown")</f>
        <v>Premium Basic T-shirt</v>
      </c>
      <c r="H3284" s="1" t="str">
        <f>_xlfn.XLOOKUP(tblSales[[#This Row],[Product Code]],tblProducts[Code],tblProducts[Category],"")</f>
        <v>Accessories &amp; Basics</v>
      </c>
      <c r="I3284" s="4">
        <v>88</v>
      </c>
      <c r="J3284" s="5">
        <f>_xlfn.XLOOKUP(tblSales[[#This Row],[Product Code]],tblProducts[Code],tblProducts[Selling Price (excl. VAT)],0)</f>
        <v>65000</v>
      </c>
      <c r="K3284" s="5">
        <f>tblSales[[#This Row],[Qty]]*tblSales[[#This Row],[Unit Price]]</f>
        <v>5720000</v>
      </c>
      <c r="L3284" s="5">
        <f>ROUND(tblSales[[#This Row],[DPP (excl. VAT)]]*VATEff,0)</f>
        <v>629200</v>
      </c>
      <c r="M3284" s="5">
        <f>tblSales[[#This Row],[DPP (excl. VAT)]]+tblSales[[#This Row],[Output VAT]]</f>
        <v>6349200</v>
      </c>
      <c r="N3284" s="5">
        <f>tblSales[[#This Row],[Qty]]*_xlfn.XLOOKUP(tblSales[[#This Row],[Product Code]],tblProducts[Code],tblProducts[Unit Cost],0)</f>
        <v>3256000</v>
      </c>
      <c r="O3284" s="4" t="s">
        <v>4867</v>
      </c>
      <c r="P3284" s="4" t="s">
        <v>4862</v>
      </c>
      <c r="Q3284" s="1" t="str">
        <f>_xlfn.XLOOKUP(tblSales[[#This Row],[Channel Code]],tblChannels[Channel Code],tblChannels[Channel Name],"")</f>
        <v>Website &amp; Social Media</v>
      </c>
      <c r="R3284" s="1">
        <f>MONTH(tblSales[[#This Row],[Date]])</f>
        <v>7</v>
      </c>
    </row>
    <row r="3285" spans="2:18" x14ac:dyDescent="0.35">
      <c r="B3285" s="113">
        <v>46219</v>
      </c>
      <c r="C3285" s="4" t="s">
        <v>2207</v>
      </c>
      <c r="D3285" s="4" t="s">
        <v>4593</v>
      </c>
      <c r="E3285" s="1" t="str">
        <f>_xlfn.XLOOKUP(tblSales[[#This Row],[Customer ID]],tblCustomers[Customer ID],tblCustomers[Customer Name],"⚠ Unknown")</f>
        <v>PT Graha Nusa Persada</v>
      </c>
      <c r="F3285" s="4" t="s">
        <v>14</v>
      </c>
      <c r="G3285" s="1" t="str">
        <f>_xlfn.XLOOKUP(tblSales[[#This Row],[Product Code]],tblProducts[Code],tblProducts[Product / Service Name],"⚠ Unknown")</f>
        <v>Smartwatch</v>
      </c>
      <c r="H3285" s="1" t="str">
        <f>_xlfn.XLOOKUP(tblSales[[#This Row],[Product Code]],tblProducts[Code],tblProducts[Category],"")</f>
        <v>Bags &amp; Gadgets</v>
      </c>
      <c r="I3285" s="4">
        <v>8</v>
      </c>
      <c r="J3285" s="5">
        <f>_xlfn.XLOOKUP(tblSales[[#This Row],[Product Code]],tblProducts[Code],tblProducts[Selling Price (excl. VAT)],0)</f>
        <v>850000</v>
      </c>
      <c r="K3285" s="5">
        <f>tblSales[[#This Row],[Qty]]*tblSales[[#This Row],[Unit Price]]</f>
        <v>6800000</v>
      </c>
      <c r="L3285" s="5">
        <f>ROUND(tblSales[[#This Row],[DPP (excl. VAT)]]*VATEff,0)</f>
        <v>748000</v>
      </c>
      <c r="M3285" s="5">
        <f>tblSales[[#This Row],[DPP (excl. VAT)]]+tblSales[[#This Row],[Output VAT]]</f>
        <v>7548000</v>
      </c>
      <c r="N3285" s="5">
        <f>tblSales[[#This Row],[Qty]]*_xlfn.XLOOKUP(tblSales[[#This Row],[Product Code]],tblProducts[Code],tblProducts[Unit Cost],0)</f>
        <v>4480000</v>
      </c>
      <c r="O3285" s="4" t="s">
        <v>4867</v>
      </c>
      <c r="P3285" s="4" t="s">
        <v>4860</v>
      </c>
      <c r="Q3285" s="1" t="str">
        <f>_xlfn.XLOOKUP(tblSales[[#This Row],[Channel Code]],tblChannels[Channel Code],tblChannels[Channel Name],"")</f>
        <v>In-store</v>
      </c>
      <c r="R3285" s="1">
        <f>MONTH(tblSales[[#This Row],[Date]])</f>
        <v>7</v>
      </c>
    </row>
    <row r="3286" spans="2:18" x14ac:dyDescent="0.35">
      <c r="B3286" s="113">
        <v>46219</v>
      </c>
      <c r="C3286" s="4" t="s">
        <v>2208</v>
      </c>
      <c r="D3286" s="4" t="s">
        <v>4568</v>
      </c>
      <c r="E3286" s="1" t="str">
        <f>_xlfn.XLOOKUP(tblSales[[#This Row],[Customer ID]],tblCustomers[Customer ID],tblCustomers[Customer Name],"⚠ Unknown")</f>
        <v>Walk-in Customer</v>
      </c>
      <c r="F3286" s="4" t="s">
        <v>15</v>
      </c>
      <c r="G3286" s="1" t="str">
        <f>_xlfn.XLOOKUP(tblSales[[#This Row],[Product Code]],tblProducts[Code],tblProducts[Product / Service Name],"⚠ Unknown")</f>
        <v>Wireless Earbuds Pro</v>
      </c>
      <c r="H3286" s="1" t="str">
        <f>_xlfn.XLOOKUP(tblSales[[#This Row],[Product Code]],tblProducts[Code],tblProducts[Category],"")</f>
        <v>Bags &amp; Gadgets</v>
      </c>
      <c r="I3286" s="4">
        <v>1</v>
      </c>
      <c r="J3286" s="5">
        <f>_xlfn.XLOOKUP(tblSales[[#This Row],[Product Code]],tblProducts[Code],tblProducts[Selling Price (excl. VAT)],0)</f>
        <v>1250000</v>
      </c>
      <c r="K3286" s="5">
        <f>tblSales[[#This Row],[Qty]]*tblSales[[#This Row],[Unit Price]]</f>
        <v>1250000</v>
      </c>
      <c r="L3286" s="5">
        <f>ROUND(tblSales[[#This Row],[DPP (excl. VAT)]]*VATEff,0)</f>
        <v>137500</v>
      </c>
      <c r="M3286" s="5">
        <f>tblSales[[#This Row],[DPP (excl. VAT)]]+tblSales[[#This Row],[Output VAT]]</f>
        <v>1387500</v>
      </c>
      <c r="N3286" s="5">
        <f>tblSales[[#This Row],[Qty]]*_xlfn.XLOOKUP(tblSales[[#This Row],[Product Code]],tblProducts[Code],tblProducts[Unit Cost],0)</f>
        <v>820000</v>
      </c>
      <c r="O3286" s="4" t="s">
        <v>4866</v>
      </c>
      <c r="P3286" s="4" t="s">
        <v>4860</v>
      </c>
      <c r="Q3286" s="1" t="str">
        <f>_xlfn.XLOOKUP(tblSales[[#This Row],[Channel Code]],tblChannels[Channel Code],tblChannels[Channel Name],"")</f>
        <v>In-store</v>
      </c>
      <c r="R3286" s="1">
        <f>MONTH(tblSales[[#This Row],[Date]])</f>
        <v>7</v>
      </c>
    </row>
    <row r="3287" spans="2:18" x14ac:dyDescent="0.35">
      <c r="B3287" s="113">
        <v>46219</v>
      </c>
      <c r="C3287" s="4" t="s">
        <v>2208</v>
      </c>
      <c r="D3287" s="4" t="s">
        <v>4568</v>
      </c>
      <c r="E3287" s="1" t="str">
        <f>_xlfn.XLOOKUP(tblSales[[#This Row],[Customer ID]],tblCustomers[Customer ID],tblCustomers[Customer Name],"⚠ Unknown")</f>
        <v>Walk-in Customer</v>
      </c>
      <c r="F3287" s="4" t="s">
        <v>14</v>
      </c>
      <c r="G3287" s="1" t="str">
        <f>_xlfn.XLOOKUP(tblSales[[#This Row],[Product Code]],tblProducts[Code],tblProducts[Product / Service Name],"⚠ Unknown")</f>
        <v>Smartwatch</v>
      </c>
      <c r="H3287" s="1" t="str">
        <f>_xlfn.XLOOKUP(tblSales[[#This Row],[Product Code]],tblProducts[Code],tblProducts[Category],"")</f>
        <v>Bags &amp; Gadgets</v>
      </c>
      <c r="I3287" s="4">
        <v>2</v>
      </c>
      <c r="J3287" s="5">
        <f>_xlfn.XLOOKUP(tblSales[[#This Row],[Product Code]],tblProducts[Code],tblProducts[Selling Price (excl. VAT)],0)</f>
        <v>850000</v>
      </c>
      <c r="K3287" s="5">
        <f>tblSales[[#This Row],[Qty]]*tblSales[[#This Row],[Unit Price]]</f>
        <v>1700000</v>
      </c>
      <c r="L3287" s="5">
        <f>ROUND(tblSales[[#This Row],[DPP (excl. VAT)]]*VATEff,0)</f>
        <v>187000</v>
      </c>
      <c r="M3287" s="5">
        <f>tblSales[[#This Row],[DPP (excl. VAT)]]+tblSales[[#This Row],[Output VAT]]</f>
        <v>1887000</v>
      </c>
      <c r="N3287" s="5">
        <f>tblSales[[#This Row],[Qty]]*_xlfn.XLOOKUP(tblSales[[#This Row],[Product Code]],tblProducts[Code],tblProducts[Unit Cost],0)</f>
        <v>1120000</v>
      </c>
      <c r="O3287" s="4" t="s">
        <v>4866</v>
      </c>
      <c r="P3287" s="4" t="s">
        <v>4860</v>
      </c>
      <c r="Q3287" s="1" t="str">
        <f>_xlfn.XLOOKUP(tblSales[[#This Row],[Channel Code]],tblChannels[Channel Code],tblChannels[Channel Name],"")</f>
        <v>In-store</v>
      </c>
      <c r="R3287" s="1">
        <f>MONTH(tblSales[[#This Row],[Date]])</f>
        <v>7</v>
      </c>
    </row>
    <row r="3288" spans="2:18" x14ac:dyDescent="0.35">
      <c r="B3288" s="113">
        <v>46219</v>
      </c>
      <c r="C3288" s="4" t="s">
        <v>2209</v>
      </c>
      <c r="D3288" s="4" t="s">
        <v>4568</v>
      </c>
      <c r="E3288" s="1" t="str">
        <f>_xlfn.XLOOKUP(tblSales[[#This Row],[Customer ID]],tblCustomers[Customer ID],tblCustomers[Customer Name],"⚠ Unknown")</f>
        <v>Walk-in Customer</v>
      </c>
      <c r="F3288" s="4" t="s">
        <v>6</v>
      </c>
      <c r="G3288" s="1" t="str">
        <f>_xlfn.XLOOKUP(tblSales[[#This Row],[Product Code]],tblProducts[Code],tblProducts[Product / Service Name],"⚠ Unknown")</f>
        <v>Socks &amp; Accessories</v>
      </c>
      <c r="H3288" s="1" t="str">
        <f>_xlfn.XLOOKUP(tblSales[[#This Row],[Product Code]],tblProducts[Code],tblProducts[Category],"")</f>
        <v>Accessories &amp; Basics</v>
      </c>
      <c r="I3288" s="4">
        <v>4</v>
      </c>
      <c r="J3288" s="5">
        <f>_xlfn.XLOOKUP(tblSales[[#This Row],[Product Code]],tblProducts[Code],tblProducts[Selling Price (excl. VAT)],0)</f>
        <v>45000</v>
      </c>
      <c r="K3288" s="5">
        <f>tblSales[[#This Row],[Qty]]*tblSales[[#This Row],[Unit Price]]</f>
        <v>180000</v>
      </c>
      <c r="L3288" s="5">
        <f>ROUND(tblSales[[#This Row],[DPP (excl. VAT)]]*VATEff,0)</f>
        <v>19800</v>
      </c>
      <c r="M3288" s="5">
        <f>tblSales[[#This Row],[DPP (excl. VAT)]]+tblSales[[#This Row],[Output VAT]]</f>
        <v>199800</v>
      </c>
      <c r="N3288" s="5">
        <f>tblSales[[#This Row],[Qty]]*_xlfn.XLOOKUP(tblSales[[#This Row],[Product Code]],tblProducts[Code],tblProducts[Unit Cost],0)</f>
        <v>96000</v>
      </c>
      <c r="O3288" s="4" t="s">
        <v>4866</v>
      </c>
      <c r="P3288" s="4" t="s">
        <v>4861</v>
      </c>
      <c r="Q3288" s="1" t="str">
        <f>_xlfn.XLOOKUP(tblSales[[#This Row],[Channel Code]],tblChannels[Channel Code],tblChannels[Channel Name],"")</f>
        <v>Marketplace</v>
      </c>
      <c r="R3288" s="1">
        <f>MONTH(tblSales[[#This Row],[Date]])</f>
        <v>7</v>
      </c>
    </row>
    <row r="3289" spans="2:18" x14ac:dyDescent="0.35">
      <c r="B3289" s="113">
        <v>46219</v>
      </c>
      <c r="C3289" s="4" t="s">
        <v>2209</v>
      </c>
      <c r="D3289" s="4" t="s">
        <v>4568</v>
      </c>
      <c r="E3289" s="1" t="str">
        <f>_xlfn.XLOOKUP(tblSales[[#This Row],[Customer ID]],tblCustomers[Customer ID],tblCustomers[Customer Name],"⚠ Unknown")</f>
        <v>Walk-in Customer</v>
      </c>
      <c r="F3289" s="4" t="s">
        <v>13</v>
      </c>
      <c r="G3289" s="1" t="str">
        <f>_xlfn.XLOOKUP(tblSales[[#This Row],[Product Code]],tblProducts[Code],tblProducts[Product / Service Name],"⚠ Unknown")</f>
        <v>Backpack</v>
      </c>
      <c r="H3289" s="1" t="str">
        <f>_xlfn.XLOOKUP(tblSales[[#This Row],[Product Code]],tblProducts[Code],tblProducts[Category],"")</f>
        <v>Bags &amp; Gadgets</v>
      </c>
      <c r="I3289" s="4">
        <v>3</v>
      </c>
      <c r="J3289" s="5">
        <f>_xlfn.XLOOKUP(tblSales[[#This Row],[Product Code]],tblProducts[Code],tblProducts[Selling Price (excl. VAT)],0)</f>
        <v>500000</v>
      </c>
      <c r="K3289" s="5">
        <f>tblSales[[#This Row],[Qty]]*tblSales[[#This Row],[Unit Price]]</f>
        <v>1500000</v>
      </c>
      <c r="L3289" s="5">
        <f>ROUND(tblSales[[#This Row],[DPP (excl. VAT)]]*VATEff,0)</f>
        <v>165000</v>
      </c>
      <c r="M3289" s="5">
        <f>tblSales[[#This Row],[DPP (excl. VAT)]]+tblSales[[#This Row],[Output VAT]]</f>
        <v>1665000</v>
      </c>
      <c r="N3289" s="5">
        <f>tblSales[[#This Row],[Qty]]*_xlfn.XLOOKUP(tblSales[[#This Row],[Product Code]],tblProducts[Code],tblProducts[Unit Cost],0)</f>
        <v>870000</v>
      </c>
      <c r="O3289" s="4" t="s">
        <v>4866</v>
      </c>
      <c r="P3289" s="4" t="s">
        <v>4861</v>
      </c>
      <c r="Q3289" s="1" t="str">
        <f>_xlfn.XLOOKUP(tblSales[[#This Row],[Channel Code]],tblChannels[Channel Code],tblChannels[Channel Name],"")</f>
        <v>Marketplace</v>
      </c>
      <c r="R3289" s="1">
        <f>MONTH(tblSales[[#This Row],[Date]])</f>
        <v>7</v>
      </c>
    </row>
    <row r="3290" spans="2:18" x14ac:dyDescent="0.35">
      <c r="B3290" s="113">
        <v>46219</v>
      </c>
      <c r="C3290" s="4" t="s">
        <v>2209</v>
      </c>
      <c r="D3290" s="4" t="s">
        <v>4568</v>
      </c>
      <c r="E3290" s="1" t="str">
        <f>_xlfn.XLOOKUP(tblSales[[#This Row],[Customer ID]],tblCustomers[Customer ID],tblCustomers[Customer Name],"⚠ Unknown")</f>
        <v>Walk-in Customer</v>
      </c>
      <c r="F3290" s="4" t="s">
        <v>10</v>
      </c>
      <c r="G3290" s="1" t="str">
        <f>_xlfn.XLOOKUP(tblSales[[#This Row],[Product Code]],tblProducts[Code],tblProducts[Product / Service Name],"⚠ Unknown")</f>
        <v>Chino Pants</v>
      </c>
      <c r="H3290" s="1" t="str">
        <f>_xlfn.XLOOKUP(tblSales[[#This Row],[Product Code]],tblProducts[Code],tblProducts[Category],"")</f>
        <v>Apparel &amp; Footwear</v>
      </c>
      <c r="I3290" s="4">
        <v>4</v>
      </c>
      <c r="J3290" s="5">
        <f>_xlfn.XLOOKUP(tblSales[[#This Row],[Product Code]],tblProducts[Code],tblProducts[Selling Price (excl. VAT)],0)</f>
        <v>150000</v>
      </c>
      <c r="K3290" s="5">
        <f>tblSales[[#This Row],[Qty]]*tblSales[[#This Row],[Unit Price]]</f>
        <v>600000</v>
      </c>
      <c r="L3290" s="5">
        <f>ROUND(tblSales[[#This Row],[DPP (excl. VAT)]]*VATEff,0)</f>
        <v>66000</v>
      </c>
      <c r="M3290" s="5">
        <f>tblSales[[#This Row],[DPP (excl. VAT)]]+tblSales[[#This Row],[Output VAT]]</f>
        <v>666000</v>
      </c>
      <c r="N3290" s="5">
        <f>tblSales[[#This Row],[Qty]]*_xlfn.XLOOKUP(tblSales[[#This Row],[Product Code]],tblProducts[Code],tblProducts[Unit Cost],0)</f>
        <v>352000</v>
      </c>
      <c r="O3290" s="4" t="s">
        <v>4866</v>
      </c>
      <c r="P3290" s="4" t="s">
        <v>4861</v>
      </c>
      <c r="Q3290" s="1" t="str">
        <f>_xlfn.XLOOKUP(tblSales[[#This Row],[Channel Code]],tblChannels[Channel Code],tblChannels[Channel Name],"")</f>
        <v>Marketplace</v>
      </c>
      <c r="R3290" s="1">
        <f>MONTH(tblSales[[#This Row],[Date]])</f>
        <v>7</v>
      </c>
    </row>
    <row r="3291" spans="2:18" x14ac:dyDescent="0.35">
      <c r="B3291" s="113">
        <v>46219</v>
      </c>
      <c r="C3291" s="4" t="s">
        <v>2210</v>
      </c>
      <c r="D3291" s="4" t="s">
        <v>4634</v>
      </c>
      <c r="E3291" s="1" t="str">
        <f>_xlfn.XLOOKUP(tblSales[[#This Row],[Customer ID]],tblCustomers[Customer ID],tblCustomers[Customer Name],"⚠ Unknown")</f>
        <v>PT Delta Inti Selaras</v>
      </c>
      <c r="F3291" s="4" t="s">
        <v>7</v>
      </c>
      <c r="G3291" s="1" t="str">
        <f>_xlfn.XLOOKUP(tblSales[[#This Row],[Product Code]],tblProducts[Code],tblProducts[Product / Service Name],"⚠ Unknown")</f>
        <v>Premium Basic T-shirt</v>
      </c>
      <c r="H3291" s="1" t="str">
        <f>_xlfn.XLOOKUP(tblSales[[#This Row],[Product Code]],tblProducts[Code],tblProducts[Category],"")</f>
        <v>Accessories &amp; Basics</v>
      </c>
      <c r="I3291" s="4">
        <v>88</v>
      </c>
      <c r="J3291" s="5">
        <f>_xlfn.XLOOKUP(tblSales[[#This Row],[Product Code]],tblProducts[Code],tblProducts[Selling Price (excl. VAT)],0)</f>
        <v>65000</v>
      </c>
      <c r="K3291" s="5">
        <f>tblSales[[#This Row],[Qty]]*tblSales[[#This Row],[Unit Price]]</f>
        <v>5720000</v>
      </c>
      <c r="L3291" s="5">
        <f>ROUND(tblSales[[#This Row],[DPP (excl. VAT)]]*VATEff,0)</f>
        <v>629200</v>
      </c>
      <c r="M3291" s="5">
        <f>tblSales[[#This Row],[DPP (excl. VAT)]]+tblSales[[#This Row],[Output VAT]]</f>
        <v>6349200</v>
      </c>
      <c r="N3291" s="5">
        <f>tblSales[[#This Row],[Qty]]*_xlfn.XLOOKUP(tblSales[[#This Row],[Product Code]],tblProducts[Code],tblProducts[Unit Cost],0)</f>
        <v>3256000</v>
      </c>
      <c r="O3291" s="4" t="s">
        <v>4867</v>
      </c>
      <c r="P3291" s="4" t="s">
        <v>4860</v>
      </c>
      <c r="Q3291" s="1" t="str">
        <f>_xlfn.XLOOKUP(tblSales[[#This Row],[Channel Code]],tblChannels[Channel Code],tblChannels[Channel Name],"")</f>
        <v>In-store</v>
      </c>
      <c r="R3291" s="1">
        <f>MONTH(tblSales[[#This Row],[Date]])</f>
        <v>7</v>
      </c>
    </row>
    <row r="3292" spans="2:18" x14ac:dyDescent="0.35">
      <c r="B3292" s="113">
        <v>46219</v>
      </c>
      <c r="C3292" s="4" t="s">
        <v>2210</v>
      </c>
      <c r="D3292" s="4" t="s">
        <v>4634</v>
      </c>
      <c r="E3292" s="1" t="str">
        <f>_xlfn.XLOOKUP(tblSales[[#This Row],[Customer ID]],tblCustomers[Customer ID],tblCustomers[Customer Name],"⚠ Unknown")</f>
        <v>PT Delta Inti Selaras</v>
      </c>
      <c r="F3292" s="4" t="s">
        <v>9</v>
      </c>
      <c r="G3292" s="1" t="str">
        <f>_xlfn.XLOOKUP(tblSales[[#This Row],[Product Code]],tblProducts[Code],tblProducts[Product / Service Name],"⚠ Unknown")</f>
        <v>Casual Shirt</v>
      </c>
      <c r="H3292" s="1" t="str">
        <f>_xlfn.XLOOKUP(tblSales[[#This Row],[Product Code]],tblProducts[Code],tblProducts[Category],"")</f>
        <v>Apparel &amp; Footwear</v>
      </c>
      <c r="I3292" s="4">
        <v>80</v>
      </c>
      <c r="J3292" s="5">
        <f>_xlfn.XLOOKUP(tblSales[[#This Row],[Product Code]],tblProducts[Code],tblProducts[Selling Price (excl. VAT)],0)</f>
        <v>120000</v>
      </c>
      <c r="K3292" s="5">
        <f>tblSales[[#This Row],[Qty]]*tblSales[[#This Row],[Unit Price]]</f>
        <v>9600000</v>
      </c>
      <c r="L3292" s="5">
        <f>ROUND(tblSales[[#This Row],[DPP (excl. VAT)]]*VATEff,0)</f>
        <v>1056000</v>
      </c>
      <c r="M3292" s="5">
        <f>tblSales[[#This Row],[DPP (excl. VAT)]]+tblSales[[#This Row],[Output VAT]]</f>
        <v>10656000</v>
      </c>
      <c r="N3292" s="5">
        <f>tblSales[[#This Row],[Qty]]*_xlfn.XLOOKUP(tblSales[[#This Row],[Product Code]],tblProducts[Code],tblProducts[Unit Cost],0)</f>
        <v>5760000</v>
      </c>
      <c r="O3292" s="4" t="s">
        <v>4867</v>
      </c>
      <c r="P3292" s="4" t="s">
        <v>4860</v>
      </c>
      <c r="Q3292" s="1" t="str">
        <f>_xlfn.XLOOKUP(tblSales[[#This Row],[Channel Code]],tblChannels[Channel Code],tblChannels[Channel Name],"")</f>
        <v>In-store</v>
      </c>
      <c r="R3292" s="1">
        <f>MONTH(tblSales[[#This Row],[Date]])</f>
        <v>7</v>
      </c>
    </row>
    <row r="3293" spans="2:18" x14ac:dyDescent="0.35">
      <c r="B3293" s="113">
        <v>46219</v>
      </c>
      <c r="C3293" s="4" t="s">
        <v>2211</v>
      </c>
      <c r="D3293" s="4" t="s">
        <v>4568</v>
      </c>
      <c r="E3293" s="1" t="str">
        <f>_xlfn.XLOOKUP(tblSales[[#This Row],[Customer ID]],tblCustomers[Customer ID],tblCustomers[Customer Name],"⚠ Unknown")</f>
        <v>Walk-in Customer</v>
      </c>
      <c r="F3293" s="4" t="s">
        <v>6</v>
      </c>
      <c r="G3293" s="1" t="str">
        <f>_xlfn.XLOOKUP(tblSales[[#This Row],[Product Code]],tblProducts[Code],tblProducts[Product / Service Name],"⚠ Unknown")</f>
        <v>Socks &amp; Accessories</v>
      </c>
      <c r="H3293" s="1" t="str">
        <f>_xlfn.XLOOKUP(tblSales[[#This Row],[Product Code]],tblProducts[Code],tblProducts[Category],"")</f>
        <v>Accessories &amp; Basics</v>
      </c>
      <c r="I3293" s="4">
        <v>3</v>
      </c>
      <c r="J3293" s="5">
        <f>_xlfn.XLOOKUP(tblSales[[#This Row],[Product Code]],tblProducts[Code],tblProducts[Selling Price (excl. VAT)],0)</f>
        <v>45000</v>
      </c>
      <c r="K3293" s="5">
        <f>tblSales[[#This Row],[Qty]]*tblSales[[#This Row],[Unit Price]]</f>
        <v>135000</v>
      </c>
      <c r="L3293" s="5">
        <f>ROUND(tblSales[[#This Row],[DPP (excl. VAT)]]*VATEff,0)</f>
        <v>14850</v>
      </c>
      <c r="M3293" s="5">
        <f>tblSales[[#This Row],[DPP (excl. VAT)]]+tblSales[[#This Row],[Output VAT]]</f>
        <v>149850</v>
      </c>
      <c r="N3293" s="5">
        <f>tblSales[[#This Row],[Qty]]*_xlfn.XLOOKUP(tblSales[[#This Row],[Product Code]],tblProducts[Code],tblProducts[Unit Cost],0)</f>
        <v>72000</v>
      </c>
      <c r="O3293" s="4" t="s">
        <v>4866</v>
      </c>
      <c r="P3293" s="4" t="s">
        <v>4861</v>
      </c>
      <c r="Q3293" s="1" t="str">
        <f>_xlfn.XLOOKUP(tblSales[[#This Row],[Channel Code]],tblChannels[Channel Code],tblChannels[Channel Name],"")</f>
        <v>Marketplace</v>
      </c>
      <c r="R3293" s="1">
        <f>MONTH(tblSales[[#This Row],[Date]])</f>
        <v>7</v>
      </c>
    </row>
    <row r="3294" spans="2:18" x14ac:dyDescent="0.35">
      <c r="B3294" s="113">
        <v>46219</v>
      </c>
      <c r="C3294" s="4" t="s">
        <v>2211</v>
      </c>
      <c r="D3294" s="4" t="s">
        <v>4568</v>
      </c>
      <c r="E3294" s="1" t="str">
        <f>_xlfn.XLOOKUP(tblSales[[#This Row],[Customer ID]],tblCustomers[Customer ID],tblCustomers[Customer Name],"⚠ Unknown")</f>
        <v>Walk-in Customer</v>
      </c>
      <c r="F3294" s="4" t="s">
        <v>8</v>
      </c>
      <c r="G3294" s="1" t="str">
        <f>_xlfn.XLOOKUP(tblSales[[#This Row],[Product Code]],tblProducts[Code],tblProducts[Product / Service Name],"⚠ Unknown")</f>
        <v>Casual Shorts</v>
      </c>
      <c r="H3294" s="1" t="str">
        <f>_xlfn.XLOOKUP(tblSales[[#This Row],[Product Code]],tblProducts[Code],tblProducts[Category],"")</f>
        <v>Accessories &amp; Basics</v>
      </c>
      <c r="I3294" s="4">
        <v>3</v>
      </c>
      <c r="J3294" s="5">
        <f>_xlfn.XLOOKUP(tblSales[[#This Row],[Product Code]],tblProducts[Code],tblProducts[Selling Price (excl. VAT)],0)</f>
        <v>85000</v>
      </c>
      <c r="K3294" s="5">
        <f>tblSales[[#This Row],[Qty]]*tblSales[[#This Row],[Unit Price]]</f>
        <v>255000</v>
      </c>
      <c r="L3294" s="5">
        <f>ROUND(tblSales[[#This Row],[DPP (excl. VAT)]]*VATEff,0)</f>
        <v>28050</v>
      </c>
      <c r="M3294" s="5">
        <f>tblSales[[#This Row],[DPP (excl. VAT)]]+tblSales[[#This Row],[Output VAT]]</f>
        <v>283050</v>
      </c>
      <c r="N3294" s="5">
        <f>tblSales[[#This Row],[Qty]]*_xlfn.XLOOKUP(tblSales[[#This Row],[Product Code]],tblProducts[Code],tblProducts[Unit Cost],0)</f>
        <v>150000</v>
      </c>
      <c r="O3294" s="4" t="s">
        <v>4866</v>
      </c>
      <c r="P3294" s="4" t="s">
        <v>4861</v>
      </c>
      <c r="Q3294" s="1" t="str">
        <f>_xlfn.XLOOKUP(tblSales[[#This Row],[Channel Code]],tblChannels[Channel Code],tblChannels[Channel Name],"")</f>
        <v>Marketplace</v>
      </c>
      <c r="R3294" s="1">
        <f>MONTH(tblSales[[#This Row],[Date]])</f>
        <v>7</v>
      </c>
    </row>
    <row r="3295" spans="2:18" x14ac:dyDescent="0.35">
      <c r="B3295" s="113">
        <v>46219</v>
      </c>
      <c r="C3295" s="4" t="s">
        <v>2212</v>
      </c>
      <c r="D3295" s="4" t="s">
        <v>4568</v>
      </c>
      <c r="E3295" s="1" t="str">
        <f>_xlfn.XLOOKUP(tblSales[[#This Row],[Customer ID]],tblCustomers[Customer ID],tblCustomers[Customer Name],"⚠ Unknown")</f>
        <v>Walk-in Customer</v>
      </c>
      <c r="F3295" s="4" t="s">
        <v>7</v>
      </c>
      <c r="G3295" s="1" t="str">
        <f>_xlfn.XLOOKUP(tblSales[[#This Row],[Product Code]],tblProducts[Code],tblProducts[Product / Service Name],"⚠ Unknown")</f>
        <v>Premium Basic T-shirt</v>
      </c>
      <c r="H3295" s="1" t="str">
        <f>_xlfn.XLOOKUP(tblSales[[#This Row],[Product Code]],tblProducts[Code],tblProducts[Category],"")</f>
        <v>Accessories &amp; Basics</v>
      </c>
      <c r="I3295" s="4">
        <v>11</v>
      </c>
      <c r="J3295" s="5">
        <f>_xlfn.XLOOKUP(tblSales[[#This Row],[Product Code]],tblProducts[Code],tblProducts[Selling Price (excl. VAT)],0)</f>
        <v>65000</v>
      </c>
      <c r="K3295" s="5">
        <f>tblSales[[#This Row],[Qty]]*tblSales[[#This Row],[Unit Price]]</f>
        <v>715000</v>
      </c>
      <c r="L3295" s="5">
        <f>ROUND(tblSales[[#This Row],[DPP (excl. VAT)]]*VATEff,0)</f>
        <v>78650</v>
      </c>
      <c r="M3295" s="5">
        <f>tblSales[[#This Row],[DPP (excl. VAT)]]+tblSales[[#This Row],[Output VAT]]</f>
        <v>793650</v>
      </c>
      <c r="N3295" s="5">
        <f>tblSales[[#This Row],[Qty]]*_xlfn.XLOOKUP(tblSales[[#This Row],[Product Code]],tblProducts[Code],tblProducts[Unit Cost],0)</f>
        <v>407000</v>
      </c>
      <c r="O3295" s="4" t="s">
        <v>4866</v>
      </c>
      <c r="P3295" s="4" t="s">
        <v>4862</v>
      </c>
      <c r="Q3295" s="1" t="str">
        <f>_xlfn.XLOOKUP(tblSales[[#This Row],[Channel Code]],tblChannels[Channel Code],tblChannels[Channel Name],"")</f>
        <v>Website &amp; Social Media</v>
      </c>
      <c r="R3295" s="1">
        <f>MONTH(tblSales[[#This Row],[Date]])</f>
        <v>7</v>
      </c>
    </row>
    <row r="3296" spans="2:18" x14ac:dyDescent="0.35">
      <c r="B3296" s="113">
        <v>46219</v>
      </c>
      <c r="C3296" s="4" t="s">
        <v>2212</v>
      </c>
      <c r="D3296" s="4" t="s">
        <v>4568</v>
      </c>
      <c r="E3296" s="1" t="str">
        <f>_xlfn.XLOOKUP(tblSales[[#This Row],[Customer ID]],tblCustomers[Customer ID],tblCustomers[Customer Name],"⚠ Unknown")</f>
        <v>Walk-in Customer</v>
      </c>
      <c r="F3296" s="4" t="s">
        <v>11</v>
      </c>
      <c r="G3296" s="1" t="str">
        <f>_xlfn.XLOOKUP(tblSales[[#This Row],[Product Code]],tblProducts[Code],tblProducts[Product / Service Name],"⚠ Unknown")</f>
        <v>Sneakers</v>
      </c>
      <c r="H3296" s="1" t="str">
        <f>_xlfn.XLOOKUP(tblSales[[#This Row],[Product Code]],tblProducts[Code],tblProducts[Category],"")</f>
        <v>Apparel &amp; Footwear</v>
      </c>
      <c r="I3296" s="4">
        <v>6</v>
      </c>
      <c r="J3296" s="5">
        <f>_xlfn.XLOOKUP(tblSales[[#This Row],[Product Code]],tblProducts[Code],tblProducts[Selling Price (excl. VAT)],0)</f>
        <v>250000</v>
      </c>
      <c r="K3296" s="5">
        <f>tblSales[[#This Row],[Qty]]*tblSales[[#This Row],[Unit Price]]</f>
        <v>1500000</v>
      </c>
      <c r="L3296" s="5">
        <f>ROUND(tblSales[[#This Row],[DPP (excl. VAT)]]*VATEff,0)</f>
        <v>165000</v>
      </c>
      <c r="M3296" s="5">
        <f>tblSales[[#This Row],[DPP (excl. VAT)]]+tblSales[[#This Row],[Output VAT]]</f>
        <v>1665000</v>
      </c>
      <c r="N3296" s="5">
        <f>tblSales[[#This Row],[Qty]]*_xlfn.XLOOKUP(tblSales[[#This Row],[Product Code]],tblProducts[Code],tblProducts[Unit Cost],0)</f>
        <v>930000</v>
      </c>
      <c r="O3296" s="4" t="s">
        <v>4866</v>
      </c>
      <c r="P3296" s="4" t="s">
        <v>4862</v>
      </c>
      <c r="Q3296" s="1" t="str">
        <f>_xlfn.XLOOKUP(tblSales[[#This Row],[Channel Code]],tblChannels[Channel Code],tblChannels[Channel Name],"")</f>
        <v>Website &amp; Social Media</v>
      </c>
      <c r="R3296" s="1">
        <f>MONTH(tblSales[[#This Row],[Date]])</f>
        <v>7</v>
      </c>
    </row>
    <row r="3297" spans="2:18" x14ac:dyDescent="0.35">
      <c r="B3297" s="113">
        <v>46219</v>
      </c>
      <c r="C3297" s="4" t="s">
        <v>2212</v>
      </c>
      <c r="D3297" s="4" t="s">
        <v>4568</v>
      </c>
      <c r="E3297" s="1" t="str">
        <f>_xlfn.XLOOKUP(tblSales[[#This Row],[Customer ID]],tblCustomers[Customer ID],tblCustomers[Customer Name],"⚠ Unknown")</f>
        <v>Walk-in Customer</v>
      </c>
      <c r="F3297" s="4" t="s">
        <v>15</v>
      </c>
      <c r="G3297" s="1" t="str">
        <f>_xlfn.XLOOKUP(tblSales[[#This Row],[Product Code]],tblProducts[Code],tblProducts[Product / Service Name],"⚠ Unknown")</f>
        <v>Wireless Earbuds Pro</v>
      </c>
      <c r="H3297" s="1" t="str">
        <f>_xlfn.XLOOKUP(tblSales[[#This Row],[Product Code]],tblProducts[Code],tblProducts[Category],"")</f>
        <v>Bags &amp; Gadgets</v>
      </c>
      <c r="I3297" s="4">
        <v>2</v>
      </c>
      <c r="J3297" s="5">
        <f>_xlfn.XLOOKUP(tblSales[[#This Row],[Product Code]],tblProducts[Code],tblProducts[Selling Price (excl. VAT)],0)</f>
        <v>1250000</v>
      </c>
      <c r="K3297" s="5">
        <f>tblSales[[#This Row],[Qty]]*tblSales[[#This Row],[Unit Price]]</f>
        <v>2500000</v>
      </c>
      <c r="L3297" s="5">
        <f>ROUND(tblSales[[#This Row],[DPP (excl. VAT)]]*VATEff,0)</f>
        <v>275000</v>
      </c>
      <c r="M3297" s="5">
        <f>tblSales[[#This Row],[DPP (excl. VAT)]]+tblSales[[#This Row],[Output VAT]]</f>
        <v>2775000</v>
      </c>
      <c r="N3297" s="5">
        <f>tblSales[[#This Row],[Qty]]*_xlfn.XLOOKUP(tblSales[[#This Row],[Product Code]],tblProducts[Code],tblProducts[Unit Cost],0)</f>
        <v>1640000</v>
      </c>
      <c r="O3297" s="4" t="s">
        <v>4866</v>
      </c>
      <c r="P3297" s="4" t="s">
        <v>4862</v>
      </c>
      <c r="Q3297" s="1" t="str">
        <f>_xlfn.XLOOKUP(tblSales[[#This Row],[Channel Code]],tblChannels[Channel Code],tblChannels[Channel Name],"")</f>
        <v>Website &amp; Social Media</v>
      </c>
      <c r="R3297" s="1">
        <f>MONTH(tblSales[[#This Row],[Date]])</f>
        <v>7</v>
      </c>
    </row>
    <row r="3298" spans="2:18" x14ac:dyDescent="0.35">
      <c r="B3298" s="113">
        <v>46219</v>
      </c>
      <c r="C3298" s="4" t="s">
        <v>2213</v>
      </c>
      <c r="D3298" s="4" t="s">
        <v>4599</v>
      </c>
      <c r="E3298" s="1" t="str">
        <f>_xlfn.XLOOKUP(tblSales[[#This Row],[Customer ID]],tblCustomers[Customer ID],tblCustomers[Customer Name],"⚠ Unknown")</f>
        <v>PT Samudra Jaya Logistik</v>
      </c>
      <c r="F3298" s="4" t="s">
        <v>11</v>
      </c>
      <c r="G3298" s="1" t="str">
        <f>_xlfn.XLOOKUP(tblSales[[#This Row],[Product Code]],tblProducts[Code],tblProducts[Product / Service Name],"⚠ Unknown")</f>
        <v>Sneakers</v>
      </c>
      <c r="H3298" s="1" t="str">
        <f>_xlfn.XLOOKUP(tblSales[[#This Row],[Product Code]],tblProducts[Code],tblProducts[Category],"")</f>
        <v>Apparel &amp; Footwear</v>
      </c>
      <c r="I3298" s="4">
        <v>32</v>
      </c>
      <c r="J3298" s="5">
        <f>_xlfn.XLOOKUP(tblSales[[#This Row],[Product Code]],tblProducts[Code],tblProducts[Selling Price (excl. VAT)],0)</f>
        <v>250000</v>
      </c>
      <c r="K3298" s="5">
        <f>tblSales[[#This Row],[Qty]]*tblSales[[#This Row],[Unit Price]]</f>
        <v>8000000</v>
      </c>
      <c r="L3298" s="5">
        <f>ROUND(tblSales[[#This Row],[DPP (excl. VAT)]]*VATEff,0)</f>
        <v>880000</v>
      </c>
      <c r="M3298" s="5">
        <f>tblSales[[#This Row],[DPP (excl. VAT)]]+tblSales[[#This Row],[Output VAT]]</f>
        <v>8880000</v>
      </c>
      <c r="N3298" s="5">
        <f>tblSales[[#This Row],[Qty]]*_xlfn.XLOOKUP(tblSales[[#This Row],[Product Code]],tblProducts[Code],tblProducts[Unit Cost],0)</f>
        <v>4960000</v>
      </c>
      <c r="O3298" s="4" t="s">
        <v>4867</v>
      </c>
      <c r="P3298" s="4" t="s">
        <v>4860</v>
      </c>
      <c r="Q3298" s="1" t="str">
        <f>_xlfn.XLOOKUP(tblSales[[#This Row],[Channel Code]],tblChannels[Channel Code],tblChannels[Channel Name],"")</f>
        <v>In-store</v>
      </c>
      <c r="R3298" s="1">
        <f>MONTH(tblSales[[#This Row],[Date]])</f>
        <v>7</v>
      </c>
    </row>
    <row r="3299" spans="2:18" x14ac:dyDescent="0.35">
      <c r="B3299" s="113">
        <v>46219</v>
      </c>
      <c r="C3299" s="4" t="s">
        <v>2214</v>
      </c>
      <c r="D3299" s="4" t="s">
        <v>4568</v>
      </c>
      <c r="E3299" s="1" t="str">
        <f>_xlfn.XLOOKUP(tblSales[[#This Row],[Customer ID]],tblCustomers[Customer ID],tblCustomers[Customer Name],"⚠ Unknown")</f>
        <v>Walk-in Customer</v>
      </c>
      <c r="F3299" s="4" t="s">
        <v>10</v>
      </c>
      <c r="G3299" s="1" t="str">
        <f>_xlfn.XLOOKUP(tblSales[[#This Row],[Product Code]],tblProducts[Code],tblProducts[Product / Service Name],"⚠ Unknown")</f>
        <v>Chino Pants</v>
      </c>
      <c r="H3299" s="1" t="str">
        <f>_xlfn.XLOOKUP(tblSales[[#This Row],[Product Code]],tblProducts[Code],tblProducts[Category],"")</f>
        <v>Apparel &amp; Footwear</v>
      </c>
      <c r="I3299" s="4">
        <v>8</v>
      </c>
      <c r="J3299" s="5">
        <f>_xlfn.XLOOKUP(tblSales[[#This Row],[Product Code]],tblProducts[Code],tblProducts[Selling Price (excl. VAT)],0)</f>
        <v>150000</v>
      </c>
      <c r="K3299" s="5">
        <f>tblSales[[#This Row],[Qty]]*tblSales[[#This Row],[Unit Price]]</f>
        <v>1200000</v>
      </c>
      <c r="L3299" s="5">
        <f>ROUND(tblSales[[#This Row],[DPP (excl. VAT)]]*VATEff,0)</f>
        <v>132000</v>
      </c>
      <c r="M3299" s="5">
        <f>tblSales[[#This Row],[DPP (excl. VAT)]]+tblSales[[#This Row],[Output VAT]]</f>
        <v>1332000</v>
      </c>
      <c r="N3299" s="5">
        <f>tblSales[[#This Row],[Qty]]*_xlfn.XLOOKUP(tblSales[[#This Row],[Product Code]],tblProducts[Code],tblProducts[Unit Cost],0)</f>
        <v>704000</v>
      </c>
      <c r="O3299" s="4" t="s">
        <v>4865</v>
      </c>
      <c r="P3299" s="4" t="s">
        <v>4860</v>
      </c>
      <c r="Q3299" s="1" t="str">
        <f>_xlfn.XLOOKUP(tblSales[[#This Row],[Channel Code]],tblChannels[Channel Code],tblChannels[Channel Name],"")</f>
        <v>In-store</v>
      </c>
      <c r="R3299" s="1">
        <f>MONTH(tblSales[[#This Row],[Date]])</f>
        <v>7</v>
      </c>
    </row>
    <row r="3300" spans="2:18" x14ac:dyDescent="0.35">
      <c r="B3300" s="113">
        <v>46219</v>
      </c>
      <c r="C3300" s="4" t="s">
        <v>2215</v>
      </c>
      <c r="D3300" s="4" t="s">
        <v>4572</v>
      </c>
      <c r="E3300" s="1" t="str">
        <f>_xlfn.XLOOKUP(tblSales[[#This Row],[Customer ID]],tblCustomers[Customer ID],tblCustomers[Customer Name],"⚠ Unknown")</f>
        <v>PT Cahaya Abadi Makmur</v>
      </c>
      <c r="F3300" s="4" t="s">
        <v>9</v>
      </c>
      <c r="G3300" s="1" t="str">
        <f>_xlfn.XLOOKUP(tblSales[[#This Row],[Product Code]],tblProducts[Code],tblProducts[Product / Service Name],"⚠ Unknown")</f>
        <v>Casual Shirt</v>
      </c>
      <c r="H3300" s="1" t="str">
        <f>_xlfn.XLOOKUP(tblSales[[#This Row],[Product Code]],tblProducts[Code],tblProducts[Category],"")</f>
        <v>Apparel &amp; Footwear</v>
      </c>
      <c r="I3300" s="4">
        <v>8</v>
      </c>
      <c r="J3300" s="5">
        <f>_xlfn.XLOOKUP(tblSales[[#This Row],[Product Code]],tblProducts[Code],tblProducts[Selling Price (excl. VAT)],0)</f>
        <v>120000</v>
      </c>
      <c r="K3300" s="5">
        <f>tblSales[[#This Row],[Qty]]*tblSales[[#This Row],[Unit Price]]</f>
        <v>960000</v>
      </c>
      <c r="L3300" s="5">
        <f>ROUND(tblSales[[#This Row],[DPP (excl. VAT)]]*VATEff,0)</f>
        <v>105600</v>
      </c>
      <c r="M3300" s="5">
        <f>tblSales[[#This Row],[DPP (excl. VAT)]]+tblSales[[#This Row],[Output VAT]]</f>
        <v>1065600</v>
      </c>
      <c r="N3300" s="5">
        <f>tblSales[[#This Row],[Qty]]*_xlfn.XLOOKUP(tblSales[[#This Row],[Product Code]],tblProducts[Code],tblProducts[Unit Cost],0)</f>
        <v>576000</v>
      </c>
      <c r="O3300" s="4" t="s">
        <v>4867</v>
      </c>
      <c r="P3300" s="4" t="s">
        <v>4862</v>
      </c>
      <c r="Q3300" s="1" t="str">
        <f>_xlfn.XLOOKUP(tblSales[[#This Row],[Channel Code]],tblChannels[Channel Code],tblChannels[Channel Name],"")</f>
        <v>Website &amp; Social Media</v>
      </c>
      <c r="R3300" s="1">
        <f>MONTH(tblSales[[#This Row],[Date]])</f>
        <v>7</v>
      </c>
    </row>
    <row r="3301" spans="2:18" x14ac:dyDescent="0.35">
      <c r="B3301" s="113">
        <v>46219</v>
      </c>
      <c r="C3301" s="4" t="s">
        <v>2215</v>
      </c>
      <c r="D3301" s="4" t="s">
        <v>4572</v>
      </c>
      <c r="E3301" s="1" t="str">
        <f>_xlfn.XLOOKUP(tblSales[[#This Row],[Customer ID]],tblCustomers[Customer ID],tblCustomers[Customer Name],"⚠ Unknown")</f>
        <v>PT Cahaya Abadi Makmur</v>
      </c>
      <c r="F3301" s="4" t="s">
        <v>6</v>
      </c>
      <c r="G3301" s="1" t="str">
        <f>_xlfn.XLOOKUP(tblSales[[#This Row],[Product Code]],tblProducts[Code],tblProducts[Product / Service Name],"⚠ Unknown")</f>
        <v>Socks &amp; Accessories</v>
      </c>
      <c r="H3301" s="1" t="str">
        <f>_xlfn.XLOOKUP(tblSales[[#This Row],[Product Code]],tblProducts[Code],tblProducts[Category],"")</f>
        <v>Accessories &amp; Basics</v>
      </c>
      <c r="I3301" s="4">
        <v>24</v>
      </c>
      <c r="J3301" s="5">
        <f>_xlfn.XLOOKUP(tblSales[[#This Row],[Product Code]],tblProducts[Code],tblProducts[Selling Price (excl. VAT)],0)</f>
        <v>45000</v>
      </c>
      <c r="K3301" s="5">
        <f>tblSales[[#This Row],[Qty]]*tblSales[[#This Row],[Unit Price]]</f>
        <v>1080000</v>
      </c>
      <c r="L3301" s="5">
        <f>ROUND(tblSales[[#This Row],[DPP (excl. VAT)]]*VATEff,0)</f>
        <v>118800</v>
      </c>
      <c r="M3301" s="5">
        <f>tblSales[[#This Row],[DPP (excl. VAT)]]+tblSales[[#This Row],[Output VAT]]</f>
        <v>1198800</v>
      </c>
      <c r="N3301" s="5">
        <f>tblSales[[#This Row],[Qty]]*_xlfn.XLOOKUP(tblSales[[#This Row],[Product Code]],tblProducts[Code],tblProducts[Unit Cost],0)</f>
        <v>576000</v>
      </c>
      <c r="O3301" s="4" t="s">
        <v>4867</v>
      </c>
      <c r="P3301" s="4" t="s">
        <v>4862</v>
      </c>
      <c r="Q3301" s="1" t="str">
        <f>_xlfn.XLOOKUP(tblSales[[#This Row],[Channel Code]],tblChannels[Channel Code],tblChannels[Channel Name],"")</f>
        <v>Website &amp; Social Media</v>
      </c>
      <c r="R3301" s="1">
        <f>MONTH(tblSales[[#This Row],[Date]])</f>
        <v>7</v>
      </c>
    </row>
    <row r="3302" spans="2:18" x14ac:dyDescent="0.35">
      <c r="B3302" s="113">
        <v>46219</v>
      </c>
      <c r="C3302" s="4" t="s">
        <v>2216</v>
      </c>
      <c r="D3302" s="4" t="s">
        <v>4568</v>
      </c>
      <c r="E3302" s="1" t="str">
        <f>_xlfn.XLOOKUP(tblSales[[#This Row],[Customer ID]],tblCustomers[Customer ID],tblCustomers[Customer Name],"⚠ Unknown")</f>
        <v>Walk-in Customer</v>
      </c>
      <c r="F3302" s="4" t="s">
        <v>13</v>
      </c>
      <c r="G3302" s="1" t="str">
        <f>_xlfn.XLOOKUP(tblSales[[#This Row],[Product Code]],tblProducts[Code],tblProducts[Product / Service Name],"⚠ Unknown")</f>
        <v>Backpack</v>
      </c>
      <c r="H3302" s="1" t="str">
        <f>_xlfn.XLOOKUP(tblSales[[#This Row],[Product Code]],tblProducts[Code],tblProducts[Category],"")</f>
        <v>Bags &amp; Gadgets</v>
      </c>
      <c r="I3302" s="4">
        <v>6</v>
      </c>
      <c r="J3302" s="5">
        <f>_xlfn.XLOOKUP(tblSales[[#This Row],[Product Code]],tblProducts[Code],tblProducts[Selling Price (excl. VAT)],0)</f>
        <v>500000</v>
      </c>
      <c r="K3302" s="5">
        <f>tblSales[[#This Row],[Qty]]*tblSales[[#This Row],[Unit Price]]</f>
        <v>3000000</v>
      </c>
      <c r="L3302" s="5">
        <f>ROUND(tblSales[[#This Row],[DPP (excl. VAT)]]*VATEff,0)</f>
        <v>330000</v>
      </c>
      <c r="M3302" s="5">
        <f>tblSales[[#This Row],[DPP (excl. VAT)]]+tblSales[[#This Row],[Output VAT]]</f>
        <v>3330000</v>
      </c>
      <c r="N3302" s="5">
        <f>tblSales[[#This Row],[Qty]]*_xlfn.XLOOKUP(tblSales[[#This Row],[Product Code]],tblProducts[Code],tblProducts[Unit Cost],0)</f>
        <v>1740000</v>
      </c>
      <c r="O3302" s="4" t="s">
        <v>4865</v>
      </c>
      <c r="P3302" s="4" t="s">
        <v>4860</v>
      </c>
      <c r="Q3302" s="1" t="str">
        <f>_xlfn.XLOOKUP(tblSales[[#This Row],[Channel Code]],tblChannels[Channel Code],tblChannels[Channel Name],"")</f>
        <v>In-store</v>
      </c>
      <c r="R3302" s="1">
        <f>MONTH(tblSales[[#This Row],[Date]])</f>
        <v>7</v>
      </c>
    </row>
    <row r="3303" spans="2:18" x14ac:dyDescent="0.35">
      <c r="B3303" s="113">
        <v>46220</v>
      </c>
      <c r="C3303" s="4" t="s">
        <v>2217</v>
      </c>
      <c r="D3303" s="4" t="s">
        <v>4606</v>
      </c>
      <c r="E3303" s="1" t="str">
        <f>_xlfn.XLOOKUP(tblSales[[#This Row],[Customer ID]],tblCustomers[Customer ID],tblCustomers[Customer Name],"⚠ Unknown")</f>
        <v>PT Arunika Digital Kreatif</v>
      </c>
      <c r="F3303" s="4" t="s">
        <v>7</v>
      </c>
      <c r="G3303" s="1" t="str">
        <f>_xlfn.XLOOKUP(tblSales[[#This Row],[Product Code]],tblProducts[Code],tblProducts[Product / Service Name],"⚠ Unknown")</f>
        <v>Premium Basic T-shirt</v>
      </c>
      <c r="H3303" s="1" t="str">
        <f>_xlfn.XLOOKUP(tblSales[[#This Row],[Product Code]],tblProducts[Code],tblProducts[Category],"")</f>
        <v>Accessories &amp; Basics</v>
      </c>
      <c r="I3303" s="4">
        <v>80</v>
      </c>
      <c r="J3303" s="5">
        <f>_xlfn.XLOOKUP(tblSales[[#This Row],[Product Code]],tblProducts[Code],tblProducts[Selling Price (excl. VAT)],0)</f>
        <v>65000</v>
      </c>
      <c r="K3303" s="5">
        <f>tblSales[[#This Row],[Qty]]*tblSales[[#This Row],[Unit Price]]</f>
        <v>5200000</v>
      </c>
      <c r="L3303" s="5">
        <f>ROUND(tblSales[[#This Row],[DPP (excl. VAT)]]*VATEff,0)</f>
        <v>572000</v>
      </c>
      <c r="M3303" s="5">
        <f>tblSales[[#This Row],[DPP (excl. VAT)]]+tblSales[[#This Row],[Output VAT]]</f>
        <v>5772000</v>
      </c>
      <c r="N3303" s="5">
        <f>tblSales[[#This Row],[Qty]]*_xlfn.XLOOKUP(tblSales[[#This Row],[Product Code]],tblProducts[Code],tblProducts[Unit Cost],0)</f>
        <v>2960000</v>
      </c>
      <c r="O3303" s="4" t="s">
        <v>4867</v>
      </c>
      <c r="P3303" s="4" t="s">
        <v>4860</v>
      </c>
      <c r="Q3303" s="1" t="str">
        <f>_xlfn.XLOOKUP(tblSales[[#This Row],[Channel Code]],tblChannels[Channel Code],tblChannels[Channel Name],"")</f>
        <v>In-store</v>
      </c>
      <c r="R3303" s="1">
        <f>MONTH(tblSales[[#This Row],[Date]])</f>
        <v>7</v>
      </c>
    </row>
    <row r="3304" spans="2:18" x14ac:dyDescent="0.35">
      <c r="B3304" s="113">
        <v>46220</v>
      </c>
      <c r="C3304" s="4" t="s">
        <v>2218</v>
      </c>
      <c r="D3304" s="4" t="s">
        <v>4568</v>
      </c>
      <c r="E3304" s="1" t="str">
        <f>_xlfn.XLOOKUP(tblSales[[#This Row],[Customer ID]],tblCustomers[Customer ID],tblCustomers[Customer Name],"⚠ Unknown")</f>
        <v>Walk-in Customer</v>
      </c>
      <c r="F3304" s="4" t="s">
        <v>11</v>
      </c>
      <c r="G3304" s="1" t="str">
        <f>_xlfn.XLOOKUP(tblSales[[#This Row],[Product Code]],tblProducts[Code],tblProducts[Product / Service Name],"⚠ Unknown")</f>
        <v>Sneakers</v>
      </c>
      <c r="H3304" s="1" t="str">
        <f>_xlfn.XLOOKUP(tblSales[[#This Row],[Product Code]],tblProducts[Code],tblProducts[Category],"")</f>
        <v>Apparel &amp; Footwear</v>
      </c>
      <c r="I3304" s="4">
        <v>2</v>
      </c>
      <c r="J3304" s="5">
        <f>_xlfn.XLOOKUP(tblSales[[#This Row],[Product Code]],tblProducts[Code],tblProducts[Selling Price (excl. VAT)],0)</f>
        <v>250000</v>
      </c>
      <c r="K3304" s="5">
        <f>tblSales[[#This Row],[Qty]]*tblSales[[#This Row],[Unit Price]]</f>
        <v>500000</v>
      </c>
      <c r="L3304" s="5">
        <f>ROUND(tblSales[[#This Row],[DPP (excl. VAT)]]*VATEff,0)</f>
        <v>55000</v>
      </c>
      <c r="M3304" s="5">
        <f>tblSales[[#This Row],[DPP (excl. VAT)]]+tblSales[[#This Row],[Output VAT]]</f>
        <v>555000</v>
      </c>
      <c r="N3304" s="5">
        <f>tblSales[[#This Row],[Qty]]*_xlfn.XLOOKUP(tblSales[[#This Row],[Product Code]],tblProducts[Code],tblProducts[Unit Cost],0)</f>
        <v>310000</v>
      </c>
      <c r="O3304" s="4" t="s">
        <v>4866</v>
      </c>
      <c r="P3304" s="4" t="s">
        <v>4861</v>
      </c>
      <c r="Q3304" s="1" t="str">
        <f>_xlfn.XLOOKUP(tblSales[[#This Row],[Channel Code]],tblChannels[Channel Code],tblChannels[Channel Name],"")</f>
        <v>Marketplace</v>
      </c>
      <c r="R3304" s="1">
        <f>MONTH(tblSales[[#This Row],[Date]])</f>
        <v>7</v>
      </c>
    </row>
    <row r="3305" spans="2:18" x14ac:dyDescent="0.35">
      <c r="B3305" s="113">
        <v>46220</v>
      </c>
      <c r="C3305" s="4" t="s">
        <v>2218</v>
      </c>
      <c r="D3305" s="4" t="s">
        <v>4568</v>
      </c>
      <c r="E3305" s="1" t="str">
        <f>_xlfn.XLOOKUP(tblSales[[#This Row],[Customer ID]],tblCustomers[Customer ID],tblCustomers[Customer Name],"⚠ Unknown")</f>
        <v>Walk-in Customer</v>
      </c>
      <c r="F3305" s="4" t="s">
        <v>9</v>
      </c>
      <c r="G3305" s="1" t="str">
        <f>_xlfn.XLOOKUP(tblSales[[#This Row],[Product Code]],tblProducts[Code],tblProducts[Product / Service Name],"⚠ Unknown")</f>
        <v>Casual Shirt</v>
      </c>
      <c r="H3305" s="1" t="str">
        <f>_xlfn.XLOOKUP(tblSales[[#This Row],[Product Code]],tblProducts[Code],tblProducts[Category],"")</f>
        <v>Apparel &amp; Footwear</v>
      </c>
      <c r="I3305" s="4">
        <v>2</v>
      </c>
      <c r="J3305" s="5">
        <f>_xlfn.XLOOKUP(tblSales[[#This Row],[Product Code]],tblProducts[Code],tblProducts[Selling Price (excl. VAT)],0)</f>
        <v>120000</v>
      </c>
      <c r="K3305" s="5">
        <f>tblSales[[#This Row],[Qty]]*tblSales[[#This Row],[Unit Price]]</f>
        <v>240000</v>
      </c>
      <c r="L3305" s="5">
        <f>ROUND(tblSales[[#This Row],[DPP (excl. VAT)]]*VATEff,0)</f>
        <v>26400</v>
      </c>
      <c r="M3305" s="5">
        <f>tblSales[[#This Row],[DPP (excl. VAT)]]+tblSales[[#This Row],[Output VAT]]</f>
        <v>266400</v>
      </c>
      <c r="N3305" s="5">
        <f>tblSales[[#This Row],[Qty]]*_xlfn.XLOOKUP(tblSales[[#This Row],[Product Code]],tblProducts[Code],tblProducts[Unit Cost],0)</f>
        <v>144000</v>
      </c>
      <c r="O3305" s="4" t="s">
        <v>4866</v>
      </c>
      <c r="P3305" s="4" t="s">
        <v>4861</v>
      </c>
      <c r="Q3305" s="1" t="str">
        <f>_xlfn.XLOOKUP(tblSales[[#This Row],[Channel Code]],tblChannels[Channel Code],tblChannels[Channel Name],"")</f>
        <v>Marketplace</v>
      </c>
      <c r="R3305" s="1">
        <f>MONTH(tblSales[[#This Row],[Date]])</f>
        <v>7</v>
      </c>
    </row>
    <row r="3306" spans="2:18" x14ac:dyDescent="0.35">
      <c r="B3306" s="113">
        <v>46220</v>
      </c>
      <c r="C3306" s="4" t="s">
        <v>2218</v>
      </c>
      <c r="D3306" s="4" t="s">
        <v>4568</v>
      </c>
      <c r="E3306" s="1" t="str">
        <f>_xlfn.XLOOKUP(tblSales[[#This Row],[Customer ID]],tblCustomers[Customer ID],tblCustomers[Customer Name],"⚠ Unknown")</f>
        <v>Walk-in Customer</v>
      </c>
      <c r="F3306" s="4" t="s">
        <v>12</v>
      </c>
      <c r="G3306" s="1" t="str">
        <f>_xlfn.XLOOKUP(tblSales[[#This Row],[Product Code]],tblProducts[Code],tblProducts[Product / Service Name],"⚠ Unknown")</f>
        <v>Bomber Jacket</v>
      </c>
      <c r="H3306" s="1" t="str">
        <f>_xlfn.XLOOKUP(tblSales[[#This Row],[Product Code]],tblProducts[Code],tblProducts[Category],"")</f>
        <v>Apparel &amp; Footwear</v>
      </c>
      <c r="I3306" s="4">
        <v>6</v>
      </c>
      <c r="J3306" s="5">
        <f>_xlfn.XLOOKUP(tblSales[[#This Row],[Product Code]],tblProducts[Code],tblProducts[Selling Price (excl. VAT)],0)</f>
        <v>350000</v>
      </c>
      <c r="K3306" s="5">
        <f>tblSales[[#This Row],[Qty]]*tblSales[[#This Row],[Unit Price]]</f>
        <v>2100000</v>
      </c>
      <c r="L3306" s="5">
        <f>ROUND(tblSales[[#This Row],[DPP (excl. VAT)]]*VATEff,0)</f>
        <v>231000</v>
      </c>
      <c r="M3306" s="5">
        <f>tblSales[[#This Row],[DPP (excl. VAT)]]+tblSales[[#This Row],[Output VAT]]</f>
        <v>2331000</v>
      </c>
      <c r="N3306" s="5">
        <f>tblSales[[#This Row],[Qty]]*_xlfn.XLOOKUP(tblSales[[#This Row],[Product Code]],tblProducts[Code],tblProducts[Unit Cost],0)</f>
        <v>1260000</v>
      </c>
      <c r="O3306" s="4" t="s">
        <v>4866</v>
      </c>
      <c r="P3306" s="4" t="s">
        <v>4861</v>
      </c>
      <c r="Q3306" s="1" t="str">
        <f>_xlfn.XLOOKUP(tblSales[[#This Row],[Channel Code]],tblChannels[Channel Code],tblChannels[Channel Name],"")</f>
        <v>Marketplace</v>
      </c>
      <c r="R3306" s="1">
        <f>MONTH(tblSales[[#This Row],[Date]])</f>
        <v>7</v>
      </c>
    </row>
    <row r="3307" spans="2:18" x14ac:dyDescent="0.35">
      <c r="B3307" s="113">
        <v>46220</v>
      </c>
      <c r="C3307" s="4" t="s">
        <v>2219</v>
      </c>
      <c r="D3307" s="4" t="s">
        <v>4568</v>
      </c>
      <c r="E3307" s="1" t="str">
        <f>_xlfn.XLOOKUP(tblSales[[#This Row],[Customer ID]],tblCustomers[Customer ID],tblCustomers[Customer Name],"⚠ Unknown")</f>
        <v>Walk-in Customer</v>
      </c>
      <c r="F3307" s="4" t="s">
        <v>8</v>
      </c>
      <c r="G3307" s="1" t="str">
        <f>_xlfn.XLOOKUP(tblSales[[#This Row],[Product Code]],tblProducts[Code],tblProducts[Product / Service Name],"⚠ Unknown")</f>
        <v>Casual Shorts</v>
      </c>
      <c r="H3307" s="1" t="str">
        <f>_xlfn.XLOOKUP(tblSales[[#This Row],[Product Code]],tblProducts[Code],tblProducts[Category],"")</f>
        <v>Accessories &amp; Basics</v>
      </c>
      <c r="I3307" s="4">
        <v>11</v>
      </c>
      <c r="J3307" s="5">
        <f>_xlfn.XLOOKUP(tblSales[[#This Row],[Product Code]],tblProducts[Code],tblProducts[Selling Price (excl. VAT)],0)</f>
        <v>85000</v>
      </c>
      <c r="K3307" s="5">
        <f>tblSales[[#This Row],[Qty]]*tblSales[[#This Row],[Unit Price]]</f>
        <v>935000</v>
      </c>
      <c r="L3307" s="5">
        <f>ROUND(tblSales[[#This Row],[DPP (excl. VAT)]]*VATEff,0)</f>
        <v>102850</v>
      </c>
      <c r="M3307" s="5">
        <f>tblSales[[#This Row],[DPP (excl. VAT)]]+tblSales[[#This Row],[Output VAT]]</f>
        <v>1037850</v>
      </c>
      <c r="N3307" s="5">
        <f>tblSales[[#This Row],[Qty]]*_xlfn.XLOOKUP(tblSales[[#This Row],[Product Code]],tblProducts[Code],tblProducts[Unit Cost],0)</f>
        <v>550000</v>
      </c>
      <c r="O3307" s="4" t="s">
        <v>4866</v>
      </c>
      <c r="P3307" s="4" t="s">
        <v>4860</v>
      </c>
      <c r="Q3307" s="1" t="str">
        <f>_xlfn.XLOOKUP(tblSales[[#This Row],[Channel Code]],tblChannels[Channel Code],tblChannels[Channel Name],"")</f>
        <v>In-store</v>
      </c>
      <c r="R3307" s="1">
        <f>MONTH(tblSales[[#This Row],[Date]])</f>
        <v>7</v>
      </c>
    </row>
    <row r="3308" spans="2:18" x14ac:dyDescent="0.35">
      <c r="B3308" s="113">
        <v>46220</v>
      </c>
      <c r="C3308" s="4" t="s">
        <v>2219</v>
      </c>
      <c r="D3308" s="4" t="s">
        <v>4568</v>
      </c>
      <c r="E3308" s="1" t="str">
        <f>_xlfn.XLOOKUP(tblSales[[#This Row],[Customer ID]],tblCustomers[Customer ID],tblCustomers[Customer Name],"⚠ Unknown")</f>
        <v>Walk-in Customer</v>
      </c>
      <c r="F3308" s="4" t="s">
        <v>6</v>
      </c>
      <c r="G3308" s="1" t="str">
        <f>_xlfn.XLOOKUP(tblSales[[#This Row],[Product Code]],tblProducts[Code],tblProducts[Product / Service Name],"⚠ Unknown")</f>
        <v>Socks &amp; Accessories</v>
      </c>
      <c r="H3308" s="1" t="str">
        <f>_xlfn.XLOOKUP(tblSales[[#This Row],[Product Code]],tblProducts[Code],tblProducts[Category],"")</f>
        <v>Accessories &amp; Basics</v>
      </c>
      <c r="I3308" s="4">
        <v>6</v>
      </c>
      <c r="J3308" s="5">
        <f>_xlfn.XLOOKUP(tblSales[[#This Row],[Product Code]],tblProducts[Code],tblProducts[Selling Price (excl. VAT)],0)</f>
        <v>45000</v>
      </c>
      <c r="K3308" s="5">
        <f>tblSales[[#This Row],[Qty]]*tblSales[[#This Row],[Unit Price]]</f>
        <v>270000</v>
      </c>
      <c r="L3308" s="5">
        <f>ROUND(tblSales[[#This Row],[DPP (excl. VAT)]]*VATEff,0)</f>
        <v>29700</v>
      </c>
      <c r="M3308" s="5">
        <f>tblSales[[#This Row],[DPP (excl. VAT)]]+tblSales[[#This Row],[Output VAT]]</f>
        <v>299700</v>
      </c>
      <c r="N3308" s="5">
        <f>tblSales[[#This Row],[Qty]]*_xlfn.XLOOKUP(tblSales[[#This Row],[Product Code]],tblProducts[Code],tblProducts[Unit Cost],0)</f>
        <v>144000</v>
      </c>
      <c r="O3308" s="4" t="s">
        <v>4866</v>
      </c>
      <c r="P3308" s="4" t="s">
        <v>4860</v>
      </c>
      <c r="Q3308" s="1" t="str">
        <f>_xlfn.XLOOKUP(tblSales[[#This Row],[Channel Code]],tblChannels[Channel Code],tblChannels[Channel Name],"")</f>
        <v>In-store</v>
      </c>
      <c r="R3308" s="1">
        <f>MONTH(tblSales[[#This Row],[Date]])</f>
        <v>7</v>
      </c>
    </row>
    <row r="3309" spans="2:18" x14ac:dyDescent="0.35">
      <c r="B3309" s="113">
        <v>46220</v>
      </c>
      <c r="C3309" s="4" t="s">
        <v>2220</v>
      </c>
      <c r="D3309" s="4" t="s">
        <v>4593</v>
      </c>
      <c r="E3309" s="1" t="str">
        <f>_xlfn.XLOOKUP(tblSales[[#This Row],[Customer ID]],tblCustomers[Customer ID],tblCustomers[Customer Name],"⚠ Unknown")</f>
        <v>PT Graha Nusa Persada</v>
      </c>
      <c r="F3309" s="4" t="s">
        <v>7</v>
      </c>
      <c r="G3309" s="1" t="str">
        <f>_xlfn.XLOOKUP(tblSales[[#This Row],[Product Code]],tblProducts[Code],tblProducts[Product / Service Name],"⚠ Unknown")</f>
        <v>Premium Basic T-shirt</v>
      </c>
      <c r="H3309" s="1" t="str">
        <f>_xlfn.XLOOKUP(tblSales[[#This Row],[Product Code]],tblProducts[Code],tblProducts[Category],"")</f>
        <v>Accessories &amp; Basics</v>
      </c>
      <c r="I3309" s="4">
        <v>8</v>
      </c>
      <c r="J3309" s="5">
        <f>_xlfn.XLOOKUP(tblSales[[#This Row],[Product Code]],tblProducts[Code],tblProducts[Selling Price (excl. VAT)],0)</f>
        <v>65000</v>
      </c>
      <c r="K3309" s="5">
        <f>tblSales[[#This Row],[Qty]]*tblSales[[#This Row],[Unit Price]]</f>
        <v>520000</v>
      </c>
      <c r="L3309" s="5">
        <f>ROUND(tblSales[[#This Row],[DPP (excl. VAT)]]*VATEff,0)</f>
        <v>57200</v>
      </c>
      <c r="M3309" s="5">
        <f>tblSales[[#This Row],[DPP (excl. VAT)]]+tblSales[[#This Row],[Output VAT]]</f>
        <v>577200</v>
      </c>
      <c r="N3309" s="5">
        <f>tblSales[[#This Row],[Qty]]*_xlfn.XLOOKUP(tblSales[[#This Row],[Product Code]],tblProducts[Code],tblProducts[Unit Cost],0)</f>
        <v>296000</v>
      </c>
      <c r="O3309" s="4" t="s">
        <v>4867</v>
      </c>
      <c r="P3309" s="4" t="s">
        <v>4860</v>
      </c>
      <c r="Q3309" s="1" t="str">
        <f>_xlfn.XLOOKUP(tblSales[[#This Row],[Channel Code]],tblChannels[Channel Code],tblChannels[Channel Name],"")</f>
        <v>In-store</v>
      </c>
      <c r="R3309" s="1">
        <f>MONTH(tblSales[[#This Row],[Date]])</f>
        <v>7</v>
      </c>
    </row>
    <row r="3310" spans="2:18" x14ac:dyDescent="0.35">
      <c r="B3310" s="113">
        <v>46220</v>
      </c>
      <c r="C3310" s="4" t="s">
        <v>2220</v>
      </c>
      <c r="D3310" s="4" t="s">
        <v>4593</v>
      </c>
      <c r="E3310" s="1" t="str">
        <f>_xlfn.XLOOKUP(tblSales[[#This Row],[Customer ID]],tblCustomers[Customer ID],tblCustomers[Customer Name],"⚠ Unknown")</f>
        <v>PT Graha Nusa Persada</v>
      </c>
      <c r="F3310" s="4" t="s">
        <v>11</v>
      </c>
      <c r="G3310" s="1" t="str">
        <f>_xlfn.XLOOKUP(tblSales[[#This Row],[Product Code]],tblProducts[Code],tblProducts[Product / Service Name],"⚠ Unknown")</f>
        <v>Sneakers</v>
      </c>
      <c r="H3310" s="1" t="str">
        <f>_xlfn.XLOOKUP(tblSales[[#This Row],[Product Code]],tblProducts[Code],tblProducts[Category],"")</f>
        <v>Apparel &amp; Footwear</v>
      </c>
      <c r="I3310" s="4">
        <v>48</v>
      </c>
      <c r="J3310" s="5">
        <f>_xlfn.XLOOKUP(tblSales[[#This Row],[Product Code]],tblProducts[Code],tblProducts[Selling Price (excl. VAT)],0)</f>
        <v>250000</v>
      </c>
      <c r="K3310" s="5">
        <f>tblSales[[#This Row],[Qty]]*tblSales[[#This Row],[Unit Price]]</f>
        <v>12000000</v>
      </c>
      <c r="L3310" s="5">
        <f>ROUND(tblSales[[#This Row],[DPP (excl. VAT)]]*VATEff,0)</f>
        <v>1320000</v>
      </c>
      <c r="M3310" s="5">
        <f>tblSales[[#This Row],[DPP (excl. VAT)]]+tblSales[[#This Row],[Output VAT]]</f>
        <v>13320000</v>
      </c>
      <c r="N3310" s="5">
        <f>tblSales[[#This Row],[Qty]]*_xlfn.XLOOKUP(tblSales[[#This Row],[Product Code]],tblProducts[Code],tblProducts[Unit Cost],0)</f>
        <v>7440000</v>
      </c>
      <c r="O3310" s="4" t="s">
        <v>4867</v>
      </c>
      <c r="P3310" s="4" t="s">
        <v>4860</v>
      </c>
      <c r="Q3310" s="1" t="str">
        <f>_xlfn.XLOOKUP(tblSales[[#This Row],[Channel Code]],tblChannels[Channel Code],tblChannels[Channel Name],"")</f>
        <v>In-store</v>
      </c>
      <c r="R3310" s="1">
        <f>MONTH(tblSales[[#This Row],[Date]])</f>
        <v>7</v>
      </c>
    </row>
    <row r="3311" spans="2:18" x14ac:dyDescent="0.35">
      <c r="B3311" s="113">
        <v>46220</v>
      </c>
      <c r="C3311" s="4" t="s">
        <v>2221</v>
      </c>
      <c r="D3311" s="4" t="s">
        <v>4568</v>
      </c>
      <c r="E3311" s="1" t="str">
        <f>_xlfn.XLOOKUP(tblSales[[#This Row],[Customer ID]],tblCustomers[Customer ID],tblCustomers[Customer Name],"⚠ Unknown")</f>
        <v>Walk-in Customer</v>
      </c>
      <c r="F3311" s="4" t="s">
        <v>11</v>
      </c>
      <c r="G3311" s="1" t="str">
        <f>_xlfn.XLOOKUP(tblSales[[#This Row],[Product Code]],tblProducts[Code],tblProducts[Product / Service Name],"⚠ Unknown")</f>
        <v>Sneakers</v>
      </c>
      <c r="H3311" s="1" t="str">
        <f>_xlfn.XLOOKUP(tblSales[[#This Row],[Product Code]],tblProducts[Code],tblProducts[Category],"")</f>
        <v>Apparel &amp; Footwear</v>
      </c>
      <c r="I3311" s="4">
        <v>3</v>
      </c>
      <c r="J3311" s="5">
        <f>_xlfn.XLOOKUP(tblSales[[#This Row],[Product Code]],tblProducts[Code],tblProducts[Selling Price (excl. VAT)],0)</f>
        <v>250000</v>
      </c>
      <c r="K3311" s="5">
        <f>tblSales[[#This Row],[Qty]]*tblSales[[#This Row],[Unit Price]]</f>
        <v>750000</v>
      </c>
      <c r="L3311" s="5">
        <f>ROUND(tblSales[[#This Row],[DPP (excl. VAT)]]*VATEff,0)</f>
        <v>82500</v>
      </c>
      <c r="M3311" s="5">
        <f>tblSales[[#This Row],[DPP (excl. VAT)]]+tblSales[[#This Row],[Output VAT]]</f>
        <v>832500</v>
      </c>
      <c r="N3311" s="5">
        <f>tblSales[[#This Row],[Qty]]*_xlfn.XLOOKUP(tblSales[[#This Row],[Product Code]],tblProducts[Code],tblProducts[Unit Cost],0)</f>
        <v>465000</v>
      </c>
      <c r="O3311" s="4" t="s">
        <v>4866</v>
      </c>
      <c r="P3311" s="4" t="s">
        <v>4860</v>
      </c>
      <c r="Q3311" s="1" t="str">
        <f>_xlfn.XLOOKUP(tblSales[[#This Row],[Channel Code]],tblChannels[Channel Code],tblChannels[Channel Name],"")</f>
        <v>In-store</v>
      </c>
      <c r="R3311" s="1">
        <f>MONTH(tblSales[[#This Row],[Date]])</f>
        <v>7</v>
      </c>
    </row>
    <row r="3312" spans="2:18" x14ac:dyDescent="0.35">
      <c r="B3312" s="113">
        <v>46220</v>
      </c>
      <c r="C3312" s="4" t="s">
        <v>2222</v>
      </c>
      <c r="D3312" s="4" t="s">
        <v>4634</v>
      </c>
      <c r="E3312" s="1" t="str">
        <f>_xlfn.XLOOKUP(tblSales[[#This Row],[Customer ID]],tblCustomers[Customer ID],tblCustomers[Customer Name],"⚠ Unknown")</f>
        <v>PT Delta Inti Selaras</v>
      </c>
      <c r="F3312" s="4" t="s">
        <v>12</v>
      </c>
      <c r="G3312" s="1" t="str">
        <f>_xlfn.XLOOKUP(tblSales[[#This Row],[Product Code]],tblProducts[Code],tblProducts[Product / Service Name],"⚠ Unknown")</f>
        <v>Bomber Jacket</v>
      </c>
      <c r="H3312" s="1" t="str">
        <f>_xlfn.XLOOKUP(tblSales[[#This Row],[Product Code]],tblProducts[Code],tblProducts[Category],"")</f>
        <v>Apparel &amp; Footwear</v>
      </c>
      <c r="I3312" s="4">
        <v>40</v>
      </c>
      <c r="J3312" s="5">
        <f>_xlfn.XLOOKUP(tblSales[[#This Row],[Product Code]],tblProducts[Code],tblProducts[Selling Price (excl. VAT)],0)</f>
        <v>350000</v>
      </c>
      <c r="K3312" s="5">
        <f>tblSales[[#This Row],[Qty]]*tblSales[[#This Row],[Unit Price]]</f>
        <v>14000000</v>
      </c>
      <c r="L3312" s="5">
        <f>ROUND(tblSales[[#This Row],[DPP (excl. VAT)]]*VATEff,0)</f>
        <v>1540000</v>
      </c>
      <c r="M3312" s="5">
        <f>tblSales[[#This Row],[DPP (excl. VAT)]]+tblSales[[#This Row],[Output VAT]]</f>
        <v>15540000</v>
      </c>
      <c r="N3312" s="5">
        <f>tblSales[[#This Row],[Qty]]*_xlfn.XLOOKUP(tblSales[[#This Row],[Product Code]],tblProducts[Code],tblProducts[Unit Cost],0)</f>
        <v>8400000</v>
      </c>
      <c r="O3312" s="4" t="s">
        <v>4867</v>
      </c>
      <c r="P3312" s="4" t="s">
        <v>4860</v>
      </c>
      <c r="Q3312" s="1" t="str">
        <f>_xlfn.XLOOKUP(tblSales[[#This Row],[Channel Code]],tblChannels[Channel Code],tblChannels[Channel Name],"")</f>
        <v>In-store</v>
      </c>
      <c r="R3312" s="1">
        <f>MONTH(tblSales[[#This Row],[Date]])</f>
        <v>7</v>
      </c>
    </row>
    <row r="3313" spans="2:18" x14ac:dyDescent="0.35">
      <c r="B3313" s="113">
        <v>46220</v>
      </c>
      <c r="C3313" s="4" t="s">
        <v>2223</v>
      </c>
      <c r="D3313" s="4" t="s">
        <v>4568</v>
      </c>
      <c r="E3313" s="1" t="str">
        <f>_xlfn.XLOOKUP(tblSales[[#This Row],[Customer ID]],tblCustomers[Customer ID],tblCustomers[Customer Name],"⚠ Unknown")</f>
        <v>Walk-in Customer</v>
      </c>
      <c r="F3313" s="4" t="s">
        <v>8</v>
      </c>
      <c r="G3313" s="1" t="str">
        <f>_xlfn.XLOOKUP(tblSales[[#This Row],[Product Code]],tblProducts[Code],tblProducts[Product / Service Name],"⚠ Unknown")</f>
        <v>Casual Shorts</v>
      </c>
      <c r="H3313" s="1" t="str">
        <f>_xlfn.XLOOKUP(tblSales[[#This Row],[Product Code]],tblProducts[Code],tblProducts[Category],"")</f>
        <v>Accessories &amp; Basics</v>
      </c>
      <c r="I3313" s="4">
        <v>5</v>
      </c>
      <c r="J3313" s="5">
        <f>_xlfn.XLOOKUP(tblSales[[#This Row],[Product Code]],tblProducts[Code],tblProducts[Selling Price (excl. VAT)],0)</f>
        <v>85000</v>
      </c>
      <c r="K3313" s="5">
        <f>tblSales[[#This Row],[Qty]]*tblSales[[#This Row],[Unit Price]]</f>
        <v>425000</v>
      </c>
      <c r="L3313" s="5">
        <f>ROUND(tblSales[[#This Row],[DPP (excl. VAT)]]*VATEff,0)</f>
        <v>46750</v>
      </c>
      <c r="M3313" s="5">
        <f>tblSales[[#This Row],[DPP (excl. VAT)]]+tblSales[[#This Row],[Output VAT]]</f>
        <v>471750</v>
      </c>
      <c r="N3313" s="5">
        <f>tblSales[[#This Row],[Qty]]*_xlfn.XLOOKUP(tblSales[[#This Row],[Product Code]],tblProducts[Code],tblProducts[Unit Cost],0)</f>
        <v>250000</v>
      </c>
      <c r="O3313" s="4" t="s">
        <v>4865</v>
      </c>
      <c r="P3313" s="4" t="s">
        <v>4860</v>
      </c>
      <c r="Q3313" s="1" t="str">
        <f>_xlfn.XLOOKUP(tblSales[[#This Row],[Channel Code]],tblChannels[Channel Code],tblChannels[Channel Name],"")</f>
        <v>In-store</v>
      </c>
      <c r="R3313" s="1">
        <f>MONTH(tblSales[[#This Row],[Date]])</f>
        <v>7</v>
      </c>
    </row>
    <row r="3314" spans="2:18" x14ac:dyDescent="0.35">
      <c r="B3314" s="113">
        <v>46220</v>
      </c>
      <c r="C3314" s="4" t="s">
        <v>2224</v>
      </c>
      <c r="D3314" s="4" t="s">
        <v>4568</v>
      </c>
      <c r="E3314" s="1" t="str">
        <f>_xlfn.XLOOKUP(tblSales[[#This Row],[Customer ID]],tblCustomers[Customer ID],tblCustomers[Customer Name],"⚠ Unknown")</f>
        <v>Walk-in Customer</v>
      </c>
      <c r="F3314" s="4" t="s">
        <v>6</v>
      </c>
      <c r="G3314" s="1" t="str">
        <f>_xlfn.XLOOKUP(tblSales[[#This Row],[Product Code]],tblProducts[Code],tblProducts[Product / Service Name],"⚠ Unknown")</f>
        <v>Socks &amp; Accessories</v>
      </c>
      <c r="H3314" s="1" t="str">
        <f>_xlfn.XLOOKUP(tblSales[[#This Row],[Product Code]],tblProducts[Code],tblProducts[Category],"")</f>
        <v>Accessories &amp; Basics</v>
      </c>
      <c r="I3314" s="4">
        <v>7</v>
      </c>
      <c r="J3314" s="5">
        <f>_xlfn.XLOOKUP(tblSales[[#This Row],[Product Code]],tblProducts[Code],tblProducts[Selling Price (excl. VAT)],0)</f>
        <v>45000</v>
      </c>
      <c r="K3314" s="5">
        <f>tblSales[[#This Row],[Qty]]*tblSales[[#This Row],[Unit Price]]</f>
        <v>315000</v>
      </c>
      <c r="L3314" s="5">
        <f>ROUND(tblSales[[#This Row],[DPP (excl. VAT)]]*VATEff,0)</f>
        <v>34650</v>
      </c>
      <c r="M3314" s="5">
        <f>tblSales[[#This Row],[DPP (excl. VAT)]]+tblSales[[#This Row],[Output VAT]]</f>
        <v>349650</v>
      </c>
      <c r="N3314" s="5">
        <f>tblSales[[#This Row],[Qty]]*_xlfn.XLOOKUP(tblSales[[#This Row],[Product Code]],tblProducts[Code],tblProducts[Unit Cost],0)</f>
        <v>168000</v>
      </c>
      <c r="O3314" s="4" t="s">
        <v>4866</v>
      </c>
      <c r="P3314" s="4" t="s">
        <v>4862</v>
      </c>
      <c r="Q3314" s="1" t="str">
        <f>_xlfn.XLOOKUP(tblSales[[#This Row],[Channel Code]],tblChannels[Channel Code],tblChannels[Channel Name],"")</f>
        <v>Website &amp; Social Media</v>
      </c>
      <c r="R3314" s="1">
        <f>MONTH(tblSales[[#This Row],[Date]])</f>
        <v>7</v>
      </c>
    </row>
    <row r="3315" spans="2:18" x14ac:dyDescent="0.35">
      <c r="B3315" s="113">
        <v>46220</v>
      </c>
      <c r="C3315" s="4" t="s">
        <v>2225</v>
      </c>
      <c r="D3315" s="4" t="s">
        <v>4568</v>
      </c>
      <c r="E3315" s="1" t="str">
        <f>_xlfn.XLOOKUP(tblSales[[#This Row],[Customer ID]],tblCustomers[Customer ID],tblCustomers[Customer Name],"⚠ Unknown")</f>
        <v>Walk-in Customer</v>
      </c>
      <c r="F3315" s="4" t="s">
        <v>6</v>
      </c>
      <c r="G3315" s="1" t="str">
        <f>_xlfn.XLOOKUP(tblSales[[#This Row],[Product Code]],tblProducts[Code],tblProducts[Product / Service Name],"⚠ Unknown")</f>
        <v>Socks &amp; Accessories</v>
      </c>
      <c r="H3315" s="1" t="str">
        <f>_xlfn.XLOOKUP(tblSales[[#This Row],[Product Code]],tblProducts[Code],tblProducts[Category],"")</f>
        <v>Accessories &amp; Basics</v>
      </c>
      <c r="I3315" s="4">
        <v>12</v>
      </c>
      <c r="J3315" s="5">
        <f>_xlfn.XLOOKUP(tblSales[[#This Row],[Product Code]],tblProducts[Code],tblProducts[Selling Price (excl. VAT)],0)</f>
        <v>45000</v>
      </c>
      <c r="K3315" s="5">
        <f>tblSales[[#This Row],[Qty]]*tblSales[[#This Row],[Unit Price]]</f>
        <v>540000</v>
      </c>
      <c r="L3315" s="5">
        <f>ROUND(tblSales[[#This Row],[DPP (excl. VAT)]]*VATEff,0)</f>
        <v>59400</v>
      </c>
      <c r="M3315" s="5">
        <f>tblSales[[#This Row],[DPP (excl. VAT)]]+tblSales[[#This Row],[Output VAT]]</f>
        <v>599400</v>
      </c>
      <c r="N3315" s="5">
        <f>tblSales[[#This Row],[Qty]]*_xlfn.XLOOKUP(tblSales[[#This Row],[Product Code]],tblProducts[Code],tblProducts[Unit Cost],0)</f>
        <v>288000</v>
      </c>
      <c r="O3315" s="4" t="s">
        <v>4866</v>
      </c>
      <c r="P3315" s="4" t="s">
        <v>4861</v>
      </c>
      <c r="Q3315" s="1" t="str">
        <f>_xlfn.XLOOKUP(tblSales[[#This Row],[Channel Code]],tblChannels[Channel Code],tblChannels[Channel Name],"")</f>
        <v>Marketplace</v>
      </c>
      <c r="R3315" s="1">
        <f>MONTH(tblSales[[#This Row],[Date]])</f>
        <v>7</v>
      </c>
    </row>
    <row r="3316" spans="2:18" x14ac:dyDescent="0.35">
      <c r="B3316" s="113">
        <v>46220</v>
      </c>
      <c r="C3316" s="4" t="s">
        <v>2225</v>
      </c>
      <c r="D3316" s="4" t="s">
        <v>4568</v>
      </c>
      <c r="E3316" s="1" t="str">
        <f>_xlfn.XLOOKUP(tblSales[[#This Row],[Customer ID]],tblCustomers[Customer ID],tblCustomers[Customer Name],"⚠ Unknown")</f>
        <v>Walk-in Customer</v>
      </c>
      <c r="F3316" s="4" t="s">
        <v>11</v>
      </c>
      <c r="G3316" s="1" t="str">
        <f>_xlfn.XLOOKUP(tblSales[[#This Row],[Product Code]],tblProducts[Code],tblProducts[Product / Service Name],"⚠ Unknown")</f>
        <v>Sneakers</v>
      </c>
      <c r="H3316" s="1" t="str">
        <f>_xlfn.XLOOKUP(tblSales[[#This Row],[Product Code]],tblProducts[Code],tblProducts[Category],"")</f>
        <v>Apparel &amp; Footwear</v>
      </c>
      <c r="I3316" s="4">
        <v>1</v>
      </c>
      <c r="J3316" s="5">
        <f>_xlfn.XLOOKUP(tblSales[[#This Row],[Product Code]],tblProducts[Code],tblProducts[Selling Price (excl. VAT)],0)</f>
        <v>250000</v>
      </c>
      <c r="K3316" s="5">
        <f>tblSales[[#This Row],[Qty]]*tblSales[[#This Row],[Unit Price]]</f>
        <v>250000</v>
      </c>
      <c r="L3316" s="5">
        <f>ROUND(tblSales[[#This Row],[DPP (excl. VAT)]]*VATEff,0)</f>
        <v>27500</v>
      </c>
      <c r="M3316" s="5">
        <f>tblSales[[#This Row],[DPP (excl. VAT)]]+tblSales[[#This Row],[Output VAT]]</f>
        <v>277500</v>
      </c>
      <c r="N3316" s="5">
        <f>tblSales[[#This Row],[Qty]]*_xlfn.XLOOKUP(tblSales[[#This Row],[Product Code]],tblProducts[Code],tblProducts[Unit Cost],0)</f>
        <v>155000</v>
      </c>
      <c r="O3316" s="4" t="s">
        <v>4866</v>
      </c>
      <c r="P3316" s="4" t="s">
        <v>4861</v>
      </c>
      <c r="Q3316" s="1" t="str">
        <f>_xlfn.XLOOKUP(tblSales[[#This Row],[Channel Code]],tblChannels[Channel Code],tblChannels[Channel Name],"")</f>
        <v>Marketplace</v>
      </c>
      <c r="R3316" s="1">
        <f>MONTH(tblSales[[#This Row],[Date]])</f>
        <v>7</v>
      </c>
    </row>
    <row r="3317" spans="2:18" x14ac:dyDescent="0.35">
      <c r="B3317" s="113">
        <v>46220</v>
      </c>
      <c r="C3317" s="4" t="s">
        <v>2226</v>
      </c>
      <c r="D3317" s="4" t="s">
        <v>4568</v>
      </c>
      <c r="E3317" s="1" t="str">
        <f>_xlfn.XLOOKUP(tblSales[[#This Row],[Customer ID]],tblCustomers[Customer ID],tblCustomers[Customer Name],"⚠ Unknown")</f>
        <v>Walk-in Customer</v>
      </c>
      <c r="F3317" s="4" t="s">
        <v>15</v>
      </c>
      <c r="G3317" s="1" t="str">
        <f>_xlfn.XLOOKUP(tblSales[[#This Row],[Product Code]],tblProducts[Code],tblProducts[Product / Service Name],"⚠ Unknown")</f>
        <v>Wireless Earbuds Pro</v>
      </c>
      <c r="H3317" s="1" t="str">
        <f>_xlfn.XLOOKUP(tblSales[[#This Row],[Product Code]],tblProducts[Code],tblProducts[Category],"")</f>
        <v>Bags &amp; Gadgets</v>
      </c>
      <c r="I3317" s="4">
        <v>1</v>
      </c>
      <c r="J3317" s="5">
        <f>_xlfn.XLOOKUP(tblSales[[#This Row],[Product Code]],tblProducts[Code],tblProducts[Selling Price (excl. VAT)],0)</f>
        <v>1250000</v>
      </c>
      <c r="K3317" s="5">
        <f>tblSales[[#This Row],[Qty]]*tblSales[[#This Row],[Unit Price]]</f>
        <v>1250000</v>
      </c>
      <c r="L3317" s="5">
        <f>ROUND(tblSales[[#This Row],[DPP (excl. VAT)]]*VATEff,0)</f>
        <v>137500</v>
      </c>
      <c r="M3317" s="5">
        <f>tblSales[[#This Row],[DPP (excl. VAT)]]+tblSales[[#This Row],[Output VAT]]</f>
        <v>1387500</v>
      </c>
      <c r="N3317" s="5">
        <f>tblSales[[#This Row],[Qty]]*_xlfn.XLOOKUP(tblSales[[#This Row],[Product Code]],tblProducts[Code],tblProducts[Unit Cost],0)</f>
        <v>820000</v>
      </c>
      <c r="O3317" s="4" t="s">
        <v>4866</v>
      </c>
      <c r="P3317" s="4" t="s">
        <v>4862</v>
      </c>
      <c r="Q3317" s="1" t="str">
        <f>_xlfn.XLOOKUP(tblSales[[#This Row],[Channel Code]],tblChannels[Channel Code],tblChannels[Channel Name],"")</f>
        <v>Website &amp; Social Media</v>
      </c>
      <c r="R3317" s="1">
        <f>MONTH(tblSales[[#This Row],[Date]])</f>
        <v>7</v>
      </c>
    </row>
    <row r="3318" spans="2:18" x14ac:dyDescent="0.35">
      <c r="B3318" s="113">
        <v>46220</v>
      </c>
      <c r="C3318" s="4" t="s">
        <v>2227</v>
      </c>
      <c r="D3318" s="4" t="s">
        <v>4568</v>
      </c>
      <c r="E3318" s="1" t="str">
        <f>_xlfn.XLOOKUP(tblSales[[#This Row],[Customer ID]],tblCustomers[Customer ID],tblCustomers[Customer Name],"⚠ Unknown")</f>
        <v>Walk-in Customer</v>
      </c>
      <c r="F3318" s="4" t="s">
        <v>6</v>
      </c>
      <c r="G3318" s="1" t="str">
        <f>_xlfn.XLOOKUP(tblSales[[#This Row],[Product Code]],tblProducts[Code],tblProducts[Product / Service Name],"⚠ Unknown")</f>
        <v>Socks &amp; Accessories</v>
      </c>
      <c r="H3318" s="1" t="str">
        <f>_xlfn.XLOOKUP(tblSales[[#This Row],[Product Code]],tblProducts[Code],tblProducts[Category],"")</f>
        <v>Accessories &amp; Basics</v>
      </c>
      <c r="I3318" s="4">
        <v>8</v>
      </c>
      <c r="J3318" s="5">
        <f>_xlfn.XLOOKUP(tblSales[[#This Row],[Product Code]],tblProducts[Code],tblProducts[Selling Price (excl. VAT)],0)</f>
        <v>45000</v>
      </c>
      <c r="K3318" s="5">
        <f>tblSales[[#This Row],[Qty]]*tblSales[[#This Row],[Unit Price]]</f>
        <v>360000</v>
      </c>
      <c r="L3318" s="5">
        <f>ROUND(tblSales[[#This Row],[DPP (excl. VAT)]]*VATEff,0)</f>
        <v>39600</v>
      </c>
      <c r="M3318" s="5">
        <f>tblSales[[#This Row],[DPP (excl. VAT)]]+tblSales[[#This Row],[Output VAT]]</f>
        <v>399600</v>
      </c>
      <c r="N3318" s="5">
        <f>tblSales[[#This Row],[Qty]]*_xlfn.XLOOKUP(tblSales[[#This Row],[Product Code]],tblProducts[Code],tblProducts[Unit Cost],0)</f>
        <v>192000</v>
      </c>
      <c r="O3318" s="4" t="s">
        <v>4866</v>
      </c>
      <c r="P3318" s="4" t="s">
        <v>4861</v>
      </c>
      <c r="Q3318" s="1" t="str">
        <f>_xlfn.XLOOKUP(tblSales[[#This Row],[Channel Code]],tblChannels[Channel Code],tblChannels[Channel Name],"")</f>
        <v>Marketplace</v>
      </c>
      <c r="R3318" s="1">
        <f>MONTH(tblSales[[#This Row],[Date]])</f>
        <v>7</v>
      </c>
    </row>
    <row r="3319" spans="2:18" x14ac:dyDescent="0.35">
      <c r="B3319" s="113">
        <v>46220</v>
      </c>
      <c r="C3319" s="4" t="s">
        <v>2227</v>
      </c>
      <c r="D3319" s="4" t="s">
        <v>4568</v>
      </c>
      <c r="E3319" s="1" t="str">
        <f>_xlfn.XLOOKUP(tblSales[[#This Row],[Customer ID]],tblCustomers[Customer ID],tblCustomers[Customer Name],"⚠ Unknown")</f>
        <v>Walk-in Customer</v>
      </c>
      <c r="F3319" s="4" t="s">
        <v>14</v>
      </c>
      <c r="G3319" s="1" t="str">
        <f>_xlfn.XLOOKUP(tblSales[[#This Row],[Product Code]],tblProducts[Code],tblProducts[Product / Service Name],"⚠ Unknown")</f>
        <v>Smartwatch</v>
      </c>
      <c r="H3319" s="1" t="str">
        <f>_xlfn.XLOOKUP(tblSales[[#This Row],[Product Code]],tblProducts[Code],tblProducts[Category],"")</f>
        <v>Bags &amp; Gadgets</v>
      </c>
      <c r="I3319" s="4">
        <v>3</v>
      </c>
      <c r="J3319" s="5">
        <f>_xlfn.XLOOKUP(tblSales[[#This Row],[Product Code]],tblProducts[Code],tblProducts[Selling Price (excl. VAT)],0)</f>
        <v>850000</v>
      </c>
      <c r="K3319" s="5">
        <f>tblSales[[#This Row],[Qty]]*tblSales[[#This Row],[Unit Price]]</f>
        <v>2550000</v>
      </c>
      <c r="L3319" s="5">
        <f>ROUND(tblSales[[#This Row],[DPP (excl. VAT)]]*VATEff,0)</f>
        <v>280500</v>
      </c>
      <c r="M3319" s="5">
        <f>tblSales[[#This Row],[DPP (excl. VAT)]]+tblSales[[#This Row],[Output VAT]]</f>
        <v>2830500</v>
      </c>
      <c r="N3319" s="5">
        <f>tblSales[[#This Row],[Qty]]*_xlfn.XLOOKUP(tblSales[[#This Row],[Product Code]],tblProducts[Code],tblProducts[Unit Cost],0)</f>
        <v>1680000</v>
      </c>
      <c r="O3319" s="4" t="s">
        <v>4866</v>
      </c>
      <c r="P3319" s="4" t="s">
        <v>4861</v>
      </c>
      <c r="Q3319" s="1" t="str">
        <f>_xlfn.XLOOKUP(tblSales[[#This Row],[Channel Code]],tblChannels[Channel Code],tblChannels[Channel Name],"")</f>
        <v>Marketplace</v>
      </c>
      <c r="R3319" s="1">
        <f>MONTH(tblSales[[#This Row],[Date]])</f>
        <v>7</v>
      </c>
    </row>
    <row r="3320" spans="2:18" x14ac:dyDescent="0.35">
      <c r="B3320" s="113">
        <v>46220</v>
      </c>
      <c r="C3320" s="4" t="s">
        <v>2227</v>
      </c>
      <c r="D3320" s="4" t="s">
        <v>4568</v>
      </c>
      <c r="E3320" s="1" t="str">
        <f>_xlfn.XLOOKUP(tblSales[[#This Row],[Customer ID]],tblCustomers[Customer ID],tblCustomers[Customer Name],"⚠ Unknown")</f>
        <v>Walk-in Customer</v>
      </c>
      <c r="F3320" s="4" t="s">
        <v>7</v>
      </c>
      <c r="G3320" s="1" t="str">
        <f>_xlfn.XLOOKUP(tblSales[[#This Row],[Product Code]],tblProducts[Code],tblProducts[Product / Service Name],"⚠ Unknown")</f>
        <v>Premium Basic T-shirt</v>
      </c>
      <c r="H3320" s="1" t="str">
        <f>_xlfn.XLOOKUP(tblSales[[#This Row],[Product Code]],tblProducts[Code],tblProducts[Category],"")</f>
        <v>Accessories &amp; Basics</v>
      </c>
      <c r="I3320" s="4">
        <v>6</v>
      </c>
      <c r="J3320" s="5">
        <f>_xlfn.XLOOKUP(tblSales[[#This Row],[Product Code]],tblProducts[Code],tblProducts[Selling Price (excl. VAT)],0)</f>
        <v>65000</v>
      </c>
      <c r="K3320" s="5">
        <f>tblSales[[#This Row],[Qty]]*tblSales[[#This Row],[Unit Price]]</f>
        <v>390000</v>
      </c>
      <c r="L3320" s="5">
        <f>ROUND(tblSales[[#This Row],[DPP (excl. VAT)]]*VATEff,0)</f>
        <v>42900</v>
      </c>
      <c r="M3320" s="5">
        <f>tblSales[[#This Row],[DPP (excl. VAT)]]+tblSales[[#This Row],[Output VAT]]</f>
        <v>432900</v>
      </c>
      <c r="N3320" s="5">
        <f>tblSales[[#This Row],[Qty]]*_xlfn.XLOOKUP(tblSales[[#This Row],[Product Code]],tblProducts[Code],tblProducts[Unit Cost],0)</f>
        <v>222000</v>
      </c>
      <c r="O3320" s="4" t="s">
        <v>4866</v>
      </c>
      <c r="P3320" s="4" t="s">
        <v>4861</v>
      </c>
      <c r="Q3320" s="1" t="str">
        <f>_xlfn.XLOOKUP(tblSales[[#This Row],[Channel Code]],tblChannels[Channel Code],tblChannels[Channel Name],"")</f>
        <v>Marketplace</v>
      </c>
      <c r="R3320" s="1">
        <f>MONTH(tblSales[[#This Row],[Date]])</f>
        <v>7</v>
      </c>
    </row>
    <row r="3321" spans="2:18" x14ac:dyDescent="0.35">
      <c r="B3321" s="113">
        <v>46220</v>
      </c>
      <c r="C3321" s="4" t="s">
        <v>2228</v>
      </c>
      <c r="D3321" s="4" t="s">
        <v>4568</v>
      </c>
      <c r="E3321" s="1" t="str">
        <f>_xlfn.XLOOKUP(tblSales[[#This Row],[Customer ID]],tblCustomers[Customer ID],tblCustomers[Customer Name],"⚠ Unknown")</f>
        <v>Walk-in Customer</v>
      </c>
      <c r="F3321" s="4" t="s">
        <v>6</v>
      </c>
      <c r="G3321" s="1" t="str">
        <f>_xlfn.XLOOKUP(tblSales[[#This Row],[Product Code]],tblProducts[Code],tblProducts[Product / Service Name],"⚠ Unknown")</f>
        <v>Socks &amp; Accessories</v>
      </c>
      <c r="H3321" s="1" t="str">
        <f>_xlfn.XLOOKUP(tblSales[[#This Row],[Product Code]],tblProducts[Code],tblProducts[Category],"")</f>
        <v>Accessories &amp; Basics</v>
      </c>
      <c r="I3321" s="4">
        <v>2</v>
      </c>
      <c r="J3321" s="5">
        <f>_xlfn.XLOOKUP(tblSales[[#This Row],[Product Code]],tblProducts[Code],tblProducts[Selling Price (excl. VAT)],0)</f>
        <v>45000</v>
      </c>
      <c r="K3321" s="5">
        <f>tblSales[[#This Row],[Qty]]*tblSales[[#This Row],[Unit Price]]</f>
        <v>90000</v>
      </c>
      <c r="L3321" s="5">
        <f>ROUND(tblSales[[#This Row],[DPP (excl. VAT)]]*VATEff,0)</f>
        <v>9900</v>
      </c>
      <c r="M3321" s="5">
        <f>tblSales[[#This Row],[DPP (excl. VAT)]]+tblSales[[#This Row],[Output VAT]]</f>
        <v>99900</v>
      </c>
      <c r="N3321" s="5">
        <f>tblSales[[#This Row],[Qty]]*_xlfn.XLOOKUP(tblSales[[#This Row],[Product Code]],tblProducts[Code],tblProducts[Unit Cost],0)</f>
        <v>48000</v>
      </c>
      <c r="O3321" s="4" t="s">
        <v>4865</v>
      </c>
      <c r="P3321" s="4" t="s">
        <v>4860</v>
      </c>
      <c r="Q3321" s="1" t="str">
        <f>_xlfn.XLOOKUP(tblSales[[#This Row],[Channel Code]],tblChannels[Channel Code],tblChannels[Channel Name],"")</f>
        <v>In-store</v>
      </c>
      <c r="R3321" s="1">
        <f>MONTH(tblSales[[#This Row],[Date]])</f>
        <v>7</v>
      </c>
    </row>
    <row r="3322" spans="2:18" x14ac:dyDescent="0.35">
      <c r="B3322" s="113">
        <v>46220</v>
      </c>
      <c r="C3322" s="4" t="s">
        <v>2229</v>
      </c>
      <c r="D3322" s="4" t="s">
        <v>4568</v>
      </c>
      <c r="E3322" s="1" t="str">
        <f>_xlfn.XLOOKUP(tblSales[[#This Row],[Customer ID]],tblCustomers[Customer ID],tblCustomers[Customer Name],"⚠ Unknown")</f>
        <v>Walk-in Customer</v>
      </c>
      <c r="F3322" s="4" t="s">
        <v>7</v>
      </c>
      <c r="G3322" s="1" t="str">
        <f>_xlfn.XLOOKUP(tblSales[[#This Row],[Product Code]],tblProducts[Code],tblProducts[Product / Service Name],"⚠ Unknown")</f>
        <v>Premium Basic T-shirt</v>
      </c>
      <c r="H3322" s="1" t="str">
        <f>_xlfn.XLOOKUP(tblSales[[#This Row],[Product Code]],tblProducts[Code],tblProducts[Category],"")</f>
        <v>Accessories &amp; Basics</v>
      </c>
      <c r="I3322" s="4">
        <v>10</v>
      </c>
      <c r="J3322" s="5">
        <f>_xlfn.XLOOKUP(tblSales[[#This Row],[Product Code]],tblProducts[Code],tblProducts[Selling Price (excl. VAT)],0)</f>
        <v>65000</v>
      </c>
      <c r="K3322" s="5">
        <f>tblSales[[#This Row],[Qty]]*tblSales[[#This Row],[Unit Price]]</f>
        <v>650000</v>
      </c>
      <c r="L3322" s="5">
        <f>ROUND(tblSales[[#This Row],[DPP (excl. VAT)]]*VATEff,0)</f>
        <v>71500</v>
      </c>
      <c r="M3322" s="5">
        <f>tblSales[[#This Row],[DPP (excl. VAT)]]+tblSales[[#This Row],[Output VAT]]</f>
        <v>721500</v>
      </c>
      <c r="N3322" s="5">
        <f>tblSales[[#This Row],[Qty]]*_xlfn.XLOOKUP(tblSales[[#This Row],[Product Code]],tblProducts[Code],tblProducts[Unit Cost],0)</f>
        <v>370000</v>
      </c>
      <c r="O3322" s="4" t="s">
        <v>4866</v>
      </c>
      <c r="P3322" s="4" t="s">
        <v>4862</v>
      </c>
      <c r="Q3322" s="1" t="str">
        <f>_xlfn.XLOOKUP(tblSales[[#This Row],[Channel Code]],tblChannels[Channel Code],tblChannels[Channel Name],"")</f>
        <v>Website &amp; Social Media</v>
      </c>
      <c r="R3322" s="1">
        <f>MONTH(tblSales[[#This Row],[Date]])</f>
        <v>7</v>
      </c>
    </row>
    <row r="3323" spans="2:18" x14ac:dyDescent="0.35">
      <c r="B3323" s="113">
        <v>46220</v>
      </c>
      <c r="C3323" s="4" t="s">
        <v>2230</v>
      </c>
      <c r="D3323" s="4" t="s">
        <v>4568</v>
      </c>
      <c r="E3323" s="1" t="str">
        <f>_xlfn.XLOOKUP(tblSales[[#This Row],[Customer ID]],tblCustomers[Customer ID],tblCustomers[Customer Name],"⚠ Unknown")</f>
        <v>Walk-in Customer</v>
      </c>
      <c r="F3323" s="4" t="s">
        <v>9</v>
      </c>
      <c r="G3323" s="1" t="str">
        <f>_xlfn.XLOOKUP(tblSales[[#This Row],[Product Code]],tblProducts[Code],tblProducts[Product / Service Name],"⚠ Unknown")</f>
        <v>Casual Shirt</v>
      </c>
      <c r="H3323" s="1" t="str">
        <f>_xlfn.XLOOKUP(tblSales[[#This Row],[Product Code]],tblProducts[Code],tblProducts[Category],"")</f>
        <v>Apparel &amp; Footwear</v>
      </c>
      <c r="I3323" s="4">
        <v>2</v>
      </c>
      <c r="J3323" s="5">
        <f>_xlfn.XLOOKUP(tblSales[[#This Row],[Product Code]],tblProducts[Code],tblProducts[Selling Price (excl. VAT)],0)</f>
        <v>120000</v>
      </c>
      <c r="K3323" s="5">
        <f>tblSales[[#This Row],[Qty]]*tblSales[[#This Row],[Unit Price]]</f>
        <v>240000</v>
      </c>
      <c r="L3323" s="5">
        <f>ROUND(tblSales[[#This Row],[DPP (excl. VAT)]]*VATEff,0)</f>
        <v>26400</v>
      </c>
      <c r="M3323" s="5">
        <f>tblSales[[#This Row],[DPP (excl. VAT)]]+tblSales[[#This Row],[Output VAT]]</f>
        <v>266400</v>
      </c>
      <c r="N3323" s="5">
        <f>tblSales[[#This Row],[Qty]]*_xlfn.XLOOKUP(tblSales[[#This Row],[Product Code]],tblProducts[Code],tblProducts[Unit Cost],0)</f>
        <v>144000</v>
      </c>
      <c r="O3323" s="4" t="s">
        <v>4866</v>
      </c>
      <c r="P3323" s="4" t="s">
        <v>4861</v>
      </c>
      <c r="Q3323" s="1" t="str">
        <f>_xlfn.XLOOKUP(tblSales[[#This Row],[Channel Code]],tblChannels[Channel Code],tblChannels[Channel Name],"")</f>
        <v>Marketplace</v>
      </c>
      <c r="R3323" s="1">
        <f>MONTH(tblSales[[#This Row],[Date]])</f>
        <v>7</v>
      </c>
    </row>
    <row r="3324" spans="2:18" x14ac:dyDescent="0.35">
      <c r="B3324" s="113">
        <v>46221</v>
      </c>
      <c r="C3324" s="4" t="s">
        <v>2231</v>
      </c>
      <c r="D3324" s="4" t="s">
        <v>4593</v>
      </c>
      <c r="E3324" s="1" t="str">
        <f>_xlfn.XLOOKUP(tblSales[[#This Row],[Customer ID]],tblCustomers[Customer ID],tblCustomers[Customer Name],"⚠ Unknown")</f>
        <v>PT Graha Nusa Persada</v>
      </c>
      <c r="F3324" s="4" t="s">
        <v>8</v>
      </c>
      <c r="G3324" s="1" t="str">
        <f>_xlfn.XLOOKUP(tblSales[[#This Row],[Product Code]],tblProducts[Code],tblProducts[Product / Service Name],"⚠ Unknown")</f>
        <v>Casual Shorts</v>
      </c>
      <c r="H3324" s="1" t="str">
        <f>_xlfn.XLOOKUP(tblSales[[#This Row],[Product Code]],tblProducts[Code],tblProducts[Category],"")</f>
        <v>Accessories &amp; Basics</v>
      </c>
      <c r="I3324" s="4">
        <v>80</v>
      </c>
      <c r="J3324" s="5">
        <f>_xlfn.XLOOKUP(tblSales[[#This Row],[Product Code]],tblProducts[Code],tblProducts[Selling Price (excl. VAT)],0)</f>
        <v>85000</v>
      </c>
      <c r="K3324" s="5">
        <f>tblSales[[#This Row],[Qty]]*tblSales[[#This Row],[Unit Price]]</f>
        <v>6800000</v>
      </c>
      <c r="L3324" s="5">
        <f>ROUND(tblSales[[#This Row],[DPP (excl. VAT)]]*VATEff,0)</f>
        <v>748000</v>
      </c>
      <c r="M3324" s="5">
        <f>tblSales[[#This Row],[DPP (excl. VAT)]]+tblSales[[#This Row],[Output VAT]]</f>
        <v>7548000</v>
      </c>
      <c r="N3324" s="5">
        <f>tblSales[[#This Row],[Qty]]*_xlfn.XLOOKUP(tblSales[[#This Row],[Product Code]],tblProducts[Code],tblProducts[Unit Cost],0)</f>
        <v>4000000</v>
      </c>
      <c r="O3324" s="4" t="s">
        <v>4867</v>
      </c>
      <c r="P3324" s="4" t="s">
        <v>4860</v>
      </c>
      <c r="Q3324" s="1" t="str">
        <f>_xlfn.XLOOKUP(tblSales[[#This Row],[Channel Code]],tblChannels[Channel Code],tblChannels[Channel Name],"")</f>
        <v>In-store</v>
      </c>
      <c r="R3324" s="1">
        <f>MONTH(tblSales[[#This Row],[Date]])</f>
        <v>7</v>
      </c>
    </row>
    <row r="3325" spans="2:18" x14ac:dyDescent="0.35">
      <c r="B3325" s="113">
        <v>46221</v>
      </c>
      <c r="C3325" s="4" t="s">
        <v>2232</v>
      </c>
      <c r="D3325" s="4" t="s">
        <v>4568</v>
      </c>
      <c r="E3325" s="1" t="str">
        <f>_xlfn.XLOOKUP(tblSales[[#This Row],[Customer ID]],tblCustomers[Customer ID],tblCustomers[Customer Name],"⚠ Unknown")</f>
        <v>Walk-in Customer</v>
      </c>
      <c r="F3325" s="4" t="s">
        <v>7</v>
      </c>
      <c r="G3325" s="1" t="str">
        <f>_xlfn.XLOOKUP(tblSales[[#This Row],[Product Code]],tblProducts[Code],tblProducts[Product / Service Name],"⚠ Unknown")</f>
        <v>Premium Basic T-shirt</v>
      </c>
      <c r="H3325" s="1" t="str">
        <f>_xlfn.XLOOKUP(tblSales[[#This Row],[Product Code]],tblProducts[Code],tblProducts[Category],"")</f>
        <v>Accessories &amp; Basics</v>
      </c>
      <c r="I3325" s="4">
        <v>1</v>
      </c>
      <c r="J3325" s="5">
        <f>_xlfn.XLOOKUP(tblSales[[#This Row],[Product Code]],tblProducts[Code],tblProducts[Selling Price (excl. VAT)],0)</f>
        <v>65000</v>
      </c>
      <c r="K3325" s="5">
        <f>tblSales[[#This Row],[Qty]]*tblSales[[#This Row],[Unit Price]]</f>
        <v>65000</v>
      </c>
      <c r="L3325" s="5">
        <f>ROUND(tblSales[[#This Row],[DPP (excl. VAT)]]*VATEff,0)</f>
        <v>7150</v>
      </c>
      <c r="M3325" s="5">
        <f>tblSales[[#This Row],[DPP (excl. VAT)]]+tblSales[[#This Row],[Output VAT]]</f>
        <v>72150</v>
      </c>
      <c r="N3325" s="5">
        <f>tblSales[[#This Row],[Qty]]*_xlfn.XLOOKUP(tblSales[[#This Row],[Product Code]],tblProducts[Code],tblProducts[Unit Cost],0)</f>
        <v>37000</v>
      </c>
      <c r="O3325" s="4" t="s">
        <v>4866</v>
      </c>
      <c r="P3325" s="4" t="s">
        <v>4861</v>
      </c>
      <c r="Q3325" s="1" t="str">
        <f>_xlfn.XLOOKUP(tblSales[[#This Row],[Channel Code]],tblChannels[Channel Code],tblChannels[Channel Name],"")</f>
        <v>Marketplace</v>
      </c>
      <c r="R3325" s="1">
        <f>MONTH(tblSales[[#This Row],[Date]])</f>
        <v>7</v>
      </c>
    </row>
    <row r="3326" spans="2:18" x14ac:dyDescent="0.35">
      <c r="B3326" s="113">
        <v>46221</v>
      </c>
      <c r="C3326" s="4" t="s">
        <v>2233</v>
      </c>
      <c r="D3326" s="4" t="s">
        <v>4620</v>
      </c>
      <c r="E3326" s="1" t="str">
        <f>_xlfn.XLOOKUP(tblSales[[#This Row],[Customer ID]],tblCustomers[Customer ID],tblCustomers[Customer Name],"⚠ Unknown")</f>
        <v>CV Sumber Rejeki Utama</v>
      </c>
      <c r="F3326" s="4" t="s">
        <v>13</v>
      </c>
      <c r="G3326" s="1" t="str">
        <f>_xlfn.XLOOKUP(tblSales[[#This Row],[Product Code]],tblProducts[Code],tblProducts[Product / Service Name],"⚠ Unknown")</f>
        <v>Backpack</v>
      </c>
      <c r="H3326" s="1" t="str">
        <f>_xlfn.XLOOKUP(tblSales[[#This Row],[Product Code]],tblProducts[Code],tblProducts[Category],"")</f>
        <v>Bags &amp; Gadgets</v>
      </c>
      <c r="I3326" s="4">
        <v>16</v>
      </c>
      <c r="J3326" s="5">
        <f>_xlfn.XLOOKUP(tblSales[[#This Row],[Product Code]],tblProducts[Code],tblProducts[Selling Price (excl. VAT)],0)</f>
        <v>500000</v>
      </c>
      <c r="K3326" s="5">
        <f>tblSales[[#This Row],[Qty]]*tblSales[[#This Row],[Unit Price]]</f>
        <v>8000000</v>
      </c>
      <c r="L3326" s="5">
        <f>ROUND(tblSales[[#This Row],[DPP (excl. VAT)]]*VATEff,0)</f>
        <v>880000</v>
      </c>
      <c r="M3326" s="5">
        <f>tblSales[[#This Row],[DPP (excl. VAT)]]+tblSales[[#This Row],[Output VAT]]</f>
        <v>8880000</v>
      </c>
      <c r="N3326" s="5">
        <f>tblSales[[#This Row],[Qty]]*_xlfn.XLOOKUP(tblSales[[#This Row],[Product Code]],tblProducts[Code],tblProducts[Unit Cost],0)</f>
        <v>4640000</v>
      </c>
      <c r="O3326" s="4" t="s">
        <v>4867</v>
      </c>
      <c r="P3326" s="4" t="s">
        <v>4860</v>
      </c>
      <c r="Q3326" s="1" t="str">
        <f>_xlfn.XLOOKUP(tblSales[[#This Row],[Channel Code]],tblChannels[Channel Code],tblChannels[Channel Name],"")</f>
        <v>In-store</v>
      </c>
      <c r="R3326" s="1">
        <f>MONTH(tblSales[[#This Row],[Date]])</f>
        <v>7</v>
      </c>
    </row>
    <row r="3327" spans="2:18" x14ac:dyDescent="0.35">
      <c r="B3327" s="113">
        <v>46221</v>
      </c>
      <c r="C3327" s="4" t="s">
        <v>2234</v>
      </c>
      <c r="D3327" s="4" t="s">
        <v>4593</v>
      </c>
      <c r="E3327" s="1" t="str">
        <f>_xlfn.XLOOKUP(tblSales[[#This Row],[Customer ID]],tblCustomers[Customer ID],tblCustomers[Customer Name],"⚠ Unknown")</f>
        <v>PT Graha Nusa Persada</v>
      </c>
      <c r="F3327" s="4" t="s">
        <v>8</v>
      </c>
      <c r="G3327" s="1" t="str">
        <f>_xlfn.XLOOKUP(tblSales[[#This Row],[Product Code]],tblProducts[Code],tblProducts[Product / Service Name],"⚠ Unknown")</f>
        <v>Casual Shorts</v>
      </c>
      <c r="H3327" s="1" t="str">
        <f>_xlfn.XLOOKUP(tblSales[[#This Row],[Product Code]],tblProducts[Code],tblProducts[Category],"")</f>
        <v>Accessories &amp; Basics</v>
      </c>
      <c r="I3327" s="4">
        <v>96</v>
      </c>
      <c r="J3327" s="5">
        <f>_xlfn.XLOOKUP(tblSales[[#This Row],[Product Code]],tblProducts[Code],tblProducts[Selling Price (excl. VAT)],0)</f>
        <v>85000</v>
      </c>
      <c r="K3327" s="5">
        <f>tblSales[[#This Row],[Qty]]*tblSales[[#This Row],[Unit Price]]</f>
        <v>8160000</v>
      </c>
      <c r="L3327" s="5">
        <f>ROUND(tblSales[[#This Row],[DPP (excl. VAT)]]*VATEff,0)</f>
        <v>897600</v>
      </c>
      <c r="M3327" s="5">
        <f>tblSales[[#This Row],[DPP (excl. VAT)]]+tblSales[[#This Row],[Output VAT]]</f>
        <v>9057600</v>
      </c>
      <c r="N3327" s="5">
        <f>tblSales[[#This Row],[Qty]]*_xlfn.XLOOKUP(tblSales[[#This Row],[Product Code]],tblProducts[Code],tblProducts[Unit Cost],0)</f>
        <v>4800000</v>
      </c>
      <c r="O3327" s="4" t="s">
        <v>4867</v>
      </c>
      <c r="P3327" s="4" t="s">
        <v>4862</v>
      </c>
      <c r="Q3327" s="1" t="str">
        <f>_xlfn.XLOOKUP(tblSales[[#This Row],[Channel Code]],tblChannels[Channel Code],tblChannels[Channel Name],"")</f>
        <v>Website &amp; Social Media</v>
      </c>
      <c r="R3327" s="1">
        <f>MONTH(tblSales[[#This Row],[Date]])</f>
        <v>7</v>
      </c>
    </row>
    <row r="3328" spans="2:18" x14ac:dyDescent="0.35">
      <c r="B3328" s="113">
        <v>46221</v>
      </c>
      <c r="C3328" s="4" t="s">
        <v>2234</v>
      </c>
      <c r="D3328" s="4" t="s">
        <v>4593</v>
      </c>
      <c r="E3328" s="1" t="str">
        <f>_xlfn.XLOOKUP(tblSales[[#This Row],[Customer ID]],tblCustomers[Customer ID],tblCustomers[Customer Name],"⚠ Unknown")</f>
        <v>PT Graha Nusa Persada</v>
      </c>
      <c r="F3328" s="4" t="s">
        <v>9</v>
      </c>
      <c r="G3328" s="1" t="str">
        <f>_xlfn.XLOOKUP(tblSales[[#This Row],[Product Code]],tblProducts[Code],tblProducts[Product / Service Name],"⚠ Unknown")</f>
        <v>Casual Shirt</v>
      </c>
      <c r="H3328" s="1" t="str">
        <f>_xlfn.XLOOKUP(tblSales[[#This Row],[Product Code]],tblProducts[Code],tblProducts[Category],"")</f>
        <v>Apparel &amp; Footwear</v>
      </c>
      <c r="I3328" s="4">
        <v>48</v>
      </c>
      <c r="J3328" s="5">
        <f>_xlfn.XLOOKUP(tblSales[[#This Row],[Product Code]],tblProducts[Code],tblProducts[Selling Price (excl. VAT)],0)</f>
        <v>120000</v>
      </c>
      <c r="K3328" s="5">
        <f>tblSales[[#This Row],[Qty]]*tblSales[[#This Row],[Unit Price]]</f>
        <v>5760000</v>
      </c>
      <c r="L3328" s="5">
        <f>ROUND(tblSales[[#This Row],[DPP (excl. VAT)]]*VATEff,0)</f>
        <v>633600</v>
      </c>
      <c r="M3328" s="5">
        <f>tblSales[[#This Row],[DPP (excl. VAT)]]+tblSales[[#This Row],[Output VAT]]</f>
        <v>6393600</v>
      </c>
      <c r="N3328" s="5">
        <f>tblSales[[#This Row],[Qty]]*_xlfn.XLOOKUP(tblSales[[#This Row],[Product Code]],tblProducts[Code],tblProducts[Unit Cost],0)</f>
        <v>3456000</v>
      </c>
      <c r="O3328" s="4" t="s">
        <v>4867</v>
      </c>
      <c r="P3328" s="4" t="s">
        <v>4862</v>
      </c>
      <c r="Q3328" s="1" t="str">
        <f>_xlfn.XLOOKUP(tblSales[[#This Row],[Channel Code]],tblChannels[Channel Code],tblChannels[Channel Name],"")</f>
        <v>Website &amp; Social Media</v>
      </c>
      <c r="R3328" s="1">
        <f>MONTH(tblSales[[#This Row],[Date]])</f>
        <v>7</v>
      </c>
    </row>
    <row r="3329" spans="2:18" x14ac:dyDescent="0.35">
      <c r="B3329" s="113">
        <v>46221</v>
      </c>
      <c r="C3329" s="4" t="s">
        <v>2235</v>
      </c>
      <c r="D3329" s="4" t="s">
        <v>4568</v>
      </c>
      <c r="E3329" s="1" t="str">
        <f>_xlfn.XLOOKUP(tblSales[[#This Row],[Customer ID]],tblCustomers[Customer ID],tblCustomers[Customer Name],"⚠ Unknown")</f>
        <v>Walk-in Customer</v>
      </c>
      <c r="F3329" s="4" t="s">
        <v>8</v>
      </c>
      <c r="G3329" s="1" t="str">
        <f>_xlfn.XLOOKUP(tblSales[[#This Row],[Product Code]],tblProducts[Code],tblProducts[Product / Service Name],"⚠ Unknown")</f>
        <v>Casual Shorts</v>
      </c>
      <c r="H3329" s="1" t="str">
        <f>_xlfn.XLOOKUP(tblSales[[#This Row],[Product Code]],tblProducts[Code],tblProducts[Category],"")</f>
        <v>Accessories &amp; Basics</v>
      </c>
      <c r="I3329" s="4">
        <v>10</v>
      </c>
      <c r="J3329" s="5">
        <f>_xlfn.XLOOKUP(tblSales[[#This Row],[Product Code]],tblProducts[Code],tblProducts[Selling Price (excl. VAT)],0)</f>
        <v>85000</v>
      </c>
      <c r="K3329" s="5">
        <f>tblSales[[#This Row],[Qty]]*tblSales[[#This Row],[Unit Price]]</f>
        <v>850000</v>
      </c>
      <c r="L3329" s="5">
        <f>ROUND(tblSales[[#This Row],[DPP (excl. VAT)]]*VATEff,0)</f>
        <v>93500</v>
      </c>
      <c r="M3329" s="5">
        <f>tblSales[[#This Row],[DPP (excl. VAT)]]+tblSales[[#This Row],[Output VAT]]</f>
        <v>943500</v>
      </c>
      <c r="N3329" s="5">
        <f>tblSales[[#This Row],[Qty]]*_xlfn.XLOOKUP(tblSales[[#This Row],[Product Code]],tblProducts[Code],tblProducts[Unit Cost],0)</f>
        <v>500000</v>
      </c>
      <c r="O3329" s="4" t="s">
        <v>4865</v>
      </c>
      <c r="P3329" s="4" t="s">
        <v>4860</v>
      </c>
      <c r="Q3329" s="1" t="str">
        <f>_xlfn.XLOOKUP(tblSales[[#This Row],[Channel Code]],tblChannels[Channel Code],tblChannels[Channel Name],"")</f>
        <v>In-store</v>
      </c>
      <c r="R3329" s="1">
        <f>MONTH(tblSales[[#This Row],[Date]])</f>
        <v>7</v>
      </c>
    </row>
    <row r="3330" spans="2:18" x14ac:dyDescent="0.35">
      <c r="B3330" s="113">
        <v>46221</v>
      </c>
      <c r="C3330" s="4" t="s">
        <v>2236</v>
      </c>
      <c r="D3330" s="4" t="s">
        <v>4568</v>
      </c>
      <c r="E3330" s="1" t="str">
        <f>_xlfn.XLOOKUP(tblSales[[#This Row],[Customer ID]],tblCustomers[Customer ID],tblCustomers[Customer Name],"⚠ Unknown")</f>
        <v>Walk-in Customer</v>
      </c>
      <c r="F3330" s="4" t="s">
        <v>7</v>
      </c>
      <c r="G3330" s="1" t="str">
        <f>_xlfn.XLOOKUP(tblSales[[#This Row],[Product Code]],tblProducts[Code],tblProducts[Product / Service Name],"⚠ Unknown")</f>
        <v>Premium Basic T-shirt</v>
      </c>
      <c r="H3330" s="1" t="str">
        <f>_xlfn.XLOOKUP(tblSales[[#This Row],[Product Code]],tblProducts[Code],tblProducts[Category],"")</f>
        <v>Accessories &amp; Basics</v>
      </c>
      <c r="I3330" s="4">
        <v>7</v>
      </c>
      <c r="J3330" s="5">
        <f>_xlfn.XLOOKUP(tblSales[[#This Row],[Product Code]],tblProducts[Code],tblProducts[Selling Price (excl. VAT)],0)</f>
        <v>65000</v>
      </c>
      <c r="K3330" s="5">
        <f>tblSales[[#This Row],[Qty]]*tblSales[[#This Row],[Unit Price]]</f>
        <v>455000</v>
      </c>
      <c r="L3330" s="5">
        <f>ROUND(tblSales[[#This Row],[DPP (excl. VAT)]]*VATEff,0)</f>
        <v>50050</v>
      </c>
      <c r="M3330" s="5">
        <f>tblSales[[#This Row],[DPP (excl. VAT)]]+tblSales[[#This Row],[Output VAT]]</f>
        <v>505050</v>
      </c>
      <c r="N3330" s="5">
        <f>tblSales[[#This Row],[Qty]]*_xlfn.XLOOKUP(tblSales[[#This Row],[Product Code]],tblProducts[Code],tblProducts[Unit Cost],0)</f>
        <v>259000</v>
      </c>
      <c r="O3330" s="4" t="s">
        <v>4866</v>
      </c>
      <c r="P3330" s="4" t="s">
        <v>4862</v>
      </c>
      <c r="Q3330" s="1" t="str">
        <f>_xlfn.XLOOKUP(tblSales[[#This Row],[Channel Code]],tblChannels[Channel Code],tblChannels[Channel Name],"")</f>
        <v>Website &amp; Social Media</v>
      </c>
      <c r="R3330" s="1">
        <f>MONTH(tblSales[[#This Row],[Date]])</f>
        <v>7</v>
      </c>
    </row>
    <row r="3331" spans="2:18" x14ac:dyDescent="0.35">
      <c r="B3331" s="113">
        <v>46221</v>
      </c>
      <c r="C3331" s="4" t="s">
        <v>2236</v>
      </c>
      <c r="D3331" s="4" t="s">
        <v>4568</v>
      </c>
      <c r="E3331" s="1" t="str">
        <f>_xlfn.XLOOKUP(tblSales[[#This Row],[Customer ID]],tblCustomers[Customer ID],tblCustomers[Customer Name],"⚠ Unknown")</f>
        <v>Walk-in Customer</v>
      </c>
      <c r="F3331" s="4" t="s">
        <v>12</v>
      </c>
      <c r="G3331" s="1" t="str">
        <f>_xlfn.XLOOKUP(tblSales[[#This Row],[Product Code]],tblProducts[Code],tblProducts[Product / Service Name],"⚠ Unknown")</f>
        <v>Bomber Jacket</v>
      </c>
      <c r="H3331" s="1" t="str">
        <f>_xlfn.XLOOKUP(tblSales[[#This Row],[Product Code]],tblProducts[Code],tblProducts[Category],"")</f>
        <v>Apparel &amp; Footwear</v>
      </c>
      <c r="I3331" s="4">
        <v>4</v>
      </c>
      <c r="J3331" s="5">
        <f>_xlfn.XLOOKUP(tblSales[[#This Row],[Product Code]],tblProducts[Code],tblProducts[Selling Price (excl. VAT)],0)</f>
        <v>350000</v>
      </c>
      <c r="K3331" s="5">
        <f>tblSales[[#This Row],[Qty]]*tblSales[[#This Row],[Unit Price]]</f>
        <v>1400000</v>
      </c>
      <c r="L3331" s="5">
        <f>ROUND(tblSales[[#This Row],[DPP (excl. VAT)]]*VATEff,0)</f>
        <v>154000</v>
      </c>
      <c r="M3331" s="5">
        <f>tblSales[[#This Row],[DPP (excl. VAT)]]+tblSales[[#This Row],[Output VAT]]</f>
        <v>1554000</v>
      </c>
      <c r="N3331" s="5">
        <f>tblSales[[#This Row],[Qty]]*_xlfn.XLOOKUP(tblSales[[#This Row],[Product Code]],tblProducts[Code],tblProducts[Unit Cost],0)</f>
        <v>840000</v>
      </c>
      <c r="O3331" s="4" t="s">
        <v>4866</v>
      </c>
      <c r="P3331" s="4" t="s">
        <v>4862</v>
      </c>
      <c r="Q3331" s="1" t="str">
        <f>_xlfn.XLOOKUP(tblSales[[#This Row],[Channel Code]],tblChannels[Channel Code],tblChannels[Channel Name],"")</f>
        <v>Website &amp; Social Media</v>
      </c>
      <c r="R3331" s="1">
        <f>MONTH(tblSales[[#This Row],[Date]])</f>
        <v>7</v>
      </c>
    </row>
    <row r="3332" spans="2:18" x14ac:dyDescent="0.35">
      <c r="B3332" s="113">
        <v>46221</v>
      </c>
      <c r="C3332" s="4" t="s">
        <v>2237</v>
      </c>
      <c r="D3332" s="4" t="s">
        <v>4568</v>
      </c>
      <c r="E3332" s="1" t="str">
        <f>_xlfn.XLOOKUP(tblSales[[#This Row],[Customer ID]],tblCustomers[Customer ID],tblCustomers[Customer Name],"⚠ Unknown")</f>
        <v>Walk-in Customer</v>
      </c>
      <c r="F3332" s="4" t="s">
        <v>11</v>
      </c>
      <c r="G3332" s="1" t="str">
        <f>_xlfn.XLOOKUP(tblSales[[#This Row],[Product Code]],tblProducts[Code],tblProducts[Product / Service Name],"⚠ Unknown")</f>
        <v>Sneakers</v>
      </c>
      <c r="H3332" s="1" t="str">
        <f>_xlfn.XLOOKUP(tblSales[[#This Row],[Product Code]],tblProducts[Code],tblProducts[Category],"")</f>
        <v>Apparel &amp; Footwear</v>
      </c>
      <c r="I3332" s="4">
        <v>3</v>
      </c>
      <c r="J3332" s="5">
        <f>_xlfn.XLOOKUP(tblSales[[#This Row],[Product Code]],tblProducts[Code],tblProducts[Selling Price (excl. VAT)],0)</f>
        <v>250000</v>
      </c>
      <c r="K3332" s="5">
        <f>tblSales[[#This Row],[Qty]]*tblSales[[#This Row],[Unit Price]]</f>
        <v>750000</v>
      </c>
      <c r="L3332" s="5">
        <f>ROUND(tblSales[[#This Row],[DPP (excl. VAT)]]*VATEff,0)</f>
        <v>82500</v>
      </c>
      <c r="M3332" s="5">
        <f>tblSales[[#This Row],[DPP (excl. VAT)]]+tblSales[[#This Row],[Output VAT]]</f>
        <v>832500</v>
      </c>
      <c r="N3332" s="5">
        <f>tblSales[[#This Row],[Qty]]*_xlfn.XLOOKUP(tblSales[[#This Row],[Product Code]],tblProducts[Code],tblProducts[Unit Cost],0)</f>
        <v>465000</v>
      </c>
      <c r="O3332" s="4" t="s">
        <v>4865</v>
      </c>
      <c r="P3332" s="4" t="s">
        <v>4860</v>
      </c>
      <c r="Q3332" s="1" t="str">
        <f>_xlfn.XLOOKUP(tblSales[[#This Row],[Channel Code]],tblChannels[Channel Code],tblChannels[Channel Name],"")</f>
        <v>In-store</v>
      </c>
      <c r="R3332" s="1">
        <f>MONTH(tblSales[[#This Row],[Date]])</f>
        <v>7</v>
      </c>
    </row>
    <row r="3333" spans="2:18" x14ac:dyDescent="0.35">
      <c r="B3333" s="113">
        <v>46221</v>
      </c>
      <c r="C3333" s="4" t="s">
        <v>2237</v>
      </c>
      <c r="D3333" s="4" t="s">
        <v>4568</v>
      </c>
      <c r="E3333" s="1" t="str">
        <f>_xlfn.XLOOKUP(tblSales[[#This Row],[Customer ID]],tblCustomers[Customer ID],tblCustomers[Customer Name],"⚠ Unknown")</f>
        <v>Walk-in Customer</v>
      </c>
      <c r="F3333" s="4" t="s">
        <v>14</v>
      </c>
      <c r="G3333" s="1" t="str">
        <f>_xlfn.XLOOKUP(tblSales[[#This Row],[Product Code]],tblProducts[Code],tblProducts[Product / Service Name],"⚠ Unknown")</f>
        <v>Smartwatch</v>
      </c>
      <c r="H3333" s="1" t="str">
        <f>_xlfn.XLOOKUP(tblSales[[#This Row],[Product Code]],tblProducts[Code],tblProducts[Category],"")</f>
        <v>Bags &amp; Gadgets</v>
      </c>
      <c r="I3333" s="4">
        <v>2</v>
      </c>
      <c r="J3333" s="5">
        <f>_xlfn.XLOOKUP(tblSales[[#This Row],[Product Code]],tblProducts[Code],tblProducts[Selling Price (excl. VAT)],0)</f>
        <v>850000</v>
      </c>
      <c r="K3333" s="5">
        <f>tblSales[[#This Row],[Qty]]*tblSales[[#This Row],[Unit Price]]</f>
        <v>1700000</v>
      </c>
      <c r="L3333" s="5">
        <f>ROUND(tblSales[[#This Row],[DPP (excl. VAT)]]*VATEff,0)</f>
        <v>187000</v>
      </c>
      <c r="M3333" s="5">
        <f>tblSales[[#This Row],[DPP (excl. VAT)]]+tblSales[[#This Row],[Output VAT]]</f>
        <v>1887000</v>
      </c>
      <c r="N3333" s="5">
        <f>tblSales[[#This Row],[Qty]]*_xlfn.XLOOKUP(tblSales[[#This Row],[Product Code]],tblProducts[Code],tblProducts[Unit Cost],0)</f>
        <v>1120000</v>
      </c>
      <c r="O3333" s="4" t="s">
        <v>4865</v>
      </c>
      <c r="P3333" s="4" t="s">
        <v>4860</v>
      </c>
      <c r="Q3333" s="1" t="str">
        <f>_xlfn.XLOOKUP(tblSales[[#This Row],[Channel Code]],tblChannels[Channel Code],tblChannels[Channel Name],"")</f>
        <v>In-store</v>
      </c>
      <c r="R3333" s="1">
        <f>MONTH(tblSales[[#This Row],[Date]])</f>
        <v>7</v>
      </c>
    </row>
    <row r="3334" spans="2:18" x14ac:dyDescent="0.35">
      <c r="B3334" s="113">
        <v>46221</v>
      </c>
      <c r="C3334" s="4" t="s">
        <v>2237</v>
      </c>
      <c r="D3334" s="4" t="s">
        <v>4568</v>
      </c>
      <c r="E3334" s="1" t="str">
        <f>_xlfn.XLOOKUP(tblSales[[#This Row],[Customer ID]],tblCustomers[Customer ID],tblCustomers[Customer Name],"⚠ Unknown")</f>
        <v>Walk-in Customer</v>
      </c>
      <c r="F3334" s="4" t="s">
        <v>7</v>
      </c>
      <c r="G3334" s="1" t="str">
        <f>_xlfn.XLOOKUP(tblSales[[#This Row],[Product Code]],tblProducts[Code],tblProducts[Product / Service Name],"⚠ Unknown")</f>
        <v>Premium Basic T-shirt</v>
      </c>
      <c r="H3334" s="1" t="str">
        <f>_xlfn.XLOOKUP(tblSales[[#This Row],[Product Code]],tblProducts[Code],tblProducts[Category],"")</f>
        <v>Accessories &amp; Basics</v>
      </c>
      <c r="I3334" s="4">
        <v>4</v>
      </c>
      <c r="J3334" s="5">
        <f>_xlfn.XLOOKUP(tblSales[[#This Row],[Product Code]],tblProducts[Code],tblProducts[Selling Price (excl. VAT)],0)</f>
        <v>65000</v>
      </c>
      <c r="K3334" s="5">
        <f>tblSales[[#This Row],[Qty]]*tblSales[[#This Row],[Unit Price]]</f>
        <v>260000</v>
      </c>
      <c r="L3334" s="5">
        <f>ROUND(tblSales[[#This Row],[DPP (excl. VAT)]]*VATEff,0)</f>
        <v>28600</v>
      </c>
      <c r="M3334" s="5">
        <f>tblSales[[#This Row],[DPP (excl. VAT)]]+tblSales[[#This Row],[Output VAT]]</f>
        <v>288600</v>
      </c>
      <c r="N3334" s="5">
        <f>tblSales[[#This Row],[Qty]]*_xlfn.XLOOKUP(tblSales[[#This Row],[Product Code]],tblProducts[Code],tblProducts[Unit Cost],0)</f>
        <v>148000</v>
      </c>
      <c r="O3334" s="4" t="s">
        <v>4865</v>
      </c>
      <c r="P3334" s="4" t="s">
        <v>4860</v>
      </c>
      <c r="Q3334" s="1" t="str">
        <f>_xlfn.XLOOKUP(tblSales[[#This Row],[Channel Code]],tblChannels[Channel Code],tblChannels[Channel Name],"")</f>
        <v>In-store</v>
      </c>
      <c r="R3334" s="1">
        <f>MONTH(tblSales[[#This Row],[Date]])</f>
        <v>7</v>
      </c>
    </row>
    <row r="3335" spans="2:18" x14ac:dyDescent="0.35">
      <c r="B3335" s="113">
        <v>46221</v>
      </c>
      <c r="C3335" s="4" t="s">
        <v>2238</v>
      </c>
      <c r="D3335" s="4" t="s">
        <v>4568</v>
      </c>
      <c r="E3335" s="1" t="str">
        <f>_xlfn.XLOOKUP(tblSales[[#This Row],[Customer ID]],tblCustomers[Customer ID],tblCustomers[Customer Name],"⚠ Unknown")</f>
        <v>Walk-in Customer</v>
      </c>
      <c r="F3335" s="4" t="s">
        <v>11</v>
      </c>
      <c r="G3335" s="1" t="str">
        <f>_xlfn.XLOOKUP(tblSales[[#This Row],[Product Code]],tblProducts[Code],tblProducts[Product / Service Name],"⚠ Unknown")</f>
        <v>Sneakers</v>
      </c>
      <c r="H3335" s="1" t="str">
        <f>_xlfn.XLOOKUP(tblSales[[#This Row],[Product Code]],tblProducts[Code],tblProducts[Category],"")</f>
        <v>Apparel &amp; Footwear</v>
      </c>
      <c r="I3335" s="4">
        <v>2</v>
      </c>
      <c r="J3335" s="5">
        <f>_xlfn.XLOOKUP(tblSales[[#This Row],[Product Code]],tblProducts[Code],tblProducts[Selling Price (excl. VAT)],0)</f>
        <v>250000</v>
      </c>
      <c r="K3335" s="5">
        <f>tblSales[[#This Row],[Qty]]*tblSales[[#This Row],[Unit Price]]</f>
        <v>500000</v>
      </c>
      <c r="L3335" s="5">
        <f>ROUND(tblSales[[#This Row],[DPP (excl. VAT)]]*VATEff,0)</f>
        <v>55000</v>
      </c>
      <c r="M3335" s="5">
        <f>tblSales[[#This Row],[DPP (excl. VAT)]]+tblSales[[#This Row],[Output VAT]]</f>
        <v>555000</v>
      </c>
      <c r="N3335" s="5">
        <f>tblSales[[#This Row],[Qty]]*_xlfn.XLOOKUP(tblSales[[#This Row],[Product Code]],tblProducts[Code],tblProducts[Unit Cost],0)</f>
        <v>310000</v>
      </c>
      <c r="O3335" s="4" t="s">
        <v>4865</v>
      </c>
      <c r="P3335" s="4" t="s">
        <v>4860</v>
      </c>
      <c r="Q3335" s="1" t="str">
        <f>_xlfn.XLOOKUP(tblSales[[#This Row],[Channel Code]],tblChannels[Channel Code],tblChannels[Channel Name],"")</f>
        <v>In-store</v>
      </c>
      <c r="R3335" s="1">
        <f>MONTH(tblSales[[#This Row],[Date]])</f>
        <v>7</v>
      </c>
    </row>
    <row r="3336" spans="2:18" x14ac:dyDescent="0.35">
      <c r="B3336" s="113">
        <v>46221</v>
      </c>
      <c r="C3336" s="4" t="s">
        <v>2238</v>
      </c>
      <c r="D3336" s="4" t="s">
        <v>4568</v>
      </c>
      <c r="E3336" s="1" t="str">
        <f>_xlfn.XLOOKUP(tblSales[[#This Row],[Customer ID]],tblCustomers[Customer ID],tblCustomers[Customer Name],"⚠ Unknown")</f>
        <v>Walk-in Customer</v>
      </c>
      <c r="F3336" s="4" t="s">
        <v>7</v>
      </c>
      <c r="G3336" s="1" t="str">
        <f>_xlfn.XLOOKUP(tblSales[[#This Row],[Product Code]],tblProducts[Code],tblProducts[Product / Service Name],"⚠ Unknown")</f>
        <v>Premium Basic T-shirt</v>
      </c>
      <c r="H3336" s="1" t="str">
        <f>_xlfn.XLOOKUP(tblSales[[#This Row],[Product Code]],tblProducts[Code],tblProducts[Category],"")</f>
        <v>Accessories &amp; Basics</v>
      </c>
      <c r="I3336" s="4">
        <v>9</v>
      </c>
      <c r="J3336" s="5">
        <f>_xlfn.XLOOKUP(tblSales[[#This Row],[Product Code]],tblProducts[Code],tblProducts[Selling Price (excl. VAT)],0)</f>
        <v>65000</v>
      </c>
      <c r="K3336" s="5">
        <f>tblSales[[#This Row],[Qty]]*tblSales[[#This Row],[Unit Price]]</f>
        <v>585000</v>
      </c>
      <c r="L3336" s="5">
        <f>ROUND(tblSales[[#This Row],[DPP (excl. VAT)]]*VATEff,0)</f>
        <v>64350</v>
      </c>
      <c r="M3336" s="5">
        <f>tblSales[[#This Row],[DPP (excl. VAT)]]+tblSales[[#This Row],[Output VAT]]</f>
        <v>649350</v>
      </c>
      <c r="N3336" s="5">
        <f>tblSales[[#This Row],[Qty]]*_xlfn.XLOOKUP(tblSales[[#This Row],[Product Code]],tblProducts[Code],tblProducts[Unit Cost],0)</f>
        <v>333000</v>
      </c>
      <c r="O3336" s="4" t="s">
        <v>4865</v>
      </c>
      <c r="P3336" s="4" t="s">
        <v>4860</v>
      </c>
      <c r="Q3336" s="1" t="str">
        <f>_xlfn.XLOOKUP(tblSales[[#This Row],[Channel Code]],tblChannels[Channel Code],tblChannels[Channel Name],"")</f>
        <v>In-store</v>
      </c>
      <c r="R3336" s="1">
        <f>MONTH(tblSales[[#This Row],[Date]])</f>
        <v>7</v>
      </c>
    </row>
    <row r="3337" spans="2:18" x14ac:dyDescent="0.35">
      <c r="B3337" s="113">
        <v>46221</v>
      </c>
      <c r="C3337" s="4" t="s">
        <v>2238</v>
      </c>
      <c r="D3337" s="4" t="s">
        <v>4568</v>
      </c>
      <c r="E3337" s="1" t="str">
        <f>_xlfn.XLOOKUP(tblSales[[#This Row],[Customer ID]],tblCustomers[Customer ID],tblCustomers[Customer Name],"⚠ Unknown")</f>
        <v>Walk-in Customer</v>
      </c>
      <c r="F3337" s="4" t="s">
        <v>13</v>
      </c>
      <c r="G3337" s="1" t="str">
        <f>_xlfn.XLOOKUP(tblSales[[#This Row],[Product Code]],tblProducts[Code],tblProducts[Product / Service Name],"⚠ Unknown")</f>
        <v>Backpack</v>
      </c>
      <c r="H3337" s="1" t="str">
        <f>_xlfn.XLOOKUP(tblSales[[#This Row],[Product Code]],tblProducts[Code],tblProducts[Category],"")</f>
        <v>Bags &amp; Gadgets</v>
      </c>
      <c r="I3337" s="4">
        <v>3</v>
      </c>
      <c r="J3337" s="5">
        <f>_xlfn.XLOOKUP(tblSales[[#This Row],[Product Code]],tblProducts[Code],tblProducts[Selling Price (excl. VAT)],0)</f>
        <v>500000</v>
      </c>
      <c r="K3337" s="5">
        <f>tblSales[[#This Row],[Qty]]*tblSales[[#This Row],[Unit Price]]</f>
        <v>1500000</v>
      </c>
      <c r="L3337" s="5">
        <f>ROUND(tblSales[[#This Row],[DPP (excl. VAT)]]*VATEff,0)</f>
        <v>165000</v>
      </c>
      <c r="M3337" s="5">
        <f>tblSales[[#This Row],[DPP (excl. VAT)]]+tblSales[[#This Row],[Output VAT]]</f>
        <v>1665000</v>
      </c>
      <c r="N3337" s="5">
        <f>tblSales[[#This Row],[Qty]]*_xlfn.XLOOKUP(tblSales[[#This Row],[Product Code]],tblProducts[Code],tblProducts[Unit Cost],0)</f>
        <v>870000</v>
      </c>
      <c r="O3337" s="4" t="s">
        <v>4865</v>
      </c>
      <c r="P3337" s="4" t="s">
        <v>4860</v>
      </c>
      <c r="Q3337" s="1" t="str">
        <f>_xlfn.XLOOKUP(tblSales[[#This Row],[Channel Code]],tblChannels[Channel Code],tblChannels[Channel Name],"")</f>
        <v>In-store</v>
      </c>
      <c r="R3337" s="1">
        <f>MONTH(tblSales[[#This Row],[Date]])</f>
        <v>7</v>
      </c>
    </row>
    <row r="3338" spans="2:18" x14ac:dyDescent="0.35">
      <c r="B3338" s="113">
        <v>46221</v>
      </c>
      <c r="C3338" s="4" t="s">
        <v>2239</v>
      </c>
      <c r="D3338" s="4" t="s">
        <v>4634</v>
      </c>
      <c r="E3338" s="1" t="str">
        <f>_xlfn.XLOOKUP(tblSales[[#This Row],[Customer ID]],tblCustomers[Customer ID],tblCustomers[Customer Name],"⚠ Unknown")</f>
        <v>PT Delta Inti Selaras</v>
      </c>
      <c r="F3338" s="4" t="s">
        <v>11</v>
      </c>
      <c r="G3338" s="1" t="str">
        <f>_xlfn.XLOOKUP(tblSales[[#This Row],[Product Code]],tblProducts[Code],tblProducts[Product / Service Name],"⚠ Unknown")</f>
        <v>Sneakers</v>
      </c>
      <c r="H3338" s="1" t="str">
        <f>_xlfn.XLOOKUP(tblSales[[#This Row],[Product Code]],tblProducts[Code],tblProducts[Category],"")</f>
        <v>Apparel &amp; Footwear</v>
      </c>
      <c r="I3338" s="4">
        <v>16</v>
      </c>
      <c r="J3338" s="5">
        <f>_xlfn.XLOOKUP(tblSales[[#This Row],[Product Code]],tblProducts[Code],tblProducts[Selling Price (excl. VAT)],0)</f>
        <v>250000</v>
      </c>
      <c r="K3338" s="5">
        <f>tblSales[[#This Row],[Qty]]*tblSales[[#This Row],[Unit Price]]</f>
        <v>4000000</v>
      </c>
      <c r="L3338" s="5">
        <f>ROUND(tblSales[[#This Row],[DPP (excl. VAT)]]*VATEff,0)</f>
        <v>440000</v>
      </c>
      <c r="M3338" s="5">
        <f>tblSales[[#This Row],[DPP (excl. VAT)]]+tblSales[[#This Row],[Output VAT]]</f>
        <v>4440000</v>
      </c>
      <c r="N3338" s="5">
        <f>tblSales[[#This Row],[Qty]]*_xlfn.XLOOKUP(tblSales[[#This Row],[Product Code]],tblProducts[Code],tblProducts[Unit Cost],0)</f>
        <v>2480000</v>
      </c>
      <c r="O3338" s="4" t="s">
        <v>4867</v>
      </c>
      <c r="P3338" s="4" t="s">
        <v>4860</v>
      </c>
      <c r="Q3338" s="1" t="str">
        <f>_xlfn.XLOOKUP(tblSales[[#This Row],[Channel Code]],tblChannels[Channel Code],tblChannels[Channel Name],"")</f>
        <v>In-store</v>
      </c>
      <c r="R3338" s="1">
        <f>MONTH(tblSales[[#This Row],[Date]])</f>
        <v>7</v>
      </c>
    </row>
    <row r="3339" spans="2:18" x14ac:dyDescent="0.35">
      <c r="B3339" s="113">
        <v>46221</v>
      </c>
      <c r="C3339" s="4" t="s">
        <v>2240</v>
      </c>
      <c r="D3339" s="4" t="s">
        <v>4568</v>
      </c>
      <c r="E3339" s="1" t="str">
        <f>_xlfn.XLOOKUP(tblSales[[#This Row],[Customer ID]],tblCustomers[Customer ID],tblCustomers[Customer Name],"⚠ Unknown")</f>
        <v>Walk-in Customer</v>
      </c>
      <c r="F3339" s="4" t="s">
        <v>8</v>
      </c>
      <c r="G3339" s="1" t="str">
        <f>_xlfn.XLOOKUP(tblSales[[#This Row],[Product Code]],tblProducts[Code],tblProducts[Product / Service Name],"⚠ Unknown")</f>
        <v>Casual Shorts</v>
      </c>
      <c r="H3339" s="1" t="str">
        <f>_xlfn.XLOOKUP(tblSales[[#This Row],[Product Code]],tblProducts[Code],tblProducts[Category],"")</f>
        <v>Accessories &amp; Basics</v>
      </c>
      <c r="I3339" s="4">
        <v>2</v>
      </c>
      <c r="J3339" s="5">
        <f>_xlfn.XLOOKUP(tblSales[[#This Row],[Product Code]],tblProducts[Code],tblProducts[Selling Price (excl. VAT)],0)</f>
        <v>85000</v>
      </c>
      <c r="K3339" s="5">
        <f>tblSales[[#This Row],[Qty]]*tblSales[[#This Row],[Unit Price]]</f>
        <v>170000</v>
      </c>
      <c r="L3339" s="5">
        <f>ROUND(tblSales[[#This Row],[DPP (excl. VAT)]]*VATEff,0)</f>
        <v>18700</v>
      </c>
      <c r="M3339" s="5">
        <f>tblSales[[#This Row],[DPP (excl. VAT)]]+tblSales[[#This Row],[Output VAT]]</f>
        <v>188700</v>
      </c>
      <c r="N3339" s="5">
        <f>tblSales[[#This Row],[Qty]]*_xlfn.XLOOKUP(tblSales[[#This Row],[Product Code]],tblProducts[Code],tblProducts[Unit Cost],0)</f>
        <v>100000</v>
      </c>
      <c r="O3339" s="4" t="s">
        <v>4866</v>
      </c>
      <c r="P3339" s="4" t="s">
        <v>4861</v>
      </c>
      <c r="Q3339" s="1" t="str">
        <f>_xlfn.XLOOKUP(tblSales[[#This Row],[Channel Code]],tblChannels[Channel Code],tblChannels[Channel Name],"")</f>
        <v>Marketplace</v>
      </c>
      <c r="R3339" s="1">
        <f>MONTH(tblSales[[#This Row],[Date]])</f>
        <v>7</v>
      </c>
    </row>
    <row r="3340" spans="2:18" x14ac:dyDescent="0.35">
      <c r="B3340" s="113">
        <v>46221</v>
      </c>
      <c r="C3340" s="4" t="s">
        <v>2241</v>
      </c>
      <c r="D3340" s="4" t="s">
        <v>4648</v>
      </c>
      <c r="E3340" s="1" t="str">
        <f>_xlfn.XLOOKUP(tblSales[[#This Row],[Customer ID]],tblCustomers[Customer ID],tblCustomers[Customer Name],"⚠ Unknown")</f>
        <v>PT Lintas Benua Niaga</v>
      </c>
      <c r="F3340" s="4" t="s">
        <v>9</v>
      </c>
      <c r="G3340" s="1" t="str">
        <f>_xlfn.XLOOKUP(tblSales[[#This Row],[Product Code]],tblProducts[Code],tblProducts[Product / Service Name],"⚠ Unknown")</f>
        <v>Casual Shirt</v>
      </c>
      <c r="H3340" s="1" t="str">
        <f>_xlfn.XLOOKUP(tblSales[[#This Row],[Product Code]],tblProducts[Code],tblProducts[Category],"")</f>
        <v>Apparel &amp; Footwear</v>
      </c>
      <c r="I3340" s="4">
        <v>32</v>
      </c>
      <c r="J3340" s="5">
        <f>_xlfn.XLOOKUP(tblSales[[#This Row],[Product Code]],tblProducts[Code],tblProducts[Selling Price (excl. VAT)],0)</f>
        <v>120000</v>
      </c>
      <c r="K3340" s="5">
        <f>tblSales[[#This Row],[Qty]]*tblSales[[#This Row],[Unit Price]]</f>
        <v>3840000</v>
      </c>
      <c r="L3340" s="5">
        <f>ROUND(tblSales[[#This Row],[DPP (excl. VAT)]]*VATEff,0)</f>
        <v>422400</v>
      </c>
      <c r="M3340" s="5">
        <f>tblSales[[#This Row],[DPP (excl. VAT)]]+tblSales[[#This Row],[Output VAT]]</f>
        <v>4262400</v>
      </c>
      <c r="N3340" s="5">
        <f>tblSales[[#This Row],[Qty]]*_xlfn.XLOOKUP(tblSales[[#This Row],[Product Code]],tblProducts[Code],tblProducts[Unit Cost],0)</f>
        <v>2304000</v>
      </c>
      <c r="O3340" s="4" t="s">
        <v>4867</v>
      </c>
      <c r="P3340" s="4" t="s">
        <v>4860</v>
      </c>
      <c r="Q3340" s="1" t="str">
        <f>_xlfn.XLOOKUP(tblSales[[#This Row],[Channel Code]],tblChannels[Channel Code],tblChannels[Channel Name],"")</f>
        <v>In-store</v>
      </c>
      <c r="R3340" s="1">
        <f>MONTH(tblSales[[#This Row],[Date]])</f>
        <v>7</v>
      </c>
    </row>
    <row r="3341" spans="2:18" x14ac:dyDescent="0.35">
      <c r="B3341" s="113">
        <v>46221</v>
      </c>
      <c r="C3341" s="4" t="s">
        <v>2242</v>
      </c>
      <c r="D3341" s="4" t="s">
        <v>4568</v>
      </c>
      <c r="E3341" s="1" t="str">
        <f>_xlfn.XLOOKUP(tblSales[[#This Row],[Customer ID]],tblCustomers[Customer ID],tblCustomers[Customer Name],"⚠ Unknown")</f>
        <v>Walk-in Customer</v>
      </c>
      <c r="F3341" s="4" t="s">
        <v>8</v>
      </c>
      <c r="G3341" s="1" t="str">
        <f>_xlfn.XLOOKUP(tblSales[[#This Row],[Product Code]],tblProducts[Code],tblProducts[Product / Service Name],"⚠ Unknown")</f>
        <v>Casual Shorts</v>
      </c>
      <c r="H3341" s="1" t="str">
        <f>_xlfn.XLOOKUP(tblSales[[#This Row],[Product Code]],tblProducts[Code],tblProducts[Category],"")</f>
        <v>Accessories &amp; Basics</v>
      </c>
      <c r="I3341" s="4">
        <v>8</v>
      </c>
      <c r="J3341" s="5">
        <f>_xlfn.XLOOKUP(tblSales[[#This Row],[Product Code]],tblProducts[Code],tblProducts[Selling Price (excl. VAT)],0)</f>
        <v>85000</v>
      </c>
      <c r="K3341" s="5">
        <f>tblSales[[#This Row],[Qty]]*tblSales[[#This Row],[Unit Price]]</f>
        <v>680000</v>
      </c>
      <c r="L3341" s="5">
        <f>ROUND(tblSales[[#This Row],[DPP (excl. VAT)]]*VATEff,0)</f>
        <v>74800</v>
      </c>
      <c r="M3341" s="5">
        <f>tblSales[[#This Row],[DPP (excl. VAT)]]+tblSales[[#This Row],[Output VAT]]</f>
        <v>754800</v>
      </c>
      <c r="N3341" s="5">
        <f>tblSales[[#This Row],[Qty]]*_xlfn.XLOOKUP(tblSales[[#This Row],[Product Code]],tblProducts[Code],tblProducts[Unit Cost],0)</f>
        <v>400000</v>
      </c>
      <c r="O3341" s="4" t="s">
        <v>4866</v>
      </c>
      <c r="P3341" s="4" t="s">
        <v>4861</v>
      </c>
      <c r="Q3341" s="1" t="str">
        <f>_xlfn.XLOOKUP(tblSales[[#This Row],[Channel Code]],tblChannels[Channel Code],tblChannels[Channel Name],"")</f>
        <v>Marketplace</v>
      </c>
      <c r="R3341" s="1">
        <f>MONTH(tblSales[[#This Row],[Date]])</f>
        <v>7</v>
      </c>
    </row>
    <row r="3342" spans="2:18" x14ac:dyDescent="0.35">
      <c r="B3342" s="113">
        <v>46221</v>
      </c>
      <c r="C3342" s="4" t="s">
        <v>2242</v>
      </c>
      <c r="D3342" s="4" t="s">
        <v>4568</v>
      </c>
      <c r="E3342" s="1" t="str">
        <f>_xlfn.XLOOKUP(tblSales[[#This Row],[Customer ID]],tblCustomers[Customer ID],tblCustomers[Customer Name],"⚠ Unknown")</f>
        <v>Walk-in Customer</v>
      </c>
      <c r="F3342" s="4" t="s">
        <v>10</v>
      </c>
      <c r="G3342" s="1" t="str">
        <f>_xlfn.XLOOKUP(tblSales[[#This Row],[Product Code]],tblProducts[Code],tblProducts[Product / Service Name],"⚠ Unknown")</f>
        <v>Chino Pants</v>
      </c>
      <c r="H3342" s="1" t="str">
        <f>_xlfn.XLOOKUP(tblSales[[#This Row],[Product Code]],tblProducts[Code],tblProducts[Category],"")</f>
        <v>Apparel &amp; Footwear</v>
      </c>
      <c r="I3342" s="4">
        <v>7</v>
      </c>
      <c r="J3342" s="5">
        <f>_xlfn.XLOOKUP(tblSales[[#This Row],[Product Code]],tblProducts[Code],tblProducts[Selling Price (excl. VAT)],0)</f>
        <v>150000</v>
      </c>
      <c r="K3342" s="5">
        <f>tblSales[[#This Row],[Qty]]*tblSales[[#This Row],[Unit Price]]</f>
        <v>1050000</v>
      </c>
      <c r="L3342" s="5">
        <f>ROUND(tblSales[[#This Row],[DPP (excl. VAT)]]*VATEff,0)</f>
        <v>115500</v>
      </c>
      <c r="M3342" s="5">
        <f>tblSales[[#This Row],[DPP (excl. VAT)]]+tblSales[[#This Row],[Output VAT]]</f>
        <v>1165500</v>
      </c>
      <c r="N3342" s="5">
        <f>tblSales[[#This Row],[Qty]]*_xlfn.XLOOKUP(tblSales[[#This Row],[Product Code]],tblProducts[Code],tblProducts[Unit Cost],0)</f>
        <v>616000</v>
      </c>
      <c r="O3342" s="4" t="s">
        <v>4866</v>
      </c>
      <c r="P3342" s="4" t="s">
        <v>4861</v>
      </c>
      <c r="Q3342" s="1" t="str">
        <f>_xlfn.XLOOKUP(tblSales[[#This Row],[Channel Code]],tblChannels[Channel Code],tblChannels[Channel Name],"")</f>
        <v>Marketplace</v>
      </c>
      <c r="R3342" s="1">
        <f>MONTH(tblSales[[#This Row],[Date]])</f>
        <v>7</v>
      </c>
    </row>
    <row r="3343" spans="2:18" x14ac:dyDescent="0.35">
      <c r="B3343" s="113">
        <v>46221</v>
      </c>
      <c r="C3343" s="4" t="s">
        <v>2243</v>
      </c>
      <c r="D3343" s="4" t="s">
        <v>4599</v>
      </c>
      <c r="E3343" s="1" t="str">
        <f>_xlfn.XLOOKUP(tblSales[[#This Row],[Customer ID]],tblCustomers[Customer ID],tblCustomers[Customer Name],"⚠ Unknown")</f>
        <v>PT Samudra Jaya Logistik</v>
      </c>
      <c r="F3343" s="4" t="s">
        <v>12</v>
      </c>
      <c r="G3343" s="1" t="str">
        <f>_xlfn.XLOOKUP(tblSales[[#This Row],[Product Code]],tblProducts[Code],tblProducts[Product / Service Name],"⚠ Unknown")</f>
        <v>Bomber Jacket</v>
      </c>
      <c r="H3343" s="1" t="str">
        <f>_xlfn.XLOOKUP(tblSales[[#This Row],[Product Code]],tblProducts[Code],tblProducts[Category],"")</f>
        <v>Apparel &amp; Footwear</v>
      </c>
      <c r="I3343" s="4">
        <v>40</v>
      </c>
      <c r="J3343" s="5">
        <f>_xlfn.XLOOKUP(tblSales[[#This Row],[Product Code]],tblProducts[Code],tblProducts[Selling Price (excl. VAT)],0)</f>
        <v>350000</v>
      </c>
      <c r="K3343" s="5">
        <f>tblSales[[#This Row],[Qty]]*tblSales[[#This Row],[Unit Price]]</f>
        <v>14000000</v>
      </c>
      <c r="L3343" s="5">
        <f>ROUND(tblSales[[#This Row],[DPP (excl. VAT)]]*VATEff,0)</f>
        <v>1540000</v>
      </c>
      <c r="M3343" s="5">
        <f>tblSales[[#This Row],[DPP (excl. VAT)]]+tblSales[[#This Row],[Output VAT]]</f>
        <v>15540000</v>
      </c>
      <c r="N3343" s="5">
        <f>tblSales[[#This Row],[Qty]]*_xlfn.XLOOKUP(tblSales[[#This Row],[Product Code]],tblProducts[Code],tblProducts[Unit Cost],0)</f>
        <v>8400000</v>
      </c>
      <c r="O3343" s="4" t="s">
        <v>4867</v>
      </c>
      <c r="P3343" s="4" t="s">
        <v>4860</v>
      </c>
      <c r="Q3343" s="1" t="str">
        <f>_xlfn.XLOOKUP(tblSales[[#This Row],[Channel Code]],tblChannels[Channel Code],tblChannels[Channel Name],"")</f>
        <v>In-store</v>
      </c>
      <c r="R3343" s="1">
        <f>MONTH(tblSales[[#This Row],[Date]])</f>
        <v>7</v>
      </c>
    </row>
    <row r="3344" spans="2:18" x14ac:dyDescent="0.35">
      <c r="B3344" s="113">
        <v>46222</v>
      </c>
      <c r="C3344" s="4" t="s">
        <v>2244</v>
      </c>
      <c r="D3344" s="4" t="s">
        <v>4568</v>
      </c>
      <c r="E3344" s="1" t="str">
        <f>_xlfn.XLOOKUP(tblSales[[#This Row],[Customer ID]],tblCustomers[Customer ID],tblCustomers[Customer Name],"⚠ Unknown")</f>
        <v>Walk-in Customer</v>
      </c>
      <c r="F3344" s="4" t="s">
        <v>11</v>
      </c>
      <c r="G3344" s="1" t="str">
        <f>_xlfn.XLOOKUP(tblSales[[#This Row],[Product Code]],tblProducts[Code],tblProducts[Product / Service Name],"⚠ Unknown")</f>
        <v>Sneakers</v>
      </c>
      <c r="H3344" s="1" t="str">
        <f>_xlfn.XLOOKUP(tblSales[[#This Row],[Product Code]],tblProducts[Code],tblProducts[Category],"")</f>
        <v>Apparel &amp; Footwear</v>
      </c>
      <c r="I3344" s="4">
        <v>6</v>
      </c>
      <c r="J3344" s="5">
        <f>_xlfn.XLOOKUP(tblSales[[#This Row],[Product Code]],tblProducts[Code],tblProducts[Selling Price (excl. VAT)],0)</f>
        <v>250000</v>
      </c>
      <c r="K3344" s="5">
        <f>tblSales[[#This Row],[Qty]]*tblSales[[#This Row],[Unit Price]]</f>
        <v>1500000</v>
      </c>
      <c r="L3344" s="5">
        <f>ROUND(tblSales[[#This Row],[DPP (excl. VAT)]]*VATEff,0)</f>
        <v>165000</v>
      </c>
      <c r="M3344" s="5">
        <f>tblSales[[#This Row],[DPP (excl. VAT)]]+tblSales[[#This Row],[Output VAT]]</f>
        <v>1665000</v>
      </c>
      <c r="N3344" s="5">
        <f>tblSales[[#This Row],[Qty]]*_xlfn.XLOOKUP(tblSales[[#This Row],[Product Code]],tblProducts[Code],tblProducts[Unit Cost],0)</f>
        <v>930000</v>
      </c>
      <c r="O3344" s="4" t="s">
        <v>4865</v>
      </c>
      <c r="P3344" s="4" t="s">
        <v>4860</v>
      </c>
      <c r="Q3344" s="1" t="str">
        <f>_xlfn.XLOOKUP(tblSales[[#This Row],[Channel Code]],tblChannels[Channel Code],tblChannels[Channel Name],"")</f>
        <v>In-store</v>
      </c>
      <c r="R3344" s="1">
        <f>MONTH(tblSales[[#This Row],[Date]])</f>
        <v>7</v>
      </c>
    </row>
    <row r="3345" spans="2:18" x14ac:dyDescent="0.35">
      <c r="B3345" s="113">
        <v>46222</v>
      </c>
      <c r="C3345" s="4" t="s">
        <v>2245</v>
      </c>
      <c r="D3345" s="4" t="s">
        <v>4568</v>
      </c>
      <c r="E3345" s="1" t="str">
        <f>_xlfn.XLOOKUP(tblSales[[#This Row],[Customer ID]],tblCustomers[Customer ID],tblCustomers[Customer Name],"⚠ Unknown")</f>
        <v>Walk-in Customer</v>
      </c>
      <c r="F3345" s="4" t="s">
        <v>8</v>
      </c>
      <c r="G3345" s="1" t="str">
        <f>_xlfn.XLOOKUP(tblSales[[#This Row],[Product Code]],tblProducts[Code],tblProducts[Product / Service Name],"⚠ Unknown")</f>
        <v>Casual Shorts</v>
      </c>
      <c r="H3345" s="1" t="str">
        <f>_xlfn.XLOOKUP(tblSales[[#This Row],[Product Code]],tblProducts[Code],tblProducts[Category],"")</f>
        <v>Accessories &amp; Basics</v>
      </c>
      <c r="I3345" s="4">
        <v>7</v>
      </c>
      <c r="J3345" s="5">
        <f>_xlfn.XLOOKUP(tblSales[[#This Row],[Product Code]],tblProducts[Code],tblProducts[Selling Price (excl. VAT)],0)</f>
        <v>85000</v>
      </c>
      <c r="K3345" s="5">
        <f>tblSales[[#This Row],[Qty]]*tblSales[[#This Row],[Unit Price]]</f>
        <v>595000</v>
      </c>
      <c r="L3345" s="5">
        <f>ROUND(tblSales[[#This Row],[DPP (excl. VAT)]]*VATEff,0)</f>
        <v>65450</v>
      </c>
      <c r="M3345" s="5">
        <f>tblSales[[#This Row],[DPP (excl. VAT)]]+tblSales[[#This Row],[Output VAT]]</f>
        <v>660450</v>
      </c>
      <c r="N3345" s="5">
        <f>tblSales[[#This Row],[Qty]]*_xlfn.XLOOKUP(tblSales[[#This Row],[Product Code]],tblProducts[Code],tblProducts[Unit Cost],0)</f>
        <v>350000</v>
      </c>
      <c r="O3345" s="4" t="s">
        <v>4865</v>
      </c>
      <c r="P3345" s="4" t="s">
        <v>4860</v>
      </c>
      <c r="Q3345" s="1" t="str">
        <f>_xlfn.XLOOKUP(tblSales[[#This Row],[Channel Code]],tblChannels[Channel Code],tblChannels[Channel Name],"")</f>
        <v>In-store</v>
      </c>
      <c r="R3345" s="1">
        <f>MONTH(tblSales[[#This Row],[Date]])</f>
        <v>7</v>
      </c>
    </row>
    <row r="3346" spans="2:18" x14ac:dyDescent="0.35">
      <c r="B3346" s="113">
        <v>46222</v>
      </c>
      <c r="C3346" s="4" t="s">
        <v>2246</v>
      </c>
      <c r="D3346" s="4" t="s">
        <v>4568</v>
      </c>
      <c r="E3346" s="1" t="str">
        <f>_xlfn.XLOOKUP(tblSales[[#This Row],[Customer ID]],tblCustomers[Customer ID],tblCustomers[Customer Name],"⚠ Unknown")</f>
        <v>Walk-in Customer</v>
      </c>
      <c r="F3346" s="4" t="s">
        <v>10</v>
      </c>
      <c r="G3346" s="1" t="str">
        <f>_xlfn.XLOOKUP(tblSales[[#This Row],[Product Code]],tblProducts[Code],tblProducts[Product / Service Name],"⚠ Unknown")</f>
        <v>Chino Pants</v>
      </c>
      <c r="H3346" s="1" t="str">
        <f>_xlfn.XLOOKUP(tblSales[[#This Row],[Product Code]],tblProducts[Code],tblProducts[Category],"")</f>
        <v>Apparel &amp; Footwear</v>
      </c>
      <c r="I3346" s="4">
        <v>7</v>
      </c>
      <c r="J3346" s="5">
        <f>_xlfn.XLOOKUP(tblSales[[#This Row],[Product Code]],tblProducts[Code],tblProducts[Selling Price (excl. VAT)],0)</f>
        <v>150000</v>
      </c>
      <c r="K3346" s="5">
        <f>tblSales[[#This Row],[Qty]]*tblSales[[#This Row],[Unit Price]]</f>
        <v>1050000</v>
      </c>
      <c r="L3346" s="5">
        <f>ROUND(tblSales[[#This Row],[DPP (excl. VAT)]]*VATEff,0)</f>
        <v>115500</v>
      </c>
      <c r="M3346" s="5">
        <f>tblSales[[#This Row],[DPP (excl. VAT)]]+tblSales[[#This Row],[Output VAT]]</f>
        <v>1165500</v>
      </c>
      <c r="N3346" s="5">
        <f>tblSales[[#This Row],[Qty]]*_xlfn.XLOOKUP(tblSales[[#This Row],[Product Code]],tblProducts[Code],tblProducts[Unit Cost],0)</f>
        <v>616000</v>
      </c>
      <c r="O3346" s="4" t="s">
        <v>4865</v>
      </c>
      <c r="P3346" s="4" t="s">
        <v>4860</v>
      </c>
      <c r="Q3346" s="1" t="str">
        <f>_xlfn.XLOOKUP(tblSales[[#This Row],[Channel Code]],tblChannels[Channel Code],tblChannels[Channel Name],"")</f>
        <v>In-store</v>
      </c>
      <c r="R3346" s="1">
        <f>MONTH(tblSales[[#This Row],[Date]])</f>
        <v>7</v>
      </c>
    </row>
    <row r="3347" spans="2:18" x14ac:dyDescent="0.35">
      <c r="B3347" s="113">
        <v>46222</v>
      </c>
      <c r="C3347" s="4" t="s">
        <v>2247</v>
      </c>
      <c r="D3347" s="4" t="s">
        <v>4568</v>
      </c>
      <c r="E3347" s="1" t="str">
        <f>_xlfn.XLOOKUP(tblSales[[#This Row],[Customer ID]],tblCustomers[Customer ID],tblCustomers[Customer Name],"⚠ Unknown")</f>
        <v>Walk-in Customer</v>
      </c>
      <c r="F3347" s="4" t="s">
        <v>9</v>
      </c>
      <c r="G3347" s="1" t="str">
        <f>_xlfn.XLOOKUP(tblSales[[#This Row],[Product Code]],tblProducts[Code],tblProducts[Product / Service Name],"⚠ Unknown")</f>
        <v>Casual Shirt</v>
      </c>
      <c r="H3347" s="1" t="str">
        <f>_xlfn.XLOOKUP(tblSales[[#This Row],[Product Code]],tblProducts[Code],tblProducts[Category],"")</f>
        <v>Apparel &amp; Footwear</v>
      </c>
      <c r="I3347" s="4">
        <v>8</v>
      </c>
      <c r="J3347" s="5">
        <f>_xlfn.XLOOKUP(tblSales[[#This Row],[Product Code]],tblProducts[Code],tblProducts[Selling Price (excl. VAT)],0)</f>
        <v>120000</v>
      </c>
      <c r="K3347" s="5">
        <f>tblSales[[#This Row],[Qty]]*tblSales[[#This Row],[Unit Price]]</f>
        <v>960000</v>
      </c>
      <c r="L3347" s="5">
        <f>ROUND(tblSales[[#This Row],[DPP (excl. VAT)]]*VATEff,0)</f>
        <v>105600</v>
      </c>
      <c r="M3347" s="5">
        <f>tblSales[[#This Row],[DPP (excl. VAT)]]+tblSales[[#This Row],[Output VAT]]</f>
        <v>1065600</v>
      </c>
      <c r="N3347" s="5">
        <f>tblSales[[#This Row],[Qty]]*_xlfn.XLOOKUP(tblSales[[#This Row],[Product Code]],tblProducts[Code],tblProducts[Unit Cost],0)</f>
        <v>576000</v>
      </c>
      <c r="O3347" s="4" t="s">
        <v>4866</v>
      </c>
      <c r="P3347" s="4" t="s">
        <v>4860</v>
      </c>
      <c r="Q3347" s="1" t="str">
        <f>_xlfn.XLOOKUP(tblSales[[#This Row],[Channel Code]],tblChannels[Channel Code],tblChannels[Channel Name],"")</f>
        <v>In-store</v>
      </c>
      <c r="R3347" s="1">
        <f>MONTH(tblSales[[#This Row],[Date]])</f>
        <v>7</v>
      </c>
    </row>
    <row r="3348" spans="2:18" x14ac:dyDescent="0.35">
      <c r="B3348" s="113">
        <v>46222</v>
      </c>
      <c r="C3348" s="4" t="s">
        <v>2248</v>
      </c>
      <c r="D3348" s="4" t="s">
        <v>4620</v>
      </c>
      <c r="E3348" s="1" t="str">
        <f>_xlfn.XLOOKUP(tblSales[[#This Row],[Customer ID]],tblCustomers[Customer ID],tblCustomers[Customer Name],"⚠ Unknown")</f>
        <v>CV Sumber Rejeki Utama</v>
      </c>
      <c r="F3348" s="4" t="s">
        <v>14</v>
      </c>
      <c r="G3348" s="1" t="str">
        <f>_xlfn.XLOOKUP(tblSales[[#This Row],[Product Code]],tblProducts[Code],tblProducts[Product / Service Name],"⚠ Unknown")</f>
        <v>Smartwatch</v>
      </c>
      <c r="H3348" s="1" t="str">
        <f>_xlfn.XLOOKUP(tblSales[[#This Row],[Product Code]],tblProducts[Code],tblProducts[Category],"")</f>
        <v>Bags &amp; Gadgets</v>
      </c>
      <c r="I3348" s="4">
        <v>8</v>
      </c>
      <c r="J3348" s="5">
        <f>_xlfn.XLOOKUP(tblSales[[#This Row],[Product Code]],tblProducts[Code],tblProducts[Selling Price (excl. VAT)],0)</f>
        <v>850000</v>
      </c>
      <c r="K3348" s="5">
        <f>tblSales[[#This Row],[Qty]]*tblSales[[#This Row],[Unit Price]]</f>
        <v>6800000</v>
      </c>
      <c r="L3348" s="5">
        <f>ROUND(tblSales[[#This Row],[DPP (excl. VAT)]]*VATEff,0)</f>
        <v>748000</v>
      </c>
      <c r="M3348" s="5">
        <f>tblSales[[#This Row],[DPP (excl. VAT)]]+tblSales[[#This Row],[Output VAT]]</f>
        <v>7548000</v>
      </c>
      <c r="N3348" s="5">
        <f>tblSales[[#This Row],[Qty]]*_xlfn.XLOOKUP(tblSales[[#This Row],[Product Code]],tblProducts[Code],tblProducts[Unit Cost],0)</f>
        <v>4480000</v>
      </c>
      <c r="O3348" s="4" t="s">
        <v>4867</v>
      </c>
      <c r="P3348" s="4" t="s">
        <v>4860</v>
      </c>
      <c r="Q3348" s="1" t="str">
        <f>_xlfn.XLOOKUP(tblSales[[#This Row],[Channel Code]],tblChannels[Channel Code],tblChannels[Channel Name],"")</f>
        <v>In-store</v>
      </c>
      <c r="R3348" s="1">
        <f>MONTH(tblSales[[#This Row],[Date]])</f>
        <v>7</v>
      </c>
    </row>
    <row r="3349" spans="2:18" x14ac:dyDescent="0.35">
      <c r="B3349" s="113">
        <v>46222</v>
      </c>
      <c r="C3349" s="4" t="s">
        <v>2249</v>
      </c>
      <c r="D3349" s="4" t="s">
        <v>4568</v>
      </c>
      <c r="E3349" s="1" t="str">
        <f>_xlfn.XLOOKUP(tblSales[[#This Row],[Customer ID]],tblCustomers[Customer ID],tblCustomers[Customer Name],"⚠ Unknown")</f>
        <v>Walk-in Customer</v>
      </c>
      <c r="F3349" s="4" t="s">
        <v>15</v>
      </c>
      <c r="G3349" s="1" t="str">
        <f>_xlfn.XLOOKUP(tblSales[[#This Row],[Product Code]],tblProducts[Code],tblProducts[Product / Service Name],"⚠ Unknown")</f>
        <v>Wireless Earbuds Pro</v>
      </c>
      <c r="H3349" s="1" t="str">
        <f>_xlfn.XLOOKUP(tblSales[[#This Row],[Product Code]],tblProducts[Code],tblProducts[Category],"")</f>
        <v>Bags &amp; Gadgets</v>
      </c>
      <c r="I3349" s="4">
        <v>3</v>
      </c>
      <c r="J3349" s="5">
        <f>_xlfn.XLOOKUP(tblSales[[#This Row],[Product Code]],tblProducts[Code],tblProducts[Selling Price (excl. VAT)],0)</f>
        <v>1250000</v>
      </c>
      <c r="K3349" s="5">
        <f>tblSales[[#This Row],[Qty]]*tblSales[[#This Row],[Unit Price]]</f>
        <v>3750000</v>
      </c>
      <c r="L3349" s="5">
        <f>ROUND(tblSales[[#This Row],[DPP (excl. VAT)]]*VATEff,0)</f>
        <v>412500</v>
      </c>
      <c r="M3349" s="5">
        <f>tblSales[[#This Row],[DPP (excl. VAT)]]+tblSales[[#This Row],[Output VAT]]</f>
        <v>4162500</v>
      </c>
      <c r="N3349" s="5">
        <f>tblSales[[#This Row],[Qty]]*_xlfn.XLOOKUP(tblSales[[#This Row],[Product Code]],tblProducts[Code],tblProducts[Unit Cost],0)</f>
        <v>2460000</v>
      </c>
      <c r="O3349" s="4" t="s">
        <v>4865</v>
      </c>
      <c r="P3349" s="4" t="s">
        <v>4860</v>
      </c>
      <c r="Q3349" s="1" t="str">
        <f>_xlfn.XLOOKUP(tblSales[[#This Row],[Channel Code]],tblChannels[Channel Code],tblChannels[Channel Name],"")</f>
        <v>In-store</v>
      </c>
      <c r="R3349" s="1">
        <f>MONTH(tblSales[[#This Row],[Date]])</f>
        <v>7</v>
      </c>
    </row>
    <row r="3350" spans="2:18" x14ac:dyDescent="0.35">
      <c r="B3350" s="113">
        <v>46222</v>
      </c>
      <c r="C3350" s="4" t="s">
        <v>2249</v>
      </c>
      <c r="D3350" s="4" t="s">
        <v>4568</v>
      </c>
      <c r="E3350" s="1" t="str">
        <f>_xlfn.XLOOKUP(tblSales[[#This Row],[Customer ID]],tblCustomers[Customer ID],tblCustomers[Customer Name],"⚠ Unknown")</f>
        <v>Walk-in Customer</v>
      </c>
      <c r="F3350" s="4" t="s">
        <v>7</v>
      </c>
      <c r="G3350" s="1" t="str">
        <f>_xlfn.XLOOKUP(tblSales[[#This Row],[Product Code]],tblProducts[Code],tblProducts[Product / Service Name],"⚠ Unknown")</f>
        <v>Premium Basic T-shirt</v>
      </c>
      <c r="H3350" s="1" t="str">
        <f>_xlfn.XLOOKUP(tblSales[[#This Row],[Product Code]],tblProducts[Code],tblProducts[Category],"")</f>
        <v>Accessories &amp; Basics</v>
      </c>
      <c r="I3350" s="4">
        <v>4</v>
      </c>
      <c r="J3350" s="5">
        <f>_xlfn.XLOOKUP(tblSales[[#This Row],[Product Code]],tblProducts[Code],tblProducts[Selling Price (excl. VAT)],0)</f>
        <v>65000</v>
      </c>
      <c r="K3350" s="5">
        <f>tblSales[[#This Row],[Qty]]*tblSales[[#This Row],[Unit Price]]</f>
        <v>260000</v>
      </c>
      <c r="L3350" s="5">
        <f>ROUND(tblSales[[#This Row],[DPP (excl. VAT)]]*VATEff,0)</f>
        <v>28600</v>
      </c>
      <c r="M3350" s="5">
        <f>tblSales[[#This Row],[DPP (excl. VAT)]]+tblSales[[#This Row],[Output VAT]]</f>
        <v>288600</v>
      </c>
      <c r="N3350" s="5">
        <f>tblSales[[#This Row],[Qty]]*_xlfn.XLOOKUP(tblSales[[#This Row],[Product Code]],tblProducts[Code],tblProducts[Unit Cost],0)</f>
        <v>148000</v>
      </c>
      <c r="O3350" s="4" t="s">
        <v>4865</v>
      </c>
      <c r="P3350" s="4" t="s">
        <v>4860</v>
      </c>
      <c r="Q3350" s="1" t="str">
        <f>_xlfn.XLOOKUP(tblSales[[#This Row],[Channel Code]],tblChannels[Channel Code],tblChannels[Channel Name],"")</f>
        <v>In-store</v>
      </c>
      <c r="R3350" s="1">
        <f>MONTH(tblSales[[#This Row],[Date]])</f>
        <v>7</v>
      </c>
    </row>
    <row r="3351" spans="2:18" x14ac:dyDescent="0.35">
      <c r="B3351" s="113">
        <v>46222</v>
      </c>
      <c r="C3351" s="4" t="s">
        <v>2250</v>
      </c>
      <c r="D3351" s="4" t="s">
        <v>4568</v>
      </c>
      <c r="E3351" s="1" t="str">
        <f>_xlfn.XLOOKUP(tblSales[[#This Row],[Customer ID]],tblCustomers[Customer ID],tblCustomers[Customer Name],"⚠ Unknown")</f>
        <v>Walk-in Customer</v>
      </c>
      <c r="F3351" s="4" t="s">
        <v>7</v>
      </c>
      <c r="G3351" s="1" t="str">
        <f>_xlfn.XLOOKUP(tblSales[[#This Row],[Product Code]],tblProducts[Code],tblProducts[Product / Service Name],"⚠ Unknown")</f>
        <v>Premium Basic T-shirt</v>
      </c>
      <c r="H3351" s="1" t="str">
        <f>_xlfn.XLOOKUP(tblSales[[#This Row],[Product Code]],tblProducts[Code],tblProducts[Category],"")</f>
        <v>Accessories &amp; Basics</v>
      </c>
      <c r="I3351" s="4">
        <v>12</v>
      </c>
      <c r="J3351" s="5">
        <f>_xlfn.XLOOKUP(tblSales[[#This Row],[Product Code]],tblProducts[Code],tblProducts[Selling Price (excl. VAT)],0)</f>
        <v>65000</v>
      </c>
      <c r="K3351" s="5">
        <f>tblSales[[#This Row],[Qty]]*tblSales[[#This Row],[Unit Price]]</f>
        <v>780000</v>
      </c>
      <c r="L3351" s="5">
        <f>ROUND(tblSales[[#This Row],[DPP (excl. VAT)]]*VATEff,0)</f>
        <v>85800</v>
      </c>
      <c r="M3351" s="5">
        <f>tblSales[[#This Row],[DPP (excl. VAT)]]+tblSales[[#This Row],[Output VAT]]</f>
        <v>865800</v>
      </c>
      <c r="N3351" s="5">
        <f>tblSales[[#This Row],[Qty]]*_xlfn.XLOOKUP(tblSales[[#This Row],[Product Code]],tblProducts[Code],tblProducts[Unit Cost],0)</f>
        <v>444000</v>
      </c>
      <c r="O3351" s="4" t="s">
        <v>4865</v>
      </c>
      <c r="P3351" s="4" t="s">
        <v>4860</v>
      </c>
      <c r="Q3351" s="1" t="str">
        <f>_xlfn.XLOOKUP(tblSales[[#This Row],[Channel Code]],tblChannels[Channel Code],tblChannels[Channel Name],"")</f>
        <v>In-store</v>
      </c>
      <c r="R3351" s="1">
        <f>MONTH(tblSales[[#This Row],[Date]])</f>
        <v>7</v>
      </c>
    </row>
    <row r="3352" spans="2:18" x14ac:dyDescent="0.35">
      <c r="B3352" s="113">
        <v>46222</v>
      </c>
      <c r="C3352" s="4" t="s">
        <v>2251</v>
      </c>
      <c r="D3352" s="4" t="s">
        <v>4578</v>
      </c>
      <c r="E3352" s="1" t="str">
        <f>_xlfn.XLOOKUP(tblSales[[#This Row],[Customer ID]],tblCustomers[Customer ID],tblCustomers[Customer Name],"⚠ Unknown")</f>
        <v>PT Bintang Timur Sejahtera</v>
      </c>
      <c r="F3352" s="4" t="s">
        <v>11</v>
      </c>
      <c r="G3352" s="1" t="str">
        <f>_xlfn.XLOOKUP(tblSales[[#This Row],[Product Code]],tblProducts[Code],tblProducts[Product / Service Name],"⚠ Unknown")</f>
        <v>Sneakers</v>
      </c>
      <c r="H3352" s="1" t="str">
        <f>_xlfn.XLOOKUP(tblSales[[#This Row],[Product Code]],tblProducts[Code],tblProducts[Category],"")</f>
        <v>Apparel &amp; Footwear</v>
      </c>
      <c r="I3352" s="4">
        <v>16</v>
      </c>
      <c r="J3352" s="5">
        <f>_xlfn.XLOOKUP(tblSales[[#This Row],[Product Code]],tblProducts[Code],tblProducts[Selling Price (excl. VAT)],0)</f>
        <v>250000</v>
      </c>
      <c r="K3352" s="5">
        <f>tblSales[[#This Row],[Qty]]*tblSales[[#This Row],[Unit Price]]</f>
        <v>4000000</v>
      </c>
      <c r="L3352" s="5">
        <f>ROUND(tblSales[[#This Row],[DPP (excl. VAT)]]*VATEff,0)</f>
        <v>440000</v>
      </c>
      <c r="M3352" s="5">
        <f>tblSales[[#This Row],[DPP (excl. VAT)]]+tblSales[[#This Row],[Output VAT]]</f>
        <v>4440000</v>
      </c>
      <c r="N3352" s="5">
        <f>tblSales[[#This Row],[Qty]]*_xlfn.XLOOKUP(tblSales[[#This Row],[Product Code]],tblProducts[Code],tblProducts[Unit Cost],0)</f>
        <v>2480000</v>
      </c>
      <c r="O3352" s="4" t="s">
        <v>4867</v>
      </c>
      <c r="P3352" s="4" t="s">
        <v>4860</v>
      </c>
      <c r="Q3352" s="1" t="str">
        <f>_xlfn.XLOOKUP(tblSales[[#This Row],[Channel Code]],tblChannels[Channel Code],tblChannels[Channel Name],"")</f>
        <v>In-store</v>
      </c>
      <c r="R3352" s="1">
        <f>MONTH(tblSales[[#This Row],[Date]])</f>
        <v>7</v>
      </c>
    </row>
    <row r="3353" spans="2:18" x14ac:dyDescent="0.35">
      <c r="B3353" s="113">
        <v>46222</v>
      </c>
      <c r="C3353" s="4" t="s">
        <v>2252</v>
      </c>
      <c r="D3353" s="4" t="s">
        <v>4627</v>
      </c>
      <c r="E3353" s="1" t="str">
        <f>_xlfn.XLOOKUP(tblSales[[#This Row],[Customer ID]],tblCustomers[Customer ID],tblCustomers[Customer Name],"⚠ Unknown")</f>
        <v>PT Kencana Wira Usaha</v>
      </c>
      <c r="F3353" s="4" t="s">
        <v>15</v>
      </c>
      <c r="G3353" s="1" t="str">
        <f>_xlfn.XLOOKUP(tblSales[[#This Row],[Product Code]],tblProducts[Code],tblProducts[Product / Service Name],"⚠ Unknown")</f>
        <v>Wireless Earbuds Pro</v>
      </c>
      <c r="H3353" s="1" t="str">
        <f>_xlfn.XLOOKUP(tblSales[[#This Row],[Product Code]],tblProducts[Code],tblProducts[Category],"")</f>
        <v>Bags &amp; Gadgets</v>
      </c>
      <c r="I3353" s="4">
        <v>24</v>
      </c>
      <c r="J3353" s="5">
        <f>_xlfn.XLOOKUP(tblSales[[#This Row],[Product Code]],tblProducts[Code],tblProducts[Selling Price (excl. VAT)],0)</f>
        <v>1250000</v>
      </c>
      <c r="K3353" s="5">
        <f>tblSales[[#This Row],[Qty]]*tblSales[[#This Row],[Unit Price]]</f>
        <v>30000000</v>
      </c>
      <c r="L3353" s="5">
        <f>ROUND(tblSales[[#This Row],[DPP (excl. VAT)]]*VATEff,0)</f>
        <v>3300000</v>
      </c>
      <c r="M3353" s="5">
        <f>tblSales[[#This Row],[DPP (excl. VAT)]]+tblSales[[#This Row],[Output VAT]]</f>
        <v>33300000</v>
      </c>
      <c r="N3353" s="5">
        <f>tblSales[[#This Row],[Qty]]*_xlfn.XLOOKUP(tblSales[[#This Row],[Product Code]],tblProducts[Code],tblProducts[Unit Cost],0)</f>
        <v>19680000</v>
      </c>
      <c r="O3353" s="4" t="s">
        <v>4867</v>
      </c>
      <c r="P3353" s="4" t="s">
        <v>4860</v>
      </c>
      <c r="Q3353" s="1" t="str">
        <f>_xlfn.XLOOKUP(tblSales[[#This Row],[Channel Code]],tblChannels[Channel Code],tblChannels[Channel Name],"")</f>
        <v>In-store</v>
      </c>
      <c r="R3353" s="1">
        <f>MONTH(tblSales[[#This Row],[Date]])</f>
        <v>7</v>
      </c>
    </row>
    <row r="3354" spans="2:18" x14ac:dyDescent="0.35">
      <c r="B3354" s="113">
        <v>46222</v>
      </c>
      <c r="C3354" s="4" t="s">
        <v>2252</v>
      </c>
      <c r="D3354" s="4" t="s">
        <v>4627</v>
      </c>
      <c r="E3354" s="1" t="str">
        <f>_xlfn.XLOOKUP(tblSales[[#This Row],[Customer ID]],tblCustomers[Customer ID],tblCustomers[Customer Name],"⚠ Unknown")</f>
        <v>PT Kencana Wira Usaha</v>
      </c>
      <c r="F3354" s="4" t="s">
        <v>8</v>
      </c>
      <c r="G3354" s="1" t="str">
        <f>_xlfn.XLOOKUP(tblSales[[#This Row],[Product Code]],tblProducts[Code],tblProducts[Product / Service Name],"⚠ Unknown")</f>
        <v>Casual Shorts</v>
      </c>
      <c r="H3354" s="1" t="str">
        <f>_xlfn.XLOOKUP(tblSales[[#This Row],[Product Code]],tblProducts[Code],tblProducts[Category],"")</f>
        <v>Accessories &amp; Basics</v>
      </c>
      <c r="I3354" s="4">
        <v>72</v>
      </c>
      <c r="J3354" s="5">
        <f>_xlfn.XLOOKUP(tblSales[[#This Row],[Product Code]],tblProducts[Code],tblProducts[Selling Price (excl. VAT)],0)</f>
        <v>85000</v>
      </c>
      <c r="K3354" s="5">
        <f>tblSales[[#This Row],[Qty]]*tblSales[[#This Row],[Unit Price]]</f>
        <v>6120000</v>
      </c>
      <c r="L3354" s="5">
        <f>ROUND(tblSales[[#This Row],[DPP (excl. VAT)]]*VATEff,0)</f>
        <v>673200</v>
      </c>
      <c r="M3354" s="5">
        <f>tblSales[[#This Row],[DPP (excl. VAT)]]+tblSales[[#This Row],[Output VAT]]</f>
        <v>6793200</v>
      </c>
      <c r="N3354" s="5">
        <f>tblSales[[#This Row],[Qty]]*_xlfn.XLOOKUP(tblSales[[#This Row],[Product Code]],tblProducts[Code],tblProducts[Unit Cost],0)</f>
        <v>3600000</v>
      </c>
      <c r="O3354" s="4" t="s">
        <v>4867</v>
      </c>
      <c r="P3354" s="4" t="s">
        <v>4860</v>
      </c>
      <c r="Q3354" s="1" t="str">
        <f>_xlfn.XLOOKUP(tblSales[[#This Row],[Channel Code]],tblChannels[Channel Code],tblChannels[Channel Name],"")</f>
        <v>In-store</v>
      </c>
      <c r="R3354" s="1">
        <f>MONTH(tblSales[[#This Row],[Date]])</f>
        <v>7</v>
      </c>
    </row>
    <row r="3355" spans="2:18" x14ac:dyDescent="0.35">
      <c r="B3355" s="113">
        <v>46222</v>
      </c>
      <c r="C3355" s="4" t="s">
        <v>2252</v>
      </c>
      <c r="D3355" s="4" t="s">
        <v>4627</v>
      </c>
      <c r="E3355" s="1" t="str">
        <f>_xlfn.XLOOKUP(tblSales[[#This Row],[Customer ID]],tblCustomers[Customer ID],tblCustomers[Customer Name],"⚠ Unknown")</f>
        <v>PT Kencana Wira Usaha</v>
      </c>
      <c r="F3355" s="4" t="s">
        <v>7</v>
      </c>
      <c r="G3355" s="1" t="str">
        <f>_xlfn.XLOOKUP(tblSales[[#This Row],[Product Code]],tblProducts[Code],tblProducts[Product / Service Name],"⚠ Unknown")</f>
        <v>Premium Basic T-shirt</v>
      </c>
      <c r="H3355" s="1" t="str">
        <f>_xlfn.XLOOKUP(tblSales[[#This Row],[Product Code]],tblProducts[Code],tblProducts[Category],"")</f>
        <v>Accessories &amp; Basics</v>
      </c>
      <c r="I3355" s="4">
        <v>88</v>
      </c>
      <c r="J3355" s="5">
        <f>_xlfn.XLOOKUP(tblSales[[#This Row],[Product Code]],tblProducts[Code],tblProducts[Selling Price (excl. VAT)],0)</f>
        <v>65000</v>
      </c>
      <c r="K3355" s="5">
        <f>tblSales[[#This Row],[Qty]]*tblSales[[#This Row],[Unit Price]]</f>
        <v>5720000</v>
      </c>
      <c r="L3355" s="5">
        <f>ROUND(tblSales[[#This Row],[DPP (excl. VAT)]]*VATEff,0)</f>
        <v>629200</v>
      </c>
      <c r="M3355" s="5">
        <f>tblSales[[#This Row],[DPP (excl. VAT)]]+tblSales[[#This Row],[Output VAT]]</f>
        <v>6349200</v>
      </c>
      <c r="N3355" s="5">
        <f>tblSales[[#This Row],[Qty]]*_xlfn.XLOOKUP(tblSales[[#This Row],[Product Code]],tblProducts[Code],tblProducts[Unit Cost],0)</f>
        <v>3256000</v>
      </c>
      <c r="O3355" s="4" t="s">
        <v>4867</v>
      </c>
      <c r="P3355" s="4" t="s">
        <v>4860</v>
      </c>
      <c r="Q3355" s="1" t="str">
        <f>_xlfn.XLOOKUP(tblSales[[#This Row],[Channel Code]],tblChannels[Channel Code],tblChannels[Channel Name],"")</f>
        <v>In-store</v>
      </c>
      <c r="R3355" s="1">
        <f>MONTH(tblSales[[#This Row],[Date]])</f>
        <v>7</v>
      </c>
    </row>
    <row r="3356" spans="2:18" x14ac:dyDescent="0.35">
      <c r="B3356" s="113">
        <v>46222</v>
      </c>
      <c r="C3356" s="4" t="s">
        <v>2253</v>
      </c>
      <c r="D3356" s="4" t="s">
        <v>4568</v>
      </c>
      <c r="E3356" s="1" t="str">
        <f>_xlfn.XLOOKUP(tblSales[[#This Row],[Customer ID]],tblCustomers[Customer ID],tblCustomers[Customer Name],"⚠ Unknown")</f>
        <v>Walk-in Customer</v>
      </c>
      <c r="F3356" s="4" t="s">
        <v>11</v>
      </c>
      <c r="G3356" s="1" t="str">
        <f>_xlfn.XLOOKUP(tblSales[[#This Row],[Product Code]],tblProducts[Code],tblProducts[Product / Service Name],"⚠ Unknown")</f>
        <v>Sneakers</v>
      </c>
      <c r="H3356" s="1" t="str">
        <f>_xlfn.XLOOKUP(tblSales[[#This Row],[Product Code]],tblProducts[Code],tblProducts[Category],"")</f>
        <v>Apparel &amp; Footwear</v>
      </c>
      <c r="I3356" s="4">
        <v>3</v>
      </c>
      <c r="J3356" s="5">
        <f>_xlfn.XLOOKUP(tblSales[[#This Row],[Product Code]],tblProducts[Code],tblProducts[Selling Price (excl. VAT)],0)</f>
        <v>250000</v>
      </c>
      <c r="K3356" s="5">
        <f>tblSales[[#This Row],[Qty]]*tblSales[[#This Row],[Unit Price]]</f>
        <v>750000</v>
      </c>
      <c r="L3356" s="5">
        <f>ROUND(tblSales[[#This Row],[DPP (excl. VAT)]]*VATEff,0)</f>
        <v>82500</v>
      </c>
      <c r="M3356" s="5">
        <f>tblSales[[#This Row],[DPP (excl. VAT)]]+tblSales[[#This Row],[Output VAT]]</f>
        <v>832500</v>
      </c>
      <c r="N3356" s="5">
        <f>tblSales[[#This Row],[Qty]]*_xlfn.XLOOKUP(tblSales[[#This Row],[Product Code]],tblProducts[Code],tblProducts[Unit Cost],0)</f>
        <v>465000</v>
      </c>
      <c r="O3356" s="4" t="s">
        <v>4865</v>
      </c>
      <c r="P3356" s="4" t="s">
        <v>4860</v>
      </c>
      <c r="Q3356" s="1" t="str">
        <f>_xlfn.XLOOKUP(tblSales[[#This Row],[Channel Code]],tblChannels[Channel Code],tblChannels[Channel Name],"")</f>
        <v>In-store</v>
      </c>
      <c r="R3356" s="1">
        <f>MONTH(tblSales[[#This Row],[Date]])</f>
        <v>7</v>
      </c>
    </row>
    <row r="3357" spans="2:18" x14ac:dyDescent="0.35">
      <c r="B3357" s="113">
        <v>46222</v>
      </c>
      <c r="C3357" s="4" t="s">
        <v>2254</v>
      </c>
      <c r="D3357" s="4" t="s">
        <v>4568</v>
      </c>
      <c r="E3357" s="1" t="str">
        <f>_xlfn.XLOOKUP(tblSales[[#This Row],[Customer ID]],tblCustomers[Customer ID],tblCustomers[Customer Name],"⚠ Unknown")</f>
        <v>Walk-in Customer</v>
      </c>
      <c r="F3357" s="4" t="s">
        <v>13</v>
      </c>
      <c r="G3357" s="1" t="str">
        <f>_xlfn.XLOOKUP(tblSales[[#This Row],[Product Code]],tblProducts[Code],tblProducts[Product / Service Name],"⚠ Unknown")</f>
        <v>Backpack</v>
      </c>
      <c r="H3357" s="1" t="str">
        <f>_xlfn.XLOOKUP(tblSales[[#This Row],[Product Code]],tblProducts[Code],tblProducts[Category],"")</f>
        <v>Bags &amp; Gadgets</v>
      </c>
      <c r="I3357" s="4">
        <v>3</v>
      </c>
      <c r="J3357" s="5">
        <f>_xlfn.XLOOKUP(tblSales[[#This Row],[Product Code]],tblProducts[Code],tblProducts[Selling Price (excl. VAT)],0)</f>
        <v>500000</v>
      </c>
      <c r="K3357" s="5">
        <f>tblSales[[#This Row],[Qty]]*tblSales[[#This Row],[Unit Price]]</f>
        <v>1500000</v>
      </c>
      <c r="L3357" s="5">
        <f>ROUND(tblSales[[#This Row],[DPP (excl. VAT)]]*VATEff,0)</f>
        <v>165000</v>
      </c>
      <c r="M3357" s="5">
        <f>tblSales[[#This Row],[DPP (excl. VAT)]]+tblSales[[#This Row],[Output VAT]]</f>
        <v>1665000</v>
      </c>
      <c r="N3357" s="5">
        <f>tblSales[[#This Row],[Qty]]*_xlfn.XLOOKUP(tblSales[[#This Row],[Product Code]],tblProducts[Code],tblProducts[Unit Cost],0)</f>
        <v>870000</v>
      </c>
      <c r="O3357" s="4" t="s">
        <v>4866</v>
      </c>
      <c r="P3357" s="4" t="s">
        <v>4861</v>
      </c>
      <c r="Q3357" s="1" t="str">
        <f>_xlfn.XLOOKUP(tblSales[[#This Row],[Channel Code]],tblChannels[Channel Code],tblChannels[Channel Name],"")</f>
        <v>Marketplace</v>
      </c>
      <c r="R3357" s="1">
        <f>MONTH(tblSales[[#This Row],[Date]])</f>
        <v>7</v>
      </c>
    </row>
    <row r="3358" spans="2:18" x14ac:dyDescent="0.35">
      <c r="B3358" s="113">
        <v>46222</v>
      </c>
      <c r="C3358" s="4" t="s">
        <v>2255</v>
      </c>
      <c r="D3358" s="4" t="s">
        <v>4568</v>
      </c>
      <c r="E3358" s="1" t="str">
        <f>_xlfn.XLOOKUP(tblSales[[#This Row],[Customer ID]],tblCustomers[Customer ID],tblCustomers[Customer Name],"⚠ Unknown")</f>
        <v>Walk-in Customer</v>
      </c>
      <c r="F3358" s="4" t="s">
        <v>9</v>
      </c>
      <c r="G3358" s="1" t="str">
        <f>_xlfn.XLOOKUP(tblSales[[#This Row],[Product Code]],tblProducts[Code],tblProducts[Product / Service Name],"⚠ Unknown")</f>
        <v>Casual Shirt</v>
      </c>
      <c r="H3358" s="1" t="str">
        <f>_xlfn.XLOOKUP(tblSales[[#This Row],[Product Code]],tblProducts[Code],tblProducts[Category],"")</f>
        <v>Apparel &amp; Footwear</v>
      </c>
      <c r="I3358" s="4">
        <v>1</v>
      </c>
      <c r="J3358" s="5">
        <f>_xlfn.XLOOKUP(tblSales[[#This Row],[Product Code]],tblProducts[Code],tblProducts[Selling Price (excl. VAT)],0)</f>
        <v>120000</v>
      </c>
      <c r="K3358" s="5">
        <f>tblSales[[#This Row],[Qty]]*tblSales[[#This Row],[Unit Price]]</f>
        <v>120000</v>
      </c>
      <c r="L3358" s="5">
        <f>ROUND(tblSales[[#This Row],[DPP (excl. VAT)]]*VATEff,0)</f>
        <v>13200</v>
      </c>
      <c r="M3358" s="5">
        <f>tblSales[[#This Row],[DPP (excl. VAT)]]+tblSales[[#This Row],[Output VAT]]</f>
        <v>133200</v>
      </c>
      <c r="N3358" s="5">
        <f>tblSales[[#This Row],[Qty]]*_xlfn.XLOOKUP(tblSales[[#This Row],[Product Code]],tblProducts[Code],tblProducts[Unit Cost],0)</f>
        <v>72000</v>
      </c>
      <c r="O3358" s="4" t="s">
        <v>4866</v>
      </c>
      <c r="P3358" s="4" t="s">
        <v>4862</v>
      </c>
      <c r="Q3358" s="1" t="str">
        <f>_xlfn.XLOOKUP(tblSales[[#This Row],[Channel Code]],tblChannels[Channel Code],tblChannels[Channel Name],"")</f>
        <v>Website &amp; Social Media</v>
      </c>
      <c r="R3358" s="1">
        <f>MONTH(tblSales[[#This Row],[Date]])</f>
        <v>7</v>
      </c>
    </row>
    <row r="3359" spans="2:18" x14ac:dyDescent="0.35">
      <c r="B3359" s="113">
        <v>46222</v>
      </c>
      <c r="C3359" s="4" t="s">
        <v>2255</v>
      </c>
      <c r="D3359" s="4" t="s">
        <v>4568</v>
      </c>
      <c r="E3359" s="1" t="str">
        <f>_xlfn.XLOOKUP(tblSales[[#This Row],[Customer ID]],tblCustomers[Customer ID],tblCustomers[Customer Name],"⚠ Unknown")</f>
        <v>Walk-in Customer</v>
      </c>
      <c r="F3359" s="4" t="s">
        <v>10</v>
      </c>
      <c r="G3359" s="1" t="str">
        <f>_xlfn.XLOOKUP(tblSales[[#This Row],[Product Code]],tblProducts[Code],tblProducts[Product / Service Name],"⚠ Unknown")</f>
        <v>Chino Pants</v>
      </c>
      <c r="H3359" s="1" t="str">
        <f>_xlfn.XLOOKUP(tblSales[[#This Row],[Product Code]],tblProducts[Code],tblProducts[Category],"")</f>
        <v>Apparel &amp; Footwear</v>
      </c>
      <c r="I3359" s="4">
        <v>11</v>
      </c>
      <c r="J3359" s="5">
        <f>_xlfn.XLOOKUP(tblSales[[#This Row],[Product Code]],tblProducts[Code],tblProducts[Selling Price (excl. VAT)],0)</f>
        <v>150000</v>
      </c>
      <c r="K3359" s="5">
        <f>tblSales[[#This Row],[Qty]]*tblSales[[#This Row],[Unit Price]]</f>
        <v>1650000</v>
      </c>
      <c r="L3359" s="5">
        <f>ROUND(tblSales[[#This Row],[DPP (excl. VAT)]]*VATEff,0)</f>
        <v>181500</v>
      </c>
      <c r="M3359" s="5">
        <f>tblSales[[#This Row],[DPP (excl. VAT)]]+tblSales[[#This Row],[Output VAT]]</f>
        <v>1831500</v>
      </c>
      <c r="N3359" s="5">
        <f>tblSales[[#This Row],[Qty]]*_xlfn.XLOOKUP(tblSales[[#This Row],[Product Code]],tblProducts[Code],tblProducts[Unit Cost],0)</f>
        <v>968000</v>
      </c>
      <c r="O3359" s="4" t="s">
        <v>4866</v>
      </c>
      <c r="P3359" s="4" t="s">
        <v>4862</v>
      </c>
      <c r="Q3359" s="1" t="str">
        <f>_xlfn.XLOOKUP(tblSales[[#This Row],[Channel Code]],tblChannels[Channel Code],tblChannels[Channel Name],"")</f>
        <v>Website &amp; Social Media</v>
      </c>
      <c r="R3359" s="1">
        <f>MONTH(tblSales[[#This Row],[Date]])</f>
        <v>7</v>
      </c>
    </row>
    <row r="3360" spans="2:18" x14ac:dyDescent="0.35">
      <c r="B3360" s="113">
        <v>46222</v>
      </c>
      <c r="C3360" s="4" t="s">
        <v>2256</v>
      </c>
      <c r="D3360" s="4" t="s">
        <v>4578</v>
      </c>
      <c r="E3360" s="1" t="str">
        <f>_xlfn.XLOOKUP(tblSales[[#This Row],[Customer ID]],tblCustomers[Customer ID],tblCustomers[Customer Name],"⚠ Unknown")</f>
        <v>PT Bintang Timur Sejahtera</v>
      </c>
      <c r="F3360" s="4" t="s">
        <v>13</v>
      </c>
      <c r="G3360" s="1" t="str">
        <f>_xlfn.XLOOKUP(tblSales[[#This Row],[Product Code]],tblProducts[Code],tblProducts[Product / Service Name],"⚠ Unknown")</f>
        <v>Backpack</v>
      </c>
      <c r="H3360" s="1" t="str">
        <f>_xlfn.XLOOKUP(tblSales[[#This Row],[Product Code]],tblProducts[Code],tblProducts[Category],"")</f>
        <v>Bags &amp; Gadgets</v>
      </c>
      <c r="I3360" s="4">
        <v>40</v>
      </c>
      <c r="J3360" s="5">
        <f>_xlfn.XLOOKUP(tblSales[[#This Row],[Product Code]],tblProducts[Code],tblProducts[Selling Price (excl. VAT)],0)</f>
        <v>500000</v>
      </c>
      <c r="K3360" s="5">
        <f>tblSales[[#This Row],[Qty]]*tblSales[[#This Row],[Unit Price]]</f>
        <v>20000000</v>
      </c>
      <c r="L3360" s="5">
        <f>ROUND(tblSales[[#This Row],[DPP (excl. VAT)]]*VATEff,0)</f>
        <v>2200000</v>
      </c>
      <c r="M3360" s="5">
        <f>tblSales[[#This Row],[DPP (excl. VAT)]]+tblSales[[#This Row],[Output VAT]]</f>
        <v>22200000</v>
      </c>
      <c r="N3360" s="5">
        <f>tblSales[[#This Row],[Qty]]*_xlfn.XLOOKUP(tblSales[[#This Row],[Product Code]],tblProducts[Code],tblProducts[Unit Cost],0)</f>
        <v>11600000</v>
      </c>
      <c r="O3360" s="4" t="s">
        <v>4867</v>
      </c>
      <c r="P3360" s="4" t="s">
        <v>4860</v>
      </c>
      <c r="Q3360" s="1" t="str">
        <f>_xlfn.XLOOKUP(tblSales[[#This Row],[Channel Code]],tblChannels[Channel Code],tblChannels[Channel Name],"")</f>
        <v>In-store</v>
      </c>
      <c r="R3360" s="1">
        <f>MONTH(tblSales[[#This Row],[Date]])</f>
        <v>7</v>
      </c>
    </row>
    <row r="3361" spans="2:18" x14ac:dyDescent="0.35">
      <c r="B3361" s="113">
        <v>46222</v>
      </c>
      <c r="C3361" s="4" t="s">
        <v>2257</v>
      </c>
      <c r="D3361" s="4" t="s">
        <v>4568</v>
      </c>
      <c r="E3361" s="1" t="str">
        <f>_xlfn.XLOOKUP(tblSales[[#This Row],[Customer ID]],tblCustomers[Customer ID],tblCustomers[Customer Name],"⚠ Unknown")</f>
        <v>Walk-in Customer</v>
      </c>
      <c r="F3361" s="4" t="s">
        <v>15</v>
      </c>
      <c r="G3361" s="1" t="str">
        <f>_xlfn.XLOOKUP(tblSales[[#This Row],[Product Code]],tblProducts[Code],tblProducts[Product / Service Name],"⚠ Unknown")</f>
        <v>Wireless Earbuds Pro</v>
      </c>
      <c r="H3361" s="1" t="str">
        <f>_xlfn.XLOOKUP(tblSales[[#This Row],[Product Code]],tblProducts[Code],tblProducts[Category],"")</f>
        <v>Bags &amp; Gadgets</v>
      </c>
      <c r="I3361" s="4">
        <v>2</v>
      </c>
      <c r="J3361" s="5">
        <f>_xlfn.XLOOKUP(tblSales[[#This Row],[Product Code]],tblProducts[Code],tblProducts[Selling Price (excl. VAT)],0)</f>
        <v>1250000</v>
      </c>
      <c r="K3361" s="5">
        <f>tblSales[[#This Row],[Qty]]*tblSales[[#This Row],[Unit Price]]</f>
        <v>2500000</v>
      </c>
      <c r="L3361" s="5">
        <f>ROUND(tblSales[[#This Row],[DPP (excl. VAT)]]*VATEff,0)</f>
        <v>275000</v>
      </c>
      <c r="M3361" s="5">
        <f>tblSales[[#This Row],[DPP (excl. VAT)]]+tblSales[[#This Row],[Output VAT]]</f>
        <v>2775000</v>
      </c>
      <c r="N3361" s="5">
        <f>tblSales[[#This Row],[Qty]]*_xlfn.XLOOKUP(tblSales[[#This Row],[Product Code]],tblProducts[Code],tblProducts[Unit Cost],0)</f>
        <v>1640000</v>
      </c>
      <c r="O3361" s="4" t="s">
        <v>4866</v>
      </c>
      <c r="P3361" s="4" t="s">
        <v>4861</v>
      </c>
      <c r="Q3361" s="1" t="str">
        <f>_xlfn.XLOOKUP(tblSales[[#This Row],[Channel Code]],tblChannels[Channel Code],tblChannels[Channel Name],"")</f>
        <v>Marketplace</v>
      </c>
      <c r="R3361" s="1">
        <f>MONTH(tblSales[[#This Row],[Date]])</f>
        <v>7</v>
      </c>
    </row>
    <row r="3362" spans="2:18" x14ac:dyDescent="0.35">
      <c r="B3362" s="113">
        <v>46223</v>
      </c>
      <c r="C3362" s="4" t="s">
        <v>2258</v>
      </c>
      <c r="D3362" s="4" t="s">
        <v>4568</v>
      </c>
      <c r="E3362" s="1" t="str">
        <f>_xlfn.XLOOKUP(tblSales[[#This Row],[Customer ID]],tblCustomers[Customer ID],tblCustomers[Customer Name],"⚠ Unknown")</f>
        <v>Walk-in Customer</v>
      </c>
      <c r="F3362" s="4" t="s">
        <v>7</v>
      </c>
      <c r="G3362" s="1" t="str">
        <f>_xlfn.XLOOKUP(tblSales[[#This Row],[Product Code]],tblProducts[Code],tblProducts[Product / Service Name],"⚠ Unknown")</f>
        <v>Premium Basic T-shirt</v>
      </c>
      <c r="H3362" s="1" t="str">
        <f>_xlfn.XLOOKUP(tblSales[[#This Row],[Product Code]],tblProducts[Code],tblProducts[Category],"")</f>
        <v>Accessories &amp; Basics</v>
      </c>
      <c r="I3362" s="4">
        <v>3</v>
      </c>
      <c r="J3362" s="5">
        <f>_xlfn.XLOOKUP(tblSales[[#This Row],[Product Code]],tblProducts[Code],tblProducts[Selling Price (excl. VAT)],0)</f>
        <v>65000</v>
      </c>
      <c r="K3362" s="5">
        <f>tblSales[[#This Row],[Qty]]*tblSales[[#This Row],[Unit Price]]</f>
        <v>195000</v>
      </c>
      <c r="L3362" s="5">
        <f>ROUND(tblSales[[#This Row],[DPP (excl. VAT)]]*VATEff,0)</f>
        <v>21450</v>
      </c>
      <c r="M3362" s="5">
        <f>tblSales[[#This Row],[DPP (excl. VAT)]]+tblSales[[#This Row],[Output VAT]]</f>
        <v>216450</v>
      </c>
      <c r="N3362" s="5">
        <f>tblSales[[#This Row],[Qty]]*_xlfn.XLOOKUP(tblSales[[#This Row],[Product Code]],tblProducts[Code],tblProducts[Unit Cost],0)</f>
        <v>111000</v>
      </c>
      <c r="O3362" s="4" t="s">
        <v>4866</v>
      </c>
      <c r="P3362" s="4" t="s">
        <v>4861</v>
      </c>
      <c r="Q3362" s="1" t="str">
        <f>_xlfn.XLOOKUP(tblSales[[#This Row],[Channel Code]],tblChannels[Channel Code],tblChannels[Channel Name],"")</f>
        <v>Marketplace</v>
      </c>
      <c r="R3362" s="1">
        <f>MONTH(tblSales[[#This Row],[Date]])</f>
        <v>7</v>
      </c>
    </row>
    <row r="3363" spans="2:18" x14ac:dyDescent="0.35">
      <c r="B3363" s="113">
        <v>46223</v>
      </c>
      <c r="C3363" s="4" t="s">
        <v>2259</v>
      </c>
      <c r="D3363" s="4" t="s">
        <v>4568</v>
      </c>
      <c r="E3363" s="1" t="str">
        <f>_xlfn.XLOOKUP(tblSales[[#This Row],[Customer ID]],tblCustomers[Customer ID],tblCustomers[Customer Name],"⚠ Unknown")</f>
        <v>Walk-in Customer</v>
      </c>
      <c r="F3363" s="4" t="s">
        <v>8</v>
      </c>
      <c r="G3363" s="1" t="str">
        <f>_xlfn.XLOOKUP(tblSales[[#This Row],[Product Code]],tblProducts[Code],tblProducts[Product / Service Name],"⚠ Unknown")</f>
        <v>Casual Shorts</v>
      </c>
      <c r="H3363" s="1" t="str">
        <f>_xlfn.XLOOKUP(tblSales[[#This Row],[Product Code]],tblProducts[Code],tblProducts[Category],"")</f>
        <v>Accessories &amp; Basics</v>
      </c>
      <c r="I3363" s="4">
        <v>4</v>
      </c>
      <c r="J3363" s="5">
        <f>_xlfn.XLOOKUP(tblSales[[#This Row],[Product Code]],tblProducts[Code],tblProducts[Selling Price (excl. VAT)],0)</f>
        <v>85000</v>
      </c>
      <c r="K3363" s="5">
        <f>tblSales[[#This Row],[Qty]]*tblSales[[#This Row],[Unit Price]]</f>
        <v>340000</v>
      </c>
      <c r="L3363" s="5">
        <f>ROUND(tblSales[[#This Row],[DPP (excl. VAT)]]*VATEff,0)</f>
        <v>37400</v>
      </c>
      <c r="M3363" s="5">
        <f>tblSales[[#This Row],[DPP (excl. VAT)]]+tblSales[[#This Row],[Output VAT]]</f>
        <v>377400</v>
      </c>
      <c r="N3363" s="5">
        <f>tblSales[[#This Row],[Qty]]*_xlfn.XLOOKUP(tblSales[[#This Row],[Product Code]],tblProducts[Code],tblProducts[Unit Cost],0)</f>
        <v>200000</v>
      </c>
      <c r="O3363" s="4" t="s">
        <v>4866</v>
      </c>
      <c r="P3363" s="4" t="s">
        <v>4861</v>
      </c>
      <c r="Q3363" s="1" t="str">
        <f>_xlfn.XLOOKUP(tblSales[[#This Row],[Channel Code]],tblChannels[Channel Code],tblChannels[Channel Name],"")</f>
        <v>Marketplace</v>
      </c>
      <c r="R3363" s="1">
        <f>MONTH(tblSales[[#This Row],[Date]])</f>
        <v>7</v>
      </c>
    </row>
    <row r="3364" spans="2:18" x14ac:dyDescent="0.35">
      <c r="B3364" s="113">
        <v>46223</v>
      </c>
      <c r="C3364" s="4" t="s">
        <v>2260</v>
      </c>
      <c r="D3364" s="4" t="s">
        <v>4568</v>
      </c>
      <c r="E3364" s="1" t="str">
        <f>_xlfn.XLOOKUP(tblSales[[#This Row],[Customer ID]],tblCustomers[Customer ID],tblCustomers[Customer Name],"⚠ Unknown")</f>
        <v>Walk-in Customer</v>
      </c>
      <c r="F3364" s="4" t="s">
        <v>12</v>
      </c>
      <c r="G3364" s="1" t="str">
        <f>_xlfn.XLOOKUP(tblSales[[#This Row],[Product Code]],tblProducts[Code],tblProducts[Product / Service Name],"⚠ Unknown")</f>
        <v>Bomber Jacket</v>
      </c>
      <c r="H3364" s="1" t="str">
        <f>_xlfn.XLOOKUP(tblSales[[#This Row],[Product Code]],tblProducts[Code],tblProducts[Category],"")</f>
        <v>Apparel &amp; Footwear</v>
      </c>
      <c r="I3364" s="4">
        <v>5</v>
      </c>
      <c r="J3364" s="5">
        <f>_xlfn.XLOOKUP(tblSales[[#This Row],[Product Code]],tblProducts[Code],tblProducts[Selling Price (excl. VAT)],0)</f>
        <v>350000</v>
      </c>
      <c r="K3364" s="5">
        <f>tblSales[[#This Row],[Qty]]*tblSales[[#This Row],[Unit Price]]</f>
        <v>1750000</v>
      </c>
      <c r="L3364" s="5">
        <f>ROUND(tblSales[[#This Row],[DPP (excl. VAT)]]*VATEff,0)</f>
        <v>192500</v>
      </c>
      <c r="M3364" s="5">
        <f>tblSales[[#This Row],[DPP (excl. VAT)]]+tblSales[[#This Row],[Output VAT]]</f>
        <v>1942500</v>
      </c>
      <c r="N3364" s="5">
        <f>tblSales[[#This Row],[Qty]]*_xlfn.XLOOKUP(tblSales[[#This Row],[Product Code]],tblProducts[Code],tblProducts[Unit Cost],0)</f>
        <v>1050000</v>
      </c>
      <c r="O3364" s="4" t="s">
        <v>4866</v>
      </c>
      <c r="P3364" s="4" t="s">
        <v>4861</v>
      </c>
      <c r="Q3364" s="1" t="str">
        <f>_xlfn.XLOOKUP(tblSales[[#This Row],[Channel Code]],tblChannels[Channel Code],tblChannels[Channel Name],"")</f>
        <v>Marketplace</v>
      </c>
      <c r="R3364" s="1">
        <f>MONTH(tblSales[[#This Row],[Date]])</f>
        <v>7</v>
      </c>
    </row>
    <row r="3365" spans="2:18" x14ac:dyDescent="0.35">
      <c r="B3365" s="113">
        <v>46223</v>
      </c>
      <c r="C3365" s="4" t="s">
        <v>2260</v>
      </c>
      <c r="D3365" s="4" t="s">
        <v>4568</v>
      </c>
      <c r="E3365" s="1" t="str">
        <f>_xlfn.XLOOKUP(tblSales[[#This Row],[Customer ID]],tblCustomers[Customer ID],tblCustomers[Customer Name],"⚠ Unknown")</f>
        <v>Walk-in Customer</v>
      </c>
      <c r="F3365" s="4" t="s">
        <v>6</v>
      </c>
      <c r="G3365" s="1" t="str">
        <f>_xlfn.XLOOKUP(tblSales[[#This Row],[Product Code]],tblProducts[Code],tblProducts[Product / Service Name],"⚠ Unknown")</f>
        <v>Socks &amp; Accessories</v>
      </c>
      <c r="H3365" s="1" t="str">
        <f>_xlfn.XLOOKUP(tblSales[[#This Row],[Product Code]],tblProducts[Code],tblProducts[Category],"")</f>
        <v>Accessories &amp; Basics</v>
      </c>
      <c r="I3365" s="4">
        <v>3</v>
      </c>
      <c r="J3365" s="5">
        <f>_xlfn.XLOOKUP(tblSales[[#This Row],[Product Code]],tblProducts[Code],tblProducts[Selling Price (excl. VAT)],0)</f>
        <v>45000</v>
      </c>
      <c r="K3365" s="5">
        <f>tblSales[[#This Row],[Qty]]*tblSales[[#This Row],[Unit Price]]</f>
        <v>135000</v>
      </c>
      <c r="L3365" s="5">
        <f>ROUND(tblSales[[#This Row],[DPP (excl. VAT)]]*VATEff,0)</f>
        <v>14850</v>
      </c>
      <c r="M3365" s="5">
        <f>tblSales[[#This Row],[DPP (excl. VAT)]]+tblSales[[#This Row],[Output VAT]]</f>
        <v>149850</v>
      </c>
      <c r="N3365" s="5">
        <f>tblSales[[#This Row],[Qty]]*_xlfn.XLOOKUP(tblSales[[#This Row],[Product Code]],tblProducts[Code],tblProducts[Unit Cost],0)</f>
        <v>72000</v>
      </c>
      <c r="O3365" s="4" t="s">
        <v>4866</v>
      </c>
      <c r="P3365" s="4" t="s">
        <v>4861</v>
      </c>
      <c r="Q3365" s="1" t="str">
        <f>_xlfn.XLOOKUP(tblSales[[#This Row],[Channel Code]],tblChannels[Channel Code],tblChannels[Channel Name],"")</f>
        <v>Marketplace</v>
      </c>
      <c r="R3365" s="1">
        <f>MONTH(tblSales[[#This Row],[Date]])</f>
        <v>7</v>
      </c>
    </row>
    <row r="3366" spans="2:18" x14ac:dyDescent="0.35">
      <c r="B3366" s="113">
        <v>46223</v>
      </c>
      <c r="C3366" s="4" t="s">
        <v>2261</v>
      </c>
      <c r="D3366" s="4" t="s">
        <v>4599</v>
      </c>
      <c r="E3366" s="1" t="str">
        <f>_xlfn.XLOOKUP(tblSales[[#This Row],[Customer ID]],tblCustomers[Customer ID],tblCustomers[Customer Name],"⚠ Unknown")</f>
        <v>PT Samudra Jaya Logistik</v>
      </c>
      <c r="F3366" s="4" t="s">
        <v>7</v>
      </c>
      <c r="G3366" s="1" t="str">
        <f>_xlfn.XLOOKUP(tblSales[[#This Row],[Product Code]],tblProducts[Code],tblProducts[Product / Service Name],"⚠ Unknown")</f>
        <v>Premium Basic T-shirt</v>
      </c>
      <c r="H3366" s="1" t="str">
        <f>_xlfn.XLOOKUP(tblSales[[#This Row],[Product Code]],tblProducts[Code],tblProducts[Category],"")</f>
        <v>Accessories &amp; Basics</v>
      </c>
      <c r="I3366" s="4">
        <v>56</v>
      </c>
      <c r="J3366" s="5">
        <f>_xlfn.XLOOKUP(tblSales[[#This Row],[Product Code]],tblProducts[Code],tblProducts[Selling Price (excl. VAT)],0)</f>
        <v>65000</v>
      </c>
      <c r="K3366" s="5">
        <f>tblSales[[#This Row],[Qty]]*tblSales[[#This Row],[Unit Price]]</f>
        <v>3640000</v>
      </c>
      <c r="L3366" s="5">
        <f>ROUND(tblSales[[#This Row],[DPP (excl. VAT)]]*VATEff,0)</f>
        <v>400400</v>
      </c>
      <c r="M3366" s="5">
        <f>tblSales[[#This Row],[DPP (excl. VAT)]]+tblSales[[#This Row],[Output VAT]]</f>
        <v>4040400</v>
      </c>
      <c r="N3366" s="5">
        <f>tblSales[[#This Row],[Qty]]*_xlfn.XLOOKUP(tblSales[[#This Row],[Product Code]],tblProducts[Code],tblProducts[Unit Cost],0)</f>
        <v>2072000</v>
      </c>
      <c r="O3366" s="4" t="s">
        <v>4867</v>
      </c>
      <c r="P3366" s="4" t="s">
        <v>4860</v>
      </c>
      <c r="Q3366" s="1" t="str">
        <f>_xlfn.XLOOKUP(tblSales[[#This Row],[Channel Code]],tblChannels[Channel Code],tblChannels[Channel Name],"")</f>
        <v>In-store</v>
      </c>
      <c r="R3366" s="1">
        <f>MONTH(tblSales[[#This Row],[Date]])</f>
        <v>7</v>
      </c>
    </row>
    <row r="3367" spans="2:18" x14ac:dyDescent="0.35">
      <c r="B3367" s="113">
        <v>46223</v>
      </c>
      <c r="C3367" s="4" t="s">
        <v>2262</v>
      </c>
      <c r="D3367" s="4" t="s">
        <v>4568</v>
      </c>
      <c r="E3367" s="1" t="str">
        <f>_xlfn.XLOOKUP(tblSales[[#This Row],[Customer ID]],tblCustomers[Customer ID],tblCustomers[Customer Name],"⚠ Unknown")</f>
        <v>Walk-in Customer</v>
      </c>
      <c r="F3367" s="4" t="s">
        <v>11</v>
      </c>
      <c r="G3367" s="1" t="str">
        <f>_xlfn.XLOOKUP(tblSales[[#This Row],[Product Code]],tblProducts[Code],tblProducts[Product / Service Name],"⚠ Unknown")</f>
        <v>Sneakers</v>
      </c>
      <c r="H3367" s="1" t="str">
        <f>_xlfn.XLOOKUP(tblSales[[#This Row],[Product Code]],tblProducts[Code],tblProducts[Category],"")</f>
        <v>Apparel &amp; Footwear</v>
      </c>
      <c r="I3367" s="4">
        <v>3</v>
      </c>
      <c r="J3367" s="5">
        <f>_xlfn.XLOOKUP(tblSales[[#This Row],[Product Code]],tblProducts[Code],tblProducts[Selling Price (excl. VAT)],0)</f>
        <v>250000</v>
      </c>
      <c r="K3367" s="5">
        <f>tblSales[[#This Row],[Qty]]*tblSales[[#This Row],[Unit Price]]</f>
        <v>750000</v>
      </c>
      <c r="L3367" s="5">
        <f>ROUND(tblSales[[#This Row],[DPP (excl. VAT)]]*VATEff,0)</f>
        <v>82500</v>
      </c>
      <c r="M3367" s="5">
        <f>tblSales[[#This Row],[DPP (excl. VAT)]]+tblSales[[#This Row],[Output VAT]]</f>
        <v>832500</v>
      </c>
      <c r="N3367" s="5">
        <f>tblSales[[#This Row],[Qty]]*_xlfn.XLOOKUP(tblSales[[#This Row],[Product Code]],tblProducts[Code],tblProducts[Unit Cost],0)</f>
        <v>465000</v>
      </c>
      <c r="O3367" s="4" t="s">
        <v>4866</v>
      </c>
      <c r="P3367" s="4" t="s">
        <v>4862</v>
      </c>
      <c r="Q3367" s="1" t="str">
        <f>_xlfn.XLOOKUP(tblSales[[#This Row],[Channel Code]],tblChannels[Channel Code],tblChannels[Channel Name],"")</f>
        <v>Website &amp; Social Media</v>
      </c>
      <c r="R3367" s="1">
        <f>MONTH(tblSales[[#This Row],[Date]])</f>
        <v>7</v>
      </c>
    </row>
    <row r="3368" spans="2:18" x14ac:dyDescent="0.35">
      <c r="B3368" s="113">
        <v>46223</v>
      </c>
      <c r="C3368" s="4" t="s">
        <v>2263</v>
      </c>
      <c r="D3368" s="4" t="s">
        <v>4585</v>
      </c>
      <c r="E3368" s="1" t="str">
        <f>_xlfn.XLOOKUP(tblSales[[#This Row],[Customer ID]],tblCustomers[Customer ID],tblCustomers[Customer Name],"⚠ Unknown")</f>
        <v>CV Mitra Karya Mandiri</v>
      </c>
      <c r="F3368" s="4" t="s">
        <v>10</v>
      </c>
      <c r="G3368" s="1" t="str">
        <f>_xlfn.XLOOKUP(tblSales[[#This Row],[Product Code]],tblProducts[Code],tblProducts[Product / Service Name],"⚠ Unknown")</f>
        <v>Chino Pants</v>
      </c>
      <c r="H3368" s="1" t="str">
        <f>_xlfn.XLOOKUP(tblSales[[#This Row],[Product Code]],tblProducts[Code],tblProducts[Category],"")</f>
        <v>Apparel &amp; Footwear</v>
      </c>
      <c r="I3368" s="4">
        <v>8</v>
      </c>
      <c r="J3368" s="5">
        <f>_xlfn.XLOOKUP(tblSales[[#This Row],[Product Code]],tblProducts[Code],tblProducts[Selling Price (excl. VAT)],0)</f>
        <v>150000</v>
      </c>
      <c r="K3368" s="5">
        <f>tblSales[[#This Row],[Qty]]*tblSales[[#This Row],[Unit Price]]</f>
        <v>1200000</v>
      </c>
      <c r="L3368" s="5">
        <f>ROUND(tblSales[[#This Row],[DPP (excl. VAT)]]*VATEff,0)</f>
        <v>132000</v>
      </c>
      <c r="M3368" s="5">
        <f>tblSales[[#This Row],[DPP (excl. VAT)]]+tblSales[[#This Row],[Output VAT]]</f>
        <v>1332000</v>
      </c>
      <c r="N3368" s="5">
        <f>tblSales[[#This Row],[Qty]]*_xlfn.XLOOKUP(tblSales[[#This Row],[Product Code]],tblProducts[Code],tblProducts[Unit Cost],0)</f>
        <v>704000</v>
      </c>
      <c r="O3368" s="4" t="s">
        <v>4867</v>
      </c>
      <c r="P3368" s="4" t="s">
        <v>4860</v>
      </c>
      <c r="Q3368" s="1" t="str">
        <f>_xlfn.XLOOKUP(tblSales[[#This Row],[Channel Code]],tblChannels[Channel Code],tblChannels[Channel Name],"")</f>
        <v>In-store</v>
      </c>
      <c r="R3368" s="1">
        <f>MONTH(tblSales[[#This Row],[Date]])</f>
        <v>7</v>
      </c>
    </row>
    <row r="3369" spans="2:18" x14ac:dyDescent="0.35">
      <c r="B3369" s="113">
        <v>46223</v>
      </c>
      <c r="C3369" s="4" t="s">
        <v>2264</v>
      </c>
      <c r="D3369" s="4" t="s">
        <v>4568</v>
      </c>
      <c r="E3369" s="1" t="str">
        <f>_xlfn.XLOOKUP(tblSales[[#This Row],[Customer ID]],tblCustomers[Customer ID],tblCustomers[Customer Name],"⚠ Unknown")</f>
        <v>Walk-in Customer</v>
      </c>
      <c r="F3369" s="4" t="s">
        <v>11</v>
      </c>
      <c r="G3369" s="1" t="str">
        <f>_xlfn.XLOOKUP(tblSales[[#This Row],[Product Code]],tblProducts[Code],tblProducts[Product / Service Name],"⚠ Unknown")</f>
        <v>Sneakers</v>
      </c>
      <c r="H3369" s="1" t="str">
        <f>_xlfn.XLOOKUP(tblSales[[#This Row],[Product Code]],tblProducts[Code],tblProducts[Category],"")</f>
        <v>Apparel &amp; Footwear</v>
      </c>
      <c r="I3369" s="4">
        <v>3</v>
      </c>
      <c r="J3369" s="5">
        <f>_xlfn.XLOOKUP(tblSales[[#This Row],[Product Code]],tblProducts[Code],tblProducts[Selling Price (excl. VAT)],0)</f>
        <v>250000</v>
      </c>
      <c r="K3369" s="5">
        <f>tblSales[[#This Row],[Qty]]*tblSales[[#This Row],[Unit Price]]</f>
        <v>750000</v>
      </c>
      <c r="L3369" s="5">
        <f>ROUND(tblSales[[#This Row],[DPP (excl. VAT)]]*VATEff,0)</f>
        <v>82500</v>
      </c>
      <c r="M3369" s="5">
        <f>tblSales[[#This Row],[DPP (excl. VAT)]]+tblSales[[#This Row],[Output VAT]]</f>
        <v>832500</v>
      </c>
      <c r="N3369" s="5">
        <f>tblSales[[#This Row],[Qty]]*_xlfn.XLOOKUP(tblSales[[#This Row],[Product Code]],tblProducts[Code],tblProducts[Unit Cost],0)</f>
        <v>465000</v>
      </c>
      <c r="O3369" s="4" t="s">
        <v>4865</v>
      </c>
      <c r="P3369" s="4" t="s">
        <v>4860</v>
      </c>
      <c r="Q3369" s="1" t="str">
        <f>_xlfn.XLOOKUP(tblSales[[#This Row],[Channel Code]],tblChannels[Channel Code],tblChannels[Channel Name],"")</f>
        <v>In-store</v>
      </c>
      <c r="R3369" s="1">
        <f>MONTH(tblSales[[#This Row],[Date]])</f>
        <v>7</v>
      </c>
    </row>
    <row r="3370" spans="2:18" x14ac:dyDescent="0.35">
      <c r="B3370" s="113">
        <v>46223</v>
      </c>
      <c r="C3370" s="4" t="s">
        <v>2265</v>
      </c>
      <c r="D3370" s="4" t="s">
        <v>4568</v>
      </c>
      <c r="E3370" s="1" t="str">
        <f>_xlfn.XLOOKUP(tblSales[[#This Row],[Customer ID]],tblCustomers[Customer ID],tblCustomers[Customer Name],"⚠ Unknown")</f>
        <v>Walk-in Customer</v>
      </c>
      <c r="F3370" s="4" t="s">
        <v>8</v>
      </c>
      <c r="G3370" s="1" t="str">
        <f>_xlfn.XLOOKUP(tblSales[[#This Row],[Product Code]],tblProducts[Code],tblProducts[Product / Service Name],"⚠ Unknown")</f>
        <v>Casual Shorts</v>
      </c>
      <c r="H3370" s="1" t="str">
        <f>_xlfn.XLOOKUP(tblSales[[#This Row],[Product Code]],tblProducts[Code],tblProducts[Category],"")</f>
        <v>Accessories &amp; Basics</v>
      </c>
      <c r="I3370" s="4">
        <v>9</v>
      </c>
      <c r="J3370" s="5">
        <f>_xlfn.XLOOKUP(tblSales[[#This Row],[Product Code]],tblProducts[Code],tblProducts[Selling Price (excl. VAT)],0)</f>
        <v>85000</v>
      </c>
      <c r="K3370" s="5">
        <f>tblSales[[#This Row],[Qty]]*tblSales[[#This Row],[Unit Price]]</f>
        <v>765000</v>
      </c>
      <c r="L3370" s="5">
        <f>ROUND(tblSales[[#This Row],[DPP (excl. VAT)]]*VATEff,0)</f>
        <v>84150</v>
      </c>
      <c r="M3370" s="5">
        <f>tblSales[[#This Row],[DPP (excl. VAT)]]+tblSales[[#This Row],[Output VAT]]</f>
        <v>849150</v>
      </c>
      <c r="N3370" s="5">
        <f>tblSales[[#This Row],[Qty]]*_xlfn.XLOOKUP(tblSales[[#This Row],[Product Code]],tblProducts[Code],tblProducts[Unit Cost],0)</f>
        <v>450000</v>
      </c>
      <c r="O3370" s="4" t="s">
        <v>4866</v>
      </c>
      <c r="P3370" s="4" t="s">
        <v>4861</v>
      </c>
      <c r="Q3370" s="1" t="str">
        <f>_xlfn.XLOOKUP(tblSales[[#This Row],[Channel Code]],tblChannels[Channel Code],tblChannels[Channel Name],"")</f>
        <v>Marketplace</v>
      </c>
      <c r="R3370" s="1">
        <f>MONTH(tblSales[[#This Row],[Date]])</f>
        <v>7</v>
      </c>
    </row>
    <row r="3371" spans="2:18" x14ac:dyDescent="0.35">
      <c r="B3371" s="113">
        <v>46223</v>
      </c>
      <c r="C3371" s="4" t="s">
        <v>2265</v>
      </c>
      <c r="D3371" s="4" t="s">
        <v>4568</v>
      </c>
      <c r="E3371" s="1" t="str">
        <f>_xlfn.XLOOKUP(tblSales[[#This Row],[Customer ID]],tblCustomers[Customer ID],tblCustomers[Customer Name],"⚠ Unknown")</f>
        <v>Walk-in Customer</v>
      </c>
      <c r="F3371" s="4" t="s">
        <v>15</v>
      </c>
      <c r="G3371" s="1" t="str">
        <f>_xlfn.XLOOKUP(tblSales[[#This Row],[Product Code]],tblProducts[Code],tblProducts[Product / Service Name],"⚠ Unknown")</f>
        <v>Wireless Earbuds Pro</v>
      </c>
      <c r="H3371" s="1" t="str">
        <f>_xlfn.XLOOKUP(tblSales[[#This Row],[Product Code]],tblProducts[Code],tblProducts[Category],"")</f>
        <v>Bags &amp; Gadgets</v>
      </c>
      <c r="I3371" s="4">
        <v>3</v>
      </c>
      <c r="J3371" s="5">
        <f>_xlfn.XLOOKUP(tblSales[[#This Row],[Product Code]],tblProducts[Code],tblProducts[Selling Price (excl. VAT)],0)</f>
        <v>1250000</v>
      </c>
      <c r="K3371" s="5">
        <f>tblSales[[#This Row],[Qty]]*tblSales[[#This Row],[Unit Price]]</f>
        <v>3750000</v>
      </c>
      <c r="L3371" s="5">
        <f>ROUND(tblSales[[#This Row],[DPP (excl. VAT)]]*VATEff,0)</f>
        <v>412500</v>
      </c>
      <c r="M3371" s="5">
        <f>tblSales[[#This Row],[DPP (excl. VAT)]]+tblSales[[#This Row],[Output VAT]]</f>
        <v>4162500</v>
      </c>
      <c r="N3371" s="5">
        <f>tblSales[[#This Row],[Qty]]*_xlfn.XLOOKUP(tblSales[[#This Row],[Product Code]],tblProducts[Code],tblProducts[Unit Cost],0)</f>
        <v>2460000</v>
      </c>
      <c r="O3371" s="4" t="s">
        <v>4866</v>
      </c>
      <c r="P3371" s="4" t="s">
        <v>4861</v>
      </c>
      <c r="Q3371" s="1" t="str">
        <f>_xlfn.XLOOKUP(tblSales[[#This Row],[Channel Code]],tblChannels[Channel Code],tblChannels[Channel Name],"")</f>
        <v>Marketplace</v>
      </c>
      <c r="R3371" s="1">
        <f>MONTH(tblSales[[#This Row],[Date]])</f>
        <v>7</v>
      </c>
    </row>
    <row r="3372" spans="2:18" x14ac:dyDescent="0.35">
      <c r="B3372" s="113">
        <v>46223</v>
      </c>
      <c r="C3372" s="4" t="s">
        <v>2266</v>
      </c>
      <c r="D3372" s="4" t="s">
        <v>4568</v>
      </c>
      <c r="E3372" s="1" t="str">
        <f>_xlfn.XLOOKUP(tblSales[[#This Row],[Customer ID]],tblCustomers[Customer ID],tblCustomers[Customer Name],"⚠ Unknown")</f>
        <v>Walk-in Customer</v>
      </c>
      <c r="F3372" s="4" t="s">
        <v>15</v>
      </c>
      <c r="G3372" s="1" t="str">
        <f>_xlfn.XLOOKUP(tblSales[[#This Row],[Product Code]],tblProducts[Code],tblProducts[Product / Service Name],"⚠ Unknown")</f>
        <v>Wireless Earbuds Pro</v>
      </c>
      <c r="H3372" s="1" t="str">
        <f>_xlfn.XLOOKUP(tblSales[[#This Row],[Product Code]],tblProducts[Code],tblProducts[Category],"")</f>
        <v>Bags &amp; Gadgets</v>
      </c>
      <c r="I3372" s="4">
        <v>1</v>
      </c>
      <c r="J3372" s="5">
        <f>_xlfn.XLOOKUP(tblSales[[#This Row],[Product Code]],tblProducts[Code],tblProducts[Selling Price (excl. VAT)],0)</f>
        <v>1250000</v>
      </c>
      <c r="K3372" s="5">
        <f>tblSales[[#This Row],[Qty]]*tblSales[[#This Row],[Unit Price]]</f>
        <v>1250000</v>
      </c>
      <c r="L3372" s="5">
        <f>ROUND(tblSales[[#This Row],[DPP (excl. VAT)]]*VATEff,0)</f>
        <v>137500</v>
      </c>
      <c r="M3372" s="5">
        <f>tblSales[[#This Row],[DPP (excl. VAT)]]+tblSales[[#This Row],[Output VAT]]</f>
        <v>1387500</v>
      </c>
      <c r="N3372" s="5">
        <f>tblSales[[#This Row],[Qty]]*_xlfn.XLOOKUP(tblSales[[#This Row],[Product Code]],tblProducts[Code],tblProducts[Unit Cost],0)</f>
        <v>820000</v>
      </c>
      <c r="O3372" s="4" t="s">
        <v>4866</v>
      </c>
      <c r="P3372" s="4" t="s">
        <v>4861</v>
      </c>
      <c r="Q3372" s="1" t="str">
        <f>_xlfn.XLOOKUP(tblSales[[#This Row],[Channel Code]],tblChannels[Channel Code],tblChannels[Channel Name],"")</f>
        <v>Marketplace</v>
      </c>
      <c r="R3372" s="1">
        <f>MONTH(tblSales[[#This Row],[Date]])</f>
        <v>7</v>
      </c>
    </row>
    <row r="3373" spans="2:18" x14ac:dyDescent="0.35">
      <c r="B3373" s="113">
        <v>46223</v>
      </c>
      <c r="C3373" s="4" t="s">
        <v>2266</v>
      </c>
      <c r="D3373" s="4" t="s">
        <v>4568</v>
      </c>
      <c r="E3373" s="1" t="str">
        <f>_xlfn.XLOOKUP(tblSales[[#This Row],[Customer ID]],tblCustomers[Customer ID],tblCustomers[Customer Name],"⚠ Unknown")</f>
        <v>Walk-in Customer</v>
      </c>
      <c r="F3373" s="4" t="s">
        <v>10</v>
      </c>
      <c r="G3373" s="1" t="str">
        <f>_xlfn.XLOOKUP(tblSales[[#This Row],[Product Code]],tblProducts[Code],tblProducts[Product / Service Name],"⚠ Unknown")</f>
        <v>Chino Pants</v>
      </c>
      <c r="H3373" s="1" t="str">
        <f>_xlfn.XLOOKUP(tblSales[[#This Row],[Product Code]],tblProducts[Code],tblProducts[Category],"")</f>
        <v>Apparel &amp; Footwear</v>
      </c>
      <c r="I3373" s="4">
        <v>11</v>
      </c>
      <c r="J3373" s="5">
        <f>_xlfn.XLOOKUP(tblSales[[#This Row],[Product Code]],tblProducts[Code],tblProducts[Selling Price (excl. VAT)],0)</f>
        <v>150000</v>
      </c>
      <c r="K3373" s="5">
        <f>tblSales[[#This Row],[Qty]]*tblSales[[#This Row],[Unit Price]]</f>
        <v>1650000</v>
      </c>
      <c r="L3373" s="5">
        <f>ROUND(tblSales[[#This Row],[DPP (excl. VAT)]]*VATEff,0)</f>
        <v>181500</v>
      </c>
      <c r="M3373" s="5">
        <f>tblSales[[#This Row],[DPP (excl. VAT)]]+tblSales[[#This Row],[Output VAT]]</f>
        <v>1831500</v>
      </c>
      <c r="N3373" s="5">
        <f>tblSales[[#This Row],[Qty]]*_xlfn.XLOOKUP(tblSales[[#This Row],[Product Code]],tblProducts[Code],tblProducts[Unit Cost],0)</f>
        <v>968000</v>
      </c>
      <c r="O3373" s="4" t="s">
        <v>4866</v>
      </c>
      <c r="P3373" s="4" t="s">
        <v>4861</v>
      </c>
      <c r="Q3373" s="1" t="str">
        <f>_xlfn.XLOOKUP(tblSales[[#This Row],[Channel Code]],tblChannels[Channel Code],tblChannels[Channel Name],"")</f>
        <v>Marketplace</v>
      </c>
      <c r="R3373" s="1">
        <f>MONTH(tblSales[[#This Row],[Date]])</f>
        <v>7</v>
      </c>
    </row>
    <row r="3374" spans="2:18" x14ac:dyDescent="0.35">
      <c r="B3374" s="113">
        <v>46223</v>
      </c>
      <c r="C3374" s="4" t="s">
        <v>2266</v>
      </c>
      <c r="D3374" s="4" t="s">
        <v>4568</v>
      </c>
      <c r="E3374" s="1" t="str">
        <f>_xlfn.XLOOKUP(tblSales[[#This Row],[Customer ID]],tblCustomers[Customer ID],tblCustomers[Customer Name],"⚠ Unknown")</f>
        <v>Walk-in Customer</v>
      </c>
      <c r="F3374" s="4" t="s">
        <v>14</v>
      </c>
      <c r="G3374" s="1" t="str">
        <f>_xlfn.XLOOKUP(tblSales[[#This Row],[Product Code]],tblProducts[Code],tblProducts[Product / Service Name],"⚠ Unknown")</f>
        <v>Smartwatch</v>
      </c>
      <c r="H3374" s="1" t="str">
        <f>_xlfn.XLOOKUP(tblSales[[#This Row],[Product Code]],tblProducts[Code],tblProducts[Category],"")</f>
        <v>Bags &amp; Gadgets</v>
      </c>
      <c r="I3374" s="4">
        <v>2</v>
      </c>
      <c r="J3374" s="5">
        <f>_xlfn.XLOOKUP(tblSales[[#This Row],[Product Code]],tblProducts[Code],tblProducts[Selling Price (excl. VAT)],0)</f>
        <v>850000</v>
      </c>
      <c r="K3374" s="5">
        <f>tblSales[[#This Row],[Qty]]*tblSales[[#This Row],[Unit Price]]</f>
        <v>1700000</v>
      </c>
      <c r="L3374" s="5">
        <f>ROUND(tblSales[[#This Row],[DPP (excl. VAT)]]*VATEff,0)</f>
        <v>187000</v>
      </c>
      <c r="M3374" s="5">
        <f>tblSales[[#This Row],[DPP (excl. VAT)]]+tblSales[[#This Row],[Output VAT]]</f>
        <v>1887000</v>
      </c>
      <c r="N3374" s="5">
        <f>tblSales[[#This Row],[Qty]]*_xlfn.XLOOKUP(tblSales[[#This Row],[Product Code]],tblProducts[Code],tblProducts[Unit Cost],0)</f>
        <v>1120000</v>
      </c>
      <c r="O3374" s="4" t="s">
        <v>4866</v>
      </c>
      <c r="P3374" s="4" t="s">
        <v>4861</v>
      </c>
      <c r="Q3374" s="1" t="str">
        <f>_xlfn.XLOOKUP(tblSales[[#This Row],[Channel Code]],tblChannels[Channel Code],tblChannels[Channel Name],"")</f>
        <v>Marketplace</v>
      </c>
      <c r="R3374" s="1">
        <f>MONTH(tblSales[[#This Row],[Date]])</f>
        <v>7</v>
      </c>
    </row>
    <row r="3375" spans="2:18" x14ac:dyDescent="0.35">
      <c r="B3375" s="113">
        <v>46223</v>
      </c>
      <c r="C3375" s="4" t="s">
        <v>2267</v>
      </c>
      <c r="D3375" s="4" t="s">
        <v>4568</v>
      </c>
      <c r="E3375" s="1" t="str">
        <f>_xlfn.XLOOKUP(tblSales[[#This Row],[Customer ID]],tblCustomers[Customer ID],tblCustomers[Customer Name],"⚠ Unknown")</f>
        <v>Walk-in Customer</v>
      </c>
      <c r="F3375" s="4" t="s">
        <v>7</v>
      </c>
      <c r="G3375" s="1" t="str">
        <f>_xlfn.XLOOKUP(tblSales[[#This Row],[Product Code]],tblProducts[Code],tblProducts[Product / Service Name],"⚠ Unknown")</f>
        <v>Premium Basic T-shirt</v>
      </c>
      <c r="H3375" s="1" t="str">
        <f>_xlfn.XLOOKUP(tblSales[[#This Row],[Product Code]],tblProducts[Code],tblProducts[Category],"")</f>
        <v>Accessories &amp; Basics</v>
      </c>
      <c r="I3375" s="4">
        <v>6</v>
      </c>
      <c r="J3375" s="5">
        <f>_xlfn.XLOOKUP(tblSales[[#This Row],[Product Code]],tblProducts[Code],tblProducts[Selling Price (excl. VAT)],0)</f>
        <v>65000</v>
      </c>
      <c r="K3375" s="5">
        <f>tblSales[[#This Row],[Qty]]*tblSales[[#This Row],[Unit Price]]</f>
        <v>390000</v>
      </c>
      <c r="L3375" s="5">
        <f>ROUND(tblSales[[#This Row],[DPP (excl. VAT)]]*VATEff,0)</f>
        <v>42900</v>
      </c>
      <c r="M3375" s="5">
        <f>tblSales[[#This Row],[DPP (excl. VAT)]]+tblSales[[#This Row],[Output VAT]]</f>
        <v>432900</v>
      </c>
      <c r="N3375" s="5">
        <f>tblSales[[#This Row],[Qty]]*_xlfn.XLOOKUP(tblSales[[#This Row],[Product Code]],tblProducts[Code],tblProducts[Unit Cost],0)</f>
        <v>222000</v>
      </c>
      <c r="O3375" s="4" t="s">
        <v>4865</v>
      </c>
      <c r="P3375" s="4" t="s">
        <v>4860</v>
      </c>
      <c r="Q3375" s="1" t="str">
        <f>_xlfn.XLOOKUP(tblSales[[#This Row],[Channel Code]],tblChannels[Channel Code],tblChannels[Channel Name],"")</f>
        <v>In-store</v>
      </c>
      <c r="R3375" s="1">
        <f>MONTH(tblSales[[#This Row],[Date]])</f>
        <v>7</v>
      </c>
    </row>
    <row r="3376" spans="2:18" x14ac:dyDescent="0.35">
      <c r="B3376" s="113">
        <v>46223</v>
      </c>
      <c r="C3376" s="4" t="s">
        <v>2268</v>
      </c>
      <c r="D3376" s="4" t="s">
        <v>4568</v>
      </c>
      <c r="E3376" s="1" t="str">
        <f>_xlfn.XLOOKUP(tblSales[[#This Row],[Customer ID]],tblCustomers[Customer ID],tblCustomers[Customer Name],"⚠ Unknown")</f>
        <v>Walk-in Customer</v>
      </c>
      <c r="F3376" s="4" t="s">
        <v>13</v>
      </c>
      <c r="G3376" s="1" t="str">
        <f>_xlfn.XLOOKUP(tblSales[[#This Row],[Product Code]],tblProducts[Code],tblProducts[Product / Service Name],"⚠ Unknown")</f>
        <v>Backpack</v>
      </c>
      <c r="H3376" s="1" t="str">
        <f>_xlfn.XLOOKUP(tblSales[[#This Row],[Product Code]],tblProducts[Code],tblProducts[Category],"")</f>
        <v>Bags &amp; Gadgets</v>
      </c>
      <c r="I3376" s="4">
        <v>3</v>
      </c>
      <c r="J3376" s="5">
        <f>_xlfn.XLOOKUP(tblSales[[#This Row],[Product Code]],tblProducts[Code],tblProducts[Selling Price (excl. VAT)],0)</f>
        <v>500000</v>
      </c>
      <c r="K3376" s="5">
        <f>tblSales[[#This Row],[Qty]]*tblSales[[#This Row],[Unit Price]]</f>
        <v>1500000</v>
      </c>
      <c r="L3376" s="5">
        <f>ROUND(tblSales[[#This Row],[DPP (excl. VAT)]]*VATEff,0)</f>
        <v>165000</v>
      </c>
      <c r="M3376" s="5">
        <f>tblSales[[#This Row],[DPP (excl. VAT)]]+tblSales[[#This Row],[Output VAT]]</f>
        <v>1665000</v>
      </c>
      <c r="N3376" s="5">
        <f>tblSales[[#This Row],[Qty]]*_xlfn.XLOOKUP(tblSales[[#This Row],[Product Code]],tblProducts[Code],tblProducts[Unit Cost],0)</f>
        <v>870000</v>
      </c>
      <c r="O3376" s="4" t="s">
        <v>4866</v>
      </c>
      <c r="P3376" s="4" t="s">
        <v>4861</v>
      </c>
      <c r="Q3376" s="1" t="str">
        <f>_xlfn.XLOOKUP(tblSales[[#This Row],[Channel Code]],tblChannels[Channel Code],tblChannels[Channel Name],"")</f>
        <v>Marketplace</v>
      </c>
      <c r="R3376" s="1">
        <f>MONTH(tblSales[[#This Row],[Date]])</f>
        <v>7</v>
      </c>
    </row>
    <row r="3377" spans="2:18" x14ac:dyDescent="0.35">
      <c r="B3377" s="113">
        <v>46223</v>
      </c>
      <c r="C3377" s="4" t="s">
        <v>2268</v>
      </c>
      <c r="D3377" s="4" t="s">
        <v>4568</v>
      </c>
      <c r="E3377" s="1" t="str">
        <f>_xlfn.XLOOKUP(tblSales[[#This Row],[Customer ID]],tblCustomers[Customer ID],tblCustomers[Customer Name],"⚠ Unknown")</f>
        <v>Walk-in Customer</v>
      </c>
      <c r="F3377" s="4" t="s">
        <v>9</v>
      </c>
      <c r="G3377" s="1" t="str">
        <f>_xlfn.XLOOKUP(tblSales[[#This Row],[Product Code]],tblProducts[Code],tblProducts[Product / Service Name],"⚠ Unknown")</f>
        <v>Casual Shirt</v>
      </c>
      <c r="H3377" s="1" t="str">
        <f>_xlfn.XLOOKUP(tblSales[[#This Row],[Product Code]],tblProducts[Code],tblProducts[Category],"")</f>
        <v>Apparel &amp; Footwear</v>
      </c>
      <c r="I3377" s="4">
        <v>3</v>
      </c>
      <c r="J3377" s="5">
        <f>_xlfn.XLOOKUP(tblSales[[#This Row],[Product Code]],tblProducts[Code],tblProducts[Selling Price (excl. VAT)],0)</f>
        <v>120000</v>
      </c>
      <c r="K3377" s="5">
        <f>tblSales[[#This Row],[Qty]]*tblSales[[#This Row],[Unit Price]]</f>
        <v>360000</v>
      </c>
      <c r="L3377" s="5">
        <f>ROUND(tblSales[[#This Row],[DPP (excl. VAT)]]*VATEff,0)</f>
        <v>39600</v>
      </c>
      <c r="M3377" s="5">
        <f>tblSales[[#This Row],[DPP (excl. VAT)]]+tblSales[[#This Row],[Output VAT]]</f>
        <v>399600</v>
      </c>
      <c r="N3377" s="5">
        <f>tblSales[[#This Row],[Qty]]*_xlfn.XLOOKUP(tblSales[[#This Row],[Product Code]],tblProducts[Code],tblProducts[Unit Cost],0)</f>
        <v>216000</v>
      </c>
      <c r="O3377" s="4" t="s">
        <v>4866</v>
      </c>
      <c r="P3377" s="4" t="s">
        <v>4861</v>
      </c>
      <c r="Q3377" s="1" t="str">
        <f>_xlfn.XLOOKUP(tblSales[[#This Row],[Channel Code]],tblChannels[Channel Code],tblChannels[Channel Name],"")</f>
        <v>Marketplace</v>
      </c>
      <c r="R3377" s="1">
        <f>MONTH(tblSales[[#This Row],[Date]])</f>
        <v>7</v>
      </c>
    </row>
    <row r="3378" spans="2:18" x14ac:dyDescent="0.35">
      <c r="B3378" s="113">
        <v>46223</v>
      </c>
      <c r="C3378" s="4" t="s">
        <v>2268</v>
      </c>
      <c r="D3378" s="4" t="s">
        <v>4568</v>
      </c>
      <c r="E3378" s="1" t="str">
        <f>_xlfn.XLOOKUP(tblSales[[#This Row],[Customer ID]],tblCustomers[Customer ID],tblCustomers[Customer Name],"⚠ Unknown")</f>
        <v>Walk-in Customer</v>
      </c>
      <c r="F3378" s="4" t="s">
        <v>6</v>
      </c>
      <c r="G3378" s="1" t="str">
        <f>_xlfn.XLOOKUP(tblSales[[#This Row],[Product Code]],tblProducts[Code],tblProducts[Product / Service Name],"⚠ Unknown")</f>
        <v>Socks &amp; Accessories</v>
      </c>
      <c r="H3378" s="1" t="str">
        <f>_xlfn.XLOOKUP(tblSales[[#This Row],[Product Code]],tblProducts[Code],tblProducts[Category],"")</f>
        <v>Accessories &amp; Basics</v>
      </c>
      <c r="I3378" s="4">
        <v>11</v>
      </c>
      <c r="J3378" s="5">
        <f>_xlfn.XLOOKUP(tblSales[[#This Row],[Product Code]],tblProducts[Code],tblProducts[Selling Price (excl. VAT)],0)</f>
        <v>45000</v>
      </c>
      <c r="K3378" s="5">
        <f>tblSales[[#This Row],[Qty]]*tblSales[[#This Row],[Unit Price]]</f>
        <v>495000</v>
      </c>
      <c r="L3378" s="5">
        <f>ROUND(tblSales[[#This Row],[DPP (excl. VAT)]]*VATEff,0)</f>
        <v>54450</v>
      </c>
      <c r="M3378" s="5">
        <f>tblSales[[#This Row],[DPP (excl. VAT)]]+tblSales[[#This Row],[Output VAT]]</f>
        <v>549450</v>
      </c>
      <c r="N3378" s="5">
        <f>tblSales[[#This Row],[Qty]]*_xlfn.XLOOKUP(tblSales[[#This Row],[Product Code]],tblProducts[Code],tblProducts[Unit Cost],0)</f>
        <v>264000</v>
      </c>
      <c r="O3378" s="4" t="s">
        <v>4866</v>
      </c>
      <c r="P3378" s="4" t="s">
        <v>4861</v>
      </c>
      <c r="Q3378" s="1" t="str">
        <f>_xlfn.XLOOKUP(tblSales[[#This Row],[Channel Code]],tblChannels[Channel Code],tblChannels[Channel Name],"")</f>
        <v>Marketplace</v>
      </c>
      <c r="R3378" s="1">
        <f>MONTH(tblSales[[#This Row],[Date]])</f>
        <v>7</v>
      </c>
    </row>
    <row r="3379" spans="2:18" x14ac:dyDescent="0.35">
      <c r="B3379" s="113">
        <v>46224</v>
      </c>
      <c r="C3379" s="4" t="s">
        <v>2269</v>
      </c>
      <c r="D3379" s="4" t="s">
        <v>4634</v>
      </c>
      <c r="E3379" s="1" t="str">
        <f>_xlfn.XLOOKUP(tblSales[[#This Row],[Customer ID]],tblCustomers[Customer ID],tblCustomers[Customer Name],"⚠ Unknown")</f>
        <v>PT Delta Inti Selaras</v>
      </c>
      <c r="F3379" s="4" t="s">
        <v>7</v>
      </c>
      <c r="G3379" s="1" t="str">
        <f>_xlfn.XLOOKUP(tblSales[[#This Row],[Product Code]],tblProducts[Code],tblProducts[Product / Service Name],"⚠ Unknown")</f>
        <v>Premium Basic T-shirt</v>
      </c>
      <c r="H3379" s="1" t="str">
        <f>_xlfn.XLOOKUP(tblSales[[#This Row],[Product Code]],tblProducts[Code],tblProducts[Category],"")</f>
        <v>Accessories &amp; Basics</v>
      </c>
      <c r="I3379" s="4">
        <v>40</v>
      </c>
      <c r="J3379" s="5">
        <f>_xlfn.XLOOKUP(tblSales[[#This Row],[Product Code]],tblProducts[Code],tblProducts[Selling Price (excl. VAT)],0)</f>
        <v>65000</v>
      </c>
      <c r="K3379" s="5">
        <f>tblSales[[#This Row],[Qty]]*tblSales[[#This Row],[Unit Price]]</f>
        <v>2600000</v>
      </c>
      <c r="L3379" s="5">
        <f>ROUND(tblSales[[#This Row],[DPP (excl. VAT)]]*VATEff,0)</f>
        <v>286000</v>
      </c>
      <c r="M3379" s="5">
        <f>tblSales[[#This Row],[DPP (excl. VAT)]]+tblSales[[#This Row],[Output VAT]]</f>
        <v>2886000</v>
      </c>
      <c r="N3379" s="5">
        <f>tblSales[[#This Row],[Qty]]*_xlfn.XLOOKUP(tblSales[[#This Row],[Product Code]],tblProducts[Code],tblProducts[Unit Cost],0)</f>
        <v>1480000</v>
      </c>
      <c r="O3379" s="4" t="s">
        <v>4867</v>
      </c>
      <c r="P3379" s="4" t="s">
        <v>4860</v>
      </c>
      <c r="Q3379" s="1" t="str">
        <f>_xlfn.XLOOKUP(tblSales[[#This Row],[Channel Code]],tblChannels[Channel Code],tblChannels[Channel Name],"")</f>
        <v>In-store</v>
      </c>
      <c r="R3379" s="1">
        <f>MONTH(tblSales[[#This Row],[Date]])</f>
        <v>7</v>
      </c>
    </row>
    <row r="3380" spans="2:18" x14ac:dyDescent="0.35">
      <c r="B3380" s="113">
        <v>46224</v>
      </c>
      <c r="C3380" s="4" t="s">
        <v>2270</v>
      </c>
      <c r="D3380" s="4" t="s">
        <v>4568</v>
      </c>
      <c r="E3380" s="1" t="str">
        <f>_xlfn.XLOOKUP(tblSales[[#This Row],[Customer ID]],tblCustomers[Customer ID],tblCustomers[Customer Name],"⚠ Unknown")</f>
        <v>Walk-in Customer</v>
      </c>
      <c r="F3380" s="4" t="s">
        <v>8</v>
      </c>
      <c r="G3380" s="1" t="str">
        <f>_xlfn.XLOOKUP(tblSales[[#This Row],[Product Code]],tblProducts[Code],tblProducts[Product / Service Name],"⚠ Unknown")</f>
        <v>Casual Shorts</v>
      </c>
      <c r="H3380" s="1" t="str">
        <f>_xlfn.XLOOKUP(tblSales[[#This Row],[Product Code]],tblProducts[Code],tblProducts[Category],"")</f>
        <v>Accessories &amp; Basics</v>
      </c>
      <c r="I3380" s="4">
        <v>9</v>
      </c>
      <c r="J3380" s="5">
        <f>_xlfn.XLOOKUP(tblSales[[#This Row],[Product Code]],tblProducts[Code],tblProducts[Selling Price (excl. VAT)],0)</f>
        <v>85000</v>
      </c>
      <c r="K3380" s="5">
        <f>tblSales[[#This Row],[Qty]]*tblSales[[#This Row],[Unit Price]]</f>
        <v>765000</v>
      </c>
      <c r="L3380" s="5">
        <f>ROUND(tblSales[[#This Row],[DPP (excl. VAT)]]*VATEff,0)</f>
        <v>84150</v>
      </c>
      <c r="M3380" s="5">
        <f>tblSales[[#This Row],[DPP (excl. VAT)]]+tblSales[[#This Row],[Output VAT]]</f>
        <v>849150</v>
      </c>
      <c r="N3380" s="5">
        <f>tblSales[[#This Row],[Qty]]*_xlfn.XLOOKUP(tblSales[[#This Row],[Product Code]],tblProducts[Code],tblProducts[Unit Cost],0)</f>
        <v>450000</v>
      </c>
      <c r="O3380" s="4" t="s">
        <v>4866</v>
      </c>
      <c r="P3380" s="4" t="s">
        <v>4862</v>
      </c>
      <c r="Q3380" s="1" t="str">
        <f>_xlfn.XLOOKUP(tblSales[[#This Row],[Channel Code]],tblChannels[Channel Code],tblChannels[Channel Name],"")</f>
        <v>Website &amp; Social Media</v>
      </c>
      <c r="R3380" s="1">
        <f>MONTH(tblSales[[#This Row],[Date]])</f>
        <v>7</v>
      </c>
    </row>
    <row r="3381" spans="2:18" x14ac:dyDescent="0.35">
      <c r="B3381" s="113">
        <v>46224</v>
      </c>
      <c r="C3381" s="4" t="s">
        <v>2271</v>
      </c>
      <c r="D3381" s="4" t="s">
        <v>4568</v>
      </c>
      <c r="E3381" s="1" t="str">
        <f>_xlfn.XLOOKUP(tblSales[[#This Row],[Customer ID]],tblCustomers[Customer ID],tblCustomers[Customer Name],"⚠ Unknown")</f>
        <v>Walk-in Customer</v>
      </c>
      <c r="F3381" s="4" t="s">
        <v>7</v>
      </c>
      <c r="G3381" s="1" t="str">
        <f>_xlfn.XLOOKUP(tblSales[[#This Row],[Product Code]],tblProducts[Code],tblProducts[Product / Service Name],"⚠ Unknown")</f>
        <v>Premium Basic T-shirt</v>
      </c>
      <c r="H3381" s="1" t="str">
        <f>_xlfn.XLOOKUP(tblSales[[#This Row],[Product Code]],tblProducts[Code],tblProducts[Category],"")</f>
        <v>Accessories &amp; Basics</v>
      </c>
      <c r="I3381" s="4">
        <v>4</v>
      </c>
      <c r="J3381" s="5">
        <f>_xlfn.XLOOKUP(tblSales[[#This Row],[Product Code]],tblProducts[Code],tblProducts[Selling Price (excl. VAT)],0)</f>
        <v>65000</v>
      </c>
      <c r="K3381" s="5">
        <f>tblSales[[#This Row],[Qty]]*tblSales[[#This Row],[Unit Price]]</f>
        <v>260000</v>
      </c>
      <c r="L3381" s="5">
        <f>ROUND(tblSales[[#This Row],[DPP (excl. VAT)]]*VATEff,0)</f>
        <v>28600</v>
      </c>
      <c r="M3381" s="5">
        <f>tblSales[[#This Row],[DPP (excl. VAT)]]+tblSales[[#This Row],[Output VAT]]</f>
        <v>288600</v>
      </c>
      <c r="N3381" s="5">
        <f>tblSales[[#This Row],[Qty]]*_xlfn.XLOOKUP(tblSales[[#This Row],[Product Code]],tblProducts[Code],tblProducts[Unit Cost],0)</f>
        <v>148000</v>
      </c>
      <c r="O3381" s="4" t="s">
        <v>4866</v>
      </c>
      <c r="P3381" s="4" t="s">
        <v>4860</v>
      </c>
      <c r="Q3381" s="1" t="str">
        <f>_xlfn.XLOOKUP(tblSales[[#This Row],[Channel Code]],tblChannels[Channel Code],tblChannels[Channel Name],"")</f>
        <v>In-store</v>
      </c>
      <c r="R3381" s="1">
        <f>MONTH(tblSales[[#This Row],[Date]])</f>
        <v>7</v>
      </c>
    </row>
    <row r="3382" spans="2:18" x14ac:dyDescent="0.35">
      <c r="B3382" s="113">
        <v>46224</v>
      </c>
      <c r="C3382" s="4" t="s">
        <v>2272</v>
      </c>
      <c r="D3382" s="4" t="s">
        <v>4578</v>
      </c>
      <c r="E3382" s="1" t="str">
        <f>_xlfn.XLOOKUP(tblSales[[#This Row],[Customer ID]],tblCustomers[Customer ID],tblCustomers[Customer Name],"⚠ Unknown")</f>
        <v>PT Bintang Timur Sejahtera</v>
      </c>
      <c r="F3382" s="4" t="s">
        <v>8</v>
      </c>
      <c r="G3382" s="1" t="str">
        <f>_xlfn.XLOOKUP(tblSales[[#This Row],[Product Code]],tblProducts[Code],tblProducts[Product / Service Name],"⚠ Unknown")</f>
        <v>Casual Shorts</v>
      </c>
      <c r="H3382" s="1" t="str">
        <f>_xlfn.XLOOKUP(tblSales[[#This Row],[Product Code]],tblProducts[Code],tblProducts[Category],"")</f>
        <v>Accessories &amp; Basics</v>
      </c>
      <c r="I3382" s="4">
        <v>40</v>
      </c>
      <c r="J3382" s="5">
        <f>_xlfn.XLOOKUP(tblSales[[#This Row],[Product Code]],tblProducts[Code],tblProducts[Selling Price (excl. VAT)],0)</f>
        <v>85000</v>
      </c>
      <c r="K3382" s="5">
        <f>tblSales[[#This Row],[Qty]]*tblSales[[#This Row],[Unit Price]]</f>
        <v>3400000</v>
      </c>
      <c r="L3382" s="5">
        <f>ROUND(tblSales[[#This Row],[DPP (excl. VAT)]]*VATEff,0)</f>
        <v>374000</v>
      </c>
      <c r="M3382" s="5">
        <f>tblSales[[#This Row],[DPP (excl. VAT)]]+tblSales[[#This Row],[Output VAT]]</f>
        <v>3774000</v>
      </c>
      <c r="N3382" s="5">
        <f>tblSales[[#This Row],[Qty]]*_xlfn.XLOOKUP(tblSales[[#This Row],[Product Code]],tblProducts[Code],tblProducts[Unit Cost],0)</f>
        <v>2000000</v>
      </c>
      <c r="O3382" s="4" t="s">
        <v>4867</v>
      </c>
      <c r="P3382" s="4" t="s">
        <v>4860</v>
      </c>
      <c r="Q3382" s="1" t="str">
        <f>_xlfn.XLOOKUP(tblSales[[#This Row],[Channel Code]],tblChannels[Channel Code],tblChannels[Channel Name],"")</f>
        <v>In-store</v>
      </c>
      <c r="R3382" s="1">
        <f>MONTH(tblSales[[#This Row],[Date]])</f>
        <v>7</v>
      </c>
    </row>
    <row r="3383" spans="2:18" x14ac:dyDescent="0.35">
      <c r="B3383" s="113">
        <v>46224</v>
      </c>
      <c r="C3383" s="4" t="s">
        <v>2273</v>
      </c>
      <c r="D3383" s="4" t="s">
        <v>4568</v>
      </c>
      <c r="E3383" s="1" t="str">
        <f>_xlfn.XLOOKUP(tblSales[[#This Row],[Customer ID]],tblCustomers[Customer ID],tblCustomers[Customer Name],"⚠ Unknown")</f>
        <v>Walk-in Customer</v>
      </c>
      <c r="F3383" s="4" t="s">
        <v>7</v>
      </c>
      <c r="G3383" s="1" t="str">
        <f>_xlfn.XLOOKUP(tblSales[[#This Row],[Product Code]],tblProducts[Code],tblProducts[Product / Service Name],"⚠ Unknown")</f>
        <v>Premium Basic T-shirt</v>
      </c>
      <c r="H3383" s="1" t="str">
        <f>_xlfn.XLOOKUP(tblSales[[#This Row],[Product Code]],tblProducts[Code],tblProducts[Category],"")</f>
        <v>Accessories &amp; Basics</v>
      </c>
      <c r="I3383" s="4">
        <v>3</v>
      </c>
      <c r="J3383" s="5">
        <f>_xlfn.XLOOKUP(tblSales[[#This Row],[Product Code]],tblProducts[Code],tblProducts[Selling Price (excl. VAT)],0)</f>
        <v>65000</v>
      </c>
      <c r="K3383" s="5">
        <f>tblSales[[#This Row],[Qty]]*tblSales[[#This Row],[Unit Price]]</f>
        <v>195000</v>
      </c>
      <c r="L3383" s="5">
        <f>ROUND(tblSales[[#This Row],[DPP (excl. VAT)]]*VATEff,0)</f>
        <v>21450</v>
      </c>
      <c r="M3383" s="5">
        <f>tblSales[[#This Row],[DPP (excl. VAT)]]+tblSales[[#This Row],[Output VAT]]</f>
        <v>216450</v>
      </c>
      <c r="N3383" s="5">
        <f>tblSales[[#This Row],[Qty]]*_xlfn.XLOOKUP(tblSales[[#This Row],[Product Code]],tblProducts[Code],tblProducts[Unit Cost],0)</f>
        <v>111000</v>
      </c>
      <c r="O3383" s="4" t="s">
        <v>4866</v>
      </c>
      <c r="P3383" s="4" t="s">
        <v>4860</v>
      </c>
      <c r="Q3383" s="1" t="str">
        <f>_xlfn.XLOOKUP(tblSales[[#This Row],[Channel Code]],tblChannels[Channel Code],tblChannels[Channel Name],"")</f>
        <v>In-store</v>
      </c>
      <c r="R3383" s="1">
        <f>MONTH(tblSales[[#This Row],[Date]])</f>
        <v>7</v>
      </c>
    </row>
    <row r="3384" spans="2:18" x14ac:dyDescent="0.35">
      <c r="B3384" s="113">
        <v>46224</v>
      </c>
      <c r="C3384" s="4" t="s">
        <v>2274</v>
      </c>
      <c r="D3384" s="4" t="s">
        <v>4593</v>
      </c>
      <c r="E3384" s="1" t="str">
        <f>_xlfn.XLOOKUP(tblSales[[#This Row],[Customer ID]],tblCustomers[Customer ID],tblCustomers[Customer Name],"⚠ Unknown")</f>
        <v>PT Graha Nusa Persada</v>
      </c>
      <c r="F3384" s="4" t="s">
        <v>15</v>
      </c>
      <c r="G3384" s="1" t="str">
        <f>_xlfn.XLOOKUP(tblSales[[#This Row],[Product Code]],tblProducts[Code],tblProducts[Product / Service Name],"⚠ Unknown")</f>
        <v>Wireless Earbuds Pro</v>
      </c>
      <c r="H3384" s="1" t="str">
        <f>_xlfn.XLOOKUP(tblSales[[#This Row],[Product Code]],tblProducts[Code],tblProducts[Category],"")</f>
        <v>Bags &amp; Gadgets</v>
      </c>
      <c r="I3384" s="4">
        <v>16</v>
      </c>
      <c r="J3384" s="5">
        <f>_xlfn.XLOOKUP(tblSales[[#This Row],[Product Code]],tblProducts[Code],tblProducts[Selling Price (excl. VAT)],0)</f>
        <v>1250000</v>
      </c>
      <c r="K3384" s="5">
        <f>tblSales[[#This Row],[Qty]]*tblSales[[#This Row],[Unit Price]]</f>
        <v>20000000</v>
      </c>
      <c r="L3384" s="5">
        <f>ROUND(tblSales[[#This Row],[DPP (excl. VAT)]]*VATEff,0)</f>
        <v>2200000</v>
      </c>
      <c r="M3384" s="5">
        <f>tblSales[[#This Row],[DPP (excl. VAT)]]+tblSales[[#This Row],[Output VAT]]</f>
        <v>22200000</v>
      </c>
      <c r="N3384" s="5">
        <f>tblSales[[#This Row],[Qty]]*_xlfn.XLOOKUP(tblSales[[#This Row],[Product Code]],tblProducts[Code],tblProducts[Unit Cost],0)</f>
        <v>13120000</v>
      </c>
      <c r="O3384" s="4" t="s">
        <v>4867</v>
      </c>
      <c r="P3384" s="4" t="s">
        <v>4860</v>
      </c>
      <c r="Q3384" s="1" t="str">
        <f>_xlfn.XLOOKUP(tblSales[[#This Row],[Channel Code]],tblChannels[Channel Code],tblChannels[Channel Name],"")</f>
        <v>In-store</v>
      </c>
      <c r="R3384" s="1">
        <f>MONTH(tblSales[[#This Row],[Date]])</f>
        <v>7</v>
      </c>
    </row>
    <row r="3385" spans="2:18" x14ac:dyDescent="0.35">
      <c r="B3385" s="113">
        <v>46224</v>
      </c>
      <c r="C3385" s="4" t="s">
        <v>2275</v>
      </c>
      <c r="D3385" s="4" t="s">
        <v>4568</v>
      </c>
      <c r="E3385" s="1" t="str">
        <f>_xlfn.XLOOKUP(tblSales[[#This Row],[Customer ID]],tblCustomers[Customer ID],tblCustomers[Customer Name],"⚠ Unknown")</f>
        <v>Walk-in Customer</v>
      </c>
      <c r="F3385" s="4" t="s">
        <v>8</v>
      </c>
      <c r="G3385" s="1" t="str">
        <f>_xlfn.XLOOKUP(tblSales[[#This Row],[Product Code]],tblProducts[Code],tblProducts[Product / Service Name],"⚠ Unknown")</f>
        <v>Casual Shorts</v>
      </c>
      <c r="H3385" s="1" t="str">
        <f>_xlfn.XLOOKUP(tblSales[[#This Row],[Product Code]],tblProducts[Code],tblProducts[Category],"")</f>
        <v>Accessories &amp; Basics</v>
      </c>
      <c r="I3385" s="4">
        <v>11</v>
      </c>
      <c r="J3385" s="5">
        <f>_xlfn.XLOOKUP(tblSales[[#This Row],[Product Code]],tblProducts[Code],tblProducts[Selling Price (excl. VAT)],0)</f>
        <v>85000</v>
      </c>
      <c r="K3385" s="5">
        <f>tblSales[[#This Row],[Qty]]*tblSales[[#This Row],[Unit Price]]</f>
        <v>935000</v>
      </c>
      <c r="L3385" s="5">
        <f>ROUND(tblSales[[#This Row],[DPP (excl. VAT)]]*VATEff,0)</f>
        <v>102850</v>
      </c>
      <c r="M3385" s="5">
        <f>tblSales[[#This Row],[DPP (excl. VAT)]]+tblSales[[#This Row],[Output VAT]]</f>
        <v>1037850</v>
      </c>
      <c r="N3385" s="5">
        <f>tblSales[[#This Row],[Qty]]*_xlfn.XLOOKUP(tblSales[[#This Row],[Product Code]],tblProducts[Code],tblProducts[Unit Cost],0)</f>
        <v>550000</v>
      </c>
      <c r="O3385" s="4" t="s">
        <v>4865</v>
      </c>
      <c r="P3385" s="4" t="s">
        <v>4860</v>
      </c>
      <c r="Q3385" s="1" t="str">
        <f>_xlfn.XLOOKUP(tblSales[[#This Row],[Channel Code]],tblChannels[Channel Code],tblChannels[Channel Name],"")</f>
        <v>In-store</v>
      </c>
      <c r="R3385" s="1">
        <f>MONTH(tblSales[[#This Row],[Date]])</f>
        <v>7</v>
      </c>
    </row>
    <row r="3386" spans="2:18" x14ac:dyDescent="0.35">
      <c r="B3386" s="113">
        <v>46224</v>
      </c>
      <c r="C3386" s="4" t="s">
        <v>2276</v>
      </c>
      <c r="D3386" s="4" t="s">
        <v>4599</v>
      </c>
      <c r="E3386" s="1" t="str">
        <f>_xlfn.XLOOKUP(tblSales[[#This Row],[Customer ID]],tblCustomers[Customer ID],tblCustomers[Customer Name],"⚠ Unknown")</f>
        <v>PT Samudra Jaya Logistik</v>
      </c>
      <c r="F3386" s="4" t="s">
        <v>12</v>
      </c>
      <c r="G3386" s="1" t="str">
        <f>_xlfn.XLOOKUP(tblSales[[#This Row],[Product Code]],tblProducts[Code],tblProducts[Product / Service Name],"⚠ Unknown")</f>
        <v>Bomber Jacket</v>
      </c>
      <c r="H3386" s="1" t="str">
        <f>_xlfn.XLOOKUP(tblSales[[#This Row],[Product Code]],tblProducts[Code],tblProducts[Category],"")</f>
        <v>Apparel &amp; Footwear</v>
      </c>
      <c r="I3386" s="4">
        <v>24</v>
      </c>
      <c r="J3386" s="5">
        <f>_xlfn.XLOOKUP(tblSales[[#This Row],[Product Code]],tblProducts[Code],tblProducts[Selling Price (excl. VAT)],0)</f>
        <v>350000</v>
      </c>
      <c r="K3386" s="5">
        <f>tblSales[[#This Row],[Qty]]*tblSales[[#This Row],[Unit Price]]</f>
        <v>8400000</v>
      </c>
      <c r="L3386" s="5">
        <f>ROUND(tblSales[[#This Row],[DPP (excl. VAT)]]*VATEff,0)</f>
        <v>924000</v>
      </c>
      <c r="M3386" s="5">
        <f>tblSales[[#This Row],[DPP (excl. VAT)]]+tblSales[[#This Row],[Output VAT]]</f>
        <v>9324000</v>
      </c>
      <c r="N3386" s="5">
        <f>tblSales[[#This Row],[Qty]]*_xlfn.XLOOKUP(tblSales[[#This Row],[Product Code]],tblProducts[Code],tblProducts[Unit Cost],0)</f>
        <v>5040000</v>
      </c>
      <c r="O3386" s="4" t="s">
        <v>4867</v>
      </c>
      <c r="P3386" s="4" t="s">
        <v>4860</v>
      </c>
      <c r="Q3386" s="1" t="str">
        <f>_xlfn.XLOOKUP(tblSales[[#This Row],[Channel Code]],tblChannels[Channel Code],tblChannels[Channel Name],"")</f>
        <v>In-store</v>
      </c>
      <c r="R3386" s="1">
        <f>MONTH(tblSales[[#This Row],[Date]])</f>
        <v>7</v>
      </c>
    </row>
    <row r="3387" spans="2:18" x14ac:dyDescent="0.35">
      <c r="B3387" s="113">
        <v>46224</v>
      </c>
      <c r="C3387" s="4" t="s">
        <v>2277</v>
      </c>
      <c r="D3387" s="4" t="s">
        <v>4568</v>
      </c>
      <c r="E3387" s="1" t="str">
        <f>_xlfn.XLOOKUP(tblSales[[#This Row],[Customer ID]],tblCustomers[Customer ID],tblCustomers[Customer Name],"⚠ Unknown")</f>
        <v>Walk-in Customer</v>
      </c>
      <c r="F3387" s="4" t="s">
        <v>6</v>
      </c>
      <c r="G3387" s="1" t="str">
        <f>_xlfn.XLOOKUP(tblSales[[#This Row],[Product Code]],tblProducts[Code],tblProducts[Product / Service Name],"⚠ Unknown")</f>
        <v>Socks &amp; Accessories</v>
      </c>
      <c r="H3387" s="1" t="str">
        <f>_xlfn.XLOOKUP(tblSales[[#This Row],[Product Code]],tblProducts[Code],tblProducts[Category],"")</f>
        <v>Accessories &amp; Basics</v>
      </c>
      <c r="I3387" s="4">
        <v>9</v>
      </c>
      <c r="J3387" s="5">
        <f>_xlfn.XLOOKUP(tblSales[[#This Row],[Product Code]],tblProducts[Code],tblProducts[Selling Price (excl. VAT)],0)</f>
        <v>45000</v>
      </c>
      <c r="K3387" s="5">
        <f>tblSales[[#This Row],[Qty]]*tblSales[[#This Row],[Unit Price]]</f>
        <v>405000</v>
      </c>
      <c r="L3387" s="5">
        <f>ROUND(tblSales[[#This Row],[DPP (excl. VAT)]]*VATEff,0)</f>
        <v>44550</v>
      </c>
      <c r="M3387" s="5">
        <f>tblSales[[#This Row],[DPP (excl. VAT)]]+tblSales[[#This Row],[Output VAT]]</f>
        <v>449550</v>
      </c>
      <c r="N3387" s="5">
        <f>tblSales[[#This Row],[Qty]]*_xlfn.XLOOKUP(tblSales[[#This Row],[Product Code]],tblProducts[Code],tblProducts[Unit Cost],0)</f>
        <v>216000</v>
      </c>
      <c r="O3387" s="4" t="s">
        <v>4866</v>
      </c>
      <c r="P3387" s="4" t="s">
        <v>4860</v>
      </c>
      <c r="Q3387" s="1" t="str">
        <f>_xlfn.XLOOKUP(tblSales[[#This Row],[Channel Code]],tblChannels[Channel Code],tblChannels[Channel Name],"")</f>
        <v>In-store</v>
      </c>
      <c r="R3387" s="1">
        <f>MONTH(tblSales[[#This Row],[Date]])</f>
        <v>7</v>
      </c>
    </row>
    <row r="3388" spans="2:18" x14ac:dyDescent="0.35">
      <c r="B3388" s="113">
        <v>46224</v>
      </c>
      <c r="C3388" s="4" t="s">
        <v>2277</v>
      </c>
      <c r="D3388" s="4" t="s">
        <v>4568</v>
      </c>
      <c r="E3388" s="1" t="str">
        <f>_xlfn.XLOOKUP(tblSales[[#This Row],[Customer ID]],tblCustomers[Customer ID],tblCustomers[Customer Name],"⚠ Unknown")</f>
        <v>Walk-in Customer</v>
      </c>
      <c r="F3388" s="4" t="s">
        <v>15</v>
      </c>
      <c r="G3388" s="1" t="str">
        <f>_xlfn.XLOOKUP(tblSales[[#This Row],[Product Code]],tblProducts[Code],tblProducts[Product / Service Name],"⚠ Unknown")</f>
        <v>Wireless Earbuds Pro</v>
      </c>
      <c r="H3388" s="1" t="str">
        <f>_xlfn.XLOOKUP(tblSales[[#This Row],[Product Code]],tblProducts[Code],tblProducts[Category],"")</f>
        <v>Bags &amp; Gadgets</v>
      </c>
      <c r="I3388" s="4">
        <v>3</v>
      </c>
      <c r="J3388" s="5">
        <f>_xlfn.XLOOKUP(tblSales[[#This Row],[Product Code]],tblProducts[Code],tblProducts[Selling Price (excl. VAT)],0)</f>
        <v>1250000</v>
      </c>
      <c r="K3388" s="5">
        <f>tblSales[[#This Row],[Qty]]*tblSales[[#This Row],[Unit Price]]</f>
        <v>3750000</v>
      </c>
      <c r="L3388" s="5">
        <f>ROUND(tblSales[[#This Row],[DPP (excl. VAT)]]*VATEff,0)</f>
        <v>412500</v>
      </c>
      <c r="M3388" s="5">
        <f>tblSales[[#This Row],[DPP (excl. VAT)]]+tblSales[[#This Row],[Output VAT]]</f>
        <v>4162500</v>
      </c>
      <c r="N3388" s="5">
        <f>tblSales[[#This Row],[Qty]]*_xlfn.XLOOKUP(tblSales[[#This Row],[Product Code]],tblProducts[Code],tblProducts[Unit Cost],0)</f>
        <v>2460000</v>
      </c>
      <c r="O3388" s="4" t="s">
        <v>4866</v>
      </c>
      <c r="P3388" s="4" t="s">
        <v>4860</v>
      </c>
      <c r="Q3388" s="1" t="str">
        <f>_xlfn.XLOOKUP(tblSales[[#This Row],[Channel Code]],tblChannels[Channel Code],tblChannels[Channel Name],"")</f>
        <v>In-store</v>
      </c>
      <c r="R3388" s="1">
        <f>MONTH(tblSales[[#This Row],[Date]])</f>
        <v>7</v>
      </c>
    </row>
    <row r="3389" spans="2:18" x14ac:dyDescent="0.35">
      <c r="B3389" s="113">
        <v>46224</v>
      </c>
      <c r="C3389" s="4" t="s">
        <v>2278</v>
      </c>
      <c r="D3389" s="4" t="s">
        <v>4568</v>
      </c>
      <c r="E3389" s="1" t="str">
        <f>_xlfn.XLOOKUP(tblSales[[#This Row],[Customer ID]],tblCustomers[Customer ID],tblCustomers[Customer Name],"⚠ Unknown")</f>
        <v>Walk-in Customer</v>
      </c>
      <c r="F3389" s="4" t="s">
        <v>8</v>
      </c>
      <c r="G3389" s="1" t="str">
        <f>_xlfn.XLOOKUP(tblSales[[#This Row],[Product Code]],tblProducts[Code],tblProducts[Product / Service Name],"⚠ Unknown")</f>
        <v>Casual Shorts</v>
      </c>
      <c r="H3389" s="1" t="str">
        <f>_xlfn.XLOOKUP(tblSales[[#This Row],[Product Code]],tblProducts[Code],tblProducts[Category],"")</f>
        <v>Accessories &amp; Basics</v>
      </c>
      <c r="I3389" s="4">
        <v>6</v>
      </c>
      <c r="J3389" s="5">
        <f>_xlfn.XLOOKUP(tblSales[[#This Row],[Product Code]],tblProducts[Code],tblProducts[Selling Price (excl. VAT)],0)</f>
        <v>85000</v>
      </c>
      <c r="K3389" s="5">
        <f>tblSales[[#This Row],[Qty]]*tblSales[[#This Row],[Unit Price]]</f>
        <v>510000</v>
      </c>
      <c r="L3389" s="5">
        <f>ROUND(tblSales[[#This Row],[DPP (excl. VAT)]]*VATEff,0)</f>
        <v>56100</v>
      </c>
      <c r="M3389" s="5">
        <f>tblSales[[#This Row],[DPP (excl. VAT)]]+tblSales[[#This Row],[Output VAT]]</f>
        <v>566100</v>
      </c>
      <c r="N3389" s="5">
        <f>tblSales[[#This Row],[Qty]]*_xlfn.XLOOKUP(tblSales[[#This Row],[Product Code]],tblProducts[Code],tblProducts[Unit Cost],0)</f>
        <v>300000</v>
      </c>
      <c r="O3389" s="4" t="s">
        <v>4866</v>
      </c>
      <c r="P3389" s="4" t="s">
        <v>4862</v>
      </c>
      <c r="Q3389" s="1" t="str">
        <f>_xlfn.XLOOKUP(tblSales[[#This Row],[Channel Code]],tblChannels[Channel Code],tblChannels[Channel Name],"")</f>
        <v>Website &amp; Social Media</v>
      </c>
      <c r="R3389" s="1">
        <f>MONTH(tblSales[[#This Row],[Date]])</f>
        <v>7</v>
      </c>
    </row>
    <row r="3390" spans="2:18" x14ac:dyDescent="0.35">
      <c r="B3390" s="113">
        <v>46224</v>
      </c>
      <c r="C3390" s="4" t="s">
        <v>2279</v>
      </c>
      <c r="D3390" s="4" t="s">
        <v>4568</v>
      </c>
      <c r="E3390" s="1" t="str">
        <f>_xlfn.XLOOKUP(tblSales[[#This Row],[Customer ID]],tblCustomers[Customer ID],tblCustomers[Customer Name],"⚠ Unknown")</f>
        <v>Walk-in Customer</v>
      </c>
      <c r="F3390" s="4" t="s">
        <v>6</v>
      </c>
      <c r="G3390" s="1" t="str">
        <f>_xlfn.XLOOKUP(tblSales[[#This Row],[Product Code]],tblProducts[Code],tblProducts[Product / Service Name],"⚠ Unknown")</f>
        <v>Socks &amp; Accessories</v>
      </c>
      <c r="H3390" s="1" t="str">
        <f>_xlfn.XLOOKUP(tblSales[[#This Row],[Product Code]],tblProducts[Code],tblProducts[Category],"")</f>
        <v>Accessories &amp; Basics</v>
      </c>
      <c r="I3390" s="4">
        <v>5</v>
      </c>
      <c r="J3390" s="5">
        <f>_xlfn.XLOOKUP(tblSales[[#This Row],[Product Code]],tblProducts[Code],tblProducts[Selling Price (excl. VAT)],0)</f>
        <v>45000</v>
      </c>
      <c r="K3390" s="5">
        <f>tblSales[[#This Row],[Qty]]*tblSales[[#This Row],[Unit Price]]</f>
        <v>225000</v>
      </c>
      <c r="L3390" s="5">
        <f>ROUND(tblSales[[#This Row],[DPP (excl. VAT)]]*VATEff,0)</f>
        <v>24750</v>
      </c>
      <c r="M3390" s="5">
        <f>tblSales[[#This Row],[DPP (excl. VAT)]]+tblSales[[#This Row],[Output VAT]]</f>
        <v>249750</v>
      </c>
      <c r="N3390" s="5">
        <f>tblSales[[#This Row],[Qty]]*_xlfn.XLOOKUP(tblSales[[#This Row],[Product Code]],tblProducts[Code],tblProducts[Unit Cost],0)</f>
        <v>120000</v>
      </c>
      <c r="O3390" s="4" t="s">
        <v>4865</v>
      </c>
      <c r="P3390" s="4" t="s">
        <v>4860</v>
      </c>
      <c r="Q3390" s="1" t="str">
        <f>_xlfn.XLOOKUP(tblSales[[#This Row],[Channel Code]],tblChannels[Channel Code],tblChannels[Channel Name],"")</f>
        <v>In-store</v>
      </c>
      <c r="R3390" s="1">
        <f>MONTH(tblSales[[#This Row],[Date]])</f>
        <v>7</v>
      </c>
    </row>
    <row r="3391" spans="2:18" x14ac:dyDescent="0.35">
      <c r="B3391" s="113">
        <v>46225</v>
      </c>
      <c r="C3391" s="4" t="s">
        <v>2280</v>
      </c>
      <c r="D3391" s="4" t="s">
        <v>4613</v>
      </c>
      <c r="E3391" s="1" t="str">
        <f>_xlfn.XLOOKUP(tblSales[[#This Row],[Customer ID]],tblCustomers[Customer ID],tblCustomers[Customer Name],"⚠ Unknown")</f>
        <v>PT Mega Prima Distribusi</v>
      </c>
      <c r="F3391" s="4" t="s">
        <v>7</v>
      </c>
      <c r="G3391" s="1" t="str">
        <f>_xlfn.XLOOKUP(tblSales[[#This Row],[Product Code]],tblProducts[Code],tblProducts[Product / Service Name],"⚠ Unknown")</f>
        <v>Premium Basic T-shirt</v>
      </c>
      <c r="H3391" s="1" t="str">
        <f>_xlfn.XLOOKUP(tblSales[[#This Row],[Product Code]],tblProducts[Code],tblProducts[Category],"")</f>
        <v>Accessories &amp; Basics</v>
      </c>
      <c r="I3391" s="4">
        <v>48</v>
      </c>
      <c r="J3391" s="5">
        <f>_xlfn.XLOOKUP(tblSales[[#This Row],[Product Code]],tblProducts[Code],tblProducts[Selling Price (excl. VAT)],0)</f>
        <v>65000</v>
      </c>
      <c r="K3391" s="5">
        <f>tblSales[[#This Row],[Qty]]*tblSales[[#This Row],[Unit Price]]</f>
        <v>3120000</v>
      </c>
      <c r="L3391" s="5">
        <f>ROUND(tblSales[[#This Row],[DPP (excl. VAT)]]*VATEff,0)</f>
        <v>343200</v>
      </c>
      <c r="M3391" s="5">
        <f>tblSales[[#This Row],[DPP (excl. VAT)]]+tblSales[[#This Row],[Output VAT]]</f>
        <v>3463200</v>
      </c>
      <c r="N3391" s="5">
        <f>tblSales[[#This Row],[Qty]]*_xlfn.XLOOKUP(tblSales[[#This Row],[Product Code]],tblProducts[Code],tblProducts[Unit Cost],0)</f>
        <v>1776000</v>
      </c>
      <c r="O3391" s="4" t="s">
        <v>4867</v>
      </c>
      <c r="P3391" s="4" t="s">
        <v>4860</v>
      </c>
      <c r="Q3391" s="1" t="str">
        <f>_xlfn.XLOOKUP(tblSales[[#This Row],[Channel Code]],tblChannels[Channel Code],tblChannels[Channel Name],"")</f>
        <v>In-store</v>
      </c>
      <c r="R3391" s="1">
        <f>MONTH(tblSales[[#This Row],[Date]])</f>
        <v>7</v>
      </c>
    </row>
    <row r="3392" spans="2:18" x14ac:dyDescent="0.35">
      <c r="B3392" s="113">
        <v>46225</v>
      </c>
      <c r="C3392" s="4" t="s">
        <v>2281</v>
      </c>
      <c r="D3392" s="4" t="s">
        <v>4568</v>
      </c>
      <c r="E3392" s="1" t="str">
        <f>_xlfn.XLOOKUP(tblSales[[#This Row],[Customer ID]],tblCustomers[Customer ID],tblCustomers[Customer Name],"⚠ Unknown")</f>
        <v>Walk-in Customer</v>
      </c>
      <c r="F3392" s="4" t="s">
        <v>9</v>
      </c>
      <c r="G3392" s="1" t="str">
        <f>_xlfn.XLOOKUP(tblSales[[#This Row],[Product Code]],tblProducts[Code],tblProducts[Product / Service Name],"⚠ Unknown")</f>
        <v>Casual Shirt</v>
      </c>
      <c r="H3392" s="1" t="str">
        <f>_xlfn.XLOOKUP(tblSales[[#This Row],[Product Code]],tblProducts[Code],tblProducts[Category],"")</f>
        <v>Apparel &amp; Footwear</v>
      </c>
      <c r="I3392" s="4">
        <v>5</v>
      </c>
      <c r="J3392" s="5">
        <f>_xlfn.XLOOKUP(tblSales[[#This Row],[Product Code]],tblProducts[Code],tblProducts[Selling Price (excl. VAT)],0)</f>
        <v>120000</v>
      </c>
      <c r="K3392" s="5">
        <f>tblSales[[#This Row],[Qty]]*tblSales[[#This Row],[Unit Price]]</f>
        <v>600000</v>
      </c>
      <c r="L3392" s="5">
        <f>ROUND(tblSales[[#This Row],[DPP (excl. VAT)]]*VATEff,0)</f>
        <v>66000</v>
      </c>
      <c r="M3392" s="5">
        <f>tblSales[[#This Row],[DPP (excl. VAT)]]+tblSales[[#This Row],[Output VAT]]</f>
        <v>666000</v>
      </c>
      <c r="N3392" s="5">
        <f>tblSales[[#This Row],[Qty]]*_xlfn.XLOOKUP(tblSales[[#This Row],[Product Code]],tblProducts[Code],tblProducts[Unit Cost],0)</f>
        <v>360000</v>
      </c>
      <c r="O3392" s="4" t="s">
        <v>4866</v>
      </c>
      <c r="P3392" s="4" t="s">
        <v>4861</v>
      </c>
      <c r="Q3392" s="1" t="str">
        <f>_xlfn.XLOOKUP(tblSales[[#This Row],[Channel Code]],tblChannels[Channel Code],tblChannels[Channel Name],"")</f>
        <v>Marketplace</v>
      </c>
      <c r="R3392" s="1">
        <f>MONTH(tblSales[[#This Row],[Date]])</f>
        <v>7</v>
      </c>
    </row>
    <row r="3393" spans="2:18" x14ac:dyDescent="0.35">
      <c r="B3393" s="113">
        <v>46225</v>
      </c>
      <c r="C3393" s="4" t="s">
        <v>2281</v>
      </c>
      <c r="D3393" s="4" t="s">
        <v>4568</v>
      </c>
      <c r="E3393" s="1" t="str">
        <f>_xlfn.XLOOKUP(tblSales[[#This Row],[Customer ID]],tblCustomers[Customer ID],tblCustomers[Customer Name],"⚠ Unknown")</f>
        <v>Walk-in Customer</v>
      </c>
      <c r="F3393" s="4" t="s">
        <v>15</v>
      </c>
      <c r="G3393" s="1" t="str">
        <f>_xlfn.XLOOKUP(tblSales[[#This Row],[Product Code]],tblProducts[Code],tblProducts[Product / Service Name],"⚠ Unknown")</f>
        <v>Wireless Earbuds Pro</v>
      </c>
      <c r="H3393" s="1" t="str">
        <f>_xlfn.XLOOKUP(tblSales[[#This Row],[Product Code]],tblProducts[Code],tblProducts[Category],"")</f>
        <v>Bags &amp; Gadgets</v>
      </c>
      <c r="I3393" s="4">
        <v>1</v>
      </c>
      <c r="J3393" s="5">
        <f>_xlfn.XLOOKUP(tblSales[[#This Row],[Product Code]],tblProducts[Code],tblProducts[Selling Price (excl. VAT)],0)</f>
        <v>1250000</v>
      </c>
      <c r="K3393" s="5">
        <f>tblSales[[#This Row],[Qty]]*tblSales[[#This Row],[Unit Price]]</f>
        <v>1250000</v>
      </c>
      <c r="L3393" s="5">
        <f>ROUND(tblSales[[#This Row],[DPP (excl. VAT)]]*VATEff,0)</f>
        <v>137500</v>
      </c>
      <c r="M3393" s="5">
        <f>tblSales[[#This Row],[DPP (excl. VAT)]]+tblSales[[#This Row],[Output VAT]]</f>
        <v>1387500</v>
      </c>
      <c r="N3393" s="5">
        <f>tblSales[[#This Row],[Qty]]*_xlfn.XLOOKUP(tblSales[[#This Row],[Product Code]],tblProducts[Code],tblProducts[Unit Cost],0)</f>
        <v>820000</v>
      </c>
      <c r="O3393" s="4" t="s">
        <v>4866</v>
      </c>
      <c r="P3393" s="4" t="s">
        <v>4861</v>
      </c>
      <c r="Q3393" s="1" t="str">
        <f>_xlfn.XLOOKUP(tblSales[[#This Row],[Channel Code]],tblChannels[Channel Code],tblChannels[Channel Name],"")</f>
        <v>Marketplace</v>
      </c>
      <c r="R3393" s="1">
        <f>MONTH(tblSales[[#This Row],[Date]])</f>
        <v>7</v>
      </c>
    </row>
    <row r="3394" spans="2:18" x14ac:dyDescent="0.35">
      <c r="B3394" s="113">
        <v>46225</v>
      </c>
      <c r="C3394" s="4" t="s">
        <v>2282</v>
      </c>
      <c r="D3394" s="4" t="s">
        <v>4568</v>
      </c>
      <c r="E3394" s="1" t="str">
        <f>_xlfn.XLOOKUP(tblSales[[#This Row],[Customer ID]],tblCustomers[Customer ID],tblCustomers[Customer Name],"⚠ Unknown")</f>
        <v>Walk-in Customer</v>
      </c>
      <c r="F3394" s="4" t="s">
        <v>13</v>
      </c>
      <c r="G3394" s="1" t="str">
        <f>_xlfn.XLOOKUP(tblSales[[#This Row],[Product Code]],tblProducts[Code],tblProducts[Product / Service Name],"⚠ Unknown")</f>
        <v>Backpack</v>
      </c>
      <c r="H3394" s="1" t="str">
        <f>_xlfn.XLOOKUP(tblSales[[#This Row],[Product Code]],tblProducts[Code],tblProducts[Category],"")</f>
        <v>Bags &amp; Gadgets</v>
      </c>
      <c r="I3394" s="4">
        <v>6</v>
      </c>
      <c r="J3394" s="5">
        <f>_xlfn.XLOOKUP(tblSales[[#This Row],[Product Code]],tblProducts[Code],tblProducts[Selling Price (excl. VAT)],0)</f>
        <v>500000</v>
      </c>
      <c r="K3394" s="5">
        <f>tblSales[[#This Row],[Qty]]*tblSales[[#This Row],[Unit Price]]</f>
        <v>3000000</v>
      </c>
      <c r="L3394" s="5">
        <f>ROUND(tblSales[[#This Row],[DPP (excl. VAT)]]*VATEff,0)</f>
        <v>330000</v>
      </c>
      <c r="M3394" s="5">
        <f>tblSales[[#This Row],[DPP (excl. VAT)]]+tblSales[[#This Row],[Output VAT]]</f>
        <v>3330000</v>
      </c>
      <c r="N3394" s="5">
        <f>tblSales[[#This Row],[Qty]]*_xlfn.XLOOKUP(tblSales[[#This Row],[Product Code]],tblProducts[Code],tblProducts[Unit Cost],0)</f>
        <v>1740000</v>
      </c>
      <c r="O3394" s="4" t="s">
        <v>4866</v>
      </c>
      <c r="P3394" s="4" t="s">
        <v>4861</v>
      </c>
      <c r="Q3394" s="1" t="str">
        <f>_xlfn.XLOOKUP(tblSales[[#This Row],[Channel Code]],tblChannels[Channel Code],tblChannels[Channel Name],"")</f>
        <v>Marketplace</v>
      </c>
      <c r="R3394" s="1">
        <f>MONTH(tblSales[[#This Row],[Date]])</f>
        <v>7</v>
      </c>
    </row>
    <row r="3395" spans="2:18" x14ac:dyDescent="0.35">
      <c r="B3395" s="113">
        <v>46225</v>
      </c>
      <c r="C3395" s="4" t="s">
        <v>2283</v>
      </c>
      <c r="D3395" s="4" t="s">
        <v>4568</v>
      </c>
      <c r="E3395" s="1" t="str">
        <f>_xlfn.XLOOKUP(tblSales[[#This Row],[Customer ID]],tblCustomers[Customer ID],tblCustomers[Customer Name],"⚠ Unknown")</f>
        <v>Walk-in Customer</v>
      </c>
      <c r="F3395" s="4" t="s">
        <v>13</v>
      </c>
      <c r="G3395" s="1" t="str">
        <f>_xlfn.XLOOKUP(tblSales[[#This Row],[Product Code]],tblProducts[Code],tblProducts[Product / Service Name],"⚠ Unknown")</f>
        <v>Backpack</v>
      </c>
      <c r="H3395" s="1" t="str">
        <f>_xlfn.XLOOKUP(tblSales[[#This Row],[Product Code]],tblProducts[Code],tblProducts[Category],"")</f>
        <v>Bags &amp; Gadgets</v>
      </c>
      <c r="I3395" s="4">
        <v>3</v>
      </c>
      <c r="J3395" s="5">
        <f>_xlfn.XLOOKUP(tblSales[[#This Row],[Product Code]],tblProducts[Code],tblProducts[Selling Price (excl. VAT)],0)</f>
        <v>500000</v>
      </c>
      <c r="K3395" s="5">
        <f>tblSales[[#This Row],[Qty]]*tblSales[[#This Row],[Unit Price]]</f>
        <v>1500000</v>
      </c>
      <c r="L3395" s="5">
        <f>ROUND(tblSales[[#This Row],[DPP (excl. VAT)]]*VATEff,0)</f>
        <v>165000</v>
      </c>
      <c r="M3395" s="5">
        <f>tblSales[[#This Row],[DPP (excl. VAT)]]+tblSales[[#This Row],[Output VAT]]</f>
        <v>1665000</v>
      </c>
      <c r="N3395" s="5">
        <f>tblSales[[#This Row],[Qty]]*_xlfn.XLOOKUP(tblSales[[#This Row],[Product Code]],tblProducts[Code],tblProducts[Unit Cost],0)</f>
        <v>870000</v>
      </c>
      <c r="O3395" s="4" t="s">
        <v>4865</v>
      </c>
      <c r="P3395" s="4" t="s">
        <v>4860</v>
      </c>
      <c r="Q3395" s="1" t="str">
        <f>_xlfn.XLOOKUP(tblSales[[#This Row],[Channel Code]],tblChannels[Channel Code],tblChannels[Channel Name],"")</f>
        <v>In-store</v>
      </c>
      <c r="R3395" s="1">
        <f>MONTH(tblSales[[#This Row],[Date]])</f>
        <v>7</v>
      </c>
    </row>
    <row r="3396" spans="2:18" x14ac:dyDescent="0.35">
      <c r="B3396" s="113">
        <v>46225</v>
      </c>
      <c r="C3396" s="4" t="s">
        <v>2284</v>
      </c>
      <c r="D3396" s="4" t="s">
        <v>4634</v>
      </c>
      <c r="E3396" s="1" t="str">
        <f>_xlfn.XLOOKUP(tblSales[[#This Row],[Customer ID]],tblCustomers[Customer ID],tblCustomers[Customer Name],"⚠ Unknown")</f>
        <v>PT Delta Inti Selaras</v>
      </c>
      <c r="F3396" s="4" t="s">
        <v>9</v>
      </c>
      <c r="G3396" s="1" t="str">
        <f>_xlfn.XLOOKUP(tblSales[[#This Row],[Product Code]],tblProducts[Code],tblProducts[Product / Service Name],"⚠ Unknown")</f>
        <v>Casual Shirt</v>
      </c>
      <c r="H3396" s="1" t="str">
        <f>_xlfn.XLOOKUP(tblSales[[#This Row],[Product Code]],tblProducts[Code],tblProducts[Category],"")</f>
        <v>Apparel &amp; Footwear</v>
      </c>
      <c r="I3396" s="4">
        <v>88</v>
      </c>
      <c r="J3396" s="5">
        <f>_xlfn.XLOOKUP(tblSales[[#This Row],[Product Code]],tblProducts[Code],tblProducts[Selling Price (excl. VAT)],0)</f>
        <v>120000</v>
      </c>
      <c r="K3396" s="5">
        <f>tblSales[[#This Row],[Qty]]*tblSales[[#This Row],[Unit Price]]</f>
        <v>10560000</v>
      </c>
      <c r="L3396" s="5">
        <f>ROUND(tblSales[[#This Row],[DPP (excl. VAT)]]*VATEff,0)</f>
        <v>1161600</v>
      </c>
      <c r="M3396" s="5">
        <f>tblSales[[#This Row],[DPP (excl. VAT)]]+tblSales[[#This Row],[Output VAT]]</f>
        <v>11721600</v>
      </c>
      <c r="N3396" s="5">
        <f>tblSales[[#This Row],[Qty]]*_xlfn.XLOOKUP(tblSales[[#This Row],[Product Code]],tblProducts[Code],tblProducts[Unit Cost],0)</f>
        <v>6336000</v>
      </c>
      <c r="O3396" s="4" t="s">
        <v>4867</v>
      </c>
      <c r="P3396" s="4" t="s">
        <v>4860</v>
      </c>
      <c r="Q3396" s="1" t="str">
        <f>_xlfn.XLOOKUP(tblSales[[#This Row],[Channel Code]],tblChannels[Channel Code],tblChannels[Channel Name],"")</f>
        <v>In-store</v>
      </c>
      <c r="R3396" s="1">
        <f>MONTH(tblSales[[#This Row],[Date]])</f>
        <v>7</v>
      </c>
    </row>
    <row r="3397" spans="2:18" x14ac:dyDescent="0.35">
      <c r="B3397" s="113">
        <v>46225</v>
      </c>
      <c r="C3397" s="4" t="s">
        <v>2285</v>
      </c>
      <c r="D3397" s="4" t="s">
        <v>4568</v>
      </c>
      <c r="E3397" s="1" t="str">
        <f>_xlfn.XLOOKUP(tblSales[[#This Row],[Customer ID]],tblCustomers[Customer ID],tblCustomers[Customer Name],"⚠ Unknown")</f>
        <v>Walk-in Customer</v>
      </c>
      <c r="F3397" s="4" t="s">
        <v>8</v>
      </c>
      <c r="G3397" s="1" t="str">
        <f>_xlfn.XLOOKUP(tblSales[[#This Row],[Product Code]],tblProducts[Code],tblProducts[Product / Service Name],"⚠ Unknown")</f>
        <v>Casual Shorts</v>
      </c>
      <c r="H3397" s="1" t="str">
        <f>_xlfn.XLOOKUP(tblSales[[#This Row],[Product Code]],tblProducts[Code],tblProducts[Category],"")</f>
        <v>Accessories &amp; Basics</v>
      </c>
      <c r="I3397" s="4">
        <v>9</v>
      </c>
      <c r="J3397" s="5">
        <f>_xlfn.XLOOKUP(tblSales[[#This Row],[Product Code]],tblProducts[Code],tblProducts[Selling Price (excl. VAT)],0)</f>
        <v>85000</v>
      </c>
      <c r="K3397" s="5">
        <f>tblSales[[#This Row],[Qty]]*tblSales[[#This Row],[Unit Price]]</f>
        <v>765000</v>
      </c>
      <c r="L3397" s="5">
        <f>ROUND(tblSales[[#This Row],[DPP (excl. VAT)]]*VATEff,0)</f>
        <v>84150</v>
      </c>
      <c r="M3397" s="5">
        <f>tblSales[[#This Row],[DPP (excl. VAT)]]+tblSales[[#This Row],[Output VAT]]</f>
        <v>849150</v>
      </c>
      <c r="N3397" s="5">
        <f>tblSales[[#This Row],[Qty]]*_xlfn.XLOOKUP(tblSales[[#This Row],[Product Code]],tblProducts[Code],tblProducts[Unit Cost],0)</f>
        <v>450000</v>
      </c>
      <c r="O3397" s="4" t="s">
        <v>4866</v>
      </c>
      <c r="P3397" s="4" t="s">
        <v>4861</v>
      </c>
      <c r="Q3397" s="1" t="str">
        <f>_xlfn.XLOOKUP(tblSales[[#This Row],[Channel Code]],tblChannels[Channel Code],tblChannels[Channel Name],"")</f>
        <v>Marketplace</v>
      </c>
      <c r="R3397" s="1">
        <f>MONTH(tblSales[[#This Row],[Date]])</f>
        <v>7</v>
      </c>
    </row>
    <row r="3398" spans="2:18" x14ac:dyDescent="0.35">
      <c r="B3398" s="113">
        <v>46225</v>
      </c>
      <c r="C3398" s="4" t="s">
        <v>2286</v>
      </c>
      <c r="D3398" s="4" t="s">
        <v>4585</v>
      </c>
      <c r="E3398" s="1" t="str">
        <f>_xlfn.XLOOKUP(tblSales[[#This Row],[Customer ID]],tblCustomers[Customer ID],tblCustomers[Customer Name],"⚠ Unknown")</f>
        <v>CV Mitra Karya Mandiri</v>
      </c>
      <c r="F3398" s="4" t="s">
        <v>7</v>
      </c>
      <c r="G3398" s="1" t="str">
        <f>_xlfn.XLOOKUP(tblSales[[#This Row],[Product Code]],tblProducts[Code],tblProducts[Product / Service Name],"⚠ Unknown")</f>
        <v>Premium Basic T-shirt</v>
      </c>
      <c r="H3398" s="1" t="str">
        <f>_xlfn.XLOOKUP(tblSales[[#This Row],[Product Code]],tblProducts[Code],tblProducts[Category],"")</f>
        <v>Accessories &amp; Basics</v>
      </c>
      <c r="I3398" s="4">
        <v>8</v>
      </c>
      <c r="J3398" s="5">
        <f>_xlfn.XLOOKUP(tblSales[[#This Row],[Product Code]],tblProducts[Code],tblProducts[Selling Price (excl. VAT)],0)</f>
        <v>65000</v>
      </c>
      <c r="K3398" s="5">
        <f>tblSales[[#This Row],[Qty]]*tblSales[[#This Row],[Unit Price]]</f>
        <v>520000</v>
      </c>
      <c r="L3398" s="5">
        <f>ROUND(tblSales[[#This Row],[DPP (excl. VAT)]]*VATEff,0)</f>
        <v>57200</v>
      </c>
      <c r="M3398" s="5">
        <f>tblSales[[#This Row],[DPP (excl. VAT)]]+tblSales[[#This Row],[Output VAT]]</f>
        <v>577200</v>
      </c>
      <c r="N3398" s="5">
        <f>tblSales[[#This Row],[Qty]]*_xlfn.XLOOKUP(tblSales[[#This Row],[Product Code]],tblProducts[Code],tblProducts[Unit Cost],0)</f>
        <v>296000</v>
      </c>
      <c r="O3398" s="4" t="s">
        <v>4867</v>
      </c>
      <c r="P3398" s="4" t="s">
        <v>4860</v>
      </c>
      <c r="Q3398" s="1" t="str">
        <f>_xlfn.XLOOKUP(tblSales[[#This Row],[Channel Code]],tblChannels[Channel Code],tblChannels[Channel Name],"")</f>
        <v>In-store</v>
      </c>
      <c r="R3398" s="1">
        <f>MONTH(tblSales[[#This Row],[Date]])</f>
        <v>7</v>
      </c>
    </row>
    <row r="3399" spans="2:18" x14ac:dyDescent="0.35">
      <c r="B3399" s="113">
        <v>46225</v>
      </c>
      <c r="C3399" s="4" t="s">
        <v>2286</v>
      </c>
      <c r="D3399" s="4" t="s">
        <v>4585</v>
      </c>
      <c r="E3399" s="1" t="str">
        <f>_xlfn.XLOOKUP(tblSales[[#This Row],[Customer ID]],tblCustomers[Customer ID],tblCustomers[Customer Name],"⚠ Unknown")</f>
        <v>CV Mitra Karya Mandiri</v>
      </c>
      <c r="F3399" s="4" t="s">
        <v>9</v>
      </c>
      <c r="G3399" s="1" t="str">
        <f>_xlfn.XLOOKUP(tblSales[[#This Row],[Product Code]],tblProducts[Code],tblProducts[Product / Service Name],"⚠ Unknown")</f>
        <v>Casual Shirt</v>
      </c>
      <c r="H3399" s="1" t="str">
        <f>_xlfn.XLOOKUP(tblSales[[#This Row],[Product Code]],tblProducts[Code],tblProducts[Category],"")</f>
        <v>Apparel &amp; Footwear</v>
      </c>
      <c r="I3399" s="4">
        <v>24</v>
      </c>
      <c r="J3399" s="5">
        <f>_xlfn.XLOOKUP(tblSales[[#This Row],[Product Code]],tblProducts[Code],tblProducts[Selling Price (excl. VAT)],0)</f>
        <v>120000</v>
      </c>
      <c r="K3399" s="5">
        <f>tblSales[[#This Row],[Qty]]*tblSales[[#This Row],[Unit Price]]</f>
        <v>2880000</v>
      </c>
      <c r="L3399" s="5">
        <f>ROUND(tblSales[[#This Row],[DPP (excl. VAT)]]*VATEff,0)</f>
        <v>316800</v>
      </c>
      <c r="M3399" s="5">
        <f>tblSales[[#This Row],[DPP (excl. VAT)]]+tblSales[[#This Row],[Output VAT]]</f>
        <v>3196800</v>
      </c>
      <c r="N3399" s="5">
        <f>tblSales[[#This Row],[Qty]]*_xlfn.XLOOKUP(tblSales[[#This Row],[Product Code]],tblProducts[Code],tblProducts[Unit Cost],0)</f>
        <v>1728000</v>
      </c>
      <c r="O3399" s="4" t="s">
        <v>4867</v>
      </c>
      <c r="P3399" s="4" t="s">
        <v>4860</v>
      </c>
      <c r="Q3399" s="1" t="str">
        <f>_xlfn.XLOOKUP(tblSales[[#This Row],[Channel Code]],tblChannels[Channel Code],tblChannels[Channel Name],"")</f>
        <v>In-store</v>
      </c>
      <c r="R3399" s="1">
        <f>MONTH(tblSales[[#This Row],[Date]])</f>
        <v>7</v>
      </c>
    </row>
    <row r="3400" spans="2:18" x14ac:dyDescent="0.35">
      <c r="B3400" s="113">
        <v>46225</v>
      </c>
      <c r="C3400" s="4" t="s">
        <v>2286</v>
      </c>
      <c r="D3400" s="4" t="s">
        <v>4585</v>
      </c>
      <c r="E3400" s="1" t="str">
        <f>_xlfn.XLOOKUP(tblSales[[#This Row],[Customer ID]],tblCustomers[Customer ID],tblCustomers[Customer Name],"⚠ Unknown")</f>
        <v>CV Mitra Karya Mandiri</v>
      </c>
      <c r="F3400" s="4" t="s">
        <v>6</v>
      </c>
      <c r="G3400" s="1" t="str">
        <f>_xlfn.XLOOKUP(tblSales[[#This Row],[Product Code]],tblProducts[Code],tblProducts[Product / Service Name],"⚠ Unknown")</f>
        <v>Socks &amp; Accessories</v>
      </c>
      <c r="H3400" s="1" t="str">
        <f>_xlfn.XLOOKUP(tblSales[[#This Row],[Product Code]],tblProducts[Code],tblProducts[Category],"")</f>
        <v>Accessories &amp; Basics</v>
      </c>
      <c r="I3400" s="4">
        <v>88</v>
      </c>
      <c r="J3400" s="5">
        <f>_xlfn.XLOOKUP(tblSales[[#This Row],[Product Code]],tblProducts[Code],tblProducts[Selling Price (excl. VAT)],0)</f>
        <v>45000</v>
      </c>
      <c r="K3400" s="5">
        <f>tblSales[[#This Row],[Qty]]*tblSales[[#This Row],[Unit Price]]</f>
        <v>3960000</v>
      </c>
      <c r="L3400" s="5">
        <f>ROUND(tblSales[[#This Row],[DPP (excl. VAT)]]*VATEff,0)</f>
        <v>435600</v>
      </c>
      <c r="M3400" s="5">
        <f>tblSales[[#This Row],[DPP (excl. VAT)]]+tblSales[[#This Row],[Output VAT]]</f>
        <v>4395600</v>
      </c>
      <c r="N3400" s="5">
        <f>tblSales[[#This Row],[Qty]]*_xlfn.XLOOKUP(tblSales[[#This Row],[Product Code]],tblProducts[Code],tblProducts[Unit Cost],0)</f>
        <v>2112000</v>
      </c>
      <c r="O3400" s="4" t="s">
        <v>4867</v>
      </c>
      <c r="P3400" s="4" t="s">
        <v>4860</v>
      </c>
      <c r="Q3400" s="1" t="str">
        <f>_xlfn.XLOOKUP(tblSales[[#This Row],[Channel Code]],tblChannels[Channel Code],tblChannels[Channel Name],"")</f>
        <v>In-store</v>
      </c>
      <c r="R3400" s="1">
        <f>MONTH(tblSales[[#This Row],[Date]])</f>
        <v>7</v>
      </c>
    </row>
    <row r="3401" spans="2:18" x14ac:dyDescent="0.35">
      <c r="B3401" s="113">
        <v>46225</v>
      </c>
      <c r="C3401" s="4" t="s">
        <v>2287</v>
      </c>
      <c r="D3401" s="4" t="s">
        <v>4568</v>
      </c>
      <c r="E3401" s="1" t="str">
        <f>_xlfn.XLOOKUP(tblSales[[#This Row],[Customer ID]],tblCustomers[Customer ID],tblCustomers[Customer Name],"⚠ Unknown")</f>
        <v>Walk-in Customer</v>
      </c>
      <c r="F3401" s="4" t="s">
        <v>12</v>
      </c>
      <c r="G3401" s="1" t="str">
        <f>_xlfn.XLOOKUP(tblSales[[#This Row],[Product Code]],tblProducts[Code],tblProducts[Product / Service Name],"⚠ Unknown")</f>
        <v>Bomber Jacket</v>
      </c>
      <c r="H3401" s="1" t="str">
        <f>_xlfn.XLOOKUP(tblSales[[#This Row],[Product Code]],tblProducts[Code],tblProducts[Category],"")</f>
        <v>Apparel &amp; Footwear</v>
      </c>
      <c r="I3401" s="4">
        <v>6</v>
      </c>
      <c r="J3401" s="5">
        <f>_xlfn.XLOOKUP(tblSales[[#This Row],[Product Code]],tblProducts[Code],tblProducts[Selling Price (excl. VAT)],0)</f>
        <v>350000</v>
      </c>
      <c r="K3401" s="5">
        <f>tblSales[[#This Row],[Qty]]*tblSales[[#This Row],[Unit Price]]</f>
        <v>2100000</v>
      </c>
      <c r="L3401" s="5">
        <f>ROUND(tblSales[[#This Row],[DPP (excl. VAT)]]*VATEff,0)</f>
        <v>231000</v>
      </c>
      <c r="M3401" s="5">
        <f>tblSales[[#This Row],[DPP (excl. VAT)]]+tblSales[[#This Row],[Output VAT]]</f>
        <v>2331000</v>
      </c>
      <c r="N3401" s="5">
        <f>tblSales[[#This Row],[Qty]]*_xlfn.XLOOKUP(tblSales[[#This Row],[Product Code]],tblProducts[Code],tblProducts[Unit Cost],0)</f>
        <v>1260000</v>
      </c>
      <c r="O3401" s="4" t="s">
        <v>4866</v>
      </c>
      <c r="P3401" s="4" t="s">
        <v>4860</v>
      </c>
      <c r="Q3401" s="1" t="str">
        <f>_xlfn.XLOOKUP(tblSales[[#This Row],[Channel Code]],tblChannels[Channel Code],tblChannels[Channel Name],"")</f>
        <v>In-store</v>
      </c>
      <c r="R3401" s="1">
        <f>MONTH(tblSales[[#This Row],[Date]])</f>
        <v>7</v>
      </c>
    </row>
    <row r="3402" spans="2:18" x14ac:dyDescent="0.35">
      <c r="B3402" s="113">
        <v>46225</v>
      </c>
      <c r="C3402" s="4" t="s">
        <v>2288</v>
      </c>
      <c r="D3402" s="4" t="s">
        <v>4568</v>
      </c>
      <c r="E3402" s="1" t="str">
        <f>_xlfn.XLOOKUP(tblSales[[#This Row],[Customer ID]],tblCustomers[Customer ID],tblCustomers[Customer Name],"⚠ Unknown")</f>
        <v>Walk-in Customer</v>
      </c>
      <c r="F3402" s="4" t="s">
        <v>13</v>
      </c>
      <c r="G3402" s="1" t="str">
        <f>_xlfn.XLOOKUP(tblSales[[#This Row],[Product Code]],tblProducts[Code],tblProducts[Product / Service Name],"⚠ Unknown")</f>
        <v>Backpack</v>
      </c>
      <c r="H3402" s="1" t="str">
        <f>_xlfn.XLOOKUP(tblSales[[#This Row],[Product Code]],tblProducts[Code],tblProducts[Category],"")</f>
        <v>Bags &amp; Gadgets</v>
      </c>
      <c r="I3402" s="4">
        <v>2</v>
      </c>
      <c r="J3402" s="5">
        <f>_xlfn.XLOOKUP(tblSales[[#This Row],[Product Code]],tblProducts[Code],tblProducts[Selling Price (excl. VAT)],0)</f>
        <v>500000</v>
      </c>
      <c r="K3402" s="5">
        <f>tblSales[[#This Row],[Qty]]*tblSales[[#This Row],[Unit Price]]</f>
        <v>1000000</v>
      </c>
      <c r="L3402" s="5">
        <f>ROUND(tblSales[[#This Row],[DPP (excl. VAT)]]*VATEff,0)</f>
        <v>110000</v>
      </c>
      <c r="M3402" s="5">
        <f>tblSales[[#This Row],[DPP (excl. VAT)]]+tblSales[[#This Row],[Output VAT]]</f>
        <v>1110000</v>
      </c>
      <c r="N3402" s="5">
        <f>tblSales[[#This Row],[Qty]]*_xlfn.XLOOKUP(tblSales[[#This Row],[Product Code]],tblProducts[Code],tblProducts[Unit Cost],0)</f>
        <v>580000</v>
      </c>
      <c r="O3402" s="4" t="s">
        <v>4865</v>
      </c>
      <c r="P3402" s="4" t="s">
        <v>4860</v>
      </c>
      <c r="Q3402" s="1" t="str">
        <f>_xlfn.XLOOKUP(tblSales[[#This Row],[Channel Code]],tblChannels[Channel Code],tblChannels[Channel Name],"")</f>
        <v>In-store</v>
      </c>
      <c r="R3402" s="1">
        <f>MONTH(tblSales[[#This Row],[Date]])</f>
        <v>7</v>
      </c>
    </row>
    <row r="3403" spans="2:18" x14ac:dyDescent="0.35">
      <c r="B3403" s="113">
        <v>46225</v>
      </c>
      <c r="C3403" s="4" t="s">
        <v>2289</v>
      </c>
      <c r="D3403" s="4" t="s">
        <v>4641</v>
      </c>
      <c r="E3403" s="1" t="str">
        <f>_xlfn.XLOOKUP(tblSales[[#This Row],[Customer ID]],tblCustomers[Customer ID],tblCustomers[Customer Name],"⚠ Unknown")</f>
        <v>PT Harmoni Pangan Lestari</v>
      </c>
      <c r="F3403" s="4" t="s">
        <v>6</v>
      </c>
      <c r="G3403" s="1" t="str">
        <f>_xlfn.XLOOKUP(tblSales[[#This Row],[Product Code]],tblProducts[Code],tblProducts[Product / Service Name],"⚠ Unknown")</f>
        <v>Socks &amp; Accessories</v>
      </c>
      <c r="H3403" s="1" t="str">
        <f>_xlfn.XLOOKUP(tblSales[[#This Row],[Product Code]],tblProducts[Code],tblProducts[Category],"")</f>
        <v>Accessories &amp; Basics</v>
      </c>
      <c r="I3403" s="4">
        <v>40</v>
      </c>
      <c r="J3403" s="5">
        <f>_xlfn.XLOOKUP(tblSales[[#This Row],[Product Code]],tblProducts[Code],tblProducts[Selling Price (excl. VAT)],0)</f>
        <v>45000</v>
      </c>
      <c r="K3403" s="5">
        <f>tblSales[[#This Row],[Qty]]*tblSales[[#This Row],[Unit Price]]</f>
        <v>1800000</v>
      </c>
      <c r="L3403" s="5">
        <f>ROUND(tblSales[[#This Row],[DPP (excl. VAT)]]*VATEff,0)</f>
        <v>198000</v>
      </c>
      <c r="M3403" s="5">
        <f>tblSales[[#This Row],[DPP (excl. VAT)]]+tblSales[[#This Row],[Output VAT]]</f>
        <v>1998000</v>
      </c>
      <c r="N3403" s="5">
        <f>tblSales[[#This Row],[Qty]]*_xlfn.XLOOKUP(tblSales[[#This Row],[Product Code]],tblProducts[Code],tblProducts[Unit Cost],0)</f>
        <v>960000</v>
      </c>
      <c r="O3403" s="4" t="s">
        <v>4867</v>
      </c>
      <c r="P3403" s="4" t="s">
        <v>4860</v>
      </c>
      <c r="Q3403" s="1" t="str">
        <f>_xlfn.XLOOKUP(tblSales[[#This Row],[Channel Code]],tblChannels[Channel Code],tblChannels[Channel Name],"")</f>
        <v>In-store</v>
      </c>
      <c r="R3403" s="1">
        <f>MONTH(tblSales[[#This Row],[Date]])</f>
        <v>7</v>
      </c>
    </row>
    <row r="3404" spans="2:18" x14ac:dyDescent="0.35">
      <c r="B3404" s="113">
        <v>46225</v>
      </c>
      <c r="C3404" s="4" t="s">
        <v>2290</v>
      </c>
      <c r="D3404" s="4" t="s">
        <v>4568</v>
      </c>
      <c r="E3404" s="1" t="str">
        <f>_xlfn.XLOOKUP(tblSales[[#This Row],[Customer ID]],tblCustomers[Customer ID],tblCustomers[Customer Name],"⚠ Unknown")</f>
        <v>Walk-in Customer</v>
      </c>
      <c r="F3404" s="4" t="s">
        <v>7</v>
      </c>
      <c r="G3404" s="1" t="str">
        <f>_xlfn.XLOOKUP(tblSales[[#This Row],[Product Code]],tblProducts[Code],tblProducts[Product / Service Name],"⚠ Unknown")</f>
        <v>Premium Basic T-shirt</v>
      </c>
      <c r="H3404" s="1" t="str">
        <f>_xlfn.XLOOKUP(tblSales[[#This Row],[Product Code]],tblProducts[Code],tblProducts[Category],"")</f>
        <v>Accessories &amp; Basics</v>
      </c>
      <c r="I3404" s="4">
        <v>7</v>
      </c>
      <c r="J3404" s="5">
        <f>_xlfn.XLOOKUP(tblSales[[#This Row],[Product Code]],tblProducts[Code],tblProducts[Selling Price (excl. VAT)],0)</f>
        <v>65000</v>
      </c>
      <c r="K3404" s="5">
        <f>tblSales[[#This Row],[Qty]]*tblSales[[#This Row],[Unit Price]]</f>
        <v>455000</v>
      </c>
      <c r="L3404" s="5">
        <f>ROUND(tblSales[[#This Row],[DPP (excl. VAT)]]*VATEff,0)</f>
        <v>50050</v>
      </c>
      <c r="M3404" s="5">
        <f>tblSales[[#This Row],[DPP (excl. VAT)]]+tblSales[[#This Row],[Output VAT]]</f>
        <v>505050</v>
      </c>
      <c r="N3404" s="5">
        <f>tblSales[[#This Row],[Qty]]*_xlfn.XLOOKUP(tblSales[[#This Row],[Product Code]],tblProducts[Code],tblProducts[Unit Cost],0)</f>
        <v>259000</v>
      </c>
      <c r="O3404" s="4" t="s">
        <v>4866</v>
      </c>
      <c r="P3404" s="4" t="s">
        <v>4860</v>
      </c>
      <c r="Q3404" s="1" t="str">
        <f>_xlfn.XLOOKUP(tblSales[[#This Row],[Channel Code]],tblChannels[Channel Code],tblChannels[Channel Name],"")</f>
        <v>In-store</v>
      </c>
      <c r="R3404" s="1">
        <f>MONTH(tblSales[[#This Row],[Date]])</f>
        <v>7</v>
      </c>
    </row>
    <row r="3405" spans="2:18" x14ac:dyDescent="0.35">
      <c r="B3405" s="113">
        <v>46225</v>
      </c>
      <c r="C3405" s="4" t="s">
        <v>2290</v>
      </c>
      <c r="D3405" s="4" t="s">
        <v>4568</v>
      </c>
      <c r="E3405" s="1" t="str">
        <f>_xlfn.XLOOKUP(tblSales[[#This Row],[Customer ID]],tblCustomers[Customer ID],tblCustomers[Customer Name],"⚠ Unknown")</f>
        <v>Walk-in Customer</v>
      </c>
      <c r="F3405" s="4" t="s">
        <v>8</v>
      </c>
      <c r="G3405" s="1" t="str">
        <f>_xlfn.XLOOKUP(tblSales[[#This Row],[Product Code]],tblProducts[Code],tblProducts[Product / Service Name],"⚠ Unknown")</f>
        <v>Casual Shorts</v>
      </c>
      <c r="H3405" s="1" t="str">
        <f>_xlfn.XLOOKUP(tblSales[[#This Row],[Product Code]],tblProducts[Code],tblProducts[Category],"")</f>
        <v>Accessories &amp; Basics</v>
      </c>
      <c r="I3405" s="4">
        <v>7</v>
      </c>
      <c r="J3405" s="5">
        <f>_xlfn.XLOOKUP(tblSales[[#This Row],[Product Code]],tblProducts[Code],tblProducts[Selling Price (excl. VAT)],0)</f>
        <v>85000</v>
      </c>
      <c r="K3405" s="5">
        <f>tblSales[[#This Row],[Qty]]*tblSales[[#This Row],[Unit Price]]</f>
        <v>595000</v>
      </c>
      <c r="L3405" s="5">
        <f>ROUND(tblSales[[#This Row],[DPP (excl. VAT)]]*VATEff,0)</f>
        <v>65450</v>
      </c>
      <c r="M3405" s="5">
        <f>tblSales[[#This Row],[DPP (excl. VAT)]]+tblSales[[#This Row],[Output VAT]]</f>
        <v>660450</v>
      </c>
      <c r="N3405" s="5">
        <f>tblSales[[#This Row],[Qty]]*_xlfn.XLOOKUP(tblSales[[#This Row],[Product Code]],tblProducts[Code],tblProducts[Unit Cost],0)</f>
        <v>350000</v>
      </c>
      <c r="O3405" s="4" t="s">
        <v>4866</v>
      </c>
      <c r="P3405" s="4" t="s">
        <v>4860</v>
      </c>
      <c r="Q3405" s="1" t="str">
        <f>_xlfn.XLOOKUP(tblSales[[#This Row],[Channel Code]],tblChannels[Channel Code],tblChannels[Channel Name],"")</f>
        <v>In-store</v>
      </c>
      <c r="R3405" s="1">
        <f>MONTH(tblSales[[#This Row],[Date]])</f>
        <v>7</v>
      </c>
    </row>
    <row r="3406" spans="2:18" x14ac:dyDescent="0.35">
      <c r="B3406" s="113">
        <v>46225</v>
      </c>
      <c r="C3406" s="4" t="s">
        <v>2291</v>
      </c>
      <c r="D3406" s="4" t="s">
        <v>4568</v>
      </c>
      <c r="E3406" s="1" t="str">
        <f>_xlfn.XLOOKUP(tblSales[[#This Row],[Customer ID]],tblCustomers[Customer ID],tblCustomers[Customer Name],"⚠ Unknown")</f>
        <v>Walk-in Customer</v>
      </c>
      <c r="F3406" s="4" t="s">
        <v>7</v>
      </c>
      <c r="G3406" s="1" t="str">
        <f>_xlfn.XLOOKUP(tblSales[[#This Row],[Product Code]],tblProducts[Code],tblProducts[Product / Service Name],"⚠ Unknown")</f>
        <v>Premium Basic T-shirt</v>
      </c>
      <c r="H3406" s="1" t="str">
        <f>_xlfn.XLOOKUP(tblSales[[#This Row],[Product Code]],tblProducts[Code],tblProducts[Category],"")</f>
        <v>Accessories &amp; Basics</v>
      </c>
      <c r="I3406" s="4">
        <v>6</v>
      </c>
      <c r="J3406" s="5">
        <f>_xlfn.XLOOKUP(tblSales[[#This Row],[Product Code]],tblProducts[Code],tblProducts[Selling Price (excl. VAT)],0)</f>
        <v>65000</v>
      </c>
      <c r="K3406" s="5">
        <f>tblSales[[#This Row],[Qty]]*tblSales[[#This Row],[Unit Price]]</f>
        <v>390000</v>
      </c>
      <c r="L3406" s="5">
        <f>ROUND(tblSales[[#This Row],[DPP (excl. VAT)]]*VATEff,0)</f>
        <v>42900</v>
      </c>
      <c r="M3406" s="5">
        <f>tblSales[[#This Row],[DPP (excl. VAT)]]+tblSales[[#This Row],[Output VAT]]</f>
        <v>432900</v>
      </c>
      <c r="N3406" s="5">
        <f>tblSales[[#This Row],[Qty]]*_xlfn.XLOOKUP(tblSales[[#This Row],[Product Code]],tblProducts[Code],tblProducts[Unit Cost],0)</f>
        <v>222000</v>
      </c>
      <c r="O3406" s="4" t="s">
        <v>4866</v>
      </c>
      <c r="P3406" s="4" t="s">
        <v>4862</v>
      </c>
      <c r="Q3406" s="1" t="str">
        <f>_xlfn.XLOOKUP(tblSales[[#This Row],[Channel Code]],tblChannels[Channel Code],tblChannels[Channel Name],"")</f>
        <v>Website &amp; Social Media</v>
      </c>
      <c r="R3406" s="1">
        <f>MONTH(tblSales[[#This Row],[Date]])</f>
        <v>7</v>
      </c>
    </row>
    <row r="3407" spans="2:18" x14ac:dyDescent="0.35">
      <c r="B3407" s="113">
        <v>46225</v>
      </c>
      <c r="C3407" s="4" t="s">
        <v>2291</v>
      </c>
      <c r="D3407" s="4" t="s">
        <v>4568</v>
      </c>
      <c r="E3407" s="1" t="str">
        <f>_xlfn.XLOOKUP(tblSales[[#This Row],[Customer ID]],tblCustomers[Customer ID],tblCustomers[Customer Name],"⚠ Unknown")</f>
        <v>Walk-in Customer</v>
      </c>
      <c r="F3407" s="4" t="s">
        <v>11</v>
      </c>
      <c r="G3407" s="1" t="str">
        <f>_xlfn.XLOOKUP(tblSales[[#This Row],[Product Code]],tblProducts[Code],tblProducts[Product / Service Name],"⚠ Unknown")</f>
        <v>Sneakers</v>
      </c>
      <c r="H3407" s="1" t="str">
        <f>_xlfn.XLOOKUP(tblSales[[#This Row],[Product Code]],tblProducts[Code],tblProducts[Category],"")</f>
        <v>Apparel &amp; Footwear</v>
      </c>
      <c r="I3407" s="4">
        <v>6</v>
      </c>
      <c r="J3407" s="5">
        <f>_xlfn.XLOOKUP(tblSales[[#This Row],[Product Code]],tblProducts[Code],tblProducts[Selling Price (excl. VAT)],0)</f>
        <v>250000</v>
      </c>
      <c r="K3407" s="5">
        <f>tblSales[[#This Row],[Qty]]*tblSales[[#This Row],[Unit Price]]</f>
        <v>1500000</v>
      </c>
      <c r="L3407" s="5">
        <f>ROUND(tblSales[[#This Row],[DPP (excl. VAT)]]*VATEff,0)</f>
        <v>165000</v>
      </c>
      <c r="M3407" s="5">
        <f>tblSales[[#This Row],[DPP (excl. VAT)]]+tblSales[[#This Row],[Output VAT]]</f>
        <v>1665000</v>
      </c>
      <c r="N3407" s="5">
        <f>tblSales[[#This Row],[Qty]]*_xlfn.XLOOKUP(tblSales[[#This Row],[Product Code]],tblProducts[Code],tblProducts[Unit Cost],0)</f>
        <v>930000</v>
      </c>
      <c r="O3407" s="4" t="s">
        <v>4866</v>
      </c>
      <c r="P3407" s="4" t="s">
        <v>4862</v>
      </c>
      <c r="Q3407" s="1" t="str">
        <f>_xlfn.XLOOKUP(tblSales[[#This Row],[Channel Code]],tblChannels[Channel Code],tblChannels[Channel Name],"")</f>
        <v>Website &amp; Social Media</v>
      </c>
      <c r="R3407" s="1">
        <f>MONTH(tblSales[[#This Row],[Date]])</f>
        <v>7</v>
      </c>
    </row>
    <row r="3408" spans="2:18" x14ac:dyDescent="0.35">
      <c r="B3408" s="113">
        <v>46226</v>
      </c>
      <c r="C3408" s="4" t="s">
        <v>2292</v>
      </c>
      <c r="D3408" s="4" t="s">
        <v>4568</v>
      </c>
      <c r="E3408" s="1" t="str">
        <f>_xlfn.XLOOKUP(tblSales[[#This Row],[Customer ID]],tblCustomers[Customer ID],tblCustomers[Customer Name],"⚠ Unknown")</f>
        <v>Walk-in Customer</v>
      </c>
      <c r="F3408" s="4" t="s">
        <v>15</v>
      </c>
      <c r="G3408" s="1" t="str">
        <f>_xlfn.XLOOKUP(tblSales[[#This Row],[Product Code]],tblProducts[Code],tblProducts[Product / Service Name],"⚠ Unknown")</f>
        <v>Wireless Earbuds Pro</v>
      </c>
      <c r="H3408" s="1" t="str">
        <f>_xlfn.XLOOKUP(tblSales[[#This Row],[Product Code]],tblProducts[Code],tblProducts[Category],"")</f>
        <v>Bags &amp; Gadgets</v>
      </c>
      <c r="I3408" s="4">
        <v>3</v>
      </c>
      <c r="J3408" s="5">
        <f>_xlfn.XLOOKUP(tblSales[[#This Row],[Product Code]],tblProducts[Code],tblProducts[Selling Price (excl. VAT)],0)</f>
        <v>1250000</v>
      </c>
      <c r="K3408" s="5">
        <f>tblSales[[#This Row],[Qty]]*tblSales[[#This Row],[Unit Price]]</f>
        <v>3750000</v>
      </c>
      <c r="L3408" s="5">
        <f>ROUND(tblSales[[#This Row],[DPP (excl. VAT)]]*VATEff,0)</f>
        <v>412500</v>
      </c>
      <c r="M3408" s="5">
        <f>tblSales[[#This Row],[DPP (excl. VAT)]]+tblSales[[#This Row],[Output VAT]]</f>
        <v>4162500</v>
      </c>
      <c r="N3408" s="5">
        <f>tblSales[[#This Row],[Qty]]*_xlfn.XLOOKUP(tblSales[[#This Row],[Product Code]],tblProducts[Code],tblProducts[Unit Cost],0)</f>
        <v>2460000</v>
      </c>
      <c r="O3408" s="4" t="s">
        <v>4865</v>
      </c>
      <c r="P3408" s="4" t="s">
        <v>4860</v>
      </c>
      <c r="Q3408" s="1" t="str">
        <f>_xlfn.XLOOKUP(tblSales[[#This Row],[Channel Code]],tblChannels[Channel Code],tblChannels[Channel Name],"")</f>
        <v>In-store</v>
      </c>
      <c r="R3408" s="1">
        <f>MONTH(tblSales[[#This Row],[Date]])</f>
        <v>7</v>
      </c>
    </row>
    <row r="3409" spans="2:18" x14ac:dyDescent="0.35">
      <c r="B3409" s="113">
        <v>46226</v>
      </c>
      <c r="C3409" s="4" t="s">
        <v>2293</v>
      </c>
      <c r="D3409" s="4" t="s">
        <v>4578</v>
      </c>
      <c r="E3409" s="1" t="str">
        <f>_xlfn.XLOOKUP(tblSales[[#This Row],[Customer ID]],tblCustomers[Customer ID],tblCustomers[Customer Name],"⚠ Unknown")</f>
        <v>PT Bintang Timur Sejahtera</v>
      </c>
      <c r="F3409" s="4" t="s">
        <v>8</v>
      </c>
      <c r="G3409" s="1" t="str">
        <f>_xlfn.XLOOKUP(tblSales[[#This Row],[Product Code]],tblProducts[Code],tblProducts[Product / Service Name],"⚠ Unknown")</f>
        <v>Casual Shorts</v>
      </c>
      <c r="H3409" s="1" t="str">
        <f>_xlfn.XLOOKUP(tblSales[[#This Row],[Product Code]],tblProducts[Code],tblProducts[Category],"")</f>
        <v>Accessories &amp; Basics</v>
      </c>
      <c r="I3409" s="4">
        <v>56</v>
      </c>
      <c r="J3409" s="5">
        <f>_xlfn.XLOOKUP(tblSales[[#This Row],[Product Code]],tblProducts[Code],tblProducts[Selling Price (excl. VAT)],0)</f>
        <v>85000</v>
      </c>
      <c r="K3409" s="5">
        <f>tblSales[[#This Row],[Qty]]*tblSales[[#This Row],[Unit Price]]</f>
        <v>4760000</v>
      </c>
      <c r="L3409" s="5">
        <f>ROUND(tblSales[[#This Row],[DPP (excl. VAT)]]*VATEff,0)</f>
        <v>523600</v>
      </c>
      <c r="M3409" s="5">
        <f>tblSales[[#This Row],[DPP (excl. VAT)]]+tblSales[[#This Row],[Output VAT]]</f>
        <v>5283600</v>
      </c>
      <c r="N3409" s="5">
        <f>tblSales[[#This Row],[Qty]]*_xlfn.XLOOKUP(tblSales[[#This Row],[Product Code]],tblProducts[Code],tblProducts[Unit Cost],0)</f>
        <v>2800000</v>
      </c>
      <c r="O3409" s="4" t="s">
        <v>4867</v>
      </c>
      <c r="P3409" s="4" t="s">
        <v>4860</v>
      </c>
      <c r="Q3409" s="1" t="str">
        <f>_xlfn.XLOOKUP(tblSales[[#This Row],[Channel Code]],tblChannels[Channel Code],tblChannels[Channel Name],"")</f>
        <v>In-store</v>
      </c>
      <c r="R3409" s="1">
        <f>MONTH(tblSales[[#This Row],[Date]])</f>
        <v>7</v>
      </c>
    </row>
    <row r="3410" spans="2:18" x14ac:dyDescent="0.35">
      <c r="B3410" s="113">
        <v>46226</v>
      </c>
      <c r="C3410" s="4" t="s">
        <v>2294</v>
      </c>
      <c r="D3410" s="4" t="s">
        <v>4568</v>
      </c>
      <c r="E3410" s="1" t="str">
        <f>_xlfn.XLOOKUP(tblSales[[#This Row],[Customer ID]],tblCustomers[Customer ID],tblCustomers[Customer Name],"⚠ Unknown")</f>
        <v>Walk-in Customer</v>
      </c>
      <c r="F3410" s="4" t="s">
        <v>6</v>
      </c>
      <c r="G3410" s="1" t="str">
        <f>_xlfn.XLOOKUP(tblSales[[#This Row],[Product Code]],tblProducts[Code],tblProducts[Product / Service Name],"⚠ Unknown")</f>
        <v>Socks &amp; Accessories</v>
      </c>
      <c r="H3410" s="1" t="str">
        <f>_xlfn.XLOOKUP(tblSales[[#This Row],[Product Code]],tblProducts[Code],tblProducts[Category],"")</f>
        <v>Accessories &amp; Basics</v>
      </c>
      <c r="I3410" s="4">
        <v>10</v>
      </c>
      <c r="J3410" s="5">
        <f>_xlfn.XLOOKUP(tblSales[[#This Row],[Product Code]],tblProducts[Code],tblProducts[Selling Price (excl. VAT)],0)</f>
        <v>45000</v>
      </c>
      <c r="K3410" s="5">
        <f>tblSales[[#This Row],[Qty]]*tblSales[[#This Row],[Unit Price]]</f>
        <v>450000</v>
      </c>
      <c r="L3410" s="5">
        <f>ROUND(tblSales[[#This Row],[DPP (excl. VAT)]]*VATEff,0)</f>
        <v>49500</v>
      </c>
      <c r="M3410" s="5">
        <f>tblSales[[#This Row],[DPP (excl. VAT)]]+tblSales[[#This Row],[Output VAT]]</f>
        <v>499500</v>
      </c>
      <c r="N3410" s="5">
        <f>tblSales[[#This Row],[Qty]]*_xlfn.XLOOKUP(tblSales[[#This Row],[Product Code]],tblProducts[Code],tblProducts[Unit Cost],0)</f>
        <v>240000</v>
      </c>
      <c r="O3410" s="4" t="s">
        <v>4866</v>
      </c>
      <c r="P3410" s="4" t="s">
        <v>4861</v>
      </c>
      <c r="Q3410" s="1" t="str">
        <f>_xlfn.XLOOKUP(tblSales[[#This Row],[Channel Code]],tblChannels[Channel Code],tblChannels[Channel Name],"")</f>
        <v>Marketplace</v>
      </c>
      <c r="R3410" s="1">
        <f>MONTH(tblSales[[#This Row],[Date]])</f>
        <v>7</v>
      </c>
    </row>
    <row r="3411" spans="2:18" x14ac:dyDescent="0.35">
      <c r="B3411" s="113">
        <v>46226</v>
      </c>
      <c r="C3411" s="4" t="s">
        <v>2295</v>
      </c>
      <c r="D3411" s="4" t="s">
        <v>4568</v>
      </c>
      <c r="E3411" s="1" t="str">
        <f>_xlfn.XLOOKUP(tblSales[[#This Row],[Customer ID]],tblCustomers[Customer ID],tblCustomers[Customer Name],"⚠ Unknown")</f>
        <v>Walk-in Customer</v>
      </c>
      <c r="F3411" s="4" t="s">
        <v>6</v>
      </c>
      <c r="G3411" s="1" t="str">
        <f>_xlfn.XLOOKUP(tblSales[[#This Row],[Product Code]],tblProducts[Code],tblProducts[Product / Service Name],"⚠ Unknown")</f>
        <v>Socks &amp; Accessories</v>
      </c>
      <c r="H3411" s="1" t="str">
        <f>_xlfn.XLOOKUP(tblSales[[#This Row],[Product Code]],tblProducts[Code],tblProducts[Category],"")</f>
        <v>Accessories &amp; Basics</v>
      </c>
      <c r="I3411" s="4">
        <v>5</v>
      </c>
      <c r="J3411" s="5">
        <f>_xlfn.XLOOKUP(tblSales[[#This Row],[Product Code]],tblProducts[Code],tblProducts[Selling Price (excl. VAT)],0)</f>
        <v>45000</v>
      </c>
      <c r="K3411" s="5">
        <f>tblSales[[#This Row],[Qty]]*tblSales[[#This Row],[Unit Price]]</f>
        <v>225000</v>
      </c>
      <c r="L3411" s="5">
        <f>ROUND(tblSales[[#This Row],[DPP (excl. VAT)]]*VATEff,0)</f>
        <v>24750</v>
      </c>
      <c r="M3411" s="5">
        <f>tblSales[[#This Row],[DPP (excl. VAT)]]+tblSales[[#This Row],[Output VAT]]</f>
        <v>249750</v>
      </c>
      <c r="N3411" s="5">
        <f>tblSales[[#This Row],[Qty]]*_xlfn.XLOOKUP(tblSales[[#This Row],[Product Code]],tblProducts[Code],tblProducts[Unit Cost],0)</f>
        <v>120000</v>
      </c>
      <c r="O3411" s="4" t="s">
        <v>4866</v>
      </c>
      <c r="P3411" s="4" t="s">
        <v>4861</v>
      </c>
      <c r="Q3411" s="1" t="str">
        <f>_xlfn.XLOOKUP(tblSales[[#This Row],[Channel Code]],tblChannels[Channel Code],tblChannels[Channel Name],"")</f>
        <v>Marketplace</v>
      </c>
      <c r="R3411" s="1">
        <f>MONTH(tblSales[[#This Row],[Date]])</f>
        <v>7</v>
      </c>
    </row>
    <row r="3412" spans="2:18" x14ac:dyDescent="0.35">
      <c r="B3412" s="113">
        <v>46226</v>
      </c>
      <c r="C3412" s="4" t="s">
        <v>2295</v>
      </c>
      <c r="D3412" s="4" t="s">
        <v>4568</v>
      </c>
      <c r="E3412" s="1" t="str">
        <f>_xlfn.XLOOKUP(tblSales[[#This Row],[Customer ID]],tblCustomers[Customer ID],tblCustomers[Customer Name],"⚠ Unknown")</f>
        <v>Walk-in Customer</v>
      </c>
      <c r="F3412" s="4" t="s">
        <v>8</v>
      </c>
      <c r="G3412" s="1" t="str">
        <f>_xlfn.XLOOKUP(tblSales[[#This Row],[Product Code]],tblProducts[Code],tblProducts[Product / Service Name],"⚠ Unknown")</f>
        <v>Casual Shorts</v>
      </c>
      <c r="H3412" s="1" t="str">
        <f>_xlfn.XLOOKUP(tblSales[[#This Row],[Product Code]],tblProducts[Code],tblProducts[Category],"")</f>
        <v>Accessories &amp; Basics</v>
      </c>
      <c r="I3412" s="4">
        <v>8</v>
      </c>
      <c r="J3412" s="5">
        <f>_xlfn.XLOOKUP(tblSales[[#This Row],[Product Code]],tblProducts[Code],tblProducts[Selling Price (excl. VAT)],0)</f>
        <v>85000</v>
      </c>
      <c r="K3412" s="5">
        <f>tblSales[[#This Row],[Qty]]*tblSales[[#This Row],[Unit Price]]</f>
        <v>680000</v>
      </c>
      <c r="L3412" s="5">
        <f>ROUND(tblSales[[#This Row],[DPP (excl. VAT)]]*VATEff,0)</f>
        <v>74800</v>
      </c>
      <c r="M3412" s="5">
        <f>tblSales[[#This Row],[DPP (excl. VAT)]]+tblSales[[#This Row],[Output VAT]]</f>
        <v>754800</v>
      </c>
      <c r="N3412" s="5">
        <f>tblSales[[#This Row],[Qty]]*_xlfn.XLOOKUP(tblSales[[#This Row],[Product Code]],tblProducts[Code],tblProducts[Unit Cost],0)</f>
        <v>400000</v>
      </c>
      <c r="O3412" s="4" t="s">
        <v>4866</v>
      </c>
      <c r="P3412" s="4" t="s">
        <v>4861</v>
      </c>
      <c r="Q3412" s="1" t="str">
        <f>_xlfn.XLOOKUP(tblSales[[#This Row],[Channel Code]],tblChannels[Channel Code],tblChannels[Channel Name],"")</f>
        <v>Marketplace</v>
      </c>
      <c r="R3412" s="1">
        <f>MONTH(tblSales[[#This Row],[Date]])</f>
        <v>7</v>
      </c>
    </row>
    <row r="3413" spans="2:18" x14ac:dyDescent="0.35">
      <c r="B3413" s="113">
        <v>46226</v>
      </c>
      <c r="C3413" s="4" t="s">
        <v>2296</v>
      </c>
      <c r="D3413" s="4" t="s">
        <v>4568</v>
      </c>
      <c r="E3413" s="1" t="str">
        <f>_xlfn.XLOOKUP(tblSales[[#This Row],[Customer ID]],tblCustomers[Customer ID],tblCustomers[Customer Name],"⚠ Unknown")</f>
        <v>Walk-in Customer</v>
      </c>
      <c r="F3413" s="4" t="s">
        <v>15</v>
      </c>
      <c r="G3413" s="1" t="str">
        <f>_xlfn.XLOOKUP(tblSales[[#This Row],[Product Code]],tblProducts[Code],tblProducts[Product / Service Name],"⚠ Unknown")</f>
        <v>Wireless Earbuds Pro</v>
      </c>
      <c r="H3413" s="1" t="str">
        <f>_xlfn.XLOOKUP(tblSales[[#This Row],[Product Code]],tblProducts[Code],tblProducts[Category],"")</f>
        <v>Bags &amp; Gadgets</v>
      </c>
      <c r="I3413" s="4">
        <v>1</v>
      </c>
      <c r="J3413" s="5">
        <f>_xlfn.XLOOKUP(tblSales[[#This Row],[Product Code]],tblProducts[Code],tblProducts[Selling Price (excl. VAT)],0)</f>
        <v>1250000</v>
      </c>
      <c r="K3413" s="5">
        <f>tblSales[[#This Row],[Qty]]*tblSales[[#This Row],[Unit Price]]</f>
        <v>1250000</v>
      </c>
      <c r="L3413" s="5">
        <f>ROUND(tblSales[[#This Row],[DPP (excl. VAT)]]*VATEff,0)</f>
        <v>137500</v>
      </c>
      <c r="M3413" s="5">
        <f>tblSales[[#This Row],[DPP (excl. VAT)]]+tblSales[[#This Row],[Output VAT]]</f>
        <v>1387500</v>
      </c>
      <c r="N3413" s="5">
        <f>tblSales[[#This Row],[Qty]]*_xlfn.XLOOKUP(tblSales[[#This Row],[Product Code]],tblProducts[Code],tblProducts[Unit Cost],0)</f>
        <v>820000</v>
      </c>
      <c r="O3413" s="4" t="s">
        <v>4865</v>
      </c>
      <c r="P3413" s="4" t="s">
        <v>4860</v>
      </c>
      <c r="Q3413" s="1" t="str">
        <f>_xlfn.XLOOKUP(tblSales[[#This Row],[Channel Code]],tblChannels[Channel Code],tblChannels[Channel Name],"")</f>
        <v>In-store</v>
      </c>
      <c r="R3413" s="1">
        <f>MONTH(tblSales[[#This Row],[Date]])</f>
        <v>7</v>
      </c>
    </row>
    <row r="3414" spans="2:18" x14ac:dyDescent="0.35">
      <c r="B3414" s="113">
        <v>46226</v>
      </c>
      <c r="C3414" s="4" t="s">
        <v>2296</v>
      </c>
      <c r="D3414" s="4" t="s">
        <v>4568</v>
      </c>
      <c r="E3414" s="1" t="str">
        <f>_xlfn.XLOOKUP(tblSales[[#This Row],[Customer ID]],tblCustomers[Customer ID],tblCustomers[Customer Name],"⚠ Unknown")</f>
        <v>Walk-in Customer</v>
      </c>
      <c r="F3414" s="4" t="s">
        <v>10</v>
      </c>
      <c r="G3414" s="1" t="str">
        <f>_xlfn.XLOOKUP(tblSales[[#This Row],[Product Code]],tblProducts[Code],tblProducts[Product / Service Name],"⚠ Unknown")</f>
        <v>Chino Pants</v>
      </c>
      <c r="H3414" s="1" t="str">
        <f>_xlfn.XLOOKUP(tblSales[[#This Row],[Product Code]],tblProducts[Code],tblProducts[Category],"")</f>
        <v>Apparel &amp; Footwear</v>
      </c>
      <c r="I3414" s="4">
        <v>9</v>
      </c>
      <c r="J3414" s="5">
        <f>_xlfn.XLOOKUP(tblSales[[#This Row],[Product Code]],tblProducts[Code],tblProducts[Selling Price (excl. VAT)],0)</f>
        <v>150000</v>
      </c>
      <c r="K3414" s="5">
        <f>tblSales[[#This Row],[Qty]]*tblSales[[#This Row],[Unit Price]]</f>
        <v>1350000</v>
      </c>
      <c r="L3414" s="5">
        <f>ROUND(tblSales[[#This Row],[DPP (excl. VAT)]]*VATEff,0)</f>
        <v>148500</v>
      </c>
      <c r="M3414" s="5">
        <f>tblSales[[#This Row],[DPP (excl. VAT)]]+tblSales[[#This Row],[Output VAT]]</f>
        <v>1498500</v>
      </c>
      <c r="N3414" s="5">
        <f>tblSales[[#This Row],[Qty]]*_xlfn.XLOOKUP(tblSales[[#This Row],[Product Code]],tblProducts[Code],tblProducts[Unit Cost],0)</f>
        <v>792000</v>
      </c>
      <c r="O3414" s="4" t="s">
        <v>4865</v>
      </c>
      <c r="P3414" s="4" t="s">
        <v>4860</v>
      </c>
      <c r="Q3414" s="1" t="str">
        <f>_xlfn.XLOOKUP(tblSales[[#This Row],[Channel Code]],tblChannels[Channel Code],tblChannels[Channel Name],"")</f>
        <v>In-store</v>
      </c>
      <c r="R3414" s="1">
        <f>MONTH(tblSales[[#This Row],[Date]])</f>
        <v>7</v>
      </c>
    </row>
    <row r="3415" spans="2:18" x14ac:dyDescent="0.35">
      <c r="B3415" s="113">
        <v>46226</v>
      </c>
      <c r="C3415" s="4" t="s">
        <v>2296</v>
      </c>
      <c r="D3415" s="4" t="s">
        <v>4568</v>
      </c>
      <c r="E3415" s="1" t="str">
        <f>_xlfn.XLOOKUP(tblSales[[#This Row],[Customer ID]],tblCustomers[Customer ID],tblCustomers[Customer Name],"⚠ Unknown")</f>
        <v>Walk-in Customer</v>
      </c>
      <c r="F3415" s="4" t="s">
        <v>11</v>
      </c>
      <c r="G3415" s="1" t="str">
        <f>_xlfn.XLOOKUP(tblSales[[#This Row],[Product Code]],tblProducts[Code],tblProducts[Product / Service Name],"⚠ Unknown")</f>
        <v>Sneakers</v>
      </c>
      <c r="H3415" s="1" t="str">
        <f>_xlfn.XLOOKUP(tblSales[[#This Row],[Product Code]],tblProducts[Code],tblProducts[Category],"")</f>
        <v>Apparel &amp; Footwear</v>
      </c>
      <c r="I3415" s="4">
        <v>5</v>
      </c>
      <c r="J3415" s="5">
        <f>_xlfn.XLOOKUP(tblSales[[#This Row],[Product Code]],tblProducts[Code],tblProducts[Selling Price (excl. VAT)],0)</f>
        <v>250000</v>
      </c>
      <c r="K3415" s="5">
        <f>tblSales[[#This Row],[Qty]]*tblSales[[#This Row],[Unit Price]]</f>
        <v>1250000</v>
      </c>
      <c r="L3415" s="5">
        <f>ROUND(tblSales[[#This Row],[DPP (excl. VAT)]]*VATEff,0)</f>
        <v>137500</v>
      </c>
      <c r="M3415" s="5">
        <f>tblSales[[#This Row],[DPP (excl. VAT)]]+tblSales[[#This Row],[Output VAT]]</f>
        <v>1387500</v>
      </c>
      <c r="N3415" s="5">
        <f>tblSales[[#This Row],[Qty]]*_xlfn.XLOOKUP(tblSales[[#This Row],[Product Code]],tblProducts[Code],tblProducts[Unit Cost],0)</f>
        <v>775000</v>
      </c>
      <c r="O3415" s="4" t="s">
        <v>4865</v>
      </c>
      <c r="P3415" s="4" t="s">
        <v>4860</v>
      </c>
      <c r="Q3415" s="1" t="str">
        <f>_xlfn.XLOOKUP(tblSales[[#This Row],[Channel Code]],tblChannels[Channel Code],tblChannels[Channel Name],"")</f>
        <v>In-store</v>
      </c>
      <c r="R3415" s="1">
        <f>MONTH(tblSales[[#This Row],[Date]])</f>
        <v>7</v>
      </c>
    </row>
    <row r="3416" spans="2:18" x14ac:dyDescent="0.35">
      <c r="B3416" s="113">
        <v>46226</v>
      </c>
      <c r="C3416" s="4" t="s">
        <v>2297</v>
      </c>
      <c r="D3416" s="4" t="s">
        <v>4568</v>
      </c>
      <c r="E3416" s="1" t="str">
        <f>_xlfn.XLOOKUP(tblSales[[#This Row],[Customer ID]],tblCustomers[Customer ID],tblCustomers[Customer Name],"⚠ Unknown")</f>
        <v>Walk-in Customer</v>
      </c>
      <c r="F3416" s="4" t="s">
        <v>9</v>
      </c>
      <c r="G3416" s="1" t="str">
        <f>_xlfn.XLOOKUP(tblSales[[#This Row],[Product Code]],tblProducts[Code],tblProducts[Product / Service Name],"⚠ Unknown")</f>
        <v>Casual Shirt</v>
      </c>
      <c r="H3416" s="1" t="str">
        <f>_xlfn.XLOOKUP(tblSales[[#This Row],[Product Code]],tblProducts[Code],tblProducts[Category],"")</f>
        <v>Apparel &amp; Footwear</v>
      </c>
      <c r="I3416" s="4">
        <v>5</v>
      </c>
      <c r="J3416" s="5">
        <f>_xlfn.XLOOKUP(tblSales[[#This Row],[Product Code]],tblProducts[Code],tblProducts[Selling Price (excl. VAT)],0)</f>
        <v>120000</v>
      </c>
      <c r="K3416" s="5">
        <f>tblSales[[#This Row],[Qty]]*tblSales[[#This Row],[Unit Price]]</f>
        <v>600000</v>
      </c>
      <c r="L3416" s="5">
        <f>ROUND(tblSales[[#This Row],[DPP (excl. VAT)]]*VATEff,0)</f>
        <v>66000</v>
      </c>
      <c r="M3416" s="5">
        <f>tblSales[[#This Row],[DPP (excl. VAT)]]+tblSales[[#This Row],[Output VAT]]</f>
        <v>666000</v>
      </c>
      <c r="N3416" s="5">
        <f>tblSales[[#This Row],[Qty]]*_xlfn.XLOOKUP(tblSales[[#This Row],[Product Code]],tblProducts[Code],tblProducts[Unit Cost],0)</f>
        <v>360000</v>
      </c>
      <c r="O3416" s="4" t="s">
        <v>4865</v>
      </c>
      <c r="P3416" s="4" t="s">
        <v>4860</v>
      </c>
      <c r="Q3416" s="1" t="str">
        <f>_xlfn.XLOOKUP(tblSales[[#This Row],[Channel Code]],tblChannels[Channel Code],tblChannels[Channel Name],"")</f>
        <v>In-store</v>
      </c>
      <c r="R3416" s="1">
        <f>MONTH(tblSales[[#This Row],[Date]])</f>
        <v>7</v>
      </c>
    </row>
    <row r="3417" spans="2:18" x14ac:dyDescent="0.35">
      <c r="B3417" s="113">
        <v>46226</v>
      </c>
      <c r="C3417" s="4" t="s">
        <v>2297</v>
      </c>
      <c r="D3417" s="4" t="s">
        <v>4568</v>
      </c>
      <c r="E3417" s="1" t="str">
        <f>_xlfn.XLOOKUP(tblSales[[#This Row],[Customer ID]],tblCustomers[Customer ID],tblCustomers[Customer Name],"⚠ Unknown")</f>
        <v>Walk-in Customer</v>
      </c>
      <c r="F3417" s="4" t="s">
        <v>13</v>
      </c>
      <c r="G3417" s="1" t="str">
        <f>_xlfn.XLOOKUP(tblSales[[#This Row],[Product Code]],tblProducts[Code],tblProducts[Product / Service Name],"⚠ Unknown")</f>
        <v>Backpack</v>
      </c>
      <c r="H3417" s="1" t="str">
        <f>_xlfn.XLOOKUP(tblSales[[#This Row],[Product Code]],tblProducts[Code],tblProducts[Category],"")</f>
        <v>Bags &amp; Gadgets</v>
      </c>
      <c r="I3417" s="4">
        <v>5</v>
      </c>
      <c r="J3417" s="5">
        <f>_xlfn.XLOOKUP(tblSales[[#This Row],[Product Code]],tblProducts[Code],tblProducts[Selling Price (excl. VAT)],0)</f>
        <v>500000</v>
      </c>
      <c r="K3417" s="5">
        <f>tblSales[[#This Row],[Qty]]*tblSales[[#This Row],[Unit Price]]</f>
        <v>2500000</v>
      </c>
      <c r="L3417" s="5">
        <f>ROUND(tblSales[[#This Row],[DPP (excl. VAT)]]*VATEff,0)</f>
        <v>275000</v>
      </c>
      <c r="M3417" s="5">
        <f>tblSales[[#This Row],[DPP (excl. VAT)]]+tblSales[[#This Row],[Output VAT]]</f>
        <v>2775000</v>
      </c>
      <c r="N3417" s="5">
        <f>tblSales[[#This Row],[Qty]]*_xlfn.XLOOKUP(tblSales[[#This Row],[Product Code]],tblProducts[Code],tblProducts[Unit Cost],0)</f>
        <v>1450000</v>
      </c>
      <c r="O3417" s="4" t="s">
        <v>4865</v>
      </c>
      <c r="P3417" s="4" t="s">
        <v>4860</v>
      </c>
      <c r="Q3417" s="1" t="str">
        <f>_xlfn.XLOOKUP(tblSales[[#This Row],[Channel Code]],tblChannels[Channel Code],tblChannels[Channel Name],"")</f>
        <v>In-store</v>
      </c>
      <c r="R3417" s="1">
        <f>MONTH(tblSales[[#This Row],[Date]])</f>
        <v>7</v>
      </c>
    </row>
    <row r="3418" spans="2:18" x14ac:dyDescent="0.35">
      <c r="B3418" s="113">
        <v>46226</v>
      </c>
      <c r="C3418" s="4" t="s">
        <v>2298</v>
      </c>
      <c r="D3418" s="4" t="s">
        <v>4568</v>
      </c>
      <c r="E3418" s="1" t="str">
        <f>_xlfn.XLOOKUP(tblSales[[#This Row],[Customer ID]],tblCustomers[Customer ID],tblCustomers[Customer Name],"⚠ Unknown")</f>
        <v>Walk-in Customer</v>
      </c>
      <c r="F3418" s="4" t="s">
        <v>7</v>
      </c>
      <c r="G3418" s="1" t="str">
        <f>_xlfn.XLOOKUP(tblSales[[#This Row],[Product Code]],tblProducts[Code],tblProducts[Product / Service Name],"⚠ Unknown")</f>
        <v>Premium Basic T-shirt</v>
      </c>
      <c r="H3418" s="1" t="str">
        <f>_xlfn.XLOOKUP(tblSales[[#This Row],[Product Code]],tblProducts[Code],tblProducts[Category],"")</f>
        <v>Accessories &amp; Basics</v>
      </c>
      <c r="I3418" s="4">
        <v>11</v>
      </c>
      <c r="J3418" s="5">
        <f>_xlfn.XLOOKUP(tblSales[[#This Row],[Product Code]],tblProducts[Code],tblProducts[Selling Price (excl. VAT)],0)</f>
        <v>65000</v>
      </c>
      <c r="K3418" s="5">
        <f>tblSales[[#This Row],[Qty]]*tblSales[[#This Row],[Unit Price]]</f>
        <v>715000</v>
      </c>
      <c r="L3418" s="5">
        <f>ROUND(tblSales[[#This Row],[DPP (excl. VAT)]]*VATEff,0)</f>
        <v>78650</v>
      </c>
      <c r="M3418" s="5">
        <f>tblSales[[#This Row],[DPP (excl. VAT)]]+tblSales[[#This Row],[Output VAT]]</f>
        <v>793650</v>
      </c>
      <c r="N3418" s="5">
        <f>tblSales[[#This Row],[Qty]]*_xlfn.XLOOKUP(tblSales[[#This Row],[Product Code]],tblProducts[Code],tblProducts[Unit Cost],0)</f>
        <v>407000</v>
      </c>
      <c r="O3418" s="4" t="s">
        <v>4866</v>
      </c>
      <c r="P3418" s="4" t="s">
        <v>4860</v>
      </c>
      <c r="Q3418" s="1" t="str">
        <f>_xlfn.XLOOKUP(tblSales[[#This Row],[Channel Code]],tblChannels[Channel Code],tblChannels[Channel Name],"")</f>
        <v>In-store</v>
      </c>
      <c r="R3418" s="1">
        <f>MONTH(tblSales[[#This Row],[Date]])</f>
        <v>7</v>
      </c>
    </row>
    <row r="3419" spans="2:18" x14ac:dyDescent="0.35">
      <c r="B3419" s="113">
        <v>46226</v>
      </c>
      <c r="C3419" s="4" t="s">
        <v>2298</v>
      </c>
      <c r="D3419" s="4" t="s">
        <v>4568</v>
      </c>
      <c r="E3419" s="1" t="str">
        <f>_xlfn.XLOOKUP(tblSales[[#This Row],[Customer ID]],tblCustomers[Customer ID],tblCustomers[Customer Name],"⚠ Unknown")</f>
        <v>Walk-in Customer</v>
      </c>
      <c r="F3419" s="4" t="s">
        <v>12</v>
      </c>
      <c r="G3419" s="1" t="str">
        <f>_xlfn.XLOOKUP(tblSales[[#This Row],[Product Code]],tblProducts[Code],tblProducts[Product / Service Name],"⚠ Unknown")</f>
        <v>Bomber Jacket</v>
      </c>
      <c r="H3419" s="1" t="str">
        <f>_xlfn.XLOOKUP(tblSales[[#This Row],[Product Code]],tblProducts[Code],tblProducts[Category],"")</f>
        <v>Apparel &amp; Footwear</v>
      </c>
      <c r="I3419" s="4">
        <v>2</v>
      </c>
      <c r="J3419" s="5">
        <f>_xlfn.XLOOKUP(tblSales[[#This Row],[Product Code]],tblProducts[Code],tblProducts[Selling Price (excl. VAT)],0)</f>
        <v>350000</v>
      </c>
      <c r="K3419" s="5">
        <f>tblSales[[#This Row],[Qty]]*tblSales[[#This Row],[Unit Price]]</f>
        <v>700000</v>
      </c>
      <c r="L3419" s="5">
        <f>ROUND(tblSales[[#This Row],[DPP (excl. VAT)]]*VATEff,0)</f>
        <v>77000</v>
      </c>
      <c r="M3419" s="5">
        <f>tblSales[[#This Row],[DPP (excl. VAT)]]+tblSales[[#This Row],[Output VAT]]</f>
        <v>777000</v>
      </c>
      <c r="N3419" s="5">
        <f>tblSales[[#This Row],[Qty]]*_xlfn.XLOOKUP(tblSales[[#This Row],[Product Code]],tblProducts[Code],tblProducts[Unit Cost],0)</f>
        <v>420000</v>
      </c>
      <c r="O3419" s="4" t="s">
        <v>4866</v>
      </c>
      <c r="P3419" s="4" t="s">
        <v>4860</v>
      </c>
      <c r="Q3419" s="1" t="str">
        <f>_xlfn.XLOOKUP(tblSales[[#This Row],[Channel Code]],tblChannels[Channel Code],tblChannels[Channel Name],"")</f>
        <v>In-store</v>
      </c>
      <c r="R3419" s="1">
        <f>MONTH(tblSales[[#This Row],[Date]])</f>
        <v>7</v>
      </c>
    </row>
    <row r="3420" spans="2:18" x14ac:dyDescent="0.35">
      <c r="B3420" s="113">
        <v>46226</v>
      </c>
      <c r="C3420" s="4" t="s">
        <v>2298</v>
      </c>
      <c r="D3420" s="4" t="s">
        <v>4568</v>
      </c>
      <c r="E3420" s="1" t="str">
        <f>_xlfn.XLOOKUP(tblSales[[#This Row],[Customer ID]],tblCustomers[Customer ID],tblCustomers[Customer Name],"⚠ Unknown")</f>
        <v>Walk-in Customer</v>
      </c>
      <c r="F3420" s="4" t="s">
        <v>6</v>
      </c>
      <c r="G3420" s="1" t="str">
        <f>_xlfn.XLOOKUP(tblSales[[#This Row],[Product Code]],tblProducts[Code],tblProducts[Product / Service Name],"⚠ Unknown")</f>
        <v>Socks &amp; Accessories</v>
      </c>
      <c r="H3420" s="1" t="str">
        <f>_xlfn.XLOOKUP(tblSales[[#This Row],[Product Code]],tblProducts[Code],tblProducts[Category],"")</f>
        <v>Accessories &amp; Basics</v>
      </c>
      <c r="I3420" s="4">
        <v>8</v>
      </c>
      <c r="J3420" s="5">
        <f>_xlfn.XLOOKUP(tblSales[[#This Row],[Product Code]],tblProducts[Code],tblProducts[Selling Price (excl. VAT)],0)</f>
        <v>45000</v>
      </c>
      <c r="K3420" s="5">
        <f>tblSales[[#This Row],[Qty]]*tblSales[[#This Row],[Unit Price]]</f>
        <v>360000</v>
      </c>
      <c r="L3420" s="5">
        <f>ROUND(tblSales[[#This Row],[DPP (excl. VAT)]]*VATEff,0)</f>
        <v>39600</v>
      </c>
      <c r="M3420" s="5">
        <f>tblSales[[#This Row],[DPP (excl. VAT)]]+tblSales[[#This Row],[Output VAT]]</f>
        <v>399600</v>
      </c>
      <c r="N3420" s="5">
        <f>tblSales[[#This Row],[Qty]]*_xlfn.XLOOKUP(tblSales[[#This Row],[Product Code]],tblProducts[Code],tblProducts[Unit Cost],0)</f>
        <v>192000</v>
      </c>
      <c r="O3420" s="4" t="s">
        <v>4866</v>
      </c>
      <c r="P3420" s="4" t="s">
        <v>4860</v>
      </c>
      <c r="Q3420" s="1" t="str">
        <f>_xlfn.XLOOKUP(tblSales[[#This Row],[Channel Code]],tblChannels[Channel Code],tblChannels[Channel Name],"")</f>
        <v>In-store</v>
      </c>
      <c r="R3420" s="1">
        <f>MONTH(tblSales[[#This Row],[Date]])</f>
        <v>7</v>
      </c>
    </row>
    <row r="3421" spans="2:18" x14ac:dyDescent="0.35">
      <c r="B3421" s="113">
        <v>46226</v>
      </c>
      <c r="C3421" s="4" t="s">
        <v>2299</v>
      </c>
      <c r="D3421" s="4" t="s">
        <v>4568</v>
      </c>
      <c r="E3421" s="1" t="str">
        <f>_xlfn.XLOOKUP(tblSales[[#This Row],[Customer ID]],tblCustomers[Customer ID],tblCustomers[Customer Name],"⚠ Unknown")</f>
        <v>Walk-in Customer</v>
      </c>
      <c r="F3421" s="4" t="s">
        <v>12</v>
      </c>
      <c r="G3421" s="1" t="str">
        <f>_xlfn.XLOOKUP(tblSales[[#This Row],[Product Code]],tblProducts[Code],tblProducts[Product / Service Name],"⚠ Unknown")</f>
        <v>Bomber Jacket</v>
      </c>
      <c r="H3421" s="1" t="str">
        <f>_xlfn.XLOOKUP(tblSales[[#This Row],[Product Code]],tblProducts[Code],tblProducts[Category],"")</f>
        <v>Apparel &amp; Footwear</v>
      </c>
      <c r="I3421" s="4">
        <v>4</v>
      </c>
      <c r="J3421" s="5">
        <f>_xlfn.XLOOKUP(tblSales[[#This Row],[Product Code]],tblProducts[Code],tblProducts[Selling Price (excl. VAT)],0)</f>
        <v>350000</v>
      </c>
      <c r="K3421" s="5">
        <f>tblSales[[#This Row],[Qty]]*tblSales[[#This Row],[Unit Price]]</f>
        <v>1400000</v>
      </c>
      <c r="L3421" s="5">
        <f>ROUND(tblSales[[#This Row],[DPP (excl. VAT)]]*VATEff,0)</f>
        <v>154000</v>
      </c>
      <c r="M3421" s="5">
        <f>tblSales[[#This Row],[DPP (excl. VAT)]]+tblSales[[#This Row],[Output VAT]]</f>
        <v>1554000</v>
      </c>
      <c r="N3421" s="5">
        <f>tblSales[[#This Row],[Qty]]*_xlfn.XLOOKUP(tblSales[[#This Row],[Product Code]],tblProducts[Code],tblProducts[Unit Cost],0)</f>
        <v>840000</v>
      </c>
      <c r="O3421" s="4" t="s">
        <v>4866</v>
      </c>
      <c r="P3421" s="4" t="s">
        <v>4860</v>
      </c>
      <c r="Q3421" s="1" t="str">
        <f>_xlfn.XLOOKUP(tblSales[[#This Row],[Channel Code]],tblChannels[Channel Code],tblChannels[Channel Name],"")</f>
        <v>In-store</v>
      </c>
      <c r="R3421" s="1">
        <f>MONTH(tblSales[[#This Row],[Date]])</f>
        <v>7</v>
      </c>
    </row>
    <row r="3422" spans="2:18" x14ac:dyDescent="0.35">
      <c r="B3422" s="113">
        <v>46226</v>
      </c>
      <c r="C3422" s="4" t="s">
        <v>2300</v>
      </c>
      <c r="D3422" s="4" t="s">
        <v>4568</v>
      </c>
      <c r="E3422" s="1" t="str">
        <f>_xlfn.XLOOKUP(tblSales[[#This Row],[Customer ID]],tblCustomers[Customer ID],tblCustomers[Customer Name],"⚠ Unknown")</f>
        <v>Walk-in Customer</v>
      </c>
      <c r="F3422" s="4" t="s">
        <v>8</v>
      </c>
      <c r="G3422" s="1" t="str">
        <f>_xlfn.XLOOKUP(tblSales[[#This Row],[Product Code]],tblProducts[Code],tblProducts[Product / Service Name],"⚠ Unknown")</f>
        <v>Casual Shorts</v>
      </c>
      <c r="H3422" s="1" t="str">
        <f>_xlfn.XLOOKUP(tblSales[[#This Row],[Product Code]],tblProducts[Code],tblProducts[Category],"")</f>
        <v>Accessories &amp; Basics</v>
      </c>
      <c r="I3422" s="4">
        <v>5</v>
      </c>
      <c r="J3422" s="5">
        <f>_xlfn.XLOOKUP(tblSales[[#This Row],[Product Code]],tblProducts[Code],tblProducts[Selling Price (excl. VAT)],0)</f>
        <v>85000</v>
      </c>
      <c r="K3422" s="5">
        <f>tblSales[[#This Row],[Qty]]*tblSales[[#This Row],[Unit Price]]</f>
        <v>425000</v>
      </c>
      <c r="L3422" s="5">
        <f>ROUND(tblSales[[#This Row],[DPP (excl. VAT)]]*VATEff,0)</f>
        <v>46750</v>
      </c>
      <c r="M3422" s="5">
        <f>tblSales[[#This Row],[DPP (excl. VAT)]]+tblSales[[#This Row],[Output VAT]]</f>
        <v>471750</v>
      </c>
      <c r="N3422" s="5">
        <f>tblSales[[#This Row],[Qty]]*_xlfn.XLOOKUP(tblSales[[#This Row],[Product Code]],tblProducts[Code],tblProducts[Unit Cost],0)</f>
        <v>250000</v>
      </c>
      <c r="O3422" s="4" t="s">
        <v>4866</v>
      </c>
      <c r="P3422" s="4" t="s">
        <v>4860</v>
      </c>
      <c r="Q3422" s="1" t="str">
        <f>_xlfn.XLOOKUP(tblSales[[#This Row],[Channel Code]],tblChannels[Channel Code],tblChannels[Channel Name],"")</f>
        <v>In-store</v>
      </c>
      <c r="R3422" s="1">
        <f>MONTH(tblSales[[#This Row],[Date]])</f>
        <v>7</v>
      </c>
    </row>
    <row r="3423" spans="2:18" x14ac:dyDescent="0.35">
      <c r="B3423" s="113">
        <v>46226</v>
      </c>
      <c r="C3423" s="4" t="s">
        <v>2301</v>
      </c>
      <c r="D3423" s="4" t="s">
        <v>4599</v>
      </c>
      <c r="E3423" s="1" t="str">
        <f>_xlfn.XLOOKUP(tblSales[[#This Row],[Customer ID]],tblCustomers[Customer ID],tblCustomers[Customer Name],"⚠ Unknown")</f>
        <v>PT Samudra Jaya Logistik</v>
      </c>
      <c r="F3423" s="4" t="s">
        <v>10</v>
      </c>
      <c r="G3423" s="1" t="str">
        <f>_xlfn.XLOOKUP(tblSales[[#This Row],[Product Code]],tblProducts[Code],tblProducts[Product / Service Name],"⚠ Unknown")</f>
        <v>Chino Pants</v>
      </c>
      <c r="H3423" s="1" t="str">
        <f>_xlfn.XLOOKUP(tblSales[[#This Row],[Product Code]],tblProducts[Code],tblProducts[Category],"")</f>
        <v>Apparel &amp; Footwear</v>
      </c>
      <c r="I3423" s="4">
        <v>88</v>
      </c>
      <c r="J3423" s="5">
        <f>_xlfn.XLOOKUP(tblSales[[#This Row],[Product Code]],tblProducts[Code],tblProducts[Selling Price (excl. VAT)],0)</f>
        <v>150000</v>
      </c>
      <c r="K3423" s="5">
        <f>tblSales[[#This Row],[Qty]]*tblSales[[#This Row],[Unit Price]]</f>
        <v>13200000</v>
      </c>
      <c r="L3423" s="5">
        <f>ROUND(tblSales[[#This Row],[DPP (excl. VAT)]]*VATEff,0)</f>
        <v>1452000</v>
      </c>
      <c r="M3423" s="5">
        <f>tblSales[[#This Row],[DPP (excl. VAT)]]+tblSales[[#This Row],[Output VAT]]</f>
        <v>14652000</v>
      </c>
      <c r="N3423" s="5">
        <f>tblSales[[#This Row],[Qty]]*_xlfn.XLOOKUP(tblSales[[#This Row],[Product Code]],tblProducts[Code],tblProducts[Unit Cost],0)</f>
        <v>7744000</v>
      </c>
      <c r="O3423" s="4" t="s">
        <v>4867</v>
      </c>
      <c r="P3423" s="4" t="s">
        <v>4862</v>
      </c>
      <c r="Q3423" s="1" t="str">
        <f>_xlfn.XLOOKUP(tblSales[[#This Row],[Channel Code]],tblChannels[Channel Code],tblChannels[Channel Name],"")</f>
        <v>Website &amp; Social Media</v>
      </c>
      <c r="R3423" s="1">
        <f>MONTH(tblSales[[#This Row],[Date]])</f>
        <v>7</v>
      </c>
    </row>
    <row r="3424" spans="2:18" x14ac:dyDescent="0.35">
      <c r="B3424" s="113">
        <v>46226</v>
      </c>
      <c r="C3424" s="4" t="s">
        <v>2302</v>
      </c>
      <c r="D3424" s="4" t="s">
        <v>4634</v>
      </c>
      <c r="E3424" s="1" t="str">
        <f>_xlfn.XLOOKUP(tblSales[[#This Row],[Customer ID]],tblCustomers[Customer ID],tblCustomers[Customer Name],"⚠ Unknown")</f>
        <v>PT Delta Inti Selaras</v>
      </c>
      <c r="F3424" s="4" t="s">
        <v>7</v>
      </c>
      <c r="G3424" s="1" t="str">
        <f>_xlfn.XLOOKUP(tblSales[[#This Row],[Product Code]],tblProducts[Code],tblProducts[Product / Service Name],"⚠ Unknown")</f>
        <v>Premium Basic T-shirt</v>
      </c>
      <c r="H3424" s="1" t="str">
        <f>_xlfn.XLOOKUP(tblSales[[#This Row],[Product Code]],tblProducts[Code],tblProducts[Category],"")</f>
        <v>Accessories &amp; Basics</v>
      </c>
      <c r="I3424" s="4">
        <v>64</v>
      </c>
      <c r="J3424" s="5">
        <f>_xlfn.XLOOKUP(tblSales[[#This Row],[Product Code]],tblProducts[Code],tblProducts[Selling Price (excl. VAT)],0)</f>
        <v>65000</v>
      </c>
      <c r="K3424" s="5">
        <f>tblSales[[#This Row],[Qty]]*tblSales[[#This Row],[Unit Price]]</f>
        <v>4160000</v>
      </c>
      <c r="L3424" s="5">
        <f>ROUND(tblSales[[#This Row],[DPP (excl. VAT)]]*VATEff,0)</f>
        <v>457600</v>
      </c>
      <c r="M3424" s="5">
        <f>tblSales[[#This Row],[DPP (excl. VAT)]]+tblSales[[#This Row],[Output VAT]]</f>
        <v>4617600</v>
      </c>
      <c r="N3424" s="5">
        <f>tblSales[[#This Row],[Qty]]*_xlfn.XLOOKUP(tblSales[[#This Row],[Product Code]],tblProducts[Code],tblProducts[Unit Cost],0)</f>
        <v>2368000</v>
      </c>
      <c r="O3424" s="4" t="s">
        <v>4867</v>
      </c>
      <c r="P3424" s="4" t="s">
        <v>4860</v>
      </c>
      <c r="Q3424" s="1" t="str">
        <f>_xlfn.XLOOKUP(tblSales[[#This Row],[Channel Code]],tblChannels[Channel Code],tblChannels[Channel Name],"")</f>
        <v>In-store</v>
      </c>
      <c r="R3424" s="1">
        <f>MONTH(tblSales[[#This Row],[Date]])</f>
        <v>7</v>
      </c>
    </row>
    <row r="3425" spans="2:18" x14ac:dyDescent="0.35">
      <c r="B3425" s="113">
        <v>46226</v>
      </c>
      <c r="C3425" s="4" t="s">
        <v>2303</v>
      </c>
      <c r="D3425" s="4" t="s">
        <v>4568</v>
      </c>
      <c r="E3425" s="1" t="str">
        <f>_xlfn.XLOOKUP(tblSales[[#This Row],[Customer ID]],tblCustomers[Customer ID],tblCustomers[Customer Name],"⚠ Unknown")</f>
        <v>Walk-in Customer</v>
      </c>
      <c r="F3425" s="4" t="s">
        <v>9</v>
      </c>
      <c r="G3425" s="1" t="str">
        <f>_xlfn.XLOOKUP(tblSales[[#This Row],[Product Code]],tblProducts[Code],tblProducts[Product / Service Name],"⚠ Unknown")</f>
        <v>Casual Shirt</v>
      </c>
      <c r="H3425" s="1" t="str">
        <f>_xlfn.XLOOKUP(tblSales[[#This Row],[Product Code]],tblProducts[Code],tblProducts[Category],"")</f>
        <v>Apparel &amp; Footwear</v>
      </c>
      <c r="I3425" s="4">
        <v>1</v>
      </c>
      <c r="J3425" s="5">
        <f>_xlfn.XLOOKUP(tblSales[[#This Row],[Product Code]],tblProducts[Code],tblProducts[Selling Price (excl. VAT)],0)</f>
        <v>120000</v>
      </c>
      <c r="K3425" s="5">
        <f>tblSales[[#This Row],[Qty]]*tblSales[[#This Row],[Unit Price]]</f>
        <v>120000</v>
      </c>
      <c r="L3425" s="5">
        <f>ROUND(tblSales[[#This Row],[DPP (excl. VAT)]]*VATEff,0)</f>
        <v>13200</v>
      </c>
      <c r="M3425" s="5">
        <f>tblSales[[#This Row],[DPP (excl. VAT)]]+tblSales[[#This Row],[Output VAT]]</f>
        <v>133200</v>
      </c>
      <c r="N3425" s="5">
        <f>tblSales[[#This Row],[Qty]]*_xlfn.XLOOKUP(tblSales[[#This Row],[Product Code]],tblProducts[Code],tblProducts[Unit Cost],0)</f>
        <v>72000</v>
      </c>
      <c r="O3425" s="4" t="s">
        <v>4866</v>
      </c>
      <c r="P3425" s="4" t="s">
        <v>4860</v>
      </c>
      <c r="Q3425" s="1" t="str">
        <f>_xlfn.XLOOKUP(tblSales[[#This Row],[Channel Code]],tblChannels[Channel Code],tblChannels[Channel Name],"")</f>
        <v>In-store</v>
      </c>
      <c r="R3425" s="1">
        <f>MONTH(tblSales[[#This Row],[Date]])</f>
        <v>7</v>
      </c>
    </row>
    <row r="3426" spans="2:18" x14ac:dyDescent="0.35">
      <c r="B3426" s="113">
        <v>46226</v>
      </c>
      <c r="C3426" s="4" t="s">
        <v>2303</v>
      </c>
      <c r="D3426" s="4" t="s">
        <v>4568</v>
      </c>
      <c r="E3426" s="1" t="str">
        <f>_xlfn.XLOOKUP(tblSales[[#This Row],[Customer ID]],tblCustomers[Customer ID],tblCustomers[Customer Name],"⚠ Unknown")</f>
        <v>Walk-in Customer</v>
      </c>
      <c r="F3426" s="4" t="s">
        <v>7</v>
      </c>
      <c r="G3426" s="1" t="str">
        <f>_xlfn.XLOOKUP(tblSales[[#This Row],[Product Code]],tblProducts[Code],tblProducts[Product / Service Name],"⚠ Unknown")</f>
        <v>Premium Basic T-shirt</v>
      </c>
      <c r="H3426" s="1" t="str">
        <f>_xlfn.XLOOKUP(tblSales[[#This Row],[Product Code]],tblProducts[Code],tblProducts[Category],"")</f>
        <v>Accessories &amp; Basics</v>
      </c>
      <c r="I3426" s="4">
        <v>6</v>
      </c>
      <c r="J3426" s="5">
        <f>_xlfn.XLOOKUP(tblSales[[#This Row],[Product Code]],tblProducts[Code],tblProducts[Selling Price (excl. VAT)],0)</f>
        <v>65000</v>
      </c>
      <c r="K3426" s="5">
        <f>tblSales[[#This Row],[Qty]]*tblSales[[#This Row],[Unit Price]]</f>
        <v>390000</v>
      </c>
      <c r="L3426" s="5">
        <f>ROUND(tblSales[[#This Row],[DPP (excl. VAT)]]*VATEff,0)</f>
        <v>42900</v>
      </c>
      <c r="M3426" s="5">
        <f>tblSales[[#This Row],[DPP (excl. VAT)]]+tblSales[[#This Row],[Output VAT]]</f>
        <v>432900</v>
      </c>
      <c r="N3426" s="5">
        <f>tblSales[[#This Row],[Qty]]*_xlfn.XLOOKUP(tblSales[[#This Row],[Product Code]],tblProducts[Code],tblProducts[Unit Cost],0)</f>
        <v>222000</v>
      </c>
      <c r="O3426" s="4" t="s">
        <v>4866</v>
      </c>
      <c r="P3426" s="4" t="s">
        <v>4860</v>
      </c>
      <c r="Q3426" s="1" t="str">
        <f>_xlfn.XLOOKUP(tblSales[[#This Row],[Channel Code]],tblChannels[Channel Code],tblChannels[Channel Name],"")</f>
        <v>In-store</v>
      </c>
      <c r="R3426" s="1">
        <f>MONTH(tblSales[[#This Row],[Date]])</f>
        <v>7</v>
      </c>
    </row>
    <row r="3427" spans="2:18" x14ac:dyDescent="0.35">
      <c r="B3427" s="113">
        <v>46226</v>
      </c>
      <c r="C3427" s="4" t="s">
        <v>2303</v>
      </c>
      <c r="D3427" s="4" t="s">
        <v>4568</v>
      </c>
      <c r="E3427" s="1" t="str">
        <f>_xlfn.XLOOKUP(tblSales[[#This Row],[Customer ID]],tblCustomers[Customer ID],tblCustomers[Customer Name],"⚠ Unknown")</f>
        <v>Walk-in Customer</v>
      </c>
      <c r="F3427" s="4" t="s">
        <v>6</v>
      </c>
      <c r="G3427" s="1" t="str">
        <f>_xlfn.XLOOKUP(tblSales[[#This Row],[Product Code]],tblProducts[Code],tblProducts[Product / Service Name],"⚠ Unknown")</f>
        <v>Socks &amp; Accessories</v>
      </c>
      <c r="H3427" s="1" t="str">
        <f>_xlfn.XLOOKUP(tblSales[[#This Row],[Product Code]],tblProducts[Code],tblProducts[Category],"")</f>
        <v>Accessories &amp; Basics</v>
      </c>
      <c r="I3427" s="4">
        <v>6</v>
      </c>
      <c r="J3427" s="5">
        <f>_xlfn.XLOOKUP(tblSales[[#This Row],[Product Code]],tblProducts[Code],tblProducts[Selling Price (excl. VAT)],0)</f>
        <v>45000</v>
      </c>
      <c r="K3427" s="5">
        <f>tblSales[[#This Row],[Qty]]*tblSales[[#This Row],[Unit Price]]</f>
        <v>270000</v>
      </c>
      <c r="L3427" s="5">
        <f>ROUND(tblSales[[#This Row],[DPP (excl. VAT)]]*VATEff,0)</f>
        <v>29700</v>
      </c>
      <c r="M3427" s="5">
        <f>tblSales[[#This Row],[DPP (excl. VAT)]]+tblSales[[#This Row],[Output VAT]]</f>
        <v>299700</v>
      </c>
      <c r="N3427" s="5">
        <f>tblSales[[#This Row],[Qty]]*_xlfn.XLOOKUP(tblSales[[#This Row],[Product Code]],tblProducts[Code],tblProducts[Unit Cost],0)</f>
        <v>144000</v>
      </c>
      <c r="O3427" s="4" t="s">
        <v>4866</v>
      </c>
      <c r="P3427" s="4" t="s">
        <v>4860</v>
      </c>
      <c r="Q3427" s="1" t="str">
        <f>_xlfn.XLOOKUP(tblSales[[#This Row],[Channel Code]],tblChannels[Channel Code],tblChannels[Channel Name],"")</f>
        <v>In-store</v>
      </c>
      <c r="R3427" s="1">
        <f>MONTH(tblSales[[#This Row],[Date]])</f>
        <v>7</v>
      </c>
    </row>
    <row r="3428" spans="2:18" x14ac:dyDescent="0.35">
      <c r="B3428" s="113">
        <v>46226</v>
      </c>
      <c r="C3428" s="4" t="s">
        <v>2304</v>
      </c>
      <c r="D3428" s="4" t="s">
        <v>4578</v>
      </c>
      <c r="E3428" s="1" t="str">
        <f>_xlfn.XLOOKUP(tblSales[[#This Row],[Customer ID]],tblCustomers[Customer ID],tblCustomers[Customer Name],"⚠ Unknown")</f>
        <v>PT Bintang Timur Sejahtera</v>
      </c>
      <c r="F3428" s="4" t="s">
        <v>8</v>
      </c>
      <c r="G3428" s="1" t="str">
        <f>_xlfn.XLOOKUP(tblSales[[#This Row],[Product Code]],tblProducts[Code],tblProducts[Product / Service Name],"⚠ Unknown")</f>
        <v>Casual Shorts</v>
      </c>
      <c r="H3428" s="1" t="str">
        <f>_xlfn.XLOOKUP(tblSales[[#This Row],[Product Code]],tblProducts[Code],tblProducts[Category],"")</f>
        <v>Accessories &amp; Basics</v>
      </c>
      <c r="I3428" s="4">
        <v>40</v>
      </c>
      <c r="J3428" s="5">
        <f>_xlfn.XLOOKUP(tblSales[[#This Row],[Product Code]],tblProducts[Code],tblProducts[Selling Price (excl. VAT)],0)</f>
        <v>85000</v>
      </c>
      <c r="K3428" s="5">
        <f>tblSales[[#This Row],[Qty]]*tblSales[[#This Row],[Unit Price]]</f>
        <v>3400000</v>
      </c>
      <c r="L3428" s="5">
        <f>ROUND(tblSales[[#This Row],[DPP (excl. VAT)]]*VATEff,0)</f>
        <v>374000</v>
      </c>
      <c r="M3428" s="5">
        <f>tblSales[[#This Row],[DPP (excl. VAT)]]+tblSales[[#This Row],[Output VAT]]</f>
        <v>3774000</v>
      </c>
      <c r="N3428" s="5">
        <f>tblSales[[#This Row],[Qty]]*_xlfn.XLOOKUP(tblSales[[#This Row],[Product Code]],tblProducts[Code],tblProducts[Unit Cost],0)</f>
        <v>2000000</v>
      </c>
      <c r="O3428" s="4" t="s">
        <v>4867</v>
      </c>
      <c r="P3428" s="4" t="s">
        <v>4860</v>
      </c>
      <c r="Q3428" s="1" t="str">
        <f>_xlfn.XLOOKUP(tblSales[[#This Row],[Channel Code]],tblChannels[Channel Code],tblChannels[Channel Name],"")</f>
        <v>In-store</v>
      </c>
      <c r="R3428" s="1">
        <f>MONTH(tblSales[[#This Row],[Date]])</f>
        <v>7</v>
      </c>
    </row>
    <row r="3429" spans="2:18" x14ac:dyDescent="0.35">
      <c r="B3429" s="113">
        <v>46226</v>
      </c>
      <c r="C3429" s="4" t="s">
        <v>2304</v>
      </c>
      <c r="D3429" s="4" t="s">
        <v>4578</v>
      </c>
      <c r="E3429" s="1" t="str">
        <f>_xlfn.XLOOKUP(tblSales[[#This Row],[Customer ID]],tblCustomers[Customer ID],tblCustomers[Customer Name],"⚠ Unknown")</f>
        <v>PT Bintang Timur Sejahtera</v>
      </c>
      <c r="F3429" s="4" t="s">
        <v>10</v>
      </c>
      <c r="G3429" s="1" t="str">
        <f>_xlfn.XLOOKUP(tblSales[[#This Row],[Product Code]],tblProducts[Code],tblProducts[Product / Service Name],"⚠ Unknown")</f>
        <v>Chino Pants</v>
      </c>
      <c r="H3429" s="1" t="str">
        <f>_xlfn.XLOOKUP(tblSales[[#This Row],[Product Code]],tblProducts[Code],tblProducts[Category],"")</f>
        <v>Apparel &amp; Footwear</v>
      </c>
      <c r="I3429" s="4">
        <v>24</v>
      </c>
      <c r="J3429" s="5">
        <f>_xlfn.XLOOKUP(tblSales[[#This Row],[Product Code]],tblProducts[Code],tblProducts[Selling Price (excl. VAT)],0)</f>
        <v>150000</v>
      </c>
      <c r="K3429" s="5">
        <f>tblSales[[#This Row],[Qty]]*tblSales[[#This Row],[Unit Price]]</f>
        <v>3600000</v>
      </c>
      <c r="L3429" s="5">
        <f>ROUND(tblSales[[#This Row],[DPP (excl. VAT)]]*VATEff,0)</f>
        <v>396000</v>
      </c>
      <c r="M3429" s="5">
        <f>tblSales[[#This Row],[DPP (excl. VAT)]]+tblSales[[#This Row],[Output VAT]]</f>
        <v>3996000</v>
      </c>
      <c r="N3429" s="5">
        <f>tblSales[[#This Row],[Qty]]*_xlfn.XLOOKUP(tblSales[[#This Row],[Product Code]],tblProducts[Code],tblProducts[Unit Cost],0)</f>
        <v>2112000</v>
      </c>
      <c r="O3429" s="4" t="s">
        <v>4867</v>
      </c>
      <c r="P3429" s="4" t="s">
        <v>4860</v>
      </c>
      <c r="Q3429" s="1" t="str">
        <f>_xlfn.XLOOKUP(tblSales[[#This Row],[Channel Code]],tblChannels[Channel Code],tblChannels[Channel Name],"")</f>
        <v>In-store</v>
      </c>
      <c r="R3429" s="1">
        <f>MONTH(tblSales[[#This Row],[Date]])</f>
        <v>7</v>
      </c>
    </row>
    <row r="3430" spans="2:18" x14ac:dyDescent="0.35">
      <c r="B3430" s="113">
        <v>46227</v>
      </c>
      <c r="C3430" s="4" t="s">
        <v>2305</v>
      </c>
      <c r="D3430" s="4" t="s">
        <v>4568</v>
      </c>
      <c r="E3430" s="1" t="str">
        <f>_xlfn.XLOOKUP(tblSales[[#This Row],[Customer ID]],tblCustomers[Customer ID],tblCustomers[Customer Name],"⚠ Unknown")</f>
        <v>Walk-in Customer</v>
      </c>
      <c r="F3430" s="4" t="s">
        <v>11</v>
      </c>
      <c r="G3430" s="1" t="str">
        <f>_xlfn.XLOOKUP(tblSales[[#This Row],[Product Code]],tblProducts[Code],tblProducts[Product / Service Name],"⚠ Unknown")</f>
        <v>Sneakers</v>
      </c>
      <c r="H3430" s="1" t="str">
        <f>_xlfn.XLOOKUP(tblSales[[#This Row],[Product Code]],tblProducts[Code],tblProducts[Category],"")</f>
        <v>Apparel &amp; Footwear</v>
      </c>
      <c r="I3430" s="4">
        <v>2</v>
      </c>
      <c r="J3430" s="5">
        <f>_xlfn.XLOOKUP(tblSales[[#This Row],[Product Code]],tblProducts[Code],tblProducts[Selling Price (excl. VAT)],0)</f>
        <v>250000</v>
      </c>
      <c r="K3430" s="5">
        <f>tblSales[[#This Row],[Qty]]*tblSales[[#This Row],[Unit Price]]</f>
        <v>500000</v>
      </c>
      <c r="L3430" s="5">
        <f>ROUND(tblSales[[#This Row],[DPP (excl. VAT)]]*VATEff,0)</f>
        <v>55000</v>
      </c>
      <c r="M3430" s="5">
        <f>tblSales[[#This Row],[DPP (excl. VAT)]]+tblSales[[#This Row],[Output VAT]]</f>
        <v>555000</v>
      </c>
      <c r="N3430" s="5">
        <f>tblSales[[#This Row],[Qty]]*_xlfn.XLOOKUP(tblSales[[#This Row],[Product Code]],tblProducts[Code],tblProducts[Unit Cost],0)</f>
        <v>310000</v>
      </c>
      <c r="O3430" s="4" t="s">
        <v>4866</v>
      </c>
      <c r="P3430" s="4" t="s">
        <v>4861</v>
      </c>
      <c r="Q3430" s="1" t="str">
        <f>_xlfn.XLOOKUP(tblSales[[#This Row],[Channel Code]],tblChannels[Channel Code],tblChannels[Channel Name],"")</f>
        <v>Marketplace</v>
      </c>
      <c r="R3430" s="1">
        <f>MONTH(tblSales[[#This Row],[Date]])</f>
        <v>7</v>
      </c>
    </row>
    <row r="3431" spans="2:18" x14ac:dyDescent="0.35">
      <c r="B3431" s="113">
        <v>46227</v>
      </c>
      <c r="C3431" s="4" t="s">
        <v>2305</v>
      </c>
      <c r="D3431" s="4" t="s">
        <v>4568</v>
      </c>
      <c r="E3431" s="1" t="str">
        <f>_xlfn.XLOOKUP(tblSales[[#This Row],[Customer ID]],tblCustomers[Customer ID],tblCustomers[Customer Name],"⚠ Unknown")</f>
        <v>Walk-in Customer</v>
      </c>
      <c r="F3431" s="4" t="s">
        <v>7</v>
      </c>
      <c r="G3431" s="1" t="str">
        <f>_xlfn.XLOOKUP(tblSales[[#This Row],[Product Code]],tblProducts[Code],tblProducts[Product / Service Name],"⚠ Unknown")</f>
        <v>Premium Basic T-shirt</v>
      </c>
      <c r="H3431" s="1" t="str">
        <f>_xlfn.XLOOKUP(tblSales[[#This Row],[Product Code]],tblProducts[Code],tblProducts[Category],"")</f>
        <v>Accessories &amp; Basics</v>
      </c>
      <c r="I3431" s="4">
        <v>1</v>
      </c>
      <c r="J3431" s="5">
        <f>_xlfn.XLOOKUP(tblSales[[#This Row],[Product Code]],tblProducts[Code],tblProducts[Selling Price (excl. VAT)],0)</f>
        <v>65000</v>
      </c>
      <c r="K3431" s="5">
        <f>tblSales[[#This Row],[Qty]]*tblSales[[#This Row],[Unit Price]]</f>
        <v>65000</v>
      </c>
      <c r="L3431" s="5">
        <f>ROUND(tblSales[[#This Row],[DPP (excl. VAT)]]*VATEff,0)</f>
        <v>7150</v>
      </c>
      <c r="M3431" s="5">
        <f>tblSales[[#This Row],[DPP (excl. VAT)]]+tblSales[[#This Row],[Output VAT]]</f>
        <v>72150</v>
      </c>
      <c r="N3431" s="5">
        <f>tblSales[[#This Row],[Qty]]*_xlfn.XLOOKUP(tblSales[[#This Row],[Product Code]],tblProducts[Code],tblProducts[Unit Cost],0)</f>
        <v>37000</v>
      </c>
      <c r="O3431" s="4" t="s">
        <v>4866</v>
      </c>
      <c r="P3431" s="4" t="s">
        <v>4861</v>
      </c>
      <c r="Q3431" s="1" t="str">
        <f>_xlfn.XLOOKUP(tblSales[[#This Row],[Channel Code]],tblChannels[Channel Code],tblChannels[Channel Name],"")</f>
        <v>Marketplace</v>
      </c>
      <c r="R3431" s="1">
        <f>MONTH(tblSales[[#This Row],[Date]])</f>
        <v>7</v>
      </c>
    </row>
    <row r="3432" spans="2:18" x14ac:dyDescent="0.35">
      <c r="B3432" s="113">
        <v>46227</v>
      </c>
      <c r="C3432" s="4" t="s">
        <v>2306</v>
      </c>
      <c r="D3432" s="4" t="s">
        <v>4572</v>
      </c>
      <c r="E3432" s="1" t="str">
        <f>_xlfn.XLOOKUP(tblSales[[#This Row],[Customer ID]],tblCustomers[Customer ID],tblCustomers[Customer Name],"⚠ Unknown")</f>
        <v>PT Cahaya Abadi Makmur</v>
      </c>
      <c r="F3432" s="4" t="s">
        <v>9</v>
      </c>
      <c r="G3432" s="1" t="str">
        <f>_xlfn.XLOOKUP(tblSales[[#This Row],[Product Code]],tblProducts[Code],tblProducts[Product / Service Name],"⚠ Unknown")</f>
        <v>Casual Shirt</v>
      </c>
      <c r="H3432" s="1" t="str">
        <f>_xlfn.XLOOKUP(tblSales[[#This Row],[Product Code]],tblProducts[Code],tblProducts[Category],"")</f>
        <v>Apparel &amp; Footwear</v>
      </c>
      <c r="I3432" s="4">
        <v>64</v>
      </c>
      <c r="J3432" s="5">
        <f>_xlfn.XLOOKUP(tblSales[[#This Row],[Product Code]],tblProducts[Code],tblProducts[Selling Price (excl. VAT)],0)</f>
        <v>120000</v>
      </c>
      <c r="K3432" s="5">
        <f>tblSales[[#This Row],[Qty]]*tblSales[[#This Row],[Unit Price]]</f>
        <v>7680000</v>
      </c>
      <c r="L3432" s="5">
        <f>ROUND(tblSales[[#This Row],[DPP (excl. VAT)]]*VATEff,0)</f>
        <v>844800</v>
      </c>
      <c r="M3432" s="5">
        <f>tblSales[[#This Row],[DPP (excl. VAT)]]+tblSales[[#This Row],[Output VAT]]</f>
        <v>8524800</v>
      </c>
      <c r="N3432" s="5">
        <f>tblSales[[#This Row],[Qty]]*_xlfn.XLOOKUP(tblSales[[#This Row],[Product Code]],tblProducts[Code],tblProducts[Unit Cost],0)</f>
        <v>4608000</v>
      </c>
      <c r="O3432" s="4" t="s">
        <v>4867</v>
      </c>
      <c r="P3432" s="4" t="s">
        <v>4860</v>
      </c>
      <c r="Q3432" s="1" t="str">
        <f>_xlfn.XLOOKUP(tblSales[[#This Row],[Channel Code]],tblChannels[Channel Code],tblChannels[Channel Name],"")</f>
        <v>In-store</v>
      </c>
      <c r="R3432" s="1">
        <f>MONTH(tblSales[[#This Row],[Date]])</f>
        <v>7</v>
      </c>
    </row>
    <row r="3433" spans="2:18" x14ac:dyDescent="0.35">
      <c r="B3433" s="113">
        <v>46227</v>
      </c>
      <c r="C3433" s="4" t="s">
        <v>2307</v>
      </c>
      <c r="D3433" s="4" t="s">
        <v>4568</v>
      </c>
      <c r="E3433" s="1" t="str">
        <f>_xlfn.XLOOKUP(tblSales[[#This Row],[Customer ID]],tblCustomers[Customer ID],tblCustomers[Customer Name],"⚠ Unknown")</f>
        <v>Walk-in Customer</v>
      </c>
      <c r="F3433" s="4" t="s">
        <v>12</v>
      </c>
      <c r="G3433" s="1" t="str">
        <f>_xlfn.XLOOKUP(tblSales[[#This Row],[Product Code]],tblProducts[Code],tblProducts[Product / Service Name],"⚠ Unknown")</f>
        <v>Bomber Jacket</v>
      </c>
      <c r="H3433" s="1" t="str">
        <f>_xlfn.XLOOKUP(tblSales[[#This Row],[Product Code]],tblProducts[Code],tblProducts[Category],"")</f>
        <v>Apparel &amp; Footwear</v>
      </c>
      <c r="I3433" s="4">
        <v>1</v>
      </c>
      <c r="J3433" s="5">
        <f>_xlfn.XLOOKUP(tblSales[[#This Row],[Product Code]],tblProducts[Code],tblProducts[Selling Price (excl. VAT)],0)</f>
        <v>350000</v>
      </c>
      <c r="K3433" s="5">
        <f>tblSales[[#This Row],[Qty]]*tblSales[[#This Row],[Unit Price]]</f>
        <v>350000</v>
      </c>
      <c r="L3433" s="5">
        <f>ROUND(tblSales[[#This Row],[DPP (excl. VAT)]]*VATEff,0)</f>
        <v>38500</v>
      </c>
      <c r="M3433" s="5">
        <f>tblSales[[#This Row],[DPP (excl. VAT)]]+tblSales[[#This Row],[Output VAT]]</f>
        <v>388500</v>
      </c>
      <c r="N3433" s="5">
        <f>tblSales[[#This Row],[Qty]]*_xlfn.XLOOKUP(tblSales[[#This Row],[Product Code]],tblProducts[Code],tblProducts[Unit Cost],0)</f>
        <v>210000</v>
      </c>
      <c r="O3433" s="4" t="s">
        <v>4866</v>
      </c>
      <c r="P3433" s="4" t="s">
        <v>4860</v>
      </c>
      <c r="Q3433" s="1" t="str">
        <f>_xlfn.XLOOKUP(tblSales[[#This Row],[Channel Code]],tblChannels[Channel Code],tblChannels[Channel Name],"")</f>
        <v>In-store</v>
      </c>
      <c r="R3433" s="1">
        <f>MONTH(tblSales[[#This Row],[Date]])</f>
        <v>7</v>
      </c>
    </row>
    <row r="3434" spans="2:18" x14ac:dyDescent="0.35">
      <c r="B3434" s="113">
        <v>46227</v>
      </c>
      <c r="C3434" s="4" t="s">
        <v>2308</v>
      </c>
      <c r="D3434" s="4" t="s">
        <v>4568</v>
      </c>
      <c r="E3434" s="1" t="str">
        <f>_xlfn.XLOOKUP(tblSales[[#This Row],[Customer ID]],tblCustomers[Customer ID],tblCustomers[Customer Name],"⚠ Unknown")</f>
        <v>Walk-in Customer</v>
      </c>
      <c r="F3434" s="4" t="s">
        <v>6</v>
      </c>
      <c r="G3434" s="1" t="str">
        <f>_xlfn.XLOOKUP(tblSales[[#This Row],[Product Code]],tblProducts[Code],tblProducts[Product / Service Name],"⚠ Unknown")</f>
        <v>Socks &amp; Accessories</v>
      </c>
      <c r="H3434" s="1" t="str">
        <f>_xlfn.XLOOKUP(tblSales[[#This Row],[Product Code]],tblProducts[Code],tblProducts[Category],"")</f>
        <v>Accessories &amp; Basics</v>
      </c>
      <c r="I3434" s="4">
        <v>2</v>
      </c>
      <c r="J3434" s="5">
        <f>_xlfn.XLOOKUP(tblSales[[#This Row],[Product Code]],tblProducts[Code],tblProducts[Selling Price (excl. VAT)],0)</f>
        <v>45000</v>
      </c>
      <c r="K3434" s="5">
        <f>tblSales[[#This Row],[Qty]]*tblSales[[#This Row],[Unit Price]]</f>
        <v>90000</v>
      </c>
      <c r="L3434" s="5">
        <f>ROUND(tblSales[[#This Row],[DPP (excl. VAT)]]*VATEff,0)</f>
        <v>9900</v>
      </c>
      <c r="M3434" s="5">
        <f>tblSales[[#This Row],[DPP (excl. VAT)]]+tblSales[[#This Row],[Output VAT]]</f>
        <v>99900</v>
      </c>
      <c r="N3434" s="5">
        <f>tblSales[[#This Row],[Qty]]*_xlfn.XLOOKUP(tblSales[[#This Row],[Product Code]],tblProducts[Code],tblProducts[Unit Cost],0)</f>
        <v>48000</v>
      </c>
      <c r="O3434" s="4" t="s">
        <v>4865</v>
      </c>
      <c r="P3434" s="4" t="s">
        <v>4860</v>
      </c>
      <c r="Q3434" s="1" t="str">
        <f>_xlfn.XLOOKUP(tblSales[[#This Row],[Channel Code]],tblChannels[Channel Code],tblChannels[Channel Name],"")</f>
        <v>In-store</v>
      </c>
      <c r="R3434" s="1">
        <f>MONTH(tblSales[[#This Row],[Date]])</f>
        <v>7</v>
      </c>
    </row>
    <row r="3435" spans="2:18" x14ac:dyDescent="0.35">
      <c r="B3435" s="113">
        <v>46227</v>
      </c>
      <c r="C3435" s="4" t="s">
        <v>2309</v>
      </c>
      <c r="D3435" s="4" t="s">
        <v>4568</v>
      </c>
      <c r="E3435" s="1" t="str">
        <f>_xlfn.XLOOKUP(tblSales[[#This Row],[Customer ID]],tblCustomers[Customer ID],tblCustomers[Customer Name],"⚠ Unknown")</f>
        <v>Walk-in Customer</v>
      </c>
      <c r="F3435" s="4" t="s">
        <v>6</v>
      </c>
      <c r="G3435" s="1" t="str">
        <f>_xlfn.XLOOKUP(tblSales[[#This Row],[Product Code]],tblProducts[Code],tblProducts[Product / Service Name],"⚠ Unknown")</f>
        <v>Socks &amp; Accessories</v>
      </c>
      <c r="H3435" s="1" t="str">
        <f>_xlfn.XLOOKUP(tblSales[[#This Row],[Product Code]],tblProducts[Code],tblProducts[Category],"")</f>
        <v>Accessories &amp; Basics</v>
      </c>
      <c r="I3435" s="4">
        <v>10</v>
      </c>
      <c r="J3435" s="5">
        <f>_xlfn.XLOOKUP(tblSales[[#This Row],[Product Code]],tblProducts[Code],tblProducts[Selling Price (excl. VAT)],0)</f>
        <v>45000</v>
      </c>
      <c r="K3435" s="5">
        <f>tblSales[[#This Row],[Qty]]*tblSales[[#This Row],[Unit Price]]</f>
        <v>450000</v>
      </c>
      <c r="L3435" s="5">
        <f>ROUND(tblSales[[#This Row],[DPP (excl. VAT)]]*VATEff,0)</f>
        <v>49500</v>
      </c>
      <c r="M3435" s="5">
        <f>tblSales[[#This Row],[DPP (excl. VAT)]]+tblSales[[#This Row],[Output VAT]]</f>
        <v>499500</v>
      </c>
      <c r="N3435" s="5">
        <f>tblSales[[#This Row],[Qty]]*_xlfn.XLOOKUP(tblSales[[#This Row],[Product Code]],tblProducts[Code],tblProducts[Unit Cost],0)</f>
        <v>240000</v>
      </c>
      <c r="O3435" s="4" t="s">
        <v>4866</v>
      </c>
      <c r="P3435" s="4" t="s">
        <v>4862</v>
      </c>
      <c r="Q3435" s="1" t="str">
        <f>_xlfn.XLOOKUP(tblSales[[#This Row],[Channel Code]],tblChannels[Channel Code],tblChannels[Channel Name],"")</f>
        <v>Website &amp; Social Media</v>
      </c>
      <c r="R3435" s="1">
        <f>MONTH(tblSales[[#This Row],[Date]])</f>
        <v>7</v>
      </c>
    </row>
    <row r="3436" spans="2:18" x14ac:dyDescent="0.35">
      <c r="B3436" s="113">
        <v>46227</v>
      </c>
      <c r="C3436" s="4" t="s">
        <v>2310</v>
      </c>
      <c r="D3436" s="4" t="s">
        <v>4568</v>
      </c>
      <c r="E3436" s="1" t="str">
        <f>_xlfn.XLOOKUP(tblSales[[#This Row],[Customer ID]],tblCustomers[Customer ID],tblCustomers[Customer Name],"⚠ Unknown")</f>
        <v>Walk-in Customer</v>
      </c>
      <c r="F3436" s="4" t="s">
        <v>12</v>
      </c>
      <c r="G3436" s="1" t="str">
        <f>_xlfn.XLOOKUP(tblSales[[#This Row],[Product Code]],tblProducts[Code],tblProducts[Product / Service Name],"⚠ Unknown")</f>
        <v>Bomber Jacket</v>
      </c>
      <c r="H3436" s="1" t="str">
        <f>_xlfn.XLOOKUP(tblSales[[#This Row],[Product Code]],tblProducts[Code],tblProducts[Category],"")</f>
        <v>Apparel &amp; Footwear</v>
      </c>
      <c r="I3436" s="4">
        <v>2</v>
      </c>
      <c r="J3436" s="5">
        <f>_xlfn.XLOOKUP(tblSales[[#This Row],[Product Code]],tblProducts[Code],tblProducts[Selling Price (excl. VAT)],0)</f>
        <v>350000</v>
      </c>
      <c r="K3436" s="5">
        <f>tblSales[[#This Row],[Qty]]*tblSales[[#This Row],[Unit Price]]</f>
        <v>700000</v>
      </c>
      <c r="L3436" s="5">
        <f>ROUND(tblSales[[#This Row],[DPP (excl. VAT)]]*VATEff,0)</f>
        <v>77000</v>
      </c>
      <c r="M3436" s="5">
        <f>tblSales[[#This Row],[DPP (excl. VAT)]]+tblSales[[#This Row],[Output VAT]]</f>
        <v>777000</v>
      </c>
      <c r="N3436" s="5">
        <f>tblSales[[#This Row],[Qty]]*_xlfn.XLOOKUP(tblSales[[#This Row],[Product Code]],tblProducts[Code],tblProducts[Unit Cost],0)</f>
        <v>420000</v>
      </c>
      <c r="O3436" s="4" t="s">
        <v>4866</v>
      </c>
      <c r="P3436" s="4" t="s">
        <v>4861</v>
      </c>
      <c r="Q3436" s="1" t="str">
        <f>_xlfn.XLOOKUP(tblSales[[#This Row],[Channel Code]],tblChannels[Channel Code],tblChannels[Channel Name],"")</f>
        <v>Marketplace</v>
      </c>
      <c r="R3436" s="1">
        <f>MONTH(tblSales[[#This Row],[Date]])</f>
        <v>7</v>
      </c>
    </row>
    <row r="3437" spans="2:18" x14ac:dyDescent="0.35">
      <c r="B3437" s="113">
        <v>46227</v>
      </c>
      <c r="C3437" s="4" t="s">
        <v>2311</v>
      </c>
      <c r="D3437" s="4" t="s">
        <v>4568</v>
      </c>
      <c r="E3437" s="1" t="str">
        <f>_xlfn.XLOOKUP(tblSales[[#This Row],[Customer ID]],tblCustomers[Customer ID],tblCustomers[Customer Name],"⚠ Unknown")</f>
        <v>Walk-in Customer</v>
      </c>
      <c r="F3437" s="4" t="s">
        <v>6</v>
      </c>
      <c r="G3437" s="1" t="str">
        <f>_xlfn.XLOOKUP(tblSales[[#This Row],[Product Code]],tblProducts[Code],tblProducts[Product / Service Name],"⚠ Unknown")</f>
        <v>Socks &amp; Accessories</v>
      </c>
      <c r="H3437" s="1" t="str">
        <f>_xlfn.XLOOKUP(tblSales[[#This Row],[Product Code]],tblProducts[Code],tblProducts[Category],"")</f>
        <v>Accessories &amp; Basics</v>
      </c>
      <c r="I3437" s="4">
        <v>12</v>
      </c>
      <c r="J3437" s="5">
        <f>_xlfn.XLOOKUP(tblSales[[#This Row],[Product Code]],tblProducts[Code],tblProducts[Selling Price (excl. VAT)],0)</f>
        <v>45000</v>
      </c>
      <c r="K3437" s="5">
        <f>tblSales[[#This Row],[Qty]]*tblSales[[#This Row],[Unit Price]]</f>
        <v>540000</v>
      </c>
      <c r="L3437" s="5">
        <f>ROUND(tblSales[[#This Row],[DPP (excl. VAT)]]*VATEff,0)</f>
        <v>59400</v>
      </c>
      <c r="M3437" s="5">
        <f>tblSales[[#This Row],[DPP (excl. VAT)]]+tblSales[[#This Row],[Output VAT]]</f>
        <v>599400</v>
      </c>
      <c r="N3437" s="5">
        <f>tblSales[[#This Row],[Qty]]*_xlfn.XLOOKUP(tblSales[[#This Row],[Product Code]],tblProducts[Code],tblProducts[Unit Cost],0)</f>
        <v>288000</v>
      </c>
      <c r="O3437" s="4" t="s">
        <v>4866</v>
      </c>
      <c r="P3437" s="4" t="s">
        <v>4862</v>
      </c>
      <c r="Q3437" s="1" t="str">
        <f>_xlfn.XLOOKUP(tblSales[[#This Row],[Channel Code]],tblChannels[Channel Code],tblChannels[Channel Name],"")</f>
        <v>Website &amp; Social Media</v>
      </c>
      <c r="R3437" s="1">
        <f>MONTH(tblSales[[#This Row],[Date]])</f>
        <v>7</v>
      </c>
    </row>
    <row r="3438" spans="2:18" x14ac:dyDescent="0.35">
      <c r="B3438" s="113">
        <v>46227</v>
      </c>
      <c r="C3438" s="4" t="s">
        <v>2312</v>
      </c>
      <c r="D3438" s="4" t="s">
        <v>4568</v>
      </c>
      <c r="E3438" s="1" t="str">
        <f>_xlfn.XLOOKUP(tblSales[[#This Row],[Customer ID]],tblCustomers[Customer ID],tblCustomers[Customer Name],"⚠ Unknown")</f>
        <v>Walk-in Customer</v>
      </c>
      <c r="F3438" s="4" t="s">
        <v>7</v>
      </c>
      <c r="G3438" s="1" t="str">
        <f>_xlfn.XLOOKUP(tblSales[[#This Row],[Product Code]],tblProducts[Code],tblProducts[Product / Service Name],"⚠ Unknown")</f>
        <v>Premium Basic T-shirt</v>
      </c>
      <c r="H3438" s="1" t="str">
        <f>_xlfn.XLOOKUP(tblSales[[#This Row],[Product Code]],tblProducts[Code],tblProducts[Category],"")</f>
        <v>Accessories &amp; Basics</v>
      </c>
      <c r="I3438" s="4">
        <v>12</v>
      </c>
      <c r="J3438" s="5">
        <f>_xlfn.XLOOKUP(tblSales[[#This Row],[Product Code]],tblProducts[Code],tblProducts[Selling Price (excl. VAT)],0)</f>
        <v>65000</v>
      </c>
      <c r="K3438" s="5">
        <f>tblSales[[#This Row],[Qty]]*tblSales[[#This Row],[Unit Price]]</f>
        <v>780000</v>
      </c>
      <c r="L3438" s="5">
        <f>ROUND(tblSales[[#This Row],[DPP (excl. VAT)]]*VATEff,0)</f>
        <v>85800</v>
      </c>
      <c r="M3438" s="5">
        <f>tblSales[[#This Row],[DPP (excl. VAT)]]+tblSales[[#This Row],[Output VAT]]</f>
        <v>865800</v>
      </c>
      <c r="N3438" s="5">
        <f>tblSales[[#This Row],[Qty]]*_xlfn.XLOOKUP(tblSales[[#This Row],[Product Code]],tblProducts[Code],tblProducts[Unit Cost],0)</f>
        <v>444000</v>
      </c>
      <c r="O3438" s="4" t="s">
        <v>4866</v>
      </c>
      <c r="P3438" s="4" t="s">
        <v>4860</v>
      </c>
      <c r="Q3438" s="1" t="str">
        <f>_xlfn.XLOOKUP(tblSales[[#This Row],[Channel Code]],tblChannels[Channel Code],tblChannels[Channel Name],"")</f>
        <v>In-store</v>
      </c>
      <c r="R3438" s="1">
        <f>MONTH(tblSales[[#This Row],[Date]])</f>
        <v>7</v>
      </c>
    </row>
    <row r="3439" spans="2:18" x14ac:dyDescent="0.35">
      <c r="B3439" s="113">
        <v>46227</v>
      </c>
      <c r="C3439" s="4" t="s">
        <v>2313</v>
      </c>
      <c r="D3439" s="4" t="s">
        <v>4568</v>
      </c>
      <c r="E3439" s="1" t="str">
        <f>_xlfn.XLOOKUP(tblSales[[#This Row],[Customer ID]],tblCustomers[Customer ID],tblCustomers[Customer Name],"⚠ Unknown")</f>
        <v>Walk-in Customer</v>
      </c>
      <c r="F3439" s="4" t="s">
        <v>9</v>
      </c>
      <c r="G3439" s="1" t="str">
        <f>_xlfn.XLOOKUP(tblSales[[#This Row],[Product Code]],tblProducts[Code],tblProducts[Product / Service Name],"⚠ Unknown")</f>
        <v>Casual Shirt</v>
      </c>
      <c r="H3439" s="1" t="str">
        <f>_xlfn.XLOOKUP(tblSales[[#This Row],[Product Code]],tblProducts[Code],tblProducts[Category],"")</f>
        <v>Apparel &amp; Footwear</v>
      </c>
      <c r="I3439" s="4">
        <v>9</v>
      </c>
      <c r="J3439" s="5">
        <f>_xlfn.XLOOKUP(tblSales[[#This Row],[Product Code]],tblProducts[Code],tblProducts[Selling Price (excl. VAT)],0)</f>
        <v>120000</v>
      </c>
      <c r="K3439" s="5">
        <f>tblSales[[#This Row],[Qty]]*tblSales[[#This Row],[Unit Price]]</f>
        <v>1080000</v>
      </c>
      <c r="L3439" s="5">
        <f>ROUND(tblSales[[#This Row],[DPP (excl. VAT)]]*VATEff,0)</f>
        <v>118800</v>
      </c>
      <c r="M3439" s="5">
        <f>tblSales[[#This Row],[DPP (excl. VAT)]]+tblSales[[#This Row],[Output VAT]]</f>
        <v>1198800</v>
      </c>
      <c r="N3439" s="5">
        <f>tblSales[[#This Row],[Qty]]*_xlfn.XLOOKUP(tblSales[[#This Row],[Product Code]],tblProducts[Code],tblProducts[Unit Cost],0)</f>
        <v>648000</v>
      </c>
      <c r="O3439" s="4" t="s">
        <v>4866</v>
      </c>
      <c r="P3439" s="4" t="s">
        <v>4860</v>
      </c>
      <c r="Q3439" s="1" t="str">
        <f>_xlfn.XLOOKUP(tblSales[[#This Row],[Channel Code]],tblChannels[Channel Code],tblChannels[Channel Name],"")</f>
        <v>In-store</v>
      </c>
      <c r="R3439" s="1">
        <f>MONTH(tblSales[[#This Row],[Date]])</f>
        <v>7</v>
      </c>
    </row>
    <row r="3440" spans="2:18" x14ac:dyDescent="0.35">
      <c r="B3440" s="113">
        <v>46227</v>
      </c>
      <c r="C3440" s="4" t="s">
        <v>2313</v>
      </c>
      <c r="D3440" s="4" t="s">
        <v>4568</v>
      </c>
      <c r="E3440" s="1" t="str">
        <f>_xlfn.XLOOKUP(tblSales[[#This Row],[Customer ID]],tblCustomers[Customer ID],tblCustomers[Customer Name],"⚠ Unknown")</f>
        <v>Walk-in Customer</v>
      </c>
      <c r="F3440" s="4" t="s">
        <v>10</v>
      </c>
      <c r="G3440" s="1" t="str">
        <f>_xlfn.XLOOKUP(tblSales[[#This Row],[Product Code]],tblProducts[Code],tblProducts[Product / Service Name],"⚠ Unknown")</f>
        <v>Chino Pants</v>
      </c>
      <c r="H3440" s="1" t="str">
        <f>_xlfn.XLOOKUP(tblSales[[#This Row],[Product Code]],tblProducts[Code],tblProducts[Category],"")</f>
        <v>Apparel &amp; Footwear</v>
      </c>
      <c r="I3440" s="4">
        <v>1</v>
      </c>
      <c r="J3440" s="5">
        <f>_xlfn.XLOOKUP(tblSales[[#This Row],[Product Code]],tblProducts[Code],tblProducts[Selling Price (excl. VAT)],0)</f>
        <v>150000</v>
      </c>
      <c r="K3440" s="5">
        <f>tblSales[[#This Row],[Qty]]*tblSales[[#This Row],[Unit Price]]</f>
        <v>150000</v>
      </c>
      <c r="L3440" s="5">
        <f>ROUND(tblSales[[#This Row],[DPP (excl. VAT)]]*VATEff,0)</f>
        <v>16500</v>
      </c>
      <c r="M3440" s="5">
        <f>tblSales[[#This Row],[DPP (excl. VAT)]]+tblSales[[#This Row],[Output VAT]]</f>
        <v>166500</v>
      </c>
      <c r="N3440" s="5">
        <f>tblSales[[#This Row],[Qty]]*_xlfn.XLOOKUP(tblSales[[#This Row],[Product Code]],tblProducts[Code],tblProducts[Unit Cost],0)</f>
        <v>88000</v>
      </c>
      <c r="O3440" s="4" t="s">
        <v>4866</v>
      </c>
      <c r="P3440" s="4" t="s">
        <v>4860</v>
      </c>
      <c r="Q3440" s="1" t="str">
        <f>_xlfn.XLOOKUP(tblSales[[#This Row],[Channel Code]],tblChannels[Channel Code],tblChannels[Channel Name],"")</f>
        <v>In-store</v>
      </c>
      <c r="R3440" s="1">
        <f>MONTH(tblSales[[#This Row],[Date]])</f>
        <v>7</v>
      </c>
    </row>
    <row r="3441" spans="2:18" x14ac:dyDescent="0.35">
      <c r="B3441" s="113">
        <v>46227</v>
      </c>
      <c r="C3441" s="4" t="s">
        <v>2314</v>
      </c>
      <c r="D3441" s="4" t="s">
        <v>4568</v>
      </c>
      <c r="E3441" s="1" t="str">
        <f>_xlfn.XLOOKUP(tblSales[[#This Row],[Customer ID]],tblCustomers[Customer ID],tblCustomers[Customer Name],"⚠ Unknown")</f>
        <v>Walk-in Customer</v>
      </c>
      <c r="F3441" s="4" t="s">
        <v>7</v>
      </c>
      <c r="G3441" s="1" t="str">
        <f>_xlfn.XLOOKUP(tblSales[[#This Row],[Product Code]],tblProducts[Code],tblProducts[Product / Service Name],"⚠ Unknown")</f>
        <v>Premium Basic T-shirt</v>
      </c>
      <c r="H3441" s="1" t="str">
        <f>_xlfn.XLOOKUP(tblSales[[#This Row],[Product Code]],tblProducts[Code],tblProducts[Category],"")</f>
        <v>Accessories &amp; Basics</v>
      </c>
      <c r="I3441" s="4">
        <v>9</v>
      </c>
      <c r="J3441" s="5">
        <f>_xlfn.XLOOKUP(tblSales[[#This Row],[Product Code]],tblProducts[Code],tblProducts[Selling Price (excl. VAT)],0)</f>
        <v>65000</v>
      </c>
      <c r="K3441" s="5">
        <f>tblSales[[#This Row],[Qty]]*tblSales[[#This Row],[Unit Price]]</f>
        <v>585000</v>
      </c>
      <c r="L3441" s="5">
        <f>ROUND(tblSales[[#This Row],[DPP (excl. VAT)]]*VATEff,0)</f>
        <v>64350</v>
      </c>
      <c r="M3441" s="5">
        <f>tblSales[[#This Row],[DPP (excl. VAT)]]+tblSales[[#This Row],[Output VAT]]</f>
        <v>649350</v>
      </c>
      <c r="N3441" s="5">
        <f>tblSales[[#This Row],[Qty]]*_xlfn.XLOOKUP(tblSales[[#This Row],[Product Code]],tblProducts[Code],tblProducts[Unit Cost],0)</f>
        <v>333000</v>
      </c>
      <c r="O3441" s="4" t="s">
        <v>4866</v>
      </c>
      <c r="P3441" s="4" t="s">
        <v>4861</v>
      </c>
      <c r="Q3441" s="1" t="str">
        <f>_xlfn.XLOOKUP(tblSales[[#This Row],[Channel Code]],tblChannels[Channel Code],tblChannels[Channel Name],"")</f>
        <v>Marketplace</v>
      </c>
      <c r="R3441" s="1">
        <f>MONTH(tblSales[[#This Row],[Date]])</f>
        <v>7</v>
      </c>
    </row>
    <row r="3442" spans="2:18" x14ac:dyDescent="0.35">
      <c r="B3442" s="113">
        <v>46227</v>
      </c>
      <c r="C3442" s="4" t="s">
        <v>2314</v>
      </c>
      <c r="D3442" s="4" t="s">
        <v>4568</v>
      </c>
      <c r="E3442" s="1" t="str">
        <f>_xlfn.XLOOKUP(tblSales[[#This Row],[Customer ID]],tblCustomers[Customer ID],tblCustomers[Customer Name],"⚠ Unknown")</f>
        <v>Walk-in Customer</v>
      </c>
      <c r="F3442" s="4" t="s">
        <v>13</v>
      </c>
      <c r="G3442" s="1" t="str">
        <f>_xlfn.XLOOKUP(tblSales[[#This Row],[Product Code]],tblProducts[Code],tblProducts[Product / Service Name],"⚠ Unknown")</f>
        <v>Backpack</v>
      </c>
      <c r="H3442" s="1" t="str">
        <f>_xlfn.XLOOKUP(tblSales[[#This Row],[Product Code]],tblProducts[Code],tblProducts[Category],"")</f>
        <v>Bags &amp; Gadgets</v>
      </c>
      <c r="I3442" s="4">
        <v>5</v>
      </c>
      <c r="J3442" s="5">
        <f>_xlfn.XLOOKUP(tblSales[[#This Row],[Product Code]],tblProducts[Code],tblProducts[Selling Price (excl. VAT)],0)</f>
        <v>500000</v>
      </c>
      <c r="K3442" s="5">
        <f>tblSales[[#This Row],[Qty]]*tblSales[[#This Row],[Unit Price]]</f>
        <v>2500000</v>
      </c>
      <c r="L3442" s="5">
        <f>ROUND(tblSales[[#This Row],[DPP (excl. VAT)]]*VATEff,0)</f>
        <v>275000</v>
      </c>
      <c r="M3442" s="5">
        <f>tblSales[[#This Row],[DPP (excl. VAT)]]+tblSales[[#This Row],[Output VAT]]</f>
        <v>2775000</v>
      </c>
      <c r="N3442" s="5">
        <f>tblSales[[#This Row],[Qty]]*_xlfn.XLOOKUP(tblSales[[#This Row],[Product Code]],tblProducts[Code],tblProducts[Unit Cost],0)</f>
        <v>1450000</v>
      </c>
      <c r="O3442" s="4" t="s">
        <v>4866</v>
      </c>
      <c r="P3442" s="4" t="s">
        <v>4861</v>
      </c>
      <c r="Q3442" s="1" t="str">
        <f>_xlfn.XLOOKUP(tblSales[[#This Row],[Channel Code]],tblChannels[Channel Code],tblChannels[Channel Name],"")</f>
        <v>Marketplace</v>
      </c>
      <c r="R3442" s="1">
        <f>MONTH(tblSales[[#This Row],[Date]])</f>
        <v>7</v>
      </c>
    </row>
    <row r="3443" spans="2:18" x14ac:dyDescent="0.35">
      <c r="B3443" s="113">
        <v>46227</v>
      </c>
      <c r="C3443" s="4" t="s">
        <v>2315</v>
      </c>
      <c r="D3443" s="4" t="s">
        <v>4568</v>
      </c>
      <c r="E3443" s="1" t="str">
        <f>_xlfn.XLOOKUP(tblSales[[#This Row],[Customer ID]],tblCustomers[Customer ID],tblCustomers[Customer Name],"⚠ Unknown")</f>
        <v>Walk-in Customer</v>
      </c>
      <c r="F3443" s="4" t="s">
        <v>12</v>
      </c>
      <c r="G3443" s="1" t="str">
        <f>_xlfn.XLOOKUP(tblSales[[#This Row],[Product Code]],tblProducts[Code],tblProducts[Product / Service Name],"⚠ Unknown")</f>
        <v>Bomber Jacket</v>
      </c>
      <c r="H3443" s="1" t="str">
        <f>_xlfn.XLOOKUP(tblSales[[#This Row],[Product Code]],tblProducts[Code],tblProducts[Category],"")</f>
        <v>Apparel &amp; Footwear</v>
      </c>
      <c r="I3443" s="4">
        <v>6</v>
      </c>
      <c r="J3443" s="5">
        <f>_xlfn.XLOOKUP(tblSales[[#This Row],[Product Code]],tblProducts[Code],tblProducts[Selling Price (excl. VAT)],0)</f>
        <v>350000</v>
      </c>
      <c r="K3443" s="5">
        <f>tblSales[[#This Row],[Qty]]*tblSales[[#This Row],[Unit Price]]</f>
        <v>2100000</v>
      </c>
      <c r="L3443" s="5">
        <f>ROUND(tblSales[[#This Row],[DPP (excl. VAT)]]*VATEff,0)</f>
        <v>231000</v>
      </c>
      <c r="M3443" s="5">
        <f>tblSales[[#This Row],[DPP (excl. VAT)]]+tblSales[[#This Row],[Output VAT]]</f>
        <v>2331000</v>
      </c>
      <c r="N3443" s="5">
        <f>tblSales[[#This Row],[Qty]]*_xlfn.XLOOKUP(tblSales[[#This Row],[Product Code]],tblProducts[Code],tblProducts[Unit Cost],0)</f>
        <v>1260000</v>
      </c>
      <c r="O3443" s="4" t="s">
        <v>4865</v>
      </c>
      <c r="P3443" s="4" t="s">
        <v>4860</v>
      </c>
      <c r="Q3443" s="1" t="str">
        <f>_xlfn.XLOOKUP(tblSales[[#This Row],[Channel Code]],tblChannels[Channel Code],tblChannels[Channel Name],"")</f>
        <v>In-store</v>
      </c>
      <c r="R3443" s="1">
        <f>MONTH(tblSales[[#This Row],[Date]])</f>
        <v>7</v>
      </c>
    </row>
    <row r="3444" spans="2:18" x14ac:dyDescent="0.35">
      <c r="B3444" s="113">
        <v>46227</v>
      </c>
      <c r="C3444" s="4" t="s">
        <v>2316</v>
      </c>
      <c r="D3444" s="4" t="s">
        <v>4613</v>
      </c>
      <c r="E3444" s="1" t="str">
        <f>_xlfn.XLOOKUP(tblSales[[#This Row],[Customer ID]],tblCustomers[Customer ID],tblCustomers[Customer Name],"⚠ Unknown")</f>
        <v>PT Mega Prima Distribusi</v>
      </c>
      <c r="F3444" s="4" t="s">
        <v>9</v>
      </c>
      <c r="G3444" s="1" t="str">
        <f>_xlfn.XLOOKUP(tblSales[[#This Row],[Product Code]],tblProducts[Code],tblProducts[Product / Service Name],"⚠ Unknown")</f>
        <v>Casual Shirt</v>
      </c>
      <c r="H3444" s="1" t="str">
        <f>_xlfn.XLOOKUP(tblSales[[#This Row],[Product Code]],tblProducts[Code],tblProducts[Category],"")</f>
        <v>Apparel &amp; Footwear</v>
      </c>
      <c r="I3444" s="4">
        <v>72</v>
      </c>
      <c r="J3444" s="5">
        <f>_xlfn.XLOOKUP(tblSales[[#This Row],[Product Code]],tblProducts[Code],tblProducts[Selling Price (excl. VAT)],0)</f>
        <v>120000</v>
      </c>
      <c r="K3444" s="5">
        <f>tblSales[[#This Row],[Qty]]*tblSales[[#This Row],[Unit Price]]</f>
        <v>8640000</v>
      </c>
      <c r="L3444" s="5">
        <f>ROUND(tblSales[[#This Row],[DPP (excl. VAT)]]*VATEff,0)</f>
        <v>950400</v>
      </c>
      <c r="M3444" s="5">
        <f>tblSales[[#This Row],[DPP (excl. VAT)]]+tblSales[[#This Row],[Output VAT]]</f>
        <v>9590400</v>
      </c>
      <c r="N3444" s="5">
        <f>tblSales[[#This Row],[Qty]]*_xlfn.XLOOKUP(tblSales[[#This Row],[Product Code]],tblProducts[Code],tblProducts[Unit Cost],0)</f>
        <v>5184000</v>
      </c>
      <c r="O3444" s="4" t="s">
        <v>4867</v>
      </c>
      <c r="P3444" s="4" t="s">
        <v>4860</v>
      </c>
      <c r="Q3444" s="1" t="str">
        <f>_xlfn.XLOOKUP(tblSales[[#This Row],[Channel Code]],tblChannels[Channel Code],tblChannels[Channel Name],"")</f>
        <v>In-store</v>
      </c>
      <c r="R3444" s="1">
        <f>MONTH(tblSales[[#This Row],[Date]])</f>
        <v>7</v>
      </c>
    </row>
    <row r="3445" spans="2:18" x14ac:dyDescent="0.35">
      <c r="B3445" s="113">
        <v>46227</v>
      </c>
      <c r="C3445" s="4" t="s">
        <v>2317</v>
      </c>
      <c r="D3445" s="4" t="s">
        <v>4568</v>
      </c>
      <c r="E3445" s="1" t="str">
        <f>_xlfn.XLOOKUP(tblSales[[#This Row],[Customer ID]],tblCustomers[Customer ID],tblCustomers[Customer Name],"⚠ Unknown")</f>
        <v>Walk-in Customer</v>
      </c>
      <c r="F3445" s="4" t="s">
        <v>6</v>
      </c>
      <c r="G3445" s="1" t="str">
        <f>_xlfn.XLOOKUP(tblSales[[#This Row],[Product Code]],tblProducts[Code],tblProducts[Product / Service Name],"⚠ Unknown")</f>
        <v>Socks &amp; Accessories</v>
      </c>
      <c r="H3445" s="1" t="str">
        <f>_xlfn.XLOOKUP(tblSales[[#This Row],[Product Code]],tblProducts[Code],tblProducts[Category],"")</f>
        <v>Accessories &amp; Basics</v>
      </c>
      <c r="I3445" s="4">
        <v>8</v>
      </c>
      <c r="J3445" s="5">
        <f>_xlfn.XLOOKUP(tblSales[[#This Row],[Product Code]],tblProducts[Code],tblProducts[Selling Price (excl. VAT)],0)</f>
        <v>45000</v>
      </c>
      <c r="K3445" s="5">
        <f>tblSales[[#This Row],[Qty]]*tblSales[[#This Row],[Unit Price]]</f>
        <v>360000</v>
      </c>
      <c r="L3445" s="5">
        <f>ROUND(tblSales[[#This Row],[DPP (excl. VAT)]]*VATEff,0)</f>
        <v>39600</v>
      </c>
      <c r="M3445" s="5">
        <f>tblSales[[#This Row],[DPP (excl. VAT)]]+tblSales[[#This Row],[Output VAT]]</f>
        <v>399600</v>
      </c>
      <c r="N3445" s="5">
        <f>tblSales[[#This Row],[Qty]]*_xlfn.XLOOKUP(tblSales[[#This Row],[Product Code]],tblProducts[Code],tblProducts[Unit Cost],0)</f>
        <v>192000</v>
      </c>
      <c r="O3445" s="4" t="s">
        <v>4865</v>
      </c>
      <c r="P3445" s="4" t="s">
        <v>4860</v>
      </c>
      <c r="Q3445" s="1" t="str">
        <f>_xlfn.XLOOKUP(tblSales[[#This Row],[Channel Code]],tblChannels[Channel Code],tblChannels[Channel Name],"")</f>
        <v>In-store</v>
      </c>
      <c r="R3445" s="1">
        <f>MONTH(tblSales[[#This Row],[Date]])</f>
        <v>7</v>
      </c>
    </row>
    <row r="3446" spans="2:18" x14ac:dyDescent="0.35">
      <c r="B3446" s="113">
        <v>46227</v>
      </c>
      <c r="C3446" s="4" t="s">
        <v>2318</v>
      </c>
      <c r="D3446" s="4" t="s">
        <v>4568</v>
      </c>
      <c r="E3446" s="1" t="str">
        <f>_xlfn.XLOOKUP(tblSales[[#This Row],[Customer ID]],tblCustomers[Customer ID],tblCustomers[Customer Name],"⚠ Unknown")</f>
        <v>Walk-in Customer</v>
      </c>
      <c r="F3446" s="4" t="s">
        <v>11</v>
      </c>
      <c r="G3446" s="1" t="str">
        <f>_xlfn.XLOOKUP(tblSales[[#This Row],[Product Code]],tblProducts[Code],tblProducts[Product / Service Name],"⚠ Unknown")</f>
        <v>Sneakers</v>
      </c>
      <c r="H3446" s="1" t="str">
        <f>_xlfn.XLOOKUP(tblSales[[#This Row],[Product Code]],tblProducts[Code],tblProducts[Category],"")</f>
        <v>Apparel &amp; Footwear</v>
      </c>
      <c r="I3446" s="4">
        <v>2</v>
      </c>
      <c r="J3446" s="5">
        <f>_xlfn.XLOOKUP(tblSales[[#This Row],[Product Code]],tblProducts[Code],tblProducts[Selling Price (excl. VAT)],0)</f>
        <v>250000</v>
      </c>
      <c r="K3446" s="5">
        <f>tblSales[[#This Row],[Qty]]*tblSales[[#This Row],[Unit Price]]</f>
        <v>500000</v>
      </c>
      <c r="L3446" s="5">
        <f>ROUND(tblSales[[#This Row],[DPP (excl. VAT)]]*VATEff,0)</f>
        <v>55000</v>
      </c>
      <c r="M3446" s="5">
        <f>tblSales[[#This Row],[DPP (excl. VAT)]]+tblSales[[#This Row],[Output VAT]]</f>
        <v>555000</v>
      </c>
      <c r="N3446" s="5">
        <f>tblSales[[#This Row],[Qty]]*_xlfn.XLOOKUP(tblSales[[#This Row],[Product Code]],tblProducts[Code],tblProducts[Unit Cost],0)</f>
        <v>310000</v>
      </c>
      <c r="O3446" s="4" t="s">
        <v>4865</v>
      </c>
      <c r="P3446" s="4" t="s">
        <v>4860</v>
      </c>
      <c r="Q3446" s="1" t="str">
        <f>_xlfn.XLOOKUP(tblSales[[#This Row],[Channel Code]],tblChannels[Channel Code],tblChannels[Channel Name],"")</f>
        <v>In-store</v>
      </c>
      <c r="R3446" s="1">
        <f>MONTH(tblSales[[#This Row],[Date]])</f>
        <v>7</v>
      </c>
    </row>
    <row r="3447" spans="2:18" x14ac:dyDescent="0.35">
      <c r="B3447" s="113">
        <v>46227</v>
      </c>
      <c r="C3447" s="4" t="s">
        <v>2319</v>
      </c>
      <c r="D3447" s="4" t="s">
        <v>4568</v>
      </c>
      <c r="E3447" s="1" t="str">
        <f>_xlfn.XLOOKUP(tblSales[[#This Row],[Customer ID]],tblCustomers[Customer ID],tblCustomers[Customer Name],"⚠ Unknown")</f>
        <v>Walk-in Customer</v>
      </c>
      <c r="F3447" s="4" t="s">
        <v>14</v>
      </c>
      <c r="G3447" s="1" t="str">
        <f>_xlfn.XLOOKUP(tblSales[[#This Row],[Product Code]],tblProducts[Code],tblProducts[Product / Service Name],"⚠ Unknown")</f>
        <v>Smartwatch</v>
      </c>
      <c r="H3447" s="1" t="str">
        <f>_xlfn.XLOOKUP(tblSales[[#This Row],[Product Code]],tblProducts[Code],tblProducts[Category],"")</f>
        <v>Bags &amp; Gadgets</v>
      </c>
      <c r="I3447" s="4">
        <v>1</v>
      </c>
      <c r="J3447" s="5">
        <f>_xlfn.XLOOKUP(tblSales[[#This Row],[Product Code]],tblProducts[Code],tblProducts[Selling Price (excl. VAT)],0)</f>
        <v>850000</v>
      </c>
      <c r="K3447" s="5">
        <f>tblSales[[#This Row],[Qty]]*tblSales[[#This Row],[Unit Price]]</f>
        <v>850000</v>
      </c>
      <c r="L3447" s="5">
        <f>ROUND(tblSales[[#This Row],[DPP (excl. VAT)]]*VATEff,0)</f>
        <v>93500</v>
      </c>
      <c r="M3447" s="5">
        <f>tblSales[[#This Row],[DPP (excl. VAT)]]+tblSales[[#This Row],[Output VAT]]</f>
        <v>943500</v>
      </c>
      <c r="N3447" s="5">
        <f>tblSales[[#This Row],[Qty]]*_xlfn.XLOOKUP(tblSales[[#This Row],[Product Code]],tblProducts[Code],tblProducts[Unit Cost],0)</f>
        <v>560000</v>
      </c>
      <c r="O3447" s="4" t="s">
        <v>4865</v>
      </c>
      <c r="P3447" s="4" t="s">
        <v>4860</v>
      </c>
      <c r="Q3447" s="1" t="str">
        <f>_xlfn.XLOOKUP(tblSales[[#This Row],[Channel Code]],tblChannels[Channel Code],tblChannels[Channel Name],"")</f>
        <v>In-store</v>
      </c>
      <c r="R3447" s="1">
        <f>MONTH(tblSales[[#This Row],[Date]])</f>
        <v>7</v>
      </c>
    </row>
    <row r="3448" spans="2:18" x14ac:dyDescent="0.35">
      <c r="B3448" s="113">
        <v>46227</v>
      </c>
      <c r="C3448" s="4" t="s">
        <v>2319</v>
      </c>
      <c r="D3448" s="4" t="s">
        <v>4568</v>
      </c>
      <c r="E3448" s="1" t="str">
        <f>_xlfn.XLOOKUP(tblSales[[#This Row],[Customer ID]],tblCustomers[Customer ID],tblCustomers[Customer Name],"⚠ Unknown")</f>
        <v>Walk-in Customer</v>
      </c>
      <c r="F3448" s="4" t="s">
        <v>12</v>
      </c>
      <c r="G3448" s="1" t="str">
        <f>_xlfn.XLOOKUP(tblSales[[#This Row],[Product Code]],tblProducts[Code],tblProducts[Product / Service Name],"⚠ Unknown")</f>
        <v>Bomber Jacket</v>
      </c>
      <c r="H3448" s="1" t="str">
        <f>_xlfn.XLOOKUP(tblSales[[#This Row],[Product Code]],tblProducts[Code],tblProducts[Category],"")</f>
        <v>Apparel &amp; Footwear</v>
      </c>
      <c r="I3448" s="4">
        <v>1</v>
      </c>
      <c r="J3448" s="5">
        <f>_xlfn.XLOOKUP(tblSales[[#This Row],[Product Code]],tblProducts[Code],tblProducts[Selling Price (excl. VAT)],0)</f>
        <v>350000</v>
      </c>
      <c r="K3448" s="5">
        <f>tblSales[[#This Row],[Qty]]*tblSales[[#This Row],[Unit Price]]</f>
        <v>350000</v>
      </c>
      <c r="L3448" s="5">
        <f>ROUND(tblSales[[#This Row],[DPP (excl. VAT)]]*VATEff,0)</f>
        <v>38500</v>
      </c>
      <c r="M3448" s="5">
        <f>tblSales[[#This Row],[DPP (excl. VAT)]]+tblSales[[#This Row],[Output VAT]]</f>
        <v>388500</v>
      </c>
      <c r="N3448" s="5">
        <f>tblSales[[#This Row],[Qty]]*_xlfn.XLOOKUP(tblSales[[#This Row],[Product Code]],tblProducts[Code],tblProducts[Unit Cost],0)</f>
        <v>210000</v>
      </c>
      <c r="O3448" s="4" t="s">
        <v>4865</v>
      </c>
      <c r="P3448" s="4" t="s">
        <v>4860</v>
      </c>
      <c r="Q3448" s="1" t="str">
        <f>_xlfn.XLOOKUP(tblSales[[#This Row],[Channel Code]],tblChannels[Channel Code],tblChannels[Channel Name],"")</f>
        <v>In-store</v>
      </c>
      <c r="R3448" s="1">
        <f>MONTH(tblSales[[#This Row],[Date]])</f>
        <v>7</v>
      </c>
    </row>
    <row r="3449" spans="2:18" x14ac:dyDescent="0.35">
      <c r="B3449" s="113">
        <v>46228</v>
      </c>
      <c r="C3449" s="4" t="s">
        <v>2320</v>
      </c>
      <c r="D3449" s="4" t="s">
        <v>4634</v>
      </c>
      <c r="E3449" s="1" t="str">
        <f>_xlfn.XLOOKUP(tblSales[[#This Row],[Customer ID]],tblCustomers[Customer ID],tblCustomers[Customer Name],"⚠ Unknown")</f>
        <v>PT Delta Inti Selaras</v>
      </c>
      <c r="F3449" s="4" t="s">
        <v>12</v>
      </c>
      <c r="G3449" s="1" t="str">
        <f>_xlfn.XLOOKUP(tblSales[[#This Row],[Product Code]],tblProducts[Code],tblProducts[Product / Service Name],"⚠ Unknown")</f>
        <v>Bomber Jacket</v>
      </c>
      <c r="H3449" s="1" t="str">
        <f>_xlfn.XLOOKUP(tblSales[[#This Row],[Product Code]],tblProducts[Code],tblProducts[Category],"")</f>
        <v>Apparel &amp; Footwear</v>
      </c>
      <c r="I3449" s="4">
        <v>40</v>
      </c>
      <c r="J3449" s="5">
        <f>_xlfn.XLOOKUP(tblSales[[#This Row],[Product Code]],tblProducts[Code],tblProducts[Selling Price (excl. VAT)],0)</f>
        <v>350000</v>
      </c>
      <c r="K3449" s="5">
        <f>tblSales[[#This Row],[Qty]]*tblSales[[#This Row],[Unit Price]]</f>
        <v>14000000</v>
      </c>
      <c r="L3449" s="5">
        <f>ROUND(tblSales[[#This Row],[DPP (excl. VAT)]]*VATEff,0)</f>
        <v>1540000</v>
      </c>
      <c r="M3449" s="5">
        <f>tblSales[[#This Row],[DPP (excl. VAT)]]+tblSales[[#This Row],[Output VAT]]</f>
        <v>15540000</v>
      </c>
      <c r="N3449" s="5">
        <f>tblSales[[#This Row],[Qty]]*_xlfn.XLOOKUP(tblSales[[#This Row],[Product Code]],tblProducts[Code],tblProducts[Unit Cost],0)</f>
        <v>8400000</v>
      </c>
      <c r="O3449" s="4" t="s">
        <v>4867</v>
      </c>
      <c r="P3449" s="4" t="s">
        <v>4862</v>
      </c>
      <c r="Q3449" s="1" t="str">
        <f>_xlfn.XLOOKUP(tblSales[[#This Row],[Channel Code]],tblChannels[Channel Code],tblChannels[Channel Name],"")</f>
        <v>Website &amp; Social Media</v>
      </c>
      <c r="R3449" s="1">
        <f>MONTH(tblSales[[#This Row],[Date]])</f>
        <v>7</v>
      </c>
    </row>
    <row r="3450" spans="2:18" x14ac:dyDescent="0.35">
      <c r="B3450" s="113">
        <v>46228</v>
      </c>
      <c r="C3450" s="4" t="s">
        <v>2321</v>
      </c>
      <c r="D3450" s="4" t="s">
        <v>4568</v>
      </c>
      <c r="E3450" s="1" t="str">
        <f>_xlfn.XLOOKUP(tblSales[[#This Row],[Customer ID]],tblCustomers[Customer ID],tblCustomers[Customer Name],"⚠ Unknown")</f>
        <v>Walk-in Customer</v>
      </c>
      <c r="F3450" s="4" t="s">
        <v>8</v>
      </c>
      <c r="G3450" s="1" t="str">
        <f>_xlfn.XLOOKUP(tblSales[[#This Row],[Product Code]],tblProducts[Code],tblProducts[Product / Service Name],"⚠ Unknown")</f>
        <v>Casual Shorts</v>
      </c>
      <c r="H3450" s="1" t="str">
        <f>_xlfn.XLOOKUP(tblSales[[#This Row],[Product Code]],tblProducts[Code],tblProducts[Category],"")</f>
        <v>Accessories &amp; Basics</v>
      </c>
      <c r="I3450" s="4">
        <v>2</v>
      </c>
      <c r="J3450" s="5">
        <f>_xlfn.XLOOKUP(tblSales[[#This Row],[Product Code]],tblProducts[Code],tblProducts[Selling Price (excl. VAT)],0)</f>
        <v>85000</v>
      </c>
      <c r="K3450" s="5">
        <f>tblSales[[#This Row],[Qty]]*tblSales[[#This Row],[Unit Price]]</f>
        <v>170000</v>
      </c>
      <c r="L3450" s="5">
        <f>ROUND(tblSales[[#This Row],[DPP (excl. VAT)]]*VATEff,0)</f>
        <v>18700</v>
      </c>
      <c r="M3450" s="5">
        <f>tblSales[[#This Row],[DPP (excl. VAT)]]+tblSales[[#This Row],[Output VAT]]</f>
        <v>188700</v>
      </c>
      <c r="N3450" s="5">
        <f>tblSales[[#This Row],[Qty]]*_xlfn.XLOOKUP(tblSales[[#This Row],[Product Code]],tblProducts[Code],tblProducts[Unit Cost],0)</f>
        <v>100000</v>
      </c>
      <c r="O3450" s="4" t="s">
        <v>4865</v>
      </c>
      <c r="P3450" s="4" t="s">
        <v>4860</v>
      </c>
      <c r="Q3450" s="1" t="str">
        <f>_xlfn.XLOOKUP(tblSales[[#This Row],[Channel Code]],tblChannels[Channel Code],tblChannels[Channel Name],"")</f>
        <v>In-store</v>
      </c>
      <c r="R3450" s="1">
        <f>MONTH(tblSales[[#This Row],[Date]])</f>
        <v>7</v>
      </c>
    </row>
    <row r="3451" spans="2:18" x14ac:dyDescent="0.35">
      <c r="B3451" s="113">
        <v>46228</v>
      </c>
      <c r="C3451" s="4" t="s">
        <v>2321</v>
      </c>
      <c r="D3451" s="4" t="s">
        <v>4568</v>
      </c>
      <c r="E3451" s="1" t="str">
        <f>_xlfn.XLOOKUP(tblSales[[#This Row],[Customer ID]],tblCustomers[Customer ID],tblCustomers[Customer Name],"⚠ Unknown")</f>
        <v>Walk-in Customer</v>
      </c>
      <c r="F3451" s="4" t="s">
        <v>6</v>
      </c>
      <c r="G3451" s="1" t="str">
        <f>_xlfn.XLOOKUP(tblSales[[#This Row],[Product Code]],tblProducts[Code],tblProducts[Product / Service Name],"⚠ Unknown")</f>
        <v>Socks &amp; Accessories</v>
      </c>
      <c r="H3451" s="1" t="str">
        <f>_xlfn.XLOOKUP(tblSales[[#This Row],[Product Code]],tblProducts[Code],tblProducts[Category],"")</f>
        <v>Accessories &amp; Basics</v>
      </c>
      <c r="I3451" s="4">
        <v>5</v>
      </c>
      <c r="J3451" s="5">
        <f>_xlfn.XLOOKUP(tblSales[[#This Row],[Product Code]],tblProducts[Code],tblProducts[Selling Price (excl. VAT)],0)</f>
        <v>45000</v>
      </c>
      <c r="K3451" s="5">
        <f>tblSales[[#This Row],[Qty]]*tblSales[[#This Row],[Unit Price]]</f>
        <v>225000</v>
      </c>
      <c r="L3451" s="5">
        <f>ROUND(tblSales[[#This Row],[DPP (excl. VAT)]]*VATEff,0)</f>
        <v>24750</v>
      </c>
      <c r="M3451" s="5">
        <f>tblSales[[#This Row],[DPP (excl. VAT)]]+tblSales[[#This Row],[Output VAT]]</f>
        <v>249750</v>
      </c>
      <c r="N3451" s="5">
        <f>tblSales[[#This Row],[Qty]]*_xlfn.XLOOKUP(tblSales[[#This Row],[Product Code]],tblProducts[Code],tblProducts[Unit Cost],0)</f>
        <v>120000</v>
      </c>
      <c r="O3451" s="4" t="s">
        <v>4865</v>
      </c>
      <c r="P3451" s="4" t="s">
        <v>4860</v>
      </c>
      <c r="Q3451" s="1" t="str">
        <f>_xlfn.XLOOKUP(tblSales[[#This Row],[Channel Code]],tblChannels[Channel Code],tblChannels[Channel Name],"")</f>
        <v>In-store</v>
      </c>
      <c r="R3451" s="1">
        <f>MONTH(tblSales[[#This Row],[Date]])</f>
        <v>7</v>
      </c>
    </row>
    <row r="3452" spans="2:18" x14ac:dyDescent="0.35">
      <c r="B3452" s="113">
        <v>46228</v>
      </c>
      <c r="C3452" s="4" t="s">
        <v>2322</v>
      </c>
      <c r="D3452" s="4" t="s">
        <v>4568</v>
      </c>
      <c r="E3452" s="1" t="str">
        <f>_xlfn.XLOOKUP(tblSales[[#This Row],[Customer ID]],tblCustomers[Customer ID],tblCustomers[Customer Name],"⚠ Unknown")</f>
        <v>Walk-in Customer</v>
      </c>
      <c r="F3452" s="4" t="s">
        <v>14</v>
      </c>
      <c r="G3452" s="1" t="str">
        <f>_xlfn.XLOOKUP(tblSales[[#This Row],[Product Code]],tblProducts[Code],tblProducts[Product / Service Name],"⚠ Unknown")</f>
        <v>Smartwatch</v>
      </c>
      <c r="H3452" s="1" t="str">
        <f>_xlfn.XLOOKUP(tblSales[[#This Row],[Product Code]],tblProducts[Code],tblProducts[Category],"")</f>
        <v>Bags &amp; Gadgets</v>
      </c>
      <c r="I3452" s="4">
        <v>1</v>
      </c>
      <c r="J3452" s="5">
        <f>_xlfn.XLOOKUP(tblSales[[#This Row],[Product Code]],tblProducts[Code],tblProducts[Selling Price (excl. VAT)],0)</f>
        <v>850000</v>
      </c>
      <c r="K3452" s="5">
        <f>tblSales[[#This Row],[Qty]]*tblSales[[#This Row],[Unit Price]]</f>
        <v>850000</v>
      </c>
      <c r="L3452" s="5">
        <f>ROUND(tblSales[[#This Row],[DPP (excl. VAT)]]*VATEff,0)</f>
        <v>93500</v>
      </c>
      <c r="M3452" s="5">
        <f>tblSales[[#This Row],[DPP (excl. VAT)]]+tblSales[[#This Row],[Output VAT]]</f>
        <v>943500</v>
      </c>
      <c r="N3452" s="5">
        <f>tblSales[[#This Row],[Qty]]*_xlfn.XLOOKUP(tblSales[[#This Row],[Product Code]],tblProducts[Code],tblProducts[Unit Cost],0)</f>
        <v>560000</v>
      </c>
      <c r="O3452" s="4" t="s">
        <v>4866</v>
      </c>
      <c r="P3452" s="4" t="s">
        <v>4861</v>
      </c>
      <c r="Q3452" s="1" t="str">
        <f>_xlfn.XLOOKUP(tblSales[[#This Row],[Channel Code]],tblChannels[Channel Code],tblChannels[Channel Name],"")</f>
        <v>Marketplace</v>
      </c>
      <c r="R3452" s="1">
        <f>MONTH(tblSales[[#This Row],[Date]])</f>
        <v>7</v>
      </c>
    </row>
    <row r="3453" spans="2:18" x14ac:dyDescent="0.35">
      <c r="B3453" s="113">
        <v>46228</v>
      </c>
      <c r="C3453" s="4" t="s">
        <v>2323</v>
      </c>
      <c r="D3453" s="4" t="s">
        <v>4568</v>
      </c>
      <c r="E3453" s="1" t="str">
        <f>_xlfn.XLOOKUP(tblSales[[#This Row],[Customer ID]],tblCustomers[Customer ID],tblCustomers[Customer Name],"⚠ Unknown")</f>
        <v>Walk-in Customer</v>
      </c>
      <c r="F3453" s="4" t="s">
        <v>6</v>
      </c>
      <c r="G3453" s="1" t="str">
        <f>_xlfn.XLOOKUP(tblSales[[#This Row],[Product Code]],tblProducts[Code],tblProducts[Product / Service Name],"⚠ Unknown")</f>
        <v>Socks &amp; Accessories</v>
      </c>
      <c r="H3453" s="1" t="str">
        <f>_xlfn.XLOOKUP(tblSales[[#This Row],[Product Code]],tblProducts[Code],tblProducts[Category],"")</f>
        <v>Accessories &amp; Basics</v>
      </c>
      <c r="I3453" s="4">
        <v>2</v>
      </c>
      <c r="J3453" s="5">
        <f>_xlfn.XLOOKUP(tblSales[[#This Row],[Product Code]],tblProducts[Code],tblProducts[Selling Price (excl. VAT)],0)</f>
        <v>45000</v>
      </c>
      <c r="K3453" s="5">
        <f>tblSales[[#This Row],[Qty]]*tblSales[[#This Row],[Unit Price]]</f>
        <v>90000</v>
      </c>
      <c r="L3453" s="5">
        <f>ROUND(tblSales[[#This Row],[DPP (excl. VAT)]]*VATEff,0)</f>
        <v>9900</v>
      </c>
      <c r="M3453" s="5">
        <f>tblSales[[#This Row],[DPP (excl. VAT)]]+tblSales[[#This Row],[Output VAT]]</f>
        <v>99900</v>
      </c>
      <c r="N3453" s="5">
        <f>tblSales[[#This Row],[Qty]]*_xlfn.XLOOKUP(tblSales[[#This Row],[Product Code]],tblProducts[Code],tblProducts[Unit Cost],0)</f>
        <v>48000</v>
      </c>
      <c r="O3453" s="4" t="s">
        <v>4866</v>
      </c>
      <c r="P3453" s="4" t="s">
        <v>4860</v>
      </c>
      <c r="Q3453" s="1" t="str">
        <f>_xlfn.XLOOKUP(tblSales[[#This Row],[Channel Code]],tblChannels[Channel Code],tblChannels[Channel Name],"")</f>
        <v>In-store</v>
      </c>
      <c r="R3453" s="1">
        <f>MONTH(tblSales[[#This Row],[Date]])</f>
        <v>7</v>
      </c>
    </row>
    <row r="3454" spans="2:18" x14ac:dyDescent="0.35">
      <c r="B3454" s="113">
        <v>46228</v>
      </c>
      <c r="C3454" s="4" t="s">
        <v>2324</v>
      </c>
      <c r="D3454" s="4" t="s">
        <v>4568</v>
      </c>
      <c r="E3454" s="1" t="str">
        <f>_xlfn.XLOOKUP(tblSales[[#This Row],[Customer ID]],tblCustomers[Customer ID],tblCustomers[Customer Name],"⚠ Unknown")</f>
        <v>Walk-in Customer</v>
      </c>
      <c r="F3454" s="4" t="s">
        <v>7</v>
      </c>
      <c r="G3454" s="1" t="str">
        <f>_xlfn.XLOOKUP(tblSales[[#This Row],[Product Code]],tblProducts[Code],tblProducts[Product / Service Name],"⚠ Unknown")</f>
        <v>Premium Basic T-shirt</v>
      </c>
      <c r="H3454" s="1" t="str">
        <f>_xlfn.XLOOKUP(tblSales[[#This Row],[Product Code]],tblProducts[Code],tblProducts[Category],"")</f>
        <v>Accessories &amp; Basics</v>
      </c>
      <c r="I3454" s="4">
        <v>4</v>
      </c>
      <c r="J3454" s="5">
        <f>_xlfn.XLOOKUP(tblSales[[#This Row],[Product Code]],tblProducts[Code],tblProducts[Selling Price (excl. VAT)],0)</f>
        <v>65000</v>
      </c>
      <c r="K3454" s="5">
        <f>tblSales[[#This Row],[Qty]]*tblSales[[#This Row],[Unit Price]]</f>
        <v>260000</v>
      </c>
      <c r="L3454" s="5">
        <f>ROUND(tblSales[[#This Row],[DPP (excl. VAT)]]*VATEff,0)</f>
        <v>28600</v>
      </c>
      <c r="M3454" s="5">
        <f>tblSales[[#This Row],[DPP (excl. VAT)]]+tblSales[[#This Row],[Output VAT]]</f>
        <v>288600</v>
      </c>
      <c r="N3454" s="5">
        <f>tblSales[[#This Row],[Qty]]*_xlfn.XLOOKUP(tblSales[[#This Row],[Product Code]],tblProducts[Code],tblProducts[Unit Cost],0)</f>
        <v>148000</v>
      </c>
      <c r="O3454" s="4" t="s">
        <v>4866</v>
      </c>
      <c r="P3454" s="4" t="s">
        <v>4861</v>
      </c>
      <c r="Q3454" s="1" t="str">
        <f>_xlfn.XLOOKUP(tblSales[[#This Row],[Channel Code]],tblChannels[Channel Code],tblChannels[Channel Name],"")</f>
        <v>Marketplace</v>
      </c>
      <c r="R3454" s="1">
        <f>MONTH(tblSales[[#This Row],[Date]])</f>
        <v>7</v>
      </c>
    </row>
    <row r="3455" spans="2:18" x14ac:dyDescent="0.35">
      <c r="B3455" s="113">
        <v>46228</v>
      </c>
      <c r="C3455" s="4" t="s">
        <v>2324</v>
      </c>
      <c r="D3455" s="4" t="s">
        <v>4568</v>
      </c>
      <c r="E3455" s="1" t="str">
        <f>_xlfn.XLOOKUP(tblSales[[#This Row],[Customer ID]],tblCustomers[Customer ID],tblCustomers[Customer Name],"⚠ Unknown")</f>
        <v>Walk-in Customer</v>
      </c>
      <c r="F3455" s="4" t="s">
        <v>11</v>
      </c>
      <c r="G3455" s="1" t="str">
        <f>_xlfn.XLOOKUP(tblSales[[#This Row],[Product Code]],tblProducts[Code],tblProducts[Product / Service Name],"⚠ Unknown")</f>
        <v>Sneakers</v>
      </c>
      <c r="H3455" s="1" t="str">
        <f>_xlfn.XLOOKUP(tblSales[[#This Row],[Product Code]],tblProducts[Code],tblProducts[Category],"")</f>
        <v>Apparel &amp; Footwear</v>
      </c>
      <c r="I3455" s="4">
        <v>5</v>
      </c>
      <c r="J3455" s="5">
        <f>_xlfn.XLOOKUP(tblSales[[#This Row],[Product Code]],tblProducts[Code],tblProducts[Selling Price (excl. VAT)],0)</f>
        <v>250000</v>
      </c>
      <c r="K3455" s="5">
        <f>tblSales[[#This Row],[Qty]]*tblSales[[#This Row],[Unit Price]]</f>
        <v>1250000</v>
      </c>
      <c r="L3455" s="5">
        <f>ROUND(tblSales[[#This Row],[DPP (excl. VAT)]]*VATEff,0)</f>
        <v>137500</v>
      </c>
      <c r="M3455" s="5">
        <f>tblSales[[#This Row],[DPP (excl. VAT)]]+tblSales[[#This Row],[Output VAT]]</f>
        <v>1387500</v>
      </c>
      <c r="N3455" s="5">
        <f>tblSales[[#This Row],[Qty]]*_xlfn.XLOOKUP(tblSales[[#This Row],[Product Code]],tblProducts[Code],tblProducts[Unit Cost],0)</f>
        <v>775000</v>
      </c>
      <c r="O3455" s="4" t="s">
        <v>4866</v>
      </c>
      <c r="P3455" s="4" t="s">
        <v>4861</v>
      </c>
      <c r="Q3455" s="1" t="str">
        <f>_xlfn.XLOOKUP(tblSales[[#This Row],[Channel Code]],tblChannels[Channel Code],tblChannels[Channel Name],"")</f>
        <v>Marketplace</v>
      </c>
      <c r="R3455" s="1">
        <f>MONTH(tblSales[[#This Row],[Date]])</f>
        <v>7</v>
      </c>
    </row>
    <row r="3456" spans="2:18" x14ac:dyDescent="0.35">
      <c r="B3456" s="113">
        <v>46228</v>
      </c>
      <c r="C3456" s="4" t="s">
        <v>2325</v>
      </c>
      <c r="D3456" s="4" t="s">
        <v>4568</v>
      </c>
      <c r="E3456" s="1" t="str">
        <f>_xlfn.XLOOKUP(tblSales[[#This Row],[Customer ID]],tblCustomers[Customer ID],tblCustomers[Customer Name],"⚠ Unknown")</f>
        <v>Walk-in Customer</v>
      </c>
      <c r="F3456" s="4" t="s">
        <v>6</v>
      </c>
      <c r="G3456" s="1" t="str">
        <f>_xlfn.XLOOKUP(tblSales[[#This Row],[Product Code]],tblProducts[Code],tblProducts[Product / Service Name],"⚠ Unknown")</f>
        <v>Socks &amp; Accessories</v>
      </c>
      <c r="H3456" s="1" t="str">
        <f>_xlfn.XLOOKUP(tblSales[[#This Row],[Product Code]],tblProducts[Code],tblProducts[Category],"")</f>
        <v>Accessories &amp; Basics</v>
      </c>
      <c r="I3456" s="4">
        <v>4</v>
      </c>
      <c r="J3456" s="5">
        <f>_xlfn.XLOOKUP(tblSales[[#This Row],[Product Code]],tblProducts[Code],tblProducts[Selling Price (excl. VAT)],0)</f>
        <v>45000</v>
      </c>
      <c r="K3456" s="5">
        <f>tblSales[[#This Row],[Qty]]*tblSales[[#This Row],[Unit Price]]</f>
        <v>180000</v>
      </c>
      <c r="L3456" s="5">
        <f>ROUND(tblSales[[#This Row],[DPP (excl. VAT)]]*VATEff,0)</f>
        <v>19800</v>
      </c>
      <c r="M3456" s="5">
        <f>tblSales[[#This Row],[DPP (excl. VAT)]]+tblSales[[#This Row],[Output VAT]]</f>
        <v>199800</v>
      </c>
      <c r="N3456" s="5">
        <f>tblSales[[#This Row],[Qty]]*_xlfn.XLOOKUP(tblSales[[#This Row],[Product Code]],tblProducts[Code],tblProducts[Unit Cost],0)</f>
        <v>96000</v>
      </c>
      <c r="O3456" s="4" t="s">
        <v>4865</v>
      </c>
      <c r="P3456" s="4" t="s">
        <v>4860</v>
      </c>
      <c r="Q3456" s="1" t="str">
        <f>_xlfn.XLOOKUP(tblSales[[#This Row],[Channel Code]],tblChannels[Channel Code],tblChannels[Channel Name],"")</f>
        <v>In-store</v>
      </c>
      <c r="R3456" s="1">
        <f>MONTH(tblSales[[#This Row],[Date]])</f>
        <v>7</v>
      </c>
    </row>
    <row r="3457" spans="2:18" x14ac:dyDescent="0.35">
      <c r="B3457" s="113">
        <v>46228</v>
      </c>
      <c r="C3457" s="4" t="s">
        <v>2326</v>
      </c>
      <c r="D3457" s="4" t="s">
        <v>4568</v>
      </c>
      <c r="E3457" s="1" t="str">
        <f>_xlfn.XLOOKUP(tblSales[[#This Row],[Customer ID]],tblCustomers[Customer ID],tblCustomers[Customer Name],"⚠ Unknown")</f>
        <v>Walk-in Customer</v>
      </c>
      <c r="F3457" s="4" t="s">
        <v>9</v>
      </c>
      <c r="G3457" s="1" t="str">
        <f>_xlfn.XLOOKUP(tblSales[[#This Row],[Product Code]],tblProducts[Code],tblProducts[Product / Service Name],"⚠ Unknown")</f>
        <v>Casual Shirt</v>
      </c>
      <c r="H3457" s="1" t="str">
        <f>_xlfn.XLOOKUP(tblSales[[#This Row],[Product Code]],tblProducts[Code],tblProducts[Category],"")</f>
        <v>Apparel &amp; Footwear</v>
      </c>
      <c r="I3457" s="4">
        <v>9</v>
      </c>
      <c r="J3457" s="5">
        <f>_xlfn.XLOOKUP(tblSales[[#This Row],[Product Code]],tblProducts[Code],tblProducts[Selling Price (excl. VAT)],0)</f>
        <v>120000</v>
      </c>
      <c r="K3457" s="5">
        <f>tblSales[[#This Row],[Qty]]*tblSales[[#This Row],[Unit Price]]</f>
        <v>1080000</v>
      </c>
      <c r="L3457" s="5">
        <f>ROUND(tblSales[[#This Row],[DPP (excl. VAT)]]*VATEff,0)</f>
        <v>118800</v>
      </c>
      <c r="M3457" s="5">
        <f>tblSales[[#This Row],[DPP (excl. VAT)]]+tblSales[[#This Row],[Output VAT]]</f>
        <v>1198800</v>
      </c>
      <c r="N3457" s="5">
        <f>tblSales[[#This Row],[Qty]]*_xlfn.XLOOKUP(tblSales[[#This Row],[Product Code]],tblProducts[Code],tblProducts[Unit Cost],0)</f>
        <v>648000</v>
      </c>
      <c r="O3457" s="4" t="s">
        <v>4866</v>
      </c>
      <c r="P3457" s="4" t="s">
        <v>4861</v>
      </c>
      <c r="Q3457" s="1" t="str">
        <f>_xlfn.XLOOKUP(tblSales[[#This Row],[Channel Code]],tblChannels[Channel Code],tblChannels[Channel Name],"")</f>
        <v>Marketplace</v>
      </c>
      <c r="R3457" s="1">
        <f>MONTH(tblSales[[#This Row],[Date]])</f>
        <v>7</v>
      </c>
    </row>
    <row r="3458" spans="2:18" x14ac:dyDescent="0.35">
      <c r="B3458" s="113">
        <v>46228</v>
      </c>
      <c r="C3458" s="4" t="s">
        <v>2327</v>
      </c>
      <c r="D3458" s="4" t="s">
        <v>4568</v>
      </c>
      <c r="E3458" s="1" t="str">
        <f>_xlfn.XLOOKUP(tblSales[[#This Row],[Customer ID]],tblCustomers[Customer ID],tblCustomers[Customer Name],"⚠ Unknown")</f>
        <v>Walk-in Customer</v>
      </c>
      <c r="F3458" s="4" t="s">
        <v>13</v>
      </c>
      <c r="G3458" s="1" t="str">
        <f>_xlfn.XLOOKUP(tblSales[[#This Row],[Product Code]],tblProducts[Code],tblProducts[Product / Service Name],"⚠ Unknown")</f>
        <v>Backpack</v>
      </c>
      <c r="H3458" s="1" t="str">
        <f>_xlfn.XLOOKUP(tblSales[[#This Row],[Product Code]],tblProducts[Code],tblProducts[Category],"")</f>
        <v>Bags &amp; Gadgets</v>
      </c>
      <c r="I3458" s="4">
        <v>3</v>
      </c>
      <c r="J3458" s="5">
        <f>_xlfn.XLOOKUP(tblSales[[#This Row],[Product Code]],tblProducts[Code],tblProducts[Selling Price (excl. VAT)],0)</f>
        <v>500000</v>
      </c>
      <c r="K3458" s="5">
        <f>tblSales[[#This Row],[Qty]]*tblSales[[#This Row],[Unit Price]]</f>
        <v>1500000</v>
      </c>
      <c r="L3458" s="5">
        <f>ROUND(tblSales[[#This Row],[DPP (excl. VAT)]]*VATEff,0)</f>
        <v>165000</v>
      </c>
      <c r="M3458" s="5">
        <f>tblSales[[#This Row],[DPP (excl. VAT)]]+tblSales[[#This Row],[Output VAT]]</f>
        <v>1665000</v>
      </c>
      <c r="N3458" s="5">
        <f>tblSales[[#This Row],[Qty]]*_xlfn.XLOOKUP(tblSales[[#This Row],[Product Code]],tblProducts[Code],tblProducts[Unit Cost],0)</f>
        <v>870000</v>
      </c>
      <c r="O3458" s="4" t="s">
        <v>4866</v>
      </c>
      <c r="P3458" s="4" t="s">
        <v>4860</v>
      </c>
      <c r="Q3458" s="1" t="str">
        <f>_xlfn.XLOOKUP(tblSales[[#This Row],[Channel Code]],tblChannels[Channel Code],tblChannels[Channel Name],"")</f>
        <v>In-store</v>
      </c>
      <c r="R3458" s="1">
        <f>MONTH(tblSales[[#This Row],[Date]])</f>
        <v>7</v>
      </c>
    </row>
    <row r="3459" spans="2:18" x14ac:dyDescent="0.35">
      <c r="B3459" s="113">
        <v>46228</v>
      </c>
      <c r="C3459" s="4" t="s">
        <v>2327</v>
      </c>
      <c r="D3459" s="4" t="s">
        <v>4568</v>
      </c>
      <c r="E3459" s="1" t="str">
        <f>_xlfn.XLOOKUP(tblSales[[#This Row],[Customer ID]],tblCustomers[Customer ID],tblCustomers[Customer Name],"⚠ Unknown")</f>
        <v>Walk-in Customer</v>
      </c>
      <c r="F3459" s="4" t="s">
        <v>8</v>
      </c>
      <c r="G3459" s="1" t="str">
        <f>_xlfn.XLOOKUP(tblSales[[#This Row],[Product Code]],tblProducts[Code],tblProducts[Product / Service Name],"⚠ Unknown")</f>
        <v>Casual Shorts</v>
      </c>
      <c r="H3459" s="1" t="str">
        <f>_xlfn.XLOOKUP(tblSales[[#This Row],[Product Code]],tblProducts[Code],tblProducts[Category],"")</f>
        <v>Accessories &amp; Basics</v>
      </c>
      <c r="I3459" s="4">
        <v>9</v>
      </c>
      <c r="J3459" s="5">
        <f>_xlfn.XLOOKUP(tblSales[[#This Row],[Product Code]],tblProducts[Code],tblProducts[Selling Price (excl. VAT)],0)</f>
        <v>85000</v>
      </c>
      <c r="K3459" s="5">
        <f>tblSales[[#This Row],[Qty]]*tblSales[[#This Row],[Unit Price]]</f>
        <v>765000</v>
      </c>
      <c r="L3459" s="5">
        <f>ROUND(tblSales[[#This Row],[DPP (excl. VAT)]]*VATEff,0)</f>
        <v>84150</v>
      </c>
      <c r="M3459" s="5">
        <f>tblSales[[#This Row],[DPP (excl. VAT)]]+tblSales[[#This Row],[Output VAT]]</f>
        <v>849150</v>
      </c>
      <c r="N3459" s="5">
        <f>tblSales[[#This Row],[Qty]]*_xlfn.XLOOKUP(tblSales[[#This Row],[Product Code]],tblProducts[Code],tblProducts[Unit Cost],0)</f>
        <v>450000</v>
      </c>
      <c r="O3459" s="4" t="s">
        <v>4866</v>
      </c>
      <c r="P3459" s="4" t="s">
        <v>4860</v>
      </c>
      <c r="Q3459" s="1" t="str">
        <f>_xlfn.XLOOKUP(tblSales[[#This Row],[Channel Code]],tblChannels[Channel Code],tblChannels[Channel Name],"")</f>
        <v>In-store</v>
      </c>
      <c r="R3459" s="1">
        <f>MONTH(tblSales[[#This Row],[Date]])</f>
        <v>7</v>
      </c>
    </row>
    <row r="3460" spans="2:18" x14ac:dyDescent="0.35">
      <c r="B3460" s="113">
        <v>46228</v>
      </c>
      <c r="C3460" s="4" t="s">
        <v>2328</v>
      </c>
      <c r="D3460" s="4" t="s">
        <v>4568</v>
      </c>
      <c r="E3460" s="1" t="str">
        <f>_xlfn.XLOOKUP(tblSales[[#This Row],[Customer ID]],tblCustomers[Customer ID],tblCustomers[Customer Name],"⚠ Unknown")</f>
        <v>Walk-in Customer</v>
      </c>
      <c r="F3460" s="4" t="s">
        <v>7</v>
      </c>
      <c r="G3460" s="1" t="str">
        <f>_xlfn.XLOOKUP(tblSales[[#This Row],[Product Code]],tblProducts[Code],tblProducts[Product / Service Name],"⚠ Unknown")</f>
        <v>Premium Basic T-shirt</v>
      </c>
      <c r="H3460" s="1" t="str">
        <f>_xlfn.XLOOKUP(tblSales[[#This Row],[Product Code]],tblProducts[Code],tblProducts[Category],"")</f>
        <v>Accessories &amp; Basics</v>
      </c>
      <c r="I3460" s="4">
        <v>8</v>
      </c>
      <c r="J3460" s="5">
        <f>_xlfn.XLOOKUP(tblSales[[#This Row],[Product Code]],tblProducts[Code],tblProducts[Selling Price (excl. VAT)],0)</f>
        <v>65000</v>
      </c>
      <c r="K3460" s="5">
        <f>tblSales[[#This Row],[Qty]]*tblSales[[#This Row],[Unit Price]]</f>
        <v>520000</v>
      </c>
      <c r="L3460" s="5">
        <f>ROUND(tblSales[[#This Row],[DPP (excl. VAT)]]*VATEff,0)</f>
        <v>57200</v>
      </c>
      <c r="M3460" s="5">
        <f>tblSales[[#This Row],[DPP (excl. VAT)]]+tblSales[[#This Row],[Output VAT]]</f>
        <v>577200</v>
      </c>
      <c r="N3460" s="5">
        <f>tblSales[[#This Row],[Qty]]*_xlfn.XLOOKUP(tblSales[[#This Row],[Product Code]],tblProducts[Code],tblProducts[Unit Cost],0)</f>
        <v>296000</v>
      </c>
      <c r="O3460" s="4" t="s">
        <v>4866</v>
      </c>
      <c r="P3460" s="4" t="s">
        <v>4862</v>
      </c>
      <c r="Q3460" s="1" t="str">
        <f>_xlfn.XLOOKUP(tblSales[[#This Row],[Channel Code]],tblChannels[Channel Code],tblChannels[Channel Name],"")</f>
        <v>Website &amp; Social Media</v>
      </c>
      <c r="R3460" s="1">
        <f>MONTH(tblSales[[#This Row],[Date]])</f>
        <v>7</v>
      </c>
    </row>
    <row r="3461" spans="2:18" x14ac:dyDescent="0.35">
      <c r="B3461" s="113">
        <v>46228</v>
      </c>
      <c r="C3461" s="4" t="s">
        <v>2329</v>
      </c>
      <c r="D3461" s="4" t="s">
        <v>4568</v>
      </c>
      <c r="E3461" s="1" t="str">
        <f>_xlfn.XLOOKUP(tblSales[[#This Row],[Customer ID]],tblCustomers[Customer ID],tblCustomers[Customer Name],"⚠ Unknown")</f>
        <v>Walk-in Customer</v>
      </c>
      <c r="F3461" s="4" t="s">
        <v>8</v>
      </c>
      <c r="G3461" s="1" t="str">
        <f>_xlfn.XLOOKUP(tblSales[[#This Row],[Product Code]],tblProducts[Code],tblProducts[Product / Service Name],"⚠ Unknown")</f>
        <v>Casual Shorts</v>
      </c>
      <c r="H3461" s="1" t="str">
        <f>_xlfn.XLOOKUP(tblSales[[#This Row],[Product Code]],tblProducts[Code],tblProducts[Category],"")</f>
        <v>Accessories &amp; Basics</v>
      </c>
      <c r="I3461" s="4">
        <v>10</v>
      </c>
      <c r="J3461" s="5">
        <f>_xlfn.XLOOKUP(tblSales[[#This Row],[Product Code]],tblProducts[Code],tblProducts[Selling Price (excl. VAT)],0)</f>
        <v>85000</v>
      </c>
      <c r="K3461" s="5">
        <f>tblSales[[#This Row],[Qty]]*tblSales[[#This Row],[Unit Price]]</f>
        <v>850000</v>
      </c>
      <c r="L3461" s="5">
        <f>ROUND(tblSales[[#This Row],[DPP (excl. VAT)]]*VATEff,0)</f>
        <v>93500</v>
      </c>
      <c r="M3461" s="5">
        <f>tblSales[[#This Row],[DPP (excl. VAT)]]+tblSales[[#This Row],[Output VAT]]</f>
        <v>943500</v>
      </c>
      <c r="N3461" s="5">
        <f>tblSales[[#This Row],[Qty]]*_xlfn.XLOOKUP(tblSales[[#This Row],[Product Code]],tblProducts[Code],tblProducts[Unit Cost],0)</f>
        <v>500000</v>
      </c>
      <c r="O3461" s="4" t="s">
        <v>4865</v>
      </c>
      <c r="P3461" s="4" t="s">
        <v>4860</v>
      </c>
      <c r="Q3461" s="1" t="str">
        <f>_xlfn.XLOOKUP(tblSales[[#This Row],[Channel Code]],tblChannels[Channel Code],tblChannels[Channel Name],"")</f>
        <v>In-store</v>
      </c>
      <c r="R3461" s="1">
        <f>MONTH(tblSales[[#This Row],[Date]])</f>
        <v>7</v>
      </c>
    </row>
    <row r="3462" spans="2:18" x14ac:dyDescent="0.35">
      <c r="B3462" s="113">
        <v>46228</v>
      </c>
      <c r="C3462" s="4" t="s">
        <v>2330</v>
      </c>
      <c r="D3462" s="4" t="s">
        <v>4648</v>
      </c>
      <c r="E3462" s="1" t="str">
        <f>_xlfn.XLOOKUP(tblSales[[#This Row],[Customer ID]],tblCustomers[Customer ID],tblCustomers[Customer Name],"⚠ Unknown")</f>
        <v>PT Lintas Benua Niaga</v>
      </c>
      <c r="F3462" s="4" t="s">
        <v>7</v>
      </c>
      <c r="G3462" s="1" t="str">
        <f>_xlfn.XLOOKUP(tblSales[[#This Row],[Product Code]],tblProducts[Code],tblProducts[Product / Service Name],"⚠ Unknown")</f>
        <v>Premium Basic T-shirt</v>
      </c>
      <c r="H3462" s="1" t="str">
        <f>_xlfn.XLOOKUP(tblSales[[#This Row],[Product Code]],tblProducts[Code],tblProducts[Category],"")</f>
        <v>Accessories &amp; Basics</v>
      </c>
      <c r="I3462" s="4">
        <v>32</v>
      </c>
      <c r="J3462" s="5">
        <f>_xlfn.XLOOKUP(tblSales[[#This Row],[Product Code]],tblProducts[Code],tblProducts[Selling Price (excl. VAT)],0)</f>
        <v>65000</v>
      </c>
      <c r="K3462" s="5">
        <f>tblSales[[#This Row],[Qty]]*tblSales[[#This Row],[Unit Price]]</f>
        <v>2080000</v>
      </c>
      <c r="L3462" s="5">
        <f>ROUND(tblSales[[#This Row],[DPP (excl. VAT)]]*VATEff,0)</f>
        <v>228800</v>
      </c>
      <c r="M3462" s="5">
        <f>tblSales[[#This Row],[DPP (excl. VAT)]]+tblSales[[#This Row],[Output VAT]]</f>
        <v>2308800</v>
      </c>
      <c r="N3462" s="5">
        <f>tblSales[[#This Row],[Qty]]*_xlfn.XLOOKUP(tblSales[[#This Row],[Product Code]],tblProducts[Code],tblProducts[Unit Cost],0)</f>
        <v>1184000</v>
      </c>
      <c r="O3462" s="4" t="s">
        <v>4867</v>
      </c>
      <c r="P3462" s="4" t="s">
        <v>4860</v>
      </c>
      <c r="Q3462" s="1" t="str">
        <f>_xlfn.XLOOKUP(tblSales[[#This Row],[Channel Code]],tblChannels[Channel Code],tblChannels[Channel Name],"")</f>
        <v>In-store</v>
      </c>
      <c r="R3462" s="1">
        <f>MONTH(tblSales[[#This Row],[Date]])</f>
        <v>7</v>
      </c>
    </row>
    <row r="3463" spans="2:18" x14ac:dyDescent="0.35">
      <c r="B3463" s="113">
        <v>46228</v>
      </c>
      <c r="C3463" s="4" t="s">
        <v>2330</v>
      </c>
      <c r="D3463" s="4" t="s">
        <v>4648</v>
      </c>
      <c r="E3463" s="1" t="str">
        <f>_xlfn.XLOOKUP(tblSales[[#This Row],[Customer ID]],tblCustomers[Customer ID],tblCustomers[Customer Name],"⚠ Unknown")</f>
        <v>PT Lintas Benua Niaga</v>
      </c>
      <c r="F3463" s="4" t="s">
        <v>12</v>
      </c>
      <c r="G3463" s="1" t="str">
        <f>_xlfn.XLOOKUP(tblSales[[#This Row],[Product Code]],tblProducts[Code],tblProducts[Product / Service Name],"⚠ Unknown")</f>
        <v>Bomber Jacket</v>
      </c>
      <c r="H3463" s="1" t="str">
        <f>_xlfn.XLOOKUP(tblSales[[#This Row],[Product Code]],tblProducts[Code],tblProducts[Category],"")</f>
        <v>Apparel &amp; Footwear</v>
      </c>
      <c r="I3463" s="4">
        <v>8</v>
      </c>
      <c r="J3463" s="5">
        <f>_xlfn.XLOOKUP(tblSales[[#This Row],[Product Code]],tblProducts[Code],tblProducts[Selling Price (excl. VAT)],0)</f>
        <v>350000</v>
      </c>
      <c r="K3463" s="5">
        <f>tblSales[[#This Row],[Qty]]*tblSales[[#This Row],[Unit Price]]</f>
        <v>2800000</v>
      </c>
      <c r="L3463" s="5">
        <f>ROUND(tblSales[[#This Row],[DPP (excl. VAT)]]*VATEff,0)</f>
        <v>308000</v>
      </c>
      <c r="M3463" s="5">
        <f>tblSales[[#This Row],[DPP (excl. VAT)]]+tblSales[[#This Row],[Output VAT]]</f>
        <v>3108000</v>
      </c>
      <c r="N3463" s="5">
        <f>tblSales[[#This Row],[Qty]]*_xlfn.XLOOKUP(tblSales[[#This Row],[Product Code]],tblProducts[Code],tblProducts[Unit Cost],0)</f>
        <v>1680000</v>
      </c>
      <c r="O3463" s="4" t="s">
        <v>4867</v>
      </c>
      <c r="P3463" s="4" t="s">
        <v>4860</v>
      </c>
      <c r="Q3463" s="1" t="str">
        <f>_xlfn.XLOOKUP(tblSales[[#This Row],[Channel Code]],tblChannels[Channel Code],tblChannels[Channel Name],"")</f>
        <v>In-store</v>
      </c>
      <c r="R3463" s="1">
        <f>MONTH(tblSales[[#This Row],[Date]])</f>
        <v>7</v>
      </c>
    </row>
    <row r="3464" spans="2:18" x14ac:dyDescent="0.35">
      <c r="B3464" s="113">
        <v>46228</v>
      </c>
      <c r="C3464" s="4" t="s">
        <v>2331</v>
      </c>
      <c r="D3464" s="4" t="s">
        <v>4568</v>
      </c>
      <c r="E3464" s="1" t="str">
        <f>_xlfn.XLOOKUP(tblSales[[#This Row],[Customer ID]],tblCustomers[Customer ID],tblCustomers[Customer Name],"⚠ Unknown")</f>
        <v>Walk-in Customer</v>
      </c>
      <c r="F3464" s="4" t="s">
        <v>13</v>
      </c>
      <c r="G3464" s="1" t="str">
        <f>_xlfn.XLOOKUP(tblSales[[#This Row],[Product Code]],tblProducts[Code],tblProducts[Product / Service Name],"⚠ Unknown")</f>
        <v>Backpack</v>
      </c>
      <c r="H3464" s="1" t="str">
        <f>_xlfn.XLOOKUP(tblSales[[#This Row],[Product Code]],tblProducts[Code],tblProducts[Category],"")</f>
        <v>Bags &amp; Gadgets</v>
      </c>
      <c r="I3464" s="4">
        <v>6</v>
      </c>
      <c r="J3464" s="5">
        <f>_xlfn.XLOOKUP(tblSales[[#This Row],[Product Code]],tblProducts[Code],tblProducts[Selling Price (excl. VAT)],0)</f>
        <v>500000</v>
      </c>
      <c r="K3464" s="5">
        <f>tblSales[[#This Row],[Qty]]*tblSales[[#This Row],[Unit Price]]</f>
        <v>3000000</v>
      </c>
      <c r="L3464" s="5">
        <f>ROUND(tblSales[[#This Row],[DPP (excl. VAT)]]*VATEff,0)</f>
        <v>330000</v>
      </c>
      <c r="M3464" s="5">
        <f>tblSales[[#This Row],[DPP (excl. VAT)]]+tblSales[[#This Row],[Output VAT]]</f>
        <v>3330000</v>
      </c>
      <c r="N3464" s="5">
        <f>tblSales[[#This Row],[Qty]]*_xlfn.XLOOKUP(tblSales[[#This Row],[Product Code]],tblProducts[Code],tblProducts[Unit Cost],0)</f>
        <v>1740000</v>
      </c>
      <c r="O3464" s="4" t="s">
        <v>4865</v>
      </c>
      <c r="P3464" s="4" t="s">
        <v>4860</v>
      </c>
      <c r="Q3464" s="1" t="str">
        <f>_xlfn.XLOOKUP(tblSales[[#This Row],[Channel Code]],tblChannels[Channel Code],tblChannels[Channel Name],"")</f>
        <v>In-store</v>
      </c>
      <c r="R3464" s="1">
        <f>MONTH(tblSales[[#This Row],[Date]])</f>
        <v>7</v>
      </c>
    </row>
    <row r="3465" spans="2:18" x14ac:dyDescent="0.35">
      <c r="B3465" s="113">
        <v>46228</v>
      </c>
      <c r="C3465" s="4" t="s">
        <v>2331</v>
      </c>
      <c r="D3465" s="4" t="s">
        <v>4568</v>
      </c>
      <c r="E3465" s="1" t="str">
        <f>_xlfn.XLOOKUP(tblSales[[#This Row],[Customer ID]],tblCustomers[Customer ID],tblCustomers[Customer Name],"⚠ Unknown")</f>
        <v>Walk-in Customer</v>
      </c>
      <c r="F3465" s="4" t="s">
        <v>12</v>
      </c>
      <c r="G3465" s="1" t="str">
        <f>_xlfn.XLOOKUP(tblSales[[#This Row],[Product Code]],tblProducts[Code],tblProducts[Product / Service Name],"⚠ Unknown")</f>
        <v>Bomber Jacket</v>
      </c>
      <c r="H3465" s="1" t="str">
        <f>_xlfn.XLOOKUP(tblSales[[#This Row],[Product Code]],tblProducts[Code],tblProducts[Category],"")</f>
        <v>Apparel &amp; Footwear</v>
      </c>
      <c r="I3465" s="4">
        <v>6</v>
      </c>
      <c r="J3465" s="5">
        <f>_xlfn.XLOOKUP(tblSales[[#This Row],[Product Code]],tblProducts[Code],tblProducts[Selling Price (excl. VAT)],0)</f>
        <v>350000</v>
      </c>
      <c r="K3465" s="5">
        <f>tblSales[[#This Row],[Qty]]*tblSales[[#This Row],[Unit Price]]</f>
        <v>2100000</v>
      </c>
      <c r="L3465" s="5">
        <f>ROUND(tblSales[[#This Row],[DPP (excl. VAT)]]*VATEff,0)</f>
        <v>231000</v>
      </c>
      <c r="M3465" s="5">
        <f>tblSales[[#This Row],[DPP (excl. VAT)]]+tblSales[[#This Row],[Output VAT]]</f>
        <v>2331000</v>
      </c>
      <c r="N3465" s="5">
        <f>tblSales[[#This Row],[Qty]]*_xlfn.XLOOKUP(tblSales[[#This Row],[Product Code]],tblProducts[Code],tblProducts[Unit Cost],0)</f>
        <v>1260000</v>
      </c>
      <c r="O3465" s="4" t="s">
        <v>4865</v>
      </c>
      <c r="P3465" s="4" t="s">
        <v>4860</v>
      </c>
      <c r="Q3465" s="1" t="str">
        <f>_xlfn.XLOOKUP(tblSales[[#This Row],[Channel Code]],tblChannels[Channel Code],tblChannels[Channel Name],"")</f>
        <v>In-store</v>
      </c>
      <c r="R3465" s="1">
        <f>MONTH(tblSales[[#This Row],[Date]])</f>
        <v>7</v>
      </c>
    </row>
    <row r="3466" spans="2:18" x14ac:dyDescent="0.35">
      <c r="B3466" s="113">
        <v>46228</v>
      </c>
      <c r="C3466" s="4" t="s">
        <v>2331</v>
      </c>
      <c r="D3466" s="4" t="s">
        <v>4568</v>
      </c>
      <c r="E3466" s="1" t="str">
        <f>_xlfn.XLOOKUP(tblSales[[#This Row],[Customer ID]],tblCustomers[Customer ID],tblCustomers[Customer Name],"⚠ Unknown")</f>
        <v>Walk-in Customer</v>
      </c>
      <c r="F3466" s="4" t="s">
        <v>11</v>
      </c>
      <c r="G3466" s="1" t="str">
        <f>_xlfn.XLOOKUP(tblSales[[#This Row],[Product Code]],tblProducts[Code],tblProducts[Product / Service Name],"⚠ Unknown")</f>
        <v>Sneakers</v>
      </c>
      <c r="H3466" s="1" t="str">
        <f>_xlfn.XLOOKUP(tblSales[[#This Row],[Product Code]],tblProducts[Code],tblProducts[Category],"")</f>
        <v>Apparel &amp; Footwear</v>
      </c>
      <c r="I3466" s="4">
        <v>5</v>
      </c>
      <c r="J3466" s="5">
        <f>_xlfn.XLOOKUP(tblSales[[#This Row],[Product Code]],tblProducts[Code],tblProducts[Selling Price (excl. VAT)],0)</f>
        <v>250000</v>
      </c>
      <c r="K3466" s="5">
        <f>tblSales[[#This Row],[Qty]]*tblSales[[#This Row],[Unit Price]]</f>
        <v>1250000</v>
      </c>
      <c r="L3466" s="5">
        <f>ROUND(tblSales[[#This Row],[DPP (excl. VAT)]]*VATEff,0)</f>
        <v>137500</v>
      </c>
      <c r="M3466" s="5">
        <f>tblSales[[#This Row],[DPP (excl. VAT)]]+tblSales[[#This Row],[Output VAT]]</f>
        <v>1387500</v>
      </c>
      <c r="N3466" s="5">
        <f>tblSales[[#This Row],[Qty]]*_xlfn.XLOOKUP(tblSales[[#This Row],[Product Code]],tblProducts[Code],tblProducts[Unit Cost],0)</f>
        <v>775000</v>
      </c>
      <c r="O3466" s="4" t="s">
        <v>4865</v>
      </c>
      <c r="P3466" s="4" t="s">
        <v>4860</v>
      </c>
      <c r="Q3466" s="1" t="str">
        <f>_xlfn.XLOOKUP(tblSales[[#This Row],[Channel Code]],tblChannels[Channel Code],tblChannels[Channel Name],"")</f>
        <v>In-store</v>
      </c>
      <c r="R3466" s="1">
        <f>MONTH(tblSales[[#This Row],[Date]])</f>
        <v>7</v>
      </c>
    </row>
    <row r="3467" spans="2:18" x14ac:dyDescent="0.35">
      <c r="B3467" s="113">
        <v>46228</v>
      </c>
      <c r="C3467" s="4" t="s">
        <v>2332</v>
      </c>
      <c r="D3467" s="4" t="s">
        <v>4593</v>
      </c>
      <c r="E3467" s="1" t="str">
        <f>_xlfn.XLOOKUP(tblSales[[#This Row],[Customer ID]],tblCustomers[Customer ID],tblCustomers[Customer Name],"⚠ Unknown")</f>
        <v>PT Graha Nusa Persada</v>
      </c>
      <c r="F3467" s="4" t="s">
        <v>6</v>
      </c>
      <c r="G3467" s="1" t="str">
        <f>_xlfn.XLOOKUP(tblSales[[#This Row],[Product Code]],tblProducts[Code],tblProducts[Product / Service Name],"⚠ Unknown")</f>
        <v>Socks &amp; Accessories</v>
      </c>
      <c r="H3467" s="1" t="str">
        <f>_xlfn.XLOOKUP(tblSales[[#This Row],[Product Code]],tblProducts[Code],tblProducts[Category],"")</f>
        <v>Accessories &amp; Basics</v>
      </c>
      <c r="I3467" s="4">
        <v>40</v>
      </c>
      <c r="J3467" s="5">
        <f>_xlfn.XLOOKUP(tblSales[[#This Row],[Product Code]],tblProducts[Code],tblProducts[Selling Price (excl. VAT)],0)</f>
        <v>45000</v>
      </c>
      <c r="K3467" s="5">
        <f>tblSales[[#This Row],[Qty]]*tblSales[[#This Row],[Unit Price]]</f>
        <v>1800000</v>
      </c>
      <c r="L3467" s="5">
        <f>ROUND(tblSales[[#This Row],[DPP (excl. VAT)]]*VATEff,0)</f>
        <v>198000</v>
      </c>
      <c r="M3467" s="5">
        <f>tblSales[[#This Row],[DPP (excl. VAT)]]+tblSales[[#This Row],[Output VAT]]</f>
        <v>1998000</v>
      </c>
      <c r="N3467" s="5">
        <f>tblSales[[#This Row],[Qty]]*_xlfn.XLOOKUP(tblSales[[#This Row],[Product Code]],tblProducts[Code],tblProducts[Unit Cost],0)</f>
        <v>960000</v>
      </c>
      <c r="O3467" s="4" t="s">
        <v>4867</v>
      </c>
      <c r="P3467" s="4" t="s">
        <v>4860</v>
      </c>
      <c r="Q3467" s="1" t="str">
        <f>_xlfn.XLOOKUP(tblSales[[#This Row],[Channel Code]],tblChannels[Channel Code],tblChannels[Channel Name],"")</f>
        <v>In-store</v>
      </c>
      <c r="R3467" s="1">
        <f>MONTH(tblSales[[#This Row],[Date]])</f>
        <v>7</v>
      </c>
    </row>
    <row r="3468" spans="2:18" x14ac:dyDescent="0.35">
      <c r="B3468" s="113">
        <v>46228</v>
      </c>
      <c r="C3468" s="4" t="s">
        <v>2333</v>
      </c>
      <c r="D3468" s="4" t="s">
        <v>4568</v>
      </c>
      <c r="E3468" s="1" t="str">
        <f>_xlfn.XLOOKUP(tblSales[[#This Row],[Customer ID]],tblCustomers[Customer ID],tblCustomers[Customer Name],"⚠ Unknown")</f>
        <v>Walk-in Customer</v>
      </c>
      <c r="F3468" s="4" t="s">
        <v>10</v>
      </c>
      <c r="G3468" s="1" t="str">
        <f>_xlfn.XLOOKUP(tblSales[[#This Row],[Product Code]],tblProducts[Code],tblProducts[Product / Service Name],"⚠ Unknown")</f>
        <v>Chino Pants</v>
      </c>
      <c r="H3468" s="1" t="str">
        <f>_xlfn.XLOOKUP(tblSales[[#This Row],[Product Code]],tblProducts[Code],tblProducts[Category],"")</f>
        <v>Apparel &amp; Footwear</v>
      </c>
      <c r="I3468" s="4">
        <v>4</v>
      </c>
      <c r="J3468" s="5">
        <f>_xlfn.XLOOKUP(tblSales[[#This Row],[Product Code]],tblProducts[Code],tblProducts[Selling Price (excl. VAT)],0)</f>
        <v>150000</v>
      </c>
      <c r="K3468" s="5">
        <f>tblSales[[#This Row],[Qty]]*tblSales[[#This Row],[Unit Price]]</f>
        <v>600000</v>
      </c>
      <c r="L3468" s="5">
        <f>ROUND(tblSales[[#This Row],[DPP (excl. VAT)]]*VATEff,0)</f>
        <v>66000</v>
      </c>
      <c r="M3468" s="5">
        <f>tblSales[[#This Row],[DPP (excl. VAT)]]+tblSales[[#This Row],[Output VAT]]</f>
        <v>666000</v>
      </c>
      <c r="N3468" s="5">
        <f>tblSales[[#This Row],[Qty]]*_xlfn.XLOOKUP(tblSales[[#This Row],[Product Code]],tblProducts[Code],tblProducts[Unit Cost],0)</f>
        <v>352000</v>
      </c>
      <c r="O3468" s="4" t="s">
        <v>4865</v>
      </c>
      <c r="P3468" s="4" t="s">
        <v>4860</v>
      </c>
      <c r="Q3468" s="1" t="str">
        <f>_xlfn.XLOOKUP(tblSales[[#This Row],[Channel Code]],tblChannels[Channel Code],tblChannels[Channel Name],"")</f>
        <v>In-store</v>
      </c>
      <c r="R3468" s="1">
        <f>MONTH(tblSales[[#This Row],[Date]])</f>
        <v>7</v>
      </c>
    </row>
    <row r="3469" spans="2:18" x14ac:dyDescent="0.35">
      <c r="B3469" s="113">
        <v>46228</v>
      </c>
      <c r="C3469" s="4" t="s">
        <v>2334</v>
      </c>
      <c r="D3469" s="4" t="s">
        <v>4568</v>
      </c>
      <c r="E3469" s="1" t="str">
        <f>_xlfn.XLOOKUP(tblSales[[#This Row],[Customer ID]],tblCustomers[Customer ID],tblCustomers[Customer Name],"⚠ Unknown")</f>
        <v>Walk-in Customer</v>
      </c>
      <c r="F3469" s="4" t="s">
        <v>7</v>
      </c>
      <c r="G3469" s="1" t="str">
        <f>_xlfn.XLOOKUP(tblSales[[#This Row],[Product Code]],tblProducts[Code],tblProducts[Product / Service Name],"⚠ Unknown")</f>
        <v>Premium Basic T-shirt</v>
      </c>
      <c r="H3469" s="1" t="str">
        <f>_xlfn.XLOOKUP(tblSales[[#This Row],[Product Code]],tblProducts[Code],tblProducts[Category],"")</f>
        <v>Accessories &amp; Basics</v>
      </c>
      <c r="I3469" s="4">
        <v>11</v>
      </c>
      <c r="J3469" s="5">
        <f>_xlfn.XLOOKUP(tblSales[[#This Row],[Product Code]],tblProducts[Code],tblProducts[Selling Price (excl. VAT)],0)</f>
        <v>65000</v>
      </c>
      <c r="K3469" s="5">
        <f>tblSales[[#This Row],[Qty]]*tblSales[[#This Row],[Unit Price]]</f>
        <v>715000</v>
      </c>
      <c r="L3469" s="5">
        <f>ROUND(tblSales[[#This Row],[DPP (excl. VAT)]]*VATEff,0)</f>
        <v>78650</v>
      </c>
      <c r="M3469" s="5">
        <f>tblSales[[#This Row],[DPP (excl. VAT)]]+tblSales[[#This Row],[Output VAT]]</f>
        <v>793650</v>
      </c>
      <c r="N3469" s="5">
        <f>tblSales[[#This Row],[Qty]]*_xlfn.XLOOKUP(tblSales[[#This Row],[Product Code]],tblProducts[Code],tblProducts[Unit Cost],0)</f>
        <v>407000</v>
      </c>
      <c r="O3469" s="4" t="s">
        <v>4866</v>
      </c>
      <c r="P3469" s="4" t="s">
        <v>4860</v>
      </c>
      <c r="Q3469" s="1" t="str">
        <f>_xlfn.XLOOKUP(tblSales[[#This Row],[Channel Code]],tblChannels[Channel Code],tblChannels[Channel Name],"")</f>
        <v>In-store</v>
      </c>
      <c r="R3469" s="1">
        <f>MONTH(tblSales[[#This Row],[Date]])</f>
        <v>7</v>
      </c>
    </row>
    <row r="3470" spans="2:18" x14ac:dyDescent="0.35">
      <c r="B3470" s="113">
        <v>46229</v>
      </c>
      <c r="C3470" s="4" t="s">
        <v>2335</v>
      </c>
      <c r="D3470" s="4" t="s">
        <v>4568</v>
      </c>
      <c r="E3470" s="1" t="str">
        <f>_xlfn.XLOOKUP(tblSales[[#This Row],[Customer ID]],tblCustomers[Customer ID],tblCustomers[Customer Name],"⚠ Unknown")</f>
        <v>Walk-in Customer</v>
      </c>
      <c r="F3470" s="4" t="s">
        <v>9</v>
      </c>
      <c r="G3470" s="1" t="str">
        <f>_xlfn.XLOOKUP(tblSales[[#This Row],[Product Code]],tblProducts[Code],tblProducts[Product / Service Name],"⚠ Unknown")</f>
        <v>Casual Shirt</v>
      </c>
      <c r="H3470" s="1" t="str">
        <f>_xlfn.XLOOKUP(tblSales[[#This Row],[Product Code]],tblProducts[Code],tblProducts[Category],"")</f>
        <v>Apparel &amp; Footwear</v>
      </c>
      <c r="I3470" s="4">
        <v>12</v>
      </c>
      <c r="J3470" s="5">
        <f>_xlfn.XLOOKUP(tblSales[[#This Row],[Product Code]],tblProducts[Code],tblProducts[Selling Price (excl. VAT)],0)</f>
        <v>120000</v>
      </c>
      <c r="K3470" s="5">
        <f>tblSales[[#This Row],[Qty]]*tblSales[[#This Row],[Unit Price]]</f>
        <v>1440000</v>
      </c>
      <c r="L3470" s="5">
        <f>ROUND(tblSales[[#This Row],[DPP (excl. VAT)]]*VATEff,0)</f>
        <v>158400</v>
      </c>
      <c r="M3470" s="5">
        <f>tblSales[[#This Row],[DPP (excl. VAT)]]+tblSales[[#This Row],[Output VAT]]</f>
        <v>1598400</v>
      </c>
      <c r="N3470" s="5">
        <f>tblSales[[#This Row],[Qty]]*_xlfn.XLOOKUP(tblSales[[#This Row],[Product Code]],tblProducts[Code],tblProducts[Unit Cost],0)</f>
        <v>864000</v>
      </c>
      <c r="O3470" s="4" t="s">
        <v>4866</v>
      </c>
      <c r="P3470" s="4" t="s">
        <v>4861</v>
      </c>
      <c r="Q3470" s="1" t="str">
        <f>_xlfn.XLOOKUP(tblSales[[#This Row],[Channel Code]],tblChannels[Channel Code],tblChannels[Channel Name],"")</f>
        <v>Marketplace</v>
      </c>
      <c r="R3470" s="1">
        <f>MONTH(tblSales[[#This Row],[Date]])</f>
        <v>7</v>
      </c>
    </row>
    <row r="3471" spans="2:18" x14ac:dyDescent="0.35">
      <c r="B3471" s="113">
        <v>46229</v>
      </c>
      <c r="C3471" s="4" t="s">
        <v>2335</v>
      </c>
      <c r="D3471" s="4" t="s">
        <v>4568</v>
      </c>
      <c r="E3471" s="1" t="str">
        <f>_xlfn.XLOOKUP(tblSales[[#This Row],[Customer ID]],tblCustomers[Customer ID],tblCustomers[Customer Name],"⚠ Unknown")</f>
        <v>Walk-in Customer</v>
      </c>
      <c r="F3471" s="4" t="s">
        <v>12</v>
      </c>
      <c r="G3471" s="1" t="str">
        <f>_xlfn.XLOOKUP(tblSales[[#This Row],[Product Code]],tblProducts[Code],tblProducts[Product / Service Name],"⚠ Unknown")</f>
        <v>Bomber Jacket</v>
      </c>
      <c r="H3471" s="1" t="str">
        <f>_xlfn.XLOOKUP(tblSales[[#This Row],[Product Code]],tblProducts[Code],tblProducts[Category],"")</f>
        <v>Apparel &amp; Footwear</v>
      </c>
      <c r="I3471" s="4">
        <v>6</v>
      </c>
      <c r="J3471" s="5">
        <f>_xlfn.XLOOKUP(tblSales[[#This Row],[Product Code]],tblProducts[Code],tblProducts[Selling Price (excl. VAT)],0)</f>
        <v>350000</v>
      </c>
      <c r="K3471" s="5">
        <f>tblSales[[#This Row],[Qty]]*tblSales[[#This Row],[Unit Price]]</f>
        <v>2100000</v>
      </c>
      <c r="L3471" s="5">
        <f>ROUND(tblSales[[#This Row],[DPP (excl. VAT)]]*VATEff,0)</f>
        <v>231000</v>
      </c>
      <c r="M3471" s="5">
        <f>tblSales[[#This Row],[DPP (excl. VAT)]]+tblSales[[#This Row],[Output VAT]]</f>
        <v>2331000</v>
      </c>
      <c r="N3471" s="5">
        <f>tblSales[[#This Row],[Qty]]*_xlfn.XLOOKUP(tblSales[[#This Row],[Product Code]],tblProducts[Code],tblProducts[Unit Cost],0)</f>
        <v>1260000</v>
      </c>
      <c r="O3471" s="4" t="s">
        <v>4866</v>
      </c>
      <c r="P3471" s="4" t="s">
        <v>4861</v>
      </c>
      <c r="Q3471" s="1" t="str">
        <f>_xlfn.XLOOKUP(tblSales[[#This Row],[Channel Code]],tblChannels[Channel Code],tblChannels[Channel Name],"")</f>
        <v>Marketplace</v>
      </c>
      <c r="R3471" s="1">
        <f>MONTH(tblSales[[#This Row],[Date]])</f>
        <v>7</v>
      </c>
    </row>
    <row r="3472" spans="2:18" x14ac:dyDescent="0.35">
      <c r="B3472" s="113">
        <v>46229</v>
      </c>
      <c r="C3472" s="4" t="s">
        <v>2336</v>
      </c>
      <c r="D3472" s="4" t="s">
        <v>4568</v>
      </c>
      <c r="E3472" s="1" t="str">
        <f>_xlfn.XLOOKUP(tblSales[[#This Row],[Customer ID]],tblCustomers[Customer ID],tblCustomers[Customer Name],"⚠ Unknown")</f>
        <v>Walk-in Customer</v>
      </c>
      <c r="F3472" s="4" t="s">
        <v>8</v>
      </c>
      <c r="G3472" s="1" t="str">
        <f>_xlfn.XLOOKUP(tblSales[[#This Row],[Product Code]],tblProducts[Code],tblProducts[Product / Service Name],"⚠ Unknown")</f>
        <v>Casual Shorts</v>
      </c>
      <c r="H3472" s="1" t="str">
        <f>_xlfn.XLOOKUP(tblSales[[#This Row],[Product Code]],tblProducts[Code],tblProducts[Category],"")</f>
        <v>Accessories &amp; Basics</v>
      </c>
      <c r="I3472" s="4">
        <v>6</v>
      </c>
      <c r="J3472" s="5">
        <f>_xlfn.XLOOKUP(tblSales[[#This Row],[Product Code]],tblProducts[Code],tblProducts[Selling Price (excl. VAT)],0)</f>
        <v>85000</v>
      </c>
      <c r="K3472" s="5">
        <f>tblSales[[#This Row],[Qty]]*tblSales[[#This Row],[Unit Price]]</f>
        <v>510000</v>
      </c>
      <c r="L3472" s="5">
        <f>ROUND(tblSales[[#This Row],[DPP (excl. VAT)]]*VATEff,0)</f>
        <v>56100</v>
      </c>
      <c r="M3472" s="5">
        <f>tblSales[[#This Row],[DPP (excl. VAT)]]+tblSales[[#This Row],[Output VAT]]</f>
        <v>566100</v>
      </c>
      <c r="N3472" s="5">
        <f>tblSales[[#This Row],[Qty]]*_xlfn.XLOOKUP(tblSales[[#This Row],[Product Code]],tblProducts[Code],tblProducts[Unit Cost],0)</f>
        <v>300000</v>
      </c>
      <c r="O3472" s="4" t="s">
        <v>4865</v>
      </c>
      <c r="P3472" s="4" t="s">
        <v>4860</v>
      </c>
      <c r="Q3472" s="1" t="str">
        <f>_xlfn.XLOOKUP(tblSales[[#This Row],[Channel Code]],tblChannels[Channel Code],tblChannels[Channel Name],"")</f>
        <v>In-store</v>
      </c>
      <c r="R3472" s="1">
        <f>MONTH(tblSales[[#This Row],[Date]])</f>
        <v>7</v>
      </c>
    </row>
    <row r="3473" spans="2:18" x14ac:dyDescent="0.35">
      <c r="B3473" s="113">
        <v>46229</v>
      </c>
      <c r="C3473" s="4" t="s">
        <v>2337</v>
      </c>
      <c r="D3473" s="4" t="s">
        <v>4578</v>
      </c>
      <c r="E3473" s="1" t="str">
        <f>_xlfn.XLOOKUP(tblSales[[#This Row],[Customer ID]],tblCustomers[Customer ID],tblCustomers[Customer Name],"⚠ Unknown")</f>
        <v>PT Bintang Timur Sejahtera</v>
      </c>
      <c r="F3473" s="4" t="s">
        <v>7</v>
      </c>
      <c r="G3473" s="1" t="str">
        <f>_xlfn.XLOOKUP(tblSales[[#This Row],[Product Code]],tblProducts[Code],tblProducts[Product / Service Name],"⚠ Unknown")</f>
        <v>Premium Basic T-shirt</v>
      </c>
      <c r="H3473" s="1" t="str">
        <f>_xlfn.XLOOKUP(tblSales[[#This Row],[Product Code]],tblProducts[Code],tblProducts[Category],"")</f>
        <v>Accessories &amp; Basics</v>
      </c>
      <c r="I3473" s="4">
        <v>8</v>
      </c>
      <c r="J3473" s="5">
        <f>_xlfn.XLOOKUP(tblSales[[#This Row],[Product Code]],tblProducts[Code],tblProducts[Selling Price (excl. VAT)],0)</f>
        <v>65000</v>
      </c>
      <c r="K3473" s="5">
        <f>tblSales[[#This Row],[Qty]]*tblSales[[#This Row],[Unit Price]]</f>
        <v>520000</v>
      </c>
      <c r="L3473" s="5">
        <f>ROUND(tblSales[[#This Row],[DPP (excl. VAT)]]*VATEff,0)</f>
        <v>57200</v>
      </c>
      <c r="M3473" s="5">
        <f>tblSales[[#This Row],[DPP (excl. VAT)]]+tblSales[[#This Row],[Output VAT]]</f>
        <v>577200</v>
      </c>
      <c r="N3473" s="5">
        <f>tblSales[[#This Row],[Qty]]*_xlfn.XLOOKUP(tblSales[[#This Row],[Product Code]],tblProducts[Code],tblProducts[Unit Cost],0)</f>
        <v>296000</v>
      </c>
      <c r="O3473" s="4" t="s">
        <v>4867</v>
      </c>
      <c r="P3473" s="4" t="s">
        <v>4860</v>
      </c>
      <c r="Q3473" s="1" t="str">
        <f>_xlfn.XLOOKUP(tblSales[[#This Row],[Channel Code]],tblChannels[Channel Code],tblChannels[Channel Name],"")</f>
        <v>In-store</v>
      </c>
      <c r="R3473" s="1">
        <f>MONTH(tblSales[[#This Row],[Date]])</f>
        <v>7</v>
      </c>
    </row>
    <row r="3474" spans="2:18" x14ac:dyDescent="0.35">
      <c r="B3474" s="113">
        <v>46229</v>
      </c>
      <c r="C3474" s="4" t="s">
        <v>2338</v>
      </c>
      <c r="D3474" s="4" t="s">
        <v>4568</v>
      </c>
      <c r="E3474" s="1" t="str">
        <f>_xlfn.XLOOKUP(tblSales[[#This Row],[Customer ID]],tblCustomers[Customer ID],tblCustomers[Customer Name],"⚠ Unknown")</f>
        <v>Walk-in Customer</v>
      </c>
      <c r="F3474" s="4" t="s">
        <v>11</v>
      </c>
      <c r="G3474" s="1" t="str">
        <f>_xlfn.XLOOKUP(tblSales[[#This Row],[Product Code]],tblProducts[Code],tblProducts[Product / Service Name],"⚠ Unknown")</f>
        <v>Sneakers</v>
      </c>
      <c r="H3474" s="1" t="str">
        <f>_xlfn.XLOOKUP(tblSales[[#This Row],[Product Code]],tblProducts[Code],tblProducts[Category],"")</f>
        <v>Apparel &amp; Footwear</v>
      </c>
      <c r="I3474" s="4">
        <v>1</v>
      </c>
      <c r="J3474" s="5">
        <f>_xlfn.XLOOKUP(tblSales[[#This Row],[Product Code]],tblProducts[Code],tblProducts[Selling Price (excl. VAT)],0)</f>
        <v>250000</v>
      </c>
      <c r="K3474" s="5">
        <f>tblSales[[#This Row],[Qty]]*tblSales[[#This Row],[Unit Price]]</f>
        <v>250000</v>
      </c>
      <c r="L3474" s="5">
        <f>ROUND(tblSales[[#This Row],[DPP (excl. VAT)]]*VATEff,0)</f>
        <v>27500</v>
      </c>
      <c r="M3474" s="5">
        <f>tblSales[[#This Row],[DPP (excl. VAT)]]+tblSales[[#This Row],[Output VAT]]</f>
        <v>277500</v>
      </c>
      <c r="N3474" s="5">
        <f>tblSales[[#This Row],[Qty]]*_xlfn.XLOOKUP(tblSales[[#This Row],[Product Code]],tblProducts[Code],tblProducts[Unit Cost],0)</f>
        <v>155000</v>
      </c>
      <c r="O3474" s="4" t="s">
        <v>4866</v>
      </c>
      <c r="P3474" s="4" t="s">
        <v>4861</v>
      </c>
      <c r="Q3474" s="1" t="str">
        <f>_xlfn.XLOOKUP(tblSales[[#This Row],[Channel Code]],tblChannels[Channel Code],tblChannels[Channel Name],"")</f>
        <v>Marketplace</v>
      </c>
      <c r="R3474" s="1">
        <f>MONTH(tblSales[[#This Row],[Date]])</f>
        <v>7</v>
      </c>
    </row>
    <row r="3475" spans="2:18" x14ac:dyDescent="0.35">
      <c r="B3475" s="113">
        <v>46229</v>
      </c>
      <c r="C3475" s="4" t="s">
        <v>2339</v>
      </c>
      <c r="D3475" s="4" t="s">
        <v>4568</v>
      </c>
      <c r="E3475" s="1" t="str">
        <f>_xlfn.XLOOKUP(tblSales[[#This Row],[Customer ID]],tblCustomers[Customer ID],tblCustomers[Customer Name],"⚠ Unknown")</f>
        <v>Walk-in Customer</v>
      </c>
      <c r="F3475" s="4" t="s">
        <v>7</v>
      </c>
      <c r="G3475" s="1" t="str">
        <f>_xlfn.XLOOKUP(tblSales[[#This Row],[Product Code]],tblProducts[Code],tblProducts[Product / Service Name],"⚠ Unknown")</f>
        <v>Premium Basic T-shirt</v>
      </c>
      <c r="H3475" s="1" t="str">
        <f>_xlfn.XLOOKUP(tblSales[[#This Row],[Product Code]],tblProducts[Code],tblProducts[Category],"")</f>
        <v>Accessories &amp; Basics</v>
      </c>
      <c r="I3475" s="4">
        <v>1</v>
      </c>
      <c r="J3475" s="5">
        <f>_xlfn.XLOOKUP(tblSales[[#This Row],[Product Code]],tblProducts[Code],tblProducts[Selling Price (excl. VAT)],0)</f>
        <v>65000</v>
      </c>
      <c r="K3475" s="5">
        <f>tblSales[[#This Row],[Qty]]*tblSales[[#This Row],[Unit Price]]</f>
        <v>65000</v>
      </c>
      <c r="L3475" s="5">
        <f>ROUND(tblSales[[#This Row],[DPP (excl. VAT)]]*VATEff,0)</f>
        <v>7150</v>
      </c>
      <c r="M3475" s="5">
        <f>tblSales[[#This Row],[DPP (excl. VAT)]]+tblSales[[#This Row],[Output VAT]]</f>
        <v>72150</v>
      </c>
      <c r="N3475" s="5">
        <f>tblSales[[#This Row],[Qty]]*_xlfn.XLOOKUP(tblSales[[#This Row],[Product Code]],tblProducts[Code],tblProducts[Unit Cost],0)</f>
        <v>37000</v>
      </c>
      <c r="O3475" s="4" t="s">
        <v>4865</v>
      </c>
      <c r="P3475" s="4" t="s">
        <v>4860</v>
      </c>
      <c r="Q3475" s="1" t="str">
        <f>_xlfn.XLOOKUP(tblSales[[#This Row],[Channel Code]],tblChannels[Channel Code],tblChannels[Channel Name],"")</f>
        <v>In-store</v>
      </c>
      <c r="R3475" s="1">
        <f>MONTH(tblSales[[#This Row],[Date]])</f>
        <v>7</v>
      </c>
    </row>
    <row r="3476" spans="2:18" x14ac:dyDescent="0.35">
      <c r="B3476" s="113">
        <v>46229</v>
      </c>
      <c r="C3476" s="4" t="s">
        <v>2340</v>
      </c>
      <c r="D3476" s="4" t="s">
        <v>4613</v>
      </c>
      <c r="E3476" s="1" t="str">
        <f>_xlfn.XLOOKUP(tblSales[[#This Row],[Customer ID]],tblCustomers[Customer ID],tblCustomers[Customer Name],"⚠ Unknown")</f>
        <v>PT Mega Prima Distribusi</v>
      </c>
      <c r="F3476" s="4" t="s">
        <v>10</v>
      </c>
      <c r="G3476" s="1" t="str">
        <f>_xlfn.XLOOKUP(tblSales[[#This Row],[Product Code]],tblProducts[Code],tblProducts[Product / Service Name],"⚠ Unknown")</f>
        <v>Chino Pants</v>
      </c>
      <c r="H3476" s="1" t="str">
        <f>_xlfn.XLOOKUP(tblSales[[#This Row],[Product Code]],tblProducts[Code],tblProducts[Category],"")</f>
        <v>Apparel &amp; Footwear</v>
      </c>
      <c r="I3476" s="4">
        <v>40</v>
      </c>
      <c r="J3476" s="5">
        <f>_xlfn.XLOOKUP(tblSales[[#This Row],[Product Code]],tblProducts[Code],tblProducts[Selling Price (excl. VAT)],0)</f>
        <v>150000</v>
      </c>
      <c r="K3476" s="5">
        <f>tblSales[[#This Row],[Qty]]*tblSales[[#This Row],[Unit Price]]</f>
        <v>6000000</v>
      </c>
      <c r="L3476" s="5">
        <f>ROUND(tblSales[[#This Row],[DPP (excl. VAT)]]*VATEff,0)</f>
        <v>660000</v>
      </c>
      <c r="M3476" s="5">
        <f>tblSales[[#This Row],[DPP (excl. VAT)]]+tblSales[[#This Row],[Output VAT]]</f>
        <v>6660000</v>
      </c>
      <c r="N3476" s="5">
        <f>tblSales[[#This Row],[Qty]]*_xlfn.XLOOKUP(tblSales[[#This Row],[Product Code]],tblProducts[Code],tblProducts[Unit Cost],0)</f>
        <v>3520000</v>
      </c>
      <c r="O3476" s="4" t="s">
        <v>4867</v>
      </c>
      <c r="P3476" s="4" t="s">
        <v>4862</v>
      </c>
      <c r="Q3476" s="1" t="str">
        <f>_xlfn.XLOOKUP(tblSales[[#This Row],[Channel Code]],tblChannels[Channel Code],tblChannels[Channel Name],"")</f>
        <v>Website &amp; Social Media</v>
      </c>
      <c r="R3476" s="1">
        <f>MONTH(tblSales[[#This Row],[Date]])</f>
        <v>7</v>
      </c>
    </row>
    <row r="3477" spans="2:18" x14ac:dyDescent="0.35">
      <c r="B3477" s="113">
        <v>46229</v>
      </c>
      <c r="C3477" s="4" t="s">
        <v>2341</v>
      </c>
      <c r="D3477" s="4" t="s">
        <v>4593</v>
      </c>
      <c r="E3477" s="1" t="str">
        <f>_xlfn.XLOOKUP(tblSales[[#This Row],[Customer ID]],tblCustomers[Customer ID],tblCustomers[Customer Name],"⚠ Unknown")</f>
        <v>PT Graha Nusa Persada</v>
      </c>
      <c r="F3477" s="4" t="s">
        <v>14</v>
      </c>
      <c r="G3477" s="1" t="str">
        <f>_xlfn.XLOOKUP(tblSales[[#This Row],[Product Code]],tblProducts[Code],tblProducts[Product / Service Name],"⚠ Unknown")</f>
        <v>Smartwatch</v>
      </c>
      <c r="H3477" s="1" t="str">
        <f>_xlfn.XLOOKUP(tblSales[[#This Row],[Product Code]],tblProducts[Code],tblProducts[Category],"")</f>
        <v>Bags &amp; Gadgets</v>
      </c>
      <c r="I3477" s="4">
        <v>24</v>
      </c>
      <c r="J3477" s="5">
        <f>_xlfn.XLOOKUP(tblSales[[#This Row],[Product Code]],tblProducts[Code],tblProducts[Selling Price (excl. VAT)],0)</f>
        <v>850000</v>
      </c>
      <c r="K3477" s="5">
        <f>tblSales[[#This Row],[Qty]]*tblSales[[#This Row],[Unit Price]]</f>
        <v>20400000</v>
      </c>
      <c r="L3477" s="5">
        <f>ROUND(tblSales[[#This Row],[DPP (excl. VAT)]]*VATEff,0)</f>
        <v>2244000</v>
      </c>
      <c r="M3477" s="5">
        <f>tblSales[[#This Row],[DPP (excl. VAT)]]+tblSales[[#This Row],[Output VAT]]</f>
        <v>22644000</v>
      </c>
      <c r="N3477" s="5">
        <f>tblSales[[#This Row],[Qty]]*_xlfn.XLOOKUP(tblSales[[#This Row],[Product Code]],tblProducts[Code],tblProducts[Unit Cost],0)</f>
        <v>13440000</v>
      </c>
      <c r="O3477" s="4" t="s">
        <v>4867</v>
      </c>
      <c r="P3477" s="4" t="s">
        <v>4860</v>
      </c>
      <c r="Q3477" s="1" t="str">
        <f>_xlfn.XLOOKUP(tblSales[[#This Row],[Channel Code]],tblChannels[Channel Code],tblChannels[Channel Name],"")</f>
        <v>In-store</v>
      </c>
      <c r="R3477" s="1">
        <f>MONTH(tblSales[[#This Row],[Date]])</f>
        <v>7</v>
      </c>
    </row>
    <row r="3478" spans="2:18" x14ac:dyDescent="0.35">
      <c r="B3478" s="113">
        <v>46229</v>
      </c>
      <c r="C3478" s="4" t="s">
        <v>2341</v>
      </c>
      <c r="D3478" s="4" t="s">
        <v>4593</v>
      </c>
      <c r="E3478" s="1" t="str">
        <f>_xlfn.XLOOKUP(tblSales[[#This Row],[Customer ID]],tblCustomers[Customer ID],tblCustomers[Customer Name],"⚠ Unknown")</f>
        <v>PT Graha Nusa Persada</v>
      </c>
      <c r="F3478" s="4" t="s">
        <v>6</v>
      </c>
      <c r="G3478" s="1" t="str">
        <f>_xlfn.XLOOKUP(tblSales[[#This Row],[Product Code]],tblProducts[Code],tblProducts[Product / Service Name],"⚠ Unknown")</f>
        <v>Socks &amp; Accessories</v>
      </c>
      <c r="H3478" s="1" t="str">
        <f>_xlfn.XLOOKUP(tblSales[[#This Row],[Product Code]],tblProducts[Code],tblProducts[Category],"")</f>
        <v>Accessories &amp; Basics</v>
      </c>
      <c r="I3478" s="4">
        <v>80</v>
      </c>
      <c r="J3478" s="5">
        <f>_xlfn.XLOOKUP(tblSales[[#This Row],[Product Code]],tblProducts[Code],tblProducts[Selling Price (excl. VAT)],0)</f>
        <v>45000</v>
      </c>
      <c r="K3478" s="5">
        <f>tblSales[[#This Row],[Qty]]*tblSales[[#This Row],[Unit Price]]</f>
        <v>3600000</v>
      </c>
      <c r="L3478" s="5">
        <f>ROUND(tblSales[[#This Row],[DPP (excl. VAT)]]*VATEff,0)</f>
        <v>396000</v>
      </c>
      <c r="M3478" s="5">
        <f>tblSales[[#This Row],[DPP (excl. VAT)]]+tblSales[[#This Row],[Output VAT]]</f>
        <v>3996000</v>
      </c>
      <c r="N3478" s="5">
        <f>tblSales[[#This Row],[Qty]]*_xlfn.XLOOKUP(tblSales[[#This Row],[Product Code]],tblProducts[Code],tblProducts[Unit Cost],0)</f>
        <v>1920000</v>
      </c>
      <c r="O3478" s="4" t="s">
        <v>4867</v>
      </c>
      <c r="P3478" s="4" t="s">
        <v>4860</v>
      </c>
      <c r="Q3478" s="1" t="str">
        <f>_xlfn.XLOOKUP(tblSales[[#This Row],[Channel Code]],tblChannels[Channel Code],tblChannels[Channel Name],"")</f>
        <v>In-store</v>
      </c>
      <c r="R3478" s="1">
        <f>MONTH(tblSales[[#This Row],[Date]])</f>
        <v>7</v>
      </c>
    </row>
    <row r="3479" spans="2:18" x14ac:dyDescent="0.35">
      <c r="B3479" s="113">
        <v>46229</v>
      </c>
      <c r="C3479" s="4" t="s">
        <v>2341</v>
      </c>
      <c r="D3479" s="4" t="s">
        <v>4593</v>
      </c>
      <c r="E3479" s="1" t="str">
        <f>_xlfn.XLOOKUP(tblSales[[#This Row],[Customer ID]],tblCustomers[Customer ID],tblCustomers[Customer Name],"⚠ Unknown")</f>
        <v>PT Graha Nusa Persada</v>
      </c>
      <c r="F3479" s="4" t="s">
        <v>8</v>
      </c>
      <c r="G3479" s="1" t="str">
        <f>_xlfn.XLOOKUP(tblSales[[#This Row],[Product Code]],tblProducts[Code],tblProducts[Product / Service Name],"⚠ Unknown")</f>
        <v>Casual Shorts</v>
      </c>
      <c r="H3479" s="1" t="str">
        <f>_xlfn.XLOOKUP(tblSales[[#This Row],[Product Code]],tblProducts[Code],tblProducts[Category],"")</f>
        <v>Accessories &amp; Basics</v>
      </c>
      <c r="I3479" s="4">
        <v>80</v>
      </c>
      <c r="J3479" s="5">
        <f>_xlfn.XLOOKUP(tblSales[[#This Row],[Product Code]],tblProducts[Code],tblProducts[Selling Price (excl. VAT)],0)</f>
        <v>85000</v>
      </c>
      <c r="K3479" s="5">
        <f>tblSales[[#This Row],[Qty]]*tblSales[[#This Row],[Unit Price]]</f>
        <v>6800000</v>
      </c>
      <c r="L3479" s="5">
        <f>ROUND(tblSales[[#This Row],[DPP (excl. VAT)]]*VATEff,0)</f>
        <v>748000</v>
      </c>
      <c r="M3479" s="5">
        <f>tblSales[[#This Row],[DPP (excl. VAT)]]+tblSales[[#This Row],[Output VAT]]</f>
        <v>7548000</v>
      </c>
      <c r="N3479" s="5">
        <f>tblSales[[#This Row],[Qty]]*_xlfn.XLOOKUP(tblSales[[#This Row],[Product Code]],tblProducts[Code],tblProducts[Unit Cost],0)</f>
        <v>4000000</v>
      </c>
      <c r="O3479" s="4" t="s">
        <v>4867</v>
      </c>
      <c r="P3479" s="4" t="s">
        <v>4860</v>
      </c>
      <c r="Q3479" s="1" t="str">
        <f>_xlfn.XLOOKUP(tblSales[[#This Row],[Channel Code]],tblChannels[Channel Code],tblChannels[Channel Name],"")</f>
        <v>In-store</v>
      </c>
      <c r="R3479" s="1">
        <f>MONTH(tblSales[[#This Row],[Date]])</f>
        <v>7</v>
      </c>
    </row>
    <row r="3480" spans="2:18" x14ac:dyDescent="0.35">
      <c r="B3480" s="113">
        <v>46229</v>
      </c>
      <c r="C3480" s="4" t="s">
        <v>2342</v>
      </c>
      <c r="D3480" s="4" t="s">
        <v>4568</v>
      </c>
      <c r="E3480" s="1" t="str">
        <f>_xlfn.XLOOKUP(tblSales[[#This Row],[Customer ID]],tblCustomers[Customer ID],tblCustomers[Customer Name],"⚠ Unknown")</f>
        <v>Walk-in Customer</v>
      </c>
      <c r="F3480" s="4" t="s">
        <v>10</v>
      </c>
      <c r="G3480" s="1" t="str">
        <f>_xlfn.XLOOKUP(tblSales[[#This Row],[Product Code]],tblProducts[Code],tblProducts[Product / Service Name],"⚠ Unknown")</f>
        <v>Chino Pants</v>
      </c>
      <c r="H3480" s="1" t="str">
        <f>_xlfn.XLOOKUP(tblSales[[#This Row],[Product Code]],tblProducts[Code],tblProducts[Category],"")</f>
        <v>Apparel &amp; Footwear</v>
      </c>
      <c r="I3480" s="4">
        <v>5</v>
      </c>
      <c r="J3480" s="5">
        <f>_xlfn.XLOOKUP(tblSales[[#This Row],[Product Code]],tblProducts[Code],tblProducts[Selling Price (excl. VAT)],0)</f>
        <v>150000</v>
      </c>
      <c r="K3480" s="5">
        <f>tblSales[[#This Row],[Qty]]*tblSales[[#This Row],[Unit Price]]</f>
        <v>750000</v>
      </c>
      <c r="L3480" s="5">
        <f>ROUND(tblSales[[#This Row],[DPP (excl. VAT)]]*VATEff,0)</f>
        <v>82500</v>
      </c>
      <c r="M3480" s="5">
        <f>tblSales[[#This Row],[DPP (excl. VAT)]]+tblSales[[#This Row],[Output VAT]]</f>
        <v>832500</v>
      </c>
      <c r="N3480" s="5">
        <f>tblSales[[#This Row],[Qty]]*_xlfn.XLOOKUP(tblSales[[#This Row],[Product Code]],tblProducts[Code],tblProducts[Unit Cost],0)</f>
        <v>440000</v>
      </c>
      <c r="O3480" s="4" t="s">
        <v>4866</v>
      </c>
      <c r="P3480" s="4" t="s">
        <v>4862</v>
      </c>
      <c r="Q3480" s="1" t="str">
        <f>_xlfn.XLOOKUP(tblSales[[#This Row],[Channel Code]],tblChannels[Channel Code],tblChannels[Channel Name],"")</f>
        <v>Website &amp; Social Media</v>
      </c>
      <c r="R3480" s="1">
        <f>MONTH(tblSales[[#This Row],[Date]])</f>
        <v>7</v>
      </c>
    </row>
    <row r="3481" spans="2:18" x14ac:dyDescent="0.35">
      <c r="B3481" s="113">
        <v>46229</v>
      </c>
      <c r="C3481" s="4" t="s">
        <v>2343</v>
      </c>
      <c r="D3481" s="4" t="s">
        <v>4568</v>
      </c>
      <c r="E3481" s="1" t="str">
        <f>_xlfn.XLOOKUP(tblSales[[#This Row],[Customer ID]],tblCustomers[Customer ID],tblCustomers[Customer Name],"⚠ Unknown")</f>
        <v>Walk-in Customer</v>
      </c>
      <c r="F3481" s="4" t="s">
        <v>14</v>
      </c>
      <c r="G3481" s="1" t="str">
        <f>_xlfn.XLOOKUP(tblSales[[#This Row],[Product Code]],tblProducts[Code],tblProducts[Product / Service Name],"⚠ Unknown")</f>
        <v>Smartwatch</v>
      </c>
      <c r="H3481" s="1" t="str">
        <f>_xlfn.XLOOKUP(tblSales[[#This Row],[Product Code]],tblProducts[Code],tblProducts[Category],"")</f>
        <v>Bags &amp; Gadgets</v>
      </c>
      <c r="I3481" s="4">
        <v>2</v>
      </c>
      <c r="J3481" s="5">
        <f>_xlfn.XLOOKUP(tblSales[[#This Row],[Product Code]],tblProducts[Code],tblProducts[Selling Price (excl. VAT)],0)</f>
        <v>850000</v>
      </c>
      <c r="K3481" s="5">
        <f>tblSales[[#This Row],[Qty]]*tblSales[[#This Row],[Unit Price]]</f>
        <v>1700000</v>
      </c>
      <c r="L3481" s="5">
        <f>ROUND(tblSales[[#This Row],[DPP (excl. VAT)]]*VATEff,0)</f>
        <v>187000</v>
      </c>
      <c r="M3481" s="5">
        <f>tblSales[[#This Row],[DPP (excl. VAT)]]+tblSales[[#This Row],[Output VAT]]</f>
        <v>1887000</v>
      </c>
      <c r="N3481" s="5">
        <f>tblSales[[#This Row],[Qty]]*_xlfn.XLOOKUP(tblSales[[#This Row],[Product Code]],tblProducts[Code],tblProducts[Unit Cost],0)</f>
        <v>1120000</v>
      </c>
      <c r="O3481" s="4" t="s">
        <v>4865</v>
      </c>
      <c r="P3481" s="4" t="s">
        <v>4860</v>
      </c>
      <c r="Q3481" s="1" t="str">
        <f>_xlfn.XLOOKUP(tblSales[[#This Row],[Channel Code]],tblChannels[Channel Code],tblChannels[Channel Name],"")</f>
        <v>In-store</v>
      </c>
      <c r="R3481" s="1">
        <f>MONTH(tblSales[[#This Row],[Date]])</f>
        <v>7</v>
      </c>
    </row>
    <row r="3482" spans="2:18" x14ac:dyDescent="0.35">
      <c r="B3482" s="113">
        <v>46229</v>
      </c>
      <c r="C3482" s="4" t="s">
        <v>2344</v>
      </c>
      <c r="D3482" s="4" t="s">
        <v>4613</v>
      </c>
      <c r="E3482" s="1" t="str">
        <f>_xlfn.XLOOKUP(tblSales[[#This Row],[Customer ID]],tblCustomers[Customer ID],tblCustomers[Customer Name],"⚠ Unknown")</f>
        <v>PT Mega Prima Distribusi</v>
      </c>
      <c r="F3482" s="4" t="s">
        <v>6</v>
      </c>
      <c r="G3482" s="1" t="str">
        <f>_xlfn.XLOOKUP(tblSales[[#This Row],[Product Code]],tblProducts[Code],tblProducts[Product / Service Name],"⚠ Unknown")</f>
        <v>Socks &amp; Accessories</v>
      </c>
      <c r="H3482" s="1" t="str">
        <f>_xlfn.XLOOKUP(tblSales[[#This Row],[Product Code]],tblProducts[Code],tblProducts[Category],"")</f>
        <v>Accessories &amp; Basics</v>
      </c>
      <c r="I3482" s="4">
        <v>48</v>
      </c>
      <c r="J3482" s="5">
        <f>_xlfn.XLOOKUP(tblSales[[#This Row],[Product Code]],tblProducts[Code],tblProducts[Selling Price (excl. VAT)],0)</f>
        <v>45000</v>
      </c>
      <c r="K3482" s="5">
        <f>tblSales[[#This Row],[Qty]]*tblSales[[#This Row],[Unit Price]]</f>
        <v>2160000</v>
      </c>
      <c r="L3482" s="5">
        <f>ROUND(tblSales[[#This Row],[DPP (excl. VAT)]]*VATEff,0)</f>
        <v>237600</v>
      </c>
      <c r="M3482" s="5">
        <f>tblSales[[#This Row],[DPP (excl. VAT)]]+tblSales[[#This Row],[Output VAT]]</f>
        <v>2397600</v>
      </c>
      <c r="N3482" s="5">
        <f>tblSales[[#This Row],[Qty]]*_xlfn.XLOOKUP(tblSales[[#This Row],[Product Code]],tblProducts[Code],tblProducts[Unit Cost],0)</f>
        <v>1152000</v>
      </c>
      <c r="O3482" s="4" t="s">
        <v>4867</v>
      </c>
      <c r="P3482" s="4" t="s">
        <v>4862</v>
      </c>
      <c r="Q3482" s="1" t="str">
        <f>_xlfn.XLOOKUP(tblSales[[#This Row],[Channel Code]],tblChannels[Channel Code],tblChannels[Channel Name],"")</f>
        <v>Website &amp; Social Media</v>
      </c>
      <c r="R3482" s="1">
        <f>MONTH(tblSales[[#This Row],[Date]])</f>
        <v>7</v>
      </c>
    </row>
    <row r="3483" spans="2:18" x14ac:dyDescent="0.35">
      <c r="B3483" s="113">
        <v>46229</v>
      </c>
      <c r="C3483" s="4" t="s">
        <v>2345</v>
      </c>
      <c r="D3483" s="4" t="s">
        <v>4568</v>
      </c>
      <c r="E3483" s="1" t="str">
        <f>_xlfn.XLOOKUP(tblSales[[#This Row],[Customer ID]],tblCustomers[Customer ID],tblCustomers[Customer Name],"⚠ Unknown")</f>
        <v>Walk-in Customer</v>
      </c>
      <c r="F3483" s="4" t="s">
        <v>8</v>
      </c>
      <c r="G3483" s="1" t="str">
        <f>_xlfn.XLOOKUP(tblSales[[#This Row],[Product Code]],tblProducts[Code],tblProducts[Product / Service Name],"⚠ Unknown")</f>
        <v>Casual Shorts</v>
      </c>
      <c r="H3483" s="1" t="str">
        <f>_xlfn.XLOOKUP(tblSales[[#This Row],[Product Code]],tblProducts[Code],tblProducts[Category],"")</f>
        <v>Accessories &amp; Basics</v>
      </c>
      <c r="I3483" s="4">
        <v>6</v>
      </c>
      <c r="J3483" s="5">
        <f>_xlfn.XLOOKUP(tblSales[[#This Row],[Product Code]],tblProducts[Code],tblProducts[Selling Price (excl. VAT)],0)</f>
        <v>85000</v>
      </c>
      <c r="K3483" s="5">
        <f>tblSales[[#This Row],[Qty]]*tblSales[[#This Row],[Unit Price]]</f>
        <v>510000</v>
      </c>
      <c r="L3483" s="5">
        <f>ROUND(tblSales[[#This Row],[DPP (excl. VAT)]]*VATEff,0)</f>
        <v>56100</v>
      </c>
      <c r="M3483" s="5">
        <f>tblSales[[#This Row],[DPP (excl. VAT)]]+tblSales[[#This Row],[Output VAT]]</f>
        <v>566100</v>
      </c>
      <c r="N3483" s="5">
        <f>tblSales[[#This Row],[Qty]]*_xlfn.XLOOKUP(tblSales[[#This Row],[Product Code]],tblProducts[Code],tblProducts[Unit Cost],0)</f>
        <v>300000</v>
      </c>
      <c r="O3483" s="4" t="s">
        <v>4865</v>
      </c>
      <c r="P3483" s="4" t="s">
        <v>4860</v>
      </c>
      <c r="Q3483" s="1" t="str">
        <f>_xlfn.XLOOKUP(tblSales[[#This Row],[Channel Code]],tblChannels[Channel Code],tblChannels[Channel Name],"")</f>
        <v>In-store</v>
      </c>
      <c r="R3483" s="1">
        <f>MONTH(tblSales[[#This Row],[Date]])</f>
        <v>7</v>
      </c>
    </row>
    <row r="3484" spans="2:18" x14ac:dyDescent="0.35">
      <c r="B3484" s="113">
        <v>46229</v>
      </c>
      <c r="C3484" s="4" t="s">
        <v>2346</v>
      </c>
      <c r="D3484" s="4" t="s">
        <v>4568</v>
      </c>
      <c r="E3484" s="1" t="str">
        <f>_xlfn.XLOOKUP(tblSales[[#This Row],[Customer ID]],tblCustomers[Customer ID],tblCustomers[Customer Name],"⚠ Unknown")</f>
        <v>Walk-in Customer</v>
      </c>
      <c r="F3484" s="4" t="s">
        <v>11</v>
      </c>
      <c r="G3484" s="1" t="str">
        <f>_xlfn.XLOOKUP(tblSales[[#This Row],[Product Code]],tblProducts[Code],tblProducts[Product / Service Name],"⚠ Unknown")</f>
        <v>Sneakers</v>
      </c>
      <c r="H3484" s="1" t="str">
        <f>_xlfn.XLOOKUP(tblSales[[#This Row],[Product Code]],tblProducts[Code],tblProducts[Category],"")</f>
        <v>Apparel &amp; Footwear</v>
      </c>
      <c r="I3484" s="4">
        <v>2</v>
      </c>
      <c r="J3484" s="5">
        <f>_xlfn.XLOOKUP(tblSales[[#This Row],[Product Code]],tblProducts[Code],tblProducts[Selling Price (excl. VAT)],0)</f>
        <v>250000</v>
      </c>
      <c r="K3484" s="5">
        <f>tblSales[[#This Row],[Qty]]*tblSales[[#This Row],[Unit Price]]</f>
        <v>500000</v>
      </c>
      <c r="L3484" s="5">
        <f>ROUND(tblSales[[#This Row],[DPP (excl. VAT)]]*VATEff,0)</f>
        <v>55000</v>
      </c>
      <c r="M3484" s="5">
        <f>tblSales[[#This Row],[DPP (excl. VAT)]]+tblSales[[#This Row],[Output VAT]]</f>
        <v>555000</v>
      </c>
      <c r="N3484" s="5">
        <f>tblSales[[#This Row],[Qty]]*_xlfn.XLOOKUP(tblSales[[#This Row],[Product Code]],tblProducts[Code],tblProducts[Unit Cost],0)</f>
        <v>310000</v>
      </c>
      <c r="O3484" s="4" t="s">
        <v>4865</v>
      </c>
      <c r="P3484" s="4" t="s">
        <v>4860</v>
      </c>
      <c r="Q3484" s="1" t="str">
        <f>_xlfn.XLOOKUP(tblSales[[#This Row],[Channel Code]],tblChannels[Channel Code],tblChannels[Channel Name],"")</f>
        <v>In-store</v>
      </c>
      <c r="R3484" s="1">
        <f>MONTH(tblSales[[#This Row],[Date]])</f>
        <v>7</v>
      </c>
    </row>
    <row r="3485" spans="2:18" x14ac:dyDescent="0.35">
      <c r="B3485" s="113">
        <v>46229</v>
      </c>
      <c r="C3485" s="4" t="s">
        <v>2346</v>
      </c>
      <c r="D3485" s="4" t="s">
        <v>4568</v>
      </c>
      <c r="E3485" s="1" t="str">
        <f>_xlfn.XLOOKUP(tblSales[[#This Row],[Customer ID]],tblCustomers[Customer ID],tblCustomers[Customer Name],"⚠ Unknown")</f>
        <v>Walk-in Customer</v>
      </c>
      <c r="F3485" s="4" t="s">
        <v>8</v>
      </c>
      <c r="G3485" s="1" t="str">
        <f>_xlfn.XLOOKUP(tblSales[[#This Row],[Product Code]],tblProducts[Code],tblProducts[Product / Service Name],"⚠ Unknown")</f>
        <v>Casual Shorts</v>
      </c>
      <c r="H3485" s="1" t="str">
        <f>_xlfn.XLOOKUP(tblSales[[#This Row],[Product Code]],tblProducts[Code],tblProducts[Category],"")</f>
        <v>Accessories &amp; Basics</v>
      </c>
      <c r="I3485" s="4">
        <v>9</v>
      </c>
      <c r="J3485" s="5">
        <f>_xlfn.XLOOKUP(tblSales[[#This Row],[Product Code]],tblProducts[Code],tblProducts[Selling Price (excl. VAT)],0)</f>
        <v>85000</v>
      </c>
      <c r="K3485" s="5">
        <f>tblSales[[#This Row],[Qty]]*tblSales[[#This Row],[Unit Price]]</f>
        <v>765000</v>
      </c>
      <c r="L3485" s="5">
        <f>ROUND(tblSales[[#This Row],[DPP (excl. VAT)]]*VATEff,0)</f>
        <v>84150</v>
      </c>
      <c r="M3485" s="5">
        <f>tblSales[[#This Row],[DPP (excl. VAT)]]+tblSales[[#This Row],[Output VAT]]</f>
        <v>849150</v>
      </c>
      <c r="N3485" s="5">
        <f>tblSales[[#This Row],[Qty]]*_xlfn.XLOOKUP(tblSales[[#This Row],[Product Code]],tblProducts[Code],tblProducts[Unit Cost],0)</f>
        <v>450000</v>
      </c>
      <c r="O3485" s="4" t="s">
        <v>4865</v>
      </c>
      <c r="P3485" s="4" t="s">
        <v>4860</v>
      </c>
      <c r="Q3485" s="1" t="str">
        <f>_xlfn.XLOOKUP(tblSales[[#This Row],[Channel Code]],tblChannels[Channel Code],tblChannels[Channel Name],"")</f>
        <v>In-store</v>
      </c>
      <c r="R3485" s="1">
        <f>MONTH(tblSales[[#This Row],[Date]])</f>
        <v>7</v>
      </c>
    </row>
    <row r="3486" spans="2:18" x14ac:dyDescent="0.35">
      <c r="B3486" s="113">
        <v>46230</v>
      </c>
      <c r="C3486" s="4" t="s">
        <v>2347</v>
      </c>
      <c r="D3486" s="4" t="s">
        <v>4568</v>
      </c>
      <c r="E3486" s="1" t="str">
        <f>_xlfn.XLOOKUP(tblSales[[#This Row],[Customer ID]],tblCustomers[Customer ID],tblCustomers[Customer Name],"⚠ Unknown")</f>
        <v>Walk-in Customer</v>
      </c>
      <c r="F3486" s="4" t="s">
        <v>7</v>
      </c>
      <c r="G3486" s="1" t="str">
        <f>_xlfn.XLOOKUP(tblSales[[#This Row],[Product Code]],tblProducts[Code],tblProducts[Product / Service Name],"⚠ Unknown")</f>
        <v>Premium Basic T-shirt</v>
      </c>
      <c r="H3486" s="1" t="str">
        <f>_xlfn.XLOOKUP(tblSales[[#This Row],[Product Code]],tblProducts[Code],tblProducts[Category],"")</f>
        <v>Accessories &amp; Basics</v>
      </c>
      <c r="I3486" s="4">
        <v>6</v>
      </c>
      <c r="J3486" s="5">
        <f>_xlfn.XLOOKUP(tblSales[[#This Row],[Product Code]],tblProducts[Code],tblProducts[Selling Price (excl. VAT)],0)</f>
        <v>65000</v>
      </c>
      <c r="K3486" s="5">
        <f>tblSales[[#This Row],[Qty]]*tblSales[[#This Row],[Unit Price]]</f>
        <v>390000</v>
      </c>
      <c r="L3486" s="5">
        <f>ROUND(tblSales[[#This Row],[DPP (excl. VAT)]]*VATEff,0)</f>
        <v>42900</v>
      </c>
      <c r="M3486" s="5">
        <f>tblSales[[#This Row],[DPP (excl. VAT)]]+tblSales[[#This Row],[Output VAT]]</f>
        <v>432900</v>
      </c>
      <c r="N3486" s="5">
        <f>tblSales[[#This Row],[Qty]]*_xlfn.XLOOKUP(tblSales[[#This Row],[Product Code]],tblProducts[Code],tblProducts[Unit Cost],0)</f>
        <v>222000</v>
      </c>
      <c r="O3486" s="4" t="s">
        <v>4865</v>
      </c>
      <c r="P3486" s="4" t="s">
        <v>4860</v>
      </c>
      <c r="Q3486" s="1" t="str">
        <f>_xlfn.XLOOKUP(tblSales[[#This Row],[Channel Code]],tblChannels[Channel Code],tblChannels[Channel Name],"")</f>
        <v>In-store</v>
      </c>
      <c r="R3486" s="1">
        <f>MONTH(tblSales[[#This Row],[Date]])</f>
        <v>7</v>
      </c>
    </row>
    <row r="3487" spans="2:18" x14ac:dyDescent="0.35">
      <c r="B3487" s="113">
        <v>46230</v>
      </c>
      <c r="C3487" s="4" t="s">
        <v>2348</v>
      </c>
      <c r="D3487" s="4" t="s">
        <v>4568</v>
      </c>
      <c r="E3487" s="1" t="str">
        <f>_xlfn.XLOOKUP(tblSales[[#This Row],[Customer ID]],tblCustomers[Customer ID],tblCustomers[Customer Name],"⚠ Unknown")</f>
        <v>Walk-in Customer</v>
      </c>
      <c r="F3487" s="4" t="s">
        <v>9</v>
      </c>
      <c r="G3487" s="1" t="str">
        <f>_xlfn.XLOOKUP(tblSales[[#This Row],[Product Code]],tblProducts[Code],tblProducts[Product / Service Name],"⚠ Unknown")</f>
        <v>Casual Shirt</v>
      </c>
      <c r="H3487" s="1" t="str">
        <f>_xlfn.XLOOKUP(tblSales[[#This Row],[Product Code]],tblProducts[Code],tblProducts[Category],"")</f>
        <v>Apparel &amp; Footwear</v>
      </c>
      <c r="I3487" s="4">
        <v>12</v>
      </c>
      <c r="J3487" s="5">
        <f>_xlfn.XLOOKUP(tblSales[[#This Row],[Product Code]],tblProducts[Code],tblProducts[Selling Price (excl. VAT)],0)</f>
        <v>120000</v>
      </c>
      <c r="K3487" s="5">
        <f>tblSales[[#This Row],[Qty]]*tblSales[[#This Row],[Unit Price]]</f>
        <v>1440000</v>
      </c>
      <c r="L3487" s="5">
        <f>ROUND(tblSales[[#This Row],[DPP (excl. VAT)]]*VATEff,0)</f>
        <v>158400</v>
      </c>
      <c r="M3487" s="5">
        <f>tblSales[[#This Row],[DPP (excl. VAT)]]+tblSales[[#This Row],[Output VAT]]</f>
        <v>1598400</v>
      </c>
      <c r="N3487" s="5">
        <f>tblSales[[#This Row],[Qty]]*_xlfn.XLOOKUP(tblSales[[#This Row],[Product Code]],tblProducts[Code],tblProducts[Unit Cost],0)</f>
        <v>864000</v>
      </c>
      <c r="O3487" s="4" t="s">
        <v>4866</v>
      </c>
      <c r="P3487" s="4" t="s">
        <v>4860</v>
      </c>
      <c r="Q3487" s="1" t="str">
        <f>_xlfn.XLOOKUP(tblSales[[#This Row],[Channel Code]],tblChannels[Channel Code],tblChannels[Channel Name],"")</f>
        <v>In-store</v>
      </c>
      <c r="R3487" s="1">
        <f>MONTH(tblSales[[#This Row],[Date]])</f>
        <v>7</v>
      </c>
    </row>
    <row r="3488" spans="2:18" x14ac:dyDescent="0.35">
      <c r="B3488" s="113">
        <v>46230</v>
      </c>
      <c r="C3488" s="4" t="s">
        <v>2349</v>
      </c>
      <c r="D3488" s="4" t="s">
        <v>4568</v>
      </c>
      <c r="E3488" s="1" t="str">
        <f>_xlfn.XLOOKUP(tblSales[[#This Row],[Customer ID]],tblCustomers[Customer ID],tblCustomers[Customer Name],"⚠ Unknown")</f>
        <v>Walk-in Customer</v>
      </c>
      <c r="F3488" s="4" t="s">
        <v>6</v>
      </c>
      <c r="G3488" s="1" t="str">
        <f>_xlfn.XLOOKUP(tblSales[[#This Row],[Product Code]],tblProducts[Code],tblProducts[Product / Service Name],"⚠ Unknown")</f>
        <v>Socks &amp; Accessories</v>
      </c>
      <c r="H3488" s="1" t="str">
        <f>_xlfn.XLOOKUP(tblSales[[#This Row],[Product Code]],tblProducts[Code],tblProducts[Category],"")</f>
        <v>Accessories &amp; Basics</v>
      </c>
      <c r="I3488" s="4">
        <v>10</v>
      </c>
      <c r="J3488" s="5">
        <f>_xlfn.XLOOKUP(tblSales[[#This Row],[Product Code]],tblProducts[Code],tblProducts[Selling Price (excl. VAT)],0)</f>
        <v>45000</v>
      </c>
      <c r="K3488" s="5">
        <f>tblSales[[#This Row],[Qty]]*tblSales[[#This Row],[Unit Price]]</f>
        <v>450000</v>
      </c>
      <c r="L3488" s="5">
        <f>ROUND(tblSales[[#This Row],[DPP (excl. VAT)]]*VATEff,0)</f>
        <v>49500</v>
      </c>
      <c r="M3488" s="5">
        <f>tblSales[[#This Row],[DPP (excl. VAT)]]+tblSales[[#This Row],[Output VAT]]</f>
        <v>499500</v>
      </c>
      <c r="N3488" s="5">
        <f>tblSales[[#This Row],[Qty]]*_xlfn.XLOOKUP(tblSales[[#This Row],[Product Code]],tblProducts[Code],tblProducts[Unit Cost],0)</f>
        <v>240000</v>
      </c>
      <c r="O3488" s="4" t="s">
        <v>4866</v>
      </c>
      <c r="P3488" s="4" t="s">
        <v>4861</v>
      </c>
      <c r="Q3488" s="1" t="str">
        <f>_xlfn.XLOOKUP(tblSales[[#This Row],[Channel Code]],tblChannels[Channel Code],tblChannels[Channel Name],"")</f>
        <v>Marketplace</v>
      </c>
      <c r="R3488" s="1">
        <f>MONTH(tblSales[[#This Row],[Date]])</f>
        <v>7</v>
      </c>
    </row>
    <row r="3489" spans="2:18" x14ac:dyDescent="0.35">
      <c r="B3489" s="113">
        <v>46230</v>
      </c>
      <c r="C3489" s="4" t="s">
        <v>2349</v>
      </c>
      <c r="D3489" s="4" t="s">
        <v>4568</v>
      </c>
      <c r="E3489" s="1" t="str">
        <f>_xlfn.XLOOKUP(tblSales[[#This Row],[Customer ID]],tblCustomers[Customer ID],tblCustomers[Customer Name],"⚠ Unknown")</f>
        <v>Walk-in Customer</v>
      </c>
      <c r="F3489" s="4" t="s">
        <v>12</v>
      </c>
      <c r="G3489" s="1" t="str">
        <f>_xlfn.XLOOKUP(tblSales[[#This Row],[Product Code]],tblProducts[Code],tblProducts[Product / Service Name],"⚠ Unknown")</f>
        <v>Bomber Jacket</v>
      </c>
      <c r="H3489" s="1" t="str">
        <f>_xlfn.XLOOKUP(tblSales[[#This Row],[Product Code]],tblProducts[Code],tblProducts[Category],"")</f>
        <v>Apparel &amp; Footwear</v>
      </c>
      <c r="I3489" s="4">
        <v>4</v>
      </c>
      <c r="J3489" s="5">
        <f>_xlfn.XLOOKUP(tblSales[[#This Row],[Product Code]],tblProducts[Code],tblProducts[Selling Price (excl. VAT)],0)</f>
        <v>350000</v>
      </c>
      <c r="K3489" s="5">
        <f>tblSales[[#This Row],[Qty]]*tblSales[[#This Row],[Unit Price]]</f>
        <v>1400000</v>
      </c>
      <c r="L3489" s="5">
        <f>ROUND(tblSales[[#This Row],[DPP (excl. VAT)]]*VATEff,0)</f>
        <v>154000</v>
      </c>
      <c r="M3489" s="5">
        <f>tblSales[[#This Row],[DPP (excl. VAT)]]+tblSales[[#This Row],[Output VAT]]</f>
        <v>1554000</v>
      </c>
      <c r="N3489" s="5">
        <f>tblSales[[#This Row],[Qty]]*_xlfn.XLOOKUP(tblSales[[#This Row],[Product Code]],tblProducts[Code],tblProducts[Unit Cost],0)</f>
        <v>840000</v>
      </c>
      <c r="O3489" s="4" t="s">
        <v>4866</v>
      </c>
      <c r="P3489" s="4" t="s">
        <v>4861</v>
      </c>
      <c r="Q3489" s="1" t="str">
        <f>_xlfn.XLOOKUP(tblSales[[#This Row],[Channel Code]],tblChannels[Channel Code],tblChannels[Channel Name],"")</f>
        <v>Marketplace</v>
      </c>
      <c r="R3489" s="1">
        <f>MONTH(tblSales[[#This Row],[Date]])</f>
        <v>7</v>
      </c>
    </row>
    <row r="3490" spans="2:18" x14ac:dyDescent="0.35">
      <c r="B3490" s="113">
        <v>46230</v>
      </c>
      <c r="C3490" s="4" t="s">
        <v>2350</v>
      </c>
      <c r="D3490" s="4" t="s">
        <v>4568</v>
      </c>
      <c r="E3490" s="1" t="str">
        <f>_xlfn.XLOOKUP(tblSales[[#This Row],[Customer ID]],tblCustomers[Customer ID],tblCustomers[Customer Name],"⚠ Unknown")</f>
        <v>Walk-in Customer</v>
      </c>
      <c r="F3490" s="4" t="s">
        <v>7</v>
      </c>
      <c r="G3490" s="1" t="str">
        <f>_xlfn.XLOOKUP(tblSales[[#This Row],[Product Code]],tblProducts[Code],tblProducts[Product / Service Name],"⚠ Unknown")</f>
        <v>Premium Basic T-shirt</v>
      </c>
      <c r="H3490" s="1" t="str">
        <f>_xlfn.XLOOKUP(tblSales[[#This Row],[Product Code]],tblProducts[Code],tblProducts[Category],"")</f>
        <v>Accessories &amp; Basics</v>
      </c>
      <c r="I3490" s="4">
        <v>9</v>
      </c>
      <c r="J3490" s="5">
        <f>_xlfn.XLOOKUP(tblSales[[#This Row],[Product Code]],tblProducts[Code],tblProducts[Selling Price (excl. VAT)],0)</f>
        <v>65000</v>
      </c>
      <c r="K3490" s="5">
        <f>tblSales[[#This Row],[Qty]]*tblSales[[#This Row],[Unit Price]]</f>
        <v>585000</v>
      </c>
      <c r="L3490" s="5">
        <f>ROUND(tblSales[[#This Row],[DPP (excl. VAT)]]*VATEff,0)</f>
        <v>64350</v>
      </c>
      <c r="M3490" s="5">
        <f>tblSales[[#This Row],[DPP (excl. VAT)]]+tblSales[[#This Row],[Output VAT]]</f>
        <v>649350</v>
      </c>
      <c r="N3490" s="5">
        <f>tblSales[[#This Row],[Qty]]*_xlfn.XLOOKUP(tblSales[[#This Row],[Product Code]],tblProducts[Code],tblProducts[Unit Cost],0)</f>
        <v>333000</v>
      </c>
      <c r="O3490" s="4" t="s">
        <v>4865</v>
      </c>
      <c r="P3490" s="4" t="s">
        <v>4860</v>
      </c>
      <c r="Q3490" s="1" t="str">
        <f>_xlfn.XLOOKUP(tblSales[[#This Row],[Channel Code]],tblChannels[Channel Code],tblChannels[Channel Name],"")</f>
        <v>In-store</v>
      </c>
      <c r="R3490" s="1">
        <f>MONTH(tblSales[[#This Row],[Date]])</f>
        <v>7</v>
      </c>
    </row>
    <row r="3491" spans="2:18" x14ac:dyDescent="0.35">
      <c r="B3491" s="113">
        <v>46230</v>
      </c>
      <c r="C3491" s="4" t="s">
        <v>2351</v>
      </c>
      <c r="D3491" s="4" t="s">
        <v>4568</v>
      </c>
      <c r="E3491" s="1" t="str">
        <f>_xlfn.XLOOKUP(tblSales[[#This Row],[Customer ID]],tblCustomers[Customer ID],tblCustomers[Customer Name],"⚠ Unknown")</f>
        <v>Walk-in Customer</v>
      </c>
      <c r="F3491" s="4" t="s">
        <v>11</v>
      </c>
      <c r="G3491" s="1" t="str">
        <f>_xlfn.XLOOKUP(tblSales[[#This Row],[Product Code]],tblProducts[Code],tblProducts[Product / Service Name],"⚠ Unknown")</f>
        <v>Sneakers</v>
      </c>
      <c r="H3491" s="1" t="str">
        <f>_xlfn.XLOOKUP(tblSales[[#This Row],[Product Code]],tblProducts[Code],tblProducts[Category],"")</f>
        <v>Apparel &amp; Footwear</v>
      </c>
      <c r="I3491" s="4">
        <v>4</v>
      </c>
      <c r="J3491" s="5">
        <f>_xlfn.XLOOKUP(tblSales[[#This Row],[Product Code]],tblProducts[Code],tblProducts[Selling Price (excl. VAT)],0)</f>
        <v>250000</v>
      </c>
      <c r="K3491" s="5">
        <f>tblSales[[#This Row],[Qty]]*tblSales[[#This Row],[Unit Price]]</f>
        <v>1000000</v>
      </c>
      <c r="L3491" s="5">
        <f>ROUND(tblSales[[#This Row],[DPP (excl. VAT)]]*VATEff,0)</f>
        <v>110000</v>
      </c>
      <c r="M3491" s="5">
        <f>tblSales[[#This Row],[DPP (excl. VAT)]]+tblSales[[#This Row],[Output VAT]]</f>
        <v>1110000</v>
      </c>
      <c r="N3491" s="5">
        <f>tblSales[[#This Row],[Qty]]*_xlfn.XLOOKUP(tblSales[[#This Row],[Product Code]],tblProducts[Code],tblProducts[Unit Cost],0)</f>
        <v>620000</v>
      </c>
      <c r="O3491" s="4" t="s">
        <v>4866</v>
      </c>
      <c r="P3491" s="4" t="s">
        <v>4860</v>
      </c>
      <c r="Q3491" s="1" t="str">
        <f>_xlfn.XLOOKUP(tblSales[[#This Row],[Channel Code]],tblChannels[Channel Code],tblChannels[Channel Name],"")</f>
        <v>In-store</v>
      </c>
      <c r="R3491" s="1">
        <f>MONTH(tblSales[[#This Row],[Date]])</f>
        <v>7</v>
      </c>
    </row>
    <row r="3492" spans="2:18" x14ac:dyDescent="0.35">
      <c r="B3492" s="113">
        <v>46230</v>
      </c>
      <c r="C3492" s="4" t="s">
        <v>2352</v>
      </c>
      <c r="D3492" s="4" t="s">
        <v>4568</v>
      </c>
      <c r="E3492" s="1" t="str">
        <f>_xlfn.XLOOKUP(tblSales[[#This Row],[Customer ID]],tblCustomers[Customer ID],tblCustomers[Customer Name],"⚠ Unknown")</f>
        <v>Walk-in Customer</v>
      </c>
      <c r="F3492" s="4" t="s">
        <v>13</v>
      </c>
      <c r="G3492" s="1" t="str">
        <f>_xlfn.XLOOKUP(tblSales[[#This Row],[Product Code]],tblProducts[Code],tblProducts[Product / Service Name],"⚠ Unknown")</f>
        <v>Backpack</v>
      </c>
      <c r="H3492" s="1" t="str">
        <f>_xlfn.XLOOKUP(tblSales[[#This Row],[Product Code]],tblProducts[Code],tblProducts[Category],"")</f>
        <v>Bags &amp; Gadgets</v>
      </c>
      <c r="I3492" s="4">
        <v>2</v>
      </c>
      <c r="J3492" s="5">
        <f>_xlfn.XLOOKUP(tblSales[[#This Row],[Product Code]],tblProducts[Code],tblProducts[Selling Price (excl. VAT)],0)</f>
        <v>500000</v>
      </c>
      <c r="K3492" s="5">
        <f>tblSales[[#This Row],[Qty]]*tblSales[[#This Row],[Unit Price]]</f>
        <v>1000000</v>
      </c>
      <c r="L3492" s="5">
        <f>ROUND(tblSales[[#This Row],[DPP (excl. VAT)]]*VATEff,0)</f>
        <v>110000</v>
      </c>
      <c r="M3492" s="5">
        <f>tblSales[[#This Row],[DPP (excl. VAT)]]+tblSales[[#This Row],[Output VAT]]</f>
        <v>1110000</v>
      </c>
      <c r="N3492" s="5">
        <f>tblSales[[#This Row],[Qty]]*_xlfn.XLOOKUP(tblSales[[#This Row],[Product Code]],tblProducts[Code],tblProducts[Unit Cost],0)</f>
        <v>580000</v>
      </c>
      <c r="O3492" s="4" t="s">
        <v>4865</v>
      </c>
      <c r="P3492" s="4" t="s">
        <v>4860</v>
      </c>
      <c r="Q3492" s="1" t="str">
        <f>_xlfn.XLOOKUP(tblSales[[#This Row],[Channel Code]],tblChannels[Channel Code],tblChannels[Channel Name],"")</f>
        <v>In-store</v>
      </c>
      <c r="R3492" s="1">
        <f>MONTH(tblSales[[#This Row],[Date]])</f>
        <v>7</v>
      </c>
    </row>
    <row r="3493" spans="2:18" x14ac:dyDescent="0.35">
      <c r="B3493" s="113">
        <v>46230</v>
      </c>
      <c r="C3493" s="4" t="s">
        <v>2353</v>
      </c>
      <c r="D3493" s="4" t="s">
        <v>4568</v>
      </c>
      <c r="E3493" s="1" t="str">
        <f>_xlfn.XLOOKUP(tblSales[[#This Row],[Customer ID]],tblCustomers[Customer ID],tblCustomers[Customer Name],"⚠ Unknown")</f>
        <v>Walk-in Customer</v>
      </c>
      <c r="F3493" s="4" t="s">
        <v>12</v>
      </c>
      <c r="G3493" s="1" t="str">
        <f>_xlfn.XLOOKUP(tblSales[[#This Row],[Product Code]],tblProducts[Code],tblProducts[Product / Service Name],"⚠ Unknown")</f>
        <v>Bomber Jacket</v>
      </c>
      <c r="H3493" s="1" t="str">
        <f>_xlfn.XLOOKUP(tblSales[[#This Row],[Product Code]],tblProducts[Code],tblProducts[Category],"")</f>
        <v>Apparel &amp; Footwear</v>
      </c>
      <c r="I3493" s="4">
        <v>5</v>
      </c>
      <c r="J3493" s="5">
        <f>_xlfn.XLOOKUP(tblSales[[#This Row],[Product Code]],tblProducts[Code],tblProducts[Selling Price (excl. VAT)],0)</f>
        <v>350000</v>
      </c>
      <c r="K3493" s="5">
        <f>tblSales[[#This Row],[Qty]]*tblSales[[#This Row],[Unit Price]]</f>
        <v>1750000</v>
      </c>
      <c r="L3493" s="5">
        <f>ROUND(tblSales[[#This Row],[DPP (excl. VAT)]]*VATEff,0)</f>
        <v>192500</v>
      </c>
      <c r="M3493" s="5">
        <f>tblSales[[#This Row],[DPP (excl. VAT)]]+tblSales[[#This Row],[Output VAT]]</f>
        <v>1942500</v>
      </c>
      <c r="N3493" s="5">
        <f>tblSales[[#This Row],[Qty]]*_xlfn.XLOOKUP(tblSales[[#This Row],[Product Code]],tblProducts[Code],tblProducts[Unit Cost],0)</f>
        <v>1050000</v>
      </c>
      <c r="O3493" s="4" t="s">
        <v>4866</v>
      </c>
      <c r="P3493" s="4" t="s">
        <v>4860</v>
      </c>
      <c r="Q3493" s="1" t="str">
        <f>_xlfn.XLOOKUP(tblSales[[#This Row],[Channel Code]],tblChannels[Channel Code],tblChannels[Channel Name],"")</f>
        <v>In-store</v>
      </c>
      <c r="R3493" s="1">
        <f>MONTH(tblSales[[#This Row],[Date]])</f>
        <v>7</v>
      </c>
    </row>
    <row r="3494" spans="2:18" x14ac:dyDescent="0.35">
      <c r="B3494" s="113">
        <v>46230</v>
      </c>
      <c r="C3494" s="4" t="s">
        <v>2354</v>
      </c>
      <c r="D3494" s="4" t="s">
        <v>4568</v>
      </c>
      <c r="E3494" s="1" t="str">
        <f>_xlfn.XLOOKUP(tblSales[[#This Row],[Customer ID]],tblCustomers[Customer ID],tblCustomers[Customer Name],"⚠ Unknown")</f>
        <v>Walk-in Customer</v>
      </c>
      <c r="F3494" s="4" t="s">
        <v>8</v>
      </c>
      <c r="G3494" s="1" t="str">
        <f>_xlfn.XLOOKUP(tblSales[[#This Row],[Product Code]],tblProducts[Code],tblProducts[Product / Service Name],"⚠ Unknown")</f>
        <v>Casual Shorts</v>
      </c>
      <c r="H3494" s="1" t="str">
        <f>_xlfn.XLOOKUP(tblSales[[#This Row],[Product Code]],tblProducts[Code],tblProducts[Category],"")</f>
        <v>Accessories &amp; Basics</v>
      </c>
      <c r="I3494" s="4">
        <v>8</v>
      </c>
      <c r="J3494" s="5">
        <f>_xlfn.XLOOKUP(tblSales[[#This Row],[Product Code]],tblProducts[Code],tblProducts[Selling Price (excl. VAT)],0)</f>
        <v>85000</v>
      </c>
      <c r="K3494" s="5">
        <f>tblSales[[#This Row],[Qty]]*tblSales[[#This Row],[Unit Price]]</f>
        <v>680000</v>
      </c>
      <c r="L3494" s="5">
        <f>ROUND(tblSales[[#This Row],[DPP (excl. VAT)]]*VATEff,0)</f>
        <v>74800</v>
      </c>
      <c r="M3494" s="5">
        <f>tblSales[[#This Row],[DPP (excl. VAT)]]+tblSales[[#This Row],[Output VAT]]</f>
        <v>754800</v>
      </c>
      <c r="N3494" s="5">
        <f>tblSales[[#This Row],[Qty]]*_xlfn.XLOOKUP(tblSales[[#This Row],[Product Code]],tblProducts[Code],tblProducts[Unit Cost],0)</f>
        <v>400000</v>
      </c>
      <c r="O3494" s="4" t="s">
        <v>4865</v>
      </c>
      <c r="P3494" s="4" t="s">
        <v>4860</v>
      </c>
      <c r="Q3494" s="1" t="str">
        <f>_xlfn.XLOOKUP(tblSales[[#This Row],[Channel Code]],tblChannels[Channel Code],tblChannels[Channel Name],"")</f>
        <v>In-store</v>
      </c>
      <c r="R3494" s="1">
        <f>MONTH(tblSales[[#This Row],[Date]])</f>
        <v>7</v>
      </c>
    </row>
    <row r="3495" spans="2:18" x14ac:dyDescent="0.35">
      <c r="B3495" s="113">
        <v>46230</v>
      </c>
      <c r="C3495" s="4" t="s">
        <v>2354</v>
      </c>
      <c r="D3495" s="4" t="s">
        <v>4568</v>
      </c>
      <c r="E3495" s="1" t="str">
        <f>_xlfn.XLOOKUP(tblSales[[#This Row],[Customer ID]],tblCustomers[Customer ID],tblCustomers[Customer Name],"⚠ Unknown")</f>
        <v>Walk-in Customer</v>
      </c>
      <c r="F3495" s="4" t="s">
        <v>7</v>
      </c>
      <c r="G3495" s="1" t="str">
        <f>_xlfn.XLOOKUP(tblSales[[#This Row],[Product Code]],tblProducts[Code],tblProducts[Product / Service Name],"⚠ Unknown")</f>
        <v>Premium Basic T-shirt</v>
      </c>
      <c r="H3495" s="1" t="str">
        <f>_xlfn.XLOOKUP(tblSales[[#This Row],[Product Code]],tblProducts[Code],tblProducts[Category],"")</f>
        <v>Accessories &amp; Basics</v>
      </c>
      <c r="I3495" s="4">
        <v>6</v>
      </c>
      <c r="J3495" s="5">
        <f>_xlfn.XLOOKUP(tblSales[[#This Row],[Product Code]],tblProducts[Code],tblProducts[Selling Price (excl. VAT)],0)</f>
        <v>65000</v>
      </c>
      <c r="K3495" s="5">
        <f>tblSales[[#This Row],[Qty]]*tblSales[[#This Row],[Unit Price]]</f>
        <v>390000</v>
      </c>
      <c r="L3495" s="5">
        <f>ROUND(tblSales[[#This Row],[DPP (excl. VAT)]]*VATEff,0)</f>
        <v>42900</v>
      </c>
      <c r="M3495" s="5">
        <f>tblSales[[#This Row],[DPP (excl. VAT)]]+tblSales[[#This Row],[Output VAT]]</f>
        <v>432900</v>
      </c>
      <c r="N3495" s="5">
        <f>tblSales[[#This Row],[Qty]]*_xlfn.XLOOKUP(tblSales[[#This Row],[Product Code]],tblProducts[Code],tblProducts[Unit Cost],0)</f>
        <v>222000</v>
      </c>
      <c r="O3495" s="4" t="s">
        <v>4865</v>
      </c>
      <c r="P3495" s="4" t="s">
        <v>4860</v>
      </c>
      <c r="Q3495" s="1" t="str">
        <f>_xlfn.XLOOKUP(tblSales[[#This Row],[Channel Code]],tblChannels[Channel Code],tblChannels[Channel Name],"")</f>
        <v>In-store</v>
      </c>
      <c r="R3495" s="1">
        <f>MONTH(tblSales[[#This Row],[Date]])</f>
        <v>7</v>
      </c>
    </row>
    <row r="3496" spans="2:18" x14ac:dyDescent="0.35">
      <c r="B3496" s="113">
        <v>46230</v>
      </c>
      <c r="C3496" s="4" t="s">
        <v>2355</v>
      </c>
      <c r="D3496" s="4" t="s">
        <v>4568</v>
      </c>
      <c r="E3496" s="1" t="str">
        <f>_xlfn.XLOOKUP(tblSales[[#This Row],[Customer ID]],tblCustomers[Customer ID],tblCustomers[Customer Name],"⚠ Unknown")</f>
        <v>Walk-in Customer</v>
      </c>
      <c r="F3496" s="4" t="s">
        <v>6</v>
      </c>
      <c r="G3496" s="1" t="str">
        <f>_xlfn.XLOOKUP(tblSales[[#This Row],[Product Code]],tblProducts[Code],tblProducts[Product / Service Name],"⚠ Unknown")</f>
        <v>Socks &amp; Accessories</v>
      </c>
      <c r="H3496" s="1" t="str">
        <f>_xlfn.XLOOKUP(tblSales[[#This Row],[Product Code]],tblProducts[Code],tblProducts[Category],"")</f>
        <v>Accessories &amp; Basics</v>
      </c>
      <c r="I3496" s="4">
        <v>8</v>
      </c>
      <c r="J3496" s="5">
        <f>_xlfn.XLOOKUP(tblSales[[#This Row],[Product Code]],tblProducts[Code],tblProducts[Selling Price (excl. VAT)],0)</f>
        <v>45000</v>
      </c>
      <c r="K3496" s="5">
        <f>tblSales[[#This Row],[Qty]]*tblSales[[#This Row],[Unit Price]]</f>
        <v>360000</v>
      </c>
      <c r="L3496" s="5">
        <f>ROUND(tblSales[[#This Row],[DPP (excl. VAT)]]*VATEff,0)</f>
        <v>39600</v>
      </c>
      <c r="M3496" s="5">
        <f>tblSales[[#This Row],[DPP (excl. VAT)]]+tblSales[[#This Row],[Output VAT]]</f>
        <v>399600</v>
      </c>
      <c r="N3496" s="5">
        <f>tblSales[[#This Row],[Qty]]*_xlfn.XLOOKUP(tblSales[[#This Row],[Product Code]],tblProducts[Code],tblProducts[Unit Cost],0)</f>
        <v>192000</v>
      </c>
      <c r="O3496" s="4" t="s">
        <v>4866</v>
      </c>
      <c r="P3496" s="4" t="s">
        <v>4861</v>
      </c>
      <c r="Q3496" s="1" t="str">
        <f>_xlfn.XLOOKUP(tblSales[[#This Row],[Channel Code]],tblChannels[Channel Code],tblChannels[Channel Name],"")</f>
        <v>Marketplace</v>
      </c>
      <c r="R3496" s="1">
        <f>MONTH(tblSales[[#This Row],[Date]])</f>
        <v>7</v>
      </c>
    </row>
    <row r="3497" spans="2:18" x14ac:dyDescent="0.35">
      <c r="B3497" s="113">
        <v>46230</v>
      </c>
      <c r="C3497" s="4" t="s">
        <v>2356</v>
      </c>
      <c r="D3497" s="4" t="s">
        <v>4641</v>
      </c>
      <c r="E3497" s="1" t="str">
        <f>_xlfn.XLOOKUP(tblSales[[#This Row],[Customer ID]],tblCustomers[Customer ID],tblCustomers[Customer Name],"⚠ Unknown")</f>
        <v>PT Harmoni Pangan Lestari</v>
      </c>
      <c r="F3497" s="4" t="s">
        <v>6</v>
      </c>
      <c r="G3497" s="1" t="str">
        <f>_xlfn.XLOOKUP(tblSales[[#This Row],[Product Code]],tblProducts[Code],tblProducts[Product / Service Name],"⚠ Unknown")</f>
        <v>Socks &amp; Accessories</v>
      </c>
      <c r="H3497" s="1" t="str">
        <f>_xlfn.XLOOKUP(tblSales[[#This Row],[Product Code]],tblProducts[Code],tblProducts[Category],"")</f>
        <v>Accessories &amp; Basics</v>
      </c>
      <c r="I3497" s="4">
        <v>80</v>
      </c>
      <c r="J3497" s="5">
        <f>_xlfn.XLOOKUP(tblSales[[#This Row],[Product Code]],tblProducts[Code],tblProducts[Selling Price (excl. VAT)],0)</f>
        <v>45000</v>
      </c>
      <c r="K3497" s="5">
        <f>tblSales[[#This Row],[Qty]]*tblSales[[#This Row],[Unit Price]]</f>
        <v>3600000</v>
      </c>
      <c r="L3497" s="5">
        <f>ROUND(tblSales[[#This Row],[DPP (excl. VAT)]]*VATEff,0)</f>
        <v>396000</v>
      </c>
      <c r="M3497" s="5">
        <f>tblSales[[#This Row],[DPP (excl. VAT)]]+tblSales[[#This Row],[Output VAT]]</f>
        <v>3996000</v>
      </c>
      <c r="N3497" s="5">
        <f>tblSales[[#This Row],[Qty]]*_xlfn.XLOOKUP(tblSales[[#This Row],[Product Code]],tblProducts[Code],tblProducts[Unit Cost],0)</f>
        <v>1920000</v>
      </c>
      <c r="O3497" s="4" t="s">
        <v>4867</v>
      </c>
      <c r="P3497" s="4" t="s">
        <v>4860</v>
      </c>
      <c r="Q3497" s="1" t="str">
        <f>_xlfn.XLOOKUP(tblSales[[#This Row],[Channel Code]],tblChannels[Channel Code],tblChannels[Channel Name],"")</f>
        <v>In-store</v>
      </c>
      <c r="R3497" s="1">
        <f>MONTH(tblSales[[#This Row],[Date]])</f>
        <v>7</v>
      </c>
    </row>
    <row r="3498" spans="2:18" x14ac:dyDescent="0.35">
      <c r="B3498" s="113">
        <v>46230</v>
      </c>
      <c r="C3498" s="4" t="s">
        <v>2356</v>
      </c>
      <c r="D3498" s="4" t="s">
        <v>4641</v>
      </c>
      <c r="E3498" s="1" t="str">
        <f>_xlfn.XLOOKUP(tblSales[[#This Row],[Customer ID]],tblCustomers[Customer ID],tblCustomers[Customer Name],"⚠ Unknown")</f>
        <v>PT Harmoni Pangan Lestari</v>
      </c>
      <c r="F3498" s="4" t="s">
        <v>10</v>
      </c>
      <c r="G3498" s="1" t="str">
        <f>_xlfn.XLOOKUP(tblSales[[#This Row],[Product Code]],tblProducts[Code],tblProducts[Product / Service Name],"⚠ Unknown")</f>
        <v>Chino Pants</v>
      </c>
      <c r="H3498" s="1" t="str">
        <f>_xlfn.XLOOKUP(tblSales[[#This Row],[Product Code]],tblProducts[Code],tblProducts[Category],"")</f>
        <v>Apparel &amp; Footwear</v>
      </c>
      <c r="I3498" s="4">
        <v>96</v>
      </c>
      <c r="J3498" s="5">
        <f>_xlfn.XLOOKUP(tblSales[[#This Row],[Product Code]],tblProducts[Code],tblProducts[Selling Price (excl. VAT)],0)</f>
        <v>150000</v>
      </c>
      <c r="K3498" s="5">
        <f>tblSales[[#This Row],[Qty]]*tblSales[[#This Row],[Unit Price]]</f>
        <v>14400000</v>
      </c>
      <c r="L3498" s="5">
        <f>ROUND(tblSales[[#This Row],[DPP (excl. VAT)]]*VATEff,0)</f>
        <v>1584000</v>
      </c>
      <c r="M3498" s="5">
        <f>tblSales[[#This Row],[DPP (excl. VAT)]]+tblSales[[#This Row],[Output VAT]]</f>
        <v>15984000</v>
      </c>
      <c r="N3498" s="5">
        <f>tblSales[[#This Row],[Qty]]*_xlfn.XLOOKUP(tblSales[[#This Row],[Product Code]],tblProducts[Code],tblProducts[Unit Cost],0)</f>
        <v>8448000</v>
      </c>
      <c r="O3498" s="4" t="s">
        <v>4867</v>
      </c>
      <c r="P3498" s="4" t="s">
        <v>4860</v>
      </c>
      <c r="Q3498" s="1" t="str">
        <f>_xlfn.XLOOKUP(tblSales[[#This Row],[Channel Code]],tblChannels[Channel Code],tblChannels[Channel Name],"")</f>
        <v>In-store</v>
      </c>
      <c r="R3498" s="1">
        <f>MONTH(tblSales[[#This Row],[Date]])</f>
        <v>7</v>
      </c>
    </row>
    <row r="3499" spans="2:18" x14ac:dyDescent="0.35">
      <c r="B3499" s="113">
        <v>46230</v>
      </c>
      <c r="C3499" s="4" t="s">
        <v>2356</v>
      </c>
      <c r="D3499" s="4" t="s">
        <v>4641</v>
      </c>
      <c r="E3499" s="1" t="str">
        <f>_xlfn.XLOOKUP(tblSales[[#This Row],[Customer ID]],tblCustomers[Customer ID],tblCustomers[Customer Name],"⚠ Unknown")</f>
        <v>PT Harmoni Pangan Lestari</v>
      </c>
      <c r="F3499" s="4" t="s">
        <v>7</v>
      </c>
      <c r="G3499" s="1" t="str">
        <f>_xlfn.XLOOKUP(tblSales[[#This Row],[Product Code]],tblProducts[Code],tblProducts[Product / Service Name],"⚠ Unknown")</f>
        <v>Premium Basic T-shirt</v>
      </c>
      <c r="H3499" s="1" t="str">
        <f>_xlfn.XLOOKUP(tblSales[[#This Row],[Product Code]],tblProducts[Code],tblProducts[Category],"")</f>
        <v>Accessories &amp; Basics</v>
      </c>
      <c r="I3499" s="4">
        <v>96</v>
      </c>
      <c r="J3499" s="5">
        <f>_xlfn.XLOOKUP(tblSales[[#This Row],[Product Code]],tblProducts[Code],tblProducts[Selling Price (excl. VAT)],0)</f>
        <v>65000</v>
      </c>
      <c r="K3499" s="5">
        <f>tblSales[[#This Row],[Qty]]*tblSales[[#This Row],[Unit Price]]</f>
        <v>6240000</v>
      </c>
      <c r="L3499" s="5">
        <f>ROUND(tblSales[[#This Row],[DPP (excl. VAT)]]*VATEff,0)</f>
        <v>686400</v>
      </c>
      <c r="M3499" s="5">
        <f>tblSales[[#This Row],[DPP (excl. VAT)]]+tblSales[[#This Row],[Output VAT]]</f>
        <v>6926400</v>
      </c>
      <c r="N3499" s="5">
        <f>tblSales[[#This Row],[Qty]]*_xlfn.XLOOKUP(tblSales[[#This Row],[Product Code]],tblProducts[Code],tblProducts[Unit Cost],0)</f>
        <v>3552000</v>
      </c>
      <c r="O3499" s="4" t="s">
        <v>4867</v>
      </c>
      <c r="P3499" s="4" t="s">
        <v>4860</v>
      </c>
      <c r="Q3499" s="1" t="str">
        <f>_xlfn.XLOOKUP(tblSales[[#This Row],[Channel Code]],tblChannels[Channel Code],tblChannels[Channel Name],"")</f>
        <v>In-store</v>
      </c>
      <c r="R3499" s="1">
        <f>MONTH(tblSales[[#This Row],[Date]])</f>
        <v>7</v>
      </c>
    </row>
    <row r="3500" spans="2:18" x14ac:dyDescent="0.35">
      <c r="B3500" s="113">
        <v>46230</v>
      </c>
      <c r="C3500" s="4" t="s">
        <v>2357</v>
      </c>
      <c r="D3500" s="4" t="s">
        <v>4585</v>
      </c>
      <c r="E3500" s="1" t="str">
        <f>_xlfn.XLOOKUP(tblSales[[#This Row],[Customer ID]],tblCustomers[Customer ID],tblCustomers[Customer Name],"⚠ Unknown")</f>
        <v>CV Mitra Karya Mandiri</v>
      </c>
      <c r="F3500" s="4" t="s">
        <v>7</v>
      </c>
      <c r="G3500" s="1" t="str">
        <f>_xlfn.XLOOKUP(tblSales[[#This Row],[Product Code]],tblProducts[Code],tblProducts[Product / Service Name],"⚠ Unknown")</f>
        <v>Premium Basic T-shirt</v>
      </c>
      <c r="H3500" s="1" t="str">
        <f>_xlfn.XLOOKUP(tblSales[[#This Row],[Product Code]],tblProducts[Code],tblProducts[Category],"")</f>
        <v>Accessories &amp; Basics</v>
      </c>
      <c r="I3500" s="4">
        <v>24</v>
      </c>
      <c r="J3500" s="5">
        <f>_xlfn.XLOOKUP(tblSales[[#This Row],[Product Code]],tblProducts[Code],tblProducts[Selling Price (excl. VAT)],0)</f>
        <v>65000</v>
      </c>
      <c r="K3500" s="5">
        <f>tblSales[[#This Row],[Qty]]*tblSales[[#This Row],[Unit Price]]</f>
        <v>1560000</v>
      </c>
      <c r="L3500" s="5">
        <f>ROUND(tblSales[[#This Row],[DPP (excl. VAT)]]*VATEff,0)</f>
        <v>171600</v>
      </c>
      <c r="M3500" s="5">
        <f>tblSales[[#This Row],[DPP (excl. VAT)]]+tblSales[[#This Row],[Output VAT]]</f>
        <v>1731600</v>
      </c>
      <c r="N3500" s="5">
        <f>tblSales[[#This Row],[Qty]]*_xlfn.XLOOKUP(tblSales[[#This Row],[Product Code]],tblProducts[Code],tblProducts[Unit Cost],0)</f>
        <v>888000</v>
      </c>
      <c r="O3500" s="4" t="s">
        <v>4867</v>
      </c>
      <c r="P3500" s="4" t="s">
        <v>4860</v>
      </c>
      <c r="Q3500" s="1" t="str">
        <f>_xlfn.XLOOKUP(tblSales[[#This Row],[Channel Code]],tblChannels[Channel Code],tblChannels[Channel Name],"")</f>
        <v>In-store</v>
      </c>
      <c r="R3500" s="1">
        <f>MONTH(tblSales[[#This Row],[Date]])</f>
        <v>7</v>
      </c>
    </row>
    <row r="3501" spans="2:18" x14ac:dyDescent="0.35">
      <c r="B3501" s="113">
        <v>46230</v>
      </c>
      <c r="C3501" s="4" t="s">
        <v>2358</v>
      </c>
      <c r="D3501" s="4" t="s">
        <v>4568</v>
      </c>
      <c r="E3501" s="1" t="str">
        <f>_xlfn.XLOOKUP(tblSales[[#This Row],[Customer ID]],tblCustomers[Customer ID],tblCustomers[Customer Name],"⚠ Unknown")</f>
        <v>Walk-in Customer</v>
      </c>
      <c r="F3501" s="4" t="s">
        <v>7</v>
      </c>
      <c r="G3501" s="1" t="str">
        <f>_xlfn.XLOOKUP(tblSales[[#This Row],[Product Code]],tblProducts[Code],tblProducts[Product / Service Name],"⚠ Unknown")</f>
        <v>Premium Basic T-shirt</v>
      </c>
      <c r="H3501" s="1" t="str">
        <f>_xlfn.XLOOKUP(tblSales[[#This Row],[Product Code]],tblProducts[Code],tblProducts[Category],"")</f>
        <v>Accessories &amp; Basics</v>
      </c>
      <c r="I3501" s="4">
        <v>3</v>
      </c>
      <c r="J3501" s="5">
        <f>_xlfn.XLOOKUP(tblSales[[#This Row],[Product Code]],tblProducts[Code],tblProducts[Selling Price (excl. VAT)],0)</f>
        <v>65000</v>
      </c>
      <c r="K3501" s="5">
        <f>tblSales[[#This Row],[Qty]]*tblSales[[#This Row],[Unit Price]]</f>
        <v>195000</v>
      </c>
      <c r="L3501" s="5">
        <f>ROUND(tblSales[[#This Row],[DPP (excl. VAT)]]*VATEff,0)</f>
        <v>21450</v>
      </c>
      <c r="M3501" s="5">
        <f>tblSales[[#This Row],[DPP (excl. VAT)]]+tblSales[[#This Row],[Output VAT]]</f>
        <v>216450</v>
      </c>
      <c r="N3501" s="5">
        <f>tblSales[[#This Row],[Qty]]*_xlfn.XLOOKUP(tblSales[[#This Row],[Product Code]],tblProducts[Code],tblProducts[Unit Cost],0)</f>
        <v>111000</v>
      </c>
      <c r="O3501" s="4" t="s">
        <v>4866</v>
      </c>
      <c r="P3501" s="4" t="s">
        <v>4860</v>
      </c>
      <c r="Q3501" s="1" t="str">
        <f>_xlfn.XLOOKUP(tblSales[[#This Row],[Channel Code]],tblChannels[Channel Code],tblChannels[Channel Name],"")</f>
        <v>In-store</v>
      </c>
      <c r="R3501" s="1">
        <f>MONTH(tblSales[[#This Row],[Date]])</f>
        <v>7</v>
      </c>
    </row>
    <row r="3502" spans="2:18" x14ac:dyDescent="0.35">
      <c r="B3502" s="113">
        <v>46231</v>
      </c>
      <c r="C3502" s="4" t="s">
        <v>2359</v>
      </c>
      <c r="D3502" s="4" t="s">
        <v>4568</v>
      </c>
      <c r="E3502" s="1" t="str">
        <f>_xlfn.XLOOKUP(tblSales[[#This Row],[Customer ID]],tblCustomers[Customer ID],tblCustomers[Customer Name],"⚠ Unknown")</f>
        <v>Walk-in Customer</v>
      </c>
      <c r="F3502" s="4" t="s">
        <v>7</v>
      </c>
      <c r="G3502" s="1" t="str">
        <f>_xlfn.XLOOKUP(tblSales[[#This Row],[Product Code]],tblProducts[Code],tblProducts[Product / Service Name],"⚠ Unknown")</f>
        <v>Premium Basic T-shirt</v>
      </c>
      <c r="H3502" s="1" t="str">
        <f>_xlfn.XLOOKUP(tblSales[[#This Row],[Product Code]],tblProducts[Code],tblProducts[Category],"")</f>
        <v>Accessories &amp; Basics</v>
      </c>
      <c r="I3502" s="4">
        <v>1</v>
      </c>
      <c r="J3502" s="5">
        <f>_xlfn.XLOOKUP(tblSales[[#This Row],[Product Code]],tblProducts[Code],tblProducts[Selling Price (excl. VAT)],0)</f>
        <v>65000</v>
      </c>
      <c r="K3502" s="5">
        <f>tblSales[[#This Row],[Qty]]*tblSales[[#This Row],[Unit Price]]</f>
        <v>65000</v>
      </c>
      <c r="L3502" s="5">
        <f>ROUND(tblSales[[#This Row],[DPP (excl. VAT)]]*VATEff,0)</f>
        <v>7150</v>
      </c>
      <c r="M3502" s="5">
        <f>tblSales[[#This Row],[DPP (excl. VAT)]]+tblSales[[#This Row],[Output VAT]]</f>
        <v>72150</v>
      </c>
      <c r="N3502" s="5">
        <f>tblSales[[#This Row],[Qty]]*_xlfn.XLOOKUP(tblSales[[#This Row],[Product Code]],tblProducts[Code],tblProducts[Unit Cost],0)</f>
        <v>37000</v>
      </c>
      <c r="O3502" s="4" t="s">
        <v>4866</v>
      </c>
      <c r="P3502" s="4" t="s">
        <v>4861</v>
      </c>
      <c r="Q3502" s="1" t="str">
        <f>_xlfn.XLOOKUP(tblSales[[#This Row],[Channel Code]],tblChannels[Channel Code],tblChannels[Channel Name],"")</f>
        <v>Marketplace</v>
      </c>
      <c r="R3502" s="1">
        <f>MONTH(tblSales[[#This Row],[Date]])</f>
        <v>7</v>
      </c>
    </row>
    <row r="3503" spans="2:18" x14ac:dyDescent="0.35">
      <c r="B3503" s="113">
        <v>46231</v>
      </c>
      <c r="C3503" s="4" t="s">
        <v>2360</v>
      </c>
      <c r="D3503" s="4" t="s">
        <v>4568</v>
      </c>
      <c r="E3503" s="1" t="str">
        <f>_xlfn.XLOOKUP(tblSales[[#This Row],[Customer ID]],tblCustomers[Customer ID],tblCustomers[Customer Name],"⚠ Unknown")</f>
        <v>Walk-in Customer</v>
      </c>
      <c r="F3503" s="4" t="s">
        <v>9</v>
      </c>
      <c r="G3503" s="1" t="str">
        <f>_xlfn.XLOOKUP(tblSales[[#This Row],[Product Code]],tblProducts[Code],tblProducts[Product / Service Name],"⚠ Unknown")</f>
        <v>Casual Shirt</v>
      </c>
      <c r="H3503" s="1" t="str">
        <f>_xlfn.XLOOKUP(tblSales[[#This Row],[Product Code]],tblProducts[Code],tblProducts[Category],"")</f>
        <v>Apparel &amp; Footwear</v>
      </c>
      <c r="I3503" s="4">
        <v>4</v>
      </c>
      <c r="J3503" s="5">
        <f>_xlfn.XLOOKUP(tblSales[[#This Row],[Product Code]],tblProducts[Code],tblProducts[Selling Price (excl. VAT)],0)</f>
        <v>120000</v>
      </c>
      <c r="K3503" s="5">
        <f>tblSales[[#This Row],[Qty]]*tblSales[[#This Row],[Unit Price]]</f>
        <v>480000</v>
      </c>
      <c r="L3503" s="5">
        <f>ROUND(tblSales[[#This Row],[DPP (excl. VAT)]]*VATEff,0)</f>
        <v>52800</v>
      </c>
      <c r="M3503" s="5">
        <f>tblSales[[#This Row],[DPP (excl. VAT)]]+tblSales[[#This Row],[Output VAT]]</f>
        <v>532800</v>
      </c>
      <c r="N3503" s="5">
        <f>tblSales[[#This Row],[Qty]]*_xlfn.XLOOKUP(tblSales[[#This Row],[Product Code]],tblProducts[Code],tblProducts[Unit Cost],0)</f>
        <v>288000</v>
      </c>
      <c r="O3503" s="4" t="s">
        <v>4866</v>
      </c>
      <c r="P3503" s="4" t="s">
        <v>4861</v>
      </c>
      <c r="Q3503" s="1" t="str">
        <f>_xlfn.XLOOKUP(tblSales[[#This Row],[Channel Code]],tblChannels[Channel Code],tblChannels[Channel Name],"")</f>
        <v>Marketplace</v>
      </c>
      <c r="R3503" s="1">
        <f>MONTH(tblSales[[#This Row],[Date]])</f>
        <v>7</v>
      </c>
    </row>
    <row r="3504" spans="2:18" x14ac:dyDescent="0.35">
      <c r="B3504" s="113">
        <v>46231</v>
      </c>
      <c r="C3504" s="4" t="s">
        <v>2360</v>
      </c>
      <c r="D3504" s="4" t="s">
        <v>4568</v>
      </c>
      <c r="E3504" s="1" t="str">
        <f>_xlfn.XLOOKUP(tblSales[[#This Row],[Customer ID]],tblCustomers[Customer ID],tblCustomers[Customer Name],"⚠ Unknown")</f>
        <v>Walk-in Customer</v>
      </c>
      <c r="F3504" s="4" t="s">
        <v>8</v>
      </c>
      <c r="G3504" s="1" t="str">
        <f>_xlfn.XLOOKUP(tblSales[[#This Row],[Product Code]],tblProducts[Code],tblProducts[Product / Service Name],"⚠ Unknown")</f>
        <v>Casual Shorts</v>
      </c>
      <c r="H3504" s="1" t="str">
        <f>_xlfn.XLOOKUP(tblSales[[#This Row],[Product Code]],tblProducts[Code],tblProducts[Category],"")</f>
        <v>Accessories &amp; Basics</v>
      </c>
      <c r="I3504" s="4">
        <v>10</v>
      </c>
      <c r="J3504" s="5">
        <f>_xlfn.XLOOKUP(tblSales[[#This Row],[Product Code]],tblProducts[Code],tblProducts[Selling Price (excl. VAT)],0)</f>
        <v>85000</v>
      </c>
      <c r="K3504" s="5">
        <f>tblSales[[#This Row],[Qty]]*tblSales[[#This Row],[Unit Price]]</f>
        <v>850000</v>
      </c>
      <c r="L3504" s="5">
        <f>ROUND(tblSales[[#This Row],[DPP (excl. VAT)]]*VATEff,0)</f>
        <v>93500</v>
      </c>
      <c r="M3504" s="5">
        <f>tblSales[[#This Row],[DPP (excl. VAT)]]+tblSales[[#This Row],[Output VAT]]</f>
        <v>943500</v>
      </c>
      <c r="N3504" s="5">
        <f>tblSales[[#This Row],[Qty]]*_xlfn.XLOOKUP(tblSales[[#This Row],[Product Code]],tblProducts[Code],tblProducts[Unit Cost],0)</f>
        <v>500000</v>
      </c>
      <c r="O3504" s="4" t="s">
        <v>4866</v>
      </c>
      <c r="P3504" s="4" t="s">
        <v>4861</v>
      </c>
      <c r="Q3504" s="1" t="str">
        <f>_xlfn.XLOOKUP(tblSales[[#This Row],[Channel Code]],tblChannels[Channel Code],tblChannels[Channel Name],"")</f>
        <v>Marketplace</v>
      </c>
      <c r="R3504" s="1">
        <f>MONTH(tblSales[[#This Row],[Date]])</f>
        <v>7</v>
      </c>
    </row>
    <row r="3505" spans="2:18" x14ac:dyDescent="0.35">
      <c r="B3505" s="113">
        <v>46231</v>
      </c>
      <c r="C3505" s="4" t="s">
        <v>2360</v>
      </c>
      <c r="D3505" s="4" t="s">
        <v>4568</v>
      </c>
      <c r="E3505" s="1" t="str">
        <f>_xlfn.XLOOKUP(tblSales[[#This Row],[Customer ID]],tblCustomers[Customer ID],tblCustomers[Customer Name],"⚠ Unknown")</f>
        <v>Walk-in Customer</v>
      </c>
      <c r="F3505" s="4" t="s">
        <v>13</v>
      </c>
      <c r="G3505" s="1" t="str">
        <f>_xlfn.XLOOKUP(tblSales[[#This Row],[Product Code]],tblProducts[Code],tblProducts[Product / Service Name],"⚠ Unknown")</f>
        <v>Backpack</v>
      </c>
      <c r="H3505" s="1" t="str">
        <f>_xlfn.XLOOKUP(tblSales[[#This Row],[Product Code]],tblProducts[Code],tblProducts[Category],"")</f>
        <v>Bags &amp; Gadgets</v>
      </c>
      <c r="I3505" s="4">
        <v>4</v>
      </c>
      <c r="J3505" s="5">
        <f>_xlfn.XLOOKUP(tblSales[[#This Row],[Product Code]],tblProducts[Code],tblProducts[Selling Price (excl. VAT)],0)</f>
        <v>500000</v>
      </c>
      <c r="K3505" s="5">
        <f>tblSales[[#This Row],[Qty]]*tblSales[[#This Row],[Unit Price]]</f>
        <v>2000000</v>
      </c>
      <c r="L3505" s="5">
        <f>ROUND(tblSales[[#This Row],[DPP (excl. VAT)]]*VATEff,0)</f>
        <v>220000</v>
      </c>
      <c r="M3505" s="5">
        <f>tblSales[[#This Row],[DPP (excl. VAT)]]+tblSales[[#This Row],[Output VAT]]</f>
        <v>2220000</v>
      </c>
      <c r="N3505" s="5">
        <f>tblSales[[#This Row],[Qty]]*_xlfn.XLOOKUP(tblSales[[#This Row],[Product Code]],tblProducts[Code],tblProducts[Unit Cost],0)</f>
        <v>1160000</v>
      </c>
      <c r="O3505" s="4" t="s">
        <v>4866</v>
      </c>
      <c r="P3505" s="4" t="s">
        <v>4861</v>
      </c>
      <c r="Q3505" s="1" t="str">
        <f>_xlfn.XLOOKUP(tblSales[[#This Row],[Channel Code]],tblChannels[Channel Code],tblChannels[Channel Name],"")</f>
        <v>Marketplace</v>
      </c>
      <c r="R3505" s="1">
        <f>MONTH(tblSales[[#This Row],[Date]])</f>
        <v>7</v>
      </c>
    </row>
    <row r="3506" spans="2:18" x14ac:dyDescent="0.35">
      <c r="B3506" s="113">
        <v>46231</v>
      </c>
      <c r="C3506" s="4" t="s">
        <v>2361</v>
      </c>
      <c r="D3506" s="4" t="s">
        <v>4568</v>
      </c>
      <c r="E3506" s="1" t="str">
        <f>_xlfn.XLOOKUP(tblSales[[#This Row],[Customer ID]],tblCustomers[Customer ID],tblCustomers[Customer Name],"⚠ Unknown")</f>
        <v>Walk-in Customer</v>
      </c>
      <c r="F3506" s="4" t="s">
        <v>9</v>
      </c>
      <c r="G3506" s="1" t="str">
        <f>_xlfn.XLOOKUP(tblSales[[#This Row],[Product Code]],tblProducts[Code],tblProducts[Product / Service Name],"⚠ Unknown")</f>
        <v>Casual Shirt</v>
      </c>
      <c r="H3506" s="1" t="str">
        <f>_xlfn.XLOOKUP(tblSales[[#This Row],[Product Code]],tblProducts[Code],tblProducts[Category],"")</f>
        <v>Apparel &amp; Footwear</v>
      </c>
      <c r="I3506" s="4">
        <v>7</v>
      </c>
      <c r="J3506" s="5">
        <f>_xlfn.XLOOKUP(tblSales[[#This Row],[Product Code]],tblProducts[Code],tblProducts[Selling Price (excl. VAT)],0)</f>
        <v>120000</v>
      </c>
      <c r="K3506" s="5">
        <f>tblSales[[#This Row],[Qty]]*tblSales[[#This Row],[Unit Price]]</f>
        <v>840000</v>
      </c>
      <c r="L3506" s="5">
        <f>ROUND(tblSales[[#This Row],[DPP (excl. VAT)]]*VATEff,0)</f>
        <v>92400</v>
      </c>
      <c r="M3506" s="5">
        <f>tblSales[[#This Row],[DPP (excl. VAT)]]+tblSales[[#This Row],[Output VAT]]</f>
        <v>932400</v>
      </c>
      <c r="N3506" s="5">
        <f>tblSales[[#This Row],[Qty]]*_xlfn.XLOOKUP(tblSales[[#This Row],[Product Code]],tblProducts[Code],tblProducts[Unit Cost],0)</f>
        <v>504000</v>
      </c>
      <c r="O3506" s="4" t="s">
        <v>4866</v>
      </c>
      <c r="P3506" s="4" t="s">
        <v>4861</v>
      </c>
      <c r="Q3506" s="1" t="str">
        <f>_xlfn.XLOOKUP(tblSales[[#This Row],[Channel Code]],tblChannels[Channel Code],tblChannels[Channel Name],"")</f>
        <v>Marketplace</v>
      </c>
      <c r="R3506" s="1">
        <f>MONTH(tblSales[[#This Row],[Date]])</f>
        <v>7</v>
      </c>
    </row>
    <row r="3507" spans="2:18" x14ac:dyDescent="0.35">
      <c r="B3507" s="113">
        <v>46231</v>
      </c>
      <c r="C3507" s="4" t="s">
        <v>2362</v>
      </c>
      <c r="D3507" s="4" t="s">
        <v>4568</v>
      </c>
      <c r="E3507" s="1" t="str">
        <f>_xlfn.XLOOKUP(tblSales[[#This Row],[Customer ID]],tblCustomers[Customer ID],tblCustomers[Customer Name],"⚠ Unknown")</f>
        <v>Walk-in Customer</v>
      </c>
      <c r="F3507" s="4" t="s">
        <v>10</v>
      </c>
      <c r="G3507" s="1" t="str">
        <f>_xlfn.XLOOKUP(tblSales[[#This Row],[Product Code]],tblProducts[Code],tblProducts[Product / Service Name],"⚠ Unknown")</f>
        <v>Chino Pants</v>
      </c>
      <c r="H3507" s="1" t="str">
        <f>_xlfn.XLOOKUP(tblSales[[#This Row],[Product Code]],tblProducts[Code],tblProducts[Category],"")</f>
        <v>Apparel &amp; Footwear</v>
      </c>
      <c r="I3507" s="4">
        <v>8</v>
      </c>
      <c r="J3507" s="5">
        <f>_xlfn.XLOOKUP(tblSales[[#This Row],[Product Code]],tblProducts[Code],tblProducts[Selling Price (excl. VAT)],0)</f>
        <v>150000</v>
      </c>
      <c r="K3507" s="5">
        <f>tblSales[[#This Row],[Qty]]*tblSales[[#This Row],[Unit Price]]</f>
        <v>1200000</v>
      </c>
      <c r="L3507" s="5">
        <f>ROUND(tblSales[[#This Row],[DPP (excl. VAT)]]*VATEff,0)</f>
        <v>132000</v>
      </c>
      <c r="M3507" s="5">
        <f>tblSales[[#This Row],[DPP (excl. VAT)]]+tblSales[[#This Row],[Output VAT]]</f>
        <v>1332000</v>
      </c>
      <c r="N3507" s="5">
        <f>tblSales[[#This Row],[Qty]]*_xlfn.XLOOKUP(tblSales[[#This Row],[Product Code]],tblProducts[Code],tblProducts[Unit Cost],0)</f>
        <v>704000</v>
      </c>
      <c r="O3507" s="4" t="s">
        <v>4866</v>
      </c>
      <c r="P3507" s="4" t="s">
        <v>4861</v>
      </c>
      <c r="Q3507" s="1" t="str">
        <f>_xlfn.XLOOKUP(tblSales[[#This Row],[Channel Code]],tblChannels[Channel Code],tblChannels[Channel Name],"")</f>
        <v>Marketplace</v>
      </c>
      <c r="R3507" s="1">
        <f>MONTH(tblSales[[#This Row],[Date]])</f>
        <v>7</v>
      </c>
    </row>
    <row r="3508" spans="2:18" x14ac:dyDescent="0.35">
      <c r="B3508" s="113">
        <v>46231</v>
      </c>
      <c r="C3508" s="4" t="s">
        <v>2363</v>
      </c>
      <c r="D3508" s="4" t="s">
        <v>4568</v>
      </c>
      <c r="E3508" s="1" t="str">
        <f>_xlfn.XLOOKUP(tblSales[[#This Row],[Customer ID]],tblCustomers[Customer ID],tblCustomers[Customer Name],"⚠ Unknown")</f>
        <v>Walk-in Customer</v>
      </c>
      <c r="F3508" s="4" t="s">
        <v>8</v>
      </c>
      <c r="G3508" s="1" t="str">
        <f>_xlfn.XLOOKUP(tblSales[[#This Row],[Product Code]],tblProducts[Code],tblProducts[Product / Service Name],"⚠ Unknown")</f>
        <v>Casual Shorts</v>
      </c>
      <c r="H3508" s="1" t="str">
        <f>_xlfn.XLOOKUP(tblSales[[#This Row],[Product Code]],tblProducts[Code],tblProducts[Category],"")</f>
        <v>Accessories &amp; Basics</v>
      </c>
      <c r="I3508" s="4">
        <v>8</v>
      </c>
      <c r="J3508" s="5">
        <f>_xlfn.XLOOKUP(tblSales[[#This Row],[Product Code]],tblProducts[Code],tblProducts[Selling Price (excl. VAT)],0)</f>
        <v>85000</v>
      </c>
      <c r="K3508" s="5">
        <f>tblSales[[#This Row],[Qty]]*tblSales[[#This Row],[Unit Price]]</f>
        <v>680000</v>
      </c>
      <c r="L3508" s="5">
        <f>ROUND(tblSales[[#This Row],[DPP (excl. VAT)]]*VATEff,0)</f>
        <v>74800</v>
      </c>
      <c r="M3508" s="5">
        <f>tblSales[[#This Row],[DPP (excl. VAT)]]+tblSales[[#This Row],[Output VAT]]</f>
        <v>754800</v>
      </c>
      <c r="N3508" s="5">
        <f>tblSales[[#This Row],[Qty]]*_xlfn.XLOOKUP(tblSales[[#This Row],[Product Code]],tblProducts[Code],tblProducts[Unit Cost],0)</f>
        <v>400000</v>
      </c>
      <c r="O3508" s="4" t="s">
        <v>4866</v>
      </c>
      <c r="P3508" s="4" t="s">
        <v>4861</v>
      </c>
      <c r="Q3508" s="1" t="str">
        <f>_xlfn.XLOOKUP(tblSales[[#This Row],[Channel Code]],tblChannels[Channel Code],tblChannels[Channel Name],"")</f>
        <v>Marketplace</v>
      </c>
      <c r="R3508" s="1">
        <f>MONTH(tblSales[[#This Row],[Date]])</f>
        <v>7</v>
      </c>
    </row>
    <row r="3509" spans="2:18" x14ac:dyDescent="0.35">
      <c r="B3509" s="113">
        <v>46231</v>
      </c>
      <c r="C3509" s="4" t="s">
        <v>2364</v>
      </c>
      <c r="D3509" s="4" t="s">
        <v>4568</v>
      </c>
      <c r="E3509" s="1" t="str">
        <f>_xlfn.XLOOKUP(tblSales[[#This Row],[Customer ID]],tblCustomers[Customer ID],tblCustomers[Customer Name],"⚠ Unknown")</f>
        <v>Walk-in Customer</v>
      </c>
      <c r="F3509" s="4" t="s">
        <v>8</v>
      </c>
      <c r="G3509" s="1" t="str">
        <f>_xlfn.XLOOKUP(tblSales[[#This Row],[Product Code]],tblProducts[Code],tblProducts[Product / Service Name],"⚠ Unknown")</f>
        <v>Casual Shorts</v>
      </c>
      <c r="H3509" s="1" t="str">
        <f>_xlfn.XLOOKUP(tblSales[[#This Row],[Product Code]],tblProducts[Code],tblProducts[Category],"")</f>
        <v>Accessories &amp; Basics</v>
      </c>
      <c r="I3509" s="4">
        <v>1</v>
      </c>
      <c r="J3509" s="5">
        <f>_xlfn.XLOOKUP(tblSales[[#This Row],[Product Code]],tblProducts[Code],tblProducts[Selling Price (excl. VAT)],0)</f>
        <v>85000</v>
      </c>
      <c r="K3509" s="5">
        <f>tblSales[[#This Row],[Qty]]*tblSales[[#This Row],[Unit Price]]</f>
        <v>85000</v>
      </c>
      <c r="L3509" s="5">
        <f>ROUND(tblSales[[#This Row],[DPP (excl. VAT)]]*VATEff,0)</f>
        <v>9350</v>
      </c>
      <c r="M3509" s="5">
        <f>tblSales[[#This Row],[DPP (excl. VAT)]]+tblSales[[#This Row],[Output VAT]]</f>
        <v>94350</v>
      </c>
      <c r="N3509" s="5">
        <f>tblSales[[#This Row],[Qty]]*_xlfn.XLOOKUP(tblSales[[#This Row],[Product Code]],tblProducts[Code],tblProducts[Unit Cost],0)</f>
        <v>50000</v>
      </c>
      <c r="O3509" s="4" t="s">
        <v>4866</v>
      </c>
      <c r="P3509" s="4" t="s">
        <v>4860</v>
      </c>
      <c r="Q3509" s="1" t="str">
        <f>_xlfn.XLOOKUP(tblSales[[#This Row],[Channel Code]],tblChannels[Channel Code],tblChannels[Channel Name],"")</f>
        <v>In-store</v>
      </c>
      <c r="R3509" s="1">
        <f>MONTH(tblSales[[#This Row],[Date]])</f>
        <v>7</v>
      </c>
    </row>
    <row r="3510" spans="2:18" x14ac:dyDescent="0.35">
      <c r="B3510" s="113">
        <v>46231</v>
      </c>
      <c r="C3510" s="4" t="s">
        <v>2364</v>
      </c>
      <c r="D3510" s="4" t="s">
        <v>4568</v>
      </c>
      <c r="E3510" s="1" t="str">
        <f>_xlfn.XLOOKUP(tblSales[[#This Row],[Customer ID]],tblCustomers[Customer ID],tblCustomers[Customer Name],"⚠ Unknown")</f>
        <v>Walk-in Customer</v>
      </c>
      <c r="F3510" s="4" t="s">
        <v>9</v>
      </c>
      <c r="G3510" s="1" t="str">
        <f>_xlfn.XLOOKUP(tblSales[[#This Row],[Product Code]],tblProducts[Code],tblProducts[Product / Service Name],"⚠ Unknown")</f>
        <v>Casual Shirt</v>
      </c>
      <c r="H3510" s="1" t="str">
        <f>_xlfn.XLOOKUP(tblSales[[#This Row],[Product Code]],tblProducts[Code],tblProducts[Category],"")</f>
        <v>Apparel &amp; Footwear</v>
      </c>
      <c r="I3510" s="4">
        <v>7</v>
      </c>
      <c r="J3510" s="5">
        <f>_xlfn.XLOOKUP(tblSales[[#This Row],[Product Code]],tblProducts[Code],tblProducts[Selling Price (excl. VAT)],0)</f>
        <v>120000</v>
      </c>
      <c r="K3510" s="5">
        <f>tblSales[[#This Row],[Qty]]*tblSales[[#This Row],[Unit Price]]</f>
        <v>840000</v>
      </c>
      <c r="L3510" s="5">
        <f>ROUND(tblSales[[#This Row],[DPP (excl. VAT)]]*VATEff,0)</f>
        <v>92400</v>
      </c>
      <c r="M3510" s="5">
        <f>tblSales[[#This Row],[DPP (excl. VAT)]]+tblSales[[#This Row],[Output VAT]]</f>
        <v>932400</v>
      </c>
      <c r="N3510" s="5">
        <f>tblSales[[#This Row],[Qty]]*_xlfn.XLOOKUP(tblSales[[#This Row],[Product Code]],tblProducts[Code],tblProducts[Unit Cost],0)</f>
        <v>504000</v>
      </c>
      <c r="O3510" s="4" t="s">
        <v>4866</v>
      </c>
      <c r="P3510" s="4" t="s">
        <v>4860</v>
      </c>
      <c r="Q3510" s="1" t="str">
        <f>_xlfn.XLOOKUP(tblSales[[#This Row],[Channel Code]],tblChannels[Channel Code],tblChannels[Channel Name],"")</f>
        <v>In-store</v>
      </c>
      <c r="R3510" s="1">
        <f>MONTH(tblSales[[#This Row],[Date]])</f>
        <v>7</v>
      </c>
    </row>
    <row r="3511" spans="2:18" x14ac:dyDescent="0.35">
      <c r="B3511" s="113">
        <v>46231</v>
      </c>
      <c r="C3511" s="4" t="s">
        <v>2365</v>
      </c>
      <c r="D3511" s="4" t="s">
        <v>4568</v>
      </c>
      <c r="E3511" s="1" t="str">
        <f>_xlfn.XLOOKUP(tblSales[[#This Row],[Customer ID]],tblCustomers[Customer ID],tblCustomers[Customer Name],"⚠ Unknown")</f>
        <v>Walk-in Customer</v>
      </c>
      <c r="F3511" s="4" t="s">
        <v>9</v>
      </c>
      <c r="G3511" s="1" t="str">
        <f>_xlfn.XLOOKUP(tblSales[[#This Row],[Product Code]],tblProducts[Code],tblProducts[Product / Service Name],"⚠ Unknown")</f>
        <v>Casual Shirt</v>
      </c>
      <c r="H3511" s="1" t="str">
        <f>_xlfn.XLOOKUP(tblSales[[#This Row],[Product Code]],tblProducts[Code],tblProducts[Category],"")</f>
        <v>Apparel &amp; Footwear</v>
      </c>
      <c r="I3511" s="4">
        <v>11</v>
      </c>
      <c r="J3511" s="5">
        <f>_xlfn.XLOOKUP(tblSales[[#This Row],[Product Code]],tblProducts[Code],tblProducts[Selling Price (excl. VAT)],0)</f>
        <v>120000</v>
      </c>
      <c r="K3511" s="5">
        <f>tblSales[[#This Row],[Qty]]*tblSales[[#This Row],[Unit Price]]</f>
        <v>1320000</v>
      </c>
      <c r="L3511" s="5">
        <f>ROUND(tblSales[[#This Row],[DPP (excl. VAT)]]*VATEff,0)</f>
        <v>145200</v>
      </c>
      <c r="M3511" s="5">
        <f>tblSales[[#This Row],[DPP (excl. VAT)]]+tblSales[[#This Row],[Output VAT]]</f>
        <v>1465200</v>
      </c>
      <c r="N3511" s="5">
        <f>tblSales[[#This Row],[Qty]]*_xlfn.XLOOKUP(tblSales[[#This Row],[Product Code]],tblProducts[Code],tblProducts[Unit Cost],0)</f>
        <v>792000</v>
      </c>
      <c r="O3511" s="4" t="s">
        <v>4866</v>
      </c>
      <c r="P3511" s="4" t="s">
        <v>4860</v>
      </c>
      <c r="Q3511" s="1" t="str">
        <f>_xlfn.XLOOKUP(tblSales[[#This Row],[Channel Code]],tblChannels[Channel Code],tblChannels[Channel Name],"")</f>
        <v>In-store</v>
      </c>
      <c r="R3511" s="1">
        <f>MONTH(tblSales[[#This Row],[Date]])</f>
        <v>7</v>
      </c>
    </row>
    <row r="3512" spans="2:18" x14ac:dyDescent="0.35">
      <c r="B3512" s="113">
        <v>46231</v>
      </c>
      <c r="C3512" s="4" t="s">
        <v>2365</v>
      </c>
      <c r="D3512" s="4" t="s">
        <v>4568</v>
      </c>
      <c r="E3512" s="1" t="str">
        <f>_xlfn.XLOOKUP(tblSales[[#This Row],[Customer ID]],tblCustomers[Customer ID],tblCustomers[Customer Name],"⚠ Unknown")</f>
        <v>Walk-in Customer</v>
      </c>
      <c r="F3512" s="4" t="s">
        <v>10</v>
      </c>
      <c r="G3512" s="1" t="str">
        <f>_xlfn.XLOOKUP(tblSales[[#This Row],[Product Code]],tblProducts[Code],tblProducts[Product / Service Name],"⚠ Unknown")</f>
        <v>Chino Pants</v>
      </c>
      <c r="H3512" s="1" t="str">
        <f>_xlfn.XLOOKUP(tblSales[[#This Row],[Product Code]],tblProducts[Code],tblProducts[Category],"")</f>
        <v>Apparel &amp; Footwear</v>
      </c>
      <c r="I3512" s="4">
        <v>3</v>
      </c>
      <c r="J3512" s="5">
        <f>_xlfn.XLOOKUP(tblSales[[#This Row],[Product Code]],tblProducts[Code],tblProducts[Selling Price (excl. VAT)],0)</f>
        <v>150000</v>
      </c>
      <c r="K3512" s="5">
        <f>tblSales[[#This Row],[Qty]]*tblSales[[#This Row],[Unit Price]]</f>
        <v>450000</v>
      </c>
      <c r="L3512" s="5">
        <f>ROUND(tblSales[[#This Row],[DPP (excl. VAT)]]*VATEff,0)</f>
        <v>49500</v>
      </c>
      <c r="M3512" s="5">
        <f>tblSales[[#This Row],[DPP (excl. VAT)]]+tblSales[[#This Row],[Output VAT]]</f>
        <v>499500</v>
      </c>
      <c r="N3512" s="5">
        <f>tblSales[[#This Row],[Qty]]*_xlfn.XLOOKUP(tblSales[[#This Row],[Product Code]],tblProducts[Code],tblProducts[Unit Cost],0)</f>
        <v>264000</v>
      </c>
      <c r="O3512" s="4" t="s">
        <v>4866</v>
      </c>
      <c r="P3512" s="4" t="s">
        <v>4860</v>
      </c>
      <c r="Q3512" s="1" t="str">
        <f>_xlfn.XLOOKUP(tblSales[[#This Row],[Channel Code]],tblChannels[Channel Code],tblChannels[Channel Name],"")</f>
        <v>In-store</v>
      </c>
      <c r="R3512" s="1">
        <f>MONTH(tblSales[[#This Row],[Date]])</f>
        <v>7</v>
      </c>
    </row>
    <row r="3513" spans="2:18" x14ac:dyDescent="0.35">
      <c r="B3513" s="113">
        <v>46231</v>
      </c>
      <c r="C3513" s="4" t="s">
        <v>2366</v>
      </c>
      <c r="D3513" s="4" t="s">
        <v>4648</v>
      </c>
      <c r="E3513" s="1" t="str">
        <f>_xlfn.XLOOKUP(tblSales[[#This Row],[Customer ID]],tblCustomers[Customer ID],tblCustomers[Customer Name],"⚠ Unknown")</f>
        <v>PT Lintas Benua Niaga</v>
      </c>
      <c r="F3513" s="4" t="s">
        <v>9</v>
      </c>
      <c r="G3513" s="1" t="str">
        <f>_xlfn.XLOOKUP(tblSales[[#This Row],[Product Code]],tblProducts[Code],tblProducts[Product / Service Name],"⚠ Unknown")</f>
        <v>Casual Shirt</v>
      </c>
      <c r="H3513" s="1" t="str">
        <f>_xlfn.XLOOKUP(tblSales[[#This Row],[Product Code]],tblProducts[Code],tblProducts[Category],"")</f>
        <v>Apparel &amp; Footwear</v>
      </c>
      <c r="I3513" s="4">
        <v>40</v>
      </c>
      <c r="J3513" s="5">
        <f>_xlfn.XLOOKUP(tblSales[[#This Row],[Product Code]],tblProducts[Code],tblProducts[Selling Price (excl. VAT)],0)</f>
        <v>120000</v>
      </c>
      <c r="K3513" s="5">
        <f>tblSales[[#This Row],[Qty]]*tblSales[[#This Row],[Unit Price]]</f>
        <v>4800000</v>
      </c>
      <c r="L3513" s="5">
        <f>ROUND(tblSales[[#This Row],[DPP (excl. VAT)]]*VATEff,0)</f>
        <v>528000</v>
      </c>
      <c r="M3513" s="5">
        <f>tblSales[[#This Row],[DPP (excl. VAT)]]+tblSales[[#This Row],[Output VAT]]</f>
        <v>5328000</v>
      </c>
      <c r="N3513" s="5">
        <f>tblSales[[#This Row],[Qty]]*_xlfn.XLOOKUP(tblSales[[#This Row],[Product Code]],tblProducts[Code],tblProducts[Unit Cost],0)</f>
        <v>2880000</v>
      </c>
      <c r="O3513" s="4" t="s">
        <v>4867</v>
      </c>
      <c r="P3513" s="4" t="s">
        <v>4860</v>
      </c>
      <c r="Q3513" s="1" t="str">
        <f>_xlfn.XLOOKUP(tblSales[[#This Row],[Channel Code]],tblChannels[Channel Code],tblChannels[Channel Name],"")</f>
        <v>In-store</v>
      </c>
      <c r="R3513" s="1">
        <f>MONTH(tblSales[[#This Row],[Date]])</f>
        <v>7</v>
      </c>
    </row>
    <row r="3514" spans="2:18" x14ac:dyDescent="0.35">
      <c r="B3514" s="113">
        <v>46231</v>
      </c>
      <c r="C3514" s="4" t="s">
        <v>2366</v>
      </c>
      <c r="D3514" s="4" t="s">
        <v>4648</v>
      </c>
      <c r="E3514" s="1" t="str">
        <f>_xlfn.XLOOKUP(tblSales[[#This Row],[Customer ID]],tblCustomers[Customer ID],tblCustomers[Customer Name],"⚠ Unknown")</f>
        <v>PT Lintas Benua Niaga</v>
      </c>
      <c r="F3514" s="4" t="s">
        <v>13</v>
      </c>
      <c r="G3514" s="1" t="str">
        <f>_xlfn.XLOOKUP(tblSales[[#This Row],[Product Code]],tblProducts[Code],tblProducts[Product / Service Name],"⚠ Unknown")</f>
        <v>Backpack</v>
      </c>
      <c r="H3514" s="1" t="str">
        <f>_xlfn.XLOOKUP(tblSales[[#This Row],[Product Code]],tblProducts[Code],tblProducts[Category],"")</f>
        <v>Bags &amp; Gadgets</v>
      </c>
      <c r="I3514" s="4">
        <v>16</v>
      </c>
      <c r="J3514" s="5">
        <f>_xlfn.XLOOKUP(tblSales[[#This Row],[Product Code]],tblProducts[Code],tblProducts[Selling Price (excl. VAT)],0)</f>
        <v>500000</v>
      </c>
      <c r="K3514" s="5">
        <f>tblSales[[#This Row],[Qty]]*tblSales[[#This Row],[Unit Price]]</f>
        <v>8000000</v>
      </c>
      <c r="L3514" s="5">
        <f>ROUND(tblSales[[#This Row],[DPP (excl. VAT)]]*VATEff,0)</f>
        <v>880000</v>
      </c>
      <c r="M3514" s="5">
        <f>tblSales[[#This Row],[DPP (excl. VAT)]]+tblSales[[#This Row],[Output VAT]]</f>
        <v>8880000</v>
      </c>
      <c r="N3514" s="5">
        <f>tblSales[[#This Row],[Qty]]*_xlfn.XLOOKUP(tblSales[[#This Row],[Product Code]],tblProducts[Code],tblProducts[Unit Cost],0)</f>
        <v>4640000</v>
      </c>
      <c r="O3514" s="4" t="s">
        <v>4867</v>
      </c>
      <c r="P3514" s="4" t="s">
        <v>4860</v>
      </c>
      <c r="Q3514" s="1" t="str">
        <f>_xlfn.XLOOKUP(tblSales[[#This Row],[Channel Code]],tblChannels[Channel Code],tblChannels[Channel Name],"")</f>
        <v>In-store</v>
      </c>
      <c r="R3514" s="1">
        <f>MONTH(tblSales[[#This Row],[Date]])</f>
        <v>7</v>
      </c>
    </row>
    <row r="3515" spans="2:18" x14ac:dyDescent="0.35">
      <c r="B3515" s="113">
        <v>46231</v>
      </c>
      <c r="C3515" s="4" t="s">
        <v>2366</v>
      </c>
      <c r="D3515" s="4" t="s">
        <v>4648</v>
      </c>
      <c r="E3515" s="1" t="str">
        <f>_xlfn.XLOOKUP(tblSales[[#This Row],[Customer ID]],tblCustomers[Customer ID],tblCustomers[Customer Name],"⚠ Unknown")</f>
        <v>PT Lintas Benua Niaga</v>
      </c>
      <c r="F3515" s="4" t="s">
        <v>8</v>
      </c>
      <c r="G3515" s="1" t="str">
        <f>_xlfn.XLOOKUP(tblSales[[#This Row],[Product Code]],tblProducts[Code],tblProducts[Product / Service Name],"⚠ Unknown")</f>
        <v>Casual Shorts</v>
      </c>
      <c r="H3515" s="1" t="str">
        <f>_xlfn.XLOOKUP(tblSales[[#This Row],[Product Code]],tblProducts[Code],tblProducts[Category],"")</f>
        <v>Accessories &amp; Basics</v>
      </c>
      <c r="I3515" s="4">
        <v>8</v>
      </c>
      <c r="J3515" s="5">
        <f>_xlfn.XLOOKUP(tblSales[[#This Row],[Product Code]],tblProducts[Code],tblProducts[Selling Price (excl. VAT)],0)</f>
        <v>85000</v>
      </c>
      <c r="K3515" s="5">
        <f>tblSales[[#This Row],[Qty]]*tblSales[[#This Row],[Unit Price]]</f>
        <v>680000</v>
      </c>
      <c r="L3515" s="5">
        <f>ROUND(tblSales[[#This Row],[DPP (excl. VAT)]]*VATEff,0)</f>
        <v>74800</v>
      </c>
      <c r="M3515" s="5">
        <f>tblSales[[#This Row],[DPP (excl. VAT)]]+tblSales[[#This Row],[Output VAT]]</f>
        <v>754800</v>
      </c>
      <c r="N3515" s="5">
        <f>tblSales[[#This Row],[Qty]]*_xlfn.XLOOKUP(tblSales[[#This Row],[Product Code]],tblProducts[Code],tblProducts[Unit Cost],0)</f>
        <v>400000</v>
      </c>
      <c r="O3515" s="4" t="s">
        <v>4867</v>
      </c>
      <c r="P3515" s="4" t="s">
        <v>4860</v>
      </c>
      <c r="Q3515" s="1" t="str">
        <f>_xlfn.XLOOKUP(tblSales[[#This Row],[Channel Code]],tblChannels[Channel Code],tblChannels[Channel Name],"")</f>
        <v>In-store</v>
      </c>
      <c r="R3515" s="1">
        <f>MONTH(tblSales[[#This Row],[Date]])</f>
        <v>7</v>
      </c>
    </row>
    <row r="3516" spans="2:18" x14ac:dyDescent="0.35">
      <c r="B3516" s="113">
        <v>46231</v>
      </c>
      <c r="C3516" s="4" t="s">
        <v>2367</v>
      </c>
      <c r="D3516" s="4" t="s">
        <v>4568</v>
      </c>
      <c r="E3516" s="1" t="str">
        <f>_xlfn.XLOOKUP(tblSales[[#This Row],[Customer ID]],tblCustomers[Customer ID],tblCustomers[Customer Name],"⚠ Unknown")</f>
        <v>Walk-in Customer</v>
      </c>
      <c r="F3516" s="4" t="s">
        <v>9</v>
      </c>
      <c r="G3516" s="1" t="str">
        <f>_xlfn.XLOOKUP(tblSales[[#This Row],[Product Code]],tblProducts[Code],tblProducts[Product / Service Name],"⚠ Unknown")</f>
        <v>Casual Shirt</v>
      </c>
      <c r="H3516" s="1" t="str">
        <f>_xlfn.XLOOKUP(tblSales[[#This Row],[Product Code]],tblProducts[Code],tblProducts[Category],"")</f>
        <v>Apparel &amp; Footwear</v>
      </c>
      <c r="I3516" s="4">
        <v>2</v>
      </c>
      <c r="J3516" s="5">
        <f>_xlfn.XLOOKUP(tblSales[[#This Row],[Product Code]],tblProducts[Code],tblProducts[Selling Price (excl. VAT)],0)</f>
        <v>120000</v>
      </c>
      <c r="K3516" s="5">
        <f>tblSales[[#This Row],[Qty]]*tblSales[[#This Row],[Unit Price]]</f>
        <v>240000</v>
      </c>
      <c r="L3516" s="5">
        <f>ROUND(tblSales[[#This Row],[DPP (excl. VAT)]]*VATEff,0)</f>
        <v>26400</v>
      </c>
      <c r="M3516" s="5">
        <f>tblSales[[#This Row],[DPP (excl. VAT)]]+tblSales[[#This Row],[Output VAT]]</f>
        <v>266400</v>
      </c>
      <c r="N3516" s="5">
        <f>tblSales[[#This Row],[Qty]]*_xlfn.XLOOKUP(tblSales[[#This Row],[Product Code]],tblProducts[Code],tblProducts[Unit Cost],0)</f>
        <v>144000</v>
      </c>
      <c r="O3516" s="4" t="s">
        <v>4866</v>
      </c>
      <c r="P3516" s="4" t="s">
        <v>4860</v>
      </c>
      <c r="Q3516" s="1" t="str">
        <f>_xlfn.XLOOKUP(tblSales[[#This Row],[Channel Code]],tblChannels[Channel Code],tblChannels[Channel Name],"")</f>
        <v>In-store</v>
      </c>
      <c r="R3516" s="1">
        <f>MONTH(tblSales[[#This Row],[Date]])</f>
        <v>7</v>
      </c>
    </row>
    <row r="3517" spans="2:18" x14ac:dyDescent="0.35">
      <c r="B3517" s="113">
        <v>46231</v>
      </c>
      <c r="C3517" s="4" t="s">
        <v>2368</v>
      </c>
      <c r="D3517" s="4" t="s">
        <v>4568</v>
      </c>
      <c r="E3517" s="1" t="str">
        <f>_xlfn.XLOOKUP(tblSales[[#This Row],[Customer ID]],tblCustomers[Customer ID],tblCustomers[Customer Name],"⚠ Unknown")</f>
        <v>Walk-in Customer</v>
      </c>
      <c r="F3517" s="4" t="s">
        <v>6</v>
      </c>
      <c r="G3517" s="1" t="str">
        <f>_xlfn.XLOOKUP(tblSales[[#This Row],[Product Code]],tblProducts[Code],tblProducts[Product / Service Name],"⚠ Unknown")</f>
        <v>Socks &amp; Accessories</v>
      </c>
      <c r="H3517" s="1" t="str">
        <f>_xlfn.XLOOKUP(tblSales[[#This Row],[Product Code]],tblProducts[Code],tblProducts[Category],"")</f>
        <v>Accessories &amp; Basics</v>
      </c>
      <c r="I3517" s="4">
        <v>9</v>
      </c>
      <c r="J3517" s="5">
        <f>_xlfn.XLOOKUP(tblSales[[#This Row],[Product Code]],tblProducts[Code],tblProducts[Selling Price (excl. VAT)],0)</f>
        <v>45000</v>
      </c>
      <c r="K3517" s="5">
        <f>tblSales[[#This Row],[Qty]]*tblSales[[#This Row],[Unit Price]]</f>
        <v>405000</v>
      </c>
      <c r="L3517" s="5">
        <f>ROUND(tblSales[[#This Row],[DPP (excl. VAT)]]*VATEff,0)</f>
        <v>44550</v>
      </c>
      <c r="M3517" s="5">
        <f>tblSales[[#This Row],[DPP (excl. VAT)]]+tblSales[[#This Row],[Output VAT]]</f>
        <v>449550</v>
      </c>
      <c r="N3517" s="5">
        <f>tblSales[[#This Row],[Qty]]*_xlfn.XLOOKUP(tblSales[[#This Row],[Product Code]],tblProducts[Code],tblProducts[Unit Cost],0)</f>
        <v>216000</v>
      </c>
      <c r="O3517" s="4" t="s">
        <v>4866</v>
      </c>
      <c r="P3517" s="4" t="s">
        <v>4862</v>
      </c>
      <c r="Q3517" s="1" t="str">
        <f>_xlfn.XLOOKUP(tblSales[[#This Row],[Channel Code]],tblChannels[Channel Code],tblChannels[Channel Name],"")</f>
        <v>Website &amp; Social Media</v>
      </c>
      <c r="R3517" s="1">
        <f>MONTH(tblSales[[#This Row],[Date]])</f>
        <v>7</v>
      </c>
    </row>
    <row r="3518" spans="2:18" x14ac:dyDescent="0.35">
      <c r="B3518" s="113">
        <v>46231</v>
      </c>
      <c r="C3518" s="4" t="s">
        <v>2369</v>
      </c>
      <c r="D3518" s="4" t="s">
        <v>4568</v>
      </c>
      <c r="E3518" s="1" t="str">
        <f>_xlfn.XLOOKUP(tblSales[[#This Row],[Customer ID]],tblCustomers[Customer ID],tblCustomers[Customer Name],"⚠ Unknown")</f>
        <v>Walk-in Customer</v>
      </c>
      <c r="F3518" s="4" t="s">
        <v>6</v>
      </c>
      <c r="G3518" s="1" t="str">
        <f>_xlfn.XLOOKUP(tblSales[[#This Row],[Product Code]],tblProducts[Code],tblProducts[Product / Service Name],"⚠ Unknown")</f>
        <v>Socks &amp; Accessories</v>
      </c>
      <c r="H3518" s="1" t="str">
        <f>_xlfn.XLOOKUP(tblSales[[#This Row],[Product Code]],tblProducts[Code],tblProducts[Category],"")</f>
        <v>Accessories &amp; Basics</v>
      </c>
      <c r="I3518" s="4">
        <v>12</v>
      </c>
      <c r="J3518" s="5">
        <f>_xlfn.XLOOKUP(tblSales[[#This Row],[Product Code]],tblProducts[Code],tblProducts[Selling Price (excl. VAT)],0)</f>
        <v>45000</v>
      </c>
      <c r="K3518" s="5">
        <f>tblSales[[#This Row],[Qty]]*tblSales[[#This Row],[Unit Price]]</f>
        <v>540000</v>
      </c>
      <c r="L3518" s="5">
        <f>ROUND(tblSales[[#This Row],[DPP (excl. VAT)]]*VATEff,0)</f>
        <v>59400</v>
      </c>
      <c r="M3518" s="5">
        <f>tblSales[[#This Row],[DPP (excl. VAT)]]+tblSales[[#This Row],[Output VAT]]</f>
        <v>599400</v>
      </c>
      <c r="N3518" s="5">
        <f>tblSales[[#This Row],[Qty]]*_xlfn.XLOOKUP(tblSales[[#This Row],[Product Code]],tblProducts[Code],tblProducts[Unit Cost],0)</f>
        <v>288000</v>
      </c>
      <c r="O3518" s="4" t="s">
        <v>4866</v>
      </c>
      <c r="P3518" s="4" t="s">
        <v>4862</v>
      </c>
      <c r="Q3518" s="1" t="str">
        <f>_xlfn.XLOOKUP(tblSales[[#This Row],[Channel Code]],tblChannels[Channel Code],tblChannels[Channel Name],"")</f>
        <v>Website &amp; Social Media</v>
      </c>
      <c r="R3518" s="1">
        <f>MONTH(tblSales[[#This Row],[Date]])</f>
        <v>7</v>
      </c>
    </row>
    <row r="3519" spans="2:18" x14ac:dyDescent="0.35">
      <c r="B3519" s="113">
        <v>46231</v>
      </c>
      <c r="C3519" s="4" t="s">
        <v>2370</v>
      </c>
      <c r="D3519" s="4" t="s">
        <v>4568</v>
      </c>
      <c r="E3519" s="1" t="str">
        <f>_xlfn.XLOOKUP(tblSales[[#This Row],[Customer ID]],tblCustomers[Customer ID],tblCustomers[Customer Name],"⚠ Unknown")</f>
        <v>Walk-in Customer</v>
      </c>
      <c r="F3519" s="4" t="s">
        <v>13</v>
      </c>
      <c r="G3519" s="1" t="str">
        <f>_xlfn.XLOOKUP(tblSales[[#This Row],[Product Code]],tblProducts[Code],tblProducts[Product / Service Name],"⚠ Unknown")</f>
        <v>Backpack</v>
      </c>
      <c r="H3519" s="1" t="str">
        <f>_xlfn.XLOOKUP(tblSales[[#This Row],[Product Code]],tblProducts[Code],tblProducts[Category],"")</f>
        <v>Bags &amp; Gadgets</v>
      </c>
      <c r="I3519" s="4">
        <v>1</v>
      </c>
      <c r="J3519" s="5">
        <f>_xlfn.XLOOKUP(tblSales[[#This Row],[Product Code]],tblProducts[Code],tblProducts[Selling Price (excl. VAT)],0)</f>
        <v>500000</v>
      </c>
      <c r="K3519" s="5">
        <f>tblSales[[#This Row],[Qty]]*tblSales[[#This Row],[Unit Price]]</f>
        <v>500000</v>
      </c>
      <c r="L3519" s="5">
        <f>ROUND(tblSales[[#This Row],[DPP (excl. VAT)]]*VATEff,0)</f>
        <v>55000</v>
      </c>
      <c r="M3519" s="5">
        <f>tblSales[[#This Row],[DPP (excl. VAT)]]+tblSales[[#This Row],[Output VAT]]</f>
        <v>555000</v>
      </c>
      <c r="N3519" s="5">
        <f>tblSales[[#This Row],[Qty]]*_xlfn.XLOOKUP(tblSales[[#This Row],[Product Code]],tblProducts[Code],tblProducts[Unit Cost],0)</f>
        <v>290000</v>
      </c>
      <c r="O3519" s="4" t="s">
        <v>4866</v>
      </c>
      <c r="P3519" s="4" t="s">
        <v>4860</v>
      </c>
      <c r="Q3519" s="1" t="str">
        <f>_xlfn.XLOOKUP(tblSales[[#This Row],[Channel Code]],tblChannels[Channel Code],tblChannels[Channel Name],"")</f>
        <v>In-store</v>
      </c>
      <c r="R3519" s="1">
        <f>MONTH(tblSales[[#This Row],[Date]])</f>
        <v>7</v>
      </c>
    </row>
    <row r="3520" spans="2:18" x14ac:dyDescent="0.35">
      <c r="B3520" s="113">
        <v>46231</v>
      </c>
      <c r="C3520" s="4" t="s">
        <v>2370</v>
      </c>
      <c r="D3520" s="4" t="s">
        <v>4568</v>
      </c>
      <c r="E3520" s="1" t="str">
        <f>_xlfn.XLOOKUP(tblSales[[#This Row],[Customer ID]],tblCustomers[Customer ID],tblCustomers[Customer Name],"⚠ Unknown")</f>
        <v>Walk-in Customer</v>
      </c>
      <c r="F3520" s="4" t="s">
        <v>9</v>
      </c>
      <c r="G3520" s="1" t="str">
        <f>_xlfn.XLOOKUP(tblSales[[#This Row],[Product Code]],tblProducts[Code],tblProducts[Product / Service Name],"⚠ Unknown")</f>
        <v>Casual Shirt</v>
      </c>
      <c r="H3520" s="1" t="str">
        <f>_xlfn.XLOOKUP(tblSales[[#This Row],[Product Code]],tblProducts[Code],tblProducts[Category],"")</f>
        <v>Apparel &amp; Footwear</v>
      </c>
      <c r="I3520" s="4">
        <v>2</v>
      </c>
      <c r="J3520" s="5">
        <f>_xlfn.XLOOKUP(tblSales[[#This Row],[Product Code]],tblProducts[Code],tblProducts[Selling Price (excl. VAT)],0)</f>
        <v>120000</v>
      </c>
      <c r="K3520" s="5">
        <f>tblSales[[#This Row],[Qty]]*tblSales[[#This Row],[Unit Price]]</f>
        <v>240000</v>
      </c>
      <c r="L3520" s="5">
        <f>ROUND(tblSales[[#This Row],[DPP (excl. VAT)]]*VATEff,0)</f>
        <v>26400</v>
      </c>
      <c r="M3520" s="5">
        <f>tblSales[[#This Row],[DPP (excl. VAT)]]+tblSales[[#This Row],[Output VAT]]</f>
        <v>266400</v>
      </c>
      <c r="N3520" s="5">
        <f>tblSales[[#This Row],[Qty]]*_xlfn.XLOOKUP(tblSales[[#This Row],[Product Code]],tblProducts[Code],tblProducts[Unit Cost],0)</f>
        <v>144000</v>
      </c>
      <c r="O3520" s="4" t="s">
        <v>4866</v>
      </c>
      <c r="P3520" s="4" t="s">
        <v>4860</v>
      </c>
      <c r="Q3520" s="1" t="str">
        <f>_xlfn.XLOOKUP(tblSales[[#This Row],[Channel Code]],tblChannels[Channel Code],tblChannels[Channel Name],"")</f>
        <v>In-store</v>
      </c>
      <c r="R3520" s="1">
        <f>MONTH(tblSales[[#This Row],[Date]])</f>
        <v>7</v>
      </c>
    </row>
    <row r="3521" spans="2:18" x14ac:dyDescent="0.35">
      <c r="B3521" s="113">
        <v>46231</v>
      </c>
      <c r="C3521" s="4" t="s">
        <v>2371</v>
      </c>
      <c r="D3521" s="4" t="s">
        <v>4568</v>
      </c>
      <c r="E3521" s="1" t="str">
        <f>_xlfn.XLOOKUP(tblSales[[#This Row],[Customer ID]],tblCustomers[Customer ID],tblCustomers[Customer Name],"⚠ Unknown")</f>
        <v>Walk-in Customer</v>
      </c>
      <c r="F3521" s="4" t="s">
        <v>6</v>
      </c>
      <c r="G3521" s="1" t="str">
        <f>_xlfn.XLOOKUP(tblSales[[#This Row],[Product Code]],tblProducts[Code],tblProducts[Product / Service Name],"⚠ Unknown")</f>
        <v>Socks &amp; Accessories</v>
      </c>
      <c r="H3521" s="1" t="str">
        <f>_xlfn.XLOOKUP(tblSales[[#This Row],[Product Code]],tblProducts[Code],tblProducts[Category],"")</f>
        <v>Accessories &amp; Basics</v>
      </c>
      <c r="I3521" s="4">
        <v>5</v>
      </c>
      <c r="J3521" s="5">
        <f>_xlfn.XLOOKUP(tblSales[[#This Row],[Product Code]],tblProducts[Code],tblProducts[Selling Price (excl. VAT)],0)</f>
        <v>45000</v>
      </c>
      <c r="K3521" s="5">
        <f>tblSales[[#This Row],[Qty]]*tblSales[[#This Row],[Unit Price]]</f>
        <v>225000</v>
      </c>
      <c r="L3521" s="5">
        <f>ROUND(tblSales[[#This Row],[DPP (excl. VAT)]]*VATEff,0)</f>
        <v>24750</v>
      </c>
      <c r="M3521" s="5">
        <f>tblSales[[#This Row],[DPP (excl. VAT)]]+tblSales[[#This Row],[Output VAT]]</f>
        <v>249750</v>
      </c>
      <c r="N3521" s="5">
        <f>tblSales[[#This Row],[Qty]]*_xlfn.XLOOKUP(tblSales[[#This Row],[Product Code]],tblProducts[Code],tblProducts[Unit Cost],0)</f>
        <v>120000</v>
      </c>
      <c r="O3521" s="4" t="s">
        <v>4866</v>
      </c>
      <c r="P3521" s="4" t="s">
        <v>4861</v>
      </c>
      <c r="Q3521" s="1" t="str">
        <f>_xlfn.XLOOKUP(tblSales[[#This Row],[Channel Code]],tblChannels[Channel Code],tblChannels[Channel Name],"")</f>
        <v>Marketplace</v>
      </c>
      <c r="R3521" s="1">
        <f>MONTH(tblSales[[#This Row],[Date]])</f>
        <v>7</v>
      </c>
    </row>
    <row r="3522" spans="2:18" x14ac:dyDescent="0.35">
      <c r="B3522" s="113">
        <v>46232</v>
      </c>
      <c r="C3522" s="4" t="s">
        <v>2372</v>
      </c>
      <c r="D3522" s="4" t="s">
        <v>4568</v>
      </c>
      <c r="E3522" s="1" t="str">
        <f>_xlfn.XLOOKUP(tblSales[[#This Row],[Customer ID]],tblCustomers[Customer ID],tblCustomers[Customer Name],"⚠ Unknown")</f>
        <v>Walk-in Customer</v>
      </c>
      <c r="F3522" s="4" t="s">
        <v>8</v>
      </c>
      <c r="G3522" s="1" t="str">
        <f>_xlfn.XLOOKUP(tblSales[[#This Row],[Product Code]],tblProducts[Code],tblProducts[Product / Service Name],"⚠ Unknown")</f>
        <v>Casual Shorts</v>
      </c>
      <c r="H3522" s="1" t="str">
        <f>_xlfn.XLOOKUP(tblSales[[#This Row],[Product Code]],tblProducts[Code],tblProducts[Category],"")</f>
        <v>Accessories &amp; Basics</v>
      </c>
      <c r="I3522" s="4">
        <v>3</v>
      </c>
      <c r="J3522" s="5">
        <f>_xlfn.XLOOKUP(tblSales[[#This Row],[Product Code]],tblProducts[Code],tblProducts[Selling Price (excl. VAT)],0)</f>
        <v>85000</v>
      </c>
      <c r="K3522" s="5">
        <f>tblSales[[#This Row],[Qty]]*tblSales[[#This Row],[Unit Price]]</f>
        <v>255000</v>
      </c>
      <c r="L3522" s="5">
        <f>ROUND(tblSales[[#This Row],[DPP (excl. VAT)]]*VATEff,0)</f>
        <v>28050</v>
      </c>
      <c r="M3522" s="5">
        <f>tblSales[[#This Row],[DPP (excl. VAT)]]+tblSales[[#This Row],[Output VAT]]</f>
        <v>283050</v>
      </c>
      <c r="N3522" s="5">
        <f>tblSales[[#This Row],[Qty]]*_xlfn.XLOOKUP(tblSales[[#This Row],[Product Code]],tblProducts[Code],tblProducts[Unit Cost],0)</f>
        <v>150000</v>
      </c>
      <c r="O3522" s="4" t="s">
        <v>4865</v>
      </c>
      <c r="P3522" s="4" t="s">
        <v>4860</v>
      </c>
      <c r="Q3522" s="1" t="str">
        <f>_xlfn.XLOOKUP(tblSales[[#This Row],[Channel Code]],tblChannels[Channel Code],tblChannels[Channel Name],"")</f>
        <v>In-store</v>
      </c>
      <c r="R3522" s="1">
        <f>MONTH(tblSales[[#This Row],[Date]])</f>
        <v>7</v>
      </c>
    </row>
    <row r="3523" spans="2:18" x14ac:dyDescent="0.35">
      <c r="B3523" s="113">
        <v>46232</v>
      </c>
      <c r="C3523" s="4" t="s">
        <v>2373</v>
      </c>
      <c r="D3523" s="4" t="s">
        <v>4578</v>
      </c>
      <c r="E3523" s="1" t="str">
        <f>_xlfn.XLOOKUP(tblSales[[#This Row],[Customer ID]],tblCustomers[Customer ID],tblCustomers[Customer Name],"⚠ Unknown")</f>
        <v>PT Bintang Timur Sejahtera</v>
      </c>
      <c r="F3523" s="4" t="s">
        <v>7</v>
      </c>
      <c r="G3523" s="1" t="str">
        <f>_xlfn.XLOOKUP(tblSales[[#This Row],[Product Code]],tblProducts[Code],tblProducts[Product / Service Name],"⚠ Unknown")</f>
        <v>Premium Basic T-shirt</v>
      </c>
      <c r="H3523" s="1" t="str">
        <f>_xlfn.XLOOKUP(tblSales[[#This Row],[Product Code]],tblProducts[Code],tblProducts[Category],"")</f>
        <v>Accessories &amp; Basics</v>
      </c>
      <c r="I3523" s="4">
        <v>88</v>
      </c>
      <c r="J3523" s="5">
        <f>_xlfn.XLOOKUP(tblSales[[#This Row],[Product Code]],tblProducts[Code],tblProducts[Selling Price (excl. VAT)],0)</f>
        <v>65000</v>
      </c>
      <c r="K3523" s="5">
        <f>tblSales[[#This Row],[Qty]]*tblSales[[#This Row],[Unit Price]]</f>
        <v>5720000</v>
      </c>
      <c r="L3523" s="5">
        <f>ROUND(tblSales[[#This Row],[DPP (excl. VAT)]]*VATEff,0)</f>
        <v>629200</v>
      </c>
      <c r="M3523" s="5">
        <f>tblSales[[#This Row],[DPP (excl. VAT)]]+tblSales[[#This Row],[Output VAT]]</f>
        <v>6349200</v>
      </c>
      <c r="N3523" s="5">
        <f>tblSales[[#This Row],[Qty]]*_xlfn.XLOOKUP(tblSales[[#This Row],[Product Code]],tblProducts[Code],tblProducts[Unit Cost],0)</f>
        <v>3256000</v>
      </c>
      <c r="O3523" s="4" t="s">
        <v>4867</v>
      </c>
      <c r="P3523" s="4" t="s">
        <v>4860</v>
      </c>
      <c r="Q3523" s="1" t="str">
        <f>_xlfn.XLOOKUP(tblSales[[#This Row],[Channel Code]],tblChannels[Channel Code],tblChannels[Channel Name],"")</f>
        <v>In-store</v>
      </c>
      <c r="R3523" s="1">
        <f>MONTH(tblSales[[#This Row],[Date]])</f>
        <v>7</v>
      </c>
    </row>
    <row r="3524" spans="2:18" x14ac:dyDescent="0.35">
      <c r="B3524" s="113">
        <v>46232</v>
      </c>
      <c r="C3524" s="4" t="s">
        <v>2373</v>
      </c>
      <c r="D3524" s="4" t="s">
        <v>4578</v>
      </c>
      <c r="E3524" s="1" t="str">
        <f>_xlfn.XLOOKUP(tblSales[[#This Row],[Customer ID]],tblCustomers[Customer ID],tblCustomers[Customer Name],"⚠ Unknown")</f>
        <v>PT Bintang Timur Sejahtera</v>
      </c>
      <c r="F3524" s="4" t="s">
        <v>8</v>
      </c>
      <c r="G3524" s="1" t="str">
        <f>_xlfn.XLOOKUP(tblSales[[#This Row],[Product Code]],tblProducts[Code],tblProducts[Product / Service Name],"⚠ Unknown")</f>
        <v>Casual Shorts</v>
      </c>
      <c r="H3524" s="1" t="str">
        <f>_xlfn.XLOOKUP(tblSales[[#This Row],[Product Code]],tblProducts[Code],tblProducts[Category],"")</f>
        <v>Accessories &amp; Basics</v>
      </c>
      <c r="I3524" s="4">
        <v>96</v>
      </c>
      <c r="J3524" s="5">
        <f>_xlfn.XLOOKUP(tblSales[[#This Row],[Product Code]],tblProducts[Code],tblProducts[Selling Price (excl. VAT)],0)</f>
        <v>85000</v>
      </c>
      <c r="K3524" s="5">
        <f>tblSales[[#This Row],[Qty]]*tblSales[[#This Row],[Unit Price]]</f>
        <v>8160000</v>
      </c>
      <c r="L3524" s="5">
        <f>ROUND(tblSales[[#This Row],[DPP (excl. VAT)]]*VATEff,0)</f>
        <v>897600</v>
      </c>
      <c r="M3524" s="5">
        <f>tblSales[[#This Row],[DPP (excl. VAT)]]+tblSales[[#This Row],[Output VAT]]</f>
        <v>9057600</v>
      </c>
      <c r="N3524" s="5">
        <f>tblSales[[#This Row],[Qty]]*_xlfn.XLOOKUP(tblSales[[#This Row],[Product Code]],tblProducts[Code],tblProducts[Unit Cost],0)</f>
        <v>4800000</v>
      </c>
      <c r="O3524" s="4" t="s">
        <v>4867</v>
      </c>
      <c r="P3524" s="4" t="s">
        <v>4860</v>
      </c>
      <c r="Q3524" s="1" t="str">
        <f>_xlfn.XLOOKUP(tblSales[[#This Row],[Channel Code]],tblChannels[Channel Code],tblChannels[Channel Name],"")</f>
        <v>In-store</v>
      </c>
      <c r="R3524" s="1">
        <f>MONTH(tblSales[[#This Row],[Date]])</f>
        <v>7</v>
      </c>
    </row>
    <row r="3525" spans="2:18" x14ac:dyDescent="0.35">
      <c r="B3525" s="113">
        <v>46232</v>
      </c>
      <c r="C3525" s="4" t="s">
        <v>2374</v>
      </c>
      <c r="D3525" s="4" t="s">
        <v>4568</v>
      </c>
      <c r="E3525" s="1" t="str">
        <f>_xlfn.XLOOKUP(tblSales[[#This Row],[Customer ID]],tblCustomers[Customer ID],tblCustomers[Customer Name],"⚠ Unknown")</f>
        <v>Walk-in Customer</v>
      </c>
      <c r="F3525" s="4" t="s">
        <v>10</v>
      </c>
      <c r="G3525" s="1" t="str">
        <f>_xlfn.XLOOKUP(tblSales[[#This Row],[Product Code]],tblProducts[Code],tblProducts[Product / Service Name],"⚠ Unknown")</f>
        <v>Chino Pants</v>
      </c>
      <c r="H3525" s="1" t="str">
        <f>_xlfn.XLOOKUP(tblSales[[#This Row],[Product Code]],tblProducts[Code],tblProducts[Category],"")</f>
        <v>Apparel &amp; Footwear</v>
      </c>
      <c r="I3525" s="4">
        <v>1</v>
      </c>
      <c r="J3525" s="5">
        <f>_xlfn.XLOOKUP(tblSales[[#This Row],[Product Code]],tblProducts[Code],tblProducts[Selling Price (excl. VAT)],0)</f>
        <v>150000</v>
      </c>
      <c r="K3525" s="5">
        <f>tblSales[[#This Row],[Qty]]*tblSales[[#This Row],[Unit Price]]</f>
        <v>150000</v>
      </c>
      <c r="L3525" s="5">
        <f>ROUND(tblSales[[#This Row],[DPP (excl. VAT)]]*VATEff,0)</f>
        <v>16500</v>
      </c>
      <c r="M3525" s="5">
        <f>tblSales[[#This Row],[DPP (excl. VAT)]]+tblSales[[#This Row],[Output VAT]]</f>
        <v>166500</v>
      </c>
      <c r="N3525" s="5">
        <f>tblSales[[#This Row],[Qty]]*_xlfn.XLOOKUP(tblSales[[#This Row],[Product Code]],tblProducts[Code],tblProducts[Unit Cost],0)</f>
        <v>88000</v>
      </c>
      <c r="O3525" s="4" t="s">
        <v>4866</v>
      </c>
      <c r="P3525" s="4" t="s">
        <v>4862</v>
      </c>
      <c r="Q3525" s="1" t="str">
        <f>_xlfn.XLOOKUP(tblSales[[#This Row],[Channel Code]],tblChannels[Channel Code],tblChannels[Channel Name],"")</f>
        <v>Website &amp; Social Media</v>
      </c>
      <c r="R3525" s="1">
        <f>MONTH(tblSales[[#This Row],[Date]])</f>
        <v>7</v>
      </c>
    </row>
    <row r="3526" spans="2:18" x14ac:dyDescent="0.35">
      <c r="B3526" s="113">
        <v>46232</v>
      </c>
      <c r="C3526" s="4" t="s">
        <v>2375</v>
      </c>
      <c r="D3526" s="4" t="s">
        <v>4568</v>
      </c>
      <c r="E3526" s="1" t="str">
        <f>_xlfn.XLOOKUP(tblSales[[#This Row],[Customer ID]],tblCustomers[Customer ID],tblCustomers[Customer Name],"⚠ Unknown")</f>
        <v>Walk-in Customer</v>
      </c>
      <c r="F3526" s="4" t="s">
        <v>7</v>
      </c>
      <c r="G3526" s="1" t="str">
        <f>_xlfn.XLOOKUP(tblSales[[#This Row],[Product Code]],tblProducts[Code],tblProducts[Product / Service Name],"⚠ Unknown")</f>
        <v>Premium Basic T-shirt</v>
      </c>
      <c r="H3526" s="1" t="str">
        <f>_xlfn.XLOOKUP(tblSales[[#This Row],[Product Code]],tblProducts[Code],tblProducts[Category],"")</f>
        <v>Accessories &amp; Basics</v>
      </c>
      <c r="I3526" s="4">
        <v>3</v>
      </c>
      <c r="J3526" s="5">
        <f>_xlfn.XLOOKUP(tblSales[[#This Row],[Product Code]],tblProducts[Code],tblProducts[Selling Price (excl. VAT)],0)</f>
        <v>65000</v>
      </c>
      <c r="K3526" s="5">
        <f>tblSales[[#This Row],[Qty]]*tblSales[[#This Row],[Unit Price]]</f>
        <v>195000</v>
      </c>
      <c r="L3526" s="5">
        <f>ROUND(tblSales[[#This Row],[DPP (excl. VAT)]]*VATEff,0)</f>
        <v>21450</v>
      </c>
      <c r="M3526" s="5">
        <f>tblSales[[#This Row],[DPP (excl. VAT)]]+tblSales[[#This Row],[Output VAT]]</f>
        <v>216450</v>
      </c>
      <c r="N3526" s="5">
        <f>tblSales[[#This Row],[Qty]]*_xlfn.XLOOKUP(tblSales[[#This Row],[Product Code]],tblProducts[Code],tblProducts[Unit Cost],0)</f>
        <v>111000</v>
      </c>
      <c r="O3526" s="4" t="s">
        <v>4865</v>
      </c>
      <c r="P3526" s="4" t="s">
        <v>4860</v>
      </c>
      <c r="Q3526" s="1" t="str">
        <f>_xlfn.XLOOKUP(tblSales[[#This Row],[Channel Code]],tblChannels[Channel Code],tblChannels[Channel Name],"")</f>
        <v>In-store</v>
      </c>
      <c r="R3526" s="1">
        <f>MONTH(tblSales[[#This Row],[Date]])</f>
        <v>7</v>
      </c>
    </row>
    <row r="3527" spans="2:18" x14ac:dyDescent="0.35">
      <c r="B3527" s="113">
        <v>46232</v>
      </c>
      <c r="C3527" s="4" t="s">
        <v>2376</v>
      </c>
      <c r="D3527" s="4" t="s">
        <v>4568</v>
      </c>
      <c r="E3527" s="1" t="str">
        <f>_xlfn.XLOOKUP(tblSales[[#This Row],[Customer ID]],tblCustomers[Customer ID],tblCustomers[Customer Name],"⚠ Unknown")</f>
        <v>Walk-in Customer</v>
      </c>
      <c r="F3527" s="4" t="s">
        <v>6</v>
      </c>
      <c r="G3527" s="1" t="str">
        <f>_xlfn.XLOOKUP(tblSales[[#This Row],[Product Code]],tblProducts[Code],tblProducts[Product / Service Name],"⚠ Unknown")</f>
        <v>Socks &amp; Accessories</v>
      </c>
      <c r="H3527" s="1" t="str">
        <f>_xlfn.XLOOKUP(tblSales[[#This Row],[Product Code]],tblProducts[Code],tblProducts[Category],"")</f>
        <v>Accessories &amp; Basics</v>
      </c>
      <c r="I3527" s="4">
        <v>6</v>
      </c>
      <c r="J3527" s="5">
        <f>_xlfn.XLOOKUP(tblSales[[#This Row],[Product Code]],tblProducts[Code],tblProducts[Selling Price (excl. VAT)],0)</f>
        <v>45000</v>
      </c>
      <c r="K3527" s="5">
        <f>tblSales[[#This Row],[Qty]]*tblSales[[#This Row],[Unit Price]]</f>
        <v>270000</v>
      </c>
      <c r="L3527" s="5">
        <f>ROUND(tblSales[[#This Row],[DPP (excl. VAT)]]*VATEff,0)</f>
        <v>29700</v>
      </c>
      <c r="M3527" s="5">
        <f>tblSales[[#This Row],[DPP (excl. VAT)]]+tblSales[[#This Row],[Output VAT]]</f>
        <v>299700</v>
      </c>
      <c r="N3527" s="5">
        <f>tblSales[[#This Row],[Qty]]*_xlfn.XLOOKUP(tblSales[[#This Row],[Product Code]],tblProducts[Code],tblProducts[Unit Cost],0)</f>
        <v>144000</v>
      </c>
      <c r="O3527" s="4" t="s">
        <v>4865</v>
      </c>
      <c r="P3527" s="4" t="s">
        <v>4860</v>
      </c>
      <c r="Q3527" s="1" t="str">
        <f>_xlfn.XLOOKUP(tblSales[[#This Row],[Channel Code]],tblChannels[Channel Code],tblChannels[Channel Name],"")</f>
        <v>In-store</v>
      </c>
      <c r="R3527" s="1">
        <f>MONTH(tblSales[[#This Row],[Date]])</f>
        <v>7</v>
      </c>
    </row>
    <row r="3528" spans="2:18" x14ac:dyDescent="0.35">
      <c r="B3528" s="113">
        <v>46232</v>
      </c>
      <c r="C3528" s="4" t="s">
        <v>2377</v>
      </c>
      <c r="D3528" s="4" t="s">
        <v>4593</v>
      </c>
      <c r="E3528" s="1" t="str">
        <f>_xlfn.XLOOKUP(tblSales[[#This Row],[Customer ID]],tblCustomers[Customer ID],tblCustomers[Customer Name],"⚠ Unknown")</f>
        <v>PT Graha Nusa Persada</v>
      </c>
      <c r="F3528" s="4" t="s">
        <v>12</v>
      </c>
      <c r="G3528" s="1" t="str">
        <f>_xlfn.XLOOKUP(tblSales[[#This Row],[Product Code]],tblProducts[Code],tblProducts[Product / Service Name],"⚠ Unknown")</f>
        <v>Bomber Jacket</v>
      </c>
      <c r="H3528" s="1" t="str">
        <f>_xlfn.XLOOKUP(tblSales[[#This Row],[Product Code]],tblProducts[Code],tblProducts[Category],"")</f>
        <v>Apparel &amp; Footwear</v>
      </c>
      <c r="I3528" s="4">
        <v>16</v>
      </c>
      <c r="J3528" s="5">
        <f>_xlfn.XLOOKUP(tblSales[[#This Row],[Product Code]],tblProducts[Code],tblProducts[Selling Price (excl. VAT)],0)</f>
        <v>350000</v>
      </c>
      <c r="K3528" s="5">
        <f>tblSales[[#This Row],[Qty]]*tblSales[[#This Row],[Unit Price]]</f>
        <v>5600000</v>
      </c>
      <c r="L3528" s="5">
        <f>ROUND(tblSales[[#This Row],[DPP (excl. VAT)]]*VATEff,0)</f>
        <v>616000</v>
      </c>
      <c r="M3528" s="5">
        <f>tblSales[[#This Row],[DPP (excl. VAT)]]+tblSales[[#This Row],[Output VAT]]</f>
        <v>6216000</v>
      </c>
      <c r="N3528" s="5">
        <f>tblSales[[#This Row],[Qty]]*_xlfn.XLOOKUP(tblSales[[#This Row],[Product Code]],tblProducts[Code],tblProducts[Unit Cost],0)</f>
        <v>3360000</v>
      </c>
      <c r="O3528" s="4" t="s">
        <v>4867</v>
      </c>
      <c r="P3528" s="4" t="s">
        <v>4860</v>
      </c>
      <c r="Q3528" s="1" t="str">
        <f>_xlfn.XLOOKUP(tblSales[[#This Row],[Channel Code]],tblChannels[Channel Code],tblChannels[Channel Name],"")</f>
        <v>In-store</v>
      </c>
      <c r="R3528" s="1">
        <f>MONTH(tblSales[[#This Row],[Date]])</f>
        <v>7</v>
      </c>
    </row>
    <row r="3529" spans="2:18" x14ac:dyDescent="0.35">
      <c r="B3529" s="113">
        <v>46232</v>
      </c>
      <c r="C3529" s="4" t="s">
        <v>2378</v>
      </c>
      <c r="D3529" s="4" t="s">
        <v>4568</v>
      </c>
      <c r="E3529" s="1" t="str">
        <f>_xlfn.XLOOKUP(tblSales[[#This Row],[Customer ID]],tblCustomers[Customer ID],tblCustomers[Customer Name],"⚠ Unknown")</f>
        <v>Walk-in Customer</v>
      </c>
      <c r="F3529" s="4" t="s">
        <v>9</v>
      </c>
      <c r="G3529" s="1" t="str">
        <f>_xlfn.XLOOKUP(tblSales[[#This Row],[Product Code]],tblProducts[Code],tblProducts[Product / Service Name],"⚠ Unknown")</f>
        <v>Casual Shirt</v>
      </c>
      <c r="H3529" s="1" t="str">
        <f>_xlfn.XLOOKUP(tblSales[[#This Row],[Product Code]],tblProducts[Code],tblProducts[Category],"")</f>
        <v>Apparel &amp; Footwear</v>
      </c>
      <c r="I3529" s="4">
        <v>8</v>
      </c>
      <c r="J3529" s="5">
        <f>_xlfn.XLOOKUP(tblSales[[#This Row],[Product Code]],tblProducts[Code],tblProducts[Selling Price (excl. VAT)],0)</f>
        <v>120000</v>
      </c>
      <c r="K3529" s="5">
        <f>tblSales[[#This Row],[Qty]]*tblSales[[#This Row],[Unit Price]]</f>
        <v>960000</v>
      </c>
      <c r="L3529" s="5">
        <f>ROUND(tblSales[[#This Row],[DPP (excl. VAT)]]*VATEff,0)</f>
        <v>105600</v>
      </c>
      <c r="M3529" s="5">
        <f>tblSales[[#This Row],[DPP (excl. VAT)]]+tblSales[[#This Row],[Output VAT]]</f>
        <v>1065600</v>
      </c>
      <c r="N3529" s="5">
        <f>tblSales[[#This Row],[Qty]]*_xlfn.XLOOKUP(tblSales[[#This Row],[Product Code]],tblProducts[Code],tblProducts[Unit Cost],0)</f>
        <v>576000</v>
      </c>
      <c r="O3529" s="4" t="s">
        <v>4866</v>
      </c>
      <c r="P3529" s="4" t="s">
        <v>4860</v>
      </c>
      <c r="Q3529" s="1" t="str">
        <f>_xlfn.XLOOKUP(tblSales[[#This Row],[Channel Code]],tblChannels[Channel Code],tblChannels[Channel Name],"")</f>
        <v>In-store</v>
      </c>
      <c r="R3529" s="1">
        <f>MONTH(tblSales[[#This Row],[Date]])</f>
        <v>7</v>
      </c>
    </row>
    <row r="3530" spans="2:18" x14ac:dyDescent="0.35">
      <c r="B3530" s="113">
        <v>46232</v>
      </c>
      <c r="C3530" s="4" t="s">
        <v>2379</v>
      </c>
      <c r="D3530" s="4" t="s">
        <v>4568</v>
      </c>
      <c r="E3530" s="1" t="str">
        <f>_xlfn.XLOOKUP(tblSales[[#This Row],[Customer ID]],tblCustomers[Customer ID],tblCustomers[Customer Name],"⚠ Unknown")</f>
        <v>Walk-in Customer</v>
      </c>
      <c r="F3530" s="4" t="s">
        <v>14</v>
      </c>
      <c r="G3530" s="1" t="str">
        <f>_xlfn.XLOOKUP(tblSales[[#This Row],[Product Code]],tblProducts[Code],tblProducts[Product / Service Name],"⚠ Unknown")</f>
        <v>Smartwatch</v>
      </c>
      <c r="H3530" s="1" t="str">
        <f>_xlfn.XLOOKUP(tblSales[[#This Row],[Product Code]],tblProducts[Code],tblProducts[Category],"")</f>
        <v>Bags &amp; Gadgets</v>
      </c>
      <c r="I3530" s="4">
        <v>2</v>
      </c>
      <c r="J3530" s="5">
        <f>_xlfn.XLOOKUP(tblSales[[#This Row],[Product Code]],tblProducts[Code],tblProducts[Selling Price (excl. VAT)],0)</f>
        <v>850000</v>
      </c>
      <c r="K3530" s="5">
        <f>tblSales[[#This Row],[Qty]]*tblSales[[#This Row],[Unit Price]]</f>
        <v>1700000</v>
      </c>
      <c r="L3530" s="5">
        <f>ROUND(tblSales[[#This Row],[DPP (excl. VAT)]]*VATEff,0)</f>
        <v>187000</v>
      </c>
      <c r="M3530" s="5">
        <f>tblSales[[#This Row],[DPP (excl. VAT)]]+tblSales[[#This Row],[Output VAT]]</f>
        <v>1887000</v>
      </c>
      <c r="N3530" s="5">
        <f>tblSales[[#This Row],[Qty]]*_xlfn.XLOOKUP(tblSales[[#This Row],[Product Code]],tblProducts[Code],tblProducts[Unit Cost],0)</f>
        <v>1120000</v>
      </c>
      <c r="O3530" s="4" t="s">
        <v>4866</v>
      </c>
      <c r="P3530" s="4" t="s">
        <v>4861</v>
      </c>
      <c r="Q3530" s="1" t="str">
        <f>_xlfn.XLOOKUP(tblSales[[#This Row],[Channel Code]],tblChannels[Channel Code],tblChannels[Channel Name],"")</f>
        <v>Marketplace</v>
      </c>
      <c r="R3530" s="1">
        <f>MONTH(tblSales[[#This Row],[Date]])</f>
        <v>7</v>
      </c>
    </row>
    <row r="3531" spans="2:18" x14ac:dyDescent="0.35">
      <c r="B3531" s="113">
        <v>46232</v>
      </c>
      <c r="C3531" s="4" t="s">
        <v>2380</v>
      </c>
      <c r="D3531" s="4" t="s">
        <v>4568</v>
      </c>
      <c r="E3531" s="1" t="str">
        <f>_xlfn.XLOOKUP(tblSales[[#This Row],[Customer ID]],tblCustomers[Customer ID],tblCustomers[Customer Name],"⚠ Unknown")</f>
        <v>Walk-in Customer</v>
      </c>
      <c r="F3531" s="4" t="s">
        <v>8</v>
      </c>
      <c r="G3531" s="1" t="str">
        <f>_xlfn.XLOOKUP(tblSales[[#This Row],[Product Code]],tblProducts[Code],tblProducts[Product / Service Name],"⚠ Unknown")</f>
        <v>Casual Shorts</v>
      </c>
      <c r="H3531" s="1" t="str">
        <f>_xlfn.XLOOKUP(tblSales[[#This Row],[Product Code]],tblProducts[Code],tblProducts[Category],"")</f>
        <v>Accessories &amp; Basics</v>
      </c>
      <c r="I3531" s="4">
        <v>5</v>
      </c>
      <c r="J3531" s="5">
        <f>_xlfn.XLOOKUP(tblSales[[#This Row],[Product Code]],tblProducts[Code],tblProducts[Selling Price (excl. VAT)],0)</f>
        <v>85000</v>
      </c>
      <c r="K3531" s="5">
        <f>tblSales[[#This Row],[Qty]]*tblSales[[#This Row],[Unit Price]]</f>
        <v>425000</v>
      </c>
      <c r="L3531" s="5">
        <f>ROUND(tblSales[[#This Row],[DPP (excl. VAT)]]*VATEff,0)</f>
        <v>46750</v>
      </c>
      <c r="M3531" s="5">
        <f>tblSales[[#This Row],[DPP (excl. VAT)]]+tblSales[[#This Row],[Output VAT]]</f>
        <v>471750</v>
      </c>
      <c r="N3531" s="5">
        <f>tblSales[[#This Row],[Qty]]*_xlfn.XLOOKUP(tblSales[[#This Row],[Product Code]],tblProducts[Code],tblProducts[Unit Cost],0)</f>
        <v>250000</v>
      </c>
      <c r="O3531" s="4" t="s">
        <v>4865</v>
      </c>
      <c r="P3531" s="4" t="s">
        <v>4860</v>
      </c>
      <c r="Q3531" s="1" t="str">
        <f>_xlfn.XLOOKUP(tblSales[[#This Row],[Channel Code]],tblChannels[Channel Code],tblChannels[Channel Name],"")</f>
        <v>In-store</v>
      </c>
      <c r="R3531" s="1">
        <f>MONTH(tblSales[[#This Row],[Date]])</f>
        <v>7</v>
      </c>
    </row>
    <row r="3532" spans="2:18" x14ac:dyDescent="0.35">
      <c r="B3532" s="113">
        <v>46232</v>
      </c>
      <c r="C3532" s="4" t="s">
        <v>2381</v>
      </c>
      <c r="D3532" s="4" t="s">
        <v>4568</v>
      </c>
      <c r="E3532" s="1" t="str">
        <f>_xlfn.XLOOKUP(tblSales[[#This Row],[Customer ID]],tblCustomers[Customer ID],tblCustomers[Customer Name],"⚠ Unknown")</f>
        <v>Walk-in Customer</v>
      </c>
      <c r="F3532" s="4" t="s">
        <v>7</v>
      </c>
      <c r="G3532" s="1" t="str">
        <f>_xlfn.XLOOKUP(tblSales[[#This Row],[Product Code]],tblProducts[Code],tblProducts[Product / Service Name],"⚠ Unknown")</f>
        <v>Premium Basic T-shirt</v>
      </c>
      <c r="H3532" s="1" t="str">
        <f>_xlfn.XLOOKUP(tblSales[[#This Row],[Product Code]],tblProducts[Code],tblProducts[Category],"")</f>
        <v>Accessories &amp; Basics</v>
      </c>
      <c r="I3532" s="4">
        <v>5</v>
      </c>
      <c r="J3532" s="5">
        <f>_xlfn.XLOOKUP(tblSales[[#This Row],[Product Code]],tblProducts[Code],tblProducts[Selling Price (excl. VAT)],0)</f>
        <v>65000</v>
      </c>
      <c r="K3532" s="5">
        <f>tblSales[[#This Row],[Qty]]*tblSales[[#This Row],[Unit Price]]</f>
        <v>325000</v>
      </c>
      <c r="L3532" s="5">
        <f>ROUND(tblSales[[#This Row],[DPP (excl. VAT)]]*VATEff,0)</f>
        <v>35750</v>
      </c>
      <c r="M3532" s="5">
        <f>tblSales[[#This Row],[DPP (excl. VAT)]]+tblSales[[#This Row],[Output VAT]]</f>
        <v>360750</v>
      </c>
      <c r="N3532" s="5">
        <f>tblSales[[#This Row],[Qty]]*_xlfn.XLOOKUP(tblSales[[#This Row],[Product Code]],tblProducts[Code],tblProducts[Unit Cost],0)</f>
        <v>185000</v>
      </c>
      <c r="O3532" s="4" t="s">
        <v>4866</v>
      </c>
      <c r="P3532" s="4" t="s">
        <v>4860</v>
      </c>
      <c r="Q3532" s="1" t="str">
        <f>_xlfn.XLOOKUP(tblSales[[#This Row],[Channel Code]],tblChannels[Channel Code],tblChannels[Channel Name],"")</f>
        <v>In-store</v>
      </c>
      <c r="R3532" s="1">
        <f>MONTH(tblSales[[#This Row],[Date]])</f>
        <v>7</v>
      </c>
    </row>
    <row r="3533" spans="2:18" x14ac:dyDescent="0.35">
      <c r="B3533" s="113">
        <v>46232</v>
      </c>
      <c r="C3533" s="4" t="s">
        <v>2382</v>
      </c>
      <c r="D3533" s="4" t="s">
        <v>4568</v>
      </c>
      <c r="E3533" s="1" t="str">
        <f>_xlfn.XLOOKUP(tblSales[[#This Row],[Customer ID]],tblCustomers[Customer ID],tblCustomers[Customer Name],"⚠ Unknown")</f>
        <v>Walk-in Customer</v>
      </c>
      <c r="F3533" s="4" t="s">
        <v>6</v>
      </c>
      <c r="G3533" s="1" t="str">
        <f>_xlfn.XLOOKUP(tblSales[[#This Row],[Product Code]],tblProducts[Code],tblProducts[Product / Service Name],"⚠ Unknown")</f>
        <v>Socks &amp; Accessories</v>
      </c>
      <c r="H3533" s="1" t="str">
        <f>_xlfn.XLOOKUP(tblSales[[#This Row],[Product Code]],tblProducts[Code],tblProducts[Category],"")</f>
        <v>Accessories &amp; Basics</v>
      </c>
      <c r="I3533" s="4">
        <v>12</v>
      </c>
      <c r="J3533" s="5">
        <f>_xlfn.XLOOKUP(tblSales[[#This Row],[Product Code]],tblProducts[Code],tblProducts[Selling Price (excl. VAT)],0)</f>
        <v>45000</v>
      </c>
      <c r="K3533" s="5">
        <f>tblSales[[#This Row],[Qty]]*tblSales[[#This Row],[Unit Price]]</f>
        <v>540000</v>
      </c>
      <c r="L3533" s="5">
        <f>ROUND(tblSales[[#This Row],[DPP (excl. VAT)]]*VATEff,0)</f>
        <v>59400</v>
      </c>
      <c r="M3533" s="5">
        <f>tblSales[[#This Row],[DPP (excl. VAT)]]+tblSales[[#This Row],[Output VAT]]</f>
        <v>599400</v>
      </c>
      <c r="N3533" s="5">
        <f>tblSales[[#This Row],[Qty]]*_xlfn.XLOOKUP(tblSales[[#This Row],[Product Code]],tblProducts[Code],tblProducts[Unit Cost],0)</f>
        <v>288000</v>
      </c>
      <c r="O3533" s="4" t="s">
        <v>4866</v>
      </c>
      <c r="P3533" s="4" t="s">
        <v>4862</v>
      </c>
      <c r="Q3533" s="1" t="str">
        <f>_xlfn.XLOOKUP(tblSales[[#This Row],[Channel Code]],tblChannels[Channel Code],tblChannels[Channel Name],"")</f>
        <v>Website &amp; Social Media</v>
      </c>
      <c r="R3533" s="1">
        <f>MONTH(tblSales[[#This Row],[Date]])</f>
        <v>7</v>
      </c>
    </row>
    <row r="3534" spans="2:18" x14ac:dyDescent="0.35">
      <c r="B3534" s="113">
        <v>46232</v>
      </c>
      <c r="C3534" s="4" t="s">
        <v>2383</v>
      </c>
      <c r="D3534" s="4" t="s">
        <v>4568</v>
      </c>
      <c r="E3534" s="1" t="str">
        <f>_xlfn.XLOOKUP(tblSales[[#This Row],[Customer ID]],tblCustomers[Customer ID],tblCustomers[Customer Name],"⚠ Unknown")</f>
        <v>Walk-in Customer</v>
      </c>
      <c r="F3534" s="4" t="s">
        <v>6</v>
      </c>
      <c r="G3534" s="1" t="str">
        <f>_xlfn.XLOOKUP(tblSales[[#This Row],[Product Code]],tblProducts[Code],tblProducts[Product / Service Name],"⚠ Unknown")</f>
        <v>Socks &amp; Accessories</v>
      </c>
      <c r="H3534" s="1" t="str">
        <f>_xlfn.XLOOKUP(tblSales[[#This Row],[Product Code]],tblProducts[Code],tblProducts[Category],"")</f>
        <v>Accessories &amp; Basics</v>
      </c>
      <c r="I3534" s="4">
        <v>7</v>
      </c>
      <c r="J3534" s="5">
        <f>_xlfn.XLOOKUP(tblSales[[#This Row],[Product Code]],tblProducts[Code],tblProducts[Selling Price (excl. VAT)],0)</f>
        <v>45000</v>
      </c>
      <c r="K3534" s="5">
        <f>tblSales[[#This Row],[Qty]]*tblSales[[#This Row],[Unit Price]]</f>
        <v>315000</v>
      </c>
      <c r="L3534" s="5">
        <f>ROUND(tblSales[[#This Row],[DPP (excl. VAT)]]*VATEff,0)</f>
        <v>34650</v>
      </c>
      <c r="M3534" s="5">
        <f>tblSales[[#This Row],[DPP (excl. VAT)]]+tblSales[[#This Row],[Output VAT]]</f>
        <v>349650</v>
      </c>
      <c r="N3534" s="5">
        <f>tblSales[[#This Row],[Qty]]*_xlfn.XLOOKUP(tblSales[[#This Row],[Product Code]],tblProducts[Code],tblProducts[Unit Cost],0)</f>
        <v>168000</v>
      </c>
      <c r="O3534" s="4" t="s">
        <v>4865</v>
      </c>
      <c r="P3534" s="4" t="s">
        <v>4860</v>
      </c>
      <c r="Q3534" s="1" t="str">
        <f>_xlfn.XLOOKUP(tblSales[[#This Row],[Channel Code]],tblChannels[Channel Code],tblChannels[Channel Name],"")</f>
        <v>In-store</v>
      </c>
      <c r="R3534" s="1">
        <f>MONTH(tblSales[[#This Row],[Date]])</f>
        <v>7</v>
      </c>
    </row>
    <row r="3535" spans="2:18" x14ac:dyDescent="0.35">
      <c r="B3535" s="113">
        <v>46232</v>
      </c>
      <c r="C3535" s="4" t="s">
        <v>2384</v>
      </c>
      <c r="D3535" s="4" t="s">
        <v>4568</v>
      </c>
      <c r="E3535" s="1" t="str">
        <f>_xlfn.XLOOKUP(tblSales[[#This Row],[Customer ID]],tblCustomers[Customer ID],tblCustomers[Customer Name],"⚠ Unknown")</f>
        <v>Walk-in Customer</v>
      </c>
      <c r="F3535" s="4" t="s">
        <v>9</v>
      </c>
      <c r="G3535" s="1" t="str">
        <f>_xlfn.XLOOKUP(tblSales[[#This Row],[Product Code]],tblProducts[Code],tblProducts[Product / Service Name],"⚠ Unknown")</f>
        <v>Casual Shirt</v>
      </c>
      <c r="H3535" s="1" t="str">
        <f>_xlfn.XLOOKUP(tblSales[[#This Row],[Product Code]],tblProducts[Code],tblProducts[Category],"")</f>
        <v>Apparel &amp; Footwear</v>
      </c>
      <c r="I3535" s="4">
        <v>3</v>
      </c>
      <c r="J3535" s="5">
        <f>_xlfn.XLOOKUP(tblSales[[#This Row],[Product Code]],tblProducts[Code],tblProducts[Selling Price (excl. VAT)],0)</f>
        <v>120000</v>
      </c>
      <c r="K3535" s="5">
        <f>tblSales[[#This Row],[Qty]]*tblSales[[#This Row],[Unit Price]]</f>
        <v>360000</v>
      </c>
      <c r="L3535" s="5">
        <f>ROUND(tblSales[[#This Row],[DPP (excl. VAT)]]*VATEff,0)</f>
        <v>39600</v>
      </c>
      <c r="M3535" s="5">
        <f>tblSales[[#This Row],[DPP (excl. VAT)]]+tblSales[[#This Row],[Output VAT]]</f>
        <v>399600</v>
      </c>
      <c r="N3535" s="5">
        <f>tblSales[[#This Row],[Qty]]*_xlfn.XLOOKUP(tblSales[[#This Row],[Product Code]],tblProducts[Code],tblProducts[Unit Cost],0)</f>
        <v>216000</v>
      </c>
      <c r="O3535" s="4" t="s">
        <v>4866</v>
      </c>
      <c r="P3535" s="4" t="s">
        <v>4860</v>
      </c>
      <c r="Q3535" s="1" t="str">
        <f>_xlfn.XLOOKUP(tblSales[[#This Row],[Channel Code]],tblChannels[Channel Code],tblChannels[Channel Name],"")</f>
        <v>In-store</v>
      </c>
      <c r="R3535" s="1">
        <f>MONTH(tblSales[[#This Row],[Date]])</f>
        <v>7</v>
      </c>
    </row>
    <row r="3536" spans="2:18" x14ac:dyDescent="0.35">
      <c r="B3536" s="113">
        <v>46233</v>
      </c>
      <c r="C3536" s="4" t="s">
        <v>2385</v>
      </c>
      <c r="D3536" s="4" t="s">
        <v>4568</v>
      </c>
      <c r="E3536" s="1" t="str">
        <f>_xlfn.XLOOKUP(tblSales[[#This Row],[Customer ID]],tblCustomers[Customer ID],tblCustomers[Customer Name],"⚠ Unknown")</f>
        <v>Walk-in Customer</v>
      </c>
      <c r="F3536" s="4" t="s">
        <v>8</v>
      </c>
      <c r="G3536" s="1" t="str">
        <f>_xlfn.XLOOKUP(tblSales[[#This Row],[Product Code]],tblProducts[Code],tblProducts[Product / Service Name],"⚠ Unknown")</f>
        <v>Casual Shorts</v>
      </c>
      <c r="H3536" s="1" t="str">
        <f>_xlfn.XLOOKUP(tblSales[[#This Row],[Product Code]],tblProducts[Code],tblProducts[Category],"")</f>
        <v>Accessories &amp; Basics</v>
      </c>
      <c r="I3536" s="4">
        <v>2</v>
      </c>
      <c r="J3536" s="5">
        <f>_xlfn.XLOOKUP(tblSales[[#This Row],[Product Code]],tblProducts[Code],tblProducts[Selling Price (excl. VAT)],0)</f>
        <v>85000</v>
      </c>
      <c r="K3536" s="5">
        <f>tblSales[[#This Row],[Qty]]*tblSales[[#This Row],[Unit Price]]</f>
        <v>170000</v>
      </c>
      <c r="L3536" s="5">
        <f>ROUND(tblSales[[#This Row],[DPP (excl. VAT)]]*VATEff,0)</f>
        <v>18700</v>
      </c>
      <c r="M3536" s="5">
        <f>tblSales[[#This Row],[DPP (excl. VAT)]]+tblSales[[#This Row],[Output VAT]]</f>
        <v>188700</v>
      </c>
      <c r="N3536" s="5">
        <f>tblSales[[#This Row],[Qty]]*_xlfn.XLOOKUP(tblSales[[#This Row],[Product Code]],tblProducts[Code],tblProducts[Unit Cost],0)</f>
        <v>100000</v>
      </c>
      <c r="O3536" s="4" t="s">
        <v>4865</v>
      </c>
      <c r="P3536" s="4" t="s">
        <v>4860</v>
      </c>
      <c r="Q3536" s="1" t="str">
        <f>_xlfn.XLOOKUP(tblSales[[#This Row],[Channel Code]],tblChannels[Channel Code],tblChannels[Channel Name],"")</f>
        <v>In-store</v>
      </c>
      <c r="R3536" s="1">
        <f>MONTH(tblSales[[#This Row],[Date]])</f>
        <v>7</v>
      </c>
    </row>
    <row r="3537" spans="2:18" x14ac:dyDescent="0.35">
      <c r="B3537" s="113">
        <v>46233</v>
      </c>
      <c r="C3537" s="4" t="s">
        <v>2385</v>
      </c>
      <c r="D3537" s="4" t="s">
        <v>4568</v>
      </c>
      <c r="E3537" s="1" t="str">
        <f>_xlfn.XLOOKUP(tblSales[[#This Row],[Customer ID]],tblCustomers[Customer ID],tblCustomers[Customer Name],"⚠ Unknown")</f>
        <v>Walk-in Customer</v>
      </c>
      <c r="F3537" s="4" t="s">
        <v>12</v>
      </c>
      <c r="G3537" s="1" t="str">
        <f>_xlfn.XLOOKUP(tblSales[[#This Row],[Product Code]],tblProducts[Code],tblProducts[Product / Service Name],"⚠ Unknown")</f>
        <v>Bomber Jacket</v>
      </c>
      <c r="H3537" s="1" t="str">
        <f>_xlfn.XLOOKUP(tblSales[[#This Row],[Product Code]],tblProducts[Code],tblProducts[Category],"")</f>
        <v>Apparel &amp; Footwear</v>
      </c>
      <c r="I3537" s="4">
        <v>4</v>
      </c>
      <c r="J3537" s="5">
        <f>_xlfn.XLOOKUP(tblSales[[#This Row],[Product Code]],tblProducts[Code],tblProducts[Selling Price (excl. VAT)],0)</f>
        <v>350000</v>
      </c>
      <c r="K3537" s="5">
        <f>tblSales[[#This Row],[Qty]]*tblSales[[#This Row],[Unit Price]]</f>
        <v>1400000</v>
      </c>
      <c r="L3537" s="5">
        <f>ROUND(tblSales[[#This Row],[DPP (excl. VAT)]]*VATEff,0)</f>
        <v>154000</v>
      </c>
      <c r="M3537" s="5">
        <f>tblSales[[#This Row],[DPP (excl. VAT)]]+tblSales[[#This Row],[Output VAT]]</f>
        <v>1554000</v>
      </c>
      <c r="N3537" s="5">
        <f>tblSales[[#This Row],[Qty]]*_xlfn.XLOOKUP(tblSales[[#This Row],[Product Code]],tblProducts[Code],tblProducts[Unit Cost],0)</f>
        <v>840000</v>
      </c>
      <c r="O3537" s="4" t="s">
        <v>4865</v>
      </c>
      <c r="P3537" s="4" t="s">
        <v>4860</v>
      </c>
      <c r="Q3537" s="1" t="str">
        <f>_xlfn.XLOOKUP(tblSales[[#This Row],[Channel Code]],tblChannels[Channel Code],tblChannels[Channel Name],"")</f>
        <v>In-store</v>
      </c>
      <c r="R3537" s="1">
        <f>MONTH(tblSales[[#This Row],[Date]])</f>
        <v>7</v>
      </c>
    </row>
    <row r="3538" spans="2:18" x14ac:dyDescent="0.35">
      <c r="B3538" s="113">
        <v>46233</v>
      </c>
      <c r="C3538" s="4" t="s">
        <v>2386</v>
      </c>
      <c r="D3538" s="4" t="s">
        <v>4568</v>
      </c>
      <c r="E3538" s="1" t="str">
        <f>_xlfn.XLOOKUP(tblSales[[#This Row],[Customer ID]],tblCustomers[Customer ID],tblCustomers[Customer Name],"⚠ Unknown")</f>
        <v>Walk-in Customer</v>
      </c>
      <c r="F3538" s="4" t="s">
        <v>15</v>
      </c>
      <c r="G3538" s="1" t="str">
        <f>_xlfn.XLOOKUP(tblSales[[#This Row],[Product Code]],tblProducts[Code],tblProducts[Product / Service Name],"⚠ Unknown")</f>
        <v>Wireless Earbuds Pro</v>
      </c>
      <c r="H3538" s="1" t="str">
        <f>_xlfn.XLOOKUP(tblSales[[#This Row],[Product Code]],tblProducts[Code],tblProducts[Category],"")</f>
        <v>Bags &amp; Gadgets</v>
      </c>
      <c r="I3538" s="4">
        <v>2</v>
      </c>
      <c r="J3538" s="5">
        <f>_xlfn.XLOOKUP(tblSales[[#This Row],[Product Code]],tblProducts[Code],tblProducts[Selling Price (excl. VAT)],0)</f>
        <v>1250000</v>
      </c>
      <c r="K3538" s="5">
        <f>tblSales[[#This Row],[Qty]]*tblSales[[#This Row],[Unit Price]]</f>
        <v>2500000</v>
      </c>
      <c r="L3538" s="5">
        <f>ROUND(tblSales[[#This Row],[DPP (excl. VAT)]]*VATEff,0)</f>
        <v>275000</v>
      </c>
      <c r="M3538" s="5">
        <f>tblSales[[#This Row],[DPP (excl. VAT)]]+tblSales[[#This Row],[Output VAT]]</f>
        <v>2775000</v>
      </c>
      <c r="N3538" s="5">
        <f>tblSales[[#This Row],[Qty]]*_xlfn.XLOOKUP(tblSales[[#This Row],[Product Code]],tblProducts[Code],tblProducts[Unit Cost],0)</f>
        <v>1640000</v>
      </c>
      <c r="O3538" s="4" t="s">
        <v>4866</v>
      </c>
      <c r="P3538" s="4" t="s">
        <v>4860</v>
      </c>
      <c r="Q3538" s="1" t="str">
        <f>_xlfn.XLOOKUP(tblSales[[#This Row],[Channel Code]],tblChannels[Channel Code],tblChannels[Channel Name],"")</f>
        <v>In-store</v>
      </c>
      <c r="R3538" s="1">
        <f>MONTH(tblSales[[#This Row],[Date]])</f>
        <v>7</v>
      </c>
    </row>
    <row r="3539" spans="2:18" x14ac:dyDescent="0.35">
      <c r="B3539" s="113">
        <v>46233</v>
      </c>
      <c r="C3539" s="4" t="s">
        <v>2386</v>
      </c>
      <c r="D3539" s="4" t="s">
        <v>4568</v>
      </c>
      <c r="E3539" s="1" t="str">
        <f>_xlfn.XLOOKUP(tblSales[[#This Row],[Customer ID]],tblCustomers[Customer ID],tblCustomers[Customer Name],"⚠ Unknown")</f>
        <v>Walk-in Customer</v>
      </c>
      <c r="F3539" s="4" t="s">
        <v>9</v>
      </c>
      <c r="G3539" s="1" t="str">
        <f>_xlfn.XLOOKUP(tblSales[[#This Row],[Product Code]],tblProducts[Code],tblProducts[Product / Service Name],"⚠ Unknown")</f>
        <v>Casual Shirt</v>
      </c>
      <c r="H3539" s="1" t="str">
        <f>_xlfn.XLOOKUP(tblSales[[#This Row],[Product Code]],tblProducts[Code],tblProducts[Category],"")</f>
        <v>Apparel &amp; Footwear</v>
      </c>
      <c r="I3539" s="4">
        <v>10</v>
      </c>
      <c r="J3539" s="5">
        <f>_xlfn.XLOOKUP(tblSales[[#This Row],[Product Code]],tblProducts[Code],tblProducts[Selling Price (excl. VAT)],0)</f>
        <v>120000</v>
      </c>
      <c r="K3539" s="5">
        <f>tblSales[[#This Row],[Qty]]*tblSales[[#This Row],[Unit Price]]</f>
        <v>1200000</v>
      </c>
      <c r="L3539" s="5">
        <f>ROUND(tblSales[[#This Row],[DPP (excl. VAT)]]*VATEff,0)</f>
        <v>132000</v>
      </c>
      <c r="M3539" s="5">
        <f>tblSales[[#This Row],[DPP (excl. VAT)]]+tblSales[[#This Row],[Output VAT]]</f>
        <v>1332000</v>
      </c>
      <c r="N3539" s="5">
        <f>tblSales[[#This Row],[Qty]]*_xlfn.XLOOKUP(tblSales[[#This Row],[Product Code]],tblProducts[Code],tblProducts[Unit Cost],0)</f>
        <v>720000</v>
      </c>
      <c r="O3539" s="4" t="s">
        <v>4866</v>
      </c>
      <c r="P3539" s="4" t="s">
        <v>4860</v>
      </c>
      <c r="Q3539" s="1" t="str">
        <f>_xlfn.XLOOKUP(tblSales[[#This Row],[Channel Code]],tblChannels[Channel Code],tblChannels[Channel Name],"")</f>
        <v>In-store</v>
      </c>
      <c r="R3539" s="1">
        <f>MONTH(tblSales[[#This Row],[Date]])</f>
        <v>7</v>
      </c>
    </row>
    <row r="3540" spans="2:18" x14ac:dyDescent="0.35">
      <c r="B3540" s="113">
        <v>46233</v>
      </c>
      <c r="C3540" s="4" t="s">
        <v>2387</v>
      </c>
      <c r="D3540" s="4" t="s">
        <v>4568</v>
      </c>
      <c r="E3540" s="1" t="str">
        <f>_xlfn.XLOOKUP(tblSales[[#This Row],[Customer ID]],tblCustomers[Customer ID],tblCustomers[Customer Name],"⚠ Unknown")</f>
        <v>Walk-in Customer</v>
      </c>
      <c r="F3540" s="4" t="s">
        <v>10</v>
      </c>
      <c r="G3540" s="1" t="str">
        <f>_xlfn.XLOOKUP(tblSales[[#This Row],[Product Code]],tblProducts[Code],tblProducts[Product / Service Name],"⚠ Unknown")</f>
        <v>Chino Pants</v>
      </c>
      <c r="H3540" s="1" t="str">
        <f>_xlfn.XLOOKUP(tblSales[[#This Row],[Product Code]],tblProducts[Code],tblProducts[Category],"")</f>
        <v>Apparel &amp; Footwear</v>
      </c>
      <c r="I3540" s="4">
        <v>8</v>
      </c>
      <c r="J3540" s="5">
        <f>_xlfn.XLOOKUP(tblSales[[#This Row],[Product Code]],tblProducts[Code],tblProducts[Selling Price (excl. VAT)],0)</f>
        <v>150000</v>
      </c>
      <c r="K3540" s="5">
        <f>tblSales[[#This Row],[Qty]]*tblSales[[#This Row],[Unit Price]]</f>
        <v>1200000</v>
      </c>
      <c r="L3540" s="5">
        <f>ROUND(tblSales[[#This Row],[DPP (excl. VAT)]]*VATEff,0)</f>
        <v>132000</v>
      </c>
      <c r="M3540" s="5">
        <f>tblSales[[#This Row],[DPP (excl. VAT)]]+tblSales[[#This Row],[Output VAT]]</f>
        <v>1332000</v>
      </c>
      <c r="N3540" s="5">
        <f>tblSales[[#This Row],[Qty]]*_xlfn.XLOOKUP(tblSales[[#This Row],[Product Code]],tblProducts[Code],tblProducts[Unit Cost],0)</f>
        <v>704000</v>
      </c>
      <c r="O3540" s="4" t="s">
        <v>4866</v>
      </c>
      <c r="P3540" s="4" t="s">
        <v>4861</v>
      </c>
      <c r="Q3540" s="1" t="str">
        <f>_xlfn.XLOOKUP(tblSales[[#This Row],[Channel Code]],tblChannels[Channel Code],tblChannels[Channel Name],"")</f>
        <v>Marketplace</v>
      </c>
      <c r="R3540" s="1">
        <f>MONTH(tblSales[[#This Row],[Date]])</f>
        <v>7</v>
      </c>
    </row>
    <row r="3541" spans="2:18" x14ac:dyDescent="0.35">
      <c r="B3541" s="113">
        <v>46233</v>
      </c>
      <c r="C3541" s="4" t="s">
        <v>5307</v>
      </c>
      <c r="D3541" s="4" t="s">
        <v>4568</v>
      </c>
      <c r="E3541" s="1" t="str">
        <f>_xlfn.XLOOKUP(tblSales[[#This Row],[Customer ID]],tblCustomers[Customer ID],tblCustomers[Customer Name],"⚠ Unknown")</f>
        <v>Walk-in Customer</v>
      </c>
      <c r="F3541" s="4" t="s">
        <v>6</v>
      </c>
      <c r="G3541" s="1" t="str">
        <f>_xlfn.XLOOKUP(tblSales[[#This Row],[Product Code]],tblProducts[Code],tblProducts[Product / Service Name],"⚠ Unknown")</f>
        <v>Socks &amp; Accessories</v>
      </c>
      <c r="H3541" s="1" t="str">
        <f>_xlfn.XLOOKUP(tblSales[[#This Row],[Product Code]],tblProducts[Code],tblProducts[Category],"")</f>
        <v>Accessories &amp; Basics</v>
      </c>
      <c r="I3541" s="4">
        <v>11</v>
      </c>
      <c r="J3541" s="5">
        <f>_xlfn.XLOOKUP(tblSales[[#This Row],[Product Code]],tblProducts[Code],tblProducts[Selling Price (excl. VAT)],0)</f>
        <v>45000</v>
      </c>
      <c r="K3541" s="5">
        <f>tblSales[[#This Row],[Qty]]*tblSales[[#This Row],[Unit Price]]</f>
        <v>495000</v>
      </c>
      <c r="L3541" s="5">
        <f>ROUND(tblSales[[#This Row],[DPP (excl. VAT)]]*VATEff,0)</f>
        <v>54450</v>
      </c>
      <c r="M3541" s="5">
        <f>tblSales[[#This Row],[DPP (excl. VAT)]]+tblSales[[#This Row],[Output VAT]]</f>
        <v>549450</v>
      </c>
      <c r="N3541" s="5">
        <f>tblSales[[#This Row],[Qty]]*_xlfn.XLOOKUP(tblSales[[#This Row],[Product Code]],tblProducts[Code],tblProducts[Unit Cost],0)</f>
        <v>264000</v>
      </c>
      <c r="O3541" s="4" t="s">
        <v>4865</v>
      </c>
      <c r="P3541" s="4" t="s">
        <v>4860</v>
      </c>
      <c r="Q3541" s="1" t="str">
        <f>_xlfn.XLOOKUP(tblSales[[#This Row],[Channel Code]],tblChannels[Channel Code],tblChannels[Channel Name],"")</f>
        <v>In-store</v>
      </c>
      <c r="R3541" s="1">
        <f>MONTH(tblSales[[#This Row],[Date]])</f>
        <v>7</v>
      </c>
    </row>
    <row r="3542" spans="2:18" x14ac:dyDescent="0.35">
      <c r="B3542" s="113">
        <v>46233</v>
      </c>
      <c r="C3542" s="4" t="s">
        <v>5307</v>
      </c>
      <c r="D3542" s="4" t="s">
        <v>4568</v>
      </c>
      <c r="E3542" s="1" t="str">
        <f>_xlfn.XLOOKUP(tblSales[[#This Row],[Customer ID]],tblCustomers[Customer ID],tblCustomers[Customer Name],"⚠ Unknown")</f>
        <v>Walk-in Customer</v>
      </c>
      <c r="F3542" s="4" t="s">
        <v>8</v>
      </c>
      <c r="G3542" s="1" t="str">
        <f>_xlfn.XLOOKUP(tblSales[[#This Row],[Product Code]],tblProducts[Code],tblProducts[Product / Service Name],"⚠ Unknown")</f>
        <v>Casual Shorts</v>
      </c>
      <c r="H3542" s="1" t="str">
        <f>_xlfn.XLOOKUP(tblSales[[#This Row],[Product Code]],tblProducts[Code],tblProducts[Category],"")</f>
        <v>Accessories &amp; Basics</v>
      </c>
      <c r="I3542" s="4">
        <v>6</v>
      </c>
      <c r="J3542" s="5">
        <f>_xlfn.XLOOKUP(tblSales[[#This Row],[Product Code]],tblProducts[Code],tblProducts[Selling Price (excl. VAT)],0)</f>
        <v>85000</v>
      </c>
      <c r="K3542" s="5">
        <f>tblSales[[#This Row],[Qty]]*tblSales[[#This Row],[Unit Price]]</f>
        <v>510000</v>
      </c>
      <c r="L3542" s="5">
        <f>ROUND(tblSales[[#This Row],[DPP (excl. VAT)]]*VATEff,0)</f>
        <v>56100</v>
      </c>
      <c r="M3542" s="5">
        <f>tblSales[[#This Row],[DPP (excl. VAT)]]+tblSales[[#This Row],[Output VAT]]</f>
        <v>566100</v>
      </c>
      <c r="N3542" s="5">
        <f>tblSales[[#This Row],[Qty]]*_xlfn.XLOOKUP(tblSales[[#This Row],[Product Code]],tblProducts[Code],tblProducts[Unit Cost],0)</f>
        <v>300000</v>
      </c>
      <c r="O3542" s="4" t="s">
        <v>4865</v>
      </c>
      <c r="P3542" s="4" t="s">
        <v>4860</v>
      </c>
      <c r="Q3542" s="1" t="str">
        <f>_xlfn.XLOOKUP(tblSales[[#This Row],[Channel Code]],tblChannels[Channel Code],tblChannels[Channel Name],"")</f>
        <v>In-store</v>
      </c>
      <c r="R3542" s="1">
        <f>MONTH(tblSales[[#This Row],[Date]])</f>
        <v>7</v>
      </c>
    </row>
    <row r="3543" spans="2:18" x14ac:dyDescent="0.35">
      <c r="B3543" s="113">
        <v>46233</v>
      </c>
      <c r="C3543" s="4" t="s">
        <v>5307</v>
      </c>
      <c r="D3543" s="4" t="s">
        <v>4568</v>
      </c>
      <c r="E3543" s="1" t="str">
        <f>_xlfn.XLOOKUP(tblSales[[#This Row],[Customer ID]],tblCustomers[Customer ID],tblCustomers[Customer Name],"⚠ Unknown")</f>
        <v>Walk-in Customer</v>
      </c>
      <c r="F3543" s="4" t="s">
        <v>10</v>
      </c>
      <c r="G3543" s="1" t="str">
        <f>_xlfn.XLOOKUP(tblSales[[#This Row],[Product Code]],tblProducts[Code],tblProducts[Product / Service Name],"⚠ Unknown")</f>
        <v>Chino Pants</v>
      </c>
      <c r="H3543" s="1" t="str">
        <f>_xlfn.XLOOKUP(tblSales[[#This Row],[Product Code]],tblProducts[Code],tblProducts[Category],"")</f>
        <v>Apparel &amp; Footwear</v>
      </c>
      <c r="I3543" s="4">
        <v>7</v>
      </c>
      <c r="J3543" s="5">
        <f>_xlfn.XLOOKUP(tblSales[[#This Row],[Product Code]],tblProducts[Code],tblProducts[Selling Price (excl. VAT)],0)</f>
        <v>150000</v>
      </c>
      <c r="K3543" s="5">
        <f>tblSales[[#This Row],[Qty]]*tblSales[[#This Row],[Unit Price]]</f>
        <v>1050000</v>
      </c>
      <c r="L3543" s="5">
        <f>ROUND(tblSales[[#This Row],[DPP (excl. VAT)]]*VATEff,0)</f>
        <v>115500</v>
      </c>
      <c r="M3543" s="5">
        <f>tblSales[[#This Row],[DPP (excl. VAT)]]+tblSales[[#This Row],[Output VAT]]</f>
        <v>1165500</v>
      </c>
      <c r="N3543" s="5">
        <f>tblSales[[#This Row],[Qty]]*_xlfn.XLOOKUP(tblSales[[#This Row],[Product Code]],tblProducts[Code],tblProducts[Unit Cost],0)</f>
        <v>616000</v>
      </c>
      <c r="O3543" s="4" t="s">
        <v>4865</v>
      </c>
      <c r="P3543" s="4" t="s">
        <v>4860</v>
      </c>
      <c r="Q3543" s="1" t="str">
        <f>_xlfn.XLOOKUP(tblSales[[#This Row],[Channel Code]],tblChannels[Channel Code],tblChannels[Channel Name],"")</f>
        <v>In-store</v>
      </c>
      <c r="R3543" s="1">
        <f>MONTH(tblSales[[#This Row],[Date]])</f>
        <v>7</v>
      </c>
    </row>
    <row r="3544" spans="2:18" x14ac:dyDescent="0.35">
      <c r="B3544" s="113">
        <v>46233</v>
      </c>
      <c r="C3544" s="4" t="s">
        <v>5308</v>
      </c>
      <c r="D3544" s="4" t="s">
        <v>4568</v>
      </c>
      <c r="E3544" s="1" t="str">
        <f>_xlfn.XLOOKUP(tblSales[[#This Row],[Customer ID]],tblCustomers[Customer ID],tblCustomers[Customer Name],"⚠ Unknown")</f>
        <v>Walk-in Customer</v>
      </c>
      <c r="F3544" s="4" t="s">
        <v>8</v>
      </c>
      <c r="G3544" s="1" t="str">
        <f>_xlfn.XLOOKUP(tblSales[[#This Row],[Product Code]],tblProducts[Code],tblProducts[Product / Service Name],"⚠ Unknown")</f>
        <v>Casual Shorts</v>
      </c>
      <c r="H3544" s="1" t="str">
        <f>_xlfn.XLOOKUP(tblSales[[#This Row],[Product Code]],tblProducts[Code],tblProducts[Category],"")</f>
        <v>Accessories &amp; Basics</v>
      </c>
      <c r="I3544" s="4">
        <v>11</v>
      </c>
      <c r="J3544" s="5">
        <f>_xlfn.XLOOKUP(tblSales[[#This Row],[Product Code]],tblProducts[Code],tblProducts[Selling Price (excl. VAT)],0)</f>
        <v>85000</v>
      </c>
      <c r="K3544" s="5">
        <f>tblSales[[#This Row],[Qty]]*tblSales[[#This Row],[Unit Price]]</f>
        <v>935000</v>
      </c>
      <c r="L3544" s="5">
        <f>ROUND(tblSales[[#This Row],[DPP (excl. VAT)]]*VATEff,0)</f>
        <v>102850</v>
      </c>
      <c r="M3544" s="5">
        <f>tblSales[[#This Row],[DPP (excl. VAT)]]+tblSales[[#This Row],[Output VAT]]</f>
        <v>1037850</v>
      </c>
      <c r="N3544" s="5">
        <f>tblSales[[#This Row],[Qty]]*_xlfn.XLOOKUP(tblSales[[#This Row],[Product Code]],tblProducts[Code],tblProducts[Unit Cost],0)</f>
        <v>550000</v>
      </c>
      <c r="O3544" s="4" t="s">
        <v>4866</v>
      </c>
      <c r="P3544" s="4" t="s">
        <v>4862</v>
      </c>
      <c r="Q3544" s="1" t="str">
        <f>_xlfn.XLOOKUP(tblSales[[#This Row],[Channel Code]],tblChannels[Channel Code],tblChannels[Channel Name],"")</f>
        <v>Website &amp; Social Media</v>
      </c>
      <c r="R3544" s="1">
        <f>MONTH(tblSales[[#This Row],[Date]])</f>
        <v>7</v>
      </c>
    </row>
    <row r="3545" spans="2:18" x14ac:dyDescent="0.35">
      <c r="B3545" s="113">
        <v>46233</v>
      </c>
      <c r="C3545" s="4" t="s">
        <v>5309</v>
      </c>
      <c r="D3545" s="4" t="s">
        <v>4568</v>
      </c>
      <c r="E3545" s="1" t="str">
        <f>_xlfn.XLOOKUP(tblSales[[#This Row],[Customer ID]],tblCustomers[Customer ID],tblCustomers[Customer Name],"⚠ Unknown")</f>
        <v>Walk-in Customer</v>
      </c>
      <c r="F3545" s="4" t="s">
        <v>7</v>
      </c>
      <c r="G3545" s="1" t="str">
        <f>_xlfn.XLOOKUP(tblSales[[#This Row],[Product Code]],tblProducts[Code],tblProducts[Product / Service Name],"⚠ Unknown")</f>
        <v>Premium Basic T-shirt</v>
      </c>
      <c r="H3545" s="1" t="str">
        <f>_xlfn.XLOOKUP(tblSales[[#This Row],[Product Code]],tblProducts[Code],tblProducts[Category],"")</f>
        <v>Accessories &amp; Basics</v>
      </c>
      <c r="I3545" s="4">
        <v>3</v>
      </c>
      <c r="J3545" s="5">
        <f>_xlfn.XLOOKUP(tblSales[[#This Row],[Product Code]],tblProducts[Code],tblProducts[Selling Price (excl. VAT)],0)</f>
        <v>65000</v>
      </c>
      <c r="K3545" s="5">
        <f>tblSales[[#This Row],[Qty]]*tblSales[[#This Row],[Unit Price]]</f>
        <v>195000</v>
      </c>
      <c r="L3545" s="5">
        <f>ROUND(tblSales[[#This Row],[DPP (excl. VAT)]]*VATEff,0)</f>
        <v>21450</v>
      </c>
      <c r="M3545" s="5">
        <f>tblSales[[#This Row],[DPP (excl. VAT)]]+tblSales[[#This Row],[Output VAT]]</f>
        <v>216450</v>
      </c>
      <c r="N3545" s="5">
        <f>tblSales[[#This Row],[Qty]]*_xlfn.XLOOKUP(tblSales[[#This Row],[Product Code]],tblProducts[Code],tblProducts[Unit Cost],0)</f>
        <v>111000</v>
      </c>
      <c r="O3545" s="4" t="s">
        <v>4865</v>
      </c>
      <c r="P3545" s="4" t="s">
        <v>4860</v>
      </c>
      <c r="Q3545" s="1" t="str">
        <f>_xlfn.XLOOKUP(tblSales[[#This Row],[Channel Code]],tblChannels[Channel Code],tblChannels[Channel Name],"")</f>
        <v>In-store</v>
      </c>
      <c r="R3545" s="1">
        <f>MONTH(tblSales[[#This Row],[Date]])</f>
        <v>7</v>
      </c>
    </row>
    <row r="3546" spans="2:18" x14ac:dyDescent="0.35">
      <c r="B3546" s="113">
        <v>46233</v>
      </c>
      <c r="C3546" s="4" t="s">
        <v>5310</v>
      </c>
      <c r="D3546" s="4" t="s">
        <v>4568</v>
      </c>
      <c r="E3546" s="1" t="str">
        <f>_xlfn.XLOOKUP(tblSales[[#This Row],[Customer ID]],tblCustomers[Customer ID],tblCustomers[Customer Name],"⚠ Unknown")</f>
        <v>Walk-in Customer</v>
      </c>
      <c r="F3546" s="4" t="s">
        <v>11</v>
      </c>
      <c r="G3546" s="1" t="str">
        <f>_xlfn.XLOOKUP(tblSales[[#This Row],[Product Code]],tblProducts[Code],tblProducts[Product / Service Name],"⚠ Unknown")</f>
        <v>Sneakers</v>
      </c>
      <c r="H3546" s="1" t="str">
        <f>_xlfn.XLOOKUP(tblSales[[#This Row],[Product Code]],tblProducts[Code],tblProducts[Category],"")</f>
        <v>Apparel &amp; Footwear</v>
      </c>
      <c r="I3546" s="4">
        <v>4</v>
      </c>
      <c r="J3546" s="5">
        <f>_xlfn.XLOOKUP(tblSales[[#This Row],[Product Code]],tblProducts[Code],tblProducts[Selling Price (excl. VAT)],0)</f>
        <v>250000</v>
      </c>
      <c r="K3546" s="5">
        <f>tblSales[[#This Row],[Qty]]*tblSales[[#This Row],[Unit Price]]</f>
        <v>1000000</v>
      </c>
      <c r="L3546" s="5">
        <f>ROUND(tblSales[[#This Row],[DPP (excl. VAT)]]*VATEff,0)</f>
        <v>110000</v>
      </c>
      <c r="M3546" s="5">
        <f>tblSales[[#This Row],[DPP (excl. VAT)]]+tblSales[[#This Row],[Output VAT]]</f>
        <v>1110000</v>
      </c>
      <c r="N3546" s="5">
        <f>tblSales[[#This Row],[Qty]]*_xlfn.XLOOKUP(tblSales[[#This Row],[Product Code]],tblProducts[Code],tblProducts[Unit Cost],0)</f>
        <v>620000</v>
      </c>
      <c r="O3546" s="4" t="s">
        <v>4866</v>
      </c>
      <c r="P3546" s="4" t="s">
        <v>4860</v>
      </c>
      <c r="Q3546" s="1" t="str">
        <f>_xlfn.XLOOKUP(tblSales[[#This Row],[Channel Code]],tblChannels[Channel Code],tblChannels[Channel Name],"")</f>
        <v>In-store</v>
      </c>
      <c r="R3546" s="1">
        <f>MONTH(tblSales[[#This Row],[Date]])</f>
        <v>7</v>
      </c>
    </row>
    <row r="3547" spans="2:18" x14ac:dyDescent="0.35">
      <c r="B3547" s="113">
        <v>46233</v>
      </c>
      <c r="C3547" s="4" t="s">
        <v>5310</v>
      </c>
      <c r="D3547" s="4" t="s">
        <v>4568</v>
      </c>
      <c r="E3547" s="1" t="str">
        <f>_xlfn.XLOOKUP(tblSales[[#This Row],[Customer ID]],tblCustomers[Customer ID],tblCustomers[Customer Name],"⚠ Unknown")</f>
        <v>Walk-in Customer</v>
      </c>
      <c r="F3547" s="4" t="s">
        <v>6</v>
      </c>
      <c r="G3547" s="1" t="str">
        <f>_xlfn.XLOOKUP(tblSales[[#This Row],[Product Code]],tblProducts[Code],tblProducts[Product / Service Name],"⚠ Unknown")</f>
        <v>Socks &amp; Accessories</v>
      </c>
      <c r="H3547" s="1" t="str">
        <f>_xlfn.XLOOKUP(tblSales[[#This Row],[Product Code]],tblProducts[Code],tblProducts[Category],"")</f>
        <v>Accessories &amp; Basics</v>
      </c>
      <c r="I3547" s="4">
        <v>1</v>
      </c>
      <c r="J3547" s="5">
        <f>_xlfn.XLOOKUP(tblSales[[#This Row],[Product Code]],tblProducts[Code],tblProducts[Selling Price (excl. VAT)],0)</f>
        <v>45000</v>
      </c>
      <c r="K3547" s="5">
        <f>tblSales[[#This Row],[Qty]]*tblSales[[#This Row],[Unit Price]]</f>
        <v>45000</v>
      </c>
      <c r="L3547" s="5">
        <f>ROUND(tblSales[[#This Row],[DPP (excl. VAT)]]*VATEff,0)</f>
        <v>4950</v>
      </c>
      <c r="M3547" s="5">
        <f>tblSales[[#This Row],[DPP (excl. VAT)]]+tblSales[[#This Row],[Output VAT]]</f>
        <v>49950</v>
      </c>
      <c r="N3547" s="5">
        <f>tblSales[[#This Row],[Qty]]*_xlfn.XLOOKUP(tblSales[[#This Row],[Product Code]],tblProducts[Code],tblProducts[Unit Cost],0)</f>
        <v>24000</v>
      </c>
      <c r="O3547" s="4" t="s">
        <v>4866</v>
      </c>
      <c r="P3547" s="4" t="s">
        <v>4860</v>
      </c>
      <c r="Q3547" s="1" t="str">
        <f>_xlfn.XLOOKUP(tblSales[[#This Row],[Channel Code]],tblChannels[Channel Code],tblChannels[Channel Name],"")</f>
        <v>In-store</v>
      </c>
      <c r="R3547" s="1">
        <f>MONTH(tblSales[[#This Row],[Date]])</f>
        <v>7</v>
      </c>
    </row>
    <row r="3548" spans="2:18" x14ac:dyDescent="0.35">
      <c r="B3548" s="113">
        <v>46233</v>
      </c>
      <c r="C3548" s="4" t="s">
        <v>5311</v>
      </c>
      <c r="D3548" s="4" t="s">
        <v>4568</v>
      </c>
      <c r="E3548" s="1" t="str">
        <f>_xlfn.XLOOKUP(tblSales[[#This Row],[Customer ID]],tblCustomers[Customer ID],tblCustomers[Customer Name],"⚠ Unknown")</f>
        <v>Walk-in Customer</v>
      </c>
      <c r="F3548" s="4" t="s">
        <v>12</v>
      </c>
      <c r="G3548" s="1" t="str">
        <f>_xlfn.XLOOKUP(tblSales[[#This Row],[Product Code]],tblProducts[Code],tblProducts[Product / Service Name],"⚠ Unknown")</f>
        <v>Bomber Jacket</v>
      </c>
      <c r="H3548" s="1" t="str">
        <f>_xlfn.XLOOKUP(tblSales[[#This Row],[Product Code]],tblProducts[Code],tblProducts[Category],"")</f>
        <v>Apparel &amp; Footwear</v>
      </c>
      <c r="I3548" s="4">
        <v>4</v>
      </c>
      <c r="J3548" s="5">
        <f>_xlfn.XLOOKUP(tblSales[[#This Row],[Product Code]],tblProducts[Code],tblProducts[Selling Price (excl. VAT)],0)</f>
        <v>350000</v>
      </c>
      <c r="K3548" s="5">
        <f>tblSales[[#This Row],[Qty]]*tblSales[[#This Row],[Unit Price]]</f>
        <v>1400000</v>
      </c>
      <c r="L3548" s="5">
        <f>ROUND(tblSales[[#This Row],[DPP (excl. VAT)]]*VATEff,0)</f>
        <v>154000</v>
      </c>
      <c r="M3548" s="5">
        <f>tblSales[[#This Row],[DPP (excl. VAT)]]+tblSales[[#This Row],[Output VAT]]</f>
        <v>1554000</v>
      </c>
      <c r="N3548" s="5">
        <f>tblSales[[#This Row],[Qty]]*_xlfn.XLOOKUP(tblSales[[#This Row],[Product Code]],tblProducts[Code],tblProducts[Unit Cost],0)</f>
        <v>840000</v>
      </c>
      <c r="O3548" s="4" t="s">
        <v>4866</v>
      </c>
      <c r="P3548" s="4" t="s">
        <v>4861</v>
      </c>
      <c r="Q3548" s="1" t="str">
        <f>_xlfn.XLOOKUP(tblSales[[#This Row],[Channel Code]],tblChannels[Channel Code],tblChannels[Channel Name],"")</f>
        <v>Marketplace</v>
      </c>
      <c r="R3548" s="1">
        <f>MONTH(tblSales[[#This Row],[Date]])</f>
        <v>7</v>
      </c>
    </row>
    <row r="3549" spans="2:18" x14ac:dyDescent="0.35">
      <c r="B3549" s="113">
        <v>46233</v>
      </c>
      <c r="C3549" s="4" t="s">
        <v>5312</v>
      </c>
      <c r="D3549" s="4" t="s">
        <v>4593</v>
      </c>
      <c r="E3549" s="1" t="str">
        <f>_xlfn.XLOOKUP(tblSales[[#This Row],[Customer ID]],tblCustomers[Customer ID],tblCustomers[Customer Name],"⚠ Unknown")</f>
        <v>PT Graha Nusa Persada</v>
      </c>
      <c r="F3549" s="4" t="s">
        <v>6</v>
      </c>
      <c r="G3549" s="1" t="str">
        <f>_xlfn.XLOOKUP(tblSales[[#This Row],[Product Code]],tblProducts[Code],tblProducts[Product / Service Name],"⚠ Unknown")</f>
        <v>Socks &amp; Accessories</v>
      </c>
      <c r="H3549" s="1" t="str">
        <f>_xlfn.XLOOKUP(tblSales[[#This Row],[Product Code]],tblProducts[Code],tblProducts[Category],"")</f>
        <v>Accessories &amp; Basics</v>
      </c>
      <c r="I3549" s="4">
        <v>32</v>
      </c>
      <c r="J3549" s="5">
        <f>_xlfn.XLOOKUP(tblSales[[#This Row],[Product Code]],tblProducts[Code],tblProducts[Selling Price (excl. VAT)],0)</f>
        <v>45000</v>
      </c>
      <c r="K3549" s="5">
        <f>tblSales[[#This Row],[Qty]]*tblSales[[#This Row],[Unit Price]]</f>
        <v>1440000</v>
      </c>
      <c r="L3549" s="5">
        <f>ROUND(tblSales[[#This Row],[DPP (excl. VAT)]]*VATEff,0)</f>
        <v>158400</v>
      </c>
      <c r="M3549" s="5">
        <f>tblSales[[#This Row],[DPP (excl. VAT)]]+tblSales[[#This Row],[Output VAT]]</f>
        <v>1598400</v>
      </c>
      <c r="N3549" s="5">
        <f>tblSales[[#This Row],[Qty]]*_xlfn.XLOOKUP(tblSales[[#This Row],[Product Code]],tblProducts[Code],tblProducts[Unit Cost],0)</f>
        <v>768000</v>
      </c>
      <c r="O3549" s="4" t="s">
        <v>4867</v>
      </c>
      <c r="P3549" s="4" t="s">
        <v>4860</v>
      </c>
      <c r="Q3549" s="1" t="str">
        <f>_xlfn.XLOOKUP(tblSales[[#This Row],[Channel Code]],tblChannels[Channel Code],tblChannels[Channel Name],"")</f>
        <v>In-store</v>
      </c>
      <c r="R3549" s="1">
        <f>MONTH(tblSales[[#This Row],[Date]])</f>
        <v>7</v>
      </c>
    </row>
    <row r="3550" spans="2:18" x14ac:dyDescent="0.35">
      <c r="B3550" s="113">
        <v>46233</v>
      </c>
      <c r="C3550" s="4" t="s">
        <v>5313</v>
      </c>
      <c r="D3550" s="4" t="s">
        <v>4568</v>
      </c>
      <c r="E3550" s="1" t="str">
        <f>_xlfn.XLOOKUP(tblSales[[#This Row],[Customer ID]],tblCustomers[Customer ID],tblCustomers[Customer Name],"⚠ Unknown")</f>
        <v>Walk-in Customer</v>
      </c>
      <c r="F3550" s="4" t="s">
        <v>6</v>
      </c>
      <c r="G3550" s="1" t="str">
        <f>_xlfn.XLOOKUP(tblSales[[#This Row],[Product Code]],tblProducts[Code],tblProducts[Product / Service Name],"⚠ Unknown")</f>
        <v>Socks &amp; Accessories</v>
      </c>
      <c r="H3550" s="1" t="str">
        <f>_xlfn.XLOOKUP(tblSales[[#This Row],[Product Code]],tblProducts[Code],tblProducts[Category],"")</f>
        <v>Accessories &amp; Basics</v>
      </c>
      <c r="I3550" s="4">
        <v>4</v>
      </c>
      <c r="J3550" s="5">
        <f>_xlfn.XLOOKUP(tblSales[[#This Row],[Product Code]],tblProducts[Code],tblProducts[Selling Price (excl. VAT)],0)</f>
        <v>45000</v>
      </c>
      <c r="K3550" s="5">
        <f>tblSales[[#This Row],[Qty]]*tblSales[[#This Row],[Unit Price]]</f>
        <v>180000</v>
      </c>
      <c r="L3550" s="5">
        <f>ROUND(tblSales[[#This Row],[DPP (excl. VAT)]]*VATEff,0)</f>
        <v>19800</v>
      </c>
      <c r="M3550" s="5">
        <f>tblSales[[#This Row],[DPP (excl. VAT)]]+tblSales[[#This Row],[Output VAT]]</f>
        <v>199800</v>
      </c>
      <c r="N3550" s="5">
        <f>tblSales[[#This Row],[Qty]]*_xlfn.XLOOKUP(tblSales[[#This Row],[Product Code]],tblProducts[Code],tblProducts[Unit Cost],0)</f>
        <v>96000</v>
      </c>
      <c r="O3550" s="4" t="s">
        <v>4865</v>
      </c>
      <c r="P3550" s="4" t="s">
        <v>4860</v>
      </c>
      <c r="Q3550" s="1" t="str">
        <f>_xlfn.XLOOKUP(tblSales[[#This Row],[Channel Code]],tblChannels[Channel Code],tblChannels[Channel Name],"")</f>
        <v>In-store</v>
      </c>
      <c r="R3550" s="1">
        <f>MONTH(tblSales[[#This Row],[Date]])</f>
        <v>7</v>
      </c>
    </row>
    <row r="3551" spans="2:18" x14ac:dyDescent="0.35">
      <c r="B3551" s="113">
        <v>46233</v>
      </c>
      <c r="C3551" s="4" t="s">
        <v>5314</v>
      </c>
      <c r="D3551" s="4" t="s">
        <v>4620</v>
      </c>
      <c r="E3551" s="1" t="str">
        <f>_xlfn.XLOOKUP(tblSales[[#This Row],[Customer ID]],tblCustomers[Customer ID],tblCustomers[Customer Name],"⚠ Unknown")</f>
        <v>CV Sumber Rejeki Utama</v>
      </c>
      <c r="F3551" s="4" t="s">
        <v>12</v>
      </c>
      <c r="G3551" s="1" t="str">
        <f>_xlfn.XLOOKUP(tblSales[[#This Row],[Product Code]],tblProducts[Code],tblProducts[Product / Service Name],"⚠ Unknown")</f>
        <v>Bomber Jacket</v>
      </c>
      <c r="H3551" s="1" t="str">
        <f>_xlfn.XLOOKUP(tblSales[[#This Row],[Product Code]],tblProducts[Code],tblProducts[Category],"")</f>
        <v>Apparel &amp; Footwear</v>
      </c>
      <c r="I3551" s="4">
        <v>16</v>
      </c>
      <c r="J3551" s="5">
        <f>_xlfn.XLOOKUP(tblSales[[#This Row],[Product Code]],tblProducts[Code],tblProducts[Selling Price (excl. VAT)],0)</f>
        <v>350000</v>
      </c>
      <c r="K3551" s="5">
        <f>tblSales[[#This Row],[Qty]]*tblSales[[#This Row],[Unit Price]]</f>
        <v>5600000</v>
      </c>
      <c r="L3551" s="5">
        <f>ROUND(tblSales[[#This Row],[DPP (excl. VAT)]]*VATEff,0)</f>
        <v>616000</v>
      </c>
      <c r="M3551" s="5">
        <f>tblSales[[#This Row],[DPP (excl. VAT)]]+tblSales[[#This Row],[Output VAT]]</f>
        <v>6216000</v>
      </c>
      <c r="N3551" s="5">
        <f>tblSales[[#This Row],[Qty]]*_xlfn.XLOOKUP(tblSales[[#This Row],[Product Code]],tblProducts[Code],tblProducts[Unit Cost],0)</f>
        <v>3360000</v>
      </c>
      <c r="O3551" s="4" t="s">
        <v>4867</v>
      </c>
      <c r="P3551" s="4" t="s">
        <v>4860</v>
      </c>
      <c r="Q3551" s="1" t="str">
        <f>_xlfn.XLOOKUP(tblSales[[#This Row],[Channel Code]],tblChannels[Channel Code],tblChannels[Channel Name],"")</f>
        <v>In-store</v>
      </c>
      <c r="R3551" s="1">
        <f>MONTH(tblSales[[#This Row],[Date]])</f>
        <v>7</v>
      </c>
    </row>
    <row r="3552" spans="2:18" x14ac:dyDescent="0.35">
      <c r="B3552" s="113">
        <v>46233</v>
      </c>
      <c r="C3552" s="4" t="s">
        <v>5315</v>
      </c>
      <c r="D3552" s="4" t="s">
        <v>4568</v>
      </c>
      <c r="E3552" s="1" t="str">
        <f>_xlfn.XLOOKUP(tblSales[[#This Row],[Customer ID]],tblCustomers[Customer ID],tblCustomers[Customer Name],"⚠ Unknown")</f>
        <v>Walk-in Customer</v>
      </c>
      <c r="F3552" s="4" t="s">
        <v>7</v>
      </c>
      <c r="G3552" s="1" t="str">
        <f>_xlfn.XLOOKUP(tblSales[[#This Row],[Product Code]],tblProducts[Code],tblProducts[Product / Service Name],"⚠ Unknown")</f>
        <v>Premium Basic T-shirt</v>
      </c>
      <c r="H3552" s="1" t="str">
        <f>_xlfn.XLOOKUP(tblSales[[#This Row],[Product Code]],tblProducts[Code],tblProducts[Category],"")</f>
        <v>Accessories &amp; Basics</v>
      </c>
      <c r="I3552" s="4">
        <v>10</v>
      </c>
      <c r="J3552" s="5">
        <f>_xlfn.XLOOKUP(tblSales[[#This Row],[Product Code]],tblProducts[Code],tblProducts[Selling Price (excl. VAT)],0)</f>
        <v>65000</v>
      </c>
      <c r="K3552" s="5">
        <f>tblSales[[#This Row],[Qty]]*tblSales[[#This Row],[Unit Price]]</f>
        <v>650000</v>
      </c>
      <c r="L3552" s="5">
        <f>ROUND(tblSales[[#This Row],[DPP (excl. VAT)]]*VATEff,0)</f>
        <v>71500</v>
      </c>
      <c r="M3552" s="5">
        <f>tblSales[[#This Row],[DPP (excl. VAT)]]+tblSales[[#This Row],[Output VAT]]</f>
        <v>721500</v>
      </c>
      <c r="N3552" s="5">
        <f>tblSales[[#This Row],[Qty]]*_xlfn.XLOOKUP(tblSales[[#This Row],[Product Code]],tblProducts[Code],tblProducts[Unit Cost],0)</f>
        <v>370000</v>
      </c>
      <c r="O3552" s="4" t="s">
        <v>4866</v>
      </c>
      <c r="P3552" s="4" t="s">
        <v>4861</v>
      </c>
      <c r="Q3552" s="1" t="str">
        <f>_xlfn.XLOOKUP(tblSales[[#This Row],[Channel Code]],tblChannels[Channel Code],tblChannels[Channel Name],"")</f>
        <v>Marketplace</v>
      </c>
      <c r="R3552" s="1">
        <f>MONTH(tblSales[[#This Row],[Date]])</f>
        <v>7</v>
      </c>
    </row>
    <row r="3553" spans="2:18" x14ac:dyDescent="0.35">
      <c r="B3553" s="113">
        <v>46233</v>
      </c>
      <c r="C3553" s="4" t="s">
        <v>5316</v>
      </c>
      <c r="D3553" s="4" t="s">
        <v>4568</v>
      </c>
      <c r="E3553" s="1" t="str">
        <f>_xlfn.XLOOKUP(tblSales[[#This Row],[Customer ID]],tblCustomers[Customer ID],tblCustomers[Customer Name],"⚠ Unknown")</f>
        <v>Walk-in Customer</v>
      </c>
      <c r="F3553" s="4" t="s">
        <v>11</v>
      </c>
      <c r="G3553" s="1" t="str">
        <f>_xlfn.XLOOKUP(tblSales[[#This Row],[Product Code]],tblProducts[Code],tblProducts[Product / Service Name],"⚠ Unknown")</f>
        <v>Sneakers</v>
      </c>
      <c r="H3553" s="1" t="str">
        <f>_xlfn.XLOOKUP(tblSales[[#This Row],[Product Code]],tblProducts[Code],tblProducts[Category],"")</f>
        <v>Apparel &amp; Footwear</v>
      </c>
      <c r="I3553" s="4">
        <v>5</v>
      </c>
      <c r="J3553" s="5">
        <f>_xlfn.XLOOKUP(tblSales[[#This Row],[Product Code]],tblProducts[Code],tblProducts[Selling Price (excl. VAT)],0)</f>
        <v>250000</v>
      </c>
      <c r="K3553" s="5">
        <f>tblSales[[#This Row],[Qty]]*tblSales[[#This Row],[Unit Price]]</f>
        <v>1250000</v>
      </c>
      <c r="L3553" s="5">
        <f>ROUND(tblSales[[#This Row],[DPP (excl. VAT)]]*VATEff,0)</f>
        <v>137500</v>
      </c>
      <c r="M3553" s="5">
        <f>tblSales[[#This Row],[DPP (excl. VAT)]]+tblSales[[#This Row],[Output VAT]]</f>
        <v>1387500</v>
      </c>
      <c r="N3553" s="5">
        <f>tblSales[[#This Row],[Qty]]*_xlfn.XLOOKUP(tblSales[[#This Row],[Product Code]],tblProducts[Code],tblProducts[Unit Cost],0)</f>
        <v>775000</v>
      </c>
      <c r="O3553" s="4" t="s">
        <v>4866</v>
      </c>
      <c r="P3553" s="4" t="s">
        <v>4861</v>
      </c>
      <c r="Q3553" s="1" t="str">
        <f>_xlfn.XLOOKUP(tblSales[[#This Row],[Channel Code]],tblChannels[Channel Code],tblChannels[Channel Name],"")</f>
        <v>Marketplace</v>
      </c>
      <c r="R3553" s="1">
        <f>MONTH(tblSales[[#This Row],[Date]])</f>
        <v>7</v>
      </c>
    </row>
    <row r="3554" spans="2:18" x14ac:dyDescent="0.35">
      <c r="B3554" s="113">
        <v>46234</v>
      </c>
      <c r="C3554" s="4" t="s">
        <v>5317</v>
      </c>
      <c r="D3554" s="4" t="s">
        <v>4606</v>
      </c>
      <c r="E3554" s="1" t="str">
        <f>_xlfn.XLOOKUP(tblSales[[#This Row],[Customer ID]],tblCustomers[Customer ID],tblCustomers[Customer Name],"⚠ Unknown")</f>
        <v>PT Arunika Digital Kreatif</v>
      </c>
      <c r="F3554" s="4" t="s">
        <v>8</v>
      </c>
      <c r="G3554" s="1" t="str">
        <f>_xlfn.XLOOKUP(tblSales[[#This Row],[Product Code]],tblProducts[Code],tblProducts[Product / Service Name],"⚠ Unknown")</f>
        <v>Casual Shorts</v>
      </c>
      <c r="H3554" s="1" t="str">
        <f>_xlfn.XLOOKUP(tblSales[[#This Row],[Product Code]],tblProducts[Code],tblProducts[Category],"")</f>
        <v>Accessories &amp; Basics</v>
      </c>
      <c r="I3554" s="4">
        <v>88</v>
      </c>
      <c r="J3554" s="5">
        <f>_xlfn.XLOOKUP(tblSales[[#This Row],[Product Code]],tblProducts[Code],tblProducts[Selling Price (excl. VAT)],0)</f>
        <v>85000</v>
      </c>
      <c r="K3554" s="5">
        <f>tblSales[[#This Row],[Qty]]*tblSales[[#This Row],[Unit Price]]</f>
        <v>7480000</v>
      </c>
      <c r="L3554" s="5">
        <f>ROUND(tblSales[[#This Row],[DPP (excl. VAT)]]*VATEff,0)</f>
        <v>822800</v>
      </c>
      <c r="M3554" s="5">
        <f>tblSales[[#This Row],[DPP (excl. VAT)]]+tblSales[[#This Row],[Output VAT]]</f>
        <v>8302800</v>
      </c>
      <c r="N3554" s="5">
        <f>tblSales[[#This Row],[Qty]]*_xlfn.XLOOKUP(tblSales[[#This Row],[Product Code]],tblProducts[Code],tblProducts[Unit Cost],0)</f>
        <v>4400000</v>
      </c>
      <c r="O3554" s="4" t="s">
        <v>4867</v>
      </c>
      <c r="P3554" s="4" t="s">
        <v>4860</v>
      </c>
      <c r="Q3554" s="1" t="str">
        <f>_xlfn.XLOOKUP(tblSales[[#This Row],[Channel Code]],tblChannels[Channel Code],tblChannels[Channel Name],"")</f>
        <v>In-store</v>
      </c>
      <c r="R3554" s="1">
        <f>MONTH(tblSales[[#This Row],[Date]])</f>
        <v>7</v>
      </c>
    </row>
    <row r="3555" spans="2:18" x14ac:dyDescent="0.35">
      <c r="B3555" s="113">
        <v>46234</v>
      </c>
      <c r="C3555" s="4" t="s">
        <v>5318</v>
      </c>
      <c r="D3555" s="4" t="s">
        <v>4641</v>
      </c>
      <c r="E3555" s="1" t="str">
        <f>_xlfn.XLOOKUP(tblSales[[#This Row],[Customer ID]],tblCustomers[Customer ID],tblCustomers[Customer Name],"⚠ Unknown")</f>
        <v>PT Harmoni Pangan Lestari</v>
      </c>
      <c r="F3555" s="4" t="s">
        <v>11</v>
      </c>
      <c r="G3555" s="1" t="str">
        <f>_xlfn.XLOOKUP(tblSales[[#This Row],[Product Code]],tblProducts[Code],tblProducts[Product / Service Name],"⚠ Unknown")</f>
        <v>Sneakers</v>
      </c>
      <c r="H3555" s="1" t="str">
        <f>_xlfn.XLOOKUP(tblSales[[#This Row],[Product Code]],tblProducts[Code],tblProducts[Category],"")</f>
        <v>Apparel &amp; Footwear</v>
      </c>
      <c r="I3555" s="4">
        <v>24</v>
      </c>
      <c r="J3555" s="5">
        <f>_xlfn.XLOOKUP(tblSales[[#This Row],[Product Code]],tblProducts[Code],tblProducts[Selling Price (excl. VAT)],0)</f>
        <v>250000</v>
      </c>
      <c r="K3555" s="5">
        <f>tblSales[[#This Row],[Qty]]*tblSales[[#This Row],[Unit Price]]</f>
        <v>6000000</v>
      </c>
      <c r="L3555" s="5">
        <f>ROUND(tblSales[[#This Row],[DPP (excl. VAT)]]*VATEff,0)</f>
        <v>660000</v>
      </c>
      <c r="M3555" s="5">
        <f>tblSales[[#This Row],[DPP (excl. VAT)]]+tblSales[[#This Row],[Output VAT]]</f>
        <v>6660000</v>
      </c>
      <c r="N3555" s="5">
        <f>tblSales[[#This Row],[Qty]]*_xlfn.XLOOKUP(tblSales[[#This Row],[Product Code]],tblProducts[Code],tblProducts[Unit Cost],0)</f>
        <v>3720000</v>
      </c>
      <c r="O3555" s="4" t="s">
        <v>4867</v>
      </c>
      <c r="P3555" s="4" t="s">
        <v>4860</v>
      </c>
      <c r="Q3555" s="1" t="str">
        <f>_xlfn.XLOOKUP(tblSales[[#This Row],[Channel Code]],tblChannels[Channel Code],tblChannels[Channel Name],"")</f>
        <v>In-store</v>
      </c>
      <c r="R3555" s="1">
        <f>MONTH(tblSales[[#This Row],[Date]])</f>
        <v>7</v>
      </c>
    </row>
    <row r="3556" spans="2:18" x14ac:dyDescent="0.35">
      <c r="B3556" s="113">
        <v>46234</v>
      </c>
      <c r="C3556" s="4" t="s">
        <v>5319</v>
      </c>
      <c r="D3556" s="4" t="s">
        <v>4568</v>
      </c>
      <c r="E3556" s="1" t="str">
        <f>_xlfn.XLOOKUP(tblSales[[#This Row],[Customer ID]],tblCustomers[Customer ID],tblCustomers[Customer Name],"⚠ Unknown")</f>
        <v>Walk-in Customer</v>
      </c>
      <c r="F3556" s="4" t="s">
        <v>6</v>
      </c>
      <c r="G3556" s="1" t="str">
        <f>_xlfn.XLOOKUP(tblSales[[#This Row],[Product Code]],tblProducts[Code],tblProducts[Product / Service Name],"⚠ Unknown")</f>
        <v>Socks &amp; Accessories</v>
      </c>
      <c r="H3556" s="1" t="str">
        <f>_xlfn.XLOOKUP(tblSales[[#This Row],[Product Code]],tblProducts[Code],tblProducts[Category],"")</f>
        <v>Accessories &amp; Basics</v>
      </c>
      <c r="I3556" s="4">
        <v>3</v>
      </c>
      <c r="J3556" s="5">
        <f>_xlfn.XLOOKUP(tblSales[[#This Row],[Product Code]],tblProducts[Code],tblProducts[Selling Price (excl. VAT)],0)</f>
        <v>45000</v>
      </c>
      <c r="K3556" s="5">
        <f>tblSales[[#This Row],[Qty]]*tblSales[[#This Row],[Unit Price]]</f>
        <v>135000</v>
      </c>
      <c r="L3556" s="5">
        <f>ROUND(tblSales[[#This Row],[DPP (excl. VAT)]]*VATEff,0)</f>
        <v>14850</v>
      </c>
      <c r="M3556" s="5">
        <f>tblSales[[#This Row],[DPP (excl. VAT)]]+tblSales[[#This Row],[Output VAT]]</f>
        <v>149850</v>
      </c>
      <c r="N3556" s="5">
        <f>tblSales[[#This Row],[Qty]]*_xlfn.XLOOKUP(tblSales[[#This Row],[Product Code]],tblProducts[Code],tblProducts[Unit Cost],0)</f>
        <v>72000</v>
      </c>
      <c r="O3556" s="4" t="s">
        <v>4866</v>
      </c>
      <c r="P3556" s="4" t="s">
        <v>4860</v>
      </c>
      <c r="Q3556" s="1" t="str">
        <f>_xlfn.XLOOKUP(tblSales[[#This Row],[Channel Code]],tblChannels[Channel Code],tblChannels[Channel Name],"")</f>
        <v>In-store</v>
      </c>
      <c r="R3556" s="1">
        <f>MONTH(tblSales[[#This Row],[Date]])</f>
        <v>7</v>
      </c>
    </row>
    <row r="3557" spans="2:18" x14ac:dyDescent="0.35">
      <c r="B3557" s="113">
        <v>46234</v>
      </c>
      <c r="C3557" s="4" t="s">
        <v>5320</v>
      </c>
      <c r="D3557" s="4" t="s">
        <v>4568</v>
      </c>
      <c r="E3557" s="1" t="str">
        <f>_xlfn.XLOOKUP(tblSales[[#This Row],[Customer ID]],tblCustomers[Customer ID],tblCustomers[Customer Name],"⚠ Unknown")</f>
        <v>Walk-in Customer</v>
      </c>
      <c r="F3557" s="4" t="s">
        <v>9</v>
      </c>
      <c r="G3557" s="1" t="str">
        <f>_xlfn.XLOOKUP(tblSales[[#This Row],[Product Code]],tblProducts[Code],tblProducts[Product / Service Name],"⚠ Unknown")</f>
        <v>Casual Shirt</v>
      </c>
      <c r="H3557" s="1" t="str">
        <f>_xlfn.XLOOKUP(tblSales[[#This Row],[Product Code]],tblProducts[Code],tblProducts[Category],"")</f>
        <v>Apparel &amp; Footwear</v>
      </c>
      <c r="I3557" s="4">
        <v>2</v>
      </c>
      <c r="J3557" s="5">
        <f>_xlfn.XLOOKUP(tblSales[[#This Row],[Product Code]],tblProducts[Code],tblProducts[Selling Price (excl. VAT)],0)</f>
        <v>120000</v>
      </c>
      <c r="K3557" s="5">
        <f>tblSales[[#This Row],[Qty]]*tblSales[[#This Row],[Unit Price]]</f>
        <v>240000</v>
      </c>
      <c r="L3557" s="5">
        <f>ROUND(tblSales[[#This Row],[DPP (excl. VAT)]]*VATEff,0)</f>
        <v>26400</v>
      </c>
      <c r="M3557" s="5">
        <f>tblSales[[#This Row],[DPP (excl. VAT)]]+tblSales[[#This Row],[Output VAT]]</f>
        <v>266400</v>
      </c>
      <c r="N3557" s="5">
        <f>tblSales[[#This Row],[Qty]]*_xlfn.XLOOKUP(tblSales[[#This Row],[Product Code]],tblProducts[Code],tblProducts[Unit Cost],0)</f>
        <v>144000</v>
      </c>
      <c r="O3557" s="4" t="s">
        <v>4866</v>
      </c>
      <c r="P3557" s="4" t="s">
        <v>4861</v>
      </c>
      <c r="Q3557" s="1" t="str">
        <f>_xlfn.XLOOKUP(tblSales[[#This Row],[Channel Code]],tblChannels[Channel Code],tblChannels[Channel Name],"")</f>
        <v>Marketplace</v>
      </c>
      <c r="R3557" s="1">
        <f>MONTH(tblSales[[#This Row],[Date]])</f>
        <v>7</v>
      </c>
    </row>
    <row r="3558" spans="2:18" x14ac:dyDescent="0.35">
      <c r="B3558" s="113">
        <v>46234</v>
      </c>
      <c r="C3558" s="4" t="s">
        <v>5321</v>
      </c>
      <c r="D3558" s="4" t="s">
        <v>4568</v>
      </c>
      <c r="E3558" s="1" t="str">
        <f>_xlfn.XLOOKUP(tblSales[[#This Row],[Customer ID]],tblCustomers[Customer ID],tblCustomers[Customer Name],"⚠ Unknown")</f>
        <v>Walk-in Customer</v>
      </c>
      <c r="F3558" s="4" t="s">
        <v>7</v>
      </c>
      <c r="G3558" s="1" t="str">
        <f>_xlfn.XLOOKUP(tblSales[[#This Row],[Product Code]],tblProducts[Code],tblProducts[Product / Service Name],"⚠ Unknown")</f>
        <v>Premium Basic T-shirt</v>
      </c>
      <c r="H3558" s="1" t="str">
        <f>_xlfn.XLOOKUP(tblSales[[#This Row],[Product Code]],tblProducts[Code],tblProducts[Category],"")</f>
        <v>Accessories &amp; Basics</v>
      </c>
      <c r="I3558" s="4">
        <v>10</v>
      </c>
      <c r="J3558" s="5">
        <f>_xlfn.XLOOKUP(tblSales[[#This Row],[Product Code]],tblProducts[Code],tblProducts[Selling Price (excl. VAT)],0)</f>
        <v>65000</v>
      </c>
      <c r="K3558" s="5">
        <f>tblSales[[#This Row],[Qty]]*tblSales[[#This Row],[Unit Price]]</f>
        <v>650000</v>
      </c>
      <c r="L3558" s="5">
        <f>ROUND(tblSales[[#This Row],[DPP (excl. VAT)]]*VATEff,0)</f>
        <v>71500</v>
      </c>
      <c r="M3558" s="5">
        <f>tblSales[[#This Row],[DPP (excl. VAT)]]+tblSales[[#This Row],[Output VAT]]</f>
        <v>721500</v>
      </c>
      <c r="N3558" s="5">
        <f>tblSales[[#This Row],[Qty]]*_xlfn.XLOOKUP(tblSales[[#This Row],[Product Code]],tblProducts[Code],tblProducts[Unit Cost],0)</f>
        <v>370000</v>
      </c>
      <c r="O3558" s="4" t="s">
        <v>4866</v>
      </c>
      <c r="P3558" s="4" t="s">
        <v>4860</v>
      </c>
      <c r="Q3558" s="1" t="str">
        <f>_xlfn.XLOOKUP(tblSales[[#This Row],[Channel Code]],tblChannels[Channel Code],tblChannels[Channel Name],"")</f>
        <v>In-store</v>
      </c>
      <c r="R3558" s="1">
        <f>MONTH(tblSales[[#This Row],[Date]])</f>
        <v>7</v>
      </c>
    </row>
    <row r="3559" spans="2:18" x14ac:dyDescent="0.35">
      <c r="B3559" s="113">
        <v>46234</v>
      </c>
      <c r="C3559" s="4" t="s">
        <v>5322</v>
      </c>
      <c r="D3559" s="4" t="s">
        <v>4568</v>
      </c>
      <c r="E3559" s="1" t="str">
        <f>_xlfn.XLOOKUP(tblSales[[#This Row],[Customer ID]],tblCustomers[Customer ID],tblCustomers[Customer Name],"⚠ Unknown")</f>
        <v>Walk-in Customer</v>
      </c>
      <c r="F3559" s="4" t="s">
        <v>6</v>
      </c>
      <c r="G3559" s="1" t="str">
        <f>_xlfn.XLOOKUP(tblSales[[#This Row],[Product Code]],tblProducts[Code],tblProducts[Product / Service Name],"⚠ Unknown")</f>
        <v>Socks &amp; Accessories</v>
      </c>
      <c r="H3559" s="1" t="str">
        <f>_xlfn.XLOOKUP(tblSales[[#This Row],[Product Code]],tblProducts[Code],tblProducts[Category],"")</f>
        <v>Accessories &amp; Basics</v>
      </c>
      <c r="I3559" s="4">
        <v>5</v>
      </c>
      <c r="J3559" s="5">
        <f>_xlfn.XLOOKUP(tblSales[[#This Row],[Product Code]],tblProducts[Code],tblProducts[Selling Price (excl. VAT)],0)</f>
        <v>45000</v>
      </c>
      <c r="K3559" s="5">
        <f>tblSales[[#This Row],[Qty]]*tblSales[[#This Row],[Unit Price]]</f>
        <v>225000</v>
      </c>
      <c r="L3559" s="5">
        <f>ROUND(tblSales[[#This Row],[DPP (excl. VAT)]]*VATEff,0)</f>
        <v>24750</v>
      </c>
      <c r="M3559" s="5">
        <f>tblSales[[#This Row],[DPP (excl. VAT)]]+tblSales[[#This Row],[Output VAT]]</f>
        <v>249750</v>
      </c>
      <c r="N3559" s="5">
        <f>tblSales[[#This Row],[Qty]]*_xlfn.XLOOKUP(tblSales[[#This Row],[Product Code]],tblProducts[Code],tblProducts[Unit Cost],0)</f>
        <v>120000</v>
      </c>
      <c r="O3559" s="4" t="s">
        <v>4866</v>
      </c>
      <c r="P3559" s="4" t="s">
        <v>4861</v>
      </c>
      <c r="Q3559" s="1" t="str">
        <f>_xlfn.XLOOKUP(tblSales[[#This Row],[Channel Code]],tblChannels[Channel Code],tblChannels[Channel Name],"")</f>
        <v>Marketplace</v>
      </c>
      <c r="R3559" s="1">
        <f>MONTH(tblSales[[#This Row],[Date]])</f>
        <v>7</v>
      </c>
    </row>
    <row r="3560" spans="2:18" x14ac:dyDescent="0.35">
      <c r="B3560" s="113">
        <v>46234</v>
      </c>
      <c r="C3560" s="4" t="s">
        <v>5323</v>
      </c>
      <c r="D3560" s="4" t="s">
        <v>4568</v>
      </c>
      <c r="E3560" s="1" t="str">
        <f>_xlfn.XLOOKUP(tblSales[[#This Row],[Customer ID]],tblCustomers[Customer ID],tblCustomers[Customer Name],"⚠ Unknown")</f>
        <v>Walk-in Customer</v>
      </c>
      <c r="F3560" s="4" t="s">
        <v>7</v>
      </c>
      <c r="G3560" s="1" t="str">
        <f>_xlfn.XLOOKUP(tblSales[[#This Row],[Product Code]],tblProducts[Code],tblProducts[Product / Service Name],"⚠ Unknown")</f>
        <v>Premium Basic T-shirt</v>
      </c>
      <c r="H3560" s="1" t="str">
        <f>_xlfn.XLOOKUP(tblSales[[#This Row],[Product Code]],tblProducts[Code],tblProducts[Category],"")</f>
        <v>Accessories &amp; Basics</v>
      </c>
      <c r="I3560" s="4">
        <v>10</v>
      </c>
      <c r="J3560" s="5">
        <f>_xlfn.XLOOKUP(tblSales[[#This Row],[Product Code]],tblProducts[Code],tblProducts[Selling Price (excl. VAT)],0)</f>
        <v>65000</v>
      </c>
      <c r="K3560" s="5">
        <f>tblSales[[#This Row],[Qty]]*tblSales[[#This Row],[Unit Price]]</f>
        <v>650000</v>
      </c>
      <c r="L3560" s="5">
        <f>ROUND(tblSales[[#This Row],[DPP (excl. VAT)]]*VATEff,0)</f>
        <v>71500</v>
      </c>
      <c r="M3560" s="5">
        <f>tblSales[[#This Row],[DPP (excl. VAT)]]+tblSales[[#This Row],[Output VAT]]</f>
        <v>721500</v>
      </c>
      <c r="N3560" s="5">
        <f>tblSales[[#This Row],[Qty]]*_xlfn.XLOOKUP(tblSales[[#This Row],[Product Code]],tblProducts[Code],tblProducts[Unit Cost],0)</f>
        <v>370000</v>
      </c>
      <c r="O3560" s="4" t="s">
        <v>4866</v>
      </c>
      <c r="P3560" s="4" t="s">
        <v>4862</v>
      </c>
      <c r="Q3560" s="1" t="str">
        <f>_xlfn.XLOOKUP(tblSales[[#This Row],[Channel Code]],tblChannels[Channel Code],tblChannels[Channel Name],"")</f>
        <v>Website &amp; Social Media</v>
      </c>
      <c r="R3560" s="1">
        <f>MONTH(tblSales[[#This Row],[Date]])</f>
        <v>7</v>
      </c>
    </row>
    <row r="3561" spans="2:18" x14ac:dyDescent="0.35">
      <c r="B3561" s="113">
        <v>46234</v>
      </c>
      <c r="C3561" s="4" t="s">
        <v>5324</v>
      </c>
      <c r="D3561" s="4" t="s">
        <v>4568</v>
      </c>
      <c r="E3561" s="1" t="str">
        <f>_xlfn.XLOOKUP(tblSales[[#This Row],[Customer ID]],tblCustomers[Customer ID],tblCustomers[Customer Name],"⚠ Unknown")</f>
        <v>Walk-in Customer</v>
      </c>
      <c r="F3561" s="4" t="s">
        <v>11</v>
      </c>
      <c r="G3561" s="1" t="str">
        <f>_xlfn.XLOOKUP(tblSales[[#This Row],[Product Code]],tblProducts[Code],tblProducts[Product / Service Name],"⚠ Unknown")</f>
        <v>Sneakers</v>
      </c>
      <c r="H3561" s="1" t="str">
        <f>_xlfn.XLOOKUP(tblSales[[#This Row],[Product Code]],tblProducts[Code],tblProducts[Category],"")</f>
        <v>Apparel &amp; Footwear</v>
      </c>
      <c r="I3561" s="4">
        <v>4</v>
      </c>
      <c r="J3561" s="5">
        <f>_xlfn.XLOOKUP(tblSales[[#This Row],[Product Code]],tblProducts[Code],tblProducts[Selling Price (excl. VAT)],0)</f>
        <v>250000</v>
      </c>
      <c r="K3561" s="5">
        <f>tblSales[[#This Row],[Qty]]*tblSales[[#This Row],[Unit Price]]</f>
        <v>1000000</v>
      </c>
      <c r="L3561" s="5">
        <f>ROUND(tblSales[[#This Row],[DPP (excl. VAT)]]*VATEff,0)</f>
        <v>110000</v>
      </c>
      <c r="M3561" s="5">
        <f>tblSales[[#This Row],[DPP (excl. VAT)]]+tblSales[[#This Row],[Output VAT]]</f>
        <v>1110000</v>
      </c>
      <c r="N3561" s="5">
        <f>tblSales[[#This Row],[Qty]]*_xlfn.XLOOKUP(tblSales[[#This Row],[Product Code]],tblProducts[Code],tblProducts[Unit Cost],0)</f>
        <v>620000</v>
      </c>
      <c r="O3561" s="4" t="s">
        <v>4866</v>
      </c>
      <c r="P3561" s="4" t="s">
        <v>4860</v>
      </c>
      <c r="Q3561" s="1" t="str">
        <f>_xlfn.XLOOKUP(tblSales[[#This Row],[Channel Code]],tblChannels[Channel Code],tblChannels[Channel Name],"")</f>
        <v>In-store</v>
      </c>
      <c r="R3561" s="1">
        <f>MONTH(tblSales[[#This Row],[Date]])</f>
        <v>7</v>
      </c>
    </row>
    <row r="3562" spans="2:18" x14ac:dyDescent="0.35">
      <c r="B3562" s="113">
        <v>46234</v>
      </c>
      <c r="C3562" s="4" t="s">
        <v>5324</v>
      </c>
      <c r="D3562" s="4" t="s">
        <v>4568</v>
      </c>
      <c r="E3562" s="1" t="str">
        <f>_xlfn.XLOOKUP(tblSales[[#This Row],[Customer ID]],tblCustomers[Customer ID],tblCustomers[Customer Name],"⚠ Unknown")</f>
        <v>Walk-in Customer</v>
      </c>
      <c r="F3562" s="4" t="s">
        <v>7</v>
      </c>
      <c r="G3562" s="1" t="str">
        <f>_xlfn.XLOOKUP(tblSales[[#This Row],[Product Code]],tblProducts[Code],tblProducts[Product / Service Name],"⚠ Unknown")</f>
        <v>Premium Basic T-shirt</v>
      </c>
      <c r="H3562" s="1" t="str">
        <f>_xlfn.XLOOKUP(tblSales[[#This Row],[Product Code]],tblProducts[Code],tblProducts[Category],"")</f>
        <v>Accessories &amp; Basics</v>
      </c>
      <c r="I3562" s="4">
        <v>2</v>
      </c>
      <c r="J3562" s="5">
        <f>_xlfn.XLOOKUP(tblSales[[#This Row],[Product Code]],tblProducts[Code],tblProducts[Selling Price (excl. VAT)],0)</f>
        <v>65000</v>
      </c>
      <c r="K3562" s="5">
        <f>tblSales[[#This Row],[Qty]]*tblSales[[#This Row],[Unit Price]]</f>
        <v>130000</v>
      </c>
      <c r="L3562" s="5">
        <f>ROUND(tblSales[[#This Row],[DPP (excl. VAT)]]*VATEff,0)</f>
        <v>14300</v>
      </c>
      <c r="M3562" s="5">
        <f>tblSales[[#This Row],[DPP (excl. VAT)]]+tblSales[[#This Row],[Output VAT]]</f>
        <v>144300</v>
      </c>
      <c r="N3562" s="5">
        <f>tblSales[[#This Row],[Qty]]*_xlfn.XLOOKUP(tblSales[[#This Row],[Product Code]],tblProducts[Code],tblProducts[Unit Cost],0)</f>
        <v>74000</v>
      </c>
      <c r="O3562" s="4" t="s">
        <v>4866</v>
      </c>
      <c r="P3562" s="4" t="s">
        <v>4860</v>
      </c>
      <c r="Q3562" s="1" t="str">
        <f>_xlfn.XLOOKUP(tblSales[[#This Row],[Channel Code]],tblChannels[Channel Code],tblChannels[Channel Name],"")</f>
        <v>In-store</v>
      </c>
      <c r="R3562" s="1">
        <f>MONTH(tblSales[[#This Row],[Date]])</f>
        <v>7</v>
      </c>
    </row>
    <row r="3563" spans="2:18" x14ac:dyDescent="0.35">
      <c r="B3563" s="113">
        <v>46234</v>
      </c>
      <c r="C3563" s="4" t="s">
        <v>5325</v>
      </c>
      <c r="D3563" s="4" t="s">
        <v>4568</v>
      </c>
      <c r="E3563" s="1" t="str">
        <f>_xlfn.XLOOKUP(tblSales[[#This Row],[Customer ID]],tblCustomers[Customer ID],tblCustomers[Customer Name],"⚠ Unknown")</f>
        <v>Walk-in Customer</v>
      </c>
      <c r="F3563" s="4" t="s">
        <v>7</v>
      </c>
      <c r="G3563" s="1" t="str">
        <f>_xlfn.XLOOKUP(tblSales[[#This Row],[Product Code]],tblProducts[Code],tblProducts[Product / Service Name],"⚠ Unknown")</f>
        <v>Premium Basic T-shirt</v>
      </c>
      <c r="H3563" s="1" t="str">
        <f>_xlfn.XLOOKUP(tblSales[[#This Row],[Product Code]],tblProducts[Code],tblProducts[Category],"")</f>
        <v>Accessories &amp; Basics</v>
      </c>
      <c r="I3563" s="4">
        <v>4</v>
      </c>
      <c r="J3563" s="5">
        <f>_xlfn.XLOOKUP(tblSales[[#This Row],[Product Code]],tblProducts[Code],tblProducts[Selling Price (excl. VAT)],0)</f>
        <v>65000</v>
      </c>
      <c r="K3563" s="5">
        <f>tblSales[[#This Row],[Qty]]*tblSales[[#This Row],[Unit Price]]</f>
        <v>260000</v>
      </c>
      <c r="L3563" s="5">
        <f>ROUND(tblSales[[#This Row],[DPP (excl. VAT)]]*VATEff,0)</f>
        <v>28600</v>
      </c>
      <c r="M3563" s="5">
        <f>tblSales[[#This Row],[DPP (excl. VAT)]]+tblSales[[#This Row],[Output VAT]]</f>
        <v>288600</v>
      </c>
      <c r="N3563" s="5">
        <f>tblSales[[#This Row],[Qty]]*_xlfn.XLOOKUP(tblSales[[#This Row],[Product Code]],tblProducts[Code],tblProducts[Unit Cost],0)</f>
        <v>148000</v>
      </c>
      <c r="O3563" s="4" t="s">
        <v>4866</v>
      </c>
      <c r="P3563" s="4" t="s">
        <v>4862</v>
      </c>
      <c r="Q3563" s="1" t="str">
        <f>_xlfn.XLOOKUP(tblSales[[#This Row],[Channel Code]],tblChannels[Channel Code],tblChannels[Channel Name],"")</f>
        <v>Website &amp; Social Media</v>
      </c>
      <c r="R3563" s="1">
        <f>MONTH(tblSales[[#This Row],[Date]])</f>
        <v>7</v>
      </c>
    </row>
    <row r="3564" spans="2:18" x14ac:dyDescent="0.35">
      <c r="B3564" s="113">
        <v>46234</v>
      </c>
      <c r="C3564" s="4" t="s">
        <v>5326</v>
      </c>
      <c r="D3564" s="4" t="s">
        <v>4568</v>
      </c>
      <c r="E3564" s="1" t="str">
        <f>_xlfn.XLOOKUP(tblSales[[#This Row],[Customer ID]],tblCustomers[Customer ID],tblCustomers[Customer Name],"⚠ Unknown")</f>
        <v>Walk-in Customer</v>
      </c>
      <c r="F3564" s="4" t="s">
        <v>8</v>
      </c>
      <c r="G3564" s="1" t="str">
        <f>_xlfn.XLOOKUP(tblSales[[#This Row],[Product Code]],tblProducts[Code],tblProducts[Product / Service Name],"⚠ Unknown")</f>
        <v>Casual Shorts</v>
      </c>
      <c r="H3564" s="1" t="str">
        <f>_xlfn.XLOOKUP(tblSales[[#This Row],[Product Code]],tblProducts[Code],tblProducts[Category],"")</f>
        <v>Accessories &amp; Basics</v>
      </c>
      <c r="I3564" s="4">
        <v>4</v>
      </c>
      <c r="J3564" s="5">
        <f>_xlfn.XLOOKUP(tblSales[[#This Row],[Product Code]],tblProducts[Code],tblProducts[Selling Price (excl. VAT)],0)</f>
        <v>85000</v>
      </c>
      <c r="K3564" s="5">
        <f>tblSales[[#This Row],[Qty]]*tblSales[[#This Row],[Unit Price]]</f>
        <v>340000</v>
      </c>
      <c r="L3564" s="5">
        <f>ROUND(tblSales[[#This Row],[DPP (excl. VAT)]]*VATEff,0)</f>
        <v>37400</v>
      </c>
      <c r="M3564" s="5">
        <f>tblSales[[#This Row],[DPP (excl. VAT)]]+tblSales[[#This Row],[Output VAT]]</f>
        <v>377400</v>
      </c>
      <c r="N3564" s="5">
        <f>tblSales[[#This Row],[Qty]]*_xlfn.XLOOKUP(tblSales[[#This Row],[Product Code]],tblProducts[Code],tblProducts[Unit Cost],0)</f>
        <v>200000</v>
      </c>
      <c r="O3564" s="4" t="s">
        <v>4866</v>
      </c>
      <c r="P3564" s="4" t="s">
        <v>4862</v>
      </c>
      <c r="Q3564" s="1" t="str">
        <f>_xlfn.XLOOKUP(tblSales[[#This Row],[Channel Code]],tblChannels[Channel Code],tblChannels[Channel Name],"")</f>
        <v>Website &amp; Social Media</v>
      </c>
      <c r="R3564" s="1">
        <f>MONTH(tblSales[[#This Row],[Date]])</f>
        <v>7</v>
      </c>
    </row>
    <row r="3565" spans="2:18" x14ac:dyDescent="0.35">
      <c r="B3565" s="113">
        <v>46234</v>
      </c>
      <c r="C3565" s="4" t="s">
        <v>5327</v>
      </c>
      <c r="D3565" s="4" t="s">
        <v>4568</v>
      </c>
      <c r="E3565" s="1" t="str">
        <f>_xlfn.XLOOKUP(tblSales[[#This Row],[Customer ID]],tblCustomers[Customer ID],tblCustomers[Customer Name],"⚠ Unknown")</f>
        <v>Walk-in Customer</v>
      </c>
      <c r="F3565" s="4" t="s">
        <v>7</v>
      </c>
      <c r="G3565" s="1" t="str">
        <f>_xlfn.XLOOKUP(tblSales[[#This Row],[Product Code]],tblProducts[Code],tblProducts[Product / Service Name],"⚠ Unknown")</f>
        <v>Premium Basic T-shirt</v>
      </c>
      <c r="H3565" s="1" t="str">
        <f>_xlfn.XLOOKUP(tblSales[[#This Row],[Product Code]],tblProducts[Code],tblProducts[Category],"")</f>
        <v>Accessories &amp; Basics</v>
      </c>
      <c r="I3565" s="4">
        <v>8</v>
      </c>
      <c r="J3565" s="5">
        <f>_xlfn.XLOOKUP(tblSales[[#This Row],[Product Code]],tblProducts[Code],tblProducts[Selling Price (excl. VAT)],0)</f>
        <v>65000</v>
      </c>
      <c r="K3565" s="5">
        <f>tblSales[[#This Row],[Qty]]*tblSales[[#This Row],[Unit Price]]</f>
        <v>520000</v>
      </c>
      <c r="L3565" s="5">
        <f>ROUND(tblSales[[#This Row],[DPP (excl. VAT)]]*VATEff,0)</f>
        <v>57200</v>
      </c>
      <c r="M3565" s="5">
        <f>tblSales[[#This Row],[DPP (excl. VAT)]]+tblSales[[#This Row],[Output VAT]]</f>
        <v>577200</v>
      </c>
      <c r="N3565" s="5">
        <f>tblSales[[#This Row],[Qty]]*_xlfn.XLOOKUP(tblSales[[#This Row],[Product Code]],tblProducts[Code],tblProducts[Unit Cost],0)</f>
        <v>296000</v>
      </c>
      <c r="O3565" s="4" t="s">
        <v>4866</v>
      </c>
      <c r="P3565" s="4" t="s">
        <v>4861</v>
      </c>
      <c r="Q3565" s="1" t="str">
        <f>_xlfn.XLOOKUP(tblSales[[#This Row],[Channel Code]],tblChannels[Channel Code],tblChannels[Channel Name],"")</f>
        <v>Marketplace</v>
      </c>
      <c r="R3565" s="1">
        <f>MONTH(tblSales[[#This Row],[Date]])</f>
        <v>7</v>
      </c>
    </row>
    <row r="3566" spans="2:18" x14ac:dyDescent="0.35">
      <c r="B3566" s="113">
        <v>46234</v>
      </c>
      <c r="C3566" s="4" t="s">
        <v>5328</v>
      </c>
      <c r="D3566" s="4" t="s">
        <v>4599</v>
      </c>
      <c r="E3566" s="1" t="str">
        <f>_xlfn.XLOOKUP(tblSales[[#This Row],[Customer ID]],tblCustomers[Customer ID],tblCustomers[Customer Name],"⚠ Unknown")</f>
        <v>PT Samudra Jaya Logistik</v>
      </c>
      <c r="F3566" s="4" t="s">
        <v>6</v>
      </c>
      <c r="G3566" s="1" t="str">
        <f>_xlfn.XLOOKUP(tblSales[[#This Row],[Product Code]],tblProducts[Code],tblProducts[Product / Service Name],"⚠ Unknown")</f>
        <v>Socks &amp; Accessories</v>
      </c>
      <c r="H3566" s="1" t="str">
        <f>_xlfn.XLOOKUP(tblSales[[#This Row],[Product Code]],tblProducts[Code],tblProducts[Category],"")</f>
        <v>Accessories &amp; Basics</v>
      </c>
      <c r="I3566" s="4">
        <v>24</v>
      </c>
      <c r="J3566" s="5">
        <f>_xlfn.XLOOKUP(tblSales[[#This Row],[Product Code]],tblProducts[Code],tblProducts[Selling Price (excl. VAT)],0)</f>
        <v>45000</v>
      </c>
      <c r="K3566" s="5">
        <f>tblSales[[#This Row],[Qty]]*tblSales[[#This Row],[Unit Price]]</f>
        <v>1080000</v>
      </c>
      <c r="L3566" s="5">
        <f>ROUND(tblSales[[#This Row],[DPP (excl. VAT)]]*VATEff,0)</f>
        <v>118800</v>
      </c>
      <c r="M3566" s="5">
        <f>tblSales[[#This Row],[DPP (excl. VAT)]]+tblSales[[#This Row],[Output VAT]]</f>
        <v>1198800</v>
      </c>
      <c r="N3566" s="5">
        <f>tblSales[[#This Row],[Qty]]*_xlfn.XLOOKUP(tblSales[[#This Row],[Product Code]],tblProducts[Code],tblProducts[Unit Cost],0)</f>
        <v>576000</v>
      </c>
      <c r="O3566" s="4" t="s">
        <v>4867</v>
      </c>
      <c r="P3566" s="4" t="s">
        <v>4860</v>
      </c>
      <c r="Q3566" s="1" t="str">
        <f>_xlfn.XLOOKUP(tblSales[[#This Row],[Channel Code]],tblChannels[Channel Code],tblChannels[Channel Name],"")</f>
        <v>In-store</v>
      </c>
      <c r="R3566" s="1">
        <f>MONTH(tblSales[[#This Row],[Date]])</f>
        <v>7</v>
      </c>
    </row>
    <row r="3567" spans="2:18" x14ac:dyDescent="0.35">
      <c r="B3567" s="113">
        <v>46234</v>
      </c>
      <c r="C3567" s="4" t="s">
        <v>5328</v>
      </c>
      <c r="D3567" s="4" t="s">
        <v>4599</v>
      </c>
      <c r="E3567" s="1" t="str">
        <f>_xlfn.XLOOKUP(tblSales[[#This Row],[Customer ID]],tblCustomers[Customer ID],tblCustomers[Customer Name],"⚠ Unknown")</f>
        <v>PT Samudra Jaya Logistik</v>
      </c>
      <c r="F3567" s="4" t="s">
        <v>8</v>
      </c>
      <c r="G3567" s="1" t="str">
        <f>_xlfn.XLOOKUP(tblSales[[#This Row],[Product Code]],tblProducts[Code],tblProducts[Product / Service Name],"⚠ Unknown")</f>
        <v>Casual Shorts</v>
      </c>
      <c r="H3567" s="1" t="str">
        <f>_xlfn.XLOOKUP(tblSales[[#This Row],[Product Code]],tblProducts[Code],tblProducts[Category],"")</f>
        <v>Accessories &amp; Basics</v>
      </c>
      <c r="I3567" s="4">
        <v>64</v>
      </c>
      <c r="J3567" s="5">
        <f>_xlfn.XLOOKUP(tblSales[[#This Row],[Product Code]],tblProducts[Code],tblProducts[Selling Price (excl. VAT)],0)</f>
        <v>85000</v>
      </c>
      <c r="K3567" s="5">
        <f>tblSales[[#This Row],[Qty]]*tblSales[[#This Row],[Unit Price]]</f>
        <v>5440000</v>
      </c>
      <c r="L3567" s="5">
        <f>ROUND(tblSales[[#This Row],[DPP (excl. VAT)]]*VATEff,0)</f>
        <v>598400</v>
      </c>
      <c r="M3567" s="5">
        <f>tblSales[[#This Row],[DPP (excl. VAT)]]+tblSales[[#This Row],[Output VAT]]</f>
        <v>6038400</v>
      </c>
      <c r="N3567" s="5">
        <f>tblSales[[#This Row],[Qty]]*_xlfn.XLOOKUP(tblSales[[#This Row],[Product Code]],tblProducts[Code],tblProducts[Unit Cost],0)</f>
        <v>3200000</v>
      </c>
      <c r="O3567" s="4" t="s">
        <v>4867</v>
      </c>
      <c r="P3567" s="4" t="s">
        <v>4860</v>
      </c>
      <c r="Q3567" s="1" t="str">
        <f>_xlfn.XLOOKUP(tblSales[[#This Row],[Channel Code]],tblChannels[Channel Code],tblChannels[Channel Name],"")</f>
        <v>In-store</v>
      </c>
      <c r="R3567" s="1">
        <f>MONTH(tblSales[[#This Row],[Date]])</f>
        <v>7</v>
      </c>
    </row>
    <row r="3568" spans="2:18" x14ac:dyDescent="0.35">
      <c r="B3568" s="113">
        <v>46234</v>
      </c>
      <c r="C3568" s="4" t="s">
        <v>5328</v>
      </c>
      <c r="D3568" s="4" t="s">
        <v>4599</v>
      </c>
      <c r="E3568" s="1" t="str">
        <f>_xlfn.XLOOKUP(tblSales[[#This Row],[Customer ID]],tblCustomers[Customer ID],tblCustomers[Customer Name],"⚠ Unknown")</f>
        <v>PT Samudra Jaya Logistik</v>
      </c>
      <c r="F3568" s="4" t="s">
        <v>9</v>
      </c>
      <c r="G3568" s="1" t="str">
        <f>_xlfn.XLOOKUP(tblSales[[#This Row],[Product Code]],tblProducts[Code],tblProducts[Product / Service Name],"⚠ Unknown")</f>
        <v>Casual Shirt</v>
      </c>
      <c r="H3568" s="1" t="str">
        <f>_xlfn.XLOOKUP(tblSales[[#This Row],[Product Code]],tblProducts[Code],tblProducts[Category],"")</f>
        <v>Apparel &amp; Footwear</v>
      </c>
      <c r="I3568" s="4">
        <v>64</v>
      </c>
      <c r="J3568" s="5">
        <f>_xlfn.XLOOKUP(tblSales[[#This Row],[Product Code]],tblProducts[Code],tblProducts[Selling Price (excl. VAT)],0)</f>
        <v>120000</v>
      </c>
      <c r="K3568" s="5">
        <f>tblSales[[#This Row],[Qty]]*tblSales[[#This Row],[Unit Price]]</f>
        <v>7680000</v>
      </c>
      <c r="L3568" s="5">
        <f>ROUND(tblSales[[#This Row],[DPP (excl. VAT)]]*VATEff,0)</f>
        <v>844800</v>
      </c>
      <c r="M3568" s="5">
        <f>tblSales[[#This Row],[DPP (excl. VAT)]]+tblSales[[#This Row],[Output VAT]]</f>
        <v>8524800</v>
      </c>
      <c r="N3568" s="5">
        <f>tblSales[[#This Row],[Qty]]*_xlfn.XLOOKUP(tblSales[[#This Row],[Product Code]],tblProducts[Code],tblProducts[Unit Cost],0)</f>
        <v>4608000</v>
      </c>
      <c r="O3568" s="4" t="s">
        <v>4867</v>
      </c>
      <c r="P3568" s="4" t="s">
        <v>4860</v>
      </c>
      <c r="Q3568" s="1" t="str">
        <f>_xlfn.XLOOKUP(tblSales[[#This Row],[Channel Code]],tblChannels[Channel Code],tblChannels[Channel Name],"")</f>
        <v>In-store</v>
      </c>
      <c r="R3568" s="1">
        <f>MONTH(tblSales[[#This Row],[Date]])</f>
        <v>7</v>
      </c>
    </row>
    <row r="3569" spans="2:18" x14ac:dyDescent="0.35">
      <c r="B3569" s="113">
        <v>46235</v>
      </c>
      <c r="C3569" s="4" t="s">
        <v>2388</v>
      </c>
      <c r="D3569" s="4" t="s">
        <v>4568</v>
      </c>
      <c r="E3569" s="1" t="str">
        <f>_xlfn.XLOOKUP(tblSales[[#This Row],[Customer ID]],tblCustomers[Customer ID],tblCustomers[Customer Name],"⚠ Unknown")</f>
        <v>Walk-in Customer</v>
      </c>
      <c r="F3569" s="4" t="s">
        <v>9</v>
      </c>
      <c r="G3569" s="1" t="str">
        <f>_xlfn.XLOOKUP(tblSales[[#This Row],[Product Code]],tblProducts[Code],tblProducts[Product / Service Name],"⚠ Unknown")</f>
        <v>Casual Shirt</v>
      </c>
      <c r="H3569" s="1" t="str">
        <f>_xlfn.XLOOKUP(tblSales[[#This Row],[Product Code]],tblProducts[Code],tblProducts[Category],"")</f>
        <v>Apparel &amp; Footwear</v>
      </c>
      <c r="I3569" s="4">
        <v>8</v>
      </c>
      <c r="J3569" s="5">
        <f>_xlfn.XLOOKUP(tblSales[[#This Row],[Product Code]],tblProducts[Code],tblProducts[Selling Price (excl. VAT)],0)</f>
        <v>120000</v>
      </c>
      <c r="K3569" s="5">
        <f>tblSales[[#This Row],[Qty]]*tblSales[[#This Row],[Unit Price]]</f>
        <v>960000</v>
      </c>
      <c r="L3569" s="5">
        <f>ROUND(tblSales[[#This Row],[DPP (excl. VAT)]]*VATEff,0)</f>
        <v>105600</v>
      </c>
      <c r="M3569" s="5">
        <f>tblSales[[#This Row],[DPP (excl. VAT)]]+tblSales[[#This Row],[Output VAT]]</f>
        <v>1065600</v>
      </c>
      <c r="N3569" s="5">
        <f>tblSales[[#This Row],[Qty]]*_xlfn.XLOOKUP(tblSales[[#This Row],[Product Code]],tblProducts[Code],tblProducts[Unit Cost],0)</f>
        <v>576000</v>
      </c>
      <c r="O3569" s="4" t="s">
        <v>4865</v>
      </c>
      <c r="P3569" s="4" t="s">
        <v>4860</v>
      </c>
      <c r="Q3569" s="1" t="str">
        <f>_xlfn.XLOOKUP(tblSales[[#This Row],[Channel Code]],tblChannels[Channel Code],tblChannels[Channel Name],"")</f>
        <v>In-store</v>
      </c>
      <c r="R3569" s="1">
        <f>MONTH(tblSales[[#This Row],[Date]])</f>
        <v>8</v>
      </c>
    </row>
    <row r="3570" spans="2:18" x14ac:dyDescent="0.35">
      <c r="B3570" s="113">
        <v>46235</v>
      </c>
      <c r="C3570" s="4" t="s">
        <v>2389</v>
      </c>
      <c r="D3570" s="4" t="s">
        <v>4568</v>
      </c>
      <c r="E3570" s="1" t="str">
        <f>_xlfn.XLOOKUP(tblSales[[#This Row],[Customer ID]],tblCustomers[Customer ID],tblCustomers[Customer Name],"⚠ Unknown")</f>
        <v>Walk-in Customer</v>
      </c>
      <c r="F3570" s="4" t="s">
        <v>10</v>
      </c>
      <c r="G3570" s="1" t="str">
        <f>_xlfn.XLOOKUP(tblSales[[#This Row],[Product Code]],tblProducts[Code],tblProducts[Product / Service Name],"⚠ Unknown")</f>
        <v>Chino Pants</v>
      </c>
      <c r="H3570" s="1" t="str">
        <f>_xlfn.XLOOKUP(tblSales[[#This Row],[Product Code]],tblProducts[Code],tblProducts[Category],"")</f>
        <v>Apparel &amp; Footwear</v>
      </c>
      <c r="I3570" s="4">
        <v>1</v>
      </c>
      <c r="J3570" s="5">
        <f>_xlfn.XLOOKUP(tblSales[[#This Row],[Product Code]],tblProducts[Code],tblProducts[Selling Price (excl. VAT)],0)</f>
        <v>150000</v>
      </c>
      <c r="K3570" s="5">
        <f>tblSales[[#This Row],[Qty]]*tblSales[[#This Row],[Unit Price]]</f>
        <v>150000</v>
      </c>
      <c r="L3570" s="5">
        <f>ROUND(tblSales[[#This Row],[DPP (excl. VAT)]]*VATEff,0)</f>
        <v>16500</v>
      </c>
      <c r="M3570" s="5">
        <f>tblSales[[#This Row],[DPP (excl. VAT)]]+tblSales[[#This Row],[Output VAT]]</f>
        <v>166500</v>
      </c>
      <c r="N3570" s="5">
        <f>tblSales[[#This Row],[Qty]]*_xlfn.XLOOKUP(tblSales[[#This Row],[Product Code]],tblProducts[Code],tblProducts[Unit Cost],0)</f>
        <v>88000</v>
      </c>
      <c r="O3570" s="4" t="s">
        <v>4866</v>
      </c>
      <c r="P3570" s="4" t="s">
        <v>4862</v>
      </c>
      <c r="Q3570" s="1" t="str">
        <f>_xlfn.XLOOKUP(tblSales[[#This Row],[Channel Code]],tblChannels[Channel Code],tblChannels[Channel Name],"")</f>
        <v>Website &amp; Social Media</v>
      </c>
      <c r="R3570" s="1">
        <f>MONTH(tblSales[[#This Row],[Date]])</f>
        <v>8</v>
      </c>
    </row>
    <row r="3571" spans="2:18" x14ac:dyDescent="0.35">
      <c r="B3571" s="113">
        <v>46235</v>
      </c>
      <c r="C3571" s="4" t="s">
        <v>2390</v>
      </c>
      <c r="D3571" s="4" t="s">
        <v>4568</v>
      </c>
      <c r="E3571" s="1" t="str">
        <f>_xlfn.XLOOKUP(tblSales[[#This Row],[Customer ID]],tblCustomers[Customer ID],tblCustomers[Customer Name],"⚠ Unknown")</f>
        <v>Walk-in Customer</v>
      </c>
      <c r="F3571" s="4" t="s">
        <v>8</v>
      </c>
      <c r="G3571" s="1" t="str">
        <f>_xlfn.XLOOKUP(tblSales[[#This Row],[Product Code]],tblProducts[Code],tblProducts[Product / Service Name],"⚠ Unknown")</f>
        <v>Casual Shorts</v>
      </c>
      <c r="H3571" s="1" t="str">
        <f>_xlfn.XLOOKUP(tblSales[[#This Row],[Product Code]],tblProducts[Code],tblProducts[Category],"")</f>
        <v>Accessories &amp; Basics</v>
      </c>
      <c r="I3571" s="4">
        <v>8</v>
      </c>
      <c r="J3571" s="5">
        <f>_xlfn.XLOOKUP(tblSales[[#This Row],[Product Code]],tblProducts[Code],tblProducts[Selling Price (excl. VAT)],0)</f>
        <v>85000</v>
      </c>
      <c r="K3571" s="5">
        <f>tblSales[[#This Row],[Qty]]*tblSales[[#This Row],[Unit Price]]</f>
        <v>680000</v>
      </c>
      <c r="L3571" s="5">
        <f>ROUND(tblSales[[#This Row],[DPP (excl. VAT)]]*VATEff,0)</f>
        <v>74800</v>
      </c>
      <c r="M3571" s="5">
        <f>tblSales[[#This Row],[DPP (excl. VAT)]]+tblSales[[#This Row],[Output VAT]]</f>
        <v>754800</v>
      </c>
      <c r="N3571" s="5">
        <f>tblSales[[#This Row],[Qty]]*_xlfn.XLOOKUP(tblSales[[#This Row],[Product Code]],tblProducts[Code],tblProducts[Unit Cost],0)</f>
        <v>400000</v>
      </c>
      <c r="O3571" s="4" t="s">
        <v>4865</v>
      </c>
      <c r="P3571" s="4" t="s">
        <v>4860</v>
      </c>
      <c r="Q3571" s="1" t="str">
        <f>_xlfn.XLOOKUP(tblSales[[#This Row],[Channel Code]],tblChannels[Channel Code],tblChannels[Channel Name],"")</f>
        <v>In-store</v>
      </c>
      <c r="R3571" s="1">
        <f>MONTH(tblSales[[#This Row],[Date]])</f>
        <v>8</v>
      </c>
    </row>
    <row r="3572" spans="2:18" x14ac:dyDescent="0.35">
      <c r="B3572" s="113">
        <v>46235</v>
      </c>
      <c r="C3572" s="4" t="s">
        <v>2391</v>
      </c>
      <c r="D3572" s="4" t="s">
        <v>4568</v>
      </c>
      <c r="E3572" s="1" t="str">
        <f>_xlfn.XLOOKUP(tblSales[[#This Row],[Customer ID]],tblCustomers[Customer ID],tblCustomers[Customer Name],"⚠ Unknown")</f>
        <v>Walk-in Customer</v>
      </c>
      <c r="F3572" s="4" t="s">
        <v>9</v>
      </c>
      <c r="G3572" s="1" t="str">
        <f>_xlfn.XLOOKUP(tblSales[[#This Row],[Product Code]],tblProducts[Code],tblProducts[Product / Service Name],"⚠ Unknown")</f>
        <v>Casual Shirt</v>
      </c>
      <c r="H3572" s="1" t="str">
        <f>_xlfn.XLOOKUP(tblSales[[#This Row],[Product Code]],tblProducts[Code],tblProducts[Category],"")</f>
        <v>Apparel &amp; Footwear</v>
      </c>
      <c r="I3572" s="4">
        <v>2</v>
      </c>
      <c r="J3572" s="5">
        <f>_xlfn.XLOOKUP(tblSales[[#This Row],[Product Code]],tblProducts[Code],tblProducts[Selling Price (excl. VAT)],0)</f>
        <v>120000</v>
      </c>
      <c r="K3572" s="5">
        <f>tblSales[[#This Row],[Qty]]*tblSales[[#This Row],[Unit Price]]</f>
        <v>240000</v>
      </c>
      <c r="L3572" s="5">
        <f>ROUND(tblSales[[#This Row],[DPP (excl. VAT)]]*VATEff,0)</f>
        <v>26400</v>
      </c>
      <c r="M3572" s="5">
        <f>tblSales[[#This Row],[DPP (excl. VAT)]]+tblSales[[#This Row],[Output VAT]]</f>
        <v>266400</v>
      </c>
      <c r="N3572" s="5">
        <f>tblSales[[#This Row],[Qty]]*_xlfn.XLOOKUP(tblSales[[#This Row],[Product Code]],tblProducts[Code],tblProducts[Unit Cost],0)</f>
        <v>144000</v>
      </c>
      <c r="O3572" s="4" t="s">
        <v>4866</v>
      </c>
      <c r="P3572" s="4" t="s">
        <v>4861</v>
      </c>
      <c r="Q3572" s="1" t="str">
        <f>_xlfn.XLOOKUP(tblSales[[#This Row],[Channel Code]],tblChannels[Channel Code],tblChannels[Channel Name],"")</f>
        <v>Marketplace</v>
      </c>
      <c r="R3572" s="1">
        <f>MONTH(tblSales[[#This Row],[Date]])</f>
        <v>8</v>
      </c>
    </row>
    <row r="3573" spans="2:18" x14ac:dyDescent="0.35">
      <c r="B3573" s="113">
        <v>46235</v>
      </c>
      <c r="C3573" s="4" t="s">
        <v>2392</v>
      </c>
      <c r="D3573" s="4" t="s">
        <v>4568</v>
      </c>
      <c r="E3573" s="1" t="str">
        <f>_xlfn.XLOOKUP(tblSales[[#This Row],[Customer ID]],tblCustomers[Customer ID],tblCustomers[Customer Name],"⚠ Unknown")</f>
        <v>Walk-in Customer</v>
      </c>
      <c r="F3573" s="4" t="s">
        <v>8</v>
      </c>
      <c r="G3573" s="1" t="str">
        <f>_xlfn.XLOOKUP(tblSales[[#This Row],[Product Code]],tblProducts[Code],tblProducts[Product / Service Name],"⚠ Unknown")</f>
        <v>Casual Shorts</v>
      </c>
      <c r="H3573" s="1" t="str">
        <f>_xlfn.XLOOKUP(tblSales[[#This Row],[Product Code]],tblProducts[Code],tblProducts[Category],"")</f>
        <v>Accessories &amp; Basics</v>
      </c>
      <c r="I3573" s="4">
        <v>9</v>
      </c>
      <c r="J3573" s="5">
        <f>_xlfn.XLOOKUP(tblSales[[#This Row],[Product Code]],tblProducts[Code],tblProducts[Selling Price (excl. VAT)],0)</f>
        <v>85000</v>
      </c>
      <c r="K3573" s="5">
        <f>tblSales[[#This Row],[Qty]]*tblSales[[#This Row],[Unit Price]]</f>
        <v>765000</v>
      </c>
      <c r="L3573" s="5">
        <f>ROUND(tblSales[[#This Row],[DPP (excl. VAT)]]*VATEff,0)</f>
        <v>84150</v>
      </c>
      <c r="M3573" s="5">
        <f>tblSales[[#This Row],[DPP (excl. VAT)]]+tblSales[[#This Row],[Output VAT]]</f>
        <v>849150</v>
      </c>
      <c r="N3573" s="5">
        <f>tblSales[[#This Row],[Qty]]*_xlfn.XLOOKUP(tblSales[[#This Row],[Product Code]],tblProducts[Code],tblProducts[Unit Cost],0)</f>
        <v>450000</v>
      </c>
      <c r="O3573" s="4" t="s">
        <v>4866</v>
      </c>
      <c r="P3573" s="4" t="s">
        <v>4860</v>
      </c>
      <c r="Q3573" s="1" t="str">
        <f>_xlfn.XLOOKUP(tblSales[[#This Row],[Channel Code]],tblChannels[Channel Code],tblChannels[Channel Name],"")</f>
        <v>In-store</v>
      </c>
      <c r="R3573" s="1">
        <f>MONTH(tblSales[[#This Row],[Date]])</f>
        <v>8</v>
      </c>
    </row>
    <row r="3574" spans="2:18" x14ac:dyDescent="0.35">
      <c r="B3574" s="113">
        <v>46235</v>
      </c>
      <c r="C3574" s="4" t="s">
        <v>2392</v>
      </c>
      <c r="D3574" s="4" t="s">
        <v>4568</v>
      </c>
      <c r="E3574" s="1" t="str">
        <f>_xlfn.XLOOKUP(tblSales[[#This Row],[Customer ID]],tblCustomers[Customer ID],tblCustomers[Customer Name],"⚠ Unknown")</f>
        <v>Walk-in Customer</v>
      </c>
      <c r="F3574" s="4" t="s">
        <v>15</v>
      </c>
      <c r="G3574" s="1" t="str">
        <f>_xlfn.XLOOKUP(tblSales[[#This Row],[Product Code]],tblProducts[Code],tblProducts[Product / Service Name],"⚠ Unknown")</f>
        <v>Wireless Earbuds Pro</v>
      </c>
      <c r="H3574" s="1" t="str">
        <f>_xlfn.XLOOKUP(tblSales[[#This Row],[Product Code]],tblProducts[Code],tblProducts[Category],"")</f>
        <v>Bags &amp; Gadgets</v>
      </c>
      <c r="I3574" s="4">
        <v>2</v>
      </c>
      <c r="J3574" s="5">
        <f>_xlfn.XLOOKUP(tblSales[[#This Row],[Product Code]],tblProducts[Code],tblProducts[Selling Price (excl. VAT)],0)</f>
        <v>1250000</v>
      </c>
      <c r="K3574" s="5">
        <f>tblSales[[#This Row],[Qty]]*tblSales[[#This Row],[Unit Price]]</f>
        <v>2500000</v>
      </c>
      <c r="L3574" s="5">
        <f>ROUND(tblSales[[#This Row],[DPP (excl. VAT)]]*VATEff,0)</f>
        <v>275000</v>
      </c>
      <c r="M3574" s="5">
        <f>tblSales[[#This Row],[DPP (excl. VAT)]]+tblSales[[#This Row],[Output VAT]]</f>
        <v>2775000</v>
      </c>
      <c r="N3574" s="5">
        <f>tblSales[[#This Row],[Qty]]*_xlfn.XLOOKUP(tblSales[[#This Row],[Product Code]],tblProducts[Code],tblProducts[Unit Cost],0)</f>
        <v>1640000</v>
      </c>
      <c r="O3574" s="4" t="s">
        <v>4866</v>
      </c>
      <c r="P3574" s="4" t="s">
        <v>4860</v>
      </c>
      <c r="Q3574" s="1" t="str">
        <f>_xlfn.XLOOKUP(tblSales[[#This Row],[Channel Code]],tblChannels[Channel Code],tblChannels[Channel Name],"")</f>
        <v>In-store</v>
      </c>
      <c r="R3574" s="1">
        <f>MONTH(tblSales[[#This Row],[Date]])</f>
        <v>8</v>
      </c>
    </row>
    <row r="3575" spans="2:18" x14ac:dyDescent="0.35">
      <c r="B3575" s="113">
        <v>46235</v>
      </c>
      <c r="C3575" s="4" t="s">
        <v>2392</v>
      </c>
      <c r="D3575" s="4" t="s">
        <v>4568</v>
      </c>
      <c r="E3575" s="1" t="str">
        <f>_xlfn.XLOOKUP(tblSales[[#This Row],[Customer ID]],tblCustomers[Customer ID],tblCustomers[Customer Name],"⚠ Unknown")</f>
        <v>Walk-in Customer</v>
      </c>
      <c r="F3575" s="4" t="s">
        <v>7</v>
      </c>
      <c r="G3575" s="1" t="str">
        <f>_xlfn.XLOOKUP(tblSales[[#This Row],[Product Code]],tblProducts[Code],tblProducts[Product / Service Name],"⚠ Unknown")</f>
        <v>Premium Basic T-shirt</v>
      </c>
      <c r="H3575" s="1" t="str">
        <f>_xlfn.XLOOKUP(tblSales[[#This Row],[Product Code]],tblProducts[Code],tblProducts[Category],"")</f>
        <v>Accessories &amp; Basics</v>
      </c>
      <c r="I3575" s="4">
        <v>6</v>
      </c>
      <c r="J3575" s="5">
        <f>_xlfn.XLOOKUP(tblSales[[#This Row],[Product Code]],tblProducts[Code],tblProducts[Selling Price (excl. VAT)],0)</f>
        <v>65000</v>
      </c>
      <c r="K3575" s="5">
        <f>tblSales[[#This Row],[Qty]]*tblSales[[#This Row],[Unit Price]]</f>
        <v>390000</v>
      </c>
      <c r="L3575" s="5">
        <f>ROUND(tblSales[[#This Row],[DPP (excl. VAT)]]*VATEff,0)</f>
        <v>42900</v>
      </c>
      <c r="M3575" s="5">
        <f>tblSales[[#This Row],[DPP (excl. VAT)]]+tblSales[[#This Row],[Output VAT]]</f>
        <v>432900</v>
      </c>
      <c r="N3575" s="5">
        <f>tblSales[[#This Row],[Qty]]*_xlfn.XLOOKUP(tblSales[[#This Row],[Product Code]],tblProducts[Code],tblProducts[Unit Cost],0)</f>
        <v>222000</v>
      </c>
      <c r="O3575" s="4" t="s">
        <v>4866</v>
      </c>
      <c r="P3575" s="4" t="s">
        <v>4860</v>
      </c>
      <c r="Q3575" s="1" t="str">
        <f>_xlfn.XLOOKUP(tblSales[[#This Row],[Channel Code]],tblChannels[Channel Code],tblChannels[Channel Name],"")</f>
        <v>In-store</v>
      </c>
      <c r="R3575" s="1">
        <f>MONTH(tblSales[[#This Row],[Date]])</f>
        <v>8</v>
      </c>
    </row>
    <row r="3576" spans="2:18" x14ac:dyDescent="0.35">
      <c r="B3576" s="113">
        <v>46235</v>
      </c>
      <c r="C3576" s="4" t="s">
        <v>2393</v>
      </c>
      <c r="D3576" s="4" t="s">
        <v>4568</v>
      </c>
      <c r="E3576" s="1" t="str">
        <f>_xlfn.XLOOKUP(tblSales[[#This Row],[Customer ID]],tblCustomers[Customer ID],tblCustomers[Customer Name],"⚠ Unknown")</f>
        <v>Walk-in Customer</v>
      </c>
      <c r="F3576" s="4" t="s">
        <v>8</v>
      </c>
      <c r="G3576" s="1" t="str">
        <f>_xlfn.XLOOKUP(tblSales[[#This Row],[Product Code]],tblProducts[Code],tblProducts[Product / Service Name],"⚠ Unknown")</f>
        <v>Casual Shorts</v>
      </c>
      <c r="H3576" s="1" t="str">
        <f>_xlfn.XLOOKUP(tblSales[[#This Row],[Product Code]],tblProducts[Code],tblProducts[Category],"")</f>
        <v>Accessories &amp; Basics</v>
      </c>
      <c r="I3576" s="4">
        <v>6</v>
      </c>
      <c r="J3576" s="5">
        <f>_xlfn.XLOOKUP(tblSales[[#This Row],[Product Code]],tblProducts[Code],tblProducts[Selling Price (excl. VAT)],0)</f>
        <v>85000</v>
      </c>
      <c r="K3576" s="5">
        <f>tblSales[[#This Row],[Qty]]*tblSales[[#This Row],[Unit Price]]</f>
        <v>510000</v>
      </c>
      <c r="L3576" s="5">
        <f>ROUND(tblSales[[#This Row],[DPP (excl. VAT)]]*VATEff,0)</f>
        <v>56100</v>
      </c>
      <c r="M3576" s="5">
        <f>tblSales[[#This Row],[DPP (excl. VAT)]]+tblSales[[#This Row],[Output VAT]]</f>
        <v>566100</v>
      </c>
      <c r="N3576" s="5">
        <f>tblSales[[#This Row],[Qty]]*_xlfn.XLOOKUP(tblSales[[#This Row],[Product Code]],tblProducts[Code],tblProducts[Unit Cost],0)</f>
        <v>300000</v>
      </c>
      <c r="O3576" s="4" t="s">
        <v>4866</v>
      </c>
      <c r="P3576" s="4" t="s">
        <v>4861</v>
      </c>
      <c r="Q3576" s="1" t="str">
        <f>_xlfn.XLOOKUP(tblSales[[#This Row],[Channel Code]],tblChannels[Channel Code],tblChannels[Channel Name],"")</f>
        <v>Marketplace</v>
      </c>
      <c r="R3576" s="1">
        <f>MONTH(tblSales[[#This Row],[Date]])</f>
        <v>8</v>
      </c>
    </row>
    <row r="3577" spans="2:18" x14ac:dyDescent="0.35">
      <c r="B3577" s="113">
        <v>46235</v>
      </c>
      <c r="C3577" s="4" t="s">
        <v>2394</v>
      </c>
      <c r="D3577" s="4" t="s">
        <v>4568</v>
      </c>
      <c r="E3577" s="1" t="str">
        <f>_xlfn.XLOOKUP(tblSales[[#This Row],[Customer ID]],tblCustomers[Customer ID],tblCustomers[Customer Name],"⚠ Unknown")</f>
        <v>Walk-in Customer</v>
      </c>
      <c r="F3577" s="4" t="s">
        <v>11</v>
      </c>
      <c r="G3577" s="1" t="str">
        <f>_xlfn.XLOOKUP(tblSales[[#This Row],[Product Code]],tblProducts[Code],tblProducts[Product / Service Name],"⚠ Unknown")</f>
        <v>Sneakers</v>
      </c>
      <c r="H3577" s="1" t="str">
        <f>_xlfn.XLOOKUP(tblSales[[#This Row],[Product Code]],tblProducts[Code],tblProducts[Category],"")</f>
        <v>Apparel &amp; Footwear</v>
      </c>
      <c r="I3577" s="4">
        <v>5</v>
      </c>
      <c r="J3577" s="5">
        <f>_xlfn.XLOOKUP(tblSales[[#This Row],[Product Code]],tblProducts[Code],tblProducts[Selling Price (excl. VAT)],0)</f>
        <v>250000</v>
      </c>
      <c r="K3577" s="5">
        <f>tblSales[[#This Row],[Qty]]*tblSales[[#This Row],[Unit Price]]</f>
        <v>1250000</v>
      </c>
      <c r="L3577" s="5">
        <f>ROUND(tblSales[[#This Row],[DPP (excl. VAT)]]*VATEff,0)</f>
        <v>137500</v>
      </c>
      <c r="M3577" s="5">
        <f>tblSales[[#This Row],[DPP (excl. VAT)]]+tblSales[[#This Row],[Output VAT]]</f>
        <v>1387500</v>
      </c>
      <c r="N3577" s="5">
        <f>tblSales[[#This Row],[Qty]]*_xlfn.XLOOKUP(tblSales[[#This Row],[Product Code]],tblProducts[Code],tblProducts[Unit Cost],0)</f>
        <v>775000</v>
      </c>
      <c r="O3577" s="4" t="s">
        <v>4866</v>
      </c>
      <c r="P3577" s="4" t="s">
        <v>4861</v>
      </c>
      <c r="Q3577" s="1" t="str">
        <f>_xlfn.XLOOKUP(tblSales[[#This Row],[Channel Code]],tblChannels[Channel Code],tblChannels[Channel Name],"")</f>
        <v>Marketplace</v>
      </c>
      <c r="R3577" s="1">
        <f>MONTH(tblSales[[#This Row],[Date]])</f>
        <v>8</v>
      </c>
    </row>
    <row r="3578" spans="2:18" x14ac:dyDescent="0.35">
      <c r="B3578" s="113">
        <v>46235</v>
      </c>
      <c r="C3578" s="4" t="s">
        <v>2395</v>
      </c>
      <c r="D3578" s="4" t="s">
        <v>4568</v>
      </c>
      <c r="E3578" s="1" t="str">
        <f>_xlfn.XLOOKUP(tblSales[[#This Row],[Customer ID]],tblCustomers[Customer ID],tblCustomers[Customer Name],"⚠ Unknown")</f>
        <v>Walk-in Customer</v>
      </c>
      <c r="F3578" s="4" t="s">
        <v>6</v>
      </c>
      <c r="G3578" s="1" t="str">
        <f>_xlfn.XLOOKUP(tblSales[[#This Row],[Product Code]],tblProducts[Code],tblProducts[Product / Service Name],"⚠ Unknown")</f>
        <v>Socks &amp; Accessories</v>
      </c>
      <c r="H3578" s="1" t="str">
        <f>_xlfn.XLOOKUP(tblSales[[#This Row],[Product Code]],tblProducts[Code],tblProducts[Category],"")</f>
        <v>Accessories &amp; Basics</v>
      </c>
      <c r="I3578" s="4">
        <v>11</v>
      </c>
      <c r="J3578" s="5">
        <f>_xlfn.XLOOKUP(tblSales[[#This Row],[Product Code]],tblProducts[Code],tblProducts[Selling Price (excl. VAT)],0)</f>
        <v>45000</v>
      </c>
      <c r="K3578" s="5">
        <f>tblSales[[#This Row],[Qty]]*tblSales[[#This Row],[Unit Price]]</f>
        <v>495000</v>
      </c>
      <c r="L3578" s="5">
        <f>ROUND(tblSales[[#This Row],[DPP (excl. VAT)]]*VATEff,0)</f>
        <v>54450</v>
      </c>
      <c r="M3578" s="5">
        <f>tblSales[[#This Row],[DPP (excl. VAT)]]+tblSales[[#This Row],[Output VAT]]</f>
        <v>549450</v>
      </c>
      <c r="N3578" s="5">
        <f>tblSales[[#This Row],[Qty]]*_xlfn.XLOOKUP(tblSales[[#This Row],[Product Code]],tblProducts[Code],tblProducts[Unit Cost],0)</f>
        <v>264000</v>
      </c>
      <c r="O3578" s="4" t="s">
        <v>4866</v>
      </c>
      <c r="P3578" s="4" t="s">
        <v>4861</v>
      </c>
      <c r="Q3578" s="1" t="str">
        <f>_xlfn.XLOOKUP(tblSales[[#This Row],[Channel Code]],tblChannels[Channel Code],tblChannels[Channel Name],"")</f>
        <v>Marketplace</v>
      </c>
      <c r="R3578" s="1">
        <f>MONTH(tblSales[[#This Row],[Date]])</f>
        <v>8</v>
      </c>
    </row>
    <row r="3579" spans="2:18" x14ac:dyDescent="0.35">
      <c r="B3579" s="113">
        <v>46235</v>
      </c>
      <c r="C3579" s="4" t="s">
        <v>2396</v>
      </c>
      <c r="D3579" s="4" t="s">
        <v>4568</v>
      </c>
      <c r="E3579" s="1" t="str">
        <f>_xlfn.XLOOKUP(tblSales[[#This Row],[Customer ID]],tblCustomers[Customer ID],tblCustomers[Customer Name],"⚠ Unknown")</f>
        <v>Walk-in Customer</v>
      </c>
      <c r="F3579" s="4" t="s">
        <v>7</v>
      </c>
      <c r="G3579" s="1" t="str">
        <f>_xlfn.XLOOKUP(tblSales[[#This Row],[Product Code]],tblProducts[Code],tblProducts[Product / Service Name],"⚠ Unknown")</f>
        <v>Premium Basic T-shirt</v>
      </c>
      <c r="H3579" s="1" t="str">
        <f>_xlfn.XLOOKUP(tblSales[[#This Row],[Product Code]],tblProducts[Code],tblProducts[Category],"")</f>
        <v>Accessories &amp; Basics</v>
      </c>
      <c r="I3579" s="4">
        <v>7</v>
      </c>
      <c r="J3579" s="5">
        <f>_xlfn.XLOOKUP(tblSales[[#This Row],[Product Code]],tblProducts[Code],tblProducts[Selling Price (excl. VAT)],0)</f>
        <v>65000</v>
      </c>
      <c r="K3579" s="5">
        <f>tblSales[[#This Row],[Qty]]*tblSales[[#This Row],[Unit Price]]</f>
        <v>455000</v>
      </c>
      <c r="L3579" s="5">
        <f>ROUND(tblSales[[#This Row],[DPP (excl. VAT)]]*VATEff,0)</f>
        <v>50050</v>
      </c>
      <c r="M3579" s="5">
        <f>tblSales[[#This Row],[DPP (excl. VAT)]]+tblSales[[#This Row],[Output VAT]]</f>
        <v>505050</v>
      </c>
      <c r="N3579" s="5">
        <f>tblSales[[#This Row],[Qty]]*_xlfn.XLOOKUP(tblSales[[#This Row],[Product Code]],tblProducts[Code],tblProducts[Unit Cost],0)</f>
        <v>259000</v>
      </c>
      <c r="O3579" s="4" t="s">
        <v>4865</v>
      </c>
      <c r="P3579" s="4" t="s">
        <v>4860</v>
      </c>
      <c r="Q3579" s="1" t="str">
        <f>_xlfn.XLOOKUP(tblSales[[#This Row],[Channel Code]],tblChannels[Channel Code],tblChannels[Channel Name],"")</f>
        <v>In-store</v>
      </c>
      <c r="R3579" s="1">
        <f>MONTH(tblSales[[#This Row],[Date]])</f>
        <v>8</v>
      </c>
    </row>
    <row r="3580" spans="2:18" x14ac:dyDescent="0.35">
      <c r="B3580" s="113">
        <v>46235</v>
      </c>
      <c r="C3580" s="4" t="s">
        <v>2397</v>
      </c>
      <c r="D3580" s="4" t="s">
        <v>4568</v>
      </c>
      <c r="E3580" s="1" t="str">
        <f>_xlfn.XLOOKUP(tblSales[[#This Row],[Customer ID]],tblCustomers[Customer ID],tblCustomers[Customer Name],"⚠ Unknown")</f>
        <v>Walk-in Customer</v>
      </c>
      <c r="F3580" s="4" t="s">
        <v>6</v>
      </c>
      <c r="G3580" s="1" t="str">
        <f>_xlfn.XLOOKUP(tblSales[[#This Row],[Product Code]],tblProducts[Code],tblProducts[Product / Service Name],"⚠ Unknown")</f>
        <v>Socks &amp; Accessories</v>
      </c>
      <c r="H3580" s="1" t="str">
        <f>_xlfn.XLOOKUP(tblSales[[#This Row],[Product Code]],tblProducts[Code],tblProducts[Category],"")</f>
        <v>Accessories &amp; Basics</v>
      </c>
      <c r="I3580" s="4">
        <v>6</v>
      </c>
      <c r="J3580" s="5">
        <f>_xlfn.XLOOKUP(tblSales[[#This Row],[Product Code]],tblProducts[Code],tblProducts[Selling Price (excl. VAT)],0)</f>
        <v>45000</v>
      </c>
      <c r="K3580" s="5">
        <f>tblSales[[#This Row],[Qty]]*tblSales[[#This Row],[Unit Price]]</f>
        <v>270000</v>
      </c>
      <c r="L3580" s="5">
        <f>ROUND(tblSales[[#This Row],[DPP (excl. VAT)]]*VATEff,0)</f>
        <v>29700</v>
      </c>
      <c r="M3580" s="5">
        <f>tblSales[[#This Row],[DPP (excl. VAT)]]+tblSales[[#This Row],[Output VAT]]</f>
        <v>299700</v>
      </c>
      <c r="N3580" s="5">
        <f>tblSales[[#This Row],[Qty]]*_xlfn.XLOOKUP(tblSales[[#This Row],[Product Code]],tblProducts[Code],tblProducts[Unit Cost],0)</f>
        <v>144000</v>
      </c>
      <c r="O3580" s="4" t="s">
        <v>4865</v>
      </c>
      <c r="P3580" s="4" t="s">
        <v>4860</v>
      </c>
      <c r="Q3580" s="1" t="str">
        <f>_xlfn.XLOOKUP(tblSales[[#This Row],[Channel Code]],tblChannels[Channel Code],tblChannels[Channel Name],"")</f>
        <v>In-store</v>
      </c>
      <c r="R3580" s="1">
        <f>MONTH(tblSales[[#This Row],[Date]])</f>
        <v>8</v>
      </c>
    </row>
    <row r="3581" spans="2:18" x14ac:dyDescent="0.35">
      <c r="B3581" s="113">
        <v>46235</v>
      </c>
      <c r="C3581" s="4" t="s">
        <v>2398</v>
      </c>
      <c r="D3581" s="4" t="s">
        <v>4568</v>
      </c>
      <c r="E3581" s="1" t="str">
        <f>_xlfn.XLOOKUP(tblSales[[#This Row],[Customer ID]],tblCustomers[Customer ID],tblCustomers[Customer Name],"⚠ Unknown")</f>
        <v>Walk-in Customer</v>
      </c>
      <c r="F3581" s="4" t="s">
        <v>7</v>
      </c>
      <c r="G3581" s="1" t="str">
        <f>_xlfn.XLOOKUP(tblSales[[#This Row],[Product Code]],tblProducts[Code],tblProducts[Product / Service Name],"⚠ Unknown")</f>
        <v>Premium Basic T-shirt</v>
      </c>
      <c r="H3581" s="1" t="str">
        <f>_xlfn.XLOOKUP(tblSales[[#This Row],[Product Code]],tblProducts[Code],tblProducts[Category],"")</f>
        <v>Accessories &amp; Basics</v>
      </c>
      <c r="I3581" s="4">
        <v>8</v>
      </c>
      <c r="J3581" s="5">
        <f>_xlfn.XLOOKUP(tblSales[[#This Row],[Product Code]],tblProducts[Code],tblProducts[Selling Price (excl. VAT)],0)</f>
        <v>65000</v>
      </c>
      <c r="K3581" s="5">
        <f>tblSales[[#This Row],[Qty]]*tblSales[[#This Row],[Unit Price]]</f>
        <v>520000</v>
      </c>
      <c r="L3581" s="5">
        <f>ROUND(tblSales[[#This Row],[DPP (excl. VAT)]]*VATEff,0)</f>
        <v>57200</v>
      </c>
      <c r="M3581" s="5">
        <f>tblSales[[#This Row],[DPP (excl. VAT)]]+tblSales[[#This Row],[Output VAT]]</f>
        <v>577200</v>
      </c>
      <c r="N3581" s="5">
        <f>tblSales[[#This Row],[Qty]]*_xlfn.XLOOKUP(tblSales[[#This Row],[Product Code]],tblProducts[Code],tblProducts[Unit Cost],0)</f>
        <v>296000</v>
      </c>
      <c r="O3581" s="4" t="s">
        <v>4865</v>
      </c>
      <c r="P3581" s="4" t="s">
        <v>4860</v>
      </c>
      <c r="Q3581" s="1" t="str">
        <f>_xlfn.XLOOKUP(tblSales[[#This Row],[Channel Code]],tblChannels[Channel Code],tblChannels[Channel Name],"")</f>
        <v>In-store</v>
      </c>
      <c r="R3581" s="1">
        <f>MONTH(tblSales[[#This Row],[Date]])</f>
        <v>8</v>
      </c>
    </row>
    <row r="3582" spans="2:18" x14ac:dyDescent="0.35">
      <c r="B3582" s="113">
        <v>46235</v>
      </c>
      <c r="C3582" s="4" t="s">
        <v>2398</v>
      </c>
      <c r="D3582" s="4" t="s">
        <v>4568</v>
      </c>
      <c r="E3582" s="1" t="str">
        <f>_xlfn.XLOOKUP(tblSales[[#This Row],[Customer ID]],tblCustomers[Customer ID],tblCustomers[Customer Name],"⚠ Unknown")</f>
        <v>Walk-in Customer</v>
      </c>
      <c r="F3582" s="4" t="s">
        <v>11</v>
      </c>
      <c r="G3582" s="1" t="str">
        <f>_xlfn.XLOOKUP(tblSales[[#This Row],[Product Code]],tblProducts[Code],tblProducts[Product / Service Name],"⚠ Unknown")</f>
        <v>Sneakers</v>
      </c>
      <c r="H3582" s="1" t="str">
        <f>_xlfn.XLOOKUP(tblSales[[#This Row],[Product Code]],tblProducts[Code],tblProducts[Category],"")</f>
        <v>Apparel &amp; Footwear</v>
      </c>
      <c r="I3582" s="4">
        <v>6</v>
      </c>
      <c r="J3582" s="5">
        <f>_xlfn.XLOOKUP(tblSales[[#This Row],[Product Code]],tblProducts[Code],tblProducts[Selling Price (excl. VAT)],0)</f>
        <v>250000</v>
      </c>
      <c r="K3582" s="5">
        <f>tblSales[[#This Row],[Qty]]*tblSales[[#This Row],[Unit Price]]</f>
        <v>1500000</v>
      </c>
      <c r="L3582" s="5">
        <f>ROUND(tblSales[[#This Row],[DPP (excl. VAT)]]*VATEff,0)</f>
        <v>165000</v>
      </c>
      <c r="M3582" s="5">
        <f>tblSales[[#This Row],[DPP (excl. VAT)]]+tblSales[[#This Row],[Output VAT]]</f>
        <v>1665000</v>
      </c>
      <c r="N3582" s="5">
        <f>tblSales[[#This Row],[Qty]]*_xlfn.XLOOKUP(tblSales[[#This Row],[Product Code]],tblProducts[Code],tblProducts[Unit Cost],0)</f>
        <v>930000</v>
      </c>
      <c r="O3582" s="4" t="s">
        <v>4865</v>
      </c>
      <c r="P3582" s="4" t="s">
        <v>4860</v>
      </c>
      <c r="Q3582" s="1" t="str">
        <f>_xlfn.XLOOKUP(tblSales[[#This Row],[Channel Code]],tblChannels[Channel Code],tblChannels[Channel Name],"")</f>
        <v>In-store</v>
      </c>
      <c r="R3582" s="1">
        <f>MONTH(tblSales[[#This Row],[Date]])</f>
        <v>8</v>
      </c>
    </row>
    <row r="3583" spans="2:18" x14ac:dyDescent="0.35">
      <c r="B3583" s="113">
        <v>46235</v>
      </c>
      <c r="C3583" s="4" t="s">
        <v>2399</v>
      </c>
      <c r="D3583" s="4" t="s">
        <v>4568</v>
      </c>
      <c r="E3583" s="1" t="str">
        <f>_xlfn.XLOOKUP(tblSales[[#This Row],[Customer ID]],tblCustomers[Customer ID],tblCustomers[Customer Name],"⚠ Unknown")</f>
        <v>Walk-in Customer</v>
      </c>
      <c r="F3583" s="4" t="s">
        <v>7</v>
      </c>
      <c r="G3583" s="1" t="str">
        <f>_xlfn.XLOOKUP(tblSales[[#This Row],[Product Code]],tblProducts[Code],tblProducts[Product / Service Name],"⚠ Unknown")</f>
        <v>Premium Basic T-shirt</v>
      </c>
      <c r="H3583" s="1" t="str">
        <f>_xlfn.XLOOKUP(tblSales[[#This Row],[Product Code]],tblProducts[Code],tblProducts[Category],"")</f>
        <v>Accessories &amp; Basics</v>
      </c>
      <c r="I3583" s="4">
        <v>9</v>
      </c>
      <c r="J3583" s="5">
        <f>_xlfn.XLOOKUP(tblSales[[#This Row],[Product Code]],tblProducts[Code],tblProducts[Selling Price (excl. VAT)],0)</f>
        <v>65000</v>
      </c>
      <c r="K3583" s="5">
        <f>tblSales[[#This Row],[Qty]]*tblSales[[#This Row],[Unit Price]]</f>
        <v>585000</v>
      </c>
      <c r="L3583" s="5">
        <f>ROUND(tblSales[[#This Row],[DPP (excl. VAT)]]*VATEff,0)</f>
        <v>64350</v>
      </c>
      <c r="M3583" s="5">
        <f>tblSales[[#This Row],[DPP (excl. VAT)]]+tblSales[[#This Row],[Output VAT]]</f>
        <v>649350</v>
      </c>
      <c r="N3583" s="5">
        <f>tblSales[[#This Row],[Qty]]*_xlfn.XLOOKUP(tblSales[[#This Row],[Product Code]],tblProducts[Code],tblProducts[Unit Cost],0)</f>
        <v>333000</v>
      </c>
      <c r="O3583" s="4" t="s">
        <v>4866</v>
      </c>
      <c r="P3583" s="4" t="s">
        <v>4862</v>
      </c>
      <c r="Q3583" s="1" t="str">
        <f>_xlfn.XLOOKUP(tblSales[[#This Row],[Channel Code]],tblChannels[Channel Code],tblChannels[Channel Name],"")</f>
        <v>Website &amp; Social Media</v>
      </c>
      <c r="R3583" s="1">
        <f>MONTH(tblSales[[#This Row],[Date]])</f>
        <v>8</v>
      </c>
    </row>
    <row r="3584" spans="2:18" x14ac:dyDescent="0.35">
      <c r="B3584" s="113">
        <v>46235</v>
      </c>
      <c r="C3584" s="4" t="s">
        <v>2399</v>
      </c>
      <c r="D3584" s="4" t="s">
        <v>4568</v>
      </c>
      <c r="E3584" s="1" t="str">
        <f>_xlfn.XLOOKUP(tblSales[[#This Row],[Customer ID]],tblCustomers[Customer ID],tblCustomers[Customer Name],"⚠ Unknown")</f>
        <v>Walk-in Customer</v>
      </c>
      <c r="F3584" s="4" t="s">
        <v>6</v>
      </c>
      <c r="G3584" s="1" t="str">
        <f>_xlfn.XLOOKUP(tblSales[[#This Row],[Product Code]],tblProducts[Code],tblProducts[Product / Service Name],"⚠ Unknown")</f>
        <v>Socks &amp; Accessories</v>
      </c>
      <c r="H3584" s="1" t="str">
        <f>_xlfn.XLOOKUP(tblSales[[#This Row],[Product Code]],tblProducts[Code],tblProducts[Category],"")</f>
        <v>Accessories &amp; Basics</v>
      </c>
      <c r="I3584" s="4">
        <v>3</v>
      </c>
      <c r="J3584" s="5">
        <f>_xlfn.XLOOKUP(tblSales[[#This Row],[Product Code]],tblProducts[Code],tblProducts[Selling Price (excl. VAT)],0)</f>
        <v>45000</v>
      </c>
      <c r="K3584" s="5">
        <f>tblSales[[#This Row],[Qty]]*tblSales[[#This Row],[Unit Price]]</f>
        <v>135000</v>
      </c>
      <c r="L3584" s="5">
        <f>ROUND(tblSales[[#This Row],[DPP (excl. VAT)]]*VATEff,0)</f>
        <v>14850</v>
      </c>
      <c r="M3584" s="5">
        <f>tblSales[[#This Row],[DPP (excl. VAT)]]+tblSales[[#This Row],[Output VAT]]</f>
        <v>149850</v>
      </c>
      <c r="N3584" s="5">
        <f>tblSales[[#This Row],[Qty]]*_xlfn.XLOOKUP(tblSales[[#This Row],[Product Code]],tblProducts[Code],tblProducts[Unit Cost],0)</f>
        <v>72000</v>
      </c>
      <c r="O3584" s="4" t="s">
        <v>4866</v>
      </c>
      <c r="P3584" s="4" t="s">
        <v>4862</v>
      </c>
      <c r="Q3584" s="1" t="str">
        <f>_xlfn.XLOOKUP(tblSales[[#This Row],[Channel Code]],tblChannels[Channel Code],tblChannels[Channel Name],"")</f>
        <v>Website &amp; Social Media</v>
      </c>
      <c r="R3584" s="1">
        <f>MONTH(tblSales[[#This Row],[Date]])</f>
        <v>8</v>
      </c>
    </row>
    <row r="3585" spans="2:18" x14ac:dyDescent="0.35">
      <c r="B3585" s="113">
        <v>46235</v>
      </c>
      <c r="C3585" s="4" t="s">
        <v>2400</v>
      </c>
      <c r="D3585" s="4" t="s">
        <v>4568</v>
      </c>
      <c r="E3585" s="1" t="str">
        <f>_xlfn.XLOOKUP(tblSales[[#This Row],[Customer ID]],tblCustomers[Customer ID],tblCustomers[Customer Name],"⚠ Unknown")</f>
        <v>Walk-in Customer</v>
      </c>
      <c r="F3585" s="4" t="s">
        <v>12</v>
      </c>
      <c r="G3585" s="1" t="str">
        <f>_xlfn.XLOOKUP(tblSales[[#This Row],[Product Code]],tblProducts[Code],tblProducts[Product / Service Name],"⚠ Unknown")</f>
        <v>Bomber Jacket</v>
      </c>
      <c r="H3585" s="1" t="str">
        <f>_xlfn.XLOOKUP(tblSales[[#This Row],[Product Code]],tblProducts[Code],tblProducts[Category],"")</f>
        <v>Apparel &amp; Footwear</v>
      </c>
      <c r="I3585" s="4">
        <v>3</v>
      </c>
      <c r="J3585" s="5">
        <f>_xlfn.XLOOKUP(tblSales[[#This Row],[Product Code]],tblProducts[Code],tblProducts[Selling Price (excl. VAT)],0)</f>
        <v>350000</v>
      </c>
      <c r="K3585" s="5">
        <f>tblSales[[#This Row],[Qty]]*tblSales[[#This Row],[Unit Price]]</f>
        <v>1050000</v>
      </c>
      <c r="L3585" s="5">
        <f>ROUND(tblSales[[#This Row],[DPP (excl. VAT)]]*VATEff,0)</f>
        <v>115500</v>
      </c>
      <c r="M3585" s="5">
        <f>tblSales[[#This Row],[DPP (excl. VAT)]]+tblSales[[#This Row],[Output VAT]]</f>
        <v>1165500</v>
      </c>
      <c r="N3585" s="5">
        <f>tblSales[[#This Row],[Qty]]*_xlfn.XLOOKUP(tblSales[[#This Row],[Product Code]],tblProducts[Code],tblProducts[Unit Cost],0)</f>
        <v>630000</v>
      </c>
      <c r="O3585" s="4" t="s">
        <v>4866</v>
      </c>
      <c r="P3585" s="4" t="s">
        <v>4860</v>
      </c>
      <c r="Q3585" s="1" t="str">
        <f>_xlfn.XLOOKUP(tblSales[[#This Row],[Channel Code]],tblChannels[Channel Code],tblChannels[Channel Name],"")</f>
        <v>In-store</v>
      </c>
      <c r="R3585" s="1">
        <f>MONTH(tblSales[[#This Row],[Date]])</f>
        <v>8</v>
      </c>
    </row>
    <row r="3586" spans="2:18" x14ac:dyDescent="0.35">
      <c r="B3586" s="113">
        <v>46235</v>
      </c>
      <c r="C3586" s="4" t="s">
        <v>2401</v>
      </c>
      <c r="D3586" s="4" t="s">
        <v>4613</v>
      </c>
      <c r="E3586" s="1" t="str">
        <f>_xlfn.XLOOKUP(tblSales[[#This Row],[Customer ID]],tblCustomers[Customer ID],tblCustomers[Customer Name],"⚠ Unknown")</f>
        <v>PT Mega Prima Distribusi</v>
      </c>
      <c r="F3586" s="4" t="s">
        <v>8</v>
      </c>
      <c r="G3586" s="1" t="str">
        <f>_xlfn.XLOOKUP(tblSales[[#This Row],[Product Code]],tblProducts[Code],tblProducts[Product / Service Name],"⚠ Unknown")</f>
        <v>Casual Shorts</v>
      </c>
      <c r="H3586" s="1" t="str">
        <f>_xlfn.XLOOKUP(tblSales[[#This Row],[Product Code]],tblProducts[Code],tblProducts[Category],"")</f>
        <v>Accessories &amp; Basics</v>
      </c>
      <c r="I3586" s="4">
        <v>24</v>
      </c>
      <c r="J3586" s="5">
        <f>_xlfn.XLOOKUP(tblSales[[#This Row],[Product Code]],tblProducts[Code],tblProducts[Selling Price (excl. VAT)],0)</f>
        <v>85000</v>
      </c>
      <c r="K3586" s="5">
        <f>tblSales[[#This Row],[Qty]]*tblSales[[#This Row],[Unit Price]]</f>
        <v>2040000</v>
      </c>
      <c r="L3586" s="5">
        <f>ROUND(tblSales[[#This Row],[DPP (excl. VAT)]]*VATEff,0)</f>
        <v>224400</v>
      </c>
      <c r="M3586" s="5">
        <f>tblSales[[#This Row],[DPP (excl. VAT)]]+tblSales[[#This Row],[Output VAT]]</f>
        <v>2264400</v>
      </c>
      <c r="N3586" s="5">
        <f>tblSales[[#This Row],[Qty]]*_xlfn.XLOOKUP(tblSales[[#This Row],[Product Code]],tblProducts[Code],tblProducts[Unit Cost],0)</f>
        <v>1200000</v>
      </c>
      <c r="O3586" s="4" t="s">
        <v>4867</v>
      </c>
      <c r="P3586" s="4" t="s">
        <v>4860</v>
      </c>
      <c r="Q3586" s="1" t="str">
        <f>_xlfn.XLOOKUP(tblSales[[#This Row],[Channel Code]],tblChannels[Channel Code],tblChannels[Channel Name],"")</f>
        <v>In-store</v>
      </c>
      <c r="R3586" s="1">
        <f>MONTH(tblSales[[#This Row],[Date]])</f>
        <v>8</v>
      </c>
    </row>
    <row r="3587" spans="2:18" x14ac:dyDescent="0.35">
      <c r="B3587" s="113">
        <v>46236</v>
      </c>
      <c r="C3587" s="4" t="s">
        <v>2402</v>
      </c>
      <c r="D3587" s="4" t="s">
        <v>4568</v>
      </c>
      <c r="E3587" s="1" t="str">
        <f>_xlfn.XLOOKUP(tblSales[[#This Row],[Customer ID]],tblCustomers[Customer ID],tblCustomers[Customer Name],"⚠ Unknown")</f>
        <v>Walk-in Customer</v>
      </c>
      <c r="F3587" s="4" t="s">
        <v>12</v>
      </c>
      <c r="G3587" s="1" t="str">
        <f>_xlfn.XLOOKUP(tblSales[[#This Row],[Product Code]],tblProducts[Code],tblProducts[Product / Service Name],"⚠ Unknown")</f>
        <v>Bomber Jacket</v>
      </c>
      <c r="H3587" s="1" t="str">
        <f>_xlfn.XLOOKUP(tblSales[[#This Row],[Product Code]],tblProducts[Code],tblProducts[Category],"")</f>
        <v>Apparel &amp; Footwear</v>
      </c>
      <c r="I3587" s="4">
        <v>4</v>
      </c>
      <c r="J3587" s="5">
        <f>_xlfn.XLOOKUP(tblSales[[#This Row],[Product Code]],tblProducts[Code],tblProducts[Selling Price (excl. VAT)],0)</f>
        <v>350000</v>
      </c>
      <c r="K3587" s="5">
        <f>tblSales[[#This Row],[Qty]]*tblSales[[#This Row],[Unit Price]]</f>
        <v>1400000</v>
      </c>
      <c r="L3587" s="5">
        <f>ROUND(tblSales[[#This Row],[DPP (excl. VAT)]]*VATEff,0)</f>
        <v>154000</v>
      </c>
      <c r="M3587" s="5">
        <f>tblSales[[#This Row],[DPP (excl. VAT)]]+tblSales[[#This Row],[Output VAT]]</f>
        <v>1554000</v>
      </c>
      <c r="N3587" s="5">
        <f>tblSales[[#This Row],[Qty]]*_xlfn.XLOOKUP(tblSales[[#This Row],[Product Code]],tblProducts[Code],tblProducts[Unit Cost],0)</f>
        <v>840000</v>
      </c>
      <c r="O3587" s="4" t="s">
        <v>4866</v>
      </c>
      <c r="P3587" s="4" t="s">
        <v>4860</v>
      </c>
      <c r="Q3587" s="1" t="str">
        <f>_xlfn.XLOOKUP(tblSales[[#This Row],[Channel Code]],tblChannels[Channel Code],tblChannels[Channel Name],"")</f>
        <v>In-store</v>
      </c>
      <c r="R3587" s="1">
        <f>MONTH(tblSales[[#This Row],[Date]])</f>
        <v>8</v>
      </c>
    </row>
    <row r="3588" spans="2:18" x14ac:dyDescent="0.35">
      <c r="B3588" s="113">
        <v>46236</v>
      </c>
      <c r="C3588" s="4" t="s">
        <v>2403</v>
      </c>
      <c r="D3588" s="4" t="s">
        <v>4568</v>
      </c>
      <c r="E3588" s="1" t="str">
        <f>_xlfn.XLOOKUP(tblSales[[#This Row],[Customer ID]],tblCustomers[Customer ID],tblCustomers[Customer Name],"⚠ Unknown")</f>
        <v>Walk-in Customer</v>
      </c>
      <c r="F3588" s="4" t="s">
        <v>11</v>
      </c>
      <c r="G3588" s="1" t="str">
        <f>_xlfn.XLOOKUP(tblSales[[#This Row],[Product Code]],tblProducts[Code],tblProducts[Product / Service Name],"⚠ Unknown")</f>
        <v>Sneakers</v>
      </c>
      <c r="H3588" s="1" t="str">
        <f>_xlfn.XLOOKUP(tblSales[[#This Row],[Product Code]],tblProducts[Code],tblProducts[Category],"")</f>
        <v>Apparel &amp; Footwear</v>
      </c>
      <c r="I3588" s="4">
        <v>2</v>
      </c>
      <c r="J3588" s="5">
        <f>_xlfn.XLOOKUP(tblSales[[#This Row],[Product Code]],tblProducts[Code],tblProducts[Selling Price (excl. VAT)],0)</f>
        <v>250000</v>
      </c>
      <c r="K3588" s="5">
        <f>tblSales[[#This Row],[Qty]]*tblSales[[#This Row],[Unit Price]]</f>
        <v>500000</v>
      </c>
      <c r="L3588" s="5">
        <f>ROUND(tblSales[[#This Row],[DPP (excl. VAT)]]*VATEff,0)</f>
        <v>55000</v>
      </c>
      <c r="M3588" s="5">
        <f>tblSales[[#This Row],[DPP (excl. VAT)]]+tblSales[[#This Row],[Output VAT]]</f>
        <v>555000</v>
      </c>
      <c r="N3588" s="5">
        <f>tblSales[[#This Row],[Qty]]*_xlfn.XLOOKUP(tblSales[[#This Row],[Product Code]],tblProducts[Code],tblProducts[Unit Cost],0)</f>
        <v>310000</v>
      </c>
      <c r="O3588" s="4" t="s">
        <v>4866</v>
      </c>
      <c r="P3588" s="4" t="s">
        <v>4861</v>
      </c>
      <c r="Q3588" s="1" t="str">
        <f>_xlfn.XLOOKUP(tblSales[[#This Row],[Channel Code]],tblChannels[Channel Code],tblChannels[Channel Name],"")</f>
        <v>Marketplace</v>
      </c>
      <c r="R3588" s="1">
        <f>MONTH(tblSales[[#This Row],[Date]])</f>
        <v>8</v>
      </c>
    </row>
    <row r="3589" spans="2:18" x14ac:dyDescent="0.35">
      <c r="B3589" s="113">
        <v>46236</v>
      </c>
      <c r="C3589" s="4" t="s">
        <v>2404</v>
      </c>
      <c r="D3589" s="4" t="s">
        <v>4568</v>
      </c>
      <c r="E3589" s="1" t="str">
        <f>_xlfn.XLOOKUP(tblSales[[#This Row],[Customer ID]],tblCustomers[Customer ID],tblCustomers[Customer Name],"⚠ Unknown")</f>
        <v>Walk-in Customer</v>
      </c>
      <c r="F3589" s="4" t="s">
        <v>9</v>
      </c>
      <c r="G3589" s="1" t="str">
        <f>_xlfn.XLOOKUP(tblSales[[#This Row],[Product Code]],tblProducts[Code],tblProducts[Product / Service Name],"⚠ Unknown")</f>
        <v>Casual Shirt</v>
      </c>
      <c r="H3589" s="1" t="str">
        <f>_xlfn.XLOOKUP(tblSales[[#This Row],[Product Code]],tblProducts[Code],tblProducts[Category],"")</f>
        <v>Apparel &amp; Footwear</v>
      </c>
      <c r="I3589" s="4">
        <v>12</v>
      </c>
      <c r="J3589" s="5">
        <f>_xlfn.XLOOKUP(tblSales[[#This Row],[Product Code]],tblProducts[Code],tblProducts[Selling Price (excl. VAT)],0)</f>
        <v>120000</v>
      </c>
      <c r="K3589" s="5">
        <f>tblSales[[#This Row],[Qty]]*tblSales[[#This Row],[Unit Price]]</f>
        <v>1440000</v>
      </c>
      <c r="L3589" s="5">
        <f>ROUND(tblSales[[#This Row],[DPP (excl. VAT)]]*VATEff,0)</f>
        <v>158400</v>
      </c>
      <c r="M3589" s="5">
        <f>tblSales[[#This Row],[DPP (excl. VAT)]]+tblSales[[#This Row],[Output VAT]]</f>
        <v>1598400</v>
      </c>
      <c r="N3589" s="5">
        <f>tblSales[[#This Row],[Qty]]*_xlfn.XLOOKUP(tblSales[[#This Row],[Product Code]],tblProducts[Code],tblProducts[Unit Cost],0)</f>
        <v>864000</v>
      </c>
      <c r="O3589" s="4" t="s">
        <v>4866</v>
      </c>
      <c r="P3589" s="4" t="s">
        <v>4860</v>
      </c>
      <c r="Q3589" s="1" t="str">
        <f>_xlfn.XLOOKUP(tblSales[[#This Row],[Channel Code]],tblChannels[Channel Code],tblChannels[Channel Name],"")</f>
        <v>In-store</v>
      </c>
      <c r="R3589" s="1">
        <f>MONTH(tblSales[[#This Row],[Date]])</f>
        <v>8</v>
      </c>
    </row>
    <row r="3590" spans="2:18" x14ac:dyDescent="0.35">
      <c r="B3590" s="113">
        <v>46236</v>
      </c>
      <c r="C3590" s="4" t="s">
        <v>2405</v>
      </c>
      <c r="D3590" s="4" t="s">
        <v>4568</v>
      </c>
      <c r="E3590" s="1" t="str">
        <f>_xlfn.XLOOKUP(tblSales[[#This Row],[Customer ID]],tblCustomers[Customer ID],tblCustomers[Customer Name],"⚠ Unknown")</f>
        <v>Walk-in Customer</v>
      </c>
      <c r="F3590" s="4" t="s">
        <v>8</v>
      </c>
      <c r="G3590" s="1" t="str">
        <f>_xlfn.XLOOKUP(tblSales[[#This Row],[Product Code]],tblProducts[Code],tblProducts[Product / Service Name],"⚠ Unknown")</f>
        <v>Casual Shorts</v>
      </c>
      <c r="H3590" s="1" t="str">
        <f>_xlfn.XLOOKUP(tblSales[[#This Row],[Product Code]],tblProducts[Code],tblProducts[Category],"")</f>
        <v>Accessories &amp; Basics</v>
      </c>
      <c r="I3590" s="4">
        <v>3</v>
      </c>
      <c r="J3590" s="5">
        <f>_xlfn.XLOOKUP(tblSales[[#This Row],[Product Code]],tblProducts[Code],tblProducts[Selling Price (excl. VAT)],0)</f>
        <v>85000</v>
      </c>
      <c r="K3590" s="5">
        <f>tblSales[[#This Row],[Qty]]*tblSales[[#This Row],[Unit Price]]</f>
        <v>255000</v>
      </c>
      <c r="L3590" s="5">
        <f>ROUND(tblSales[[#This Row],[DPP (excl. VAT)]]*VATEff,0)</f>
        <v>28050</v>
      </c>
      <c r="M3590" s="5">
        <f>tblSales[[#This Row],[DPP (excl. VAT)]]+tblSales[[#This Row],[Output VAT]]</f>
        <v>283050</v>
      </c>
      <c r="N3590" s="5">
        <f>tblSales[[#This Row],[Qty]]*_xlfn.XLOOKUP(tblSales[[#This Row],[Product Code]],tblProducts[Code],tblProducts[Unit Cost],0)</f>
        <v>150000</v>
      </c>
      <c r="O3590" s="4" t="s">
        <v>4866</v>
      </c>
      <c r="P3590" s="4" t="s">
        <v>4861</v>
      </c>
      <c r="Q3590" s="1" t="str">
        <f>_xlfn.XLOOKUP(tblSales[[#This Row],[Channel Code]],tblChannels[Channel Code],tblChannels[Channel Name],"")</f>
        <v>Marketplace</v>
      </c>
      <c r="R3590" s="1">
        <f>MONTH(tblSales[[#This Row],[Date]])</f>
        <v>8</v>
      </c>
    </row>
    <row r="3591" spans="2:18" x14ac:dyDescent="0.35">
      <c r="B3591" s="113">
        <v>46236</v>
      </c>
      <c r="C3591" s="4" t="s">
        <v>2406</v>
      </c>
      <c r="D3591" s="4" t="s">
        <v>4568</v>
      </c>
      <c r="E3591" s="1" t="str">
        <f>_xlfn.XLOOKUP(tblSales[[#This Row],[Customer ID]],tblCustomers[Customer ID],tblCustomers[Customer Name],"⚠ Unknown")</f>
        <v>Walk-in Customer</v>
      </c>
      <c r="F3591" s="4" t="s">
        <v>11</v>
      </c>
      <c r="G3591" s="1" t="str">
        <f>_xlfn.XLOOKUP(tblSales[[#This Row],[Product Code]],tblProducts[Code],tblProducts[Product / Service Name],"⚠ Unknown")</f>
        <v>Sneakers</v>
      </c>
      <c r="H3591" s="1" t="str">
        <f>_xlfn.XLOOKUP(tblSales[[#This Row],[Product Code]],tblProducts[Code],tblProducts[Category],"")</f>
        <v>Apparel &amp; Footwear</v>
      </c>
      <c r="I3591" s="4">
        <v>5</v>
      </c>
      <c r="J3591" s="5">
        <f>_xlfn.XLOOKUP(tblSales[[#This Row],[Product Code]],tblProducts[Code],tblProducts[Selling Price (excl. VAT)],0)</f>
        <v>250000</v>
      </c>
      <c r="K3591" s="5">
        <f>tblSales[[#This Row],[Qty]]*tblSales[[#This Row],[Unit Price]]</f>
        <v>1250000</v>
      </c>
      <c r="L3591" s="5">
        <f>ROUND(tblSales[[#This Row],[DPP (excl. VAT)]]*VATEff,0)</f>
        <v>137500</v>
      </c>
      <c r="M3591" s="5">
        <f>tblSales[[#This Row],[DPP (excl. VAT)]]+tblSales[[#This Row],[Output VAT]]</f>
        <v>1387500</v>
      </c>
      <c r="N3591" s="5">
        <f>tblSales[[#This Row],[Qty]]*_xlfn.XLOOKUP(tblSales[[#This Row],[Product Code]],tblProducts[Code],tblProducts[Unit Cost],0)</f>
        <v>775000</v>
      </c>
      <c r="O3591" s="4" t="s">
        <v>4866</v>
      </c>
      <c r="P3591" s="4" t="s">
        <v>4861</v>
      </c>
      <c r="Q3591" s="1" t="str">
        <f>_xlfn.XLOOKUP(tblSales[[#This Row],[Channel Code]],tblChannels[Channel Code],tblChannels[Channel Name],"")</f>
        <v>Marketplace</v>
      </c>
      <c r="R3591" s="1">
        <f>MONTH(tblSales[[#This Row],[Date]])</f>
        <v>8</v>
      </c>
    </row>
    <row r="3592" spans="2:18" x14ac:dyDescent="0.35">
      <c r="B3592" s="113">
        <v>46236</v>
      </c>
      <c r="C3592" s="4" t="s">
        <v>2406</v>
      </c>
      <c r="D3592" s="4" t="s">
        <v>4568</v>
      </c>
      <c r="E3592" s="1" t="str">
        <f>_xlfn.XLOOKUP(tblSales[[#This Row],[Customer ID]],tblCustomers[Customer ID],tblCustomers[Customer Name],"⚠ Unknown")</f>
        <v>Walk-in Customer</v>
      </c>
      <c r="F3592" s="4" t="s">
        <v>15</v>
      </c>
      <c r="G3592" s="1" t="str">
        <f>_xlfn.XLOOKUP(tblSales[[#This Row],[Product Code]],tblProducts[Code],tblProducts[Product / Service Name],"⚠ Unknown")</f>
        <v>Wireless Earbuds Pro</v>
      </c>
      <c r="H3592" s="1" t="str">
        <f>_xlfn.XLOOKUP(tblSales[[#This Row],[Product Code]],tblProducts[Code],tblProducts[Category],"")</f>
        <v>Bags &amp; Gadgets</v>
      </c>
      <c r="I3592" s="4">
        <v>3</v>
      </c>
      <c r="J3592" s="5">
        <f>_xlfn.XLOOKUP(tblSales[[#This Row],[Product Code]],tblProducts[Code],tblProducts[Selling Price (excl. VAT)],0)</f>
        <v>1250000</v>
      </c>
      <c r="K3592" s="5">
        <f>tblSales[[#This Row],[Qty]]*tblSales[[#This Row],[Unit Price]]</f>
        <v>3750000</v>
      </c>
      <c r="L3592" s="5">
        <f>ROUND(tblSales[[#This Row],[DPP (excl. VAT)]]*VATEff,0)</f>
        <v>412500</v>
      </c>
      <c r="M3592" s="5">
        <f>tblSales[[#This Row],[DPP (excl. VAT)]]+tblSales[[#This Row],[Output VAT]]</f>
        <v>4162500</v>
      </c>
      <c r="N3592" s="5">
        <f>tblSales[[#This Row],[Qty]]*_xlfn.XLOOKUP(tblSales[[#This Row],[Product Code]],tblProducts[Code],tblProducts[Unit Cost],0)</f>
        <v>2460000</v>
      </c>
      <c r="O3592" s="4" t="s">
        <v>4866</v>
      </c>
      <c r="P3592" s="4" t="s">
        <v>4861</v>
      </c>
      <c r="Q3592" s="1" t="str">
        <f>_xlfn.XLOOKUP(tblSales[[#This Row],[Channel Code]],tblChannels[Channel Code],tblChannels[Channel Name],"")</f>
        <v>Marketplace</v>
      </c>
      <c r="R3592" s="1">
        <f>MONTH(tblSales[[#This Row],[Date]])</f>
        <v>8</v>
      </c>
    </row>
    <row r="3593" spans="2:18" x14ac:dyDescent="0.35">
      <c r="B3593" s="113">
        <v>46236</v>
      </c>
      <c r="C3593" s="4" t="s">
        <v>2407</v>
      </c>
      <c r="D3593" s="4" t="s">
        <v>4568</v>
      </c>
      <c r="E3593" s="1" t="str">
        <f>_xlfn.XLOOKUP(tblSales[[#This Row],[Customer ID]],tblCustomers[Customer ID],tblCustomers[Customer Name],"⚠ Unknown")</f>
        <v>Walk-in Customer</v>
      </c>
      <c r="F3593" s="4" t="s">
        <v>13</v>
      </c>
      <c r="G3593" s="1" t="str">
        <f>_xlfn.XLOOKUP(tblSales[[#This Row],[Product Code]],tblProducts[Code],tblProducts[Product / Service Name],"⚠ Unknown")</f>
        <v>Backpack</v>
      </c>
      <c r="H3593" s="1" t="str">
        <f>_xlfn.XLOOKUP(tblSales[[#This Row],[Product Code]],tblProducts[Code],tblProducts[Category],"")</f>
        <v>Bags &amp; Gadgets</v>
      </c>
      <c r="I3593" s="4">
        <v>3</v>
      </c>
      <c r="J3593" s="5">
        <f>_xlfn.XLOOKUP(tblSales[[#This Row],[Product Code]],tblProducts[Code],tblProducts[Selling Price (excl. VAT)],0)</f>
        <v>500000</v>
      </c>
      <c r="K3593" s="5">
        <f>tblSales[[#This Row],[Qty]]*tblSales[[#This Row],[Unit Price]]</f>
        <v>1500000</v>
      </c>
      <c r="L3593" s="5">
        <f>ROUND(tblSales[[#This Row],[DPP (excl. VAT)]]*VATEff,0)</f>
        <v>165000</v>
      </c>
      <c r="M3593" s="5">
        <f>tblSales[[#This Row],[DPP (excl. VAT)]]+tblSales[[#This Row],[Output VAT]]</f>
        <v>1665000</v>
      </c>
      <c r="N3593" s="5">
        <f>tblSales[[#This Row],[Qty]]*_xlfn.XLOOKUP(tblSales[[#This Row],[Product Code]],tblProducts[Code],tblProducts[Unit Cost],0)</f>
        <v>870000</v>
      </c>
      <c r="O3593" s="4" t="s">
        <v>4865</v>
      </c>
      <c r="P3593" s="4" t="s">
        <v>4860</v>
      </c>
      <c r="Q3593" s="1" t="str">
        <f>_xlfn.XLOOKUP(tblSales[[#This Row],[Channel Code]],tblChannels[Channel Code],tblChannels[Channel Name],"")</f>
        <v>In-store</v>
      </c>
      <c r="R3593" s="1">
        <f>MONTH(tblSales[[#This Row],[Date]])</f>
        <v>8</v>
      </c>
    </row>
    <row r="3594" spans="2:18" x14ac:dyDescent="0.35">
      <c r="B3594" s="113">
        <v>46236</v>
      </c>
      <c r="C3594" s="4" t="s">
        <v>2408</v>
      </c>
      <c r="D3594" s="4" t="s">
        <v>4568</v>
      </c>
      <c r="E3594" s="1" t="str">
        <f>_xlfn.XLOOKUP(tblSales[[#This Row],[Customer ID]],tblCustomers[Customer ID],tblCustomers[Customer Name],"⚠ Unknown")</f>
        <v>Walk-in Customer</v>
      </c>
      <c r="F3594" s="4" t="s">
        <v>6</v>
      </c>
      <c r="G3594" s="1" t="str">
        <f>_xlfn.XLOOKUP(tblSales[[#This Row],[Product Code]],tblProducts[Code],tblProducts[Product / Service Name],"⚠ Unknown")</f>
        <v>Socks &amp; Accessories</v>
      </c>
      <c r="H3594" s="1" t="str">
        <f>_xlfn.XLOOKUP(tblSales[[#This Row],[Product Code]],tblProducts[Code],tblProducts[Category],"")</f>
        <v>Accessories &amp; Basics</v>
      </c>
      <c r="I3594" s="4">
        <v>3</v>
      </c>
      <c r="J3594" s="5">
        <f>_xlfn.XLOOKUP(tblSales[[#This Row],[Product Code]],tblProducts[Code],tblProducts[Selling Price (excl. VAT)],0)</f>
        <v>45000</v>
      </c>
      <c r="K3594" s="5">
        <f>tblSales[[#This Row],[Qty]]*tblSales[[#This Row],[Unit Price]]</f>
        <v>135000</v>
      </c>
      <c r="L3594" s="5">
        <f>ROUND(tblSales[[#This Row],[DPP (excl. VAT)]]*VATEff,0)</f>
        <v>14850</v>
      </c>
      <c r="M3594" s="5">
        <f>tblSales[[#This Row],[DPP (excl. VAT)]]+tblSales[[#This Row],[Output VAT]]</f>
        <v>149850</v>
      </c>
      <c r="N3594" s="5">
        <f>tblSales[[#This Row],[Qty]]*_xlfn.XLOOKUP(tblSales[[#This Row],[Product Code]],tblProducts[Code],tblProducts[Unit Cost],0)</f>
        <v>72000</v>
      </c>
      <c r="O3594" s="4" t="s">
        <v>4865</v>
      </c>
      <c r="P3594" s="4" t="s">
        <v>4860</v>
      </c>
      <c r="Q3594" s="1" t="str">
        <f>_xlfn.XLOOKUP(tblSales[[#This Row],[Channel Code]],tblChannels[Channel Code],tblChannels[Channel Name],"")</f>
        <v>In-store</v>
      </c>
      <c r="R3594" s="1">
        <f>MONTH(tblSales[[#This Row],[Date]])</f>
        <v>8</v>
      </c>
    </row>
    <row r="3595" spans="2:18" x14ac:dyDescent="0.35">
      <c r="B3595" s="113">
        <v>46236</v>
      </c>
      <c r="C3595" s="4" t="s">
        <v>2408</v>
      </c>
      <c r="D3595" s="4" t="s">
        <v>4568</v>
      </c>
      <c r="E3595" s="1" t="str">
        <f>_xlfn.XLOOKUP(tblSales[[#This Row],[Customer ID]],tblCustomers[Customer ID],tblCustomers[Customer Name],"⚠ Unknown")</f>
        <v>Walk-in Customer</v>
      </c>
      <c r="F3595" s="4" t="s">
        <v>10</v>
      </c>
      <c r="G3595" s="1" t="str">
        <f>_xlfn.XLOOKUP(tblSales[[#This Row],[Product Code]],tblProducts[Code],tblProducts[Product / Service Name],"⚠ Unknown")</f>
        <v>Chino Pants</v>
      </c>
      <c r="H3595" s="1" t="str">
        <f>_xlfn.XLOOKUP(tblSales[[#This Row],[Product Code]],tblProducts[Code],tblProducts[Category],"")</f>
        <v>Apparel &amp; Footwear</v>
      </c>
      <c r="I3595" s="4">
        <v>9</v>
      </c>
      <c r="J3595" s="5">
        <f>_xlfn.XLOOKUP(tblSales[[#This Row],[Product Code]],tblProducts[Code],tblProducts[Selling Price (excl. VAT)],0)</f>
        <v>150000</v>
      </c>
      <c r="K3595" s="5">
        <f>tblSales[[#This Row],[Qty]]*tblSales[[#This Row],[Unit Price]]</f>
        <v>1350000</v>
      </c>
      <c r="L3595" s="5">
        <f>ROUND(tblSales[[#This Row],[DPP (excl. VAT)]]*VATEff,0)</f>
        <v>148500</v>
      </c>
      <c r="M3595" s="5">
        <f>tblSales[[#This Row],[DPP (excl. VAT)]]+tblSales[[#This Row],[Output VAT]]</f>
        <v>1498500</v>
      </c>
      <c r="N3595" s="5">
        <f>tblSales[[#This Row],[Qty]]*_xlfn.XLOOKUP(tblSales[[#This Row],[Product Code]],tblProducts[Code],tblProducts[Unit Cost],0)</f>
        <v>792000</v>
      </c>
      <c r="O3595" s="4" t="s">
        <v>4865</v>
      </c>
      <c r="P3595" s="4" t="s">
        <v>4860</v>
      </c>
      <c r="Q3595" s="1" t="str">
        <f>_xlfn.XLOOKUP(tblSales[[#This Row],[Channel Code]],tblChannels[Channel Code],tblChannels[Channel Name],"")</f>
        <v>In-store</v>
      </c>
      <c r="R3595" s="1">
        <f>MONTH(tblSales[[#This Row],[Date]])</f>
        <v>8</v>
      </c>
    </row>
    <row r="3596" spans="2:18" x14ac:dyDescent="0.35">
      <c r="B3596" s="113">
        <v>46236</v>
      </c>
      <c r="C3596" s="4" t="s">
        <v>2409</v>
      </c>
      <c r="D3596" s="4" t="s">
        <v>4568</v>
      </c>
      <c r="E3596" s="1" t="str">
        <f>_xlfn.XLOOKUP(tblSales[[#This Row],[Customer ID]],tblCustomers[Customer ID],tblCustomers[Customer Name],"⚠ Unknown")</f>
        <v>Walk-in Customer</v>
      </c>
      <c r="F3596" s="4" t="s">
        <v>10</v>
      </c>
      <c r="G3596" s="1" t="str">
        <f>_xlfn.XLOOKUP(tblSales[[#This Row],[Product Code]],tblProducts[Code],tblProducts[Product / Service Name],"⚠ Unknown")</f>
        <v>Chino Pants</v>
      </c>
      <c r="H3596" s="1" t="str">
        <f>_xlfn.XLOOKUP(tblSales[[#This Row],[Product Code]],tblProducts[Code],tblProducts[Category],"")</f>
        <v>Apparel &amp; Footwear</v>
      </c>
      <c r="I3596" s="4">
        <v>11</v>
      </c>
      <c r="J3596" s="5">
        <f>_xlfn.XLOOKUP(tblSales[[#This Row],[Product Code]],tblProducts[Code],tblProducts[Selling Price (excl. VAT)],0)</f>
        <v>150000</v>
      </c>
      <c r="K3596" s="5">
        <f>tblSales[[#This Row],[Qty]]*tblSales[[#This Row],[Unit Price]]</f>
        <v>1650000</v>
      </c>
      <c r="L3596" s="5">
        <f>ROUND(tblSales[[#This Row],[DPP (excl. VAT)]]*VATEff,0)</f>
        <v>181500</v>
      </c>
      <c r="M3596" s="5">
        <f>tblSales[[#This Row],[DPP (excl. VAT)]]+tblSales[[#This Row],[Output VAT]]</f>
        <v>1831500</v>
      </c>
      <c r="N3596" s="5">
        <f>tblSales[[#This Row],[Qty]]*_xlfn.XLOOKUP(tblSales[[#This Row],[Product Code]],tblProducts[Code],tblProducts[Unit Cost],0)</f>
        <v>968000</v>
      </c>
      <c r="O3596" s="4" t="s">
        <v>4866</v>
      </c>
      <c r="P3596" s="4" t="s">
        <v>4861</v>
      </c>
      <c r="Q3596" s="1" t="str">
        <f>_xlfn.XLOOKUP(tblSales[[#This Row],[Channel Code]],tblChannels[Channel Code],tblChannels[Channel Name],"")</f>
        <v>Marketplace</v>
      </c>
      <c r="R3596" s="1">
        <f>MONTH(tblSales[[#This Row],[Date]])</f>
        <v>8</v>
      </c>
    </row>
    <row r="3597" spans="2:18" x14ac:dyDescent="0.35">
      <c r="B3597" s="113">
        <v>46236</v>
      </c>
      <c r="C3597" s="4" t="s">
        <v>2410</v>
      </c>
      <c r="D3597" s="4" t="s">
        <v>4568</v>
      </c>
      <c r="E3597" s="1" t="str">
        <f>_xlfn.XLOOKUP(tblSales[[#This Row],[Customer ID]],tblCustomers[Customer ID],tblCustomers[Customer Name],"⚠ Unknown")</f>
        <v>Walk-in Customer</v>
      </c>
      <c r="F3597" s="4" t="s">
        <v>6</v>
      </c>
      <c r="G3597" s="1" t="str">
        <f>_xlfn.XLOOKUP(tblSales[[#This Row],[Product Code]],tblProducts[Code],tblProducts[Product / Service Name],"⚠ Unknown")</f>
        <v>Socks &amp; Accessories</v>
      </c>
      <c r="H3597" s="1" t="str">
        <f>_xlfn.XLOOKUP(tblSales[[#This Row],[Product Code]],tblProducts[Code],tblProducts[Category],"")</f>
        <v>Accessories &amp; Basics</v>
      </c>
      <c r="I3597" s="4">
        <v>9</v>
      </c>
      <c r="J3597" s="5">
        <f>_xlfn.XLOOKUP(tblSales[[#This Row],[Product Code]],tblProducts[Code],tblProducts[Selling Price (excl. VAT)],0)</f>
        <v>45000</v>
      </c>
      <c r="K3597" s="5">
        <f>tblSales[[#This Row],[Qty]]*tblSales[[#This Row],[Unit Price]]</f>
        <v>405000</v>
      </c>
      <c r="L3597" s="5">
        <f>ROUND(tblSales[[#This Row],[DPP (excl. VAT)]]*VATEff,0)</f>
        <v>44550</v>
      </c>
      <c r="M3597" s="5">
        <f>tblSales[[#This Row],[DPP (excl. VAT)]]+tblSales[[#This Row],[Output VAT]]</f>
        <v>449550</v>
      </c>
      <c r="N3597" s="5">
        <f>tblSales[[#This Row],[Qty]]*_xlfn.XLOOKUP(tblSales[[#This Row],[Product Code]],tblProducts[Code],tblProducts[Unit Cost],0)</f>
        <v>216000</v>
      </c>
      <c r="O3597" s="4" t="s">
        <v>4866</v>
      </c>
      <c r="P3597" s="4" t="s">
        <v>4860</v>
      </c>
      <c r="Q3597" s="1" t="str">
        <f>_xlfn.XLOOKUP(tblSales[[#This Row],[Channel Code]],tblChannels[Channel Code],tblChannels[Channel Name],"")</f>
        <v>In-store</v>
      </c>
      <c r="R3597" s="1">
        <f>MONTH(tblSales[[#This Row],[Date]])</f>
        <v>8</v>
      </c>
    </row>
    <row r="3598" spans="2:18" x14ac:dyDescent="0.35">
      <c r="B3598" s="113">
        <v>46236</v>
      </c>
      <c r="C3598" s="4" t="s">
        <v>2410</v>
      </c>
      <c r="D3598" s="4" t="s">
        <v>4568</v>
      </c>
      <c r="E3598" s="1" t="str">
        <f>_xlfn.XLOOKUP(tblSales[[#This Row],[Customer ID]],tblCustomers[Customer ID],tblCustomers[Customer Name],"⚠ Unknown")</f>
        <v>Walk-in Customer</v>
      </c>
      <c r="F3598" s="4" t="s">
        <v>7</v>
      </c>
      <c r="G3598" s="1" t="str">
        <f>_xlfn.XLOOKUP(tblSales[[#This Row],[Product Code]],tblProducts[Code],tblProducts[Product / Service Name],"⚠ Unknown")</f>
        <v>Premium Basic T-shirt</v>
      </c>
      <c r="H3598" s="1" t="str">
        <f>_xlfn.XLOOKUP(tblSales[[#This Row],[Product Code]],tblProducts[Code],tblProducts[Category],"")</f>
        <v>Accessories &amp; Basics</v>
      </c>
      <c r="I3598" s="4">
        <v>1</v>
      </c>
      <c r="J3598" s="5">
        <f>_xlfn.XLOOKUP(tblSales[[#This Row],[Product Code]],tblProducts[Code],tblProducts[Selling Price (excl. VAT)],0)</f>
        <v>65000</v>
      </c>
      <c r="K3598" s="5">
        <f>tblSales[[#This Row],[Qty]]*tblSales[[#This Row],[Unit Price]]</f>
        <v>65000</v>
      </c>
      <c r="L3598" s="5">
        <f>ROUND(tblSales[[#This Row],[DPP (excl. VAT)]]*VATEff,0)</f>
        <v>7150</v>
      </c>
      <c r="M3598" s="5">
        <f>tblSales[[#This Row],[DPP (excl. VAT)]]+tblSales[[#This Row],[Output VAT]]</f>
        <v>72150</v>
      </c>
      <c r="N3598" s="5">
        <f>tblSales[[#This Row],[Qty]]*_xlfn.XLOOKUP(tblSales[[#This Row],[Product Code]],tblProducts[Code],tblProducts[Unit Cost],0)</f>
        <v>37000</v>
      </c>
      <c r="O3598" s="4" t="s">
        <v>4866</v>
      </c>
      <c r="P3598" s="4" t="s">
        <v>4860</v>
      </c>
      <c r="Q3598" s="1" t="str">
        <f>_xlfn.XLOOKUP(tblSales[[#This Row],[Channel Code]],tblChannels[Channel Code],tblChannels[Channel Name],"")</f>
        <v>In-store</v>
      </c>
      <c r="R3598" s="1">
        <f>MONTH(tblSales[[#This Row],[Date]])</f>
        <v>8</v>
      </c>
    </row>
    <row r="3599" spans="2:18" x14ac:dyDescent="0.35">
      <c r="B3599" s="113">
        <v>46236</v>
      </c>
      <c r="C3599" s="4" t="s">
        <v>2410</v>
      </c>
      <c r="D3599" s="4" t="s">
        <v>4568</v>
      </c>
      <c r="E3599" s="1" t="str">
        <f>_xlfn.XLOOKUP(tblSales[[#This Row],[Customer ID]],tblCustomers[Customer ID],tblCustomers[Customer Name],"⚠ Unknown")</f>
        <v>Walk-in Customer</v>
      </c>
      <c r="F3599" s="4" t="s">
        <v>10</v>
      </c>
      <c r="G3599" s="1" t="str">
        <f>_xlfn.XLOOKUP(tblSales[[#This Row],[Product Code]],tblProducts[Code],tblProducts[Product / Service Name],"⚠ Unknown")</f>
        <v>Chino Pants</v>
      </c>
      <c r="H3599" s="1" t="str">
        <f>_xlfn.XLOOKUP(tblSales[[#This Row],[Product Code]],tblProducts[Code],tblProducts[Category],"")</f>
        <v>Apparel &amp; Footwear</v>
      </c>
      <c r="I3599" s="4">
        <v>2</v>
      </c>
      <c r="J3599" s="5">
        <f>_xlfn.XLOOKUP(tblSales[[#This Row],[Product Code]],tblProducts[Code],tblProducts[Selling Price (excl. VAT)],0)</f>
        <v>150000</v>
      </c>
      <c r="K3599" s="5">
        <f>tblSales[[#This Row],[Qty]]*tblSales[[#This Row],[Unit Price]]</f>
        <v>300000</v>
      </c>
      <c r="L3599" s="5">
        <f>ROUND(tblSales[[#This Row],[DPP (excl. VAT)]]*VATEff,0)</f>
        <v>33000</v>
      </c>
      <c r="M3599" s="5">
        <f>tblSales[[#This Row],[DPP (excl. VAT)]]+tblSales[[#This Row],[Output VAT]]</f>
        <v>333000</v>
      </c>
      <c r="N3599" s="5">
        <f>tblSales[[#This Row],[Qty]]*_xlfn.XLOOKUP(tblSales[[#This Row],[Product Code]],tblProducts[Code],tblProducts[Unit Cost],0)</f>
        <v>176000</v>
      </c>
      <c r="O3599" s="4" t="s">
        <v>4866</v>
      </c>
      <c r="P3599" s="4" t="s">
        <v>4860</v>
      </c>
      <c r="Q3599" s="1" t="str">
        <f>_xlfn.XLOOKUP(tblSales[[#This Row],[Channel Code]],tblChannels[Channel Code],tblChannels[Channel Name],"")</f>
        <v>In-store</v>
      </c>
      <c r="R3599" s="1">
        <f>MONTH(tblSales[[#This Row],[Date]])</f>
        <v>8</v>
      </c>
    </row>
    <row r="3600" spans="2:18" x14ac:dyDescent="0.35">
      <c r="B3600" s="113">
        <v>46236</v>
      </c>
      <c r="C3600" s="4" t="s">
        <v>2411</v>
      </c>
      <c r="D3600" s="4" t="s">
        <v>4568</v>
      </c>
      <c r="E3600" s="1" t="str">
        <f>_xlfn.XLOOKUP(tblSales[[#This Row],[Customer ID]],tblCustomers[Customer ID],tblCustomers[Customer Name],"⚠ Unknown")</f>
        <v>Walk-in Customer</v>
      </c>
      <c r="F3600" s="4" t="s">
        <v>7</v>
      </c>
      <c r="G3600" s="1" t="str">
        <f>_xlfn.XLOOKUP(tblSales[[#This Row],[Product Code]],tblProducts[Code],tblProducts[Product / Service Name],"⚠ Unknown")</f>
        <v>Premium Basic T-shirt</v>
      </c>
      <c r="H3600" s="1" t="str">
        <f>_xlfn.XLOOKUP(tblSales[[#This Row],[Product Code]],tblProducts[Code],tblProducts[Category],"")</f>
        <v>Accessories &amp; Basics</v>
      </c>
      <c r="I3600" s="4">
        <v>2</v>
      </c>
      <c r="J3600" s="5">
        <f>_xlfn.XLOOKUP(tblSales[[#This Row],[Product Code]],tblProducts[Code],tblProducts[Selling Price (excl. VAT)],0)</f>
        <v>65000</v>
      </c>
      <c r="K3600" s="5">
        <f>tblSales[[#This Row],[Qty]]*tblSales[[#This Row],[Unit Price]]</f>
        <v>130000</v>
      </c>
      <c r="L3600" s="5">
        <f>ROUND(tblSales[[#This Row],[DPP (excl. VAT)]]*VATEff,0)</f>
        <v>14300</v>
      </c>
      <c r="M3600" s="5">
        <f>tblSales[[#This Row],[DPP (excl. VAT)]]+tblSales[[#This Row],[Output VAT]]</f>
        <v>144300</v>
      </c>
      <c r="N3600" s="5">
        <f>tblSales[[#This Row],[Qty]]*_xlfn.XLOOKUP(tblSales[[#This Row],[Product Code]],tblProducts[Code],tblProducts[Unit Cost],0)</f>
        <v>74000</v>
      </c>
      <c r="O3600" s="4" t="s">
        <v>4865</v>
      </c>
      <c r="P3600" s="4" t="s">
        <v>4860</v>
      </c>
      <c r="Q3600" s="1" t="str">
        <f>_xlfn.XLOOKUP(tblSales[[#This Row],[Channel Code]],tblChannels[Channel Code],tblChannels[Channel Name],"")</f>
        <v>In-store</v>
      </c>
      <c r="R3600" s="1">
        <f>MONTH(tblSales[[#This Row],[Date]])</f>
        <v>8</v>
      </c>
    </row>
    <row r="3601" spans="2:18" x14ac:dyDescent="0.35">
      <c r="B3601" s="113">
        <v>46236</v>
      </c>
      <c r="C3601" s="4" t="s">
        <v>2412</v>
      </c>
      <c r="D3601" s="4" t="s">
        <v>4568</v>
      </c>
      <c r="E3601" s="1" t="str">
        <f>_xlfn.XLOOKUP(tblSales[[#This Row],[Customer ID]],tblCustomers[Customer ID],tblCustomers[Customer Name],"⚠ Unknown")</f>
        <v>Walk-in Customer</v>
      </c>
      <c r="F3601" s="4" t="s">
        <v>6</v>
      </c>
      <c r="G3601" s="1" t="str">
        <f>_xlfn.XLOOKUP(tblSales[[#This Row],[Product Code]],tblProducts[Code],tblProducts[Product / Service Name],"⚠ Unknown")</f>
        <v>Socks &amp; Accessories</v>
      </c>
      <c r="H3601" s="1" t="str">
        <f>_xlfn.XLOOKUP(tblSales[[#This Row],[Product Code]],tblProducts[Code],tblProducts[Category],"")</f>
        <v>Accessories &amp; Basics</v>
      </c>
      <c r="I3601" s="4">
        <v>9</v>
      </c>
      <c r="J3601" s="5">
        <f>_xlfn.XLOOKUP(tblSales[[#This Row],[Product Code]],tblProducts[Code],tblProducts[Selling Price (excl. VAT)],0)</f>
        <v>45000</v>
      </c>
      <c r="K3601" s="5">
        <f>tblSales[[#This Row],[Qty]]*tblSales[[#This Row],[Unit Price]]</f>
        <v>405000</v>
      </c>
      <c r="L3601" s="5">
        <f>ROUND(tblSales[[#This Row],[DPP (excl. VAT)]]*VATEff,0)</f>
        <v>44550</v>
      </c>
      <c r="M3601" s="5">
        <f>tblSales[[#This Row],[DPP (excl. VAT)]]+tblSales[[#This Row],[Output VAT]]</f>
        <v>449550</v>
      </c>
      <c r="N3601" s="5">
        <f>tblSales[[#This Row],[Qty]]*_xlfn.XLOOKUP(tblSales[[#This Row],[Product Code]],tblProducts[Code],tblProducts[Unit Cost],0)</f>
        <v>216000</v>
      </c>
      <c r="O3601" s="4" t="s">
        <v>4866</v>
      </c>
      <c r="P3601" s="4" t="s">
        <v>4861</v>
      </c>
      <c r="Q3601" s="1" t="str">
        <f>_xlfn.XLOOKUP(tblSales[[#This Row],[Channel Code]],tblChannels[Channel Code],tblChannels[Channel Name],"")</f>
        <v>Marketplace</v>
      </c>
      <c r="R3601" s="1">
        <f>MONTH(tblSales[[#This Row],[Date]])</f>
        <v>8</v>
      </c>
    </row>
    <row r="3602" spans="2:18" x14ac:dyDescent="0.35">
      <c r="B3602" s="113">
        <v>46236</v>
      </c>
      <c r="C3602" s="4" t="s">
        <v>2412</v>
      </c>
      <c r="D3602" s="4" t="s">
        <v>4568</v>
      </c>
      <c r="E3602" s="1" t="str">
        <f>_xlfn.XLOOKUP(tblSales[[#This Row],[Customer ID]],tblCustomers[Customer ID],tblCustomers[Customer Name],"⚠ Unknown")</f>
        <v>Walk-in Customer</v>
      </c>
      <c r="F3602" s="4" t="s">
        <v>8</v>
      </c>
      <c r="G3602" s="1" t="str">
        <f>_xlfn.XLOOKUP(tblSales[[#This Row],[Product Code]],tblProducts[Code],tblProducts[Product / Service Name],"⚠ Unknown")</f>
        <v>Casual Shorts</v>
      </c>
      <c r="H3602" s="1" t="str">
        <f>_xlfn.XLOOKUP(tblSales[[#This Row],[Product Code]],tblProducts[Code],tblProducts[Category],"")</f>
        <v>Accessories &amp; Basics</v>
      </c>
      <c r="I3602" s="4">
        <v>3</v>
      </c>
      <c r="J3602" s="5">
        <f>_xlfn.XLOOKUP(tblSales[[#This Row],[Product Code]],tblProducts[Code],tblProducts[Selling Price (excl. VAT)],0)</f>
        <v>85000</v>
      </c>
      <c r="K3602" s="5">
        <f>tblSales[[#This Row],[Qty]]*tblSales[[#This Row],[Unit Price]]</f>
        <v>255000</v>
      </c>
      <c r="L3602" s="5">
        <f>ROUND(tblSales[[#This Row],[DPP (excl. VAT)]]*VATEff,0)</f>
        <v>28050</v>
      </c>
      <c r="M3602" s="5">
        <f>tblSales[[#This Row],[DPP (excl. VAT)]]+tblSales[[#This Row],[Output VAT]]</f>
        <v>283050</v>
      </c>
      <c r="N3602" s="5">
        <f>tblSales[[#This Row],[Qty]]*_xlfn.XLOOKUP(tblSales[[#This Row],[Product Code]],tblProducts[Code],tblProducts[Unit Cost],0)</f>
        <v>150000</v>
      </c>
      <c r="O3602" s="4" t="s">
        <v>4866</v>
      </c>
      <c r="P3602" s="4" t="s">
        <v>4861</v>
      </c>
      <c r="Q3602" s="1" t="str">
        <f>_xlfn.XLOOKUP(tblSales[[#This Row],[Channel Code]],tblChannels[Channel Code],tblChannels[Channel Name],"")</f>
        <v>Marketplace</v>
      </c>
      <c r="R3602" s="1">
        <f>MONTH(tblSales[[#This Row],[Date]])</f>
        <v>8</v>
      </c>
    </row>
    <row r="3603" spans="2:18" x14ac:dyDescent="0.35">
      <c r="B3603" s="113">
        <v>46237</v>
      </c>
      <c r="C3603" s="4" t="s">
        <v>2413</v>
      </c>
      <c r="D3603" s="4" t="s">
        <v>4568</v>
      </c>
      <c r="E3603" s="1" t="str">
        <f>_xlfn.XLOOKUP(tblSales[[#This Row],[Customer ID]],tblCustomers[Customer ID],tblCustomers[Customer Name],"⚠ Unknown")</f>
        <v>Walk-in Customer</v>
      </c>
      <c r="F3603" s="4" t="s">
        <v>6</v>
      </c>
      <c r="G3603" s="1" t="str">
        <f>_xlfn.XLOOKUP(tblSales[[#This Row],[Product Code]],tblProducts[Code],tblProducts[Product / Service Name],"⚠ Unknown")</f>
        <v>Socks &amp; Accessories</v>
      </c>
      <c r="H3603" s="1" t="str">
        <f>_xlfn.XLOOKUP(tblSales[[#This Row],[Product Code]],tblProducts[Code],tblProducts[Category],"")</f>
        <v>Accessories &amp; Basics</v>
      </c>
      <c r="I3603" s="4">
        <v>2</v>
      </c>
      <c r="J3603" s="5">
        <f>_xlfn.XLOOKUP(tblSales[[#This Row],[Product Code]],tblProducts[Code],tblProducts[Selling Price (excl. VAT)],0)</f>
        <v>45000</v>
      </c>
      <c r="K3603" s="5">
        <f>tblSales[[#This Row],[Qty]]*tblSales[[#This Row],[Unit Price]]</f>
        <v>90000</v>
      </c>
      <c r="L3603" s="5">
        <f>ROUND(tblSales[[#This Row],[DPP (excl. VAT)]]*VATEff,0)</f>
        <v>9900</v>
      </c>
      <c r="M3603" s="5">
        <f>tblSales[[#This Row],[DPP (excl. VAT)]]+tblSales[[#This Row],[Output VAT]]</f>
        <v>99900</v>
      </c>
      <c r="N3603" s="5">
        <f>tblSales[[#This Row],[Qty]]*_xlfn.XLOOKUP(tblSales[[#This Row],[Product Code]],tblProducts[Code],tblProducts[Unit Cost],0)</f>
        <v>48000</v>
      </c>
      <c r="O3603" s="4" t="s">
        <v>4866</v>
      </c>
      <c r="P3603" s="4" t="s">
        <v>4861</v>
      </c>
      <c r="Q3603" s="1" t="str">
        <f>_xlfn.XLOOKUP(tblSales[[#This Row],[Channel Code]],tblChannels[Channel Code],tblChannels[Channel Name],"")</f>
        <v>Marketplace</v>
      </c>
      <c r="R3603" s="1">
        <f>MONTH(tblSales[[#This Row],[Date]])</f>
        <v>8</v>
      </c>
    </row>
    <row r="3604" spans="2:18" x14ac:dyDescent="0.35">
      <c r="B3604" s="113">
        <v>46237</v>
      </c>
      <c r="C3604" s="4" t="s">
        <v>2413</v>
      </c>
      <c r="D3604" s="4" t="s">
        <v>4568</v>
      </c>
      <c r="E3604" s="1" t="str">
        <f>_xlfn.XLOOKUP(tblSales[[#This Row],[Customer ID]],tblCustomers[Customer ID],tblCustomers[Customer Name],"⚠ Unknown")</f>
        <v>Walk-in Customer</v>
      </c>
      <c r="F3604" s="4" t="s">
        <v>7</v>
      </c>
      <c r="G3604" s="1" t="str">
        <f>_xlfn.XLOOKUP(tblSales[[#This Row],[Product Code]],tblProducts[Code],tblProducts[Product / Service Name],"⚠ Unknown")</f>
        <v>Premium Basic T-shirt</v>
      </c>
      <c r="H3604" s="1" t="str">
        <f>_xlfn.XLOOKUP(tblSales[[#This Row],[Product Code]],tblProducts[Code],tblProducts[Category],"")</f>
        <v>Accessories &amp; Basics</v>
      </c>
      <c r="I3604" s="4">
        <v>8</v>
      </c>
      <c r="J3604" s="5">
        <f>_xlfn.XLOOKUP(tblSales[[#This Row],[Product Code]],tblProducts[Code],tblProducts[Selling Price (excl. VAT)],0)</f>
        <v>65000</v>
      </c>
      <c r="K3604" s="5">
        <f>tblSales[[#This Row],[Qty]]*tblSales[[#This Row],[Unit Price]]</f>
        <v>520000</v>
      </c>
      <c r="L3604" s="5">
        <f>ROUND(tblSales[[#This Row],[DPP (excl. VAT)]]*VATEff,0)</f>
        <v>57200</v>
      </c>
      <c r="M3604" s="5">
        <f>tblSales[[#This Row],[DPP (excl. VAT)]]+tblSales[[#This Row],[Output VAT]]</f>
        <v>577200</v>
      </c>
      <c r="N3604" s="5">
        <f>tblSales[[#This Row],[Qty]]*_xlfn.XLOOKUP(tblSales[[#This Row],[Product Code]],tblProducts[Code],tblProducts[Unit Cost],0)</f>
        <v>296000</v>
      </c>
      <c r="O3604" s="4" t="s">
        <v>4866</v>
      </c>
      <c r="P3604" s="4" t="s">
        <v>4861</v>
      </c>
      <c r="Q3604" s="1" t="str">
        <f>_xlfn.XLOOKUP(tblSales[[#This Row],[Channel Code]],tblChannels[Channel Code],tblChannels[Channel Name],"")</f>
        <v>Marketplace</v>
      </c>
      <c r="R3604" s="1">
        <f>MONTH(tblSales[[#This Row],[Date]])</f>
        <v>8</v>
      </c>
    </row>
    <row r="3605" spans="2:18" x14ac:dyDescent="0.35">
      <c r="B3605" s="113">
        <v>46237</v>
      </c>
      <c r="C3605" s="4" t="s">
        <v>2413</v>
      </c>
      <c r="D3605" s="4" t="s">
        <v>4568</v>
      </c>
      <c r="E3605" s="1" t="str">
        <f>_xlfn.XLOOKUP(tblSales[[#This Row],[Customer ID]],tblCustomers[Customer ID],tblCustomers[Customer Name],"⚠ Unknown")</f>
        <v>Walk-in Customer</v>
      </c>
      <c r="F3605" s="4" t="s">
        <v>8</v>
      </c>
      <c r="G3605" s="1" t="str">
        <f>_xlfn.XLOOKUP(tblSales[[#This Row],[Product Code]],tblProducts[Code],tblProducts[Product / Service Name],"⚠ Unknown")</f>
        <v>Casual Shorts</v>
      </c>
      <c r="H3605" s="1" t="str">
        <f>_xlfn.XLOOKUP(tblSales[[#This Row],[Product Code]],tblProducts[Code],tblProducts[Category],"")</f>
        <v>Accessories &amp; Basics</v>
      </c>
      <c r="I3605" s="4">
        <v>5</v>
      </c>
      <c r="J3605" s="5">
        <f>_xlfn.XLOOKUP(tblSales[[#This Row],[Product Code]],tblProducts[Code],tblProducts[Selling Price (excl. VAT)],0)</f>
        <v>85000</v>
      </c>
      <c r="K3605" s="5">
        <f>tblSales[[#This Row],[Qty]]*tblSales[[#This Row],[Unit Price]]</f>
        <v>425000</v>
      </c>
      <c r="L3605" s="5">
        <f>ROUND(tblSales[[#This Row],[DPP (excl. VAT)]]*VATEff,0)</f>
        <v>46750</v>
      </c>
      <c r="M3605" s="5">
        <f>tblSales[[#This Row],[DPP (excl. VAT)]]+tblSales[[#This Row],[Output VAT]]</f>
        <v>471750</v>
      </c>
      <c r="N3605" s="5">
        <f>tblSales[[#This Row],[Qty]]*_xlfn.XLOOKUP(tblSales[[#This Row],[Product Code]],tblProducts[Code],tblProducts[Unit Cost],0)</f>
        <v>250000</v>
      </c>
      <c r="O3605" s="4" t="s">
        <v>4866</v>
      </c>
      <c r="P3605" s="4" t="s">
        <v>4861</v>
      </c>
      <c r="Q3605" s="1" t="str">
        <f>_xlfn.XLOOKUP(tblSales[[#This Row],[Channel Code]],tblChannels[Channel Code],tblChannels[Channel Name],"")</f>
        <v>Marketplace</v>
      </c>
      <c r="R3605" s="1">
        <f>MONTH(tblSales[[#This Row],[Date]])</f>
        <v>8</v>
      </c>
    </row>
    <row r="3606" spans="2:18" x14ac:dyDescent="0.35">
      <c r="B3606" s="113">
        <v>46237</v>
      </c>
      <c r="C3606" s="4" t="s">
        <v>2414</v>
      </c>
      <c r="D3606" s="4" t="s">
        <v>4568</v>
      </c>
      <c r="E3606" s="1" t="str">
        <f>_xlfn.XLOOKUP(tblSales[[#This Row],[Customer ID]],tblCustomers[Customer ID],tblCustomers[Customer Name],"⚠ Unknown")</f>
        <v>Walk-in Customer</v>
      </c>
      <c r="F3606" s="4" t="s">
        <v>11</v>
      </c>
      <c r="G3606" s="1" t="str">
        <f>_xlfn.XLOOKUP(tblSales[[#This Row],[Product Code]],tblProducts[Code],tblProducts[Product / Service Name],"⚠ Unknown")</f>
        <v>Sneakers</v>
      </c>
      <c r="H3606" s="1" t="str">
        <f>_xlfn.XLOOKUP(tblSales[[#This Row],[Product Code]],tblProducts[Code],tblProducts[Category],"")</f>
        <v>Apparel &amp; Footwear</v>
      </c>
      <c r="I3606" s="4">
        <v>5</v>
      </c>
      <c r="J3606" s="5">
        <f>_xlfn.XLOOKUP(tblSales[[#This Row],[Product Code]],tblProducts[Code],tblProducts[Selling Price (excl. VAT)],0)</f>
        <v>250000</v>
      </c>
      <c r="K3606" s="5">
        <f>tblSales[[#This Row],[Qty]]*tblSales[[#This Row],[Unit Price]]</f>
        <v>1250000</v>
      </c>
      <c r="L3606" s="5">
        <f>ROUND(tblSales[[#This Row],[DPP (excl. VAT)]]*VATEff,0)</f>
        <v>137500</v>
      </c>
      <c r="M3606" s="5">
        <f>tblSales[[#This Row],[DPP (excl. VAT)]]+tblSales[[#This Row],[Output VAT]]</f>
        <v>1387500</v>
      </c>
      <c r="N3606" s="5">
        <f>tblSales[[#This Row],[Qty]]*_xlfn.XLOOKUP(tblSales[[#This Row],[Product Code]],tblProducts[Code],tblProducts[Unit Cost],0)</f>
        <v>775000</v>
      </c>
      <c r="O3606" s="4" t="s">
        <v>4866</v>
      </c>
      <c r="P3606" s="4" t="s">
        <v>4861</v>
      </c>
      <c r="Q3606" s="1" t="str">
        <f>_xlfn.XLOOKUP(tblSales[[#This Row],[Channel Code]],tblChannels[Channel Code],tblChannels[Channel Name],"")</f>
        <v>Marketplace</v>
      </c>
      <c r="R3606" s="1">
        <f>MONTH(tblSales[[#This Row],[Date]])</f>
        <v>8</v>
      </c>
    </row>
    <row r="3607" spans="2:18" x14ac:dyDescent="0.35">
      <c r="B3607" s="113">
        <v>46237</v>
      </c>
      <c r="C3607" s="4" t="s">
        <v>2415</v>
      </c>
      <c r="D3607" s="4" t="s">
        <v>4568</v>
      </c>
      <c r="E3607" s="1" t="str">
        <f>_xlfn.XLOOKUP(tblSales[[#This Row],[Customer ID]],tblCustomers[Customer ID],tblCustomers[Customer Name],"⚠ Unknown")</f>
        <v>Walk-in Customer</v>
      </c>
      <c r="F3607" s="4" t="s">
        <v>10</v>
      </c>
      <c r="G3607" s="1" t="str">
        <f>_xlfn.XLOOKUP(tblSales[[#This Row],[Product Code]],tblProducts[Code],tblProducts[Product / Service Name],"⚠ Unknown")</f>
        <v>Chino Pants</v>
      </c>
      <c r="H3607" s="1" t="str">
        <f>_xlfn.XLOOKUP(tblSales[[#This Row],[Product Code]],tblProducts[Code],tblProducts[Category],"")</f>
        <v>Apparel &amp; Footwear</v>
      </c>
      <c r="I3607" s="4">
        <v>8</v>
      </c>
      <c r="J3607" s="5">
        <f>_xlfn.XLOOKUP(tblSales[[#This Row],[Product Code]],tblProducts[Code],tblProducts[Selling Price (excl. VAT)],0)</f>
        <v>150000</v>
      </c>
      <c r="K3607" s="5">
        <f>tblSales[[#This Row],[Qty]]*tblSales[[#This Row],[Unit Price]]</f>
        <v>1200000</v>
      </c>
      <c r="L3607" s="5">
        <f>ROUND(tblSales[[#This Row],[DPP (excl. VAT)]]*VATEff,0)</f>
        <v>132000</v>
      </c>
      <c r="M3607" s="5">
        <f>tblSales[[#This Row],[DPP (excl. VAT)]]+tblSales[[#This Row],[Output VAT]]</f>
        <v>1332000</v>
      </c>
      <c r="N3607" s="5">
        <f>tblSales[[#This Row],[Qty]]*_xlfn.XLOOKUP(tblSales[[#This Row],[Product Code]],tblProducts[Code],tblProducts[Unit Cost],0)</f>
        <v>704000</v>
      </c>
      <c r="O3607" s="4" t="s">
        <v>4866</v>
      </c>
      <c r="P3607" s="4" t="s">
        <v>4862</v>
      </c>
      <c r="Q3607" s="1" t="str">
        <f>_xlfn.XLOOKUP(tblSales[[#This Row],[Channel Code]],tblChannels[Channel Code],tblChannels[Channel Name],"")</f>
        <v>Website &amp; Social Media</v>
      </c>
      <c r="R3607" s="1">
        <f>MONTH(tblSales[[#This Row],[Date]])</f>
        <v>8</v>
      </c>
    </row>
    <row r="3608" spans="2:18" x14ac:dyDescent="0.35">
      <c r="B3608" s="113">
        <v>46237</v>
      </c>
      <c r="C3608" s="4" t="s">
        <v>2416</v>
      </c>
      <c r="D3608" s="4" t="s">
        <v>4606</v>
      </c>
      <c r="E3608" s="1" t="str">
        <f>_xlfn.XLOOKUP(tblSales[[#This Row],[Customer ID]],tblCustomers[Customer ID],tblCustomers[Customer Name],"⚠ Unknown")</f>
        <v>PT Arunika Digital Kreatif</v>
      </c>
      <c r="F3608" s="4" t="s">
        <v>6</v>
      </c>
      <c r="G3608" s="1" t="str">
        <f>_xlfn.XLOOKUP(tblSales[[#This Row],[Product Code]],tblProducts[Code],tblProducts[Product / Service Name],"⚠ Unknown")</f>
        <v>Socks &amp; Accessories</v>
      </c>
      <c r="H3608" s="1" t="str">
        <f>_xlfn.XLOOKUP(tblSales[[#This Row],[Product Code]],tblProducts[Code],tblProducts[Category],"")</f>
        <v>Accessories &amp; Basics</v>
      </c>
      <c r="I3608" s="4">
        <v>40</v>
      </c>
      <c r="J3608" s="5">
        <f>_xlfn.XLOOKUP(tblSales[[#This Row],[Product Code]],tblProducts[Code],tblProducts[Selling Price (excl. VAT)],0)</f>
        <v>45000</v>
      </c>
      <c r="K3608" s="5">
        <f>tblSales[[#This Row],[Qty]]*tblSales[[#This Row],[Unit Price]]</f>
        <v>1800000</v>
      </c>
      <c r="L3608" s="5">
        <f>ROUND(tblSales[[#This Row],[DPP (excl. VAT)]]*VATEff,0)</f>
        <v>198000</v>
      </c>
      <c r="M3608" s="5">
        <f>tblSales[[#This Row],[DPP (excl. VAT)]]+tblSales[[#This Row],[Output VAT]]</f>
        <v>1998000</v>
      </c>
      <c r="N3608" s="5">
        <f>tblSales[[#This Row],[Qty]]*_xlfn.XLOOKUP(tblSales[[#This Row],[Product Code]],tblProducts[Code],tblProducts[Unit Cost],0)</f>
        <v>960000</v>
      </c>
      <c r="O3608" s="4" t="s">
        <v>4867</v>
      </c>
      <c r="P3608" s="4" t="s">
        <v>4860</v>
      </c>
      <c r="Q3608" s="1" t="str">
        <f>_xlfn.XLOOKUP(tblSales[[#This Row],[Channel Code]],tblChannels[Channel Code],tblChannels[Channel Name],"")</f>
        <v>In-store</v>
      </c>
      <c r="R3608" s="1">
        <f>MONTH(tblSales[[#This Row],[Date]])</f>
        <v>8</v>
      </c>
    </row>
    <row r="3609" spans="2:18" x14ac:dyDescent="0.35">
      <c r="B3609" s="113">
        <v>46237</v>
      </c>
      <c r="C3609" s="4" t="s">
        <v>2416</v>
      </c>
      <c r="D3609" s="4" t="s">
        <v>4606</v>
      </c>
      <c r="E3609" s="1" t="str">
        <f>_xlfn.XLOOKUP(tblSales[[#This Row],[Customer ID]],tblCustomers[Customer ID],tblCustomers[Customer Name],"⚠ Unknown")</f>
        <v>PT Arunika Digital Kreatif</v>
      </c>
      <c r="F3609" s="4" t="s">
        <v>8</v>
      </c>
      <c r="G3609" s="1" t="str">
        <f>_xlfn.XLOOKUP(tblSales[[#This Row],[Product Code]],tblProducts[Code],tblProducts[Product / Service Name],"⚠ Unknown")</f>
        <v>Casual Shorts</v>
      </c>
      <c r="H3609" s="1" t="str">
        <f>_xlfn.XLOOKUP(tblSales[[#This Row],[Product Code]],tblProducts[Code],tblProducts[Category],"")</f>
        <v>Accessories &amp; Basics</v>
      </c>
      <c r="I3609" s="4">
        <v>24</v>
      </c>
      <c r="J3609" s="5">
        <f>_xlfn.XLOOKUP(tblSales[[#This Row],[Product Code]],tblProducts[Code],tblProducts[Selling Price (excl. VAT)],0)</f>
        <v>85000</v>
      </c>
      <c r="K3609" s="5">
        <f>tblSales[[#This Row],[Qty]]*tblSales[[#This Row],[Unit Price]]</f>
        <v>2040000</v>
      </c>
      <c r="L3609" s="5">
        <f>ROUND(tblSales[[#This Row],[DPP (excl. VAT)]]*VATEff,0)</f>
        <v>224400</v>
      </c>
      <c r="M3609" s="5">
        <f>tblSales[[#This Row],[DPP (excl. VAT)]]+tblSales[[#This Row],[Output VAT]]</f>
        <v>2264400</v>
      </c>
      <c r="N3609" s="5">
        <f>tblSales[[#This Row],[Qty]]*_xlfn.XLOOKUP(tblSales[[#This Row],[Product Code]],tblProducts[Code],tblProducts[Unit Cost],0)</f>
        <v>1200000</v>
      </c>
      <c r="O3609" s="4" t="s">
        <v>4867</v>
      </c>
      <c r="P3609" s="4" t="s">
        <v>4860</v>
      </c>
      <c r="Q3609" s="1" t="str">
        <f>_xlfn.XLOOKUP(tblSales[[#This Row],[Channel Code]],tblChannels[Channel Code],tblChannels[Channel Name],"")</f>
        <v>In-store</v>
      </c>
      <c r="R3609" s="1">
        <f>MONTH(tblSales[[#This Row],[Date]])</f>
        <v>8</v>
      </c>
    </row>
    <row r="3610" spans="2:18" x14ac:dyDescent="0.35">
      <c r="B3610" s="113">
        <v>46237</v>
      </c>
      <c r="C3610" s="4" t="s">
        <v>2417</v>
      </c>
      <c r="D3610" s="4" t="s">
        <v>4568</v>
      </c>
      <c r="E3610" s="1" t="str">
        <f>_xlfn.XLOOKUP(tblSales[[#This Row],[Customer ID]],tblCustomers[Customer ID],tblCustomers[Customer Name],"⚠ Unknown")</f>
        <v>Walk-in Customer</v>
      </c>
      <c r="F3610" s="4" t="s">
        <v>11</v>
      </c>
      <c r="G3610" s="1" t="str">
        <f>_xlfn.XLOOKUP(tblSales[[#This Row],[Product Code]],tblProducts[Code],tblProducts[Product / Service Name],"⚠ Unknown")</f>
        <v>Sneakers</v>
      </c>
      <c r="H3610" s="1" t="str">
        <f>_xlfn.XLOOKUP(tblSales[[#This Row],[Product Code]],tblProducts[Code],tblProducts[Category],"")</f>
        <v>Apparel &amp; Footwear</v>
      </c>
      <c r="I3610" s="4">
        <v>2</v>
      </c>
      <c r="J3610" s="5">
        <f>_xlfn.XLOOKUP(tblSales[[#This Row],[Product Code]],tblProducts[Code],tblProducts[Selling Price (excl. VAT)],0)</f>
        <v>250000</v>
      </c>
      <c r="K3610" s="5">
        <f>tblSales[[#This Row],[Qty]]*tblSales[[#This Row],[Unit Price]]</f>
        <v>500000</v>
      </c>
      <c r="L3610" s="5">
        <f>ROUND(tblSales[[#This Row],[DPP (excl. VAT)]]*VATEff,0)</f>
        <v>55000</v>
      </c>
      <c r="M3610" s="5">
        <f>tblSales[[#This Row],[DPP (excl. VAT)]]+tblSales[[#This Row],[Output VAT]]</f>
        <v>555000</v>
      </c>
      <c r="N3610" s="5">
        <f>tblSales[[#This Row],[Qty]]*_xlfn.XLOOKUP(tblSales[[#This Row],[Product Code]],tblProducts[Code],tblProducts[Unit Cost],0)</f>
        <v>310000</v>
      </c>
      <c r="O3610" s="4" t="s">
        <v>4866</v>
      </c>
      <c r="P3610" s="4" t="s">
        <v>4860</v>
      </c>
      <c r="Q3610" s="1" t="str">
        <f>_xlfn.XLOOKUP(tblSales[[#This Row],[Channel Code]],tblChannels[Channel Code],tblChannels[Channel Name],"")</f>
        <v>In-store</v>
      </c>
      <c r="R3610" s="1">
        <f>MONTH(tblSales[[#This Row],[Date]])</f>
        <v>8</v>
      </c>
    </row>
    <row r="3611" spans="2:18" x14ac:dyDescent="0.35">
      <c r="B3611" s="113">
        <v>46237</v>
      </c>
      <c r="C3611" s="4" t="s">
        <v>2418</v>
      </c>
      <c r="D3611" s="4" t="s">
        <v>4568</v>
      </c>
      <c r="E3611" s="1" t="str">
        <f>_xlfn.XLOOKUP(tblSales[[#This Row],[Customer ID]],tblCustomers[Customer ID],tblCustomers[Customer Name],"⚠ Unknown")</f>
        <v>Walk-in Customer</v>
      </c>
      <c r="F3611" s="4" t="s">
        <v>9</v>
      </c>
      <c r="G3611" s="1" t="str">
        <f>_xlfn.XLOOKUP(tblSales[[#This Row],[Product Code]],tblProducts[Code],tblProducts[Product / Service Name],"⚠ Unknown")</f>
        <v>Casual Shirt</v>
      </c>
      <c r="H3611" s="1" t="str">
        <f>_xlfn.XLOOKUP(tblSales[[#This Row],[Product Code]],tblProducts[Code],tblProducts[Category],"")</f>
        <v>Apparel &amp; Footwear</v>
      </c>
      <c r="I3611" s="4">
        <v>4</v>
      </c>
      <c r="J3611" s="5">
        <f>_xlfn.XLOOKUP(tblSales[[#This Row],[Product Code]],tblProducts[Code],tblProducts[Selling Price (excl. VAT)],0)</f>
        <v>120000</v>
      </c>
      <c r="K3611" s="5">
        <f>tblSales[[#This Row],[Qty]]*tblSales[[#This Row],[Unit Price]]</f>
        <v>480000</v>
      </c>
      <c r="L3611" s="5">
        <f>ROUND(tblSales[[#This Row],[DPP (excl. VAT)]]*VATEff,0)</f>
        <v>52800</v>
      </c>
      <c r="M3611" s="5">
        <f>tblSales[[#This Row],[DPP (excl. VAT)]]+tblSales[[#This Row],[Output VAT]]</f>
        <v>532800</v>
      </c>
      <c r="N3611" s="5">
        <f>tblSales[[#This Row],[Qty]]*_xlfn.XLOOKUP(tblSales[[#This Row],[Product Code]],tblProducts[Code],tblProducts[Unit Cost],0)</f>
        <v>288000</v>
      </c>
      <c r="O3611" s="4" t="s">
        <v>4865</v>
      </c>
      <c r="P3611" s="4" t="s">
        <v>4860</v>
      </c>
      <c r="Q3611" s="1" t="str">
        <f>_xlfn.XLOOKUP(tblSales[[#This Row],[Channel Code]],tblChannels[Channel Code],tblChannels[Channel Name],"")</f>
        <v>In-store</v>
      </c>
      <c r="R3611" s="1">
        <f>MONTH(tblSales[[#This Row],[Date]])</f>
        <v>8</v>
      </c>
    </row>
    <row r="3612" spans="2:18" x14ac:dyDescent="0.35">
      <c r="B3612" s="113">
        <v>46237</v>
      </c>
      <c r="C3612" s="4" t="s">
        <v>2418</v>
      </c>
      <c r="D3612" s="4" t="s">
        <v>4568</v>
      </c>
      <c r="E3612" s="1" t="str">
        <f>_xlfn.XLOOKUP(tblSales[[#This Row],[Customer ID]],tblCustomers[Customer ID],tblCustomers[Customer Name],"⚠ Unknown")</f>
        <v>Walk-in Customer</v>
      </c>
      <c r="F3612" s="4" t="s">
        <v>13</v>
      </c>
      <c r="G3612" s="1" t="str">
        <f>_xlfn.XLOOKUP(tblSales[[#This Row],[Product Code]],tblProducts[Code],tblProducts[Product / Service Name],"⚠ Unknown")</f>
        <v>Backpack</v>
      </c>
      <c r="H3612" s="1" t="str">
        <f>_xlfn.XLOOKUP(tblSales[[#This Row],[Product Code]],tblProducts[Code],tblProducts[Category],"")</f>
        <v>Bags &amp; Gadgets</v>
      </c>
      <c r="I3612" s="4">
        <v>5</v>
      </c>
      <c r="J3612" s="5">
        <f>_xlfn.XLOOKUP(tblSales[[#This Row],[Product Code]],tblProducts[Code],tblProducts[Selling Price (excl. VAT)],0)</f>
        <v>500000</v>
      </c>
      <c r="K3612" s="5">
        <f>tblSales[[#This Row],[Qty]]*tblSales[[#This Row],[Unit Price]]</f>
        <v>2500000</v>
      </c>
      <c r="L3612" s="5">
        <f>ROUND(tblSales[[#This Row],[DPP (excl. VAT)]]*VATEff,0)</f>
        <v>275000</v>
      </c>
      <c r="M3612" s="5">
        <f>tblSales[[#This Row],[DPP (excl. VAT)]]+tblSales[[#This Row],[Output VAT]]</f>
        <v>2775000</v>
      </c>
      <c r="N3612" s="5">
        <f>tblSales[[#This Row],[Qty]]*_xlfn.XLOOKUP(tblSales[[#This Row],[Product Code]],tblProducts[Code],tblProducts[Unit Cost],0)</f>
        <v>1450000</v>
      </c>
      <c r="O3612" s="4" t="s">
        <v>4865</v>
      </c>
      <c r="P3612" s="4" t="s">
        <v>4860</v>
      </c>
      <c r="Q3612" s="1" t="str">
        <f>_xlfn.XLOOKUP(tblSales[[#This Row],[Channel Code]],tblChannels[Channel Code],tblChannels[Channel Name],"")</f>
        <v>In-store</v>
      </c>
      <c r="R3612" s="1">
        <f>MONTH(tblSales[[#This Row],[Date]])</f>
        <v>8</v>
      </c>
    </row>
    <row r="3613" spans="2:18" x14ac:dyDescent="0.35">
      <c r="B3613" s="113">
        <v>46237</v>
      </c>
      <c r="C3613" s="4" t="s">
        <v>2418</v>
      </c>
      <c r="D3613" s="4" t="s">
        <v>4568</v>
      </c>
      <c r="E3613" s="1" t="str">
        <f>_xlfn.XLOOKUP(tblSales[[#This Row],[Customer ID]],tblCustomers[Customer ID],tblCustomers[Customer Name],"⚠ Unknown")</f>
        <v>Walk-in Customer</v>
      </c>
      <c r="F3613" s="4" t="s">
        <v>11</v>
      </c>
      <c r="G3613" s="1" t="str">
        <f>_xlfn.XLOOKUP(tblSales[[#This Row],[Product Code]],tblProducts[Code],tblProducts[Product / Service Name],"⚠ Unknown")</f>
        <v>Sneakers</v>
      </c>
      <c r="H3613" s="1" t="str">
        <f>_xlfn.XLOOKUP(tblSales[[#This Row],[Product Code]],tblProducts[Code],tblProducts[Category],"")</f>
        <v>Apparel &amp; Footwear</v>
      </c>
      <c r="I3613" s="4">
        <v>5</v>
      </c>
      <c r="J3613" s="5">
        <f>_xlfn.XLOOKUP(tblSales[[#This Row],[Product Code]],tblProducts[Code],tblProducts[Selling Price (excl. VAT)],0)</f>
        <v>250000</v>
      </c>
      <c r="K3613" s="5">
        <f>tblSales[[#This Row],[Qty]]*tblSales[[#This Row],[Unit Price]]</f>
        <v>1250000</v>
      </c>
      <c r="L3613" s="5">
        <f>ROUND(tblSales[[#This Row],[DPP (excl. VAT)]]*VATEff,0)</f>
        <v>137500</v>
      </c>
      <c r="M3613" s="5">
        <f>tblSales[[#This Row],[DPP (excl. VAT)]]+tblSales[[#This Row],[Output VAT]]</f>
        <v>1387500</v>
      </c>
      <c r="N3613" s="5">
        <f>tblSales[[#This Row],[Qty]]*_xlfn.XLOOKUP(tblSales[[#This Row],[Product Code]],tblProducts[Code],tblProducts[Unit Cost],0)</f>
        <v>775000</v>
      </c>
      <c r="O3613" s="4" t="s">
        <v>4865</v>
      </c>
      <c r="P3613" s="4" t="s">
        <v>4860</v>
      </c>
      <c r="Q3613" s="1" t="str">
        <f>_xlfn.XLOOKUP(tblSales[[#This Row],[Channel Code]],tblChannels[Channel Code],tblChannels[Channel Name],"")</f>
        <v>In-store</v>
      </c>
      <c r="R3613" s="1">
        <f>MONTH(tblSales[[#This Row],[Date]])</f>
        <v>8</v>
      </c>
    </row>
    <row r="3614" spans="2:18" x14ac:dyDescent="0.35">
      <c r="B3614" s="113">
        <v>46237</v>
      </c>
      <c r="C3614" s="4" t="s">
        <v>2419</v>
      </c>
      <c r="D3614" s="4" t="s">
        <v>4568</v>
      </c>
      <c r="E3614" s="1" t="str">
        <f>_xlfn.XLOOKUP(tblSales[[#This Row],[Customer ID]],tblCustomers[Customer ID],tblCustomers[Customer Name],"⚠ Unknown")</f>
        <v>Walk-in Customer</v>
      </c>
      <c r="F3614" s="4" t="s">
        <v>12</v>
      </c>
      <c r="G3614" s="1" t="str">
        <f>_xlfn.XLOOKUP(tblSales[[#This Row],[Product Code]],tblProducts[Code],tblProducts[Product / Service Name],"⚠ Unknown")</f>
        <v>Bomber Jacket</v>
      </c>
      <c r="H3614" s="1" t="str">
        <f>_xlfn.XLOOKUP(tblSales[[#This Row],[Product Code]],tblProducts[Code],tblProducts[Category],"")</f>
        <v>Apparel &amp; Footwear</v>
      </c>
      <c r="I3614" s="4">
        <v>5</v>
      </c>
      <c r="J3614" s="5">
        <f>_xlfn.XLOOKUP(tblSales[[#This Row],[Product Code]],tblProducts[Code],tblProducts[Selling Price (excl. VAT)],0)</f>
        <v>350000</v>
      </c>
      <c r="K3614" s="5">
        <f>tblSales[[#This Row],[Qty]]*tblSales[[#This Row],[Unit Price]]</f>
        <v>1750000</v>
      </c>
      <c r="L3614" s="5">
        <f>ROUND(tblSales[[#This Row],[DPP (excl. VAT)]]*VATEff,0)</f>
        <v>192500</v>
      </c>
      <c r="M3614" s="5">
        <f>tblSales[[#This Row],[DPP (excl. VAT)]]+tblSales[[#This Row],[Output VAT]]</f>
        <v>1942500</v>
      </c>
      <c r="N3614" s="5">
        <f>tblSales[[#This Row],[Qty]]*_xlfn.XLOOKUP(tblSales[[#This Row],[Product Code]],tblProducts[Code],tblProducts[Unit Cost],0)</f>
        <v>1050000</v>
      </c>
      <c r="O3614" s="4" t="s">
        <v>4865</v>
      </c>
      <c r="P3614" s="4" t="s">
        <v>4860</v>
      </c>
      <c r="Q3614" s="1" t="str">
        <f>_xlfn.XLOOKUP(tblSales[[#This Row],[Channel Code]],tblChannels[Channel Code],tblChannels[Channel Name],"")</f>
        <v>In-store</v>
      </c>
      <c r="R3614" s="1">
        <f>MONTH(tblSales[[#This Row],[Date]])</f>
        <v>8</v>
      </c>
    </row>
    <row r="3615" spans="2:18" x14ac:dyDescent="0.35">
      <c r="B3615" s="113">
        <v>46237</v>
      </c>
      <c r="C3615" s="4" t="s">
        <v>2420</v>
      </c>
      <c r="D3615" s="4" t="s">
        <v>4568</v>
      </c>
      <c r="E3615" s="1" t="str">
        <f>_xlfn.XLOOKUP(tblSales[[#This Row],[Customer ID]],tblCustomers[Customer ID],tblCustomers[Customer Name],"⚠ Unknown")</f>
        <v>Walk-in Customer</v>
      </c>
      <c r="F3615" s="4" t="s">
        <v>10</v>
      </c>
      <c r="G3615" s="1" t="str">
        <f>_xlfn.XLOOKUP(tblSales[[#This Row],[Product Code]],tblProducts[Code],tblProducts[Product / Service Name],"⚠ Unknown")</f>
        <v>Chino Pants</v>
      </c>
      <c r="H3615" s="1" t="str">
        <f>_xlfn.XLOOKUP(tblSales[[#This Row],[Product Code]],tblProducts[Code],tblProducts[Category],"")</f>
        <v>Apparel &amp; Footwear</v>
      </c>
      <c r="I3615" s="4">
        <v>12</v>
      </c>
      <c r="J3615" s="5">
        <f>_xlfn.XLOOKUP(tblSales[[#This Row],[Product Code]],tblProducts[Code],tblProducts[Selling Price (excl. VAT)],0)</f>
        <v>150000</v>
      </c>
      <c r="K3615" s="5">
        <f>tblSales[[#This Row],[Qty]]*tblSales[[#This Row],[Unit Price]]</f>
        <v>1800000</v>
      </c>
      <c r="L3615" s="5">
        <f>ROUND(tblSales[[#This Row],[DPP (excl. VAT)]]*VATEff,0)</f>
        <v>198000</v>
      </c>
      <c r="M3615" s="5">
        <f>tblSales[[#This Row],[DPP (excl. VAT)]]+tblSales[[#This Row],[Output VAT]]</f>
        <v>1998000</v>
      </c>
      <c r="N3615" s="5">
        <f>tblSales[[#This Row],[Qty]]*_xlfn.XLOOKUP(tblSales[[#This Row],[Product Code]],tblProducts[Code],tblProducts[Unit Cost],0)</f>
        <v>1056000</v>
      </c>
      <c r="O3615" s="4" t="s">
        <v>4865</v>
      </c>
      <c r="P3615" s="4" t="s">
        <v>4860</v>
      </c>
      <c r="Q3615" s="1" t="str">
        <f>_xlfn.XLOOKUP(tblSales[[#This Row],[Channel Code]],tblChannels[Channel Code],tblChannels[Channel Name],"")</f>
        <v>In-store</v>
      </c>
      <c r="R3615" s="1">
        <f>MONTH(tblSales[[#This Row],[Date]])</f>
        <v>8</v>
      </c>
    </row>
    <row r="3616" spans="2:18" x14ac:dyDescent="0.35">
      <c r="B3616" s="113">
        <v>46237</v>
      </c>
      <c r="C3616" s="4" t="s">
        <v>2421</v>
      </c>
      <c r="D3616" s="4" t="s">
        <v>4568</v>
      </c>
      <c r="E3616" s="1" t="str">
        <f>_xlfn.XLOOKUP(tblSales[[#This Row],[Customer ID]],tblCustomers[Customer ID],tblCustomers[Customer Name],"⚠ Unknown")</f>
        <v>Walk-in Customer</v>
      </c>
      <c r="F3616" s="4" t="s">
        <v>14</v>
      </c>
      <c r="G3616" s="1" t="str">
        <f>_xlfn.XLOOKUP(tblSales[[#This Row],[Product Code]],tblProducts[Code],tblProducts[Product / Service Name],"⚠ Unknown")</f>
        <v>Smartwatch</v>
      </c>
      <c r="H3616" s="1" t="str">
        <f>_xlfn.XLOOKUP(tblSales[[#This Row],[Product Code]],tblProducts[Code],tblProducts[Category],"")</f>
        <v>Bags &amp; Gadgets</v>
      </c>
      <c r="I3616" s="4">
        <v>3</v>
      </c>
      <c r="J3616" s="5">
        <f>_xlfn.XLOOKUP(tblSales[[#This Row],[Product Code]],tblProducts[Code],tblProducts[Selling Price (excl. VAT)],0)</f>
        <v>850000</v>
      </c>
      <c r="K3616" s="5">
        <f>tblSales[[#This Row],[Qty]]*tblSales[[#This Row],[Unit Price]]</f>
        <v>2550000</v>
      </c>
      <c r="L3616" s="5">
        <f>ROUND(tblSales[[#This Row],[DPP (excl. VAT)]]*VATEff,0)</f>
        <v>280500</v>
      </c>
      <c r="M3616" s="5">
        <f>tblSales[[#This Row],[DPP (excl. VAT)]]+tblSales[[#This Row],[Output VAT]]</f>
        <v>2830500</v>
      </c>
      <c r="N3616" s="5">
        <f>tblSales[[#This Row],[Qty]]*_xlfn.XLOOKUP(tblSales[[#This Row],[Product Code]],tblProducts[Code],tblProducts[Unit Cost],0)</f>
        <v>1680000</v>
      </c>
      <c r="O3616" s="4" t="s">
        <v>4866</v>
      </c>
      <c r="P3616" s="4" t="s">
        <v>4862</v>
      </c>
      <c r="Q3616" s="1" t="str">
        <f>_xlfn.XLOOKUP(tblSales[[#This Row],[Channel Code]],tblChannels[Channel Code],tblChannels[Channel Name],"")</f>
        <v>Website &amp; Social Media</v>
      </c>
      <c r="R3616" s="1">
        <f>MONTH(tblSales[[#This Row],[Date]])</f>
        <v>8</v>
      </c>
    </row>
    <row r="3617" spans="2:18" x14ac:dyDescent="0.35">
      <c r="B3617" s="113">
        <v>46237</v>
      </c>
      <c r="C3617" s="4" t="s">
        <v>2421</v>
      </c>
      <c r="D3617" s="4" t="s">
        <v>4568</v>
      </c>
      <c r="E3617" s="1" t="str">
        <f>_xlfn.XLOOKUP(tblSales[[#This Row],[Customer ID]],tblCustomers[Customer ID],tblCustomers[Customer Name],"⚠ Unknown")</f>
        <v>Walk-in Customer</v>
      </c>
      <c r="F3617" s="4" t="s">
        <v>7</v>
      </c>
      <c r="G3617" s="1" t="str">
        <f>_xlfn.XLOOKUP(tblSales[[#This Row],[Product Code]],tblProducts[Code],tblProducts[Product / Service Name],"⚠ Unknown")</f>
        <v>Premium Basic T-shirt</v>
      </c>
      <c r="H3617" s="1" t="str">
        <f>_xlfn.XLOOKUP(tblSales[[#This Row],[Product Code]],tblProducts[Code],tblProducts[Category],"")</f>
        <v>Accessories &amp; Basics</v>
      </c>
      <c r="I3617" s="4">
        <v>2</v>
      </c>
      <c r="J3617" s="5">
        <f>_xlfn.XLOOKUP(tblSales[[#This Row],[Product Code]],tblProducts[Code],tblProducts[Selling Price (excl. VAT)],0)</f>
        <v>65000</v>
      </c>
      <c r="K3617" s="5">
        <f>tblSales[[#This Row],[Qty]]*tblSales[[#This Row],[Unit Price]]</f>
        <v>130000</v>
      </c>
      <c r="L3617" s="5">
        <f>ROUND(tblSales[[#This Row],[DPP (excl. VAT)]]*VATEff,0)</f>
        <v>14300</v>
      </c>
      <c r="M3617" s="5">
        <f>tblSales[[#This Row],[DPP (excl. VAT)]]+tblSales[[#This Row],[Output VAT]]</f>
        <v>144300</v>
      </c>
      <c r="N3617" s="5">
        <f>tblSales[[#This Row],[Qty]]*_xlfn.XLOOKUP(tblSales[[#This Row],[Product Code]],tblProducts[Code],tblProducts[Unit Cost],0)</f>
        <v>74000</v>
      </c>
      <c r="O3617" s="4" t="s">
        <v>4866</v>
      </c>
      <c r="P3617" s="4" t="s">
        <v>4862</v>
      </c>
      <c r="Q3617" s="1" t="str">
        <f>_xlfn.XLOOKUP(tblSales[[#This Row],[Channel Code]],tblChannels[Channel Code],tblChannels[Channel Name],"")</f>
        <v>Website &amp; Social Media</v>
      </c>
      <c r="R3617" s="1">
        <f>MONTH(tblSales[[#This Row],[Date]])</f>
        <v>8</v>
      </c>
    </row>
    <row r="3618" spans="2:18" x14ac:dyDescent="0.35">
      <c r="B3618" s="113">
        <v>46237</v>
      </c>
      <c r="C3618" s="4" t="s">
        <v>2422</v>
      </c>
      <c r="D3618" s="4" t="s">
        <v>4593</v>
      </c>
      <c r="E3618" s="1" t="str">
        <f>_xlfn.XLOOKUP(tblSales[[#This Row],[Customer ID]],tblCustomers[Customer ID],tblCustomers[Customer Name],"⚠ Unknown")</f>
        <v>PT Graha Nusa Persada</v>
      </c>
      <c r="F3618" s="4" t="s">
        <v>13</v>
      </c>
      <c r="G3618" s="1" t="str">
        <f>_xlfn.XLOOKUP(tblSales[[#This Row],[Product Code]],tblProducts[Code],tblProducts[Product / Service Name],"⚠ Unknown")</f>
        <v>Backpack</v>
      </c>
      <c r="H3618" s="1" t="str">
        <f>_xlfn.XLOOKUP(tblSales[[#This Row],[Product Code]],tblProducts[Code],tblProducts[Category],"")</f>
        <v>Bags &amp; Gadgets</v>
      </c>
      <c r="I3618" s="4">
        <v>8</v>
      </c>
      <c r="J3618" s="5">
        <f>_xlfn.XLOOKUP(tblSales[[#This Row],[Product Code]],tblProducts[Code],tblProducts[Selling Price (excl. VAT)],0)</f>
        <v>500000</v>
      </c>
      <c r="K3618" s="5">
        <f>tblSales[[#This Row],[Qty]]*tblSales[[#This Row],[Unit Price]]</f>
        <v>4000000</v>
      </c>
      <c r="L3618" s="5">
        <f>ROUND(tblSales[[#This Row],[DPP (excl. VAT)]]*VATEff,0)</f>
        <v>440000</v>
      </c>
      <c r="M3618" s="5">
        <f>tblSales[[#This Row],[DPP (excl. VAT)]]+tblSales[[#This Row],[Output VAT]]</f>
        <v>4440000</v>
      </c>
      <c r="N3618" s="5">
        <f>tblSales[[#This Row],[Qty]]*_xlfn.XLOOKUP(tblSales[[#This Row],[Product Code]],tblProducts[Code],tblProducts[Unit Cost],0)</f>
        <v>2320000</v>
      </c>
      <c r="O3618" s="4" t="s">
        <v>4867</v>
      </c>
      <c r="P3618" s="4" t="s">
        <v>4860</v>
      </c>
      <c r="Q3618" s="1" t="str">
        <f>_xlfn.XLOOKUP(tblSales[[#This Row],[Channel Code]],tblChannels[Channel Code],tblChannels[Channel Name],"")</f>
        <v>In-store</v>
      </c>
      <c r="R3618" s="1">
        <f>MONTH(tblSales[[#This Row],[Date]])</f>
        <v>8</v>
      </c>
    </row>
    <row r="3619" spans="2:18" x14ac:dyDescent="0.35">
      <c r="B3619" s="113">
        <v>46237</v>
      </c>
      <c r="C3619" s="4" t="s">
        <v>2422</v>
      </c>
      <c r="D3619" s="4" t="s">
        <v>4593</v>
      </c>
      <c r="E3619" s="1" t="str">
        <f>_xlfn.XLOOKUP(tblSales[[#This Row],[Customer ID]],tblCustomers[Customer ID],tblCustomers[Customer Name],"⚠ Unknown")</f>
        <v>PT Graha Nusa Persada</v>
      </c>
      <c r="F3619" s="4" t="s">
        <v>11</v>
      </c>
      <c r="G3619" s="1" t="str">
        <f>_xlfn.XLOOKUP(tblSales[[#This Row],[Product Code]],tblProducts[Code],tblProducts[Product / Service Name],"⚠ Unknown")</f>
        <v>Sneakers</v>
      </c>
      <c r="H3619" s="1" t="str">
        <f>_xlfn.XLOOKUP(tblSales[[#This Row],[Product Code]],tblProducts[Code],tblProducts[Category],"")</f>
        <v>Apparel &amp; Footwear</v>
      </c>
      <c r="I3619" s="4">
        <v>24</v>
      </c>
      <c r="J3619" s="5">
        <f>_xlfn.XLOOKUP(tblSales[[#This Row],[Product Code]],tblProducts[Code],tblProducts[Selling Price (excl. VAT)],0)</f>
        <v>250000</v>
      </c>
      <c r="K3619" s="5">
        <f>tblSales[[#This Row],[Qty]]*tblSales[[#This Row],[Unit Price]]</f>
        <v>6000000</v>
      </c>
      <c r="L3619" s="5">
        <f>ROUND(tblSales[[#This Row],[DPP (excl. VAT)]]*VATEff,0)</f>
        <v>660000</v>
      </c>
      <c r="M3619" s="5">
        <f>tblSales[[#This Row],[DPP (excl. VAT)]]+tblSales[[#This Row],[Output VAT]]</f>
        <v>6660000</v>
      </c>
      <c r="N3619" s="5">
        <f>tblSales[[#This Row],[Qty]]*_xlfn.XLOOKUP(tblSales[[#This Row],[Product Code]],tblProducts[Code],tblProducts[Unit Cost],0)</f>
        <v>3720000</v>
      </c>
      <c r="O3619" s="4" t="s">
        <v>4867</v>
      </c>
      <c r="P3619" s="4" t="s">
        <v>4860</v>
      </c>
      <c r="Q3619" s="1" t="str">
        <f>_xlfn.XLOOKUP(tblSales[[#This Row],[Channel Code]],tblChannels[Channel Code],tblChannels[Channel Name],"")</f>
        <v>In-store</v>
      </c>
      <c r="R3619" s="1">
        <f>MONTH(tblSales[[#This Row],[Date]])</f>
        <v>8</v>
      </c>
    </row>
    <row r="3620" spans="2:18" x14ac:dyDescent="0.35">
      <c r="B3620" s="113">
        <v>46237</v>
      </c>
      <c r="C3620" s="4" t="s">
        <v>2422</v>
      </c>
      <c r="D3620" s="4" t="s">
        <v>4593</v>
      </c>
      <c r="E3620" s="1" t="str">
        <f>_xlfn.XLOOKUP(tblSales[[#This Row],[Customer ID]],tblCustomers[Customer ID],tblCustomers[Customer Name],"⚠ Unknown")</f>
        <v>PT Graha Nusa Persada</v>
      </c>
      <c r="F3620" s="4" t="s">
        <v>6</v>
      </c>
      <c r="G3620" s="1" t="str">
        <f>_xlfn.XLOOKUP(tblSales[[#This Row],[Product Code]],tblProducts[Code],tblProducts[Product / Service Name],"⚠ Unknown")</f>
        <v>Socks &amp; Accessories</v>
      </c>
      <c r="H3620" s="1" t="str">
        <f>_xlfn.XLOOKUP(tblSales[[#This Row],[Product Code]],tblProducts[Code],tblProducts[Category],"")</f>
        <v>Accessories &amp; Basics</v>
      </c>
      <c r="I3620" s="4">
        <v>72</v>
      </c>
      <c r="J3620" s="5">
        <f>_xlfn.XLOOKUP(tblSales[[#This Row],[Product Code]],tblProducts[Code],tblProducts[Selling Price (excl. VAT)],0)</f>
        <v>45000</v>
      </c>
      <c r="K3620" s="5">
        <f>tblSales[[#This Row],[Qty]]*tblSales[[#This Row],[Unit Price]]</f>
        <v>3240000</v>
      </c>
      <c r="L3620" s="5">
        <f>ROUND(tblSales[[#This Row],[DPP (excl. VAT)]]*VATEff,0)</f>
        <v>356400</v>
      </c>
      <c r="M3620" s="5">
        <f>tblSales[[#This Row],[DPP (excl. VAT)]]+tblSales[[#This Row],[Output VAT]]</f>
        <v>3596400</v>
      </c>
      <c r="N3620" s="5">
        <f>tblSales[[#This Row],[Qty]]*_xlfn.XLOOKUP(tblSales[[#This Row],[Product Code]],tblProducts[Code],tblProducts[Unit Cost],0)</f>
        <v>1728000</v>
      </c>
      <c r="O3620" s="4" t="s">
        <v>4867</v>
      </c>
      <c r="P3620" s="4" t="s">
        <v>4860</v>
      </c>
      <c r="Q3620" s="1" t="str">
        <f>_xlfn.XLOOKUP(tblSales[[#This Row],[Channel Code]],tblChannels[Channel Code],tblChannels[Channel Name],"")</f>
        <v>In-store</v>
      </c>
      <c r="R3620" s="1">
        <f>MONTH(tblSales[[#This Row],[Date]])</f>
        <v>8</v>
      </c>
    </row>
    <row r="3621" spans="2:18" x14ac:dyDescent="0.35">
      <c r="B3621" s="113">
        <v>46237</v>
      </c>
      <c r="C3621" s="4" t="s">
        <v>2423</v>
      </c>
      <c r="D3621" s="4" t="s">
        <v>4568</v>
      </c>
      <c r="E3621" s="1" t="str">
        <f>_xlfn.XLOOKUP(tblSales[[#This Row],[Customer ID]],tblCustomers[Customer ID],tblCustomers[Customer Name],"⚠ Unknown")</f>
        <v>Walk-in Customer</v>
      </c>
      <c r="F3621" s="4" t="s">
        <v>9</v>
      </c>
      <c r="G3621" s="1" t="str">
        <f>_xlfn.XLOOKUP(tblSales[[#This Row],[Product Code]],tblProducts[Code],tblProducts[Product / Service Name],"⚠ Unknown")</f>
        <v>Casual Shirt</v>
      </c>
      <c r="H3621" s="1" t="str">
        <f>_xlfn.XLOOKUP(tblSales[[#This Row],[Product Code]],tblProducts[Code],tblProducts[Category],"")</f>
        <v>Apparel &amp; Footwear</v>
      </c>
      <c r="I3621" s="4">
        <v>5</v>
      </c>
      <c r="J3621" s="5">
        <f>_xlfn.XLOOKUP(tblSales[[#This Row],[Product Code]],tblProducts[Code],tblProducts[Selling Price (excl. VAT)],0)</f>
        <v>120000</v>
      </c>
      <c r="K3621" s="5">
        <f>tblSales[[#This Row],[Qty]]*tblSales[[#This Row],[Unit Price]]</f>
        <v>600000</v>
      </c>
      <c r="L3621" s="5">
        <f>ROUND(tblSales[[#This Row],[DPP (excl. VAT)]]*VATEff,0)</f>
        <v>66000</v>
      </c>
      <c r="M3621" s="5">
        <f>tblSales[[#This Row],[DPP (excl. VAT)]]+tblSales[[#This Row],[Output VAT]]</f>
        <v>666000</v>
      </c>
      <c r="N3621" s="5">
        <f>tblSales[[#This Row],[Qty]]*_xlfn.XLOOKUP(tblSales[[#This Row],[Product Code]],tblProducts[Code],tblProducts[Unit Cost],0)</f>
        <v>360000</v>
      </c>
      <c r="O3621" s="4" t="s">
        <v>4866</v>
      </c>
      <c r="P3621" s="4" t="s">
        <v>4860</v>
      </c>
      <c r="Q3621" s="1" t="str">
        <f>_xlfn.XLOOKUP(tblSales[[#This Row],[Channel Code]],tblChannels[Channel Code],tblChannels[Channel Name],"")</f>
        <v>In-store</v>
      </c>
      <c r="R3621" s="1">
        <f>MONTH(tblSales[[#This Row],[Date]])</f>
        <v>8</v>
      </c>
    </row>
    <row r="3622" spans="2:18" x14ac:dyDescent="0.35">
      <c r="B3622" s="113">
        <v>46237</v>
      </c>
      <c r="C3622" s="4" t="s">
        <v>2423</v>
      </c>
      <c r="D3622" s="4" t="s">
        <v>4568</v>
      </c>
      <c r="E3622" s="1" t="str">
        <f>_xlfn.XLOOKUP(tblSales[[#This Row],[Customer ID]],tblCustomers[Customer ID],tblCustomers[Customer Name],"⚠ Unknown")</f>
        <v>Walk-in Customer</v>
      </c>
      <c r="F3622" s="4" t="s">
        <v>6</v>
      </c>
      <c r="G3622" s="1" t="str">
        <f>_xlfn.XLOOKUP(tblSales[[#This Row],[Product Code]],tblProducts[Code],tblProducts[Product / Service Name],"⚠ Unknown")</f>
        <v>Socks &amp; Accessories</v>
      </c>
      <c r="H3622" s="1" t="str">
        <f>_xlfn.XLOOKUP(tblSales[[#This Row],[Product Code]],tblProducts[Code],tblProducts[Category],"")</f>
        <v>Accessories &amp; Basics</v>
      </c>
      <c r="I3622" s="4">
        <v>7</v>
      </c>
      <c r="J3622" s="5">
        <f>_xlfn.XLOOKUP(tblSales[[#This Row],[Product Code]],tblProducts[Code],tblProducts[Selling Price (excl. VAT)],0)</f>
        <v>45000</v>
      </c>
      <c r="K3622" s="5">
        <f>tblSales[[#This Row],[Qty]]*tblSales[[#This Row],[Unit Price]]</f>
        <v>315000</v>
      </c>
      <c r="L3622" s="5">
        <f>ROUND(tblSales[[#This Row],[DPP (excl. VAT)]]*VATEff,0)</f>
        <v>34650</v>
      </c>
      <c r="M3622" s="5">
        <f>tblSales[[#This Row],[DPP (excl. VAT)]]+tblSales[[#This Row],[Output VAT]]</f>
        <v>349650</v>
      </c>
      <c r="N3622" s="5">
        <f>tblSales[[#This Row],[Qty]]*_xlfn.XLOOKUP(tblSales[[#This Row],[Product Code]],tblProducts[Code],tblProducts[Unit Cost],0)</f>
        <v>168000</v>
      </c>
      <c r="O3622" s="4" t="s">
        <v>4866</v>
      </c>
      <c r="P3622" s="4" t="s">
        <v>4860</v>
      </c>
      <c r="Q3622" s="1" t="str">
        <f>_xlfn.XLOOKUP(tblSales[[#This Row],[Channel Code]],tblChannels[Channel Code],tblChannels[Channel Name],"")</f>
        <v>In-store</v>
      </c>
      <c r="R3622" s="1">
        <f>MONTH(tblSales[[#This Row],[Date]])</f>
        <v>8</v>
      </c>
    </row>
    <row r="3623" spans="2:18" x14ac:dyDescent="0.35">
      <c r="B3623" s="113">
        <v>46237</v>
      </c>
      <c r="C3623" s="4" t="s">
        <v>2423</v>
      </c>
      <c r="D3623" s="4" t="s">
        <v>4568</v>
      </c>
      <c r="E3623" s="1" t="str">
        <f>_xlfn.XLOOKUP(tblSales[[#This Row],[Customer ID]],tblCustomers[Customer ID],tblCustomers[Customer Name],"⚠ Unknown")</f>
        <v>Walk-in Customer</v>
      </c>
      <c r="F3623" s="4" t="s">
        <v>7</v>
      </c>
      <c r="G3623" s="1" t="str">
        <f>_xlfn.XLOOKUP(tblSales[[#This Row],[Product Code]],tblProducts[Code],tblProducts[Product / Service Name],"⚠ Unknown")</f>
        <v>Premium Basic T-shirt</v>
      </c>
      <c r="H3623" s="1" t="str">
        <f>_xlfn.XLOOKUP(tblSales[[#This Row],[Product Code]],tblProducts[Code],tblProducts[Category],"")</f>
        <v>Accessories &amp; Basics</v>
      </c>
      <c r="I3623" s="4">
        <v>5</v>
      </c>
      <c r="J3623" s="5">
        <f>_xlfn.XLOOKUP(tblSales[[#This Row],[Product Code]],tblProducts[Code],tblProducts[Selling Price (excl. VAT)],0)</f>
        <v>65000</v>
      </c>
      <c r="K3623" s="5">
        <f>tblSales[[#This Row],[Qty]]*tblSales[[#This Row],[Unit Price]]</f>
        <v>325000</v>
      </c>
      <c r="L3623" s="5">
        <f>ROUND(tblSales[[#This Row],[DPP (excl. VAT)]]*VATEff,0)</f>
        <v>35750</v>
      </c>
      <c r="M3623" s="5">
        <f>tblSales[[#This Row],[DPP (excl. VAT)]]+tblSales[[#This Row],[Output VAT]]</f>
        <v>360750</v>
      </c>
      <c r="N3623" s="5">
        <f>tblSales[[#This Row],[Qty]]*_xlfn.XLOOKUP(tblSales[[#This Row],[Product Code]],tblProducts[Code],tblProducts[Unit Cost],0)</f>
        <v>185000</v>
      </c>
      <c r="O3623" s="4" t="s">
        <v>4866</v>
      </c>
      <c r="P3623" s="4" t="s">
        <v>4860</v>
      </c>
      <c r="Q3623" s="1" t="str">
        <f>_xlfn.XLOOKUP(tblSales[[#This Row],[Channel Code]],tblChannels[Channel Code],tblChannels[Channel Name],"")</f>
        <v>In-store</v>
      </c>
      <c r="R3623" s="1">
        <f>MONTH(tblSales[[#This Row],[Date]])</f>
        <v>8</v>
      </c>
    </row>
    <row r="3624" spans="2:18" x14ac:dyDescent="0.35">
      <c r="B3624" s="113">
        <v>46237</v>
      </c>
      <c r="C3624" s="4" t="s">
        <v>2424</v>
      </c>
      <c r="D3624" s="4" t="s">
        <v>4572</v>
      </c>
      <c r="E3624" s="1" t="str">
        <f>_xlfn.XLOOKUP(tblSales[[#This Row],[Customer ID]],tblCustomers[Customer ID],tblCustomers[Customer Name],"⚠ Unknown")</f>
        <v>PT Cahaya Abadi Makmur</v>
      </c>
      <c r="F3624" s="4" t="s">
        <v>8</v>
      </c>
      <c r="G3624" s="1" t="str">
        <f>_xlfn.XLOOKUP(tblSales[[#This Row],[Product Code]],tblProducts[Code],tblProducts[Product / Service Name],"⚠ Unknown")</f>
        <v>Casual Shorts</v>
      </c>
      <c r="H3624" s="1" t="str">
        <f>_xlfn.XLOOKUP(tblSales[[#This Row],[Product Code]],tblProducts[Code],tblProducts[Category],"")</f>
        <v>Accessories &amp; Basics</v>
      </c>
      <c r="I3624" s="4">
        <v>64</v>
      </c>
      <c r="J3624" s="5">
        <f>_xlfn.XLOOKUP(tblSales[[#This Row],[Product Code]],tblProducts[Code],tblProducts[Selling Price (excl. VAT)],0)</f>
        <v>85000</v>
      </c>
      <c r="K3624" s="5">
        <f>tblSales[[#This Row],[Qty]]*tblSales[[#This Row],[Unit Price]]</f>
        <v>5440000</v>
      </c>
      <c r="L3624" s="5">
        <f>ROUND(tblSales[[#This Row],[DPP (excl. VAT)]]*VATEff,0)</f>
        <v>598400</v>
      </c>
      <c r="M3624" s="5">
        <f>tblSales[[#This Row],[DPP (excl. VAT)]]+tblSales[[#This Row],[Output VAT]]</f>
        <v>6038400</v>
      </c>
      <c r="N3624" s="5">
        <f>tblSales[[#This Row],[Qty]]*_xlfn.XLOOKUP(tblSales[[#This Row],[Product Code]],tblProducts[Code],tblProducts[Unit Cost],0)</f>
        <v>3200000</v>
      </c>
      <c r="O3624" s="4" t="s">
        <v>4867</v>
      </c>
      <c r="P3624" s="4" t="s">
        <v>4860</v>
      </c>
      <c r="Q3624" s="1" t="str">
        <f>_xlfn.XLOOKUP(tblSales[[#This Row],[Channel Code]],tblChannels[Channel Code],tblChannels[Channel Name],"")</f>
        <v>In-store</v>
      </c>
      <c r="R3624" s="1">
        <f>MONTH(tblSales[[#This Row],[Date]])</f>
        <v>8</v>
      </c>
    </row>
    <row r="3625" spans="2:18" x14ac:dyDescent="0.35">
      <c r="B3625" s="113">
        <v>46237</v>
      </c>
      <c r="C3625" s="4" t="s">
        <v>2424</v>
      </c>
      <c r="D3625" s="4" t="s">
        <v>4572</v>
      </c>
      <c r="E3625" s="1" t="str">
        <f>_xlfn.XLOOKUP(tblSales[[#This Row],[Customer ID]],tblCustomers[Customer ID],tblCustomers[Customer Name],"⚠ Unknown")</f>
        <v>PT Cahaya Abadi Makmur</v>
      </c>
      <c r="F3625" s="4" t="s">
        <v>7</v>
      </c>
      <c r="G3625" s="1" t="str">
        <f>_xlfn.XLOOKUP(tblSales[[#This Row],[Product Code]],tblProducts[Code],tblProducts[Product / Service Name],"⚠ Unknown")</f>
        <v>Premium Basic T-shirt</v>
      </c>
      <c r="H3625" s="1" t="str">
        <f>_xlfn.XLOOKUP(tblSales[[#This Row],[Product Code]],tblProducts[Code],tblProducts[Category],"")</f>
        <v>Accessories &amp; Basics</v>
      </c>
      <c r="I3625" s="4">
        <v>64</v>
      </c>
      <c r="J3625" s="5">
        <f>_xlfn.XLOOKUP(tblSales[[#This Row],[Product Code]],tblProducts[Code],tblProducts[Selling Price (excl. VAT)],0)</f>
        <v>65000</v>
      </c>
      <c r="K3625" s="5">
        <f>tblSales[[#This Row],[Qty]]*tblSales[[#This Row],[Unit Price]]</f>
        <v>4160000</v>
      </c>
      <c r="L3625" s="5">
        <f>ROUND(tblSales[[#This Row],[DPP (excl. VAT)]]*VATEff,0)</f>
        <v>457600</v>
      </c>
      <c r="M3625" s="5">
        <f>tblSales[[#This Row],[DPP (excl. VAT)]]+tblSales[[#This Row],[Output VAT]]</f>
        <v>4617600</v>
      </c>
      <c r="N3625" s="5">
        <f>tblSales[[#This Row],[Qty]]*_xlfn.XLOOKUP(tblSales[[#This Row],[Product Code]],tblProducts[Code],tblProducts[Unit Cost],0)</f>
        <v>2368000</v>
      </c>
      <c r="O3625" s="4" t="s">
        <v>4867</v>
      </c>
      <c r="P3625" s="4" t="s">
        <v>4860</v>
      </c>
      <c r="Q3625" s="1" t="str">
        <f>_xlfn.XLOOKUP(tblSales[[#This Row],[Channel Code]],tblChannels[Channel Code],tblChannels[Channel Name],"")</f>
        <v>In-store</v>
      </c>
      <c r="R3625" s="1">
        <f>MONTH(tblSales[[#This Row],[Date]])</f>
        <v>8</v>
      </c>
    </row>
    <row r="3626" spans="2:18" x14ac:dyDescent="0.35">
      <c r="B3626" s="113">
        <v>46238</v>
      </c>
      <c r="C3626" s="4" t="s">
        <v>2425</v>
      </c>
      <c r="D3626" s="4" t="s">
        <v>4568</v>
      </c>
      <c r="E3626" s="1" t="str">
        <f>_xlfn.XLOOKUP(tblSales[[#This Row],[Customer ID]],tblCustomers[Customer ID],tblCustomers[Customer Name],"⚠ Unknown")</f>
        <v>Walk-in Customer</v>
      </c>
      <c r="F3626" s="4" t="s">
        <v>6</v>
      </c>
      <c r="G3626" s="1" t="str">
        <f>_xlfn.XLOOKUP(tblSales[[#This Row],[Product Code]],tblProducts[Code],tblProducts[Product / Service Name],"⚠ Unknown")</f>
        <v>Socks &amp; Accessories</v>
      </c>
      <c r="H3626" s="1" t="str">
        <f>_xlfn.XLOOKUP(tblSales[[#This Row],[Product Code]],tblProducts[Code],tblProducts[Category],"")</f>
        <v>Accessories &amp; Basics</v>
      </c>
      <c r="I3626" s="4">
        <v>7</v>
      </c>
      <c r="J3626" s="5">
        <f>_xlfn.XLOOKUP(tblSales[[#This Row],[Product Code]],tblProducts[Code],tblProducts[Selling Price (excl. VAT)],0)</f>
        <v>45000</v>
      </c>
      <c r="K3626" s="5">
        <f>tblSales[[#This Row],[Qty]]*tblSales[[#This Row],[Unit Price]]</f>
        <v>315000</v>
      </c>
      <c r="L3626" s="5">
        <f>ROUND(tblSales[[#This Row],[DPP (excl. VAT)]]*VATEff,0)</f>
        <v>34650</v>
      </c>
      <c r="M3626" s="5">
        <f>tblSales[[#This Row],[DPP (excl. VAT)]]+tblSales[[#This Row],[Output VAT]]</f>
        <v>349650</v>
      </c>
      <c r="N3626" s="5">
        <f>tblSales[[#This Row],[Qty]]*_xlfn.XLOOKUP(tblSales[[#This Row],[Product Code]],tblProducts[Code],tblProducts[Unit Cost],0)</f>
        <v>168000</v>
      </c>
      <c r="O3626" s="4" t="s">
        <v>4865</v>
      </c>
      <c r="P3626" s="4" t="s">
        <v>4860</v>
      </c>
      <c r="Q3626" s="1" t="str">
        <f>_xlfn.XLOOKUP(tblSales[[#This Row],[Channel Code]],tblChannels[Channel Code],tblChannels[Channel Name],"")</f>
        <v>In-store</v>
      </c>
      <c r="R3626" s="1">
        <f>MONTH(tblSales[[#This Row],[Date]])</f>
        <v>8</v>
      </c>
    </row>
    <row r="3627" spans="2:18" x14ac:dyDescent="0.35">
      <c r="B3627" s="113">
        <v>46238</v>
      </c>
      <c r="C3627" s="4" t="s">
        <v>2426</v>
      </c>
      <c r="D3627" s="4" t="s">
        <v>4568</v>
      </c>
      <c r="E3627" s="1" t="str">
        <f>_xlfn.XLOOKUP(tblSales[[#This Row],[Customer ID]],tblCustomers[Customer ID],tblCustomers[Customer Name],"⚠ Unknown")</f>
        <v>Walk-in Customer</v>
      </c>
      <c r="F3627" s="4" t="s">
        <v>8</v>
      </c>
      <c r="G3627" s="1" t="str">
        <f>_xlfn.XLOOKUP(tblSales[[#This Row],[Product Code]],tblProducts[Code],tblProducts[Product / Service Name],"⚠ Unknown")</f>
        <v>Casual Shorts</v>
      </c>
      <c r="H3627" s="1" t="str">
        <f>_xlfn.XLOOKUP(tblSales[[#This Row],[Product Code]],tblProducts[Code],tblProducts[Category],"")</f>
        <v>Accessories &amp; Basics</v>
      </c>
      <c r="I3627" s="4">
        <v>8</v>
      </c>
      <c r="J3627" s="5">
        <f>_xlfn.XLOOKUP(tblSales[[#This Row],[Product Code]],tblProducts[Code],tblProducts[Selling Price (excl. VAT)],0)</f>
        <v>85000</v>
      </c>
      <c r="K3627" s="5">
        <f>tblSales[[#This Row],[Qty]]*tblSales[[#This Row],[Unit Price]]</f>
        <v>680000</v>
      </c>
      <c r="L3627" s="5">
        <f>ROUND(tblSales[[#This Row],[DPP (excl. VAT)]]*VATEff,0)</f>
        <v>74800</v>
      </c>
      <c r="M3627" s="5">
        <f>tblSales[[#This Row],[DPP (excl. VAT)]]+tblSales[[#This Row],[Output VAT]]</f>
        <v>754800</v>
      </c>
      <c r="N3627" s="5">
        <f>tblSales[[#This Row],[Qty]]*_xlfn.XLOOKUP(tblSales[[#This Row],[Product Code]],tblProducts[Code],tblProducts[Unit Cost],0)</f>
        <v>400000</v>
      </c>
      <c r="O3627" s="4" t="s">
        <v>4865</v>
      </c>
      <c r="P3627" s="4" t="s">
        <v>4860</v>
      </c>
      <c r="Q3627" s="1" t="str">
        <f>_xlfn.XLOOKUP(tblSales[[#This Row],[Channel Code]],tblChannels[Channel Code],tblChannels[Channel Name],"")</f>
        <v>In-store</v>
      </c>
      <c r="R3627" s="1">
        <f>MONTH(tblSales[[#This Row],[Date]])</f>
        <v>8</v>
      </c>
    </row>
    <row r="3628" spans="2:18" x14ac:dyDescent="0.35">
      <c r="B3628" s="113">
        <v>46238</v>
      </c>
      <c r="C3628" s="4" t="s">
        <v>2427</v>
      </c>
      <c r="D3628" s="4" t="s">
        <v>4620</v>
      </c>
      <c r="E3628" s="1" t="str">
        <f>_xlfn.XLOOKUP(tblSales[[#This Row],[Customer ID]],tblCustomers[Customer ID],tblCustomers[Customer Name],"⚠ Unknown")</f>
        <v>CV Sumber Rejeki Utama</v>
      </c>
      <c r="F3628" s="4" t="s">
        <v>10</v>
      </c>
      <c r="G3628" s="1" t="str">
        <f>_xlfn.XLOOKUP(tblSales[[#This Row],[Product Code]],tblProducts[Code],tblProducts[Product / Service Name],"⚠ Unknown")</f>
        <v>Chino Pants</v>
      </c>
      <c r="H3628" s="1" t="str">
        <f>_xlfn.XLOOKUP(tblSales[[#This Row],[Product Code]],tblProducts[Code],tblProducts[Category],"")</f>
        <v>Apparel &amp; Footwear</v>
      </c>
      <c r="I3628" s="4">
        <v>32</v>
      </c>
      <c r="J3628" s="5">
        <f>_xlfn.XLOOKUP(tblSales[[#This Row],[Product Code]],tblProducts[Code],tblProducts[Selling Price (excl. VAT)],0)</f>
        <v>150000</v>
      </c>
      <c r="K3628" s="5">
        <f>tblSales[[#This Row],[Qty]]*tblSales[[#This Row],[Unit Price]]</f>
        <v>4800000</v>
      </c>
      <c r="L3628" s="5">
        <f>ROUND(tblSales[[#This Row],[DPP (excl. VAT)]]*VATEff,0)</f>
        <v>528000</v>
      </c>
      <c r="M3628" s="5">
        <f>tblSales[[#This Row],[DPP (excl. VAT)]]+tblSales[[#This Row],[Output VAT]]</f>
        <v>5328000</v>
      </c>
      <c r="N3628" s="5">
        <f>tblSales[[#This Row],[Qty]]*_xlfn.XLOOKUP(tblSales[[#This Row],[Product Code]],tblProducts[Code],tblProducts[Unit Cost],0)</f>
        <v>2816000</v>
      </c>
      <c r="O3628" s="4" t="s">
        <v>4867</v>
      </c>
      <c r="P3628" s="4" t="s">
        <v>4862</v>
      </c>
      <c r="Q3628" s="1" t="str">
        <f>_xlfn.XLOOKUP(tblSales[[#This Row],[Channel Code]],tblChannels[Channel Code],tblChannels[Channel Name],"")</f>
        <v>Website &amp; Social Media</v>
      </c>
      <c r="R3628" s="1">
        <f>MONTH(tblSales[[#This Row],[Date]])</f>
        <v>8</v>
      </c>
    </row>
    <row r="3629" spans="2:18" x14ac:dyDescent="0.35">
      <c r="B3629" s="113">
        <v>46238</v>
      </c>
      <c r="C3629" s="4" t="s">
        <v>2427</v>
      </c>
      <c r="D3629" s="4" t="s">
        <v>4620</v>
      </c>
      <c r="E3629" s="1" t="str">
        <f>_xlfn.XLOOKUP(tblSales[[#This Row],[Customer ID]],tblCustomers[Customer ID],tblCustomers[Customer Name],"⚠ Unknown")</f>
        <v>CV Sumber Rejeki Utama</v>
      </c>
      <c r="F3629" s="4" t="s">
        <v>11</v>
      </c>
      <c r="G3629" s="1" t="str">
        <f>_xlfn.XLOOKUP(tblSales[[#This Row],[Product Code]],tblProducts[Code],tblProducts[Product / Service Name],"⚠ Unknown")</f>
        <v>Sneakers</v>
      </c>
      <c r="H3629" s="1" t="str">
        <f>_xlfn.XLOOKUP(tblSales[[#This Row],[Product Code]],tblProducts[Code],tblProducts[Category],"")</f>
        <v>Apparel &amp; Footwear</v>
      </c>
      <c r="I3629" s="4">
        <v>16</v>
      </c>
      <c r="J3629" s="5">
        <f>_xlfn.XLOOKUP(tblSales[[#This Row],[Product Code]],tblProducts[Code],tblProducts[Selling Price (excl. VAT)],0)</f>
        <v>250000</v>
      </c>
      <c r="K3629" s="5">
        <f>tblSales[[#This Row],[Qty]]*tblSales[[#This Row],[Unit Price]]</f>
        <v>4000000</v>
      </c>
      <c r="L3629" s="5">
        <f>ROUND(tblSales[[#This Row],[DPP (excl. VAT)]]*VATEff,0)</f>
        <v>440000</v>
      </c>
      <c r="M3629" s="5">
        <f>tblSales[[#This Row],[DPP (excl. VAT)]]+tblSales[[#This Row],[Output VAT]]</f>
        <v>4440000</v>
      </c>
      <c r="N3629" s="5">
        <f>tblSales[[#This Row],[Qty]]*_xlfn.XLOOKUP(tblSales[[#This Row],[Product Code]],tblProducts[Code],tblProducts[Unit Cost],0)</f>
        <v>2480000</v>
      </c>
      <c r="O3629" s="4" t="s">
        <v>4867</v>
      </c>
      <c r="P3629" s="4" t="s">
        <v>4862</v>
      </c>
      <c r="Q3629" s="1" t="str">
        <f>_xlfn.XLOOKUP(tblSales[[#This Row],[Channel Code]],tblChannels[Channel Code],tblChannels[Channel Name],"")</f>
        <v>Website &amp; Social Media</v>
      </c>
      <c r="R3629" s="1">
        <f>MONTH(tblSales[[#This Row],[Date]])</f>
        <v>8</v>
      </c>
    </row>
    <row r="3630" spans="2:18" x14ac:dyDescent="0.35">
      <c r="B3630" s="113">
        <v>46238</v>
      </c>
      <c r="C3630" s="4" t="s">
        <v>2428</v>
      </c>
      <c r="D3630" s="4" t="s">
        <v>4568</v>
      </c>
      <c r="E3630" s="1" t="str">
        <f>_xlfn.XLOOKUP(tblSales[[#This Row],[Customer ID]],tblCustomers[Customer ID],tblCustomers[Customer Name],"⚠ Unknown")</f>
        <v>Walk-in Customer</v>
      </c>
      <c r="F3630" s="4" t="s">
        <v>8</v>
      </c>
      <c r="G3630" s="1" t="str">
        <f>_xlfn.XLOOKUP(tblSales[[#This Row],[Product Code]],tblProducts[Code],tblProducts[Product / Service Name],"⚠ Unknown")</f>
        <v>Casual Shorts</v>
      </c>
      <c r="H3630" s="1" t="str">
        <f>_xlfn.XLOOKUP(tblSales[[#This Row],[Product Code]],tblProducts[Code],tblProducts[Category],"")</f>
        <v>Accessories &amp; Basics</v>
      </c>
      <c r="I3630" s="4">
        <v>11</v>
      </c>
      <c r="J3630" s="5">
        <f>_xlfn.XLOOKUP(tblSales[[#This Row],[Product Code]],tblProducts[Code],tblProducts[Selling Price (excl. VAT)],0)</f>
        <v>85000</v>
      </c>
      <c r="K3630" s="5">
        <f>tblSales[[#This Row],[Qty]]*tblSales[[#This Row],[Unit Price]]</f>
        <v>935000</v>
      </c>
      <c r="L3630" s="5">
        <f>ROUND(tblSales[[#This Row],[DPP (excl. VAT)]]*VATEff,0)</f>
        <v>102850</v>
      </c>
      <c r="M3630" s="5">
        <f>tblSales[[#This Row],[DPP (excl. VAT)]]+tblSales[[#This Row],[Output VAT]]</f>
        <v>1037850</v>
      </c>
      <c r="N3630" s="5">
        <f>tblSales[[#This Row],[Qty]]*_xlfn.XLOOKUP(tblSales[[#This Row],[Product Code]],tblProducts[Code],tblProducts[Unit Cost],0)</f>
        <v>550000</v>
      </c>
      <c r="O3630" s="4" t="s">
        <v>4866</v>
      </c>
      <c r="P3630" s="4" t="s">
        <v>4861</v>
      </c>
      <c r="Q3630" s="1" t="str">
        <f>_xlfn.XLOOKUP(tblSales[[#This Row],[Channel Code]],tblChannels[Channel Code],tblChannels[Channel Name],"")</f>
        <v>Marketplace</v>
      </c>
      <c r="R3630" s="1">
        <f>MONTH(tblSales[[#This Row],[Date]])</f>
        <v>8</v>
      </c>
    </row>
    <row r="3631" spans="2:18" x14ac:dyDescent="0.35">
      <c r="B3631" s="113">
        <v>46238</v>
      </c>
      <c r="C3631" s="4" t="s">
        <v>2428</v>
      </c>
      <c r="D3631" s="4" t="s">
        <v>4568</v>
      </c>
      <c r="E3631" s="1" t="str">
        <f>_xlfn.XLOOKUP(tblSales[[#This Row],[Customer ID]],tblCustomers[Customer ID],tblCustomers[Customer Name],"⚠ Unknown")</f>
        <v>Walk-in Customer</v>
      </c>
      <c r="F3631" s="4" t="s">
        <v>14</v>
      </c>
      <c r="G3631" s="1" t="str">
        <f>_xlfn.XLOOKUP(tblSales[[#This Row],[Product Code]],tblProducts[Code],tblProducts[Product / Service Name],"⚠ Unknown")</f>
        <v>Smartwatch</v>
      </c>
      <c r="H3631" s="1" t="str">
        <f>_xlfn.XLOOKUP(tblSales[[#This Row],[Product Code]],tblProducts[Code],tblProducts[Category],"")</f>
        <v>Bags &amp; Gadgets</v>
      </c>
      <c r="I3631" s="4">
        <v>3</v>
      </c>
      <c r="J3631" s="5">
        <f>_xlfn.XLOOKUP(tblSales[[#This Row],[Product Code]],tblProducts[Code],tblProducts[Selling Price (excl. VAT)],0)</f>
        <v>850000</v>
      </c>
      <c r="K3631" s="5">
        <f>tblSales[[#This Row],[Qty]]*tblSales[[#This Row],[Unit Price]]</f>
        <v>2550000</v>
      </c>
      <c r="L3631" s="5">
        <f>ROUND(tblSales[[#This Row],[DPP (excl. VAT)]]*VATEff,0)</f>
        <v>280500</v>
      </c>
      <c r="M3631" s="5">
        <f>tblSales[[#This Row],[DPP (excl. VAT)]]+tblSales[[#This Row],[Output VAT]]</f>
        <v>2830500</v>
      </c>
      <c r="N3631" s="5">
        <f>tblSales[[#This Row],[Qty]]*_xlfn.XLOOKUP(tblSales[[#This Row],[Product Code]],tblProducts[Code],tblProducts[Unit Cost],0)</f>
        <v>1680000</v>
      </c>
      <c r="O3631" s="4" t="s">
        <v>4866</v>
      </c>
      <c r="P3631" s="4" t="s">
        <v>4861</v>
      </c>
      <c r="Q3631" s="1" t="str">
        <f>_xlfn.XLOOKUP(tblSales[[#This Row],[Channel Code]],tblChannels[Channel Code],tblChannels[Channel Name],"")</f>
        <v>Marketplace</v>
      </c>
      <c r="R3631" s="1">
        <f>MONTH(tblSales[[#This Row],[Date]])</f>
        <v>8</v>
      </c>
    </row>
    <row r="3632" spans="2:18" x14ac:dyDescent="0.35">
      <c r="B3632" s="113">
        <v>46238</v>
      </c>
      <c r="C3632" s="4" t="s">
        <v>2429</v>
      </c>
      <c r="D3632" s="4" t="s">
        <v>4568</v>
      </c>
      <c r="E3632" s="1" t="str">
        <f>_xlfn.XLOOKUP(tblSales[[#This Row],[Customer ID]],tblCustomers[Customer ID],tblCustomers[Customer Name],"⚠ Unknown")</f>
        <v>Walk-in Customer</v>
      </c>
      <c r="F3632" s="4" t="s">
        <v>10</v>
      </c>
      <c r="G3632" s="1" t="str">
        <f>_xlfn.XLOOKUP(tblSales[[#This Row],[Product Code]],tblProducts[Code],tblProducts[Product / Service Name],"⚠ Unknown")</f>
        <v>Chino Pants</v>
      </c>
      <c r="H3632" s="1" t="str">
        <f>_xlfn.XLOOKUP(tblSales[[#This Row],[Product Code]],tblProducts[Code],tblProducts[Category],"")</f>
        <v>Apparel &amp; Footwear</v>
      </c>
      <c r="I3632" s="4">
        <v>4</v>
      </c>
      <c r="J3632" s="5">
        <f>_xlfn.XLOOKUP(tblSales[[#This Row],[Product Code]],tblProducts[Code],tblProducts[Selling Price (excl. VAT)],0)</f>
        <v>150000</v>
      </c>
      <c r="K3632" s="5">
        <f>tblSales[[#This Row],[Qty]]*tblSales[[#This Row],[Unit Price]]</f>
        <v>600000</v>
      </c>
      <c r="L3632" s="5">
        <f>ROUND(tblSales[[#This Row],[DPP (excl. VAT)]]*VATEff,0)</f>
        <v>66000</v>
      </c>
      <c r="M3632" s="5">
        <f>tblSales[[#This Row],[DPP (excl. VAT)]]+tblSales[[#This Row],[Output VAT]]</f>
        <v>666000</v>
      </c>
      <c r="N3632" s="5">
        <f>tblSales[[#This Row],[Qty]]*_xlfn.XLOOKUP(tblSales[[#This Row],[Product Code]],tblProducts[Code],tblProducts[Unit Cost],0)</f>
        <v>352000</v>
      </c>
      <c r="O3632" s="4" t="s">
        <v>4866</v>
      </c>
      <c r="P3632" s="4" t="s">
        <v>4861</v>
      </c>
      <c r="Q3632" s="1" t="str">
        <f>_xlfn.XLOOKUP(tblSales[[#This Row],[Channel Code]],tblChannels[Channel Code],tblChannels[Channel Name],"")</f>
        <v>Marketplace</v>
      </c>
      <c r="R3632" s="1">
        <f>MONTH(tblSales[[#This Row],[Date]])</f>
        <v>8</v>
      </c>
    </row>
    <row r="3633" spans="2:18" x14ac:dyDescent="0.35">
      <c r="B3633" s="113">
        <v>46238</v>
      </c>
      <c r="C3633" s="4" t="s">
        <v>2430</v>
      </c>
      <c r="D3633" s="4" t="s">
        <v>4568</v>
      </c>
      <c r="E3633" s="1" t="str">
        <f>_xlfn.XLOOKUP(tblSales[[#This Row],[Customer ID]],tblCustomers[Customer ID],tblCustomers[Customer Name],"⚠ Unknown")</f>
        <v>Walk-in Customer</v>
      </c>
      <c r="F3633" s="4" t="s">
        <v>10</v>
      </c>
      <c r="G3633" s="1" t="str">
        <f>_xlfn.XLOOKUP(tblSales[[#This Row],[Product Code]],tblProducts[Code],tblProducts[Product / Service Name],"⚠ Unknown")</f>
        <v>Chino Pants</v>
      </c>
      <c r="H3633" s="1" t="str">
        <f>_xlfn.XLOOKUP(tblSales[[#This Row],[Product Code]],tblProducts[Code],tblProducts[Category],"")</f>
        <v>Apparel &amp; Footwear</v>
      </c>
      <c r="I3633" s="4">
        <v>5</v>
      </c>
      <c r="J3633" s="5">
        <f>_xlfn.XLOOKUP(tblSales[[#This Row],[Product Code]],tblProducts[Code],tblProducts[Selling Price (excl. VAT)],0)</f>
        <v>150000</v>
      </c>
      <c r="K3633" s="5">
        <f>tblSales[[#This Row],[Qty]]*tblSales[[#This Row],[Unit Price]]</f>
        <v>750000</v>
      </c>
      <c r="L3633" s="5">
        <f>ROUND(tblSales[[#This Row],[DPP (excl. VAT)]]*VATEff,0)</f>
        <v>82500</v>
      </c>
      <c r="M3633" s="5">
        <f>tblSales[[#This Row],[DPP (excl. VAT)]]+tblSales[[#This Row],[Output VAT]]</f>
        <v>832500</v>
      </c>
      <c r="N3633" s="5">
        <f>tblSales[[#This Row],[Qty]]*_xlfn.XLOOKUP(tblSales[[#This Row],[Product Code]],tblProducts[Code],tblProducts[Unit Cost],0)</f>
        <v>440000</v>
      </c>
      <c r="O3633" s="4" t="s">
        <v>4865</v>
      </c>
      <c r="P3633" s="4" t="s">
        <v>4860</v>
      </c>
      <c r="Q3633" s="1" t="str">
        <f>_xlfn.XLOOKUP(tblSales[[#This Row],[Channel Code]],tblChannels[Channel Code],tblChannels[Channel Name],"")</f>
        <v>In-store</v>
      </c>
      <c r="R3633" s="1">
        <f>MONTH(tblSales[[#This Row],[Date]])</f>
        <v>8</v>
      </c>
    </row>
    <row r="3634" spans="2:18" x14ac:dyDescent="0.35">
      <c r="B3634" s="113">
        <v>46238</v>
      </c>
      <c r="C3634" s="4" t="s">
        <v>2430</v>
      </c>
      <c r="D3634" s="4" t="s">
        <v>4568</v>
      </c>
      <c r="E3634" s="1" t="str">
        <f>_xlfn.XLOOKUP(tblSales[[#This Row],[Customer ID]],tblCustomers[Customer ID],tblCustomers[Customer Name],"⚠ Unknown")</f>
        <v>Walk-in Customer</v>
      </c>
      <c r="F3634" s="4" t="s">
        <v>11</v>
      </c>
      <c r="G3634" s="1" t="str">
        <f>_xlfn.XLOOKUP(tblSales[[#This Row],[Product Code]],tblProducts[Code],tblProducts[Product / Service Name],"⚠ Unknown")</f>
        <v>Sneakers</v>
      </c>
      <c r="H3634" s="1" t="str">
        <f>_xlfn.XLOOKUP(tblSales[[#This Row],[Product Code]],tblProducts[Code],tblProducts[Category],"")</f>
        <v>Apparel &amp; Footwear</v>
      </c>
      <c r="I3634" s="4">
        <v>2</v>
      </c>
      <c r="J3634" s="5">
        <f>_xlfn.XLOOKUP(tblSales[[#This Row],[Product Code]],tblProducts[Code],tblProducts[Selling Price (excl. VAT)],0)</f>
        <v>250000</v>
      </c>
      <c r="K3634" s="5">
        <f>tblSales[[#This Row],[Qty]]*tblSales[[#This Row],[Unit Price]]</f>
        <v>500000</v>
      </c>
      <c r="L3634" s="5">
        <f>ROUND(tblSales[[#This Row],[DPP (excl. VAT)]]*VATEff,0)</f>
        <v>55000</v>
      </c>
      <c r="M3634" s="5">
        <f>tblSales[[#This Row],[DPP (excl. VAT)]]+tblSales[[#This Row],[Output VAT]]</f>
        <v>555000</v>
      </c>
      <c r="N3634" s="5">
        <f>tblSales[[#This Row],[Qty]]*_xlfn.XLOOKUP(tblSales[[#This Row],[Product Code]],tblProducts[Code],tblProducts[Unit Cost],0)</f>
        <v>310000</v>
      </c>
      <c r="O3634" s="4" t="s">
        <v>4865</v>
      </c>
      <c r="P3634" s="4" t="s">
        <v>4860</v>
      </c>
      <c r="Q3634" s="1" t="str">
        <f>_xlfn.XLOOKUP(tblSales[[#This Row],[Channel Code]],tblChannels[Channel Code],tblChannels[Channel Name],"")</f>
        <v>In-store</v>
      </c>
      <c r="R3634" s="1">
        <f>MONTH(tblSales[[#This Row],[Date]])</f>
        <v>8</v>
      </c>
    </row>
    <row r="3635" spans="2:18" x14ac:dyDescent="0.35">
      <c r="B3635" s="113">
        <v>46238</v>
      </c>
      <c r="C3635" s="4" t="s">
        <v>2431</v>
      </c>
      <c r="D3635" s="4" t="s">
        <v>4568</v>
      </c>
      <c r="E3635" s="1" t="str">
        <f>_xlfn.XLOOKUP(tblSales[[#This Row],[Customer ID]],tblCustomers[Customer ID],tblCustomers[Customer Name],"⚠ Unknown")</f>
        <v>Walk-in Customer</v>
      </c>
      <c r="F3635" s="4" t="s">
        <v>10</v>
      </c>
      <c r="G3635" s="1" t="str">
        <f>_xlfn.XLOOKUP(tblSales[[#This Row],[Product Code]],tblProducts[Code],tblProducts[Product / Service Name],"⚠ Unknown")</f>
        <v>Chino Pants</v>
      </c>
      <c r="H3635" s="1" t="str">
        <f>_xlfn.XLOOKUP(tblSales[[#This Row],[Product Code]],tblProducts[Code],tblProducts[Category],"")</f>
        <v>Apparel &amp; Footwear</v>
      </c>
      <c r="I3635" s="4">
        <v>6</v>
      </c>
      <c r="J3635" s="5">
        <f>_xlfn.XLOOKUP(tblSales[[#This Row],[Product Code]],tblProducts[Code],tblProducts[Selling Price (excl. VAT)],0)</f>
        <v>150000</v>
      </c>
      <c r="K3635" s="5">
        <f>tblSales[[#This Row],[Qty]]*tblSales[[#This Row],[Unit Price]]</f>
        <v>900000</v>
      </c>
      <c r="L3635" s="5">
        <f>ROUND(tblSales[[#This Row],[DPP (excl. VAT)]]*VATEff,0)</f>
        <v>99000</v>
      </c>
      <c r="M3635" s="5">
        <f>tblSales[[#This Row],[DPP (excl. VAT)]]+tblSales[[#This Row],[Output VAT]]</f>
        <v>999000</v>
      </c>
      <c r="N3635" s="5">
        <f>tblSales[[#This Row],[Qty]]*_xlfn.XLOOKUP(tblSales[[#This Row],[Product Code]],tblProducts[Code],tblProducts[Unit Cost],0)</f>
        <v>528000</v>
      </c>
      <c r="O3635" s="4" t="s">
        <v>4866</v>
      </c>
      <c r="P3635" s="4" t="s">
        <v>4862</v>
      </c>
      <c r="Q3635" s="1" t="str">
        <f>_xlfn.XLOOKUP(tblSales[[#This Row],[Channel Code]],tblChannels[Channel Code],tblChannels[Channel Name],"")</f>
        <v>Website &amp; Social Media</v>
      </c>
      <c r="R3635" s="1">
        <f>MONTH(tblSales[[#This Row],[Date]])</f>
        <v>8</v>
      </c>
    </row>
    <row r="3636" spans="2:18" x14ac:dyDescent="0.35">
      <c r="B3636" s="113">
        <v>46238</v>
      </c>
      <c r="C3636" s="4" t="s">
        <v>2432</v>
      </c>
      <c r="D3636" s="4" t="s">
        <v>4568</v>
      </c>
      <c r="E3636" s="1" t="str">
        <f>_xlfn.XLOOKUP(tblSales[[#This Row],[Customer ID]],tblCustomers[Customer ID],tblCustomers[Customer Name],"⚠ Unknown")</f>
        <v>Walk-in Customer</v>
      </c>
      <c r="F3636" s="4" t="s">
        <v>9</v>
      </c>
      <c r="G3636" s="1" t="str">
        <f>_xlfn.XLOOKUP(tblSales[[#This Row],[Product Code]],tblProducts[Code],tblProducts[Product / Service Name],"⚠ Unknown")</f>
        <v>Casual Shirt</v>
      </c>
      <c r="H3636" s="1" t="str">
        <f>_xlfn.XLOOKUP(tblSales[[#This Row],[Product Code]],tblProducts[Code],tblProducts[Category],"")</f>
        <v>Apparel &amp; Footwear</v>
      </c>
      <c r="I3636" s="4">
        <v>5</v>
      </c>
      <c r="J3636" s="5">
        <f>_xlfn.XLOOKUP(tblSales[[#This Row],[Product Code]],tblProducts[Code],tblProducts[Selling Price (excl. VAT)],0)</f>
        <v>120000</v>
      </c>
      <c r="K3636" s="5">
        <f>tblSales[[#This Row],[Qty]]*tblSales[[#This Row],[Unit Price]]</f>
        <v>600000</v>
      </c>
      <c r="L3636" s="5">
        <f>ROUND(tblSales[[#This Row],[DPP (excl. VAT)]]*VATEff,0)</f>
        <v>66000</v>
      </c>
      <c r="M3636" s="5">
        <f>tblSales[[#This Row],[DPP (excl. VAT)]]+tblSales[[#This Row],[Output VAT]]</f>
        <v>666000</v>
      </c>
      <c r="N3636" s="5">
        <f>tblSales[[#This Row],[Qty]]*_xlfn.XLOOKUP(tblSales[[#This Row],[Product Code]],tblProducts[Code],tblProducts[Unit Cost],0)</f>
        <v>360000</v>
      </c>
      <c r="O3636" s="4" t="s">
        <v>4866</v>
      </c>
      <c r="P3636" s="4" t="s">
        <v>4860</v>
      </c>
      <c r="Q3636" s="1" t="str">
        <f>_xlfn.XLOOKUP(tblSales[[#This Row],[Channel Code]],tblChannels[Channel Code],tblChannels[Channel Name],"")</f>
        <v>In-store</v>
      </c>
      <c r="R3636" s="1">
        <f>MONTH(tblSales[[#This Row],[Date]])</f>
        <v>8</v>
      </c>
    </row>
    <row r="3637" spans="2:18" x14ac:dyDescent="0.35">
      <c r="B3637" s="113">
        <v>46238</v>
      </c>
      <c r="C3637" s="4" t="s">
        <v>2433</v>
      </c>
      <c r="D3637" s="4" t="s">
        <v>4568</v>
      </c>
      <c r="E3637" s="1" t="str">
        <f>_xlfn.XLOOKUP(tblSales[[#This Row],[Customer ID]],tblCustomers[Customer ID],tblCustomers[Customer Name],"⚠ Unknown")</f>
        <v>Walk-in Customer</v>
      </c>
      <c r="F3637" s="4" t="s">
        <v>10</v>
      </c>
      <c r="G3637" s="1" t="str">
        <f>_xlfn.XLOOKUP(tblSales[[#This Row],[Product Code]],tblProducts[Code],tblProducts[Product / Service Name],"⚠ Unknown")</f>
        <v>Chino Pants</v>
      </c>
      <c r="H3637" s="1" t="str">
        <f>_xlfn.XLOOKUP(tblSales[[#This Row],[Product Code]],tblProducts[Code],tblProducts[Category],"")</f>
        <v>Apparel &amp; Footwear</v>
      </c>
      <c r="I3637" s="4">
        <v>11</v>
      </c>
      <c r="J3637" s="5">
        <f>_xlfn.XLOOKUP(tblSales[[#This Row],[Product Code]],tblProducts[Code],tblProducts[Selling Price (excl. VAT)],0)</f>
        <v>150000</v>
      </c>
      <c r="K3637" s="5">
        <f>tblSales[[#This Row],[Qty]]*tblSales[[#This Row],[Unit Price]]</f>
        <v>1650000</v>
      </c>
      <c r="L3637" s="5">
        <f>ROUND(tblSales[[#This Row],[DPP (excl. VAT)]]*VATEff,0)</f>
        <v>181500</v>
      </c>
      <c r="M3637" s="5">
        <f>tblSales[[#This Row],[DPP (excl. VAT)]]+tblSales[[#This Row],[Output VAT]]</f>
        <v>1831500</v>
      </c>
      <c r="N3637" s="5">
        <f>tblSales[[#This Row],[Qty]]*_xlfn.XLOOKUP(tblSales[[#This Row],[Product Code]],tblProducts[Code],tblProducts[Unit Cost],0)</f>
        <v>968000</v>
      </c>
      <c r="O3637" s="4" t="s">
        <v>4865</v>
      </c>
      <c r="P3637" s="4" t="s">
        <v>4860</v>
      </c>
      <c r="Q3637" s="1" t="str">
        <f>_xlfn.XLOOKUP(tblSales[[#This Row],[Channel Code]],tblChannels[Channel Code],tblChannels[Channel Name],"")</f>
        <v>In-store</v>
      </c>
      <c r="R3637" s="1">
        <f>MONTH(tblSales[[#This Row],[Date]])</f>
        <v>8</v>
      </c>
    </row>
    <row r="3638" spans="2:18" x14ac:dyDescent="0.35">
      <c r="B3638" s="113">
        <v>46238</v>
      </c>
      <c r="C3638" s="4" t="s">
        <v>2433</v>
      </c>
      <c r="D3638" s="4" t="s">
        <v>4568</v>
      </c>
      <c r="E3638" s="1" t="str">
        <f>_xlfn.XLOOKUP(tblSales[[#This Row],[Customer ID]],tblCustomers[Customer ID],tblCustomers[Customer Name],"⚠ Unknown")</f>
        <v>Walk-in Customer</v>
      </c>
      <c r="F3638" s="4" t="s">
        <v>6</v>
      </c>
      <c r="G3638" s="1" t="str">
        <f>_xlfn.XLOOKUP(tblSales[[#This Row],[Product Code]],tblProducts[Code],tblProducts[Product / Service Name],"⚠ Unknown")</f>
        <v>Socks &amp; Accessories</v>
      </c>
      <c r="H3638" s="1" t="str">
        <f>_xlfn.XLOOKUP(tblSales[[#This Row],[Product Code]],tblProducts[Code],tblProducts[Category],"")</f>
        <v>Accessories &amp; Basics</v>
      </c>
      <c r="I3638" s="4">
        <v>11</v>
      </c>
      <c r="J3638" s="5">
        <f>_xlfn.XLOOKUP(tblSales[[#This Row],[Product Code]],tblProducts[Code],tblProducts[Selling Price (excl. VAT)],0)</f>
        <v>45000</v>
      </c>
      <c r="K3638" s="5">
        <f>tblSales[[#This Row],[Qty]]*tblSales[[#This Row],[Unit Price]]</f>
        <v>495000</v>
      </c>
      <c r="L3638" s="5">
        <f>ROUND(tblSales[[#This Row],[DPP (excl. VAT)]]*VATEff,0)</f>
        <v>54450</v>
      </c>
      <c r="M3638" s="5">
        <f>tblSales[[#This Row],[DPP (excl. VAT)]]+tblSales[[#This Row],[Output VAT]]</f>
        <v>549450</v>
      </c>
      <c r="N3638" s="5">
        <f>tblSales[[#This Row],[Qty]]*_xlfn.XLOOKUP(tblSales[[#This Row],[Product Code]],tblProducts[Code],tblProducts[Unit Cost],0)</f>
        <v>264000</v>
      </c>
      <c r="O3638" s="4" t="s">
        <v>4865</v>
      </c>
      <c r="P3638" s="4" t="s">
        <v>4860</v>
      </c>
      <c r="Q3638" s="1" t="str">
        <f>_xlfn.XLOOKUP(tblSales[[#This Row],[Channel Code]],tblChannels[Channel Code],tblChannels[Channel Name],"")</f>
        <v>In-store</v>
      </c>
      <c r="R3638" s="1">
        <f>MONTH(tblSales[[#This Row],[Date]])</f>
        <v>8</v>
      </c>
    </row>
    <row r="3639" spans="2:18" x14ac:dyDescent="0.35">
      <c r="B3639" s="113">
        <v>46239</v>
      </c>
      <c r="C3639" s="4" t="s">
        <v>2434</v>
      </c>
      <c r="D3639" s="4" t="s">
        <v>4568</v>
      </c>
      <c r="E3639" s="1" t="str">
        <f>_xlfn.XLOOKUP(tblSales[[#This Row],[Customer ID]],tblCustomers[Customer ID],tblCustomers[Customer Name],"⚠ Unknown")</f>
        <v>Walk-in Customer</v>
      </c>
      <c r="F3639" s="4" t="s">
        <v>11</v>
      </c>
      <c r="G3639" s="1" t="str">
        <f>_xlfn.XLOOKUP(tblSales[[#This Row],[Product Code]],tblProducts[Code],tblProducts[Product / Service Name],"⚠ Unknown")</f>
        <v>Sneakers</v>
      </c>
      <c r="H3639" s="1" t="str">
        <f>_xlfn.XLOOKUP(tblSales[[#This Row],[Product Code]],tblProducts[Code],tblProducts[Category],"")</f>
        <v>Apparel &amp; Footwear</v>
      </c>
      <c r="I3639" s="4">
        <v>4</v>
      </c>
      <c r="J3639" s="5">
        <f>_xlfn.XLOOKUP(tblSales[[#This Row],[Product Code]],tblProducts[Code],tblProducts[Selling Price (excl. VAT)],0)</f>
        <v>250000</v>
      </c>
      <c r="K3639" s="5">
        <f>tblSales[[#This Row],[Qty]]*tblSales[[#This Row],[Unit Price]]</f>
        <v>1000000</v>
      </c>
      <c r="L3639" s="5">
        <f>ROUND(tblSales[[#This Row],[DPP (excl. VAT)]]*VATEff,0)</f>
        <v>110000</v>
      </c>
      <c r="M3639" s="5">
        <f>tblSales[[#This Row],[DPP (excl. VAT)]]+tblSales[[#This Row],[Output VAT]]</f>
        <v>1110000</v>
      </c>
      <c r="N3639" s="5">
        <f>tblSales[[#This Row],[Qty]]*_xlfn.XLOOKUP(tblSales[[#This Row],[Product Code]],tblProducts[Code],tblProducts[Unit Cost],0)</f>
        <v>620000</v>
      </c>
      <c r="O3639" s="4" t="s">
        <v>4866</v>
      </c>
      <c r="P3639" s="4" t="s">
        <v>4860</v>
      </c>
      <c r="Q3639" s="1" t="str">
        <f>_xlfn.XLOOKUP(tblSales[[#This Row],[Channel Code]],tblChannels[Channel Code],tblChannels[Channel Name],"")</f>
        <v>In-store</v>
      </c>
      <c r="R3639" s="1">
        <f>MONTH(tblSales[[#This Row],[Date]])</f>
        <v>8</v>
      </c>
    </row>
    <row r="3640" spans="2:18" x14ac:dyDescent="0.35">
      <c r="B3640" s="113">
        <v>46239</v>
      </c>
      <c r="C3640" s="4" t="s">
        <v>2435</v>
      </c>
      <c r="D3640" s="4" t="s">
        <v>4568</v>
      </c>
      <c r="E3640" s="1" t="str">
        <f>_xlfn.XLOOKUP(tblSales[[#This Row],[Customer ID]],tblCustomers[Customer ID],tblCustomers[Customer Name],"⚠ Unknown")</f>
        <v>Walk-in Customer</v>
      </c>
      <c r="F3640" s="4" t="s">
        <v>6</v>
      </c>
      <c r="G3640" s="1" t="str">
        <f>_xlfn.XLOOKUP(tblSales[[#This Row],[Product Code]],tblProducts[Code],tblProducts[Product / Service Name],"⚠ Unknown")</f>
        <v>Socks &amp; Accessories</v>
      </c>
      <c r="H3640" s="1" t="str">
        <f>_xlfn.XLOOKUP(tblSales[[#This Row],[Product Code]],tblProducts[Code],tblProducts[Category],"")</f>
        <v>Accessories &amp; Basics</v>
      </c>
      <c r="I3640" s="4">
        <v>7</v>
      </c>
      <c r="J3640" s="5">
        <f>_xlfn.XLOOKUP(tblSales[[#This Row],[Product Code]],tblProducts[Code],tblProducts[Selling Price (excl. VAT)],0)</f>
        <v>45000</v>
      </c>
      <c r="K3640" s="5">
        <f>tblSales[[#This Row],[Qty]]*tblSales[[#This Row],[Unit Price]]</f>
        <v>315000</v>
      </c>
      <c r="L3640" s="5">
        <f>ROUND(tblSales[[#This Row],[DPP (excl. VAT)]]*VATEff,0)</f>
        <v>34650</v>
      </c>
      <c r="M3640" s="5">
        <f>tblSales[[#This Row],[DPP (excl. VAT)]]+tblSales[[#This Row],[Output VAT]]</f>
        <v>349650</v>
      </c>
      <c r="N3640" s="5">
        <f>tblSales[[#This Row],[Qty]]*_xlfn.XLOOKUP(tblSales[[#This Row],[Product Code]],tblProducts[Code],tblProducts[Unit Cost],0)</f>
        <v>168000</v>
      </c>
      <c r="O3640" s="4" t="s">
        <v>4865</v>
      </c>
      <c r="P3640" s="4" t="s">
        <v>4860</v>
      </c>
      <c r="Q3640" s="1" t="str">
        <f>_xlfn.XLOOKUP(tblSales[[#This Row],[Channel Code]],tblChannels[Channel Code],tblChannels[Channel Name],"")</f>
        <v>In-store</v>
      </c>
      <c r="R3640" s="1">
        <f>MONTH(tblSales[[#This Row],[Date]])</f>
        <v>8</v>
      </c>
    </row>
    <row r="3641" spans="2:18" x14ac:dyDescent="0.35">
      <c r="B3641" s="113">
        <v>46239</v>
      </c>
      <c r="C3641" s="4" t="s">
        <v>2436</v>
      </c>
      <c r="D3641" s="4" t="s">
        <v>4568</v>
      </c>
      <c r="E3641" s="1" t="str">
        <f>_xlfn.XLOOKUP(tblSales[[#This Row],[Customer ID]],tblCustomers[Customer ID],tblCustomers[Customer Name],"⚠ Unknown")</f>
        <v>Walk-in Customer</v>
      </c>
      <c r="F3641" s="4" t="s">
        <v>6</v>
      </c>
      <c r="G3641" s="1" t="str">
        <f>_xlfn.XLOOKUP(tblSales[[#This Row],[Product Code]],tblProducts[Code],tblProducts[Product / Service Name],"⚠ Unknown")</f>
        <v>Socks &amp; Accessories</v>
      </c>
      <c r="H3641" s="1" t="str">
        <f>_xlfn.XLOOKUP(tblSales[[#This Row],[Product Code]],tblProducts[Code],tblProducts[Category],"")</f>
        <v>Accessories &amp; Basics</v>
      </c>
      <c r="I3641" s="4">
        <v>12</v>
      </c>
      <c r="J3641" s="5">
        <f>_xlfn.XLOOKUP(tblSales[[#This Row],[Product Code]],tblProducts[Code],tblProducts[Selling Price (excl. VAT)],0)</f>
        <v>45000</v>
      </c>
      <c r="K3641" s="5">
        <f>tblSales[[#This Row],[Qty]]*tblSales[[#This Row],[Unit Price]]</f>
        <v>540000</v>
      </c>
      <c r="L3641" s="5">
        <f>ROUND(tblSales[[#This Row],[DPP (excl. VAT)]]*VATEff,0)</f>
        <v>59400</v>
      </c>
      <c r="M3641" s="5">
        <f>tblSales[[#This Row],[DPP (excl. VAT)]]+tblSales[[#This Row],[Output VAT]]</f>
        <v>599400</v>
      </c>
      <c r="N3641" s="5">
        <f>tblSales[[#This Row],[Qty]]*_xlfn.XLOOKUP(tblSales[[#This Row],[Product Code]],tblProducts[Code],tblProducts[Unit Cost],0)</f>
        <v>288000</v>
      </c>
      <c r="O3641" s="4" t="s">
        <v>4865</v>
      </c>
      <c r="P3641" s="4" t="s">
        <v>4860</v>
      </c>
      <c r="Q3641" s="1" t="str">
        <f>_xlfn.XLOOKUP(tblSales[[#This Row],[Channel Code]],tblChannels[Channel Code],tblChannels[Channel Name],"")</f>
        <v>In-store</v>
      </c>
      <c r="R3641" s="1">
        <f>MONTH(tblSales[[#This Row],[Date]])</f>
        <v>8</v>
      </c>
    </row>
    <row r="3642" spans="2:18" x14ac:dyDescent="0.35">
      <c r="B3642" s="113">
        <v>46239</v>
      </c>
      <c r="C3642" s="4" t="s">
        <v>2437</v>
      </c>
      <c r="D3642" s="4" t="s">
        <v>4568</v>
      </c>
      <c r="E3642" s="1" t="str">
        <f>_xlfn.XLOOKUP(tblSales[[#This Row],[Customer ID]],tblCustomers[Customer ID],tblCustomers[Customer Name],"⚠ Unknown")</f>
        <v>Walk-in Customer</v>
      </c>
      <c r="F3642" s="4" t="s">
        <v>8</v>
      </c>
      <c r="G3642" s="1" t="str">
        <f>_xlfn.XLOOKUP(tblSales[[#This Row],[Product Code]],tblProducts[Code],tblProducts[Product / Service Name],"⚠ Unknown")</f>
        <v>Casual Shorts</v>
      </c>
      <c r="H3642" s="1" t="str">
        <f>_xlfn.XLOOKUP(tblSales[[#This Row],[Product Code]],tblProducts[Code],tblProducts[Category],"")</f>
        <v>Accessories &amp; Basics</v>
      </c>
      <c r="I3642" s="4">
        <v>3</v>
      </c>
      <c r="J3642" s="5">
        <f>_xlfn.XLOOKUP(tblSales[[#This Row],[Product Code]],tblProducts[Code],tblProducts[Selling Price (excl. VAT)],0)</f>
        <v>85000</v>
      </c>
      <c r="K3642" s="5">
        <f>tblSales[[#This Row],[Qty]]*tblSales[[#This Row],[Unit Price]]</f>
        <v>255000</v>
      </c>
      <c r="L3642" s="5">
        <f>ROUND(tblSales[[#This Row],[DPP (excl. VAT)]]*VATEff,0)</f>
        <v>28050</v>
      </c>
      <c r="M3642" s="5">
        <f>tblSales[[#This Row],[DPP (excl. VAT)]]+tblSales[[#This Row],[Output VAT]]</f>
        <v>283050</v>
      </c>
      <c r="N3642" s="5">
        <f>tblSales[[#This Row],[Qty]]*_xlfn.XLOOKUP(tblSales[[#This Row],[Product Code]],tblProducts[Code],tblProducts[Unit Cost],0)</f>
        <v>150000</v>
      </c>
      <c r="O3642" s="4" t="s">
        <v>4865</v>
      </c>
      <c r="P3642" s="4" t="s">
        <v>4860</v>
      </c>
      <c r="Q3642" s="1" t="str">
        <f>_xlfn.XLOOKUP(tblSales[[#This Row],[Channel Code]],tblChannels[Channel Code],tblChannels[Channel Name],"")</f>
        <v>In-store</v>
      </c>
      <c r="R3642" s="1">
        <f>MONTH(tblSales[[#This Row],[Date]])</f>
        <v>8</v>
      </c>
    </row>
    <row r="3643" spans="2:18" x14ac:dyDescent="0.35">
      <c r="B3643" s="113">
        <v>46239</v>
      </c>
      <c r="C3643" s="4" t="s">
        <v>2438</v>
      </c>
      <c r="D3643" s="4" t="s">
        <v>4568</v>
      </c>
      <c r="E3643" s="1" t="str">
        <f>_xlfn.XLOOKUP(tblSales[[#This Row],[Customer ID]],tblCustomers[Customer ID],tblCustomers[Customer Name],"⚠ Unknown")</f>
        <v>Walk-in Customer</v>
      </c>
      <c r="F3643" s="4" t="s">
        <v>7</v>
      </c>
      <c r="G3643" s="1" t="str">
        <f>_xlfn.XLOOKUP(tblSales[[#This Row],[Product Code]],tblProducts[Code],tblProducts[Product / Service Name],"⚠ Unknown")</f>
        <v>Premium Basic T-shirt</v>
      </c>
      <c r="H3643" s="1" t="str">
        <f>_xlfn.XLOOKUP(tblSales[[#This Row],[Product Code]],tblProducts[Code],tblProducts[Category],"")</f>
        <v>Accessories &amp; Basics</v>
      </c>
      <c r="I3643" s="4">
        <v>5</v>
      </c>
      <c r="J3643" s="5">
        <f>_xlfn.XLOOKUP(tblSales[[#This Row],[Product Code]],tblProducts[Code],tblProducts[Selling Price (excl. VAT)],0)</f>
        <v>65000</v>
      </c>
      <c r="K3643" s="5">
        <f>tblSales[[#This Row],[Qty]]*tblSales[[#This Row],[Unit Price]]</f>
        <v>325000</v>
      </c>
      <c r="L3643" s="5">
        <f>ROUND(tblSales[[#This Row],[DPP (excl. VAT)]]*VATEff,0)</f>
        <v>35750</v>
      </c>
      <c r="M3643" s="5">
        <f>tblSales[[#This Row],[DPP (excl. VAT)]]+tblSales[[#This Row],[Output VAT]]</f>
        <v>360750</v>
      </c>
      <c r="N3643" s="5">
        <f>tblSales[[#This Row],[Qty]]*_xlfn.XLOOKUP(tblSales[[#This Row],[Product Code]],tblProducts[Code],tblProducts[Unit Cost],0)</f>
        <v>185000</v>
      </c>
      <c r="O3643" s="4" t="s">
        <v>4866</v>
      </c>
      <c r="P3643" s="4" t="s">
        <v>4861</v>
      </c>
      <c r="Q3643" s="1" t="str">
        <f>_xlfn.XLOOKUP(tblSales[[#This Row],[Channel Code]],tblChannels[Channel Code],tblChannels[Channel Name],"")</f>
        <v>Marketplace</v>
      </c>
      <c r="R3643" s="1">
        <f>MONTH(tblSales[[#This Row],[Date]])</f>
        <v>8</v>
      </c>
    </row>
    <row r="3644" spans="2:18" x14ac:dyDescent="0.35">
      <c r="B3644" s="113">
        <v>46239</v>
      </c>
      <c r="C3644" s="4" t="s">
        <v>2439</v>
      </c>
      <c r="D3644" s="4" t="s">
        <v>4613</v>
      </c>
      <c r="E3644" s="1" t="str">
        <f>_xlfn.XLOOKUP(tblSales[[#This Row],[Customer ID]],tblCustomers[Customer ID],tblCustomers[Customer Name],"⚠ Unknown")</f>
        <v>PT Mega Prima Distribusi</v>
      </c>
      <c r="F3644" s="4" t="s">
        <v>6</v>
      </c>
      <c r="G3644" s="1" t="str">
        <f>_xlfn.XLOOKUP(tblSales[[#This Row],[Product Code]],tblProducts[Code],tblProducts[Product / Service Name],"⚠ Unknown")</f>
        <v>Socks &amp; Accessories</v>
      </c>
      <c r="H3644" s="1" t="str">
        <f>_xlfn.XLOOKUP(tblSales[[#This Row],[Product Code]],tblProducts[Code],tblProducts[Category],"")</f>
        <v>Accessories &amp; Basics</v>
      </c>
      <c r="I3644" s="4">
        <v>72</v>
      </c>
      <c r="J3644" s="5">
        <f>_xlfn.XLOOKUP(tblSales[[#This Row],[Product Code]],tblProducts[Code],tblProducts[Selling Price (excl. VAT)],0)</f>
        <v>45000</v>
      </c>
      <c r="K3644" s="5">
        <f>tblSales[[#This Row],[Qty]]*tblSales[[#This Row],[Unit Price]]</f>
        <v>3240000</v>
      </c>
      <c r="L3644" s="5">
        <f>ROUND(tblSales[[#This Row],[DPP (excl. VAT)]]*VATEff,0)</f>
        <v>356400</v>
      </c>
      <c r="M3644" s="5">
        <f>tblSales[[#This Row],[DPP (excl. VAT)]]+tblSales[[#This Row],[Output VAT]]</f>
        <v>3596400</v>
      </c>
      <c r="N3644" s="5">
        <f>tblSales[[#This Row],[Qty]]*_xlfn.XLOOKUP(tblSales[[#This Row],[Product Code]],tblProducts[Code],tblProducts[Unit Cost],0)</f>
        <v>1728000</v>
      </c>
      <c r="O3644" s="4" t="s">
        <v>4867</v>
      </c>
      <c r="P3644" s="4" t="s">
        <v>4862</v>
      </c>
      <c r="Q3644" s="1" t="str">
        <f>_xlfn.XLOOKUP(tblSales[[#This Row],[Channel Code]],tblChannels[Channel Code],tblChannels[Channel Name],"")</f>
        <v>Website &amp; Social Media</v>
      </c>
      <c r="R3644" s="1">
        <f>MONTH(tblSales[[#This Row],[Date]])</f>
        <v>8</v>
      </c>
    </row>
    <row r="3645" spans="2:18" x14ac:dyDescent="0.35">
      <c r="B3645" s="113">
        <v>46239</v>
      </c>
      <c r="C3645" s="4" t="s">
        <v>2439</v>
      </c>
      <c r="D3645" s="4" t="s">
        <v>4613</v>
      </c>
      <c r="E3645" s="1" t="str">
        <f>_xlfn.XLOOKUP(tblSales[[#This Row],[Customer ID]],tblCustomers[Customer ID],tblCustomers[Customer Name],"⚠ Unknown")</f>
        <v>PT Mega Prima Distribusi</v>
      </c>
      <c r="F3645" s="4" t="s">
        <v>8</v>
      </c>
      <c r="G3645" s="1" t="str">
        <f>_xlfn.XLOOKUP(tblSales[[#This Row],[Product Code]],tblProducts[Code],tblProducts[Product / Service Name],"⚠ Unknown")</f>
        <v>Casual Shorts</v>
      </c>
      <c r="H3645" s="1" t="str">
        <f>_xlfn.XLOOKUP(tblSales[[#This Row],[Product Code]],tblProducts[Code],tblProducts[Category],"")</f>
        <v>Accessories &amp; Basics</v>
      </c>
      <c r="I3645" s="4">
        <v>96</v>
      </c>
      <c r="J3645" s="5">
        <f>_xlfn.XLOOKUP(tblSales[[#This Row],[Product Code]],tblProducts[Code],tblProducts[Selling Price (excl. VAT)],0)</f>
        <v>85000</v>
      </c>
      <c r="K3645" s="5">
        <f>tblSales[[#This Row],[Qty]]*tblSales[[#This Row],[Unit Price]]</f>
        <v>8160000</v>
      </c>
      <c r="L3645" s="5">
        <f>ROUND(tblSales[[#This Row],[DPP (excl. VAT)]]*VATEff,0)</f>
        <v>897600</v>
      </c>
      <c r="M3645" s="5">
        <f>tblSales[[#This Row],[DPP (excl. VAT)]]+tblSales[[#This Row],[Output VAT]]</f>
        <v>9057600</v>
      </c>
      <c r="N3645" s="5">
        <f>tblSales[[#This Row],[Qty]]*_xlfn.XLOOKUP(tblSales[[#This Row],[Product Code]],tblProducts[Code],tblProducts[Unit Cost],0)</f>
        <v>4800000</v>
      </c>
      <c r="O3645" s="4" t="s">
        <v>4867</v>
      </c>
      <c r="P3645" s="4" t="s">
        <v>4862</v>
      </c>
      <c r="Q3645" s="1" t="str">
        <f>_xlfn.XLOOKUP(tblSales[[#This Row],[Channel Code]],tblChannels[Channel Code],tblChannels[Channel Name],"")</f>
        <v>Website &amp; Social Media</v>
      </c>
      <c r="R3645" s="1">
        <f>MONTH(tblSales[[#This Row],[Date]])</f>
        <v>8</v>
      </c>
    </row>
    <row r="3646" spans="2:18" x14ac:dyDescent="0.35">
      <c r="B3646" s="113">
        <v>46239</v>
      </c>
      <c r="C3646" s="4" t="s">
        <v>2440</v>
      </c>
      <c r="D3646" s="4" t="s">
        <v>4568</v>
      </c>
      <c r="E3646" s="1" t="str">
        <f>_xlfn.XLOOKUP(tblSales[[#This Row],[Customer ID]],tblCustomers[Customer ID],tblCustomers[Customer Name],"⚠ Unknown")</f>
        <v>Walk-in Customer</v>
      </c>
      <c r="F3646" s="4" t="s">
        <v>10</v>
      </c>
      <c r="G3646" s="1" t="str">
        <f>_xlfn.XLOOKUP(tblSales[[#This Row],[Product Code]],tblProducts[Code],tblProducts[Product / Service Name],"⚠ Unknown")</f>
        <v>Chino Pants</v>
      </c>
      <c r="H3646" s="1" t="str">
        <f>_xlfn.XLOOKUP(tblSales[[#This Row],[Product Code]],tblProducts[Code],tblProducts[Category],"")</f>
        <v>Apparel &amp; Footwear</v>
      </c>
      <c r="I3646" s="4">
        <v>3</v>
      </c>
      <c r="J3646" s="5">
        <f>_xlfn.XLOOKUP(tblSales[[#This Row],[Product Code]],tblProducts[Code],tblProducts[Selling Price (excl. VAT)],0)</f>
        <v>150000</v>
      </c>
      <c r="K3646" s="5">
        <f>tblSales[[#This Row],[Qty]]*tblSales[[#This Row],[Unit Price]]</f>
        <v>450000</v>
      </c>
      <c r="L3646" s="5">
        <f>ROUND(tblSales[[#This Row],[DPP (excl. VAT)]]*VATEff,0)</f>
        <v>49500</v>
      </c>
      <c r="M3646" s="5">
        <f>tblSales[[#This Row],[DPP (excl. VAT)]]+tblSales[[#This Row],[Output VAT]]</f>
        <v>499500</v>
      </c>
      <c r="N3646" s="5">
        <f>tblSales[[#This Row],[Qty]]*_xlfn.XLOOKUP(tblSales[[#This Row],[Product Code]],tblProducts[Code],tblProducts[Unit Cost],0)</f>
        <v>264000</v>
      </c>
      <c r="O3646" s="4" t="s">
        <v>4865</v>
      </c>
      <c r="P3646" s="4" t="s">
        <v>4860</v>
      </c>
      <c r="Q3646" s="1" t="str">
        <f>_xlfn.XLOOKUP(tblSales[[#This Row],[Channel Code]],tblChannels[Channel Code],tblChannels[Channel Name],"")</f>
        <v>In-store</v>
      </c>
      <c r="R3646" s="1">
        <f>MONTH(tblSales[[#This Row],[Date]])</f>
        <v>8</v>
      </c>
    </row>
    <row r="3647" spans="2:18" x14ac:dyDescent="0.35">
      <c r="B3647" s="113">
        <v>46239</v>
      </c>
      <c r="C3647" s="4" t="s">
        <v>2441</v>
      </c>
      <c r="D3647" s="4" t="s">
        <v>4568</v>
      </c>
      <c r="E3647" s="1" t="str">
        <f>_xlfn.XLOOKUP(tblSales[[#This Row],[Customer ID]],tblCustomers[Customer ID],tblCustomers[Customer Name],"⚠ Unknown")</f>
        <v>Walk-in Customer</v>
      </c>
      <c r="F3647" s="4" t="s">
        <v>9</v>
      </c>
      <c r="G3647" s="1" t="str">
        <f>_xlfn.XLOOKUP(tblSales[[#This Row],[Product Code]],tblProducts[Code],tblProducts[Product / Service Name],"⚠ Unknown")</f>
        <v>Casual Shirt</v>
      </c>
      <c r="H3647" s="1" t="str">
        <f>_xlfn.XLOOKUP(tblSales[[#This Row],[Product Code]],tblProducts[Code],tblProducts[Category],"")</f>
        <v>Apparel &amp; Footwear</v>
      </c>
      <c r="I3647" s="4">
        <v>7</v>
      </c>
      <c r="J3647" s="5">
        <f>_xlfn.XLOOKUP(tblSales[[#This Row],[Product Code]],tblProducts[Code],tblProducts[Selling Price (excl. VAT)],0)</f>
        <v>120000</v>
      </c>
      <c r="K3647" s="5">
        <f>tblSales[[#This Row],[Qty]]*tblSales[[#This Row],[Unit Price]]</f>
        <v>840000</v>
      </c>
      <c r="L3647" s="5">
        <f>ROUND(tblSales[[#This Row],[DPP (excl. VAT)]]*VATEff,0)</f>
        <v>92400</v>
      </c>
      <c r="M3647" s="5">
        <f>tblSales[[#This Row],[DPP (excl. VAT)]]+tblSales[[#This Row],[Output VAT]]</f>
        <v>932400</v>
      </c>
      <c r="N3647" s="5">
        <f>tblSales[[#This Row],[Qty]]*_xlfn.XLOOKUP(tblSales[[#This Row],[Product Code]],tblProducts[Code],tblProducts[Unit Cost],0)</f>
        <v>504000</v>
      </c>
      <c r="O3647" s="4" t="s">
        <v>4866</v>
      </c>
      <c r="P3647" s="4" t="s">
        <v>4860</v>
      </c>
      <c r="Q3647" s="1" t="str">
        <f>_xlfn.XLOOKUP(tblSales[[#This Row],[Channel Code]],tblChannels[Channel Code],tblChannels[Channel Name],"")</f>
        <v>In-store</v>
      </c>
      <c r="R3647" s="1">
        <f>MONTH(tblSales[[#This Row],[Date]])</f>
        <v>8</v>
      </c>
    </row>
    <row r="3648" spans="2:18" x14ac:dyDescent="0.35">
      <c r="B3648" s="113">
        <v>46239</v>
      </c>
      <c r="C3648" s="4" t="s">
        <v>2442</v>
      </c>
      <c r="D3648" s="4" t="s">
        <v>4634</v>
      </c>
      <c r="E3648" s="1" t="str">
        <f>_xlfn.XLOOKUP(tblSales[[#This Row],[Customer ID]],tblCustomers[Customer ID],tblCustomers[Customer Name],"⚠ Unknown")</f>
        <v>PT Delta Inti Selaras</v>
      </c>
      <c r="F3648" s="4" t="s">
        <v>9</v>
      </c>
      <c r="G3648" s="1" t="str">
        <f>_xlfn.XLOOKUP(tblSales[[#This Row],[Product Code]],tblProducts[Code],tblProducts[Product / Service Name],"⚠ Unknown")</f>
        <v>Casual Shirt</v>
      </c>
      <c r="H3648" s="1" t="str">
        <f>_xlfn.XLOOKUP(tblSales[[#This Row],[Product Code]],tblProducts[Code],tblProducts[Category],"")</f>
        <v>Apparel &amp; Footwear</v>
      </c>
      <c r="I3648" s="4">
        <v>64</v>
      </c>
      <c r="J3648" s="5">
        <f>_xlfn.XLOOKUP(tblSales[[#This Row],[Product Code]],tblProducts[Code],tblProducts[Selling Price (excl. VAT)],0)</f>
        <v>120000</v>
      </c>
      <c r="K3648" s="5">
        <f>tblSales[[#This Row],[Qty]]*tblSales[[#This Row],[Unit Price]]</f>
        <v>7680000</v>
      </c>
      <c r="L3648" s="5">
        <f>ROUND(tblSales[[#This Row],[DPP (excl. VAT)]]*VATEff,0)</f>
        <v>844800</v>
      </c>
      <c r="M3648" s="5">
        <f>tblSales[[#This Row],[DPP (excl. VAT)]]+tblSales[[#This Row],[Output VAT]]</f>
        <v>8524800</v>
      </c>
      <c r="N3648" s="5">
        <f>tblSales[[#This Row],[Qty]]*_xlfn.XLOOKUP(tblSales[[#This Row],[Product Code]],tblProducts[Code],tblProducts[Unit Cost],0)</f>
        <v>4608000</v>
      </c>
      <c r="O3648" s="4" t="s">
        <v>4867</v>
      </c>
      <c r="P3648" s="4" t="s">
        <v>4860</v>
      </c>
      <c r="Q3648" s="1" t="str">
        <f>_xlfn.XLOOKUP(tblSales[[#This Row],[Channel Code]],tblChannels[Channel Code],tblChannels[Channel Name],"")</f>
        <v>In-store</v>
      </c>
      <c r="R3648" s="1">
        <f>MONTH(tblSales[[#This Row],[Date]])</f>
        <v>8</v>
      </c>
    </row>
    <row r="3649" spans="2:18" x14ac:dyDescent="0.35">
      <c r="B3649" s="113">
        <v>46239</v>
      </c>
      <c r="C3649" s="4" t="s">
        <v>2442</v>
      </c>
      <c r="D3649" s="4" t="s">
        <v>4634</v>
      </c>
      <c r="E3649" s="1" t="str">
        <f>_xlfn.XLOOKUP(tblSales[[#This Row],[Customer ID]],tblCustomers[Customer ID],tblCustomers[Customer Name],"⚠ Unknown")</f>
        <v>PT Delta Inti Selaras</v>
      </c>
      <c r="F3649" s="4" t="s">
        <v>7</v>
      </c>
      <c r="G3649" s="1" t="str">
        <f>_xlfn.XLOOKUP(tblSales[[#This Row],[Product Code]],tblProducts[Code],tblProducts[Product / Service Name],"⚠ Unknown")</f>
        <v>Premium Basic T-shirt</v>
      </c>
      <c r="H3649" s="1" t="str">
        <f>_xlfn.XLOOKUP(tblSales[[#This Row],[Product Code]],tblProducts[Code],tblProducts[Category],"")</f>
        <v>Accessories &amp; Basics</v>
      </c>
      <c r="I3649" s="4">
        <v>16</v>
      </c>
      <c r="J3649" s="5">
        <f>_xlfn.XLOOKUP(tblSales[[#This Row],[Product Code]],tblProducts[Code],tblProducts[Selling Price (excl. VAT)],0)</f>
        <v>65000</v>
      </c>
      <c r="K3649" s="5">
        <f>tblSales[[#This Row],[Qty]]*tblSales[[#This Row],[Unit Price]]</f>
        <v>1040000</v>
      </c>
      <c r="L3649" s="5">
        <f>ROUND(tblSales[[#This Row],[DPP (excl. VAT)]]*VATEff,0)</f>
        <v>114400</v>
      </c>
      <c r="M3649" s="5">
        <f>tblSales[[#This Row],[DPP (excl. VAT)]]+tblSales[[#This Row],[Output VAT]]</f>
        <v>1154400</v>
      </c>
      <c r="N3649" s="5">
        <f>tblSales[[#This Row],[Qty]]*_xlfn.XLOOKUP(tblSales[[#This Row],[Product Code]],tblProducts[Code],tblProducts[Unit Cost],0)</f>
        <v>592000</v>
      </c>
      <c r="O3649" s="4" t="s">
        <v>4867</v>
      </c>
      <c r="P3649" s="4" t="s">
        <v>4860</v>
      </c>
      <c r="Q3649" s="1" t="str">
        <f>_xlfn.XLOOKUP(tblSales[[#This Row],[Channel Code]],tblChannels[Channel Code],tblChannels[Channel Name],"")</f>
        <v>In-store</v>
      </c>
      <c r="R3649" s="1">
        <f>MONTH(tblSales[[#This Row],[Date]])</f>
        <v>8</v>
      </c>
    </row>
    <row r="3650" spans="2:18" x14ac:dyDescent="0.35">
      <c r="B3650" s="113">
        <v>46239</v>
      </c>
      <c r="C3650" s="4" t="s">
        <v>2443</v>
      </c>
      <c r="D3650" s="4" t="s">
        <v>4568</v>
      </c>
      <c r="E3650" s="1" t="str">
        <f>_xlfn.XLOOKUP(tblSales[[#This Row],[Customer ID]],tblCustomers[Customer ID],tblCustomers[Customer Name],"⚠ Unknown")</f>
        <v>Walk-in Customer</v>
      </c>
      <c r="F3650" s="4" t="s">
        <v>6</v>
      </c>
      <c r="G3650" s="1" t="str">
        <f>_xlfn.XLOOKUP(tblSales[[#This Row],[Product Code]],tblProducts[Code],tblProducts[Product / Service Name],"⚠ Unknown")</f>
        <v>Socks &amp; Accessories</v>
      </c>
      <c r="H3650" s="1" t="str">
        <f>_xlfn.XLOOKUP(tblSales[[#This Row],[Product Code]],tblProducts[Code],tblProducts[Category],"")</f>
        <v>Accessories &amp; Basics</v>
      </c>
      <c r="I3650" s="4">
        <v>5</v>
      </c>
      <c r="J3650" s="5">
        <f>_xlfn.XLOOKUP(tblSales[[#This Row],[Product Code]],tblProducts[Code],tblProducts[Selling Price (excl. VAT)],0)</f>
        <v>45000</v>
      </c>
      <c r="K3650" s="5">
        <f>tblSales[[#This Row],[Qty]]*tblSales[[#This Row],[Unit Price]]</f>
        <v>225000</v>
      </c>
      <c r="L3650" s="5">
        <f>ROUND(tblSales[[#This Row],[DPP (excl. VAT)]]*VATEff,0)</f>
        <v>24750</v>
      </c>
      <c r="M3650" s="5">
        <f>tblSales[[#This Row],[DPP (excl. VAT)]]+tblSales[[#This Row],[Output VAT]]</f>
        <v>249750</v>
      </c>
      <c r="N3650" s="5">
        <f>tblSales[[#This Row],[Qty]]*_xlfn.XLOOKUP(tblSales[[#This Row],[Product Code]],tblProducts[Code],tblProducts[Unit Cost],0)</f>
        <v>120000</v>
      </c>
      <c r="O3650" s="4" t="s">
        <v>4866</v>
      </c>
      <c r="P3650" s="4" t="s">
        <v>4861</v>
      </c>
      <c r="Q3650" s="1" t="str">
        <f>_xlfn.XLOOKUP(tblSales[[#This Row],[Channel Code]],tblChannels[Channel Code],tblChannels[Channel Name],"")</f>
        <v>Marketplace</v>
      </c>
      <c r="R3650" s="1">
        <f>MONTH(tblSales[[#This Row],[Date]])</f>
        <v>8</v>
      </c>
    </row>
    <row r="3651" spans="2:18" x14ac:dyDescent="0.35">
      <c r="B3651" s="113">
        <v>46239</v>
      </c>
      <c r="C3651" s="4" t="s">
        <v>2443</v>
      </c>
      <c r="D3651" s="4" t="s">
        <v>4568</v>
      </c>
      <c r="E3651" s="1" t="str">
        <f>_xlfn.XLOOKUP(tblSales[[#This Row],[Customer ID]],tblCustomers[Customer ID],tblCustomers[Customer Name],"⚠ Unknown")</f>
        <v>Walk-in Customer</v>
      </c>
      <c r="F3651" s="4" t="s">
        <v>10</v>
      </c>
      <c r="G3651" s="1" t="str">
        <f>_xlfn.XLOOKUP(tblSales[[#This Row],[Product Code]],tblProducts[Code],tblProducts[Product / Service Name],"⚠ Unknown")</f>
        <v>Chino Pants</v>
      </c>
      <c r="H3651" s="1" t="str">
        <f>_xlfn.XLOOKUP(tblSales[[#This Row],[Product Code]],tblProducts[Code],tblProducts[Category],"")</f>
        <v>Apparel &amp; Footwear</v>
      </c>
      <c r="I3651" s="4">
        <v>9</v>
      </c>
      <c r="J3651" s="5">
        <f>_xlfn.XLOOKUP(tblSales[[#This Row],[Product Code]],tblProducts[Code],tblProducts[Selling Price (excl. VAT)],0)</f>
        <v>150000</v>
      </c>
      <c r="K3651" s="5">
        <f>tblSales[[#This Row],[Qty]]*tblSales[[#This Row],[Unit Price]]</f>
        <v>1350000</v>
      </c>
      <c r="L3651" s="5">
        <f>ROUND(tblSales[[#This Row],[DPP (excl. VAT)]]*VATEff,0)</f>
        <v>148500</v>
      </c>
      <c r="M3651" s="5">
        <f>tblSales[[#This Row],[DPP (excl. VAT)]]+tblSales[[#This Row],[Output VAT]]</f>
        <v>1498500</v>
      </c>
      <c r="N3651" s="5">
        <f>tblSales[[#This Row],[Qty]]*_xlfn.XLOOKUP(tblSales[[#This Row],[Product Code]],tblProducts[Code],tblProducts[Unit Cost],0)</f>
        <v>792000</v>
      </c>
      <c r="O3651" s="4" t="s">
        <v>4866</v>
      </c>
      <c r="P3651" s="4" t="s">
        <v>4861</v>
      </c>
      <c r="Q3651" s="1" t="str">
        <f>_xlfn.XLOOKUP(tblSales[[#This Row],[Channel Code]],tblChannels[Channel Code],tblChannels[Channel Name],"")</f>
        <v>Marketplace</v>
      </c>
      <c r="R3651" s="1">
        <f>MONTH(tblSales[[#This Row],[Date]])</f>
        <v>8</v>
      </c>
    </row>
    <row r="3652" spans="2:18" x14ac:dyDescent="0.35">
      <c r="B3652" s="113">
        <v>46239</v>
      </c>
      <c r="C3652" s="4" t="s">
        <v>2443</v>
      </c>
      <c r="D3652" s="4" t="s">
        <v>4568</v>
      </c>
      <c r="E3652" s="1" t="str">
        <f>_xlfn.XLOOKUP(tblSales[[#This Row],[Customer ID]],tblCustomers[Customer ID],tblCustomers[Customer Name],"⚠ Unknown")</f>
        <v>Walk-in Customer</v>
      </c>
      <c r="F3652" s="4" t="s">
        <v>13</v>
      </c>
      <c r="G3652" s="1" t="str">
        <f>_xlfn.XLOOKUP(tblSales[[#This Row],[Product Code]],tblProducts[Code],tblProducts[Product / Service Name],"⚠ Unknown")</f>
        <v>Backpack</v>
      </c>
      <c r="H3652" s="1" t="str">
        <f>_xlfn.XLOOKUP(tblSales[[#This Row],[Product Code]],tblProducts[Code],tblProducts[Category],"")</f>
        <v>Bags &amp; Gadgets</v>
      </c>
      <c r="I3652" s="4">
        <v>4</v>
      </c>
      <c r="J3652" s="5">
        <f>_xlfn.XLOOKUP(tblSales[[#This Row],[Product Code]],tblProducts[Code],tblProducts[Selling Price (excl. VAT)],0)</f>
        <v>500000</v>
      </c>
      <c r="K3652" s="5">
        <f>tblSales[[#This Row],[Qty]]*tblSales[[#This Row],[Unit Price]]</f>
        <v>2000000</v>
      </c>
      <c r="L3652" s="5">
        <f>ROUND(tblSales[[#This Row],[DPP (excl. VAT)]]*VATEff,0)</f>
        <v>220000</v>
      </c>
      <c r="M3652" s="5">
        <f>tblSales[[#This Row],[DPP (excl. VAT)]]+tblSales[[#This Row],[Output VAT]]</f>
        <v>2220000</v>
      </c>
      <c r="N3652" s="5">
        <f>tblSales[[#This Row],[Qty]]*_xlfn.XLOOKUP(tblSales[[#This Row],[Product Code]],tblProducts[Code],tblProducts[Unit Cost],0)</f>
        <v>1160000</v>
      </c>
      <c r="O3652" s="4" t="s">
        <v>4866</v>
      </c>
      <c r="P3652" s="4" t="s">
        <v>4861</v>
      </c>
      <c r="Q3652" s="1" t="str">
        <f>_xlfn.XLOOKUP(tblSales[[#This Row],[Channel Code]],tblChannels[Channel Code],tblChannels[Channel Name],"")</f>
        <v>Marketplace</v>
      </c>
      <c r="R3652" s="1">
        <f>MONTH(tblSales[[#This Row],[Date]])</f>
        <v>8</v>
      </c>
    </row>
    <row r="3653" spans="2:18" x14ac:dyDescent="0.35">
      <c r="B3653" s="113">
        <v>46240</v>
      </c>
      <c r="C3653" s="4" t="s">
        <v>2444</v>
      </c>
      <c r="D3653" s="4" t="s">
        <v>4593</v>
      </c>
      <c r="E3653" s="1" t="str">
        <f>_xlfn.XLOOKUP(tblSales[[#This Row],[Customer ID]],tblCustomers[Customer ID],tblCustomers[Customer Name],"⚠ Unknown")</f>
        <v>PT Graha Nusa Persada</v>
      </c>
      <c r="F3653" s="4" t="s">
        <v>7</v>
      </c>
      <c r="G3653" s="1" t="str">
        <f>_xlfn.XLOOKUP(tblSales[[#This Row],[Product Code]],tblProducts[Code],tblProducts[Product / Service Name],"⚠ Unknown")</f>
        <v>Premium Basic T-shirt</v>
      </c>
      <c r="H3653" s="1" t="str">
        <f>_xlfn.XLOOKUP(tblSales[[#This Row],[Product Code]],tblProducts[Code],tblProducts[Category],"")</f>
        <v>Accessories &amp; Basics</v>
      </c>
      <c r="I3653" s="4">
        <v>40</v>
      </c>
      <c r="J3653" s="5">
        <f>_xlfn.XLOOKUP(tblSales[[#This Row],[Product Code]],tblProducts[Code],tblProducts[Selling Price (excl. VAT)],0)</f>
        <v>65000</v>
      </c>
      <c r="K3653" s="5">
        <f>tblSales[[#This Row],[Qty]]*tblSales[[#This Row],[Unit Price]]</f>
        <v>2600000</v>
      </c>
      <c r="L3653" s="5">
        <f>ROUND(tblSales[[#This Row],[DPP (excl. VAT)]]*VATEff,0)</f>
        <v>286000</v>
      </c>
      <c r="M3653" s="5">
        <f>tblSales[[#This Row],[DPP (excl. VAT)]]+tblSales[[#This Row],[Output VAT]]</f>
        <v>2886000</v>
      </c>
      <c r="N3653" s="5">
        <f>tblSales[[#This Row],[Qty]]*_xlfn.XLOOKUP(tblSales[[#This Row],[Product Code]],tblProducts[Code],tblProducts[Unit Cost],0)</f>
        <v>1480000</v>
      </c>
      <c r="O3653" s="4" t="s">
        <v>4867</v>
      </c>
      <c r="P3653" s="4" t="s">
        <v>4860</v>
      </c>
      <c r="Q3653" s="1" t="str">
        <f>_xlfn.XLOOKUP(tblSales[[#This Row],[Channel Code]],tblChannels[Channel Code],tblChannels[Channel Name],"")</f>
        <v>In-store</v>
      </c>
      <c r="R3653" s="1">
        <f>MONTH(tblSales[[#This Row],[Date]])</f>
        <v>8</v>
      </c>
    </row>
    <row r="3654" spans="2:18" x14ac:dyDescent="0.35">
      <c r="B3654" s="113">
        <v>46240</v>
      </c>
      <c r="C3654" s="4" t="s">
        <v>2445</v>
      </c>
      <c r="D3654" s="4" t="s">
        <v>4568</v>
      </c>
      <c r="E3654" s="1" t="str">
        <f>_xlfn.XLOOKUP(tblSales[[#This Row],[Customer ID]],tblCustomers[Customer ID],tblCustomers[Customer Name],"⚠ Unknown")</f>
        <v>Walk-in Customer</v>
      </c>
      <c r="F3654" s="4" t="s">
        <v>10</v>
      </c>
      <c r="G3654" s="1" t="str">
        <f>_xlfn.XLOOKUP(tblSales[[#This Row],[Product Code]],tblProducts[Code],tblProducts[Product / Service Name],"⚠ Unknown")</f>
        <v>Chino Pants</v>
      </c>
      <c r="H3654" s="1" t="str">
        <f>_xlfn.XLOOKUP(tblSales[[#This Row],[Product Code]],tblProducts[Code],tblProducts[Category],"")</f>
        <v>Apparel &amp; Footwear</v>
      </c>
      <c r="I3654" s="4">
        <v>8</v>
      </c>
      <c r="J3654" s="5">
        <f>_xlfn.XLOOKUP(tblSales[[#This Row],[Product Code]],tblProducts[Code],tblProducts[Selling Price (excl. VAT)],0)</f>
        <v>150000</v>
      </c>
      <c r="K3654" s="5">
        <f>tblSales[[#This Row],[Qty]]*tblSales[[#This Row],[Unit Price]]</f>
        <v>1200000</v>
      </c>
      <c r="L3654" s="5">
        <f>ROUND(tblSales[[#This Row],[DPP (excl. VAT)]]*VATEff,0)</f>
        <v>132000</v>
      </c>
      <c r="M3654" s="5">
        <f>tblSales[[#This Row],[DPP (excl. VAT)]]+tblSales[[#This Row],[Output VAT]]</f>
        <v>1332000</v>
      </c>
      <c r="N3654" s="5">
        <f>tblSales[[#This Row],[Qty]]*_xlfn.XLOOKUP(tblSales[[#This Row],[Product Code]],tblProducts[Code],tblProducts[Unit Cost],0)</f>
        <v>704000</v>
      </c>
      <c r="O3654" s="4" t="s">
        <v>4866</v>
      </c>
      <c r="P3654" s="4" t="s">
        <v>4861</v>
      </c>
      <c r="Q3654" s="1" t="str">
        <f>_xlfn.XLOOKUP(tblSales[[#This Row],[Channel Code]],tblChannels[Channel Code],tblChannels[Channel Name],"")</f>
        <v>Marketplace</v>
      </c>
      <c r="R3654" s="1">
        <f>MONTH(tblSales[[#This Row],[Date]])</f>
        <v>8</v>
      </c>
    </row>
    <row r="3655" spans="2:18" x14ac:dyDescent="0.35">
      <c r="B3655" s="113">
        <v>46240</v>
      </c>
      <c r="C3655" s="4" t="s">
        <v>2446</v>
      </c>
      <c r="D3655" s="4" t="s">
        <v>4568</v>
      </c>
      <c r="E3655" s="1" t="str">
        <f>_xlfn.XLOOKUP(tblSales[[#This Row],[Customer ID]],tblCustomers[Customer ID],tblCustomers[Customer Name],"⚠ Unknown")</f>
        <v>Walk-in Customer</v>
      </c>
      <c r="F3655" s="4" t="s">
        <v>13</v>
      </c>
      <c r="G3655" s="1" t="str">
        <f>_xlfn.XLOOKUP(tblSales[[#This Row],[Product Code]],tblProducts[Code],tblProducts[Product / Service Name],"⚠ Unknown")</f>
        <v>Backpack</v>
      </c>
      <c r="H3655" s="1" t="str">
        <f>_xlfn.XLOOKUP(tblSales[[#This Row],[Product Code]],tblProducts[Code],tblProducts[Category],"")</f>
        <v>Bags &amp; Gadgets</v>
      </c>
      <c r="I3655" s="4">
        <v>6</v>
      </c>
      <c r="J3655" s="5">
        <f>_xlfn.XLOOKUP(tblSales[[#This Row],[Product Code]],tblProducts[Code],tblProducts[Selling Price (excl. VAT)],0)</f>
        <v>500000</v>
      </c>
      <c r="K3655" s="5">
        <f>tblSales[[#This Row],[Qty]]*tblSales[[#This Row],[Unit Price]]</f>
        <v>3000000</v>
      </c>
      <c r="L3655" s="5">
        <f>ROUND(tblSales[[#This Row],[DPP (excl. VAT)]]*VATEff,0)</f>
        <v>330000</v>
      </c>
      <c r="M3655" s="5">
        <f>tblSales[[#This Row],[DPP (excl. VAT)]]+tblSales[[#This Row],[Output VAT]]</f>
        <v>3330000</v>
      </c>
      <c r="N3655" s="5">
        <f>tblSales[[#This Row],[Qty]]*_xlfn.XLOOKUP(tblSales[[#This Row],[Product Code]],tblProducts[Code],tblProducts[Unit Cost],0)</f>
        <v>1740000</v>
      </c>
      <c r="O3655" s="4" t="s">
        <v>4865</v>
      </c>
      <c r="P3655" s="4" t="s">
        <v>4860</v>
      </c>
      <c r="Q3655" s="1" t="str">
        <f>_xlfn.XLOOKUP(tblSales[[#This Row],[Channel Code]],tblChannels[Channel Code],tblChannels[Channel Name],"")</f>
        <v>In-store</v>
      </c>
      <c r="R3655" s="1">
        <f>MONTH(tblSales[[#This Row],[Date]])</f>
        <v>8</v>
      </c>
    </row>
    <row r="3656" spans="2:18" x14ac:dyDescent="0.35">
      <c r="B3656" s="113">
        <v>46240</v>
      </c>
      <c r="C3656" s="4" t="s">
        <v>2447</v>
      </c>
      <c r="D3656" s="4" t="s">
        <v>4568</v>
      </c>
      <c r="E3656" s="1" t="str">
        <f>_xlfn.XLOOKUP(tblSales[[#This Row],[Customer ID]],tblCustomers[Customer ID],tblCustomers[Customer Name],"⚠ Unknown")</f>
        <v>Walk-in Customer</v>
      </c>
      <c r="F3656" s="4" t="s">
        <v>8</v>
      </c>
      <c r="G3656" s="1" t="str">
        <f>_xlfn.XLOOKUP(tblSales[[#This Row],[Product Code]],tblProducts[Code],tblProducts[Product / Service Name],"⚠ Unknown")</f>
        <v>Casual Shorts</v>
      </c>
      <c r="H3656" s="1" t="str">
        <f>_xlfn.XLOOKUP(tblSales[[#This Row],[Product Code]],tblProducts[Code],tblProducts[Category],"")</f>
        <v>Accessories &amp; Basics</v>
      </c>
      <c r="I3656" s="4">
        <v>5</v>
      </c>
      <c r="J3656" s="5">
        <f>_xlfn.XLOOKUP(tblSales[[#This Row],[Product Code]],tblProducts[Code],tblProducts[Selling Price (excl. VAT)],0)</f>
        <v>85000</v>
      </c>
      <c r="K3656" s="5">
        <f>tblSales[[#This Row],[Qty]]*tblSales[[#This Row],[Unit Price]]</f>
        <v>425000</v>
      </c>
      <c r="L3656" s="5">
        <f>ROUND(tblSales[[#This Row],[DPP (excl. VAT)]]*VATEff,0)</f>
        <v>46750</v>
      </c>
      <c r="M3656" s="5">
        <f>tblSales[[#This Row],[DPP (excl. VAT)]]+tblSales[[#This Row],[Output VAT]]</f>
        <v>471750</v>
      </c>
      <c r="N3656" s="5">
        <f>tblSales[[#This Row],[Qty]]*_xlfn.XLOOKUP(tblSales[[#This Row],[Product Code]],tblProducts[Code],tblProducts[Unit Cost],0)</f>
        <v>250000</v>
      </c>
      <c r="O3656" s="4" t="s">
        <v>4866</v>
      </c>
      <c r="P3656" s="4" t="s">
        <v>4861</v>
      </c>
      <c r="Q3656" s="1" t="str">
        <f>_xlfn.XLOOKUP(tblSales[[#This Row],[Channel Code]],tblChannels[Channel Code],tblChannels[Channel Name],"")</f>
        <v>Marketplace</v>
      </c>
      <c r="R3656" s="1">
        <f>MONTH(tblSales[[#This Row],[Date]])</f>
        <v>8</v>
      </c>
    </row>
    <row r="3657" spans="2:18" x14ac:dyDescent="0.35">
      <c r="B3657" s="113">
        <v>46240</v>
      </c>
      <c r="C3657" s="4" t="s">
        <v>2448</v>
      </c>
      <c r="D3657" s="4" t="s">
        <v>4568</v>
      </c>
      <c r="E3657" s="1" t="str">
        <f>_xlfn.XLOOKUP(tblSales[[#This Row],[Customer ID]],tblCustomers[Customer ID],tblCustomers[Customer Name],"⚠ Unknown")</f>
        <v>Walk-in Customer</v>
      </c>
      <c r="F3657" s="4" t="s">
        <v>8</v>
      </c>
      <c r="G3657" s="1" t="str">
        <f>_xlfn.XLOOKUP(tblSales[[#This Row],[Product Code]],tblProducts[Code],tblProducts[Product / Service Name],"⚠ Unknown")</f>
        <v>Casual Shorts</v>
      </c>
      <c r="H3657" s="1" t="str">
        <f>_xlfn.XLOOKUP(tblSales[[#This Row],[Product Code]],tblProducts[Code],tblProducts[Category],"")</f>
        <v>Accessories &amp; Basics</v>
      </c>
      <c r="I3657" s="4">
        <v>9</v>
      </c>
      <c r="J3657" s="5">
        <f>_xlfn.XLOOKUP(tblSales[[#This Row],[Product Code]],tblProducts[Code],tblProducts[Selling Price (excl. VAT)],0)</f>
        <v>85000</v>
      </c>
      <c r="K3657" s="5">
        <f>tblSales[[#This Row],[Qty]]*tblSales[[#This Row],[Unit Price]]</f>
        <v>765000</v>
      </c>
      <c r="L3657" s="5">
        <f>ROUND(tblSales[[#This Row],[DPP (excl. VAT)]]*VATEff,0)</f>
        <v>84150</v>
      </c>
      <c r="M3657" s="5">
        <f>tblSales[[#This Row],[DPP (excl. VAT)]]+tblSales[[#This Row],[Output VAT]]</f>
        <v>849150</v>
      </c>
      <c r="N3657" s="5">
        <f>tblSales[[#This Row],[Qty]]*_xlfn.XLOOKUP(tblSales[[#This Row],[Product Code]],tblProducts[Code],tblProducts[Unit Cost],0)</f>
        <v>450000</v>
      </c>
      <c r="O3657" s="4" t="s">
        <v>4865</v>
      </c>
      <c r="P3657" s="4" t="s">
        <v>4860</v>
      </c>
      <c r="Q3657" s="1" t="str">
        <f>_xlfn.XLOOKUP(tblSales[[#This Row],[Channel Code]],tblChannels[Channel Code],tblChannels[Channel Name],"")</f>
        <v>In-store</v>
      </c>
      <c r="R3657" s="1">
        <f>MONTH(tblSales[[#This Row],[Date]])</f>
        <v>8</v>
      </c>
    </row>
    <row r="3658" spans="2:18" x14ac:dyDescent="0.35">
      <c r="B3658" s="113">
        <v>46240</v>
      </c>
      <c r="C3658" s="4" t="s">
        <v>2449</v>
      </c>
      <c r="D3658" s="4" t="s">
        <v>4568</v>
      </c>
      <c r="E3658" s="1" t="str">
        <f>_xlfn.XLOOKUP(tblSales[[#This Row],[Customer ID]],tblCustomers[Customer ID],tblCustomers[Customer Name],"⚠ Unknown")</f>
        <v>Walk-in Customer</v>
      </c>
      <c r="F3658" s="4" t="s">
        <v>6</v>
      </c>
      <c r="G3658" s="1" t="str">
        <f>_xlfn.XLOOKUP(tblSales[[#This Row],[Product Code]],tblProducts[Code],tblProducts[Product / Service Name],"⚠ Unknown")</f>
        <v>Socks &amp; Accessories</v>
      </c>
      <c r="H3658" s="1" t="str">
        <f>_xlfn.XLOOKUP(tblSales[[#This Row],[Product Code]],tblProducts[Code],tblProducts[Category],"")</f>
        <v>Accessories &amp; Basics</v>
      </c>
      <c r="I3658" s="4">
        <v>11</v>
      </c>
      <c r="J3658" s="5">
        <f>_xlfn.XLOOKUP(tblSales[[#This Row],[Product Code]],tblProducts[Code],tblProducts[Selling Price (excl. VAT)],0)</f>
        <v>45000</v>
      </c>
      <c r="K3658" s="5">
        <f>tblSales[[#This Row],[Qty]]*tblSales[[#This Row],[Unit Price]]</f>
        <v>495000</v>
      </c>
      <c r="L3658" s="5">
        <f>ROUND(tblSales[[#This Row],[DPP (excl. VAT)]]*VATEff,0)</f>
        <v>54450</v>
      </c>
      <c r="M3658" s="5">
        <f>tblSales[[#This Row],[DPP (excl. VAT)]]+tblSales[[#This Row],[Output VAT]]</f>
        <v>549450</v>
      </c>
      <c r="N3658" s="5">
        <f>tblSales[[#This Row],[Qty]]*_xlfn.XLOOKUP(tblSales[[#This Row],[Product Code]],tblProducts[Code],tblProducts[Unit Cost],0)</f>
        <v>264000</v>
      </c>
      <c r="O3658" s="4" t="s">
        <v>4866</v>
      </c>
      <c r="P3658" s="4" t="s">
        <v>4861</v>
      </c>
      <c r="Q3658" s="1" t="str">
        <f>_xlfn.XLOOKUP(tblSales[[#This Row],[Channel Code]],tblChannels[Channel Code],tblChannels[Channel Name],"")</f>
        <v>Marketplace</v>
      </c>
      <c r="R3658" s="1">
        <f>MONTH(tblSales[[#This Row],[Date]])</f>
        <v>8</v>
      </c>
    </row>
    <row r="3659" spans="2:18" x14ac:dyDescent="0.35">
      <c r="B3659" s="113">
        <v>46240</v>
      </c>
      <c r="C3659" s="4" t="s">
        <v>2449</v>
      </c>
      <c r="D3659" s="4" t="s">
        <v>4568</v>
      </c>
      <c r="E3659" s="1" t="str">
        <f>_xlfn.XLOOKUP(tblSales[[#This Row],[Customer ID]],tblCustomers[Customer ID],tblCustomers[Customer Name],"⚠ Unknown")</f>
        <v>Walk-in Customer</v>
      </c>
      <c r="F3659" s="4" t="s">
        <v>14</v>
      </c>
      <c r="G3659" s="1" t="str">
        <f>_xlfn.XLOOKUP(tblSales[[#This Row],[Product Code]],tblProducts[Code],tblProducts[Product / Service Name],"⚠ Unknown")</f>
        <v>Smartwatch</v>
      </c>
      <c r="H3659" s="1" t="str">
        <f>_xlfn.XLOOKUP(tblSales[[#This Row],[Product Code]],tblProducts[Code],tblProducts[Category],"")</f>
        <v>Bags &amp; Gadgets</v>
      </c>
      <c r="I3659" s="4">
        <v>1</v>
      </c>
      <c r="J3659" s="5">
        <f>_xlfn.XLOOKUP(tblSales[[#This Row],[Product Code]],tblProducts[Code],tblProducts[Selling Price (excl. VAT)],0)</f>
        <v>850000</v>
      </c>
      <c r="K3659" s="5">
        <f>tblSales[[#This Row],[Qty]]*tblSales[[#This Row],[Unit Price]]</f>
        <v>850000</v>
      </c>
      <c r="L3659" s="5">
        <f>ROUND(tblSales[[#This Row],[DPP (excl. VAT)]]*VATEff,0)</f>
        <v>93500</v>
      </c>
      <c r="M3659" s="5">
        <f>tblSales[[#This Row],[DPP (excl. VAT)]]+tblSales[[#This Row],[Output VAT]]</f>
        <v>943500</v>
      </c>
      <c r="N3659" s="5">
        <f>tblSales[[#This Row],[Qty]]*_xlfn.XLOOKUP(tblSales[[#This Row],[Product Code]],tblProducts[Code],tblProducts[Unit Cost],0)</f>
        <v>560000</v>
      </c>
      <c r="O3659" s="4" t="s">
        <v>4866</v>
      </c>
      <c r="P3659" s="4" t="s">
        <v>4861</v>
      </c>
      <c r="Q3659" s="1" t="str">
        <f>_xlfn.XLOOKUP(tblSales[[#This Row],[Channel Code]],tblChannels[Channel Code],tblChannels[Channel Name],"")</f>
        <v>Marketplace</v>
      </c>
      <c r="R3659" s="1">
        <f>MONTH(tblSales[[#This Row],[Date]])</f>
        <v>8</v>
      </c>
    </row>
    <row r="3660" spans="2:18" x14ac:dyDescent="0.35">
      <c r="B3660" s="113">
        <v>46240</v>
      </c>
      <c r="C3660" s="4" t="s">
        <v>2450</v>
      </c>
      <c r="D3660" s="4" t="s">
        <v>4568</v>
      </c>
      <c r="E3660" s="1" t="str">
        <f>_xlfn.XLOOKUP(tblSales[[#This Row],[Customer ID]],tblCustomers[Customer ID],tblCustomers[Customer Name],"⚠ Unknown")</f>
        <v>Walk-in Customer</v>
      </c>
      <c r="F3660" s="4" t="s">
        <v>13</v>
      </c>
      <c r="G3660" s="1" t="str">
        <f>_xlfn.XLOOKUP(tblSales[[#This Row],[Product Code]],tblProducts[Code],tblProducts[Product / Service Name],"⚠ Unknown")</f>
        <v>Backpack</v>
      </c>
      <c r="H3660" s="1" t="str">
        <f>_xlfn.XLOOKUP(tblSales[[#This Row],[Product Code]],tblProducts[Code],tblProducts[Category],"")</f>
        <v>Bags &amp; Gadgets</v>
      </c>
      <c r="I3660" s="4">
        <v>5</v>
      </c>
      <c r="J3660" s="5">
        <f>_xlfn.XLOOKUP(tblSales[[#This Row],[Product Code]],tblProducts[Code],tblProducts[Selling Price (excl. VAT)],0)</f>
        <v>500000</v>
      </c>
      <c r="K3660" s="5">
        <f>tblSales[[#This Row],[Qty]]*tblSales[[#This Row],[Unit Price]]</f>
        <v>2500000</v>
      </c>
      <c r="L3660" s="5">
        <f>ROUND(tblSales[[#This Row],[DPP (excl. VAT)]]*VATEff,0)</f>
        <v>275000</v>
      </c>
      <c r="M3660" s="5">
        <f>tblSales[[#This Row],[DPP (excl. VAT)]]+tblSales[[#This Row],[Output VAT]]</f>
        <v>2775000</v>
      </c>
      <c r="N3660" s="5">
        <f>tblSales[[#This Row],[Qty]]*_xlfn.XLOOKUP(tblSales[[#This Row],[Product Code]],tblProducts[Code],tblProducts[Unit Cost],0)</f>
        <v>1450000</v>
      </c>
      <c r="O3660" s="4" t="s">
        <v>4865</v>
      </c>
      <c r="P3660" s="4" t="s">
        <v>4860</v>
      </c>
      <c r="Q3660" s="1" t="str">
        <f>_xlfn.XLOOKUP(tblSales[[#This Row],[Channel Code]],tblChannels[Channel Code],tblChannels[Channel Name],"")</f>
        <v>In-store</v>
      </c>
      <c r="R3660" s="1">
        <f>MONTH(tblSales[[#This Row],[Date]])</f>
        <v>8</v>
      </c>
    </row>
    <row r="3661" spans="2:18" x14ac:dyDescent="0.35">
      <c r="B3661" s="113">
        <v>46240</v>
      </c>
      <c r="C3661" s="4" t="s">
        <v>2450</v>
      </c>
      <c r="D3661" s="4" t="s">
        <v>4568</v>
      </c>
      <c r="E3661" s="1" t="str">
        <f>_xlfn.XLOOKUP(tblSales[[#This Row],[Customer ID]],tblCustomers[Customer ID],tblCustomers[Customer Name],"⚠ Unknown")</f>
        <v>Walk-in Customer</v>
      </c>
      <c r="F3661" s="4" t="s">
        <v>7</v>
      </c>
      <c r="G3661" s="1" t="str">
        <f>_xlfn.XLOOKUP(tblSales[[#This Row],[Product Code]],tblProducts[Code],tblProducts[Product / Service Name],"⚠ Unknown")</f>
        <v>Premium Basic T-shirt</v>
      </c>
      <c r="H3661" s="1" t="str">
        <f>_xlfn.XLOOKUP(tblSales[[#This Row],[Product Code]],tblProducts[Code],tblProducts[Category],"")</f>
        <v>Accessories &amp; Basics</v>
      </c>
      <c r="I3661" s="4">
        <v>9</v>
      </c>
      <c r="J3661" s="5">
        <f>_xlfn.XLOOKUP(tblSales[[#This Row],[Product Code]],tblProducts[Code],tblProducts[Selling Price (excl. VAT)],0)</f>
        <v>65000</v>
      </c>
      <c r="K3661" s="5">
        <f>tblSales[[#This Row],[Qty]]*tblSales[[#This Row],[Unit Price]]</f>
        <v>585000</v>
      </c>
      <c r="L3661" s="5">
        <f>ROUND(tblSales[[#This Row],[DPP (excl. VAT)]]*VATEff,0)</f>
        <v>64350</v>
      </c>
      <c r="M3661" s="5">
        <f>tblSales[[#This Row],[DPP (excl. VAT)]]+tblSales[[#This Row],[Output VAT]]</f>
        <v>649350</v>
      </c>
      <c r="N3661" s="5">
        <f>tblSales[[#This Row],[Qty]]*_xlfn.XLOOKUP(tblSales[[#This Row],[Product Code]],tblProducts[Code],tblProducts[Unit Cost],0)</f>
        <v>333000</v>
      </c>
      <c r="O3661" s="4" t="s">
        <v>4865</v>
      </c>
      <c r="P3661" s="4" t="s">
        <v>4860</v>
      </c>
      <c r="Q3661" s="1" t="str">
        <f>_xlfn.XLOOKUP(tblSales[[#This Row],[Channel Code]],tblChannels[Channel Code],tblChannels[Channel Name],"")</f>
        <v>In-store</v>
      </c>
      <c r="R3661" s="1">
        <f>MONTH(tblSales[[#This Row],[Date]])</f>
        <v>8</v>
      </c>
    </row>
    <row r="3662" spans="2:18" x14ac:dyDescent="0.35">
      <c r="B3662" s="113">
        <v>46240</v>
      </c>
      <c r="C3662" s="4" t="s">
        <v>2451</v>
      </c>
      <c r="D3662" s="4" t="s">
        <v>4568</v>
      </c>
      <c r="E3662" s="1" t="str">
        <f>_xlfn.XLOOKUP(tblSales[[#This Row],[Customer ID]],tblCustomers[Customer ID],tblCustomers[Customer Name],"⚠ Unknown")</f>
        <v>Walk-in Customer</v>
      </c>
      <c r="F3662" s="4" t="s">
        <v>6</v>
      </c>
      <c r="G3662" s="1" t="str">
        <f>_xlfn.XLOOKUP(tblSales[[#This Row],[Product Code]],tblProducts[Code],tblProducts[Product / Service Name],"⚠ Unknown")</f>
        <v>Socks &amp; Accessories</v>
      </c>
      <c r="H3662" s="1" t="str">
        <f>_xlfn.XLOOKUP(tblSales[[#This Row],[Product Code]],tblProducts[Code],tblProducts[Category],"")</f>
        <v>Accessories &amp; Basics</v>
      </c>
      <c r="I3662" s="4">
        <v>9</v>
      </c>
      <c r="J3662" s="5">
        <f>_xlfn.XLOOKUP(tblSales[[#This Row],[Product Code]],tblProducts[Code],tblProducts[Selling Price (excl. VAT)],0)</f>
        <v>45000</v>
      </c>
      <c r="K3662" s="5">
        <f>tblSales[[#This Row],[Qty]]*tblSales[[#This Row],[Unit Price]]</f>
        <v>405000</v>
      </c>
      <c r="L3662" s="5">
        <f>ROUND(tblSales[[#This Row],[DPP (excl. VAT)]]*VATEff,0)</f>
        <v>44550</v>
      </c>
      <c r="M3662" s="5">
        <f>tblSales[[#This Row],[DPP (excl. VAT)]]+tblSales[[#This Row],[Output VAT]]</f>
        <v>449550</v>
      </c>
      <c r="N3662" s="5">
        <f>tblSales[[#This Row],[Qty]]*_xlfn.XLOOKUP(tblSales[[#This Row],[Product Code]],tblProducts[Code],tblProducts[Unit Cost],0)</f>
        <v>216000</v>
      </c>
      <c r="O3662" s="4" t="s">
        <v>4865</v>
      </c>
      <c r="P3662" s="4" t="s">
        <v>4860</v>
      </c>
      <c r="Q3662" s="1" t="str">
        <f>_xlfn.XLOOKUP(tblSales[[#This Row],[Channel Code]],tblChannels[Channel Code],tblChannels[Channel Name],"")</f>
        <v>In-store</v>
      </c>
      <c r="R3662" s="1">
        <f>MONTH(tblSales[[#This Row],[Date]])</f>
        <v>8</v>
      </c>
    </row>
    <row r="3663" spans="2:18" x14ac:dyDescent="0.35">
      <c r="B3663" s="113">
        <v>46241</v>
      </c>
      <c r="C3663" s="4" t="s">
        <v>2452</v>
      </c>
      <c r="D3663" s="4" t="s">
        <v>4593</v>
      </c>
      <c r="E3663" s="1" t="str">
        <f>_xlfn.XLOOKUP(tblSales[[#This Row],[Customer ID]],tblCustomers[Customer ID],tblCustomers[Customer Name],"⚠ Unknown")</f>
        <v>PT Graha Nusa Persada</v>
      </c>
      <c r="F3663" s="4" t="s">
        <v>6</v>
      </c>
      <c r="G3663" s="1" t="str">
        <f>_xlfn.XLOOKUP(tblSales[[#This Row],[Product Code]],tblProducts[Code],tblProducts[Product / Service Name],"⚠ Unknown")</f>
        <v>Socks &amp; Accessories</v>
      </c>
      <c r="H3663" s="1" t="str">
        <f>_xlfn.XLOOKUP(tblSales[[#This Row],[Product Code]],tblProducts[Code],tblProducts[Category],"")</f>
        <v>Accessories &amp; Basics</v>
      </c>
      <c r="I3663" s="4">
        <v>96</v>
      </c>
      <c r="J3663" s="5">
        <f>_xlfn.XLOOKUP(tblSales[[#This Row],[Product Code]],tblProducts[Code],tblProducts[Selling Price (excl. VAT)],0)</f>
        <v>45000</v>
      </c>
      <c r="K3663" s="5">
        <f>tblSales[[#This Row],[Qty]]*tblSales[[#This Row],[Unit Price]]</f>
        <v>4320000</v>
      </c>
      <c r="L3663" s="5">
        <f>ROUND(tblSales[[#This Row],[DPP (excl. VAT)]]*VATEff,0)</f>
        <v>475200</v>
      </c>
      <c r="M3663" s="5">
        <f>tblSales[[#This Row],[DPP (excl. VAT)]]+tblSales[[#This Row],[Output VAT]]</f>
        <v>4795200</v>
      </c>
      <c r="N3663" s="5">
        <f>tblSales[[#This Row],[Qty]]*_xlfn.XLOOKUP(tblSales[[#This Row],[Product Code]],tblProducts[Code],tblProducts[Unit Cost],0)</f>
        <v>2304000</v>
      </c>
      <c r="O3663" s="4" t="s">
        <v>4867</v>
      </c>
      <c r="P3663" s="4" t="s">
        <v>4860</v>
      </c>
      <c r="Q3663" s="1" t="str">
        <f>_xlfn.XLOOKUP(tblSales[[#This Row],[Channel Code]],tblChannels[Channel Code],tblChannels[Channel Name],"")</f>
        <v>In-store</v>
      </c>
      <c r="R3663" s="1">
        <f>MONTH(tblSales[[#This Row],[Date]])</f>
        <v>8</v>
      </c>
    </row>
    <row r="3664" spans="2:18" x14ac:dyDescent="0.35">
      <c r="B3664" s="113">
        <v>46241</v>
      </c>
      <c r="C3664" s="4" t="s">
        <v>2453</v>
      </c>
      <c r="D3664" s="4" t="s">
        <v>4593</v>
      </c>
      <c r="E3664" s="1" t="str">
        <f>_xlfn.XLOOKUP(tblSales[[#This Row],[Customer ID]],tblCustomers[Customer ID],tblCustomers[Customer Name],"⚠ Unknown")</f>
        <v>PT Graha Nusa Persada</v>
      </c>
      <c r="F3664" s="4" t="s">
        <v>10</v>
      </c>
      <c r="G3664" s="1" t="str">
        <f>_xlfn.XLOOKUP(tblSales[[#This Row],[Product Code]],tblProducts[Code],tblProducts[Product / Service Name],"⚠ Unknown")</f>
        <v>Chino Pants</v>
      </c>
      <c r="H3664" s="1" t="str">
        <f>_xlfn.XLOOKUP(tblSales[[#This Row],[Product Code]],tblProducts[Code],tblProducts[Category],"")</f>
        <v>Apparel &amp; Footwear</v>
      </c>
      <c r="I3664" s="4">
        <v>16</v>
      </c>
      <c r="J3664" s="5">
        <f>_xlfn.XLOOKUP(tblSales[[#This Row],[Product Code]],tblProducts[Code],tblProducts[Selling Price (excl. VAT)],0)</f>
        <v>150000</v>
      </c>
      <c r="K3664" s="5">
        <f>tblSales[[#This Row],[Qty]]*tblSales[[#This Row],[Unit Price]]</f>
        <v>2400000</v>
      </c>
      <c r="L3664" s="5">
        <f>ROUND(tblSales[[#This Row],[DPP (excl. VAT)]]*VATEff,0)</f>
        <v>264000</v>
      </c>
      <c r="M3664" s="5">
        <f>tblSales[[#This Row],[DPP (excl. VAT)]]+tblSales[[#This Row],[Output VAT]]</f>
        <v>2664000</v>
      </c>
      <c r="N3664" s="5">
        <f>tblSales[[#This Row],[Qty]]*_xlfn.XLOOKUP(tblSales[[#This Row],[Product Code]],tblProducts[Code],tblProducts[Unit Cost],0)</f>
        <v>1408000</v>
      </c>
      <c r="O3664" s="4" t="s">
        <v>4867</v>
      </c>
      <c r="P3664" s="4" t="s">
        <v>4860</v>
      </c>
      <c r="Q3664" s="1" t="str">
        <f>_xlfn.XLOOKUP(tblSales[[#This Row],[Channel Code]],tblChannels[Channel Code],tblChannels[Channel Name],"")</f>
        <v>In-store</v>
      </c>
      <c r="R3664" s="1">
        <f>MONTH(tblSales[[#This Row],[Date]])</f>
        <v>8</v>
      </c>
    </row>
    <row r="3665" spans="2:18" x14ac:dyDescent="0.35">
      <c r="B3665" s="113">
        <v>46241</v>
      </c>
      <c r="C3665" s="4" t="s">
        <v>2454</v>
      </c>
      <c r="D3665" s="4" t="s">
        <v>4568</v>
      </c>
      <c r="E3665" s="1" t="str">
        <f>_xlfn.XLOOKUP(tblSales[[#This Row],[Customer ID]],tblCustomers[Customer ID],tblCustomers[Customer Name],"⚠ Unknown")</f>
        <v>Walk-in Customer</v>
      </c>
      <c r="F3665" s="4" t="s">
        <v>8</v>
      </c>
      <c r="G3665" s="1" t="str">
        <f>_xlfn.XLOOKUP(tblSales[[#This Row],[Product Code]],tblProducts[Code],tblProducts[Product / Service Name],"⚠ Unknown")</f>
        <v>Casual Shorts</v>
      </c>
      <c r="H3665" s="1" t="str">
        <f>_xlfn.XLOOKUP(tblSales[[#This Row],[Product Code]],tblProducts[Code],tblProducts[Category],"")</f>
        <v>Accessories &amp; Basics</v>
      </c>
      <c r="I3665" s="4">
        <v>4</v>
      </c>
      <c r="J3665" s="5">
        <f>_xlfn.XLOOKUP(tblSales[[#This Row],[Product Code]],tblProducts[Code],tblProducts[Selling Price (excl. VAT)],0)</f>
        <v>85000</v>
      </c>
      <c r="K3665" s="5">
        <f>tblSales[[#This Row],[Qty]]*tblSales[[#This Row],[Unit Price]]</f>
        <v>340000</v>
      </c>
      <c r="L3665" s="5">
        <f>ROUND(tblSales[[#This Row],[DPP (excl. VAT)]]*VATEff,0)</f>
        <v>37400</v>
      </c>
      <c r="M3665" s="5">
        <f>tblSales[[#This Row],[DPP (excl. VAT)]]+tblSales[[#This Row],[Output VAT]]</f>
        <v>377400</v>
      </c>
      <c r="N3665" s="5">
        <f>tblSales[[#This Row],[Qty]]*_xlfn.XLOOKUP(tblSales[[#This Row],[Product Code]],tblProducts[Code],tblProducts[Unit Cost],0)</f>
        <v>200000</v>
      </c>
      <c r="O3665" s="4" t="s">
        <v>4865</v>
      </c>
      <c r="P3665" s="4" t="s">
        <v>4860</v>
      </c>
      <c r="Q3665" s="1" t="str">
        <f>_xlfn.XLOOKUP(tblSales[[#This Row],[Channel Code]],tblChannels[Channel Code],tblChannels[Channel Name],"")</f>
        <v>In-store</v>
      </c>
      <c r="R3665" s="1">
        <f>MONTH(tblSales[[#This Row],[Date]])</f>
        <v>8</v>
      </c>
    </row>
    <row r="3666" spans="2:18" x14ac:dyDescent="0.35">
      <c r="B3666" s="113">
        <v>46241</v>
      </c>
      <c r="C3666" s="4" t="s">
        <v>2455</v>
      </c>
      <c r="D3666" s="4" t="s">
        <v>4568</v>
      </c>
      <c r="E3666" s="1" t="str">
        <f>_xlfn.XLOOKUP(tblSales[[#This Row],[Customer ID]],tblCustomers[Customer ID],tblCustomers[Customer Name],"⚠ Unknown")</f>
        <v>Walk-in Customer</v>
      </c>
      <c r="F3666" s="4" t="s">
        <v>6</v>
      </c>
      <c r="G3666" s="1" t="str">
        <f>_xlfn.XLOOKUP(tblSales[[#This Row],[Product Code]],tblProducts[Code],tblProducts[Product / Service Name],"⚠ Unknown")</f>
        <v>Socks &amp; Accessories</v>
      </c>
      <c r="H3666" s="1" t="str">
        <f>_xlfn.XLOOKUP(tblSales[[#This Row],[Product Code]],tblProducts[Code],tblProducts[Category],"")</f>
        <v>Accessories &amp; Basics</v>
      </c>
      <c r="I3666" s="4">
        <v>7</v>
      </c>
      <c r="J3666" s="5">
        <f>_xlfn.XLOOKUP(tblSales[[#This Row],[Product Code]],tblProducts[Code],tblProducts[Selling Price (excl. VAT)],0)</f>
        <v>45000</v>
      </c>
      <c r="K3666" s="5">
        <f>tblSales[[#This Row],[Qty]]*tblSales[[#This Row],[Unit Price]]</f>
        <v>315000</v>
      </c>
      <c r="L3666" s="5">
        <f>ROUND(tblSales[[#This Row],[DPP (excl. VAT)]]*VATEff,0)</f>
        <v>34650</v>
      </c>
      <c r="M3666" s="5">
        <f>tblSales[[#This Row],[DPP (excl. VAT)]]+tblSales[[#This Row],[Output VAT]]</f>
        <v>349650</v>
      </c>
      <c r="N3666" s="5">
        <f>tblSales[[#This Row],[Qty]]*_xlfn.XLOOKUP(tblSales[[#This Row],[Product Code]],tblProducts[Code],tblProducts[Unit Cost],0)</f>
        <v>168000</v>
      </c>
      <c r="O3666" s="4" t="s">
        <v>4866</v>
      </c>
      <c r="P3666" s="4" t="s">
        <v>4861</v>
      </c>
      <c r="Q3666" s="1" t="str">
        <f>_xlfn.XLOOKUP(tblSales[[#This Row],[Channel Code]],tblChannels[Channel Code],tblChannels[Channel Name],"")</f>
        <v>Marketplace</v>
      </c>
      <c r="R3666" s="1">
        <f>MONTH(tblSales[[#This Row],[Date]])</f>
        <v>8</v>
      </c>
    </row>
    <row r="3667" spans="2:18" x14ac:dyDescent="0.35">
      <c r="B3667" s="113">
        <v>46241</v>
      </c>
      <c r="C3667" s="4" t="s">
        <v>2456</v>
      </c>
      <c r="D3667" s="4" t="s">
        <v>4568</v>
      </c>
      <c r="E3667" s="1" t="str">
        <f>_xlfn.XLOOKUP(tblSales[[#This Row],[Customer ID]],tblCustomers[Customer ID],tblCustomers[Customer Name],"⚠ Unknown")</f>
        <v>Walk-in Customer</v>
      </c>
      <c r="F3667" s="4" t="s">
        <v>6</v>
      </c>
      <c r="G3667" s="1" t="str">
        <f>_xlfn.XLOOKUP(tblSales[[#This Row],[Product Code]],tblProducts[Code],tblProducts[Product / Service Name],"⚠ Unknown")</f>
        <v>Socks &amp; Accessories</v>
      </c>
      <c r="H3667" s="1" t="str">
        <f>_xlfn.XLOOKUP(tblSales[[#This Row],[Product Code]],tblProducts[Code],tblProducts[Category],"")</f>
        <v>Accessories &amp; Basics</v>
      </c>
      <c r="I3667" s="4">
        <v>2</v>
      </c>
      <c r="J3667" s="5">
        <f>_xlfn.XLOOKUP(tblSales[[#This Row],[Product Code]],tblProducts[Code],tblProducts[Selling Price (excl. VAT)],0)</f>
        <v>45000</v>
      </c>
      <c r="K3667" s="5">
        <f>tblSales[[#This Row],[Qty]]*tblSales[[#This Row],[Unit Price]]</f>
        <v>90000</v>
      </c>
      <c r="L3667" s="5">
        <f>ROUND(tblSales[[#This Row],[DPP (excl. VAT)]]*VATEff,0)</f>
        <v>9900</v>
      </c>
      <c r="M3667" s="5">
        <f>tblSales[[#This Row],[DPP (excl. VAT)]]+tblSales[[#This Row],[Output VAT]]</f>
        <v>99900</v>
      </c>
      <c r="N3667" s="5">
        <f>tblSales[[#This Row],[Qty]]*_xlfn.XLOOKUP(tblSales[[#This Row],[Product Code]],tblProducts[Code],tblProducts[Unit Cost],0)</f>
        <v>48000</v>
      </c>
      <c r="O3667" s="4" t="s">
        <v>4865</v>
      </c>
      <c r="P3667" s="4" t="s">
        <v>4860</v>
      </c>
      <c r="Q3667" s="1" t="str">
        <f>_xlfn.XLOOKUP(tblSales[[#This Row],[Channel Code]],tblChannels[Channel Code],tblChannels[Channel Name],"")</f>
        <v>In-store</v>
      </c>
      <c r="R3667" s="1">
        <f>MONTH(tblSales[[#This Row],[Date]])</f>
        <v>8</v>
      </c>
    </row>
    <row r="3668" spans="2:18" x14ac:dyDescent="0.35">
      <c r="B3668" s="113">
        <v>46241</v>
      </c>
      <c r="C3668" s="4" t="s">
        <v>2456</v>
      </c>
      <c r="D3668" s="4" t="s">
        <v>4568</v>
      </c>
      <c r="E3668" s="1" t="str">
        <f>_xlfn.XLOOKUP(tblSales[[#This Row],[Customer ID]],tblCustomers[Customer ID],tblCustomers[Customer Name],"⚠ Unknown")</f>
        <v>Walk-in Customer</v>
      </c>
      <c r="F3668" s="4" t="s">
        <v>10</v>
      </c>
      <c r="G3668" s="1" t="str">
        <f>_xlfn.XLOOKUP(tblSales[[#This Row],[Product Code]],tblProducts[Code],tblProducts[Product / Service Name],"⚠ Unknown")</f>
        <v>Chino Pants</v>
      </c>
      <c r="H3668" s="1" t="str">
        <f>_xlfn.XLOOKUP(tblSales[[#This Row],[Product Code]],tblProducts[Code],tblProducts[Category],"")</f>
        <v>Apparel &amp; Footwear</v>
      </c>
      <c r="I3668" s="4">
        <v>3</v>
      </c>
      <c r="J3668" s="5">
        <f>_xlfn.XLOOKUP(tblSales[[#This Row],[Product Code]],tblProducts[Code],tblProducts[Selling Price (excl. VAT)],0)</f>
        <v>150000</v>
      </c>
      <c r="K3668" s="5">
        <f>tblSales[[#This Row],[Qty]]*tblSales[[#This Row],[Unit Price]]</f>
        <v>450000</v>
      </c>
      <c r="L3668" s="5">
        <f>ROUND(tblSales[[#This Row],[DPP (excl. VAT)]]*VATEff,0)</f>
        <v>49500</v>
      </c>
      <c r="M3668" s="5">
        <f>tblSales[[#This Row],[DPP (excl. VAT)]]+tblSales[[#This Row],[Output VAT]]</f>
        <v>499500</v>
      </c>
      <c r="N3668" s="5">
        <f>tblSales[[#This Row],[Qty]]*_xlfn.XLOOKUP(tblSales[[#This Row],[Product Code]],tblProducts[Code],tblProducts[Unit Cost],0)</f>
        <v>264000</v>
      </c>
      <c r="O3668" s="4" t="s">
        <v>4865</v>
      </c>
      <c r="P3668" s="4" t="s">
        <v>4860</v>
      </c>
      <c r="Q3668" s="1" t="str">
        <f>_xlfn.XLOOKUP(tblSales[[#This Row],[Channel Code]],tblChannels[Channel Code],tblChannels[Channel Name],"")</f>
        <v>In-store</v>
      </c>
      <c r="R3668" s="1">
        <f>MONTH(tblSales[[#This Row],[Date]])</f>
        <v>8</v>
      </c>
    </row>
    <row r="3669" spans="2:18" x14ac:dyDescent="0.35">
      <c r="B3669" s="113">
        <v>46241</v>
      </c>
      <c r="C3669" s="4" t="s">
        <v>2457</v>
      </c>
      <c r="D3669" s="4" t="s">
        <v>4568</v>
      </c>
      <c r="E3669" s="1" t="str">
        <f>_xlfn.XLOOKUP(tblSales[[#This Row],[Customer ID]],tblCustomers[Customer ID],tblCustomers[Customer Name],"⚠ Unknown")</f>
        <v>Walk-in Customer</v>
      </c>
      <c r="F3669" s="4" t="s">
        <v>11</v>
      </c>
      <c r="G3669" s="1" t="str">
        <f>_xlfn.XLOOKUP(tblSales[[#This Row],[Product Code]],tblProducts[Code],tblProducts[Product / Service Name],"⚠ Unknown")</f>
        <v>Sneakers</v>
      </c>
      <c r="H3669" s="1" t="str">
        <f>_xlfn.XLOOKUP(tblSales[[#This Row],[Product Code]],tblProducts[Code],tblProducts[Category],"")</f>
        <v>Apparel &amp; Footwear</v>
      </c>
      <c r="I3669" s="4">
        <v>2</v>
      </c>
      <c r="J3669" s="5">
        <f>_xlfn.XLOOKUP(tblSales[[#This Row],[Product Code]],tblProducts[Code],tblProducts[Selling Price (excl. VAT)],0)</f>
        <v>250000</v>
      </c>
      <c r="K3669" s="5">
        <f>tblSales[[#This Row],[Qty]]*tblSales[[#This Row],[Unit Price]]</f>
        <v>500000</v>
      </c>
      <c r="L3669" s="5">
        <f>ROUND(tblSales[[#This Row],[DPP (excl. VAT)]]*VATEff,0)</f>
        <v>55000</v>
      </c>
      <c r="M3669" s="5">
        <f>tblSales[[#This Row],[DPP (excl. VAT)]]+tblSales[[#This Row],[Output VAT]]</f>
        <v>555000</v>
      </c>
      <c r="N3669" s="5">
        <f>tblSales[[#This Row],[Qty]]*_xlfn.XLOOKUP(tblSales[[#This Row],[Product Code]],tblProducts[Code],tblProducts[Unit Cost],0)</f>
        <v>310000</v>
      </c>
      <c r="O3669" s="4" t="s">
        <v>4866</v>
      </c>
      <c r="P3669" s="4" t="s">
        <v>4861</v>
      </c>
      <c r="Q3669" s="1" t="str">
        <f>_xlfn.XLOOKUP(tblSales[[#This Row],[Channel Code]],tblChannels[Channel Code],tblChannels[Channel Name],"")</f>
        <v>Marketplace</v>
      </c>
      <c r="R3669" s="1">
        <f>MONTH(tblSales[[#This Row],[Date]])</f>
        <v>8</v>
      </c>
    </row>
    <row r="3670" spans="2:18" x14ac:dyDescent="0.35">
      <c r="B3670" s="113">
        <v>46241</v>
      </c>
      <c r="C3670" s="4" t="s">
        <v>2458</v>
      </c>
      <c r="D3670" s="4" t="s">
        <v>4568</v>
      </c>
      <c r="E3670" s="1" t="str">
        <f>_xlfn.XLOOKUP(tblSales[[#This Row],[Customer ID]],tblCustomers[Customer ID],tblCustomers[Customer Name],"⚠ Unknown")</f>
        <v>Walk-in Customer</v>
      </c>
      <c r="F3670" s="4" t="s">
        <v>7</v>
      </c>
      <c r="G3670" s="1" t="str">
        <f>_xlfn.XLOOKUP(tblSales[[#This Row],[Product Code]],tblProducts[Code],tblProducts[Product / Service Name],"⚠ Unknown")</f>
        <v>Premium Basic T-shirt</v>
      </c>
      <c r="H3670" s="1" t="str">
        <f>_xlfn.XLOOKUP(tblSales[[#This Row],[Product Code]],tblProducts[Code],tblProducts[Category],"")</f>
        <v>Accessories &amp; Basics</v>
      </c>
      <c r="I3670" s="4">
        <v>10</v>
      </c>
      <c r="J3670" s="5">
        <f>_xlfn.XLOOKUP(tblSales[[#This Row],[Product Code]],tblProducts[Code],tblProducts[Selling Price (excl. VAT)],0)</f>
        <v>65000</v>
      </c>
      <c r="K3670" s="5">
        <f>tblSales[[#This Row],[Qty]]*tblSales[[#This Row],[Unit Price]]</f>
        <v>650000</v>
      </c>
      <c r="L3670" s="5">
        <f>ROUND(tblSales[[#This Row],[DPP (excl. VAT)]]*VATEff,0)</f>
        <v>71500</v>
      </c>
      <c r="M3670" s="5">
        <f>tblSales[[#This Row],[DPP (excl. VAT)]]+tblSales[[#This Row],[Output VAT]]</f>
        <v>721500</v>
      </c>
      <c r="N3670" s="5">
        <f>tblSales[[#This Row],[Qty]]*_xlfn.XLOOKUP(tblSales[[#This Row],[Product Code]],tblProducts[Code],tblProducts[Unit Cost],0)</f>
        <v>370000</v>
      </c>
      <c r="O3670" s="4" t="s">
        <v>4866</v>
      </c>
      <c r="P3670" s="4" t="s">
        <v>4862</v>
      </c>
      <c r="Q3670" s="1" t="str">
        <f>_xlfn.XLOOKUP(tblSales[[#This Row],[Channel Code]],tblChannels[Channel Code],tblChannels[Channel Name],"")</f>
        <v>Website &amp; Social Media</v>
      </c>
      <c r="R3670" s="1">
        <f>MONTH(tblSales[[#This Row],[Date]])</f>
        <v>8</v>
      </c>
    </row>
    <row r="3671" spans="2:18" x14ac:dyDescent="0.35">
      <c r="B3671" s="113">
        <v>46241</v>
      </c>
      <c r="C3671" s="4" t="s">
        <v>2458</v>
      </c>
      <c r="D3671" s="4" t="s">
        <v>4568</v>
      </c>
      <c r="E3671" s="1" t="str">
        <f>_xlfn.XLOOKUP(tblSales[[#This Row],[Customer ID]],tblCustomers[Customer ID],tblCustomers[Customer Name],"⚠ Unknown")</f>
        <v>Walk-in Customer</v>
      </c>
      <c r="F3671" s="4" t="s">
        <v>8</v>
      </c>
      <c r="G3671" s="1" t="str">
        <f>_xlfn.XLOOKUP(tblSales[[#This Row],[Product Code]],tblProducts[Code],tblProducts[Product / Service Name],"⚠ Unknown")</f>
        <v>Casual Shorts</v>
      </c>
      <c r="H3671" s="1" t="str">
        <f>_xlfn.XLOOKUP(tblSales[[#This Row],[Product Code]],tblProducts[Code],tblProducts[Category],"")</f>
        <v>Accessories &amp; Basics</v>
      </c>
      <c r="I3671" s="4">
        <v>6</v>
      </c>
      <c r="J3671" s="5">
        <f>_xlfn.XLOOKUP(tblSales[[#This Row],[Product Code]],tblProducts[Code],tblProducts[Selling Price (excl. VAT)],0)</f>
        <v>85000</v>
      </c>
      <c r="K3671" s="5">
        <f>tblSales[[#This Row],[Qty]]*tblSales[[#This Row],[Unit Price]]</f>
        <v>510000</v>
      </c>
      <c r="L3671" s="5">
        <f>ROUND(tblSales[[#This Row],[DPP (excl. VAT)]]*VATEff,0)</f>
        <v>56100</v>
      </c>
      <c r="M3671" s="5">
        <f>tblSales[[#This Row],[DPP (excl. VAT)]]+tblSales[[#This Row],[Output VAT]]</f>
        <v>566100</v>
      </c>
      <c r="N3671" s="5">
        <f>tblSales[[#This Row],[Qty]]*_xlfn.XLOOKUP(tblSales[[#This Row],[Product Code]],tblProducts[Code],tblProducts[Unit Cost],0)</f>
        <v>300000</v>
      </c>
      <c r="O3671" s="4" t="s">
        <v>4866</v>
      </c>
      <c r="P3671" s="4" t="s">
        <v>4862</v>
      </c>
      <c r="Q3671" s="1" t="str">
        <f>_xlfn.XLOOKUP(tblSales[[#This Row],[Channel Code]],tblChannels[Channel Code],tblChannels[Channel Name],"")</f>
        <v>Website &amp; Social Media</v>
      </c>
      <c r="R3671" s="1">
        <f>MONTH(tblSales[[#This Row],[Date]])</f>
        <v>8</v>
      </c>
    </row>
    <row r="3672" spans="2:18" x14ac:dyDescent="0.35">
      <c r="B3672" s="113">
        <v>46241</v>
      </c>
      <c r="C3672" s="4" t="s">
        <v>2459</v>
      </c>
      <c r="D3672" s="4" t="s">
        <v>4641</v>
      </c>
      <c r="E3672" s="1" t="str">
        <f>_xlfn.XLOOKUP(tblSales[[#This Row],[Customer ID]],tblCustomers[Customer ID],tblCustomers[Customer Name],"⚠ Unknown")</f>
        <v>PT Harmoni Pangan Lestari</v>
      </c>
      <c r="F3672" s="4" t="s">
        <v>8</v>
      </c>
      <c r="G3672" s="1" t="str">
        <f>_xlfn.XLOOKUP(tblSales[[#This Row],[Product Code]],tblProducts[Code],tblProducts[Product / Service Name],"⚠ Unknown")</f>
        <v>Casual Shorts</v>
      </c>
      <c r="H3672" s="1" t="str">
        <f>_xlfn.XLOOKUP(tblSales[[#This Row],[Product Code]],tblProducts[Code],tblProducts[Category],"")</f>
        <v>Accessories &amp; Basics</v>
      </c>
      <c r="I3672" s="4">
        <v>88</v>
      </c>
      <c r="J3672" s="5">
        <f>_xlfn.XLOOKUP(tblSales[[#This Row],[Product Code]],tblProducts[Code],tblProducts[Selling Price (excl. VAT)],0)</f>
        <v>85000</v>
      </c>
      <c r="K3672" s="5">
        <f>tblSales[[#This Row],[Qty]]*tblSales[[#This Row],[Unit Price]]</f>
        <v>7480000</v>
      </c>
      <c r="L3672" s="5">
        <f>ROUND(tblSales[[#This Row],[DPP (excl. VAT)]]*VATEff,0)</f>
        <v>822800</v>
      </c>
      <c r="M3672" s="5">
        <f>tblSales[[#This Row],[DPP (excl. VAT)]]+tblSales[[#This Row],[Output VAT]]</f>
        <v>8302800</v>
      </c>
      <c r="N3672" s="5">
        <f>tblSales[[#This Row],[Qty]]*_xlfn.XLOOKUP(tblSales[[#This Row],[Product Code]],tblProducts[Code],tblProducts[Unit Cost],0)</f>
        <v>4400000</v>
      </c>
      <c r="O3672" s="4" t="s">
        <v>4867</v>
      </c>
      <c r="P3672" s="4" t="s">
        <v>4860</v>
      </c>
      <c r="Q3672" s="1" t="str">
        <f>_xlfn.XLOOKUP(tblSales[[#This Row],[Channel Code]],tblChannels[Channel Code],tblChannels[Channel Name],"")</f>
        <v>In-store</v>
      </c>
      <c r="R3672" s="1">
        <f>MONTH(tblSales[[#This Row],[Date]])</f>
        <v>8</v>
      </c>
    </row>
    <row r="3673" spans="2:18" x14ac:dyDescent="0.35">
      <c r="B3673" s="113">
        <v>46241</v>
      </c>
      <c r="C3673" s="4" t="s">
        <v>2460</v>
      </c>
      <c r="D3673" s="4" t="s">
        <v>4593</v>
      </c>
      <c r="E3673" s="1" t="str">
        <f>_xlfn.XLOOKUP(tblSales[[#This Row],[Customer ID]],tblCustomers[Customer ID],tblCustomers[Customer Name],"⚠ Unknown")</f>
        <v>PT Graha Nusa Persada</v>
      </c>
      <c r="F3673" s="4" t="s">
        <v>8</v>
      </c>
      <c r="G3673" s="1" t="str">
        <f>_xlfn.XLOOKUP(tblSales[[#This Row],[Product Code]],tblProducts[Code],tblProducts[Product / Service Name],"⚠ Unknown")</f>
        <v>Casual Shorts</v>
      </c>
      <c r="H3673" s="1" t="str">
        <f>_xlfn.XLOOKUP(tblSales[[#This Row],[Product Code]],tblProducts[Code],tblProducts[Category],"")</f>
        <v>Accessories &amp; Basics</v>
      </c>
      <c r="I3673" s="4">
        <v>16</v>
      </c>
      <c r="J3673" s="5">
        <f>_xlfn.XLOOKUP(tblSales[[#This Row],[Product Code]],tblProducts[Code],tblProducts[Selling Price (excl. VAT)],0)</f>
        <v>85000</v>
      </c>
      <c r="K3673" s="5">
        <f>tblSales[[#This Row],[Qty]]*tblSales[[#This Row],[Unit Price]]</f>
        <v>1360000</v>
      </c>
      <c r="L3673" s="5">
        <f>ROUND(tblSales[[#This Row],[DPP (excl. VAT)]]*VATEff,0)</f>
        <v>149600</v>
      </c>
      <c r="M3673" s="5">
        <f>tblSales[[#This Row],[DPP (excl. VAT)]]+tblSales[[#This Row],[Output VAT]]</f>
        <v>1509600</v>
      </c>
      <c r="N3673" s="5">
        <f>tblSales[[#This Row],[Qty]]*_xlfn.XLOOKUP(tblSales[[#This Row],[Product Code]],tblProducts[Code],tblProducts[Unit Cost],0)</f>
        <v>800000</v>
      </c>
      <c r="O3673" s="4" t="s">
        <v>4867</v>
      </c>
      <c r="P3673" s="4" t="s">
        <v>4860</v>
      </c>
      <c r="Q3673" s="1" t="str">
        <f>_xlfn.XLOOKUP(tblSales[[#This Row],[Channel Code]],tblChannels[Channel Code],tblChannels[Channel Name],"")</f>
        <v>In-store</v>
      </c>
      <c r="R3673" s="1">
        <f>MONTH(tblSales[[#This Row],[Date]])</f>
        <v>8</v>
      </c>
    </row>
    <row r="3674" spans="2:18" x14ac:dyDescent="0.35">
      <c r="B3674" s="113">
        <v>46241</v>
      </c>
      <c r="C3674" s="4" t="s">
        <v>2460</v>
      </c>
      <c r="D3674" s="4" t="s">
        <v>4593</v>
      </c>
      <c r="E3674" s="1" t="str">
        <f>_xlfn.XLOOKUP(tblSales[[#This Row],[Customer ID]],tblCustomers[Customer ID],tblCustomers[Customer Name],"⚠ Unknown")</f>
        <v>PT Graha Nusa Persada</v>
      </c>
      <c r="F3674" s="4" t="s">
        <v>12</v>
      </c>
      <c r="G3674" s="1" t="str">
        <f>_xlfn.XLOOKUP(tblSales[[#This Row],[Product Code]],tblProducts[Code],tblProducts[Product / Service Name],"⚠ Unknown")</f>
        <v>Bomber Jacket</v>
      </c>
      <c r="H3674" s="1" t="str">
        <f>_xlfn.XLOOKUP(tblSales[[#This Row],[Product Code]],tblProducts[Code],tblProducts[Category],"")</f>
        <v>Apparel &amp; Footwear</v>
      </c>
      <c r="I3674" s="4">
        <v>8</v>
      </c>
      <c r="J3674" s="5">
        <f>_xlfn.XLOOKUP(tblSales[[#This Row],[Product Code]],tblProducts[Code],tblProducts[Selling Price (excl. VAT)],0)</f>
        <v>350000</v>
      </c>
      <c r="K3674" s="5">
        <f>tblSales[[#This Row],[Qty]]*tblSales[[#This Row],[Unit Price]]</f>
        <v>2800000</v>
      </c>
      <c r="L3674" s="5">
        <f>ROUND(tblSales[[#This Row],[DPP (excl. VAT)]]*VATEff,0)</f>
        <v>308000</v>
      </c>
      <c r="M3674" s="5">
        <f>tblSales[[#This Row],[DPP (excl. VAT)]]+tblSales[[#This Row],[Output VAT]]</f>
        <v>3108000</v>
      </c>
      <c r="N3674" s="5">
        <f>tblSales[[#This Row],[Qty]]*_xlfn.XLOOKUP(tblSales[[#This Row],[Product Code]],tblProducts[Code],tblProducts[Unit Cost],0)</f>
        <v>1680000</v>
      </c>
      <c r="O3674" s="4" t="s">
        <v>4867</v>
      </c>
      <c r="P3674" s="4" t="s">
        <v>4860</v>
      </c>
      <c r="Q3674" s="1" t="str">
        <f>_xlfn.XLOOKUP(tblSales[[#This Row],[Channel Code]],tblChannels[Channel Code],tblChannels[Channel Name],"")</f>
        <v>In-store</v>
      </c>
      <c r="R3674" s="1">
        <f>MONTH(tblSales[[#This Row],[Date]])</f>
        <v>8</v>
      </c>
    </row>
    <row r="3675" spans="2:18" x14ac:dyDescent="0.35">
      <c r="B3675" s="113">
        <v>46241</v>
      </c>
      <c r="C3675" s="4" t="s">
        <v>2461</v>
      </c>
      <c r="D3675" s="4" t="s">
        <v>4593</v>
      </c>
      <c r="E3675" s="1" t="str">
        <f>_xlfn.XLOOKUP(tblSales[[#This Row],[Customer ID]],tblCustomers[Customer ID],tblCustomers[Customer Name],"⚠ Unknown")</f>
        <v>PT Graha Nusa Persada</v>
      </c>
      <c r="F3675" s="4" t="s">
        <v>6</v>
      </c>
      <c r="G3675" s="1" t="str">
        <f>_xlfn.XLOOKUP(tblSales[[#This Row],[Product Code]],tblProducts[Code],tblProducts[Product / Service Name],"⚠ Unknown")</f>
        <v>Socks &amp; Accessories</v>
      </c>
      <c r="H3675" s="1" t="str">
        <f>_xlfn.XLOOKUP(tblSales[[#This Row],[Product Code]],tblProducts[Code],tblProducts[Category],"")</f>
        <v>Accessories &amp; Basics</v>
      </c>
      <c r="I3675" s="4">
        <v>40</v>
      </c>
      <c r="J3675" s="5">
        <f>_xlfn.XLOOKUP(tblSales[[#This Row],[Product Code]],tblProducts[Code],tblProducts[Selling Price (excl. VAT)],0)</f>
        <v>45000</v>
      </c>
      <c r="K3675" s="5">
        <f>tblSales[[#This Row],[Qty]]*tblSales[[#This Row],[Unit Price]]</f>
        <v>1800000</v>
      </c>
      <c r="L3675" s="5">
        <f>ROUND(tblSales[[#This Row],[DPP (excl. VAT)]]*VATEff,0)</f>
        <v>198000</v>
      </c>
      <c r="M3675" s="5">
        <f>tblSales[[#This Row],[DPP (excl. VAT)]]+tblSales[[#This Row],[Output VAT]]</f>
        <v>1998000</v>
      </c>
      <c r="N3675" s="5">
        <f>tblSales[[#This Row],[Qty]]*_xlfn.XLOOKUP(tblSales[[#This Row],[Product Code]],tblProducts[Code],tblProducts[Unit Cost],0)</f>
        <v>960000</v>
      </c>
      <c r="O3675" s="4" t="s">
        <v>4867</v>
      </c>
      <c r="P3675" s="4" t="s">
        <v>4860</v>
      </c>
      <c r="Q3675" s="1" t="str">
        <f>_xlfn.XLOOKUP(tblSales[[#This Row],[Channel Code]],tblChannels[Channel Code],tblChannels[Channel Name],"")</f>
        <v>In-store</v>
      </c>
      <c r="R3675" s="1">
        <f>MONTH(tblSales[[#This Row],[Date]])</f>
        <v>8</v>
      </c>
    </row>
    <row r="3676" spans="2:18" x14ac:dyDescent="0.35">
      <c r="B3676" s="113">
        <v>46241</v>
      </c>
      <c r="C3676" s="4" t="s">
        <v>2462</v>
      </c>
      <c r="D3676" s="4" t="s">
        <v>4568</v>
      </c>
      <c r="E3676" s="1" t="str">
        <f>_xlfn.XLOOKUP(tblSales[[#This Row],[Customer ID]],tblCustomers[Customer ID],tblCustomers[Customer Name],"⚠ Unknown")</f>
        <v>Walk-in Customer</v>
      </c>
      <c r="F3676" s="4" t="s">
        <v>12</v>
      </c>
      <c r="G3676" s="1" t="str">
        <f>_xlfn.XLOOKUP(tblSales[[#This Row],[Product Code]],tblProducts[Code],tblProducts[Product / Service Name],"⚠ Unknown")</f>
        <v>Bomber Jacket</v>
      </c>
      <c r="H3676" s="1" t="str">
        <f>_xlfn.XLOOKUP(tblSales[[#This Row],[Product Code]],tblProducts[Code],tblProducts[Category],"")</f>
        <v>Apparel &amp; Footwear</v>
      </c>
      <c r="I3676" s="4">
        <v>5</v>
      </c>
      <c r="J3676" s="5">
        <f>_xlfn.XLOOKUP(tblSales[[#This Row],[Product Code]],tblProducts[Code],tblProducts[Selling Price (excl. VAT)],0)</f>
        <v>350000</v>
      </c>
      <c r="K3676" s="5">
        <f>tblSales[[#This Row],[Qty]]*tblSales[[#This Row],[Unit Price]]</f>
        <v>1750000</v>
      </c>
      <c r="L3676" s="5">
        <f>ROUND(tblSales[[#This Row],[DPP (excl. VAT)]]*VATEff,0)</f>
        <v>192500</v>
      </c>
      <c r="M3676" s="5">
        <f>tblSales[[#This Row],[DPP (excl. VAT)]]+tblSales[[#This Row],[Output VAT]]</f>
        <v>1942500</v>
      </c>
      <c r="N3676" s="5">
        <f>tblSales[[#This Row],[Qty]]*_xlfn.XLOOKUP(tblSales[[#This Row],[Product Code]],tblProducts[Code],tblProducts[Unit Cost],0)</f>
        <v>1050000</v>
      </c>
      <c r="O3676" s="4" t="s">
        <v>4865</v>
      </c>
      <c r="P3676" s="4" t="s">
        <v>4860</v>
      </c>
      <c r="Q3676" s="1" t="str">
        <f>_xlfn.XLOOKUP(tblSales[[#This Row],[Channel Code]],tblChannels[Channel Code],tblChannels[Channel Name],"")</f>
        <v>In-store</v>
      </c>
      <c r="R3676" s="1">
        <f>MONTH(tblSales[[#This Row],[Date]])</f>
        <v>8</v>
      </c>
    </row>
    <row r="3677" spans="2:18" x14ac:dyDescent="0.35">
      <c r="B3677" s="113">
        <v>46241</v>
      </c>
      <c r="C3677" s="4" t="s">
        <v>2463</v>
      </c>
      <c r="D3677" s="4" t="s">
        <v>4585</v>
      </c>
      <c r="E3677" s="1" t="str">
        <f>_xlfn.XLOOKUP(tblSales[[#This Row],[Customer ID]],tblCustomers[Customer ID],tblCustomers[Customer Name],"⚠ Unknown")</f>
        <v>CV Mitra Karya Mandiri</v>
      </c>
      <c r="F3677" s="4" t="s">
        <v>6</v>
      </c>
      <c r="G3677" s="1" t="str">
        <f>_xlfn.XLOOKUP(tblSales[[#This Row],[Product Code]],tblProducts[Code],tblProducts[Product / Service Name],"⚠ Unknown")</f>
        <v>Socks &amp; Accessories</v>
      </c>
      <c r="H3677" s="1" t="str">
        <f>_xlfn.XLOOKUP(tblSales[[#This Row],[Product Code]],tblProducts[Code],tblProducts[Category],"")</f>
        <v>Accessories &amp; Basics</v>
      </c>
      <c r="I3677" s="4">
        <v>72</v>
      </c>
      <c r="J3677" s="5">
        <f>_xlfn.XLOOKUP(tblSales[[#This Row],[Product Code]],tblProducts[Code],tblProducts[Selling Price (excl. VAT)],0)</f>
        <v>45000</v>
      </c>
      <c r="K3677" s="5">
        <f>tblSales[[#This Row],[Qty]]*tblSales[[#This Row],[Unit Price]]</f>
        <v>3240000</v>
      </c>
      <c r="L3677" s="5">
        <f>ROUND(tblSales[[#This Row],[DPP (excl. VAT)]]*VATEff,0)</f>
        <v>356400</v>
      </c>
      <c r="M3677" s="5">
        <f>tblSales[[#This Row],[DPP (excl. VAT)]]+tblSales[[#This Row],[Output VAT]]</f>
        <v>3596400</v>
      </c>
      <c r="N3677" s="5">
        <f>tblSales[[#This Row],[Qty]]*_xlfn.XLOOKUP(tblSales[[#This Row],[Product Code]],tblProducts[Code],tblProducts[Unit Cost],0)</f>
        <v>1728000</v>
      </c>
      <c r="O3677" s="4" t="s">
        <v>4867</v>
      </c>
      <c r="P3677" s="4" t="s">
        <v>4860</v>
      </c>
      <c r="Q3677" s="1" t="str">
        <f>_xlfn.XLOOKUP(tblSales[[#This Row],[Channel Code]],tblChannels[Channel Code],tblChannels[Channel Name],"")</f>
        <v>In-store</v>
      </c>
      <c r="R3677" s="1">
        <f>MONTH(tblSales[[#This Row],[Date]])</f>
        <v>8</v>
      </c>
    </row>
    <row r="3678" spans="2:18" x14ac:dyDescent="0.35">
      <c r="B3678" s="113">
        <v>46242</v>
      </c>
      <c r="C3678" s="4" t="s">
        <v>2464</v>
      </c>
      <c r="D3678" s="4" t="s">
        <v>4568</v>
      </c>
      <c r="E3678" s="1" t="str">
        <f>_xlfn.XLOOKUP(tblSales[[#This Row],[Customer ID]],tblCustomers[Customer ID],tblCustomers[Customer Name],"⚠ Unknown")</f>
        <v>Walk-in Customer</v>
      </c>
      <c r="F3678" s="4" t="s">
        <v>6</v>
      </c>
      <c r="G3678" s="1" t="str">
        <f>_xlfn.XLOOKUP(tblSales[[#This Row],[Product Code]],tblProducts[Code],tblProducts[Product / Service Name],"⚠ Unknown")</f>
        <v>Socks &amp; Accessories</v>
      </c>
      <c r="H3678" s="1" t="str">
        <f>_xlfn.XLOOKUP(tblSales[[#This Row],[Product Code]],tblProducts[Code],tblProducts[Category],"")</f>
        <v>Accessories &amp; Basics</v>
      </c>
      <c r="I3678" s="4">
        <v>2</v>
      </c>
      <c r="J3678" s="5">
        <f>_xlfn.XLOOKUP(tblSales[[#This Row],[Product Code]],tblProducts[Code],tblProducts[Selling Price (excl. VAT)],0)</f>
        <v>45000</v>
      </c>
      <c r="K3678" s="5">
        <f>tblSales[[#This Row],[Qty]]*tblSales[[#This Row],[Unit Price]]</f>
        <v>90000</v>
      </c>
      <c r="L3678" s="5">
        <f>ROUND(tblSales[[#This Row],[DPP (excl. VAT)]]*VATEff,0)</f>
        <v>9900</v>
      </c>
      <c r="M3678" s="5">
        <f>tblSales[[#This Row],[DPP (excl. VAT)]]+tblSales[[#This Row],[Output VAT]]</f>
        <v>99900</v>
      </c>
      <c r="N3678" s="5">
        <f>tblSales[[#This Row],[Qty]]*_xlfn.XLOOKUP(tblSales[[#This Row],[Product Code]],tblProducts[Code],tblProducts[Unit Cost],0)</f>
        <v>48000</v>
      </c>
      <c r="O3678" s="4" t="s">
        <v>4866</v>
      </c>
      <c r="P3678" s="4" t="s">
        <v>4861</v>
      </c>
      <c r="Q3678" s="1" t="str">
        <f>_xlfn.XLOOKUP(tblSales[[#This Row],[Channel Code]],tblChannels[Channel Code],tblChannels[Channel Name],"")</f>
        <v>Marketplace</v>
      </c>
      <c r="R3678" s="1">
        <f>MONTH(tblSales[[#This Row],[Date]])</f>
        <v>8</v>
      </c>
    </row>
    <row r="3679" spans="2:18" x14ac:dyDescent="0.35">
      <c r="B3679" s="113">
        <v>46242</v>
      </c>
      <c r="C3679" s="4" t="s">
        <v>2465</v>
      </c>
      <c r="D3679" s="4" t="s">
        <v>4578</v>
      </c>
      <c r="E3679" s="1" t="str">
        <f>_xlfn.XLOOKUP(tblSales[[#This Row],[Customer ID]],tblCustomers[Customer ID],tblCustomers[Customer Name],"⚠ Unknown")</f>
        <v>PT Bintang Timur Sejahtera</v>
      </c>
      <c r="F3679" s="4" t="s">
        <v>7</v>
      </c>
      <c r="G3679" s="1" t="str">
        <f>_xlfn.XLOOKUP(tblSales[[#This Row],[Product Code]],tblProducts[Code],tblProducts[Product / Service Name],"⚠ Unknown")</f>
        <v>Premium Basic T-shirt</v>
      </c>
      <c r="H3679" s="1" t="str">
        <f>_xlfn.XLOOKUP(tblSales[[#This Row],[Product Code]],tblProducts[Code],tblProducts[Category],"")</f>
        <v>Accessories &amp; Basics</v>
      </c>
      <c r="I3679" s="4">
        <v>64</v>
      </c>
      <c r="J3679" s="5">
        <f>_xlfn.XLOOKUP(tblSales[[#This Row],[Product Code]],tblProducts[Code],tblProducts[Selling Price (excl. VAT)],0)</f>
        <v>65000</v>
      </c>
      <c r="K3679" s="5">
        <f>tblSales[[#This Row],[Qty]]*tblSales[[#This Row],[Unit Price]]</f>
        <v>4160000</v>
      </c>
      <c r="L3679" s="5">
        <f>ROUND(tblSales[[#This Row],[DPP (excl. VAT)]]*VATEff,0)</f>
        <v>457600</v>
      </c>
      <c r="M3679" s="5">
        <f>tblSales[[#This Row],[DPP (excl. VAT)]]+tblSales[[#This Row],[Output VAT]]</f>
        <v>4617600</v>
      </c>
      <c r="N3679" s="5">
        <f>tblSales[[#This Row],[Qty]]*_xlfn.XLOOKUP(tblSales[[#This Row],[Product Code]],tblProducts[Code],tblProducts[Unit Cost],0)</f>
        <v>2368000</v>
      </c>
      <c r="O3679" s="4" t="s">
        <v>4867</v>
      </c>
      <c r="P3679" s="4" t="s">
        <v>4860</v>
      </c>
      <c r="Q3679" s="1" t="str">
        <f>_xlfn.XLOOKUP(tblSales[[#This Row],[Channel Code]],tblChannels[Channel Code],tblChannels[Channel Name],"")</f>
        <v>In-store</v>
      </c>
      <c r="R3679" s="1">
        <f>MONTH(tblSales[[#This Row],[Date]])</f>
        <v>8</v>
      </c>
    </row>
    <row r="3680" spans="2:18" x14ac:dyDescent="0.35">
      <c r="B3680" s="113">
        <v>46242</v>
      </c>
      <c r="C3680" s="4" t="s">
        <v>2465</v>
      </c>
      <c r="D3680" s="4" t="s">
        <v>4578</v>
      </c>
      <c r="E3680" s="1" t="str">
        <f>_xlfn.XLOOKUP(tblSales[[#This Row],[Customer ID]],tblCustomers[Customer ID],tblCustomers[Customer Name],"⚠ Unknown")</f>
        <v>PT Bintang Timur Sejahtera</v>
      </c>
      <c r="F3680" s="4" t="s">
        <v>6</v>
      </c>
      <c r="G3680" s="1" t="str">
        <f>_xlfn.XLOOKUP(tblSales[[#This Row],[Product Code]],tblProducts[Code],tblProducts[Product / Service Name],"⚠ Unknown")</f>
        <v>Socks &amp; Accessories</v>
      </c>
      <c r="H3680" s="1" t="str">
        <f>_xlfn.XLOOKUP(tblSales[[#This Row],[Product Code]],tblProducts[Code],tblProducts[Category],"")</f>
        <v>Accessories &amp; Basics</v>
      </c>
      <c r="I3680" s="4">
        <v>80</v>
      </c>
      <c r="J3680" s="5">
        <f>_xlfn.XLOOKUP(tblSales[[#This Row],[Product Code]],tblProducts[Code],tblProducts[Selling Price (excl. VAT)],0)</f>
        <v>45000</v>
      </c>
      <c r="K3680" s="5">
        <f>tblSales[[#This Row],[Qty]]*tblSales[[#This Row],[Unit Price]]</f>
        <v>3600000</v>
      </c>
      <c r="L3680" s="5">
        <f>ROUND(tblSales[[#This Row],[DPP (excl. VAT)]]*VATEff,0)</f>
        <v>396000</v>
      </c>
      <c r="M3680" s="5">
        <f>tblSales[[#This Row],[DPP (excl. VAT)]]+tblSales[[#This Row],[Output VAT]]</f>
        <v>3996000</v>
      </c>
      <c r="N3680" s="5">
        <f>tblSales[[#This Row],[Qty]]*_xlfn.XLOOKUP(tblSales[[#This Row],[Product Code]],tblProducts[Code],tblProducts[Unit Cost],0)</f>
        <v>1920000</v>
      </c>
      <c r="O3680" s="4" t="s">
        <v>4867</v>
      </c>
      <c r="P3680" s="4" t="s">
        <v>4860</v>
      </c>
      <c r="Q3680" s="1" t="str">
        <f>_xlfn.XLOOKUP(tblSales[[#This Row],[Channel Code]],tblChannels[Channel Code],tblChannels[Channel Name],"")</f>
        <v>In-store</v>
      </c>
      <c r="R3680" s="1">
        <f>MONTH(tblSales[[#This Row],[Date]])</f>
        <v>8</v>
      </c>
    </row>
    <row r="3681" spans="2:18" x14ac:dyDescent="0.35">
      <c r="B3681" s="113">
        <v>46242</v>
      </c>
      <c r="C3681" s="4" t="s">
        <v>2465</v>
      </c>
      <c r="D3681" s="4" t="s">
        <v>4578</v>
      </c>
      <c r="E3681" s="1" t="str">
        <f>_xlfn.XLOOKUP(tblSales[[#This Row],[Customer ID]],tblCustomers[Customer ID],tblCustomers[Customer Name],"⚠ Unknown")</f>
        <v>PT Bintang Timur Sejahtera</v>
      </c>
      <c r="F3681" s="4" t="s">
        <v>12</v>
      </c>
      <c r="G3681" s="1" t="str">
        <f>_xlfn.XLOOKUP(tblSales[[#This Row],[Product Code]],tblProducts[Code],tblProducts[Product / Service Name],"⚠ Unknown")</f>
        <v>Bomber Jacket</v>
      </c>
      <c r="H3681" s="1" t="str">
        <f>_xlfn.XLOOKUP(tblSales[[#This Row],[Product Code]],tblProducts[Code],tblProducts[Category],"")</f>
        <v>Apparel &amp; Footwear</v>
      </c>
      <c r="I3681" s="4">
        <v>16</v>
      </c>
      <c r="J3681" s="5">
        <f>_xlfn.XLOOKUP(tblSales[[#This Row],[Product Code]],tblProducts[Code],tblProducts[Selling Price (excl. VAT)],0)</f>
        <v>350000</v>
      </c>
      <c r="K3681" s="5">
        <f>tblSales[[#This Row],[Qty]]*tblSales[[#This Row],[Unit Price]]</f>
        <v>5600000</v>
      </c>
      <c r="L3681" s="5">
        <f>ROUND(tblSales[[#This Row],[DPP (excl. VAT)]]*VATEff,0)</f>
        <v>616000</v>
      </c>
      <c r="M3681" s="5">
        <f>tblSales[[#This Row],[DPP (excl. VAT)]]+tblSales[[#This Row],[Output VAT]]</f>
        <v>6216000</v>
      </c>
      <c r="N3681" s="5">
        <f>tblSales[[#This Row],[Qty]]*_xlfn.XLOOKUP(tblSales[[#This Row],[Product Code]],tblProducts[Code],tblProducts[Unit Cost],0)</f>
        <v>3360000</v>
      </c>
      <c r="O3681" s="4" t="s">
        <v>4867</v>
      </c>
      <c r="P3681" s="4" t="s">
        <v>4860</v>
      </c>
      <c r="Q3681" s="1" t="str">
        <f>_xlfn.XLOOKUP(tblSales[[#This Row],[Channel Code]],tblChannels[Channel Code],tblChannels[Channel Name],"")</f>
        <v>In-store</v>
      </c>
      <c r="R3681" s="1">
        <f>MONTH(tblSales[[#This Row],[Date]])</f>
        <v>8</v>
      </c>
    </row>
    <row r="3682" spans="2:18" x14ac:dyDescent="0.35">
      <c r="B3682" s="113">
        <v>46242</v>
      </c>
      <c r="C3682" s="4" t="s">
        <v>2466</v>
      </c>
      <c r="D3682" s="4" t="s">
        <v>4568</v>
      </c>
      <c r="E3682" s="1" t="str">
        <f>_xlfn.XLOOKUP(tblSales[[#This Row],[Customer ID]],tblCustomers[Customer ID],tblCustomers[Customer Name],"⚠ Unknown")</f>
        <v>Walk-in Customer</v>
      </c>
      <c r="F3682" s="4" t="s">
        <v>12</v>
      </c>
      <c r="G3682" s="1" t="str">
        <f>_xlfn.XLOOKUP(tblSales[[#This Row],[Product Code]],tblProducts[Code],tblProducts[Product / Service Name],"⚠ Unknown")</f>
        <v>Bomber Jacket</v>
      </c>
      <c r="H3682" s="1" t="str">
        <f>_xlfn.XLOOKUP(tblSales[[#This Row],[Product Code]],tblProducts[Code],tblProducts[Category],"")</f>
        <v>Apparel &amp; Footwear</v>
      </c>
      <c r="I3682" s="4">
        <v>4</v>
      </c>
      <c r="J3682" s="5">
        <f>_xlfn.XLOOKUP(tblSales[[#This Row],[Product Code]],tblProducts[Code],tblProducts[Selling Price (excl. VAT)],0)</f>
        <v>350000</v>
      </c>
      <c r="K3682" s="5">
        <f>tblSales[[#This Row],[Qty]]*tblSales[[#This Row],[Unit Price]]</f>
        <v>1400000</v>
      </c>
      <c r="L3682" s="5">
        <f>ROUND(tblSales[[#This Row],[DPP (excl. VAT)]]*VATEff,0)</f>
        <v>154000</v>
      </c>
      <c r="M3682" s="5">
        <f>tblSales[[#This Row],[DPP (excl. VAT)]]+tblSales[[#This Row],[Output VAT]]</f>
        <v>1554000</v>
      </c>
      <c r="N3682" s="5">
        <f>tblSales[[#This Row],[Qty]]*_xlfn.XLOOKUP(tblSales[[#This Row],[Product Code]],tblProducts[Code],tblProducts[Unit Cost],0)</f>
        <v>840000</v>
      </c>
      <c r="O3682" s="4" t="s">
        <v>4866</v>
      </c>
      <c r="P3682" s="4" t="s">
        <v>4861</v>
      </c>
      <c r="Q3682" s="1" t="str">
        <f>_xlfn.XLOOKUP(tblSales[[#This Row],[Channel Code]],tblChannels[Channel Code],tblChannels[Channel Name],"")</f>
        <v>Marketplace</v>
      </c>
      <c r="R3682" s="1">
        <f>MONTH(tblSales[[#This Row],[Date]])</f>
        <v>8</v>
      </c>
    </row>
    <row r="3683" spans="2:18" x14ac:dyDescent="0.35">
      <c r="B3683" s="113">
        <v>46242</v>
      </c>
      <c r="C3683" s="4" t="s">
        <v>2467</v>
      </c>
      <c r="D3683" s="4" t="s">
        <v>4620</v>
      </c>
      <c r="E3683" s="1" t="str">
        <f>_xlfn.XLOOKUP(tblSales[[#This Row],[Customer ID]],tblCustomers[Customer ID],tblCustomers[Customer Name],"⚠ Unknown")</f>
        <v>CV Sumber Rejeki Utama</v>
      </c>
      <c r="F3683" s="4" t="s">
        <v>6</v>
      </c>
      <c r="G3683" s="1" t="str">
        <f>_xlfn.XLOOKUP(tblSales[[#This Row],[Product Code]],tblProducts[Code],tblProducts[Product / Service Name],"⚠ Unknown")</f>
        <v>Socks &amp; Accessories</v>
      </c>
      <c r="H3683" s="1" t="str">
        <f>_xlfn.XLOOKUP(tblSales[[#This Row],[Product Code]],tblProducts[Code],tblProducts[Category],"")</f>
        <v>Accessories &amp; Basics</v>
      </c>
      <c r="I3683" s="4">
        <v>56</v>
      </c>
      <c r="J3683" s="5">
        <f>_xlfn.XLOOKUP(tblSales[[#This Row],[Product Code]],tblProducts[Code],tblProducts[Selling Price (excl. VAT)],0)</f>
        <v>45000</v>
      </c>
      <c r="K3683" s="5">
        <f>tblSales[[#This Row],[Qty]]*tblSales[[#This Row],[Unit Price]]</f>
        <v>2520000</v>
      </c>
      <c r="L3683" s="5">
        <f>ROUND(tblSales[[#This Row],[DPP (excl. VAT)]]*VATEff,0)</f>
        <v>277200</v>
      </c>
      <c r="M3683" s="5">
        <f>tblSales[[#This Row],[DPP (excl. VAT)]]+tblSales[[#This Row],[Output VAT]]</f>
        <v>2797200</v>
      </c>
      <c r="N3683" s="5">
        <f>tblSales[[#This Row],[Qty]]*_xlfn.XLOOKUP(tblSales[[#This Row],[Product Code]],tblProducts[Code],tblProducts[Unit Cost],0)</f>
        <v>1344000</v>
      </c>
      <c r="O3683" s="4" t="s">
        <v>4867</v>
      </c>
      <c r="P3683" s="4" t="s">
        <v>4860</v>
      </c>
      <c r="Q3683" s="1" t="str">
        <f>_xlfn.XLOOKUP(tblSales[[#This Row],[Channel Code]],tblChannels[Channel Code],tblChannels[Channel Name],"")</f>
        <v>In-store</v>
      </c>
      <c r="R3683" s="1">
        <f>MONTH(tblSales[[#This Row],[Date]])</f>
        <v>8</v>
      </c>
    </row>
    <row r="3684" spans="2:18" x14ac:dyDescent="0.35">
      <c r="B3684" s="113">
        <v>46242</v>
      </c>
      <c r="C3684" s="4" t="s">
        <v>2468</v>
      </c>
      <c r="D3684" s="4" t="s">
        <v>4568</v>
      </c>
      <c r="E3684" s="1" t="str">
        <f>_xlfn.XLOOKUP(tblSales[[#This Row],[Customer ID]],tblCustomers[Customer ID],tblCustomers[Customer Name],"⚠ Unknown")</f>
        <v>Walk-in Customer</v>
      </c>
      <c r="F3684" s="4" t="s">
        <v>15</v>
      </c>
      <c r="G3684" s="1" t="str">
        <f>_xlfn.XLOOKUP(tblSales[[#This Row],[Product Code]],tblProducts[Code],tblProducts[Product / Service Name],"⚠ Unknown")</f>
        <v>Wireless Earbuds Pro</v>
      </c>
      <c r="H3684" s="1" t="str">
        <f>_xlfn.XLOOKUP(tblSales[[#This Row],[Product Code]],tblProducts[Code],tblProducts[Category],"")</f>
        <v>Bags &amp; Gadgets</v>
      </c>
      <c r="I3684" s="4">
        <v>3</v>
      </c>
      <c r="J3684" s="5">
        <f>_xlfn.XLOOKUP(tblSales[[#This Row],[Product Code]],tblProducts[Code],tblProducts[Selling Price (excl. VAT)],0)</f>
        <v>1250000</v>
      </c>
      <c r="K3684" s="5">
        <f>tblSales[[#This Row],[Qty]]*tblSales[[#This Row],[Unit Price]]</f>
        <v>3750000</v>
      </c>
      <c r="L3684" s="5">
        <f>ROUND(tblSales[[#This Row],[DPP (excl. VAT)]]*VATEff,0)</f>
        <v>412500</v>
      </c>
      <c r="M3684" s="5">
        <f>tblSales[[#This Row],[DPP (excl. VAT)]]+tblSales[[#This Row],[Output VAT]]</f>
        <v>4162500</v>
      </c>
      <c r="N3684" s="5">
        <f>tblSales[[#This Row],[Qty]]*_xlfn.XLOOKUP(tblSales[[#This Row],[Product Code]],tblProducts[Code],tblProducts[Unit Cost],0)</f>
        <v>2460000</v>
      </c>
      <c r="O3684" s="4" t="s">
        <v>4866</v>
      </c>
      <c r="P3684" s="4" t="s">
        <v>4861</v>
      </c>
      <c r="Q3684" s="1" t="str">
        <f>_xlfn.XLOOKUP(tblSales[[#This Row],[Channel Code]],tblChannels[Channel Code],tblChannels[Channel Name],"")</f>
        <v>Marketplace</v>
      </c>
      <c r="R3684" s="1">
        <f>MONTH(tblSales[[#This Row],[Date]])</f>
        <v>8</v>
      </c>
    </row>
    <row r="3685" spans="2:18" x14ac:dyDescent="0.35">
      <c r="B3685" s="113">
        <v>46242</v>
      </c>
      <c r="C3685" s="4" t="s">
        <v>2469</v>
      </c>
      <c r="D3685" s="4" t="s">
        <v>4568</v>
      </c>
      <c r="E3685" s="1" t="str">
        <f>_xlfn.XLOOKUP(tblSales[[#This Row],[Customer ID]],tblCustomers[Customer ID],tblCustomers[Customer Name],"⚠ Unknown")</f>
        <v>Walk-in Customer</v>
      </c>
      <c r="F3685" s="4" t="s">
        <v>15</v>
      </c>
      <c r="G3685" s="1" t="str">
        <f>_xlfn.XLOOKUP(tblSales[[#This Row],[Product Code]],tblProducts[Code],tblProducts[Product / Service Name],"⚠ Unknown")</f>
        <v>Wireless Earbuds Pro</v>
      </c>
      <c r="H3685" s="1" t="str">
        <f>_xlfn.XLOOKUP(tblSales[[#This Row],[Product Code]],tblProducts[Code],tblProducts[Category],"")</f>
        <v>Bags &amp; Gadgets</v>
      </c>
      <c r="I3685" s="4">
        <v>2</v>
      </c>
      <c r="J3685" s="5">
        <f>_xlfn.XLOOKUP(tblSales[[#This Row],[Product Code]],tblProducts[Code],tblProducts[Selling Price (excl. VAT)],0)</f>
        <v>1250000</v>
      </c>
      <c r="K3685" s="5">
        <f>tblSales[[#This Row],[Qty]]*tblSales[[#This Row],[Unit Price]]</f>
        <v>2500000</v>
      </c>
      <c r="L3685" s="5">
        <f>ROUND(tblSales[[#This Row],[DPP (excl. VAT)]]*VATEff,0)</f>
        <v>275000</v>
      </c>
      <c r="M3685" s="5">
        <f>tblSales[[#This Row],[DPP (excl. VAT)]]+tblSales[[#This Row],[Output VAT]]</f>
        <v>2775000</v>
      </c>
      <c r="N3685" s="5">
        <f>tblSales[[#This Row],[Qty]]*_xlfn.XLOOKUP(tblSales[[#This Row],[Product Code]],tblProducts[Code],tblProducts[Unit Cost],0)</f>
        <v>1640000</v>
      </c>
      <c r="O3685" s="4" t="s">
        <v>4865</v>
      </c>
      <c r="P3685" s="4" t="s">
        <v>4860</v>
      </c>
      <c r="Q3685" s="1" t="str">
        <f>_xlfn.XLOOKUP(tblSales[[#This Row],[Channel Code]],tblChannels[Channel Code],tblChannels[Channel Name],"")</f>
        <v>In-store</v>
      </c>
      <c r="R3685" s="1">
        <f>MONTH(tblSales[[#This Row],[Date]])</f>
        <v>8</v>
      </c>
    </row>
    <row r="3686" spans="2:18" x14ac:dyDescent="0.35">
      <c r="B3686" s="113">
        <v>46242</v>
      </c>
      <c r="C3686" s="4" t="s">
        <v>2469</v>
      </c>
      <c r="D3686" s="4" t="s">
        <v>4568</v>
      </c>
      <c r="E3686" s="1" t="str">
        <f>_xlfn.XLOOKUP(tblSales[[#This Row],[Customer ID]],tblCustomers[Customer ID],tblCustomers[Customer Name],"⚠ Unknown")</f>
        <v>Walk-in Customer</v>
      </c>
      <c r="F3686" s="4" t="s">
        <v>8</v>
      </c>
      <c r="G3686" s="1" t="str">
        <f>_xlfn.XLOOKUP(tblSales[[#This Row],[Product Code]],tblProducts[Code],tblProducts[Product / Service Name],"⚠ Unknown")</f>
        <v>Casual Shorts</v>
      </c>
      <c r="H3686" s="1" t="str">
        <f>_xlfn.XLOOKUP(tblSales[[#This Row],[Product Code]],tblProducts[Code],tblProducts[Category],"")</f>
        <v>Accessories &amp; Basics</v>
      </c>
      <c r="I3686" s="4">
        <v>6</v>
      </c>
      <c r="J3686" s="5">
        <f>_xlfn.XLOOKUP(tblSales[[#This Row],[Product Code]],tblProducts[Code],tblProducts[Selling Price (excl. VAT)],0)</f>
        <v>85000</v>
      </c>
      <c r="K3686" s="5">
        <f>tblSales[[#This Row],[Qty]]*tblSales[[#This Row],[Unit Price]]</f>
        <v>510000</v>
      </c>
      <c r="L3686" s="5">
        <f>ROUND(tblSales[[#This Row],[DPP (excl. VAT)]]*VATEff,0)</f>
        <v>56100</v>
      </c>
      <c r="M3686" s="5">
        <f>tblSales[[#This Row],[DPP (excl. VAT)]]+tblSales[[#This Row],[Output VAT]]</f>
        <v>566100</v>
      </c>
      <c r="N3686" s="5">
        <f>tblSales[[#This Row],[Qty]]*_xlfn.XLOOKUP(tblSales[[#This Row],[Product Code]],tblProducts[Code],tblProducts[Unit Cost],0)</f>
        <v>300000</v>
      </c>
      <c r="O3686" s="4" t="s">
        <v>4865</v>
      </c>
      <c r="P3686" s="4" t="s">
        <v>4860</v>
      </c>
      <c r="Q3686" s="1" t="str">
        <f>_xlfn.XLOOKUP(tblSales[[#This Row],[Channel Code]],tblChannels[Channel Code],tblChannels[Channel Name],"")</f>
        <v>In-store</v>
      </c>
      <c r="R3686" s="1">
        <f>MONTH(tblSales[[#This Row],[Date]])</f>
        <v>8</v>
      </c>
    </row>
    <row r="3687" spans="2:18" x14ac:dyDescent="0.35">
      <c r="B3687" s="113">
        <v>46242</v>
      </c>
      <c r="C3687" s="4" t="s">
        <v>2470</v>
      </c>
      <c r="D3687" s="4" t="s">
        <v>4568</v>
      </c>
      <c r="E3687" s="1" t="str">
        <f>_xlfn.XLOOKUP(tblSales[[#This Row],[Customer ID]],tblCustomers[Customer ID],tblCustomers[Customer Name],"⚠ Unknown")</f>
        <v>Walk-in Customer</v>
      </c>
      <c r="F3687" s="4" t="s">
        <v>9</v>
      </c>
      <c r="G3687" s="1" t="str">
        <f>_xlfn.XLOOKUP(tblSales[[#This Row],[Product Code]],tblProducts[Code],tblProducts[Product / Service Name],"⚠ Unknown")</f>
        <v>Casual Shirt</v>
      </c>
      <c r="H3687" s="1" t="str">
        <f>_xlfn.XLOOKUP(tblSales[[#This Row],[Product Code]],tblProducts[Code],tblProducts[Category],"")</f>
        <v>Apparel &amp; Footwear</v>
      </c>
      <c r="I3687" s="4">
        <v>6</v>
      </c>
      <c r="J3687" s="5">
        <f>_xlfn.XLOOKUP(tblSales[[#This Row],[Product Code]],tblProducts[Code],tblProducts[Selling Price (excl. VAT)],0)</f>
        <v>120000</v>
      </c>
      <c r="K3687" s="5">
        <f>tblSales[[#This Row],[Qty]]*tblSales[[#This Row],[Unit Price]]</f>
        <v>720000</v>
      </c>
      <c r="L3687" s="5">
        <f>ROUND(tblSales[[#This Row],[DPP (excl. VAT)]]*VATEff,0)</f>
        <v>79200</v>
      </c>
      <c r="M3687" s="5">
        <f>tblSales[[#This Row],[DPP (excl. VAT)]]+tblSales[[#This Row],[Output VAT]]</f>
        <v>799200</v>
      </c>
      <c r="N3687" s="5">
        <f>tblSales[[#This Row],[Qty]]*_xlfn.XLOOKUP(tblSales[[#This Row],[Product Code]],tblProducts[Code],tblProducts[Unit Cost],0)</f>
        <v>432000</v>
      </c>
      <c r="O3687" s="4" t="s">
        <v>4865</v>
      </c>
      <c r="P3687" s="4" t="s">
        <v>4860</v>
      </c>
      <c r="Q3687" s="1" t="str">
        <f>_xlfn.XLOOKUP(tblSales[[#This Row],[Channel Code]],tblChannels[Channel Code],tblChannels[Channel Name],"")</f>
        <v>In-store</v>
      </c>
      <c r="R3687" s="1">
        <f>MONTH(tblSales[[#This Row],[Date]])</f>
        <v>8</v>
      </c>
    </row>
    <row r="3688" spans="2:18" x14ac:dyDescent="0.35">
      <c r="B3688" s="113">
        <v>46242</v>
      </c>
      <c r="C3688" s="4" t="s">
        <v>2470</v>
      </c>
      <c r="D3688" s="4" t="s">
        <v>4568</v>
      </c>
      <c r="E3688" s="1" t="str">
        <f>_xlfn.XLOOKUP(tblSales[[#This Row],[Customer ID]],tblCustomers[Customer ID],tblCustomers[Customer Name],"⚠ Unknown")</f>
        <v>Walk-in Customer</v>
      </c>
      <c r="F3688" s="4" t="s">
        <v>8</v>
      </c>
      <c r="G3688" s="1" t="str">
        <f>_xlfn.XLOOKUP(tblSales[[#This Row],[Product Code]],tblProducts[Code],tblProducts[Product / Service Name],"⚠ Unknown")</f>
        <v>Casual Shorts</v>
      </c>
      <c r="H3688" s="1" t="str">
        <f>_xlfn.XLOOKUP(tblSales[[#This Row],[Product Code]],tblProducts[Code],tblProducts[Category],"")</f>
        <v>Accessories &amp; Basics</v>
      </c>
      <c r="I3688" s="4">
        <v>2</v>
      </c>
      <c r="J3688" s="5">
        <f>_xlfn.XLOOKUP(tblSales[[#This Row],[Product Code]],tblProducts[Code],tblProducts[Selling Price (excl. VAT)],0)</f>
        <v>85000</v>
      </c>
      <c r="K3688" s="5">
        <f>tblSales[[#This Row],[Qty]]*tblSales[[#This Row],[Unit Price]]</f>
        <v>170000</v>
      </c>
      <c r="L3688" s="5">
        <f>ROUND(tblSales[[#This Row],[DPP (excl. VAT)]]*VATEff,0)</f>
        <v>18700</v>
      </c>
      <c r="M3688" s="5">
        <f>tblSales[[#This Row],[DPP (excl. VAT)]]+tblSales[[#This Row],[Output VAT]]</f>
        <v>188700</v>
      </c>
      <c r="N3688" s="5">
        <f>tblSales[[#This Row],[Qty]]*_xlfn.XLOOKUP(tblSales[[#This Row],[Product Code]],tblProducts[Code],tblProducts[Unit Cost],0)</f>
        <v>100000</v>
      </c>
      <c r="O3688" s="4" t="s">
        <v>4865</v>
      </c>
      <c r="P3688" s="4" t="s">
        <v>4860</v>
      </c>
      <c r="Q3688" s="1" t="str">
        <f>_xlfn.XLOOKUP(tblSales[[#This Row],[Channel Code]],tblChannels[Channel Code],tblChannels[Channel Name],"")</f>
        <v>In-store</v>
      </c>
      <c r="R3688" s="1">
        <f>MONTH(tblSales[[#This Row],[Date]])</f>
        <v>8</v>
      </c>
    </row>
    <row r="3689" spans="2:18" x14ac:dyDescent="0.35">
      <c r="B3689" s="113">
        <v>46242</v>
      </c>
      <c r="C3689" s="4" t="s">
        <v>2470</v>
      </c>
      <c r="D3689" s="4" t="s">
        <v>4568</v>
      </c>
      <c r="E3689" s="1" t="str">
        <f>_xlfn.XLOOKUP(tblSales[[#This Row],[Customer ID]],tblCustomers[Customer ID],tblCustomers[Customer Name],"⚠ Unknown")</f>
        <v>Walk-in Customer</v>
      </c>
      <c r="F3689" s="4" t="s">
        <v>11</v>
      </c>
      <c r="G3689" s="1" t="str">
        <f>_xlfn.XLOOKUP(tblSales[[#This Row],[Product Code]],tblProducts[Code],tblProducts[Product / Service Name],"⚠ Unknown")</f>
        <v>Sneakers</v>
      </c>
      <c r="H3689" s="1" t="str">
        <f>_xlfn.XLOOKUP(tblSales[[#This Row],[Product Code]],tblProducts[Code],tblProducts[Category],"")</f>
        <v>Apparel &amp; Footwear</v>
      </c>
      <c r="I3689" s="4">
        <v>4</v>
      </c>
      <c r="J3689" s="5">
        <f>_xlfn.XLOOKUP(tblSales[[#This Row],[Product Code]],tblProducts[Code],tblProducts[Selling Price (excl. VAT)],0)</f>
        <v>250000</v>
      </c>
      <c r="K3689" s="5">
        <f>tblSales[[#This Row],[Qty]]*tblSales[[#This Row],[Unit Price]]</f>
        <v>1000000</v>
      </c>
      <c r="L3689" s="5">
        <f>ROUND(tblSales[[#This Row],[DPP (excl. VAT)]]*VATEff,0)</f>
        <v>110000</v>
      </c>
      <c r="M3689" s="5">
        <f>tblSales[[#This Row],[DPP (excl. VAT)]]+tblSales[[#This Row],[Output VAT]]</f>
        <v>1110000</v>
      </c>
      <c r="N3689" s="5">
        <f>tblSales[[#This Row],[Qty]]*_xlfn.XLOOKUP(tblSales[[#This Row],[Product Code]],tblProducts[Code],tblProducts[Unit Cost],0)</f>
        <v>620000</v>
      </c>
      <c r="O3689" s="4" t="s">
        <v>4865</v>
      </c>
      <c r="P3689" s="4" t="s">
        <v>4860</v>
      </c>
      <c r="Q3689" s="1" t="str">
        <f>_xlfn.XLOOKUP(tblSales[[#This Row],[Channel Code]],tblChannels[Channel Code],tblChannels[Channel Name],"")</f>
        <v>In-store</v>
      </c>
      <c r="R3689" s="1">
        <f>MONTH(tblSales[[#This Row],[Date]])</f>
        <v>8</v>
      </c>
    </row>
    <row r="3690" spans="2:18" x14ac:dyDescent="0.35">
      <c r="B3690" s="113">
        <v>46242</v>
      </c>
      <c r="C3690" s="4" t="s">
        <v>2471</v>
      </c>
      <c r="D3690" s="4" t="s">
        <v>4568</v>
      </c>
      <c r="E3690" s="1" t="str">
        <f>_xlfn.XLOOKUP(tblSales[[#This Row],[Customer ID]],tblCustomers[Customer ID],tblCustomers[Customer Name],"⚠ Unknown")</f>
        <v>Walk-in Customer</v>
      </c>
      <c r="F3690" s="4" t="s">
        <v>6</v>
      </c>
      <c r="G3690" s="1" t="str">
        <f>_xlfn.XLOOKUP(tblSales[[#This Row],[Product Code]],tblProducts[Code],tblProducts[Product / Service Name],"⚠ Unknown")</f>
        <v>Socks &amp; Accessories</v>
      </c>
      <c r="H3690" s="1" t="str">
        <f>_xlfn.XLOOKUP(tblSales[[#This Row],[Product Code]],tblProducts[Code],tblProducts[Category],"")</f>
        <v>Accessories &amp; Basics</v>
      </c>
      <c r="I3690" s="4">
        <v>1</v>
      </c>
      <c r="J3690" s="5">
        <f>_xlfn.XLOOKUP(tblSales[[#This Row],[Product Code]],tblProducts[Code],tblProducts[Selling Price (excl. VAT)],0)</f>
        <v>45000</v>
      </c>
      <c r="K3690" s="5">
        <f>tblSales[[#This Row],[Qty]]*tblSales[[#This Row],[Unit Price]]</f>
        <v>45000</v>
      </c>
      <c r="L3690" s="5">
        <f>ROUND(tblSales[[#This Row],[DPP (excl. VAT)]]*VATEff,0)</f>
        <v>4950</v>
      </c>
      <c r="M3690" s="5">
        <f>tblSales[[#This Row],[DPP (excl. VAT)]]+tblSales[[#This Row],[Output VAT]]</f>
        <v>49950</v>
      </c>
      <c r="N3690" s="5">
        <f>tblSales[[#This Row],[Qty]]*_xlfn.XLOOKUP(tblSales[[#This Row],[Product Code]],tblProducts[Code],tblProducts[Unit Cost],0)</f>
        <v>24000</v>
      </c>
      <c r="O3690" s="4" t="s">
        <v>4866</v>
      </c>
      <c r="P3690" s="4" t="s">
        <v>4860</v>
      </c>
      <c r="Q3690" s="1" t="str">
        <f>_xlfn.XLOOKUP(tblSales[[#This Row],[Channel Code]],tblChannels[Channel Code],tblChannels[Channel Name],"")</f>
        <v>In-store</v>
      </c>
      <c r="R3690" s="1">
        <f>MONTH(tblSales[[#This Row],[Date]])</f>
        <v>8</v>
      </c>
    </row>
    <row r="3691" spans="2:18" x14ac:dyDescent="0.35">
      <c r="B3691" s="113">
        <v>46242</v>
      </c>
      <c r="C3691" s="4" t="s">
        <v>2471</v>
      </c>
      <c r="D3691" s="4" t="s">
        <v>4568</v>
      </c>
      <c r="E3691" s="1" t="str">
        <f>_xlfn.XLOOKUP(tblSales[[#This Row],[Customer ID]],tblCustomers[Customer ID],tblCustomers[Customer Name],"⚠ Unknown")</f>
        <v>Walk-in Customer</v>
      </c>
      <c r="F3691" s="4" t="s">
        <v>10</v>
      </c>
      <c r="G3691" s="1" t="str">
        <f>_xlfn.XLOOKUP(tblSales[[#This Row],[Product Code]],tblProducts[Code],tblProducts[Product / Service Name],"⚠ Unknown")</f>
        <v>Chino Pants</v>
      </c>
      <c r="H3691" s="1" t="str">
        <f>_xlfn.XLOOKUP(tblSales[[#This Row],[Product Code]],tblProducts[Code],tblProducts[Category],"")</f>
        <v>Apparel &amp; Footwear</v>
      </c>
      <c r="I3691" s="4">
        <v>3</v>
      </c>
      <c r="J3691" s="5">
        <f>_xlfn.XLOOKUP(tblSales[[#This Row],[Product Code]],tblProducts[Code],tblProducts[Selling Price (excl. VAT)],0)</f>
        <v>150000</v>
      </c>
      <c r="K3691" s="5">
        <f>tblSales[[#This Row],[Qty]]*tblSales[[#This Row],[Unit Price]]</f>
        <v>450000</v>
      </c>
      <c r="L3691" s="5">
        <f>ROUND(tblSales[[#This Row],[DPP (excl. VAT)]]*VATEff,0)</f>
        <v>49500</v>
      </c>
      <c r="M3691" s="5">
        <f>tblSales[[#This Row],[DPP (excl. VAT)]]+tblSales[[#This Row],[Output VAT]]</f>
        <v>499500</v>
      </c>
      <c r="N3691" s="5">
        <f>tblSales[[#This Row],[Qty]]*_xlfn.XLOOKUP(tblSales[[#This Row],[Product Code]],tblProducts[Code],tblProducts[Unit Cost],0)</f>
        <v>264000</v>
      </c>
      <c r="O3691" s="4" t="s">
        <v>4866</v>
      </c>
      <c r="P3691" s="4" t="s">
        <v>4860</v>
      </c>
      <c r="Q3691" s="1" t="str">
        <f>_xlfn.XLOOKUP(tblSales[[#This Row],[Channel Code]],tblChannels[Channel Code],tblChannels[Channel Name],"")</f>
        <v>In-store</v>
      </c>
      <c r="R3691" s="1">
        <f>MONTH(tblSales[[#This Row],[Date]])</f>
        <v>8</v>
      </c>
    </row>
    <row r="3692" spans="2:18" x14ac:dyDescent="0.35">
      <c r="B3692" s="113">
        <v>46242</v>
      </c>
      <c r="C3692" s="4" t="s">
        <v>2472</v>
      </c>
      <c r="D3692" s="4" t="s">
        <v>4568</v>
      </c>
      <c r="E3692" s="1" t="str">
        <f>_xlfn.XLOOKUP(tblSales[[#This Row],[Customer ID]],tblCustomers[Customer ID],tblCustomers[Customer Name],"⚠ Unknown")</f>
        <v>Walk-in Customer</v>
      </c>
      <c r="F3692" s="4" t="s">
        <v>6</v>
      </c>
      <c r="G3692" s="1" t="str">
        <f>_xlfn.XLOOKUP(tblSales[[#This Row],[Product Code]],tblProducts[Code],tblProducts[Product / Service Name],"⚠ Unknown")</f>
        <v>Socks &amp; Accessories</v>
      </c>
      <c r="H3692" s="1" t="str">
        <f>_xlfn.XLOOKUP(tblSales[[#This Row],[Product Code]],tblProducts[Code],tblProducts[Category],"")</f>
        <v>Accessories &amp; Basics</v>
      </c>
      <c r="I3692" s="4">
        <v>12</v>
      </c>
      <c r="J3692" s="5">
        <f>_xlfn.XLOOKUP(tblSales[[#This Row],[Product Code]],tblProducts[Code],tblProducts[Selling Price (excl. VAT)],0)</f>
        <v>45000</v>
      </c>
      <c r="K3692" s="5">
        <f>tblSales[[#This Row],[Qty]]*tblSales[[#This Row],[Unit Price]]</f>
        <v>540000</v>
      </c>
      <c r="L3692" s="5">
        <f>ROUND(tblSales[[#This Row],[DPP (excl. VAT)]]*VATEff,0)</f>
        <v>59400</v>
      </c>
      <c r="M3692" s="5">
        <f>tblSales[[#This Row],[DPP (excl. VAT)]]+tblSales[[#This Row],[Output VAT]]</f>
        <v>599400</v>
      </c>
      <c r="N3692" s="5">
        <f>tblSales[[#This Row],[Qty]]*_xlfn.XLOOKUP(tblSales[[#This Row],[Product Code]],tblProducts[Code],tblProducts[Unit Cost],0)</f>
        <v>288000</v>
      </c>
      <c r="O3692" s="4" t="s">
        <v>4866</v>
      </c>
      <c r="P3692" s="4" t="s">
        <v>4861</v>
      </c>
      <c r="Q3692" s="1" t="str">
        <f>_xlfn.XLOOKUP(tblSales[[#This Row],[Channel Code]],tblChannels[Channel Code],tblChannels[Channel Name],"")</f>
        <v>Marketplace</v>
      </c>
      <c r="R3692" s="1">
        <f>MONTH(tblSales[[#This Row],[Date]])</f>
        <v>8</v>
      </c>
    </row>
    <row r="3693" spans="2:18" x14ac:dyDescent="0.35">
      <c r="B3693" s="113">
        <v>46242</v>
      </c>
      <c r="C3693" s="4" t="s">
        <v>2473</v>
      </c>
      <c r="D3693" s="4" t="s">
        <v>4568</v>
      </c>
      <c r="E3693" s="1" t="str">
        <f>_xlfn.XLOOKUP(tblSales[[#This Row],[Customer ID]],tblCustomers[Customer ID],tblCustomers[Customer Name],"⚠ Unknown")</f>
        <v>Walk-in Customer</v>
      </c>
      <c r="F3693" s="4" t="s">
        <v>9</v>
      </c>
      <c r="G3693" s="1" t="str">
        <f>_xlfn.XLOOKUP(tblSales[[#This Row],[Product Code]],tblProducts[Code],tblProducts[Product / Service Name],"⚠ Unknown")</f>
        <v>Casual Shirt</v>
      </c>
      <c r="H3693" s="1" t="str">
        <f>_xlfn.XLOOKUP(tblSales[[#This Row],[Product Code]],tblProducts[Code],tblProducts[Category],"")</f>
        <v>Apparel &amp; Footwear</v>
      </c>
      <c r="I3693" s="4">
        <v>7</v>
      </c>
      <c r="J3693" s="5">
        <f>_xlfn.XLOOKUP(tblSales[[#This Row],[Product Code]],tblProducts[Code],tblProducts[Selling Price (excl. VAT)],0)</f>
        <v>120000</v>
      </c>
      <c r="K3693" s="5">
        <f>tblSales[[#This Row],[Qty]]*tblSales[[#This Row],[Unit Price]]</f>
        <v>840000</v>
      </c>
      <c r="L3693" s="5">
        <f>ROUND(tblSales[[#This Row],[DPP (excl. VAT)]]*VATEff,0)</f>
        <v>92400</v>
      </c>
      <c r="M3693" s="5">
        <f>tblSales[[#This Row],[DPP (excl. VAT)]]+tblSales[[#This Row],[Output VAT]]</f>
        <v>932400</v>
      </c>
      <c r="N3693" s="5">
        <f>tblSales[[#This Row],[Qty]]*_xlfn.XLOOKUP(tblSales[[#This Row],[Product Code]],tblProducts[Code],tblProducts[Unit Cost],0)</f>
        <v>504000</v>
      </c>
      <c r="O3693" s="4" t="s">
        <v>4866</v>
      </c>
      <c r="P3693" s="4" t="s">
        <v>4862</v>
      </c>
      <c r="Q3693" s="1" t="str">
        <f>_xlfn.XLOOKUP(tblSales[[#This Row],[Channel Code]],tblChannels[Channel Code],tblChannels[Channel Name],"")</f>
        <v>Website &amp; Social Media</v>
      </c>
      <c r="R3693" s="1">
        <f>MONTH(tblSales[[#This Row],[Date]])</f>
        <v>8</v>
      </c>
    </row>
    <row r="3694" spans="2:18" x14ac:dyDescent="0.35">
      <c r="B3694" s="113">
        <v>46242</v>
      </c>
      <c r="C3694" s="4" t="s">
        <v>2474</v>
      </c>
      <c r="D3694" s="4" t="s">
        <v>4568</v>
      </c>
      <c r="E3694" s="1" t="str">
        <f>_xlfn.XLOOKUP(tblSales[[#This Row],[Customer ID]],tblCustomers[Customer ID],tblCustomers[Customer Name],"⚠ Unknown")</f>
        <v>Walk-in Customer</v>
      </c>
      <c r="F3694" s="4" t="s">
        <v>8</v>
      </c>
      <c r="G3694" s="1" t="str">
        <f>_xlfn.XLOOKUP(tblSales[[#This Row],[Product Code]],tblProducts[Code],tblProducts[Product / Service Name],"⚠ Unknown")</f>
        <v>Casual Shorts</v>
      </c>
      <c r="H3694" s="1" t="str">
        <f>_xlfn.XLOOKUP(tblSales[[#This Row],[Product Code]],tblProducts[Code],tblProducts[Category],"")</f>
        <v>Accessories &amp; Basics</v>
      </c>
      <c r="I3694" s="4">
        <v>7</v>
      </c>
      <c r="J3694" s="5">
        <f>_xlfn.XLOOKUP(tblSales[[#This Row],[Product Code]],tblProducts[Code],tblProducts[Selling Price (excl. VAT)],0)</f>
        <v>85000</v>
      </c>
      <c r="K3694" s="5">
        <f>tblSales[[#This Row],[Qty]]*tblSales[[#This Row],[Unit Price]]</f>
        <v>595000</v>
      </c>
      <c r="L3694" s="5">
        <f>ROUND(tblSales[[#This Row],[DPP (excl. VAT)]]*VATEff,0)</f>
        <v>65450</v>
      </c>
      <c r="M3694" s="5">
        <f>tblSales[[#This Row],[DPP (excl. VAT)]]+tblSales[[#This Row],[Output VAT]]</f>
        <v>660450</v>
      </c>
      <c r="N3694" s="5">
        <f>tblSales[[#This Row],[Qty]]*_xlfn.XLOOKUP(tblSales[[#This Row],[Product Code]],tblProducts[Code],tblProducts[Unit Cost],0)</f>
        <v>350000</v>
      </c>
      <c r="O3694" s="4" t="s">
        <v>4866</v>
      </c>
      <c r="P3694" s="4" t="s">
        <v>4860</v>
      </c>
      <c r="Q3694" s="1" t="str">
        <f>_xlfn.XLOOKUP(tblSales[[#This Row],[Channel Code]],tblChannels[Channel Code],tblChannels[Channel Name],"")</f>
        <v>In-store</v>
      </c>
      <c r="R3694" s="1">
        <f>MONTH(tblSales[[#This Row],[Date]])</f>
        <v>8</v>
      </c>
    </row>
    <row r="3695" spans="2:18" x14ac:dyDescent="0.35">
      <c r="B3695" s="113">
        <v>46242</v>
      </c>
      <c r="C3695" s="4" t="s">
        <v>2475</v>
      </c>
      <c r="D3695" s="4" t="s">
        <v>4568</v>
      </c>
      <c r="E3695" s="1" t="str">
        <f>_xlfn.XLOOKUP(tblSales[[#This Row],[Customer ID]],tblCustomers[Customer ID],tblCustomers[Customer Name],"⚠ Unknown")</f>
        <v>Walk-in Customer</v>
      </c>
      <c r="F3695" s="4" t="s">
        <v>6</v>
      </c>
      <c r="G3695" s="1" t="str">
        <f>_xlfn.XLOOKUP(tblSales[[#This Row],[Product Code]],tblProducts[Code],tblProducts[Product / Service Name],"⚠ Unknown")</f>
        <v>Socks &amp; Accessories</v>
      </c>
      <c r="H3695" s="1" t="str">
        <f>_xlfn.XLOOKUP(tblSales[[#This Row],[Product Code]],tblProducts[Code],tblProducts[Category],"")</f>
        <v>Accessories &amp; Basics</v>
      </c>
      <c r="I3695" s="4">
        <v>8</v>
      </c>
      <c r="J3695" s="5">
        <f>_xlfn.XLOOKUP(tblSales[[#This Row],[Product Code]],tblProducts[Code],tblProducts[Selling Price (excl. VAT)],0)</f>
        <v>45000</v>
      </c>
      <c r="K3695" s="5">
        <f>tblSales[[#This Row],[Qty]]*tblSales[[#This Row],[Unit Price]]</f>
        <v>360000</v>
      </c>
      <c r="L3695" s="5">
        <f>ROUND(tblSales[[#This Row],[DPP (excl. VAT)]]*VATEff,0)</f>
        <v>39600</v>
      </c>
      <c r="M3695" s="5">
        <f>tblSales[[#This Row],[DPP (excl. VAT)]]+tblSales[[#This Row],[Output VAT]]</f>
        <v>399600</v>
      </c>
      <c r="N3695" s="5">
        <f>tblSales[[#This Row],[Qty]]*_xlfn.XLOOKUP(tblSales[[#This Row],[Product Code]],tblProducts[Code],tblProducts[Unit Cost],0)</f>
        <v>192000</v>
      </c>
      <c r="O3695" s="4" t="s">
        <v>4865</v>
      </c>
      <c r="P3695" s="4" t="s">
        <v>4860</v>
      </c>
      <c r="Q3695" s="1" t="str">
        <f>_xlfn.XLOOKUP(tblSales[[#This Row],[Channel Code]],tblChannels[Channel Code],tblChannels[Channel Name],"")</f>
        <v>In-store</v>
      </c>
      <c r="R3695" s="1">
        <f>MONTH(tblSales[[#This Row],[Date]])</f>
        <v>8</v>
      </c>
    </row>
    <row r="3696" spans="2:18" x14ac:dyDescent="0.35">
      <c r="B3696" s="113">
        <v>46243</v>
      </c>
      <c r="C3696" s="4" t="s">
        <v>2476</v>
      </c>
      <c r="D3696" s="4" t="s">
        <v>4568</v>
      </c>
      <c r="E3696" s="1" t="str">
        <f>_xlfn.XLOOKUP(tblSales[[#This Row],[Customer ID]],tblCustomers[Customer ID],tblCustomers[Customer Name],"⚠ Unknown")</f>
        <v>Walk-in Customer</v>
      </c>
      <c r="F3696" s="4" t="s">
        <v>10</v>
      </c>
      <c r="G3696" s="1" t="str">
        <f>_xlfn.XLOOKUP(tblSales[[#This Row],[Product Code]],tblProducts[Code],tblProducts[Product / Service Name],"⚠ Unknown")</f>
        <v>Chino Pants</v>
      </c>
      <c r="H3696" s="1" t="str">
        <f>_xlfn.XLOOKUP(tblSales[[#This Row],[Product Code]],tblProducts[Code],tblProducts[Category],"")</f>
        <v>Apparel &amp; Footwear</v>
      </c>
      <c r="I3696" s="4">
        <v>9</v>
      </c>
      <c r="J3696" s="5">
        <f>_xlfn.XLOOKUP(tblSales[[#This Row],[Product Code]],tblProducts[Code],tblProducts[Selling Price (excl. VAT)],0)</f>
        <v>150000</v>
      </c>
      <c r="K3696" s="5">
        <f>tblSales[[#This Row],[Qty]]*tblSales[[#This Row],[Unit Price]]</f>
        <v>1350000</v>
      </c>
      <c r="L3696" s="5">
        <f>ROUND(tblSales[[#This Row],[DPP (excl. VAT)]]*VATEff,0)</f>
        <v>148500</v>
      </c>
      <c r="M3696" s="5">
        <f>tblSales[[#This Row],[DPP (excl. VAT)]]+tblSales[[#This Row],[Output VAT]]</f>
        <v>1498500</v>
      </c>
      <c r="N3696" s="5">
        <f>tblSales[[#This Row],[Qty]]*_xlfn.XLOOKUP(tblSales[[#This Row],[Product Code]],tblProducts[Code],tblProducts[Unit Cost],0)</f>
        <v>792000</v>
      </c>
      <c r="O3696" s="4" t="s">
        <v>4866</v>
      </c>
      <c r="P3696" s="4" t="s">
        <v>4861</v>
      </c>
      <c r="Q3696" s="1" t="str">
        <f>_xlfn.XLOOKUP(tblSales[[#This Row],[Channel Code]],tblChannels[Channel Code],tblChannels[Channel Name],"")</f>
        <v>Marketplace</v>
      </c>
      <c r="R3696" s="1">
        <f>MONTH(tblSales[[#This Row],[Date]])</f>
        <v>8</v>
      </c>
    </row>
    <row r="3697" spans="2:18" x14ac:dyDescent="0.35">
      <c r="B3697" s="113">
        <v>46243</v>
      </c>
      <c r="C3697" s="4" t="s">
        <v>2477</v>
      </c>
      <c r="D3697" s="4" t="s">
        <v>4634</v>
      </c>
      <c r="E3697" s="1" t="str">
        <f>_xlfn.XLOOKUP(tblSales[[#This Row],[Customer ID]],tblCustomers[Customer ID],tblCustomers[Customer Name],"⚠ Unknown")</f>
        <v>PT Delta Inti Selaras</v>
      </c>
      <c r="F3697" s="4" t="s">
        <v>6</v>
      </c>
      <c r="G3697" s="1" t="str">
        <f>_xlfn.XLOOKUP(tblSales[[#This Row],[Product Code]],tblProducts[Code],tblProducts[Product / Service Name],"⚠ Unknown")</f>
        <v>Socks &amp; Accessories</v>
      </c>
      <c r="H3697" s="1" t="str">
        <f>_xlfn.XLOOKUP(tblSales[[#This Row],[Product Code]],tblProducts[Code],tblProducts[Category],"")</f>
        <v>Accessories &amp; Basics</v>
      </c>
      <c r="I3697" s="4">
        <v>16</v>
      </c>
      <c r="J3697" s="5">
        <f>_xlfn.XLOOKUP(tblSales[[#This Row],[Product Code]],tblProducts[Code],tblProducts[Selling Price (excl. VAT)],0)</f>
        <v>45000</v>
      </c>
      <c r="K3697" s="5">
        <f>tblSales[[#This Row],[Qty]]*tblSales[[#This Row],[Unit Price]]</f>
        <v>720000</v>
      </c>
      <c r="L3697" s="5">
        <f>ROUND(tblSales[[#This Row],[DPP (excl. VAT)]]*VATEff,0)</f>
        <v>79200</v>
      </c>
      <c r="M3697" s="5">
        <f>tblSales[[#This Row],[DPP (excl. VAT)]]+tblSales[[#This Row],[Output VAT]]</f>
        <v>799200</v>
      </c>
      <c r="N3697" s="5">
        <f>tblSales[[#This Row],[Qty]]*_xlfn.XLOOKUP(tblSales[[#This Row],[Product Code]],tblProducts[Code],tblProducts[Unit Cost],0)</f>
        <v>384000</v>
      </c>
      <c r="O3697" s="4" t="s">
        <v>4867</v>
      </c>
      <c r="P3697" s="4" t="s">
        <v>4862</v>
      </c>
      <c r="Q3697" s="1" t="str">
        <f>_xlfn.XLOOKUP(tblSales[[#This Row],[Channel Code]],tblChannels[Channel Code],tblChannels[Channel Name],"")</f>
        <v>Website &amp; Social Media</v>
      </c>
      <c r="R3697" s="1">
        <f>MONTH(tblSales[[#This Row],[Date]])</f>
        <v>8</v>
      </c>
    </row>
    <row r="3698" spans="2:18" x14ac:dyDescent="0.35">
      <c r="B3698" s="113">
        <v>46243</v>
      </c>
      <c r="C3698" s="4" t="s">
        <v>2478</v>
      </c>
      <c r="D3698" s="4" t="s">
        <v>4585</v>
      </c>
      <c r="E3698" s="1" t="str">
        <f>_xlfn.XLOOKUP(tblSales[[#This Row],[Customer ID]],tblCustomers[Customer ID],tblCustomers[Customer Name],"⚠ Unknown")</f>
        <v>CV Mitra Karya Mandiri</v>
      </c>
      <c r="F3698" s="4" t="s">
        <v>9</v>
      </c>
      <c r="G3698" s="1" t="str">
        <f>_xlfn.XLOOKUP(tblSales[[#This Row],[Product Code]],tblProducts[Code],tblProducts[Product / Service Name],"⚠ Unknown")</f>
        <v>Casual Shirt</v>
      </c>
      <c r="H3698" s="1" t="str">
        <f>_xlfn.XLOOKUP(tblSales[[#This Row],[Product Code]],tblProducts[Code],tblProducts[Category],"")</f>
        <v>Apparel &amp; Footwear</v>
      </c>
      <c r="I3698" s="4">
        <v>72</v>
      </c>
      <c r="J3698" s="5">
        <f>_xlfn.XLOOKUP(tblSales[[#This Row],[Product Code]],tblProducts[Code],tblProducts[Selling Price (excl. VAT)],0)</f>
        <v>120000</v>
      </c>
      <c r="K3698" s="5">
        <f>tblSales[[#This Row],[Qty]]*tblSales[[#This Row],[Unit Price]]</f>
        <v>8640000</v>
      </c>
      <c r="L3698" s="5">
        <f>ROUND(tblSales[[#This Row],[DPP (excl. VAT)]]*VATEff,0)</f>
        <v>950400</v>
      </c>
      <c r="M3698" s="5">
        <f>tblSales[[#This Row],[DPP (excl. VAT)]]+tblSales[[#This Row],[Output VAT]]</f>
        <v>9590400</v>
      </c>
      <c r="N3698" s="5">
        <f>tblSales[[#This Row],[Qty]]*_xlfn.XLOOKUP(tblSales[[#This Row],[Product Code]],tblProducts[Code],tblProducts[Unit Cost],0)</f>
        <v>5184000</v>
      </c>
      <c r="O3698" s="4" t="s">
        <v>4867</v>
      </c>
      <c r="P3698" s="4" t="s">
        <v>4860</v>
      </c>
      <c r="Q3698" s="1" t="str">
        <f>_xlfn.XLOOKUP(tblSales[[#This Row],[Channel Code]],tblChannels[Channel Code],tblChannels[Channel Name],"")</f>
        <v>In-store</v>
      </c>
      <c r="R3698" s="1">
        <f>MONTH(tblSales[[#This Row],[Date]])</f>
        <v>8</v>
      </c>
    </row>
    <row r="3699" spans="2:18" x14ac:dyDescent="0.35">
      <c r="B3699" s="113">
        <v>46243</v>
      </c>
      <c r="C3699" s="4" t="s">
        <v>2478</v>
      </c>
      <c r="D3699" s="4" t="s">
        <v>4585</v>
      </c>
      <c r="E3699" s="1" t="str">
        <f>_xlfn.XLOOKUP(tblSales[[#This Row],[Customer ID]],tblCustomers[Customer ID],tblCustomers[Customer Name],"⚠ Unknown")</f>
        <v>CV Mitra Karya Mandiri</v>
      </c>
      <c r="F3699" s="4" t="s">
        <v>7</v>
      </c>
      <c r="G3699" s="1" t="str">
        <f>_xlfn.XLOOKUP(tblSales[[#This Row],[Product Code]],tblProducts[Code],tblProducts[Product / Service Name],"⚠ Unknown")</f>
        <v>Premium Basic T-shirt</v>
      </c>
      <c r="H3699" s="1" t="str">
        <f>_xlfn.XLOOKUP(tblSales[[#This Row],[Product Code]],tblProducts[Code],tblProducts[Category],"")</f>
        <v>Accessories &amp; Basics</v>
      </c>
      <c r="I3699" s="4">
        <v>8</v>
      </c>
      <c r="J3699" s="5">
        <f>_xlfn.XLOOKUP(tblSales[[#This Row],[Product Code]],tblProducts[Code],tblProducts[Selling Price (excl. VAT)],0)</f>
        <v>65000</v>
      </c>
      <c r="K3699" s="5">
        <f>tblSales[[#This Row],[Qty]]*tblSales[[#This Row],[Unit Price]]</f>
        <v>520000</v>
      </c>
      <c r="L3699" s="5">
        <f>ROUND(tblSales[[#This Row],[DPP (excl. VAT)]]*VATEff,0)</f>
        <v>57200</v>
      </c>
      <c r="M3699" s="5">
        <f>tblSales[[#This Row],[DPP (excl. VAT)]]+tblSales[[#This Row],[Output VAT]]</f>
        <v>577200</v>
      </c>
      <c r="N3699" s="5">
        <f>tblSales[[#This Row],[Qty]]*_xlfn.XLOOKUP(tblSales[[#This Row],[Product Code]],tblProducts[Code],tblProducts[Unit Cost],0)</f>
        <v>296000</v>
      </c>
      <c r="O3699" s="4" t="s">
        <v>4867</v>
      </c>
      <c r="P3699" s="4" t="s">
        <v>4860</v>
      </c>
      <c r="Q3699" s="1" t="str">
        <f>_xlfn.XLOOKUP(tblSales[[#This Row],[Channel Code]],tblChannels[Channel Code],tblChannels[Channel Name],"")</f>
        <v>In-store</v>
      </c>
      <c r="R3699" s="1">
        <f>MONTH(tblSales[[#This Row],[Date]])</f>
        <v>8</v>
      </c>
    </row>
    <row r="3700" spans="2:18" x14ac:dyDescent="0.35">
      <c r="B3700" s="113">
        <v>46243</v>
      </c>
      <c r="C3700" s="4" t="s">
        <v>2479</v>
      </c>
      <c r="D3700" s="4" t="s">
        <v>4568</v>
      </c>
      <c r="E3700" s="1" t="str">
        <f>_xlfn.XLOOKUP(tblSales[[#This Row],[Customer ID]],tblCustomers[Customer ID],tblCustomers[Customer Name],"⚠ Unknown")</f>
        <v>Walk-in Customer</v>
      </c>
      <c r="F3700" s="4" t="s">
        <v>11</v>
      </c>
      <c r="G3700" s="1" t="str">
        <f>_xlfn.XLOOKUP(tblSales[[#This Row],[Product Code]],tblProducts[Code],tblProducts[Product / Service Name],"⚠ Unknown")</f>
        <v>Sneakers</v>
      </c>
      <c r="H3700" s="1" t="str">
        <f>_xlfn.XLOOKUP(tblSales[[#This Row],[Product Code]],tblProducts[Code],tblProducts[Category],"")</f>
        <v>Apparel &amp; Footwear</v>
      </c>
      <c r="I3700" s="4">
        <v>3</v>
      </c>
      <c r="J3700" s="5">
        <f>_xlfn.XLOOKUP(tblSales[[#This Row],[Product Code]],tblProducts[Code],tblProducts[Selling Price (excl. VAT)],0)</f>
        <v>250000</v>
      </c>
      <c r="K3700" s="5">
        <f>tblSales[[#This Row],[Qty]]*tblSales[[#This Row],[Unit Price]]</f>
        <v>750000</v>
      </c>
      <c r="L3700" s="5">
        <f>ROUND(tblSales[[#This Row],[DPP (excl. VAT)]]*VATEff,0)</f>
        <v>82500</v>
      </c>
      <c r="M3700" s="5">
        <f>tblSales[[#This Row],[DPP (excl. VAT)]]+tblSales[[#This Row],[Output VAT]]</f>
        <v>832500</v>
      </c>
      <c r="N3700" s="5">
        <f>tblSales[[#This Row],[Qty]]*_xlfn.XLOOKUP(tblSales[[#This Row],[Product Code]],tblProducts[Code],tblProducts[Unit Cost],0)</f>
        <v>465000</v>
      </c>
      <c r="O3700" s="4" t="s">
        <v>4866</v>
      </c>
      <c r="P3700" s="4" t="s">
        <v>4861</v>
      </c>
      <c r="Q3700" s="1" t="str">
        <f>_xlfn.XLOOKUP(tblSales[[#This Row],[Channel Code]],tblChannels[Channel Code],tblChannels[Channel Name],"")</f>
        <v>Marketplace</v>
      </c>
      <c r="R3700" s="1">
        <f>MONTH(tblSales[[#This Row],[Date]])</f>
        <v>8</v>
      </c>
    </row>
    <row r="3701" spans="2:18" x14ac:dyDescent="0.35">
      <c r="B3701" s="113">
        <v>46243</v>
      </c>
      <c r="C3701" s="4" t="s">
        <v>2480</v>
      </c>
      <c r="D3701" s="4" t="s">
        <v>4613</v>
      </c>
      <c r="E3701" s="1" t="str">
        <f>_xlfn.XLOOKUP(tblSales[[#This Row],[Customer ID]],tblCustomers[Customer ID],tblCustomers[Customer Name],"⚠ Unknown")</f>
        <v>PT Mega Prima Distribusi</v>
      </c>
      <c r="F3701" s="4" t="s">
        <v>12</v>
      </c>
      <c r="G3701" s="1" t="str">
        <f>_xlfn.XLOOKUP(tblSales[[#This Row],[Product Code]],tblProducts[Code],tblProducts[Product / Service Name],"⚠ Unknown")</f>
        <v>Bomber Jacket</v>
      </c>
      <c r="H3701" s="1" t="str">
        <f>_xlfn.XLOOKUP(tblSales[[#This Row],[Product Code]],tblProducts[Code],tblProducts[Category],"")</f>
        <v>Apparel &amp; Footwear</v>
      </c>
      <c r="I3701" s="4">
        <v>48</v>
      </c>
      <c r="J3701" s="5">
        <f>_xlfn.XLOOKUP(tblSales[[#This Row],[Product Code]],tblProducts[Code],tblProducts[Selling Price (excl. VAT)],0)</f>
        <v>350000</v>
      </c>
      <c r="K3701" s="5">
        <f>tblSales[[#This Row],[Qty]]*tblSales[[#This Row],[Unit Price]]</f>
        <v>16800000</v>
      </c>
      <c r="L3701" s="5">
        <f>ROUND(tblSales[[#This Row],[DPP (excl. VAT)]]*VATEff,0)</f>
        <v>1848000</v>
      </c>
      <c r="M3701" s="5">
        <f>tblSales[[#This Row],[DPP (excl. VAT)]]+tblSales[[#This Row],[Output VAT]]</f>
        <v>18648000</v>
      </c>
      <c r="N3701" s="5">
        <f>tblSales[[#This Row],[Qty]]*_xlfn.XLOOKUP(tblSales[[#This Row],[Product Code]],tblProducts[Code],tblProducts[Unit Cost],0)</f>
        <v>10080000</v>
      </c>
      <c r="O3701" s="4" t="s">
        <v>4867</v>
      </c>
      <c r="P3701" s="4" t="s">
        <v>4860</v>
      </c>
      <c r="Q3701" s="1" t="str">
        <f>_xlfn.XLOOKUP(tblSales[[#This Row],[Channel Code]],tblChannels[Channel Code],tblChannels[Channel Name],"")</f>
        <v>In-store</v>
      </c>
      <c r="R3701" s="1">
        <f>MONTH(tblSales[[#This Row],[Date]])</f>
        <v>8</v>
      </c>
    </row>
    <row r="3702" spans="2:18" x14ac:dyDescent="0.35">
      <c r="B3702" s="113">
        <v>46243</v>
      </c>
      <c r="C3702" s="4" t="s">
        <v>2481</v>
      </c>
      <c r="D3702" s="4" t="s">
        <v>4568</v>
      </c>
      <c r="E3702" s="1" t="str">
        <f>_xlfn.XLOOKUP(tblSales[[#This Row],[Customer ID]],tblCustomers[Customer ID],tblCustomers[Customer Name],"⚠ Unknown")</f>
        <v>Walk-in Customer</v>
      </c>
      <c r="F3702" s="4" t="s">
        <v>9</v>
      </c>
      <c r="G3702" s="1" t="str">
        <f>_xlfn.XLOOKUP(tblSales[[#This Row],[Product Code]],tblProducts[Code],tblProducts[Product / Service Name],"⚠ Unknown")</f>
        <v>Casual Shirt</v>
      </c>
      <c r="H3702" s="1" t="str">
        <f>_xlfn.XLOOKUP(tblSales[[#This Row],[Product Code]],tblProducts[Code],tblProducts[Category],"")</f>
        <v>Apparel &amp; Footwear</v>
      </c>
      <c r="I3702" s="4">
        <v>9</v>
      </c>
      <c r="J3702" s="5">
        <f>_xlfn.XLOOKUP(tblSales[[#This Row],[Product Code]],tblProducts[Code],tblProducts[Selling Price (excl. VAT)],0)</f>
        <v>120000</v>
      </c>
      <c r="K3702" s="5">
        <f>tblSales[[#This Row],[Qty]]*tblSales[[#This Row],[Unit Price]]</f>
        <v>1080000</v>
      </c>
      <c r="L3702" s="5">
        <f>ROUND(tblSales[[#This Row],[DPP (excl. VAT)]]*VATEff,0)</f>
        <v>118800</v>
      </c>
      <c r="M3702" s="5">
        <f>tblSales[[#This Row],[DPP (excl. VAT)]]+tblSales[[#This Row],[Output VAT]]</f>
        <v>1198800</v>
      </c>
      <c r="N3702" s="5">
        <f>tblSales[[#This Row],[Qty]]*_xlfn.XLOOKUP(tblSales[[#This Row],[Product Code]],tblProducts[Code],tblProducts[Unit Cost],0)</f>
        <v>648000</v>
      </c>
      <c r="O3702" s="4" t="s">
        <v>4866</v>
      </c>
      <c r="P3702" s="4" t="s">
        <v>4860</v>
      </c>
      <c r="Q3702" s="1" t="str">
        <f>_xlfn.XLOOKUP(tblSales[[#This Row],[Channel Code]],tblChannels[Channel Code],tblChannels[Channel Name],"")</f>
        <v>In-store</v>
      </c>
      <c r="R3702" s="1">
        <f>MONTH(tblSales[[#This Row],[Date]])</f>
        <v>8</v>
      </c>
    </row>
    <row r="3703" spans="2:18" x14ac:dyDescent="0.35">
      <c r="B3703" s="113">
        <v>46243</v>
      </c>
      <c r="C3703" s="4" t="s">
        <v>2482</v>
      </c>
      <c r="D3703" s="4" t="s">
        <v>4568</v>
      </c>
      <c r="E3703" s="1" t="str">
        <f>_xlfn.XLOOKUP(tblSales[[#This Row],[Customer ID]],tblCustomers[Customer ID],tblCustomers[Customer Name],"⚠ Unknown")</f>
        <v>Walk-in Customer</v>
      </c>
      <c r="F3703" s="4" t="s">
        <v>11</v>
      </c>
      <c r="G3703" s="1" t="str">
        <f>_xlfn.XLOOKUP(tblSales[[#This Row],[Product Code]],tblProducts[Code],tblProducts[Product / Service Name],"⚠ Unknown")</f>
        <v>Sneakers</v>
      </c>
      <c r="H3703" s="1" t="str">
        <f>_xlfn.XLOOKUP(tblSales[[#This Row],[Product Code]],tblProducts[Code],tblProducts[Category],"")</f>
        <v>Apparel &amp; Footwear</v>
      </c>
      <c r="I3703" s="4">
        <v>4</v>
      </c>
      <c r="J3703" s="5">
        <f>_xlfn.XLOOKUP(tblSales[[#This Row],[Product Code]],tblProducts[Code],tblProducts[Selling Price (excl. VAT)],0)</f>
        <v>250000</v>
      </c>
      <c r="K3703" s="5">
        <f>tblSales[[#This Row],[Qty]]*tblSales[[#This Row],[Unit Price]]</f>
        <v>1000000</v>
      </c>
      <c r="L3703" s="5">
        <f>ROUND(tblSales[[#This Row],[DPP (excl. VAT)]]*VATEff,0)</f>
        <v>110000</v>
      </c>
      <c r="M3703" s="5">
        <f>tblSales[[#This Row],[DPP (excl. VAT)]]+tblSales[[#This Row],[Output VAT]]</f>
        <v>1110000</v>
      </c>
      <c r="N3703" s="5">
        <f>tblSales[[#This Row],[Qty]]*_xlfn.XLOOKUP(tblSales[[#This Row],[Product Code]],tblProducts[Code],tblProducts[Unit Cost],0)</f>
        <v>620000</v>
      </c>
      <c r="O3703" s="4" t="s">
        <v>4866</v>
      </c>
      <c r="P3703" s="4" t="s">
        <v>4861</v>
      </c>
      <c r="Q3703" s="1" t="str">
        <f>_xlfn.XLOOKUP(tblSales[[#This Row],[Channel Code]],tblChannels[Channel Code],tblChannels[Channel Name],"")</f>
        <v>Marketplace</v>
      </c>
      <c r="R3703" s="1">
        <f>MONTH(tblSales[[#This Row],[Date]])</f>
        <v>8</v>
      </c>
    </row>
    <row r="3704" spans="2:18" x14ac:dyDescent="0.35">
      <c r="B3704" s="113">
        <v>46243</v>
      </c>
      <c r="C3704" s="4" t="s">
        <v>2483</v>
      </c>
      <c r="D3704" s="4" t="s">
        <v>4627</v>
      </c>
      <c r="E3704" s="1" t="str">
        <f>_xlfn.XLOOKUP(tblSales[[#This Row],[Customer ID]],tblCustomers[Customer ID],tblCustomers[Customer Name],"⚠ Unknown")</f>
        <v>PT Kencana Wira Usaha</v>
      </c>
      <c r="F3704" s="4" t="s">
        <v>12</v>
      </c>
      <c r="G3704" s="1" t="str">
        <f>_xlfn.XLOOKUP(tblSales[[#This Row],[Product Code]],tblProducts[Code],tblProducts[Product / Service Name],"⚠ Unknown")</f>
        <v>Bomber Jacket</v>
      </c>
      <c r="H3704" s="1" t="str">
        <f>_xlfn.XLOOKUP(tblSales[[#This Row],[Product Code]],tblProducts[Code],tblProducts[Category],"")</f>
        <v>Apparel &amp; Footwear</v>
      </c>
      <c r="I3704" s="4">
        <v>16</v>
      </c>
      <c r="J3704" s="5">
        <f>_xlfn.XLOOKUP(tblSales[[#This Row],[Product Code]],tblProducts[Code],tblProducts[Selling Price (excl. VAT)],0)</f>
        <v>350000</v>
      </c>
      <c r="K3704" s="5">
        <f>tblSales[[#This Row],[Qty]]*tblSales[[#This Row],[Unit Price]]</f>
        <v>5600000</v>
      </c>
      <c r="L3704" s="5">
        <f>ROUND(tblSales[[#This Row],[DPP (excl. VAT)]]*VATEff,0)</f>
        <v>616000</v>
      </c>
      <c r="M3704" s="5">
        <f>tblSales[[#This Row],[DPP (excl. VAT)]]+tblSales[[#This Row],[Output VAT]]</f>
        <v>6216000</v>
      </c>
      <c r="N3704" s="5">
        <f>tblSales[[#This Row],[Qty]]*_xlfn.XLOOKUP(tblSales[[#This Row],[Product Code]],tblProducts[Code],tblProducts[Unit Cost],0)</f>
        <v>3360000</v>
      </c>
      <c r="O3704" s="4" t="s">
        <v>4867</v>
      </c>
      <c r="P3704" s="4" t="s">
        <v>4860</v>
      </c>
      <c r="Q3704" s="1" t="str">
        <f>_xlfn.XLOOKUP(tblSales[[#This Row],[Channel Code]],tblChannels[Channel Code],tblChannels[Channel Name],"")</f>
        <v>In-store</v>
      </c>
      <c r="R3704" s="1">
        <f>MONTH(tblSales[[#This Row],[Date]])</f>
        <v>8</v>
      </c>
    </row>
    <row r="3705" spans="2:18" x14ac:dyDescent="0.35">
      <c r="B3705" s="113">
        <v>46243</v>
      </c>
      <c r="C3705" s="4" t="s">
        <v>2484</v>
      </c>
      <c r="D3705" s="4" t="s">
        <v>4572</v>
      </c>
      <c r="E3705" s="1" t="str">
        <f>_xlfn.XLOOKUP(tblSales[[#This Row],[Customer ID]],tblCustomers[Customer ID],tblCustomers[Customer Name],"⚠ Unknown")</f>
        <v>PT Cahaya Abadi Makmur</v>
      </c>
      <c r="F3705" s="4" t="s">
        <v>7</v>
      </c>
      <c r="G3705" s="1" t="str">
        <f>_xlfn.XLOOKUP(tblSales[[#This Row],[Product Code]],tblProducts[Code],tblProducts[Product / Service Name],"⚠ Unknown")</f>
        <v>Premium Basic T-shirt</v>
      </c>
      <c r="H3705" s="1" t="str">
        <f>_xlfn.XLOOKUP(tblSales[[#This Row],[Product Code]],tblProducts[Code],tblProducts[Category],"")</f>
        <v>Accessories &amp; Basics</v>
      </c>
      <c r="I3705" s="4">
        <v>16</v>
      </c>
      <c r="J3705" s="5">
        <f>_xlfn.XLOOKUP(tblSales[[#This Row],[Product Code]],tblProducts[Code],tblProducts[Selling Price (excl. VAT)],0)</f>
        <v>65000</v>
      </c>
      <c r="K3705" s="5">
        <f>tblSales[[#This Row],[Qty]]*tblSales[[#This Row],[Unit Price]]</f>
        <v>1040000</v>
      </c>
      <c r="L3705" s="5">
        <f>ROUND(tblSales[[#This Row],[DPP (excl. VAT)]]*VATEff,0)</f>
        <v>114400</v>
      </c>
      <c r="M3705" s="5">
        <f>tblSales[[#This Row],[DPP (excl. VAT)]]+tblSales[[#This Row],[Output VAT]]</f>
        <v>1154400</v>
      </c>
      <c r="N3705" s="5">
        <f>tblSales[[#This Row],[Qty]]*_xlfn.XLOOKUP(tblSales[[#This Row],[Product Code]],tblProducts[Code],tblProducts[Unit Cost],0)</f>
        <v>592000</v>
      </c>
      <c r="O3705" s="4" t="s">
        <v>4867</v>
      </c>
      <c r="P3705" s="4" t="s">
        <v>4860</v>
      </c>
      <c r="Q3705" s="1" t="str">
        <f>_xlfn.XLOOKUP(tblSales[[#This Row],[Channel Code]],tblChannels[Channel Code],tblChannels[Channel Name],"")</f>
        <v>In-store</v>
      </c>
      <c r="R3705" s="1">
        <f>MONTH(tblSales[[#This Row],[Date]])</f>
        <v>8</v>
      </c>
    </row>
    <row r="3706" spans="2:18" x14ac:dyDescent="0.35">
      <c r="B3706" s="113">
        <v>46243</v>
      </c>
      <c r="C3706" s="4" t="s">
        <v>2485</v>
      </c>
      <c r="D3706" s="4" t="s">
        <v>4568</v>
      </c>
      <c r="E3706" s="1" t="str">
        <f>_xlfn.XLOOKUP(tblSales[[#This Row],[Customer ID]],tblCustomers[Customer ID],tblCustomers[Customer Name],"⚠ Unknown")</f>
        <v>Walk-in Customer</v>
      </c>
      <c r="F3706" s="4" t="s">
        <v>6</v>
      </c>
      <c r="G3706" s="1" t="str">
        <f>_xlfn.XLOOKUP(tblSales[[#This Row],[Product Code]],tblProducts[Code],tblProducts[Product / Service Name],"⚠ Unknown")</f>
        <v>Socks &amp; Accessories</v>
      </c>
      <c r="H3706" s="1" t="str">
        <f>_xlfn.XLOOKUP(tblSales[[#This Row],[Product Code]],tblProducts[Code],tblProducts[Category],"")</f>
        <v>Accessories &amp; Basics</v>
      </c>
      <c r="I3706" s="4">
        <v>10</v>
      </c>
      <c r="J3706" s="5">
        <f>_xlfn.XLOOKUP(tblSales[[#This Row],[Product Code]],tblProducts[Code],tblProducts[Selling Price (excl. VAT)],0)</f>
        <v>45000</v>
      </c>
      <c r="K3706" s="5">
        <f>tblSales[[#This Row],[Qty]]*tblSales[[#This Row],[Unit Price]]</f>
        <v>450000</v>
      </c>
      <c r="L3706" s="5">
        <f>ROUND(tblSales[[#This Row],[DPP (excl. VAT)]]*VATEff,0)</f>
        <v>49500</v>
      </c>
      <c r="M3706" s="5">
        <f>tblSales[[#This Row],[DPP (excl. VAT)]]+tblSales[[#This Row],[Output VAT]]</f>
        <v>499500</v>
      </c>
      <c r="N3706" s="5">
        <f>tblSales[[#This Row],[Qty]]*_xlfn.XLOOKUP(tblSales[[#This Row],[Product Code]],tblProducts[Code],tblProducts[Unit Cost],0)</f>
        <v>240000</v>
      </c>
      <c r="O3706" s="4" t="s">
        <v>4865</v>
      </c>
      <c r="P3706" s="4" t="s">
        <v>4860</v>
      </c>
      <c r="Q3706" s="1" t="str">
        <f>_xlfn.XLOOKUP(tblSales[[#This Row],[Channel Code]],tblChannels[Channel Code],tblChannels[Channel Name],"")</f>
        <v>In-store</v>
      </c>
      <c r="R3706" s="1">
        <f>MONTH(tblSales[[#This Row],[Date]])</f>
        <v>8</v>
      </c>
    </row>
    <row r="3707" spans="2:18" x14ac:dyDescent="0.35">
      <c r="B3707" s="113">
        <v>46243</v>
      </c>
      <c r="C3707" s="4" t="s">
        <v>2485</v>
      </c>
      <c r="D3707" s="4" t="s">
        <v>4568</v>
      </c>
      <c r="E3707" s="1" t="str">
        <f>_xlfn.XLOOKUP(tblSales[[#This Row],[Customer ID]],tblCustomers[Customer ID],tblCustomers[Customer Name],"⚠ Unknown")</f>
        <v>Walk-in Customer</v>
      </c>
      <c r="F3707" s="4" t="s">
        <v>9</v>
      </c>
      <c r="G3707" s="1" t="str">
        <f>_xlfn.XLOOKUP(tblSales[[#This Row],[Product Code]],tblProducts[Code],tblProducts[Product / Service Name],"⚠ Unknown")</f>
        <v>Casual Shirt</v>
      </c>
      <c r="H3707" s="1" t="str">
        <f>_xlfn.XLOOKUP(tblSales[[#This Row],[Product Code]],tblProducts[Code],tblProducts[Category],"")</f>
        <v>Apparel &amp; Footwear</v>
      </c>
      <c r="I3707" s="4">
        <v>6</v>
      </c>
      <c r="J3707" s="5">
        <f>_xlfn.XLOOKUP(tblSales[[#This Row],[Product Code]],tblProducts[Code],tblProducts[Selling Price (excl. VAT)],0)</f>
        <v>120000</v>
      </c>
      <c r="K3707" s="5">
        <f>tblSales[[#This Row],[Qty]]*tblSales[[#This Row],[Unit Price]]</f>
        <v>720000</v>
      </c>
      <c r="L3707" s="5">
        <f>ROUND(tblSales[[#This Row],[DPP (excl. VAT)]]*VATEff,0)</f>
        <v>79200</v>
      </c>
      <c r="M3707" s="5">
        <f>tblSales[[#This Row],[DPP (excl. VAT)]]+tblSales[[#This Row],[Output VAT]]</f>
        <v>799200</v>
      </c>
      <c r="N3707" s="5">
        <f>tblSales[[#This Row],[Qty]]*_xlfn.XLOOKUP(tblSales[[#This Row],[Product Code]],tblProducts[Code],tblProducts[Unit Cost],0)</f>
        <v>432000</v>
      </c>
      <c r="O3707" s="4" t="s">
        <v>4865</v>
      </c>
      <c r="P3707" s="4" t="s">
        <v>4860</v>
      </c>
      <c r="Q3707" s="1" t="str">
        <f>_xlfn.XLOOKUP(tblSales[[#This Row],[Channel Code]],tblChannels[Channel Code],tblChannels[Channel Name],"")</f>
        <v>In-store</v>
      </c>
      <c r="R3707" s="1">
        <f>MONTH(tblSales[[#This Row],[Date]])</f>
        <v>8</v>
      </c>
    </row>
    <row r="3708" spans="2:18" x14ac:dyDescent="0.35">
      <c r="B3708" s="113">
        <v>46243</v>
      </c>
      <c r="C3708" s="4" t="s">
        <v>2485</v>
      </c>
      <c r="D3708" s="4" t="s">
        <v>4568</v>
      </c>
      <c r="E3708" s="1" t="str">
        <f>_xlfn.XLOOKUP(tblSales[[#This Row],[Customer ID]],tblCustomers[Customer ID],tblCustomers[Customer Name],"⚠ Unknown")</f>
        <v>Walk-in Customer</v>
      </c>
      <c r="F3708" s="4" t="s">
        <v>12</v>
      </c>
      <c r="G3708" s="1" t="str">
        <f>_xlfn.XLOOKUP(tblSales[[#This Row],[Product Code]],tblProducts[Code],tblProducts[Product / Service Name],"⚠ Unknown")</f>
        <v>Bomber Jacket</v>
      </c>
      <c r="H3708" s="1" t="str">
        <f>_xlfn.XLOOKUP(tblSales[[#This Row],[Product Code]],tblProducts[Code],tblProducts[Category],"")</f>
        <v>Apparel &amp; Footwear</v>
      </c>
      <c r="I3708" s="4">
        <v>6</v>
      </c>
      <c r="J3708" s="5">
        <f>_xlfn.XLOOKUP(tblSales[[#This Row],[Product Code]],tblProducts[Code],tblProducts[Selling Price (excl. VAT)],0)</f>
        <v>350000</v>
      </c>
      <c r="K3708" s="5">
        <f>tblSales[[#This Row],[Qty]]*tblSales[[#This Row],[Unit Price]]</f>
        <v>2100000</v>
      </c>
      <c r="L3708" s="5">
        <f>ROUND(tblSales[[#This Row],[DPP (excl. VAT)]]*VATEff,0)</f>
        <v>231000</v>
      </c>
      <c r="M3708" s="5">
        <f>tblSales[[#This Row],[DPP (excl. VAT)]]+tblSales[[#This Row],[Output VAT]]</f>
        <v>2331000</v>
      </c>
      <c r="N3708" s="5">
        <f>tblSales[[#This Row],[Qty]]*_xlfn.XLOOKUP(tblSales[[#This Row],[Product Code]],tblProducts[Code],tblProducts[Unit Cost],0)</f>
        <v>1260000</v>
      </c>
      <c r="O3708" s="4" t="s">
        <v>4865</v>
      </c>
      <c r="P3708" s="4" t="s">
        <v>4860</v>
      </c>
      <c r="Q3708" s="1" t="str">
        <f>_xlfn.XLOOKUP(tblSales[[#This Row],[Channel Code]],tblChannels[Channel Code],tblChannels[Channel Name],"")</f>
        <v>In-store</v>
      </c>
      <c r="R3708" s="1">
        <f>MONTH(tblSales[[#This Row],[Date]])</f>
        <v>8</v>
      </c>
    </row>
    <row r="3709" spans="2:18" x14ac:dyDescent="0.35">
      <c r="B3709" s="113">
        <v>46243</v>
      </c>
      <c r="C3709" s="4" t="s">
        <v>2486</v>
      </c>
      <c r="D3709" s="4" t="s">
        <v>4568</v>
      </c>
      <c r="E3709" s="1" t="str">
        <f>_xlfn.XLOOKUP(tblSales[[#This Row],[Customer ID]],tblCustomers[Customer ID],tblCustomers[Customer Name],"⚠ Unknown")</f>
        <v>Walk-in Customer</v>
      </c>
      <c r="F3709" s="4" t="s">
        <v>12</v>
      </c>
      <c r="G3709" s="1" t="str">
        <f>_xlfn.XLOOKUP(tblSales[[#This Row],[Product Code]],tblProducts[Code],tblProducts[Product / Service Name],"⚠ Unknown")</f>
        <v>Bomber Jacket</v>
      </c>
      <c r="H3709" s="1" t="str">
        <f>_xlfn.XLOOKUP(tblSales[[#This Row],[Product Code]],tblProducts[Code],tblProducts[Category],"")</f>
        <v>Apparel &amp; Footwear</v>
      </c>
      <c r="I3709" s="4">
        <v>5</v>
      </c>
      <c r="J3709" s="5">
        <f>_xlfn.XLOOKUP(tblSales[[#This Row],[Product Code]],tblProducts[Code],tblProducts[Selling Price (excl. VAT)],0)</f>
        <v>350000</v>
      </c>
      <c r="K3709" s="5">
        <f>tblSales[[#This Row],[Qty]]*tblSales[[#This Row],[Unit Price]]</f>
        <v>1750000</v>
      </c>
      <c r="L3709" s="5">
        <f>ROUND(tblSales[[#This Row],[DPP (excl. VAT)]]*VATEff,0)</f>
        <v>192500</v>
      </c>
      <c r="M3709" s="5">
        <f>tblSales[[#This Row],[DPP (excl. VAT)]]+tblSales[[#This Row],[Output VAT]]</f>
        <v>1942500</v>
      </c>
      <c r="N3709" s="5">
        <f>tblSales[[#This Row],[Qty]]*_xlfn.XLOOKUP(tblSales[[#This Row],[Product Code]],tblProducts[Code],tblProducts[Unit Cost],0)</f>
        <v>1050000</v>
      </c>
      <c r="O3709" s="4" t="s">
        <v>4866</v>
      </c>
      <c r="P3709" s="4" t="s">
        <v>4860</v>
      </c>
      <c r="Q3709" s="1" t="str">
        <f>_xlfn.XLOOKUP(tblSales[[#This Row],[Channel Code]],tblChannels[Channel Code],tblChannels[Channel Name],"")</f>
        <v>In-store</v>
      </c>
      <c r="R3709" s="1">
        <f>MONTH(tblSales[[#This Row],[Date]])</f>
        <v>8</v>
      </c>
    </row>
    <row r="3710" spans="2:18" x14ac:dyDescent="0.35">
      <c r="B3710" s="113">
        <v>46244</v>
      </c>
      <c r="C3710" s="4" t="s">
        <v>2487</v>
      </c>
      <c r="D3710" s="4" t="s">
        <v>4568</v>
      </c>
      <c r="E3710" s="1" t="str">
        <f>_xlfn.XLOOKUP(tblSales[[#This Row],[Customer ID]],tblCustomers[Customer ID],tblCustomers[Customer Name],"⚠ Unknown")</f>
        <v>Walk-in Customer</v>
      </c>
      <c r="F3710" s="4" t="s">
        <v>10</v>
      </c>
      <c r="G3710" s="1" t="str">
        <f>_xlfn.XLOOKUP(tblSales[[#This Row],[Product Code]],tblProducts[Code],tblProducts[Product / Service Name],"⚠ Unknown")</f>
        <v>Chino Pants</v>
      </c>
      <c r="H3710" s="1" t="str">
        <f>_xlfn.XLOOKUP(tblSales[[#This Row],[Product Code]],tblProducts[Code],tblProducts[Category],"")</f>
        <v>Apparel &amp; Footwear</v>
      </c>
      <c r="I3710" s="4">
        <v>1</v>
      </c>
      <c r="J3710" s="5">
        <f>_xlfn.XLOOKUP(tblSales[[#This Row],[Product Code]],tblProducts[Code],tblProducts[Selling Price (excl. VAT)],0)</f>
        <v>150000</v>
      </c>
      <c r="K3710" s="5">
        <f>tblSales[[#This Row],[Qty]]*tblSales[[#This Row],[Unit Price]]</f>
        <v>150000</v>
      </c>
      <c r="L3710" s="5">
        <f>ROUND(tblSales[[#This Row],[DPP (excl. VAT)]]*VATEff,0)</f>
        <v>16500</v>
      </c>
      <c r="M3710" s="5">
        <f>tblSales[[#This Row],[DPP (excl. VAT)]]+tblSales[[#This Row],[Output VAT]]</f>
        <v>166500</v>
      </c>
      <c r="N3710" s="5">
        <f>tblSales[[#This Row],[Qty]]*_xlfn.XLOOKUP(tblSales[[#This Row],[Product Code]],tblProducts[Code],tblProducts[Unit Cost],0)</f>
        <v>88000</v>
      </c>
      <c r="O3710" s="4" t="s">
        <v>4866</v>
      </c>
      <c r="P3710" s="4" t="s">
        <v>4862</v>
      </c>
      <c r="Q3710" s="1" t="str">
        <f>_xlfn.XLOOKUP(tblSales[[#This Row],[Channel Code]],tblChannels[Channel Code],tblChannels[Channel Name],"")</f>
        <v>Website &amp; Social Media</v>
      </c>
      <c r="R3710" s="1">
        <f>MONTH(tblSales[[#This Row],[Date]])</f>
        <v>8</v>
      </c>
    </row>
    <row r="3711" spans="2:18" x14ac:dyDescent="0.35">
      <c r="B3711" s="113">
        <v>46244</v>
      </c>
      <c r="C3711" s="4" t="s">
        <v>2487</v>
      </c>
      <c r="D3711" s="4" t="s">
        <v>4568</v>
      </c>
      <c r="E3711" s="1" t="str">
        <f>_xlfn.XLOOKUP(tblSales[[#This Row],[Customer ID]],tblCustomers[Customer ID],tblCustomers[Customer Name],"⚠ Unknown")</f>
        <v>Walk-in Customer</v>
      </c>
      <c r="F3711" s="4" t="s">
        <v>9</v>
      </c>
      <c r="G3711" s="1" t="str">
        <f>_xlfn.XLOOKUP(tblSales[[#This Row],[Product Code]],tblProducts[Code],tblProducts[Product / Service Name],"⚠ Unknown")</f>
        <v>Casual Shirt</v>
      </c>
      <c r="H3711" s="1" t="str">
        <f>_xlfn.XLOOKUP(tblSales[[#This Row],[Product Code]],tblProducts[Code],tblProducts[Category],"")</f>
        <v>Apparel &amp; Footwear</v>
      </c>
      <c r="I3711" s="4">
        <v>1</v>
      </c>
      <c r="J3711" s="5">
        <f>_xlfn.XLOOKUP(tblSales[[#This Row],[Product Code]],tblProducts[Code],tblProducts[Selling Price (excl. VAT)],0)</f>
        <v>120000</v>
      </c>
      <c r="K3711" s="5">
        <f>tblSales[[#This Row],[Qty]]*tblSales[[#This Row],[Unit Price]]</f>
        <v>120000</v>
      </c>
      <c r="L3711" s="5">
        <f>ROUND(tblSales[[#This Row],[DPP (excl. VAT)]]*VATEff,0)</f>
        <v>13200</v>
      </c>
      <c r="M3711" s="5">
        <f>tblSales[[#This Row],[DPP (excl. VAT)]]+tblSales[[#This Row],[Output VAT]]</f>
        <v>133200</v>
      </c>
      <c r="N3711" s="5">
        <f>tblSales[[#This Row],[Qty]]*_xlfn.XLOOKUP(tblSales[[#This Row],[Product Code]],tblProducts[Code],tblProducts[Unit Cost],0)</f>
        <v>72000</v>
      </c>
      <c r="O3711" s="4" t="s">
        <v>4866</v>
      </c>
      <c r="P3711" s="4" t="s">
        <v>4862</v>
      </c>
      <c r="Q3711" s="1" t="str">
        <f>_xlfn.XLOOKUP(tblSales[[#This Row],[Channel Code]],tblChannels[Channel Code],tblChannels[Channel Name],"")</f>
        <v>Website &amp; Social Media</v>
      </c>
      <c r="R3711" s="1">
        <f>MONTH(tblSales[[#This Row],[Date]])</f>
        <v>8</v>
      </c>
    </row>
    <row r="3712" spans="2:18" x14ac:dyDescent="0.35">
      <c r="B3712" s="113">
        <v>46244</v>
      </c>
      <c r="C3712" s="4" t="s">
        <v>2488</v>
      </c>
      <c r="D3712" s="4" t="s">
        <v>4568</v>
      </c>
      <c r="E3712" s="1" t="str">
        <f>_xlfn.XLOOKUP(tblSales[[#This Row],[Customer ID]],tblCustomers[Customer ID],tblCustomers[Customer Name],"⚠ Unknown")</f>
        <v>Walk-in Customer</v>
      </c>
      <c r="F3712" s="4" t="s">
        <v>7</v>
      </c>
      <c r="G3712" s="1" t="str">
        <f>_xlfn.XLOOKUP(tblSales[[#This Row],[Product Code]],tblProducts[Code],tblProducts[Product / Service Name],"⚠ Unknown")</f>
        <v>Premium Basic T-shirt</v>
      </c>
      <c r="H3712" s="1" t="str">
        <f>_xlfn.XLOOKUP(tblSales[[#This Row],[Product Code]],tblProducts[Code],tblProducts[Category],"")</f>
        <v>Accessories &amp; Basics</v>
      </c>
      <c r="I3712" s="4">
        <v>11</v>
      </c>
      <c r="J3712" s="5">
        <f>_xlfn.XLOOKUP(tblSales[[#This Row],[Product Code]],tblProducts[Code],tblProducts[Selling Price (excl. VAT)],0)</f>
        <v>65000</v>
      </c>
      <c r="K3712" s="5">
        <f>tblSales[[#This Row],[Qty]]*tblSales[[#This Row],[Unit Price]]</f>
        <v>715000</v>
      </c>
      <c r="L3712" s="5">
        <f>ROUND(tblSales[[#This Row],[DPP (excl. VAT)]]*VATEff,0)</f>
        <v>78650</v>
      </c>
      <c r="M3712" s="5">
        <f>tblSales[[#This Row],[DPP (excl. VAT)]]+tblSales[[#This Row],[Output VAT]]</f>
        <v>793650</v>
      </c>
      <c r="N3712" s="5">
        <f>tblSales[[#This Row],[Qty]]*_xlfn.XLOOKUP(tblSales[[#This Row],[Product Code]],tblProducts[Code],tblProducts[Unit Cost],0)</f>
        <v>407000</v>
      </c>
      <c r="O3712" s="4" t="s">
        <v>4866</v>
      </c>
      <c r="P3712" s="4" t="s">
        <v>4861</v>
      </c>
      <c r="Q3712" s="1" t="str">
        <f>_xlfn.XLOOKUP(tblSales[[#This Row],[Channel Code]],tblChannels[Channel Code],tblChannels[Channel Name],"")</f>
        <v>Marketplace</v>
      </c>
      <c r="R3712" s="1">
        <f>MONTH(tblSales[[#This Row],[Date]])</f>
        <v>8</v>
      </c>
    </row>
    <row r="3713" spans="2:18" x14ac:dyDescent="0.35">
      <c r="B3713" s="113">
        <v>46244</v>
      </c>
      <c r="C3713" s="4" t="s">
        <v>2489</v>
      </c>
      <c r="D3713" s="4" t="s">
        <v>4568</v>
      </c>
      <c r="E3713" s="1" t="str">
        <f>_xlfn.XLOOKUP(tblSales[[#This Row],[Customer ID]],tblCustomers[Customer ID],tblCustomers[Customer Name],"⚠ Unknown")</f>
        <v>Walk-in Customer</v>
      </c>
      <c r="F3713" s="4" t="s">
        <v>6</v>
      </c>
      <c r="G3713" s="1" t="str">
        <f>_xlfn.XLOOKUP(tblSales[[#This Row],[Product Code]],tblProducts[Code],tblProducts[Product / Service Name],"⚠ Unknown")</f>
        <v>Socks &amp; Accessories</v>
      </c>
      <c r="H3713" s="1" t="str">
        <f>_xlfn.XLOOKUP(tblSales[[#This Row],[Product Code]],tblProducts[Code],tblProducts[Category],"")</f>
        <v>Accessories &amp; Basics</v>
      </c>
      <c r="I3713" s="4">
        <v>10</v>
      </c>
      <c r="J3713" s="5">
        <f>_xlfn.XLOOKUP(tblSales[[#This Row],[Product Code]],tblProducts[Code],tblProducts[Selling Price (excl. VAT)],0)</f>
        <v>45000</v>
      </c>
      <c r="K3713" s="5">
        <f>tblSales[[#This Row],[Qty]]*tblSales[[#This Row],[Unit Price]]</f>
        <v>450000</v>
      </c>
      <c r="L3713" s="5">
        <f>ROUND(tblSales[[#This Row],[DPP (excl. VAT)]]*VATEff,0)</f>
        <v>49500</v>
      </c>
      <c r="M3713" s="5">
        <f>tblSales[[#This Row],[DPP (excl. VAT)]]+tblSales[[#This Row],[Output VAT]]</f>
        <v>499500</v>
      </c>
      <c r="N3713" s="5">
        <f>tblSales[[#This Row],[Qty]]*_xlfn.XLOOKUP(tblSales[[#This Row],[Product Code]],tblProducts[Code],tblProducts[Unit Cost],0)</f>
        <v>240000</v>
      </c>
      <c r="O3713" s="4" t="s">
        <v>4866</v>
      </c>
      <c r="P3713" s="4" t="s">
        <v>4862</v>
      </c>
      <c r="Q3713" s="1" t="str">
        <f>_xlfn.XLOOKUP(tblSales[[#This Row],[Channel Code]],tblChannels[Channel Code],tblChannels[Channel Name],"")</f>
        <v>Website &amp; Social Media</v>
      </c>
      <c r="R3713" s="1">
        <f>MONTH(tblSales[[#This Row],[Date]])</f>
        <v>8</v>
      </c>
    </row>
    <row r="3714" spans="2:18" x14ac:dyDescent="0.35">
      <c r="B3714" s="113">
        <v>46244</v>
      </c>
      <c r="C3714" s="4" t="s">
        <v>2490</v>
      </c>
      <c r="D3714" s="4" t="s">
        <v>4568</v>
      </c>
      <c r="E3714" s="1" t="str">
        <f>_xlfn.XLOOKUP(tblSales[[#This Row],[Customer ID]],tblCustomers[Customer ID],tblCustomers[Customer Name],"⚠ Unknown")</f>
        <v>Walk-in Customer</v>
      </c>
      <c r="F3714" s="4" t="s">
        <v>14</v>
      </c>
      <c r="G3714" s="1" t="str">
        <f>_xlfn.XLOOKUP(tblSales[[#This Row],[Product Code]],tblProducts[Code],tblProducts[Product / Service Name],"⚠ Unknown")</f>
        <v>Smartwatch</v>
      </c>
      <c r="H3714" s="1" t="str">
        <f>_xlfn.XLOOKUP(tblSales[[#This Row],[Product Code]],tblProducts[Code],tblProducts[Category],"")</f>
        <v>Bags &amp; Gadgets</v>
      </c>
      <c r="I3714" s="4">
        <v>2</v>
      </c>
      <c r="J3714" s="5">
        <f>_xlfn.XLOOKUP(tblSales[[#This Row],[Product Code]],tblProducts[Code],tblProducts[Selling Price (excl. VAT)],0)</f>
        <v>850000</v>
      </c>
      <c r="K3714" s="5">
        <f>tblSales[[#This Row],[Qty]]*tblSales[[#This Row],[Unit Price]]</f>
        <v>1700000</v>
      </c>
      <c r="L3714" s="5">
        <f>ROUND(tblSales[[#This Row],[DPP (excl. VAT)]]*VATEff,0)</f>
        <v>187000</v>
      </c>
      <c r="M3714" s="5">
        <f>tblSales[[#This Row],[DPP (excl. VAT)]]+tblSales[[#This Row],[Output VAT]]</f>
        <v>1887000</v>
      </c>
      <c r="N3714" s="5">
        <f>tblSales[[#This Row],[Qty]]*_xlfn.XLOOKUP(tblSales[[#This Row],[Product Code]],tblProducts[Code],tblProducts[Unit Cost],0)</f>
        <v>1120000</v>
      </c>
      <c r="O3714" s="4" t="s">
        <v>4865</v>
      </c>
      <c r="P3714" s="4" t="s">
        <v>4860</v>
      </c>
      <c r="Q3714" s="1" t="str">
        <f>_xlfn.XLOOKUP(tblSales[[#This Row],[Channel Code]],tblChannels[Channel Code],tblChannels[Channel Name],"")</f>
        <v>In-store</v>
      </c>
      <c r="R3714" s="1">
        <f>MONTH(tblSales[[#This Row],[Date]])</f>
        <v>8</v>
      </c>
    </row>
    <row r="3715" spans="2:18" x14ac:dyDescent="0.35">
      <c r="B3715" s="113">
        <v>46244</v>
      </c>
      <c r="C3715" s="4" t="s">
        <v>2491</v>
      </c>
      <c r="D3715" s="4" t="s">
        <v>4641</v>
      </c>
      <c r="E3715" s="1" t="str">
        <f>_xlfn.XLOOKUP(tblSales[[#This Row],[Customer ID]],tblCustomers[Customer ID],tblCustomers[Customer Name],"⚠ Unknown")</f>
        <v>PT Harmoni Pangan Lestari</v>
      </c>
      <c r="F3715" s="4" t="s">
        <v>13</v>
      </c>
      <c r="G3715" s="1" t="str">
        <f>_xlfn.XLOOKUP(tblSales[[#This Row],[Product Code]],tblProducts[Code],tblProducts[Product / Service Name],"⚠ Unknown")</f>
        <v>Backpack</v>
      </c>
      <c r="H3715" s="1" t="str">
        <f>_xlfn.XLOOKUP(tblSales[[#This Row],[Product Code]],tblProducts[Code],tblProducts[Category],"")</f>
        <v>Bags &amp; Gadgets</v>
      </c>
      <c r="I3715" s="4">
        <v>48</v>
      </c>
      <c r="J3715" s="5">
        <f>_xlfn.XLOOKUP(tblSales[[#This Row],[Product Code]],tblProducts[Code],tblProducts[Selling Price (excl. VAT)],0)</f>
        <v>500000</v>
      </c>
      <c r="K3715" s="5">
        <f>tblSales[[#This Row],[Qty]]*tblSales[[#This Row],[Unit Price]]</f>
        <v>24000000</v>
      </c>
      <c r="L3715" s="5">
        <f>ROUND(tblSales[[#This Row],[DPP (excl. VAT)]]*VATEff,0)</f>
        <v>2640000</v>
      </c>
      <c r="M3715" s="5">
        <f>tblSales[[#This Row],[DPP (excl. VAT)]]+tblSales[[#This Row],[Output VAT]]</f>
        <v>26640000</v>
      </c>
      <c r="N3715" s="5">
        <f>tblSales[[#This Row],[Qty]]*_xlfn.XLOOKUP(tblSales[[#This Row],[Product Code]],tblProducts[Code],tblProducts[Unit Cost],0)</f>
        <v>13920000</v>
      </c>
      <c r="O3715" s="4" t="s">
        <v>4867</v>
      </c>
      <c r="P3715" s="4" t="s">
        <v>4860</v>
      </c>
      <c r="Q3715" s="1" t="str">
        <f>_xlfn.XLOOKUP(tblSales[[#This Row],[Channel Code]],tblChannels[Channel Code],tblChannels[Channel Name],"")</f>
        <v>In-store</v>
      </c>
      <c r="R3715" s="1">
        <f>MONTH(tblSales[[#This Row],[Date]])</f>
        <v>8</v>
      </c>
    </row>
    <row r="3716" spans="2:18" x14ac:dyDescent="0.35">
      <c r="B3716" s="113">
        <v>46244</v>
      </c>
      <c r="C3716" s="4" t="s">
        <v>2492</v>
      </c>
      <c r="D3716" s="4" t="s">
        <v>4568</v>
      </c>
      <c r="E3716" s="1" t="str">
        <f>_xlfn.XLOOKUP(tblSales[[#This Row],[Customer ID]],tblCustomers[Customer ID],tblCustomers[Customer Name],"⚠ Unknown")</f>
        <v>Walk-in Customer</v>
      </c>
      <c r="F3716" s="4" t="s">
        <v>14</v>
      </c>
      <c r="G3716" s="1" t="str">
        <f>_xlfn.XLOOKUP(tblSales[[#This Row],[Product Code]],tblProducts[Code],tblProducts[Product / Service Name],"⚠ Unknown")</f>
        <v>Smartwatch</v>
      </c>
      <c r="H3716" s="1" t="str">
        <f>_xlfn.XLOOKUP(tblSales[[#This Row],[Product Code]],tblProducts[Code],tblProducts[Category],"")</f>
        <v>Bags &amp; Gadgets</v>
      </c>
      <c r="I3716" s="4">
        <v>3</v>
      </c>
      <c r="J3716" s="5">
        <f>_xlfn.XLOOKUP(tblSales[[#This Row],[Product Code]],tblProducts[Code],tblProducts[Selling Price (excl. VAT)],0)</f>
        <v>850000</v>
      </c>
      <c r="K3716" s="5">
        <f>tblSales[[#This Row],[Qty]]*tblSales[[#This Row],[Unit Price]]</f>
        <v>2550000</v>
      </c>
      <c r="L3716" s="5">
        <f>ROUND(tblSales[[#This Row],[DPP (excl. VAT)]]*VATEff,0)</f>
        <v>280500</v>
      </c>
      <c r="M3716" s="5">
        <f>tblSales[[#This Row],[DPP (excl. VAT)]]+tblSales[[#This Row],[Output VAT]]</f>
        <v>2830500</v>
      </c>
      <c r="N3716" s="5">
        <f>tblSales[[#This Row],[Qty]]*_xlfn.XLOOKUP(tblSales[[#This Row],[Product Code]],tblProducts[Code],tblProducts[Unit Cost],0)</f>
        <v>1680000</v>
      </c>
      <c r="O3716" s="4" t="s">
        <v>4866</v>
      </c>
      <c r="P3716" s="4" t="s">
        <v>4862</v>
      </c>
      <c r="Q3716" s="1" t="str">
        <f>_xlfn.XLOOKUP(tblSales[[#This Row],[Channel Code]],tblChannels[Channel Code],tblChannels[Channel Name],"")</f>
        <v>Website &amp; Social Media</v>
      </c>
      <c r="R3716" s="1">
        <f>MONTH(tblSales[[#This Row],[Date]])</f>
        <v>8</v>
      </c>
    </row>
    <row r="3717" spans="2:18" x14ac:dyDescent="0.35">
      <c r="B3717" s="113">
        <v>46244</v>
      </c>
      <c r="C3717" s="4" t="s">
        <v>2492</v>
      </c>
      <c r="D3717" s="4" t="s">
        <v>4568</v>
      </c>
      <c r="E3717" s="1" t="str">
        <f>_xlfn.XLOOKUP(tblSales[[#This Row],[Customer ID]],tblCustomers[Customer ID],tblCustomers[Customer Name],"⚠ Unknown")</f>
        <v>Walk-in Customer</v>
      </c>
      <c r="F3717" s="4" t="s">
        <v>9</v>
      </c>
      <c r="G3717" s="1" t="str">
        <f>_xlfn.XLOOKUP(tblSales[[#This Row],[Product Code]],tblProducts[Code],tblProducts[Product / Service Name],"⚠ Unknown")</f>
        <v>Casual Shirt</v>
      </c>
      <c r="H3717" s="1" t="str">
        <f>_xlfn.XLOOKUP(tblSales[[#This Row],[Product Code]],tblProducts[Code],tblProducts[Category],"")</f>
        <v>Apparel &amp; Footwear</v>
      </c>
      <c r="I3717" s="4">
        <v>3</v>
      </c>
      <c r="J3717" s="5">
        <f>_xlfn.XLOOKUP(tblSales[[#This Row],[Product Code]],tblProducts[Code],tblProducts[Selling Price (excl. VAT)],0)</f>
        <v>120000</v>
      </c>
      <c r="K3717" s="5">
        <f>tblSales[[#This Row],[Qty]]*tblSales[[#This Row],[Unit Price]]</f>
        <v>360000</v>
      </c>
      <c r="L3717" s="5">
        <f>ROUND(tblSales[[#This Row],[DPP (excl. VAT)]]*VATEff,0)</f>
        <v>39600</v>
      </c>
      <c r="M3717" s="5">
        <f>tblSales[[#This Row],[DPP (excl. VAT)]]+tblSales[[#This Row],[Output VAT]]</f>
        <v>399600</v>
      </c>
      <c r="N3717" s="5">
        <f>tblSales[[#This Row],[Qty]]*_xlfn.XLOOKUP(tblSales[[#This Row],[Product Code]],tblProducts[Code],tblProducts[Unit Cost],0)</f>
        <v>216000</v>
      </c>
      <c r="O3717" s="4" t="s">
        <v>4866</v>
      </c>
      <c r="P3717" s="4" t="s">
        <v>4862</v>
      </c>
      <c r="Q3717" s="1" t="str">
        <f>_xlfn.XLOOKUP(tblSales[[#This Row],[Channel Code]],tblChannels[Channel Code],tblChannels[Channel Name],"")</f>
        <v>Website &amp; Social Media</v>
      </c>
      <c r="R3717" s="1">
        <f>MONTH(tblSales[[#This Row],[Date]])</f>
        <v>8</v>
      </c>
    </row>
    <row r="3718" spans="2:18" x14ac:dyDescent="0.35">
      <c r="B3718" s="113">
        <v>46244</v>
      </c>
      <c r="C3718" s="4" t="s">
        <v>2492</v>
      </c>
      <c r="D3718" s="4" t="s">
        <v>4568</v>
      </c>
      <c r="E3718" s="1" t="str">
        <f>_xlfn.XLOOKUP(tblSales[[#This Row],[Customer ID]],tblCustomers[Customer ID],tblCustomers[Customer Name],"⚠ Unknown")</f>
        <v>Walk-in Customer</v>
      </c>
      <c r="F3718" s="4" t="s">
        <v>7</v>
      </c>
      <c r="G3718" s="1" t="str">
        <f>_xlfn.XLOOKUP(tblSales[[#This Row],[Product Code]],tblProducts[Code],tblProducts[Product / Service Name],"⚠ Unknown")</f>
        <v>Premium Basic T-shirt</v>
      </c>
      <c r="H3718" s="1" t="str">
        <f>_xlfn.XLOOKUP(tblSales[[#This Row],[Product Code]],tblProducts[Code],tblProducts[Category],"")</f>
        <v>Accessories &amp; Basics</v>
      </c>
      <c r="I3718" s="4">
        <v>6</v>
      </c>
      <c r="J3718" s="5">
        <f>_xlfn.XLOOKUP(tblSales[[#This Row],[Product Code]],tblProducts[Code],tblProducts[Selling Price (excl. VAT)],0)</f>
        <v>65000</v>
      </c>
      <c r="K3718" s="5">
        <f>tblSales[[#This Row],[Qty]]*tblSales[[#This Row],[Unit Price]]</f>
        <v>390000</v>
      </c>
      <c r="L3718" s="5">
        <f>ROUND(tblSales[[#This Row],[DPP (excl. VAT)]]*VATEff,0)</f>
        <v>42900</v>
      </c>
      <c r="M3718" s="5">
        <f>tblSales[[#This Row],[DPP (excl. VAT)]]+tblSales[[#This Row],[Output VAT]]</f>
        <v>432900</v>
      </c>
      <c r="N3718" s="5">
        <f>tblSales[[#This Row],[Qty]]*_xlfn.XLOOKUP(tblSales[[#This Row],[Product Code]],tblProducts[Code],tblProducts[Unit Cost],0)</f>
        <v>222000</v>
      </c>
      <c r="O3718" s="4" t="s">
        <v>4866</v>
      </c>
      <c r="P3718" s="4" t="s">
        <v>4862</v>
      </c>
      <c r="Q3718" s="1" t="str">
        <f>_xlfn.XLOOKUP(tblSales[[#This Row],[Channel Code]],tblChannels[Channel Code],tblChannels[Channel Name],"")</f>
        <v>Website &amp; Social Media</v>
      </c>
      <c r="R3718" s="1">
        <f>MONTH(tblSales[[#This Row],[Date]])</f>
        <v>8</v>
      </c>
    </row>
    <row r="3719" spans="2:18" x14ac:dyDescent="0.35">
      <c r="B3719" s="113">
        <v>46244</v>
      </c>
      <c r="C3719" s="4" t="s">
        <v>2493</v>
      </c>
      <c r="D3719" s="4" t="s">
        <v>4568</v>
      </c>
      <c r="E3719" s="1" t="str">
        <f>_xlfn.XLOOKUP(tblSales[[#This Row],[Customer ID]],tblCustomers[Customer ID],tblCustomers[Customer Name],"⚠ Unknown")</f>
        <v>Walk-in Customer</v>
      </c>
      <c r="F3719" s="4" t="s">
        <v>6</v>
      </c>
      <c r="G3719" s="1" t="str">
        <f>_xlfn.XLOOKUP(tblSales[[#This Row],[Product Code]],tblProducts[Code],tblProducts[Product / Service Name],"⚠ Unknown")</f>
        <v>Socks &amp; Accessories</v>
      </c>
      <c r="H3719" s="1" t="str">
        <f>_xlfn.XLOOKUP(tblSales[[#This Row],[Product Code]],tblProducts[Code],tblProducts[Category],"")</f>
        <v>Accessories &amp; Basics</v>
      </c>
      <c r="I3719" s="4">
        <v>10</v>
      </c>
      <c r="J3719" s="5">
        <f>_xlfn.XLOOKUP(tblSales[[#This Row],[Product Code]],tblProducts[Code],tblProducts[Selling Price (excl. VAT)],0)</f>
        <v>45000</v>
      </c>
      <c r="K3719" s="5">
        <f>tblSales[[#This Row],[Qty]]*tblSales[[#This Row],[Unit Price]]</f>
        <v>450000</v>
      </c>
      <c r="L3719" s="5">
        <f>ROUND(tblSales[[#This Row],[DPP (excl. VAT)]]*VATEff,0)</f>
        <v>49500</v>
      </c>
      <c r="M3719" s="5">
        <f>tblSales[[#This Row],[DPP (excl. VAT)]]+tblSales[[#This Row],[Output VAT]]</f>
        <v>499500</v>
      </c>
      <c r="N3719" s="5">
        <f>tblSales[[#This Row],[Qty]]*_xlfn.XLOOKUP(tblSales[[#This Row],[Product Code]],tblProducts[Code],tblProducts[Unit Cost],0)</f>
        <v>240000</v>
      </c>
      <c r="O3719" s="4" t="s">
        <v>4866</v>
      </c>
      <c r="P3719" s="4" t="s">
        <v>4861</v>
      </c>
      <c r="Q3719" s="1" t="str">
        <f>_xlfn.XLOOKUP(tblSales[[#This Row],[Channel Code]],tblChannels[Channel Code],tblChannels[Channel Name],"")</f>
        <v>Marketplace</v>
      </c>
      <c r="R3719" s="1">
        <f>MONTH(tblSales[[#This Row],[Date]])</f>
        <v>8</v>
      </c>
    </row>
    <row r="3720" spans="2:18" x14ac:dyDescent="0.35">
      <c r="B3720" s="113">
        <v>46244</v>
      </c>
      <c r="C3720" s="4" t="s">
        <v>2493</v>
      </c>
      <c r="D3720" s="4" t="s">
        <v>4568</v>
      </c>
      <c r="E3720" s="1" t="str">
        <f>_xlfn.XLOOKUP(tblSales[[#This Row],[Customer ID]],tblCustomers[Customer ID],tblCustomers[Customer Name],"⚠ Unknown")</f>
        <v>Walk-in Customer</v>
      </c>
      <c r="F3720" s="4" t="s">
        <v>9</v>
      </c>
      <c r="G3720" s="1" t="str">
        <f>_xlfn.XLOOKUP(tblSales[[#This Row],[Product Code]],tblProducts[Code],tblProducts[Product / Service Name],"⚠ Unknown")</f>
        <v>Casual Shirt</v>
      </c>
      <c r="H3720" s="1" t="str">
        <f>_xlfn.XLOOKUP(tblSales[[#This Row],[Product Code]],tblProducts[Code],tblProducts[Category],"")</f>
        <v>Apparel &amp; Footwear</v>
      </c>
      <c r="I3720" s="4">
        <v>11</v>
      </c>
      <c r="J3720" s="5">
        <f>_xlfn.XLOOKUP(tblSales[[#This Row],[Product Code]],tblProducts[Code],tblProducts[Selling Price (excl. VAT)],0)</f>
        <v>120000</v>
      </c>
      <c r="K3720" s="5">
        <f>tblSales[[#This Row],[Qty]]*tblSales[[#This Row],[Unit Price]]</f>
        <v>1320000</v>
      </c>
      <c r="L3720" s="5">
        <f>ROUND(tblSales[[#This Row],[DPP (excl. VAT)]]*VATEff,0)</f>
        <v>145200</v>
      </c>
      <c r="M3720" s="5">
        <f>tblSales[[#This Row],[DPP (excl. VAT)]]+tblSales[[#This Row],[Output VAT]]</f>
        <v>1465200</v>
      </c>
      <c r="N3720" s="5">
        <f>tblSales[[#This Row],[Qty]]*_xlfn.XLOOKUP(tblSales[[#This Row],[Product Code]],tblProducts[Code],tblProducts[Unit Cost],0)</f>
        <v>792000</v>
      </c>
      <c r="O3720" s="4" t="s">
        <v>4866</v>
      </c>
      <c r="P3720" s="4" t="s">
        <v>4861</v>
      </c>
      <c r="Q3720" s="1" t="str">
        <f>_xlfn.XLOOKUP(tblSales[[#This Row],[Channel Code]],tblChannels[Channel Code],tblChannels[Channel Name],"")</f>
        <v>Marketplace</v>
      </c>
      <c r="R3720" s="1">
        <f>MONTH(tblSales[[#This Row],[Date]])</f>
        <v>8</v>
      </c>
    </row>
    <row r="3721" spans="2:18" x14ac:dyDescent="0.35">
      <c r="B3721" s="113">
        <v>46244</v>
      </c>
      <c r="C3721" s="4" t="s">
        <v>2493</v>
      </c>
      <c r="D3721" s="4" t="s">
        <v>4568</v>
      </c>
      <c r="E3721" s="1" t="str">
        <f>_xlfn.XLOOKUP(tblSales[[#This Row],[Customer ID]],tblCustomers[Customer ID],tblCustomers[Customer Name],"⚠ Unknown")</f>
        <v>Walk-in Customer</v>
      </c>
      <c r="F3721" s="4" t="s">
        <v>10</v>
      </c>
      <c r="G3721" s="1" t="str">
        <f>_xlfn.XLOOKUP(tblSales[[#This Row],[Product Code]],tblProducts[Code],tblProducts[Product / Service Name],"⚠ Unknown")</f>
        <v>Chino Pants</v>
      </c>
      <c r="H3721" s="1" t="str">
        <f>_xlfn.XLOOKUP(tblSales[[#This Row],[Product Code]],tblProducts[Code],tblProducts[Category],"")</f>
        <v>Apparel &amp; Footwear</v>
      </c>
      <c r="I3721" s="4">
        <v>11</v>
      </c>
      <c r="J3721" s="5">
        <f>_xlfn.XLOOKUP(tblSales[[#This Row],[Product Code]],tblProducts[Code],tblProducts[Selling Price (excl. VAT)],0)</f>
        <v>150000</v>
      </c>
      <c r="K3721" s="5">
        <f>tblSales[[#This Row],[Qty]]*tblSales[[#This Row],[Unit Price]]</f>
        <v>1650000</v>
      </c>
      <c r="L3721" s="5">
        <f>ROUND(tblSales[[#This Row],[DPP (excl. VAT)]]*VATEff,0)</f>
        <v>181500</v>
      </c>
      <c r="M3721" s="5">
        <f>tblSales[[#This Row],[DPP (excl. VAT)]]+tblSales[[#This Row],[Output VAT]]</f>
        <v>1831500</v>
      </c>
      <c r="N3721" s="5">
        <f>tblSales[[#This Row],[Qty]]*_xlfn.XLOOKUP(tblSales[[#This Row],[Product Code]],tblProducts[Code],tblProducts[Unit Cost],0)</f>
        <v>968000</v>
      </c>
      <c r="O3721" s="4" t="s">
        <v>4866</v>
      </c>
      <c r="P3721" s="4" t="s">
        <v>4861</v>
      </c>
      <c r="Q3721" s="1" t="str">
        <f>_xlfn.XLOOKUP(tblSales[[#This Row],[Channel Code]],tblChannels[Channel Code],tblChannels[Channel Name],"")</f>
        <v>Marketplace</v>
      </c>
      <c r="R3721" s="1">
        <f>MONTH(tblSales[[#This Row],[Date]])</f>
        <v>8</v>
      </c>
    </row>
    <row r="3722" spans="2:18" x14ac:dyDescent="0.35">
      <c r="B3722" s="113">
        <v>46244</v>
      </c>
      <c r="C3722" s="4" t="s">
        <v>2494</v>
      </c>
      <c r="D3722" s="4" t="s">
        <v>4568</v>
      </c>
      <c r="E3722" s="1" t="str">
        <f>_xlfn.XLOOKUP(tblSales[[#This Row],[Customer ID]],tblCustomers[Customer ID],tblCustomers[Customer Name],"⚠ Unknown")</f>
        <v>Walk-in Customer</v>
      </c>
      <c r="F3722" s="4" t="s">
        <v>8</v>
      </c>
      <c r="G3722" s="1" t="str">
        <f>_xlfn.XLOOKUP(tblSales[[#This Row],[Product Code]],tblProducts[Code],tblProducts[Product / Service Name],"⚠ Unknown")</f>
        <v>Casual Shorts</v>
      </c>
      <c r="H3722" s="1" t="str">
        <f>_xlfn.XLOOKUP(tblSales[[#This Row],[Product Code]],tblProducts[Code],tblProducts[Category],"")</f>
        <v>Accessories &amp; Basics</v>
      </c>
      <c r="I3722" s="4">
        <v>10</v>
      </c>
      <c r="J3722" s="5">
        <f>_xlfn.XLOOKUP(tblSales[[#This Row],[Product Code]],tblProducts[Code],tblProducts[Selling Price (excl. VAT)],0)</f>
        <v>85000</v>
      </c>
      <c r="K3722" s="5">
        <f>tblSales[[#This Row],[Qty]]*tblSales[[#This Row],[Unit Price]]</f>
        <v>850000</v>
      </c>
      <c r="L3722" s="5">
        <f>ROUND(tblSales[[#This Row],[DPP (excl. VAT)]]*VATEff,0)</f>
        <v>93500</v>
      </c>
      <c r="M3722" s="5">
        <f>tblSales[[#This Row],[DPP (excl. VAT)]]+tblSales[[#This Row],[Output VAT]]</f>
        <v>943500</v>
      </c>
      <c r="N3722" s="5">
        <f>tblSales[[#This Row],[Qty]]*_xlfn.XLOOKUP(tblSales[[#This Row],[Product Code]],tblProducts[Code],tblProducts[Unit Cost],0)</f>
        <v>500000</v>
      </c>
      <c r="O3722" s="4" t="s">
        <v>4866</v>
      </c>
      <c r="P3722" s="4" t="s">
        <v>4861</v>
      </c>
      <c r="Q3722" s="1" t="str">
        <f>_xlfn.XLOOKUP(tblSales[[#This Row],[Channel Code]],tblChannels[Channel Code],tblChannels[Channel Name],"")</f>
        <v>Marketplace</v>
      </c>
      <c r="R3722" s="1">
        <f>MONTH(tblSales[[#This Row],[Date]])</f>
        <v>8</v>
      </c>
    </row>
    <row r="3723" spans="2:18" x14ac:dyDescent="0.35">
      <c r="B3723" s="113">
        <v>46244</v>
      </c>
      <c r="C3723" s="4" t="s">
        <v>2495</v>
      </c>
      <c r="D3723" s="4" t="s">
        <v>4568</v>
      </c>
      <c r="E3723" s="1" t="str">
        <f>_xlfn.XLOOKUP(tblSales[[#This Row],[Customer ID]],tblCustomers[Customer ID],tblCustomers[Customer Name],"⚠ Unknown")</f>
        <v>Walk-in Customer</v>
      </c>
      <c r="F3723" s="4" t="s">
        <v>8</v>
      </c>
      <c r="G3723" s="1" t="str">
        <f>_xlfn.XLOOKUP(tblSales[[#This Row],[Product Code]],tblProducts[Code],tblProducts[Product / Service Name],"⚠ Unknown")</f>
        <v>Casual Shorts</v>
      </c>
      <c r="H3723" s="1" t="str">
        <f>_xlfn.XLOOKUP(tblSales[[#This Row],[Product Code]],tblProducts[Code],tblProducts[Category],"")</f>
        <v>Accessories &amp; Basics</v>
      </c>
      <c r="I3723" s="4">
        <v>3</v>
      </c>
      <c r="J3723" s="5">
        <f>_xlfn.XLOOKUP(tblSales[[#This Row],[Product Code]],tblProducts[Code],tblProducts[Selling Price (excl. VAT)],0)</f>
        <v>85000</v>
      </c>
      <c r="K3723" s="5">
        <f>tblSales[[#This Row],[Qty]]*tblSales[[#This Row],[Unit Price]]</f>
        <v>255000</v>
      </c>
      <c r="L3723" s="5">
        <f>ROUND(tblSales[[#This Row],[DPP (excl. VAT)]]*VATEff,0)</f>
        <v>28050</v>
      </c>
      <c r="M3723" s="5">
        <f>tblSales[[#This Row],[DPP (excl. VAT)]]+tblSales[[#This Row],[Output VAT]]</f>
        <v>283050</v>
      </c>
      <c r="N3723" s="5">
        <f>tblSales[[#This Row],[Qty]]*_xlfn.XLOOKUP(tblSales[[#This Row],[Product Code]],tblProducts[Code],tblProducts[Unit Cost],0)</f>
        <v>150000</v>
      </c>
      <c r="O3723" s="4" t="s">
        <v>4865</v>
      </c>
      <c r="P3723" s="4" t="s">
        <v>4860</v>
      </c>
      <c r="Q3723" s="1" t="str">
        <f>_xlfn.XLOOKUP(tblSales[[#This Row],[Channel Code]],tblChannels[Channel Code],tblChannels[Channel Name],"")</f>
        <v>In-store</v>
      </c>
      <c r="R3723" s="1">
        <f>MONTH(tblSales[[#This Row],[Date]])</f>
        <v>8</v>
      </c>
    </row>
    <row r="3724" spans="2:18" x14ac:dyDescent="0.35">
      <c r="B3724" s="113">
        <v>46244</v>
      </c>
      <c r="C3724" s="4" t="s">
        <v>2496</v>
      </c>
      <c r="D3724" s="4" t="s">
        <v>4568</v>
      </c>
      <c r="E3724" s="1" t="str">
        <f>_xlfn.XLOOKUP(tblSales[[#This Row],[Customer ID]],tblCustomers[Customer ID],tblCustomers[Customer Name],"⚠ Unknown")</f>
        <v>Walk-in Customer</v>
      </c>
      <c r="F3724" s="4" t="s">
        <v>8</v>
      </c>
      <c r="G3724" s="1" t="str">
        <f>_xlfn.XLOOKUP(tblSales[[#This Row],[Product Code]],tblProducts[Code],tblProducts[Product / Service Name],"⚠ Unknown")</f>
        <v>Casual Shorts</v>
      </c>
      <c r="H3724" s="1" t="str">
        <f>_xlfn.XLOOKUP(tblSales[[#This Row],[Product Code]],tblProducts[Code],tblProducts[Category],"")</f>
        <v>Accessories &amp; Basics</v>
      </c>
      <c r="I3724" s="4">
        <v>6</v>
      </c>
      <c r="J3724" s="5">
        <f>_xlfn.XLOOKUP(tblSales[[#This Row],[Product Code]],tblProducts[Code],tblProducts[Selling Price (excl. VAT)],0)</f>
        <v>85000</v>
      </c>
      <c r="K3724" s="5">
        <f>tblSales[[#This Row],[Qty]]*tblSales[[#This Row],[Unit Price]]</f>
        <v>510000</v>
      </c>
      <c r="L3724" s="5">
        <f>ROUND(tblSales[[#This Row],[DPP (excl. VAT)]]*VATEff,0)</f>
        <v>56100</v>
      </c>
      <c r="M3724" s="5">
        <f>tblSales[[#This Row],[DPP (excl. VAT)]]+tblSales[[#This Row],[Output VAT]]</f>
        <v>566100</v>
      </c>
      <c r="N3724" s="5">
        <f>tblSales[[#This Row],[Qty]]*_xlfn.XLOOKUP(tblSales[[#This Row],[Product Code]],tblProducts[Code],tblProducts[Unit Cost],0)</f>
        <v>300000</v>
      </c>
      <c r="O3724" s="4" t="s">
        <v>4866</v>
      </c>
      <c r="P3724" s="4" t="s">
        <v>4860</v>
      </c>
      <c r="Q3724" s="1" t="str">
        <f>_xlfn.XLOOKUP(tblSales[[#This Row],[Channel Code]],tblChannels[Channel Code],tblChannels[Channel Name],"")</f>
        <v>In-store</v>
      </c>
      <c r="R3724" s="1">
        <f>MONTH(tblSales[[#This Row],[Date]])</f>
        <v>8</v>
      </c>
    </row>
    <row r="3725" spans="2:18" x14ac:dyDescent="0.35">
      <c r="B3725" s="113">
        <v>46244</v>
      </c>
      <c r="C3725" s="4" t="s">
        <v>2497</v>
      </c>
      <c r="D3725" s="4" t="s">
        <v>4606</v>
      </c>
      <c r="E3725" s="1" t="str">
        <f>_xlfn.XLOOKUP(tblSales[[#This Row],[Customer ID]],tblCustomers[Customer ID],tblCustomers[Customer Name],"⚠ Unknown")</f>
        <v>PT Arunika Digital Kreatif</v>
      </c>
      <c r="F3725" s="4" t="s">
        <v>13</v>
      </c>
      <c r="G3725" s="1" t="str">
        <f>_xlfn.XLOOKUP(tblSales[[#This Row],[Product Code]],tblProducts[Code],tblProducts[Product / Service Name],"⚠ Unknown")</f>
        <v>Backpack</v>
      </c>
      <c r="H3725" s="1" t="str">
        <f>_xlfn.XLOOKUP(tblSales[[#This Row],[Product Code]],tblProducts[Code],tblProducts[Category],"")</f>
        <v>Bags &amp; Gadgets</v>
      </c>
      <c r="I3725" s="4">
        <v>32</v>
      </c>
      <c r="J3725" s="5">
        <f>_xlfn.XLOOKUP(tblSales[[#This Row],[Product Code]],tblProducts[Code],tblProducts[Selling Price (excl. VAT)],0)</f>
        <v>500000</v>
      </c>
      <c r="K3725" s="5">
        <f>tblSales[[#This Row],[Qty]]*tblSales[[#This Row],[Unit Price]]</f>
        <v>16000000</v>
      </c>
      <c r="L3725" s="5">
        <f>ROUND(tblSales[[#This Row],[DPP (excl. VAT)]]*VATEff,0)</f>
        <v>1760000</v>
      </c>
      <c r="M3725" s="5">
        <f>tblSales[[#This Row],[DPP (excl. VAT)]]+tblSales[[#This Row],[Output VAT]]</f>
        <v>17760000</v>
      </c>
      <c r="N3725" s="5">
        <f>tblSales[[#This Row],[Qty]]*_xlfn.XLOOKUP(tblSales[[#This Row],[Product Code]],tblProducts[Code],tblProducts[Unit Cost],0)</f>
        <v>9280000</v>
      </c>
      <c r="O3725" s="4" t="s">
        <v>4867</v>
      </c>
      <c r="P3725" s="4" t="s">
        <v>4860</v>
      </c>
      <c r="Q3725" s="1" t="str">
        <f>_xlfn.XLOOKUP(tblSales[[#This Row],[Channel Code]],tblChannels[Channel Code],tblChannels[Channel Name],"")</f>
        <v>In-store</v>
      </c>
      <c r="R3725" s="1">
        <f>MONTH(tblSales[[#This Row],[Date]])</f>
        <v>8</v>
      </c>
    </row>
    <row r="3726" spans="2:18" x14ac:dyDescent="0.35">
      <c r="B3726" s="113">
        <v>46244</v>
      </c>
      <c r="C3726" s="4" t="s">
        <v>2498</v>
      </c>
      <c r="D3726" s="4" t="s">
        <v>4568</v>
      </c>
      <c r="E3726" s="1" t="str">
        <f>_xlfn.XLOOKUP(tblSales[[#This Row],[Customer ID]],tblCustomers[Customer ID],tblCustomers[Customer Name],"⚠ Unknown")</f>
        <v>Walk-in Customer</v>
      </c>
      <c r="F3726" s="4" t="s">
        <v>9</v>
      </c>
      <c r="G3726" s="1" t="str">
        <f>_xlfn.XLOOKUP(tblSales[[#This Row],[Product Code]],tblProducts[Code],tblProducts[Product / Service Name],"⚠ Unknown")</f>
        <v>Casual Shirt</v>
      </c>
      <c r="H3726" s="1" t="str">
        <f>_xlfn.XLOOKUP(tblSales[[#This Row],[Product Code]],tblProducts[Code],tblProducts[Category],"")</f>
        <v>Apparel &amp; Footwear</v>
      </c>
      <c r="I3726" s="4">
        <v>7</v>
      </c>
      <c r="J3726" s="5">
        <f>_xlfn.XLOOKUP(tblSales[[#This Row],[Product Code]],tblProducts[Code],tblProducts[Selling Price (excl. VAT)],0)</f>
        <v>120000</v>
      </c>
      <c r="K3726" s="5">
        <f>tblSales[[#This Row],[Qty]]*tblSales[[#This Row],[Unit Price]]</f>
        <v>840000</v>
      </c>
      <c r="L3726" s="5">
        <f>ROUND(tblSales[[#This Row],[DPP (excl. VAT)]]*VATEff,0)</f>
        <v>92400</v>
      </c>
      <c r="M3726" s="5">
        <f>tblSales[[#This Row],[DPP (excl. VAT)]]+tblSales[[#This Row],[Output VAT]]</f>
        <v>932400</v>
      </c>
      <c r="N3726" s="5">
        <f>tblSales[[#This Row],[Qty]]*_xlfn.XLOOKUP(tblSales[[#This Row],[Product Code]],tblProducts[Code],tblProducts[Unit Cost],0)</f>
        <v>504000</v>
      </c>
      <c r="O3726" s="4" t="s">
        <v>4866</v>
      </c>
      <c r="P3726" s="4" t="s">
        <v>4860</v>
      </c>
      <c r="Q3726" s="1" t="str">
        <f>_xlfn.XLOOKUP(tblSales[[#This Row],[Channel Code]],tblChannels[Channel Code],tblChannels[Channel Name],"")</f>
        <v>In-store</v>
      </c>
      <c r="R3726" s="1">
        <f>MONTH(tblSales[[#This Row],[Date]])</f>
        <v>8</v>
      </c>
    </row>
    <row r="3727" spans="2:18" x14ac:dyDescent="0.35">
      <c r="B3727" s="113">
        <v>46244</v>
      </c>
      <c r="C3727" s="4" t="s">
        <v>2498</v>
      </c>
      <c r="D3727" s="4" t="s">
        <v>4568</v>
      </c>
      <c r="E3727" s="1" t="str">
        <f>_xlfn.XLOOKUP(tblSales[[#This Row],[Customer ID]],tblCustomers[Customer ID],tblCustomers[Customer Name],"⚠ Unknown")</f>
        <v>Walk-in Customer</v>
      </c>
      <c r="F3727" s="4" t="s">
        <v>10</v>
      </c>
      <c r="G3727" s="1" t="str">
        <f>_xlfn.XLOOKUP(tblSales[[#This Row],[Product Code]],tblProducts[Code],tblProducts[Product / Service Name],"⚠ Unknown")</f>
        <v>Chino Pants</v>
      </c>
      <c r="H3727" s="1" t="str">
        <f>_xlfn.XLOOKUP(tblSales[[#This Row],[Product Code]],tblProducts[Code],tblProducts[Category],"")</f>
        <v>Apparel &amp; Footwear</v>
      </c>
      <c r="I3727" s="4">
        <v>9</v>
      </c>
      <c r="J3727" s="5">
        <f>_xlfn.XLOOKUP(tblSales[[#This Row],[Product Code]],tblProducts[Code],tblProducts[Selling Price (excl. VAT)],0)</f>
        <v>150000</v>
      </c>
      <c r="K3727" s="5">
        <f>tblSales[[#This Row],[Qty]]*tblSales[[#This Row],[Unit Price]]</f>
        <v>1350000</v>
      </c>
      <c r="L3727" s="5">
        <f>ROUND(tblSales[[#This Row],[DPP (excl. VAT)]]*VATEff,0)</f>
        <v>148500</v>
      </c>
      <c r="M3727" s="5">
        <f>tblSales[[#This Row],[DPP (excl. VAT)]]+tblSales[[#This Row],[Output VAT]]</f>
        <v>1498500</v>
      </c>
      <c r="N3727" s="5">
        <f>tblSales[[#This Row],[Qty]]*_xlfn.XLOOKUP(tblSales[[#This Row],[Product Code]],tblProducts[Code],tblProducts[Unit Cost],0)</f>
        <v>792000</v>
      </c>
      <c r="O3727" s="4" t="s">
        <v>4866</v>
      </c>
      <c r="P3727" s="4" t="s">
        <v>4860</v>
      </c>
      <c r="Q3727" s="1" t="str">
        <f>_xlfn.XLOOKUP(tblSales[[#This Row],[Channel Code]],tblChannels[Channel Code],tblChannels[Channel Name],"")</f>
        <v>In-store</v>
      </c>
      <c r="R3727" s="1">
        <f>MONTH(tblSales[[#This Row],[Date]])</f>
        <v>8</v>
      </c>
    </row>
    <row r="3728" spans="2:18" x14ac:dyDescent="0.35">
      <c r="B3728" s="113">
        <v>46245</v>
      </c>
      <c r="C3728" s="4" t="s">
        <v>2499</v>
      </c>
      <c r="D3728" s="4" t="s">
        <v>4568</v>
      </c>
      <c r="E3728" s="1" t="str">
        <f>_xlfn.XLOOKUP(tblSales[[#This Row],[Customer ID]],tblCustomers[Customer ID],tblCustomers[Customer Name],"⚠ Unknown")</f>
        <v>Walk-in Customer</v>
      </c>
      <c r="F3728" s="4" t="s">
        <v>8</v>
      </c>
      <c r="G3728" s="1" t="str">
        <f>_xlfn.XLOOKUP(tblSales[[#This Row],[Product Code]],tblProducts[Code],tblProducts[Product / Service Name],"⚠ Unknown")</f>
        <v>Casual Shorts</v>
      </c>
      <c r="H3728" s="1" t="str">
        <f>_xlfn.XLOOKUP(tblSales[[#This Row],[Product Code]],tblProducts[Code],tblProducts[Category],"")</f>
        <v>Accessories &amp; Basics</v>
      </c>
      <c r="I3728" s="4">
        <v>10</v>
      </c>
      <c r="J3728" s="5">
        <f>_xlfn.XLOOKUP(tblSales[[#This Row],[Product Code]],tblProducts[Code],tblProducts[Selling Price (excl. VAT)],0)</f>
        <v>85000</v>
      </c>
      <c r="K3728" s="5">
        <f>tblSales[[#This Row],[Qty]]*tblSales[[#This Row],[Unit Price]]</f>
        <v>850000</v>
      </c>
      <c r="L3728" s="5">
        <f>ROUND(tblSales[[#This Row],[DPP (excl. VAT)]]*VATEff,0)</f>
        <v>93500</v>
      </c>
      <c r="M3728" s="5">
        <f>tblSales[[#This Row],[DPP (excl. VAT)]]+tblSales[[#This Row],[Output VAT]]</f>
        <v>943500</v>
      </c>
      <c r="N3728" s="5">
        <f>tblSales[[#This Row],[Qty]]*_xlfn.XLOOKUP(tblSales[[#This Row],[Product Code]],tblProducts[Code],tblProducts[Unit Cost],0)</f>
        <v>500000</v>
      </c>
      <c r="O3728" s="4" t="s">
        <v>4865</v>
      </c>
      <c r="P3728" s="4" t="s">
        <v>4860</v>
      </c>
      <c r="Q3728" s="1" t="str">
        <f>_xlfn.XLOOKUP(tblSales[[#This Row],[Channel Code]],tblChannels[Channel Code],tblChannels[Channel Name],"")</f>
        <v>In-store</v>
      </c>
      <c r="R3728" s="1">
        <f>MONTH(tblSales[[#This Row],[Date]])</f>
        <v>8</v>
      </c>
    </row>
    <row r="3729" spans="2:18" x14ac:dyDescent="0.35">
      <c r="B3729" s="113">
        <v>46245</v>
      </c>
      <c r="C3729" s="4" t="s">
        <v>2500</v>
      </c>
      <c r="D3729" s="4" t="s">
        <v>4568</v>
      </c>
      <c r="E3729" s="1" t="str">
        <f>_xlfn.XLOOKUP(tblSales[[#This Row],[Customer ID]],tblCustomers[Customer ID],tblCustomers[Customer Name],"⚠ Unknown")</f>
        <v>Walk-in Customer</v>
      </c>
      <c r="F3729" s="4" t="s">
        <v>10</v>
      </c>
      <c r="G3729" s="1" t="str">
        <f>_xlfn.XLOOKUP(tblSales[[#This Row],[Product Code]],tblProducts[Code],tblProducts[Product / Service Name],"⚠ Unknown")</f>
        <v>Chino Pants</v>
      </c>
      <c r="H3729" s="1" t="str">
        <f>_xlfn.XLOOKUP(tblSales[[#This Row],[Product Code]],tblProducts[Code],tblProducts[Category],"")</f>
        <v>Apparel &amp; Footwear</v>
      </c>
      <c r="I3729" s="4">
        <v>4</v>
      </c>
      <c r="J3729" s="5">
        <f>_xlfn.XLOOKUP(tblSales[[#This Row],[Product Code]],tblProducts[Code],tblProducts[Selling Price (excl. VAT)],0)</f>
        <v>150000</v>
      </c>
      <c r="K3729" s="5">
        <f>tblSales[[#This Row],[Qty]]*tblSales[[#This Row],[Unit Price]]</f>
        <v>600000</v>
      </c>
      <c r="L3729" s="5">
        <f>ROUND(tblSales[[#This Row],[DPP (excl. VAT)]]*VATEff,0)</f>
        <v>66000</v>
      </c>
      <c r="M3729" s="5">
        <f>tblSales[[#This Row],[DPP (excl. VAT)]]+tblSales[[#This Row],[Output VAT]]</f>
        <v>666000</v>
      </c>
      <c r="N3729" s="5">
        <f>tblSales[[#This Row],[Qty]]*_xlfn.XLOOKUP(tblSales[[#This Row],[Product Code]],tblProducts[Code],tblProducts[Unit Cost],0)</f>
        <v>352000</v>
      </c>
      <c r="O3729" s="4" t="s">
        <v>4865</v>
      </c>
      <c r="P3729" s="4" t="s">
        <v>4860</v>
      </c>
      <c r="Q3729" s="1" t="str">
        <f>_xlfn.XLOOKUP(tblSales[[#This Row],[Channel Code]],tblChannels[Channel Code],tblChannels[Channel Name],"")</f>
        <v>In-store</v>
      </c>
      <c r="R3729" s="1">
        <f>MONTH(tblSales[[#This Row],[Date]])</f>
        <v>8</v>
      </c>
    </row>
    <row r="3730" spans="2:18" x14ac:dyDescent="0.35">
      <c r="B3730" s="113">
        <v>46245</v>
      </c>
      <c r="C3730" s="4" t="s">
        <v>2501</v>
      </c>
      <c r="D3730" s="4" t="s">
        <v>4627</v>
      </c>
      <c r="E3730" s="1" t="str">
        <f>_xlfn.XLOOKUP(tblSales[[#This Row],[Customer ID]],tblCustomers[Customer ID],tblCustomers[Customer Name],"⚠ Unknown")</f>
        <v>PT Kencana Wira Usaha</v>
      </c>
      <c r="F3730" s="4" t="s">
        <v>8</v>
      </c>
      <c r="G3730" s="1" t="str">
        <f>_xlfn.XLOOKUP(tblSales[[#This Row],[Product Code]],tblProducts[Code],tblProducts[Product / Service Name],"⚠ Unknown")</f>
        <v>Casual Shorts</v>
      </c>
      <c r="H3730" s="1" t="str">
        <f>_xlfn.XLOOKUP(tblSales[[#This Row],[Product Code]],tblProducts[Code],tblProducts[Category],"")</f>
        <v>Accessories &amp; Basics</v>
      </c>
      <c r="I3730" s="4">
        <v>48</v>
      </c>
      <c r="J3730" s="5">
        <f>_xlfn.XLOOKUP(tblSales[[#This Row],[Product Code]],tblProducts[Code],tblProducts[Selling Price (excl. VAT)],0)</f>
        <v>85000</v>
      </c>
      <c r="K3730" s="5">
        <f>tblSales[[#This Row],[Qty]]*tblSales[[#This Row],[Unit Price]]</f>
        <v>4080000</v>
      </c>
      <c r="L3730" s="5">
        <f>ROUND(tblSales[[#This Row],[DPP (excl. VAT)]]*VATEff,0)</f>
        <v>448800</v>
      </c>
      <c r="M3730" s="5">
        <f>tblSales[[#This Row],[DPP (excl. VAT)]]+tblSales[[#This Row],[Output VAT]]</f>
        <v>4528800</v>
      </c>
      <c r="N3730" s="5">
        <f>tblSales[[#This Row],[Qty]]*_xlfn.XLOOKUP(tblSales[[#This Row],[Product Code]],tblProducts[Code],tblProducts[Unit Cost],0)</f>
        <v>2400000</v>
      </c>
      <c r="O3730" s="4" t="s">
        <v>4867</v>
      </c>
      <c r="P3730" s="4" t="s">
        <v>4860</v>
      </c>
      <c r="Q3730" s="1" t="str">
        <f>_xlfn.XLOOKUP(tblSales[[#This Row],[Channel Code]],tblChannels[Channel Code],tblChannels[Channel Name],"")</f>
        <v>In-store</v>
      </c>
      <c r="R3730" s="1">
        <f>MONTH(tblSales[[#This Row],[Date]])</f>
        <v>8</v>
      </c>
    </row>
    <row r="3731" spans="2:18" x14ac:dyDescent="0.35">
      <c r="B3731" s="113">
        <v>46245</v>
      </c>
      <c r="C3731" s="4" t="s">
        <v>2502</v>
      </c>
      <c r="D3731" s="4" t="s">
        <v>4568</v>
      </c>
      <c r="E3731" s="1" t="str">
        <f>_xlfn.XLOOKUP(tblSales[[#This Row],[Customer ID]],tblCustomers[Customer ID],tblCustomers[Customer Name],"⚠ Unknown")</f>
        <v>Walk-in Customer</v>
      </c>
      <c r="F3731" s="4" t="s">
        <v>10</v>
      </c>
      <c r="G3731" s="1" t="str">
        <f>_xlfn.XLOOKUP(tblSales[[#This Row],[Product Code]],tblProducts[Code],tblProducts[Product / Service Name],"⚠ Unknown")</f>
        <v>Chino Pants</v>
      </c>
      <c r="H3731" s="1" t="str">
        <f>_xlfn.XLOOKUP(tblSales[[#This Row],[Product Code]],tblProducts[Code],tblProducts[Category],"")</f>
        <v>Apparel &amp; Footwear</v>
      </c>
      <c r="I3731" s="4">
        <v>1</v>
      </c>
      <c r="J3731" s="5">
        <f>_xlfn.XLOOKUP(tblSales[[#This Row],[Product Code]],tblProducts[Code],tblProducts[Selling Price (excl. VAT)],0)</f>
        <v>150000</v>
      </c>
      <c r="K3731" s="5">
        <f>tblSales[[#This Row],[Qty]]*tblSales[[#This Row],[Unit Price]]</f>
        <v>150000</v>
      </c>
      <c r="L3731" s="5">
        <f>ROUND(tblSales[[#This Row],[DPP (excl. VAT)]]*VATEff,0)</f>
        <v>16500</v>
      </c>
      <c r="M3731" s="5">
        <f>tblSales[[#This Row],[DPP (excl. VAT)]]+tblSales[[#This Row],[Output VAT]]</f>
        <v>166500</v>
      </c>
      <c r="N3731" s="5">
        <f>tblSales[[#This Row],[Qty]]*_xlfn.XLOOKUP(tblSales[[#This Row],[Product Code]],tblProducts[Code],tblProducts[Unit Cost],0)</f>
        <v>88000</v>
      </c>
      <c r="O3731" s="4" t="s">
        <v>4866</v>
      </c>
      <c r="P3731" s="4" t="s">
        <v>4861</v>
      </c>
      <c r="Q3731" s="1" t="str">
        <f>_xlfn.XLOOKUP(tblSales[[#This Row],[Channel Code]],tblChannels[Channel Code],tblChannels[Channel Name],"")</f>
        <v>Marketplace</v>
      </c>
      <c r="R3731" s="1">
        <f>MONTH(tblSales[[#This Row],[Date]])</f>
        <v>8</v>
      </c>
    </row>
    <row r="3732" spans="2:18" x14ac:dyDescent="0.35">
      <c r="B3732" s="113">
        <v>46245</v>
      </c>
      <c r="C3732" s="4" t="s">
        <v>2503</v>
      </c>
      <c r="D3732" s="4" t="s">
        <v>4568</v>
      </c>
      <c r="E3732" s="1" t="str">
        <f>_xlfn.XLOOKUP(tblSales[[#This Row],[Customer ID]],tblCustomers[Customer ID],tblCustomers[Customer Name],"⚠ Unknown")</f>
        <v>Walk-in Customer</v>
      </c>
      <c r="F3732" s="4" t="s">
        <v>8</v>
      </c>
      <c r="G3732" s="1" t="str">
        <f>_xlfn.XLOOKUP(tblSales[[#This Row],[Product Code]],tblProducts[Code],tblProducts[Product / Service Name],"⚠ Unknown")</f>
        <v>Casual Shorts</v>
      </c>
      <c r="H3732" s="1" t="str">
        <f>_xlfn.XLOOKUP(tblSales[[#This Row],[Product Code]],tblProducts[Code],tblProducts[Category],"")</f>
        <v>Accessories &amp; Basics</v>
      </c>
      <c r="I3732" s="4">
        <v>5</v>
      </c>
      <c r="J3732" s="5">
        <f>_xlfn.XLOOKUP(tblSales[[#This Row],[Product Code]],tblProducts[Code],tblProducts[Selling Price (excl. VAT)],0)</f>
        <v>85000</v>
      </c>
      <c r="K3732" s="5">
        <f>tblSales[[#This Row],[Qty]]*tblSales[[#This Row],[Unit Price]]</f>
        <v>425000</v>
      </c>
      <c r="L3732" s="5">
        <f>ROUND(tblSales[[#This Row],[DPP (excl. VAT)]]*VATEff,0)</f>
        <v>46750</v>
      </c>
      <c r="M3732" s="5">
        <f>tblSales[[#This Row],[DPP (excl. VAT)]]+tblSales[[#This Row],[Output VAT]]</f>
        <v>471750</v>
      </c>
      <c r="N3732" s="5">
        <f>tblSales[[#This Row],[Qty]]*_xlfn.XLOOKUP(tblSales[[#This Row],[Product Code]],tblProducts[Code],tblProducts[Unit Cost],0)</f>
        <v>250000</v>
      </c>
      <c r="O3732" s="4" t="s">
        <v>4865</v>
      </c>
      <c r="P3732" s="4" t="s">
        <v>4860</v>
      </c>
      <c r="Q3732" s="1" t="str">
        <f>_xlfn.XLOOKUP(tblSales[[#This Row],[Channel Code]],tblChannels[Channel Code],tblChannels[Channel Name],"")</f>
        <v>In-store</v>
      </c>
      <c r="R3732" s="1">
        <f>MONTH(tblSales[[#This Row],[Date]])</f>
        <v>8</v>
      </c>
    </row>
    <row r="3733" spans="2:18" x14ac:dyDescent="0.35">
      <c r="B3733" s="113">
        <v>46245</v>
      </c>
      <c r="C3733" s="4" t="s">
        <v>2504</v>
      </c>
      <c r="D3733" s="4" t="s">
        <v>4568</v>
      </c>
      <c r="E3733" s="1" t="str">
        <f>_xlfn.XLOOKUP(tblSales[[#This Row],[Customer ID]],tblCustomers[Customer ID],tblCustomers[Customer Name],"⚠ Unknown")</f>
        <v>Walk-in Customer</v>
      </c>
      <c r="F3733" s="4" t="s">
        <v>9</v>
      </c>
      <c r="G3733" s="1" t="str">
        <f>_xlfn.XLOOKUP(tblSales[[#This Row],[Product Code]],tblProducts[Code],tblProducts[Product / Service Name],"⚠ Unknown")</f>
        <v>Casual Shirt</v>
      </c>
      <c r="H3733" s="1" t="str">
        <f>_xlfn.XLOOKUP(tblSales[[#This Row],[Product Code]],tblProducts[Code],tblProducts[Category],"")</f>
        <v>Apparel &amp; Footwear</v>
      </c>
      <c r="I3733" s="4">
        <v>7</v>
      </c>
      <c r="J3733" s="5">
        <f>_xlfn.XLOOKUP(tblSales[[#This Row],[Product Code]],tblProducts[Code],tblProducts[Selling Price (excl. VAT)],0)</f>
        <v>120000</v>
      </c>
      <c r="K3733" s="5">
        <f>tblSales[[#This Row],[Qty]]*tblSales[[#This Row],[Unit Price]]</f>
        <v>840000</v>
      </c>
      <c r="L3733" s="5">
        <f>ROUND(tblSales[[#This Row],[DPP (excl. VAT)]]*VATEff,0)</f>
        <v>92400</v>
      </c>
      <c r="M3733" s="5">
        <f>tblSales[[#This Row],[DPP (excl. VAT)]]+tblSales[[#This Row],[Output VAT]]</f>
        <v>932400</v>
      </c>
      <c r="N3733" s="5">
        <f>tblSales[[#This Row],[Qty]]*_xlfn.XLOOKUP(tblSales[[#This Row],[Product Code]],tblProducts[Code],tblProducts[Unit Cost],0)</f>
        <v>504000</v>
      </c>
      <c r="O3733" s="4" t="s">
        <v>4865</v>
      </c>
      <c r="P3733" s="4" t="s">
        <v>4860</v>
      </c>
      <c r="Q3733" s="1" t="str">
        <f>_xlfn.XLOOKUP(tblSales[[#This Row],[Channel Code]],tblChannels[Channel Code],tblChannels[Channel Name],"")</f>
        <v>In-store</v>
      </c>
      <c r="R3733" s="1">
        <f>MONTH(tblSales[[#This Row],[Date]])</f>
        <v>8</v>
      </c>
    </row>
    <row r="3734" spans="2:18" x14ac:dyDescent="0.35">
      <c r="B3734" s="113">
        <v>46245</v>
      </c>
      <c r="C3734" s="4" t="s">
        <v>2505</v>
      </c>
      <c r="D3734" s="4" t="s">
        <v>4568</v>
      </c>
      <c r="E3734" s="1" t="str">
        <f>_xlfn.XLOOKUP(tblSales[[#This Row],[Customer ID]],tblCustomers[Customer ID],tblCustomers[Customer Name],"⚠ Unknown")</f>
        <v>Walk-in Customer</v>
      </c>
      <c r="F3734" s="4" t="s">
        <v>9</v>
      </c>
      <c r="G3734" s="1" t="str">
        <f>_xlfn.XLOOKUP(tblSales[[#This Row],[Product Code]],tblProducts[Code],tblProducts[Product / Service Name],"⚠ Unknown")</f>
        <v>Casual Shirt</v>
      </c>
      <c r="H3734" s="1" t="str">
        <f>_xlfn.XLOOKUP(tblSales[[#This Row],[Product Code]],tblProducts[Code],tblProducts[Category],"")</f>
        <v>Apparel &amp; Footwear</v>
      </c>
      <c r="I3734" s="4">
        <v>8</v>
      </c>
      <c r="J3734" s="5">
        <f>_xlfn.XLOOKUP(tblSales[[#This Row],[Product Code]],tblProducts[Code],tblProducts[Selling Price (excl. VAT)],0)</f>
        <v>120000</v>
      </c>
      <c r="K3734" s="5">
        <f>tblSales[[#This Row],[Qty]]*tblSales[[#This Row],[Unit Price]]</f>
        <v>960000</v>
      </c>
      <c r="L3734" s="5">
        <f>ROUND(tblSales[[#This Row],[DPP (excl. VAT)]]*VATEff,0)</f>
        <v>105600</v>
      </c>
      <c r="M3734" s="5">
        <f>tblSales[[#This Row],[DPP (excl. VAT)]]+tblSales[[#This Row],[Output VAT]]</f>
        <v>1065600</v>
      </c>
      <c r="N3734" s="5">
        <f>tblSales[[#This Row],[Qty]]*_xlfn.XLOOKUP(tblSales[[#This Row],[Product Code]],tblProducts[Code],tblProducts[Unit Cost],0)</f>
        <v>576000</v>
      </c>
      <c r="O3734" s="4" t="s">
        <v>4866</v>
      </c>
      <c r="P3734" s="4" t="s">
        <v>4860</v>
      </c>
      <c r="Q3734" s="1" t="str">
        <f>_xlfn.XLOOKUP(tblSales[[#This Row],[Channel Code]],tblChannels[Channel Code],tblChannels[Channel Name],"")</f>
        <v>In-store</v>
      </c>
      <c r="R3734" s="1">
        <f>MONTH(tblSales[[#This Row],[Date]])</f>
        <v>8</v>
      </c>
    </row>
    <row r="3735" spans="2:18" x14ac:dyDescent="0.35">
      <c r="B3735" s="113">
        <v>46245</v>
      </c>
      <c r="C3735" s="4" t="s">
        <v>2505</v>
      </c>
      <c r="D3735" s="4" t="s">
        <v>4568</v>
      </c>
      <c r="E3735" s="1" t="str">
        <f>_xlfn.XLOOKUP(tblSales[[#This Row],[Customer ID]],tblCustomers[Customer ID],tblCustomers[Customer Name],"⚠ Unknown")</f>
        <v>Walk-in Customer</v>
      </c>
      <c r="F3735" s="4" t="s">
        <v>6</v>
      </c>
      <c r="G3735" s="1" t="str">
        <f>_xlfn.XLOOKUP(tblSales[[#This Row],[Product Code]],tblProducts[Code],tblProducts[Product / Service Name],"⚠ Unknown")</f>
        <v>Socks &amp; Accessories</v>
      </c>
      <c r="H3735" s="1" t="str">
        <f>_xlfn.XLOOKUP(tblSales[[#This Row],[Product Code]],tblProducts[Code],tblProducts[Category],"")</f>
        <v>Accessories &amp; Basics</v>
      </c>
      <c r="I3735" s="4">
        <v>4</v>
      </c>
      <c r="J3735" s="5">
        <f>_xlfn.XLOOKUP(tblSales[[#This Row],[Product Code]],tblProducts[Code],tblProducts[Selling Price (excl. VAT)],0)</f>
        <v>45000</v>
      </c>
      <c r="K3735" s="5">
        <f>tblSales[[#This Row],[Qty]]*tblSales[[#This Row],[Unit Price]]</f>
        <v>180000</v>
      </c>
      <c r="L3735" s="5">
        <f>ROUND(tblSales[[#This Row],[DPP (excl. VAT)]]*VATEff,0)</f>
        <v>19800</v>
      </c>
      <c r="M3735" s="5">
        <f>tblSales[[#This Row],[DPP (excl. VAT)]]+tblSales[[#This Row],[Output VAT]]</f>
        <v>199800</v>
      </c>
      <c r="N3735" s="5">
        <f>tblSales[[#This Row],[Qty]]*_xlfn.XLOOKUP(tblSales[[#This Row],[Product Code]],tblProducts[Code],tblProducts[Unit Cost],0)</f>
        <v>96000</v>
      </c>
      <c r="O3735" s="4" t="s">
        <v>4866</v>
      </c>
      <c r="P3735" s="4" t="s">
        <v>4860</v>
      </c>
      <c r="Q3735" s="1" t="str">
        <f>_xlfn.XLOOKUP(tblSales[[#This Row],[Channel Code]],tblChannels[Channel Code],tblChannels[Channel Name],"")</f>
        <v>In-store</v>
      </c>
      <c r="R3735" s="1">
        <f>MONTH(tblSales[[#This Row],[Date]])</f>
        <v>8</v>
      </c>
    </row>
    <row r="3736" spans="2:18" x14ac:dyDescent="0.35">
      <c r="B3736" s="113">
        <v>46245</v>
      </c>
      <c r="C3736" s="4" t="s">
        <v>2506</v>
      </c>
      <c r="D3736" s="4" t="s">
        <v>4568</v>
      </c>
      <c r="E3736" s="1" t="str">
        <f>_xlfn.XLOOKUP(tblSales[[#This Row],[Customer ID]],tblCustomers[Customer ID],tblCustomers[Customer Name],"⚠ Unknown")</f>
        <v>Walk-in Customer</v>
      </c>
      <c r="F3736" s="4" t="s">
        <v>13</v>
      </c>
      <c r="G3736" s="1" t="str">
        <f>_xlfn.XLOOKUP(tblSales[[#This Row],[Product Code]],tblProducts[Code],tblProducts[Product / Service Name],"⚠ Unknown")</f>
        <v>Backpack</v>
      </c>
      <c r="H3736" s="1" t="str">
        <f>_xlfn.XLOOKUP(tblSales[[#This Row],[Product Code]],tblProducts[Code],tblProducts[Category],"")</f>
        <v>Bags &amp; Gadgets</v>
      </c>
      <c r="I3736" s="4">
        <v>5</v>
      </c>
      <c r="J3736" s="5">
        <f>_xlfn.XLOOKUP(tblSales[[#This Row],[Product Code]],tblProducts[Code],tblProducts[Selling Price (excl. VAT)],0)</f>
        <v>500000</v>
      </c>
      <c r="K3736" s="5">
        <f>tblSales[[#This Row],[Qty]]*tblSales[[#This Row],[Unit Price]]</f>
        <v>2500000</v>
      </c>
      <c r="L3736" s="5">
        <f>ROUND(tblSales[[#This Row],[DPP (excl. VAT)]]*VATEff,0)</f>
        <v>275000</v>
      </c>
      <c r="M3736" s="5">
        <f>tblSales[[#This Row],[DPP (excl. VAT)]]+tblSales[[#This Row],[Output VAT]]</f>
        <v>2775000</v>
      </c>
      <c r="N3736" s="5">
        <f>tblSales[[#This Row],[Qty]]*_xlfn.XLOOKUP(tblSales[[#This Row],[Product Code]],tblProducts[Code],tblProducts[Unit Cost],0)</f>
        <v>1450000</v>
      </c>
      <c r="O3736" s="4" t="s">
        <v>4866</v>
      </c>
      <c r="P3736" s="4" t="s">
        <v>4861</v>
      </c>
      <c r="Q3736" s="1" t="str">
        <f>_xlfn.XLOOKUP(tblSales[[#This Row],[Channel Code]],tblChannels[Channel Code],tblChannels[Channel Name],"")</f>
        <v>Marketplace</v>
      </c>
      <c r="R3736" s="1">
        <f>MONTH(tblSales[[#This Row],[Date]])</f>
        <v>8</v>
      </c>
    </row>
    <row r="3737" spans="2:18" x14ac:dyDescent="0.35">
      <c r="B3737" s="113">
        <v>46245</v>
      </c>
      <c r="C3737" s="4" t="s">
        <v>2507</v>
      </c>
      <c r="D3737" s="4" t="s">
        <v>4648</v>
      </c>
      <c r="E3737" s="1" t="str">
        <f>_xlfn.XLOOKUP(tblSales[[#This Row],[Customer ID]],tblCustomers[Customer ID],tblCustomers[Customer Name],"⚠ Unknown")</f>
        <v>PT Lintas Benua Niaga</v>
      </c>
      <c r="F3737" s="4" t="s">
        <v>7</v>
      </c>
      <c r="G3737" s="1" t="str">
        <f>_xlfn.XLOOKUP(tblSales[[#This Row],[Product Code]],tblProducts[Code],tblProducts[Product / Service Name],"⚠ Unknown")</f>
        <v>Premium Basic T-shirt</v>
      </c>
      <c r="H3737" s="1" t="str">
        <f>_xlfn.XLOOKUP(tblSales[[#This Row],[Product Code]],tblProducts[Code],tblProducts[Category],"")</f>
        <v>Accessories &amp; Basics</v>
      </c>
      <c r="I3737" s="4">
        <v>48</v>
      </c>
      <c r="J3737" s="5">
        <f>_xlfn.XLOOKUP(tblSales[[#This Row],[Product Code]],tblProducts[Code],tblProducts[Selling Price (excl. VAT)],0)</f>
        <v>65000</v>
      </c>
      <c r="K3737" s="5">
        <f>tblSales[[#This Row],[Qty]]*tblSales[[#This Row],[Unit Price]]</f>
        <v>3120000</v>
      </c>
      <c r="L3737" s="5">
        <f>ROUND(tblSales[[#This Row],[DPP (excl. VAT)]]*VATEff,0)</f>
        <v>343200</v>
      </c>
      <c r="M3737" s="5">
        <f>tblSales[[#This Row],[DPP (excl. VAT)]]+tblSales[[#This Row],[Output VAT]]</f>
        <v>3463200</v>
      </c>
      <c r="N3737" s="5">
        <f>tblSales[[#This Row],[Qty]]*_xlfn.XLOOKUP(tblSales[[#This Row],[Product Code]],tblProducts[Code],tblProducts[Unit Cost],0)</f>
        <v>1776000</v>
      </c>
      <c r="O3737" s="4" t="s">
        <v>4867</v>
      </c>
      <c r="P3737" s="4" t="s">
        <v>4860</v>
      </c>
      <c r="Q3737" s="1" t="str">
        <f>_xlfn.XLOOKUP(tblSales[[#This Row],[Channel Code]],tblChannels[Channel Code],tblChannels[Channel Name],"")</f>
        <v>In-store</v>
      </c>
      <c r="R3737" s="1">
        <f>MONTH(tblSales[[#This Row],[Date]])</f>
        <v>8</v>
      </c>
    </row>
    <row r="3738" spans="2:18" x14ac:dyDescent="0.35">
      <c r="B3738" s="113">
        <v>46245</v>
      </c>
      <c r="C3738" s="4" t="s">
        <v>2507</v>
      </c>
      <c r="D3738" s="4" t="s">
        <v>4648</v>
      </c>
      <c r="E3738" s="1" t="str">
        <f>_xlfn.XLOOKUP(tblSales[[#This Row],[Customer ID]],tblCustomers[Customer ID],tblCustomers[Customer Name],"⚠ Unknown")</f>
        <v>PT Lintas Benua Niaga</v>
      </c>
      <c r="F3738" s="4" t="s">
        <v>12</v>
      </c>
      <c r="G3738" s="1" t="str">
        <f>_xlfn.XLOOKUP(tblSales[[#This Row],[Product Code]],tblProducts[Code],tblProducts[Product / Service Name],"⚠ Unknown")</f>
        <v>Bomber Jacket</v>
      </c>
      <c r="H3738" s="1" t="str">
        <f>_xlfn.XLOOKUP(tblSales[[#This Row],[Product Code]],tblProducts[Code],tblProducts[Category],"")</f>
        <v>Apparel &amp; Footwear</v>
      </c>
      <c r="I3738" s="4">
        <v>40</v>
      </c>
      <c r="J3738" s="5">
        <f>_xlfn.XLOOKUP(tblSales[[#This Row],[Product Code]],tblProducts[Code],tblProducts[Selling Price (excl. VAT)],0)</f>
        <v>350000</v>
      </c>
      <c r="K3738" s="5">
        <f>tblSales[[#This Row],[Qty]]*tblSales[[#This Row],[Unit Price]]</f>
        <v>14000000</v>
      </c>
      <c r="L3738" s="5">
        <f>ROUND(tblSales[[#This Row],[DPP (excl. VAT)]]*VATEff,0)</f>
        <v>1540000</v>
      </c>
      <c r="M3738" s="5">
        <f>tblSales[[#This Row],[DPP (excl. VAT)]]+tblSales[[#This Row],[Output VAT]]</f>
        <v>15540000</v>
      </c>
      <c r="N3738" s="5">
        <f>tblSales[[#This Row],[Qty]]*_xlfn.XLOOKUP(tblSales[[#This Row],[Product Code]],tblProducts[Code],tblProducts[Unit Cost],0)</f>
        <v>8400000</v>
      </c>
      <c r="O3738" s="4" t="s">
        <v>4867</v>
      </c>
      <c r="P3738" s="4" t="s">
        <v>4860</v>
      </c>
      <c r="Q3738" s="1" t="str">
        <f>_xlfn.XLOOKUP(tblSales[[#This Row],[Channel Code]],tblChannels[Channel Code],tblChannels[Channel Name],"")</f>
        <v>In-store</v>
      </c>
      <c r="R3738" s="1">
        <f>MONTH(tblSales[[#This Row],[Date]])</f>
        <v>8</v>
      </c>
    </row>
    <row r="3739" spans="2:18" x14ac:dyDescent="0.35">
      <c r="B3739" s="113">
        <v>46245</v>
      </c>
      <c r="C3739" s="4" t="s">
        <v>2508</v>
      </c>
      <c r="D3739" s="4" t="s">
        <v>4613</v>
      </c>
      <c r="E3739" s="1" t="str">
        <f>_xlfn.XLOOKUP(tblSales[[#This Row],[Customer ID]],tblCustomers[Customer ID],tblCustomers[Customer Name],"⚠ Unknown")</f>
        <v>PT Mega Prima Distribusi</v>
      </c>
      <c r="F3739" s="4" t="s">
        <v>7</v>
      </c>
      <c r="G3739" s="1" t="str">
        <f>_xlfn.XLOOKUP(tblSales[[#This Row],[Product Code]],tblProducts[Code],tblProducts[Product / Service Name],"⚠ Unknown")</f>
        <v>Premium Basic T-shirt</v>
      </c>
      <c r="H3739" s="1" t="str">
        <f>_xlfn.XLOOKUP(tblSales[[#This Row],[Product Code]],tblProducts[Code],tblProducts[Category],"")</f>
        <v>Accessories &amp; Basics</v>
      </c>
      <c r="I3739" s="4">
        <v>80</v>
      </c>
      <c r="J3739" s="5">
        <f>_xlfn.XLOOKUP(tblSales[[#This Row],[Product Code]],tblProducts[Code],tblProducts[Selling Price (excl. VAT)],0)</f>
        <v>65000</v>
      </c>
      <c r="K3739" s="5">
        <f>tblSales[[#This Row],[Qty]]*tblSales[[#This Row],[Unit Price]]</f>
        <v>5200000</v>
      </c>
      <c r="L3739" s="5">
        <f>ROUND(tblSales[[#This Row],[DPP (excl. VAT)]]*VATEff,0)</f>
        <v>572000</v>
      </c>
      <c r="M3739" s="5">
        <f>tblSales[[#This Row],[DPP (excl. VAT)]]+tblSales[[#This Row],[Output VAT]]</f>
        <v>5772000</v>
      </c>
      <c r="N3739" s="5">
        <f>tblSales[[#This Row],[Qty]]*_xlfn.XLOOKUP(tblSales[[#This Row],[Product Code]],tblProducts[Code],tblProducts[Unit Cost],0)</f>
        <v>2960000</v>
      </c>
      <c r="O3739" s="4" t="s">
        <v>4867</v>
      </c>
      <c r="P3739" s="4" t="s">
        <v>4860</v>
      </c>
      <c r="Q3739" s="1" t="str">
        <f>_xlfn.XLOOKUP(tblSales[[#This Row],[Channel Code]],tblChannels[Channel Code],tblChannels[Channel Name],"")</f>
        <v>In-store</v>
      </c>
      <c r="R3739" s="1">
        <f>MONTH(tblSales[[#This Row],[Date]])</f>
        <v>8</v>
      </c>
    </row>
    <row r="3740" spans="2:18" x14ac:dyDescent="0.35">
      <c r="B3740" s="113">
        <v>46245</v>
      </c>
      <c r="C3740" s="4" t="s">
        <v>2509</v>
      </c>
      <c r="D3740" s="4" t="s">
        <v>4578</v>
      </c>
      <c r="E3740" s="1" t="str">
        <f>_xlfn.XLOOKUP(tblSales[[#This Row],[Customer ID]],tblCustomers[Customer ID],tblCustomers[Customer Name],"⚠ Unknown")</f>
        <v>PT Bintang Timur Sejahtera</v>
      </c>
      <c r="F3740" s="4" t="s">
        <v>15</v>
      </c>
      <c r="G3740" s="1" t="str">
        <f>_xlfn.XLOOKUP(tblSales[[#This Row],[Product Code]],tblProducts[Code],tblProducts[Product / Service Name],"⚠ Unknown")</f>
        <v>Wireless Earbuds Pro</v>
      </c>
      <c r="H3740" s="1" t="str">
        <f>_xlfn.XLOOKUP(tblSales[[#This Row],[Product Code]],tblProducts[Code],tblProducts[Category],"")</f>
        <v>Bags &amp; Gadgets</v>
      </c>
      <c r="I3740" s="4">
        <v>8</v>
      </c>
      <c r="J3740" s="5">
        <f>_xlfn.XLOOKUP(tblSales[[#This Row],[Product Code]],tblProducts[Code],tblProducts[Selling Price (excl. VAT)],0)</f>
        <v>1250000</v>
      </c>
      <c r="K3740" s="5">
        <f>tblSales[[#This Row],[Qty]]*tblSales[[#This Row],[Unit Price]]</f>
        <v>10000000</v>
      </c>
      <c r="L3740" s="5">
        <f>ROUND(tblSales[[#This Row],[DPP (excl. VAT)]]*VATEff,0)</f>
        <v>1100000</v>
      </c>
      <c r="M3740" s="5">
        <f>tblSales[[#This Row],[DPP (excl. VAT)]]+tblSales[[#This Row],[Output VAT]]</f>
        <v>11100000</v>
      </c>
      <c r="N3740" s="5">
        <f>tblSales[[#This Row],[Qty]]*_xlfn.XLOOKUP(tblSales[[#This Row],[Product Code]],tblProducts[Code],tblProducts[Unit Cost],0)</f>
        <v>6560000</v>
      </c>
      <c r="O3740" s="4" t="s">
        <v>4867</v>
      </c>
      <c r="P3740" s="4" t="s">
        <v>4860</v>
      </c>
      <c r="Q3740" s="1" t="str">
        <f>_xlfn.XLOOKUP(tblSales[[#This Row],[Channel Code]],tblChannels[Channel Code],tblChannels[Channel Name],"")</f>
        <v>In-store</v>
      </c>
      <c r="R3740" s="1">
        <f>MONTH(tblSales[[#This Row],[Date]])</f>
        <v>8</v>
      </c>
    </row>
    <row r="3741" spans="2:18" x14ac:dyDescent="0.35">
      <c r="B3741" s="113">
        <v>46245</v>
      </c>
      <c r="C3741" s="4" t="s">
        <v>2510</v>
      </c>
      <c r="D3741" s="4" t="s">
        <v>4568</v>
      </c>
      <c r="E3741" s="1" t="str">
        <f>_xlfn.XLOOKUP(tblSales[[#This Row],[Customer ID]],tblCustomers[Customer ID],tblCustomers[Customer Name],"⚠ Unknown")</f>
        <v>Walk-in Customer</v>
      </c>
      <c r="F3741" s="4" t="s">
        <v>8</v>
      </c>
      <c r="G3741" s="1" t="str">
        <f>_xlfn.XLOOKUP(tblSales[[#This Row],[Product Code]],tblProducts[Code],tblProducts[Product / Service Name],"⚠ Unknown")</f>
        <v>Casual Shorts</v>
      </c>
      <c r="H3741" s="1" t="str">
        <f>_xlfn.XLOOKUP(tblSales[[#This Row],[Product Code]],tblProducts[Code],tblProducts[Category],"")</f>
        <v>Accessories &amp; Basics</v>
      </c>
      <c r="I3741" s="4">
        <v>9</v>
      </c>
      <c r="J3741" s="5">
        <f>_xlfn.XLOOKUP(tblSales[[#This Row],[Product Code]],tblProducts[Code],tblProducts[Selling Price (excl. VAT)],0)</f>
        <v>85000</v>
      </c>
      <c r="K3741" s="5">
        <f>tblSales[[#This Row],[Qty]]*tblSales[[#This Row],[Unit Price]]</f>
        <v>765000</v>
      </c>
      <c r="L3741" s="5">
        <f>ROUND(tblSales[[#This Row],[DPP (excl. VAT)]]*VATEff,0)</f>
        <v>84150</v>
      </c>
      <c r="M3741" s="5">
        <f>tblSales[[#This Row],[DPP (excl. VAT)]]+tblSales[[#This Row],[Output VAT]]</f>
        <v>849150</v>
      </c>
      <c r="N3741" s="5">
        <f>tblSales[[#This Row],[Qty]]*_xlfn.XLOOKUP(tblSales[[#This Row],[Product Code]],tblProducts[Code],tblProducts[Unit Cost],0)</f>
        <v>450000</v>
      </c>
      <c r="O3741" s="4" t="s">
        <v>4865</v>
      </c>
      <c r="P3741" s="4" t="s">
        <v>4860</v>
      </c>
      <c r="Q3741" s="1" t="str">
        <f>_xlfn.XLOOKUP(tblSales[[#This Row],[Channel Code]],tblChannels[Channel Code],tblChannels[Channel Name],"")</f>
        <v>In-store</v>
      </c>
      <c r="R3741" s="1">
        <f>MONTH(tblSales[[#This Row],[Date]])</f>
        <v>8</v>
      </c>
    </row>
    <row r="3742" spans="2:18" x14ac:dyDescent="0.35">
      <c r="B3742" s="113">
        <v>46245</v>
      </c>
      <c r="C3742" s="4" t="s">
        <v>2510</v>
      </c>
      <c r="D3742" s="4" t="s">
        <v>4568</v>
      </c>
      <c r="E3742" s="1" t="str">
        <f>_xlfn.XLOOKUP(tblSales[[#This Row],[Customer ID]],tblCustomers[Customer ID],tblCustomers[Customer Name],"⚠ Unknown")</f>
        <v>Walk-in Customer</v>
      </c>
      <c r="F3742" s="4" t="s">
        <v>7</v>
      </c>
      <c r="G3742" s="1" t="str">
        <f>_xlfn.XLOOKUP(tblSales[[#This Row],[Product Code]],tblProducts[Code],tblProducts[Product / Service Name],"⚠ Unknown")</f>
        <v>Premium Basic T-shirt</v>
      </c>
      <c r="H3742" s="1" t="str">
        <f>_xlfn.XLOOKUP(tblSales[[#This Row],[Product Code]],tblProducts[Code],tblProducts[Category],"")</f>
        <v>Accessories &amp; Basics</v>
      </c>
      <c r="I3742" s="4">
        <v>7</v>
      </c>
      <c r="J3742" s="5">
        <f>_xlfn.XLOOKUP(tblSales[[#This Row],[Product Code]],tblProducts[Code],tblProducts[Selling Price (excl. VAT)],0)</f>
        <v>65000</v>
      </c>
      <c r="K3742" s="5">
        <f>tblSales[[#This Row],[Qty]]*tblSales[[#This Row],[Unit Price]]</f>
        <v>455000</v>
      </c>
      <c r="L3742" s="5">
        <f>ROUND(tblSales[[#This Row],[DPP (excl. VAT)]]*VATEff,0)</f>
        <v>50050</v>
      </c>
      <c r="M3742" s="5">
        <f>tblSales[[#This Row],[DPP (excl. VAT)]]+tblSales[[#This Row],[Output VAT]]</f>
        <v>505050</v>
      </c>
      <c r="N3742" s="5">
        <f>tblSales[[#This Row],[Qty]]*_xlfn.XLOOKUP(tblSales[[#This Row],[Product Code]],tblProducts[Code],tblProducts[Unit Cost],0)</f>
        <v>259000</v>
      </c>
      <c r="O3742" s="4" t="s">
        <v>4865</v>
      </c>
      <c r="P3742" s="4" t="s">
        <v>4860</v>
      </c>
      <c r="Q3742" s="1" t="str">
        <f>_xlfn.XLOOKUP(tblSales[[#This Row],[Channel Code]],tblChannels[Channel Code],tblChannels[Channel Name],"")</f>
        <v>In-store</v>
      </c>
      <c r="R3742" s="1">
        <f>MONTH(tblSales[[#This Row],[Date]])</f>
        <v>8</v>
      </c>
    </row>
    <row r="3743" spans="2:18" x14ac:dyDescent="0.35">
      <c r="B3743" s="113">
        <v>46246</v>
      </c>
      <c r="C3743" s="4" t="s">
        <v>2511</v>
      </c>
      <c r="D3743" s="4" t="s">
        <v>4568</v>
      </c>
      <c r="E3743" s="1" t="str">
        <f>_xlfn.XLOOKUP(tblSales[[#This Row],[Customer ID]],tblCustomers[Customer ID],tblCustomers[Customer Name],"⚠ Unknown")</f>
        <v>Walk-in Customer</v>
      </c>
      <c r="F3743" s="4" t="s">
        <v>6</v>
      </c>
      <c r="G3743" s="1" t="str">
        <f>_xlfn.XLOOKUP(tblSales[[#This Row],[Product Code]],tblProducts[Code],tblProducts[Product / Service Name],"⚠ Unknown")</f>
        <v>Socks &amp; Accessories</v>
      </c>
      <c r="H3743" s="1" t="str">
        <f>_xlfn.XLOOKUP(tblSales[[#This Row],[Product Code]],tblProducts[Code],tblProducts[Category],"")</f>
        <v>Accessories &amp; Basics</v>
      </c>
      <c r="I3743" s="4">
        <v>3</v>
      </c>
      <c r="J3743" s="5">
        <f>_xlfn.XLOOKUP(tblSales[[#This Row],[Product Code]],tblProducts[Code],tblProducts[Selling Price (excl. VAT)],0)</f>
        <v>45000</v>
      </c>
      <c r="K3743" s="5">
        <f>tblSales[[#This Row],[Qty]]*tblSales[[#This Row],[Unit Price]]</f>
        <v>135000</v>
      </c>
      <c r="L3743" s="5">
        <f>ROUND(tblSales[[#This Row],[DPP (excl. VAT)]]*VATEff,0)</f>
        <v>14850</v>
      </c>
      <c r="M3743" s="5">
        <f>tblSales[[#This Row],[DPP (excl. VAT)]]+tblSales[[#This Row],[Output VAT]]</f>
        <v>149850</v>
      </c>
      <c r="N3743" s="5">
        <f>tblSales[[#This Row],[Qty]]*_xlfn.XLOOKUP(tblSales[[#This Row],[Product Code]],tblProducts[Code],tblProducts[Unit Cost],0)</f>
        <v>72000</v>
      </c>
      <c r="O3743" s="4" t="s">
        <v>4866</v>
      </c>
      <c r="P3743" s="4" t="s">
        <v>4860</v>
      </c>
      <c r="Q3743" s="1" t="str">
        <f>_xlfn.XLOOKUP(tblSales[[#This Row],[Channel Code]],tblChannels[Channel Code],tblChannels[Channel Name],"")</f>
        <v>In-store</v>
      </c>
      <c r="R3743" s="1">
        <f>MONTH(tblSales[[#This Row],[Date]])</f>
        <v>8</v>
      </c>
    </row>
    <row r="3744" spans="2:18" x14ac:dyDescent="0.35">
      <c r="B3744" s="113">
        <v>46246</v>
      </c>
      <c r="C3744" s="4" t="s">
        <v>2511</v>
      </c>
      <c r="D3744" s="4" t="s">
        <v>4568</v>
      </c>
      <c r="E3744" s="1" t="str">
        <f>_xlfn.XLOOKUP(tblSales[[#This Row],[Customer ID]],tblCustomers[Customer ID],tblCustomers[Customer Name],"⚠ Unknown")</f>
        <v>Walk-in Customer</v>
      </c>
      <c r="F3744" s="4" t="s">
        <v>15</v>
      </c>
      <c r="G3744" s="1" t="str">
        <f>_xlfn.XLOOKUP(tblSales[[#This Row],[Product Code]],tblProducts[Code],tblProducts[Product / Service Name],"⚠ Unknown")</f>
        <v>Wireless Earbuds Pro</v>
      </c>
      <c r="H3744" s="1" t="str">
        <f>_xlfn.XLOOKUP(tblSales[[#This Row],[Product Code]],tblProducts[Code],tblProducts[Category],"")</f>
        <v>Bags &amp; Gadgets</v>
      </c>
      <c r="I3744" s="4">
        <v>1</v>
      </c>
      <c r="J3744" s="5">
        <f>_xlfn.XLOOKUP(tblSales[[#This Row],[Product Code]],tblProducts[Code],tblProducts[Selling Price (excl. VAT)],0)</f>
        <v>1250000</v>
      </c>
      <c r="K3744" s="5">
        <f>tblSales[[#This Row],[Qty]]*tblSales[[#This Row],[Unit Price]]</f>
        <v>1250000</v>
      </c>
      <c r="L3744" s="5">
        <f>ROUND(tblSales[[#This Row],[DPP (excl. VAT)]]*VATEff,0)</f>
        <v>137500</v>
      </c>
      <c r="M3744" s="5">
        <f>tblSales[[#This Row],[DPP (excl. VAT)]]+tblSales[[#This Row],[Output VAT]]</f>
        <v>1387500</v>
      </c>
      <c r="N3744" s="5">
        <f>tblSales[[#This Row],[Qty]]*_xlfn.XLOOKUP(tblSales[[#This Row],[Product Code]],tblProducts[Code],tblProducts[Unit Cost],0)</f>
        <v>820000</v>
      </c>
      <c r="O3744" s="4" t="s">
        <v>4866</v>
      </c>
      <c r="P3744" s="4" t="s">
        <v>4860</v>
      </c>
      <c r="Q3744" s="1" t="str">
        <f>_xlfn.XLOOKUP(tblSales[[#This Row],[Channel Code]],tblChannels[Channel Code],tblChannels[Channel Name],"")</f>
        <v>In-store</v>
      </c>
      <c r="R3744" s="1">
        <f>MONTH(tblSales[[#This Row],[Date]])</f>
        <v>8</v>
      </c>
    </row>
    <row r="3745" spans="2:18" x14ac:dyDescent="0.35">
      <c r="B3745" s="113">
        <v>46246</v>
      </c>
      <c r="C3745" s="4" t="s">
        <v>2512</v>
      </c>
      <c r="D3745" s="4" t="s">
        <v>4568</v>
      </c>
      <c r="E3745" s="1" t="str">
        <f>_xlfn.XLOOKUP(tblSales[[#This Row],[Customer ID]],tblCustomers[Customer ID],tblCustomers[Customer Name],"⚠ Unknown")</f>
        <v>Walk-in Customer</v>
      </c>
      <c r="F3745" s="4" t="s">
        <v>7</v>
      </c>
      <c r="G3745" s="1" t="str">
        <f>_xlfn.XLOOKUP(tblSales[[#This Row],[Product Code]],tblProducts[Code],tblProducts[Product / Service Name],"⚠ Unknown")</f>
        <v>Premium Basic T-shirt</v>
      </c>
      <c r="H3745" s="1" t="str">
        <f>_xlfn.XLOOKUP(tblSales[[#This Row],[Product Code]],tblProducts[Code],tblProducts[Category],"")</f>
        <v>Accessories &amp; Basics</v>
      </c>
      <c r="I3745" s="4">
        <v>2</v>
      </c>
      <c r="J3745" s="5">
        <f>_xlfn.XLOOKUP(tblSales[[#This Row],[Product Code]],tblProducts[Code],tblProducts[Selling Price (excl. VAT)],0)</f>
        <v>65000</v>
      </c>
      <c r="K3745" s="5">
        <f>tblSales[[#This Row],[Qty]]*tblSales[[#This Row],[Unit Price]]</f>
        <v>130000</v>
      </c>
      <c r="L3745" s="5">
        <f>ROUND(tblSales[[#This Row],[DPP (excl. VAT)]]*VATEff,0)</f>
        <v>14300</v>
      </c>
      <c r="M3745" s="5">
        <f>tblSales[[#This Row],[DPP (excl. VAT)]]+tblSales[[#This Row],[Output VAT]]</f>
        <v>144300</v>
      </c>
      <c r="N3745" s="5">
        <f>tblSales[[#This Row],[Qty]]*_xlfn.XLOOKUP(tblSales[[#This Row],[Product Code]],tblProducts[Code],tblProducts[Unit Cost],0)</f>
        <v>74000</v>
      </c>
      <c r="O3745" s="4" t="s">
        <v>4865</v>
      </c>
      <c r="P3745" s="4" t="s">
        <v>4860</v>
      </c>
      <c r="Q3745" s="1" t="str">
        <f>_xlfn.XLOOKUP(tblSales[[#This Row],[Channel Code]],tblChannels[Channel Code],tblChannels[Channel Name],"")</f>
        <v>In-store</v>
      </c>
      <c r="R3745" s="1">
        <f>MONTH(tblSales[[#This Row],[Date]])</f>
        <v>8</v>
      </c>
    </row>
    <row r="3746" spans="2:18" x14ac:dyDescent="0.35">
      <c r="B3746" s="113">
        <v>46246</v>
      </c>
      <c r="C3746" s="4" t="s">
        <v>2512</v>
      </c>
      <c r="D3746" s="4" t="s">
        <v>4568</v>
      </c>
      <c r="E3746" s="1" t="str">
        <f>_xlfn.XLOOKUP(tblSales[[#This Row],[Customer ID]],tblCustomers[Customer ID],tblCustomers[Customer Name],"⚠ Unknown")</f>
        <v>Walk-in Customer</v>
      </c>
      <c r="F3746" s="4" t="s">
        <v>12</v>
      </c>
      <c r="G3746" s="1" t="str">
        <f>_xlfn.XLOOKUP(tblSales[[#This Row],[Product Code]],tblProducts[Code],tblProducts[Product / Service Name],"⚠ Unknown")</f>
        <v>Bomber Jacket</v>
      </c>
      <c r="H3746" s="1" t="str">
        <f>_xlfn.XLOOKUP(tblSales[[#This Row],[Product Code]],tblProducts[Code],tblProducts[Category],"")</f>
        <v>Apparel &amp; Footwear</v>
      </c>
      <c r="I3746" s="4">
        <v>2</v>
      </c>
      <c r="J3746" s="5">
        <f>_xlfn.XLOOKUP(tblSales[[#This Row],[Product Code]],tblProducts[Code],tblProducts[Selling Price (excl. VAT)],0)</f>
        <v>350000</v>
      </c>
      <c r="K3746" s="5">
        <f>tblSales[[#This Row],[Qty]]*tblSales[[#This Row],[Unit Price]]</f>
        <v>700000</v>
      </c>
      <c r="L3746" s="5">
        <f>ROUND(tblSales[[#This Row],[DPP (excl. VAT)]]*VATEff,0)</f>
        <v>77000</v>
      </c>
      <c r="M3746" s="5">
        <f>tblSales[[#This Row],[DPP (excl. VAT)]]+tblSales[[#This Row],[Output VAT]]</f>
        <v>777000</v>
      </c>
      <c r="N3746" s="5">
        <f>tblSales[[#This Row],[Qty]]*_xlfn.XLOOKUP(tblSales[[#This Row],[Product Code]],tblProducts[Code],tblProducts[Unit Cost],0)</f>
        <v>420000</v>
      </c>
      <c r="O3746" s="4" t="s">
        <v>4865</v>
      </c>
      <c r="P3746" s="4" t="s">
        <v>4860</v>
      </c>
      <c r="Q3746" s="1" t="str">
        <f>_xlfn.XLOOKUP(tblSales[[#This Row],[Channel Code]],tblChannels[Channel Code],tblChannels[Channel Name],"")</f>
        <v>In-store</v>
      </c>
      <c r="R3746" s="1">
        <f>MONTH(tblSales[[#This Row],[Date]])</f>
        <v>8</v>
      </c>
    </row>
    <row r="3747" spans="2:18" x14ac:dyDescent="0.35">
      <c r="B3747" s="113">
        <v>46246</v>
      </c>
      <c r="C3747" s="4" t="s">
        <v>2513</v>
      </c>
      <c r="D3747" s="4" t="s">
        <v>4568</v>
      </c>
      <c r="E3747" s="1" t="str">
        <f>_xlfn.XLOOKUP(tblSales[[#This Row],[Customer ID]],tblCustomers[Customer ID],tblCustomers[Customer Name],"⚠ Unknown")</f>
        <v>Walk-in Customer</v>
      </c>
      <c r="F3747" s="4" t="s">
        <v>7</v>
      </c>
      <c r="G3747" s="1" t="str">
        <f>_xlfn.XLOOKUP(tblSales[[#This Row],[Product Code]],tblProducts[Code],tblProducts[Product / Service Name],"⚠ Unknown")</f>
        <v>Premium Basic T-shirt</v>
      </c>
      <c r="H3747" s="1" t="str">
        <f>_xlfn.XLOOKUP(tblSales[[#This Row],[Product Code]],tblProducts[Code],tblProducts[Category],"")</f>
        <v>Accessories &amp; Basics</v>
      </c>
      <c r="I3747" s="4">
        <v>11</v>
      </c>
      <c r="J3747" s="5">
        <f>_xlfn.XLOOKUP(tblSales[[#This Row],[Product Code]],tblProducts[Code],tblProducts[Selling Price (excl. VAT)],0)</f>
        <v>65000</v>
      </c>
      <c r="K3747" s="5">
        <f>tblSales[[#This Row],[Qty]]*tblSales[[#This Row],[Unit Price]]</f>
        <v>715000</v>
      </c>
      <c r="L3747" s="5">
        <f>ROUND(tblSales[[#This Row],[DPP (excl. VAT)]]*VATEff,0)</f>
        <v>78650</v>
      </c>
      <c r="M3747" s="5">
        <f>tblSales[[#This Row],[DPP (excl. VAT)]]+tblSales[[#This Row],[Output VAT]]</f>
        <v>793650</v>
      </c>
      <c r="N3747" s="5">
        <f>tblSales[[#This Row],[Qty]]*_xlfn.XLOOKUP(tblSales[[#This Row],[Product Code]],tblProducts[Code],tblProducts[Unit Cost],0)</f>
        <v>407000</v>
      </c>
      <c r="O3747" s="4" t="s">
        <v>4866</v>
      </c>
      <c r="P3747" s="4" t="s">
        <v>4861</v>
      </c>
      <c r="Q3747" s="1" t="str">
        <f>_xlfn.XLOOKUP(tblSales[[#This Row],[Channel Code]],tblChannels[Channel Code],tblChannels[Channel Name],"")</f>
        <v>Marketplace</v>
      </c>
      <c r="R3747" s="1">
        <f>MONTH(tblSales[[#This Row],[Date]])</f>
        <v>8</v>
      </c>
    </row>
    <row r="3748" spans="2:18" x14ac:dyDescent="0.35">
      <c r="B3748" s="113">
        <v>46246</v>
      </c>
      <c r="C3748" s="4" t="s">
        <v>2513</v>
      </c>
      <c r="D3748" s="4" t="s">
        <v>4568</v>
      </c>
      <c r="E3748" s="1" t="str">
        <f>_xlfn.XLOOKUP(tblSales[[#This Row],[Customer ID]],tblCustomers[Customer ID],tblCustomers[Customer Name],"⚠ Unknown")</f>
        <v>Walk-in Customer</v>
      </c>
      <c r="F3748" s="4" t="s">
        <v>10</v>
      </c>
      <c r="G3748" s="1" t="str">
        <f>_xlfn.XLOOKUP(tblSales[[#This Row],[Product Code]],tblProducts[Code],tblProducts[Product / Service Name],"⚠ Unknown")</f>
        <v>Chino Pants</v>
      </c>
      <c r="H3748" s="1" t="str">
        <f>_xlfn.XLOOKUP(tblSales[[#This Row],[Product Code]],tblProducts[Code],tblProducts[Category],"")</f>
        <v>Apparel &amp; Footwear</v>
      </c>
      <c r="I3748" s="4">
        <v>8</v>
      </c>
      <c r="J3748" s="5">
        <f>_xlfn.XLOOKUP(tblSales[[#This Row],[Product Code]],tblProducts[Code],tblProducts[Selling Price (excl. VAT)],0)</f>
        <v>150000</v>
      </c>
      <c r="K3748" s="5">
        <f>tblSales[[#This Row],[Qty]]*tblSales[[#This Row],[Unit Price]]</f>
        <v>1200000</v>
      </c>
      <c r="L3748" s="5">
        <f>ROUND(tblSales[[#This Row],[DPP (excl. VAT)]]*VATEff,0)</f>
        <v>132000</v>
      </c>
      <c r="M3748" s="5">
        <f>tblSales[[#This Row],[DPP (excl. VAT)]]+tblSales[[#This Row],[Output VAT]]</f>
        <v>1332000</v>
      </c>
      <c r="N3748" s="5">
        <f>tblSales[[#This Row],[Qty]]*_xlfn.XLOOKUP(tblSales[[#This Row],[Product Code]],tblProducts[Code],tblProducts[Unit Cost],0)</f>
        <v>704000</v>
      </c>
      <c r="O3748" s="4" t="s">
        <v>4866</v>
      </c>
      <c r="P3748" s="4" t="s">
        <v>4861</v>
      </c>
      <c r="Q3748" s="1" t="str">
        <f>_xlfn.XLOOKUP(tblSales[[#This Row],[Channel Code]],tblChannels[Channel Code],tblChannels[Channel Name],"")</f>
        <v>Marketplace</v>
      </c>
      <c r="R3748" s="1">
        <f>MONTH(tblSales[[#This Row],[Date]])</f>
        <v>8</v>
      </c>
    </row>
    <row r="3749" spans="2:18" x14ac:dyDescent="0.35">
      <c r="B3749" s="113">
        <v>46246</v>
      </c>
      <c r="C3749" s="4" t="s">
        <v>2514</v>
      </c>
      <c r="D3749" s="4" t="s">
        <v>4568</v>
      </c>
      <c r="E3749" s="1" t="str">
        <f>_xlfn.XLOOKUP(tblSales[[#This Row],[Customer ID]],tblCustomers[Customer ID],tblCustomers[Customer Name],"⚠ Unknown")</f>
        <v>Walk-in Customer</v>
      </c>
      <c r="F3749" s="4" t="s">
        <v>7</v>
      </c>
      <c r="G3749" s="1" t="str">
        <f>_xlfn.XLOOKUP(tblSales[[#This Row],[Product Code]],tblProducts[Code],tblProducts[Product / Service Name],"⚠ Unknown")</f>
        <v>Premium Basic T-shirt</v>
      </c>
      <c r="H3749" s="1" t="str">
        <f>_xlfn.XLOOKUP(tblSales[[#This Row],[Product Code]],tblProducts[Code],tblProducts[Category],"")</f>
        <v>Accessories &amp; Basics</v>
      </c>
      <c r="I3749" s="4">
        <v>8</v>
      </c>
      <c r="J3749" s="5">
        <f>_xlfn.XLOOKUP(tblSales[[#This Row],[Product Code]],tblProducts[Code],tblProducts[Selling Price (excl. VAT)],0)</f>
        <v>65000</v>
      </c>
      <c r="K3749" s="5">
        <f>tblSales[[#This Row],[Qty]]*tblSales[[#This Row],[Unit Price]]</f>
        <v>520000</v>
      </c>
      <c r="L3749" s="5">
        <f>ROUND(tblSales[[#This Row],[DPP (excl. VAT)]]*VATEff,0)</f>
        <v>57200</v>
      </c>
      <c r="M3749" s="5">
        <f>tblSales[[#This Row],[DPP (excl. VAT)]]+tblSales[[#This Row],[Output VAT]]</f>
        <v>577200</v>
      </c>
      <c r="N3749" s="5">
        <f>tblSales[[#This Row],[Qty]]*_xlfn.XLOOKUP(tblSales[[#This Row],[Product Code]],tblProducts[Code],tblProducts[Unit Cost],0)</f>
        <v>296000</v>
      </c>
      <c r="O3749" s="4" t="s">
        <v>4866</v>
      </c>
      <c r="P3749" s="4" t="s">
        <v>4860</v>
      </c>
      <c r="Q3749" s="1" t="str">
        <f>_xlfn.XLOOKUP(tblSales[[#This Row],[Channel Code]],tblChannels[Channel Code],tblChannels[Channel Name],"")</f>
        <v>In-store</v>
      </c>
      <c r="R3749" s="1">
        <f>MONTH(tblSales[[#This Row],[Date]])</f>
        <v>8</v>
      </c>
    </row>
    <row r="3750" spans="2:18" x14ac:dyDescent="0.35">
      <c r="B3750" s="113">
        <v>46246</v>
      </c>
      <c r="C3750" s="4" t="s">
        <v>2515</v>
      </c>
      <c r="D3750" s="4" t="s">
        <v>4568</v>
      </c>
      <c r="E3750" s="1" t="str">
        <f>_xlfn.XLOOKUP(tblSales[[#This Row],[Customer ID]],tblCustomers[Customer ID],tblCustomers[Customer Name],"⚠ Unknown")</f>
        <v>Walk-in Customer</v>
      </c>
      <c r="F3750" s="4" t="s">
        <v>12</v>
      </c>
      <c r="G3750" s="1" t="str">
        <f>_xlfn.XLOOKUP(tblSales[[#This Row],[Product Code]],tblProducts[Code],tblProducts[Product / Service Name],"⚠ Unknown")</f>
        <v>Bomber Jacket</v>
      </c>
      <c r="H3750" s="1" t="str">
        <f>_xlfn.XLOOKUP(tblSales[[#This Row],[Product Code]],tblProducts[Code],tblProducts[Category],"")</f>
        <v>Apparel &amp; Footwear</v>
      </c>
      <c r="I3750" s="4">
        <v>6</v>
      </c>
      <c r="J3750" s="5">
        <f>_xlfn.XLOOKUP(tblSales[[#This Row],[Product Code]],tblProducts[Code],tblProducts[Selling Price (excl. VAT)],0)</f>
        <v>350000</v>
      </c>
      <c r="K3750" s="5">
        <f>tblSales[[#This Row],[Qty]]*tblSales[[#This Row],[Unit Price]]</f>
        <v>2100000</v>
      </c>
      <c r="L3750" s="5">
        <f>ROUND(tblSales[[#This Row],[DPP (excl. VAT)]]*VATEff,0)</f>
        <v>231000</v>
      </c>
      <c r="M3750" s="5">
        <f>tblSales[[#This Row],[DPP (excl. VAT)]]+tblSales[[#This Row],[Output VAT]]</f>
        <v>2331000</v>
      </c>
      <c r="N3750" s="5">
        <f>tblSales[[#This Row],[Qty]]*_xlfn.XLOOKUP(tblSales[[#This Row],[Product Code]],tblProducts[Code],tblProducts[Unit Cost],0)</f>
        <v>1260000</v>
      </c>
      <c r="O3750" s="4" t="s">
        <v>4865</v>
      </c>
      <c r="P3750" s="4" t="s">
        <v>4860</v>
      </c>
      <c r="Q3750" s="1" t="str">
        <f>_xlfn.XLOOKUP(tblSales[[#This Row],[Channel Code]],tblChannels[Channel Code],tblChannels[Channel Name],"")</f>
        <v>In-store</v>
      </c>
      <c r="R3750" s="1">
        <f>MONTH(tblSales[[#This Row],[Date]])</f>
        <v>8</v>
      </c>
    </row>
    <row r="3751" spans="2:18" x14ac:dyDescent="0.35">
      <c r="B3751" s="113">
        <v>46246</v>
      </c>
      <c r="C3751" s="4" t="s">
        <v>2516</v>
      </c>
      <c r="D3751" s="4" t="s">
        <v>4568</v>
      </c>
      <c r="E3751" s="1" t="str">
        <f>_xlfn.XLOOKUP(tblSales[[#This Row],[Customer ID]],tblCustomers[Customer ID],tblCustomers[Customer Name],"⚠ Unknown")</f>
        <v>Walk-in Customer</v>
      </c>
      <c r="F3751" s="4" t="s">
        <v>7</v>
      </c>
      <c r="G3751" s="1" t="str">
        <f>_xlfn.XLOOKUP(tblSales[[#This Row],[Product Code]],tblProducts[Code],tblProducts[Product / Service Name],"⚠ Unknown")</f>
        <v>Premium Basic T-shirt</v>
      </c>
      <c r="H3751" s="1" t="str">
        <f>_xlfn.XLOOKUP(tblSales[[#This Row],[Product Code]],tblProducts[Code],tblProducts[Category],"")</f>
        <v>Accessories &amp; Basics</v>
      </c>
      <c r="I3751" s="4">
        <v>9</v>
      </c>
      <c r="J3751" s="5">
        <f>_xlfn.XLOOKUP(tblSales[[#This Row],[Product Code]],tblProducts[Code],tblProducts[Selling Price (excl. VAT)],0)</f>
        <v>65000</v>
      </c>
      <c r="K3751" s="5">
        <f>tblSales[[#This Row],[Qty]]*tblSales[[#This Row],[Unit Price]]</f>
        <v>585000</v>
      </c>
      <c r="L3751" s="5">
        <f>ROUND(tblSales[[#This Row],[DPP (excl. VAT)]]*VATEff,0)</f>
        <v>64350</v>
      </c>
      <c r="M3751" s="5">
        <f>tblSales[[#This Row],[DPP (excl. VAT)]]+tblSales[[#This Row],[Output VAT]]</f>
        <v>649350</v>
      </c>
      <c r="N3751" s="5">
        <f>tblSales[[#This Row],[Qty]]*_xlfn.XLOOKUP(tblSales[[#This Row],[Product Code]],tblProducts[Code],tblProducts[Unit Cost],0)</f>
        <v>333000</v>
      </c>
      <c r="O3751" s="4" t="s">
        <v>4866</v>
      </c>
      <c r="P3751" s="4" t="s">
        <v>4862</v>
      </c>
      <c r="Q3751" s="1" t="str">
        <f>_xlfn.XLOOKUP(tblSales[[#This Row],[Channel Code]],tblChannels[Channel Code],tblChannels[Channel Name],"")</f>
        <v>Website &amp; Social Media</v>
      </c>
      <c r="R3751" s="1">
        <f>MONTH(tblSales[[#This Row],[Date]])</f>
        <v>8</v>
      </c>
    </row>
    <row r="3752" spans="2:18" x14ac:dyDescent="0.35">
      <c r="B3752" s="113">
        <v>46246</v>
      </c>
      <c r="C3752" s="4" t="s">
        <v>2516</v>
      </c>
      <c r="D3752" s="4" t="s">
        <v>4568</v>
      </c>
      <c r="E3752" s="1" t="str">
        <f>_xlfn.XLOOKUP(tblSales[[#This Row],[Customer ID]],tblCustomers[Customer ID],tblCustomers[Customer Name],"⚠ Unknown")</f>
        <v>Walk-in Customer</v>
      </c>
      <c r="F3752" s="4" t="s">
        <v>13</v>
      </c>
      <c r="G3752" s="1" t="str">
        <f>_xlfn.XLOOKUP(tblSales[[#This Row],[Product Code]],tblProducts[Code],tblProducts[Product / Service Name],"⚠ Unknown")</f>
        <v>Backpack</v>
      </c>
      <c r="H3752" s="1" t="str">
        <f>_xlfn.XLOOKUP(tblSales[[#This Row],[Product Code]],tblProducts[Code],tblProducts[Category],"")</f>
        <v>Bags &amp; Gadgets</v>
      </c>
      <c r="I3752" s="4">
        <v>2</v>
      </c>
      <c r="J3752" s="5">
        <f>_xlfn.XLOOKUP(tblSales[[#This Row],[Product Code]],tblProducts[Code],tblProducts[Selling Price (excl. VAT)],0)</f>
        <v>500000</v>
      </c>
      <c r="K3752" s="5">
        <f>tblSales[[#This Row],[Qty]]*tblSales[[#This Row],[Unit Price]]</f>
        <v>1000000</v>
      </c>
      <c r="L3752" s="5">
        <f>ROUND(tblSales[[#This Row],[DPP (excl. VAT)]]*VATEff,0)</f>
        <v>110000</v>
      </c>
      <c r="M3752" s="5">
        <f>tblSales[[#This Row],[DPP (excl. VAT)]]+tblSales[[#This Row],[Output VAT]]</f>
        <v>1110000</v>
      </c>
      <c r="N3752" s="5">
        <f>tblSales[[#This Row],[Qty]]*_xlfn.XLOOKUP(tblSales[[#This Row],[Product Code]],tblProducts[Code],tblProducts[Unit Cost],0)</f>
        <v>580000</v>
      </c>
      <c r="O3752" s="4" t="s">
        <v>4866</v>
      </c>
      <c r="P3752" s="4" t="s">
        <v>4862</v>
      </c>
      <c r="Q3752" s="1" t="str">
        <f>_xlfn.XLOOKUP(tblSales[[#This Row],[Channel Code]],tblChannels[Channel Code],tblChannels[Channel Name],"")</f>
        <v>Website &amp; Social Media</v>
      </c>
      <c r="R3752" s="1">
        <f>MONTH(tblSales[[#This Row],[Date]])</f>
        <v>8</v>
      </c>
    </row>
    <row r="3753" spans="2:18" x14ac:dyDescent="0.35">
      <c r="B3753" s="113">
        <v>46246</v>
      </c>
      <c r="C3753" s="4" t="s">
        <v>2516</v>
      </c>
      <c r="D3753" s="4" t="s">
        <v>4568</v>
      </c>
      <c r="E3753" s="1" t="str">
        <f>_xlfn.XLOOKUP(tblSales[[#This Row],[Customer ID]],tblCustomers[Customer ID],tblCustomers[Customer Name],"⚠ Unknown")</f>
        <v>Walk-in Customer</v>
      </c>
      <c r="F3753" s="4" t="s">
        <v>14</v>
      </c>
      <c r="G3753" s="1" t="str">
        <f>_xlfn.XLOOKUP(tblSales[[#This Row],[Product Code]],tblProducts[Code],tblProducts[Product / Service Name],"⚠ Unknown")</f>
        <v>Smartwatch</v>
      </c>
      <c r="H3753" s="1" t="str">
        <f>_xlfn.XLOOKUP(tblSales[[#This Row],[Product Code]],tblProducts[Code],tblProducts[Category],"")</f>
        <v>Bags &amp; Gadgets</v>
      </c>
      <c r="I3753" s="4">
        <v>2</v>
      </c>
      <c r="J3753" s="5">
        <f>_xlfn.XLOOKUP(tblSales[[#This Row],[Product Code]],tblProducts[Code],tblProducts[Selling Price (excl. VAT)],0)</f>
        <v>850000</v>
      </c>
      <c r="K3753" s="5">
        <f>tblSales[[#This Row],[Qty]]*tblSales[[#This Row],[Unit Price]]</f>
        <v>1700000</v>
      </c>
      <c r="L3753" s="5">
        <f>ROUND(tblSales[[#This Row],[DPP (excl. VAT)]]*VATEff,0)</f>
        <v>187000</v>
      </c>
      <c r="M3753" s="5">
        <f>tblSales[[#This Row],[DPP (excl. VAT)]]+tblSales[[#This Row],[Output VAT]]</f>
        <v>1887000</v>
      </c>
      <c r="N3753" s="5">
        <f>tblSales[[#This Row],[Qty]]*_xlfn.XLOOKUP(tblSales[[#This Row],[Product Code]],tblProducts[Code],tblProducts[Unit Cost],0)</f>
        <v>1120000</v>
      </c>
      <c r="O3753" s="4" t="s">
        <v>4866</v>
      </c>
      <c r="P3753" s="4" t="s">
        <v>4862</v>
      </c>
      <c r="Q3753" s="1" t="str">
        <f>_xlfn.XLOOKUP(tblSales[[#This Row],[Channel Code]],tblChannels[Channel Code],tblChannels[Channel Name],"")</f>
        <v>Website &amp; Social Media</v>
      </c>
      <c r="R3753" s="1">
        <f>MONTH(tblSales[[#This Row],[Date]])</f>
        <v>8</v>
      </c>
    </row>
    <row r="3754" spans="2:18" x14ac:dyDescent="0.35">
      <c r="B3754" s="113">
        <v>46246</v>
      </c>
      <c r="C3754" s="4" t="s">
        <v>2517</v>
      </c>
      <c r="D3754" s="4" t="s">
        <v>4568</v>
      </c>
      <c r="E3754" s="1" t="str">
        <f>_xlfn.XLOOKUP(tblSales[[#This Row],[Customer ID]],tblCustomers[Customer ID],tblCustomers[Customer Name],"⚠ Unknown")</f>
        <v>Walk-in Customer</v>
      </c>
      <c r="F3754" s="4" t="s">
        <v>11</v>
      </c>
      <c r="G3754" s="1" t="str">
        <f>_xlfn.XLOOKUP(tblSales[[#This Row],[Product Code]],tblProducts[Code],tblProducts[Product / Service Name],"⚠ Unknown")</f>
        <v>Sneakers</v>
      </c>
      <c r="H3754" s="1" t="str">
        <f>_xlfn.XLOOKUP(tblSales[[#This Row],[Product Code]],tblProducts[Code],tblProducts[Category],"")</f>
        <v>Apparel &amp; Footwear</v>
      </c>
      <c r="I3754" s="4">
        <v>1</v>
      </c>
      <c r="J3754" s="5">
        <f>_xlfn.XLOOKUP(tblSales[[#This Row],[Product Code]],tblProducts[Code],tblProducts[Selling Price (excl. VAT)],0)</f>
        <v>250000</v>
      </c>
      <c r="K3754" s="5">
        <f>tblSales[[#This Row],[Qty]]*tblSales[[#This Row],[Unit Price]]</f>
        <v>250000</v>
      </c>
      <c r="L3754" s="5">
        <f>ROUND(tblSales[[#This Row],[DPP (excl. VAT)]]*VATEff,0)</f>
        <v>27500</v>
      </c>
      <c r="M3754" s="5">
        <f>tblSales[[#This Row],[DPP (excl. VAT)]]+tblSales[[#This Row],[Output VAT]]</f>
        <v>277500</v>
      </c>
      <c r="N3754" s="5">
        <f>tblSales[[#This Row],[Qty]]*_xlfn.XLOOKUP(tblSales[[#This Row],[Product Code]],tblProducts[Code],tblProducts[Unit Cost],0)</f>
        <v>155000</v>
      </c>
      <c r="O3754" s="4" t="s">
        <v>4865</v>
      </c>
      <c r="P3754" s="4" t="s">
        <v>4860</v>
      </c>
      <c r="Q3754" s="1" t="str">
        <f>_xlfn.XLOOKUP(tblSales[[#This Row],[Channel Code]],tblChannels[Channel Code],tblChannels[Channel Name],"")</f>
        <v>In-store</v>
      </c>
      <c r="R3754" s="1">
        <f>MONTH(tblSales[[#This Row],[Date]])</f>
        <v>8</v>
      </c>
    </row>
    <row r="3755" spans="2:18" x14ac:dyDescent="0.35">
      <c r="B3755" s="113">
        <v>46246</v>
      </c>
      <c r="C3755" s="4" t="s">
        <v>2517</v>
      </c>
      <c r="D3755" s="4" t="s">
        <v>4568</v>
      </c>
      <c r="E3755" s="1" t="str">
        <f>_xlfn.XLOOKUP(tblSales[[#This Row],[Customer ID]],tblCustomers[Customer ID],tblCustomers[Customer Name],"⚠ Unknown")</f>
        <v>Walk-in Customer</v>
      </c>
      <c r="F3755" s="4" t="s">
        <v>7</v>
      </c>
      <c r="G3755" s="1" t="str">
        <f>_xlfn.XLOOKUP(tblSales[[#This Row],[Product Code]],tblProducts[Code],tblProducts[Product / Service Name],"⚠ Unknown")</f>
        <v>Premium Basic T-shirt</v>
      </c>
      <c r="H3755" s="1" t="str">
        <f>_xlfn.XLOOKUP(tblSales[[#This Row],[Product Code]],tblProducts[Code],tblProducts[Category],"")</f>
        <v>Accessories &amp; Basics</v>
      </c>
      <c r="I3755" s="4">
        <v>8</v>
      </c>
      <c r="J3755" s="5">
        <f>_xlfn.XLOOKUP(tblSales[[#This Row],[Product Code]],tblProducts[Code],tblProducts[Selling Price (excl. VAT)],0)</f>
        <v>65000</v>
      </c>
      <c r="K3755" s="5">
        <f>tblSales[[#This Row],[Qty]]*tblSales[[#This Row],[Unit Price]]</f>
        <v>520000</v>
      </c>
      <c r="L3755" s="5">
        <f>ROUND(tblSales[[#This Row],[DPP (excl. VAT)]]*VATEff,0)</f>
        <v>57200</v>
      </c>
      <c r="M3755" s="5">
        <f>tblSales[[#This Row],[DPP (excl. VAT)]]+tblSales[[#This Row],[Output VAT]]</f>
        <v>577200</v>
      </c>
      <c r="N3755" s="5">
        <f>tblSales[[#This Row],[Qty]]*_xlfn.XLOOKUP(tblSales[[#This Row],[Product Code]],tblProducts[Code],tblProducts[Unit Cost],0)</f>
        <v>296000</v>
      </c>
      <c r="O3755" s="4" t="s">
        <v>4865</v>
      </c>
      <c r="P3755" s="4" t="s">
        <v>4860</v>
      </c>
      <c r="Q3755" s="1" t="str">
        <f>_xlfn.XLOOKUP(tblSales[[#This Row],[Channel Code]],tblChannels[Channel Code],tblChannels[Channel Name],"")</f>
        <v>In-store</v>
      </c>
      <c r="R3755" s="1">
        <f>MONTH(tblSales[[#This Row],[Date]])</f>
        <v>8</v>
      </c>
    </row>
    <row r="3756" spans="2:18" x14ac:dyDescent="0.35">
      <c r="B3756" s="113">
        <v>46246</v>
      </c>
      <c r="C3756" s="4" t="s">
        <v>2517</v>
      </c>
      <c r="D3756" s="4" t="s">
        <v>4568</v>
      </c>
      <c r="E3756" s="1" t="str">
        <f>_xlfn.XLOOKUP(tblSales[[#This Row],[Customer ID]],tblCustomers[Customer ID],tblCustomers[Customer Name],"⚠ Unknown")</f>
        <v>Walk-in Customer</v>
      </c>
      <c r="F3756" s="4" t="s">
        <v>14</v>
      </c>
      <c r="G3756" s="1" t="str">
        <f>_xlfn.XLOOKUP(tblSales[[#This Row],[Product Code]],tblProducts[Code],tblProducts[Product / Service Name],"⚠ Unknown")</f>
        <v>Smartwatch</v>
      </c>
      <c r="H3756" s="1" t="str">
        <f>_xlfn.XLOOKUP(tblSales[[#This Row],[Product Code]],tblProducts[Code],tblProducts[Category],"")</f>
        <v>Bags &amp; Gadgets</v>
      </c>
      <c r="I3756" s="4">
        <v>2</v>
      </c>
      <c r="J3756" s="5">
        <f>_xlfn.XLOOKUP(tblSales[[#This Row],[Product Code]],tblProducts[Code],tblProducts[Selling Price (excl. VAT)],0)</f>
        <v>850000</v>
      </c>
      <c r="K3756" s="5">
        <f>tblSales[[#This Row],[Qty]]*tblSales[[#This Row],[Unit Price]]</f>
        <v>1700000</v>
      </c>
      <c r="L3756" s="5">
        <f>ROUND(tblSales[[#This Row],[DPP (excl. VAT)]]*VATEff,0)</f>
        <v>187000</v>
      </c>
      <c r="M3756" s="5">
        <f>tblSales[[#This Row],[DPP (excl. VAT)]]+tblSales[[#This Row],[Output VAT]]</f>
        <v>1887000</v>
      </c>
      <c r="N3756" s="5">
        <f>tblSales[[#This Row],[Qty]]*_xlfn.XLOOKUP(tblSales[[#This Row],[Product Code]],tblProducts[Code],tblProducts[Unit Cost],0)</f>
        <v>1120000</v>
      </c>
      <c r="O3756" s="4" t="s">
        <v>4865</v>
      </c>
      <c r="P3756" s="4" t="s">
        <v>4860</v>
      </c>
      <c r="Q3756" s="1" t="str">
        <f>_xlfn.XLOOKUP(tblSales[[#This Row],[Channel Code]],tblChannels[Channel Code],tblChannels[Channel Name],"")</f>
        <v>In-store</v>
      </c>
      <c r="R3756" s="1">
        <f>MONTH(tblSales[[#This Row],[Date]])</f>
        <v>8</v>
      </c>
    </row>
    <row r="3757" spans="2:18" x14ac:dyDescent="0.35">
      <c r="B3757" s="113">
        <v>46246</v>
      </c>
      <c r="C3757" s="4" t="s">
        <v>2518</v>
      </c>
      <c r="D3757" s="4" t="s">
        <v>4620</v>
      </c>
      <c r="E3757" s="1" t="str">
        <f>_xlfn.XLOOKUP(tblSales[[#This Row],[Customer ID]],tblCustomers[Customer ID],tblCustomers[Customer Name],"⚠ Unknown")</f>
        <v>CV Sumber Rejeki Utama</v>
      </c>
      <c r="F3757" s="4" t="s">
        <v>13</v>
      </c>
      <c r="G3757" s="1" t="str">
        <f>_xlfn.XLOOKUP(tblSales[[#This Row],[Product Code]],tblProducts[Code],tblProducts[Product / Service Name],"⚠ Unknown")</f>
        <v>Backpack</v>
      </c>
      <c r="H3757" s="1" t="str">
        <f>_xlfn.XLOOKUP(tblSales[[#This Row],[Product Code]],tblProducts[Code],tblProducts[Category],"")</f>
        <v>Bags &amp; Gadgets</v>
      </c>
      <c r="I3757" s="4">
        <v>32</v>
      </c>
      <c r="J3757" s="5">
        <f>_xlfn.XLOOKUP(tblSales[[#This Row],[Product Code]],tblProducts[Code],tblProducts[Selling Price (excl. VAT)],0)</f>
        <v>500000</v>
      </c>
      <c r="K3757" s="5">
        <f>tblSales[[#This Row],[Qty]]*tblSales[[#This Row],[Unit Price]]</f>
        <v>16000000</v>
      </c>
      <c r="L3757" s="5">
        <f>ROUND(tblSales[[#This Row],[DPP (excl. VAT)]]*VATEff,0)</f>
        <v>1760000</v>
      </c>
      <c r="M3757" s="5">
        <f>tblSales[[#This Row],[DPP (excl. VAT)]]+tblSales[[#This Row],[Output VAT]]</f>
        <v>17760000</v>
      </c>
      <c r="N3757" s="5">
        <f>tblSales[[#This Row],[Qty]]*_xlfn.XLOOKUP(tblSales[[#This Row],[Product Code]],tblProducts[Code],tblProducts[Unit Cost],0)</f>
        <v>9280000</v>
      </c>
      <c r="O3757" s="4" t="s">
        <v>4867</v>
      </c>
      <c r="P3757" s="4" t="s">
        <v>4860</v>
      </c>
      <c r="Q3757" s="1" t="str">
        <f>_xlfn.XLOOKUP(tblSales[[#This Row],[Channel Code]],tblChannels[Channel Code],tblChannels[Channel Name],"")</f>
        <v>In-store</v>
      </c>
      <c r="R3757" s="1">
        <f>MONTH(tblSales[[#This Row],[Date]])</f>
        <v>8</v>
      </c>
    </row>
    <row r="3758" spans="2:18" x14ac:dyDescent="0.35">
      <c r="B3758" s="113">
        <v>46246</v>
      </c>
      <c r="C3758" s="4" t="s">
        <v>2519</v>
      </c>
      <c r="D3758" s="4" t="s">
        <v>4599</v>
      </c>
      <c r="E3758" s="1" t="str">
        <f>_xlfn.XLOOKUP(tblSales[[#This Row],[Customer ID]],tblCustomers[Customer ID],tblCustomers[Customer Name],"⚠ Unknown")</f>
        <v>PT Samudra Jaya Logistik</v>
      </c>
      <c r="F3758" s="4" t="s">
        <v>8</v>
      </c>
      <c r="G3758" s="1" t="str">
        <f>_xlfn.XLOOKUP(tblSales[[#This Row],[Product Code]],tblProducts[Code],tblProducts[Product / Service Name],"⚠ Unknown")</f>
        <v>Casual Shorts</v>
      </c>
      <c r="H3758" s="1" t="str">
        <f>_xlfn.XLOOKUP(tblSales[[#This Row],[Product Code]],tblProducts[Code],tblProducts[Category],"")</f>
        <v>Accessories &amp; Basics</v>
      </c>
      <c r="I3758" s="4">
        <v>96</v>
      </c>
      <c r="J3758" s="5">
        <f>_xlfn.XLOOKUP(tblSales[[#This Row],[Product Code]],tblProducts[Code],tblProducts[Selling Price (excl. VAT)],0)</f>
        <v>85000</v>
      </c>
      <c r="K3758" s="5">
        <f>tblSales[[#This Row],[Qty]]*tblSales[[#This Row],[Unit Price]]</f>
        <v>8160000</v>
      </c>
      <c r="L3758" s="5">
        <f>ROUND(tblSales[[#This Row],[DPP (excl. VAT)]]*VATEff,0)</f>
        <v>897600</v>
      </c>
      <c r="M3758" s="5">
        <f>tblSales[[#This Row],[DPP (excl. VAT)]]+tblSales[[#This Row],[Output VAT]]</f>
        <v>9057600</v>
      </c>
      <c r="N3758" s="5">
        <f>tblSales[[#This Row],[Qty]]*_xlfn.XLOOKUP(tblSales[[#This Row],[Product Code]],tblProducts[Code],tblProducts[Unit Cost],0)</f>
        <v>4800000</v>
      </c>
      <c r="O3758" s="4" t="s">
        <v>4867</v>
      </c>
      <c r="P3758" s="4" t="s">
        <v>4860</v>
      </c>
      <c r="Q3758" s="1" t="str">
        <f>_xlfn.XLOOKUP(tblSales[[#This Row],[Channel Code]],tblChannels[Channel Code],tblChannels[Channel Name],"")</f>
        <v>In-store</v>
      </c>
      <c r="R3758" s="1">
        <f>MONTH(tblSales[[#This Row],[Date]])</f>
        <v>8</v>
      </c>
    </row>
    <row r="3759" spans="2:18" x14ac:dyDescent="0.35">
      <c r="B3759" s="113">
        <v>46247</v>
      </c>
      <c r="C3759" s="4" t="s">
        <v>2520</v>
      </c>
      <c r="D3759" s="4" t="s">
        <v>4568</v>
      </c>
      <c r="E3759" s="1" t="str">
        <f>_xlfn.XLOOKUP(tblSales[[#This Row],[Customer ID]],tblCustomers[Customer ID],tblCustomers[Customer Name],"⚠ Unknown")</f>
        <v>Walk-in Customer</v>
      </c>
      <c r="F3759" s="4" t="s">
        <v>13</v>
      </c>
      <c r="G3759" s="1" t="str">
        <f>_xlfn.XLOOKUP(tblSales[[#This Row],[Product Code]],tblProducts[Code],tblProducts[Product / Service Name],"⚠ Unknown")</f>
        <v>Backpack</v>
      </c>
      <c r="H3759" s="1" t="str">
        <f>_xlfn.XLOOKUP(tblSales[[#This Row],[Product Code]],tblProducts[Code],tblProducts[Category],"")</f>
        <v>Bags &amp; Gadgets</v>
      </c>
      <c r="I3759" s="4">
        <v>5</v>
      </c>
      <c r="J3759" s="5">
        <f>_xlfn.XLOOKUP(tblSales[[#This Row],[Product Code]],tblProducts[Code],tblProducts[Selling Price (excl. VAT)],0)</f>
        <v>500000</v>
      </c>
      <c r="K3759" s="5">
        <f>tblSales[[#This Row],[Qty]]*tblSales[[#This Row],[Unit Price]]</f>
        <v>2500000</v>
      </c>
      <c r="L3759" s="5">
        <f>ROUND(tblSales[[#This Row],[DPP (excl. VAT)]]*VATEff,0)</f>
        <v>275000</v>
      </c>
      <c r="M3759" s="5">
        <f>tblSales[[#This Row],[DPP (excl. VAT)]]+tblSales[[#This Row],[Output VAT]]</f>
        <v>2775000</v>
      </c>
      <c r="N3759" s="5">
        <f>tblSales[[#This Row],[Qty]]*_xlfn.XLOOKUP(tblSales[[#This Row],[Product Code]],tblProducts[Code],tblProducts[Unit Cost],0)</f>
        <v>1450000</v>
      </c>
      <c r="O3759" s="4" t="s">
        <v>4866</v>
      </c>
      <c r="P3759" s="4" t="s">
        <v>4861</v>
      </c>
      <c r="Q3759" s="1" t="str">
        <f>_xlfn.XLOOKUP(tblSales[[#This Row],[Channel Code]],tblChannels[Channel Code],tblChannels[Channel Name],"")</f>
        <v>Marketplace</v>
      </c>
      <c r="R3759" s="1">
        <f>MONTH(tblSales[[#This Row],[Date]])</f>
        <v>8</v>
      </c>
    </row>
    <row r="3760" spans="2:18" x14ac:dyDescent="0.35">
      <c r="B3760" s="113">
        <v>46247</v>
      </c>
      <c r="C3760" s="4" t="s">
        <v>2521</v>
      </c>
      <c r="D3760" s="4" t="s">
        <v>4568</v>
      </c>
      <c r="E3760" s="1" t="str">
        <f>_xlfn.XLOOKUP(tblSales[[#This Row],[Customer ID]],tblCustomers[Customer ID],tblCustomers[Customer Name],"⚠ Unknown")</f>
        <v>Walk-in Customer</v>
      </c>
      <c r="F3760" s="4" t="s">
        <v>6</v>
      </c>
      <c r="G3760" s="1" t="str">
        <f>_xlfn.XLOOKUP(tblSales[[#This Row],[Product Code]],tblProducts[Code],tblProducts[Product / Service Name],"⚠ Unknown")</f>
        <v>Socks &amp; Accessories</v>
      </c>
      <c r="H3760" s="1" t="str">
        <f>_xlfn.XLOOKUP(tblSales[[#This Row],[Product Code]],tblProducts[Code],tblProducts[Category],"")</f>
        <v>Accessories &amp; Basics</v>
      </c>
      <c r="I3760" s="4">
        <v>4</v>
      </c>
      <c r="J3760" s="5">
        <f>_xlfn.XLOOKUP(tblSales[[#This Row],[Product Code]],tblProducts[Code],tblProducts[Selling Price (excl. VAT)],0)</f>
        <v>45000</v>
      </c>
      <c r="K3760" s="5">
        <f>tblSales[[#This Row],[Qty]]*tblSales[[#This Row],[Unit Price]]</f>
        <v>180000</v>
      </c>
      <c r="L3760" s="5">
        <f>ROUND(tblSales[[#This Row],[DPP (excl. VAT)]]*VATEff,0)</f>
        <v>19800</v>
      </c>
      <c r="M3760" s="5">
        <f>tblSales[[#This Row],[DPP (excl. VAT)]]+tblSales[[#This Row],[Output VAT]]</f>
        <v>199800</v>
      </c>
      <c r="N3760" s="5">
        <f>tblSales[[#This Row],[Qty]]*_xlfn.XLOOKUP(tblSales[[#This Row],[Product Code]],tblProducts[Code],tblProducts[Unit Cost],0)</f>
        <v>96000</v>
      </c>
      <c r="O3760" s="4" t="s">
        <v>4866</v>
      </c>
      <c r="P3760" s="4" t="s">
        <v>4860</v>
      </c>
      <c r="Q3760" s="1" t="str">
        <f>_xlfn.XLOOKUP(tblSales[[#This Row],[Channel Code]],tblChannels[Channel Code],tblChannels[Channel Name],"")</f>
        <v>In-store</v>
      </c>
      <c r="R3760" s="1">
        <f>MONTH(tblSales[[#This Row],[Date]])</f>
        <v>8</v>
      </c>
    </row>
    <row r="3761" spans="2:18" x14ac:dyDescent="0.35">
      <c r="B3761" s="113">
        <v>46247</v>
      </c>
      <c r="C3761" s="4" t="s">
        <v>2522</v>
      </c>
      <c r="D3761" s="4" t="s">
        <v>4572</v>
      </c>
      <c r="E3761" s="1" t="str">
        <f>_xlfn.XLOOKUP(tblSales[[#This Row],[Customer ID]],tblCustomers[Customer ID],tblCustomers[Customer Name],"⚠ Unknown")</f>
        <v>PT Cahaya Abadi Makmur</v>
      </c>
      <c r="F3761" s="4" t="s">
        <v>14</v>
      </c>
      <c r="G3761" s="1" t="str">
        <f>_xlfn.XLOOKUP(tblSales[[#This Row],[Product Code]],tblProducts[Code],tblProducts[Product / Service Name],"⚠ Unknown")</f>
        <v>Smartwatch</v>
      </c>
      <c r="H3761" s="1" t="str">
        <f>_xlfn.XLOOKUP(tblSales[[#This Row],[Product Code]],tblProducts[Code],tblProducts[Category],"")</f>
        <v>Bags &amp; Gadgets</v>
      </c>
      <c r="I3761" s="4">
        <v>16</v>
      </c>
      <c r="J3761" s="5">
        <f>_xlfn.XLOOKUP(tblSales[[#This Row],[Product Code]],tblProducts[Code],tblProducts[Selling Price (excl. VAT)],0)</f>
        <v>850000</v>
      </c>
      <c r="K3761" s="5">
        <f>tblSales[[#This Row],[Qty]]*tblSales[[#This Row],[Unit Price]]</f>
        <v>13600000</v>
      </c>
      <c r="L3761" s="5">
        <f>ROUND(tblSales[[#This Row],[DPP (excl. VAT)]]*VATEff,0)</f>
        <v>1496000</v>
      </c>
      <c r="M3761" s="5">
        <f>tblSales[[#This Row],[DPP (excl. VAT)]]+tblSales[[#This Row],[Output VAT]]</f>
        <v>15096000</v>
      </c>
      <c r="N3761" s="5">
        <f>tblSales[[#This Row],[Qty]]*_xlfn.XLOOKUP(tblSales[[#This Row],[Product Code]],tblProducts[Code],tblProducts[Unit Cost],0)</f>
        <v>8960000</v>
      </c>
      <c r="O3761" s="4" t="s">
        <v>4867</v>
      </c>
      <c r="P3761" s="4" t="s">
        <v>4860</v>
      </c>
      <c r="Q3761" s="1" t="str">
        <f>_xlfn.XLOOKUP(tblSales[[#This Row],[Channel Code]],tblChannels[Channel Code],tblChannels[Channel Name],"")</f>
        <v>In-store</v>
      </c>
      <c r="R3761" s="1">
        <f>MONTH(tblSales[[#This Row],[Date]])</f>
        <v>8</v>
      </c>
    </row>
    <row r="3762" spans="2:18" x14ac:dyDescent="0.35">
      <c r="B3762" s="113">
        <v>46247</v>
      </c>
      <c r="C3762" s="4" t="s">
        <v>2522</v>
      </c>
      <c r="D3762" s="4" t="s">
        <v>4572</v>
      </c>
      <c r="E3762" s="1" t="str">
        <f>_xlfn.XLOOKUP(tblSales[[#This Row],[Customer ID]],tblCustomers[Customer ID],tblCustomers[Customer Name],"⚠ Unknown")</f>
        <v>PT Cahaya Abadi Makmur</v>
      </c>
      <c r="F3762" s="4" t="s">
        <v>8</v>
      </c>
      <c r="G3762" s="1" t="str">
        <f>_xlfn.XLOOKUP(tblSales[[#This Row],[Product Code]],tblProducts[Code],tblProducts[Product / Service Name],"⚠ Unknown")</f>
        <v>Casual Shorts</v>
      </c>
      <c r="H3762" s="1" t="str">
        <f>_xlfn.XLOOKUP(tblSales[[#This Row],[Product Code]],tblProducts[Code],tblProducts[Category],"")</f>
        <v>Accessories &amp; Basics</v>
      </c>
      <c r="I3762" s="4">
        <v>32</v>
      </c>
      <c r="J3762" s="5">
        <f>_xlfn.XLOOKUP(tblSales[[#This Row],[Product Code]],tblProducts[Code],tblProducts[Selling Price (excl. VAT)],0)</f>
        <v>85000</v>
      </c>
      <c r="K3762" s="5">
        <f>tblSales[[#This Row],[Qty]]*tblSales[[#This Row],[Unit Price]]</f>
        <v>2720000</v>
      </c>
      <c r="L3762" s="5">
        <f>ROUND(tblSales[[#This Row],[DPP (excl. VAT)]]*VATEff,0)</f>
        <v>299200</v>
      </c>
      <c r="M3762" s="5">
        <f>tblSales[[#This Row],[DPP (excl. VAT)]]+tblSales[[#This Row],[Output VAT]]</f>
        <v>3019200</v>
      </c>
      <c r="N3762" s="5">
        <f>tblSales[[#This Row],[Qty]]*_xlfn.XLOOKUP(tblSales[[#This Row],[Product Code]],tblProducts[Code],tblProducts[Unit Cost],0)</f>
        <v>1600000</v>
      </c>
      <c r="O3762" s="4" t="s">
        <v>4867</v>
      </c>
      <c r="P3762" s="4" t="s">
        <v>4860</v>
      </c>
      <c r="Q3762" s="1" t="str">
        <f>_xlfn.XLOOKUP(tblSales[[#This Row],[Channel Code]],tblChannels[Channel Code],tblChannels[Channel Name],"")</f>
        <v>In-store</v>
      </c>
      <c r="R3762" s="1">
        <f>MONTH(tblSales[[#This Row],[Date]])</f>
        <v>8</v>
      </c>
    </row>
    <row r="3763" spans="2:18" x14ac:dyDescent="0.35">
      <c r="B3763" s="113">
        <v>46247</v>
      </c>
      <c r="C3763" s="4" t="s">
        <v>2522</v>
      </c>
      <c r="D3763" s="4" t="s">
        <v>4572</v>
      </c>
      <c r="E3763" s="1" t="str">
        <f>_xlfn.XLOOKUP(tblSales[[#This Row],[Customer ID]],tblCustomers[Customer ID],tblCustomers[Customer Name],"⚠ Unknown")</f>
        <v>PT Cahaya Abadi Makmur</v>
      </c>
      <c r="F3763" s="4" t="s">
        <v>13</v>
      </c>
      <c r="G3763" s="1" t="str">
        <f>_xlfn.XLOOKUP(tblSales[[#This Row],[Product Code]],tblProducts[Code],tblProducts[Product / Service Name],"⚠ Unknown")</f>
        <v>Backpack</v>
      </c>
      <c r="H3763" s="1" t="str">
        <f>_xlfn.XLOOKUP(tblSales[[#This Row],[Product Code]],tblProducts[Code],tblProducts[Category],"")</f>
        <v>Bags &amp; Gadgets</v>
      </c>
      <c r="I3763" s="4">
        <v>48</v>
      </c>
      <c r="J3763" s="5">
        <f>_xlfn.XLOOKUP(tblSales[[#This Row],[Product Code]],tblProducts[Code],tblProducts[Selling Price (excl. VAT)],0)</f>
        <v>500000</v>
      </c>
      <c r="K3763" s="5">
        <f>tblSales[[#This Row],[Qty]]*tblSales[[#This Row],[Unit Price]]</f>
        <v>24000000</v>
      </c>
      <c r="L3763" s="5">
        <f>ROUND(tblSales[[#This Row],[DPP (excl. VAT)]]*VATEff,0)</f>
        <v>2640000</v>
      </c>
      <c r="M3763" s="5">
        <f>tblSales[[#This Row],[DPP (excl. VAT)]]+tblSales[[#This Row],[Output VAT]]</f>
        <v>26640000</v>
      </c>
      <c r="N3763" s="5">
        <f>tblSales[[#This Row],[Qty]]*_xlfn.XLOOKUP(tblSales[[#This Row],[Product Code]],tblProducts[Code],tblProducts[Unit Cost],0)</f>
        <v>13920000</v>
      </c>
      <c r="O3763" s="4" t="s">
        <v>4867</v>
      </c>
      <c r="P3763" s="4" t="s">
        <v>4860</v>
      </c>
      <c r="Q3763" s="1" t="str">
        <f>_xlfn.XLOOKUP(tblSales[[#This Row],[Channel Code]],tblChannels[Channel Code],tblChannels[Channel Name],"")</f>
        <v>In-store</v>
      </c>
      <c r="R3763" s="1">
        <f>MONTH(tblSales[[#This Row],[Date]])</f>
        <v>8</v>
      </c>
    </row>
    <row r="3764" spans="2:18" x14ac:dyDescent="0.35">
      <c r="B3764" s="113">
        <v>46247</v>
      </c>
      <c r="C3764" s="4" t="s">
        <v>2523</v>
      </c>
      <c r="D3764" s="4" t="s">
        <v>4568</v>
      </c>
      <c r="E3764" s="1" t="str">
        <f>_xlfn.XLOOKUP(tblSales[[#This Row],[Customer ID]],tblCustomers[Customer ID],tblCustomers[Customer Name],"⚠ Unknown")</f>
        <v>Walk-in Customer</v>
      </c>
      <c r="F3764" s="4" t="s">
        <v>7</v>
      </c>
      <c r="G3764" s="1" t="str">
        <f>_xlfn.XLOOKUP(tblSales[[#This Row],[Product Code]],tblProducts[Code],tblProducts[Product / Service Name],"⚠ Unknown")</f>
        <v>Premium Basic T-shirt</v>
      </c>
      <c r="H3764" s="1" t="str">
        <f>_xlfn.XLOOKUP(tblSales[[#This Row],[Product Code]],tblProducts[Code],tblProducts[Category],"")</f>
        <v>Accessories &amp; Basics</v>
      </c>
      <c r="I3764" s="4">
        <v>5</v>
      </c>
      <c r="J3764" s="5">
        <f>_xlfn.XLOOKUP(tblSales[[#This Row],[Product Code]],tblProducts[Code],tblProducts[Selling Price (excl. VAT)],0)</f>
        <v>65000</v>
      </c>
      <c r="K3764" s="5">
        <f>tblSales[[#This Row],[Qty]]*tblSales[[#This Row],[Unit Price]]</f>
        <v>325000</v>
      </c>
      <c r="L3764" s="5">
        <f>ROUND(tblSales[[#This Row],[DPP (excl. VAT)]]*VATEff,0)</f>
        <v>35750</v>
      </c>
      <c r="M3764" s="5">
        <f>tblSales[[#This Row],[DPP (excl. VAT)]]+tblSales[[#This Row],[Output VAT]]</f>
        <v>360750</v>
      </c>
      <c r="N3764" s="5">
        <f>tblSales[[#This Row],[Qty]]*_xlfn.XLOOKUP(tblSales[[#This Row],[Product Code]],tblProducts[Code],tblProducts[Unit Cost],0)</f>
        <v>185000</v>
      </c>
      <c r="O3764" s="4" t="s">
        <v>4866</v>
      </c>
      <c r="P3764" s="4" t="s">
        <v>4860</v>
      </c>
      <c r="Q3764" s="1" t="str">
        <f>_xlfn.XLOOKUP(tblSales[[#This Row],[Channel Code]],tblChannels[Channel Code],tblChannels[Channel Name],"")</f>
        <v>In-store</v>
      </c>
      <c r="R3764" s="1">
        <f>MONTH(tblSales[[#This Row],[Date]])</f>
        <v>8</v>
      </c>
    </row>
    <row r="3765" spans="2:18" x14ac:dyDescent="0.35">
      <c r="B3765" s="113">
        <v>46247</v>
      </c>
      <c r="C3765" s="4" t="s">
        <v>2524</v>
      </c>
      <c r="D3765" s="4" t="s">
        <v>4572</v>
      </c>
      <c r="E3765" s="1" t="str">
        <f>_xlfn.XLOOKUP(tblSales[[#This Row],[Customer ID]],tblCustomers[Customer ID],tblCustomers[Customer Name],"⚠ Unknown")</f>
        <v>PT Cahaya Abadi Makmur</v>
      </c>
      <c r="F3765" s="4" t="s">
        <v>13</v>
      </c>
      <c r="G3765" s="1" t="str">
        <f>_xlfn.XLOOKUP(tblSales[[#This Row],[Product Code]],tblProducts[Code],tblProducts[Product / Service Name],"⚠ Unknown")</f>
        <v>Backpack</v>
      </c>
      <c r="H3765" s="1" t="str">
        <f>_xlfn.XLOOKUP(tblSales[[#This Row],[Product Code]],tblProducts[Code],tblProducts[Category],"")</f>
        <v>Bags &amp; Gadgets</v>
      </c>
      <c r="I3765" s="4">
        <v>40</v>
      </c>
      <c r="J3765" s="5">
        <f>_xlfn.XLOOKUP(tblSales[[#This Row],[Product Code]],tblProducts[Code],tblProducts[Selling Price (excl. VAT)],0)</f>
        <v>500000</v>
      </c>
      <c r="K3765" s="5">
        <f>tblSales[[#This Row],[Qty]]*tblSales[[#This Row],[Unit Price]]</f>
        <v>20000000</v>
      </c>
      <c r="L3765" s="5">
        <f>ROUND(tblSales[[#This Row],[DPP (excl. VAT)]]*VATEff,0)</f>
        <v>2200000</v>
      </c>
      <c r="M3765" s="5">
        <f>tblSales[[#This Row],[DPP (excl. VAT)]]+tblSales[[#This Row],[Output VAT]]</f>
        <v>22200000</v>
      </c>
      <c r="N3765" s="5">
        <f>tblSales[[#This Row],[Qty]]*_xlfn.XLOOKUP(tblSales[[#This Row],[Product Code]],tblProducts[Code],tblProducts[Unit Cost],0)</f>
        <v>11600000</v>
      </c>
      <c r="O3765" s="4" t="s">
        <v>4867</v>
      </c>
      <c r="P3765" s="4" t="s">
        <v>4860</v>
      </c>
      <c r="Q3765" s="1" t="str">
        <f>_xlfn.XLOOKUP(tblSales[[#This Row],[Channel Code]],tblChannels[Channel Code],tblChannels[Channel Name],"")</f>
        <v>In-store</v>
      </c>
      <c r="R3765" s="1">
        <f>MONTH(tblSales[[#This Row],[Date]])</f>
        <v>8</v>
      </c>
    </row>
    <row r="3766" spans="2:18" x14ac:dyDescent="0.35">
      <c r="B3766" s="113">
        <v>46247</v>
      </c>
      <c r="C3766" s="4" t="s">
        <v>2524</v>
      </c>
      <c r="D3766" s="4" t="s">
        <v>4572</v>
      </c>
      <c r="E3766" s="1" t="str">
        <f>_xlfn.XLOOKUP(tblSales[[#This Row],[Customer ID]],tblCustomers[Customer ID],tblCustomers[Customer Name],"⚠ Unknown")</f>
        <v>PT Cahaya Abadi Makmur</v>
      </c>
      <c r="F3766" s="4" t="s">
        <v>9</v>
      </c>
      <c r="G3766" s="1" t="str">
        <f>_xlfn.XLOOKUP(tblSales[[#This Row],[Product Code]],tblProducts[Code],tblProducts[Product / Service Name],"⚠ Unknown")</f>
        <v>Casual Shirt</v>
      </c>
      <c r="H3766" s="1" t="str">
        <f>_xlfn.XLOOKUP(tblSales[[#This Row],[Product Code]],tblProducts[Code],tblProducts[Category],"")</f>
        <v>Apparel &amp; Footwear</v>
      </c>
      <c r="I3766" s="4">
        <v>16</v>
      </c>
      <c r="J3766" s="5">
        <f>_xlfn.XLOOKUP(tblSales[[#This Row],[Product Code]],tblProducts[Code],tblProducts[Selling Price (excl. VAT)],0)</f>
        <v>120000</v>
      </c>
      <c r="K3766" s="5">
        <f>tblSales[[#This Row],[Qty]]*tblSales[[#This Row],[Unit Price]]</f>
        <v>1920000</v>
      </c>
      <c r="L3766" s="5">
        <f>ROUND(tblSales[[#This Row],[DPP (excl. VAT)]]*VATEff,0)</f>
        <v>211200</v>
      </c>
      <c r="M3766" s="5">
        <f>tblSales[[#This Row],[DPP (excl. VAT)]]+tblSales[[#This Row],[Output VAT]]</f>
        <v>2131200</v>
      </c>
      <c r="N3766" s="5">
        <f>tblSales[[#This Row],[Qty]]*_xlfn.XLOOKUP(tblSales[[#This Row],[Product Code]],tblProducts[Code],tblProducts[Unit Cost],0)</f>
        <v>1152000</v>
      </c>
      <c r="O3766" s="4" t="s">
        <v>4867</v>
      </c>
      <c r="P3766" s="4" t="s">
        <v>4860</v>
      </c>
      <c r="Q3766" s="1" t="str">
        <f>_xlfn.XLOOKUP(tblSales[[#This Row],[Channel Code]],tblChannels[Channel Code],tblChannels[Channel Name],"")</f>
        <v>In-store</v>
      </c>
      <c r="R3766" s="1">
        <f>MONTH(tblSales[[#This Row],[Date]])</f>
        <v>8</v>
      </c>
    </row>
    <row r="3767" spans="2:18" x14ac:dyDescent="0.35">
      <c r="B3767" s="113">
        <v>46247</v>
      </c>
      <c r="C3767" s="4" t="s">
        <v>2524</v>
      </c>
      <c r="D3767" s="4" t="s">
        <v>4572</v>
      </c>
      <c r="E3767" s="1" t="str">
        <f>_xlfn.XLOOKUP(tblSales[[#This Row],[Customer ID]],tblCustomers[Customer ID],tblCustomers[Customer Name],"⚠ Unknown")</f>
        <v>PT Cahaya Abadi Makmur</v>
      </c>
      <c r="F3767" s="4" t="s">
        <v>6</v>
      </c>
      <c r="G3767" s="1" t="str">
        <f>_xlfn.XLOOKUP(tblSales[[#This Row],[Product Code]],tblProducts[Code],tblProducts[Product / Service Name],"⚠ Unknown")</f>
        <v>Socks &amp; Accessories</v>
      </c>
      <c r="H3767" s="1" t="str">
        <f>_xlfn.XLOOKUP(tblSales[[#This Row],[Product Code]],tblProducts[Code],tblProducts[Category],"")</f>
        <v>Accessories &amp; Basics</v>
      </c>
      <c r="I3767" s="4">
        <v>16</v>
      </c>
      <c r="J3767" s="5">
        <f>_xlfn.XLOOKUP(tblSales[[#This Row],[Product Code]],tblProducts[Code],tblProducts[Selling Price (excl. VAT)],0)</f>
        <v>45000</v>
      </c>
      <c r="K3767" s="5">
        <f>tblSales[[#This Row],[Qty]]*tblSales[[#This Row],[Unit Price]]</f>
        <v>720000</v>
      </c>
      <c r="L3767" s="5">
        <f>ROUND(tblSales[[#This Row],[DPP (excl. VAT)]]*VATEff,0)</f>
        <v>79200</v>
      </c>
      <c r="M3767" s="5">
        <f>tblSales[[#This Row],[DPP (excl. VAT)]]+tblSales[[#This Row],[Output VAT]]</f>
        <v>799200</v>
      </c>
      <c r="N3767" s="5">
        <f>tblSales[[#This Row],[Qty]]*_xlfn.XLOOKUP(tblSales[[#This Row],[Product Code]],tblProducts[Code],tblProducts[Unit Cost],0)</f>
        <v>384000</v>
      </c>
      <c r="O3767" s="4" t="s">
        <v>4867</v>
      </c>
      <c r="P3767" s="4" t="s">
        <v>4860</v>
      </c>
      <c r="Q3767" s="1" t="str">
        <f>_xlfn.XLOOKUP(tblSales[[#This Row],[Channel Code]],tblChannels[Channel Code],tblChannels[Channel Name],"")</f>
        <v>In-store</v>
      </c>
      <c r="R3767" s="1">
        <f>MONTH(tblSales[[#This Row],[Date]])</f>
        <v>8</v>
      </c>
    </row>
    <row r="3768" spans="2:18" x14ac:dyDescent="0.35">
      <c r="B3768" s="113">
        <v>46247</v>
      </c>
      <c r="C3768" s="4" t="s">
        <v>2525</v>
      </c>
      <c r="D3768" s="4" t="s">
        <v>4568</v>
      </c>
      <c r="E3768" s="1" t="str">
        <f>_xlfn.XLOOKUP(tblSales[[#This Row],[Customer ID]],tblCustomers[Customer ID],tblCustomers[Customer Name],"⚠ Unknown")</f>
        <v>Walk-in Customer</v>
      </c>
      <c r="F3768" s="4" t="s">
        <v>7</v>
      </c>
      <c r="G3768" s="1" t="str">
        <f>_xlfn.XLOOKUP(tblSales[[#This Row],[Product Code]],tblProducts[Code],tblProducts[Product / Service Name],"⚠ Unknown")</f>
        <v>Premium Basic T-shirt</v>
      </c>
      <c r="H3768" s="1" t="str">
        <f>_xlfn.XLOOKUP(tblSales[[#This Row],[Product Code]],tblProducts[Code],tblProducts[Category],"")</f>
        <v>Accessories &amp; Basics</v>
      </c>
      <c r="I3768" s="4">
        <v>12</v>
      </c>
      <c r="J3768" s="5">
        <f>_xlfn.XLOOKUP(tblSales[[#This Row],[Product Code]],tblProducts[Code],tblProducts[Selling Price (excl. VAT)],0)</f>
        <v>65000</v>
      </c>
      <c r="K3768" s="5">
        <f>tblSales[[#This Row],[Qty]]*tblSales[[#This Row],[Unit Price]]</f>
        <v>780000</v>
      </c>
      <c r="L3768" s="5">
        <f>ROUND(tblSales[[#This Row],[DPP (excl. VAT)]]*VATEff,0)</f>
        <v>85800</v>
      </c>
      <c r="M3768" s="5">
        <f>tblSales[[#This Row],[DPP (excl. VAT)]]+tblSales[[#This Row],[Output VAT]]</f>
        <v>865800</v>
      </c>
      <c r="N3768" s="5">
        <f>tblSales[[#This Row],[Qty]]*_xlfn.XLOOKUP(tblSales[[#This Row],[Product Code]],tblProducts[Code],tblProducts[Unit Cost],0)</f>
        <v>444000</v>
      </c>
      <c r="O3768" s="4" t="s">
        <v>4865</v>
      </c>
      <c r="P3768" s="4" t="s">
        <v>4860</v>
      </c>
      <c r="Q3768" s="1" t="str">
        <f>_xlfn.XLOOKUP(tblSales[[#This Row],[Channel Code]],tblChannels[Channel Code],tblChannels[Channel Name],"")</f>
        <v>In-store</v>
      </c>
      <c r="R3768" s="1">
        <f>MONTH(tblSales[[#This Row],[Date]])</f>
        <v>8</v>
      </c>
    </row>
    <row r="3769" spans="2:18" x14ac:dyDescent="0.35">
      <c r="B3769" s="113">
        <v>46247</v>
      </c>
      <c r="C3769" s="4" t="s">
        <v>2526</v>
      </c>
      <c r="D3769" s="4" t="s">
        <v>4568</v>
      </c>
      <c r="E3769" s="1" t="str">
        <f>_xlfn.XLOOKUP(tblSales[[#This Row],[Customer ID]],tblCustomers[Customer ID],tblCustomers[Customer Name],"⚠ Unknown")</f>
        <v>Walk-in Customer</v>
      </c>
      <c r="F3769" s="4" t="s">
        <v>13</v>
      </c>
      <c r="G3769" s="1" t="str">
        <f>_xlfn.XLOOKUP(tblSales[[#This Row],[Product Code]],tblProducts[Code],tblProducts[Product / Service Name],"⚠ Unknown")</f>
        <v>Backpack</v>
      </c>
      <c r="H3769" s="1" t="str">
        <f>_xlfn.XLOOKUP(tblSales[[#This Row],[Product Code]],tblProducts[Code],tblProducts[Category],"")</f>
        <v>Bags &amp; Gadgets</v>
      </c>
      <c r="I3769" s="4">
        <v>1</v>
      </c>
      <c r="J3769" s="5">
        <f>_xlfn.XLOOKUP(tblSales[[#This Row],[Product Code]],tblProducts[Code],tblProducts[Selling Price (excl. VAT)],0)</f>
        <v>500000</v>
      </c>
      <c r="K3769" s="5">
        <f>tblSales[[#This Row],[Qty]]*tblSales[[#This Row],[Unit Price]]</f>
        <v>500000</v>
      </c>
      <c r="L3769" s="5">
        <f>ROUND(tblSales[[#This Row],[DPP (excl. VAT)]]*VATEff,0)</f>
        <v>55000</v>
      </c>
      <c r="M3769" s="5">
        <f>tblSales[[#This Row],[DPP (excl. VAT)]]+tblSales[[#This Row],[Output VAT]]</f>
        <v>555000</v>
      </c>
      <c r="N3769" s="5">
        <f>tblSales[[#This Row],[Qty]]*_xlfn.XLOOKUP(tblSales[[#This Row],[Product Code]],tblProducts[Code],tblProducts[Unit Cost],0)</f>
        <v>290000</v>
      </c>
      <c r="O3769" s="4" t="s">
        <v>4865</v>
      </c>
      <c r="P3769" s="4" t="s">
        <v>4860</v>
      </c>
      <c r="Q3769" s="1" t="str">
        <f>_xlfn.XLOOKUP(tblSales[[#This Row],[Channel Code]],tblChannels[Channel Code],tblChannels[Channel Name],"")</f>
        <v>In-store</v>
      </c>
      <c r="R3769" s="1">
        <f>MONTH(tblSales[[#This Row],[Date]])</f>
        <v>8</v>
      </c>
    </row>
    <row r="3770" spans="2:18" x14ac:dyDescent="0.35">
      <c r="B3770" s="113">
        <v>46247</v>
      </c>
      <c r="C3770" s="4" t="s">
        <v>2526</v>
      </c>
      <c r="D3770" s="4" t="s">
        <v>4568</v>
      </c>
      <c r="E3770" s="1" t="str">
        <f>_xlfn.XLOOKUP(tblSales[[#This Row],[Customer ID]],tblCustomers[Customer ID],tblCustomers[Customer Name],"⚠ Unknown")</f>
        <v>Walk-in Customer</v>
      </c>
      <c r="F3770" s="4" t="s">
        <v>10</v>
      </c>
      <c r="G3770" s="1" t="str">
        <f>_xlfn.XLOOKUP(tblSales[[#This Row],[Product Code]],tblProducts[Code],tblProducts[Product / Service Name],"⚠ Unknown")</f>
        <v>Chino Pants</v>
      </c>
      <c r="H3770" s="1" t="str">
        <f>_xlfn.XLOOKUP(tblSales[[#This Row],[Product Code]],tblProducts[Code],tblProducts[Category],"")</f>
        <v>Apparel &amp; Footwear</v>
      </c>
      <c r="I3770" s="4">
        <v>2</v>
      </c>
      <c r="J3770" s="5">
        <f>_xlfn.XLOOKUP(tblSales[[#This Row],[Product Code]],tblProducts[Code],tblProducts[Selling Price (excl. VAT)],0)</f>
        <v>150000</v>
      </c>
      <c r="K3770" s="5">
        <f>tblSales[[#This Row],[Qty]]*tblSales[[#This Row],[Unit Price]]</f>
        <v>300000</v>
      </c>
      <c r="L3770" s="5">
        <f>ROUND(tblSales[[#This Row],[DPP (excl. VAT)]]*VATEff,0)</f>
        <v>33000</v>
      </c>
      <c r="M3770" s="5">
        <f>tblSales[[#This Row],[DPP (excl. VAT)]]+tblSales[[#This Row],[Output VAT]]</f>
        <v>333000</v>
      </c>
      <c r="N3770" s="5">
        <f>tblSales[[#This Row],[Qty]]*_xlfn.XLOOKUP(tblSales[[#This Row],[Product Code]],tblProducts[Code],tblProducts[Unit Cost],0)</f>
        <v>176000</v>
      </c>
      <c r="O3770" s="4" t="s">
        <v>4865</v>
      </c>
      <c r="P3770" s="4" t="s">
        <v>4860</v>
      </c>
      <c r="Q3770" s="1" t="str">
        <f>_xlfn.XLOOKUP(tblSales[[#This Row],[Channel Code]],tblChannels[Channel Code],tblChannels[Channel Name],"")</f>
        <v>In-store</v>
      </c>
      <c r="R3770" s="1">
        <f>MONTH(tblSales[[#This Row],[Date]])</f>
        <v>8</v>
      </c>
    </row>
    <row r="3771" spans="2:18" x14ac:dyDescent="0.35">
      <c r="B3771" s="113">
        <v>46247</v>
      </c>
      <c r="C3771" s="4" t="s">
        <v>2527</v>
      </c>
      <c r="D3771" s="4" t="s">
        <v>4568</v>
      </c>
      <c r="E3771" s="1" t="str">
        <f>_xlfn.XLOOKUP(tblSales[[#This Row],[Customer ID]],tblCustomers[Customer ID],tblCustomers[Customer Name],"⚠ Unknown")</f>
        <v>Walk-in Customer</v>
      </c>
      <c r="F3771" s="4" t="s">
        <v>14</v>
      </c>
      <c r="G3771" s="1" t="str">
        <f>_xlfn.XLOOKUP(tblSales[[#This Row],[Product Code]],tblProducts[Code],tblProducts[Product / Service Name],"⚠ Unknown")</f>
        <v>Smartwatch</v>
      </c>
      <c r="H3771" s="1" t="str">
        <f>_xlfn.XLOOKUP(tblSales[[#This Row],[Product Code]],tblProducts[Code],tblProducts[Category],"")</f>
        <v>Bags &amp; Gadgets</v>
      </c>
      <c r="I3771" s="4">
        <v>1</v>
      </c>
      <c r="J3771" s="5">
        <f>_xlfn.XLOOKUP(tblSales[[#This Row],[Product Code]],tblProducts[Code],tblProducts[Selling Price (excl. VAT)],0)</f>
        <v>850000</v>
      </c>
      <c r="K3771" s="5">
        <f>tblSales[[#This Row],[Qty]]*tblSales[[#This Row],[Unit Price]]</f>
        <v>850000</v>
      </c>
      <c r="L3771" s="5">
        <f>ROUND(tblSales[[#This Row],[DPP (excl. VAT)]]*VATEff,0)</f>
        <v>93500</v>
      </c>
      <c r="M3771" s="5">
        <f>tblSales[[#This Row],[DPP (excl. VAT)]]+tblSales[[#This Row],[Output VAT]]</f>
        <v>943500</v>
      </c>
      <c r="N3771" s="5">
        <f>tblSales[[#This Row],[Qty]]*_xlfn.XLOOKUP(tblSales[[#This Row],[Product Code]],tblProducts[Code],tblProducts[Unit Cost],0)</f>
        <v>560000</v>
      </c>
      <c r="O3771" s="4" t="s">
        <v>4866</v>
      </c>
      <c r="P3771" s="4" t="s">
        <v>4861</v>
      </c>
      <c r="Q3771" s="1" t="str">
        <f>_xlfn.XLOOKUP(tblSales[[#This Row],[Channel Code]],tblChannels[Channel Code],tblChannels[Channel Name],"")</f>
        <v>Marketplace</v>
      </c>
      <c r="R3771" s="1">
        <f>MONTH(tblSales[[#This Row],[Date]])</f>
        <v>8</v>
      </c>
    </row>
    <row r="3772" spans="2:18" x14ac:dyDescent="0.35">
      <c r="B3772" s="113">
        <v>46247</v>
      </c>
      <c r="C3772" s="4" t="s">
        <v>2528</v>
      </c>
      <c r="D3772" s="4" t="s">
        <v>4568</v>
      </c>
      <c r="E3772" s="1" t="str">
        <f>_xlfn.XLOOKUP(tblSales[[#This Row],[Customer ID]],tblCustomers[Customer ID],tblCustomers[Customer Name],"⚠ Unknown")</f>
        <v>Walk-in Customer</v>
      </c>
      <c r="F3772" s="4" t="s">
        <v>7</v>
      </c>
      <c r="G3772" s="1" t="str">
        <f>_xlfn.XLOOKUP(tblSales[[#This Row],[Product Code]],tblProducts[Code],tblProducts[Product / Service Name],"⚠ Unknown")</f>
        <v>Premium Basic T-shirt</v>
      </c>
      <c r="H3772" s="1" t="str">
        <f>_xlfn.XLOOKUP(tblSales[[#This Row],[Product Code]],tblProducts[Code],tblProducts[Category],"")</f>
        <v>Accessories &amp; Basics</v>
      </c>
      <c r="I3772" s="4">
        <v>10</v>
      </c>
      <c r="J3772" s="5">
        <f>_xlfn.XLOOKUP(tblSales[[#This Row],[Product Code]],tblProducts[Code],tblProducts[Selling Price (excl. VAT)],0)</f>
        <v>65000</v>
      </c>
      <c r="K3772" s="5">
        <f>tblSales[[#This Row],[Qty]]*tblSales[[#This Row],[Unit Price]]</f>
        <v>650000</v>
      </c>
      <c r="L3772" s="5">
        <f>ROUND(tblSales[[#This Row],[DPP (excl. VAT)]]*VATEff,0)</f>
        <v>71500</v>
      </c>
      <c r="M3772" s="5">
        <f>tblSales[[#This Row],[DPP (excl. VAT)]]+tblSales[[#This Row],[Output VAT]]</f>
        <v>721500</v>
      </c>
      <c r="N3772" s="5">
        <f>tblSales[[#This Row],[Qty]]*_xlfn.XLOOKUP(tblSales[[#This Row],[Product Code]],tblProducts[Code],tblProducts[Unit Cost],0)</f>
        <v>370000</v>
      </c>
      <c r="O3772" s="4" t="s">
        <v>4866</v>
      </c>
      <c r="P3772" s="4" t="s">
        <v>4862</v>
      </c>
      <c r="Q3772" s="1" t="str">
        <f>_xlfn.XLOOKUP(tblSales[[#This Row],[Channel Code]],tblChannels[Channel Code],tblChannels[Channel Name],"")</f>
        <v>Website &amp; Social Media</v>
      </c>
      <c r="R3772" s="1">
        <f>MONTH(tblSales[[#This Row],[Date]])</f>
        <v>8</v>
      </c>
    </row>
    <row r="3773" spans="2:18" x14ac:dyDescent="0.35">
      <c r="B3773" s="113">
        <v>46247</v>
      </c>
      <c r="C3773" s="4" t="s">
        <v>2529</v>
      </c>
      <c r="D3773" s="4" t="s">
        <v>4613</v>
      </c>
      <c r="E3773" s="1" t="str">
        <f>_xlfn.XLOOKUP(tblSales[[#This Row],[Customer ID]],tblCustomers[Customer ID],tblCustomers[Customer Name],"⚠ Unknown")</f>
        <v>PT Mega Prima Distribusi</v>
      </c>
      <c r="F3773" s="4" t="s">
        <v>11</v>
      </c>
      <c r="G3773" s="1" t="str">
        <f>_xlfn.XLOOKUP(tblSales[[#This Row],[Product Code]],tblProducts[Code],tblProducts[Product / Service Name],"⚠ Unknown")</f>
        <v>Sneakers</v>
      </c>
      <c r="H3773" s="1" t="str">
        <f>_xlfn.XLOOKUP(tblSales[[#This Row],[Product Code]],tblProducts[Code],tblProducts[Category],"")</f>
        <v>Apparel &amp; Footwear</v>
      </c>
      <c r="I3773" s="4">
        <v>16</v>
      </c>
      <c r="J3773" s="5">
        <f>_xlfn.XLOOKUP(tblSales[[#This Row],[Product Code]],tblProducts[Code],tblProducts[Selling Price (excl. VAT)],0)</f>
        <v>250000</v>
      </c>
      <c r="K3773" s="5">
        <f>tblSales[[#This Row],[Qty]]*tblSales[[#This Row],[Unit Price]]</f>
        <v>4000000</v>
      </c>
      <c r="L3773" s="5">
        <f>ROUND(tblSales[[#This Row],[DPP (excl. VAT)]]*VATEff,0)</f>
        <v>440000</v>
      </c>
      <c r="M3773" s="5">
        <f>tblSales[[#This Row],[DPP (excl. VAT)]]+tblSales[[#This Row],[Output VAT]]</f>
        <v>4440000</v>
      </c>
      <c r="N3773" s="5">
        <f>tblSales[[#This Row],[Qty]]*_xlfn.XLOOKUP(tblSales[[#This Row],[Product Code]],tblProducts[Code],tblProducts[Unit Cost],0)</f>
        <v>2480000</v>
      </c>
      <c r="O3773" s="4" t="s">
        <v>4867</v>
      </c>
      <c r="P3773" s="4" t="s">
        <v>4860</v>
      </c>
      <c r="Q3773" s="1" t="str">
        <f>_xlfn.XLOOKUP(tblSales[[#This Row],[Channel Code]],tblChannels[Channel Code],tblChannels[Channel Name],"")</f>
        <v>In-store</v>
      </c>
      <c r="R3773" s="1">
        <f>MONTH(tblSales[[#This Row],[Date]])</f>
        <v>8</v>
      </c>
    </row>
    <row r="3774" spans="2:18" x14ac:dyDescent="0.35">
      <c r="B3774" s="113">
        <v>46247</v>
      </c>
      <c r="C3774" s="4" t="s">
        <v>2530</v>
      </c>
      <c r="D3774" s="4" t="s">
        <v>4641</v>
      </c>
      <c r="E3774" s="1" t="str">
        <f>_xlfn.XLOOKUP(tblSales[[#This Row],[Customer ID]],tblCustomers[Customer ID],tblCustomers[Customer Name],"⚠ Unknown")</f>
        <v>PT Harmoni Pangan Lestari</v>
      </c>
      <c r="F3774" s="4" t="s">
        <v>9</v>
      </c>
      <c r="G3774" s="1" t="str">
        <f>_xlfn.XLOOKUP(tblSales[[#This Row],[Product Code]],tblProducts[Code],tblProducts[Product / Service Name],"⚠ Unknown")</f>
        <v>Casual Shirt</v>
      </c>
      <c r="H3774" s="1" t="str">
        <f>_xlfn.XLOOKUP(tblSales[[#This Row],[Product Code]],tblProducts[Code],tblProducts[Category],"")</f>
        <v>Apparel &amp; Footwear</v>
      </c>
      <c r="I3774" s="4">
        <v>56</v>
      </c>
      <c r="J3774" s="5">
        <f>_xlfn.XLOOKUP(tblSales[[#This Row],[Product Code]],tblProducts[Code],tblProducts[Selling Price (excl. VAT)],0)</f>
        <v>120000</v>
      </c>
      <c r="K3774" s="5">
        <f>tblSales[[#This Row],[Qty]]*tblSales[[#This Row],[Unit Price]]</f>
        <v>6720000</v>
      </c>
      <c r="L3774" s="5">
        <f>ROUND(tblSales[[#This Row],[DPP (excl. VAT)]]*VATEff,0)</f>
        <v>739200</v>
      </c>
      <c r="M3774" s="5">
        <f>tblSales[[#This Row],[DPP (excl. VAT)]]+tblSales[[#This Row],[Output VAT]]</f>
        <v>7459200</v>
      </c>
      <c r="N3774" s="5">
        <f>tblSales[[#This Row],[Qty]]*_xlfn.XLOOKUP(tblSales[[#This Row],[Product Code]],tblProducts[Code],tblProducts[Unit Cost],0)</f>
        <v>4032000</v>
      </c>
      <c r="O3774" s="4" t="s">
        <v>4867</v>
      </c>
      <c r="P3774" s="4" t="s">
        <v>4860</v>
      </c>
      <c r="Q3774" s="1" t="str">
        <f>_xlfn.XLOOKUP(tblSales[[#This Row],[Channel Code]],tblChannels[Channel Code],tblChannels[Channel Name],"")</f>
        <v>In-store</v>
      </c>
      <c r="R3774" s="1">
        <f>MONTH(tblSales[[#This Row],[Date]])</f>
        <v>8</v>
      </c>
    </row>
    <row r="3775" spans="2:18" x14ac:dyDescent="0.35">
      <c r="B3775" s="113">
        <v>46247</v>
      </c>
      <c r="C3775" s="4" t="s">
        <v>2531</v>
      </c>
      <c r="D3775" s="4" t="s">
        <v>4568</v>
      </c>
      <c r="E3775" s="1" t="str">
        <f>_xlfn.XLOOKUP(tblSales[[#This Row],[Customer ID]],tblCustomers[Customer ID],tblCustomers[Customer Name],"⚠ Unknown")</f>
        <v>Walk-in Customer</v>
      </c>
      <c r="F3775" s="4" t="s">
        <v>8</v>
      </c>
      <c r="G3775" s="1" t="str">
        <f>_xlfn.XLOOKUP(tblSales[[#This Row],[Product Code]],tblProducts[Code],tblProducts[Product / Service Name],"⚠ Unknown")</f>
        <v>Casual Shorts</v>
      </c>
      <c r="H3775" s="1" t="str">
        <f>_xlfn.XLOOKUP(tblSales[[#This Row],[Product Code]],tblProducts[Code],tblProducts[Category],"")</f>
        <v>Accessories &amp; Basics</v>
      </c>
      <c r="I3775" s="4">
        <v>4</v>
      </c>
      <c r="J3775" s="5">
        <f>_xlfn.XLOOKUP(tblSales[[#This Row],[Product Code]],tblProducts[Code],tblProducts[Selling Price (excl. VAT)],0)</f>
        <v>85000</v>
      </c>
      <c r="K3775" s="5">
        <f>tblSales[[#This Row],[Qty]]*tblSales[[#This Row],[Unit Price]]</f>
        <v>340000</v>
      </c>
      <c r="L3775" s="5">
        <f>ROUND(tblSales[[#This Row],[DPP (excl. VAT)]]*VATEff,0)</f>
        <v>37400</v>
      </c>
      <c r="M3775" s="5">
        <f>tblSales[[#This Row],[DPP (excl. VAT)]]+tblSales[[#This Row],[Output VAT]]</f>
        <v>377400</v>
      </c>
      <c r="N3775" s="5">
        <f>tblSales[[#This Row],[Qty]]*_xlfn.XLOOKUP(tblSales[[#This Row],[Product Code]],tblProducts[Code],tblProducts[Unit Cost],0)</f>
        <v>200000</v>
      </c>
      <c r="O3775" s="4" t="s">
        <v>4865</v>
      </c>
      <c r="P3775" s="4" t="s">
        <v>4860</v>
      </c>
      <c r="Q3775" s="1" t="str">
        <f>_xlfn.XLOOKUP(tblSales[[#This Row],[Channel Code]],tblChannels[Channel Code],tblChannels[Channel Name],"")</f>
        <v>In-store</v>
      </c>
      <c r="R3775" s="1">
        <f>MONTH(tblSales[[#This Row],[Date]])</f>
        <v>8</v>
      </c>
    </row>
    <row r="3776" spans="2:18" x14ac:dyDescent="0.35">
      <c r="B3776" s="113">
        <v>46248</v>
      </c>
      <c r="C3776" s="4" t="s">
        <v>2532</v>
      </c>
      <c r="D3776" s="4" t="s">
        <v>4568</v>
      </c>
      <c r="E3776" s="1" t="str">
        <f>_xlfn.XLOOKUP(tblSales[[#This Row],[Customer ID]],tblCustomers[Customer ID],tblCustomers[Customer Name],"⚠ Unknown")</f>
        <v>Walk-in Customer</v>
      </c>
      <c r="F3776" s="4" t="s">
        <v>9</v>
      </c>
      <c r="G3776" s="1" t="str">
        <f>_xlfn.XLOOKUP(tblSales[[#This Row],[Product Code]],tblProducts[Code],tblProducts[Product / Service Name],"⚠ Unknown")</f>
        <v>Casual Shirt</v>
      </c>
      <c r="H3776" s="1" t="str">
        <f>_xlfn.XLOOKUP(tblSales[[#This Row],[Product Code]],tblProducts[Code],tblProducts[Category],"")</f>
        <v>Apparel &amp; Footwear</v>
      </c>
      <c r="I3776" s="4">
        <v>8</v>
      </c>
      <c r="J3776" s="5">
        <f>_xlfn.XLOOKUP(tblSales[[#This Row],[Product Code]],tblProducts[Code],tblProducts[Selling Price (excl. VAT)],0)</f>
        <v>120000</v>
      </c>
      <c r="K3776" s="5">
        <f>tblSales[[#This Row],[Qty]]*tblSales[[#This Row],[Unit Price]]</f>
        <v>960000</v>
      </c>
      <c r="L3776" s="5">
        <f>ROUND(tblSales[[#This Row],[DPP (excl. VAT)]]*VATEff,0)</f>
        <v>105600</v>
      </c>
      <c r="M3776" s="5">
        <f>tblSales[[#This Row],[DPP (excl. VAT)]]+tblSales[[#This Row],[Output VAT]]</f>
        <v>1065600</v>
      </c>
      <c r="N3776" s="5">
        <f>tblSales[[#This Row],[Qty]]*_xlfn.XLOOKUP(tblSales[[#This Row],[Product Code]],tblProducts[Code],tblProducts[Unit Cost],0)</f>
        <v>576000</v>
      </c>
      <c r="O3776" s="4" t="s">
        <v>4866</v>
      </c>
      <c r="P3776" s="4" t="s">
        <v>4861</v>
      </c>
      <c r="Q3776" s="1" t="str">
        <f>_xlfn.XLOOKUP(tblSales[[#This Row],[Channel Code]],tblChannels[Channel Code],tblChannels[Channel Name],"")</f>
        <v>Marketplace</v>
      </c>
      <c r="R3776" s="1">
        <f>MONTH(tblSales[[#This Row],[Date]])</f>
        <v>8</v>
      </c>
    </row>
    <row r="3777" spans="2:18" x14ac:dyDescent="0.35">
      <c r="B3777" s="113">
        <v>46248</v>
      </c>
      <c r="C3777" s="4" t="s">
        <v>2533</v>
      </c>
      <c r="D3777" s="4" t="s">
        <v>4568</v>
      </c>
      <c r="E3777" s="1" t="str">
        <f>_xlfn.XLOOKUP(tblSales[[#This Row],[Customer ID]],tblCustomers[Customer ID],tblCustomers[Customer Name],"⚠ Unknown")</f>
        <v>Walk-in Customer</v>
      </c>
      <c r="F3777" s="4" t="s">
        <v>10</v>
      </c>
      <c r="G3777" s="1" t="str">
        <f>_xlfn.XLOOKUP(tblSales[[#This Row],[Product Code]],tblProducts[Code],tblProducts[Product / Service Name],"⚠ Unknown")</f>
        <v>Chino Pants</v>
      </c>
      <c r="H3777" s="1" t="str">
        <f>_xlfn.XLOOKUP(tblSales[[#This Row],[Product Code]],tblProducts[Code],tblProducts[Category],"")</f>
        <v>Apparel &amp; Footwear</v>
      </c>
      <c r="I3777" s="4">
        <v>3</v>
      </c>
      <c r="J3777" s="5">
        <f>_xlfn.XLOOKUP(tblSales[[#This Row],[Product Code]],tblProducts[Code],tblProducts[Selling Price (excl. VAT)],0)</f>
        <v>150000</v>
      </c>
      <c r="K3777" s="5">
        <f>tblSales[[#This Row],[Qty]]*tblSales[[#This Row],[Unit Price]]</f>
        <v>450000</v>
      </c>
      <c r="L3777" s="5">
        <f>ROUND(tblSales[[#This Row],[DPP (excl. VAT)]]*VATEff,0)</f>
        <v>49500</v>
      </c>
      <c r="M3777" s="5">
        <f>tblSales[[#This Row],[DPP (excl. VAT)]]+tblSales[[#This Row],[Output VAT]]</f>
        <v>499500</v>
      </c>
      <c r="N3777" s="5">
        <f>tblSales[[#This Row],[Qty]]*_xlfn.XLOOKUP(tblSales[[#This Row],[Product Code]],tblProducts[Code],tblProducts[Unit Cost],0)</f>
        <v>264000</v>
      </c>
      <c r="O3777" s="4" t="s">
        <v>4866</v>
      </c>
      <c r="P3777" s="4" t="s">
        <v>4861</v>
      </c>
      <c r="Q3777" s="1" t="str">
        <f>_xlfn.XLOOKUP(tblSales[[#This Row],[Channel Code]],tblChannels[Channel Code],tblChannels[Channel Name],"")</f>
        <v>Marketplace</v>
      </c>
      <c r="R3777" s="1">
        <f>MONTH(tblSales[[#This Row],[Date]])</f>
        <v>8</v>
      </c>
    </row>
    <row r="3778" spans="2:18" x14ac:dyDescent="0.35">
      <c r="B3778" s="113">
        <v>46248</v>
      </c>
      <c r="C3778" s="4" t="s">
        <v>2534</v>
      </c>
      <c r="D3778" s="4" t="s">
        <v>4593</v>
      </c>
      <c r="E3778" s="1" t="str">
        <f>_xlfn.XLOOKUP(tblSales[[#This Row],[Customer ID]],tblCustomers[Customer ID],tblCustomers[Customer Name],"⚠ Unknown")</f>
        <v>PT Graha Nusa Persada</v>
      </c>
      <c r="F3778" s="4" t="s">
        <v>7</v>
      </c>
      <c r="G3778" s="1" t="str">
        <f>_xlfn.XLOOKUP(tblSales[[#This Row],[Product Code]],tblProducts[Code],tblProducts[Product / Service Name],"⚠ Unknown")</f>
        <v>Premium Basic T-shirt</v>
      </c>
      <c r="H3778" s="1" t="str">
        <f>_xlfn.XLOOKUP(tblSales[[#This Row],[Product Code]],tblProducts[Code],tblProducts[Category],"")</f>
        <v>Accessories &amp; Basics</v>
      </c>
      <c r="I3778" s="4">
        <v>32</v>
      </c>
      <c r="J3778" s="5">
        <f>_xlfn.XLOOKUP(tblSales[[#This Row],[Product Code]],tblProducts[Code],tblProducts[Selling Price (excl. VAT)],0)</f>
        <v>65000</v>
      </c>
      <c r="K3778" s="5">
        <f>tblSales[[#This Row],[Qty]]*tblSales[[#This Row],[Unit Price]]</f>
        <v>2080000</v>
      </c>
      <c r="L3778" s="5">
        <f>ROUND(tblSales[[#This Row],[DPP (excl. VAT)]]*VATEff,0)</f>
        <v>228800</v>
      </c>
      <c r="M3778" s="5">
        <f>tblSales[[#This Row],[DPP (excl. VAT)]]+tblSales[[#This Row],[Output VAT]]</f>
        <v>2308800</v>
      </c>
      <c r="N3778" s="5">
        <f>tblSales[[#This Row],[Qty]]*_xlfn.XLOOKUP(tblSales[[#This Row],[Product Code]],tblProducts[Code],tblProducts[Unit Cost],0)</f>
        <v>1184000</v>
      </c>
      <c r="O3778" s="4" t="s">
        <v>4867</v>
      </c>
      <c r="P3778" s="4" t="s">
        <v>4860</v>
      </c>
      <c r="Q3778" s="1" t="str">
        <f>_xlfn.XLOOKUP(tblSales[[#This Row],[Channel Code]],tblChannels[Channel Code],tblChannels[Channel Name],"")</f>
        <v>In-store</v>
      </c>
      <c r="R3778" s="1">
        <f>MONTH(tblSales[[#This Row],[Date]])</f>
        <v>8</v>
      </c>
    </row>
    <row r="3779" spans="2:18" x14ac:dyDescent="0.35">
      <c r="B3779" s="113">
        <v>46248</v>
      </c>
      <c r="C3779" s="4" t="s">
        <v>2535</v>
      </c>
      <c r="D3779" s="4" t="s">
        <v>4613</v>
      </c>
      <c r="E3779" s="1" t="str">
        <f>_xlfn.XLOOKUP(tblSales[[#This Row],[Customer ID]],tblCustomers[Customer ID],tblCustomers[Customer Name],"⚠ Unknown")</f>
        <v>PT Mega Prima Distribusi</v>
      </c>
      <c r="F3779" s="4" t="s">
        <v>6</v>
      </c>
      <c r="G3779" s="1" t="str">
        <f>_xlfn.XLOOKUP(tblSales[[#This Row],[Product Code]],tblProducts[Code],tblProducts[Product / Service Name],"⚠ Unknown")</f>
        <v>Socks &amp; Accessories</v>
      </c>
      <c r="H3779" s="1" t="str">
        <f>_xlfn.XLOOKUP(tblSales[[#This Row],[Product Code]],tblProducts[Code],tblProducts[Category],"")</f>
        <v>Accessories &amp; Basics</v>
      </c>
      <c r="I3779" s="4">
        <v>72</v>
      </c>
      <c r="J3779" s="5">
        <f>_xlfn.XLOOKUP(tblSales[[#This Row],[Product Code]],tblProducts[Code],tblProducts[Selling Price (excl. VAT)],0)</f>
        <v>45000</v>
      </c>
      <c r="K3779" s="5">
        <f>tblSales[[#This Row],[Qty]]*tblSales[[#This Row],[Unit Price]]</f>
        <v>3240000</v>
      </c>
      <c r="L3779" s="5">
        <f>ROUND(tblSales[[#This Row],[DPP (excl. VAT)]]*VATEff,0)</f>
        <v>356400</v>
      </c>
      <c r="M3779" s="5">
        <f>tblSales[[#This Row],[DPP (excl. VAT)]]+tblSales[[#This Row],[Output VAT]]</f>
        <v>3596400</v>
      </c>
      <c r="N3779" s="5">
        <f>tblSales[[#This Row],[Qty]]*_xlfn.XLOOKUP(tblSales[[#This Row],[Product Code]],tblProducts[Code],tblProducts[Unit Cost],0)</f>
        <v>1728000</v>
      </c>
      <c r="O3779" s="4" t="s">
        <v>4867</v>
      </c>
      <c r="P3779" s="4" t="s">
        <v>4860</v>
      </c>
      <c r="Q3779" s="1" t="str">
        <f>_xlfn.XLOOKUP(tblSales[[#This Row],[Channel Code]],tblChannels[Channel Code],tblChannels[Channel Name],"")</f>
        <v>In-store</v>
      </c>
      <c r="R3779" s="1">
        <f>MONTH(tblSales[[#This Row],[Date]])</f>
        <v>8</v>
      </c>
    </row>
    <row r="3780" spans="2:18" x14ac:dyDescent="0.35">
      <c r="B3780" s="113">
        <v>46248</v>
      </c>
      <c r="C3780" s="4" t="s">
        <v>2536</v>
      </c>
      <c r="D3780" s="4" t="s">
        <v>4568</v>
      </c>
      <c r="E3780" s="1" t="str">
        <f>_xlfn.XLOOKUP(tblSales[[#This Row],[Customer ID]],tblCustomers[Customer ID],tblCustomers[Customer Name],"⚠ Unknown")</f>
        <v>Walk-in Customer</v>
      </c>
      <c r="F3780" s="4" t="s">
        <v>6</v>
      </c>
      <c r="G3780" s="1" t="str">
        <f>_xlfn.XLOOKUP(tblSales[[#This Row],[Product Code]],tblProducts[Code],tblProducts[Product / Service Name],"⚠ Unknown")</f>
        <v>Socks &amp; Accessories</v>
      </c>
      <c r="H3780" s="1" t="str">
        <f>_xlfn.XLOOKUP(tblSales[[#This Row],[Product Code]],tblProducts[Code],tblProducts[Category],"")</f>
        <v>Accessories &amp; Basics</v>
      </c>
      <c r="I3780" s="4">
        <v>5</v>
      </c>
      <c r="J3780" s="5">
        <f>_xlfn.XLOOKUP(tblSales[[#This Row],[Product Code]],tblProducts[Code],tblProducts[Selling Price (excl. VAT)],0)</f>
        <v>45000</v>
      </c>
      <c r="K3780" s="5">
        <f>tblSales[[#This Row],[Qty]]*tblSales[[#This Row],[Unit Price]]</f>
        <v>225000</v>
      </c>
      <c r="L3780" s="5">
        <f>ROUND(tblSales[[#This Row],[DPP (excl. VAT)]]*VATEff,0)</f>
        <v>24750</v>
      </c>
      <c r="M3780" s="5">
        <f>tblSales[[#This Row],[DPP (excl. VAT)]]+tblSales[[#This Row],[Output VAT]]</f>
        <v>249750</v>
      </c>
      <c r="N3780" s="5">
        <f>tblSales[[#This Row],[Qty]]*_xlfn.XLOOKUP(tblSales[[#This Row],[Product Code]],tblProducts[Code],tblProducts[Unit Cost],0)</f>
        <v>120000</v>
      </c>
      <c r="O3780" s="4" t="s">
        <v>4865</v>
      </c>
      <c r="P3780" s="4" t="s">
        <v>4860</v>
      </c>
      <c r="Q3780" s="1" t="str">
        <f>_xlfn.XLOOKUP(tblSales[[#This Row],[Channel Code]],tblChannels[Channel Code],tblChannels[Channel Name],"")</f>
        <v>In-store</v>
      </c>
      <c r="R3780" s="1">
        <f>MONTH(tblSales[[#This Row],[Date]])</f>
        <v>8</v>
      </c>
    </row>
    <row r="3781" spans="2:18" x14ac:dyDescent="0.35">
      <c r="B3781" s="113">
        <v>46248</v>
      </c>
      <c r="C3781" s="4" t="s">
        <v>2536</v>
      </c>
      <c r="D3781" s="4" t="s">
        <v>4568</v>
      </c>
      <c r="E3781" s="1" t="str">
        <f>_xlfn.XLOOKUP(tblSales[[#This Row],[Customer ID]],tblCustomers[Customer ID],tblCustomers[Customer Name],"⚠ Unknown")</f>
        <v>Walk-in Customer</v>
      </c>
      <c r="F3781" s="4" t="s">
        <v>12</v>
      </c>
      <c r="G3781" s="1" t="str">
        <f>_xlfn.XLOOKUP(tblSales[[#This Row],[Product Code]],tblProducts[Code],tblProducts[Product / Service Name],"⚠ Unknown")</f>
        <v>Bomber Jacket</v>
      </c>
      <c r="H3781" s="1" t="str">
        <f>_xlfn.XLOOKUP(tblSales[[#This Row],[Product Code]],tblProducts[Code],tblProducts[Category],"")</f>
        <v>Apparel &amp; Footwear</v>
      </c>
      <c r="I3781" s="4">
        <v>1</v>
      </c>
      <c r="J3781" s="5">
        <f>_xlfn.XLOOKUP(tblSales[[#This Row],[Product Code]],tblProducts[Code],tblProducts[Selling Price (excl. VAT)],0)</f>
        <v>350000</v>
      </c>
      <c r="K3781" s="5">
        <f>tblSales[[#This Row],[Qty]]*tblSales[[#This Row],[Unit Price]]</f>
        <v>350000</v>
      </c>
      <c r="L3781" s="5">
        <f>ROUND(tblSales[[#This Row],[DPP (excl. VAT)]]*VATEff,0)</f>
        <v>38500</v>
      </c>
      <c r="M3781" s="5">
        <f>tblSales[[#This Row],[DPP (excl. VAT)]]+tblSales[[#This Row],[Output VAT]]</f>
        <v>388500</v>
      </c>
      <c r="N3781" s="5">
        <f>tblSales[[#This Row],[Qty]]*_xlfn.XLOOKUP(tblSales[[#This Row],[Product Code]],tblProducts[Code],tblProducts[Unit Cost],0)</f>
        <v>210000</v>
      </c>
      <c r="O3781" s="4" t="s">
        <v>4865</v>
      </c>
      <c r="P3781" s="4" t="s">
        <v>4860</v>
      </c>
      <c r="Q3781" s="1" t="str">
        <f>_xlfn.XLOOKUP(tblSales[[#This Row],[Channel Code]],tblChannels[Channel Code],tblChannels[Channel Name],"")</f>
        <v>In-store</v>
      </c>
      <c r="R3781" s="1">
        <f>MONTH(tblSales[[#This Row],[Date]])</f>
        <v>8</v>
      </c>
    </row>
    <row r="3782" spans="2:18" x14ac:dyDescent="0.35">
      <c r="B3782" s="113">
        <v>46248</v>
      </c>
      <c r="C3782" s="4" t="s">
        <v>2537</v>
      </c>
      <c r="D3782" s="4" t="s">
        <v>4568</v>
      </c>
      <c r="E3782" s="1" t="str">
        <f>_xlfn.XLOOKUP(tblSales[[#This Row],[Customer ID]],tblCustomers[Customer ID],tblCustomers[Customer Name],"⚠ Unknown")</f>
        <v>Walk-in Customer</v>
      </c>
      <c r="F3782" s="4" t="s">
        <v>10</v>
      </c>
      <c r="G3782" s="1" t="str">
        <f>_xlfn.XLOOKUP(tblSales[[#This Row],[Product Code]],tblProducts[Code],tblProducts[Product / Service Name],"⚠ Unknown")</f>
        <v>Chino Pants</v>
      </c>
      <c r="H3782" s="1" t="str">
        <f>_xlfn.XLOOKUP(tblSales[[#This Row],[Product Code]],tblProducts[Code],tblProducts[Category],"")</f>
        <v>Apparel &amp; Footwear</v>
      </c>
      <c r="I3782" s="4">
        <v>6</v>
      </c>
      <c r="J3782" s="5">
        <f>_xlfn.XLOOKUP(tblSales[[#This Row],[Product Code]],tblProducts[Code],tblProducts[Selling Price (excl. VAT)],0)</f>
        <v>150000</v>
      </c>
      <c r="K3782" s="5">
        <f>tblSales[[#This Row],[Qty]]*tblSales[[#This Row],[Unit Price]]</f>
        <v>900000</v>
      </c>
      <c r="L3782" s="5">
        <f>ROUND(tblSales[[#This Row],[DPP (excl. VAT)]]*VATEff,0)</f>
        <v>99000</v>
      </c>
      <c r="M3782" s="5">
        <f>tblSales[[#This Row],[DPP (excl. VAT)]]+tblSales[[#This Row],[Output VAT]]</f>
        <v>999000</v>
      </c>
      <c r="N3782" s="5">
        <f>tblSales[[#This Row],[Qty]]*_xlfn.XLOOKUP(tblSales[[#This Row],[Product Code]],tblProducts[Code],tblProducts[Unit Cost],0)</f>
        <v>528000</v>
      </c>
      <c r="O3782" s="4" t="s">
        <v>4866</v>
      </c>
      <c r="P3782" s="4" t="s">
        <v>4861</v>
      </c>
      <c r="Q3782" s="1" t="str">
        <f>_xlfn.XLOOKUP(tblSales[[#This Row],[Channel Code]],tblChannels[Channel Code],tblChannels[Channel Name],"")</f>
        <v>Marketplace</v>
      </c>
      <c r="R3782" s="1">
        <f>MONTH(tblSales[[#This Row],[Date]])</f>
        <v>8</v>
      </c>
    </row>
    <row r="3783" spans="2:18" x14ac:dyDescent="0.35">
      <c r="B3783" s="113">
        <v>46248</v>
      </c>
      <c r="C3783" s="4" t="s">
        <v>2538</v>
      </c>
      <c r="D3783" s="4" t="s">
        <v>4568</v>
      </c>
      <c r="E3783" s="1" t="str">
        <f>_xlfn.XLOOKUP(tblSales[[#This Row],[Customer ID]],tblCustomers[Customer ID],tblCustomers[Customer Name],"⚠ Unknown")</f>
        <v>Walk-in Customer</v>
      </c>
      <c r="F3783" s="4" t="s">
        <v>9</v>
      </c>
      <c r="G3783" s="1" t="str">
        <f>_xlfn.XLOOKUP(tblSales[[#This Row],[Product Code]],tblProducts[Code],tblProducts[Product / Service Name],"⚠ Unknown")</f>
        <v>Casual Shirt</v>
      </c>
      <c r="H3783" s="1" t="str">
        <f>_xlfn.XLOOKUP(tblSales[[#This Row],[Product Code]],tblProducts[Code],tblProducts[Category],"")</f>
        <v>Apparel &amp; Footwear</v>
      </c>
      <c r="I3783" s="4">
        <v>7</v>
      </c>
      <c r="J3783" s="5">
        <f>_xlfn.XLOOKUP(tblSales[[#This Row],[Product Code]],tblProducts[Code],tblProducts[Selling Price (excl. VAT)],0)</f>
        <v>120000</v>
      </c>
      <c r="K3783" s="5">
        <f>tblSales[[#This Row],[Qty]]*tblSales[[#This Row],[Unit Price]]</f>
        <v>840000</v>
      </c>
      <c r="L3783" s="5">
        <f>ROUND(tblSales[[#This Row],[DPP (excl. VAT)]]*VATEff,0)</f>
        <v>92400</v>
      </c>
      <c r="M3783" s="5">
        <f>tblSales[[#This Row],[DPP (excl. VAT)]]+tblSales[[#This Row],[Output VAT]]</f>
        <v>932400</v>
      </c>
      <c r="N3783" s="5">
        <f>tblSales[[#This Row],[Qty]]*_xlfn.XLOOKUP(tblSales[[#This Row],[Product Code]],tblProducts[Code],tblProducts[Unit Cost],0)</f>
        <v>504000</v>
      </c>
      <c r="O3783" s="4" t="s">
        <v>4865</v>
      </c>
      <c r="P3783" s="4" t="s">
        <v>4860</v>
      </c>
      <c r="Q3783" s="1" t="str">
        <f>_xlfn.XLOOKUP(tblSales[[#This Row],[Channel Code]],tblChannels[Channel Code],tblChannels[Channel Name],"")</f>
        <v>In-store</v>
      </c>
      <c r="R3783" s="1">
        <f>MONTH(tblSales[[#This Row],[Date]])</f>
        <v>8</v>
      </c>
    </row>
    <row r="3784" spans="2:18" x14ac:dyDescent="0.35">
      <c r="B3784" s="113">
        <v>46248</v>
      </c>
      <c r="C3784" s="4" t="s">
        <v>2538</v>
      </c>
      <c r="D3784" s="4" t="s">
        <v>4568</v>
      </c>
      <c r="E3784" s="1" t="str">
        <f>_xlfn.XLOOKUP(tblSales[[#This Row],[Customer ID]],tblCustomers[Customer ID],tblCustomers[Customer Name],"⚠ Unknown")</f>
        <v>Walk-in Customer</v>
      </c>
      <c r="F3784" s="4" t="s">
        <v>14</v>
      </c>
      <c r="G3784" s="1" t="str">
        <f>_xlfn.XLOOKUP(tblSales[[#This Row],[Product Code]],tblProducts[Code],tblProducts[Product / Service Name],"⚠ Unknown")</f>
        <v>Smartwatch</v>
      </c>
      <c r="H3784" s="1" t="str">
        <f>_xlfn.XLOOKUP(tblSales[[#This Row],[Product Code]],tblProducts[Code],tblProducts[Category],"")</f>
        <v>Bags &amp; Gadgets</v>
      </c>
      <c r="I3784" s="4">
        <v>3</v>
      </c>
      <c r="J3784" s="5">
        <f>_xlfn.XLOOKUP(tblSales[[#This Row],[Product Code]],tblProducts[Code],tblProducts[Selling Price (excl. VAT)],0)</f>
        <v>850000</v>
      </c>
      <c r="K3784" s="5">
        <f>tblSales[[#This Row],[Qty]]*tblSales[[#This Row],[Unit Price]]</f>
        <v>2550000</v>
      </c>
      <c r="L3784" s="5">
        <f>ROUND(tblSales[[#This Row],[DPP (excl. VAT)]]*VATEff,0)</f>
        <v>280500</v>
      </c>
      <c r="M3784" s="5">
        <f>tblSales[[#This Row],[DPP (excl. VAT)]]+tblSales[[#This Row],[Output VAT]]</f>
        <v>2830500</v>
      </c>
      <c r="N3784" s="5">
        <f>tblSales[[#This Row],[Qty]]*_xlfn.XLOOKUP(tblSales[[#This Row],[Product Code]],tblProducts[Code],tblProducts[Unit Cost],0)</f>
        <v>1680000</v>
      </c>
      <c r="O3784" s="4" t="s">
        <v>4865</v>
      </c>
      <c r="P3784" s="4" t="s">
        <v>4860</v>
      </c>
      <c r="Q3784" s="1" t="str">
        <f>_xlfn.XLOOKUP(tblSales[[#This Row],[Channel Code]],tblChannels[Channel Code],tblChannels[Channel Name],"")</f>
        <v>In-store</v>
      </c>
      <c r="R3784" s="1">
        <f>MONTH(tblSales[[#This Row],[Date]])</f>
        <v>8</v>
      </c>
    </row>
    <row r="3785" spans="2:18" x14ac:dyDescent="0.35">
      <c r="B3785" s="113">
        <v>46248</v>
      </c>
      <c r="C3785" s="4" t="s">
        <v>2539</v>
      </c>
      <c r="D3785" s="4" t="s">
        <v>4568</v>
      </c>
      <c r="E3785" s="1" t="str">
        <f>_xlfn.XLOOKUP(tblSales[[#This Row],[Customer ID]],tblCustomers[Customer ID],tblCustomers[Customer Name],"⚠ Unknown")</f>
        <v>Walk-in Customer</v>
      </c>
      <c r="F3785" s="4" t="s">
        <v>15</v>
      </c>
      <c r="G3785" s="1" t="str">
        <f>_xlfn.XLOOKUP(tblSales[[#This Row],[Product Code]],tblProducts[Code],tblProducts[Product / Service Name],"⚠ Unknown")</f>
        <v>Wireless Earbuds Pro</v>
      </c>
      <c r="H3785" s="1" t="str">
        <f>_xlfn.XLOOKUP(tblSales[[#This Row],[Product Code]],tblProducts[Code],tblProducts[Category],"")</f>
        <v>Bags &amp; Gadgets</v>
      </c>
      <c r="I3785" s="4">
        <v>3</v>
      </c>
      <c r="J3785" s="5">
        <f>_xlfn.XLOOKUP(tblSales[[#This Row],[Product Code]],tblProducts[Code],tblProducts[Selling Price (excl. VAT)],0)</f>
        <v>1250000</v>
      </c>
      <c r="K3785" s="5">
        <f>tblSales[[#This Row],[Qty]]*tblSales[[#This Row],[Unit Price]]</f>
        <v>3750000</v>
      </c>
      <c r="L3785" s="5">
        <f>ROUND(tblSales[[#This Row],[DPP (excl. VAT)]]*VATEff,0)</f>
        <v>412500</v>
      </c>
      <c r="M3785" s="5">
        <f>tblSales[[#This Row],[DPP (excl. VAT)]]+tblSales[[#This Row],[Output VAT]]</f>
        <v>4162500</v>
      </c>
      <c r="N3785" s="5">
        <f>tblSales[[#This Row],[Qty]]*_xlfn.XLOOKUP(tblSales[[#This Row],[Product Code]],tblProducts[Code],tblProducts[Unit Cost],0)</f>
        <v>2460000</v>
      </c>
      <c r="O3785" s="4" t="s">
        <v>4865</v>
      </c>
      <c r="P3785" s="4" t="s">
        <v>4860</v>
      </c>
      <c r="Q3785" s="1" t="str">
        <f>_xlfn.XLOOKUP(tblSales[[#This Row],[Channel Code]],tblChannels[Channel Code],tblChannels[Channel Name],"")</f>
        <v>In-store</v>
      </c>
      <c r="R3785" s="1">
        <f>MONTH(tblSales[[#This Row],[Date]])</f>
        <v>8</v>
      </c>
    </row>
    <row r="3786" spans="2:18" x14ac:dyDescent="0.35">
      <c r="B3786" s="113">
        <v>46248</v>
      </c>
      <c r="C3786" s="4" t="s">
        <v>2539</v>
      </c>
      <c r="D3786" s="4" t="s">
        <v>4568</v>
      </c>
      <c r="E3786" s="1" t="str">
        <f>_xlfn.XLOOKUP(tblSales[[#This Row],[Customer ID]],tblCustomers[Customer ID],tblCustomers[Customer Name],"⚠ Unknown")</f>
        <v>Walk-in Customer</v>
      </c>
      <c r="F3786" s="4" t="s">
        <v>7</v>
      </c>
      <c r="G3786" s="1" t="str">
        <f>_xlfn.XLOOKUP(tblSales[[#This Row],[Product Code]],tblProducts[Code],tblProducts[Product / Service Name],"⚠ Unknown")</f>
        <v>Premium Basic T-shirt</v>
      </c>
      <c r="H3786" s="1" t="str">
        <f>_xlfn.XLOOKUP(tblSales[[#This Row],[Product Code]],tblProducts[Code],tblProducts[Category],"")</f>
        <v>Accessories &amp; Basics</v>
      </c>
      <c r="I3786" s="4">
        <v>1</v>
      </c>
      <c r="J3786" s="5">
        <f>_xlfn.XLOOKUP(tblSales[[#This Row],[Product Code]],tblProducts[Code],tblProducts[Selling Price (excl. VAT)],0)</f>
        <v>65000</v>
      </c>
      <c r="K3786" s="5">
        <f>tblSales[[#This Row],[Qty]]*tblSales[[#This Row],[Unit Price]]</f>
        <v>65000</v>
      </c>
      <c r="L3786" s="5">
        <f>ROUND(tblSales[[#This Row],[DPP (excl. VAT)]]*VATEff,0)</f>
        <v>7150</v>
      </c>
      <c r="M3786" s="5">
        <f>tblSales[[#This Row],[DPP (excl. VAT)]]+tblSales[[#This Row],[Output VAT]]</f>
        <v>72150</v>
      </c>
      <c r="N3786" s="5">
        <f>tblSales[[#This Row],[Qty]]*_xlfn.XLOOKUP(tblSales[[#This Row],[Product Code]],tblProducts[Code],tblProducts[Unit Cost],0)</f>
        <v>37000</v>
      </c>
      <c r="O3786" s="4" t="s">
        <v>4865</v>
      </c>
      <c r="P3786" s="4" t="s">
        <v>4860</v>
      </c>
      <c r="Q3786" s="1" t="str">
        <f>_xlfn.XLOOKUP(tblSales[[#This Row],[Channel Code]],tblChannels[Channel Code],tblChannels[Channel Name],"")</f>
        <v>In-store</v>
      </c>
      <c r="R3786" s="1">
        <f>MONTH(tblSales[[#This Row],[Date]])</f>
        <v>8</v>
      </c>
    </row>
    <row r="3787" spans="2:18" x14ac:dyDescent="0.35">
      <c r="B3787" s="113">
        <v>46248</v>
      </c>
      <c r="C3787" s="4" t="s">
        <v>2540</v>
      </c>
      <c r="D3787" s="4" t="s">
        <v>4568</v>
      </c>
      <c r="E3787" s="1" t="str">
        <f>_xlfn.XLOOKUP(tblSales[[#This Row],[Customer ID]],tblCustomers[Customer ID],tblCustomers[Customer Name],"⚠ Unknown")</f>
        <v>Walk-in Customer</v>
      </c>
      <c r="F3787" s="4" t="s">
        <v>14</v>
      </c>
      <c r="G3787" s="1" t="str">
        <f>_xlfn.XLOOKUP(tblSales[[#This Row],[Product Code]],tblProducts[Code],tblProducts[Product / Service Name],"⚠ Unknown")</f>
        <v>Smartwatch</v>
      </c>
      <c r="H3787" s="1" t="str">
        <f>_xlfn.XLOOKUP(tblSales[[#This Row],[Product Code]],tblProducts[Code],tblProducts[Category],"")</f>
        <v>Bags &amp; Gadgets</v>
      </c>
      <c r="I3787" s="4">
        <v>1</v>
      </c>
      <c r="J3787" s="5">
        <f>_xlfn.XLOOKUP(tblSales[[#This Row],[Product Code]],tblProducts[Code],tblProducts[Selling Price (excl. VAT)],0)</f>
        <v>850000</v>
      </c>
      <c r="K3787" s="5">
        <f>tblSales[[#This Row],[Qty]]*tblSales[[#This Row],[Unit Price]]</f>
        <v>850000</v>
      </c>
      <c r="L3787" s="5">
        <f>ROUND(tblSales[[#This Row],[DPP (excl. VAT)]]*VATEff,0)</f>
        <v>93500</v>
      </c>
      <c r="M3787" s="5">
        <f>tblSales[[#This Row],[DPP (excl. VAT)]]+tblSales[[#This Row],[Output VAT]]</f>
        <v>943500</v>
      </c>
      <c r="N3787" s="5">
        <f>tblSales[[#This Row],[Qty]]*_xlfn.XLOOKUP(tblSales[[#This Row],[Product Code]],tblProducts[Code],tblProducts[Unit Cost],0)</f>
        <v>560000</v>
      </c>
      <c r="O3787" s="4" t="s">
        <v>4865</v>
      </c>
      <c r="P3787" s="4" t="s">
        <v>4860</v>
      </c>
      <c r="Q3787" s="1" t="str">
        <f>_xlfn.XLOOKUP(tblSales[[#This Row],[Channel Code]],tblChannels[Channel Code],tblChannels[Channel Name],"")</f>
        <v>In-store</v>
      </c>
      <c r="R3787" s="1">
        <f>MONTH(tblSales[[#This Row],[Date]])</f>
        <v>8</v>
      </c>
    </row>
    <row r="3788" spans="2:18" x14ac:dyDescent="0.35">
      <c r="B3788" s="113">
        <v>46248</v>
      </c>
      <c r="C3788" s="4" t="s">
        <v>2540</v>
      </c>
      <c r="D3788" s="4" t="s">
        <v>4568</v>
      </c>
      <c r="E3788" s="1" t="str">
        <f>_xlfn.XLOOKUP(tblSales[[#This Row],[Customer ID]],tblCustomers[Customer ID],tblCustomers[Customer Name],"⚠ Unknown")</f>
        <v>Walk-in Customer</v>
      </c>
      <c r="F3788" s="4" t="s">
        <v>9</v>
      </c>
      <c r="G3788" s="1" t="str">
        <f>_xlfn.XLOOKUP(tblSales[[#This Row],[Product Code]],tblProducts[Code],tblProducts[Product / Service Name],"⚠ Unknown")</f>
        <v>Casual Shirt</v>
      </c>
      <c r="H3788" s="1" t="str">
        <f>_xlfn.XLOOKUP(tblSales[[#This Row],[Product Code]],tblProducts[Code],tblProducts[Category],"")</f>
        <v>Apparel &amp; Footwear</v>
      </c>
      <c r="I3788" s="4">
        <v>12</v>
      </c>
      <c r="J3788" s="5">
        <f>_xlfn.XLOOKUP(tblSales[[#This Row],[Product Code]],tblProducts[Code],tblProducts[Selling Price (excl. VAT)],0)</f>
        <v>120000</v>
      </c>
      <c r="K3788" s="5">
        <f>tblSales[[#This Row],[Qty]]*tblSales[[#This Row],[Unit Price]]</f>
        <v>1440000</v>
      </c>
      <c r="L3788" s="5">
        <f>ROUND(tblSales[[#This Row],[DPP (excl. VAT)]]*VATEff,0)</f>
        <v>158400</v>
      </c>
      <c r="M3788" s="5">
        <f>tblSales[[#This Row],[DPP (excl. VAT)]]+tblSales[[#This Row],[Output VAT]]</f>
        <v>1598400</v>
      </c>
      <c r="N3788" s="5">
        <f>tblSales[[#This Row],[Qty]]*_xlfn.XLOOKUP(tblSales[[#This Row],[Product Code]],tblProducts[Code],tblProducts[Unit Cost],0)</f>
        <v>864000</v>
      </c>
      <c r="O3788" s="4" t="s">
        <v>4865</v>
      </c>
      <c r="P3788" s="4" t="s">
        <v>4860</v>
      </c>
      <c r="Q3788" s="1" t="str">
        <f>_xlfn.XLOOKUP(tblSales[[#This Row],[Channel Code]],tblChannels[Channel Code],tblChannels[Channel Name],"")</f>
        <v>In-store</v>
      </c>
      <c r="R3788" s="1">
        <f>MONTH(tblSales[[#This Row],[Date]])</f>
        <v>8</v>
      </c>
    </row>
    <row r="3789" spans="2:18" x14ac:dyDescent="0.35">
      <c r="B3789" s="113">
        <v>46248</v>
      </c>
      <c r="C3789" s="4" t="s">
        <v>2541</v>
      </c>
      <c r="D3789" s="4" t="s">
        <v>4568</v>
      </c>
      <c r="E3789" s="1" t="str">
        <f>_xlfn.XLOOKUP(tblSales[[#This Row],[Customer ID]],tblCustomers[Customer ID],tblCustomers[Customer Name],"⚠ Unknown")</f>
        <v>Walk-in Customer</v>
      </c>
      <c r="F3789" s="4" t="s">
        <v>8</v>
      </c>
      <c r="G3789" s="1" t="str">
        <f>_xlfn.XLOOKUP(tblSales[[#This Row],[Product Code]],tblProducts[Code],tblProducts[Product / Service Name],"⚠ Unknown")</f>
        <v>Casual Shorts</v>
      </c>
      <c r="H3789" s="1" t="str">
        <f>_xlfn.XLOOKUP(tblSales[[#This Row],[Product Code]],tblProducts[Code],tblProducts[Category],"")</f>
        <v>Accessories &amp; Basics</v>
      </c>
      <c r="I3789" s="4">
        <v>3</v>
      </c>
      <c r="J3789" s="5">
        <f>_xlfn.XLOOKUP(tblSales[[#This Row],[Product Code]],tblProducts[Code],tblProducts[Selling Price (excl. VAT)],0)</f>
        <v>85000</v>
      </c>
      <c r="K3789" s="5">
        <f>tblSales[[#This Row],[Qty]]*tblSales[[#This Row],[Unit Price]]</f>
        <v>255000</v>
      </c>
      <c r="L3789" s="5">
        <f>ROUND(tblSales[[#This Row],[DPP (excl. VAT)]]*VATEff,0)</f>
        <v>28050</v>
      </c>
      <c r="M3789" s="5">
        <f>tblSales[[#This Row],[DPP (excl. VAT)]]+tblSales[[#This Row],[Output VAT]]</f>
        <v>283050</v>
      </c>
      <c r="N3789" s="5">
        <f>tblSales[[#This Row],[Qty]]*_xlfn.XLOOKUP(tblSales[[#This Row],[Product Code]],tblProducts[Code],tblProducts[Unit Cost],0)</f>
        <v>150000</v>
      </c>
      <c r="O3789" s="4" t="s">
        <v>4866</v>
      </c>
      <c r="P3789" s="4" t="s">
        <v>4861</v>
      </c>
      <c r="Q3789" s="1" t="str">
        <f>_xlfn.XLOOKUP(tblSales[[#This Row],[Channel Code]],tblChannels[Channel Code],tblChannels[Channel Name],"")</f>
        <v>Marketplace</v>
      </c>
      <c r="R3789" s="1">
        <f>MONTH(tblSales[[#This Row],[Date]])</f>
        <v>8</v>
      </c>
    </row>
    <row r="3790" spans="2:18" x14ac:dyDescent="0.35">
      <c r="B3790" s="113">
        <v>46248</v>
      </c>
      <c r="C3790" s="4" t="s">
        <v>2542</v>
      </c>
      <c r="D3790" s="4" t="s">
        <v>4568</v>
      </c>
      <c r="E3790" s="1" t="str">
        <f>_xlfn.XLOOKUP(tblSales[[#This Row],[Customer ID]],tblCustomers[Customer ID],tblCustomers[Customer Name],"⚠ Unknown")</f>
        <v>Walk-in Customer</v>
      </c>
      <c r="F3790" s="4" t="s">
        <v>12</v>
      </c>
      <c r="G3790" s="1" t="str">
        <f>_xlfn.XLOOKUP(tblSales[[#This Row],[Product Code]],tblProducts[Code],tblProducts[Product / Service Name],"⚠ Unknown")</f>
        <v>Bomber Jacket</v>
      </c>
      <c r="H3790" s="1" t="str">
        <f>_xlfn.XLOOKUP(tblSales[[#This Row],[Product Code]],tblProducts[Code],tblProducts[Category],"")</f>
        <v>Apparel &amp; Footwear</v>
      </c>
      <c r="I3790" s="4">
        <v>5</v>
      </c>
      <c r="J3790" s="5">
        <f>_xlfn.XLOOKUP(tblSales[[#This Row],[Product Code]],tblProducts[Code],tblProducts[Selling Price (excl. VAT)],0)</f>
        <v>350000</v>
      </c>
      <c r="K3790" s="5">
        <f>tblSales[[#This Row],[Qty]]*tblSales[[#This Row],[Unit Price]]</f>
        <v>1750000</v>
      </c>
      <c r="L3790" s="5">
        <f>ROUND(tblSales[[#This Row],[DPP (excl. VAT)]]*VATEff,0)</f>
        <v>192500</v>
      </c>
      <c r="M3790" s="5">
        <f>tblSales[[#This Row],[DPP (excl. VAT)]]+tblSales[[#This Row],[Output VAT]]</f>
        <v>1942500</v>
      </c>
      <c r="N3790" s="5">
        <f>tblSales[[#This Row],[Qty]]*_xlfn.XLOOKUP(tblSales[[#This Row],[Product Code]],tblProducts[Code],tblProducts[Unit Cost],0)</f>
        <v>1050000</v>
      </c>
      <c r="O3790" s="4" t="s">
        <v>4866</v>
      </c>
      <c r="P3790" s="4" t="s">
        <v>4861</v>
      </c>
      <c r="Q3790" s="1" t="str">
        <f>_xlfn.XLOOKUP(tblSales[[#This Row],[Channel Code]],tblChannels[Channel Code],tblChannels[Channel Name],"")</f>
        <v>Marketplace</v>
      </c>
      <c r="R3790" s="1">
        <f>MONTH(tblSales[[#This Row],[Date]])</f>
        <v>8</v>
      </c>
    </row>
    <row r="3791" spans="2:18" x14ac:dyDescent="0.35">
      <c r="B3791" s="113">
        <v>46249</v>
      </c>
      <c r="C3791" s="4" t="s">
        <v>2543</v>
      </c>
      <c r="D3791" s="4" t="s">
        <v>4568</v>
      </c>
      <c r="E3791" s="1" t="str">
        <f>_xlfn.XLOOKUP(tblSales[[#This Row],[Customer ID]],tblCustomers[Customer ID],tblCustomers[Customer Name],"⚠ Unknown")</f>
        <v>Walk-in Customer</v>
      </c>
      <c r="F3791" s="4" t="s">
        <v>10</v>
      </c>
      <c r="G3791" s="1" t="str">
        <f>_xlfn.XLOOKUP(tblSales[[#This Row],[Product Code]],tblProducts[Code],tblProducts[Product / Service Name],"⚠ Unknown")</f>
        <v>Chino Pants</v>
      </c>
      <c r="H3791" s="1" t="str">
        <f>_xlfn.XLOOKUP(tblSales[[#This Row],[Product Code]],tblProducts[Code],tblProducts[Category],"")</f>
        <v>Apparel &amp; Footwear</v>
      </c>
      <c r="I3791" s="4">
        <v>2</v>
      </c>
      <c r="J3791" s="5">
        <f>_xlfn.XLOOKUP(tblSales[[#This Row],[Product Code]],tblProducts[Code],tblProducts[Selling Price (excl. VAT)],0)</f>
        <v>150000</v>
      </c>
      <c r="K3791" s="5">
        <f>tblSales[[#This Row],[Qty]]*tblSales[[#This Row],[Unit Price]]</f>
        <v>300000</v>
      </c>
      <c r="L3791" s="5">
        <f>ROUND(tblSales[[#This Row],[DPP (excl. VAT)]]*VATEff,0)</f>
        <v>33000</v>
      </c>
      <c r="M3791" s="5">
        <f>tblSales[[#This Row],[DPP (excl. VAT)]]+tblSales[[#This Row],[Output VAT]]</f>
        <v>333000</v>
      </c>
      <c r="N3791" s="5">
        <f>tblSales[[#This Row],[Qty]]*_xlfn.XLOOKUP(tblSales[[#This Row],[Product Code]],tblProducts[Code],tblProducts[Unit Cost],0)</f>
        <v>176000</v>
      </c>
      <c r="O3791" s="4" t="s">
        <v>4866</v>
      </c>
      <c r="P3791" s="4" t="s">
        <v>4860</v>
      </c>
      <c r="Q3791" s="1" t="str">
        <f>_xlfn.XLOOKUP(tblSales[[#This Row],[Channel Code]],tblChannels[Channel Code],tblChannels[Channel Name],"")</f>
        <v>In-store</v>
      </c>
      <c r="R3791" s="1">
        <f>MONTH(tblSales[[#This Row],[Date]])</f>
        <v>8</v>
      </c>
    </row>
    <row r="3792" spans="2:18" x14ac:dyDescent="0.35">
      <c r="B3792" s="113">
        <v>46249</v>
      </c>
      <c r="C3792" s="4" t="s">
        <v>2544</v>
      </c>
      <c r="D3792" s="4" t="s">
        <v>4568</v>
      </c>
      <c r="E3792" s="1" t="str">
        <f>_xlfn.XLOOKUP(tblSales[[#This Row],[Customer ID]],tblCustomers[Customer ID],tblCustomers[Customer Name],"⚠ Unknown")</f>
        <v>Walk-in Customer</v>
      </c>
      <c r="F3792" s="4" t="s">
        <v>10</v>
      </c>
      <c r="G3792" s="1" t="str">
        <f>_xlfn.XLOOKUP(tblSales[[#This Row],[Product Code]],tblProducts[Code],tblProducts[Product / Service Name],"⚠ Unknown")</f>
        <v>Chino Pants</v>
      </c>
      <c r="H3792" s="1" t="str">
        <f>_xlfn.XLOOKUP(tblSales[[#This Row],[Product Code]],tblProducts[Code],tblProducts[Category],"")</f>
        <v>Apparel &amp; Footwear</v>
      </c>
      <c r="I3792" s="4">
        <v>11</v>
      </c>
      <c r="J3792" s="5">
        <f>_xlfn.XLOOKUP(tblSales[[#This Row],[Product Code]],tblProducts[Code],tblProducts[Selling Price (excl. VAT)],0)</f>
        <v>150000</v>
      </c>
      <c r="K3792" s="5">
        <f>tblSales[[#This Row],[Qty]]*tblSales[[#This Row],[Unit Price]]</f>
        <v>1650000</v>
      </c>
      <c r="L3792" s="5">
        <f>ROUND(tblSales[[#This Row],[DPP (excl. VAT)]]*VATEff,0)</f>
        <v>181500</v>
      </c>
      <c r="M3792" s="5">
        <f>tblSales[[#This Row],[DPP (excl. VAT)]]+tblSales[[#This Row],[Output VAT]]</f>
        <v>1831500</v>
      </c>
      <c r="N3792" s="5">
        <f>tblSales[[#This Row],[Qty]]*_xlfn.XLOOKUP(tblSales[[#This Row],[Product Code]],tblProducts[Code],tblProducts[Unit Cost],0)</f>
        <v>968000</v>
      </c>
      <c r="O3792" s="4" t="s">
        <v>4866</v>
      </c>
      <c r="P3792" s="4" t="s">
        <v>4860</v>
      </c>
      <c r="Q3792" s="1" t="str">
        <f>_xlfn.XLOOKUP(tblSales[[#This Row],[Channel Code]],tblChannels[Channel Code],tblChannels[Channel Name],"")</f>
        <v>In-store</v>
      </c>
      <c r="R3792" s="1">
        <f>MONTH(tblSales[[#This Row],[Date]])</f>
        <v>8</v>
      </c>
    </row>
    <row r="3793" spans="2:18" x14ac:dyDescent="0.35">
      <c r="B3793" s="113">
        <v>46249</v>
      </c>
      <c r="C3793" s="4" t="s">
        <v>2545</v>
      </c>
      <c r="D3793" s="4" t="s">
        <v>4568</v>
      </c>
      <c r="E3793" s="1" t="str">
        <f>_xlfn.XLOOKUP(tblSales[[#This Row],[Customer ID]],tblCustomers[Customer ID],tblCustomers[Customer Name],"⚠ Unknown")</f>
        <v>Walk-in Customer</v>
      </c>
      <c r="F3793" s="4" t="s">
        <v>15</v>
      </c>
      <c r="G3793" s="1" t="str">
        <f>_xlfn.XLOOKUP(tblSales[[#This Row],[Product Code]],tblProducts[Code],tblProducts[Product / Service Name],"⚠ Unknown")</f>
        <v>Wireless Earbuds Pro</v>
      </c>
      <c r="H3793" s="1" t="str">
        <f>_xlfn.XLOOKUP(tblSales[[#This Row],[Product Code]],tblProducts[Code],tblProducts[Category],"")</f>
        <v>Bags &amp; Gadgets</v>
      </c>
      <c r="I3793" s="4">
        <v>1</v>
      </c>
      <c r="J3793" s="5">
        <f>_xlfn.XLOOKUP(tblSales[[#This Row],[Product Code]],tblProducts[Code],tblProducts[Selling Price (excl. VAT)],0)</f>
        <v>1250000</v>
      </c>
      <c r="K3793" s="5">
        <f>tblSales[[#This Row],[Qty]]*tblSales[[#This Row],[Unit Price]]</f>
        <v>1250000</v>
      </c>
      <c r="L3793" s="5">
        <f>ROUND(tblSales[[#This Row],[DPP (excl. VAT)]]*VATEff,0)</f>
        <v>137500</v>
      </c>
      <c r="M3793" s="5">
        <f>tblSales[[#This Row],[DPP (excl. VAT)]]+tblSales[[#This Row],[Output VAT]]</f>
        <v>1387500</v>
      </c>
      <c r="N3793" s="5">
        <f>tblSales[[#This Row],[Qty]]*_xlfn.XLOOKUP(tblSales[[#This Row],[Product Code]],tblProducts[Code],tblProducts[Unit Cost],0)</f>
        <v>820000</v>
      </c>
      <c r="O3793" s="4" t="s">
        <v>4866</v>
      </c>
      <c r="P3793" s="4" t="s">
        <v>4861</v>
      </c>
      <c r="Q3793" s="1" t="str">
        <f>_xlfn.XLOOKUP(tblSales[[#This Row],[Channel Code]],tblChannels[Channel Code],tblChannels[Channel Name],"")</f>
        <v>Marketplace</v>
      </c>
      <c r="R3793" s="1">
        <f>MONTH(tblSales[[#This Row],[Date]])</f>
        <v>8</v>
      </c>
    </row>
    <row r="3794" spans="2:18" x14ac:dyDescent="0.35">
      <c r="B3794" s="113">
        <v>46249</v>
      </c>
      <c r="C3794" s="4" t="s">
        <v>2546</v>
      </c>
      <c r="D3794" s="4" t="s">
        <v>4568</v>
      </c>
      <c r="E3794" s="1" t="str">
        <f>_xlfn.XLOOKUP(tblSales[[#This Row],[Customer ID]],tblCustomers[Customer ID],tblCustomers[Customer Name],"⚠ Unknown")</f>
        <v>Walk-in Customer</v>
      </c>
      <c r="F3794" s="4" t="s">
        <v>10</v>
      </c>
      <c r="G3794" s="1" t="str">
        <f>_xlfn.XLOOKUP(tblSales[[#This Row],[Product Code]],tblProducts[Code],tblProducts[Product / Service Name],"⚠ Unknown")</f>
        <v>Chino Pants</v>
      </c>
      <c r="H3794" s="1" t="str">
        <f>_xlfn.XLOOKUP(tblSales[[#This Row],[Product Code]],tblProducts[Code],tblProducts[Category],"")</f>
        <v>Apparel &amp; Footwear</v>
      </c>
      <c r="I3794" s="4">
        <v>7</v>
      </c>
      <c r="J3794" s="5">
        <f>_xlfn.XLOOKUP(tblSales[[#This Row],[Product Code]],tblProducts[Code],tblProducts[Selling Price (excl. VAT)],0)</f>
        <v>150000</v>
      </c>
      <c r="K3794" s="5">
        <f>tblSales[[#This Row],[Qty]]*tblSales[[#This Row],[Unit Price]]</f>
        <v>1050000</v>
      </c>
      <c r="L3794" s="5">
        <f>ROUND(tblSales[[#This Row],[DPP (excl. VAT)]]*VATEff,0)</f>
        <v>115500</v>
      </c>
      <c r="M3794" s="5">
        <f>tblSales[[#This Row],[DPP (excl. VAT)]]+tblSales[[#This Row],[Output VAT]]</f>
        <v>1165500</v>
      </c>
      <c r="N3794" s="5">
        <f>tblSales[[#This Row],[Qty]]*_xlfn.XLOOKUP(tblSales[[#This Row],[Product Code]],tblProducts[Code],tblProducts[Unit Cost],0)</f>
        <v>616000</v>
      </c>
      <c r="O3794" s="4" t="s">
        <v>4866</v>
      </c>
      <c r="P3794" s="4" t="s">
        <v>4861</v>
      </c>
      <c r="Q3794" s="1" t="str">
        <f>_xlfn.XLOOKUP(tblSales[[#This Row],[Channel Code]],tblChannels[Channel Code],tblChannels[Channel Name],"")</f>
        <v>Marketplace</v>
      </c>
      <c r="R3794" s="1">
        <f>MONTH(tblSales[[#This Row],[Date]])</f>
        <v>8</v>
      </c>
    </row>
    <row r="3795" spans="2:18" x14ac:dyDescent="0.35">
      <c r="B3795" s="113">
        <v>46249</v>
      </c>
      <c r="C3795" s="4" t="s">
        <v>2546</v>
      </c>
      <c r="D3795" s="4" t="s">
        <v>4568</v>
      </c>
      <c r="E3795" s="1" t="str">
        <f>_xlfn.XLOOKUP(tblSales[[#This Row],[Customer ID]],tblCustomers[Customer ID],tblCustomers[Customer Name],"⚠ Unknown")</f>
        <v>Walk-in Customer</v>
      </c>
      <c r="F3795" s="4" t="s">
        <v>8</v>
      </c>
      <c r="G3795" s="1" t="str">
        <f>_xlfn.XLOOKUP(tblSales[[#This Row],[Product Code]],tblProducts[Code],tblProducts[Product / Service Name],"⚠ Unknown")</f>
        <v>Casual Shorts</v>
      </c>
      <c r="H3795" s="1" t="str">
        <f>_xlfn.XLOOKUP(tblSales[[#This Row],[Product Code]],tblProducts[Code],tblProducts[Category],"")</f>
        <v>Accessories &amp; Basics</v>
      </c>
      <c r="I3795" s="4">
        <v>11</v>
      </c>
      <c r="J3795" s="5">
        <f>_xlfn.XLOOKUP(tblSales[[#This Row],[Product Code]],tblProducts[Code],tblProducts[Selling Price (excl. VAT)],0)</f>
        <v>85000</v>
      </c>
      <c r="K3795" s="5">
        <f>tblSales[[#This Row],[Qty]]*tblSales[[#This Row],[Unit Price]]</f>
        <v>935000</v>
      </c>
      <c r="L3795" s="5">
        <f>ROUND(tblSales[[#This Row],[DPP (excl. VAT)]]*VATEff,0)</f>
        <v>102850</v>
      </c>
      <c r="M3795" s="5">
        <f>tblSales[[#This Row],[DPP (excl. VAT)]]+tblSales[[#This Row],[Output VAT]]</f>
        <v>1037850</v>
      </c>
      <c r="N3795" s="5">
        <f>tblSales[[#This Row],[Qty]]*_xlfn.XLOOKUP(tblSales[[#This Row],[Product Code]],tblProducts[Code],tblProducts[Unit Cost],0)</f>
        <v>550000</v>
      </c>
      <c r="O3795" s="4" t="s">
        <v>4866</v>
      </c>
      <c r="P3795" s="4" t="s">
        <v>4861</v>
      </c>
      <c r="Q3795" s="1" t="str">
        <f>_xlfn.XLOOKUP(tblSales[[#This Row],[Channel Code]],tblChannels[Channel Code],tblChannels[Channel Name],"")</f>
        <v>Marketplace</v>
      </c>
      <c r="R3795" s="1">
        <f>MONTH(tblSales[[#This Row],[Date]])</f>
        <v>8</v>
      </c>
    </row>
    <row r="3796" spans="2:18" x14ac:dyDescent="0.35">
      <c r="B3796" s="113">
        <v>46249</v>
      </c>
      <c r="C3796" s="4" t="s">
        <v>2547</v>
      </c>
      <c r="D3796" s="4" t="s">
        <v>4568</v>
      </c>
      <c r="E3796" s="1" t="str">
        <f>_xlfn.XLOOKUP(tblSales[[#This Row],[Customer ID]],tblCustomers[Customer ID],tblCustomers[Customer Name],"⚠ Unknown")</f>
        <v>Walk-in Customer</v>
      </c>
      <c r="F3796" s="4" t="s">
        <v>14</v>
      </c>
      <c r="G3796" s="1" t="str">
        <f>_xlfn.XLOOKUP(tblSales[[#This Row],[Product Code]],tblProducts[Code],tblProducts[Product / Service Name],"⚠ Unknown")</f>
        <v>Smartwatch</v>
      </c>
      <c r="H3796" s="1" t="str">
        <f>_xlfn.XLOOKUP(tblSales[[#This Row],[Product Code]],tblProducts[Code],tblProducts[Category],"")</f>
        <v>Bags &amp; Gadgets</v>
      </c>
      <c r="I3796" s="4">
        <v>1</v>
      </c>
      <c r="J3796" s="5">
        <f>_xlfn.XLOOKUP(tblSales[[#This Row],[Product Code]],tblProducts[Code],tblProducts[Selling Price (excl. VAT)],0)</f>
        <v>850000</v>
      </c>
      <c r="K3796" s="5">
        <f>tblSales[[#This Row],[Qty]]*tblSales[[#This Row],[Unit Price]]</f>
        <v>850000</v>
      </c>
      <c r="L3796" s="5">
        <f>ROUND(tblSales[[#This Row],[DPP (excl. VAT)]]*VATEff,0)</f>
        <v>93500</v>
      </c>
      <c r="M3796" s="5">
        <f>tblSales[[#This Row],[DPP (excl. VAT)]]+tblSales[[#This Row],[Output VAT]]</f>
        <v>943500</v>
      </c>
      <c r="N3796" s="5">
        <f>tblSales[[#This Row],[Qty]]*_xlfn.XLOOKUP(tblSales[[#This Row],[Product Code]],tblProducts[Code],tblProducts[Unit Cost],0)</f>
        <v>560000</v>
      </c>
      <c r="O3796" s="4" t="s">
        <v>4866</v>
      </c>
      <c r="P3796" s="4" t="s">
        <v>4861</v>
      </c>
      <c r="Q3796" s="1" t="str">
        <f>_xlfn.XLOOKUP(tblSales[[#This Row],[Channel Code]],tblChannels[Channel Code],tblChannels[Channel Name],"")</f>
        <v>Marketplace</v>
      </c>
      <c r="R3796" s="1">
        <f>MONTH(tblSales[[#This Row],[Date]])</f>
        <v>8</v>
      </c>
    </row>
    <row r="3797" spans="2:18" x14ac:dyDescent="0.35">
      <c r="B3797" s="113">
        <v>46249</v>
      </c>
      <c r="C3797" s="4" t="s">
        <v>2548</v>
      </c>
      <c r="D3797" s="4" t="s">
        <v>4568</v>
      </c>
      <c r="E3797" s="1" t="str">
        <f>_xlfn.XLOOKUP(tblSales[[#This Row],[Customer ID]],tblCustomers[Customer ID],tblCustomers[Customer Name],"⚠ Unknown")</f>
        <v>Walk-in Customer</v>
      </c>
      <c r="F3797" s="4" t="s">
        <v>10</v>
      </c>
      <c r="G3797" s="1" t="str">
        <f>_xlfn.XLOOKUP(tblSales[[#This Row],[Product Code]],tblProducts[Code],tblProducts[Product / Service Name],"⚠ Unknown")</f>
        <v>Chino Pants</v>
      </c>
      <c r="H3797" s="1" t="str">
        <f>_xlfn.XLOOKUP(tblSales[[#This Row],[Product Code]],tblProducts[Code],tblProducts[Category],"")</f>
        <v>Apparel &amp; Footwear</v>
      </c>
      <c r="I3797" s="4">
        <v>11</v>
      </c>
      <c r="J3797" s="5">
        <f>_xlfn.XLOOKUP(tblSales[[#This Row],[Product Code]],tblProducts[Code],tblProducts[Selling Price (excl. VAT)],0)</f>
        <v>150000</v>
      </c>
      <c r="K3797" s="5">
        <f>tblSales[[#This Row],[Qty]]*tblSales[[#This Row],[Unit Price]]</f>
        <v>1650000</v>
      </c>
      <c r="L3797" s="5">
        <f>ROUND(tblSales[[#This Row],[DPP (excl. VAT)]]*VATEff,0)</f>
        <v>181500</v>
      </c>
      <c r="M3797" s="5">
        <f>tblSales[[#This Row],[DPP (excl. VAT)]]+tblSales[[#This Row],[Output VAT]]</f>
        <v>1831500</v>
      </c>
      <c r="N3797" s="5">
        <f>tblSales[[#This Row],[Qty]]*_xlfn.XLOOKUP(tblSales[[#This Row],[Product Code]],tblProducts[Code],tblProducts[Unit Cost],0)</f>
        <v>968000</v>
      </c>
      <c r="O3797" s="4" t="s">
        <v>4865</v>
      </c>
      <c r="P3797" s="4" t="s">
        <v>4860</v>
      </c>
      <c r="Q3797" s="1" t="str">
        <f>_xlfn.XLOOKUP(tblSales[[#This Row],[Channel Code]],tblChannels[Channel Code],tblChannels[Channel Name],"")</f>
        <v>In-store</v>
      </c>
      <c r="R3797" s="1">
        <f>MONTH(tblSales[[#This Row],[Date]])</f>
        <v>8</v>
      </c>
    </row>
    <row r="3798" spans="2:18" x14ac:dyDescent="0.35">
      <c r="B3798" s="113">
        <v>46249</v>
      </c>
      <c r="C3798" s="4" t="s">
        <v>2548</v>
      </c>
      <c r="D3798" s="4" t="s">
        <v>4568</v>
      </c>
      <c r="E3798" s="1" t="str">
        <f>_xlfn.XLOOKUP(tblSales[[#This Row],[Customer ID]],tblCustomers[Customer ID],tblCustomers[Customer Name],"⚠ Unknown")</f>
        <v>Walk-in Customer</v>
      </c>
      <c r="F3798" s="4" t="s">
        <v>7</v>
      </c>
      <c r="G3798" s="1" t="str">
        <f>_xlfn.XLOOKUP(tblSales[[#This Row],[Product Code]],tblProducts[Code],tblProducts[Product / Service Name],"⚠ Unknown")</f>
        <v>Premium Basic T-shirt</v>
      </c>
      <c r="H3798" s="1" t="str">
        <f>_xlfn.XLOOKUP(tblSales[[#This Row],[Product Code]],tblProducts[Code],tblProducts[Category],"")</f>
        <v>Accessories &amp; Basics</v>
      </c>
      <c r="I3798" s="4">
        <v>10</v>
      </c>
      <c r="J3798" s="5">
        <f>_xlfn.XLOOKUP(tblSales[[#This Row],[Product Code]],tblProducts[Code],tblProducts[Selling Price (excl. VAT)],0)</f>
        <v>65000</v>
      </c>
      <c r="K3798" s="5">
        <f>tblSales[[#This Row],[Qty]]*tblSales[[#This Row],[Unit Price]]</f>
        <v>650000</v>
      </c>
      <c r="L3798" s="5">
        <f>ROUND(tblSales[[#This Row],[DPP (excl. VAT)]]*VATEff,0)</f>
        <v>71500</v>
      </c>
      <c r="M3798" s="5">
        <f>tblSales[[#This Row],[DPP (excl. VAT)]]+tblSales[[#This Row],[Output VAT]]</f>
        <v>721500</v>
      </c>
      <c r="N3798" s="5">
        <f>tblSales[[#This Row],[Qty]]*_xlfn.XLOOKUP(tblSales[[#This Row],[Product Code]],tblProducts[Code],tblProducts[Unit Cost],0)</f>
        <v>370000</v>
      </c>
      <c r="O3798" s="4" t="s">
        <v>4865</v>
      </c>
      <c r="P3798" s="4" t="s">
        <v>4860</v>
      </c>
      <c r="Q3798" s="1" t="str">
        <f>_xlfn.XLOOKUP(tblSales[[#This Row],[Channel Code]],tblChannels[Channel Code],tblChannels[Channel Name],"")</f>
        <v>In-store</v>
      </c>
      <c r="R3798" s="1">
        <f>MONTH(tblSales[[#This Row],[Date]])</f>
        <v>8</v>
      </c>
    </row>
    <row r="3799" spans="2:18" x14ac:dyDescent="0.35">
      <c r="B3799" s="113">
        <v>46249</v>
      </c>
      <c r="C3799" s="4" t="s">
        <v>2549</v>
      </c>
      <c r="D3799" s="4" t="s">
        <v>4568</v>
      </c>
      <c r="E3799" s="1" t="str">
        <f>_xlfn.XLOOKUP(tblSales[[#This Row],[Customer ID]],tblCustomers[Customer ID],tblCustomers[Customer Name],"⚠ Unknown")</f>
        <v>Walk-in Customer</v>
      </c>
      <c r="F3799" s="4" t="s">
        <v>8</v>
      </c>
      <c r="G3799" s="1" t="str">
        <f>_xlfn.XLOOKUP(tblSales[[#This Row],[Product Code]],tblProducts[Code],tblProducts[Product / Service Name],"⚠ Unknown")</f>
        <v>Casual Shorts</v>
      </c>
      <c r="H3799" s="1" t="str">
        <f>_xlfn.XLOOKUP(tblSales[[#This Row],[Product Code]],tblProducts[Code],tblProducts[Category],"")</f>
        <v>Accessories &amp; Basics</v>
      </c>
      <c r="I3799" s="4">
        <v>5</v>
      </c>
      <c r="J3799" s="5">
        <f>_xlfn.XLOOKUP(tblSales[[#This Row],[Product Code]],tblProducts[Code],tblProducts[Selling Price (excl. VAT)],0)</f>
        <v>85000</v>
      </c>
      <c r="K3799" s="5">
        <f>tblSales[[#This Row],[Qty]]*tblSales[[#This Row],[Unit Price]]</f>
        <v>425000</v>
      </c>
      <c r="L3799" s="5">
        <f>ROUND(tblSales[[#This Row],[DPP (excl. VAT)]]*VATEff,0)</f>
        <v>46750</v>
      </c>
      <c r="M3799" s="5">
        <f>tblSales[[#This Row],[DPP (excl. VAT)]]+tblSales[[#This Row],[Output VAT]]</f>
        <v>471750</v>
      </c>
      <c r="N3799" s="5">
        <f>tblSales[[#This Row],[Qty]]*_xlfn.XLOOKUP(tblSales[[#This Row],[Product Code]],tblProducts[Code],tblProducts[Unit Cost],0)</f>
        <v>250000</v>
      </c>
      <c r="O3799" s="4" t="s">
        <v>4865</v>
      </c>
      <c r="P3799" s="4" t="s">
        <v>4860</v>
      </c>
      <c r="Q3799" s="1" t="str">
        <f>_xlfn.XLOOKUP(tblSales[[#This Row],[Channel Code]],tblChannels[Channel Code],tblChannels[Channel Name],"")</f>
        <v>In-store</v>
      </c>
      <c r="R3799" s="1">
        <f>MONTH(tblSales[[#This Row],[Date]])</f>
        <v>8</v>
      </c>
    </row>
    <row r="3800" spans="2:18" x14ac:dyDescent="0.35">
      <c r="B3800" s="113">
        <v>46249</v>
      </c>
      <c r="C3800" s="4" t="s">
        <v>2549</v>
      </c>
      <c r="D3800" s="4" t="s">
        <v>4568</v>
      </c>
      <c r="E3800" s="1" t="str">
        <f>_xlfn.XLOOKUP(tblSales[[#This Row],[Customer ID]],tblCustomers[Customer ID],tblCustomers[Customer Name],"⚠ Unknown")</f>
        <v>Walk-in Customer</v>
      </c>
      <c r="F3800" s="4" t="s">
        <v>6</v>
      </c>
      <c r="G3800" s="1" t="str">
        <f>_xlfn.XLOOKUP(tblSales[[#This Row],[Product Code]],tblProducts[Code],tblProducts[Product / Service Name],"⚠ Unknown")</f>
        <v>Socks &amp; Accessories</v>
      </c>
      <c r="H3800" s="1" t="str">
        <f>_xlfn.XLOOKUP(tblSales[[#This Row],[Product Code]],tblProducts[Code],tblProducts[Category],"")</f>
        <v>Accessories &amp; Basics</v>
      </c>
      <c r="I3800" s="4">
        <v>8</v>
      </c>
      <c r="J3800" s="5">
        <f>_xlfn.XLOOKUP(tblSales[[#This Row],[Product Code]],tblProducts[Code],tblProducts[Selling Price (excl. VAT)],0)</f>
        <v>45000</v>
      </c>
      <c r="K3800" s="5">
        <f>tblSales[[#This Row],[Qty]]*tblSales[[#This Row],[Unit Price]]</f>
        <v>360000</v>
      </c>
      <c r="L3800" s="5">
        <f>ROUND(tblSales[[#This Row],[DPP (excl. VAT)]]*VATEff,0)</f>
        <v>39600</v>
      </c>
      <c r="M3800" s="5">
        <f>tblSales[[#This Row],[DPP (excl. VAT)]]+tblSales[[#This Row],[Output VAT]]</f>
        <v>399600</v>
      </c>
      <c r="N3800" s="5">
        <f>tblSales[[#This Row],[Qty]]*_xlfn.XLOOKUP(tblSales[[#This Row],[Product Code]],tblProducts[Code],tblProducts[Unit Cost],0)</f>
        <v>192000</v>
      </c>
      <c r="O3800" s="4" t="s">
        <v>4865</v>
      </c>
      <c r="P3800" s="4" t="s">
        <v>4860</v>
      </c>
      <c r="Q3800" s="1" t="str">
        <f>_xlfn.XLOOKUP(tblSales[[#This Row],[Channel Code]],tblChannels[Channel Code],tblChannels[Channel Name],"")</f>
        <v>In-store</v>
      </c>
      <c r="R3800" s="1">
        <f>MONTH(tblSales[[#This Row],[Date]])</f>
        <v>8</v>
      </c>
    </row>
    <row r="3801" spans="2:18" x14ac:dyDescent="0.35">
      <c r="B3801" s="113">
        <v>46249</v>
      </c>
      <c r="C3801" s="4" t="s">
        <v>2549</v>
      </c>
      <c r="D3801" s="4" t="s">
        <v>4568</v>
      </c>
      <c r="E3801" s="1" t="str">
        <f>_xlfn.XLOOKUP(tblSales[[#This Row],[Customer ID]],tblCustomers[Customer ID],tblCustomers[Customer Name],"⚠ Unknown")</f>
        <v>Walk-in Customer</v>
      </c>
      <c r="F3801" s="4" t="s">
        <v>7</v>
      </c>
      <c r="G3801" s="1" t="str">
        <f>_xlfn.XLOOKUP(tblSales[[#This Row],[Product Code]],tblProducts[Code],tblProducts[Product / Service Name],"⚠ Unknown")</f>
        <v>Premium Basic T-shirt</v>
      </c>
      <c r="H3801" s="1" t="str">
        <f>_xlfn.XLOOKUP(tblSales[[#This Row],[Product Code]],tblProducts[Code],tblProducts[Category],"")</f>
        <v>Accessories &amp; Basics</v>
      </c>
      <c r="I3801" s="4">
        <v>6</v>
      </c>
      <c r="J3801" s="5">
        <f>_xlfn.XLOOKUP(tblSales[[#This Row],[Product Code]],tblProducts[Code],tblProducts[Selling Price (excl. VAT)],0)</f>
        <v>65000</v>
      </c>
      <c r="K3801" s="5">
        <f>tblSales[[#This Row],[Qty]]*tblSales[[#This Row],[Unit Price]]</f>
        <v>390000</v>
      </c>
      <c r="L3801" s="5">
        <f>ROUND(tblSales[[#This Row],[DPP (excl. VAT)]]*VATEff,0)</f>
        <v>42900</v>
      </c>
      <c r="M3801" s="5">
        <f>tblSales[[#This Row],[DPP (excl. VAT)]]+tblSales[[#This Row],[Output VAT]]</f>
        <v>432900</v>
      </c>
      <c r="N3801" s="5">
        <f>tblSales[[#This Row],[Qty]]*_xlfn.XLOOKUP(tblSales[[#This Row],[Product Code]],tblProducts[Code],tblProducts[Unit Cost],0)</f>
        <v>222000</v>
      </c>
      <c r="O3801" s="4" t="s">
        <v>4865</v>
      </c>
      <c r="P3801" s="4" t="s">
        <v>4860</v>
      </c>
      <c r="Q3801" s="1" t="str">
        <f>_xlfn.XLOOKUP(tblSales[[#This Row],[Channel Code]],tblChannels[Channel Code],tblChannels[Channel Name],"")</f>
        <v>In-store</v>
      </c>
      <c r="R3801" s="1">
        <f>MONTH(tblSales[[#This Row],[Date]])</f>
        <v>8</v>
      </c>
    </row>
    <row r="3802" spans="2:18" x14ac:dyDescent="0.35">
      <c r="B3802" s="113">
        <v>46249</v>
      </c>
      <c r="C3802" s="4" t="s">
        <v>2550</v>
      </c>
      <c r="D3802" s="4" t="s">
        <v>4568</v>
      </c>
      <c r="E3802" s="1" t="str">
        <f>_xlfn.XLOOKUP(tblSales[[#This Row],[Customer ID]],tblCustomers[Customer ID],tblCustomers[Customer Name],"⚠ Unknown")</f>
        <v>Walk-in Customer</v>
      </c>
      <c r="F3802" s="4" t="s">
        <v>6</v>
      </c>
      <c r="G3802" s="1" t="str">
        <f>_xlfn.XLOOKUP(tblSales[[#This Row],[Product Code]],tblProducts[Code],tblProducts[Product / Service Name],"⚠ Unknown")</f>
        <v>Socks &amp; Accessories</v>
      </c>
      <c r="H3802" s="1" t="str">
        <f>_xlfn.XLOOKUP(tblSales[[#This Row],[Product Code]],tblProducts[Code],tblProducts[Category],"")</f>
        <v>Accessories &amp; Basics</v>
      </c>
      <c r="I3802" s="4">
        <v>4</v>
      </c>
      <c r="J3802" s="5">
        <f>_xlfn.XLOOKUP(tblSales[[#This Row],[Product Code]],tblProducts[Code],tblProducts[Selling Price (excl. VAT)],0)</f>
        <v>45000</v>
      </c>
      <c r="K3802" s="5">
        <f>tblSales[[#This Row],[Qty]]*tblSales[[#This Row],[Unit Price]]</f>
        <v>180000</v>
      </c>
      <c r="L3802" s="5">
        <f>ROUND(tblSales[[#This Row],[DPP (excl. VAT)]]*VATEff,0)</f>
        <v>19800</v>
      </c>
      <c r="M3802" s="5">
        <f>tblSales[[#This Row],[DPP (excl. VAT)]]+tblSales[[#This Row],[Output VAT]]</f>
        <v>199800</v>
      </c>
      <c r="N3802" s="5">
        <f>tblSales[[#This Row],[Qty]]*_xlfn.XLOOKUP(tblSales[[#This Row],[Product Code]],tblProducts[Code],tblProducts[Unit Cost],0)</f>
        <v>96000</v>
      </c>
      <c r="O3802" s="4" t="s">
        <v>4865</v>
      </c>
      <c r="P3802" s="4" t="s">
        <v>4860</v>
      </c>
      <c r="Q3802" s="1" t="str">
        <f>_xlfn.XLOOKUP(tblSales[[#This Row],[Channel Code]],tblChannels[Channel Code],tblChannels[Channel Name],"")</f>
        <v>In-store</v>
      </c>
      <c r="R3802" s="1">
        <f>MONTH(tblSales[[#This Row],[Date]])</f>
        <v>8</v>
      </c>
    </row>
    <row r="3803" spans="2:18" x14ac:dyDescent="0.35">
      <c r="B3803" s="113">
        <v>46249</v>
      </c>
      <c r="C3803" s="4" t="s">
        <v>2551</v>
      </c>
      <c r="D3803" s="4" t="s">
        <v>4568</v>
      </c>
      <c r="E3803" s="1" t="str">
        <f>_xlfn.XLOOKUP(tblSales[[#This Row],[Customer ID]],tblCustomers[Customer ID],tblCustomers[Customer Name],"⚠ Unknown")</f>
        <v>Walk-in Customer</v>
      </c>
      <c r="F3803" s="4" t="s">
        <v>11</v>
      </c>
      <c r="G3803" s="1" t="str">
        <f>_xlfn.XLOOKUP(tblSales[[#This Row],[Product Code]],tblProducts[Code],tblProducts[Product / Service Name],"⚠ Unknown")</f>
        <v>Sneakers</v>
      </c>
      <c r="H3803" s="1" t="str">
        <f>_xlfn.XLOOKUP(tblSales[[#This Row],[Product Code]],tblProducts[Code],tblProducts[Category],"")</f>
        <v>Apparel &amp; Footwear</v>
      </c>
      <c r="I3803" s="4">
        <v>5</v>
      </c>
      <c r="J3803" s="5">
        <f>_xlfn.XLOOKUP(tblSales[[#This Row],[Product Code]],tblProducts[Code],tblProducts[Selling Price (excl. VAT)],0)</f>
        <v>250000</v>
      </c>
      <c r="K3803" s="5">
        <f>tblSales[[#This Row],[Qty]]*tblSales[[#This Row],[Unit Price]]</f>
        <v>1250000</v>
      </c>
      <c r="L3803" s="5">
        <f>ROUND(tblSales[[#This Row],[DPP (excl. VAT)]]*VATEff,0)</f>
        <v>137500</v>
      </c>
      <c r="M3803" s="5">
        <f>tblSales[[#This Row],[DPP (excl. VAT)]]+tblSales[[#This Row],[Output VAT]]</f>
        <v>1387500</v>
      </c>
      <c r="N3803" s="5">
        <f>tblSales[[#This Row],[Qty]]*_xlfn.XLOOKUP(tblSales[[#This Row],[Product Code]],tblProducts[Code],tblProducts[Unit Cost],0)</f>
        <v>775000</v>
      </c>
      <c r="O3803" s="4" t="s">
        <v>4865</v>
      </c>
      <c r="P3803" s="4" t="s">
        <v>4860</v>
      </c>
      <c r="Q3803" s="1" t="str">
        <f>_xlfn.XLOOKUP(tblSales[[#This Row],[Channel Code]],tblChannels[Channel Code],tblChannels[Channel Name],"")</f>
        <v>In-store</v>
      </c>
      <c r="R3803" s="1">
        <f>MONTH(tblSales[[#This Row],[Date]])</f>
        <v>8</v>
      </c>
    </row>
    <row r="3804" spans="2:18" x14ac:dyDescent="0.35">
      <c r="B3804" s="113">
        <v>46249</v>
      </c>
      <c r="C3804" s="4" t="s">
        <v>2552</v>
      </c>
      <c r="D3804" s="4" t="s">
        <v>4568</v>
      </c>
      <c r="E3804" s="1" t="str">
        <f>_xlfn.XLOOKUP(tblSales[[#This Row],[Customer ID]],tblCustomers[Customer ID],tblCustomers[Customer Name],"⚠ Unknown")</f>
        <v>Walk-in Customer</v>
      </c>
      <c r="F3804" s="4" t="s">
        <v>10</v>
      </c>
      <c r="G3804" s="1" t="str">
        <f>_xlfn.XLOOKUP(tblSales[[#This Row],[Product Code]],tblProducts[Code],tblProducts[Product / Service Name],"⚠ Unknown")</f>
        <v>Chino Pants</v>
      </c>
      <c r="H3804" s="1" t="str">
        <f>_xlfn.XLOOKUP(tblSales[[#This Row],[Product Code]],tblProducts[Code],tblProducts[Category],"")</f>
        <v>Apparel &amp; Footwear</v>
      </c>
      <c r="I3804" s="4">
        <v>8</v>
      </c>
      <c r="J3804" s="5">
        <f>_xlfn.XLOOKUP(tblSales[[#This Row],[Product Code]],tblProducts[Code],tblProducts[Selling Price (excl. VAT)],0)</f>
        <v>150000</v>
      </c>
      <c r="K3804" s="5">
        <f>tblSales[[#This Row],[Qty]]*tblSales[[#This Row],[Unit Price]]</f>
        <v>1200000</v>
      </c>
      <c r="L3804" s="5">
        <f>ROUND(tblSales[[#This Row],[DPP (excl. VAT)]]*VATEff,0)</f>
        <v>132000</v>
      </c>
      <c r="M3804" s="5">
        <f>tblSales[[#This Row],[DPP (excl. VAT)]]+tblSales[[#This Row],[Output VAT]]</f>
        <v>1332000</v>
      </c>
      <c r="N3804" s="5">
        <f>tblSales[[#This Row],[Qty]]*_xlfn.XLOOKUP(tblSales[[#This Row],[Product Code]],tblProducts[Code],tblProducts[Unit Cost],0)</f>
        <v>704000</v>
      </c>
      <c r="O3804" s="4" t="s">
        <v>4865</v>
      </c>
      <c r="P3804" s="4" t="s">
        <v>4860</v>
      </c>
      <c r="Q3804" s="1" t="str">
        <f>_xlfn.XLOOKUP(tblSales[[#This Row],[Channel Code]],tblChannels[Channel Code],tblChannels[Channel Name],"")</f>
        <v>In-store</v>
      </c>
      <c r="R3804" s="1">
        <f>MONTH(tblSales[[#This Row],[Date]])</f>
        <v>8</v>
      </c>
    </row>
    <row r="3805" spans="2:18" x14ac:dyDescent="0.35">
      <c r="B3805" s="113">
        <v>46249</v>
      </c>
      <c r="C3805" s="4" t="s">
        <v>2552</v>
      </c>
      <c r="D3805" s="4" t="s">
        <v>4568</v>
      </c>
      <c r="E3805" s="1" t="str">
        <f>_xlfn.XLOOKUP(tblSales[[#This Row],[Customer ID]],tblCustomers[Customer ID],tblCustomers[Customer Name],"⚠ Unknown")</f>
        <v>Walk-in Customer</v>
      </c>
      <c r="F3805" s="4" t="s">
        <v>6</v>
      </c>
      <c r="G3805" s="1" t="str">
        <f>_xlfn.XLOOKUP(tblSales[[#This Row],[Product Code]],tblProducts[Code],tblProducts[Product / Service Name],"⚠ Unknown")</f>
        <v>Socks &amp; Accessories</v>
      </c>
      <c r="H3805" s="1" t="str">
        <f>_xlfn.XLOOKUP(tblSales[[#This Row],[Product Code]],tblProducts[Code],tblProducts[Category],"")</f>
        <v>Accessories &amp; Basics</v>
      </c>
      <c r="I3805" s="4">
        <v>11</v>
      </c>
      <c r="J3805" s="5">
        <f>_xlfn.XLOOKUP(tblSales[[#This Row],[Product Code]],tblProducts[Code],tblProducts[Selling Price (excl. VAT)],0)</f>
        <v>45000</v>
      </c>
      <c r="K3805" s="5">
        <f>tblSales[[#This Row],[Qty]]*tblSales[[#This Row],[Unit Price]]</f>
        <v>495000</v>
      </c>
      <c r="L3805" s="5">
        <f>ROUND(tblSales[[#This Row],[DPP (excl. VAT)]]*VATEff,0)</f>
        <v>54450</v>
      </c>
      <c r="M3805" s="5">
        <f>tblSales[[#This Row],[DPP (excl. VAT)]]+tblSales[[#This Row],[Output VAT]]</f>
        <v>549450</v>
      </c>
      <c r="N3805" s="5">
        <f>tblSales[[#This Row],[Qty]]*_xlfn.XLOOKUP(tblSales[[#This Row],[Product Code]],tblProducts[Code],tblProducts[Unit Cost],0)</f>
        <v>264000</v>
      </c>
      <c r="O3805" s="4" t="s">
        <v>4865</v>
      </c>
      <c r="P3805" s="4" t="s">
        <v>4860</v>
      </c>
      <c r="Q3805" s="1" t="str">
        <f>_xlfn.XLOOKUP(tblSales[[#This Row],[Channel Code]],tblChannels[Channel Code],tblChannels[Channel Name],"")</f>
        <v>In-store</v>
      </c>
      <c r="R3805" s="1">
        <f>MONTH(tblSales[[#This Row],[Date]])</f>
        <v>8</v>
      </c>
    </row>
    <row r="3806" spans="2:18" x14ac:dyDescent="0.35">
      <c r="B3806" s="113">
        <v>46249</v>
      </c>
      <c r="C3806" s="4" t="s">
        <v>2553</v>
      </c>
      <c r="D3806" s="4" t="s">
        <v>4568</v>
      </c>
      <c r="E3806" s="1" t="str">
        <f>_xlfn.XLOOKUP(tblSales[[#This Row],[Customer ID]],tblCustomers[Customer ID],tblCustomers[Customer Name],"⚠ Unknown")</f>
        <v>Walk-in Customer</v>
      </c>
      <c r="F3806" s="4" t="s">
        <v>9</v>
      </c>
      <c r="G3806" s="1" t="str">
        <f>_xlfn.XLOOKUP(tblSales[[#This Row],[Product Code]],tblProducts[Code],tblProducts[Product / Service Name],"⚠ Unknown")</f>
        <v>Casual Shirt</v>
      </c>
      <c r="H3806" s="1" t="str">
        <f>_xlfn.XLOOKUP(tblSales[[#This Row],[Product Code]],tblProducts[Code],tblProducts[Category],"")</f>
        <v>Apparel &amp; Footwear</v>
      </c>
      <c r="I3806" s="4">
        <v>12</v>
      </c>
      <c r="J3806" s="5">
        <f>_xlfn.XLOOKUP(tblSales[[#This Row],[Product Code]],tblProducts[Code],tblProducts[Selling Price (excl. VAT)],0)</f>
        <v>120000</v>
      </c>
      <c r="K3806" s="5">
        <f>tblSales[[#This Row],[Qty]]*tblSales[[#This Row],[Unit Price]]</f>
        <v>1440000</v>
      </c>
      <c r="L3806" s="5">
        <f>ROUND(tblSales[[#This Row],[DPP (excl. VAT)]]*VATEff,0)</f>
        <v>158400</v>
      </c>
      <c r="M3806" s="5">
        <f>tblSales[[#This Row],[DPP (excl. VAT)]]+tblSales[[#This Row],[Output VAT]]</f>
        <v>1598400</v>
      </c>
      <c r="N3806" s="5">
        <f>tblSales[[#This Row],[Qty]]*_xlfn.XLOOKUP(tblSales[[#This Row],[Product Code]],tblProducts[Code],tblProducts[Unit Cost],0)</f>
        <v>864000</v>
      </c>
      <c r="O3806" s="4" t="s">
        <v>4866</v>
      </c>
      <c r="P3806" s="4" t="s">
        <v>4860</v>
      </c>
      <c r="Q3806" s="1" t="str">
        <f>_xlfn.XLOOKUP(tblSales[[#This Row],[Channel Code]],tblChannels[Channel Code],tblChannels[Channel Name],"")</f>
        <v>In-store</v>
      </c>
      <c r="R3806" s="1">
        <f>MONTH(tblSales[[#This Row],[Date]])</f>
        <v>8</v>
      </c>
    </row>
    <row r="3807" spans="2:18" x14ac:dyDescent="0.35">
      <c r="B3807" s="113">
        <v>46249</v>
      </c>
      <c r="C3807" s="4" t="s">
        <v>2553</v>
      </c>
      <c r="D3807" s="4" t="s">
        <v>4568</v>
      </c>
      <c r="E3807" s="1" t="str">
        <f>_xlfn.XLOOKUP(tblSales[[#This Row],[Customer ID]],tblCustomers[Customer ID],tblCustomers[Customer Name],"⚠ Unknown")</f>
        <v>Walk-in Customer</v>
      </c>
      <c r="F3807" s="4" t="s">
        <v>11</v>
      </c>
      <c r="G3807" s="1" t="str">
        <f>_xlfn.XLOOKUP(tblSales[[#This Row],[Product Code]],tblProducts[Code],tblProducts[Product / Service Name],"⚠ Unknown")</f>
        <v>Sneakers</v>
      </c>
      <c r="H3807" s="1" t="str">
        <f>_xlfn.XLOOKUP(tblSales[[#This Row],[Product Code]],tblProducts[Code],tblProducts[Category],"")</f>
        <v>Apparel &amp; Footwear</v>
      </c>
      <c r="I3807" s="4">
        <v>1</v>
      </c>
      <c r="J3807" s="5">
        <f>_xlfn.XLOOKUP(tblSales[[#This Row],[Product Code]],tblProducts[Code],tblProducts[Selling Price (excl. VAT)],0)</f>
        <v>250000</v>
      </c>
      <c r="K3807" s="5">
        <f>tblSales[[#This Row],[Qty]]*tblSales[[#This Row],[Unit Price]]</f>
        <v>250000</v>
      </c>
      <c r="L3807" s="5">
        <f>ROUND(tblSales[[#This Row],[DPP (excl. VAT)]]*VATEff,0)</f>
        <v>27500</v>
      </c>
      <c r="M3807" s="5">
        <f>tblSales[[#This Row],[DPP (excl. VAT)]]+tblSales[[#This Row],[Output VAT]]</f>
        <v>277500</v>
      </c>
      <c r="N3807" s="5">
        <f>tblSales[[#This Row],[Qty]]*_xlfn.XLOOKUP(tblSales[[#This Row],[Product Code]],tblProducts[Code],tblProducts[Unit Cost],0)</f>
        <v>155000</v>
      </c>
      <c r="O3807" s="4" t="s">
        <v>4866</v>
      </c>
      <c r="P3807" s="4" t="s">
        <v>4860</v>
      </c>
      <c r="Q3807" s="1" t="str">
        <f>_xlfn.XLOOKUP(tblSales[[#This Row],[Channel Code]],tblChannels[Channel Code],tblChannels[Channel Name],"")</f>
        <v>In-store</v>
      </c>
      <c r="R3807" s="1">
        <f>MONTH(tblSales[[#This Row],[Date]])</f>
        <v>8</v>
      </c>
    </row>
    <row r="3808" spans="2:18" x14ac:dyDescent="0.35">
      <c r="B3808" s="113">
        <v>46249</v>
      </c>
      <c r="C3808" s="4" t="s">
        <v>2554</v>
      </c>
      <c r="D3808" s="4" t="s">
        <v>4568</v>
      </c>
      <c r="E3808" s="1" t="str">
        <f>_xlfn.XLOOKUP(tblSales[[#This Row],[Customer ID]],tblCustomers[Customer ID],tblCustomers[Customer Name],"⚠ Unknown")</f>
        <v>Walk-in Customer</v>
      </c>
      <c r="F3808" s="4" t="s">
        <v>6</v>
      </c>
      <c r="G3808" s="1" t="str">
        <f>_xlfn.XLOOKUP(tblSales[[#This Row],[Product Code]],tblProducts[Code],tblProducts[Product / Service Name],"⚠ Unknown")</f>
        <v>Socks &amp; Accessories</v>
      </c>
      <c r="H3808" s="1" t="str">
        <f>_xlfn.XLOOKUP(tblSales[[#This Row],[Product Code]],tblProducts[Code],tblProducts[Category],"")</f>
        <v>Accessories &amp; Basics</v>
      </c>
      <c r="I3808" s="4">
        <v>12</v>
      </c>
      <c r="J3808" s="5">
        <f>_xlfn.XLOOKUP(tblSales[[#This Row],[Product Code]],tblProducts[Code],tblProducts[Selling Price (excl. VAT)],0)</f>
        <v>45000</v>
      </c>
      <c r="K3808" s="5">
        <f>tblSales[[#This Row],[Qty]]*tblSales[[#This Row],[Unit Price]]</f>
        <v>540000</v>
      </c>
      <c r="L3808" s="5">
        <f>ROUND(tblSales[[#This Row],[DPP (excl. VAT)]]*VATEff,0)</f>
        <v>59400</v>
      </c>
      <c r="M3808" s="5">
        <f>tblSales[[#This Row],[DPP (excl. VAT)]]+tblSales[[#This Row],[Output VAT]]</f>
        <v>599400</v>
      </c>
      <c r="N3808" s="5">
        <f>tblSales[[#This Row],[Qty]]*_xlfn.XLOOKUP(tblSales[[#This Row],[Product Code]],tblProducts[Code],tblProducts[Unit Cost],0)</f>
        <v>288000</v>
      </c>
      <c r="O3808" s="4" t="s">
        <v>4865</v>
      </c>
      <c r="P3808" s="4" t="s">
        <v>4860</v>
      </c>
      <c r="Q3808" s="1" t="str">
        <f>_xlfn.XLOOKUP(tblSales[[#This Row],[Channel Code]],tblChannels[Channel Code],tblChannels[Channel Name],"")</f>
        <v>In-store</v>
      </c>
      <c r="R3808" s="1">
        <f>MONTH(tblSales[[#This Row],[Date]])</f>
        <v>8</v>
      </c>
    </row>
    <row r="3809" spans="2:18" x14ac:dyDescent="0.35">
      <c r="B3809" s="113">
        <v>46249</v>
      </c>
      <c r="C3809" s="4" t="s">
        <v>2554</v>
      </c>
      <c r="D3809" s="4" t="s">
        <v>4568</v>
      </c>
      <c r="E3809" s="1" t="str">
        <f>_xlfn.XLOOKUP(tblSales[[#This Row],[Customer ID]],tblCustomers[Customer ID],tblCustomers[Customer Name],"⚠ Unknown")</f>
        <v>Walk-in Customer</v>
      </c>
      <c r="F3809" s="4" t="s">
        <v>12</v>
      </c>
      <c r="G3809" s="1" t="str">
        <f>_xlfn.XLOOKUP(tblSales[[#This Row],[Product Code]],tblProducts[Code],tblProducts[Product / Service Name],"⚠ Unknown")</f>
        <v>Bomber Jacket</v>
      </c>
      <c r="H3809" s="1" t="str">
        <f>_xlfn.XLOOKUP(tblSales[[#This Row],[Product Code]],tblProducts[Code],tblProducts[Category],"")</f>
        <v>Apparel &amp; Footwear</v>
      </c>
      <c r="I3809" s="4">
        <v>5</v>
      </c>
      <c r="J3809" s="5">
        <f>_xlfn.XLOOKUP(tblSales[[#This Row],[Product Code]],tblProducts[Code],tblProducts[Selling Price (excl. VAT)],0)</f>
        <v>350000</v>
      </c>
      <c r="K3809" s="5">
        <f>tblSales[[#This Row],[Qty]]*tblSales[[#This Row],[Unit Price]]</f>
        <v>1750000</v>
      </c>
      <c r="L3809" s="5">
        <f>ROUND(tblSales[[#This Row],[DPP (excl. VAT)]]*VATEff,0)</f>
        <v>192500</v>
      </c>
      <c r="M3809" s="5">
        <f>tblSales[[#This Row],[DPP (excl. VAT)]]+tblSales[[#This Row],[Output VAT]]</f>
        <v>1942500</v>
      </c>
      <c r="N3809" s="5">
        <f>tblSales[[#This Row],[Qty]]*_xlfn.XLOOKUP(tblSales[[#This Row],[Product Code]],tblProducts[Code],tblProducts[Unit Cost],0)</f>
        <v>1050000</v>
      </c>
      <c r="O3809" s="4" t="s">
        <v>4865</v>
      </c>
      <c r="P3809" s="4" t="s">
        <v>4860</v>
      </c>
      <c r="Q3809" s="1" t="str">
        <f>_xlfn.XLOOKUP(tblSales[[#This Row],[Channel Code]],tblChannels[Channel Code],tblChannels[Channel Name],"")</f>
        <v>In-store</v>
      </c>
      <c r="R3809" s="1">
        <f>MONTH(tblSales[[#This Row],[Date]])</f>
        <v>8</v>
      </c>
    </row>
    <row r="3810" spans="2:18" x14ac:dyDescent="0.35">
      <c r="B3810" s="113">
        <v>46249</v>
      </c>
      <c r="C3810" s="4" t="s">
        <v>2555</v>
      </c>
      <c r="D3810" s="4" t="s">
        <v>4568</v>
      </c>
      <c r="E3810" s="1" t="str">
        <f>_xlfn.XLOOKUP(tblSales[[#This Row],[Customer ID]],tblCustomers[Customer ID],tblCustomers[Customer Name],"⚠ Unknown")</f>
        <v>Walk-in Customer</v>
      </c>
      <c r="F3810" s="4" t="s">
        <v>7</v>
      </c>
      <c r="G3810" s="1" t="str">
        <f>_xlfn.XLOOKUP(tblSales[[#This Row],[Product Code]],tblProducts[Code],tblProducts[Product / Service Name],"⚠ Unknown")</f>
        <v>Premium Basic T-shirt</v>
      </c>
      <c r="H3810" s="1" t="str">
        <f>_xlfn.XLOOKUP(tblSales[[#This Row],[Product Code]],tblProducts[Code],tblProducts[Category],"")</f>
        <v>Accessories &amp; Basics</v>
      </c>
      <c r="I3810" s="4">
        <v>2</v>
      </c>
      <c r="J3810" s="5">
        <f>_xlfn.XLOOKUP(tblSales[[#This Row],[Product Code]],tblProducts[Code],tblProducts[Selling Price (excl. VAT)],0)</f>
        <v>65000</v>
      </c>
      <c r="K3810" s="5">
        <f>tblSales[[#This Row],[Qty]]*tblSales[[#This Row],[Unit Price]]</f>
        <v>130000</v>
      </c>
      <c r="L3810" s="5">
        <f>ROUND(tblSales[[#This Row],[DPP (excl. VAT)]]*VATEff,0)</f>
        <v>14300</v>
      </c>
      <c r="M3810" s="5">
        <f>tblSales[[#This Row],[DPP (excl. VAT)]]+tblSales[[#This Row],[Output VAT]]</f>
        <v>144300</v>
      </c>
      <c r="N3810" s="5">
        <f>tblSales[[#This Row],[Qty]]*_xlfn.XLOOKUP(tblSales[[#This Row],[Product Code]],tblProducts[Code],tblProducts[Unit Cost],0)</f>
        <v>74000</v>
      </c>
      <c r="O3810" s="4" t="s">
        <v>4865</v>
      </c>
      <c r="P3810" s="4" t="s">
        <v>4860</v>
      </c>
      <c r="Q3810" s="1" t="str">
        <f>_xlfn.XLOOKUP(tblSales[[#This Row],[Channel Code]],tblChannels[Channel Code],tblChannels[Channel Name],"")</f>
        <v>In-store</v>
      </c>
      <c r="R3810" s="1">
        <f>MONTH(tblSales[[#This Row],[Date]])</f>
        <v>8</v>
      </c>
    </row>
    <row r="3811" spans="2:18" x14ac:dyDescent="0.35">
      <c r="B3811" s="113">
        <v>46249</v>
      </c>
      <c r="C3811" s="4" t="s">
        <v>2555</v>
      </c>
      <c r="D3811" s="4" t="s">
        <v>4568</v>
      </c>
      <c r="E3811" s="1" t="str">
        <f>_xlfn.XLOOKUP(tblSales[[#This Row],[Customer ID]],tblCustomers[Customer ID],tblCustomers[Customer Name],"⚠ Unknown")</f>
        <v>Walk-in Customer</v>
      </c>
      <c r="F3811" s="4" t="s">
        <v>6</v>
      </c>
      <c r="G3811" s="1" t="str">
        <f>_xlfn.XLOOKUP(tblSales[[#This Row],[Product Code]],tblProducts[Code],tblProducts[Product / Service Name],"⚠ Unknown")</f>
        <v>Socks &amp; Accessories</v>
      </c>
      <c r="H3811" s="1" t="str">
        <f>_xlfn.XLOOKUP(tblSales[[#This Row],[Product Code]],tblProducts[Code],tblProducts[Category],"")</f>
        <v>Accessories &amp; Basics</v>
      </c>
      <c r="I3811" s="4">
        <v>11</v>
      </c>
      <c r="J3811" s="5">
        <f>_xlfn.XLOOKUP(tblSales[[#This Row],[Product Code]],tblProducts[Code],tblProducts[Selling Price (excl. VAT)],0)</f>
        <v>45000</v>
      </c>
      <c r="K3811" s="5">
        <f>tblSales[[#This Row],[Qty]]*tblSales[[#This Row],[Unit Price]]</f>
        <v>495000</v>
      </c>
      <c r="L3811" s="5">
        <f>ROUND(tblSales[[#This Row],[DPP (excl. VAT)]]*VATEff,0)</f>
        <v>54450</v>
      </c>
      <c r="M3811" s="5">
        <f>tblSales[[#This Row],[DPP (excl. VAT)]]+tblSales[[#This Row],[Output VAT]]</f>
        <v>549450</v>
      </c>
      <c r="N3811" s="5">
        <f>tblSales[[#This Row],[Qty]]*_xlfn.XLOOKUP(tblSales[[#This Row],[Product Code]],tblProducts[Code],tblProducts[Unit Cost],0)</f>
        <v>264000</v>
      </c>
      <c r="O3811" s="4" t="s">
        <v>4865</v>
      </c>
      <c r="P3811" s="4" t="s">
        <v>4860</v>
      </c>
      <c r="Q3811" s="1" t="str">
        <f>_xlfn.XLOOKUP(tblSales[[#This Row],[Channel Code]],tblChannels[Channel Code],tblChannels[Channel Name],"")</f>
        <v>In-store</v>
      </c>
      <c r="R3811" s="1">
        <f>MONTH(tblSales[[#This Row],[Date]])</f>
        <v>8</v>
      </c>
    </row>
    <row r="3812" spans="2:18" x14ac:dyDescent="0.35">
      <c r="B3812" s="113">
        <v>46249</v>
      </c>
      <c r="C3812" s="4" t="s">
        <v>2556</v>
      </c>
      <c r="D3812" s="4" t="s">
        <v>4568</v>
      </c>
      <c r="E3812" s="1" t="str">
        <f>_xlfn.XLOOKUP(tblSales[[#This Row],[Customer ID]],tblCustomers[Customer ID],tblCustomers[Customer Name],"⚠ Unknown")</f>
        <v>Walk-in Customer</v>
      </c>
      <c r="F3812" s="4" t="s">
        <v>7</v>
      </c>
      <c r="G3812" s="1" t="str">
        <f>_xlfn.XLOOKUP(tblSales[[#This Row],[Product Code]],tblProducts[Code],tblProducts[Product / Service Name],"⚠ Unknown")</f>
        <v>Premium Basic T-shirt</v>
      </c>
      <c r="H3812" s="1" t="str">
        <f>_xlfn.XLOOKUP(tblSales[[#This Row],[Product Code]],tblProducts[Code],tblProducts[Category],"")</f>
        <v>Accessories &amp; Basics</v>
      </c>
      <c r="I3812" s="4">
        <v>9</v>
      </c>
      <c r="J3812" s="5">
        <f>_xlfn.XLOOKUP(tblSales[[#This Row],[Product Code]],tblProducts[Code],tblProducts[Selling Price (excl. VAT)],0)</f>
        <v>65000</v>
      </c>
      <c r="K3812" s="5">
        <f>tblSales[[#This Row],[Qty]]*tblSales[[#This Row],[Unit Price]]</f>
        <v>585000</v>
      </c>
      <c r="L3812" s="5">
        <f>ROUND(tblSales[[#This Row],[DPP (excl. VAT)]]*VATEff,0)</f>
        <v>64350</v>
      </c>
      <c r="M3812" s="5">
        <f>tblSales[[#This Row],[DPP (excl. VAT)]]+tblSales[[#This Row],[Output VAT]]</f>
        <v>649350</v>
      </c>
      <c r="N3812" s="5">
        <f>tblSales[[#This Row],[Qty]]*_xlfn.XLOOKUP(tblSales[[#This Row],[Product Code]],tblProducts[Code],tblProducts[Unit Cost],0)</f>
        <v>333000</v>
      </c>
      <c r="O3812" s="4" t="s">
        <v>4866</v>
      </c>
      <c r="P3812" s="4" t="s">
        <v>4860</v>
      </c>
      <c r="Q3812" s="1" t="str">
        <f>_xlfn.XLOOKUP(tblSales[[#This Row],[Channel Code]],tblChannels[Channel Code],tblChannels[Channel Name],"")</f>
        <v>In-store</v>
      </c>
      <c r="R3812" s="1">
        <f>MONTH(tblSales[[#This Row],[Date]])</f>
        <v>8</v>
      </c>
    </row>
    <row r="3813" spans="2:18" x14ac:dyDescent="0.35">
      <c r="B3813" s="113">
        <v>46249</v>
      </c>
      <c r="C3813" s="4" t="s">
        <v>2557</v>
      </c>
      <c r="D3813" s="4" t="s">
        <v>4568</v>
      </c>
      <c r="E3813" s="1" t="str">
        <f>_xlfn.XLOOKUP(tblSales[[#This Row],[Customer ID]],tblCustomers[Customer ID],tblCustomers[Customer Name],"⚠ Unknown")</f>
        <v>Walk-in Customer</v>
      </c>
      <c r="F3813" s="4" t="s">
        <v>6</v>
      </c>
      <c r="G3813" s="1" t="str">
        <f>_xlfn.XLOOKUP(tblSales[[#This Row],[Product Code]],tblProducts[Code],tblProducts[Product / Service Name],"⚠ Unknown")</f>
        <v>Socks &amp; Accessories</v>
      </c>
      <c r="H3813" s="1" t="str">
        <f>_xlfn.XLOOKUP(tblSales[[#This Row],[Product Code]],tblProducts[Code],tblProducts[Category],"")</f>
        <v>Accessories &amp; Basics</v>
      </c>
      <c r="I3813" s="4">
        <v>10</v>
      </c>
      <c r="J3813" s="5">
        <f>_xlfn.XLOOKUP(tblSales[[#This Row],[Product Code]],tblProducts[Code],tblProducts[Selling Price (excl. VAT)],0)</f>
        <v>45000</v>
      </c>
      <c r="K3813" s="5">
        <f>tblSales[[#This Row],[Qty]]*tblSales[[#This Row],[Unit Price]]</f>
        <v>450000</v>
      </c>
      <c r="L3813" s="5">
        <f>ROUND(tblSales[[#This Row],[DPP (excl. VAT)]]*VATEff,0)</f>
        <v>49500</v>
      </c>
      <c r="M3813" s="5">
        <f>tblSales[[#This Row],[DPP (excl. VAT)]]+tblSales[[#This Row],[Output VAT]]</f>
        <v>499500</v>
      </c>
      <c r="N3813" s="5">
        <f>tblSales[[#This Row],[Qty]]*_xlfn.XLOOKUP(tblSales[[#This Row],[Product Code]],tblProducts[Code],tblProducts[Unit Cost],0)</f>
        <v>240000</v>
      </c>
      <c r="O3813" s="4" t="s">
        <v>4866</v>
      </c>
      <c r="P3813" s="4" t="s">
        <v>4861</v>
      </c>
      <c r="Q3813" s="1" t="str">
        <f>_xlfn.XLOOKUP(tblSales[[#This Row],[Channel Code]],tblChannels[Channel Code],tblChannels[Channel Name],"")</f>
        <v>Marketplace</v>
      </c>
      <c r="R3813" s="1">
        <f>MONTH(tblSales[[#This Row],[Date]])</f>
        <v>8</v>
      </c>
    </row>
    <row r="3814" spans="2:18" x14ac:dyDescent="0.35">
      <c r="B3814" s="113">
        <v>46249</v>
      </c>
      <c r="C3814" s="4" t="s">
        <v>2558</v>
      </c>
      <c r="D3814" s="4" t="s">
        <v>4568</v>
      </c>
      <c r="E3814" s="1" t="str">
        <f>_xlfn.XLOOKUP(tblSales[[#This Row],[Customer ID]],tblCustomers[Customer ID],tblCustomers[Customer Name],"⚠ Unknown")</f>
        <v>Walk-in Customer</v>
      </c>
      <c r="F3814" s="4" t="s">
        <v>7</v>
      </c>
      <c r="G3814" s="1" t="str">
        <f>_xlfn.XLOOKUP(tblSales[[#This Row],[Product Code]],tblProducts[Code],tblProducts[Product / Service Name],"⚠ Unknown")</f>
        <v>Premium Basic T-shirt</v>
      </c>
      <c r="H3814" s="1" t="str">
        <f>_xlfn.XLOOKUP(tblSales[[#This Row],[Product Code]],tblProducts[Code],tblProducts[Category],"")</f>
        <v>Accessories &amp; Basics</v>
      </c>
      <c r="I3814" s="4">
        <v>2</v>
      </c>
      <c r="J3814" s="5">
        <f>_xlfn.XLOOKUP(tblSales[[#This Row],[Product Code]],tblProducts[Code],tblProducts[Selling Price (excl. VAT)],0)</f>
        <v>65000</v>
      </c>
      <c r="K3814" s="5">
        <f>tblSales[[#This Row],[Qty]]*tblSales[[#This Row],[Unit Price]]</f>
        <v>130000</v>
      </c>
      <c r="L3814" s="5">
        <f>ROUND(tblSales[[#This Row],[DPP (excl. VAT)]]*VATEff,0)</f>
        <v>14300</v>
      </c>
      <c r="M3814" s="5">
        <f>tblSales[[#This Row],[DPP (excl. VAT)]]+tblSales[[#This Row],[Output VAT]]</f>
        <v>144300</v>
      </c>
      <c r="N3814" s="5">
        <f>tblSales[[#This Row],[Qty]]*_xlfn.XLOOKUP(tblSales[[#This Row],[Product Code]],tblProducts[Code],tblProducts[Unit Cost],0)</f>
        <v>74000</v>
      </c>
      <c r="O3814" s="4" t="s">
        <v>4865</v>
      </c>
      <c r="P3814" s="4" t="s">
        <v>4860</v>
      </c>
      <c r="Q3814" s="1" t="str">
        <f>_xlfn.XLOOKUP(tblSales[[#This Row],[Channel Code]],tblChannels[Channel Code],tblChannels[Channel Name],"")</f>
        <v>In-store</v>
      </c>
      <c r="R3814" s="1">
        <f>MONTH(tblSales[[#This Row],[Date]])</f>
        <v>8</v>
      </c>
    </row>
    <row r="3815" spans="2:18" x14ac:dyDescent="0.35">
      <c r="B3815" s="113">
        <v>46249</v>
      </c>
      <c r="C3815" s="4" t="s">
        <v>2558</v>
      </c>
      <c r="D3815" s="4" t="s">
        <v>4568</v>
      </c>
      <c r="E3815" s="1" t="str">
        <f>_xlfn.XLOOKUP(tblSales[[#This Row],[Customer ID]],tblCustomers[Customer ID],tblCustomers[Customer Name],"⚠ Unknown")</f>
        <v>Walk-in Customer</v>
      </c>
      <c r="F3815" s="4" t="s">
        <v>10</v>
      </c>
      <c r="G3815" s="1" t="str">
        <f>_xlfn.XLOOKUP(tblSales[[#This Row],[Product Code]],tblProducts[Code],tblProducts[Product / Service Name],"⚠ Unknown")</f>
        <v>Chino Pants</v>
      </c>
      <c r="H3815" s="1" t="str">
        <f>_xlfn.XLOOKUP(tblSales[[#This Row],[Product Code]],tblProducts[Code],tblProducts[Category],"")</f>
        <v>Apparel &amp; Footwear</v>
      </c>
      <c r="I3815" s="4">
        <v>11</v>
      </c>
      <c r="J3815" s="5">
        <f>_xlfn.XLOOKUP(tblSales[[#This Row],[Product Code]],tblProducts[Code],tblProducts[Selling Price (excl. VAT)],0)</f>
        <v>150000</v>
      </c>
      <c r="K3815" s="5">
        <f>tblSales[[#This Row],[Qty]]*tblSales[[#This Row],[Unit Price]]</f>
        <v>1650000</v>
      </c>
      <c r="L3815" s="5">
        <f>ROUND(tblSales[[#This Row],[DPP (excl. VAT)]]*VATEff,0)</f>
        <v>181500</v>
      </c>
      <c r="M3815" s="5">
        <f>tblSales[[#This Row],[DPP (excl. VAT)]]+tblSales[[#This Row],[Output VAT]]</f>
        <v>1831500</v>
      </c>
      <c r="N3815" s="5">
        <f>tblSales[[#This Row],[Qty]]*_xlfn.XLOOKUP(tblSales[[#This Row],[Product Code]],tblProducts[Code],tblProducts[Unit Cost],0)</f>
        <v>968000</v>
      </c>
      <c r="O3815" s="4" t="s">
        <v>4865</v>
      </c>
      <c r="P3815" s="4" t="s">
        <v>4860</v>
      </c>
      <c r="Q3815" s="1" t="str">
        <f>_xlfn.XLOOKUP(tblSales[[#This Row],[Channel Code]],tblChannels[Channel Code],tblChannels[Channel Name],"")</f>
        <v>In-store</v>
      </c>
      <c r="R3815" s="1">
        <f>MONTH(tblSales[[#This Row],[Date]])</f>
        <v>8</v>
      </c>
    </row>
    <row r="3816" spans="2:18" x14ac:dyDescent="0.35">
      <c r="B3816" s="113">
        <v>46250</v>
      </c>
      <c r="C3816" s="4" t="s">
        <v>2559</v>
      </c>
      <c r="D3816" s="4" t="s">
        <v>4568</v>
      </c>
      <c r="E3816" s="1" t="str">
        <f>_xlfn.XLOOKUP(tblSales[[#This Row],[Customer ID]],tblCustomers[Customer ID],tblCustomers[Customer Name],"⚠ Unknown")</f>
        <v>Walk-in Customer</v>
      </c>
      <c r="F3816" s="4" t="s">
        <v>7</v>
      </c>
      <c r="G3816" s="1" t="str">
        <f>_xlfn.XLOOKUP(tblSales[[#This Row],[Product Code]],tblProducts[Code],tblProducts[Product / Service Name],"⚠ Unknown")</f>
        <v>Premium Basic T-shirt</v>
      </c>
      <c r="H3816" s="1" t="str">
        <f>_xlfn.XLOOKUP(tblSales[[#This Row],[Product Code]],tblProducts[Code],tblProducts[Category],"")</f>
        <v>Accessories &amp; Basics</v>
      </c>
      <c r="I3816" s="4">
        <v>3</v>
      </c>
      <c r="J3816" s="5">
        <f>_xlfn.XLOOKUP(tblSales[[#This Row],[Product Code]],tblProducts[Code],tblProducts[Selling Price (excl. VAT)],0)</f>
        <v>65000</v>
      </c>
      <c r="K3816" s="5">
        <f>tblSales[[#This Row],[Qty]]*tblSales[[#This Row],[Unit Price]]</f>
        <v>195000</v>
      </c>
      <c r="L3816" s="5">
        <f>ROUND(tblSales[[#This Row],[DPP (excl. VAT)]]*VATEff,0)</f>
        <v>21450</v>
      </c>
      <c r="M3816" s="5">
        <f>tblSales[[#This Row],[DPP (excl. VAT)]]+tblSales[[#This Row],[Output VAT]]</f>
        <v>216450</v>
      </c>
      <c r="N3816" s="5">
        <f>tblSales[[#This Row],[Qty]]*_xlfn.XLOOKUP(tblSales[[#This Row],[Product Code]],tblProducts[Code],tblProducts[Unit Cost],0)</f>
        <v>111000</v>
      </c>
      <c r="O3816" s="4" t="s">
        <v>4866</v>
      </c>
      <c r="P3816" s="4" t="s">
        <v>4860</v>
      </c>
      <c r="Q3816" s="1" t="str">
        <f>_xlfn.XLOOKUP(tblSales[[#This Row],[Channel Code]],tblChannels[Channel Code],tblChannels[Channel Name],"")</f>
        <v>In-store</v>
      </c>
      <c r="R3816" s="1">
        <f>MONTH(tblSales[[#This Row],[Date]])</f>
        <v>8</v>
      </c>
    </row>
    <row r="3817" spans="2:18" x14ac:dyDescent="0.35">
      <c r="B3817" s="113">
        <v>46250</v>
      </c>
      <c r="C3817" s="4" t="s">
        <v>2560</v>
      </c>
      <c r="D3817" s="4" t="s">
        <v>4568</v>
      </c>
      <c r="E3817" s="1" t="str">
        <f>_xlfn.XLOOKUP(tblSales[[#This Row],[Customer ID]],tblCustomers[Customer ID],tblCustomers[Customer Name],"⚠ Unknown")</f>
        <v>Walk-in Customer</v>
      </c>
      <c r="F3817" s="4" t="s">
        <v>9</v>
      </c>
      <c r="G3817" s="1" t="str">
        <f>_xlfn.XLOOKUP(tblSales[[#This Row],[Product Code]],tblProducts[Code],tblProducts[Product / Service Name],"⚠ Unknown")</f>
        <v>Casual Shirt</v>
      </c>
      <c r="H3817" s="1" t="str">
        <f>_xlfn.XLOOKUP(tblSales[[#This Row],[Product Code]],tblProducts[Code],tblProducts[Category],"")</f>
        <v>Apparel &amp; Footwear</v>
      </c>
      <c r="I3817" s="4">
        <v>6</v>
      </c>
      <c r="J3817" s="5">
        <f>_xlfn.XLOOKUP(tblSales[[#This Row],[Product Code]],tblProducts[Code],tblProducts[Selling Price (excl. VAT)],0)</f>
        <v>120000</v>
      </c>
      <c r="K3817" s="5">
        <f>tblSales[[#This Row],[Qty]]*tblSales[[#This Row],[Unit Price]]</f>
        <v>720000</v>
      </c>
      <c r="L3817" s="5">
        <f>ROUND(tblSales[[#This Row],[DPP (excl. VAT)]]*VATEff,0)</f>
        <v>79200</v>
      </c>
      <c r="M3817" s="5">
        <f>tblSales[[#This Row],[DPP (excl. VAT)]]+tblSales[[#This Row],[Output VAT]]</f>
        <v>799200</v>
      </c>
      <c r="N3817" s="5">
        <f>tblSales[[#This Row],[Qty]]*_xlfn.XLOOKUP(tblSales[[#This Row],[Product Code]],tblProducts[Code],tblProducts[Unit Cost],0)</f>
        <v>432000</v>
      </c>
      <c r="O3817" s="4" t="s">
        <v>4865</v>
      </c>
      <c r="P3817" s="4" t="s">
        <v>4860</v>
      </c>
      <c r="Q3817" s="1" t="str">
        <f>_xlfn.XLOOKUP(tblSales[[#This Row],[Channel Code]],tblChannels[Channel Code],tblChannels[Channel Name],"")</f>
        <v>In-store</v>
      </c>
      <c r="R3817" s="1">
        <f>MONTH(tblSales[[#This Row],[Date]])</f>
        <v>8</v>
      </c>
    </row>
    <row r="3818" spans="2:18" x14ac:dyDescent="0.35">
      <c r="B3818" s="113">
        <v>46250</v>
      </c>
      <c r="C3818" s="4" t="s">
        <v>2560</v>
      </c>
      <c r="D3818" s="4" t="s">
        <v>4568</v>
      </c>
      <c r="E3818" s="1" t="str">
        <f>_xlfn.XLOOKUP(tblSales[[#This Row],[Customer ID]],tblCustomers[Customer ID],tblCustomers[Customer Name],"⚠ Unknown")</f>
        <v>Walk-in Customer</v>
      </c>
      <c r="F3818" s="4" t="s">
        <v>15</v>
      </c>
      <c r="G3818" s="1" t="str">
        <f>_xlfn.XLOOKUP(tblSales[[#This Row],[Product Code]],tblProducts[Code],tblProducts[Product / Service Name],"⚠ Unknown")</f>
        <v>Wireless Earbuds Pro</v>
      </c>
      <c r="H3818" s="1" t="str">
        <f>_xlfn.XLOOKUP(tblSales[[#This Row],[Product Code]],tblProducts[Code],tblProducts[Category],"")</f>
        <v>Bags &amp; Gadgets</v>
      </c>
      <c r="I3818" s="4">
        <v>1</v>
      </c>
      <c r="J3818" s="5">
        <f>_xlfn.XLOOKUP(tblSales[[#This Row],[Product Code]],tblProducts[Code],tblProducts[Selling Price (excl. VAT)],0)</f>
        <v>1250000</v>
      </c>
      <c r="K3818" s="5">
        <f>tblSales[[#This Row],[Qty]]*tblSales[[#This Row],[Unit Price]]</f>
        <v>1250000</v>
      </c>
      <c r="L3818" s="5">
        <f>ROUND(tblSales[[#This Row],[DPP (excl. VAT)]]*VATEff,0)</f>
        <v>137500</v>
      </c>
      <c r="M3818" s="5">
        <f>tblSales[[#This Row],[DPP (excl. VAT)]]+tblSales[[#This Row],[Output VAT]]</f>
        <v>1387500</v>
      </c>
      <c r="N3818" s="5">
        <f>tblSales[[#This Row],[Qty]]*_xlfn.XLOOKUP(tblSales[[#This Row],[Product Code]],tblProducts[Code],tblProducts[Unit Cost],0)</f>
        <v>820000</v>
      </c>
      <c r="O3818" s="4" t="s">
        <v>4865</v>
      </c>
      <c r="P3818" s="4" t="s">
        <v>4860</v>
      </c>
      <c r="Q3818" s="1" t="str">
        <f>_xlfn.XLOOKUP(tblSales[[#This Row],[Channel Code]],tblChannels[Channel Code],tblChannels[Channel Name],"")</f>
        <v>In-store</v>
      </c>
      <c r="R3818" s="1">
        <f>MONTH(tblSales[[#This Row],[Date]])</f>
        <v>8</v>
      </c>
    </row>
    <row r="3819" spans="2:18" x14ac:dyDescent="0.35">
      <c r="B3819" s="113">
        <v>46250</v>
      </c>
      <c r="C3819" s="4" t="s">
        <v>2561</v>
      </c>
      <c r="D3819" s="4" t="s">
        <v>4568</v>
      </c>
      <c r="E3819" s="1" t="str">
        <f>_xlfn.XLOOKUP(tblSales[[#This Row],[Customer ID]],tblCustomers[Customer ID],tblCustomers[Customer Name],"⚠ Unknown")</f>
        <v>Walk-in Customer</v>
      </c>
      <c r="F3819" s="4" t="s">
        <v>10</v>
      </c>
      <c r="G3819" s="1" t="str">
        <f>_xlfn.XLOOKUP(tblSales[[#This Row],[Product Code]],tblProducts[Code],tblProducts[Product / Service Name],"⚠ Unknown")</f>
        <v>Chino Pants</v>
      </c>
      <c r="H3819" s="1" t="str">
        <f>_xlfn.XLOOKUP(tblSales[[#This Row],[Product Code]],tblProducts[Code],tblProducts[Category],"")</f>
        <v>Apparel &amp; Footwear</v>
      </c>
      <c r="I3819" s="4">
        <v>8</v>
      </c>
      <c r="J3819" s="5">
        <f>_xlfn.XLOOKUP(tblSales[[#This Row],[Product Code]],tblProducts[Code],tblProducts[Selling Price (excl. VAT)],0)</f>
        <v>150000</v>
      </c>
      <c r="K3819" s="5">
        <f>tblSales[[#This Row],[Qty]]*tblSales[[#This Row],[Unit Price]]</f>
        <v>1200000</v>
      </c>
      <c r="L3819" s="5">
        <f>ROUND(tblSales[[#This Row],[DPP (excl. VAT)]]*VATEff,0)</f>
        <v>132000</v>
      </c>
      <c r="M3819" s="5">
        <f>tblSales[[#This Row],[DPP (excl. VAT)]]+tblSales[[#This Row],[Output VAT]]</f>
        <v>1332000</v>
      </c>
      <c r="N3819" s="5">
        <f>tblSales[[#This Row],[Qty]]*_xlfn.XLOOKUP(tblSales[[#This Row],[Product Code]],tblProducts[Code],tblProducts[Unit Cost],0)</f>
        <v>704000</v>
      </c>
      <c r="O3819" s="4" t="s">
        <v>4865</v>
      </c>
      <c r="P3819" s="4" t="s">
        <v>4860</v>
      </c>
      <c r="Q3819" s="1" t="str">
        <f>_xlfn.XLOOKUP(tblSales[[#This Row],[Channel Code]],tblChannels[Channel Code],tblChannels[Channel Name],"")</f>
        <v>In-store</v>
      </c>
      <c r="R3819" s="1">
        <f>MONTH(tblSales[[#This Row],[Date]])</f>
        <v>8</v>
      </c>
    </row>
    <row r="3820" spans="2:18" x14ac:dyDescent="0.35">
      <c r="B3820" s="113">
        <v>46250</v>
      </c>
      <c r="C3820" s="4" t="s">
        <v>2561</v>
      </c>
      <c r="D3820" s="4" t="s">
        <v>4568</v>
      </c>
      <c r="E3820" s="1" t="str">
        <f>_xlfn.XLOOKUP(tblSales[[#This Row],[Customer ID]],tblCustomers[Customer ID],tblCustomers[Customer Name],"⚠ Unknown")</f>
        <v>Walk-in Customer</v>
      </c>
      <c r="F3820" s="4" t="s">
        <v>9</v>
      </c>
      <c r="G3820" s="1" t="str">
        <f>_xlfn.XLOOKUP(tblSales[[#This Row],[Product Code]],tblProducts[Code],tblProducts[Product / Service Name],"⚠ Unknown")</f>
        <v>Casual Shirt</v>
      </c>
      <c r="H3820" s="1" t="str">
        <f>_xlfn.XLOOKUP(tblSales[[#This Row],[Product Code]],tblProducts[Code],tblProducts[Category],"")</f>
        <v>Apparel &amp; Footwear</v>
      </c>
      <c r="I3820" s="4">
        <v>8</v>
      </c>
      <c r="J3820" s="5">
        <f>_xlfn.XLOOKUP(tblSales[[#This Row],[Product Code]],tblProducts[Code],tblProducts[Selling Price (excl. VAT)],0)</f>
        <v>120000</v>
      </c>
      <c r="K3820" s="5">
        <f>tblSales[[#This Row],[Qty]]*tblSales[[#This Row],[Unit Price]]</f>
        <v>960000</v>
      </c>
      <c r="L3820" s="5">
        <f>ROUND(tblSales[[#This Row],[DPP (excl. VAT)]]*VATEff,0)</f>
        <v>105600</v>
      </c>
      <c r="M3820" s="5">
        <f>tblSales[[#This Row],[DPP (excl. VAT)]]+tblSales[[#This Row],[Output VAT]]</f>
        <v>1065600</v>
      </c>
      <c r="N3820" s="5">
        <f>tblSales[[#This Row],[Qty]]*_xlfn.XLOOKUP(tblSales[[#This Row],[Product Code]],tblProducts[Code],tblProducts[Unit Cost],0)</f>
        <v>576000</v>
      </c>
      <c r="O3820" s="4" t="s">
        <v>4865</v>
      </c>
      <c r="P3820" s="4" t="s">
        <v>4860</v>
      </c>
      <c r="Q3820" s="1" t="str">
        <f>_xlfn.XLOOKUP(tblSales[[#This Row],[Channel Code]],tblChannels[Channel Code],tblChannels[Channel Name],"")</f>
        <v>In-store</v>
      </c>
      <c r="R3820" s="1">
        <f>MONTH(tblSales[[#This Row],[Date]])</f>
        <v>8</v>
      </c>
    </row>
    <row r="3821" spans="2:18" x14ac:dyDescent="0.35">
      <c r="B3821" s="113">
        <v>46250</v>
      </c>
      <c r="C3821" s="4" t="s">
        <v>2561</v>
      </c>
      <c r="D3821" s="4" t="s">
        <v>4568</v>
      </c>
      <c r="E3821" s="1" t="str">
        <f>_xlfn.XLOOKUP(tblSales[[#This Row],[Customer ID]],tblCustomers[Customer ID],tblCustomers[Customer Name],"⚠ Unknown")</f>
        <v>Walk-in Customer</v>
      </c>
      <c r="F3821" s="4" t="s">
        <v>6</v>
      </c>
      <c r="G3821" s="1" t="str">
        <f>_xlfn.XLOOKUP(tblSales[[#This Row],[Product Code]],tblProducts[Code],tblProducts[Product / Service Name],"⚠ Unknown")</f>
        <v>Socks &amp; Accessories</v>
      </c>
      <c r="H3821" s="1" t="str">
        <f>_xlfn.XLOOKUP(tblSales[[#This Row],[Product Code]],tblProducts[Code],tblProducts[Category],"")</f>
        <v>Accessories &amp; Basics</v>
      </c>
      <c r="I3821" s="4">
        <v>11</v>
      </c>
      <c r="J3821" s="5">
        <f>_xlfn.XLOOKUP(tblSales[[#This Row],[Product Code]],tblProducts[Code],tblProducts[Selling Price (excl. VAT)],0)</f>
        <v>45000</v>
      </c>
      <c r="K3821" s="5">
        <f>tblSales[[#This Row],[Qty]]*tblSales[[#This Row],[Unit Price]]</f>
        <v>495000</v>
      </c>
      <c r="L3821" s="5">
        <f>ROUND(tblSales[[#This Row],[DPP (excl. VAT)]]*VATEff,0)</f>
        <v>54450</v>
      </c>
      <c r="M3821" s="5">
        <f>tblSales[[#This Row],[DPP (excl. VAT)]]+tblSales[[#This Row],[Output VAT]]</f>
        <v>549450</v>
      </c>
      <c r="N3821" s="5">
        <f>tblSales[[#This Row],[Qty]]*_xlfn.XLOOKUP(tblSales[[#This Row],[Product Code]],tblProducts[Code],tblProducts[Unit Cost],0)</f>
        <v>264000</v>
      </c>
      <c r="O3821" s="4" t="s">
        <v>4865</v>
      </c>
      <c r="P3821" s="4" t="s">
        <v>4860</v>
      </c>
      <c r="Q3821" s="1" t="str">
        <f>_xlfn.XLOOKUP(tblSales[[#This Row],[Channel Code]],tblChannels[Channel Code],tblChannels[Channel Name],"")</f>
        <v>In-store</v>
      </c>
      <c r="R3821" s="1">
        <f>MONTH(tblSales[[#This Row],[Date]])</f>
        <v>8</v>
      </c>
    </row>
    <row r="3822" spans="2:18" x14ac:dyDescent="0.35">
      <c r="B3822" s="113">
        <v>46250</v>
      </c>
      <c r="C3822" s="4" t="s">
        <v>2562</v>
      </c>
      <c r="D3822" s="4" t="s">
        <v>4568</v>
      </c>
      <c r="E3822" s="1" t="str">
        <f>_xlfn.XLOOKUP(tblSales[[#This Row],[Customer ID]],tblCustomers[Customer ID],tblCustomers[Customer Name],"⚠ Unknown")</f>
        <v>Walk-in Customer</v>
      </c>
      <c r="F3822" s="4" t="s">
        <v>15</v>
      </c>
      <c r="G3822" s="1" t="str">
        <f>_xlfn.XLOOKUP(tblSales[[#This Row],[Product Code]],tblProducts[Code],tblProducts[Product / Service Name],"⚠ Unknown")</f>
        <v>Wireless Earbuds Pro</v>
      </c>
      <c r="H3822" s="1" t="str">
        <f>_xlfn.XLOOKUP(tblSales[[#This Row],[Product Code]],tblProducts[Code],tblProducts[Category],"")</f>
        <v>Bags &amp; Gadgets</v>
      </c>
      <c r="I3822" s="4">
        <v>3</v>
      </c>
      <c r="J3822" s="5">
        <f>_xlfn.XLOOKUP(tblSales[[#This Row],[Product Code]],tblProducts[Code],tblProducts[Selling Price (excl. VAT)],0)</f>
        <v>1250000</v>
      </c>
      <c r="K3822" s="5">
        <f>tblSales[[#This Row],[Qty]]*tblSales[[#This Row],[Unit Price]]</f>
        <v>3750000</v>
      </c>
      <c r="L3822" s="5">
        <f>ROUND(tblSales[[#This Row],[DPP (excl. VAT)]]*VATEff,0)</f>
        <v>412500</v>
      </c>
      <c r="M3822" s="5">
        <f>tblSales[[#This Row],[DPP (excl. VAT)]]+tblSales[[#This Row],[Output VAT]]</f>
        <v>4162500</v>
      </c>
      <c r="N3822" s="5">
        <f>tblSales[[#This Row],[Qty]]*_xlfn.XLOOKUP(tblSales[[#This Row],[Product Code]],tblProducts[Code],tblProducts[Unit Cost],0)</f>
        <v>2460000</v>
      </c>
      <c r="O3822" s="4" t="s">
        <v>4865</v>
      </c>
      <c r="P3822" s="4" t="s">
        <v>4860</v>
      </c>
      <c r="Q3822" s="1" t="str">
        <f>_xlfn.XLOOKUP(tblSales[[#This Row],[Channel Code]],tblChannels[Channel Code],tblChannels[Channel Name],"")</f>
        <v>In-store</v>
      </c>
      <c r="R3822" s="1">
        <f>MONTH(tblSales[[#This Row],[Date]])</f>
        <v>8</v>
      </c>
    </row>
    <row r="3823" spans="2:18" x14ac:dyDescent="0.35">
      <c r="B3823" s="113">
        <v>46250</v>
      </c>
      <c r="C3823" s="4" t="s">
        <v>2563</v>
      </c>
      <c r="D3823" s="4" t="s">
        <v>4568</v>
      </c>
      <c r="E3823" s="1" t="str">
        <f>_xlfn.XLOOKUP(tblSales[[#This Row],[Customer ID]],tblCustomers[Customer ID],tblCustomers[Customer Name],"⚠ Unknown")</f>
        <v>Walk-in Customer</v>
      </c>
      <c r="F3823" s="4" t="s">
        <v>8</v>
      </c>
      <c r="G3823" s="1" t="str">
        <f>_xlfn.XLOOKUP(tblSales[[#This Row],[Product Code]],tblProducts[Code],tblProducts[Product / Service Name],"⚠ Unknown")</f>
        <v>Casual Shorts</v>
      </c>
      <c r="H3823" s="1" t="str">
        <f>_xlfn.XLOOKUP(tblSales[[#This Row],[Product Code]],tblProducts[Code],tblProducts[Category],"")</f>
        <v>Accessories &amp; Basics</v>
      </c>
      <c r="I3823" s="4">
        <v>5</v>
      </c>
      <c r="J3823" s="5">
        <f>_xlfn.XLOOKUP(tblSales[[#This Row],[Product Code]],tblProducts[Code],tblProducts[Selling Price (excl. VAT)],0)</f>
        <v>85000</v>
      </c>
      <c r="K3823" s="5">
        <f>tblSales[[#This Row],[Qty]]*tblSales[[#This Row],[Unit Price]]</f>
        <v>425000</v>
      </c>
      <c r="L3823" s="5">
        <f>ROUND(tblSales[[#This Row],[DPP (excl. VAT)]]*VATEff,0)</f>
        <v>46750</v>
      </c>
      <c r="M3823" s="5">
        <f>tblSales[[#This Row],[DPP (excl. VAT)]]+tblSales[[#This Row],[Output VAT]]</f>
        <v>471750</v>
      </c>
      <c r="N3823" s="5">
        <f>tblSales[[#This Row],[Qty]]*_xlfn.XLOOKUP(tblSales[[#This Row],[Product Code]],tblProducts[Code],tblProducts[Unit Cost],0)</f>
        <v>250000</v>
      </c>
      <c r="O3823" s="4" t="s">
        <v>4866</v>
      </c>
      <c r="P3823" s="4" t="s">
        <v>4861</v>
      </c>
      <c r="Q3823" s="1" t="str">
        <f>_xlfn.XLOOKUP(tblSales[[#This Row],[Channel Code]],tblChannels[Channel Code],tblChannels[Channel Name],"")</f>
        <v>Marketplace</v>
      </c>
      <c r="R3823" s="1">
        <f>MONTH(tblSales[[#This Row],[Date]])</f>
        <v>8</v>
      </c>
    </row>
    <row r="3824" spans="2:18" x14ac:dyDescent="0.35">
      <c r="B3824" s="113">
        <v>46250</v>
      </c>
      <c r="C3824" s="4" t="s">
        <v>2564</v>
      </c>
      <c r="D3824" s="4" t="s">
        <v>4568</v>
      </c>
      <c r="E3824" s="1" t="str">
        <f>_xlfn.XLOOKUP(tblSales[[#This Row],[Customer ID]],tblCustomers[Customer ID],tblCustomers[Customer Name],"⚠ Unknown")</f>
        <v>Walk-in Customer</v>
      </c>
      <c r="F3824" s="4" t="s">
        <v>8</v>
      </c>
      <c r="G3824" s="1" t="str">
        <f>_xlfn.XLOOKUP(tblSales[[#This Row],[Product Code]],tblProducts[Code],tblProducts[Product / Service Name],"⚠ Unknown")</f>
        <v>Casual Shorts</v>
      </c>
      <c r="H3824" s="1" t="str">
        <f>_xlfn.XLOOKUP(tblSales[[#This Row],[Product Code]],tblProducts[Code],tblProducts[Category],"")</f>
        <v>Accessories &amp; Basics</v>
      </c>
      <c r="I3824" s="4">
        <v>12</v>
      </c>
      <c r="J3824" s="5">
        <f>_xlfn.XLOOKUP(tblSales[[#This Row],[Product Code]],tblProducts[Code],tblProducts[Selling Price (excl. VAT)],0)</f>
        <v>85000</v>
      </c>
      <c r="K3824" s="5">
        <f>tblSales[[#This Row],[Qty]]*tblSales[[#This Row],[Unit Price]]</f>
        <v>1020000</v>
      </c>
      <c r="L3824" s="5">
        <f>ROUND(tblSales[[#This Row],[DPP (excl. VAT)]]*VATEff,0)</f>
        <v>112200</v>
      </c>
      <c r="M3824" s="5">
        <f>tblSales[[#This Row],[DPP (excl. VAT)]]+tblSales[[#This Row],[Output VAT]]</f>
        <v>1132200</v>
      </c>
      <c r="N3824" s="5">
        <f>tblSales[[#This Row],[Qty]]*_xlfn.XLOOKUP(tblSales[[#This Row],[Product Code]],tblProducts[Code],tblProducts[Unit Cost],0)</f>
        <v>600000</v>
      </c>
      <c r="O3824" s="4" t="s">
        <v>4866</v>
      </c>
      <c r="P3824" s="4" t="s">
        <v>4860</v>
      </c>
      <c r="Q3824" s="1" t="str">
        <f>_xlfn.XLOOKUP(tblSales[[#This Row],[Channel Code]],tblChannels[Channel Code],tblChannels[Channel Name],"")</f>
        <v>In-store</v>
      </c>
      <c r="R3824" s="1">
        <f>MONTH(tblSales[[#This Row],[Date]])</f>
        <v>8</v>
      </c>
    </row>
    <row r="3825" spans="2:18" x14ac:dyDescent="0.35">
      <c r="B3825" s="113">
        <v>46250</v>
      </c>
      <c r="C3825" s="4" t="s">
        <v>2564</v>
      </c>
      <c r="D3825" s="4" t="s">
        <v>4568</v>
      </c>
      <c r="E3825" s="1" t="str">
        <f>_xlfn.XLOOKUP(tblSales[[#This Row],[Customer ID]],tblCustomers[Customer ID],tblCustomers[Customer Name],"⚠ Unknown")</f>
        <v>Walk-in Customer</v>
      </c>
      <c r="F3825" s="4" t="s">
        <v>14</v>
      </c>
      <c r="G3825" s="1" t="str">
        <f>_xlfn.XLOOKUP(tblSales[[#This Row],[Product Code]],tblProducts[Code],tblProducts[Product / Service Name],"⚠ Unknown")</f>
        <v>Smartwatch</v>
      </c>
      <c r="H3825" s="1" t="str">
        <f>_xlfn.XLOOKUP(tblSales[[#This Row],[Product Code]],tblProducts[Code],tblProducts[Category],"")</f>
        <v>Bags &amp; Gadgets</v>
      </c>
      <c r="I3825" s="4">
        <v>3</v>
      </c>
      <c r="J3825" s="5">
        <f>_xlfn.XLOOKUP(tblSales[[#This Row],[Product Code]],tblProducts[Code],tblProducts[Selling Price (excl. VAT)],0)</f>
        <v>850000</v>
      </c>
      <c r="K3825" s="5">
        <f>tblSales[[#This Row],[Qty]]*tblSales[[#This Row],[Unit Price]]</f>
        <v>2550000</v>
      </c>
      <c r="L3825" s="5">
        <f>ROUND(tblSales[[#This Row],[DPP (excl. VAT)]]*VATEff,0)</f>
        <v>280500</v>
      </c>
      <c r="M3825" s="5">
        <f>tblSales[[#This Row],[DPP (excl. VAT)]]+tblSales[[#This Row],[Output VAT]]</f>
        <v>2830500</v>
      </c>
      <c r="N3825" s="5">
        <f>tblSales[[#This Row],[Qty]]*_xlfn.XLOOKUP(tblSales[[#This Row],[Product Code]],tblProducts[Code],tblProducts[Unit Cost],0)</f>
        <v>1680000</v>
      </c>
      <c r="O3825" s="4" t="s">
        <v>4866</v>
      </c>
      <c r="P3825" s="4" t="s">
        <v>4860</v>
      </c>
      <c r="Q3825" s="1" t="str">
        <f>_xlfn.XLOOKUP(tblSales[[#This Row],[Channel Code]],tblChannels[Channel Code],tblChannels[Channel Name],"")</f>
        <v>In-store</v>
      </c>
      <c r="R3825" s="1">
        <f>MONTH(tblSales[[#This Row],[Date]])</f>
        <v>8</v>
      </c>
    </row>
    <row r="3826" spans="2:18" x14ac:dyDescent="0.35">
      <c r="B3826" s="113">
        <v>46250</v>
      </c>
      <c r="C3826" s="4" t="s">
        <v>2565</v>
      </c>
      <c r="D3826" s="4" t="s">
        <v>4634</v>
      </c>
      <c r="E3826" s="1" t="str">
        <f>_xlfn.XLOOKUP(tblSales[[#This Row],[Customer ID]],tblCustomers[Customer ID],tblCustomers[Customer Name],"⚠ Unknown")</f>
        <v>PT Delta Inti Selaras</v>
      </c>
      <c r="F3826" s="4" t="s">
        <v>8</v>
      </c>
      <c r="G3826" s="1" t="str">
        <f>_xlfn.XLOOKUP(tblSales[[#This Row],[Product Code]],tblProducts[Code],tblProducts[Product / Service Name],"⚠ Unknown")</f>
        <v>Casual Shorts</v>
      </c>
      <c r="H3826" s="1" t="str">
        <f>_xlfn.XLOOKUP(tblSales[[#This Row],[Product Code]],tblProducts[Code],tblProducts[Category],"")</f>
        <v>Accessories &amp; Basics</v>
      </c>
      <c r="I3826" s="4">
        <v>40</v>
      </c>
      <c r="J3826" s="5">
        <f>_xlfn.XLOOKUP(tblSales[[#This Row],[Product Code]],tblProducts[Code],tblProducts[Selling Price (excl. VAT)],0)</f>
        <v>85000</v>
      </c>
      <c r="K3826" s="5">
        <f>tblSales[[#This Row],[Qty]]*tblSales[[#This Row],[Unit Price]]</f>
        <v>3400000</v>
      </c>
      <c r="L3826" s="5">
        <f>ROUND(tblSales[[#This Row],[DPP (excl. VAT)]]*VATEff,0)</f>
        <v>374000</v>
      </c>
      <c r="M3826" s="5">
        <f>tblSales[[#This Row],[DPP (excl. VAT)]]+tblSales[[#This Row],[Output VAT]]</f>
        <v>3774000</v>
      </c>
      <c r="N3826" s="5">
        <f>tblSales[[#This Row],[Qty]]*_xlfn.XLOOKUP(tblSales[[#This Row],[Product Code]],tblProducts[Code],tblProducts[Unit Cost],0)</f>
        <v>2000000</v>
      </c>
      <c r="O3826" s="4" t="s">
        <v>4867</v>
      </c>
      <c r="P3826" s="4" t="s">
        <v>4860</v>
      </c>
      <c r="Q3826" s="1" t="str">
        <f>_xlfn.XLOOKUP(tblSales[[#This Row],[Channel Code]],tblChannels[Channel Code],tblChannels[Channel Name],"")</f>
        <v>In-store</v>
      </c>
      <c r="R3826" s="1">
        <f>MONTH(tblSales[[#This Row],[Date]])</f>
        <v>8</v>
      </c>
    </row>
    <row r="3827" spans="2:18" x14ac:dyDescent="0.35">
      <c r="B3827" s="113">
        <v>46250</v>
      </c>
      <c r="C3827" s="4" t="s">
        <v>2566</v>
      </c>
      <c r="D3827" s="4" t="s">
        <v>4568</v>
      </c>
      <c r="E3827" s="1" t="str">
        <f>_xlfn.XLOOKUP(tblSales[[#This Row],[Customer ID]],tblCustomers[Customer ID],tblCustomers[Customer Name],"⚠ Unknown")</f>
        <v>Walk-in Customer</v>
      </c>
      <c r="F3827" s="4" t="s">
        <v>6</v>
      </c>
      <c r="G3827" s="1" t="str">
        <f>_xlfn.XLOOKUP(tblSales[[#This Row],[Product Code]],tblProducts[Code],tblProducts[Product / Service Name],"⚠ Unknown")</f>
        <v>Socks &amp; Accessories</v>
      </c>
      <c r="H3827" s="1" t="str">
        <f>_xlfn.XLOOKUP(tblSales[[#This Row],[Product Code]],tblProducts[Code],tblProducts[Category],"")</f>
        <v>Accessories &amp; Basics</v>
      </c>
      <c r="I3827" s="4">
        <v>4</v>
      </c>
      <c r="J3827" s="5">
        <f>_xlfn.XLOOKUP(tblSales[[#This Row],[Product Code]],tblProducts[Code],tblProducts[Selling Price (excl. VAT)],0)</f>
        <v>45000</v>
      </c>
      <c r="K3827" s="5">
        <f>tblSales[[#This Row],[Qty]]*tblSales[[#This Row],[Unit Price]]</f>
        <v>180000</v>
      </c>
      <c r="L3827" s="5">
        <f>ROUND(tblSales[[#This Row],[DPP (excl. VAT)]]*VATEff,0)</f>
        <v>19800</v>
      </c>
      <c r="M3827" s="5">
        <f>tblSales[[#This Row],[DPP (excl. VAT)]]+tblSales[[#This Row],[Output VAT]]</f>
        <v>199800</v>
      </c>
      <c r="N3827" s="5">
        <f>tblSales[[#This Row],[Qty]]*_xlfn.XLOOKUP(tblSales[[#This Row],[Product Code]],tblProducts[Code],tblProducts[Unit Cost],0)</f>
        <v>96000</v>
      </c>
      <c r="O3827" s="4" t="s">
        <v>4866</v>
      </c>
      <c r="P3827" s="4" t="s">
        <v>4861</v>
      </c>
      <c r="Q3827" s="1" t="str">
        <f>_xlfn.XLOOKUP(tblSales[[#This Row],[Channel Code]],tblChannels[Channel Code],tblChannels[Channel Name],"")</f>
        <v>Marketplace</v>
      </c>
      <c r="R3827" s="1">
        <f>MONTH(tblSales[[#This Row],[Date]])</f>
        <v>8</v>
      </c>
    </row>
    <row r="3828" spans="2:18" x14ac:dyDescent="0.35">
      <c r="B3828" s="113">
        <v>46250</v>
      </c>
      <c r="C3828" s="4" t="s">
        <v>2567</v>
      </c>
      <c r="D3828" s="4" t="s">
        <v>4568</v>
      </c>
      <c r="E3828" s="1" t="str">
        <f>_xlfn.XLOOKUP(tblSales[[#This Row],[Customer ID]],tblCustomers[Customer ID],tblCustomers[Customer Name],"⚠ Unknown")</f>
        <v>Walk-in Customer</v>
      </c>
      <c r="F3828" s="4" t="s">
        <v>6</v>
      </c>
      <c r="G3828" s="1" t="str">
        <f>_xlfn.XLOOKUP(tblSales[[#This Row],[Product Code]],tblProducts[Code],tblProducts[Product / Service Name],"⚠ Unknown")</f>
        <v>Socks &amp; Accessories</v>
      </c>
      <c r="H3828" s="1" t="str">
        <f>_xlfn.XLOOKUP(tblSales[[#This Row],[Product Code]],tblProducts[Code],tblProducts[Category],"")</f>
        <v>Accessories &amp; Basics</v>
      </c>
      <c r="I3828" s="4">
        <v>6</v>
      </c>
      <c r="J3828" s="5">
        <f>_xlfn.XLOOKUP(tblSales[[#This Row],[Product Code]],tblProducts[Code],tblProducts[Selling Price (excl. VAT)],0)</f>
        <v>45000</v>
      </c>
      <c r="K3828" s="5">
        <f>tblSales[[#This Row],[Qty]]*tblSales[[#This Row],[Unit Price]]</f>
        <v>270000</v>
      </c>
      <c r="L3828" s="5">
        <f>ROUND(tblSales[[#This Row],[DPP (excl. VAT)]]*VATEff,0)</f>
        <v>29700</v>
      </c>
      <c r="M3828" s="5">
        <f>tblSales[[#This Row],[DPP (excl. VAT)]]+tblSales[[#This Row],[Output VAT]]</f>
        <v>299700</v>
      </c>
      <c r="N3828" s="5">
        <f>tblSales[[#This Row],[Qty]]*_xlfn.XLOOKUP(tblSales[[#This Row],[Product Code]],tblProducts[Code],tblProducts[Unit Cost],0)</f>
        <v>144000</v>
      </c>
      <c r="O3828" s="4" t="s">
        <v>4866</v>
      </c>
      <c r="P3828" s="4" t="s">
        <v>4862</v>
      </c>
      <c r="Q3828" s="1" t="str">
        <f>_xlfn.XLOOKUP(tblSales[[#This Row],[Channel Code]],tblChannels[Channel Code],tblChannels[Channel Name],"")</f>
        <v>Website &amp; Social Media</v>
      </c>
      <c r="R3828" s="1">
        <f>MONTH(tblSales[[#This Row],[Date]])</f>
        <v>8</v>
      </c>
    </row>
    <row r="3829" spans="2:18" x14ac:dyDescent="0.35">
      <c r="B3829" s="113">
        <v>46250</v>
      </c>
      <c r="C3829" s="4" t="s">
        <v>2567</v>
      </c>
      <c r="D3829" s="4" t="s">
        <v>4568</v>
      </c>
      <c r="E3829" s="1" t="str">
        <f>_xlfn.XLOOKUP(tblSales[[#This Row],[Customer ID]],tblCustomers[Customer ID],tblCustomers[Customer Name],"⚠ Unknown")</f>
        <v>Walk-in Customer</v>
      </c>
      <c r="F3829" s="4" t="s">
        <v>11</v>
      </c>
      <c r="G3829" s="1" t="str">
        <f>_xlfn.XLOOKUP(tblSales[[#This Row],[Product Code]],tblProducts[Code],tblProducts[Product / Service Name],"⚠ Unknown")</f>
        <v>Sneakers</v>
      </c>
      <c r="H3829" s="1" t="str">
        <f>_xlfn.XLOOKUP(tblSales[[#This Row],[Product Code]],tblProducts[Code],tblProducts[Category],"")</f>
        <v>Apparel &amp; Footwear</v>
      </c>
      <c r="I3829" s="4">
        <v>6</v>
      </c>
      <c r="J3829" s="5">
        <f>_xlfn.XLOOKUP(tblSales[[#This Row],[Product Code]],tblProducts[Code],tblProducts[Selling Price (excl. VAT)],0)</f>
        <v>250000</v>
      </c>
      <c r="K3829" s="5">
        <f>tblSales[[#This Row],[Qty]]*tblSales[[#This Row],[Unit Price]]</f>
        <v>1500000</v>
      </c>
      <c r="L3829" s="5">
        <f>ROUND(tblSales[[#This Row],[DPP (excl. VAT)]]*VATEff,0)</f>
        <v>165000</v>
      </c>
      <c r="M3829" s="5">
        <f>tblSales[[#This Row],[DPP (excl. VAT)]]+tblSales[[#This Row],[Output VAT]]</f>
        <v>1665000</v>
      </c>
      <c r="N3829" s="5">
        <f>tblSales[[#This Row],[Qty]]*_xlfn.XLOOKUP(tblSales[[#This Row],[Product Code]],tblProducts[Code],tblProducts[Unit Cost],0)</f>
        <v>930000</v>
      </c>
      <c r="O3829" s="4" t="s">
        <v>4866</v>
      </c>
      <c r="P3829" s="4" t="s">
        <v>4862</v>
      </c>
      <c r="Q3829" s="1" t="str">
        <f>_xlfn.XLOOKUP(tblSales[[#This Row],[Channel Code]],tblChannels[Channel Code],tblChannels[Channel Name],"")</f>
        <v>Website &amp; Social Media</v>
      </c>
      <c r="R3829" s="1">
        <f>MONTH(tblSales[[#This Row],[Date]])</f>
        <v>8</v>
      </c>
    </row>
    <row r="3830" spans="2:18" x14ac:dyDescent="0.35">
      <c r="B3830" s="113">
        <v>46250</v>
      </c>
      <c r="C3830" s="4" t="s">
        <v>2567</v>
      </c>
      <c r="D3830" s="4" t="s">
        <v>4568</v>
      </c>
      <c r="E3830" s="1" t="str">
        <f>_xlfn.XLOOKUP(tblSales[[#This Row],[Customer ID]],tblCustomers[Customer ID],tblCustomers[Customer Name],"⚠ Unknown")</f>
        <v>Walk-in Customer</v>
      </c>
      <c r="F3830" s="4" t="s">
        <v>7</v>
      </c>
      <c r="G3830" s="1" t="str">
        <f>_xlfn.XLOOKUP(tblSales[[#This Row],[Product Code]],tblProducts[Code],tblProducts[Product / Service Name],"⚠ Unknown")</f>
        <v>Premium Basic T-shirt</v>
      </c>
      <c r="H3830" s="1" t="str">
        <f>_xlfn.XLOOKUP(tblSales[[#This Row],[Product Code]],tblProducts[Code],tblProducts[Category],"")</f>
        <v>Accessories &amp; Basics</v>
      </c>
      <c r="I3830" s="4">
        <v>3</v>
      </c>
      <c r="J3830" s="5">
        <f>_xlfn.XLOOKUP(tblSales[[#This Row],[Product Code]],tblProducts[Code],tblProducts[Selling Price (excl. VAT)],0)</f>
        <v>65000</v>
      </c>
      <c r="K3830" s="5">
        <f>tblSales[[#This Row],[Qty]]*tblSales[[#This Row],[Unit Price]]</f>
        <v>195000</v>
      </c>
      <c r="L3830" s="5">
        <f>ROUND(tblSales[[#This Row],[DPP (excl. VAT)]]*VATEff,0)</f>
        <v>21450</v>
      </c>
      <c r="M3830" s="5">
        <f>tblSales[[#This Row],[DPP (excl. VAT)]]+tblSales[[#This Row],[Output VAT]]</f>
        <v>216450</v>
      </c>
      <c r="N3830" s="5">
        <f>tblSales[[#This Row],[Qty]]*_xlfn.XLOOKUP(tblSales[[#This Row],[Product Code]],tblProducts[Code],tblProducts[Unit Cost],0)</f>
        <v>111000</v>
      </c>
      <c r="O3830" s="4" t="s">
        <v>4866</v>
      </c>
      <c r="P3830" s="4" t="s">
        <v>4862</v>
      </c>
      <c r="Q3830" s="1" t="str">
        <f>_xlfn.XLOOKUP(tblSales[[#This Row],[Channel Code]],tblChannels[Channel Code],tblChannels[Channel Name],"")</f>
        <v>Website &amp; Social Media</v>
      </c>
      <c r="R3830" s="1">
        <f>MONTH(tblSales[[#This Row],[Date]])</f>
        <v>8</v>
      </c>
    </row>
    <row r="3831" spans="2:18" x14ac:dyDescent="0.35">
      <c r="B3831" s="113">
        <v>46250</v>
      </c>
      <c r="C3831" s="4" t="s">
        <v>2568</v>
      </c>
      <c r="D3831" s="4" t="s">
        <v>4568</v>
      </c>
      <c r="E3831" s="1" t="str">
        <f>_xlfn.XLOOKUP(tblSales[[#This Row],[Customer ID]],tblCustomers[Customer ID],tblCustomers[Customer Name],"⚠ Unknown")</f>
        <v>Walk-in Customer</v>
      </c>
      <c r="F3831" s="4" t="s">
        <v>11</v>
      </c>
      <c r="G3831" s="1" t="str">
        <f>_xlfn.XLOOKUP(tblSales[[#This Row],[Product Code]],tblProducts[Code],tblProducts[Product / Service Name],"⚠ Unknown")</f>
        <v>Sneakers</v>
      </c>
      <c r="H3831" s="1" t="str">
        <f>_xlfn.XLOOKUP(tblSales[[#This Row],[Product Code]],tblProducts[Code],tblProducts[Category],"")</f>
        <v>Apparel &amp; Footwear</v>
      </c>
      <c r="I3831" s="4">
        <v>2</v>
      </c>
      <c r="J3831" s="5">
        <f>_xlfn.XLOOKUP(tblSales[[#This Row],[Product Code]],tblProducts[Code],tblProducts[Selling Price (excl. VAT)],0)</f>
        <v>250000</v>
      </c>
      <c r="K3831" s="5">
        <f>tblSales[[#This Row],[Qty]]*tblSales[[#This Row],[Unit Price]]</f>
        <v>500000</v>
      </c>
      <c r="L3831" s="5">
        <f>ROUND(tblSales[[#This Row],[DPP (excl. VAT)]]*VATEff,0)</f>
        <v>55000</v>
      </c>
      <c r="M3831" s="5">
        <f>tblSales[[#This Row],[DPP (excl. VAT)]]+tblSales[[#This Row],[Output VAT]]</f>
        <v>555000</v>
      </c>
      <c r="N3831" s="5">
        <f>tblSales[[#This Row],[Qty]]*_xlfn.XLOOKUP(tblSales[[#This Row],[Product Code]],tblProducts[Code],tblProducts[Unit Cost],0)</f>
        <v>310000</v>
      </c>
      <c r="O3831" s="4" t="s">
        <v>4865</v>
      </c>
      <c r="P3831" s="4" t="s">
        <v>4860</v>
      </c>
      <c r="Q3831" s="1" t="str">
        <f>_xlfn.XLOOKUP(tblSales[[#This Row],[Channel Code]],tblChannels[Channel Code],tblChannels[Channel Name],"")</f>
        <v>In-store</v>
      </c>
      <c r="R3831" s="1">
        <f>MONTH(tblSales[[#This Row],[Date]])</f>
        <v>8</v>
      </c>
    </row>
    <row r="3832" spans="2:18" x14ac:dyDescent="0.35">
      <c r="B3832" s="113">
        <v>46250</v>
      </c>
      <c r="C3832" s="4" t="s">
        <v>2568</v>
      </c>
      <c r="D3832" s="4" t="s">
        <v>4568</v>
      </c>
      <c r="E3832" s="1" t="str">
        <f>_xlfn.XLOOKUP(tblSales[[#This Row],[Customer ID]],tblCustomers[Customer ID],tblCustomers[Customer Name],"⚠ Unknown")</f>
        <v>Walk-in Customer</v>
      </c>
      <c r="F3832" s="4" t="s">
        <v>6</v>
      </c>
      <c r="G3832" s="1" t="str">
        <f>_xlfn.XLOOKUP(tblSales[[#This Row],[Product Code]],tblProducts[Code],tblProducts[Product / Service Name],"⚠ Unknown")</f>
        <v>Socks &amp; Accessories</v>
      </c>
      <c r="H3832" s="1" t="str">
        <f>_xlfn.XLOOKUP(tblSales[[#This Row],[Product Code]],tblProducts[Code],tblProducts[Category],"")</f>
        <v>Accessories &amp; Basics</v>
      </c>
      <c r="I3832" s="4">
        <v>11</v>
      </c>
      <c r="J3832" s="5">
        <f>_xlfn.XLOOKUP(tblSales[[#This Row],[Product Code]],tblProducts[Code],tblProducts[Selling Price (excl. VAT)],0)</f>
        <v>45000</v>
      </c>
      <c r="K3832" s="5">
        <f>tblSales[[#This Row],[Qty]]*tblSales[[#This Row],[Unit Price]]</f>
        <v>495000</v>
      </c>
      <c r="L3832" s="5">
        <f>ROUND(tblSales[[#This Row],[DPP (excl. VAT)]]*VATEff,0)</f>
        <v>54450</v>
      </c>
      <c r="M3832" s="5">
        <f>tblSales[[#This Row],[DPP (excl. VAT)]]+tblSales[[#This Row],[Output VAT]]</f>
        <v>549450</v>
      </c>
      <c r="N3832" s="5">
        <f>tblSales[[#This Row],[Qty]]*_xlfn.XLOOKUP(tblSales[[#This Row],[Product Code]],tblProducts[Code],tblProducts[Unit Cost],0)</f>
        <v>264000</v>
      </c>
      <c r="O3832" s="4" t="s">
        <v>4865</v>
      </c>
      <c r="P3832" s="4" t="s">
        <v>4860</v>
      </c>
      <c r="Q3832" s="1" t="str">
        <f>_xlfn.XLOOKUP(tblSales[[#This Row],[Channel Code]],tblChannels[Channel Code],tblChannels[Channel Name],"")</f>
        <v>In-store</v>
      </c>
      <c r="R3832" s="1">
        <f>MONTH(tblSales[[#This Row],[Date]])</f>
        <v>8</v>
      </c>
    </row>
    <row r="3833" spans="2:18" x14ac:dyDescent="0.35">
      <c r="B3833" s="113">
        <v>46250</v>
      </c>
      <c r="C3833" s="4" t="s">
        <v>2569</v>
      </c>
      <c r="D3833" s="4" t="s">
        <v>4568</v>
      </c>
      <c r="E3833" s="1" t="str">
        <f>_xlfn.XLOOKUP(tblSales[[#This Row],[Customer ID]],tblCustomers[Customer ID],tblCustomers[Customer Name],"⚠ Unknown")</f>
        <v>Walk-in Customer</v>
      </c>
      <c r="F3833" s="4" t="s">
        <v>6</v>
      </c>
      <c r="G3833" s="1" t="str">
        <f>_xlfn.XLOOKUP(tblSales[[#This Row],[Product Code]],tblProducts[Code],tblProducts[Product / Service Name],"⚠ Unknown")</f>
        <v>Socks &amp; Accessories</v>
      </c>
      <c r="H3833" s="1" t="str">
        <f>_xlfn.XLOOKUP(tblSales[[#This Row],[Product Code]],tblProducts[Code],tblProducts[Category],"")</f>
        <v>Accessories &amp; Basics</v>
      </c>
      <c r="I3833" s="4">
        <v>7</v>
      </c>
      <c r="J3833" s="5">
        <f>_xlfn.XLOOKUP(tblSales[[#This Row],[Product Code]],tblProducts[Code],tblProducts[Selling Price (excl. VAT)],0)</f>
        <v>45000</v>
      </c>
      <c r="K3833" s="5">
        <f>tblSales[[#This Row],[Qty]]*tblSales[[#This Row],[Unit Price]]</f>
        <v>315000</v>
      </c>
      <c r="L3833" s="5">
        <f>ROUND(tblSales[[#This Row],[DPP (excl. VAT)]]*VATEff,0)</f>
        <v>34650</v>
      </c>
      <c r="M3833" s="5">
        <f>tblSales[[#This Row],[DPP (excl. VAT)]]+tblSales[[#This Row],[Output VAT]]</f>
        <v>349650</v>
      </c>
      <c r="N3833" s="5">
        <f>tblSales[[#This Row],[Qty]]*_xlfn.XLOOKUP(tblSales[[#This Row],[Product Code]],tblProducts[Code],tblProducts[Unit Cost],0)</f>
        <v>168000</v>
      </c>
      <c r="O3833" s="4" t="s">
        <v>4866</v>
      </c>
      <c r="P3833" s="4" t="s">
        <v>4862</v>
      </c>
      <c r="Q3833" s="1" t="str">
        <f>_xlfn.XLOOKUP(tblSales[[#This Row],[Channel Code]],tblChannels[Channel Code],tblChannels[Channel Name],"")</f>
        <v>Website &amp; Social Media</v>
      </c>
      <c r="R3833" s="1">
        <f>MONTH(tblSales[[#This Row],[Date]])</f>
        <v>8</v>
      </c>
    </row>
    <row r="3834" spans="2:18" x14ac:dyDescent="0.35">
      <c r="B3834" s="113">
        <v>46250</v>
      </c>
      <c r="C3834" s="4" t="s">
        <v>2569</v>
      </c>
      <c r="D3834" s="4" t="s">
        <v>4568</v>
      </c>
      <c r="E3834" s="1" t="str">
        <f>_xlfn.XLOOKUP(tblSales[[#This Row],[Customer ID]],tblCustomers[Customer ID],tblCustomers[Customer Name],"⚠ Unknown")</f>
        <v>Walk-in Customer</v>
      </c>
      <c r="F3834" s="4" t="s">
        <v>13</v>
      </c>
      <c r="G3834" s="1" t="str">
        <f>_xlfn.XLOOKUP(tblSales[[#This Row],[Product Code]],tblProducts[Code],tblProducts[Product / Service Name],"⚠ Unknown")</f>
        <v>Backpack</v>
      </c>
      <c r="H3834" s="1" t="str">
        <f>_xlfn.XLOOKUP(tblSales[[#This Row],[Product Code]],tblProducts[Code],tblProducts[Category],"")</f>
        <v>Bags &amp; Gadgets</v>
      </c>
      <c r="I3834" s="4">
        <v>3</v>
      </c>
      <c r="J3834" s="5">
        <f>_xlfn.XLOOKUP(tblSales[[#This Row],[Product Code]],tblProducts[Code],tblProducts[Selling Price (excl. VAT)],0)</f>
        <v>500000</v>
      </c>
      <c r="K3834" s="5">
        <f>tblSales[[#This Row],[Qty]]*tblSales[[#This Row],[Unit Price]]</f>
        <v>1500000</v>
      </c>
      <c r="L3834" s="5">
        <f>ROUND(tblSales[[#This Row],[DPP (excl. VAT)]]*VATEff,0)</f>
        <v>165000</v>
      </c>
      <c r="M3834" s="5">
        <f>tblSales[[#This Row],[DPP (excl. VAT)]]+tblSales[[#This Row],[Output VAT]]</f>
        <v>1665000</v>
      </c>
      <c r="N3834" s="5">
        <f>tblSales[[#This Row],[Qty]]*_xlfn.XLOOKUP(tblSales[[#This Row],[Product Code]],tblProducts[Code],tblProducts[Unit Cost],0)</f>
        <v>870000</v>
      </c>
      <c r="O3834" s="4" t="s">
        <v>4866</v>
      </c>
      <c r="P3834" s="4" t="s">
        <v>4862</v>
      </c>
      <c r="Q3834" s="1" t="str">
        <f>_xlfn.XLOOKUP(tblSales[[#This Row],[Channel Code]],tblChannels[Channel Code],tblChannels[Channel Name],"")</f>
        <v>Website &amp; Social Media</v>
      </c>
      <c r="R3834" s="1">
        <f>MONTH(tblSales[[#This Row],[Date]])</f>
        <v>8</v>
      </c>
    </row>
    <row r="3835" spans="2:18" x14ac:dyDescent="0.35">
      <c r="B3835" s="113">
        <v>46250</v>
      </c>
      <c r="C3835" s="4" t="s">
        <v>2569</v>
      </c>
      <c r="D3835" s="4" t="s">
        <v>4568</v>
      </c>
      <c r="E3835" s="1" t="str">
        <f>_xlfn.XLOOKUP(tblSales[[#This Row],[Customer ID]],tblCustomers[Customer ID],tblCustomers[Customer Name],"⚠ Unknown")</f>
        <v>Walk-in Customer</v>
      </c>
      <c r="F3835" s="4" t="s">
        <v>10</v>
      </c>
      <c r="G3835" s="1" t="str">
        <f>_xlfn.XLOOKUP(tblSales[[#This Row],[Product Code]],tblProducts[Code],tblProducts[Product / Service Name],"⚠ Unknown")</f>
        <v>Chino Pants</v>
      </c>
      <c r="H3835" s="1" t="str">
        <f>_xlfn.XLOOKUP(tblSales[[#This Row],[Product Code]],tblProducts[Code],tblProducts[Category],"")</f>
        <v>Apparel &amp; Footwear</v>
      </c>
      <c r="I3835" s="4">
        <v>6</v>
      </c>
      <c r="J3835" s="5">
        <f>_xlfn.XLOOKUP(tblSales[[#This Row],[Product Code]],tblProducts[Code],tblProducts[Selling Price (excl. VAT)],0)</f>
        <v>150000</v>
      </c>
      <c r="K3835" s="5">
        <f>tblSales[[#This Row],[Qty]]*tblSales[[#This Row],[Unit Price]]</f>
        <v>900000</v>
      </c>
      <c r="L3835" s="5">
        <f>ROUND(tblSales[[#This Row],[DPP (excl. VAT)]]*VATEff,0)</f>
        <v>99000</v>
      </c>
      <c r="M3835" s="5">
        <f>tblSales[[#This Row],[DPP (excl. VAT)]]+tblSales[[#This Row],[Output VAT]]</f>
        <v>999000</v>
      </c>
      <c r="N3835" s="5">
        <f>tblSales[[#This Row],[Qty]]*_xlfn.XLOOKUP(tblSales[[#This Row],[Product Code]],tblProducts[Code],tblProducts[Unit Cost],0)</f>
        <v>528000</v>
      </c>
      <c r="O3835" s="4" t="s">
        <v>4866</v>
      </c>
      <c r="P3835" s="4" t="s">
        <v>4862</v>
      </c>
      <c r="Q3835" s="1" t="str">
        <f>_xlfn.XLOOKUP(tblSales[[#This Row],[Channel Code]],tblChannels[Channel Code],tblChannels[Channel Name],"")</f>
        <v>Website &amp; Social Media</v>
      </c>
      <c r="R3835" s="1">
        <f>MONTH(tblSales[[#This Row],[Date]])</f>
        <v>8</v>
      </c>
    </row>
    <row r="3836" spans="2:18" x14ac:dyDescent="0.35">
      <c r="B3836" s="113">
        <v>46250</v>
      </c>
      <c r="C3836" s="4" t="s">
        <v>2570</v>
      </c>
      <c r="D3836" s="4" t="s">
        <v>4568</v>
      </c>
      <c r="E3836" s="1" t="str">
        <f>_xlfn.XLOOKUP(tblSales[[#This Row],[Customer ID]],tblCustomers[Customer ID],tblCustomers[Customer Name],"⚠ Unknown")</f>
        <v>Walk-in Customer</v>
      </c>
      <c r="F3836" s="4" t="s">
        <v>12</v>
      </c>
      <c r="G3836" s="1" t="str">
        <f>_xlfn.XLOOKUP(tblSales[[#This Row],[Product Code]],tblProducts[Code],tblProducts[Product / Service Name],"⚠ Unknown")</f>
        <v>Bomber Jacket</v>
      </c>
      <c r="H3836" s="1" t="str">
        <f>_xlfn.XLOOKUP(tblSales[[#This Row],[Product Code]],tblProducts[Code],tblProducts[Category],"")</f>
        <v>Apparel &amp; Footwear</v>
      </c>
      <c r="I3836" s="4">
        <v>3</v>
      </c>
      <c r="J3836" s="5">
        <f>_xlfn.XLOOKUP(tblSales[[#This Row],[Product Code]],tblProducts[Code],tblProducts[Selling Price (excl. VAT)],0)</f>
        <v>350000</v>
      </c>
      <c r="K3836" s="5">
        <f>tblSales[[#This Row],[Qty]]*tblSales[[#This Row],[Unit Price]]</f>
        <v>1050000</v>
      </c>
      <c r="L3836" s="5">
        <f>ROUND(tblSales[[#This Row],[DPP (excl. VAT)]]*VATEff,0)</f>
        <v>115500</v>
      </c>
      <c r="M3836" s="5">
        <f>tblSales[[#This Row],[DPP (excl. VAT)]]+tblSales[[#This Row],[Output VAT]]</f>
        <v>1165500</v>
      </c>
      <c r="N3836" s="5">
        <f>tblSales[[#This Row],[Qty]]*_xlfn.XLOOKUP(tblSales[[#This Row],[Product Code]],tblProducts[Code],tblProducts[Unit Cost],0)</f>
        <v>630000</v>
      </c>
      <c r="O3836" s="4" t="s">
        <v>4866</v>
      </c>
      <c r="P3836" s="4" t="s">
        <v>4861</v>
      </c>
      <c r="Q3836" s="1" t="str">
        <f>_xlfn.XLOOKUP(tblSales[[#This Row],[Channel Code]],tblChannels[Channel Code],tblChannels[Channel Name],"")</f>
        <v>Marketplace</v>
      </c>
      <c r="R3836" s="1">
        <f>MONTH(tblSales[[#This Row],[Date]])</f>
        <v>8</v>
      </c>
    </row>
    <row r="3837" spans="2:18" x14ac:dyDescent="0.35">
      <c r="B3837" s="113">
        <v>46251</v>
      </c>
      <c r="C3837" s="4" t="s">
        <v>2571</v>
      </c>
      <c r="D3837" s="4" t="s">
        <v>4568</v>
      </c>
      <c r="E3837" s="1" t="str">
        <f>_xlfn.XLOOKUP(tblSales[[#This Row],[Customer ID]],tblCustomers[Customer ID],tblCustomers[Customer Name],"⚠ Unknown")</f>
        <v>Walk-in Customer</v>
      </c>
      <c r="F3837" s="4" t="s">
        <v>11</v>
      </c>
      <c r="G3837" s="1" t="str">
        <f>_xlfn.XLOOKUP(tblSales[[#This Row],[Product Code]],tblProducts[Code],tblProducts[Product / Service Name],"⚠ Unknown")</f>
        <v>Sneakers</v>
      </c>
      <c r="H3837" s="1" t="str">
        <f>_xlfn.XLOOKUP(tblSales[[#This Row],[Product Code]],tblProducts[Code],tblProducts[Category],"")</f>
        <v>Apparel &amp; Footwear</v>
      </c>
      <c r="I3837" s="4">
        <v>4</v>
      </c>
      <c r="J3837" s="5">
        <f>_xlfn.XLOOKUP(tblSales[[#This Row],[Product Code]],tblProducts[Code],tblProducts[Selling Price (excl. VAT)],0)</f>
        <v>250000</v>
      </c>
      <c r="K3837" s="5">
        <f>tblSales[[#This Row],[Qty]]*tblSales[[#This Row],[Unit Price]]</f>
        <v>1000000</v>
      </c>
      <c r="L3837" s="5">
        <f>ROUND(tblSales[[#This Row],[DPP (excl. VAT)]]*VATEff,0)</f>
        <v>110000</v>
      </c>
      <c r="M3837" s="5">
        <f>tblSales[[#This Row],[DPP (excl. VAT)]]+tblSales[[#This Row],[Output VAT]]</f>
        <v>1110000</v>
      </c>
      <c r="N3837" s="5">
        <f>tblSales[[#This Row],[Qty]]*_xlfn.XLOOKUP(tblSales[[#This Row],[Product Code]],tblProducts[Code],tblProducts[Unit Cost],0)</f>
        <v>620000</v>
      </c>
      <c r="O3837" s="4" t="s">
        <v>4866</v>
      </c>
      <c r="P3837" s="4" t="s">
        <v>4861</v>
      </c>
      <c r="Q3837" s="1" t="str">
        <f>_xlfn.XLOOKUP(tblSales[[#This Row],[Channel Code]],tblChannels[Channel Code],tblChannels[Channel Name],"")</f>
        <v>Marketplace</v>
      </c>
      <c r="R3837" s="1">
        <f>MONTH(tblSales[[#This Row],[Date]])</f>
        <v>8</v>
      </c>
    </row>
    <row r="3838" spans="2:18" x14ac:dyDescent="0.35">
      <c r="B3838" s="113">
        <v>46251</v>
      </c>
      <c r="C3838" s="4" t="s">
        <v>2571</v>
      </c>
      <c r="D3838" s="4" t="s">
        <v>4568</v>
      </c>
      <c r="E3838" s="1" t="str">
        <f>_xlfn.XLOOKUP(tblSales[[#This Row],[Customer ID]],tblCustomers[Customer ID],tblCustomers[Customer Name],"⚠ Unknown")</f>
        <v>Walk-in Customer</v>
      </c>
      <c r="F3838" s="4" t="s">
        <v>8</v>
      </c>
      <c r="G3838" s="1" t="str">
        <f>_xlfn.XLOOKUP(tblSales[[#This Row],[Product Code]],tblProducts[Code],tblProducts[Product / Service Name],"⚠ Unknown")</f>
        <v>Casual Shorts</v>
      </c>
      <c r="H3838" s="1" t="str">
        <f>_xlfn.XLOOKUP(tblSales[[#This Row],[Product Code]],tblProducts[Code],tblProducts[Category],"")</f>
        <v>Accessories &amp; Basics</v>
      </c>
      <c r="I3838" s="4">
        <v>8</v>
      </c>
      <c r="J3838" s="5">
        <f>_xlfn.XLOOKUP(tblSales[[#This Row],[Product Code]],tblProducts[Code],tblProducts[Selling Price (excl. VAT)],0)</f>
        <v>85000</v>
      </c>
      <c r="K3838" s="5">
        <f>tblSales[[#This Row],[Qty]]*tblSales[[#This Row],[Unit Price]]</f>
        <v>680000</v>
      </c>
      <c r="L3838" s="5">
        <f>ROUND(tblSales[[#This Row],[DPP (excl. VAT)]]*VATEff,0)</f>
        <v>74800</v>
      </c>
      <c r="M3838" s="5">
        <f>tblSales[[#This Row],[DPP (excl. VAT)]]+tblSales[[#This Row],[Output VAT]]</f>
        <v>754800</v>
      </c>
      <c r="N3838" s="5">
        <f>tblSales[[#This Row],[Qty]]*_xlfn.XLOOKUP(tblSales[[#This Row],[Product Code]],tblProducts[Code],tblProducts[Unit Cost],0)</f>
        <v>400000</v>
      </c>
      <c r="O3838" s="4" t="s">
        <v>4866</v>
      </c>
      <c r="P3838" s="4" t="s">
        <v>4861</v>
      </c>
      <c r="Q3838" s="1" t="str">
        <f>_xlfn.XLOOKUP(tblSales[[#This Row],[Channel Code]],tblChannels[Channel Code],tblChannels[Channel Name],"")</f>
        <v>Marketplace</v>
      </c>
      <c r="R3838" s="1">
        <f>MONTH(tblSales[[#This Row],[Date]])</f>
        <v>8</v>
      </c>
    </row>
    <row r="3839" spans="2:18" x14ac:dyDescent="0.35">
      <c r="B3839" s="113">
        <v>46251</v>
      </c>
      <c r="C3839" s="4" t="s">
        <v>2571</v>
      </c>
      <c r="D3839" s="4" t="s">
        <v>4568</v>
      </c>
      <c r="E3839" s="1" t="str">
        <f>_xlfn.XLOOKUP(tblSales[[#This Row],[Customer ID]],tblCustomers[Customer ID],tblCustomers[Customer Name],"⚠ Unknown")</f>
        <v>Walk-in Customer</v>
      </c>
      <c r="F3839" s="4" t="s">
        <v>6</v>
      </c>
      <c r="G3839" s="1" t="str">
        <f>_xlfn.XLOOKUP(tblSales[[#This Row],[Product Code]],tblProducts[Code],tblProducts[Product / Service Name],"⚠ Unknown")</f>
        <v>Socks &amp; Accessories</v>
      </c>
      <c r="H3839" s="1" t="str">
        <f>_xlfn.XLOOKUP(tblSales[[#This Row],[Product Code]],tblProducts[Code],tblProducts[Category],"")</f>
        <v>Accessories &amp; Basics</v>
      </c>
      <c r="I3839" s="4">
        <v>11</v>
      </c>
      <c r="J3839" s="5">
        <f>_xlfn.XLOOKUP(tblSales[[#This Row],[Product Code]],tblProducts[Code],tblProducts[Selling Price (excl. VAT)],0)</f>
        <v>45000</v>
      </c>
      <c r="K3839" s="5">
        <f>tblSales[[#This Row],[Qty]]*tblSales[[#This Row],[Unit Price]]</f>
        <v>495000</v>
      </c>
      <c r="L3839" s="5">
        <f>ROUND(tblSales[[#This Row],[DPP (excl. VAT)]]*VATEff,0)</f>
        <v>54450</v>
      </c>
      <c r="M3839" s="5">
        <f>tblSales[[#This Row],[DPP (excl. VAT)]]+tblSales[[#This Row],[Output VAT]]</f>
        <v>549450</v>
      </c>
      <c r="N3839" s="5">
        <f>tblSales[[#This Row],[Qty]]*_xlfn.XLOOKUP(tblSales[[#This Row],[Product Code]],tblProducts[Code],tblProducts[Unit Cost],0)</f>
        <v>264000</v>
      </c>
      <c r="O3839" s="4" t="s">
        <v>4866</v>
      </c>
      <c r="P3839" s="4" t="s">
        <v>4861</v>
      </c>
      <c r="Q3839" s="1" t="str">
        <f>_xlfn.XLOOKUP(tblSales[[#This Row],[Channel Code]],tblChannels[Channel Code],tblChannels[Channel Name],"")</f>
        <v>Marketplace</v>
      </c>
      <c r="R3839" s="1">
        <f>MONTH(tblSales[[#This Row],[Date]])</f>
        <v>8</v>
      </c>
    </row>
    <row r="3840" spans="2:18" x14ac:dyDescent="0.35">
      <c r="B3840" s="113">
        <v>46251</v>
      </c>
      <c r="C3840" s="4" t="s">
        <v>2572</v>
      </c>
      <c r="D3840" s="4" t="s">
        <v>4568</v>
      </c>
      <c r="E3840" s="1" t="str">
        <f>_xlfn.XLOOKUP(tblSales[[#This Row],[Customer ID]],tblCustomers[Customer ID],tblCustomers[Customer Name],"⚠ Unknown")</f>
        <v>Walk-in Customer</v>
      </c>
      <c r="F3840" s="4" t="s">
        <v>6</v>
      </c>
      <c r="G3840" s="1" t="str">
        <f>_xlfn.XLOOKUP(tblSales[[#This Row],[Product Code]],tblProducts[Code],tblProducts[Product / Service Name],"⚠ Unknown")</f>
        <v>Socks &amp; Accessories</v>
      </c>
      <c r="H3840" s="1" t="str">
        <f>_xlfn.XLOOKUP(tblSales[[#This Row],[Product Code]],tblProducts[Code],tblProducts[Category],"")</f>
        <v>Accessories &amp; Basics</v>
      </c>
      <c r="I3840" s="4">
        <v>6</v>
      </c>
      <c r="J3840" s="5">
        <f>_xlfn.XLOOKUP(tblSales[[#This Row],[Product Code]],tblProducts[Code],tblProducts[Selling Price (excl. VAT)],0)</f>
        <v>45000</v>
      </c>
      <c r="K3840" s="5">
        <f>tblSales[[#This Row],[Qty]]*tblSales[[#This Row],[Unit Price]]</f>
        <v>270000</v>
      </c>
      <c r="L3840" s="5">
        <f>ROUND(tblSales[[#This Row],[DPP (excl. VAT)]]*VATEff,0)</f>
        <v>29700</v>
      </c>
      <c r="M3840" s="5">
        <f>tblSales[[#This Row],[DPP (excl. VAT)]]+tblSales[[#This Row],[Output VAT]]</f>
        <v>299700</v>
      </c>
      <c r="N3840" s="5">
        <f>tblSales[[#This Row],[Qty]]*_xlfn.XLOOKUP(tblSales[[#This Row],[Product Code]],tblProducts[Code],tblProducts[Unit Cost],0)</f>
        <v>144000</v>
      </c>
      <c r="O3840" s="4" t="s">
        <v>4865</v>
      </c>
      <c r="P3840" s="4" t="s">
        <v>4860</v>
      </c>
      <c r="Q3840" s="1" t="str">
        <f>_xlfn.XLOOKUP(tblSales[[#This Row],[Channel Code]],tblChannels[Channel Code],tblChannels[Channel Name],"")</f>
        <v>In-store</v>
      </c>
      <c r="R3840" s="1">
        <f>MONTH(tblSales[[#This Row],[Date]])</f>
        <v>8</v>
      </c>
    </row>
    <row r="3841" spans="2:18" x14ac:dyDescent="0.35">
      <c r="B3841" s="113">
        <v>46251</v>
      </c>
      <c r="C3841" s="4" t="s">
        <v>2573</v>
      </c>
      <c r="D3841" s="4" t="s">
        <v>4568</v>
      </c>
      <c r="E3841" s="1" t="str">
        <f>_xlfn.XLOOKUP(tblSales[[#This Row],[Customer ID]],tblCustomers[Customer ID],tblCustomers[Customer Name],"⚠ Unknown")</f>
        <v>Walk-in Customer</v>
      </c>
      <c r="F3841" s="4" t="s">
        <v>10</v>
      </c>
      <c r="G3841" s="1" t="str">
        <f>_xlfn.XLOOKUP(tblSales[[#This Row],[Product Code]],tblProducts[Code],tblProducts[Product / Service Name],"⚠ Unknown")</f>
        <v>Chino Pants</v>
      </c>
      <c r="H3841" s="1" t="str">
        <f>_xlfn.XLOOKUP(tblSales[[#This Row],[Product Code]],tblProducts[Code],tblProducts[Category],"")</f>
        <v>Apparel &amp; Footwear</v>
      </c>
      <c r="I3841" s="4">
        <v>3</v>
      </c>
      <c r="J3841" s="5">
        <f>_xlfn.XLOOKUP(tblSales[[#This Row],[Product Code]],tblProducts[Code],tblProducts[Selling Price (excl. VAT)],0)</f>
        <v>150000</v>
      </c>
      <c r="K3841" s="5">
        <f>tblSales[[#This Row],[Qty]]*tblSales[[#This Row],[Unit Price]]</f>
        <v>450000</v>
      </c>
      <c r="L3841" s="5">
        <f>ROUND(tblSales[[#This Row],[DPP (excl. VAT)]]*VATEff,0)</f>
        <v>49500</v>
      </c>
      <c r="M3841" s="5">
        <f>tblSales[[#This Row],[DPP (excl. VAT)]]+tblSales[[#This Row],[Output VAT]]</f>
        <v>499500</v>
      </c>
      <c r="N3841" s="5">
        <f>tblSales[[#This Row],[Qty]]*_xlfn.XLOOKUP(tblSales[[#This Row],[Product Code]],tblProducts[Code],tblProducts[Unit Cost],0)</f>
        <v>264000</v>
      </c>
      <c r="O3841" s="4" t="s">
        <v>4866</v>
      </c>
      <c r="P3841" s="4" t="s">
        <v>4860</v>
      </c>
      <c r="Q3841" s="1" t="str">
        <f>_xlfn.XLOOKUP(tblSales[[#This Row],[Channel Code]],tblChannels[Channel Code],tblChannels[Channel Name],"")</f>
        <v>In-store</v>
      </c>
      <c r="R3841" s="1">
        <f>MONTH(tblSales[[#This Row],[Date]])</f>
        <v>8</v>
      </c>
    </row>
    <row r="3842" spans="2:18" x14ac:dyDescent="0.35">
      <c r="B3842" s="113">
        <v>46251</v>
      </c>
      <c r="C3842" s="4" t="s">
        <v>2574</v>
      </c>
      <c r="D3842" s="4" t="s">
        <v>4568</v>
      </c>
      <c r="E3842" s="1" t="str">
        <f>_xlfn.XLOOKUP(tblSales[[#This Row],[Customer ID]],tblCustomers[Customer ID],tblCustomers[Customer Name],"⚠ Unknown")</f>
        <v>Walk-in Customer</v>
      </c>
      <c r="F3842" s="4" t="s">
        <v>7</v>
      </c>
      <c r="G3842" s="1" t="str">
        <f>_xlfn.XLOOKUP(tblSales[[#This Row],[Product Code]],tblProducts[Code],tblProducts[Product / Service Name],"⚠ Unknown")</f>
        <v>Premium Basic T-shirt</v>
      </c>
      <c r="H3842" s="1" t="str">
        <f>_xlfn.XLOOKUP(tblSales[[#This Row],[Product Code]],tblProducts[Code],tblProducts[Category],"")</f>
        <v>Accessories &amp; Basics</v>
      </c>
      <c r="I3842" s="4">
        <v>3</v>
      </c>
      <c r="J3842" s="5">
        <f>_xlfn.XLOOKUP(tblSales[[#This Row],[Product Code]],tblProducts[Code],tblProducts[Selling Price (excl. VAT)],0)</f>
        <v>65000</v>
      </c>
      <c r="K3842" s="5">
        <f>tblSales[[#This Row],[Qty]]*tblSales[[#This Row],[Unit Price]]</f>
        <v>195000</v>
      </c>
      <c r="L3842" s="5">
        <f>ROUND(tblSales[[#This Row],[DPP (excl. VAT)]]*VATEff,0)</f>
        <v>21450</v>
      </c>
      <c r="M3842" s="5">
        <f>tblSales[[#This Row],[DPP (excl. VAT)]]+tblSales[[#This Row],[Output VAT]]</f>
        <v>216450</v>
      </c>
      <c r="N3842" s="5">
        <f>tblSales[[#This Row],[Qty]]*_xlfn.XLOOKUP(tblSales[[#This Row],[Product Code]],tblProducts[Code],tblProducts[Unit Cost],0)</f>
        <v>111000</v>
      </c>
      <c r="O3842" s="4" t="s">
        <v>4865</v>
      </c>
      <c r="P3842" s="4" t="s">
        <v>4860</v>
      </c>
      <c r="Q3842" s="1" t="str">
        <f>_xlfn.XLOOKUP(tblSales[[#This Row],[Channel Code]],tblChannels[Channel Code],tblChannels[Channel Name],"")</f>
        <v>In-store</v>
      </c>
      <c r="R3842" s="1">
        <f>MONTH(tblSales[[#This Row],[Date]])</f>
        <v>8</v>
      </c>
    </row>
    <row r="3843" spans="2:18" x14ac:dyDescent="0.35">
      <c r="B3843" s="113">
        <v>46251</v>
      </c>
      <c r="C3843" s="4" t="s">
        <v>2574</v>
      </c>
      <c r="D3843" s="4" t="s">
        <v>4568</v>
      </c>
      <c r="E3843" s="1" t="str">
        <f>_xlfn.XLOOKUP(tblSales[[#This Row],[Customer ID]],tblCustomers[Customer ID],tblCustomers[Customer Name],"⚠ Unknown")</f>
        <v>Walk-in Customer</v>
      </c>
      <c r="F3843" s="4" t="s">
        <v>13</v>
      </c>
      <c r="G3843" s="1" t="str">
        <f>_xlfn.XLOOKUP(tblSales[[#This Row],[Product Code]],tblProducts[Code],tblProducts[Product / Service Name],"⚠ Unknown")</f>
        <v>Backpack</v>
      </c>
      <c r="H3843" s="1" t="str">
        <f>_xlfn.XLOOKUP(tblSales[[#This Row],[Product Code]],tblProducts[Code],tblProducts[Category],"")</f>
        <v>Bags &amp; Gadgets</v>
      </c>
      <c r="I3843" s="4">
        <v>6</v>
      </c>
      <c r="J3843" s="5">
        <f>_xlfn.XLOOKUP(tblSales[[#This Row],[Product Code]],tblProducts[Code],tblProducts[Selling Price (excl. VAT)],0)</f>
        <v>500000</v>
      </c>
      <c r="K3843" s="5">
        <f>tblSales[[#This Row],[Qty]]*tblSales[[#This Row],[Unit Price]]</f>
        <v>3000000</v>
      </c>
      <c r="L3843" s="5">
        <f>ROUND(tblSales[[#This Row],[DPP (excl. VAT)]]*VATEff,0)</f>
        <v>330000</v>
      </c>
      <c r="M3843" s="5">
        <f>tblSales[[#This Row],[DPP (excl. VAT)]]+tblSales[[#This Row],[Output VAT]]</f>
        <v>3330000</v>
      </c>
      <c r="N3843" s="5">
        <f>tblSales[[#This Row],[Qty]]*_xlfn.XLOOKUP(tblSales[[#This Row],[Product Code]],tblProducts[Code],tblProducts[Unit Cost],0)</f>
        <v>1740000</v>
      </c>
      <c r="O3843" s="4" t="s">
        <v>4865</v>
      </c>
      <c r="P3843" s="4" t="s">
        <v>4860</v>
      </c>
      <c r="Q3843" s="1" t="str">
        <f>_xlfn.XLOOKUP(tblSales[[#This Row],[Channel Code]],tblChannels[Channel Code],tblChannels[Channel Name],"")</f>
        <v>In-store</v>
      </c>
      <c r="R3843" s="1">
        <f>MONTH(tblSales[[#This Row],[Date]])</f>
        <v>8</v>
      </c>
    </row>
    <row r="3844" spans="2:18" x14ac:dyDescent="0.35">
      <c r="B3844" s="113">
        <v>46251</v>
      </c>
      <c r="C3844" s="4" t="s">
        <v>2575</v>
      </c>
      <c r="D3844" s="4" t="s">
        <v>4568</v>
      </c>
      <c r="E3844" s="1" t="str">
        <f>_xlfn.XLOOKUP(tblSales[[#This Row],[Customer ID]],tblCustomers[Customer ID],tblCustomers[Customer Name],"⚠ Unknown")</f>
        <v>Walk-in Customer</v>
      </c>
      <c r="F3844" s="4" t="s">
        <v>8</v>
      </c>
      <c r="G3844" s="1" t="str">
        <f>_xlfn.XLOOKUP(tblSales[[#This Row],[Product Code]],tblProducts[Code],tblProducts[Product / Service Name],"⚠ Unknown")</f>
        <v>Casual Shorts</v>
      </c>
      <c r="H3844" s="1" t="str">
        <f>_xlfn.XLOOKUP(tblSales[[#This Row],[Product Code]],tblProducts[Code],tblProducts[Category],"")</f>
        <v>Accessories &amp; Basics</v>
      </c>
      <c r="I3844" s="4">
        <v>3</v>
      </c>
      <c r="J3844" s="5">
        <f>_xlfn.XLOOKUP(tblSales[[#This Row],[Product Code]],tblProducts[Code],tblProducts[Selling Price (excl. VAT)],0)</f>
        <v>85000</v>
      </c>
      <c r="K3844" s="5">
        <f>tblSales[[#This Row],[Qty]]*tblSales[[#This Row],[Unit Price]]</f>
        <v>255000</v>
      </c>
      <c r="L3844" s="5">
        <f>ROUND(tblSales[[#This Row],[DPP (excl. VAT)]]*VATEff,0)</f>
        <v>28050</v>
      </c>
      <c r="M3844" s="5">
        <f>tblSales[[#This Row],[DPP (excl. VAT)]]+tblSales[[#This Row],[Output VAT]]</f>
        <v>283050</v>
      </c>
      <c r="N3844" s="5">
        <f>tblSales[[#This Row],[Qty]]*_xlfn.XLOOKUP(tblSales[[#This Row],[Product Code]],tblProducts[Code],tblProducts[Unit Cost],0)</f>
        <v>150000</v>
      </c>
      <c r="O3844" s="4" t="s">
        <v>4865</v>
      </c>
      <c r="P3844" s="4" t="s">
        <v>4860</v>
      </c>
      <c r="Q3844" s="1" t="str">
        <f>_xlfn.XLOOKUP(tblSales[[#This Row],[Channel Code]],tblChannels[Channel Code],tblChannels[Channel Name],"")</f>
        <v>In-store</v>
      </c>
      <c r="R3844" s="1">
        <f>MONTH(tblSales[[#This Row],[Date]])</f>
        <v>8</v>
      </c>
    </row>
    <row r="3845" spans="2:18" x14ac:dyDescent="0.35">
      <c r="B3845" s="113">
        <v>46251</v>
      </c>
      <c r="C3845" s="4" t="s">
        <v>2576</v>
      </c>
      <c r="D3845" s="4" t="s">
        <v>4568</v>
      </c>
      <c r="E3845" s="1" t="str">
        <f>_xlfn.XLOOKUP(tblSales[[#This Row],[Customer ID]],tblCustomers[Customer ID],tblCustomers[Customer Name],"⚠ Unknown")</f>
        <v>Walk-in Customer</v>
      </c>
      <c r="F3845" s="4" t="s">
        <v>7</v>
      </c>
      <c r="G3845" s="1" t="str">
        <f>_xlfn.XLOOKUP(tblSales[[#This Row],[Product Code]],tblProducts[Code],tblProducts[Product / Service Name],"⚠ Unknown")</f>
        <v>Premium Basic T-shirt</v>
      </c>
      <c r="H3845" s="1" t="str">
        <f>_xlfn.XLOOKUP(tblSales[[#This Row],[Product Code]],tblProducts[Code],tblProducts[Category],"")</f>
        <v>Accessories &amp; Basics</v>
      </c>
      <c r="I3845" s="4">
        <v>3</v>
      </c>
      <c r="J3845" s="5">
        <f>_xlfn.XLOOKUP(tblSales[[#This Row],[Product Code]],tblProducts[Code],tblProducts[Selling Price (excl. VAT)],0)</f>
        <v>65000</v>
      </c>
      <c r="K3845" s="5">
        <f>tblSales[[#This Row],[Qty]]*tblSales[[#This Row],[Unit Price]]</f>
        <v>195000</v>
      </c>
      <c r="L3845" s="5">
        <f>ROUND(tblSales[[#This Row],[DPP (excl. VAT)]]*VATEff,0)</f>
        <v>21450</v>
      </c>
      <c r="M3845" s="5">
        <f>tblSales[[#This Row],[DPP (excl. VAT)]]+tblSales[[#This Row],[Output VAT]]</f>
        <v>216450</v>
      </c>
      <c r="N3845" s="5">
        <f>tblSales[[#This Row],[Qty]]*_xlfn.XLOOKUP(tblSales[[#This Row],[Product Code]],tblProducts[Code],tblProducts[Unit Cost],0)</f>
        <v>111000</v>
      </c>
      <c r="O3845" s="4" t="s">
        <v>4865</v>
      </c>
      <c r="P3845" s="4" t="s">
        <v>4860</v>
      </c>
      <c r="Q3845" s="1" t="str">
        <f>_xlfn.XLOOKUP(tblSales[[#This Row],[Channel Code]],tblChannels[Channel Code],tblChannels[Channel Name],"")</f>
        <v>In-store</v>
      </c>
      <c r="R3845" s="1">
        <f>MONTH(tblSales[[#This Row],[Date]])</f>
        <v>8</v>
      </c>
    </row>
    <row r="3846" spans="2:18" x14ac:dyDescent="0.35">
      <c r="B3846" s="113">
        <v>46251</v>
      </c>
      <c r="C3846" s="4" t="s">
        <v>2577</v>
      </c>
      <c r="D3846" s="4" t="s">
        <v>4568</v>
      </c>
      <c r="E3846" s="1" t="str">
        <f>_xlfn.XLOOKUP(tblSales[[#This Row],[Customer ID]],tblCustomers[Customer ID],tblCustomers[Customer Name],"⚠ Unknown")</f>
        <v>Walk-in Customer</v>
      </c>
      <c r="F3846" s="4" t="s">
        <v>9</v>
      </c>
      <c r="G3846" s="1" t="str">
        <f>_xlfn.XLOOKUP(tblSales[[#This Row],[Product Code]],tblProducts[Code],tblProducts[Product / Service Name],"⚠ Unknown")</f>
        <v>Casual Shirt</v>
      </c>
      <c r="H3846" s="1" t="str">
        <f>_xlfn.XLOOKUP(tblSales[[#This Row],[Product Code]],tblProducts[Code],tblProducts[Category],"")</f>
        <v>Apparel &amp; Footwear</v>
      </c>
      <c r="I3846" s="4">
        <v>7</v>
      </c>
      <c r="J3846" s="5">
        <f>_xlfn.XLOOKUP(tblSales[[#This Row],[Product Code]],tblProducts[Code],tblProducts[Selling Price (excl. VAT)],0)</f>
        <v>120000</v>
      </c>
      <c r="K3846" s="5">
        <f>tblSales[[#This Row],[Qty]]*tblSales[[#This Row],[Unit Price]]</f>
        <v>840000</v>
      </c>
      <c r="L3846" s="5">
        <f>ROUND(tblSales[[#This Row],[DPP (excl. VAT)]]*VATEff,0)</f>
        <v>92400</v>
      </c>
      <c r="M3846" s="5">
        <f>tblSales[[#This Row],[DPP (excl. VAT)]]+tblSales[[#This Row],[Output VAT]]</f>
        <v>932400</v>
      </c>
      <c r="N3846" s="5">
        <f>tblSales[[#This Row],[Qty]]*_xlfn.XLOOKUP(tblSales[[#This Row],[Product Code]],tblProducts[Code],tblProducts[Unit Cost],0)</f>
        <v>504000</v>
      </c>
      <c r="O3846" s="4" t="s">
        <v>4865</v>
      </c>
      <c r="P3846" s="4" t="s">
        <v>4860</v>
      </c>
      <c r="Q3846" s="1" t="str">
        <f>_xlfn.XLOOKUP(tblSales[[#This Row],[Channel Code]],tblChannels[Channel Code],tblChannels[Channel Name],"")</f>
        <v>In-store</v>
      </c>
      <c r="R3846" s="1">
        <f>MONTH(tblSales[[#This Row],[Date]])</f>
        <v>8</v>
      </c>
    </row>
    <row r="3847" spans="2:18" x14ac:dyDescent="0.35">
      <c r="B3847" s="113">
        <v>46251</v>
      </c>
      <c r="C3847" s="4" t="s">
        <v>2578</v>
      </c>
      <c r="D3847" s="4" t="s">
        <v>4568</v>
      </c>
      <c r="E3847" s="1" t="str">
        <f>_xlfn.XLOOKUP(tblSales[[#This Row],[Customer ID]],tblCustomers[Customer ID],tblCustomers[Customer Name],"⚠ Unknown")</f>
        <v>Walk-in Customer</v>
      </c>
      <c r="F3847" s="4" t="s">
        <v>8</v>
      </c>
      <c r="G3847" s="1" t="str">
        <f>_xlfn.XLOOKUP(tblSales[[#This Row],[Product Code]],tblProducts[Code],tblProducts[Product / Service Name],"⚠ Unknown")</f>
        <v>Casual Shorts</v>
      </c>
      <c r="H3847" s="1" t="str">
        <f>_xlfn.XLOOKUP(tblSales[[#This Row],[Product Code]],tblProducts[Code],tblProducts[Category],"")</f>
        <v>Accessories &amp; Basics</v>
      </c>
      <c r="I3847" s="4">
        <v>7</v>
      </c>
      <c r="J3847" s="5">
        <f>_xlfn.XLOOKUP(tblSales[[#This Row],[Product Code]],tblProducts[Code],tblProducts[Selling Price (excl. VAT)],0)</f>
        <v>85000</v>
      </c>
      <c r="K3847" s="5">
        <f>tblSales[[#This Row],[Qty]]*tblSales[[#This Row],[Unit Price]]</f>
        <v>595000</v>
      </c>
      <c r="L3847" s="5">
        <f>ROUND(tblSales[[#This Row],[DPP (excl. VAT)]]*VATEff,0)</f>
        <v>65450</v>
      </c>
      <c r="M3847" s="5">
        <f>tblSales[[#This Row],[DPP (excl. VAT)]]+tblSales[[#This Row],[Output VAT]]</f>
        <v>660450</v>
      </c>
      <c r="N3847" s="5">
        <f>tblSales[[#This Row],[Qty]]*_xlfn.XLOOKUP(tblSales[[#This Row],[Product Code]],tblProducts[Code],tblProducts[Unit Cost],0)</f>
        <v>350000</v>
      </c>
      <c r="O3847" s="4" t="s">
        <v>4866</v>
      </c>
      <c r="P3847" s="4" t="s">
        <v>4860</v>
      </c>
      <c r="Q3847" s="1" t="str">
        <f>_xlfn.XLOOKUP(tblSales[[#This Row],[Channel Code]],tblChannels[Channel Code],tblChannels[Channel Name],"")</f>
        <v>In-store</v>
      </c>
      <c r="R3847" s="1">
        <f>MONTH(tblSales[[#This Row],[Date]])</f>
        <v>8</v>
      </c>
    </row>
    <row r="3848" spans="2:18" x14ac:dyDescent="0.35">
      <c r="B3848" s="113">
        <v>46251</v>
      </c>
      <c r="C3848" s="4" t="s">
        <v>2579</v>
      </c>
      <c r="D3848" s="4" t="s">
        <v>4568</v>
      </c>
      <c r="E3848" s="1" t="str">
        <f>_xlfn.XLOOKUP(tblSales[[#This Row],[Customer ID]],tblCustomers[Customer ID],tblCustomers[Customer Name],"⚠ Unknown")</f>
        <v>Walk-in Customer</v>
      </c>
      <c r="F3848" s="4" t="s">
        <v>12</v>
      </c>
      <c r="G3848" s="1" t="str">
        <f>_xlfn.XLOOKUP(tblSales[[#This Row],[Product Code]],tblProducts[Code],tblProducts[Product / Service Name],"⚠ Unknown")</f>
        <v>Bomber Jacket</v>
      </c>
      <c r="H3848" s="1" t="str">
        <f>_xlfn.XLOOKUP(tblSales[[#This Row],[Product Code]],tblProducts[Code],tblProducts[Category],"")</f>
        <v>Apparel &amp; Footwear</v>
      </c>
      <c r="I3848" s="4">
        <v>6</v>
      </c>
      <c r="J3848" s="5">
        <f>_xlfn.XLOOKUP(tblSales[[#This Row],[Product Code]],tblProducts[Code],tblProducts[Selling Price (excl. VAT)],0)</f>
        <v>350000</v>
      </c>
      <c r="K3848" s="5">
        <f>tblSales[[#This Row],[Qty]]*tblSales[[#This Row],[Unit Price]]</f>
        <v>2100000</v>
      </c>
      <c r="L3848" s="5">
        <f>ROUND(tblSales[[#This Row],[DPP (excl. VAT)]]*VATEff,0)</f>
        <v>231000</v>
      </c>
      <c r="M3848" s="5">
        <f>tblSales[[#This Row],[DPP (excl. VAT)]]+tblSales[[#This Row],[Output VAT]]</f>
        <v>2331000</v>
      </c>
      <c r="N3848" s="5">
        <f>tblSales[[#This Row],[Qty]]*_xlfn.XLOOKUP(tblSales[[#This Row],[Product Code]],tblProducts[Code],tblProducts[Unit Cost],0)</f>
        <v>1260000</v>
      </c>
      <c r="O3848" s="4" t="s">
        <v>4866</v>
      </c>
      <c r="P3848" s="4" t="s">
        <v>4862</v>
      </c>
      <c r="Q3848" s="1" t="str">
        <f>_xlfn.XLOOKUP(tblSales[[#This Row],[Channel Code]],tblChannels[Channel Code],tblChannels[Channel Name],"")</f>
        <v>Website &amp; Social Media</v>
      </c>
      <c r="R3848" s="1">
        <f>MONTH(tblSales[[#This Row],[Date]])</f>
        <v>8</v>
      </c>
    </row>
    <row r="3849" spans="2:18" x14ac:dyDescent="0.35">
      <c r="B3849" s="113">
        <v>46251</v>
      </c>
      <c r="C3849" s="4" t="s">
        <v>2580</v>
      </c>
      <c r="D3849" s="4" t="s">
        <v>4568</v>
      </c>
      <c r="E3849" s="1" t="str">
        <f>_xlfn.XLOOKUP(tblSales[[#This Row],[Customer ID]],tblCustomers[Customer ID],tblCustomers[Customer Name],"⚠ Unknown")</f>
        <v>Walk-in Customer</v>
      </c>
      <c r="F3849" s="4" t="s">
        <v>9</v>
      </c>
      <c r="G3849" s="1" t="str">
        <f>_xlfn.XLOOKUP(tblSales[[#This Row],[Product Code]],tblProducts[Code],tblProducts[Product / Service Name],"⚠ Unknown")</f>
        <v>Casual Shirt</v>
      </c>
      <c r="H3849" s="1" t="str">
        <f>_xlfn.XLOOKUP(tblSales[[#This Row],[Product Code]],tblProducts[Code],tblProducts[Category],"")</f>
        <v>Apparel &amp; Footwear</v>
      </c>
      <c r="I3849" s="4">
        <v>5</v>
      </c>
      <c r="J3849" s="5">
        <f>_xlfn.XLOOKUP(tblSales[[#This Row],[Product Code]],tblProducts[Code],tblProducts[Selling Price (excl. VAT)],0)</f>
        <v>120000</v>
      </c>
      <c r="K3849" s="5">
        <f>tblSales[[#This Row],[Qty]]*tblSales[[#This Row],[Unit Price]]</f>
        <v>600000</v>
      </c>
      <c r="L3849" s="5">
        <f>ROUND(tblSales[[#This Row],[DPP (excl. VAT)]]*VATEff,0)</f>
        <v>66000</v>
      </c>
      <c r="M3849" s="5">
        <f>tblSales[[#This Row],[DPP (excl. VAT)]]+tblSales[[#This Row],[Output VAT]]</f>
        <v>666000</v>
      </c>
      <c r="N3849" s="5">
        <f>tblSales[[#This Row],[Qty]]*_xlfn.XLOOKUP(tblSales[[#This Row],[Product Code]],tblProducts[Code],tblProducts[Unit Cost],0)</f>
        <v>360000</v>
      </c>
      <c r="O3849" s="4" t="s">
        <v>4865</v>
      </c>
      <c r="P3849" s="4" t="s">
        <v>4860</v>
      </c>
      <c r="Q3849" s="1" t="str">
        <f>_xlfn.XLOOKUP(tblSales[[#This Row],[Channel Code]],tblChannels[Channel Code],tblChannels[Channel Name],"")</f>
        <v>In-store</v>
      </c>
      <c r="R3849" s="1">
        <f>MONTH(tblSales[[#This Row],[Date]])</f>
        <v>8</v>
      </c>
    </row>
    <row r="3850" spans="2:18" x14ac:dyDescent="0.35">
      <c r="B3850" s="113">
        <v>46251</v>
      </c>
      <c r="C3850" s="4" t="s">
        <v>2580</v>
      </c>
      <c r="D3850" s="4" t="s">
        <v>4568</v>
      </c>
      <c r="E3850" s="1" t="str">
        <f>_xlfn.XLOOKUP(tblSales[[#This Row],[Customer ID]],tblCustomers[Customer ID],tblCustomers[Customer Name],"⚠ Unknown")</f>
        <v>Walk-in Customer</v>
      </c>
      <c r="F3850" s="4" t="s">
        <v>8</v>
      </c>
      <c r="G3850" s="1" t="str">
        <f>_xlfn.XLOOKUP(tblSales[[#This Row],[Product Code]],tblProducts[Code],tblProducts[Product / Service Name],"⚠ Unknown")</f>
        <v>Casual Shorts</v>
      </c>
      <c r="H3850" s="1" t="str">
        <f>_xlfn.XLOOKUP(tblSales[[#This Row],[Product Code]],tblProducts[Code],tblProducts[Category],"")</f>
        <v>Accessories &amp; Basics</v>
      </c>
      <c r="I3850" s="4">
        <v>9</v>
      </c>
      <c r="J3850" s="5">
        <f>_xlfn.XLOOKUP(tblSales[[#This Row],[Product Code]],tblProducts[Code],tblProducts[Selling Price (excl. VAT)],0)</f>
        <v>85000</v>
      </c>
      <c r="K3850" s="5">
        <f>tblSales[[#This Row],[Qty]]*tblSales[[#This Row],[Unit Price]]</f>
        <v>765000</v>
      </c>
      <c r="L3850" s="5">
        <f>ROUND(tblSales[[#This Row],[DPP (excl. VAT)]]*VATEff,0)</f>
        <v>84150</v>
      </c>
      <c r="M3850" s="5">
        <f>tblSales[[#This Row],[DPP (excl. VAT)]]+tblSales[[#This Row],[Output VAT]]</f>
        <v>849150</v>
      </c>
      <c r="N3850" s="5">
        <f>tblSales[[#This Row],[Qty]]*_xlfn.XLOOKUP(tblSales[[#This Row],[Product Code]],tblProducts[Code],tblProducts[Unit Cost],0)</f>
        <v>450000</v>
      </c>
      <c r="O3850" s="4" t="s">
        <v>4865</v>
      </c>
      <c r="P3850" s="4" t="s">
        <v>4860</v>
      </c>
      <c r="Q3850" s="1" t="str">
        <f>_xlfn.XLOOKUP(tblSales[[#This Row],[Channel Code]],tblChannels[Channel Code],tblChannels[Channel Name],"")</f>
        <v>In-store</v>
      </c>
      <c r="R3850" s="1">
        <f>MONTH(tblSales[[#This Row],[Date]])</f>
        <v>8</v>
      </c>
    </row>
    <row r="3851" spans="2:18" x14ac:dyDescent="0.35">
      <c r="B3851" s="113">
        <v>46252</v>
      </c>
      <c r="C3851" s="4" t="s">
        <v>2581</v>
      </c>
      <c r="D3851" s="4" t="s">
        <v>4568</v>
      </c>
      <c r="E3851" s="1" t="str">
        <f>_xlfn.XLOOKUP(tblSales[[#This Row],[Customer ID]],tblCustomers[Customer ID],tblCustomers[Customer Name],"⚠ Unknown")</f>
        <v>Walk-in Customer</v>
      </c>
      <c r="F3851" s="4" t="s">
        <v>8</v>
      </c>
      <c r="G3851" s="1" t="str">
        <f>_xlfn.XLOOKUP(tblSales[[#This Row],[Product Code]],tblProducts[Code],tblProducts[Product / Service Name],"⚠ Unknown")</f>
        <v>Casual Shorts</v>
      </c>
      <c r="H3851" s="1" t="str">
        <f>_xlfn.XLOOKUP(tblSales[[#This Row],[Product Code]],tblProducts[Code],tblProducts[Category],"")</f>
        <v>Accessories &amp; Basics</v>
      </c>
      <c r="I3851" s="4">
        <v>2</v>
      </c>
      <c r="J3851" s="5">
        <f>_xlfn.XLOOKUP(tblSales[[#This Row],[Product Code]],tblProducts[Code],tblProducts[Selling Price (excl. VAT)],0)</f>
        <v>85000</v>
      </c>
      <c r="K3851" s="5">
        <f>tblSales[[#This Row],[Qty]]*tblSales[[#This Row],[Unit Price]]</f>
        <v>170000</v>
      </c>
      <c r="L3851" s="5">
        <f>ROUND(tblSales[[#This Row],[DPP (excl. VAT)]]*VATEff,0)</f>
        <v>18700</v>
      </c>
      <c r="M3851" s="5">
        <f>tblSales[[#This Row],[DPP (excl. VAT)]]+tblSales[[#This Row],[Output VAT]]</f>
        <v>188700</v>
      </c>
      <c r="N3851" s="5">
        <f>tblSales[[#This Row],[Qty]]*_xlfn.XLOOKUP(tblSales[[#This Row],[Product Code]],tblProducts[Code],tblProducts[Unit Cost],0)</f>
        <v>100000</v>
      </c>
      <c r="O3851" s="4" t="s">
        <v>4866</v>
      </c>
      <c r="P3851" s="4" t="s">
        <v>4862</v>
      </c>
      <c r="Q3851" s="1" t="str">
        <f>_xlfn.XLOOKUP(tblSales[[#This Row],[Channel Code]],tblChannels[Channel Code],tblChannels[Channel Name],"")</f>
        <v>Website &amp; Social Media</v>
      </c>
      <c r="R3851" s="1">
        <f>MONTH(tblSales[[#This Row],[Date]])</f>
        <v>8</v>
      </c>
    </row>
    <row r="3852" spans="2:18" x14ac:dyDescent="0.35">
      <c r="B3852" s="113">
        <v>46252</v>
      </c>
      <c r="C3852" s="4" t="s">
        <v>2582</v>
      </c>
      <c r="D3852" s="4" t="s">
        <v>4568</v>
      </c>
      <c r="E3852" s="1" t="str">
        <f>_xlfn.XLOOKUP(tblSales[[#This Row],[Customer ID]],tblCustomers[Customer ID],tblCustomers[Customer Name],"⚠ Unknown")</f>
        <v>Walk-in Customer</v>
      </c>
      <c r="F3852" s="4" t="s">
        <v>9</v>
      </c>
      <c r="G3852" s="1" t="str">
        <f>_xlfn.XLOOKUP(tblSales[[#This Row],[Product Code]],tblProducts[Code],tblProducts[Product / Service Name],"⚠ Unknown")</f>
        <v>Casual Shirt</v>
      </c>
      <c r="H3852" s="1" t="str">
        <f>_xlfn.XLOOKUP(tblSales[[#This Row],[Product Code]],tblProducts[Code],tblProducts[Category],"")</f>
        <v>Apparel &amp; Footwear</v>
      </c>
      <c r="I3852" s="4">
        <v>12</v>
      </c>
      <c r="J3852" s="5">
        <f>_xlfn.XLOOKUP(tblSales[[#This Row],[Product Code]],tblProducts[Code],tblProducts[Selling Price (excl. VAT)],0)</f>
        <v>120000</v>
      </c>
      <c r="K3852" s="5">
        <f>tblSales[[#This Row],[Qty]]*tblSales[[#This Row],[Unit Price]]</f>
        <v>1440000</v>
      </c>
      <c r="L3852" s="5">
        <f>ROUND(tblSales[[#This Row],[DPP (excl. VAT)]]*VATEff,0)</f>
        <v>158400</v>
      </c>
      <c r="M3852" s="5">
        <f>tblSales[[#This Row],[DPP (excl. VAT)]]+tblSales[[#This Row],[Output VAT]]</f>
        <v>1598400</v>
      </c>
      <c r="N3852" s="5">
        <f>tblSales[[#This Row],[Qty]]*_xlfn.XLOOKUP(tblSales[[#This Row],[Product Code]],tblProducts[Code],tblProducts[Unit Cost],0)</f>
        <v>864000</v>
      </c>
      <c r="O3852" s="4" t="s">
        <v>4866</v>
      </c>
      <c r="P3852" s="4" t="s">
        <v>4861</v>
      </c>
      <c r="Q3852" s="1" t="str">
        <f>_xlfn.XLOOKUP(tblSales[[#This Row],[Channel Code]],tblChannels[Channel Code],tblChannels[Channel Name],"")</f>
        <v>Marketplace</v>
      </c>
      <c r="R3852" s="1">
        <f>MONTH(tblSales[[#This Row],[Date]])</f>
        <v>8</v>
      </c>
    </row>
    <row r="3853" spans="2:18" x14ac:dyDescent="0.35">
      <c r="B3853" s="113">
        <v>46252</v>
      </c>
      <c r="C3853" s="4" t="s">
        <v>2583</v>
      </c>
      <c r="D3853" s="4" t="s">
        <v>4568</v>
      </c>
      <c r="E3853" s="1" t="str">
        <f>_xlfn.XLOOKUP(tblSales[[#This Row],[Customer ID]],tblCustomers[Customer ID],tblCustomers[Customer Name],"⚠ Unknown")</f>
        <v>Walk-in Customer</v>
      </c>
      <c r="F3853" s="4" t="s">
        <v>6</v>
      </c>
      <c r="G3853" s="1" t="str">
        <f>_xlfn.XLOOKUP(tblSales[[#This Row],[Product Code]],tblProducts[Code],tblProducts[Product / Service Name],"⚠ Unknown")</f>
        <v>Socks &amp; Accessories</v>
      </c>
      <c r="H3853" s="1" t="str">
        <f>_xlfn.XLOOKUP(tblSales[[#This Row],[Product Code]],tblProducts[Code],tblProducts[Category],"")</f>
        <v>Accessories &amp; Basics</v>
      </c>
      <c r="I3853" s="4">
        <v>10</v>
      </c>
      <c r="J3853" s="5">
        <f>_xlfn.XLOOKUP(tblSales[[#This Row],[Product Code]],tblProducts[Code],tblProducts[Selling Price (excl. VAT)],0)</f>
        <v>45000</v>
      </c>
      <c r="K3853" s="5">
        <f>tblSales[[#This Row],[Qty]]*tblSales[[#This Row],[Unit Price]]</f>
        <v>450000</v>
      </c>
      <c r="L3853" s="5">
        <f>ROUND(tblSales[[#This Row],[DPP (excl. VAT)]]*VATEff,0)</f>
        <v>49500</v>
      </c>
      <c r="M3853" s="5">
        <f>tblSales[[#This Row],[DPP (excl. VAT)]]+tblSales[[#This Row],[Output VAT]]</f>
        <v>499500</v>
      </c>
      <c r="N3853" s="5">
        <f>tblSales[[#This Row],[Qty]]*_xlfn.XLOOKUP(tblSales[[#This Row],[Product Code]],tblProducts[Code],tblProducts[Unit Cost],0)</f>
        <v>240000</v>
      </c>
      <c r="O3853" s="4" t="s">
        <v>4865</v>
      </c>
      <c r="P3853" s="4" t="s">
        <v>4860</v>
      </c>
      <c r="Q3853" s="1" t="str">
        <f>_xlfn.XLOOKUP(tblSales[[#This Row],[Channel Code]],tblChannels[Channel Code],tblChannels[Channel Name],"")</f>
        <v>In-store</v>
      </c>
      <c r="R3853" s="1">
        <f>MONTH(tblSales[[#This Row],[Date]])</f>
        <v>8</v>
      </c>
    </row>
    <row r="3854" spans="2:18" x14ac:dyDescent="0.35">
      <c r="B3854" s="113">
        <v>46252</v>
      </c>
      <c r="C3854" s="4" t="s">
        <v>2584</v>
      </c>
      <c r="D3854" s="4" t="s">
        <v>4568</v>
      </c>
      <c r="E3854" s="1" t="str">
        <f>_xlfn.XLOOKUP(tblSales[[#This Row],[Customer ID]],tblCustomers[Customer ID],tblCustomers[Customer Name],"⚠ Unknown")</f>
        <v>Walk-in Customer</v>
      </c>
      <c r="F3854" s="4" t="s">
        <v>11</v>
      </c>
      <c r="G3854" s="1" t="str">
        <f>_xlfn.XLOOKUP(tblSales[[#This Row],[Product Code]],tblProducts[Code],tblProducts[Product / Service Name],"⚠ Unknown")</f>
        <v>Sneakers</v>
      </c>
      <c r="H3854" s="1" t="str">
        <f>_xlfn.XLOOKUP(tblSales[[#This Row],[Product Code]],tblProducts[Code],tblProducts[Category],"")</f>
        <v>Apparel &amp; Footwear</v>
      </c>
      <c r="I3854" s="4">
        <v>6</v>
      </c>
      <c r="J3854" s="5">
        <f>_xlfn.XLOOKUP(tblSales[[#This Row],[Product Code]],tblProducts[Code],tblProducts[Selling Price (excl. VAT)],0)</f>
        <v>250000</v>
      </c>
      <c r="K3854" s="5">
        <f>tblSales[[#This Row],[Qty]]*tblSales[[#This Row],[Unit Price]]</f>
        <v>1500000</v>
      </c>
      <c r="L3854" s="5">
        <f>ROUND(tblSales[[#This Row],[DPP (excl. VAT)]]*VATEff,0)</f>
        <v>165000</v>
      </c>
      <c r="M3854" s="5">
        <f>tblSales[[#This Row],[DPP (excl. VAT)]]+tblSales[[#This Row],[Output VAT]]</f>
        <v>1665000</v>
      </c>
      <c r="N3854" s="5">
        <f>tblSales[[#This Row],[Qty]]*_xlfn.XLOOKUP(tblSales[[#This Row],[Product Code]],tblProducts[Code],tblProducts[Unit Cost],0)</f>
        <v>930000</v>
      </c>
      <c r="O3854" s="4" t="s">
        <v>4866</v>
      </c>
      <c r="P3854" s="4" t="s">
        <v>4860</v>
      </c>
      <c r="Q3854" s="1" t="str">
        <f>_xlfn.XLOOKUP(tblSales[[#This Row],[Channel Code]],tblChannels[Channel Code],tblChannels[Channel Name],"")</f>
        <v>In-store</v>
      </c>
      <c r="R3854" s="1">
        <f>MONTH(tblSales[[#This Row],[Date]])</f>
        <v>8</v>
      </c>
    </row>
    <row r="3855" spans="2:18" x14ac:dyDescent="0.35">
      <c r="B3855" s="113">
        <v>46252</v>
      </c>
      <c r="C3855" s="4" t="s">
        <v>2585</v>
      </c>
      <c r="D3855" s="4" t="s">
        <v>4568</v>
      </c>
      <c r="E3855" s="1" t="str">
        <f>_xlfn.XLOOKUP(tblSales[[#This Row],[Customer ID]],tblCustomers[Customer ID],tblCustomers[Customer Name],"⚠ Unknown")</f>
        <v>Walk-in Customer</v>
      </c>
      <c r="F3855" s="4" t="s">
        <v>6</v>
      </c>
      <c r="G3855" s="1" t="str">
        <f>_xlfn.XLOOKUP(tblSales[[#This Row],[Product Code]],tblProducts[Code],tblProducts[Product / Service Name],"⚠ Unknown")</f>
        <v>Socks &amp; Accessories</v>
      </c>
      <c r="H3855" s="1" t="str">
        <f>_xlfn.XLOOKUP(tblSales[[#This Row],[Product Code]],tblProducts[Code],tblProducts[Category],"")</f>
        <v>Accessories &amp; Basics</v>
      </c>
      <c r="I3855" s="4">
        <v>5</v>
      </c>
      <c r="J3855" s="5">
        <f>_xlfn.XLOOKUP(tblSales[[#This Row],[Product Code]],tblProducts[Code],tblProducts[Selling Price (excl. VAT)],0)</f>
        <v>45000</v>
      </c>
      <c r="K3855" s="5">
        <f>tblSales[[#This Row],[Qty]]*tblSales[[#This Row],[Unit Price]]</f>
        <v>225000</v>
      </c>
      <c r="L3855" s="5">
        <f>ROUND(tblSales[[#This Row],[DPP (excl. VAT)]]*VATEff,0)</f>
        <v>24750</v>
      </c>
      <c r="M3855" s="5">
        <f>tblSales[[#This Row],[DPP (excl. VAT)]]+tblSales[[#This Row],[Output VAT]]</f>
        <v>249750</v>
      </c>
      <c r="N3855" s="5">
        <f>tblSales[[#This Row],[Qty]]*_xlfn.XLOOKUP(tblSales[[#This Row],[Product Code]],tblProducts[Code],tblProducts[Unit Cost],0)</f>
        <v>120000</v>
      </c>
      <c r="O3855" s="4" t="s">
        <v>4866</v>
      </c>
      <c r="P3855" s="4" t="s">
        <v>4860</v>
      </c>
      <c r="Q3855" s="1" t="str">
        <f>_xlfn.XLOOKUP(tblSales[[#This Row],[Channel Code]],tblChannels[Channel Code],tblChannels[Channel Name],"")</f>
        <v>In-store</v>
      </c>
      <c r="R3855" s="1">
        <f>MONTH(tblSales[[#This Row],[Date]])</f>
        <v>8</v>
      </c>
    </row>
    <row r="3856" spans="2:18" x14ac:dyDescent="0.35">
      <c r="B3856" s="113">
        <v>46252</v>
      </c>
      <c r="C3856" s="4" t="s">
        <v>2586</v>
      </c>
      <c r="D3856" s="4" t="s">
        <v>4578</v>
      </c>
      <c r="E3856" s="1" t="str">
        <f>_xlfn.XLOOKUP(tblSales[[#This Row],[Customer ID]],tblCustomers[Customer ID],tblCustomers[Customer Name],"⚠ Unknown")</f>
        <v>PT Bintang Timur Sejahtera</v>
      </c>
      <c r="F3856" s="4" t="s">
        <v>6</v>
      </c>
      <c r="G3856" s="1" t="str">
        <f>_xlfn.XLOOKUP(tblSales[[#This Row],[Product Code]],tblProducts[Code],tblProducts[Product / Service Name],"⚠ Unknown")</f>
        <v>Socks &amp; Accessories</v>
      </c>
      <c r="H3856" s="1" t="str">
        <f>_xlfn.XLOOKUP(tblSales[[#This Row],[Product Code]],tblProducts[Code],tblProducts[Category],"")</f>
        <v>Accessories &amp; Basics</v>
      </c>
      <c r="I3856" s="4">
        <v>64</v>
      </c>
      <c r="J3856" s="5">
        <f>_xlfn.XLOOKUP(tblSales[[#This Row],[Product Code]],tblProducts[Code],tblProducts[Selling Price (excl. VAT)],0)</f>
        <v>45000</v>
      </c>
      <c r="K3856" s="5">
        <f>tblSales[[#This Row],[Qty]]*tblSales[[#This Row],[Unit Price]]</f>
        <v>2880000</v>
      </c>
      <c r="L3856" s="5">
        <f>ROUND(tblSales[[#This Row],[DPP (excl. VAT)]]*VATEff,0)</f>
        <v>316800</v>
      </c>
      <c r="M3856" s="5">
        <f>tblSales[[#This Row],[DPP (excl. VAT)]]+tblSales[[#This Row],[Output VAT]]</f>
        <v>3196800</v>
      </c>
      <c r="N3856" s="5">
        <f>tblSales[[#This Row],[Qty]]*_xlfn.XLOOKUP(tblSales[[#This Row],[Product Code]],tblProducts[Code],tblProducts[Unit Cost],0)</f>
        <v>1536000</v>
      </c>
      <c r="O3856" s="4" t="s">
        <v>4867</v>
      </c>
      <c r="P3856" s="4" t="s">
        <v>4862</v>
      </c>
      <c r="Q3856" s="1" t="str">
        <f>_xlfn.XLOOKUP(tblSales[[#This Row],[Channel Code]],tblChannels[Channel Code],tblChannels[Channel Name],"")</f>
        <v>Website &amp; Social Media</v>
      </c>
      <c r="R3856" s="1">
        <f>MONTH(tblSales[[#This Row],[Date]])</f>
        <v>8</v>
      </c>
    </row>
    <row r="3857" spans="2:18" x14ac:dyDescent="0.35">
      <c r="B3857" s="113">
        <v>46252</v>
      </c>
      <c r="C3857" s="4" t="s">
        <v>2587</v>
      </c>
      <c r="D3857" s="4" t="s">
        <v>4568</v>
      </c>
      <c r="E3857" s="1" t="str">
        <f>_xlfn.XLOOKUP(tblSales[[#This Row],[Customer ID]],tblCustomers[Customer ID],tblCustomers[Customer Name],"⚠ Unknown")</f>
        <v>Walk-in Customer</v>
      </c>
      <c r="F3857" s="4" t="s">
        <v>8</v>
      </c>
      <c r="G3857" s="1" t="str">
        <f>_xlfn.XLOOKUP(tblSales[[#This Row],[Product Code]],tblProducts[Code],tblProducts[Product / Service Name],"⚠ Unknown")</f>
        <v>Casual Shorts</v>
      </c>
      <c r="H3857" s="1" t="str">
        <f>_xlfn.XLOOKUP(tblSales[[#This Row],[Product Code]],tblProducts[Code],tblProducts[Category],"")</f>
        <v>Accessories &amp; Basics</v>
      </c>
      <c r="I3857" s="4">
        <v>3</v>
      </c>
      <c r="J3857" s="5">
        <f>_xlfn.XLOOKUP(tblSales[[#This Row],[Product Code]],tblProducts[Code],tblProducts[Selling Price (excl. VAT)],0)</f>
        <v>85000</v>
      </c>
      <c r="K3857" s="5">
        <f>tblSales[[#This Row],[Qty]]*tblSales[[#This Row],[Unit Price]]</f>
        <v>255000</v>
      </c>
      <c r="L3857" s="5">
        <f>ROUND(tblSales[[#This Row],[DPP (excl. VAT)]]*VATEff,0)</f>
        <v>28050</v>
      </c>
      <c r="M3857" s="5">
        <f>tblSales[[#This Row],[DPP (excl. VAT)]]+tblSales[[#This Row],[Output VAT]]</f>
        <v>283050</v>
      </c>
      <c r="N3857" s="5">
        <f>tblSales[[#This Row],[Qty]]*_xlfn.XLOOKUP(tblSales[[#This Row],[Product Code]],tblProducts[Code],tblProducts[Unit Cost],0)</f>
        <v>150000</v>
      </c>
      <c r="O3857" s="4" t="s">
        <v>4865</v>
      </c>
      <c r="P3857" s="4" t="s">
        <v>4860</v>
      </c>
      <c r="Q3857" s="1" t="str">
        <f>_xlfn.XLOOKUP(tblSales[[#This Row],[Channel Code]],tblChannels[Channel Code],tblChannels[Channel Name],"")</f>
        <v>In-store</v>
      </c>
      <c r="R3857" s="1">
        <f>MONTH(tblSales[[#This Row],[Date]])</f>
        <v>8</v>
      </c>
    </row>
    <row r="3858" spans="2:18" x14ac:dyDescent="0.35">
      <c r="B3858" s="113">
        <v>46252</v>
      </c>
      <c r="C3858" s="4" t="s">
        <v>2588</v>
      </c>
      <c r="D3858" s="4" t="s">
        <v>4568</v>
      </c>
      <c r="E3858" s="1" t="str">
        <f>_xlfn.XLOOKUP(tblSales[[#This Row],[Customer ID]],tblCustomers[Customer ID],tblCustomers[Customer Name],"⚠ Unknown")</f>
        <v>Walk-in Customer</v>
      </c>
      <c r="F3858" s="4" t="s">
        <v>13</v>
      </c>
      <c r="G3858" s="1" t="str">
        <f>_xlfn.XLOOKUP(tblSales[[#This Row],[Product Code]],tblProducts[Code],tblProducts[Product / Service Name],"⚠ Unknown")</f>
        <v>Backpack</v>
      </c>
      <c r="H3858" s="1" t="str">
        <f>_xlfn.XLOOKUP(tblSales[[#This Row],[Product Code]],tblProducts[Code],tblProducts[Category],"")</f>
        <v>Bags &amp; Gadgets</v>
      </c>
      <c r="I3858" s="4">
        <v>6</v>
      </c>
      <c r="J3858" s="5">
        <f>_xlfn.XLOOKUP(tblSales[[#This Row],[Product Code]],tblProducts[Code],tblProducts[Selling Price (excl. VAT)],0)</f>
        <v>500000</v>
      </c>
      <c r="K3858" s="5">
        <f>tblSales[[#This Row],[Qty]]*tblSales[[#This Row],[Unit Price]]</f>
        <v>3000000</v>
      </c>
      <c r="L3858" s="5">
        <f>ROUND(tblSales[[#This Row],[DPP (excl. VAT)]]*VATEff,0)</f>
        <v>330000</v>
      </c>
      <c r="M3858" s="5">
        <f>tblSales[[#This Row],[DPP (excl. VAT)]]+tblSales[[#This Row],[Output VAT]]</f>
        <v>3330000</v>
      </c>
      <c r="N3858" s="5">
        <f>tblSales[[#This Row],[Qty]]*_xlfn.XLOOKUP(tblSales[[#This Row],[Product Code]],tblProducts[Code],tblProducts[Unit Cost],0)</f>
        <v>1740000</v>
      </c>
      <c r="O3858" s="4" t="s">
        <v>4865</v>
      </c>
      <c r="P3858" s="4" t="s">
        <v>4860</v>
      </c>
      <c r="Q3858" s="1" t="str">
        <f>_xlfn.XLOOKUP(tblSales[[#This Row],[Channel Code]],tblChannels[Channel Code],tblChannels[Channel Name],"")</f>
        <v>In-store</v>
      </c>
      <c r="R3858" s="1">
        <f>MONTH(tblSales[[#This Row],[Date]])</f>
        <v>8</v>
      </c>
    </row>
    <row r="3859" spans="2:18" x14ac:dyDescent="0.35">
      <c r="B3859" s="113">
        <v>46252</v>
      </c>
      <c r="C3859" s="4" t="s">
        <v>2588</v>
      </c>
      <c r="D3859" s="4" t="s">
        <v>4568</v>
      </c>
      <c r="E3859" s="1" t="str">
        <f>_xlfn.XLOOKUP(tblSales[[#This Row],[Customer ID]],tblCustomers[Customer ID],tblCustomers[Customer Name],"⚠ Unknown")</f>
        <v>Walk-in Customer</v>
      </c>
      <c r="F3859" s="4" t="s">
        <v>8</v>
      </c>
      <c r="G3859" s="1" t="str">
        <f>_xlfn.XLOOKUP(tblSales[[#This Row],[Product Code]],tblProducts[Code],tblProducts[Product / Service Name],"⚠ Unknown")</f>
        <v>Casual Shorts</v>
      </c>
      <c r="H3859" s="1" t="str">
        <f>_xlfn.XLOOKUP(tblSales[[#This Row],[Product Code]],tblProducts[Code],tblProducts[Category],"")</f>
        <v>Accessories &amp; Basics</v>
      </c>
      <c r="I3859" s="4">
        <v>2</v>
      </c>
      <c r="J3859" s="5">
        <f>_xlfn.XLOOKUP(tblSales[[#This Row],[Product Code]],tblProducts[Code],tblProducts[Selling Price (excl. VAT)],0)</f>
        <v>85000</v>
      </c>
      <c r="K3859" s="5">
        <f>tblSales[[#This Row],[Qty]]*tblSales[[#This Row],[Unit Price]]</f>
        <v>170000</v>
      </c>
      <c r="L3859" s="5">
        <f>ROUND(tblSales[[#This Row],[DPP (excl. VAT)]]*VATEff,0)</f>
        <v>18700</v>
      </c>
      <c r="M3859" s="5">
        <f>tblSales[[#This Row],[DPP (excl. VAT)]]+tblSales[[#This Row],[Output VAT]]</f>
        <v>188700</v>
      </c>
      <c r="N3859" s="5">
        <f>tblSales[[#This Row],[Qty]]*_xlfn.XLOOKUP(tblSales[[#This Row],[Product Code]],tblProducts[Code],tblProducts[Unit Cost],0)</f>
        <v>100000</v>
      </c>
      <c r="O3859" s="4" t="s">
        <v>4865</v>
      </c>
      <c r="P3859" s="4" t="s">
        <v>4860</v>
      </c>
      <c r="Q3859" s="1" t="str">
        <f>_xlfn.XLOOKUP(tblSales[[#This Row],[Channel Code]],tblChannels[Channel Code],tblChannels[Channel Name],"")</f>
        <v>In-store</v>
      </c>
      <c r="R3859" s="1">
        <f>MONTH(tblSales[[#This Row],[Date]])</f>
        <v>8</v>
      </c>
    </row>
    <row r="3860" spans="2:18" x14ac:dyDescent="0.35">
      <c r="B3860" s="113">
        <v>46252</v>
      </c>
      <c r="C3860" s="4" t="s">
        <v>2589</v>
      </c>
      <c r="D3860" s="4" t="s">
        <v>4568</v>
      </c>
      <c r="E3860" s="1" t="str">
        <f>_xlfn.XLOOKUP(tblSales[[#This Row],[Customer ID]],tblCustomers[Customer ID],tblCustomers[Customer Name],"⚠ Unknown")</f>
        <v>Walk-in Customer</v>
      </c>
      <c r="F3860" s="4" t="s">
        <v>11</v>
      </c>
      <c r="G3860" s="1" t="str">
        <f>_xlfn.XLOOKUP(tblSales[[#This Row],[Product Code]],tblProducts[Code],tblProducts[Product / Service Name],"⚠ Unknown")</f>
        <v>Sneakers</v>
      </c>
      <c r="H3860" s="1" t="str">
        <f>_xlfn.XLOOKUP(tblSales[[#This Row],[Product Code]],tblProducts[Code],tblProducts[Category],"")</f>
        <v>Apparel &amp; Footwear</v>
      </c>
      <c r="I3860" s="4">
        <v>2</v>
      </c>
      <c r="J3860" s="5">
        <f>_xlfn.XLOOKUP(tblSales[[#This Row],[Product Code]],tblProducts[Code],tblProducts[Selling Price (excl. VAT)],0)</f>
        <v>250000</v>
      </c>
      <c r="K3860" s="5">
        <f>tblSales[[#This Row],[Qty]]*tblSales[[#This Row],[Unit Price]]</f>
        <v>500000</v>
      </c>
      <c r="L3860" s="5">
        <f>ROUND(tblSales[[#This Row],[DPP (excl. VAT)]]*VATEff,0)</f>
        <v>55000</v>
      </c>
      <c r="M3860" s="5">
        <f>tblSales[[#This Row],[DPP (excl. VAT)]]+tblSales[[#This Row],[Output VAT]]</f>
        <v>555000</v>
      </c>
      <c r="N3860" s="5">
        <f>tblSales[[#This Row],[Qty]]*_xlfn.XLOOKUP(tblSales[[#This Row],[Product Code]],tblProducts[Code],tblProducts[Unit Cost],0)</f>
        <v>310000</v>
      </c>
      <c r="O3860" s="4" t="s">
        <v>4866</v>
      </c>
      <c r="P3860" s="4" t="s">
        <v>4862</v>
      </c>
      <c r="Q3860" s="1" t="str">
        <f>_xlfn.XLOOKUP(tblSales[[#This Row],[Channel Code]],tblChannels[Channel Code],tblChannels[Channel Name],"")</f>
        <v>Website &amp; Social Media</v>
      </c>
      <c r="R3860" s="1">
        <f>MONTH(tblSales[[#This Row],[Date]])</f>
        <v>8</v>
      </c>
    </row>
    <row r="3861" spans="2:18" x14ac:dyDescent="0.35">
      <c r="B3861" s="113">
        <v>46252</v>
      </c>
      <c r="C3861" s="4" t="s">
        <v>2590</v>
      </c>
      <c r="D3861" s="4" t="s">
        <v>4568</v>
      </c>
      <c r="E3861" s="1" t="str">
        <f>_xlfn.XLOOKUP(tblSales[[#This Row],[Customer ID]],tblCustomers[Customer ID],tblCustomers[Customer Name],"⚠ Unknown")</f>
        <v>Walk-in Customer</v>
      </c>
      <c r="F3861" s="4" t="s">
        <v>8</v>
      </c>
      <c r="G3861" s="1" t="str">
        <f>_xlfn.XLOOKUP(tblSales[[#This Row],[Product Code]],tblProducts[Code],tblProducts[Product / Service Name],"⚠ Unknown")</f>
        <v>Casual Shorts</v>
      </c>
      <c r="H3861" s="1" t="str">
        <f>_xlfn.XLOOKUP(tblSales[[#This Row],[Product Code]],tblProducts[Code],tblProducts[Category],"")</f>
        <v>Accessories &amp; Basics</v>
      </c>
      <c r="I3861" s="4">
        <v>11</v>
      </c>
      <c r="J3861" s="5">
        <f>_xlfn.XLOOKUP(tblSales[[#This Row],[Product Code]],tblProducts[Code],tblProducts[Selling Price (excl. VAT)],0)</f>
        <v>85000</v>
      </c>
      <c r="K3861" s="5">
        <f>tblSales[[#This Row],[Qty]]*tblSales[[#This Row],[Unit Price]]</f>
        <v>935000</v>
      </c>
      <c r="L3861" s="5">
        <f>ROUND(tblSales[[#This Row],[DPP (excl. VAT)]]*VATEff,0)</f>
        <v>102850</v>
      </c>
      <c r="M3861" s="5">
        <f>tblSales[[#This Row],[DPP (excl. VAT)]]+tblSales[[#This Row],[Output VAT]]</f>
        <v>1037850</v>
      </c>
      <c r="N3861" s="5">
        <f>tblSales[[#This Row],[Qty]]*_xlfn.XLOOKUP(tblSales[[#This Row],[Product Code]],tblProducts[Code],tblProducts[Unit Cost],0)</f>
        <v>550000</v>
      </c>
      <c r="O3861" s="4" t="s">
        <v>4866</v>
      </c>
      <c r="P3861" s="4" t="s">
        <v>4861</v>
      </c>
      <c r="Q3861" s="1" t="str">
        <f>_xlfn.XLOOKUP(tblSales[[#This Row],[Channel Code]],tblChannels[Channel Code],tblChannels[Channel Name],"")</f>
        <v>Marketplace</v>
      </c>
      <c r="R3861" s="1">
        <f>MONTH(tblSales[[#This Row],[Date]])</f>
        <v>8</v>
      </c>
    </row>
    <row r="3862" spans="2:18" x14ac:dyDescent="0.35">
      <c r="B3862" s="113">
        <v>46253</v>
      </c>
      <c r="C3862" s="4" t="s">
        <v>2591</v>
      </c>
      <c r="D3862" s="4" t="s">
        <v>4568</v>
      </c>
      <c r="E3862" s="1" t="str">
        <f>_xlfn.XLOOKUP(tblSales[[#This Row],[Customer ID]],tblCustomers[Customer ID],tblCustomers[Customer Name],"⚠ Unknown")</f>
        <v>Walk-in Customer</v>
      </c>
      <c r="F3862" s="4" t="s">
        <v>15</v>
      </c>
      <c r="G3862" s="1" t="str">
        <f>_xlfn.XLOOKUP(tblSales[[#This Row],[Product Code]],tblProducts[Code],tblProducts[Product / Service Name],"⚠ Unknown")</f>
        <v>Wireless Earbuds Pro</v>
      </c>
      <c r="H3862" s="1" t="str">
        <f>_xlfn.XLOOKUP(tblSales[[#This Row],[Product Code]],tblProducts[Code],tblProducts[Category],"")</f>
        <v>Bags &amp; Gadgets</v>
      </c>
      <c r="I3862" s="4">
        <v>2</v>
      </c>
      <c r="J3862" s="5">
        <f>_xlfn.XLOOKUP(tblSales[[#This Row],[Product Code]],tblProducts[Code],tblProducts[Selling Price (excl. VAT)],0)</f>
        <v>1250000</v>
      </c>
      <c r="K3862" s="5">
        <f>tblSales[[#This Row],[Qty]]*tblSales[[#This Row],[Unit Price]]</f>
        <v>2500000</v>
      </c>
      <c r="L3862" s="5">
        <f>ROUND(tblSales[[#This Row],[DPP (excl. VAT)]]*VATEff,0)</f>
        <v>275000</v>
      </c>
      <c r="M3862" s="5">
        <f>tblSales[[#This Row],[DPP (excl. VAT)]]+tblSales[[#This Row],[Output VAT]]</f>
        <v>2775000</v>
      </c>
      <c r="N3862" s="5">
        <f>tblSales[[#This Row],[Qty]]*_xlfn.XLOOKUP(tblSales[[#This Row],[Product Code]],tblProducts[Code],tblProducts[Unit Cost],0)</f>
        <v>1640000</v>
      </c>
      <c r="O3862" s="4" t="s">
        <v>4866</v>
      </c>
      <c r="P3862" s="4" t="s">
        <v>4861</v>
      </c>
      <c r="Q3862" s="1" t="str">
        <f>_xlfn.XLOOKUP(tblSales[[#This Row],[Channel Code]],tblChannels[Channel Code],tblChannels[Channel Name],"")</f>
        <v>Marketplace</v>
      </c>
      <c r="R3862" s="1">
        <f>MONTH(tblSales[[#This Row],[Date]])</f>
        <v>8</v>
      </c>
    </row>
    <row r="3863" spans="2:18" x14ac:dyDescent="0.35">
      <c r="B3863" s="113">
        <v>46253</v>
      </c>
      <c r="C3863" s="4" t="s">
        <v>2592</v>
      </c>
      <c r="D3863" s="4" t="s">
        <v>4568</v>
      </c>
      <c r="E3863" s="1" t="str">
        <f>_xlfn.XLOOKUP(tblSales[[#This Row],[Customer ID]],tblCustomers[Customer ID],tblCustomers[Customer Name],"⚠ Unknown")</f>
        <v>Walk-in Customer</v>
      </c>
      <c r="F3863" s="4" t="s">
        <v>6</v>
      </c>
      <c r="G3863" s="1" t="str">
        <f>_xlfn.XLOOKUP(tblSales[[#This Row],[Product Code]],tblProducts[Code],tblProducts[Product / Service Name],"⚠ Unknown")</f>
        <v>Socks &amp; Accessories</v>
      </c>
      <c r="H3863" s="1" t="str">
        <f>_xlfn.XLOOKUP(tblSales[[#This Row],[Product Code]],tblProducts[Code],tblProducts[Category],"")</f>
        <v>Accessories &amp; Basics</v>
      </c>
      <c r="I3863" s="4">
        <v>5</v>
      </c>
      <c r="J3863" s="5">
        <f>_xlfn.XLOOKUP(tblSales[[#This Row],[Product Code]],tblProducts[Code],tblProducts[Selling Price (excl. VAT)],0)</f>
        <v>45000</v>
      </c>
      <c r="K3863" s="5">
        <f>tblSales[[#This Row],[Qty]]*tblSales[[#This Row],[Unit Price]]</f>
        <v>225000</v>
      </c>
      <c r="L3863" s="5">
        <f>ROUND(tblSales[[#This Row],[DPP (excl. VAT)]]*VATEff,0)</f>
        <v>24750</v>
      </c>
      <c r="M3863" s="5">
        <f>tblSales[[#This Row],[DPP (excl. VAT)]]+tblSales[[#This Row],[Output VAT]]</f>
        <v>249750</v>
      </c>
      <c r="N3863" s="5">
        <f>tblSales[[#This Row],[Qty]]*_xlfn.XLOOKUP(tblSales[[#This Row],[Product Code]],tblProducts[Code],tblProducts[Unit Cost],0)</f>
        <v>120000</v>
      </c>
      <c r="O3863" s="4" t="s">
        <v>4866</v>
      </c>
      <c r="P3863" s="4" t="s">
        <v>4861</v>
      </c>
      <c r="Q3863" s="1" t="str">
        <f>_xlfn.XLOOKUP(tblSales[[#This Row],[Channel Code]],tblChannels[Channel Code],tblChannels[Channel Name],"")</f>
        <v>Marketplace</v>
      </c>
      <c r="R3863" s="1">
        <f>MONTH(tblSales[[#This Row],[Date]])</f>
        <v>8</v>
      </c>
    </row>
    <row r="3864" spans="2:18" x14ac:dyDescent="0.35">
      <c r="B3864" s="113">
        <v>46253</v>
      </c>
      <c r="C3864" s="4" t="s">
        <v>2593</v>
      </c>
      <c r="D3864" s="4" t="s">
        <v>4620</v>
      </c>
      <c r="E3864" s="1" t="str">
        <f>_xlfn.XLOOKUP(tblSales[[#This Row],[Customer ID]],tblCustomers[Customer ID],tblCustomers[Customer Name],"⚠ Unknown")</f>
        <v>CV Sumber Rejeki Utama</v>
      </c>
      <c r="F3864" s="4" t="s">
        <v>11</v>
      </c>
      <c r="G3864" s="1" t="str">
        <f>_xlfn.XLOOKUP(tblSales[[#This Row],[Product Code]],tblProducts[Code],tblProducts[Product / Service Name],"⚠ Unknown")</f>
        <v>Sneakers</v>
      </c>
      <c r="H3864" s="1" t="str">
        <f>_xlfn.XLOOKUP(tblSales[[#This Row],[Product Code]],tblProducts[Code],tblProducts[Category],"")</f>
        <v>Apparel &amp; Footwear</v>
      </c>
      <c r="I3864" s="4">
        <v>24</v>
      </c>
      <c r="J3864" s="5">
        <f>_xlfn.XLOOKUP(tblSales[[#This Row],[Product Code]],tblProducts[Code],tblProducts[Selling Price (excl. VAT)],0)</f>
        <v>250000</v>
      </c>
      <c r="K3864" s="5">
        <f>tblSales[[#This Row],[Qty]]*tblSales[[#This Row],[Unit Price]]</f>
        <v>6000000</v>
      </c>
      <c r="L3864" s="5">
        <f>ROUND(tblSales[[#This Row],[DPP (excl. VAT)]]*VATEff,0)</f>
        <v>660000</v>
      </c>
      <c r="M3864" s="5">
        <f>tblSales[[#This Row],[DPP (excl. VAT)]]+tblSales[[#This Row],[Output VAT]]</f>
        <v>6660000</v>
      </c>
      <c r="N3864" s="5">
        <f>tblSales[[#This Row],[Qty]]*_xlfn.XLOOKUP(tblSales[[#This Row],[Product Code]],tblProducts[Code],tblProducts[Unit Cost],0)</f>
        <v>3720000</v>
      </c>
      <c r="O3864" s="4" t="s">
        <v>4867</v>
      </c>
      <c r="P3864" s="4" t="s">
        <v>4862</v>
      </c>
      <c r="Q3864" s="1" t="str">
        <f>_xlfn.XLOOKUP(tblSales[[#This Row],[Channel Code]],tblChannels[Channel Code],tblChannels[Channel Name],"")</f>
        <v>Website &amp; Social Media</v>
      </c>
      <c r="R3864" s="1">
        <f>MONTH(tblSales[[#This Row],[Date]])</f>
        <v>8</v>
      </c>
    </row>
    <row r="3865" spans="2:18" x14ac:dyDescent="0.35">
      <c r="B3865" s="113">
        <v>46253</v>
      </c>
      <c r="C3865" s="4" t="s">
        <v>2593</v>
      </c>
      <c r="D3865" s="4" t="s">
        <v>4620</v>
      </c>
      <c r="E3865" s="1" t="str">
        <f>_xlfn.XLOOKUP(tblSales[[#This Row],[Customer ID]],tblCustomers[Customer ID],tblCustomers[Customer Name],"⚠ Unknown")</f>
        <v>CV Sumber Rejeki Utama</v>
      </c>
      <c r="F3865" s="4" t="s">
        <v>12</v>
      </c>
      <c r="G3865" s="1" t="str">
        <f>_xlfn.XLOOKUP(tblSales[[#This Row],[Product Code]],tblProducts[Code],tblProducts[Product / Service Name],"⚠ Unknown")</f>
        <v>Bomber Jacket</v>
      </c>
      <c r="H3865" s="1" t="str">
        <f>_xlfn.XLOOKUP(tblSales[[#This Row],[Product Code]],tblProducts[Code],tblProducts[Category],"")</f>
        <v>Apparel &amp; Footwear</v>
      </c>
      <c r="I3865" s="4">
        <v>32</v>
      </c>
      <c r="J3865" s="5">
        <f>_xlfn.XLOOKUP(tblSales[[#This Row],[Product Code]],tblProducts[Code],tblProducts[Selling Price (excl. VAT)],0)</f>
        <v>350000</v>
      </c>
      <c r="K3865" s="5">
        <f>tblSales[[#This Row],[Qty]]*tblSales[[#This Row],[Unit Price]]</f>
        <v>11200000</v>
      </c>
      <c r="L3865" s="5">
        <f>ROUND(tblSales[[#This Row],[DPP (excl. VAT)]]*VATEff,0)</f>
        <v>1232000</v>
      </c>
      <c r="M3865" s="5">
        <f>tblSales[[#This Row],[DPP (excl. VAT)]]+tblSales[[#This Row],[Output VAT]]</f>
        <v>12432000</v>
      </c>
      <c r="N3865" s="5">
        <f>tblSales[[#This Row],[Qty]]*_xlfn.XLOOKUP(tblSales[[#This Row],[Product Code]],tblProducts[Code],tblProducts[Unit Cost],0)</f>
        <v>6720000</v>
      </c>
      <c r="O3865" s="4" t="s">
        <v>4867</v>
      </c>
      <c r="P3865" s="4" t="s">
        <v>4862</v>
      </c>
      <c r="Q3865" s="1" t="str">
        <f>_xlfn.XLOOKUP(tblSales[[#This Row],[Channel Code]],tblChannels[Channel Code],tblChannels[Channel Name],"")</f>
        <v>Website &amp; Social Media</v>
      </c>
      <c r="R3865" s="1">
        <f>MONTH(tblSales[[#This Row],[Date]])</f>
        <v>8</v>
      </c>
    </row>
    <row r="3866" spans="2:18" x14ac:dyDescent="0.35">
      <c r="B3866" s="113">
        <v>46253</v>
      </c>
      <c r="C3866" s="4" t="s">
        <v>2594</v>
      </c>
      <c r="D3866" s="4" t="s">
        <v>4568</v>
      </c>
      <c r="E3866" s="1" t="str">
        <f>_xlfn.XLOOKUP(tblSales[[#This Row],[Customer ID]],tblCustomers[Customer ID],tblCustomers[Customer Name],"⚠ Unknown")</f>
        <v>Walk-in Customer</v>
      </c>
      <c r="F3866" s="4" t="s">
        <v>11</v>
      </c>
      <c r="G3866" s="1" t="str">
        <f>_xlfn.XLOOKUP(tblSales[[#This Row],[Product Code]],tblProducts[Code],tblProducts[Product / Service Name],"⚠ Unknown")</f>
        <v>Sneakers</v>
      </c>
      <c r="H3866" s="1" t="str">
        <f>_xlfn.XLOOKUP(tblSales[[#This Row],[Product Code]],tblProducts[Code],tblProducts[Category],"")</f>
        <v>Apparel &amp; Footwear</v>
      </c>
      <c r="I3866" s="4">
        <v>5</v>
      </c>
      <c r="J3866" s="5">
        <f>_xlfn.XLOOKUP(tblSales[[#This Row],[Product Code]],tblProducts[Code],tblProducts[Selling Price (excl. VAT)],0)</f>
        <v>250000</v>
      </c>
      <c r="K3866" s="5">
        <f>tblSales[[#This Row],[Qty]]*tblSales[[#This Row],[Unit Price]]</f>
        <v>1250000</v>
      </c>
      <c r="L3866" s="5">
        <f>ROUND(tblSales[[#This Row],[DPP (excl. VAT)]]*VATEff,0)</f>
        <v>137500</v>
      </c>
      <c r="M3866" s="5">
        <f>tblSales[[#This Row],[DPP (excl. VAT)]]+tblSales[[#This Row],[Output VAT]]</f>
        <v>1387500</v>
      </c>
      <c r="N3866" s="5">
        <f>tblSales[[#This Row],[Qty]]*_xlfn.XLOOKUP(tblSales[[#This Row],[Product Code]],tblProducts[Code],tblProducts[Unit Cost],0)</f>
        <v>775000</v>
      </c>
      <c r="O3866" s="4" t="s">
        <v>4865</v>
      </c>
      <c r="P3866" s="4" t="s">
        <v>4860</v>
      </c>
      <c r="Q3866" s="1" t="str">
        <f>_xlfn.XLOOKUP(tblSales[[#This Row],[Channel Code]],tblChannels[Channel Code],tblChannels[Channel Name],"")</f>
        <v>In-store</v>
      </c>
      <c r="R3866" s="1">
        <f>MONTH(tblSales[[#This Row],[Date]])</f>
        <v>8</v>
      </c>
    </row>
    <row r="3867" spans="2:18" x14ac:dyDescent="0.35">
      <c r="B3867" s="113">
        <v>46253</v>
      </c>
      <c r="C3867" s="4" t="s">
        <v>2595</v>
      </c>
      <c r="D3867" s="4" t="s">
        <v>4568</v>
      </c>
      <c r="E3867" s="1" t="str">
        <f>_xlfn.XLOOKUP(tblSales[[#This Row],[Customer ID]],tblCustomers[Customer ID],tblCustomers[Customer Name],"⚠ Unknown")</f>
        <v>Walk-in Customer</v>
      </c>
      <c r="F3867" s="4" t="s">
        <v>8</v>
      </c>
      <c r="G3867" s="1" t="str">
        <f>_xlfn.XLOOKUP(tblSales[[#This Row],[Product Code]],tblProducts[Code],tblProducts[Product / Service Name],"⚠ Unknown")</f>
        <v>Casual Shorts</v>
      </c>
      <c r="H3867" s="1" t="str">
        <f>_xlfn.XLOOKUP(tblSales[[#This Row],[Product Code]],tblProducts[Code],tblProducts[Category],"")</f>
        <v>Accessories &amp; Basics</v>
      </c>
      <c r="I3867" s="4">
        <v>9</v>
      </c>
      <c r="J3867" s="5">
        <f>_xlfn.XLOOKUP(tblSales[[#This Row],[Product Code]],tblProducts[Code],tblProducts[Selling Price (excl. VAT)],0)</f>
        <v>85000</v>
      </c>
      <c r="K3867" s="5">
        <f>tblSales[[#This Row],[Qty]]*tblSales[[#This Row],[Unit Price]]</f>
        <v>765000</v>
      </c>
      <c r="L3867" s="5">
        <f>ROUND(tblSales[[#This Row],[DPP (excl. VAT)]]*VATEff,0)</f>
        <v>84150</v>
      </c>
      <c r="M3867" s="5">
        <f>tblSales[[#This Row],[DPP (excl. VAT)]]+tblSales[[#This Row],[Output VAT]]</f>
        <v>849150</v>
      </c>
      <c r="N3867" s="5">
        <f>tblSales[[#This Row],[Qty]]*_xlfn.XLOOKUP(tblSales[[#This Row],[Product Code]],tblProducts[Code],tblProducts[Unit Cost],0)</f>
        <v>450000</v>
      </c>
      <c r="O3867" s="4" t="s">
        <v>4866</v>
      </c>
      <c r="P3867" s="4" t="s">
        <v>4861</v>
      </c>
      <c r="Q3867" s="1" t="str">
        <f>_xlfn.XLOOKUP(tblSales[[#This Row],[Channel Code]],tblChannels[Channel Code],tblChannels[Channel Name],"")</f>
        <v>Marketplace</v>
      </c>
      <c r="R3867" s="1">
        <f>MONTH(tblSales[[#This Row],[Date]])</f>
        <v>8</v>
      </c>
    </row>
    <row r="3868" spans="2:18" x14ac:dyDescent="0.35">
      <c r="B3868" s="113">
        <v>46253</v>
      </c>
      <c r="C3868" s="4" t="s">
        <v>2596</v>
      </c>
      <c r="D3868" s="4" t="s">
        <v>4568</v>
      </c>
      <c r="E3868" s="1" t="str">
        <f>_xlfn.XLOOKUP(tblSales[[#This Row],[Customer ID]],tblCustomers[Customer ID],tblCustomers[Customer Name],"⚠ Unknown")</f>
        <v>Walk-in Customer</v>
      </c>
      <c r="F3868" s="4" t="s">
        <v>11</v>
      </c>
      <c r="G3868" s="1" t="str">
        <f>_xlfn.XLOOKUP(tblSales[[#This Row],[Product Code]],tblProducts[Code],tblProducts[Product / Service Name],"⚠ Unknown")</f>
        <v>Sneakers</v>
      </c>
      <c r="H3868" s="1" t="str">
        <f>_xlfn.XLOOKUP(tblSales[[#This Row],[Product Code]],tblProducts[Code],tblProducts[Category],"")</f>
        <v>Apparel &amp; Footwear</v>
      </c>
      <c r="I3868" s="4">
        <v>2</v>
      </c>
      <c r="J3868" s="5">
        <f>_xlfn.XLOOKUP(tblSales[[#This Row],[Product Code]],tblProducts[Code],tblProducts[Selling Price (excl. VAT)],0)</f>
        <v>250000</v>
      </c>
      <c r="K3868" s="5">
        <f>tblSales[[#This Row],[Qty]]*tblSales[[#This Row],[Unit Price]]</f>
        <v>500000</v>
      </c>
      <c r="L3868" s="5">
        <f>ROUND(tblSales[[#This Row],[DPP (excl. VAT)]]*VATEff,0)</f>
        <v>55000</v>
      </c>
      <c r="M3868" s="5">
        <f>tblSales[[#This Row],[DPP (excl. VAT)]]+tblSales[[#This Row],[Output VAT]]</f>
        <v>555000</v>
      </c>
      <c r="N3868" s="5">
        <f>tblSales[[#This Row],[Qty]]*_xlfn.XLOOKUP(tblSales[[#This Row],[Product Code]],tblProducts[Code],tblProducts[Unit Cost],0)</f>
        <v>310000</v>
      </c>
      <c r="O3868" s="4" t="s">
        <v>4865</v>
      </c>
      <c r="P3868" s="4" t="s">
        <v>4860</v>
      </c>
      <c r="Q3868" s="1" t="str">
        <f>_xlfn.XLOOKUP(tblSales[[#This Row],[Channel Code]],tblChannels[Channel Code],tblChannels[Channel Name],"")</f>
        <v>In-store</v>
      </c>
      <c r="R3868" s="1">
        <f>MONTH(tblSales[[#This Row],[Date]])</f>
        <v>8</v>
      </c>
    </row>
    <row r="3869" spans="2:18" x14ac:dyDescent="0.35">
      <c r="B3869" s="113">
        <v>46253</v>
      </c>
      <c r="C3869" s="4" t="s">
        <v>2597</v>
      </c>
      <c r="D3869" s="4" t="s">
        <v>4585</v>
      </c>
      <c r="E3869" s="1" t="str">
        <f>_xlfn.XLOOKUP(tblSales[[#This Row],[Customer ID]],tblCustomers[Customer ID],tblCustomers[Customer Name],"⚠ Unknown")</f>
        <v>CV Mitra Karya Mandiri</v>
      </c>
      <c r="F3869" s="4" t="s">
        <v>7</v>
      </c>
      <c r="G3869" s="1" t="str">
        <f>_xlfn.XLOOKUP(tblSales[[#This Row],[Product Code]],tblProducts[Code],tblProducts[Product / Service Name],"⚠ Unknown")</f>
        <v>Premium Basic T-shirt</v>
      </c>
      <c r="H3869" s="1" t="str">
        <f>_xlfn.XLOOKUP(tblSales[[#This Row],[Product Code]],tblProducts[Code],tblProducts[Category],"")</f>
        <v>Accessories &amp; Basics</v>
      </c>
      <c r="I3869" s="4">
        <v>24</v>
      </c>
      <c r="J3869" s="5">
        <f>_xlfn.XLOOKUP(tblSales[[#This Row],[Product Code]],tblProducts[Code],tblProducts[Selling Price (excl. VAT)],0)</f>
        <v>65000</v>
      </c>
      <c r="K3869" s="5">
        <f>tblSales[[#This Row],[Qty]]*tblSales[[#This Row],[Unit Price]]</f>
        <v>1560000</v>
      </c>
      <c r="L3869" s="5">
        <f>ROUND(tblSales[[#This Row],[DPP (excl. VAT)]]*VATEff,0)</f>
        <v>171600</v>
      </c>
      <c r="M3869" s="5">
        <f>tblSales[[#This Row],[DPP (excl. VAT)]]+tblSales[[#This Row],[Output VAT]]</f>
        <v>1731600</v>
      </c>
      <c r="N3869" s="5">
        <f>tblSales[[#This Row],[Qty]]*_xlfn.XLOOKUP(tblSales[[#This Row],[Product Code]],tblProducts[Code],tblProducts[Unit Cost],0)</f>
        <v>888000</v>
      </c>
      <c r="O3869" s="4" t="s">
        <v>4867</v>
      </c>
      <c r="P3869" s="4" t="s">
        <v>4860</v>
      </c>
      <c r="Q3869" s="1" t="str">
        <f>_xlfn.XLOOKUP(tblSales[[#This Row],[Channel Code]],tblChannels[Channel Code],tblChannels[Channel Name],"")</f>
        <v>In-store</v>
      </c>
      <c r="R3869" s="1">
        <f>MONTH(tblSales[[#This Row],[Date]])</f>
        <v>8</v>
      </c>
    </row>
    <row r="3870" spans="2:18" x14ac:dyDescent="0.35">
      <c r="B3870" s="113">
        <v>46253</v>
      </c>
      <c r="C3870" s="4" t="s">
        <v>2598</v>
      </c>
      <c r="D3870" s="4" t="s">
        <v>4606</v>
      </c>
      <c r="E3870" s="1" t="str">
        <f>_xlfn.XLOOKUP(tblSales[[#This Row],[Customer ID]],tblCustomers[Customer ID],tblCustomers[Customer Name],"⚠ Unknown")</f>
        <v>PT Arunika Digital Kreatif</v>
      </c>
      <c r="F3870" s="4" t="s">
        <v>8</v>
      </c>
      <c r="G3870" s="1" t="str">
        <f>_xlfn.XLOOKUP(tblSales[[#This Row],[Product Code]],tblProducts[Code],tblProducts[Product / Service Name],"⚠ Unknown")</f>
        <v>Casual Shorts</v>
      </c>
      <c r="H3870" s="1" t="str">
        <f>_xlfn.XLOOKUP(tblSales[[#This Row],[Product Code]],tblProducts[Code],tblProducts[Category],"")</f>
        <v>Accessories &amp; Basics</v>
      </c>
      <c r="I3870" s="4">
        <v>56</v>
      </c>
      <c r="J3870" s="5">
        <f>_xlfn.XLOOKUP(tblSales[[#This Row],[Product Code]],tblProducts[Code],tblProducts[Selling Price (excl. VAT)],0)</f>
        <v>85000</v>
      </c>
      <c r="K3870" s="5">
        <f>tblSales[[#This Row],[Qty]]*tblSales[[#This Row],[Unit Price]]</f>
        <v>4760000</v>
      </c>
      <c r="L3870" s="5">
        <f>ROUND(tblSales[[#This Row],[DPP (excl. VAT)]]*VATEff,0)</f>
        <v>523600</v>
      </c>
      <c r="M3870" s="5">
        <f>tblSales[[#This Row],[DPP (excl. VAT)]]+tblSales[[#This Row],[Output VAT]]</f>
        <v>5283600</v>
      </c>
      <c r="N3870" s="5">
        <f>tblSales[[#This Row],[Qty]]*_xlfn.XLOOKUP(tblSales[[#This Row],[Product Code]],tblProducts[Code],tblProducts[Unit Cost],0)</f>
        <v>2800000</v>
      </c>
      <c r="O3870" s="4" t="s">
        <v>4867</v>
      </c>
      <c r="P3870" s="4" t="s">
        <v>4860</v>
      </c>
      <c r="Q3870" s="1" t="str">
        <f>_xlfn.XLOOKUP(tblSales[[#This Row],[Channel Code]],tblChannels[Channel Code],tblChannels[Channel Name],"")</f>
        <v>In-store</v>
      </c>
      <c r="R3870" s="1">
        <f>MONTH(tblSales[[#This Row],[Date]])</f>
        <v>8</v>
      </c>
    </row>
    <row r="3871" spans="2:18" x14ac:dyDescent="0.35">
      <c r="B3871" s="113">
        <v>46253</v>
      </c>
      <c r="C3871" s="4" t="s">
        <v>2598</v>
      </c>
      <c r="D3871" s="4" t="s">
        <v>4606</v>
      </c>
      <c r="E3871" s="1" t="str">
        <f>_xlfn.XLOOKUP(tblSales[[#This Row],[Customer ID]],tblCustomers[Customer ID],tblCustomers[Customer Name],"⚠ Unknown")</f>
        <v>PT Arunika Digital Kreatif</v>
      </c>
      <c r="F3871" s="4" t="s">
        <v>10</v>
      </c>
      <c r="G3871" s="1" t="str">
        <f>_xlfn.XLOOKUP(tblSales[[#This Row],[Product Code]],tblProducts[Code],tblProducts[Product / Service Name],"⚠ Unknown")</f>
        <v>Chino Pants</v>
      </c>
      <c r="H3871" s="1" t="str">
        <f>_xlfn.XLOOKUP(tblSales[[#This Row],[Product Code]],tblProducts[Code],tblProducts[Category],"")</f>
        <v>Apparel &amp; Footwear</v>
      </c>
      <c r="I3871" s="4">
        <v>24</v>
      </c>
      <c r="J3871" s="5">
        <f>_xlfn.XLOOKUP(tblSales[[#This Row],[Product Code]],tblProducts[Code],tblProducts[Selling Price (excl. VAT)],0)</f>
        <v>150000</v>
      </c>
      <c r="K3871" s="5">
        <f>tblSales[[#This Row],[Qty]]*tblSales[[#This Row],[Unit Price]]</f>
        <v>3600000</v>
      </c>
      <c r="L3871" s="5">
        <f>ROUND(tblSales[[#This Row],[DPP (excl. VAT)]]*VATEff,0)</f>
        <v>396000</v>
      </c>
      <c r="M3871" s="5">
        <f>tblSales[[#This Row],[DPP (excl. VAT)]]+tblSales[[#This Row],[Output VAT]]</f>
        <v>3996000</v>
      </c>
      <c r="N3871" s="5">
        <f>tblSales[[#This Row],[Qty]]*_xlfn.XLOOKUP(tblSales[[#This Row],[Product Code]],tblProducts[Code],tblProducts[Unit Cost],0)</f>
        <v>2112000</v>
      </c>
      <c r="O3871" s="4" t="s">
        <v>4867</v>
      </c>
      <c r="P3871" s="4" t="s">
        <v>4860</v>
      </c>
      <c r="Q3871" s="1" t="str">
        <f>_xlfn.XLOOKUP(tblSales[[#This Row],[Channel Code]],tblChannels[Channel Code],tblChannels[Channel Name],"")</f>
        <v>In-store</v>
      </c>
      <c r="R3871" s="1">
        <f>MONTH(tblSales[[#This Row],[Date]])</f>
        <v>8</v>
      </c>
    </row>
    <row r="3872" spans="2:18" x14ac:dyDescent="0.35">
      <c r="B3872" s="113">
        <v>46253</v>
      </c>
      <c r="C3872" s="4" t="s">
        <v>2599</v>
      </c>
      <c r="D3872" s="4" t="s">
        <v>4568</v>
      </c>
      <c r="E3872" s="1" t="str">
        <f>_xlfn.XLOOKUP(tblSales[[#This Row],[Customer ID]],tblCustomers[Customer ID],tblCustomers[Customer Name],"⚠ Unknown")</f>
        <v>Walk-in Customer</v>
      </c>
      <c r="F3872" s="4" t="s">
        <v>14</v>
      </c>
      <c r="G3872" s="1" t="str">
        <f>_xlfn.XLOOKUP(tblSales[[#This Row],[Product Code]],tblProducts[Code],tblProducts[Product / Service Name],"⚠ Unknown")</f>
        <v>Smartwatch</v>
      </c>
      <c r="H3872" s="1" t="str">
        <f>_xlfn.XLOOKUP(tblSales[[#This Row],[Product Code]],tblProducts[Code],tblProducts[Category],"")</f>
        <v>Bags &amp; Gadgets</v>
      </c>
      <c r="I3872" s="4">
        <v>2</v>
      </c>
      <c r="J3872" s="5">
        <f>_xlfn.XLOOKUP(tblSales[[#This Row],[Product Code]],tblProducts[Code],tblProducts[Selling Price (excl. VAT)],0)</f>
        <v>850000</v>
      </c>
      <c r="K3872" s="5">
        <f>tblSales[[#This Row],[Qty]]*tblSales[[#This Row],[Unit Price]]</f>
        <v>1700000</v>
      </c>
      <c r="L3872" s="5">
        <f>ROUND(tblSales[[#This Row],[DPP (excl. VAT)]]*VATEff,0)</f>
        <v>187000</v>
      </c>
      <c r="M3872" s="5">
        <f>tblSales[[#This Row],[DPP (excl. VAT)]]+tblSales[[#This Row],[Output VAT]]</f>
        <v>1887000</v>
      </c>
      <c r="N3872" s="5">
        <f>tblSales[[#This Row],[Qty]]*_xlfn.XLOOKUP(tblSales[[#This Row],[Product Code]],tblProducts[Code],tblProducts[Unit Cost],0)</f>
        <v>1120000</v>
      </c>
      <c r="O3872" s="4" t="s">
        <v>4866</v>
      </c>
      <c r="P3872" s="4" t="s">
        <v>4861</v>
      </c>
      <c r="Q3872" s="1" t="str">
        <f>_xlfn.XLOOKUP(tblSales[[#This Row],[Channel Code]],tblChannels[Channel Code],tblChannels[Channel Name],"")</f>
        <v>Marketplace</v>
      </c>
      <c r="R3872" s="1">
        <f>MONTH(tblSales[[#This Row],[Date]])</f>
        <v>8</v>
      </c>
    </row>
    <row r="3873" spans="2:18" x14ac:dyDescent="0.35">
      <c r="B3873" s="113">
        <v>46253</v>
      </c>
      <c r="C3873" s="4" t="s">
        <v>2600</v>
      </c>
      <c r="D3873" s="4" t="s">
        <v>4568</v>
      </c>
      <c r="E3873" s="1" t="str">
        <f>_xlfn.XLOOKUP(tblSales[[#This Row],[Customer ID]],tblCustomers[Customer ID],tblCustomers[Customer Name],"⚠ Unknown")</f>
        <v>Walk-in Customer</v>
      </c>
      <c r="F3873" s="4" t="s">
        <v>7</v>
      </c>
      <c r="G3873" s="1" t="str">
        <f>_xlfn.XLOOKUP(tblSales[[#This Row],[Product Code]],tblProducts[Code],tblProducts[Product / Service Name],"⚠ Unknown")</f>
        <v>Premium Basic T-shirt</v>
      </c>
      <c r="H3873" s="1" t="str">
        <f>_xlfn.XLOOKUP(tblSales[[#This Row],[Product Code]],tblProducts[Code],tblProducts[Category],"")</f>
        <v>Accessories &amp; Basics</v>
      </c>
      <c r="I3873" s="4">
        <v>8</v>
      </c>
      <c r="J3873" s="5">
        <f>_xlfn.XLOOKUP(tblSales[[#This Row],[Product Code]],tblProducts[Code],tblProducts[Selling Price (excl. VAT)],0)</f>
        <v>65000</v>
      </c>
      <c r="K3873" s="5">
        <f>tblSales[[#This Row],[Qty]]*tblSales[[#This Row],[Unit Price]]</f>
        <v>520000</v>
      </c>
      <c r="L3873" s="5">
        <f>ROUND(tblSales[[#This Row],[DPP (excl. VAT)]]*VATEff,0)</f>
        <v>57200</v>
      </c>
      <c r="M3873" s="5">
        <f>tblSales[[#This Row],[DPP (excl. VAT)]]+tblSales[[#This Row],[Output VAT]]</f>
        <v>577200</v>
      </c>
      <c r="N3873" s="5">
        <f>tblSales[[#This Row],[Qty]]*_xlfn.XLOOKUP(tblSales[[#This Row],[Product Code]],tblProducts[Code],tblProducts[Unit Cost],0)</f>
        <v>296000</v>
      </c>
      <c r="O3873" s="4" t="s">
        <v>4866</v>
      </c>
      <c r="P3873" s="4" t="s">
        <v>4861</v>
      </c>
      <c r="Q3873" s="1" t="str">
        <f>_xlfn.XLOOKUP(tblSales[[#This Row],[Channel Code]],tblChannels[Channel Code],tblChannels[Channel Name],"")</f>
        <v>Marketplace</v>
      </c>
      <c r="R3873" s="1">
        <f>MONTH(tblSales[[#This Row],[Date]])</f>
        <v>8</v>
      </c>
    </row>
    <row r="3874" spans="2:18" x14ac:dyDescent="0.35">
      <c r="B3874" s="113">
        <v>46253</v>
      </c>
      <c r="C3874" s="4" t="s">
        <v>2601</v>
      </c>
      <c r="D3874" s="4" t="s">
        <v>4634</v>
      </c>
      <c r="E3874" s="1" t="str">
        <f>_xlfn.XLOOKUP(tblSales[[#This Row],[Customer ID]],tblCustomers[Customer ID],tblCustomers[Customer Name],"⚠ Unknown")</f>
        <v>PT Delta Inti Selaras</v>
      </c>
      <c r="F3874" s="4" t="s">
        <v>10</v>
      </c>
      <c r="G3874" s="1" t="str">
        <f>_xlfn.XLOOKUP(tblSales[[#This Row],[Product Code]],tblProducts[Code],tblProducts[Product / Service Name],"⚠ Unknown")</f>
        <v>Chino Pants</v>
      </c>
      <c r="H3874" s="1" t="str">
        <f>_xlfn.XLOOKUP(tblSales[[#This Row],[Product Code]],tblProducts[Code],tblProducts[Category],"")</f>
        <v>Apparel &amp; Footwear</v>
      </c>
      <c r="I3874" s="4">
        <v>64</v>
      </c>
      <c r="J3874" s="5">
        <f>_xlfn.XLOOKUP(tblSales[[#This Row],[Product Code]],tblProducts[Code],tblProducts[Selling Price (excl. VAT)],0)</f>
        <v>150000</v>
      </c>
      <c r="K3874" s="5">
        <f>tblSales[[#This Row],[Qty]]*tblSales[[#This Row],[Unit Price]]</f>
        <v>9600000</v>
      </c>
      <c r="L3874" s="5">
        <f>ROUND(tblSales[[#This Row],[DPP (excl. VAT)]]*VATEff,0)</f>
        <v>1056000</v>
      </c>
      <c r="M3874" s="5">
        <f>tblSales[[#This Row],[DPP (excl. VAT)]]+tblSales[[#This Row],[Output VAT]]</f>
        <v>10656000</v>
      </c>
      <c r="N3874" s="5">
        <f>tblSales[[#This Row],[Qty]]*_xlfn.XLOOKUP(tblSales[[#This Row],[Product Code]],tblProducts[Code],tblProducts[Unit Cost],0)</f>
        <v>5632000</v>
      </c>
      <c r="O3874" s="4" t="s">
        <v>4867</v>
      </c>
      <c r="P3874" s="4" t="s">
        <v>4860</v>
      </c>
      <c r="Q3874" s="1" t="str">
        <f>_xlfn.XLOOKUP(tblSales[[#This Row],[Channel Code]],tblChannels[Channel Code],tblChannels[Channel Name],"")</f>
        <v>In-store</v>
      </c>
      <c r="R3874" s="1">
        <f>MONTH(tblSales[[#This Row],[Date]])</f>
        <v>8</v>
      </c>
    </row>
    <row r="3875" spans="2:18" x14ac:dyDescent="0.35">
      <c r="B3875" s="113">
        <v>46254</v>
      </c>
      <c r="C3875" s="4" t="s">
        <v>2602</v>
      </c>
      <c r="D3875" s="4" t="s">
        <v>4568</v>
      </c>
      <c r="E3875" s="1" t="str">
        <f>_xlfn.XLOOKUP(tblSales[[#This Row],[Customer ID]],tblCustomers[Customer ID],tblCustomers[Customer Name],"⚠ Unknown")</f>
        <v>Walk-in Customer</v>
      </c>
      <c r="F3875" s="4" t="s">
        <v>8</v>
      </c>
      <c r="G3875" s="1" t="str">
        <f>_xlfn.XLOOKUP(tblSales[[#This Row],[Product Code]],tblProducts[Code],tblProducts[Product / Service Name],"⚠ Unknown")</f>
        <v>Casual Shorts</v>
      </c>
      <c r="H3875" s="1" t="str">
        <f>_xlfn.XLOOKUP(tblSales[[#This Row],[Product Code]],tblProducts[Code],tblProducts[Category],"")</f>
        <v>Accessories &amp; Basics</v>
      </c>
      <c r="I3875" s="4">
        <v>4</v>
      </c>
      <c r="J3875" s="5">
        <f>_xlfn.XLOOKUP(tblSales[[#This Row],[Product Code]],tblProducts[Code],tblProducts[Selling Price (excl. VAT)],0)</f>
        <v>85000</v>
      </c>
      <c r="K3875" s="5">
        <f>tblSales[[#This Row],[Qty]]*tblSales[[#This Row],[Unit Price]]</f>
        <v>340000</v>
      </c>
      <c r="L3875" s="5">
        <f>ROUND(tblSales[[#This Row],[DPP (excl. VAT)]]*VATEff,0)</f>
        <v>37400</v>
      </c>
      <c r="M3875" s="5">
        <f>tblSales[[#This Row],[DPP (excl. VAT)]]+tblSales[[#This Row],[Output VAT]]</f>
        <v>377400</v>
      </c>
      <c r="N3875" s="5">
        <f>tblSales[[#This Row],[Qty]]*_xlfn.XLOOKUP(tblSales[[#This Row],[Product Code]],tblProducts[Code],tblProducts[Unit Cost],0)</f>
        <v>200000</v>
      </c>
      <c r="O3875" s="4" t="s">
        <v>4866</v>
      </c>
      <c r="P3875" s="4" t="s">
        <v>4861</v>
      </c>
      <c r="Q3875" s="1" t="str">
        <f>_xlfn.XLOOKUP(tblSales[[#This Row],[Channel Code]],tblChannels[Channel Code],tblChannels[Channel Name],"")</f>
        <v>Marketplace</v>
      </c>
      <c r="R3875" s="1">
        <f>MONTH(tblSales[[#This Row],[Date]])</f>
        <v>8</v>
      </c>
    </row>
    <row r="3876" spans="2:18" x14ac:dyDescent="0.35">
      <c r="B3876" s="113">
        <v>46254</v>
      </c>
      <c r="C3876" s="4" t="s">
        <v>2602</v>
      </c>
      <c r="D3876" s="4" t="s">
        <v>4568</v>
      </c>
      <c r="E3876" s="1" t="str">
        <f>_xlfn.XLOOKUP(tblSales[[#This Row],[Customer ID]],tblCustomers[Customer ID],tblCustomers[Customer Name],"⚠ Unknown")</f>
        <v>Walk-in Customer</v>
      </c>
      <c r="F3876" s="4" t="s">
        <v>7</v>
      </c>
      <c r="G3876" s="1" t="str">
        <f>_xlfn.XLOOKUP(tblSales[[#This Row],[Product Code]],tblProducts[Code],tblProducts[Product / Service Name],"⚠ Unknown")</f>
        <v>Premium Basic T-shirt</v>
      </c>
      <c r="H3876" s="1" t="str">
        <f>_xlfn.XLOOKUP(tblSales[[#This Row],[Product Code]],tblProducts[Code],tblProducts[Category],"")</f>
        <v>Accessories &amp; Basics</v>
      </c>
      <c r="I3876" s="4">
        <v>3</v>
      </c>
      <c r="J3876" s="5">
        <f>_xlfn.XLOOKUP(tblSales[[#This Row],[Product Code]],tblProducts[Code],tblProducts[Selling Price (excl. VAT)],0)</f>
        <v>65000</v>
      </c>
      <c r="K3876" s="5">
        <f>tblSales[[#This Row],[Qty]]*tblSales[[#This Row],[Unit Price]]</f>
        <v>195000</v>
      </c>
      <c r="L3876" s="5">
        <f>ROUND(tblSales[[#This Row],[DPP (excl. VAT)]]*VATEff,0)</f>
        <v>21450</v>
      </c>
      <c r="M3876" s="5">
        <f>tblSales[[#This Row],[DPP (excl. VAT)]]+tblSales[[#This Row],[Output VAT]]</f>
        <v>216450</v>
      </c>
      <c r="N3876" s="5">
        <f>tblSales[[#This Row],[Qty]]*_xlfn.XLOOKUP(tblSales[[#This Row],[Product Code]],tblProducts[Code],tblProducts[Unit Cost],0)</f>
        <v>111000</v>
      </c>
      <c r="O3876" s="4" t="s">
        <v>4866</v>
      </c>
      <c r="P3876" s="4" t="s">
        <v>4861</v>
      </c>
      <c r="Q3876" s="1" t="str">
        <f>_xlfn.XLOOKUP(tblSales[[#This Row],[Channel Code]],tblChannels[Channel Code],tblChannels[Channel Name],"")</f>
        <v>Marketplace</v>
      </c>
      <c r="R3876" s="1">
        <f>MONTH(tblSales[[#This Row],[Date]])</f>
        <v>8</v>
      </c>
    </row>
    <row r="3877" spans="2:18" x14ac:dyDescent="0.35">
      <c r="B3877" s="113">
        <v>46254</v>
      </c>
      <c r="C3877" s="4" t="s">
        <v>2603</v>
      </c>
      <c r="D3877" s="4" t="s">
        <v>4568</v>
      </c>
      <c r="E3877" s="1" t="str">
        <f>_xlfn.XLOOKUP(tblSales[[#This Row],[Customer ID]],tblCustomers[Customer ID],tblCustomers[Customer Name],"⚠ Unknown")</f>
        <v>Walk-in Customer</v>
      </c>
      <c r="F3877" s="4" t="s">
        <v>9</v>
      </c>
      <c r="G3877" s="1" t="str">
        <f>_xlfn.XLOOKUP(tblSales[[#This Row],[Product Code]],tblProducts[Code],tblProducts[Product / Service Name],"⚠ Unknown")</f>
        <v>Casual Shirt</v>
      </c>
      <c r="H3877" s="1" t="str">
        <f>_xlfn.XLOOKUP(tblSales[[#This Row],[Product Code]],tblProducts[Code],tblProducts[Category],"")</f>
        <v>Apparel &amp; Footwear</v>
      </c>
      <c r="I3877" s="4">
        <v>11</v>
      </c>
      <c r="J3877" s="5">
        <f>_xlfn.XLOOKUP(tblSales[[#This Row],[Product Code]],tblProducts[Code],tblProducts[Selling Price (excl. VAT)],0)</f>
        <v>120000</v>
      </c>
      <c r="K3877" s="5">
        <f>tblSales[[#This Row],[Qty]]*tblSales[[#This Row],[Unit Price]]</f>
        <v>1320000</v>
      </c>
      <c r="L3877" s="5">
        <f>ROUND(tblSales[[#This Row],[DPP (excl. VAT)]]*VATEff,0)</f>
        <v>145200</v>
      </c>
      <c r="M3877" s="5">
        <f>tblSales[[#This Row],[DPP (excl. VAT)]]+tblSales[[#This Row],[Output VAT]]</f>
        <v>1465200</v>
      </c>
      <c r="N3877" s="5">
        <f>tblSales[[#This Row],[Qty]]*_xlfn.XLOOKUP(tblSales[[#This Row],[Product Code]],tblProducts[Code],tblProducts[Unit Cost],0)</f>
        <v>792000</v>
      </c>
      <c r="O3877" s="4" t="s">
        <v>4866</v>
      </c>
      <c r="P3877" s="4" t="s">
        <v>4861</v>
      </c>
      <c r="Q3877" s="1" t="str">
        <f>_xlfn.XLOOKUP(tblSales[[#This Row],[Channel Code]],tblChannels[Channel Code],tblChannels[Channel Name],"")</f>
        <v>Marketplace</v>
      </c>
      <c r="R3877" s="1">
        <f>MONTH(tblSales[[#This Row],[Date]])</f>
        <v>8</v>
      </c>
    </row>
    <row r="3878" spans="2:18" x14ac:dyDescent="0.35">
      <c r="B3878" s="113">
        <v>46254</v>
      </c>
      <c r="C3878" s="4" t="s">
        <v>2604</v>
      </c>
      <c r="D3878" s="4" t="s">
        <v>4568</v>
      </c>
      <c r="E3878" s="1" t="str">
        <f>_xlfn.XLOOKUP(tblSales[[#This Row],[Customer ID]],tblCustomers[Customer ID],tblCustomers[Customer Name],"⚠ Unknown")</f>
        <v>Walk-in Customer</v>
      </c>
      <c r="F3878" s="4" t="s">
        <v>11</v>
      </c>
      <c r="G3878" s="1" t="str">
        <f>_xlfn.XLOOKUP(tblSales[[#This Row],[Product Code]],tblProducts[Code],tblProducts[Product / Service Name],"⚠ Unknown")</f>
        <v>Sneakers</v>
      </c>
      <c r="H3878" s="1" t="str">
        <f>_xlfn.XLOOKUP(tblSales[[#This Row],[Product Code]],tblProducts[Code],tblProducts[Category],"")</f>
        <v>Apparel &amp; Footwear</v>
      </c>
      <c r="I3878" s="4">
        <v>1</v>
      </c>
      <c r="J3878" s="5">
        <f>_xlfn.XLOOKUP(tblSales[[#This Row],[Product Code]],tblProducts[Code],tblProducts[Selling Price (excl. VAT)],0)</f>
        <v>250000</v>
      </c>
      <c r="K3878" s="5">
        <f>tblSales[[#This Row],[Qty]]*tblSales[[#This Row],[Unit Price]]</f>
        <v>250000</v>
      </c>
      <c r="L3878" s="5">
        <f>ROUND(tblSales[[#This Row],[DPP (excl. VAT)]]*VATEff,0)</f>
        <v>27500</v>
      </c>
      <c r="M3878" s="5">
        <f>tblSales[[#This Row],[DPP (excl. VAT)]]+tblSales[[#This Row],[Output VAT]]</f>
        <v>277500</v>
      </c>
      <c r="N3878" s="5">
        <f>tblSales[[#This Row],[Qty]]*_xlfn.XLOOKUP(tblSales[[#This Row],[Product Code]],tblProducts[Code],tblProducts[Unit Cost],0)</f>
        <v>155000</v>
      </c>
      <c r="O3878" s="4" t="s">
        <v>4865</v>
      </c>
      <c r="P3878" s="4" t="s">
        <v>4860</v>
      </c>
      <c r="Q3878" s="1" t="str">
        <f>_xlfn.XLOOKUP(tblSales[[#This Row],[Channel Code]],tblChannels[Channel Code],tblChannels[Channel Name],"")</f>
        <v>In-store</v>
      </c>
      <c r="R3878" s="1">
        <f>MONTH(tblSales[[#This Row],[Date]])</f>
        <v>8</v>
      </c>
    </row>
    <row r="3879" spans="2:18" x14ac:dyDescent="0.35">
      <c r="B3879" s="113">
        <v>46254</v>
      </c>
      <c r="C3879" s="4" t="s">
        <v>2604</v>
      </c>
      <c r="D3879" s="4" t="s">
        <v>4568</v>
      </c>
      <c r="E3879" s="1" t="str">
        <f>_xlfn.XLOOKUP(tblSales[[#This Row],[Customer ID]],tblCustomers[Customer ID],tblCustomers[Customer Name],"⚠ Unknown")</f>
        <v>Walk-in Customer</v>
      </c>
      <c r="F3879" s="4" t="s">
        <v>7</v>
      </c>
      <c r="G3879" s="1" t="str">
        <f>_xlfn.XLOOKUP(tblSales[[#This Row],[Product Code]],tblProducts[Code],tblProducts[Product / Service Name],"⚠ Unknown")</f>
        <v>Premium Basic T-shirt</v>
      </c>
      <c r="H3879" s="1" t="str">
        <f>_xlfn.XLOOKUP(tblSales[[#This Row],[Product Code]],tblProducts[Code],tblProducts[Category],"")</f>
        <v>Accessories &amp; Basics</v>
      </c>
      <c r="I3879" s="4">
        <v>2</v>
      </c>
      <c r="J3879" s="5">
        <f>_xlfn.XLOOKUP(tblSales[[#This Row],[Product Code]],tblProducts[Code],tblProducts[Selling Price (excl. VAT)],0)</f>
        <v>65000</v>
      </c>
      <c r="K3879" s="5">
        <f>tblSales[[#This Row],[Qty]]*tblSales[[#This Row],[Unit Price]]</f>
        <v>130000</v>
      </c>
      <c r="L3879" s="5">
        <f>ROUND(tblSales[[#This Row],[DPP (excl. VAT)]]*VATEff,0)</f>
        <v>14300</v>
      </c>
      <c r="M3879" s="5">
        <f>tblSales[[#This Row],[DPP (excl. VAT)]]+tblSales[[#This Row],[Output VAT]]</f>
        <v>144300</v>
      </c>
      <c r="N3879" s="5">
        <f>tblSales[[#This Row],[Qty]]*_xlfn.XLOOKUP(tblSales[[#This Row],[Product Code]],tblProducts[Code],tblProducts[Unit Cost],0)</f>
        <v>74000</v>
      </c>
      <c r="O3879" s="4" t="s">
        <v>4865</v>
      </c>
      <c r="P3879" s="4" t="s">
        <v>4860</v>
      </c>
      <c r="Q3879" s="1" t="str">
        <f>_xlfn.XLOOKUP(tblSales[[#This Row],[Channel Code]],tblChannels[Channel Code],tblChannels[Channel Name],"")</f>
        <v>In-store</v>
      </c>
      <c r="R3879" s="1">
        <f>MONTH(tblSales[[#This Row],[Date]])</f>
        <v>8</v>
      </c>
    </row>
    <row r="3880" spans="2:18" x14ac:dyDescent="0.35">
      <c r="B3880" s="113">
        <v>46254</v>
      </c>
      <c r="C3880" s="4" t="s">
        <v>2605</v>
      </c>
      <c r="D3880" s="4" t="s">
        <v>4568</v>
      </c>
      <c r="E3880" s="1" t="str">
        <f>_xlfn.XLOOKUP(tblSales[[#This Row],[Customer ID]],tblCustomers[Customer ID],tblCustomers[Customer Name],"⚠ Unknown")</f>
        <v>Walk-in Customer</v>
      </c>
      <c r="F3880" s="4" t="s">
        <v>8</v>
      </c>
      <c r="G3880" s="1" t="str">
        <f>_xlfn.XLOOKUP(tblSales[[#This Row],[Product Code]],tblProducts[Code],tblProducts[Product / Service Name],"⚠ Unknown")</f>
        <v>Casual Shorts</v>
      </c>
      <c r="H3880" s="1" t="str">
        <f>_xlfn.XLOOKUP(tblSales[[#This Row],[Product Code]],tblProducts[Code],tblProducts[Category],"")</f>
        <v>Accessories &amp; Basics</v>
      </c>
      <c r="I3880" s="4">
        <v>7</v>
      </c>
      <c r="J3880" s="5">
        <f>_xlfn.XLOOKUP(tblSales[[#This Row],[Product Code]],tblProducts[Code],tblProducts[Selling Price (excl. VAT)],0)</f>
        <v>85000</v>
      </c>
      <c r="K3880" s="5">
        <f>tblSales[[#This Row],[Qty]]*tblSales[[#This Row],[Unit Price]]</f>
        <v>595000</v>
      </c>
      <c r="L3880" s="5">
        <f>ROUND(tblSales[[#This Row],[DPP (excl. VAT)]]*VATEff,0)</f>
        <v>65450</v>
      </c>
      <c r="M3880" s="5">
        <f>tblSales[[#This Row],[DPP (excl. VAT)]]+tblSales[[#This Row],[Output VAT]]</f>
        <v>660450</v>
      </c>
      <c r="N3880" s="5">
        <f>tblSales[[#This Row],[Qty]]*_xlfn.XLOOKUP(tblSales[[#This Row],[Product Code]],tblProducts[Code],tblProducts[Unit Cost],0)</f>
        <v>350000</v>
      </c>
      <c r="O3880" s="4" t="s">
        <v>4865</v>
      </c>
      <c r="P3880" s="4" t="s">
        <v>4860</v>
      </c>
      <c r="Q3880" s="1" t="str">
        <f>_xlfn.XLOOKUP(tblSales[[#This Row],[Channel Code]],tblChannels[Channel Code],tblChannels[Channel Name],"")</f>
        <v>In-store</v>
      </c>
      <c r="R3880" s="1">
        <f>MONTH(tblSales[[#This Row],[Date]])</f>
        <v>8</v>
      </c>
    </row>
    <row r="3881" spans="2:18" x14ac:dyDescent="0.35">
      <c r="B3881" s="113">
        <v>46254</v>
      </c>
      <c r="C3881" s="4" t="s">
        <v>2606</v>
      </c>
      <c r="D3881" s="4" t="s">
        <v>4593</v>
      </c>
      <c r="E3881" s="1" t="str">
        <f>_xlfn.XLOOKUP(tblSales[[#This Row],[Customer ID]],tblCustomers[Customer ID],tblCustomers[Customer Name],"⚠ Unknown")</f>
        <v>PT Graha Nusa Persada</v>
      </c>
      <c r="F3881" s="4" t="s">
        <v>15</v>
      </c>
      <c r="G3881" s="1" t="str">
        <f>_xlfn.XLOOKUP(tblSales[[#This Row],[Product Code]],tblProducts[Code],tblProducts[Product / Service Name],"⚠ Unknown")</f>
        <v>Wireless Earbuds Pro</v>
      </c>
      <c r="H3881" s="1" t="str">
        <f>_xlfn.XLOOKUP(tblSales[[#This Row],[Product Code]],tblProducts[Code],tblProducts[Category],"")</f>
        <v>Bags &amp; Gadgets</v>
      </c>
      <c r="I3881" s="4">
        <v>8</v>
      </c>
      <c r="J3881" s="5">
        <f>_xlfn.XLOOKUP(tblSales[[#This Row],[Product Code]],tblProducts[Code],tblProducts[Selling Price (excl. VAT)],0)</f>
        <v>1250000</v>
      </c>
      <c r="K3881" s="5">
        <f>tblSales[[#This Row],[Qty]]*tblSales[[#This Row],[Unit Price]]</f>
        <v>10000000</v>
      </c>
      <c r="L3881" s="5">
        <f>ROUND(tblSales[[#This Row],[DPP (excl. VAT)]]*VATEff,0)</f>
        <v>1100000</v>
      </c>
      <c r="M3881" s="5">
        <f>tblSales[[#This Row],[DPP (excl. VAT)]]+tblSales[[#This Row],[Output VAT]]</f>
        <v>11100000</v>
      </c>
      <c r="N3881" s="5">
        <f>tblSales[[#This Row],[Qty]]*_xlfn.XLOOKUP(tblSales[[#This Row],[Product Code]],tblProducts[Code],tblProducts[Unit Cost],0)</f>
        <v>6560000</v>
      </c>
      <c r="O3881" s="4" t="s">
        <v>4867</v>
      </c>
      <c r="P3881" s="4" t="s">
        <v>4860</v>
      </c>
      <c r="Q3881" s="1" t="str">
        <f>_xlfn.XLOOKUP(tblSales[[#This Row],[Channel Code]],tblChannels[Channel Code],tblChannels[Channel Name],"")</f>
        <v>In-store</v>
      </c>
      <c r="R3881" s="1">
        <f>MONTH(tblSales[[#This Row],[Date]])</f>
        <v>8</v>
      </c>
    </row>
    <row r="3882" spans="2:18" x14ac:dyDescent="0.35">
      <c r="B3882" s="113">
        <v>46254</v>
      </c>
      <c r="C3882" s="4" t="s">
        <v>2607</v>
      </c>
      <c r="D3882" s="4" t="s">
        <v>4568</v>
      </c>
      <c r="E3882" s="1" t="str">
        <f>_xlfn.XLOOKUP(tblSales[[#This Row],[Customer ID]],tblCustomers[Customer ID],tblCustomers[Customer Name],"⚠ Unknown")</f>
        <v>Walk-in Customer</v>
      </c>
      <c r="F3882" s="4" t="s">
        <v>8</v>
      </c>
      <c r="G3882" s="1" t="str">
        <f>_xlfn.XLOOKUP(tblSales[[#This Row],[Product Code]],tblProducts[Code],tblProducts[Product / Service Name],"⚠ Unknown")</f>
        <v>Casual Shorts</v>
      </c>
      <c r="H3882" s="1" t="str">
        <f>_xlfn.XLOOKUP(tblSales[[#This Row],[Product Code]],tblProducts[Code],tblProducts[Category],"")</f>
        <v>Accessories &amp; Basics</v>
      </c>
      <c r="I3882" s="4">
        <v>2</v>
      </c>
      <c r="J3882" s="5">
        <f>_xlfn.XLOOKUP(tblSales[[#This Row],[Product Code]],tblProducts[Code],tblProducts[Selling Price (excl. VAT)],0)</f>
        <v>85000</v>
      </c>
      <c r="K3882" s="5">
        <f>tblSales[[#This Row],[Qty]]*tblSales[[#This Row],[Unit Price]]</f>
        <v>170000</v>
      </c>
      <c r="L3882" s="5">
        <f>ROUND(tblSales[[#This Row],[DPP (excl. VAT)]]*VATEff,0)</f>
        <v>18700</v>
      </c>
      <c r="M3882" s="5">
        <f>tblSales[[#This Row],[DPP (excl. VAT)]]+tblSales[[#This Row],[Output VAT]]</f>
        <v>188700</v>
      </c>
      <c r="N3882" s="5">
        <f>tblSales[[#This Row],[Qty]]*_xlfn.XLOOKUP(tblSales[[#This Row],[Product Code]],tblProducts[Code],tblProducts[Unit Cost],0)</f>
        <v>100000</v>
      </c>
      <c r="O3882" s="4" t="s">
        <v>4865</v>
      </c>
      <c r="P3882" s="4" t="s">
        <v>4860</v>
      </c>
      <c r="Q3882" s="1" t="str">
        <f>_xlfn.XLOOKUP(tblSales[[#This Row],[Channel Code]],tblChannels[Channel Code],tblChannels[Channel Name],"")</f>
        <v>In-store</v>
      </c>
      <c r="R3882" s="1">
        <f>MONTH(tblSales[[#This Row],[Date]])</f>
        <v>8</v>
      </c>
    </row>
    <row r="3883" spans="2:18" x14ac:dyDescent="0.35">
      <c r="B3883" s="113">
        <v>46254</v>
      </c>
      <c r="C3883" s="4" t="s">
        <v>2607</v>
      </c>
      <c r="D3883" s="4" t="s">
        <v>4568</v>
      </c>
      <c r="E3883" s="1" t="str">
        <f>_xlfn.XLOOKUP(tblSales[[#This Row],[Customer ID]],tblCustomers[Customer ID],tblCustomers[Customer Name],"⚠ Unknown")</f>
        <v>Walk-in Customer</v>
      </c>
      <c r="F3883" s="4" t="s">
        <v>9</v>
      </c>
      <c r="G3883" s="1" t="str">
        <f>_xlfn.XLOOKUP(tblSales[[#This Row],[Product Code]],tblProducts[Code],tblProducts[Product / Service Name],"⚠ Unknown")</f>
        <v>Casual Shirt</v>
      </c>
      <c r="H3883" s="1" t="str">
        <f>_xlfn.XLOOKUP(tblSales[[#This Row],[Product Code]],tblProducts[Code],tblProducts[Category],"")</f>
        <v>Apparel &amp; Footwear</v>
      </c>
      <c r="I3883" s="4">
        <v>11</v>
      </c>
      <c r="J3883" s="5">
        <f>_xlfn.XLOOKUP(tblSales[[#This Row],[Product Code]],tblProducts[Code],tblProducts[Selling Price (excl. VAT)],0)</f>
        <v>120000</v>
      </c>
      <c r="K3883" s="5">
        <f>tblSales[[#This Row],[Qty]]*tblSales[[#This Row],[Unit Price]]</f>
        <v>1320000</v>
      </c>
      <c r="L3883" s="5">
        <f>ROUND(tblSales[[#This Row],[DPP (excl. VAT)]]*VATEff,0)</f>
        <v>145200</v>
      </c>
      <c r="M3883" s="5">
        <f>tblSales[[#This Row],[DPP (excl. VAT)]]+tblSales[[#This Row],[Output VAT]]</f>
        <v>1465200</v>
      </c>
      <c r="N3883" s="5">
        <f>tblSales[[#This Row],[Qty]]*_xlfn.XLOOKUP(tblSales[[#This Row],[Product Code]],tblProducts[Code],tblProducts[Unit Cost],0)</f>
        <v>792000</v>
      </c>
      <c r="O3883" s="4" t="s">
        <v>4865</v>
      </c>
      <c r="P3883" s="4" t="s">
        <v>4860</v>
      </c>
      <c r="Q3883" s="1" t="str">
        <f>_xlfn.XLOOKUP(tblSales[[#This Row],[Channel Code]],tblChannels[Channel Code],tblChannels[Channel Name],"")</f>
        <v>In-store</v>
      </c>
      <c r="R3883" s="1">
        <f>MONTH(tblSales[[#This Row],[Date]])</f>
        <v>8</v>
      </c>
    </row>
    <row r="3884" spans="2:18" x14ac:dyDescent="0.35">
      <c r="B3884" s="113">
        <v>46254</v>
      </c>
      <c r="C3884" s="4" t="s">
        <v>2608</v>
      </c>
      <c r="D3884" s="4" t="s">
        <v>4568</v>
      </c>
      <c r="E3884" s="1" t="str">
        <f>_xlfn.XLOOKUP(tblSales[[#This Row],[Customer ID]],tblCustomers[Customer ID],tblCustomers[Customer Name],"⚠ Unknown")</f>
        <v>Walk-in Customer</v>
      </c>
      <c r="F3884" s="4" t="s">
        <v>9</v>
      </c>
      <c r="G3884" s="1" t="str">
        <f>_xlfn.XLOOKUP(tblSales[[#This Row],[Product Code]],tblProducts[Code],tblProducts[Product / Service Name],"⚠ Unknown")</f>
        <v>Casual Shirt</v>
      </c>
      <c r="H3884" s="1" t="str">
        <f>_xlfn.XLOOKUP(tblSales[[#This Row],[Product Code]],tblProducts[Code],tblProducts[Category],"")</f>
        <v>Apparel &amp; Footwear</v>
      </c>
      <c r="I3884" s="4">
        <v>12</v>
      </c>
      <c r="J3884" s="5">
        <f>_xlfn.XLOOKUP(tblSales[[#This Row],[Product Code]],tblProducts[Code],tblProducts[Selling Price (excl. VAT)],0)</f>
        <v>120000</v>
      </c>
      <c r="K3884" s="5">
        <f>tblSales[[#This Row],[Qty]]*tblSales[[#This Row],[Unit Price]]</f>
        <v>1440000</v>
      </c>
      <c r="L3884" s="5">
        <f>ROUND(tblSales[[#This Row],[DPP (excl. VAT)]]*VATEff,0)</f>
        <v>158400</v>
      </c>
      <c r="M3884" s="5">
        <f>tblSales[[#This Row],[DPP (excl. VAT)]]+tblSales[[#This Row],[Output VAT]]</f>
        <v>1598400</v>
      </c>
      <c r="N3884" s="5">
        <f>tblSales[[#This Row],[Qty]]*_xlfn.XLOOKUP(tblSales[[#This Row],[Product Code]],tblProducts[Code],tblProducts[Unit Cost],0)</f>
        <v>864000</v>
      </c>
      <c r="O3884" s="4" t="s">
        <v>4866</v>
      </c>
      <c r="P3884" s="4" t="s">
        <v>4861</v>
      </c>
      <c r="Q3884" s="1" t="str">
        <f>_xlfn.XLOOKUP(tblSales[[#This Row],[Channel Code]],tblChannels[Channel Code],tblChannels[Channel Name],"")</f>
        <v>Marketplace</v>
      </c>
      <c r="R3884" s="1">
        <f>MONTH(tblSales[[#This Row],[Date]])</f>
        <v>8</v>
      </c>
    </row>
    <row r="3885" spans="2:18" x14ac:dyDescent="0.35">
      <c r="B3885" s="113">
        <v>46254</v>
      </c>
      <c r="C3885" s="4" t="s">
        <v>2608</v>
      </c>
      <c r="D3885" s="4" t="s">
        <v>4568</v>
      </c>
      <c r="E3885" s="1" t="str">
        <f>_xlfn.XLOOKUP(tblSales[[#This Row],[Customer ID]],tblCustomers[Customer ID],tblCustomers[Customer Name],"⚠ Unknown")</f>
        <v>Walk-in Customer</v>
      </c>
      <c r="F3885" s="4" t="s">
        <v>11</v>
      </c>
      <c r="G3885" s="1" t="str">
        <f>_xlfn.XLOOKUP(tblSales[[#This Row],[Product Code]],tblProducts[Code],tblProducts[Product / Service Name],"⚠ Unknown")</f>
        <v>Sneakers</v>
      </c>
      <c r="H3885" s="1" t="str">
        <f>_xlfn.XLOOKUP(tblSales[[#This Row],[Product Code]],tblProducts[Code],tblProducts[Category],"")</f>
        <v>Apparel &amp; Footwear</v>
      </c>
      <c r="I3885" s="4">
        <v>3</v>
      </c>
      <c r="J3885" s="5">
        <f>_xlfn.XLOOKUP(tblSales[[#This Row],[Product Code]],tblProducts[Code],tblProducts[Selling Price (excl. VAT)],0)</f>
        <v>250000</v>
      </c>
      <c r="K3885" s="5">
        <f>tblSales[[#This Row],[Qty]]*tblSales[[#This Row],[Unit Price]]</f>
        <v>750000</v>
      </c>
      <c r="L3885" s="5">
        <f>ROUND(tblSales[[#This Row],[DPP (excl. VAT)]]*VATEff,0)</f>
        <v>82500</v>
      </c>
      <c r="M3885" s="5">
        <f>tblSales[[#This Row],[DPP (excl. VAT)]]+tblSales[[#This Row],[Output VAT]]</f>
        <v>832500</v>
      </c>
      <c r="N3885" s="5">
        <f>tblSales[[#This Row],[Qty]]*_xlfn.XLOOKUP(tblSales[[#This Row],[Product Code]],tblProducts[Code],tblProducts[Unit Cost],0)</f>
        <v>465000</v>
      </c>
      <c r="O3885" s="4" t="s">
        <v>4866</v>
      </c>
      <c r="P3885" s="4" t="s">
        <v>4861</v>
      </c>
      <c r="Q3885" s="1" t="str">
        <f>_xlfn.XLOOKUP(tblSales[[#This Row],[Channel Code]],tblChannels[Channel Code],tblChannels[Channel Name],"")</f>
        <v>Marketplace</v>
      </c>
      <c r="R3885" s="1">
        <f>MONTH(tblSales[[#This Row],[Date]])</f>
        <v>8</v>
      </c>
    </row>
    <row r="3886" spans="2:18" x14ac:dyDescent="0.35">
      <c r="B3886" s="113">
        <v>46254</v>
      </c>
      <c r="C3886" s="4" t="s">
        <v>2609</v>
      </c>
      <c r="D3886" s="4" t="s">
        <v>4568</v>
      </c>
      <c r="E3886" s="1" t="str">
        <f>_xlfn.XLOOKUP(tblSales[[#This Row],[Customer ID]],tblCustomers[Customer ID],tblCustomers[Customer Name],"⚠ Unknown")</f>
        <v>Walk-in Customer</v>
      </c>
      <c r="F3886" s="4" t="s">
        <v>11</v>
      </c>
      <c r="G3886" s="1" t="str">
        <f>_xlfn.XLOOKUP(tblSales[[#This Row],[Product Code]],tblProducts[Code],tblProducts[Product / Service Name],"⚠ Unknown")</f>
        <v>Sneakers</v>
      </c>
      <c r="H3886" s="1" t="str">
        <f>_xlfn.XLOOKUP(tblSales[[#This Row],[Product Code]],tblProducts[Code],tblProducts[Category],"")</f>
        <v>Apparel &amp; Footwear</v>
      </c>
      <c r="I3886" s="4">
        <v>3</v>
      </c>
      <c r="J3886" s="5">
        <f>_xlfn.XLOOKUP(tblSales[[#This Row],[Product Code]],tblProducts[Code],tblProducts[Selling Price (excl. VAT)],0)</f>
        <v>250000</v>
      </c>
      <c r="K3886" s="5">
        <f>tblSales[[#This Row],[Qty]]*tblSales[[#This Row],[Unit Price]]</f>
        <v>750000</v>
      </c>
      <c r="L3886" s="5">
        <f>ROUND(tblSales[[#This Row],[DPP (excl. VAT)]]*VATEff,0)</f>
        <v>82500</v>
      </c>
      <c r="M3886" s="5">
        <f>tblSales[[#This Row],[DPP (excl. VAT)]]+tblSales[[#This Row],[Output VAT]]</f>
        <v>832500</v>
      </c>
      <c r="N3886" s="5">
        <f>tblSales[[#This Row],[Qty]]*_xlfn.XLOOKUP(tblSales[[#This Row],[Product Code]],tblProducts[Code],tblProducts[Unit Cost],0)</f>
        <v>465000</v>
      </c>
      <c r="O3886" s="4" t="s">
        <v>4866</v>
      </c>
      <c r="P3886" s="4" t="s">
        <v>4860</v>
      </c>
      <c r="Q3886" s="1" t="str">
        <f>_xlfn.XLOOKUP(tblSales[[#This Row],[Channel Code]],tblChannels[Channel Code],tblChannels[Channel Name],"")</f>
        <v>In-store</v>
      </c>
      <c r="R3886" s="1">
        <f>MONTH(tblSales[[#This Row],[Date]])</f>
        <v>8</v>
      </c>
    </row>
    <row r="3887" spans="2:18" x14ac:dyDescent="0.35">
      <c r="B3887" s="113">
        <v>46254</v>
      </c>
      <c r="C3887" s="4" t="s">
        <v>2610</v>
      </c>
      <c r="D3887" s="4" t="s">
        <v>4568</v>
      </c>
      <c r="E3887" s="1" t="str">
        <f>_xlfn.XLOOKUP(tblSales[[#This Row],[Customer ID]],tblCustomers[Customer ID],tblCustomers[Customer Name],"⚠ Unknown")</f>
        <v>Walk-in Customer</v>
      </c>
      <c r="F3887" s="4" t="s">
        <v>6</v>
      </c>
      <c r="G3887" s="1" t="str">
        <f>_xlfn.XLOOKUP(tblSales[[#This Row],[Product Code]],tblProducts[Code],tblProducts[Product / Service Name],"⚠ Unknown")</f>
        <v>Socks &amp; Accessories</v>
      </c>
      <c r="H3887" s="1" t="str">
        <f>_xlfn.XLOOKUP(tblSales[[#This Row],[Product Code]],tblProducts[Code],tblProducts[Category],"")</f>
        <v>Accessories &amp; Basics</v>
      </c>
      <c r="I3887" s="4">
        <v>4</v>
      </c>
      <c r="J3887" s="5">
        <f>_xlfn.XLOOKUP(tblSales[[#This Row],[Product Code]],tblProducts[Code],tblProducts[Selling Price (excl. VAT)],0)</f>
        <v>45000</v>
      </c>
      <c r="K3887" s="5">
        <f>tblSales[[#This Row],[Qty]]*tblSales[[#This Row],[Unit Price]]</f>
        <v>180000</v>
      </c>
      <c r="L3887" s="5">
        <f>ROUND(tblSales[[#This Row],[DPP (excl. VAT)]]*VATEff,0)</f>
        <v>19800</v>
      </c>
      <c r="M3887" s="5">
        <f>tblSales[[#This Row],[DPP (excl. VAT)]]+tblSales[[#This Row],[Output VAT]]</f>
        <v>199800</v>
      </c>
      <c r="N3887" s="5">
        <f>tblSales[[#This Row],[Qty]]*_xlfn.XLOOKUP(tblSales[[#This Row],[Product Code]],tblProducts[Code],tblProducts[Unit Cost],0)</f>
        <v>96000</v>
      </c>
      <c r="O3887" s="4" t="s">
        <v>4866</v>
      </c>
      <c r="P3887" s="4" t="s">
        <v>4861</v>
      </c>
      <c r="Q3887" s="1" t="str">
        <f>_xlfn.XLOOKUP(tblSales[[#This Row],[Channel Code]],tblChannels[Channel Code],tblChannels[Channel Name],"")</f>
        <v>Marketplace</v>
      </c>
      <c r="R3887" s="1">
        <f>MONTH(tblSales[[#This Row],[Date]])</f>
        <v>8</v>
      </c>
    </row>
    <row r="3888" spans="2:18" x14ac:dyDescent="0.35">
      <c r="B3888" s="113">
        <v>46254</v>
      </c>
      <c r="C3888" s="4" t="s">
        <v>2611</v>
      </c>
      <c r="D3888" s="4" t="s">
        <v>4627</v>
      </c>
      <c r="E3888" s="1" t="str">
        <f>_xlfn.XLOOKUP(tblSales[[#This Row],[Customer ID]],tblCustomers[Customer ID],tblCustomers[Customer Name],"⚠ Unknown")</f>
        <v>PT Kencana Wira Usaha</v>
      </c>
      <c r="F3888" s="4" t="s">
        <v>12</v>
      </c>
      <c r="G3888" s="1" t="str">
        <f>_xlfn.XLOOKUP(tblSales[[#This Row],[Product Code]],tblProducts[Code],tblProducts[Product / Service Name],"⚠ Unknown")</f>
        <v>Bomber Jacket</v>
      </c>
      <c r="H3888" s="1" t="str">
        <f>_xlfn.XLOOKUP(tblSales[[#This Row],[Product Code]],tblProducts[Code],tblProducts[Category],"")</f>
        <v>Apparel &amp; Footwear</v>
      </c>
      <c r="I3888" s="4">
        <v>32</v>
      </c>
      <c r="J3888" s="5">
        <f>_xlfn.XLOOKUP(tblSales[[#This Row],[Product Code]],tblProducts[Code],tblProducts[Selling Price (excl. VAT)],0)</f>
        <v>350000</v>
      </c>
      <c r="K3888" s="5">
        <f>tblSales[[#This Row],[Qty]]*tblSales[[#This Row],[Unit Price]]</f>
        <v>11200000</v>
      </c>
      <c r="L3888" s="5">
        <f>ROUND(tblSales[[#This Row],[DPP (excl. VAT)]]*VATEff,0)</f>
        <v>1232000</v>
      </c>
      <c r="M3888" s="5">
        <f>tblSales[[#This Row],[DPP (excl. VAT)]]+tblSales[[#This Row],[Output VAT]]</f>
        <v>12432000</v>
      </c>
      <c r="N3888" s="5">
        <f>tblSales[[#This Row],[Qty]]*_xlfn.XLOOKUP(tblSales[[#This Row],[Product Code]],tblProducts[Code],tblProducts[Unit Cost],0)</f>
        <v>6720000</v>
      </c>
      <c r="O3888" s="4" t="s">
        <v>4867</v>
      </c>
      <c r="P3888" s="4" t="s">
        <v>4860</v>
      </c>
      <c r="Q3888" s="1" t="str">
        <f>_xlfn.XLOOKUP(tblSales[[#This Row],[Channel Code]],tblChannels[Channel Code],tblChannels[Channel Name],"")</f>
        <v>In-store</v>
      </c>
      <c r="R3888" s="1">
        <f>MONTH(tblSales[[#This Row],[Date]])</f>
        <v>8</v>
      </c>
    </row>
    <row r="3889" spans="2:18" x14ac:dyDescent="0.35">
      <c r="B3889" s="113">
        <v>46254</v>
      </c>
      <c r="C3889" s="4" t="s">
        <v>2612</v>
      </c>
      <c r="D3889" s="4" t="s">
        <v>4568</v>
      </c>
      <c r="E3889" s="1" t="str">
        <f>_xlfn.XLOOKUP(tblSales[[#This Row],[Customer ID]],tblCustomers[Customer ID],tblCustomers[Customer Name],"⚠ Unknown")</f>
        <v>Walk-in Customer</v>
      </c>
      <c r="F3889" s="4" t="s">
        <v>8</v>
      </c>
      <c r="G3889" s="1" t="str">
        <f>_xlfn.XLOOKUP(tblSales[[#This Row],[Product Code]],tblProducts[Code],tblProducts[Product / Service Name],"⚠ Unknown")</f>
        <v>Casual Shorts</v>
      </c>
      <c r="H3889" s="1" t="str">
        <f>_xlfn.XLOOKUP(tblSales[[#This Row],[Product Code]],tblProducts[Code],tblProducts[Category],"")</f>
        <v>Accessories &amp; Basics</v>
      </c>
      <c r="I3889" s="4">
        <v>9</v>
      </c>
      <c r="J3889" s="5">
        <f>_xlfn.XLOOKUP(tblSales[[#This Row],[Product Code]],tblProducts[Code],tblProducts[Selling Price (excl. VAT)],0)</f>
        <v>85000</v>
      </c>
      <c r="K3889" s="5">
        <f>tblSales[[#This Row],[Qty]]*tblSales[[#This Row],[Unit Price]]</f>
        <v>765000</v>
      </c>
      <c r="L3889" s="5">
        <f>ROUND(tblSales[[#This Row],[DPP (excl. VAT)]]*VATEff,0)</f>
        <v>84150</v>
      </c>
      <c r="M3889" s="5">
        <f>tblSales[[#This Row],[DPP (excl. VAT)]]+tblSales[[#This Row],[Output VAT]]</f>
        <v>849150</v>
      </c>
      <c r="N3889" s="5">
        <f>tblSales[[#This Row],[Qty]]*_xlfn.XLOOKUP(tblSales[[#This Row],[Product Code]],tblProducts[Code],tblProducts[Unit Cost],0)</f>
        <v>450000</v>
      </c>
      <c r="O3889" s="4" t="s">
        <v>4866</v>
      </c>
      <c r="P3889" s="4" t="s">
        <v>4861</v>
      </c>
      <c r="Q3889" s="1" t="str">
        <f>_xlfn.XLOOKUP(tblSales[[#This Row],[Channel Code]],tblChannels[Channel Code],tblChannels[Channel Name],"")</f>
        <v>Marketplace</v>
      </c>
      <c r="R3889" s="1">
        <f>MONTH(tblSales[[#This Row],[Date]])</f>
        <v>8</v>
      </c>
    </row>
    <row r="3890" spans="2:18" x14ac:dyDescent="0.35">
      <c r="B3890" s="113">
        <v>46254</v>
      </c>
      <c r="C3890" s="4" t="s">
        <v>2613</v>
      </c>
      <c r="D3890" s="4" t="s">
        <v>4599</v>
      </c>
      <c r="E3890" s="1" t="str">
        <f>_xlfn.XLOOKUP(tblSales[[#This Row],[Customer ID]],tblCustomers[Customer ID],tblCustomers[Customer Name],"⚠ Unknown")</f>
        <v>PT Samudra Jaya Logistik</v>
      </c>
      <c r="F3890" s="4" t="s">
        <v>7</v>
      </c>
      <c r="G3890" s="1" t="str">
        <f>_xlfn.XLOOKUP(tblSales[[#This Row],[Product Code]],tblProducts[Code],tblProducts[Product / Service Name],"⚠ Unknown")</f>
        <v>Premium Basic T-shirt</v>
      </c>
      <c r="H3890" s="1" t="str">
        <f>_xlfn.XLOOKUP(tblSales[[#This Row],[Product Code]],tblProducts[Code],tblProducts[Category],"")</f>
        <v>Accessories &amp; Basics</v>
      </c>
      <c r="I3890" s="4">
        <v>24</v>
      </c>
      <c r="J3890" s="5">
        <f>_xlfn.XLOOKUP(tblSales[[#This Row],[Product Code]],tblProducts[Code],tblProducts[Selling Price (excl. VAT)],0)</f>
        <v>65000</v>
      </c>
      <c r="K3890" s="5">
        <f>tblSales[[#This Row],[Qty]]*tblSales[[#This Row],[Unit Price]]</f>
        <v>1560000</v>
      </c>
      <c r="L3890" s="5">
        <f>ROUND(tblSales[[#This Row],[DPP (excl. VAT)]]*VATEff,0)</f>
        <v>171600</v>
      </c>
      <c r="M3890" s="5">
        <f>tblSales[[#This Row],[DPP (excl. VAT)]]+tblSales[[#This Row],[Output VAT]]</f>
        <v>1731600</v>
      </c>
      <c r="N3890" s="5">
        <f>tblSales[[#This Row],[Qty]]*_xlfn.XLOOKUP(tblSales[[#This Row],[Product Code]],tblProducts[Code],tblProducts[Unit Cost],0)</f>
        <v>888000</v>
      </c>
      <c r="O3890" s="4" t="s">
        <v>4867</v>
      </c>
      <c r="P3890" s="4" t="s">
        <v>4860</v>
      </c>
      <c r="Q3890" s="1" t="str">
        <f>_xlfn.XLOOKUP(tblSales[[#This Row],[Channel Code]],tblChannels[Channel Code],tblChannels[Channel Name],"")</f>
        <v>In-store</v>
      </c>
      <c r="R3890" s="1">
        <f>MONTH(tblSales[[#This Row],[Date]])</f>
        <v>8</v>
      </c>
    </row>
    <row r="3891" spans="2:18" x14ac:dyDescent="0.35">
      <c r="B3891" s="113">
        <v>46255</v>
      </c>
      <c r="C3891" s="4" t="s">
        <v>2614</v>
      </c>
      <c r="D3891" s="4" t="s">
        <v>4568</v>
      </c>
      <c r="E3891" s="1" t="str">
        <f>_xlfn.XLOOKUP(tblSales[[#This Row],[Customer ID]],tblCustomers[Customer ID],tblCustomers[Customer Name],"⚠ Unknown")</f>
        <v>Walk-in Customer</v>
      </c>
      <c r="F3891" s="4" t="s">
        <v>12</v>
      </c>
      <c r="G3891" s="1" t="str">
        <f>_xlfn.XLOOKUP(tblSales[[#This Row],[Product Code]],tblProducts[Code],tblProducts[Product / Service Name],"⚠ Unknown")</f>
        <v>Bomber Jacket</v>
      </c>
      <c r="H3891" s="1" t="str">
        <f>_xlfn.XLOOKUP(tblSales[[#This Row],[Product Code]],tblProducts[Code],tblProducts[Category],"")</f>
        <v>Apparel &amp; Footwear</v>
      </c>
      <c r="I3891" s="4">
        <v>4</v>
      </c>
      <c r="J3891" s="5">
        <f>_xlfn.XLOOKUP(tblSales[[#This Row],[Product Code]],tblProducts[Code],tblProducts[Selling Price (excl. VAT)],0)</f>
        <v>350000</v>
      </c>
      <c r="K3891" s="5">
        <f>tblSales[[#This Row],[Qty]]*tblSales[[#This Row],[Unit Price]]</f>
        <v>1400000</v>
      </c>
      <c r="L3891" s="5">
        <f>ROUND(tblSales[[#This Row],[DPP (excl. VAT)]]*VATEff,0)</f>
        <v>154000</v>
      </c>
      <c r="M3891" s="5">
        <f>tblSales[[#This Row],[DPP (excl. VAT)]]+tblSales[[#This Row],[Output VAT]]</f>
        <v>1554000</v>
      </c>
      <c r="N3891" s="5">
        <f>tblSales[[#This Row],[Qty]]*_xlfn.XLOOKUP(tblSales[[#This Row],[Product Code]],tblProducts[Code],tblProducts[Unit Cost],0)</f>
        <v>840000</v>
      </c>
      <c r="O3891" s="4" t="s">
        <v>4866</v>
      </c>
      <c r="P3891" s="4" t="s">
        <v>4861</v>
      </c>
      <c r="Q3891" s="1" t="str">
        <f>_xlfn.XLOOKUP(tblSales[[#This Row],[Channel Code]],tblChannels[Channel Code],tblChannels[Channel Name],"")</f>
        <v>Marketplace</v>
      </c>
      <c r="R3891" s="1">
        <f>MONTH(tblSales[[#This Row],[Date]])</f>
        <v>8</v>
      </c>
    </row>
    <row r="3892" spans="2:18" x14ac:dyDescent="0.35">
      <c r="B3892" s="113">
        <v>46255</v>
      </c>
      <c r="C3892" s="4" t="s">
        <v>2615</v>
      </c>
      <c r="D3892" s="4" t="s">
        <v>4568</v>
      </c>
      <c r="E3892" s="1" t="str">
        <f>_xlfn.XLOOKUP(tblSales[[#This Row],[Customer ID]],tblCustomers[Customer ID],tblCustomers[Customer Name],"⚠ Unknown")</f>
        <v>Walk-in Customer</v>
      </c>
      <c r="F3892" s="4" t="s">
        <v>11</v>
      </c>
      <c r="G3892" s="1" t="str">
        <f>_xlfn.XLOOKUP(tblSales[[#This Row],[Product Code]],tblProducts[Code],tblProducts[Product / Service Name],"⚠ Unknown")</f>
        <v>Sneakers</v>
      </c>
      <c r="H3892" s="1" t="str">
        <f>_xlfn.XLOOKUP(tblSales[[#This Row],[Product Code]],tblProducts[Code],tblProducts[Category],"")</f>
        <v>Apparel &amp; Footwear</v>
      </c>
      <c r="I3892" s="4">
        <v>2</v>
      </c>
      <c r="J3892" s="5">
        <f>_xlfn.XLOOKUP(tblSales[[#This Row],[Product Code]],tblProducts[Code],tblProducts[Selling Price (excl. VAT)],0)</f>
        <v>250000</v>
      </c>
      <c r="K3892" s="5">
        <f>tblSales[[#This Row],[Qty]]*tblSales[[#This Row],[Unit Price]]</f>
        <v>500000</v>
      </c>
      <c r="L3892" s="5">
        <f>ROUND(tblSales[[#This Row],[DPP (excl. VAT)]]*VATEff,0)</f>
        <v>55000</v>
      </c>
      <c r="M3892" s="5">
        <f>tblSales[[#This Row],[DPP (excl. VAT)]]+tblSales[[#This Row],[Output VAT]]</f>
        <v>555000</v>
      </c>
      <c r="N3892" s="5">
        <f>tblSales[[#This Row],[Qty]]*_xlfn.XLOOKUP(tblSales[[#This Row],[Product Code]],tblProducts[Code],tblProducts[Unit Cost],0)</f>
        <v>310000</v>
      </c>
      <c r="O3892" s="4" t="s">
        <v>4866</v>
      </c>
      <c r="P3892" s="4" t="s">
        <v>4860</v>
      </c>
      <c r="Q3892" s="1" t="str">
        <f>_xlfn.XLOOKUP(tblSales[[#This Row],[Channel Code]],tblChannels[Channel Code],tblChannels[Channel Name],"")</f>
        <v>In-store</v>
      </c>
      <c r="R3892" s="1">
        <f>MONTH(tblSales[[#This Row],[Date]])</f>
        <v>8</v>
      </c>
    </row>
    <row r="3893" spans="2:18" x14ac:dyDescent="0.35">
      <c r="B3893" s="113">
        <v>46255</v>
      </c>
      <c r="C3893" s="4" t="s">
        <v>2615</v>
      </c>
      <c r="D3893" s="4" t="s">
        <v>4568</v>
      </c>
      <c r="E3893" s="1" t="str">
        <f>_xlfn.XLOOKUP(tblSales[[#This Row],[Customer ID]],tblCustomers[Customer ID],tblCustomers[Customer Name],"⚠ Unknown")</f>
        <v>Walk-in Customer</v>
      </c>
      <c r="F3893" s="4" t="s">
        <v>12</v>
      </c>
      <c r="G3893" s="1" t="str">
        <f>_xlfn.XLOOKUP(tblSales[[#This Row],[Product Code]],tblProducts[Code],tblProducts[Product / Service Name],"⚠ Unknown")</f>
        <v>Bomber Jacket</v>
      </c>
      <c r="H3893" s="1" t="str">
        <f>_xlfn.XLOOKUP(tblSales[[#This Row],[Product Code]],tblProducts[Code],tblProducts[Category],"")</f>
        <v>Apparel &amp; Footwear</v>
      </c>
      <c r="I3893" s="4">
        <v>1</v>
      </c>
      <c r="J3893" s="5">
        <f>_xlfn.XLOOKUP(tblSales[[#This Row],[Product Code]],tblProducts[Code],tblProducts[Selling Price (excl. VAT)],0)</f>
        <v>350000</v>
      </c>
      <c r="K3893" s="5">
        <f>tblSales[[#This Row],[Qty]]*tblSales[[#This Row],[Unit Price]]</f>
        <v>350000</v>
      </c>
      <c r="L3893" s="5">
        <f>ROUND(tblSales[[#This Row],[DPP (excl. VAT)]]*VATEff,0)</f>
        <v>38500</v>
      </c>
      <c r="M3893" s="5">
        <f>tblSales[[#This Row],[DPP (excl. VAT)]]+tblSales[[#This Row],[Output VAT]]</f>
        <v>388500</v>
      </c>
      <c r="N3893" s="5">
        <f>tblSales[[#This Row],[Qty]]*_xlfn.XLOOKUP(tblSales[[#This Row],[Product Code]],tblProducts[Code],tblProducts[Unit Cost],0)</f>
        <v>210000</v>
      </c>
      <c r="O3893" s="4" t="s">
        <v>4866</v>
      </c>
      <c r="P3893" s="4" t="s">
        <v>4860</v>
      </c>
      <c r="Q3893" s="1" t="str">
        <f>_xlfn.XLOOKUP(tblSales[[#This Row],[Channel Code]],tblChannels[Channel Code],tblChannels[Channel Name],"")</f>
        <v>In-store</v>
      </c>
      <c r="R3893" s="1">
        <f>MONTH(tblSales[[#This Row],[Date]])</f>
        <v>8</v>
      </c>
    </row>
    <row r="3894" spans="2:18" x14ac:dyDescent="0.35">
      <c r="B3894" s="113">
        <v>46255</v>
      </c>
      <c r="C3894" s="4" t="s">
        <v>2615</v>
      </c>
      <c r="D3894" s="4" t="s">
        <v>4568</v>
      </c>
      <c r="E3894" s="1" t="str">
        <f>_xlfn.XLOOKUP(tblSales[[#This Row],[Customer ID]],tblCustomers[Customer ID],tblCustomers[Customer Name],"⚠ Unknown")</f>
        <v>Walk-in Customer</v>
      </c>
      <c r="F3894" s="4" t="s">
        <v>15</v>
      </c>
      <c r="G3894" s="1" t="str">
        <f>_xlfn.XLOOKUP(tblSales[[#This Row],[Product Code]],tblProducts[Code],tblProducts[Product / Service Name],"⚠ Unknown")</f>
        <v>Wireless Earbuds Pro</v>
      </c>
      <c r="H3894" s="1" t="str">
        <f>_xlfn.XLOOKUP(tblSales[[#This Row],[Product Code]],tblProducts[Code],tblProducts[Category],"")</f>
        <v>Bags &amp; Gadgets</v>
      </c>
      <c r="I3894" s="4">
        <v>3</v>
      </c>
      <c r="J3894" s="5">
        <f>_xlfn.XLOOKUP(tblSales[[#This Row],[Product Code]],tblProducts[Code],tblProducts[Selling Price (excl. VAT)],0)</f>
        <v>1250000</v>
      </c>
      <c r="K3894" s="5">
        <f>tblSales[[#This Row],[Qty]]*tblSales[[#This Row],[Unit Price]]</f>
        <v>3750000</v>
      </c>
      <c r="L3894" s="5">
        <f>ROUND(tblSales[[#This Row],[DPP (excl. VAT)]]*VATEff,0)</f>
        <v>412500</v>
      </c>
      <c r="M3894" s="5">
        <f>tblSales[[#This Row],[DPP (excl. VAT)]]+tblSales[[#This Row],[Output VAT]]</f>
        <v>4162500</v>
      </c>
      <c r="N3894" s="5">
        <f>tblSales[[#This Row],[Qty]]*_xlfn.XLOOKUP(tblSales[[#This Row],[Product Code]],tblProducts[Code],tblProducts[Unit Cost],0)</f>
        <v>2460000</v>
      </c>
      <c r="O3894" s="4" t="s">
        <v>4866</v>
      </c>
      <c r="P3894" s="4" t="s">
        <v>4860</v>
      </c>
      <c r="Q3894" s="1" t="str">
        <f>_xlfn.XLOOKUP(tblSales[[#This Row],[Channel Code]],tblChannels[Channel Code],tblChannels[Channel Name],"")</f>
        <v>In-store</v>
      </c>
      <c r="R3894" s="1">
        <f>MONTH(tblSales[[#This Row],[Date]])</f>
        <v>8</v>
      </c>
    </row>
    <row r="3895" spans="2:18" x14ac:dyDescent="0.35">
      <c r="B3895" s="113">
        <v>46255</v>
      </c>
      <c r="C3895" s="4" t="s">
        <v>2616</v>
      </c>
      <c r="D3895" s="4" t="s">
        <v>4568</v>
      </c>
      <c r="E3895" s="1" t="str">
        <f>_xlfn.XLOOKUP(tblSales[[#This Row],[Customer ID]],tblCustomers[Customer ID],tblCustomers[Customer Name],"⚠ Unknown")</f>
        <v>Walk-in Customer</v>
      </c>
      <c r="F3895" s="4" t="s">
        <v>8</v>
      </c>
      <c r="G3895" s="1" t="str">
        <f>_xlfn.XLOOKUP(tblSales[[#This Row],[Product Code]],tblProducts[Code],tblProducts[Product / Service Name],"⚠ Unknown")</f>
        <v>Casual Shorts</v>
      </c>
      <c r="H3895" s="1" t="str">
        <f>_xlfn.XLOOKUP(tblSales[[#This Row],[Product Code]],tblProducts[Code],tblProducts[Category],"")</f>
        <v>Accessories &amp; Basics</v>
      </c>
      <c r="I3895" s="4">
        <v>5</v>
      </c>
      <c r="J3895" s="5">
        <f>_xlfn.XLOOKUP(tblSales[[#This Row],[Product Code]],tblProducts[Code],tblProducts[Selling Price (excl. VAT)],0)</f>
        <v>85000</v>
      </c>
      <c r="K3895" s="5">
        <f>tblSales[[#This Row],[Qty]]*tblSales[[#This Row],[Unit Price]]</f>
        <v>425000</v>
      </c>
      <c r="L3895" s="5">
        <f>ROUND(tblSales[[#This Row],[DPP (excl. VAT)]]*VATEff,0)</f>
        <v>46750</v>
      </c>
      <c r="M3895" s="5">
        <f>tblSales[[#This Row],[DPP (excl. VAT)]]+tblSales[[#This Row],[Output VAT]]</f>
        <v>471750</v>
      </c>
      <c r="N3895" s="5">
        <f>tblSales[[#This Row],[Qty]]*_xlfn.XLOOKUP(tblSales[[#This Row],[Product Code]],tblProducts[Code],tblProducts[Unit Cost],0)</f>
        <v>250000</v>
      </c>
      <c r="O3895" s="4" t="s">
        <v>4866</v>
      </c>
      <c r="P3895" s="4" t="s">
        <v>4861</v>
      </c>
      <c r="Q3895" s="1" t="str">
        <f>_xlfn.XLOOKUP(tblSales[[#This Row],[Channel Code]],tblChannels[Channel Code],tblChannels[Channel Name],"")</f>
        <v>Marketplace</v>
      </c>
      <c r="R3895" s="1">
        <f>MONTH(tblSales[[#This Row],[Date]])</f>
        <v>8</v>
      </c>
    </row>
    <row r="3896" spans="2:18" x14ac:dyDescent="0.35">
      <c r="B3896" s="113">
        <v>46255</v>
      </c>
      <c r="C3896" s="4" t="s">
        <v>2617</v>
      </c>
      <c r="D3896" s="4" t="s">
        <v>4606</v>
      </c>
      <c r="E3896" s="1" t="str">
        <f>_xlfn.XLOOKUP(tblSales[[#This Row],[Customer ID]],tblCustomers[Customer ID],tblCustomers[Customer Name],"⚠ Unknown")</f>
        <v>PT Arunika Digital Kreatif</v>
      </c>
      <c r="F3896" s="4" t="s">
        <v>8</v>
      </c>
      <c r="G3896" s="1" t="str">
        <f>_xlfn.XLOOKUP(tblSales[[#This Row],[Product Code]],tblProducts[Code],tblProducts[Product / Service Name],"⚠ Unknown")</f>
        <v>Casual Shorts</v>
      </c>
      <c r="H3896" s="1" t="str">
        <f>_xlfn.XLOOKUP(tblSales[[#This Row],[Product Code]],tblProducts[Code],tblProducts[Category],"")</f>
        <v>Accessories &amp; Basics</v>
      </c>
      <c r="I3896" s="4">
        <v>72</v>
      </c>
      <c r="J3896" s="5">
        <f>_xlfn.XLOOKUP(tblSales[[#This Row],[Product Code]],tblProducts[Code],tblProducts[Selling Price (excl. VAT)],0)</f>
        <v>85000</v>
      </c>
      <c r="K3896" s="5">
        <f>tblSales[[#This Row],[Qty]]*tblSales[[#This Row],[Unit Price]]</f>
        <v>6120000</v>
      </c>
      <c r="L3896" s="5">
        <f>ROUND(tblSales[[#This Row],[DPP (excl. VAT)]]*VATEff,0)</f>
        <v>673200</v>
      </c>
      <c r="M3896" s="5">
        <f>tblSales[[#This Row],[DPP (excl. VAT)]]+tblSales[[#This Row],[Output VAT]]</f>
        <v>6793200</v>
      </c>
      <c r="N3896" s="5">
        <f>tblSales[[#This Row],[Qty]]*_xlfn.XLOOKUP(tblSales[[#This Row],[Product Code]],tblProducts[Code],tblProducts[Unit Cost],0)</f>
        <v>3600000</v>
      </c>
      <c r="O3896" s="4" t="s">
        <v>4867</v>
      </c>
      <c r="P3896" s="4" t="s">
        <v>4862</v>
      </c>
      <c r="Q3896" s="1" t="str">
        <f>_xlfn.XLOOKUP(tblSales[[#This Row],[Channel Code]],tblChannels[Channel Code],tblChannels[Channel Name],"")</f>
        <v>Website &amp; Social Media</v>
      </c>
      <c r="R3896" s="1">
        <f>MONTH(tblSales[[#This Row],[Date]])</f>
        <v>8</v>
      </c>
    </row>
    <row r="3897" spans="2:18" x14ac:dyDescent="0.35">
      <c r="B3897" s="113">
        <v>46255</v>
      </c>
      <c r="C3897" s="4" t="s">
        <v>2618</v>
      </c>
      <c r="D3897" s="4" t="s">
        <v>4568</v>
      </c>
      <c r="E3897" s="1" t="str">
        <f>_xlfn.XLOOKUP(tblSales[[#This Row],[Customer ID]],tblCustomers[Customer ID],tblCustomers[Customer Name],"⚠ Unknown")</f>
        <v>Walk-in Customer</v>
      </c>
      <c r="F3897" s="4" t="s">
        <v>8</v>
      </c>
      <c r="G3897" s="1" t="str">
        <f>_xlfn.XLOOKUP(tblSales[[#This Row],[Product Code]],tblProducts[Code],tblProducts[Product / Service Name],"⚠ Unknown")</f>
        <v>Casual Shorts</v>
      </c>
      <c r="H3897" s="1" t="str">
        <f>_xlfn.XLOOKUP(tblSales[[#This Row],[Product Code]],tblProducts[Code],tblProducts[Category],"")</f>
        <v>Accessories &amp; Basics</v>
      </c>
      <c r="I3897" s="4">
        <v>9</v>
      </c>
      <c r="J3897" s="5">
        <f>_xlfn.XLOOKUP(tblSales[[#This Row],[Product Code]],tblProducts[Code],tblProducts[Selling Price (excl. VAT)],0)</f>
        <v>85000</v>
      </c>
      <c r="K3897" s="5">
        <f>tblSales[[#This Row],[Qty]]*tblSales[[#This Row],[Unit Price]]</f>
        <v>765000</v>
      </c>
      <c r="L3897" s="5">
        <f>ROUND(tblSales[[#This Row],[DPP (excl. VAT)]]*VATEff,0)</f>
        <v>84150</v>
      </c>
      <c r="M3897" s="5">
        <f>tblSales[[#This Row],[DPP (excl. VAT)]]+tblSales[[#This Row],[Output VAT]]</f>
        <v>849150</v>
      </c>
      <c r="N3897" s="5">
        <f>tblSales[[#This Row],[Qty]]*_xlfn.XLOOKUP(tblSales[[#This Row],[Product Code]],tblProducts[Code],tblProducts[Unit Cost],0)</f>
        <v>450000</v>
      </c>
      <c r="O3897" s="4" t="s">
        <v>4866</v>
      </c>
      <c r="P3897" s="4" t="s">
        <v>4861</v>
      </c>
      <c r="Q3897" s="1" t="str">
        <f>_xlfn.XLOOKUP(tblSales[[#This Row],[Channel Code]],tblChannels[Channel Code],tblChannels[Channel Name],"")</f>
        <v>Marketplace</v>
      </c>
      <c r="R3897" s="1">
        <f>MONTH(tblSales[[#This Row],[Date]])</f>
        <v>8</v>
      </c>
    </row>
    <row r="3898" spans="2:18" x14ac:dyDescent="0.35">
      <c r="B3898" s="113">
        <v>46255</v>
      </c>
      <c r="C3898" s="4" t="s">
        <v>2618</v>
      </c>
      <c r="D3898" s="4" t="s">
        <v>4568</v>
      </c>
      <c r="E3898" s="1" t="str">
        <f>_xlfn.XLOOKUP(tblSales[[#This Row],[Customer ID]],tblCustomers[Customer ID],tblCustomers[Customer Name],"⚠ Unknown")</f>
        <v>Walk-in Customer</v>
      </c>
      <c r="F3898" s="4" t="s">
        <v>7</v>
      </c>
      <c r="G3898" s="1" t="str">
        <f>_xlfn.XLOOKUP(tblSales[[#This Row],[Product Code]],tblProducts[Code],tblProducts[Product / Service Name],"⚠ Unknown")</f>
        <v>Premium Basic T-shirt</v>
      </c>
      <c r="H3898" s="1" t="str">
        <f>_xlfn.XLOOKUP(tblSales[[#This Row],[Product Code]],tblProducts[Code],tblProducts[Category],"")</f>
        <v>Accessories &amp; Basics</v>
      </c>
      <c r="I3898" s="4">
        <v>6</v>
      </c>
      <c r="J3898" s="5">
        <f>_xlfn.XLOOKUP(tblSales[[#This Row],[Product Code]],tblProducts[Code],tblProducts[Selling Price (excl. VAT)],0)</f>
        <v>65000</v>
      </c>
      <c r="K3898" s="5">
        <f>tblSales[[#This Row],[Qty]]*tblSales[[#This Row],[Unit Price]]</f>
        <v>390000</v>
      </c>
      <c r="L3898" s="5">
        <f>ROUND(tblSales[[#This Row],[DPP (excl. VAT)]]*VATEff,0)</f>
        <v>42900</v>
      </c>
      <c r="M3898" s="5">
        <f>tblSales[[#This Row],[DPP (excl. VAT)]]+tblSales[[#This Row],[Output VAT]]</f>
        <v>432900</v>
      </c>
      <c r="N3898" s="5">
        <f>tblSales[[#This Row],[Qty]]*_xlfn.XLOOKUP(tblSales[[#This Row],[Product Code]],tblProducts[Code],tblProducts[Unit Cost],0)</f>
        <v>222000</v>
      </c>
      <c r="O3898" s="4" t="s">
        <v>4866</v>
      </c>
      <c r="P3898" s="4" t="s">
        <v>4861</v>
      </c>
      <c r="Q3898" s="1" t="str">
        <f>_xlfn.XLOOKUP(tblSales[[#This Row],[Channel Code]],tblChannels[Channel Code],tblChannels[Channel Name],"")</f>
        <v>Marketplace</v>
      </c>
      <c r="R3898" s="1">
        <f>MONTH(tblSales[[#This Row],[Date]])</f>
        <v>8</v>
      </c>
    </row>
    <row r="3899" spans="2:18" x14ac:dyDescent="0.35">
      <c r="B3899" s="113">
        <v>46255</v>
      </c>
      <c r="C3899" s="4" t="s">
        <v>2619</v>
      </c>
      <c r="D3899" s="4" t="s">
        <v>4568</v>
      </c>
      <c r="E3899" s="1" t="str">
        <f>_xlfn.XLOOKUP(tblSales[[#This Row],[Customer ID]],tblCustomers[Customer ID],tblCustomers[Customer Name],"⚠ Unknown")</f>
        <v>Walk-in Customer</v>
      </c>
      <c r="F3899" s="4" t="s">
        <v>7</v>
      </c>
      <c r="G3899" s="1" t="str">
        <f>_xlfn.XLOOKUP(tblSales[[#This Row],[Product Code]],tblProducts[Code],tblProducts[Product / Service Name],"⚠ Unknown")</f>
        <v>Premium Basic T-shirt</v>
      </c>
      <c r="H3899" s="1" t="str">
        <f>_xlfn.XLOOKUP(tblSales[[#This Row],[Product Code]],tblProducts[Code],tblProducts[Category],"")</f>
        <v>Accessories &amp; Basics</v>
      </c>
      <c r="I3899" s="4">
        <v>10</v>
      </c>
      <c r="J3899" s="5">
        <f>_xlfn.XLOOKUP(tblSales[[#This Row],[Product Code]],tblProducts[Code],tblProducts[Selling Price (excl. VAT)],0)</f>
        <v>65000</v>
      </c>
      <c r="K3899" s="5">
        <f>tblSales[[#This Row],[Qty]]*tblSales[[#This Row],[Unit Price]]</f>
        <v>650000</v>
      </c>
      <c r="L3899" s="5">
        <f>ROUND(tblSales[[#This Row],[DPP (excl. VAT)]]*VATEff,0)</f>
        <v>71500</v>
      </c>
      <c r="M3899" s="5">
        <f>tblSales[[#This Row],[DPP (excl. VAT)]]+tblSales[[#This Row],[Output VAT]]</f>
        <v>721500</v>
      </c>
      <c r="N3899" s="5">
        <f>tblSales[[#This Row],[Qty]]*_xlfn.XLOOKUP(tblSales[[#This Row],[Product Code]],tblProducts[Code],tblProducts[Unit Cost],0)</f>
        <v>370000</v>
      </c>
      <c r="O3899" s="4" t="s">
        <v>4865</v>
      </c>
      <c r="P3899" s="4" t="s">
        <v>4860</v>
      </c>
      <c r="Q3899" s="1" t="str">
        <f>_xlfn.XLOOKUP(tblSales[[#This Row],[Channel Code]],tblChannels[Channel Code],tblChannels[Channel Name],"")</f>
        <v>In-store</v>
      </c>
      <c r="R3899" s="1">
        <f>MONTH(tblSales[[#This Row],[Date]])</f>
        <v>8</v>
      </c>
    </row>
    <row r="3900" spans="2:18" x14ac:dyDescent="0.35">
      <c r="B3900" s="113">
        <v>46255</v>
      </c>
      <c r="C3900" s="4" t="s">
        <v>2620</v>
      </c>
      <c r="D3900" s="4" t="s">
        <v>4568</v>
      </c>
      <c r="E3900" s="1" t="str">
        <f>_xlfn.XLOOKUP(tblSales[[#This Row],[Customer ID]],tblCustomers[Customer ID],tblCustomers[Customer Name],"⚠ Unknown")</f>
        <v>Walk-in Customer</v>
      </c>
      <c r="F3900" s="4" t="s">
        <v>15</v>
      </c>
      <c r="G3900" s="1" t="str">
        <f>_xlfn.XLOOKUP(tblSales[[#This Row],[Product Code]],tblProducts[Code],tblProducts[Product / Service Name],"⚠ Unknown")</f>
        <v>Wireless Earbuds Pro</v>
      </c>
      <c r="H3900" s="1" t="str">
        <f>_xlfn.XLOOKUP(tblSales[[#This Row],[Product Code]],tblProducts[Code],tblProducts[Category],"")</f>
        <v>Bags &amp; Gadgets</v>
      </c>
      <c r="I3900" s="4">
        <v>1</v>
      </c>
      <c r="J3900" s="5">
        <f>_xlfn.XLOOKUP(tblSales[[#This Row],[Product Code]],tblProducts[Code],tblProducts[Selling Price (excl. VAT)],0)</f>
        <v>1250000</v>
      </c>
      <c r="K3900" s="5">
        <f>tblSales[[#This Row],[Qty]]*tblSales[[#This Row],[Unit Price]]</f>
        <v>1250000</v>
      </c>
      <c r="L3900" s="5">
        <f>ROUND(tblSales[[#This Row],[DPP (excl. VAT)]]*VATEff,0)</f>
        <v>137500</v>
      </c>
      <c r="M3900" s="5">
        <f>tblSales[[#This Row],[DPP (excl. VAT)]]+tblSales[[#This Row],[Output VAT]]</f>
        <v>1387500</v>
      </c>
      <c r="N3900" s="5">
        <f>tblSales[[#This Row],[Qty]]*_xlfn.XLOOKUP(tblSales[[#This Row],[Product Code]],tblProducts[Code],tblProducts[Unit Cost],0)</f>
        <v>820000</v>
      </c>
      <c r="O3900" s="4" t="s">
        <v>4866</v>
      </c>
      <c r="P3900" s="4" t="s">
        <v>4861</v>
      </c>
      <c r="Q3900" s="1" t="str">
        <f>_xlfn.XLOOKUP(tblSales[[#This Row],[Channel Code]],tblChannels[Channel Code],tblChannels[Channel Name],"")</f>
        <v>Marketplace</v>
      </c>
      <c r="R3900" s="1">
        <f>MONTH(tblSales[[#This Row],[Date]])</f>
        <v>8</v>
      </c>
    </row>
    <row r="3901" spans="2:18" x14ac:dyDescent="0.35">
      <c r="B3901" s="113">
        <v>46255</v>
      </c>
      <c r="C3901" s="4" t="s">
        <v>2621</v>
      </c>
      <c r="D3901" s="4" t="s">
        <v>4568</v>
      </c>
      <c r="E3901" s="1" t="str">
        <f>_xlfn.XLOOKUP(tblSales[[#This Row],[Customer ID]],tblCustomers[Customer ID],tblCustomers[Customer Name],"⚠ Unknown")</f>
        <v>Walk-in Customer</v>
      </c>
      <c r="F3901" s="4" t="s">
        <v>11</v>
      </c>
      <c r="G3901" s="1" t="str">
        <f>_xlfn.XLOOKUP(tblSales[[#This Row],[Product Code]],tblProducts[Code],tblProducts[Product / Service Name],"⚠ Unknown")</f>
        <v>Sneakers</v>
      </c>
      <c r="H3901" s="1" t="str">
        <f>_xlfn.XLOOKUP(tblSales[[#This Row],[Product Code]],tblProducts[Code],tblProducts[Category],"")</f>
        <v>Apparel &amp; Footwear</v>
      </c>
      <c r="I3901" s="4">
        <v>5</v>
      </c>
      <c r="J3901" s="5">
        <f>_xlfn.XLOOKUP(tblSales[[#This Row],[Product Code]],tblProducts[Code],tblProducts[Selling Price (excl. VAT)],0)</f>
        <v>250000</v>
      </c>
      <c r="K3901" s="5">
        <f>tblSales[[#This Row],[Qty]]*tblSales[[#This Row],[Unit Price]]</f>
        <v>1250000</v>
      </c>
      <c r="L3901" s="5">
        <f>ROUND(tblSales[[#This Row],[DPP (excl. VAT)]]*VATEff,0)</f>
        <v>137500</v>
      </c>
      <c r="M3901" s="5">
        <f>tblSales[[#This Row],[DPP (excl. VAT)]]+tblSales[[#This Row],[Output VAT]]</f>
        <v>1387500</v>
      </c>
      <c r="N3901" s="5">
        <f>tblSales[[#This Row],[Qty]]*_xlfn.XLOOKUP(tblSales[[#This Row],[Product Code]],tblProducts[Code],tblProducts[Unit Cost],0)</f>
        <v>775000</v>
      </c>
      <c r="O3901" s="4" t="s">
        <v>4865</v>
      </c>
      <c r="P3901" s="4" t="s">
        <v>4860</v>
      </c>
      <c r="Q3901" s="1" t="str">
        <f>_xlfn.XLOOKUP(tblSales[[#This Row],[Channel Code]],tblChannels[Channel Code],tblChannels[Channel Name],"")</f>
        <v>In-store</v>
      </c>
      <c r="R3901" s="1">
        <f>MONTH(tblSales[[#This Row],[Date]])</f>
        <v>8</v>
      </c>
    </row>
    <row r="3902" spans="2:18" x14ac:dyDescent="0.35">
      <c r="B3902" s="113">
        <v>46255</v>
      </c>
      <c r="C3902" s="4" t="s">
        <v>2622</v>
      </c>
      <c r="D3902" s="4" t="s">
        <v>4606</v>
      </c>
      <c r="E3902" s="1" t="str">
        <f>_xlfn.XLOOKUP(tblSales[[#This Row],[Customer ID]],tblCustomers[Customer ID],tblCustomers[Customer Name],"⚠ Unknown")</f>
        <v>PT Arunika Digital Kreatif</v>
      </c>
      <c r="F3902" s="4" t="s">
        <v>12</v>
      </c>
      <c r="G3902" s="1" t="str">
        <f>_xlfn.XLOOKUP(tblSales[[#This Row],[Product Code]],tblProducts[Code],tblProducts[Product / Service Name],"⚠ Unknown")</f>
        <v>Bomber Jacket</v>
      </c>
      <c r="H3902" s="1" t="str">
        <f>_xlfn.XLOOKUP(tblSales[[#This Row],[Product Code]],tblProducts[Code],tblProducts[Category],"")</f>
        <v>Apparel &amp; Footwear</v>
      </c>
      <c r="I3902" s="4">
        <v>24</v>
      </c>
      <c r="J3902" s="5">
        <f>_xlfn.XLOOKUP(tblSales[[#This Row],[Product Code]],tblProducts[Code],tblProducts[Selling Price (excl. VAT)],0)</f>
        <v>350000</v>
      </c>
      <c r="K3902" s="5">
        <f>tblSales[[#This Row],[Qty]]*tblSales[[#This Row],[Unit Price]]</f>
        <v>8400000</v>
      </c>
      <c r="L3902" s="5">
        <f>ROUND(tblSales[[#This Row],[DPP (excl. VAT)]]*VATEff,0)</f>
        <v>924000</v>
      </c>
      <c r="M3902" s="5">
        <f>tblSales[[#This Row],[DPP (excl. VAT)]]+tblSales[[#This Row],[Output VAT]]</f>
        <v>9324000</v>
      </c>
      <c r="N3902" s="5">
        <f>tblSales[[#This Row],[Qty]]*_xlfn.XLOOKUP(tblSales[[#This Row],[Product Code]],tblProducts[Code],tblProducts[Unit Cost],0)</f>
        <v>5040000</v>
      </c>
      <c r="O3902" s="4" t="s">
        <v>4867</v>
      </c>
      <c r="P3902" s="4" t="s">
        <v>4860</v>
      </c>
      <c r="Q3902" s="1" t="str">
        <f>_xlfn.XLOOKUP(tblSales[[#This Row],[Channel Code]],tblChannels[Channel Code],tblChannels[Channel Name],"")</f>
        <v>In-store</v>
      </c>
      <c r="R3902" s="1">
        <f>MONTH(tblSales[[#This Row],[Date]])</f>
        <v>8</v>
      </c>
    </row>
    <row r="3903" spans="2:18" x14ac:dyDescent="0.35">
      <c r="B3903" s="113">
        <v>46255</v>
      </c>
      <c r="C3903" s="4" t="s">
        <v>2623</v>
      </c>
      <c r="D3903" s="4" t="s">
        <v>4568</v>
      </c>
      <c r="E3903" s="1" t="str">
        <f>_xlfn.XLOOKUP(tblSales[[#This Row],[Customer ID]],tblCustomers[Customer ID],tblCustomers[Customer Name],"⚠ Unknown")</f>
        <v>Walk-in Customer</v>
      </c>
      <c r="F3903" s="4" t="s">
        <v>6</v>
      </c>
      <c r="G3903" s="1" t="str">
        <f>_xlfn.XLOOKUP(tblSales[[#This Row],[Product Code]],tblProducts[Code],tblProducts[Product / Service Name],"⚠ Unknown")</f>
        <v>Socks &amp; Accessories</v>
      </c>
      <c r="H3903" s="1" t="str">
        <f>_xlfn.XLOOKUP(tblSales[[#This Row],[Product Code]],tblProducts[Code],tblProducts[Category],"")</f>
        <v>Accessories &amp; Basics</v>
      </c>
      <c r="I3903" s="4">
        <v>3</v>
      </c>
      <c r="J3903" s="5">
        <f>_xlfn.XLOOKUP(tblSales[[#This Row],[Product Code]],tblProducts[Code],tblProducts[Selling Price (excl. VAT)],0)</f>
        <v>45000</v>
      </c>
      <c r="K3903" s="5">
        <f>tblSales[[#This Row],[Qty]]*tblSales[[#This Row],[Unit Price]]</f>
        <v>135000</v>
      </c>
      <c r="L3903" s="5">
        <f>ROUND(tblSales[[#This Row],[DPP (excl. VAT)]]*VATEff,0)</f>
        <v>14850</v>
      </c>
      <c r="M3903" s="5">
        <f>tblSales[[#This Row],[DPP (excl. VAT)]]+tblSales[[#This Row],[Output VAT]]</f>
        <v>149850</v>
      </c>
      <c r="N3903" s="5">
        <f>tblSales[[#This Row],[Qty]]*_xlfn.XLOOKUP(tblSales[[#This Row],[Product Code]],tblProducts[Code],tblProducts[Unit Cost],0)</f>
        <v>72000</v>
      </c>
      <c r="O3903" s="4" t="s">
        <v>4865</v>
      </c>
      <c r="P3903" s="4" t="s">
        <v>4860</v>
      </c>
      <c r="Q3903" s="1" t="str">
        <f>_xlfn.XLOOKUP(tblSales[[#This Row],[Channel Code]],tblChannels[Channel Code],tblChannels[Channel Name],"")</f>
        <v>In-store</v>
      </c>
      <c r="R3903" s="1">
        <f>MONTH(tblSales[[#This Row],[Date]])</f>
        <v>8</v>
      </c>
    </row>
    <row r="3904" spans="2:18" x14ac:dyDescent="0.35">
      <c r="B3904" s="113">
        <v>46255</v>
      </c>
      <c r="C3904" s="4" t="s">
        <v>2624</v>
      </c>
      <c r="D3904" s="4" t="s">
        <v>4568</v>
      </c>
      <c r="E3904" s="1" t="str">
        <f>_xlfn.XLOOKUP(tblSales[[#This Row],[Customer ID]],tblCustomers[Customer ID],tblCustomers[Customer Name],"⚠ Unknown")</f>
        <v>Walk-in Customer</v>
      </c>
      <c r="F3904" s="4" t="s">
        <v>6</v>
      </c>
      <c r="G3904" s="1" t="str">
        <f>_xlfn.XLOOKUP(tblSales[[#This Row],[Product Code]],tblProducts[Code],tblProducts[Product / Service Name],"⚠ Unknown")</f>
        <v>Socks &amp; Accessories</v>
      </c>
      <c r="H3904" s="1" t="str">
        <f>_xlfn.XLOOKUP(tblSales[[#This Row],[Product Code]],tblProducts[Code],tblProducts[Category],"")</f>
        <v>Accessories &amp; Basics</v>
      </c>
      <c r="I3904" s="4">
        <v>1</v>
      </c>
      <c r="J3904" s="5">
        <f>_xlfn.XLOOKUP(tblSales[[#This Row],[Product Code]],tblProducts[Code],tblProducts[Selling Price (excl. VAT)],0)</f>
        <v>45000</v>
      </c>
      <c r="K3904" s="5">
        <f>tblSales[[#This Row],[Qty]]*tblSales[[#This Row],[Unit Price]]</f>
        <v>45000</v>
      </c>
      <c r="L3904" s="5">
        <f>ROUND(tblSales[[#This Row],[DPP (excl. VAT)]]*VATEff,0)</f>
        <v>4950</v>
      </c>
      <c r="M3904" s="5">
        <f>tblSales[[#This Row],[DPP (excl. VAT)]]+tblSales[[#This Row],[Output VAT]]</f>
        <v>49950</v>
      </c>
      <c r="N3904" s="5">
        <f>tblSales[[#This Row],[Qty]]*_xlfn.XLOOKUP(tblSales[[#This Row],[Product Code]],tblProducts[Code],tblProducts[Unit Cost],0)</f>
        <v>24000</v>
      </c>
      <c r="O3904" s="4" t="s">
        <v>4866</v>
      </c>
      <c r="P3904" s="4" t="s">
        <v>4861</v>
      </c>
      <c r="Q3904" s="1" t="str">
        <f>_xlfn.XLOOKUP(tblSales[[#This Row],[Channel Code]],tblChannels[Channel Code],tblChannels[Channel Name],"")</f>
        <v>Marketplace</v>
      </c>
      <c r="R3904" s="1">
        <f>MONTH(tblSales[[#This Row],[Date]])</f>
        <v>8</v>
      </c>
    </row>
    <row r="3905" spans="2:18" x14ac:dyDescent="0.35">
      <c r="B3905" s="113">
        <v>46255</v>
      </c>
      <c r="C3905" s="4" t="s">
        <v>2625</v>
      </c>
      <c r="D3905" s="4" t="s">
        <v>4568</v>
      </c>
      <c r="E3905" s="1" t="str">
        <f>_xlfn.XLOOKUP(tblSales[[#This Row],[Customer ID]],tblCustomers[Customer ID],tblCustomers[Customer Name],"⚠ Unknown")</f>
        <v>Walk-in Customer</v>
      </c>
      <c r="F3905" s="4" t="s">
        <v>13</v>
      </c>
      <c r="G3905" s="1" t="str">
        <f>_xlfn.XLOOKUP(tblSales[[#This Row],[Product Code]],tblProducts[Code],tblProducts[Product / Service Name],"⚠ Unknown")</f>
        <v>Backpack</v>
      </c>
      <c r="H3905" s="1" t="str">
        <f>_xlfn.XLOOKUP(tblSales[[#This Row],[Product Code]],tblProducts[Code],tblProducts[Category],"")</f>
        <v>Bags &amp; Gadgets</v>
      </c>
      <c r="I3905" s="4">
        <v>4</v>
      </c>
      <c r="J3905" s="5">
        <f>_xlfn.XLOOKUP(tblSales[[#This Row],[Product Code]],tblProducts[Code],tblProducts[Selling Price (excl. VAT)],0)</f>
        <v>500000</v>
      </c>
      <c r="K3905" s="5">
        <f>tblSales[[#This Row],[Qty]]*tblSales[[#This Row],[Unit Price]]</f>
        <v>2000000</v>
      </c>
      <c r="L3905" s="5">
        <f>ROUND(tblSales[[#This Row],[DPP (excl. VAT)]]*VATEff,0)</f>
        <v>220000</v>
      </c>
      <c r="M3905" s="5">
        <f>tblSales[[#This Row],[DPP (excl. VAT)]]+tblSales[[#This Row],[Output VAT]]</f>
        <v>2220000</v>
      </c>
      <c r="N3905" s="5">
        <f>tblSales[[#This Row],[Qty]]*_xlfn.XLOOKUP(tblSales[[#This Row],[Product Code]],tblProducts[Code],tblProducts[Unit Cost],0)</f>
        <v>1160000</v>
      </c>
      <c r="O3905" s="4" t="s">
        <v>4866</v>
      </c>
      <c r="P3905" s="4" t="s">
        <v>4860</v>
      </c>
      <c r="Q3905" s="1" t="str">
        <f>_xlfn.XLOOKUP(tblSales[[#This Row],[Channel Code]],tblChannels[Channel Code],tblChannels[Channel Name],"")</f>
        <v>In-store</v>
      </c>
      <c r="R3905" s="1">
        <f>MONTH(tblSales[[#This Row],[Date]])</f>
        <v>8</v>
      </c>
    </row>
    <row r="3906" spans="2:18" x14ac:dyDescent="0.35">
      <c r="B3906" s="113">
        <v>46255</v>
      </c>
      <c r="C3906" s="4" t="s">
        <v>2625</v>
      </c>
      <c r="D3906" s="4" t="s">
        <v>4568</v>
      </c>
      <c r="E3906" s="1" t="str">
        <f>_xlfn.XLOOKUP(tblSales[[#This Row],[Customer ID]],tblCustomers[Customer ID],tblCustomers[Customer Name],"⚠ Unknown")</f>
        <v>Walk-in Customer</v>
      </c>
      <c r="F3906" s="4" t="s">
        <v>6</v>
      </c>
      <c r="G3906" s="1" t="str">
        <f>_xlfn.XLOOKUP(tblSales[[#This Row],[Product Code]],tblProducts[Code],tblProducts[Product / Service Name],"⚠ Unknown")</f>
        <v>Socks &amp; Accessories</v>
      </c>
      <c r="H3906" s="1" t="str">
        <f>_xlfn.XLOOKUP(tblSales[[#This Row],[Product Code]],tblProducts[Code],tblProducts[Category],"")</f>
        <v>Accessories &amp; Basics</v>
      </c>
      <c r="I3906" s="4">
        <v>12</v>
      </c>
      <c r="J3906" s="5">
        <f>_xlfn.XLOOKUP(tblSales[[#This Row],[Product Code]],tblProducts[Code],tblProducts[Selling Price (excl. VAT)],0)</f>
        <v>45000</v>
      </c>
      <c r="K3906" s="5">
        <f>tblSales[[#This Row],[Qty]]*tblSales[[#This Row],[Unit Price]]</f>
        <v>540000</v>
      </c>
      <c r="L3906" s="5">
        <f>ROUND(tblSales[[#This Row],[DPP (excl. VAT)]]*VATEff,0)</f>
        <v>59400</v>
      </c>
      <c r="M3906" s="5">
        <f>tblSales[[#This Row],[DPP (excl. VAT)]]+tblSales[[#This Row],[Output VAT]]</f>
        <v>599400</v>
      </c>
      <c r="N3906" s="5">
        <f>tblSales[[#This Row],[Qty]]*_xlfn.XLOOKUP(tblSales[[#This Row],[Product Code]],tblProducts[Code],tblProducts[Unit Cost],0)</f>
        <v>288000</v>
      </c>
      <c r="O3906" s="4" t="s">
        <v>4866</v>
      </c>
      <c r="P3906" s="4" t="s">
        <v>4860</v>
      </c>
      <c r="Q3906" s="1" t="str">
        <f>_xlfn.XLOOKUP(tblSales[[#This Row],[Channel Code]],tblChannels[Channel Code],tblChannels[Channel Name],"")</f>
        <v>In-store</v>
      </c>
      <c r="R3906" s="1">
        <f>MONTH(tblSales[[#This Row],[Date]])</f>
        <v>8</v>
      </c>
    </row>
    <row r="3907" spans="2:18" x14ac:dyDescent="0.35">
      <c r="B3907" s="113">
        <v>46256</v>
      </c>
      <c r="C3907" s="4" t="s">
        <v>2626</v>
      </c>
      <c r="D3907" s="4" t="s">
        <v>4568</v>
      </c>
      <c r="E3907" s="1" t="str">
        <f>_xlfn.XLOOKUP(tblSales[[#This Row],[Customer ID]],tblCustomers[Customer ID],tblCustomers[Customer Name],"⚠ Unknown")</f>
        <v>Walk-in Customer</v>
      </c>
      <c r="F3907" s="4" t="s">
        <v>10</v>
      </c>
      <c r="G3907" s="1" t="str">
        <f>_xlfn.XLOOKUP(tblSales[[#This Row],[Product Code]],tblProducts[Code],tblProducts[Product / Service Name],"⚠ Unknown")</f>
        <v>Chino Pants</v>
      </c>
      <c r="H3907" s="1" t="str">
        <f>_xlfn.XLOOKUP(tblSales[[#This Row],[Product Code]],tblProducts[Code],tblProducts[Category],"")</f>
        <v>Apparel &amp; Footwear</v>
      </c>
      <c r="I3907" s="4">
        <v>2</v>
      </c>
      <c r="J3907" s="5">
        <f>_xlfn.XLOOKUP(tblSales[[#This Row],[Product Code]],tblProducts[Code],tblProducts[Selling Price (excl. VAT)],0)</f>
        <v>150000</v>
      </c>
      <c r="K3907" s="5">
        <f>tblSales[[#This Row],[Qty]]*tblSales[[#This Row],[Unit Price]]</f>
        <v>300000</v>
      </c>
      <c r="L3907" s="5">
        <f>ROUND(tblSales[[#This Row],[DPP (excl. VAT)]]*VATEff,0)</f>
        <v>33000</v>
      </c>
      <c r="M3907" s="5">
        <f>tblSales[[#This Row],[DPP (excl. VAT)]]+tblSales[[#This Row],[Output VAT]]</f>
        <v>333000</v>
      </c>
      <c r="N3907" s="5">
        <f>tblSales[[#This Row],[Qty]]*_xlfn.XLOOKUP(tblSales[[#This Row],[Product Code]],tblProducts[Code],tblProducts[Unit Cost],0)</f>
        <v>176000</v>
      </c>
      <c r="O3907" s="4" t="s">
        <v>4865</v>
      </c>
      <c r="P3907" s="4" t="s">
        <v>4860</v>
      </c>
      <c r="Q3907" s="1" t="str">
        <f>_xlfn.XLOOKUP(tblSales[[#This Row],[Channel Code]],tblChannels[Channel Code],tblChannels[Channel Name],"")</f>
        <v>In-store</v>
      </c>
      <c r="R3907" s="1">
        <f>MONTH(tblSales[[#This Row],[Date]])</f>
        <v>8</v>
      </c>
    </row>
    <row r="3908" spans="2:18" x14ac:dyDescent="0.35">
      <c r="B3908" s="113">
        <v>46256</v>
      </c>
      <c r="C3908" s="4" t="s">
        <v>2627</v>
      </c>
      <c r="D3908" s="4" t="s">
        <v>4568</v>
      </c>
      <c r="E3908" s="1" t="str">
        <f>_xlfn.XLOOKUP(tblSales[[#This Row],[Customer ID]],tblCustomers[Customer ID],tblCustomers[Customer Name],"⚠ Unknown")</f>
        <v>Walk-in Customer</v>
      </c>
      <c r="F3908" s="4" t="s">
        <v>7</v>
      </c>
      <c r="G3908" s="1" t="str">
        <f>_xlfn.XLOOKUP(tblSales[[#This Row],[Product Code]],tblProducts[Code],tblProducts[Product / Service Name],"⚠ Unknown")</f>
        <v>Premium Basic T-shirt</v>
      </c>
      <c r="H3908" s="1" t="str">
        <f>_xlfn.XLOOKUP(tblSales[[#This Row],[Product Code]],tblProducts[Code],tblProducts[Category],"")</f>
        <v>Accessories &amp; Basics</v>
      </c>
      <c r="I3908" s="4">
        <v>1</v>
      </c>
      <c r="J3908" s="5">
        <f>_xlfn.XLOOKUP(tblSales[[#This Row],[Product Code]],tblProducts[Code],tblProducts[Selling Price (excl. VAT)],0)</f>
        <v>65000</v>
      </c>
      <c r="K3908" s="5">
        <f>tblSales[[#This Row],[Qty]]*tblSales[[#This Row],[Unit Price]]</f>
        <v>65000</v>
      </c>
      <c r="L3908" s="5">
        <f>ROUND(tblSales[[#This Row],[DPP (excl. VAT)]]*VATEff,0)</f>
        <v>7150</v>
      </c>
      <c r="M3908" s="5">
        <f>tblSales[[#This Row],[DPP (excl. VAT)]]+tblSales[[#This Row],[Output VAT]]</f>
        <v>72150</v>
      </c>
      <c r="N3908" s="5">
        <f>tblSales[[#This Row],[Qty]]*_xlfn.XLOOKUP(tblSales[[#This Row],[Product Code]],tblProducts[Code],tblProducts[Unit Cost],0)</f>
        <v>37000</v>
      </c>
      <c r="O3908" s="4" t="s">
        <v>4866</v>
      </c>
      <c r="P3908" s="4" t="s">
        <v>4861</v>
      </c>
      <c r="Q3908" s="1" t="str">
        <f>_xlfn.XLOOKUP(tblSales[[#This Row],[Channel Code]],tblChannels[Channel Code],tblChannels[Channel Name],"")</f>
        <v>Marketplace</v>
      </c>
      <c r="R3908" s="1">
        <f>MONTH(tblSales[[#This Row],[Date]])</f>
        <v>8</v>
      </c>
    </row>
    <row r="3909" spans="2:18" x14ac:dyDescent="0.35">
      <c r="B3909" s="113">
        <v>46256</v>
      </c>
      <c r="C3909" s="4" t="s">
        <v>2627</v>
      </c>
      <c r="D3909" s="4" t="s">
        <v>4568</v>
      </c>
      <c r="E3909" s="1" t="str">
        <f>_xlfn.XLOOKUP(tblSales[[#This Row],[Customer ID]],tblCustomers[Customer ID],tblCustomers[Customer Name],"⚠ Unknown")</f>
        <v>Walk-in Customer</v>
      </c>
      <c r="F3909" s="4" t="s">
        <v>9</v>
      </c>
      <c r="G3909" s="1" t="str">
        <f>_xlfn.XLOOKUP(tblSales[[#This Row],[Product Code]],tblProducts[Code],tblProducts[Product / Service Name],"⚠ Unknown")</f>
        <v>Casual Shirt</v>
      </c>
      <c r="H3909" s="1" t="str">
        <f>_xlfn.XLOOKUP(tblSales[[#This Row],[Product Code]],tblProducts[Code],tblProducts[Category],"")</f>
        <v>Apparel &amp; Footwear</v>
      </c>
      <c r="I3909" s="4">
        <v>9</v>
      </c>
      <c r="J3909" s="5">
        <f>_xlfn.XLOOKUP(tblSales[[#This Row],[Product Code]],tblProducts[Code],tblProducts[Selling Price (excl. VAT)],0)</f>
        <v>120000</v>
      </c>
      <c r="K3909" s="5">
        <f>tblSales[[#This Row],[Qty]]*tblSales[[#This Row],[Unit Price]]</f>
        <v>1080000</v>
      </c>
      <c r="L3909" s="5">
        <f>ROUND(tblSales[[#This Row],[DPP (excl. VAT)]]*VATEff,0)</f>
        <v>118800</v>
      </c>
      <c r="M3909" s="5">
        <f>tblSales[[#This Row],[DPP (excl. VAT)]]+tblSales[[#This Row],[Output VAT]]</f>
        <v>1198800</v>
      </c>
      <c r="N3909" s="5">
        <f>tblSales[[#This Row],[Qty]]*_xlfn.XLOOKUP(tblSales[[#This Row],[Product Code]],tblProducts[Code],tblProducts[Unit Cost],0)</f>
        <v>648000</v>
      </c>
      <c r="O3909" s="4" t="s">
        <v>4866</v>
      </c>
      <c r="P3909" s="4" t="s">
        <v>4861</v>
      </c>
      <c r="Q3909" s="1" t="str">
        <f>_xlfn.XLOOKUP(tblSales[[#This Row],[Channel Code]],tblChannels[Channel Code],tblChannels[Channel Name],"")</f>
        <v>Marketplace</v>
      </c>
      <c r="R3909" s="1">
        <f>MONTH(tblSales[[#This Row],[Date]])</f>
        <v>8</v>
      </c>
    </row>
    <row r="3910" spans="2:18" x14ac:dyDescent="0.35">
      <c r="B3910" s="113">
        <v>46256</v>
      </c>
      <c r="C3910" s="4" t="s">
        <v>2628</v>
      </c>
      <c r="D3910" s="4" t="s">
        <v>4568</v>
      </c>
      <c r="E3910" s="1" t="str">
        <f>_xlfn.XLOOKUP(tblSales[[#This Row],[Customer ID]],tblCustomers[Customer ID],tblCustomers[Customer Name],"⚠ Unknown")</f>
        <v>Walk-in Customer</v>
      </c>
      <c r="F3910" s="4" t="s">
        <v>6</v>
      </c>
      <c r="G3910" s="1" t="str">
        <f>_xlfn.XLOOKUP(tblSales[[#This Row],[Product Code]],tblProducts[Code],tblProducts[Product / Service Name],"⚠ Unknown")</f>
        <v>Socks &amp; Accessories</v>
      </c>
      <c r="H3910" s="1" t="str">
        <f>_xlfn.XLOOKUP(tblSales[[#This Row],[Product Code]],tblProducts[Code],tblProducts[Category],"")</f>
        <v>Accessories &amp; Basics</v>
      </c>
      <c r="I3910" s="4">
        <v>12</v>
      </c>
      <c r="J3910" s="5">
        <f>_xlfn.XLOOKUP(tblSales[[#This Row],[Product Code]],tblProducts[Code],tblProducts[Selling Price (excl. VAT)],0)</f>
        <v>45000</v>
      </c>
      <c r="K3910" s="5">
        <f>tblSales[[#This Row],[Qty]]*tblSales[[#This Row],[Unit Price]]</f>
        <v>540000</v>
      </c>
      <c r="L3910" s="5">
        <f>ROUND(tblSales[[#This Row],[DPP (excl. VAT)]]*VATEff,0)</f>
        <v>59400</v>
      </c>
      <c r="M3910" s="5">
        <f>tblSales[[#This Row],[DPP (excl. VAT)]]+tblSales[[#This Row],[Output VAT]]</f>
        <v>599400</v>
      </c>
      <c r="N3910" s="5">
        <f>tblSales[[#This Row],[Qty]]*_xlfn.XLOOKUP(tblSales[[#This Row],[Product Code]],tblProducts[Code],tblProducts[Unit Cost],0)</f>
        <v>288000</v>
      </c>
      <c r="O3910" s="4" t="s">
        <v>4865</v>
      </c>
      <c r="P3910" s="4" t="s">
        <v>4860</v>
      </c>
      <c r="Q3910" s="1" t="str">
        <f>_xlfn.XLOOKUP(tblSales[[#This Row],[Channel Code]],tblChannels[Channel Code],tblChannels[Channel Name],"")</f>
        <v>In-store</v>
      </c>
      <c r="R3910" s="1">
        <f>MONTH(tblSales[[#This Row],[Date]])</f>
        <v>8</v>
      </c>
    </row>
    <row r="3911" spans="2:18" x14ac:dyDescent="0.35">
      <c r="B3911" s="113">
        <v>46256</v>
      </c>
      <c r="C3911" s="4" t="s">
        <v>2629</v>
      </c>
      <c r="D3911" s="4" t="s">
        <v>4568</v>
      </c>
      <c r="E3911" s="1" t="str">
        <f>_xlfn.XLOOKUP(tblSales[[#This Row],[Customer ID]],tblCustomers[Customer ID],tblCustomers[Customer Name],"⚠ Unknown")</f>
        <v>Walk-in Customer</v>
      </c>
      <c r="F3911" s="4" t="s">
        <v>6</v>
      </c>
      <c r="G3911" s="1" t="str">
        <f>_xlfn.XLOOKUP(tblSales[[#This Row],[Product Code]],tblProducts[Code],tblProducts[Product / Service Name],"⚠ Unknown")</f>
        <v>Socks &amp; Accessories</v>
      </c>
      <c r="H3911" s="1" t="str">
        <f>_xlfn.XLOOKUP(tblSales[[#This Row],[Product Code]],tblProducts[Code],tblProducts[Category],"")</f>
        <v>Accessories &amp; Basics</v>
      </c>
      <c r="I3911" s="4">
        <v>4</v>
      </c>
      <c r="J3911" s="5">
        <f>_xlfn.XLOOKUP(tblSales[[#This Row],[Product Code]],tblProducts[Code],tblProducts[Selling Price (excl. VAT)],0)</f>
        <v>45000</v>
      </c>
      <c r="K3911" s="5">
        <f>tblSales[[#This Row],[Qty]]*tblSales[[#This Row],[Unit Price]]</f>
        <v>180000</v>
      </c>
      <c r="L3911" s="5">
        <f>ROUND(tblSales[[#This Row],[DPP (excl. VAT)]]*VATEff,0)</f>
        <v>19800</v>
      </c>
      <c r="M3911" s="5">
        <f>tblSales[[#This Row],[DPP (excl. VAT)]]+tblSales[[#This Row],[Output VAT]]</f>
        <v>199800</v>
      </c>
      <c r="N3911" s="5">
        <f>tblSales[[#This Row],[Qty]]*_xlfn.XLOOKUP(tblSales[[#This Row],[Product Code]],tblProducts[Code],tblProducts[Unit Cost],0)</f>
        <v>96000</v>
      </c>
      <c r="O3911" s="4" t="s">
        <v>4866</v>
      </c>
      <c r="P3911" s="4" t="s">
        <v>4861</v>
      </c>
      <c r="Q3911" s="1" t="str">
        <f>_xlfn.XLOOKUP(tblSales[[#This Row],[Channel Code]],tblChannels[Channel Code],tblChannels[Channel Name],"")</f>
        <v>Marketplace</v>
      </c>
      <c r="R3911" s="1">
        <f>MONTH(tblSales[[#This Row],[Date]])</f>
        <v>8</v>
      </c>
    </row>
    <row r="3912" spans="2:18" x14ac:dyDescent="0.35">
      <c r="B3912" s="113">
        <v>46256</v>
      </c>
      <c r="C3912" s="4" t="s">
        <v>2630</v>
      </c>
      <c r="D3912" s="4" t="s">
        <v>4568</v>
      </c>
      <c r="E3912" s="1" t="str">
        <f>_xlfn.XLOOKUP(tblSales[[#This Row],[Customer ID]],tblCustomers[Customer ID],tblCustomers[Customer Name],"⚠ Unknown")</f>
        <v>Walk-in Customer</v>
      </c>
      <c r="F3912" s="4" t="s">
        <v>10</v>
      </c>
      <c r="G3912" s="1" t="str">
        <f>_xlfn.XLOOKUP(tblSales[[#This Row],[Product Code]],tblProducts[Code],tblProducts[Product / Service Name],"⚠ Unknown")</f>
        <v>Chino Pants</v>
      </c>
      <c r="H3912" s="1" t="str">
        <f>_xlfn.XLOOKUP(tblSales[[#This Row],[Product Code]],tblProducts[Code],tblProducts[Category],"")</f>
        <v>Apparel &amp; Footwear</v>
      </c>
      <c r="I3912" s="4">
        <v>3</v>
      </c>
      <c r="J3912" s="5">
        <f>_xlfn.XLOOKUP(tblSales[[#This Row],[Product Code]],tblProducts[Code],tblProducts[Selling Price (excl. VAT)],0)</f>
        <v>150000</v>
      </c>
      <c r="K3912" s="5">
        <f>tblSales[[#This Row],[Qty]]*tblSales[[#This Row],[Unit Price]]</f>
        <v>450000</v>
      </c>
      <c r="L3912" s="5">
        <f>ROUND(tblSales[[#This Row],[DPP (excl. VAT)]]*VATEff,0)</f>
        <v>49500</v>
      </c>
      <c r="M3912" s="5">
        <f>tblSales[[#This Row],[DPP (excl. VAT)]]+tblSales[[#This Row],[Output VAT]]</f>
        <v>499500</v>
      </c>
      <c r="N3912" s="5">
        <f>tblSales[[#This Row],[Qty]]*_xlfn.XLOOKUP(tblSales[[#This Row],[Product Code]],tblProducts[Code],tblProducts[Unit Cost],0)</f>
        <v>264000</v>
      </c>
      <c r="O3912" s="4" t="s">
        <v>4866</v>
      </c>
      <c r="P3912" s="4" t="s">
        <v>4861</v>
      </c>
      <c r="Q3912" s="1" t="str">
        <f>_xlfn.XLOOKUP(tblSales[[#This Row],[Channel Code]],tblChannels[Channel Code],tblChannels[Channel Name],"")</f>
        <v>Marketplace</v>
      </c>
      <c r="R3912" s="1">
        <f>MONTH(tblSales[[#This Row],[Date]])</f>
        <v>8</v>
      </c>
    </row>
    <row r="3913" spans="2:18" x14ac:dyDescent="0.35">
      <c r="B3913" s="113">
        <v>46256</v>
      </c>
      <c r="C3913" s="4" t="s">
        <v>2631</v>
      </c>
      <c r="D3913" s="4" t="s">
        <v>4568</v>
      </c>
      <c r="E3913" s="1" t="str">
        <f>_xlfn.XLOOKUP(tblSales[[#This Row],[Customer ID]],tblCustomers[Customer ID],tblCustomers[Customer Name],"⚠ Unknown")</f>
        <v>Walk-in Customer</v>
      </c>
      <c r="F3913" s="4" t="s">
        <v>11</v>
      </c>
      <c r="G3913" s="1" t="str">
        <f>_xlfn.XLOOKUP(tblSales[[#This Row],[Product Code]],tblProducts[Code],tblProducts[Product / Service Name],"⚠ Unknown")</f>
        <v>Sneakers</v>
      </c>
      <c r="H3913" s="1" t="str">
        <f>_xlfn.XLOOKUP(tblSales[[#This Row],[Product Code]],tblProducts[Code],tblProducts[Category],"")</f>
        <v>Apparel &amp; Footwear</v>
      </c>
      <c r="I3913" s="4">
        <v>3</v>
      </c>
      <c r="J3913" s="5">
        <f>_xlfn.XLOOKUP(tblSales[[#This Row],[Product Code]],tblProducts[Code],tblProducts[Selling Price (excl. VAT)],0)</f>
        <v>250000</v>
      </c>
      <c r="K3913" s="5">
        <f>tblSales[[#This Row],[Qty]]*tblSales[[#This Row],[Unit Price]]</f>
        <v>750000</v>
      </c>
      <c r="L3913" s="5">
        <f>ROUND(tblSales[[#This Row],[DPP (excl. VAT)]]*VATEff,0)</f>
        <v>82500</v>
      </c>
      <c r="M3913" s="5">
        <f>tblSales[[#This Row],[DPP (excl. VAT)]]+tblSales[[#This Row],[Output VAT]]</f>
        <v>832500</v>
      </c>
      <c r="N3913" s="5">
        <f>tblSales[[#This Row],[Qty]]*_xlfn.XLOOKUP(tblSales[[#This Row],[Product Code]],tblProducts[Code],tblProducts[Unit Cost],0)</f>
        <v>465000</v>
      </c>
      <c r="O3913" s="4" t="s">
        <v>4866</v>
      </c>
      <c r="P3913" s="4" t="s">
        <v>4862</v>
      </c>
      <c r="Q3913" s="1" t="str">
        <f>_xlfn.XLOOKUP(tblSales[[#This Row],[Channel Code]],tblChannels[Channel Code],tblChannels[Channel Name],"")</f>
        <v>Website &amp; Social Media</v>
      </c>
      <c r="R3913" s="1">
        <f>MONTH(tblSales[[#This Row],[Date]])</f>
        <v>8</v>
      </c>
    </row>
    <row r="3914" spans="2:18" x14ac:dyDescent="0.35">
      <c r="B3914" s="113">
        <v>46256</v>
      </c>
      <c r="C3914" s="4" t="s">
        <v>2632</v>
      </c>
      <c r="D3914" s="4" t="s">
        <v>4568</v>
      </c>
      <c r="E3914" s="1" t="str">
        <f>_xlfn.XLOOKUP(tblSales[[#This Row],[Customer ID]],tblCustomers[Customer ID],tblCustomers[Customer Name],"⚠ Unknown")</f>
        <v>Walk-in Customer</v>
      </c>
      <c r="F3914" s="4" t="s">
        <v>6</v>
      </c>
      <c r="G3914" s="1" t="str">
        <f>_xlfn.XLOOKUP(tblSales[[#This Row],[Product Code]],tblProducts[Code],tblProducts[Product / Service Name],"⚠ Unknown")</f>
        <v>Socks &amp; Accessories</v>
      </c>
      <c r="H3914" s="1" t="str">
        <f>_xlfn.XLOOKUP(tblSales[[#This Row],[Product Code]],tblProducts[Code],tblProducts[Category],"")</f>
        <v>Accessories &amp; Basics</v>
      </c>
      <c r="I3914" s="4">
        <v>11</v>
      </c>
      <c r="J3914" s="5">
        <f>_xlfn.XLOOKUP(tblSales[[#This Row],[Product Code]],tblProducts[Code],tblProducts[Selling Price (excl. VAT)],0)</f>
        <v>45000</v>
      </c>
      <c r="K3914" s="5">
        <f>tblSales[[#This Row],[Qty]]*tblSales[[#This Row],[Unit Price]]</f>
        <v>495000</v>
      </c>
      <c r="L3914" s="5">
        <f>ROUND(tblSales[[#This Row],[DPP (excl. VAT)]]*VATEff,0)</f>
        <v>54450</v>
      </c>
      <c r="M3914" s="5">
        <f>tblSales[[#This Row],[DPP (excl. VAT)]]+tblSales[[#This Row],[Output VAT]]</f>
        <v>549450</v>
      </c>
      <c r="N3914" s="5">
        <f>tblSales[[#This Row],[Qty]]*_xlfn.XLOOKUP(tblSales[[#This Row],[Product Code]],tblProducts[Code],tblProducts[Unit Cost],0)</f>
        <v>264000</v>
      </c>
      <c r="O3914" s="4" t="s">
        <v>4865</v>
      </c>
      <c r="P3914" s="4" t="s">
        <v>4860</v>
      </c>
      <c r="Q3914" s="1" t="str">
        <f>_xlfn.XLOOKUP(tblSales[[#This Row],[Channel Code]],tblChannels[Channel Code],tblChannels[Channel Name],"")</f>
        <v>In-store</v>
      </c>
      <c r="R3914" s="1">
        <f>MONTH(tblSales[[#This Row],[Date]])</f>
        <v>8</v>
      </c>
    </row>
    <row r="3915" spans="2:18" x14ac:dyDescent="0.35">
      <c r="B3915" s="113">
        <v>46256</v>
      </c>
      <c r="C3915" s="4" t="s">
        <v>2633</v>
      </c>
      <c r="D3915" s="4" t="s">
        <v>4568</v>
      </c>
      <c r="E3915" s="1" t="str">
        <f>_xlfn.XLOOKUP(tblSales[[#This Row],[Customer ID]],tblCustomers[Customer ID],tblCustomers[Customer Name],"⚠ Unknown")</f>
        <v>Walk-in Customer</v>
      </c>
      <c r="F3915" s="4" t="s">
        <v>14</v>
      </c>
      <c r="G3915" s="1" t="str">
        <f>_xlfn.XLOOKUP(tblSales[[#This Row],[Product Code]],tblProducts[Code],tblProducts[Product / Service Name],"⚠ Unknown")</f>
        <v>Smartwatch</v>
      </c>
      <c r="H3915" s="1" t="str">
        <f>_xlfn.XLOOKUP(tblSales[[#This Row],[Product Code]],tblProducts[Code],tblProducts[Category],"")</f>
        <v>Bags &amp; Gadgets</v>
      </c>
      <c r="I3915" s="4">
        <v>2</v>
      </c>
      <c r="J3915" s="5">
        <f>_xlfn.XLOOKUP(tblSales[[#This Row],[Product Code]],tblProducts[Code],tblProducts[Selling Price (excl. VAT)],0)</f>
        <v>850000</v>
      </c>
      <c r="K3915" s="5">
        <f>tblSales[[#This Row],[Qty]]*tblSales[[#This Row],[Unit Price]]</f>
        <v>1700000</v>
      </c>
      <c r="L3915" s="5">
        <f>ROUND(tblSales[[#This Row],[DPP (excl. VAT)]]*VATEff,0)</f>
        <v>187000</v>
      </c>
      <c r="M3915" s="5">
        <f>tblSales[[#This Row],[DPP (excl. VAT)]]+tblSales[[#This Row],[Output VAT]]</f>
        <v>1887000</v>
      </c>
      <c r="N3915" s="5">
        <f>tblSales[[#This Row],[Qty]]*_xlfn.XLOOKUP(tblSales[[#This Row],[Product Code]],tblProducts[Code],tblProducts[Unit Cost],0)</f>
        <v>1120000</v>
      </c>
      <c r="O3915" s="4" t="s">
        <v>4866</v>
      </c>
      <c r="P3915" s="4" t="s">
        <v>4860</v>
      </c>
      <c r="Q3915" s="1" t="str">
        <f>_xlfn.XLOOKUP(tblSales[[#This Row],[Channel Code]],tblChannels[Channel Code],tblChannels[Channel Name],"")</f>
        <v>In-store</v>
      </c>
      <c r="R3915" s="1">
        <f>MONTH(tblSales[[#This Row],[Date]])</f>
        <v>8</v>
      </c>
    </row>
    <row r="3916" spans="2:18" x14ac:dyDescent="0.35">
      <c r="B3916" s="113">
        <v>46256</v>
      </c>
      <c r="C3916" s="4" t="s">
        <v>2634</v>
      </c>
      <c r="D3916" s="4" t="s">
        <v>4568</v>
      </c>
      <c r="E3916" s="1" t="str">
        <f>_xlfn.XLOOKUP(tblSales[[#This Row],[Customer ID]],tblCustomers[Customer ID],tblCustomers[Customer Name],"⚠ Unknown")</f>
        <v>Walk-in Customer</v>
      </c>
      <c r="F3916" s="4" t="s">
        <v>13</v>
      </c>
      <c r="G3916" s="1" t="str">
        <f>_xlfn.XLOOKUP(tblSales[[#This Row],[Product Code]],tblProducts[Code],tblProducts[Product / Service Name],"⚠ Unknown")</f>
        <v>Backpack</v>
      </c>
      <c r="H3916" s="1" t="str">
        <f>_xlfn.XLOOKUP(tblSales[[#This Row],[Product Code]],tblProducts[Code],tblProducts[Category],"")</f>
        <v>Bags &amp; Gadgets</v>
      </c>
      <c r="I3916" s="4">
        <v>1</v>
      </c>
      <c r="J3916" s="5">
        <f>_xlfn.XLOOKUP(tblSales[[#This Row],[Product Code]],tblProducts[Code],tblProducts[Selling Price (excl. VAT)],0)</f>
        <v>500000</v>
      </c>
      <c r="K3916" s="5">
        <f>tblSales[[#This Row],[Qty]]*tblSales[[#This Row],[Unit Price]]</f>
        <v>500000</v>
      </c>
      <c r="L3916" s="5">
        <f>ROUND(tblSales[[#This Row],[DPP (excl. VAT)]]*VATEff,0)</f>
        <v>55000</v>
      </c>
      <c r="M3916" s="5">
        <f>tblSales[[#This Row],[DPP (excl. VAT)]]+tblSales[[#This Row],[Output VAT]]</f>
        <v>555000</v>
      </c>
      <c r="N3916" s="5">
        <f>tblSales[[#This Row],[Qty]]*_xlfn.XLOOKUP(tblSales[[#This Row],[Product Code]],tblProducts[Code],tblProducts[Unit Cost],0)</f>
        <v>290000</v>
      </c>
      <c r="O3916" s="4" t="s">
        <v>4866</v>
      </c>
      <c r="P3916" s="4" t="s">
        <v>4860</v>
      </c>
      <c r="Q3916" s="1" t="str">
        <f>_xlfn.XLOOKUP(tblSales[[#This Row],[Channel Code]],tblChannels[Channel Code],tblChannels[Channel Name],"")</f>
        <v>In-store</v>
      </c>
      <c r="R3916" s="1">
        <f>MONTH(tblSales[[#This Row],[Date]])</f>
        <v>8</v>
      </c>
    </row>
    <row r="3917" spans="2:18" x14ac:dyDescent="0.35">
      <c r="B3917" s="113">
        <v>46256</v>
      </c>
      <c r="C3917" s="4" t="s">
        <v>2635</v>
      </c>
      <c r="D3917" s="4" t="s">
        <v>4568</v>
      </c>
      <c r="E3917" s="1" t="str">
        <f>_xlfn.XLOOKUP(tblSales[[#This Row],[Customer ID]],tblCustomers[Customer ID],tblCustomers[Customer Name],"⚠ Unknown")</f>
        <v>Walk-in Customer</v>
      </c>
      <c r="F3917" s="4" t="s">
        <v>14</v>
      </c>
      <c r="G3917" s="1" t="str">
        <f>_xlfn.XLOOKUP(tblSales[[#This Row],[Product Code]],tblProducts[Code],tblProducts[Product / Service Name],"⚠ Unknown")</f>
        <v>Smartwatch</v>
      </c>
      <c r="H3917" s="1" t="str">
        <f>_xlfn.XLOOKUP(tblSales[[#This Row],[Product Code]],tblProducts[Code],tblProducts[Category],"")</f>
        <v>Bags &amp; Gadgets</v>
      </c>
      <c r="I3917" s="4">
        <v>1</v>
      </c>
      <c r="J3917" s="5">
        <f>_xlfn.XLOOKUP(tblSales[[#This Row],[Product Code]],tblProducts[Code],tblProducts[Selling Price (excl. VAT)],0)</f>
        <v>850000</v>
      </c>
      <c r="K3917" s="5">
        <f>tblSales[[#This Row],[Qty]]*tblSales[[#This Row],[Unit Price]]</f>
        <v>850000</v>
      </c>
      <c r="L3917" s="5">
        <f>ROUND(tblSales[[#This Row],[DPP (excl. VAT)]]*VATEff,0)</f>
        <v>93500</v>
      </c>
      <c r="M3917" s="5">
        <f>tblSales[[#This Row],[DPP (excl. VAT)]]+tblSales[[#This Row],[Output VAT]]</f>
        <v>943500</v>
      </c>
      <c r="N3917" s="5">
        <f>tblSales[[#This Row],[Qty]]*_xlfn.XLOOKUP(tblSales[[#This Row],[Product Code]],tblProducts[Code],tblProducts[Unit Cost],0)</f>
        <v>560000</v>
      </c>
      <c r="O3917" s="4" t="s">
        <v>4866</v>
      </c>
      <c r="P3917" s="4" t="s">
        <v>4860</v>
      </c>
      <c r="Q3917" s="1" t="str">
        <f>_xlfn.XLOOKUP(tblSales[[#This Row],[Channel Code]],tblChannels[Channel Code],tblChannels[Channel Name],"")</f>
        <v>In-store</v>
      </c>
      <c r="R3917" s="1">
        <f>MONTH(tblSales[[#This Row],[Date]])</f>
        <v>8</v>
      </c>
    </row>
    <row r="3918" spans="2:18" x14ac:dyDescent="0.35">
      <c r="B3918" s="113">
        <v>46256</v>
      </c>
      <c r="C3918" s="4" t="s">
        <v>2635</v>
      </c>
      <c r="D3918" s="4" t="s">
        <v>4568</v>
      </c>
      <c r="E3918" s="1" t="str">
        <f>_xlfn.XLOOKUP(tblSales[[#This Row],[Customer ID]],tblCustomers[Customer ID],tblCustomers[Customer Name],"⚠ Unknown")</f>
        <v>Walk-in Customer</v>
      </c>
      <c r="F3918" s="4" t="s">
        <v>7</v>
      </c>
      <c r="G3918" s="1" t="str">
        <f>_xlfn.XLOOKUP(tblSales[[#This Row],[Product Code]],tblProducts[Code],tblProducts[Product / Service Name],"⚠ Unknown")</f>
        <v>Premium Basic T-shirt</v>
      </c>
      <c r="H3918" s="1" t="str">
        <f>_xlfn.XLOOKUP(tblSales[[#This Row],[Product Code]],tblProducts[Code],tblProducts[Category],"")</f>
        <v>Accessories &amp; Basics</v>
      </c>
      <c r="I3918" s="4">
        <v>1</v>
      </c>
      <c r="J3918" s="5">
        <f>_xlfn.XLOOKUP(tblSales[[#This Row],[Product Code]],tblProducts[Code],tblProducts[Selling Price (excl. VAT)],0)</f>
        <v>65000</v>
      </c>
      <c r="K3918" s="5">
        <f>tblSales[[#This Row],[Qty]]*tblSales[[#This Row],[Unit Price]]</f>
        <v>65000</v>
      </c>
      <c r="L3918" s="5">
        <f>ROUND(tblSales[[#This Row],[DPP (excl. VAT)]]*VATEff,0)</f>
        <v>7150</v>
      </c>
      <c r="M3918" s="5">
        <f>tblSales[[#This Row],[DPP (excl. VAT)]]+tblSales[[#This Row],[Output VAT]]</f>
        <v>72150</v>
      </c>
      <c r="N3918" s="5">
        <f>tblSales[[#This Row],[Qty]]*_xlfn.XLOOKUP(tblSales[[#This Row],[Product Code]],tblProducts[Code],tblProducts[Unit Cost],0)</f>
        <v>37000</v>
      </c>
      <c r="O3918" s="4" t="s">
        <v>4866</v>
      </c>
      <c r="P3918" s="4" t="s">
        <v>4860</v>
      </c>
      <c r="Q3918" s="1" t="str">
        <f>_xlfn.XLOOKUP(tblSales[[#This Row],[Channel Code]],tblChannels[Channel Code],tblChannels[Channel Name],"")</f>
        <v>In-store</v>
      </c>
      <c r="R3918" s="1">
        <f>MONTH(tblSales[[#This Row],[Date]])</f>
        <v>8</v>
      </c>
    </row>
    <row r="3919" spans="2:18" x14ac:dyDescent="0.35">
      <c r="B3919" s="113">
        <v>46256</v>
      </c>
      <c r="C3919" s="4" t="s">
        <v>2636</v>
      </c>
      <c r="D3919" s="4" t="s">
        <v>4568</v>
      </c>
      <c r="E3919" s="1" t="str">
        <f>_xlfn.XLOOKUP(tblSales[[#This Row],[Customer ID]],tblCustomers[Customer ID],tblCustomers[Customer Name],"⚠ Unknown")</f>
        <v>Walk-in Customer</v>
      </c>
      <c r="F3919" s="4" t="s">
        <v>9</v>
      </c>
      <c r="G3919" s="1" t="str">
        <f>_xlfn.XLOOKUP(tblSales[[#This Row],[Product Code]],tblProducts[Code],tblProducts[Product / Service Name],"⚠ Unknown")</f>
        <v>Casual Shirt</v>
      </c>
      <c r="H3919" s="1" t="str">
        <f>_xlfn.XLOOKUP(tblSales[[#This Row],[Product Code]],tblProducts[Code],tblProducts[Category],"")</f>
        <v>Apparel &amp; Footwear</v>
      </c>
      <c r="I3919" s="4">
        <v>6</v>
      </c>
      <c r="J3919" s="5">
        <f>_xlfn.XLOOKUP(tblSales[[#This Row],[Product Code]],tblProducts[Code],tblProducts[Selling Price (excl. VAT)],0)</f>
        <v>120000</v>
      </c>
      <c r="K3919" s="5">
        <f>tblSales[[#This Row],[Qty]]*tblSales[[#This Row],[Unit Price]]</f>
        <v>720000</v>
      </c>
      <c r="L3919" s="5">
        <f>ROUND(tblSales[[#This Row],[DPP (excl. VAT)]]*VATEff,0)</f>
        <v>79200</v>
      </c>
      <c r="M3919" s="5">
        <f>tblSales[[#This Row],[DPP (excl. VAT)]]+tblSales[[#This Row],[Output VAT]]</f>
        <v>799200</v>
      </c>
      <c r="N3919" s="5">
        <f>tblSales[[#This Row],[Qty]]*_xlfn.XLOOKUP(tblSales[[#This Row],[Product Code]],tblProducts[Code],tblProducts[Unit Cost],0)</f>
        <v>432000</v>
      </c>
      <c r="O3919" s="4" t="s">
        <v>4865</v>
      </c>
      <c r="P3919" s="4" t="s">
        <v>4860</v>
      </c>
      <c r="Q3919" s="1" t="str">
        <f>_xlfn.XLOOKUP(tblSales[[#This Row],[Channel Code]],tblChannels[Channel Code],tblChannels[Channel Name],"")</f>
        <v>In-store</v>
      </c>
      <c r="R3919" s="1">
        <f>MONTH(tblSales[[#This Row],[Date]])</f>
        <v>8</v>
      </c>
    </row>
    <row r="3920" spans="2:18" x14ac:dyDescent="0.35">
      <c r="B3920" s="113">
        <v>46256</v>
      </c>
      <c r="C3920" s="4" t="s">
        <v>2636</v>
      </c>
      <c r="D3920" s="4" t="s">
        <v>4568</v>
      </c>
      <c r="E3920" s="1" t="str">
        <f>_xlfn.XLOOKUP(tblSales[[#This Row],[Customer ID]],tblCustomers[Customer ID],tblCustomers[Customer Name],"⚠ Unknown")</f>
        <v>Walk-in Customer</v>
      </c>
      <c r="F3920" s="4" t="s">
        <v>7</v>
      </c>
      <c r="G3920" s="1" t="str">
        <f>_xlfn.XLOOKUP(tblSales[[#This Row],[Product Code]],tblProducts[Code],tblProducts[Product / Service Name],"⚠ Unknown")</f>
        <v>Premium Basic T-shirt</v>
      </c>
      <c r="H3920" s="1" t="str">
        <f>_xlfn.XLOOKUP(tblSales[[#This Row],[Product Code]],tblProducts[Code],tblProducts[Category],"")</f>
        <v>Accessories &amp; Basics</v>
      </c>
      <c r="I3920" s="4">
        <v>11</v>
      </c>
      <c r="J3920" s="5">
        <f>_xlfn.XLOOKUP(tblSales[[#This Row],[Product Code]],tblProducts[Code],tblProducts[Selling Price (excl. VAT)],0)</f>
        <v>65000</v>
      </c>
      <c r="K3920" s="5">
        <f>tblSales[[#This Row],[Qty]]*tblSales[[#This Row],[Unit Price]]</f>
        <v>715000</v>
      </c>
      <c r="L3920" s="5">
        <f>ROUND(tblSales[[#This Row],[DPP (excl. VAT)]]*VATEff,0)</f>
        <v>78650</v>
      </c>
      <c r="M3920" s="5">
        <f>tblSales[[#This Row],[DPP (excl. VAT)]]+tblSales[[#This Row],[Output VAT]]</f>
        <v>793650</v>
      </c>
      <c r="N3920" s="5">
        <f>tblSales[[#This Row],[Qty]]*_xlfn.XLOOKUP(tblSales[[#This Row],[Product Code]],tblProducts[Code],tblProducts[Unit Cost],0)</f>
        <v>407000</v>
      </c>
      <c r="O3920" s="4" t="s">
        <v>4865</v>
      </c>
      <c r="P3920" s="4" t="s">
        <v>4860</v>
      </c>
      <c r="Q3920" s="1" t="str">
        <f>_xlfn.XLOOKUP(tblSales[[#This Row],[Channel Code]],tblChannels[Channel Code],tblChannels[Channel Name],"")</f>
        <v>In-store</v>
      </c>
      <c r="R3920" s="1">
        <f>MONTH(tblSales[[#This Row],[Date]])</f>
        <v>8</v>
      </c>
    </row>
    <row r="3921" spans="2:18" x14ac:dyDescent="0.35">
      <c r="B3921" s="113">
        <v>46256</v>
      </c>
      <c r="C3921" s="4" t="s">
        <v>2637</v>
      </c>
      <c r="D3921" s="4" t="s">
        <v>4568</v>
      </c>
      <c r="E3921" s="1" t="str">
        <f>_xlfn.XLOOKUP(tblSales[[#This Row],[Customer ID]],tblCustomers[Customer ID],tblCustomers[Customer Name],"⚠ Unknown")</f>
        <v>Walk-in Customer</v>
      </c>
      <c r="F3921" s="4" t="s">
        <v>9</v>
      </c>
      <c r="G3921" s="1" t="str">
        <f>_xlfn.XLOOKUP(tblSales[[#This Row],[Product Code]],tblProducts[Code],tblProducts[Product / Service Name],"⚠ Unknown")</f>
        <v>Casual Shirt</v>
      </c>
      <c r="H3921" s="1" t="str">
        <f>_xlfn.XLOOKUP(tblSales[[#This Row],[Product Code]],tblProducts[Code],tblProducts[Category],"")</f>
        <v>Apparel &amp; Footwear</v>
      </c>
      <c r="I3921" s="4">
        <v>6</v>
      </c>
      <c r="J3921" s="5">
        <f>_xlfn.XLOOKUP(tblSales[[#This Row],[Product Code]],tblProducts[Code],tblProducts[Selling Price (excl. VAT)],0)</f>
        <v>120000</v>
      </c>
      <c r="K3921" s="5">
        <f>tblSales[[#This Row],[Qty]]*tblSales[[#This Row],[Unit Price]]</f>
        <v>720000</v>
      </c>
      <c r="L3921" s="5">
        <f>ROUND(tblSales[[#This Row],[DPP (excl. VAT)]]*VATEff,0)</f>
        <v>79200</v>
      </c>
      <c r="M3921" s="5">
        <f>tblSales[[#This Row],[DPP (excl. VAT)]]+tblSales[[#This Row],[Output VAT]]</f>
        <v>799200</v>
      </c>
      <c r="N3921" s="5">
        <f>tblSales[[#This Row],[Qty]]*_xlfn.XLOOKUP(tblSales[[#This Row],[Product Code]],tblProducts[Code],tblProducts[Unit Cost],0)</f>
        <v>432000</v>
      </c>
      <c r="O3921" s="4" t="s">
        <v>4866</v>
      </c>
      <c r="P3921" s="4" t="s">
        <v>4861</v>
      </c>
      <c r="Q3921" s="1" t="str">
        <f>_xlfn.XLOOKUP(tblSales[[#This Row],[Channel Code]],tblChannels[Channel Code],tblChannels[Channel Name],"")</f>
        <v>Marketplace</v>
      </c>
      <c r="R3921" s="1">
        <f>MONTH(tblSales[[#This Row],[Date]])</f>
        <v>8</v>
      </c>
    </row>
    <row r="3922" spans="2:18" x14ac:dyDescent="0.35">
      <c r="B3922" s="113">
        <v>46256</v>
      </c>
      <c r="C3922" s="4" t="s">
        <v>2638</v>
      </c>
      <c r="D3922" s="4" t="s">
        <v>4568</v>
      </c>
      <c r="E3922" s="1" t="str">
        <f>_xlfn.XLOOKUP(tblSales[[#This Row],[Customer ID]],tblCustomers[Customer ID],tblCustomers[Customer Name],"⚠ Unknown")</f>
        <v>Walk-in Customer</v>
      </c>
      <c r="F3922" s="4" t="s">
        <v>12</v>
      </c>
      <c r="G3922" s="1" t="str">
        <f>_xlfn.XLOOKUP(tblSales[[#This Row],[Product Code]],tblProducts[Code],tblProducts[Product / Service Name],"⚠ Unknown")</f>
        <v>Bomber Jacket</v>
      </c>
      <c r="H3922" s="1" t="str">
        <f>_xlfn.XLOOKUP(tblSales[[#This Row],[Product Code]],tblProducts[Code],tblProducts[Category],"")</f>
        <v>Apparel &amp; Footwear</v>
      </c>
      <c r="I3922" s="4">
        <v>5</v>
      </c>
      <c r="J3922" s="5">
        <f>_xlfn.XLOOKUP(tblSales[[#This Row],[Product Code]],tblProducts[Code],tblProducts[Selling Price (excl. VAT)],0)</f>
        <v>350000</v>
      </c>
      <c r="K3922" s="5">
        <f>tblSales[[#This Row],[Qty]]*tblSales[[#This Row],[Unit Price]]</f>
        <v>1750000</v>
      </c>
      <c r="L3922" s="5">
        <f>ROUND(tblSales[[#This Row],[DPP (excl. VAT)]]*VATEff,0)</f>
        <v>192500</v>
      </c>
      <c r="M3922" s="5">
        <f>tblSales[[#This Row],[DPP (excl. VAT)]]+tblSales[[#This Row],[Output VAT]]</f>
        <v>1942500</v>
      </c>
      <c r="N3922" s="5">
        <f>tblSales[[#This Row],[Qty]]*_xlfn.XLOOKUP(tblSales[[#This Row],[Product Code]],tblProducts[Code],tblProducts[Unit Cost],0)</f>
        <v>1050000</v>
      </c>
      <c r="O3922" s="4" t="s">
        <v>4865</v>
      </c>
      <c r="P3922" s="4" t="s">
        <v>4860</v>
      </c>
      <c r="Q3922" s="1" t="str">
        <f>_xlfn.XLOOKUP(tblSales[[#This Row],[Channel Code]],tblChannels[Channel Code],tblChannels[Channel Name],"")</f>
        <v>In-store</v>
      </c>
      <c r="R3922" s="1">
        <f>MONTH(tblSales[[#This Row],[Date]])</f>
        <v>8</v>
      </c>
    </row>
    <row r="3923" spans="2:18" x14ac:dyDescent="0.35">
      <c r="B3923" s="113">
        <v>46257</v>
      </c>
      <c r="C3923" s="4" t="s">
        <v>2639</v>
      </c>
      <c r="D3923" s="4" t="s">
        <v>4568</v>
      </c>
      <c r="E3923" s="1" t="str">
        <f>_xlfn.XLOOKUP(tblSales[[#This Row],[Customer ID]],tblCustomers[Customer ID],tblCustomers[Customer Name],"⚠ Unknown")</f>
        <v>Walk-in Customer</v>
      </c>
      <c r="F3923" s="4" t="s">
        <v>13</v>
      </c>
      <c r="G3923" s="1" t="str">
        <f>_xlfn.XLOOKUP(tblSales[[#This Row],[Product Code]],tblProducts[Code],tblProducts[Product / Service Name],"⚠ Unknown")</f>
        <v>Backpack</v>
      </c>
      <c r="H3923" s="1" t="str">
        <f>_xlfn.XLOOKUP(tblSales[[#This Row],[Product Code]],tblProducts[Code],tblProducts[Category],"")</f>
        <v>Bags &amp; Gadgets</v>
      </c>
      <c r="I3923" s="4">
        <v>5</v>
      </c>
      <c r="J3923" s="5">
        <f>_xlfn.XLOOKUP(tblSales[[#This Row],[Product Code]],tblProducts[Code],tblProducts[Selling Price (excl. VAT)],0)</f>
        <v>500000</v>
      </c>
      <c r="K3923" s="5">
        <f>tblSales[[#This Row],[Qty]]*tblSales[[#This Row],[Unit Price]]</f>
        <v>2500000</v>
      </c>
      <c r="L3923" s="5">
        <f>ROUND(tblSales[[#This Row],[DPP (excl. VAT)]]*VATEff,0)</f>
        <v>275000</v>
      </c>
      <c r="M3923" s="5">
        <f>tblSales[[#This Row],[DPP (excl. VAT)]]+tblSales[[#This Row],[Output VAT]]</f>
        <v>2775000</v>
      </c>
      <c r="N3923" s="5">
        <f>tblSales[[#This Row],[Qty]]*_xlfn.XLOOKUP(tblSales[[#This Row],[Product Code]],tblProducts[Code],tblProducts[Unit Cost],0)</f>
        <v>1450000</v>
      </c>
      <c r="O3923" s="4" t="s">
        <v>4866</v>
      </c>
      <c r="P3923" s="4" t="s">
        <v>4861</v>
      </c>
      <c r="Q3923" s="1" t="str">
        <f>_xlfn.XLOOKUP(tblSales[[#This Row],[Channel Code]],tblChannels[Channel Code],tblChannels[Channel Name],"")</f>
        <v>Marketplace</v>
      </c>
      <c r="R3923" s="1">
        <f>MONTH(tblSales[[#This Row],[Date]])</f>
        <v>8</v>
      </c>
    </row>
    <row r="3924" spans="2:18" x14ac:dyDescent="0.35">
      <c r="B3924" s="113">
        <v>46257</v>
      </c>
      <c r="C3924" s="4" t="s">
        <v>2640</v>
      </c>
      <c r="D3924" s="4" t="s">
        <v>4568</v>
      </c>
      <c r="E3924" s="1" t="str">
        <f>_xlfn.XLOOKUP(tblSales[[#This Row],[Customer ID]],tblCustomers[Customer ID],tblCustomers[Customer Name],"⚠ Unknown")</f>
        <v>Walk-in Customer</v>
      </c>
      <c r="F3924" s="4" t="s">
        <v>7</v>
      </c>
      <c r="G3924" s="1" t="str">
        <f>_xlfn.XLOOKUP(tblSales[[#This Row],[Product Code]],tblProducts[Code],tblProducts[Product / Service Name],"⚠ Unknown")</f>
        <v>Premium Basic T-shirt</v>
      </c>
      <c r="H3924" s="1" t="str">
        <f>_xlfn.XLOOKUP(tblSales[[#This Row],[Product Code]],tblProducts[Code],tblProducts[Category],"")</f>
        <v>Accessories &amp; Basics</v>
      </c>
      <c r="I3924" s="4">
        <v>10</v>
      </c>
      <c r="J3924" s="5">
        <f>_xlfn.XLOOKUP(tblSales[[#This Row],[Product Code]],tblProducts[Code],tblProducts[Selling Price (excl. VAT)],0)</f>
        <v>65000</v>
      </c>
      <c r="K3924" s="5">
        <f>tblSales[[#This Row],[Qty]]*tblSales[[#This Row],[Unit Price]]</f>
        <v>650000</v>
      </c>
      <c r="L3924" s="5">
        <f>ROUND(tblSales[[#This Row],[DPP (excl. VAT)]]*VATEff,0)</f>
        <v>71500</v>
      </c>
      <c r="M3924" s="5">
        <f>tblSales[[#This Row],[DPP (excl. VAT)]]+tblSales[[#This Row],[Output VAT]]</f>
        <v>721500</v>
      </c>
      <c r="N3924" s="5">
        <f>tblSales[[#This Row],[Qty]]*_xlfn.XLOOKUP(tblSales[[#This Row],[Product Code]],tblProducts[Code],tblProducts[Unit Cost],0)</f>
        <v>370000</v>
      </c>
      <c r="O3924" s="4" t="s">
        <v>4866</v>
      </c>
      <c r="P3924" s="4" t="s">
        <v>4861</v>
      </c>
      <c r="Q3924" s="1" t="str">
        <f>_xlfn.XLOOKUP(tblSales[[#This Row],[Channel Code]],tblChannels[Channel Code],tblChannels[Channel Name],"")</f>
        <v>Marketplace</v>
      </c>
      <c r="R3924" s="1">
        <f>MONTH(tblSales[[#This Row],[Date]])</f>
        <v>8</v>
      </c>
    </row>
    <row r="3925" spans="2:18" x14ac:dyDescent="0.35">
      <c r="B3925" s="113">
        <v>46257</v>
      </c>
      <c r="C3925" s="4" t="s">
        <v>2641</v>
      </c>
      <c r="D3925" s="4" t="s">
        <v>4568</v>
      </c>
      <c r="E3925" s="1" t="str">
        <f>_xlfn.XLOOKUP(tblSales[[#This Row],[Customer ID]],tblCustomers[Customer ID],tblCustomers[Customer Name],"⚠ Unknown")</f>
        <v>Walk-in Customer</v>
      </c>
      <c r="F3925" s="4" t="s">
        <v>12</v>
      </c>
      <c r="G3925" s="1" t="str">
        <f>_xlfn.XLOOKUP(tblSales[[#This Row],[Product Code]],tblProducts[Code],tblProducts[Product / Service Name],"⚠ Unknown")</f>
        <v>Bomber Jacket</v>
      </c>
      <c r="H3925" s="1" t="str">
        <f>_xlfn.XLOOKUP(tblSales[[#This Row],[Product Code]],tblProducts[Code],tblProducts[Category],"")</f>
        <v>Apparel &amp; Footwear</v>
      </c>
      <c r="I3925" s="4">
        <v>2</v>
      </c>
      <c r="J3925" s="5">
        <f>_xlfn.XLOOKUP(tblSales[[#This Row],[Product Code]],tblProducts[Code],tblProducts[Selling Price (excl. VAT)],0)</f>
        <v>350000</v>
      </c>
      <c r="K3925" s="5">
        <f>tblSales[[#This Row],[Qty]]*tblSales[[#This Row],[Unit Price]]</f>
        <v>700000</v>
      </c>
      <c r="L3925" s="5">
        <f>ROUND(tblSales[[#This Row],[DPP (excl. VAT)]]*VATEff,0)</f>
        <v>77000</v>
      </c>
      <c r="M3925" s="5">
        <f>tblSales[[#This Row],[DPP (excl. VAT)]]+tblSales[[#This Row],[Output VAT]]</f>
        <v>777000</v>
      </c>
      <c r="N3925" s="5">
        <f>tblSales[[#This Row],[Qty]]*_xlfn.XLOOKUP(tblSales[[#This Row],[Product Code]],tblProducts[Code],tblProducts[Unit Cost],0)</f>
        <v>420000</v>
      </c>
      <c r="O3925" s="4" t="s">
        <v>4866</v>
      </c>
      <c r="P3925" s="4" t="s">
        <v>4861</v>
      </c>
      <c r="Q3925" s="1" t="str">
        <f>_xlfn.XLOOKUP(tblSales[[#This Row],[Channel Code]],tblChannels[Channel Code],tblChannels[Channel Name],"")</f>
        <v>Marketplace</v>
      </c>
      <c r="R3925" s="1">
        <f>MONTH(tblSales[[#This Row],[Date]])</f>
        <v>8</v>
      </c>
    </row>
    <row r="3926" spans="2:18" x14ac:dyDescent="0.35">
      <c r="B3926" s="113">
        <v>46257</v>
      </c>
      <c r="C3926" s="4" t="s">
        <v>2642</v>
      </c>
      <c r="D3926" s="4" t="s">
        <v>4568</v>
      </c>
      <c r="E3926" s="1" t="str">
        <f>_xlfn.XLOOKUP(tblSales[[#This Row],[Customer ID]],tblCustomers[Customer ID],tblCustomers[Customer Name],"⚠ Unknown")</f>
        <v>Walk-in Customer</v>
      </c>
      <c r="F3926" s="4" t="s">
        <v>8</v>
      </c>
      <c r="G3926" s="1" t="str">
        <f>_xlfn.XLOOKUP(tblSales[[#This Row],[Product Code]],tblProducts[Code],tblProducts[Product / Service Name],"⚠ Unknown")</f>
        <v>Casual Shorts</v>
      </c>
      <c r="H3926" s="1" t="str">
        <f>_xlfn.XLOOKUP(tblSales[[#This Row],[Product Code]],tblProducts[Code],tblProducts[Category],"")</f>
        <v>Accessories &amp; Basics</v>
      </c>
      <c r="I3926" s="4">
        <v>7</v>
      </c>
      <c r="J3926" s="5">
        <f>_xlfn.XLOOKUP(tblSales[[#This Row],[Product Code]],tblProducts[Code],tblProducts[Selling Price (excl. VAT)],0)</f>
        <v>85000</v>
      </c>
      <c r="K3926" s="5">
        <f>tblSales[[#This Row],[Qty]]*tblSales[[#This Row],[Unit Price]]</f>
        <v>595000</v>
      </c>
      <c r="L3926" s="5">
        <f>ROUND(tblSales[[#This Row],[DPP (excl. VAT)]]*VATEff,0)</f>
        <v>65450</v>
      </c>
      <c r="M3926" s="5">
        <f>tblSales[[#This Row],[DPP (excl. VAT)]]+tblSales[[#This Row],[Output VAT]]</f>
        <v>660450</v>
      </c>
      <c r="N3926" s="5">
        <f>tblSales[[#This Row],[Qty]]*_xlfn.XLOOKUP(tblSales[[#This Row],[Product Code]],tblProducts[Code],tblProducts[Unit Cost],0)</f>
        <v>350000</v>
      </c>
      <c r="O3926" s="4" t="s">
        <v>4865</v>
      </c>
      <c r="P3926" s="4" t="s">
        <v>4860</v>
      </c>
      <c r="Q3926" s="1" t="str">
        <f>_xlfn.XLOOKUP(tblSales[[#This Row],[Channel Code]],tblChannels[Channel Code],tblChannels[Channel Name],"")</f>
        <v>In-store</v>
      </c>
      <c r="R3926" s="1">
        <f>MONTH(tblSales[[#This Row],[Date]])</f>
        <v>8</v>
      </c>
    </row>
    <row r="3927" spans="2:18" x14ac:dyDescent="0.35">
      <c r="B3927" s="113">
        <v>46257</v>
      </c>
      <c r="C3927" s="4" t="s">
        <v>2643</v>
      </c>
      <c r="D3927" s="4" t="s">
        <v>4593</v>
      </c>
      <c r="E3927" s="1" t="str">
        <f>_xlfn.XLOOKUP(tblSales[[#This Row],[Customer ID]],tblCustomers[Customer ID],tblCustomers[Customer Name],"⚠ Unknown")</f>
        <v>PT Graha Nusa Persada</v>
      </c>
      <c r="F3927" s="4" t="s">
        <v>8</v>
      </c>
      <c r="G3927" s="1" t="str">
        <f>_xlfn.XLOOKUP(tblSales[[#This Row],[Product Code]],tblProducts[Code],tblProducts[Product / Service Name],"⚠ Unknown")</f>
        <v>Casual Shorts</v>
      </c>
      <c r="H3927" s="1" t="str">
        <f>_xlfn.XLOOKUP(tblSales[[#This Row],[Product Code]],tblProducts[Code],tblProducts[Category],"")</f>
        <v>Accessories &amp; Basics</v>
      </c>
      <c r="I3927" s="4">
        <v>24</v>
      </c>
      <c r="J3927" s="5">
        <f>_xlfn.XLOOKUP(tblSales[[#This Row],[Product Code]],tblProducts[Code],tblProducts[Selling Price (excl. VAT)],0)</f>
        <v>85000</v>
      </c>
      <c r="K3927" s="5">
        <f>tblSales[[#This Row],[Qty]]*tblSales[[#This Row],[Unit Price]]</f>
        <v>2040000</v>
      </c>
      <c r="L3927" s="5">
        <f>ROUND(tblSales[[#This Row],[DPP (excl. VAT)]]*VATEff,0)</f>
        <v>224400</v>
      </c>
      <c r="M3927" s="5">
        <f>tblSales[[#This Row],[DPP (excl. VAT)]]+tblSales[[#This Row],[Output VAT]]</f>
        <v>2264400</v>
      </c>
      <c r="N3927" s="5">
        <f>tblSales[[#This Row],[Qty]]*_xlfn.XLOOKUP(tblSales[[#This Row],[Product Code]],tblProducts[Code],tblProducts[Unit Cost],0)</f>
        <v>1200000</v>
      </c>
      <c r="O3927" s="4" t="s">
        <v>4867</v>
      </c>
      <c r="P3927" s="4" t="s">
        <v>4862</v>
      </c>
      <c r="Q3927" s="1" t="str">
        <f>_xlfn.XLOOKUP(tblSales[[#This Row],[Channel Code]],tblChannels[Channel Code],tblChannels[Channel Name],"")</f>
        <v>Website &amp; Social Media</v>
      </c>
      <c r="R3927" s="1">
        <f>MONTH(tblSales[[#This Row],[Date]])</f>
        <v>8</v>
      </c>
    </row>
    <row r="3928" spans="2:18" x14ac:dyDescent="0.35">
      <c r="B3928" s="113">
        <v>46257</v>
      </c>
      <c r="C3928" s="4" t="s">
        <v>2643</v>
      </c>
      <c r="D3928" s="4" t="s">
        <v>4593</v>
      </c>
      <c r="E3928" s="1" t="str">
        <f>_xlfn.XLOOKUP(tblSales[[#This Row],[Customer ID]],tblCustomers[Customer ID],tblCustomers[Customer Name],"⚠ Unknown")</f>
        <v>PT Graha Nusa Persada</v>
      </c>
      <c r="F3928" s="4" t="s">
        <v>9</v>
      </c>
      <c r="G3928" s="1" t="str">
        <f>_xlfn.XLOOKUP(tblSales[[#This Row],[Product Code]],tblProducts[Code],tblProducts[Product / Service Name],"⚠ Unknown")</f>
        <v>Casual Shirt</v>
      </c>
      <c r="H3928" s="1" t="str">
        <f>_xlfn.XLOOKUP(tblSales[[#This Row],[Product Code]],tblProducts[Code],tblProducts[Category],"")</f>
        <v>Apparel &amp; Footwear</v>
      </c>
      <c r="I3928" s="4">
        <v>80</v>
      </c>
      <c r="J3928" s="5">
        <f>_xlfn.XLOOKUP(tblSales[[#This Row],[Product Code]],tblProducts[Code],tblProducts[Selling Price (excl. VAT)],0)</f>
        <v>120000</v>
      </c>
      <c r="K3928" s="5">
        <f>tblSales[[#This Row],[Qty]]*tblSales[[#This Row],[Unit Price]]</f>
        <v>9600000</v>
      </c>
      <c r="L3928" s="5">
        <f>ROUND(tblSales[[#This Row],[DPP (excl. VAT)]]*VATEff,0)</f>
        <v>1056000</v>
      </c>
      <c r="M3928" s="5">
        <f>tblSales[[#This Row],[DPP (excl. VAT)]]+tblSales[[#This Row],[Output VAT]]</f>
        <v>10656000</v>
      </c>
      <c r="N3928" s="5">
        <f>tblSales[[#This Row],[Qty]]*_xlfn.XLOOKUP(tblSales[[#This Row],[Product Code]],tblProducts[Code],tblProducts[Unit Cost],0)</f>
        <v>5760000</v>
      </c>
      <c r="O3928" s="4" t="s">
        <v>4867</v>
      </c>
      <c r="P3928" s="4" t="s">
        <v>4862</v>
      </c>
      <c r="Q3928" s="1" t="str">
        <f>_xlfn.XLOOKUP(tblSales[[#This Row],[Channel Code]],tblChannels[Channel Code],tblChannels[Channel Name],"")</f>
        <v>Website &amp; Social Media</v>
      </c>
      <c r="R3928" s="1">
        <f>MONTH(tblSales[[#This Row],[Date]])</f>
        <v>8</v>
      </c>
    </row>
    <row r="3929" spans="2:18" x14ac:dyDescent="0.35">
      <c r="B3929" s="113">
        <v>46257</v>
      </c>
      <c r="C3929" s="4" t="s">
        <v>2644</v>
      </c>
      <c r="D3929" s="4" t="s">
        <v>4568</v>
      </c>
      <c r="E3929" s="1" t="str">
        <f>_xlfn.XLOOKUP(tblSales[[#This Row],[Customer ID]],tblCustomers[Customer ID],tblCustomers[Customer Name],"⚠ Unknown")</f>
        <v>Walk-in Customer</v>
      </c>
      <c r="F3929" s="4" t="s">
        <v>15</v>
      </c>
      <c r="G3929" s="1" t="str">
        <f>_xlfn.XLOOKUP(tblSales[[#This Row],[Product Code]],tblProducts[Code],tblProducts[Product / Service Name],"⚠ Unknown")</f>
        <v>Wireless Earbuds Pro</v>
      </c>
      <c r="H3929" s="1" t="str">
        <f>_xlfn.XLOOKUP(tblSales[[#This Row],[Product Code]],tblProducts[Code],tblProducts[Category],"")</f>
        <v>Bags &amp; Gadgets</v>
      </c>
      <c r="I3929" s="4">
        <v>2</v>
      </c>
      <c r="J3929" s="5">
        <f>_xlfn.XLOOKUP(tblSales[[#This Row],[Product Code]],tblProducts[Code],tblProducts[Selling Price (excl. VAT)],0)</f>
        <v>1250000</v>
      </c>
      <c r="K3929" s="5">
        <f>tblSales[[#This Row],[Qty]]*tblSales[[#This Row],[Unit Price]]</f>
        <v>2500000</v>
      </c>
      <c r="L3929" s="5">
        <f>ROUND(tblSales[[#This Row],[DPP (excl. VAT)]]*VATEff,0)</f>
        <v>275000</v>
      </c>
      <c r="M3929" s="5">
        <f>tblSales[[#This Row],[DPP (excl. VAT)]]+tblSales[[#This Row],[Output VAT]]</f>
        <v>2775000</v>
      </c>
      <c r="N3929" s="5">
        <f>tblSales[[#This Row],[Qty]]*_xlfn.XLOOKUP(tblSales[[#This Row],[Product Code]],tblProducts[Code],tblProducts[Unit Cost],0)</f>
        <v>1640000</v>
      </c>
      <c r="O3929" s="4" t="s">
        <v>4865</v>
      </c>
      <c r="P3929" s="4" t="s">
        <v>4860</v>
      </c>
      <c r="Q3929" s="1" t="str">
        <f>_xlfn.XLOOKUP(tblSales[[#This Row],[Channel Code]],tblChannels[Channel Code],tblChannels[Channel Name],"")</f>
        <v>In-store</v>
      </c>
      <c r="R3929" s="1">
        <f>MONTH(tblSales[[#This Row],[Date]])</f>
        <v>8</v>
      </c>
    </row>
    <row r="3930" spans="2:18" x14ac:dyDescent="0.35">
      <c r="B3930" s="113">
        <v>46257</v>
      </c>
      <c r="C3930" s="4" t="s">
        <v>2644</v>
      </c>
      <c r="D3930" s="4" t="s">
        <v>4568</v>
      </c>
      <c r="E3930" s="1" t="str">
        <f>_xlfn.XLOOKUP(tblSales[[#This Row],[Customer ID]],tblCustomers[Customer ID],tblCustomers[Customer Name],"⚠ Unknown")</f>
        <v>Walk-in Customer</v>
      </c>
      <c r="F3930" s="4" t="s">
        <v>7</v>
      </c>
      <c r="G3930" s="1" t="str">
        <f>_xlfn.XLOOKUP(tblSales[[#This Row],[Product Code]],tblProducts[Code],tblProducts[Product / Service Name],"⚠ Unknown")</f>
        <v>Premium Basic T-shirt</v>
      </c>
      <c r="H3930" s="1" t="str">
        <f>_xlfn.XLOOKUP(tblSales[[#This Row],[Product Code]],tblProducts[Code],tblProducts[Category],"")</f>
        <v>Accessories &amp; Basics</v>
      </c>
      <c r="I3930" s="4">
        <v>1</v>
      </c>
      <c r="J3930" s="5">
        <f>_xlfn.XLOOKUP(tblSales[[#This Row],[Product Code]],tblProducts[Code],tblProducts[Selling Price (excl. VAT)],0)</f>
        <v>65000</v>
      </c>
      <c r="K3930" s="5">
        <f>tblSales[[#This Row],[Qty]]*tblSales[[#This Row],[Unit Price]]</f>
        <v>65000</v>
      </c>
      <c r="L3930" s="5">
        <f>ROUND(tblSales[[#This Row],[DPP (excl. VAT)]]*VATEff,0)</f>
        <v>7150</v>
      </c>
      <c r="M3930" s="5">
        <f>tblSales[[#This Row],[DPP (excl. VAT)]]+tblSales[[#This Row],[Output VAT]]</f>
        <v>72150</v>
      </c>
      <c r="N3930" s="5">
        <f>tblSales[[#This Row],[Qty]]*_xlfn.XLOOKUP(tblSales[[#This Row],[Product Code]],tblProducts[Code],tblProducts[Unit Cost],0)</f>
        <v>37000</v>
      </c>
      <c r="O3930" s="4" t="s">
        <v>4865</v>
      </c>
      <c r="P3930" s="4" t="s">
        <v>4860</v>
      </c>
      <c r="Q3930" s="1" t="str">
        <f>_xlfn.XLOOKUP(tblSales[[#This Row],[Channel Code]],tblChannels[Channel Code],tblChannels[Channel Name],"")</f>
        <v>In-store</v>
      </c>
      <c r="R3930" s="1">
        <f>MONTH(tblSales[[#This Row],[Date]])</f>
        <v>8</v>
      </c>
    </row>
    <row r="3931" spans="2:18" x14ac:dyDescent="0.35">
      <c r="B3931" s="113">
        <v>46257</v>
      </c>
      <c r="C3931" s="4" t="s">
        <v>2644</v>
      </c>
      <c r="D3931" s="4" t="s">
        <v>4568</v>
      </c>
      <c r="E3931" s="1" t="str">
        <f>_xlfn.XLOOKUP(tblSales[[#This Row],[Customer ID]],tblCustomers[Customer ID],tblCustomers[Customer Name],"⚠ Unknown")</f>
        <v>Walk-in Customer</v>
      </c>
      <c r="F3931" s="4" t="s">
        <v>14</v>
      </c>
      <c r="G3931" s="1" t="str">
        <f>_xlfn.XLOOKUP(tblSales[[#This Row],[Product Code]],tblProducts[Code],tblProducts[Product / Service Name],"⚠ Unknown")</f>
        <v>Smartwatch</v>
      </c>
      <c r="H3931" s="1" t="str">
        <f>_xlfn.XLOOKUP(tblSales[[#This Row],[Product Code]],tblProducts[Code],tblProducts[Category],"")</f>
        <v>Bags &amp; Gadgets</v>
      </c>
      <c r="I3931" s="4">
        <v>3</v>
      </c>
      <c r="J3931" s="5">
        <f>_xlfn.XLOOKUP(tblSales[[#This Row],[Product Code]],tblProducts[Code],tblProducts[Selling Price (excl. VAT)],0)</f>
        <v>850000</v>
      </c>
      <c r="K3931" s="5">
        <f>tblSales[[#This Row],[Qty]]*tblSales[[#This Row],[Unit Price]]</f>
        <v>2550000</v>
      </c>
      <c r="L3931" s="5">
        <f>ROUND(tblSales[[#This Row],[DPP (excl. VAT)]]*VATEff,0)</f>
        <v>280500</v>
      </c>
      <c r="M3931" s="5">
        <f>tblSales[[#This Row],[DPP (excl. VAT)]]+tblSales[[#This Row],[Output VAT]]</f>
        <v>2830500</v>
      </c>
      <c r="N3931" s="5">
        <f>tblSales[[#This Row],[Qty]]*_xlfn.XLOOKUP(tblSales[[#This Row],[Product Code]],tblProducts[Code],tblProducts[Unit Cost],0)</f>
        <v>1680000</v>
      </c>
      <c r="O3931" s="4" t="s">
        <v>4865</v>
      </c>
      <c r="P3931" s="4" t="s">
        <v>4860</v>
      </c>
      <c r="Q3931" s="1" t="str">
        <f>_xlfn.XLOOKUP(tblSales[[#This Row],[Channel Code]],tblChannels[Channel Code],tblChannels[Channel Name],"")</f>
        <v>In-store</v>
      </c>
      <c r="R3931" s="1">
        <f>MONTH(tblSales[[#This Row],[Date]])</f>
        <v>8</v>
      </c>
    </row>
    <row r="3932" spans="2:18" x14ac:dyDescent="0.35">
      <c r="B3932" s="113">
        <v>46257</v>
      </c>
      <c r="C3932" s="4" t="s">
        <v>2645</v>
      </c>
      <c r="D3932" s="4" t="s">
        <v>4568</v>
      </c>
      <c r="E3932" s="1" t="str">
        <f>_xlfn.XLOOKUP(tblSales[[#This Row],[Customer ID]],tblCustomers[Customer ID],tblCustomers[Customer Name],"⚠ Unknown")</f>
        <v>Walk-in Customer</v>
      </c>
      <c r="F3932" s="4" t="s">
        <v>7</v>
      </c>
      <c r="G3932" s="1" t="str">
        <f>_xlfn.XLOOKUP(tblSales[[#This Row],[Product Code]],tblProducts[Code],tblProducts[Product / Service Name],"⚠ Unknown")</f>
        <v>Premium Basic T-shirt</v>
      </c>
      <c r="H3932" s="1" t="str">
        <f>_xlfn.XLOOKUP(tblSales[[#This Row],[Product Code]],tblProducts[Code],tblProducts[Category],"")</f>
        <v>Accessories &amp; Basics</v>
      </c>
      <c r="I3932" s="4">
        <v>4</v>
      </c>
      <c r="J3932" s="5">
        <f>_xlfn.XLOOKUP(tblSales[[#This Row],[Product Code]],tblProducts[Code],tblProducts[Selling Price (excl. VAT)],0)</f>
        <v>65000</v>
      </c>
      <c r="K3932" s="5">
        <f>tblSales[[#This Row],[Qty]]*tblSales[[#This Row],[Unit Price]]</f>
        <v>260000</v>
      </c>
      <c r="L3932" s="5">
        <f>ROUND(tblSales[[#This Row],[DPP (excl. VAT)]]*VATEff,0)</f>
        <v>28600</v>
      </c>
      <c r="M3932" s="5">
        <f>tblSales[[#This Row],[DPP (excl. VAT)]]+tblSales[[#This Row],[Output VAT]]</f>
        <v>288600</v>
      </c>
      <c r="N3932" s="5">
        <f>tblSales[[#This Row],[Qty]]*_xlfn.XLOOKUP(tblSales[[#This Row],[Product Code]],tblProducts[Code],tblProducts[Unit Cost],0)</f>
        <v>148000</v>
      </c>
      <c r="O3932" s="4" t="s">
        <v>4866</v>
      </c>
      <c r="P3932" s="4" t="s">
        <v>4860</v>
      </c>
      <c r="Q3932" s="1" t="str">
        <f>_xlfn.XLOOKUP(tblSales[[#This Row],[Channel Code]],tblChannels[Channel Code],tblChannels[Channel Name],"")</f>
        <v>In-store</v>
      </c>
      <c r="R3932" s="1">
        <f>MONTH(tblSales[[#This Row],[Date]])</f>
        <v>8</v>
      </c>
    </row>
    <row r="3933" spans="2:18" x14ac:dyDescent="0.35">
      <c r="B3933" s="113">
        <v>46257</v>
      </c>
      <c r="C3933" s="4" t="s">
        <v>2645</v>
      </c>
      <c r="D3933" s="4" t="s">
        <v>4568</v>
      </c>
      <c r="E3933" s="1" t="str">
        <f>_xlfn.XLOOKUP(tblSales[[#This Row],[Customer ID]],tblCustomers[Customer ID],tblCustomers[Customer Name],"⚠ Unknown")</f>
        <v>Walk-in Customer</v>
      </c>
      <c r="F3933" s="4" t="s">
        <v>15</v>
      </c>
      <c r="G3933" s="1" t="str">
        <f>_xlfn.XLOOKUP(tblSales[[#This Row],[Product Code]],tblProducts[Code],tblProducts[Product / Service Name],"⚠ Unknown")</f>
        <v>Wireless Earbuds Pro</v>
      </c>
      <c r="H3933" s="1" t="str">
        <f>_xlfn.XLOOKUP(tblSales[[#This Row],[Product Code]],tblProducts[Code],tblProducts[Category],"")</f>
        <v>Bags &amp; Gadgets</v>
      </c>
      <c r="I3933" s="4">
        <v>3</v>
      </c>
      <c r="J3933" s="5">
        <f>_xlfn.XLOOKUP(tblSales[[#This Row],[Product Code]],tblProducts[Code],tblProducts[Selling Price (excl. VAT)],0)</f>
        <v>1250000</v>
      </c>
      <c r="K3933" s="5">
        <f>tblSales[[#This Row],[Qty]]*tblSales[[#This Row],[Unit Price]]</f>
        <v>3750000</v>
      </c>
      <c r="L3933" s="5">
        <f>ROUND(tblSales[[#This Row],[DPP (excl. VAT)]]*VATEff,0)</f>
        <v>412500</v>
      </c>
      <c r="M3933" s="5">
        <f>tblSales[[#This Row],[DPP (excl. VAT)]]+tblSales[[#This Row],[Output VAT]]</f>
        <v>4162500</v>
      </c>
      <c r="N3933" s="5">
        <f>tblSales[[#This Row],[Qty]]*_xlfn.XLOOKUP(tblSales[[#This Row],[Product Code]],tblProducts[Code],tblProducts[Unit Cost],0)</f>
        <v>2460000</v>
      </c>
      <c r="O3933" s="4" t="s">
        <v>4866</v>
      </c>
      <c r="P3933" s="4" t="s">
        <v>4860</v>
      </c>
      <c r="Q3933" s="1" t="str">
        <f>_xlfn.XLOOKUP(tblSales[[#This Row],[Channel Code]],tblChannels[Channel Code],tblChannels[Channel Name],"")</f>
        <v>In-store</v>
      </c>
      <c r="R3933" s="1">
        <f>MONTH(tblSales[[#This Row],[Date]])</f>
        <v>8</v>
      </c>
    </row>
    <row r="3934" spans="2:18" x14ac:dyDescent="0.35">
      <c r="B3934" s="113">
        <v>46257</v>
      </c>
      <c r="C3934" s="4" t="s">
        <v>2646</v>
      </c>
      <c r="D3934" s="4" t="s">
        <v>4568</v>
      </c>
      <c r="E3934" s="1" t="str">
        <f>_xlfn.XLOOKUP(tblSales[[#This Row],[Customer ID]],tblCustomers[Customer ID],tblCustomers[Customer Name],"⚠ Unknown")</f>
        <v>Walk-in Customer</v>
      </c>
      <c r="F3934" s="4" t="s">
        <v>6</v>
      </c>
      <c r="G3934" s="1" t="str">
        <f>_xlfn.XLOOKUP(tblSales[[#This Row],[Product Code]],tblProducts[Code],tblProducts[Product / Service Name],"⚠ Unknown")</f>
        <v>Socks &amp; Accessories</v>
      </c>
      <c r="H3934" s="1" t="str">
        <f>_xlfn.XLOOKUP(tblSales[[#This Row],[Product Code]],tblProducts[Code],tblProducts[Category],"")</f>
        <v>Accessories &amp; Basics</v>
      </c>
      <c r="I3934" s="4">
        <v>5</v>
      </c>
      <c r="J3934" s="5">
        <f>_xlfn.XLOOKUP(tblSales[[#This Row],[Product Code]],tblProducts[Code],tblProducts[Selling Price (excl. VAT)],0)</f>
        <v>45000</v>
      </c>
      <c r="K3934" s="5">
        <f>tblSales[[#This Row],[Qty]]*tblSales[[#This Row],[Unit Price]]</f>
        <v>225000</v>
      </c>
      <c r="L3934" s="5">
        <f>ROUND(tblSales[[#This Row],[DPP (excl. VAT)]]*VATEff,0)</f>
        <v>24750</v>
      </c>
      <c r="M3934" s="5">
        <f>tblSales[[#This Row],[DPP (excl. VAT)]]+tblSales[[#This Row],[Output VAT]]</f>
        <v>249750</v>
      </c>
      <c r="N3934" s="5">
        <f>tblSales[[#This Row],[Qty]]*_xlfn.XLOOKUP(tblSales[[#This Row],[Product Code]],tblProducts[Code],tblProducts[Unit Cost],0)</f>
        <v>120000</v>
      </c>
      <c r="O3934" s="4" t="s">
        <v>4865</v>
      </c>
      <c r="P3934" s="4" t="s">
        <v>4860</v>
      </c>
      <c r="Q3934" s="1" t="str">
        <f>_xlfn.XLOOKUP(tblSales[[#This Row],[Channel Code]],tblChannels[Channel Code],tblChannels[Channel Name],"")</f>
        <v>In-store</v>
      </c>
      <c r="R3934" s="1">
        <f>MONTH(tblSales[[#This Row],[Date]])</f>
        <v>8</v>
      </c>
    </row>
    <row r="3935" spans="2:18" x14ac:dyDescent="0.35">
      <c r="B3935" s="113">
        <v>46257</v>
      </c>
      <c r="C3935" s="4" t="s">
        <v>2646</v>
      </c>
      <c r="D3935" s="4" t="s">
        <v>4568</v>
      </c>
      <c r="E3935" s="1" t="str">
        <f>_xlfn.XLOOKUP(tblSales[[#This Row],[Customer ID]],tblCustomers[Customer ID],tblCustomers[Customer Name],"⚠ Unknown")</f>
        <v>Walk-in Customer</v>
      </c>
      <c r="F3935" s="4" t="s">
        <v>13</v>
      </c>
      <c r="G3935" s="1" t="str">
        <f>_xlfn.XLOOKUP(tblSales[[#This Row],[Product Code]],tblProducts[Code],tblProducts[Product / Service Name],"⚠ Unknown")</f>
        <v>Backpack</v>
      </c>
      <c r="H3935" s="1" t="str">
        <f>_xlfn.XLOOKUP(tblSales[[#This Row],[Product Code]],tblProducts[Code],tblProducts[Category],"")</f>
        <v>Bags &amp; Gadgets</v>
      </c>
      <c r="I3935" s="4">
        <v>4</v>
      </c>
      <c r="J3935" s="5">
        <f>_xlfn.XLOOKUP(tblSales[[#This Row],[Product Code]],tblProducts[Code],tblProducts[Selling Price (excl. VAT)],0)</f>
        <v>500000</v>
      </c>
      <c r="K3935" s="5">
        <f>tblSales[[#This Row],[Qty]]*tblSales[[#This Row],[Unit Price]]</f>
        <v>2000000</v>
      </c>
      <c r="L3935" s="5">
        <f>ROUND(tblSales[[#This Row],[DPP (excl. VAT)]]*VATEff,0)</f>
        <v>220000</v>
      </c>
      <c r="M3935" s="5">
        <f>tblSales[[#This Row],[DPP (excl. VAT)]]+tblSales[[#This Row],[Output VAT]]</f>
        <v>2220000</v>
      </c>
      <c r="N3935" s="5">
        <f>tblSales[[#This Row],[Qty]]*_xlfn.XLOOKUP(tblSales[[#This Row],[Product Code]],tblProducts[Code],tblProducts[Unit Cost],0)</f>
        <v>1160000</v>
      </c>
      <c r="O3935" s="4" t="s">
        <v>4865</v>
      </c>
      <c r="P3935" s="4" t="s">
        <v>4860</v>
      </c>
      <c r="Q3935" s="1" t="str">
        <f>_xlfn.XLOOKUP(tblSales[[#This Row],[Channel Code]],tblChannels[Channel Code],tblChannels[Channel Name],"")</f>
        <v>In-store</v>
      </c>
      <c r="R3935" s="1">
        <f>MONTH(tblSales[[#This Row],[Date]])</f>
        <v>8</v>
      </c>
    </row>
    <row r="3936" spans="2:18" x14ac:dyDescent="0.35">
      <c r="B3936" s="113">
        <v>46257</v>
      </c>
      <c r="C3936" s="4" t="s">
        <v>2646</v>
      </c>
      <c r="D3936" s="4" t="s">
        <v>4568</v>
      </c>
      <c r="E3936" s="1" t="str">
        <f>_xlfn.XLOOKUP(tblSales[[#This Row],[Customer ID]],tblCustomers[Customer ID],tblCustomers[Customer Name],"⚠ Unknown")</f>
        <v>Walk-in Customer</v>
      </c>
      <c r="F3936" s="4" t="s">
        <v>10</v>
      </c>
      <c r="G3936" s="1" t="str">
        <f>_xlfn.XLOOKUP(tblSales[[#This Row],[Product Code]],tblProducts[Code],tblProducts[Product / Service Name],"⚠ Unknown")</f>
        <v>Chino Pants</v>
      </c>
      <c r="H3936" s="1" t="str">
        <f>_xlfn.XLOOKUP(tblSales[[#This Row],[Product Code]],tblProducts[Code],tblProducts[Category],"")</f>
        <v>Apparel &amp; Footwear</v>
      </c>
      <c r="I3936" s="4">
        <v>5</v>
      </c>
      <c r="J3936" s="5">
        <f>_xlfn.XLOOKUP(tblSales[[#This Row],[Product Code]],tblProducts[Code],tblProducts[Selling Price (excl. VAT)],0)</f>
        <v>150000</v>
      </c>
      <c r="K3936" s="5">
        <f>tblSales[[#This Row],[Qty]]*tblSales[[#This Row],[Unit Price]]</f>
        <v>750000</v>
      </c>
      <c r="L3936" s="5">
        <f>ROUND(tblSales[[#This Row],[DPP (excl. VAT)]]*VATEff,0)</f>
        <v>82500</v>
      </c>
      <c r="M3936" s="5">
        <f>tblSales[[#This Row],[DPP (excl. VAT)]]+tblSales[[#This Row],[Output VAT]]</f>
        <v>832500</v>
      </c>
      <c r="N3936" s="5">
        <f>tblSales[[#This Row],[Qty]]*_xlfn.XLOOKUP(tblSales[[#This Row],[Product Code]],tblProducts[Code],tblProducts[Unit Cost],0)</f>
        <v>440000</v>
      </c>
      <c r="O3936" s="4" t="s">
        <v>4865</v>
      </c>
      <c r="P3936" s="4" t="s">
        <v>4860</v>
      </c>
      <c r="Q3936" s="1" t="str">
        <f>_xlfn.XLOOKUP(tblSales[[#This Row],[Channel Code]],tblChannels[Channel Code],tblChannels[Channel Name],"")</f>
        <v>In-store</v>
      </c>
      <c r="R3936" s="1">
        <f>MONTH(tblSales[[#This Row],[Date]])</f>
        <v>8</v>
      </c>
    </row>
    <row r="3937" spans="2:18" x14ac:dyDescent="0.35">
      <c r="B3937" s="113">
        <v>46257</v>
      </c>
      <c r="C3937" s="4" t="s">
        <v>2647</v>
      </c>
      <c r="D3937" s="4" t="s">
        <v>4568</v>
      </c>
      <c r="E3937" s="1" t="str">
        <f>_xlfn.XLOOKUP(tblSales[[#This Row],[Customer ID]],tblCustomers[Customer ID],tblCustomers[Customer Name],"⚠ Unknown")</f>
        <v>Walk-in Customer</v>
      </c>
      <c r="F3937" s="4" t="s">
        <v>7</v>
      </c>
      <c r="G3937" s="1" t="str">
        <f>_xlfn.XLOOKUP(tblSales[[#This Row],[Product Code]],tblProducts[Code],tblProducts[Product / Service Name],"⚠ Unknown")</f>
        <v>Premium Basic T-shirt</v>
      </c>
      <c r="H3937" s="1" t="str">
        <f>_xlfn.XLOOKUP(tblSales[[#This Row],[Product Code]],tblProducts[Code],tblProducts[Category],"")</f>
        <v>Accessories &amp; Basics</v>
      </c>
      <c r="I3937" s="4">
        <v>6</v>
      </c>
      <c r="J3937" s="5">
        <f>_xlfn.XLOOKUP(tblSales[[#This Row],[Product Code]],tblProducts[Code],tblProducts[Selling Price (excl. VAT)],0)</f>
        <v>65000</v>
      </c>
      <c r="K3937" s="5">
        <f>tblSales[[#This Row],[Qty]]*tblSales[[#This Row],[Unit Price]]</f>
        <v>390000</v>
      </c>
      <c r="L3937" s="5">
        <f>ROUND(tblSales[[#This Row],[DPP (excl. VAT)]]*VATEff,0)</f>
        <v>42900</v>
      </c>
      <c r="M3937" s="5">
        <f>tblSales[[#This Row],[DPP (excl. VAT)]]+tblSales[[#This Row],[Output VAT]]</f>
        <v>432900</v>
      </c>
      <c r="N3937" s="5">
        <f>tblSales[[#This Row],[Qty]]*_xlfn.XLOOKUP(tblSales[[#This Row],[Product Code]],tblProducts[Code],tblProducts[Unit Cost],0)</f>
        <v>222000</v>
      </c>
      <c r="O3937" s="4" t="s">
        <v>4865</v>
      </c>
      <c r="P3937" s="4" t="s">
        <v>4860</v>
      </c>
      <c r="Q3937" s="1" t="str">
        <f>_xlfn.XLOOKUP(tblSales[[#This Row],[Channel Code]],tblChannels[Channel Code],tblChannels[Channel Name],"")</f>
        <v>In-store</v>
      </c>
      <c r="R3937" s="1">
        <f>MONTH(tblSales[[#This Row],[Date]])</f>
        <v>8</v>
      </c>
    </row>
    <row r="3938" spans="2:18" x14ac:dyDescent="0.35">
      <c r="B3938" s="113">
        <v>46257</v>
      </c>
      <c r="C3938" s="4" t="s">
        <v>2647</v>
      </c>
      <c r="D3938" s="4" t="s">
        <v>4568</v>
      </c>
      <c r="E3938" s="1" t="str">
        <f>_xlfn.XLOOKUP(tblSales[[#This Row],[Customer ID]],tblCustomers[Customer ID],tblCustomers[Customer Name],"⚠ Unknown")</f>
        <v>Walk-in Customer</v>
      </c>
      <c r="F3938" s="4" t="s">
        <v>11</v>
      </c>
      <c r="G3938" s="1" t="str">
        <f>_xlfn.XLOOKUP(tblSales[[#This Row],[Product Code]],tblProducts[Code],tblProducts[Product / Service Name],"⚠ Unknown")</f>
        <v>Sneakers</v>
      </c>
      <c r="H3938" s="1" t="str">
        <f>_xlfn.XLOOKUP(tblSales[[#This Row],[Product Code]],tblProducts[Code],tblProducts[Category],"")</f>
        <v>Apparel &amp; Footwear</v>
      </c>
      <c r="I3938" s="4">
        <v>2</v>
      </c>
      <c r="J3938" s="5">
        <f>_xlfn.XLOOKUP(tblSales[[#This Row],[Product Code]],tblProducts[Code],tblProducts[Selling Price (excl. VAT)],0)</f>
        <v>250000</v>
      </c>
      <c r="K3938" s="5">
        <f>tblSales[[#This Row],[Qty]]*tblSales[[#This Row],[Unit Price]]</f>
        <v>500000</v>
      </c>
      <c r="L3938" s="5">
        <f>ROUND(tblSales[[#This Row],[DPP (excl. VAT)]]*VATEff,0)</f>
        <v>55000</v>
      </c>
      <c r="M3938" s="5">
        <f>tblSales[[#This Row],[DPP (excl. VAT)]]+tblSales[[#This Row],[Output VAT]]</f>
        <v>555000</v>
      </c>
      <c r="N3938" s="5">
        <f>tblSales[[#This Row],[Qty]]*_xlfn.XLOOKUP(tblSales[[#This Row],[Product Code]],tblProducts[Code],tblProducts[Unit Cost],0)</f>
        <v>310000</v>
      </c>
      <c r="O3938" s="4" t="s">
        <v>4865</v>
      </c>
      <c r="P3938" s="4" t="s">
        <v>4860</v>
      </c>
      <c r="Q3938" s="1" t="str">
        <f>_xlfn.XLOOKUP(tblSales[[#This Row],[Channel Code]],tblChannels[Channel Code],tblChannels[Channel Name],"")</f>
        <v>In-store</v>
      </c>
      <c r="R3938" s="1">
        <f>MONTH(tblSales[[#This Row],[Date]])</f>
        <v>8</v>
      </c>
    </row>
    <row r="3939" spans="2:18" x14ac:dyDescent="0.35">
      <c r="B3939" s="113">
        <v>46257</v>
      </c>
      <c r="C3939" s="4" t="s">
        <v>2647</v>
      </c>
      <c r="D3939" s="4" t="s">
        <v>4568</v>
      </c>
      <c r="E3939" s="1" t="str">
        <f>_xlfn.XLOOKUP(tblSales[[#This Row],[Customer ID]],tblCustomers[Customer ID],tblCustomers[Customer Name],"⚠ Unknown")</f>
        <v>Walk-in Customer</v>
      </c>
      <c r="F3939" s="4" t="s">
        <v>10</v>
      </c>
      <c r="G3939" s="1" t="str">
        <f>_xlfn.XLOOKUP(tblSales[[#This Row],[Product Code]],tblProducts[Code],tblProducts[Product / Service Name],"⚠ Unknown")</f>
        <v>Chino Pants</v>
      </c>
      <c r="H3939" s="1" t="str">
        <f>_xlfn.XLOOKUP(tblSales[[#This Row],[Product Code]],tblProducts[Code],tblProducts[Category],"")</f>
        <v>Apparel &amp; Footwear</v>
      </c>
      <c r="I3939" s="4">
        <v>10</v>
      </c>
      <c r="J3939" s="5">
        <f>_xlfn.XLOOKUP(tblSales[[#This Row],[Product Code]],tblProducts[Code],tblProducts[Selling Price (excl. VAT)],0)</f>
        <v>150000</v>
      </c>
      <c r="K3939" s="5">
        <f>tblSales[[#This Row],[Qty]]*tblSales[[#This Row],[Unit Price]]</f>
        <v>1500000</v>
      </c>
      <c r="L3939" s="5">
        <f>ROUND(tblSales[[#This Row],[DPP (excl. VAT)]]*VATEff,0)</f>
        <v>165000</v>
      </c>
      <c r="M3939" s="5">
        <f>tblSales[[#This Row],[DPP (excl. VAT)]]+tblSales[[#This Row],[Output VAT]]</f>
        <v>1665000</v>
      </c>
      <c r="N3939" s="5">
        <f>tblSales[[#This Row],[Qty]]*_xlfn.XLOOKUP(tblSales[[#This Row],[Product Code]],tblProducts[Code],tblProducts[Unit Cost],0)</f>
        <v>880000</v>
      </c>
      <c r="O3939" s="4" t="s">
        <v>4865</v>
      </c>
      <c r="P3939" s="4" t="s">
        <v>4860</v>
      </c>
      <c r="Q3939" s="1" t="str">
        <f>_xlfn.XLOOKUP(tblSales[[#This Row],[Channel Code]],tblChannels[Channel Code],tblChannels[Channel Name],"")</f>
        <v>In-store</v>
      </c>
      <c r="R3939" s="1">
        <f>MONTH(tblSales[[#This Row],[Date]])</f>
        <v>8</v>
      </c>
    </row>
    <row r="3940" spans="2:18" x14ac:dyDescent="0.35">
      <c r="B3940" s="113">
        <v>46257</v>
      </c>
      <c r="C3940" s="4" t="s">
        <v>2648</v>
      </c>
      <c r="D3940" s="4" t="s">
        <v>4568</v>
      </c>
      <c r="E3940" s="1" t="str">
        <f>_xlfn.XLOOKUP(tblSales[[#This Row],[Customer ID]],tblCustomers[Customer ID],tblCustomers[Customer Name],"⚠ Unknown")</f>
        <v>Walk-in Customer</v>
      </c>
      <c r="F3940" s="4" t="s">
        <v>10</v>
      </c>
      <c r="G3940" s="1" t="str">
        <f>_xlfn.XLOOKUP(tblSales[[#This Row],[Product Code]],tblProducts[Code],tblProducts[Product / Service Name],"⚠ Unknown")</f>
        <v>Chino Pants</v>
      </c>
      <c r="H3940" s="1" t="str">
        <f>_xlfn.XLOOKUP(tblSales[[#This Row],[Product Code]],tblProducts[Code],tblProducts[Category],"")</f>
        <v>Apparel &amp; Footwear</v>
      </c>
      <c r="I3940" s="4">
        <v>3</v>
      </c>
      <c r="J3940" s="5">
        <f>_xlfn.XLOOKUP(tblSales[[#This Row],[Product Code]],tblProducts[Code],tblProducts[Selling Price (excl. VAT)],0)</f>
        <v>150000</v>
      </c>
      <c r="K3940" s="5">
        <f>tblSales[[#This Row],[Qty]]*tblSales[[#This Row],[Unit Price]]</f>
        <v>450000</v>
      </c>
      <c r="L3940" s="5">
        <f>ROUND(tblSales[[#This Row],[DPP (excl. VAT)]]*VATEff,0)</f>
        <v>49500</v>
      </c>
      <c r="M3940" s="5">
        <f>tblSales[[#This Row],[DPP (excl. VAT)]]+tblSales[[#This Row],[Output VAT]]</f>
        <v>499500</v>
      </c>
      <c r="N3940" s="5">
        <f>tblSales[[#This Row],[Qty]]*_xlfn.XLOOKUP(tblSales[[#This Row],[Product Code]],tblProducts[Code],tblProducts[Unit Cost],0)</f>
        <v>264000</v>
      </c>
      <c r="O3940" s="4" t="s">
        <v>4865</v>
      </c>
      <c r="P3940" s="4" t="s">
        <v>4860</v>
      </c>
      <c r="Q3940" s="1" t="str">
        <f>_xlfn.XLOOKUP(tblSales[[#This Row],[Channel Code]],tblChannels[Channel Code],tblChannels[Channel Name],"")</f>
        <v>In-store</v>
      </c>
      <c r="R3940" s="1">
        <f>MONTH(tblSales[[#This Row],[Date]])</f>
        <v>8</v>
      </c>
    </row>
    <row r="3941" spans="2:18" x14ac:dyDescent="0.35">
      <c r="B3941" s="113">
        <v>46257</v>
      </c>
      <c r="C3941" s="4" t="s">
        <v>2648</v>
      </c>
      <c r="D3941" s="4" t="s">
        <v>4568</v>
      </c>
      <c r="E3941" s="1" t="str">
        <f>_xlfn.XLOOKUP(tblSales[[#This Row],[Customer ID]],tblCustomers[Customer ID],tblCustomers[Customer Name],"⚠ Unknown")</f>
        <v>Walk-in Customer</v>
      </c>
      <c r="F3941" s="4" t="s">
        <v>15</v>
      </c>
      <c r="G3941" s="1" t="str">
        <f>_xlfn.XLOOKUP(tblSales[[#This Row],[Product Code]],tblProducts[Code],tblProducts[Product / Service Name],"⚠ Unknown")</f>
        <v>Wireless Earbuds Pro</v>
      </c>
      <c r="H3941" s="1" t="str">
        <f>_xlfn.XLOOKUP(tblSales[[#This Row],[Product Code]],tblProducts[Code],tblProducts[Category],"")</f>
        <v>Bags &amp; Gadgets</v>
      </c>
      <c r="I3941" s="4">
        <v>3</v>
      </c>
      <c r="J3941" s="5">
        <f>_xlfn.XLOOKUP(tblSales[[#This Row],[Product Code]],tblProducts[Code],tblProducts[Selling Price (excl. VAT)],0)</f>
        <v>1250000</v>
      </c>
      <c r="K3941" s="5">
        <f>tblSales[[#This Row],[Qty]]*tblSales[[#This Row],[Unit Price]]</f>
        <v>3750000</v>
      </c>
      <c r="L3941" s="5">
        <f>ROUND(tblSales[[#This Row],[DPP (excl. VAT)]]*VATEff,0)</f>
        <v>412500</v>
      </c>
      <c r="M3941" s="5">
        <f>tblSales[[#This Row],[DPP (excl. VAT)]]+tblSales[[#This Row],[Output VAT]]</f>
        <v>4162500</v>
      </c>
      <c r="N3941" s="5">
        <f>tblSales[[#This Row],[Qty]]*_xlfn.XLOOKUP(tblSales[[#This Row],[Product Code]],tblProducts[Code],tblProducts[Unit Cost],0)</f>
        <v>2460000</v>
      </c>
      <c r="O3941" s="4" t="s">
        <v>4865</v>
      </c>
      <c r="P3941" s="4" t="s">
        <v>4860</v>
      </c>
      <c r="Q3941" s="1" t="str">
        <f>_xlfn.XLOOKUP(tblSales[[#This Row],[Channel Code]],tblChannels[Channel Code],tblChannels[Channel Name],"")</f>
        <v>In-store</v>
      </c>
      <c r="R3941" s="1">
        <f>MONTH(tblSales[[#This Row],[Date]])</f>
        <v>8</v>
      </c>
    </row>
    <row r="3942" spans="2:18" x14ac:dyDescent="0.35">
      <c r="B3942" s="113">
        <v>46257</v>
      </c>
      <c r="C3942" s="4" t="s">
        <v>2648</v>
      </c>
      <c r="D3942" s="4" t="s">
        <v>4568</v>
      </c>
      <c r="E3942" s="1" t="str">
        <f>_xlfn.XLOOKUP(tblSales[[#This Row],[Customer ID]],tblCustomers[Customer ID],tblCustomers[Customer Name],"⚠ Unknown")</f>
        <v>Walk-in Customer</v>
      </c>
      <c r="F3942" s="4" t="s">
        <v>11</v>
      </c>
      <c r="G3942" s="1" t="str">
        <f>_xlfn.XLOOKUP(tblSales[[#This Row],[Product Code]],tblProducts[Code],tblProducts[Product / Service Name],"⚠ Unknown")</f>
        <v>Sneakers</v>
      </c>
      <c r="H3942" s="1" t="str">
        <f>_xlfn.XLOOKUP(tblSales[[#This Row],[Product Code]],tblProducts[Code],tblProducts[Category],"")</f>
        <v>Apparel &amp; Footwear</v>
      </c>
      <c r="I3942" s="4">
        <v>3</v>
      </c>
      <c r="J3942" s="5">
        <f>_xlfn.XLOOKUP(tblSales[[#This Row],[Product Code]],tblProducts[Code],tblProducts[Selling Price (excl. VAT)],0)</f>
        <v>250000</v>
      </c>
      <c r="K3942" s="5">
        <f>tblSales[[#This Row],[Qty]]*tblSales[[#This Row],[Unit Price]]</f>
        <v>750000</v>
      </c>
      <c r="L3942" s="5">
        <f>ROUND(tblSales[[#This Row],[DPP (excl. VAT)]]*VATEff,0)</f>
        <v>82500</v>
      </c>
      <c r="M3942" s="5">
        <f>tblSales[[#This Row],[DPP (excl. VAT)]]+tblSales[[#This Row],[Output VAT]]</f>
        <v>832500</v>
      </c>
      <c r="N3942" s="5">
        <f>tblSales[[#This Row],[Qty]]*_xlfn.XLOOKUP(tblSales[[#This Row],[Product Code]],tblProducts[Code],tblProducts[Unit Cost],0)</f>
        <v>465000</v>
      </c>
      <c r="O3942" s="4" t="s">
        <v>4865</v>
      </c>
      <c r="P3942" s="4" t="s">
        <v>4860</v>
      </c>
      <c r="Q3942" s="1" t="str">
        <f>_xlfn.XLOOKUP(tblSales[[#This Row],[Channel Code]],tblChannels[Channel Code],tblChannels[Channel Name],"")</f>
        <v>In-store</v>
      </c>
      <c r="R3942" s="1">
        <f>MONTH(tblSales[[#This Row],[Date]])</f>
        <v>8</v>
      </c>
    </row>
    <row r="3943" spans="2:18" x14ac:dyDescent="0.35">
      <c r="B3943" s="113">
        <v>46257</v>
      </c>
      <c r="C3943" s="4" t="s">
        <v>2649</v>
      </c>
      <c r="D3943" s="4" t="s">
        <v>4568</v>
      </c>
      <c r="E3943" s="1" t="str">
        <f>_xlfn.XLOOKUP(tblSales[[#This Row],[Customer ID]],tblCustomers[Customer ID],tblCustomers[Customer Name],"⚠ Unknown")</f>
        <v>Walk-in Customer</v>
      </c>
      <c r="F3943" s="4" t="s">
        <v>6</v>
      </c>
      <c r="G3943" s="1" t="str">
        <f>_xlfn.XLOOKUP(tblSales[[#This Row],[Product Code]],tblProducts[Code],tblProducts[Product / Service Name],"⚠ Unknown")</f>
        <v>Socks &amp; Accessories</v>
      </c>
      <c r="H3943" s="1" t="str">
        <f>_xlfn.XLOOKUP(tblSales[[#This Row],[Product Code]],tblProducts[Code],tblProducts[Category],"")</f>
        <v>Accessories &amp; Basics</v>
      </c>
      <c r="I3943" s="4">
        <v>5</v>
      </c>
      <c r="J3943" s="5">
        <f>_xlfn.XLOOKUP(tblSales[[#This Row],[Product Code]],tblProducts[Code],tblProducts[Selling Price (excl. VAT)],0)</f>
        <v>45000</v>
      </c>
      <c r="K3943" s="5">
        <f>tblSales[[#This Row],[Qty]]*tblSales[[#This Row],[Unit Price]]</f>
        <v>225000</v>
      </c>
      <c r="L3943" s="5">
        <f>ROUND(tblSales[[#This Row],[DPP (excl. VAT)]]*VATEff,0)</f>
        <v>24750</v>
      </c>
      <c r="M3943" s="5">
        <f>tblSales[[#This Row],[DPP (excl. VAT)]]+tblSales[[#This Row],[Output VAT]]</f>
        <v>249750</v>
      </c>
      <c r="N3943" s="5">
        <f>tblSales[[#This Row],[Qty]]*_xlfn.XLOOKUP(tblSales[[#This Row],[Product Code]],tblProducts[Code],tblProducts[Unit Cost],0)</f>
        <v>120000</v>
      </c>
      <c r="O3943" s="4" t="s">
        <v>4865</v>
      </c>
      <c r="P3943" s="4" t="s">
        <v>4860</v>
      </c>
      <c r="Q3943" s="1" t="str">
        <f>_xlfn.XLOOKUP(tblSales[[#This Row],[Channel Code]],tblChannels[Channel Code],tblChannels[Channel Name],"")</f>
        <v>In-store</v>
      </c>
      <c r="R3943" s="1">
        <f>MONTH(tblSales[[#This Row],[Date]])</f>
        <v>8</v>
      </c>
    </row>
    <row r="3944" spans="2:18" x14ac:dyDescent="0.35">
      <c r="B3944" s="113">
        <v>46257</v>
      </c>
      <c r="C3944" s="4" t="s">
        <v>2649</v>
      </c>
      <c r="D3944" s="4" t="s">
        <v>4568</v>
      </c>
      <c r="E3944" s="1" t="str">
        <f>_xlfn.XLOOKUP(tblSales[[#This Row],[Customer ID]],tblCustomers[Customer ID],tblCustomers[Customer Name],"⚠ Unknown")</f>
        <v>Walk-in Customer</v>
      </c>
      <c r="F3944" s="4" t="s">
        <v>7</v>
      </c>
      <c r="G3944" s="1" t="str">
        <f>_xlfn.XLOOKUP(tblSales[[#This Row],[Product Code]],tblProducts[Code],tblProducts[Product / Service Name],"⚠ Unknown")</f>
        <v>Premium Basic T-shirt</v>
      </c>
      <c r="H3944" s="1" t="str">
        <f>_xlfn.XLOOKUP(tblSales[[#This Row],[Product Code]],tblProducts[Code],tblProducts[Category],"")</f>
        <v>Accessories &amp; Basics</v>
      </c>
      <c r="I3944" s="4">
        <v>9</v>
      </c>
      <c r="J3944" s="5">
        <f>_xlfn.XLOOKUP(tblSales[[#This Row],[Product Code]],tblProducts[Code],tblProducts[Selling Price (excl. VAT)],0)</f>
        <v>65000</v>
      </c>
      <c r="K3944" s="5">
        <f>tblSales[[#This Row],[Qty]]*tblSales[[#This Row],[Unit Price]]</f>
        <v>585000</v>
      </c>
      <c r="L3944" s="5">
        <f>ROUND(tblSales[[#This Row],[DPP (excl. VAT)]]*VATEff,0)</f>
        <v>64350</v>
      </c>
      <c r="M3944" s="5">
        <f>tblSales[[#This Row],[DPP (excl. VAT)]]+tblSales[[#This Row],[Output VAT]]</f>
        <v>649350</v>
      </c>
      <c r="N3944" s="5">
        <f>tblSales[[#This Row],[Qty]]*_xlfn.XLOOKUP(tblSales[[#This Row],[Product Code]],tblProducts[Code],tblProducts[Unit Cost],0)</f>
        <v>333000</v>
      </c>
      <c r="O3944" s="4" t="s">
        <v>4865</v>
      </c>
      <c r="P3944" s="4" t="s">
        <v>4860</v>
      </c>
      <c r="Q3944" s="1" t="str">
        <f>_xlfn.XLOOKUP(tblSales[[#This Row],[Channel Code]],tblChannels[Channel Code],tblChannels[Channel Name],"")</f>
        <v>In-store</v>
      </c>
      <c r="R3944" s="1">
        <f>MONTH(tblSales[[#This Row],[Date]])</f>
        <v>8</v>
      </c>
    </row>
    <row r="3945" spans="2:18" x14ac:dyDescent="0.35">
      <c r="B3945" s="113">
        <v>46257</v>
      </c>
      <c r="C3945" s="4" t="s">
        <v>2649</v>
      </c>
      <c r="D3945" s="4" t="s">
        <v>4568</v>
      </c>
      <c r="E3945" s="1" t="str">
        <f>_xlfn.XLOOKUP(tblSales[[#This Row],[Customer ID]],tblCustomers[Customer ID],tblCustomers[Customer Name],"⚠ Unknown")</f>
        <v>Walk-in Customer</v>
      </c>
      <c r="F3945" s="4" t="s">
        <v>10</v>
      </c>
      <c r="G3945" s="1" t="str">
        <f>_xlfn.XLOOKUP(tblSales[[#This Row],[Product Code]],tblProducts[Code],tblProducts[Product / Service Name],"⚠ Unknown")</f>
        <v>Chino Pants</v>
      </c>
      <c r="H3945" s="1" t="str">
        <f>_xlfn.XLOOKUP(tblSales[[#This Row],[Product Code]],tblProducts[Code],tblProducts[Category],"")</f>
        <v>Apparel &amp; Footwear</v>
      </c>
      <c r="I3945" s="4">
        <v>9</v>
      </c>
      <c r="J3945" s="5">
        <f>_xlfn.XLOOKUP(tblSales[[#This Row],[Product Code]],tblProducts[Code],tblProducts[Selling Price (excl. VAT)],0)</f>
        <v>150000</v>
      </c>
      <c r="K3945" s="5">
        <f>tblSales[[#This Row],[Qty]]*tblSales[[#This Row],[Unit Price]]</f>
        <v>1350000</v>
      </c>
      <c r="L3945" s="5">
        <f>ROUND(tblSales[[#This Row],[DPP (excl. VAT)]]*VATEff,0)</f>
        <v>148500</v>
      </c>
      <c r="M3945" s="5">
        <f>tblSales[[#This Row],[DPP (excl. VAT)]]+tblSales[[#This Row],[Output VAT]]</f>
        <v>1498500</v>
      </c>
      <c r="N3945" s="5">
        <f>tblSales[[#This Row],[Qty]]*_xlfn.XLOOKUP(tblSales[[#This Row],[Product Code]],tblProducts[Code],tblProducts[Unit Cost],0)</f>
        <v>792000</v>
      </c>
      <c r="O3945" s="4" t="s">
        <v>4865</v>
      </c>
      <c r="P3945" s="4" t="s">
        <v>4860</v>
      </c>
      <c r="Q3945" s="1" t="str">
        <f>_xlfn.XLOOKUP(tblSales[[#This Row],[Channel Code]],tblChannels[Channel Code],tblChannels[Channel Name],"")</f>
        <v>In-store</v>
      </c>
      <c r="R3945" s="1">
        <f>MONTH(tblSales[[#This Row],[Date]])</f>
        <v>8</v>
      </c>
    </row>
    <row r="3946" spans="2:18" x14ac:dyDescent="0.35">
      <c r="B3946" s="113">
        <v>46257</v>
      </c>
      <c r="C3946" s="4" t="s">
        <v>2650</v>
      </c>
      <c r="D3946" s="4" t="s">
        <v>4568</v>
      </c>
      <c r="E3946" s="1" t="str">
        <f>_xlfn.XLOOKUP(tblSales[[#This Row],[Customer ID]],tblCustomers[Customer ID],tblCustomers[Customer Name],"⚠ Unknown")</f>
        <v>Walk-in Customer</v>
      </c>
      <c r="F3946" s="4" t="s">
        <v>13</v>
      </c>
      <c r="G3946" s="1" t="str">
        <f>_xlfn.XLOOKUP(tblSales[[#This Row],[Product Code]],tblProducts[Code],tblProducts[Product / Service Name],"⚠ Unknown")</f>
        <v>Backpack</v>
      </c>
      <c r="H3946" s="1" t="str">
        <f>_xlfn.XLOOKUP(tblSales[[#This Row],[Product Code]],tblProducts[Code],tblProducts[Category],"")</f>
        <v>Bags &amp; Gadgets</v>
      </c>
      <c r="I3946" s="4">
        <v>2</v>
      </c>
      <c r="J3946" s="5">
        <f>_xlfn.XLOOKUP(tblSales[[#This Row],[Product Code]],tblProducts[Code],tblProducts[Selling Price (excl. VAT)],0)</f>
        <v>500000</v>
      </c>
      <c r="K3946" s="5">
        <f>tblSales[[#This Row],[Qty]]*tblSales[[#This Row],[Unit Price]]</f>
        <v>1000000</v>
      </c>
      <c r="L3946" s="5">
        <f>ROUND(tblSales[[#This Row],[DPP (excl. VAT)]]*VATEff,0)</f>
        <v>110000</v>
      </c>
      <c r="M3946" s="5">
        <f>tblSales[[#This Row],[DPP (excl. VAT)]]+tblSales[[#This Row],[Output VAT]]</f>
        <v>1110000</v>
      </c>
      <c r="N3946" s="5">
        <f>tblSales[[#This Row],[Qty]]*_xlfn.XLOOKUP(tblSales[[#This Row],[Product Code]],tblProducts[Code],tblProducts[Unit Cost],0)</f>
        <v>580000</v>
      </c>
      <c r="O3946" s="4" t="s">
        <v>4866</v>
      </c>
      <c r="P3946" s="4" t="s">
        <v>4861</v>
      </c>
      <c r="Q3946" s="1" t="str">
        <f>_xlfn.XLOOKUP(tblSales[[#This Row],[Channel Code]],tblChannels[Channel Code],tblChannels[Channel Name],"")</f>
        <v>Marketplace</v>
      </c>
      <c r="R3946" s="1">
        <f>MONTH(tblSales[[#This Row],[Date]])</f>
        <v>8</v>
      </c>
    </row>
    <row r="3947" spans="2:18" x14ac:dyDescent="0.35">
      <c r="B3947" s="113">
        <v>46257</v>
      </c>
      <c r="C3947" s="4" t="s">
        <v>2651</v>
      </c>
      <c r="D3947" s="4" t="s">
        <v>4568</v>
      </c>
      <c r="E3947" s="1" t="str">
        <f>_xlfn.XLOOKUP(tblSales[[#This Row],[Customer ID]],tblCustomers[Customer ID],tblCustomers[Customer Name],"⚠ Unknown")</f>
        <v>Walk-in Customer</v>
      </c>
      <c r="F3947" s="4" t="s">
        <v>11</v>
      </c>
      <c r="G3947" s="1" t="str">
        <f>_xlfn.XLOOKUP(tblSales[[#This Row],[Product Code]],tblProducts[Code],tblProducts[Product / Service Name],"⚠ Unknown")</f>
        <v>Sneakers</v>
      </c>
      <c r="H3947" s="1" t="str">
        <f>_xlfn.XLOOKUP(tblSales[[#This Row],[Product Code]],tblProducts[Code],tblProducts[Category],"")</f>
        <v>Apparel &amp; Footwear</v>
      </c>
      <c r="I3947" s="4">
        <v>3</v>
      </c>
      <c r="J3947" s="5">
        <f>_xlfn.XLOOKUP(tblSales[[#This Row],[Product Code]],tblProducts[Code],tblProducts[Selling Price (excl. VAT)],0)</f>
        <v>250000</v>
      </c>
      <c r="K3947" s="5">
        <f>tblSales[[#This Row],[Qty]]*tblSales[[#This Row],[Unit Price]]</f>
        <v>750000</v>
      </c>
      <c r="L3947" s="5">
        <f>ROUND(tblSales[[#This Row],[DPP (excl. VAT)]]*VATEff,0)</f>
        <v>82500</v>
      </c>
      <c r="M3947" s="5">
        <f>tblSales[[#This Row],[DPP (excl. VAT)]]+tblSales[[#This Row],[Output VAT]]</f>
        <v>832500</v>
      </c>
      <c r="N3947" s="5">
        <f>tblSales[[#This Row],[Qty]]*_xlfn.XLOOKUP(tblSales[[#This Row],[Product Code]],tblProducts[Code],tblProducts[Unit Cost],0)</f>
        <v>465000</v>
      </c>
      <c r="O3947" s="4" t="s">
        <v>4865</v>
      </c>
      <c r="P3947" s="4" t="s">
        <v>4860</v>
      </c>
      <c r="Q3947" s="1" t="str">
        <f>_xlfn.XLOOKUP(tblSales[[#This Row],[Channel Code]],tblChannels[Channel Code],tblChannels[Channel Name],"")</f>
        <v>In-store</v>
      </c>
      <c r="R3947" s="1">
        <f>MONTH(tblSales[[#This Row],[Date]])</f>
        <v>8</v>
      </c>
    </row>
    <row r="3948" spans="2:18" x14ac:dyDescent="0.35">
      <c r="B3948" s="113">
        <v>46257</v>
      </c>
      <c r="C3948" s="4" t="s">
        <v>2652</v>
      </c>
      <c r="D3948" s="4" t="s">
        <v>4568</v>
      </c>
      <c r="E3948" s="1" t="str">
        <f>_xlfn.XLOOKUP(tblSales[[#This Row],[Customer ID]],tblCustomers[Customer ID],tblCustomers[Customer Name],"⚠ Unknown")</f>
        <v>Walk-in Customer</v>
      </c>
      <c r="F3948" s="4" t="s">
        <v>8</v>
      </c>
      <c r="G3948" s="1" t="str">
        <f>_xlfn.XLOOKUP(tblSales[[#This Row],[Product Code]],tblProducts[Code],tblProducts[Product / Service Name],"⚠ Unknown")</f>
        <v>Casual Shorts</v>
      </c>
      <c r="H3948" s="1" t="str">
        <f>_xlfn.XLOOKUP(tblSales[[#This Row],[Product Code]],tblProducts[Code],tblProducts[Category],"")</f>
        <v>Accessories &amp; Basics</v>
      </c>
      <c r="I3948" s="4">
        <v>8</v>
      </c>
      <c r="J3948" s="5">
        <f>_xlfn.XLOOKUP(tblSales[[#This Row],[Product Code]],tblProducts[Code],tblProducts[Selling Price (excl. VAT)],0)</f>
        <v>85000</v>
      </c>
      <c r="K3948" s="5">
        <f>tblSales[[#This Row],[Qty]]*tblSales[[#This Row],[Unit Price]]</f>
        <v>680000</v>
      </c>
      <c r="L3948" s="5">
        <f>ROUND(tblSales[[#This Row],[DPP (excl. VAT)]]*VATEff,0)</f>
        <v>74800</v>
      </c>
      <c r="M3948" s="5">
        <f>tblSales[[#This Row],[DPP (excl. VAT)]]+tblSales[[#This Row],[Output VAT]]</f>
        <v>754800</v>
      </c>
      <c r="N3948" s="5">
        <f>tblSales[[#This Row],[Qty]]*_xlfn.XLOOKUP(tblSales[[#This Row],[Product Code]],tblProducts[Code],tblProducts[Unit Cost],0)</f>
        <v>400000</v>
      </c>
      <c r="O3948" s="4" t="s">
        <v>4865</v>
      </c>
      <c r="P3948" s="4" t="s">
        <v>4860</v>
      </c>
      <c r="Q3948" s="1" t="str">
        <f>_xlfn.XLOOKUP(tblSales[[#This Row],[Channel Code]],tblChannels[Channel Code],tblChannels[Channel Name],"")</f>
        <v>In-store</v>
      </c>
      <c r="R3948" s="1">
        <f>MONTH(tblSales[[#This Row],[Date]])</f>
        <v>8</v>
      </c>
    </row>
    <row r="3949" spans="2:18" x14ac:dyDescent="0.35">
      <c r="B3949" s="113">
        <v>46257</v>
      </c>
      <c r="C3949" s="4" t="s">
        <v>2652</v>
      </c>
      <c r="D3949" s="4" t="s">
        <v>4568</v>
      </c>
      <c r="E3949" s="1" t="str">
        <f>_xlfn.XLOOKUP(tblSales[[#This Row],[Customer ID]],tblCustomers[Customer ID],tblCustomers[Customer Name],"⚠ Unknown")</f>
        <v>Walk-in Customer</v>
      </c>
      <c r="F3949" s="4" t="s">
        <v>7</v>
      </c>
      <c r="G3949" s="1" t="str">
        <f>_xlfn.XLOOKUP(tblSales[[#This Row],[Product Code]],tblProducts[Code],tblProducts[Product / Service Name],"⚠ Unknown")</f>
        <v>Premium Basic T-shirt</v>
      </c>
      <c r="H3949" s="1" t="str">
        <f>_xlfn.XLOOKUP(tblSales[[#This Row],[Product Code]],tblProducts[Code],tblProducts[Category],"")</f>
        <v>Accessories &amp; Basics</v>
      </c>
      <c r="I3949" s="4">
        <v>3</v>
      </c>
      <c r="J3949" s="5">
        <f>_xlfn.XLOOKUP(tblSales[[#This Row],[Product Code]],tblProducts[Code],tblProducts[Selling Price (excl. VAT)],0)</f>
        <v>65000</v>
      </c>
      <c r="K3949" s="5">
        <f>tblSales[[#This Row],[Qty]]*tblSales[[#This Row],[Unit Price]]</f>
        <v>195000</v>
      </c>
      <c r="L3949" s="5">
        <f>ROUND(tblSales[[#This Row],[DPP (excl. VAT)]]*VATEff,0)</f>
        <v>21450</v>
      </c>
      <c r="M3949" s="5">
        <f>tblSales[[#This Row],[DPP (excl. VAT)]]+tblSales[[#This Row],[Output VAT]]</f>
        <v>216450</v>
      </c>
      <c r="N3949" s="5">
        <f>tblSales[[#This Row],[Qty]]*_xlfn.XLOOKUP(tblSales[[#This Row],[Product Code]],tblProducts[Code],tblProducts[Unit Cost],0)</f>
        <v>111000</v>
      </c>
      <c r="O3949" s="4" t="s">
        <v>4865</v>
      </c>
      <c r="P3949" s="4" t="s">
        <v>4860</v>
      </c>
      <c r="Q3949" s="1" t="str">
        <f>_xlfn.XLOOKUP(tblSales[[#This Row],[Channel Code]],tblChannels[Channel Code],tblChannels[Channel Name],"")</f>
        <v>In-store</v>
      </c>
      <c r="R3949" s="1">
        <f>MONTH(tblSales[[#This Row],[Date]])</f>
        <v>8</v>
      </c>
    </row>
    <row r="3950" spans="2:18" x14ac:dyDescent="0.35">
      <c r="B3950" s="113">
        <v>46257</v>
      </c>
      <c r="C3950" s="4" t="s">
        <v>2652</v>
      </c>
      <c r="D3950" s="4" t="s">
        <v>4568</v>
      </c>
      <c r="E3950" s="1" t="str">
        <f>_xlfn.XLOOKUP(tblSales[[#This Row],[Customer ID]],tblCustomers[Customer ID],tblCustomers[Customer Name],"⚠ Unknown")</f>
        <v>Walk-in Customer</v>
      </c>
      <c r="F3950" s="4" t="s">
        <v>12</v>
      </c>
      <c r="G3950" s="1" t="str">
        <f>_xlfn.XLOOKUP(tblSales[[#This Row],[Product Code]],tblProducts[Code],tblProducts[Product / Service Name],"⚠ Unknown")</f>
        <v>Bomber Jacket</v>
      </c>
      <c r="H3950" s="1" t="str">
        <f>_xlfn.XLOOKUP(tblSales[[#This Row],[Product Code]],tblProducts[Code],tblProducts[Category],"")</f>
        <v>Apparel &amp; Footwear</v>
      </c>
      <c r="I3950" s="4">
        <v>3</v>
      </c>
      <c r="J3950" s="5">
        <f>_xlfn.XLOOKUP(tblSales[[#This Row],[Product Code]],tblProducts[Code],tblProducts[Selling Price (excl. VAT)],0)</f>
        <v>350000</v>
      </c>
      <c r="K3950" s="5">
        <f>tblSales[[#This Row],[Qty]]*tblSales[[#This Row],[Unit Price]]</f>
        <v>1050000</v>
      </c>
      <c r="L3950" s="5">
        <f>ROUND(tblSales[[#This Row],[DPP (excl. VAT)]]*VATEff,0)</f>
        <v>115500</v>
      </c>
      <c r="M3950" s="5">
        <f>tblSales[[#This Row],[DPP (excl. VAT)]]+tblSales[[#This Row],[Output VAT]]</f>
        <v>1165500</v>
      </c>
      <c r="N3950" s="5">
        <f>tblSales[[#This Row],[Qty]]*_xlfn.XLOOKUP(tblSales[[#This Row],[Product Code]],tblProducts[Code],tblProducts[Unit Cost],0)</f>
        <v>630000</v>
      </c>
      <c r="O3950" s="4" t="s">
        <v>4865</v>
      </c>
      <c r="P3950" s="4" t="s">
        <v>4860</v>
      </c>
      <c r="Q3950" s="1" t="str">
        <f>_xlfn.XLOOKUP(tblSales[[#This Row],[Channel Code]],tblChannels[Channel Code],tblChannels[Channel Name],"")</f>
        <v>In-store</v>
      </c>
      <c r="R3950" s="1">
        <f>MONTH(tblSales[[#This Row],[Date]])</f>
        <v>8</v>
      </c>
    </row>
    <row r="3951" spans="2:18" x14ac:dyDescent="0.35">
      <c r="B3951" s="113">
        <v>46258</v>
      </c>
      <c r="C3951" s="4" t="s">
        <v>2653</v>
      </c>
      <c r="D3951" s="4" t="s">
        <v>4568</v>
      </c>
      <c r="E3951" s="1" t="str">
        <f>_xlfn.XLOOKUP(tblSales[[#This Row],[Customer ID]],tblCustomers[Customer ID],tblCustomers[Customer Name],"⚠ Unknown")</f>
        <v>Walk-in Customer</v>
      </c>
      <c r="F3951" s="4" t="s">
        <v>6</v>
      </c>
      <c r="G3951" s="1" t="str">
        <f>_xlfn.XLOOKUP(tblSales[[#This Row],[Product Code]],tblProducts[Code],tblProducts[Product / Service Name],"⚠ Unknown")</f>
        <v>Socks &amp; Accessories</v>
      </c>
      <c r="H3951" s="1" t="str">
        <f>_xlfn.XLOOKUP(tblSales[[#This Row],[Product Code]],tblProducts[Code],tblProducts[Category],"")</f>
        <v>Accessories &amp; Basics</v>
      </c>
      <c r="I3951" s="4">
        <v>9</v>
      </c>
      <c r="J3951" s="5">
        <f>_xlfn.XLOOKUP(tblSales[[#This Row],[Product Code]],tblProducts[Code],tblProducts[Selling Price (excl. VAT)],0)</f>
        <v>45000</v>
      </c>
      <c r="K3951" s="5">
        <f>tblSales[[#This Row],[Qty]]*tblSales[[#This Row],[Unit Price]]</f>
        <v>405000</v>
      </c>
      <c r="L3951" s="5">
        <f>ROUND(tblSales[[#This Row],[DPP (excl. VAT)]]*VATEff,0)</f>
        <v>44550</v>
      </c>
      <c r="M3951" s="5">
        <f>tblSales[[#This Row],[DPP (excl. VAT)]]+tblSales[[#This Row],[Output VAT]]</f>
        <v>449550</v>
      </c>
      <c r="N3951" s="5">
        <f>tblSales[[#This Row],[Qty]]*_xlfn.XLOOKUP(tblSales[[#This Row],[Product Code]],tblProducts[Code],tblProducts[Unit Cost],0)</f>
        <v>216000</v>
      </c>
      <c r="O3951" s="4" t="s">
        <v>4865</v>
      </c>
      <c r="P3951" s="4" t="s">
        <v>4860</v>
      </c>
      <c r="Q3951" s="1" t="str">
        <f>_xlfn.XLOOKUP(tblSales[[#This Row],[Channel Code]],tblChannels[Channel Code],tblChannels[Channel Name],"")</f>
        <v>In-store</v>
      </c>
      <c r="R3951" s="1">
        <f>MONTH(tblSales[[#This Row],[Date]])</f>
        <v>8</v>
      </c>
    </row>
    <row r="3952" spans="2:18" x14ac:dyDescent="0.35">
      <c r="B3952" s="113">
        <v>46258</v>
      </c>
      <c r="C3952" s="4" t="s">
        <v>2653</v>
      </c>
      <c r="D3952" s="4" t="s">
        <v>4568</v>
      </c>
      <c r="E3952" s="1" t="str">
        <f>_xlfn.XLOOKUP(tblSales[[#This Row],[Customer ID]],tblCustomers[Customer ID],tblCustomers[Customer Name],"⚠ Unknown")</f>
        <v>Walk-in Customer</v>
      </c>
      <c r="F3952" s="4" t="s">
        <v>7</v>
      </c>
      <c r="G3952" s="1" t="str">
        <f>_xlfn.XLOOKUP(tblSales[[#This Row],[Product Code]],tblProducts[Code],tblProducts[Product / Service Name],"⚠ Unknown")</f>
        <v>Premium Basic T-shirt</v>
      </c>
      <c r="H3952" s="1" t="str">
        <f>_xlfn.XLOOKUP(tblSales[[#This Row],[Product Code]],tblProducts[Code],tblProducts[Category],"")</f>
        <v>Accessories &amp; Basics</v>
      </c>
      <c r="I3952" s="4">
        <v>5</v>
      </c>
      <c r="J3952" s="5">
        <f>_xlfn.XLOOKUP(tblSales[[#This Row],[Product Code]],tblProducts[Code],tblProducts[Selling Price (excl. VAT)],0)</f>
        <v>65000</v>
      </c>
      <c r="K3952" s="5">
        <f>tblSales[[#This Row],[Qty]]*tblSales[[#This Row],[Unit Price]]</f>
        <v>325000</v>
      </c>
      <c r="L3952" s="5">
        <f>ROUND(tblSales[[#This Row],[DPP (excl. VAT)]]*VATEff,0)</f>
        <v>35750</v>
      </c>
      <c r="M3952" s="5">
        <f>tblSales[[#This Row],[DPP (excl. VAT)]]+tblSales[[#This Row],[Output VAT]]</f>
        <v>360750</v>
      </c>
      <c r="N3952" s="5">
        <f>tblSales[[#This Row],[Qty]]*_xlfn.XLOOKUP(tblSales[[#This Row],[Product Code]],tblProducts[Code],tblProducts[Unit Cost],0)</f>
        <v>185000</v>
      </c>
      <c r="O3952" s="4" t="s">
        <v>4865</v>
      </c>
      <c r="P3952" s="4" t="s">
        <v>4860</v>
      </c>
      <c r="Q3952" s="1" t="str">
        <f>_xlfn.XLOOKUP(tblSales[[#This Row],[Channel Code]],tblChannels[Channel Code],tblChannels[Channel Name],"")</f>
        <v>In-store</v>
      </c>
      <c r="R3952" s="1">
        <f>MONTH(tblSales[[#This Row],[Date]])</f>
        <v>8</v>
      </c>
    </row>
    <row r="3953" spans="2:18" x14ac:dyDescent="0.35">
      <c r="B3953" s="113">
        <v>46258</v>
      </c>
      <c r="C3953" s="4" t="s">
        <v>2653</v>
      </c>
      <c r="D3953" s="4" t="s">
        <v>4568</v>
      </c>
      <c r="E3953" s="1" t="str">
        <f>_xlfn.XLOOKUP(tblSales[[#This Row],[Customer ID]],tblCustomers[Customer ID],tblCustomers[Customer Name],"⚠ Unknown")</f>
        <v>Walk-in Customer</v>
      </c>
      <c r="F3953" s="4" t="s">
        <v>15</v>
      </c>
      <c r="G3953" s="1" t="str">
        <f>_xlfn.XLOOKUP(tblSales[[#This Row],[Product Code]],tblProducts[Code],tblProducts[Product / Service Name],"⚠ Unknown")</f>
        <v>Wireless Earbuds Pro</v>
      </c>
      <c r="H3953" s="1" t="str">
        <f>_xlfn.XLOOKUP(tblSales[[#This Row],[Product Code]],tblProducts[Code],tblProducts[Category],"")</f>
        <v>Bags &amp; Gadgets</v>
      </c>
      <c r="I3953" s="4">
        <v>3</v>
      </c>
      <c r="J3953" s="5">
        <f>_xlfn.XLOOKUP(tblSales[[#This Row],[Product Code]],tblProducts[Code],tblProducts[Selling Price (excl. VAT)],0)</f>
        <v>1250000</v>
      </c>
      <c r="K3953" s="5">
        <f>tblSales[[#This Row],[Qty]]*tblSales[[#This Row],[Unit Price]]</f>
        <v>3750000</v>
      </c>
      <c r="L3953" s="5">
        <f>ROUND(tblSales[[#This Row],[DPP (excl. VAT)]]*VATEff,0)</f>
        <v>412500</v>
      </c>
      <c r="M3953" s="5">
        <f>tblSales[[#This Row],[DPP (excl. VAT)]]+tblSales[[#This Row],[Output VAT]]</f>
        <v>4162500</v>
      </c>
      <c r="N3953" s="5">
        <f>tblSales[[#This Row],[Qty]]*_xlfn.XLOOKUP(tblSales[[#This Row],[Product Code]],tblProducts[Code],tblProducts[Unit Cost],0)</f>
        <v>2460000</v>
      </c>
      <c r="O3953" s="4" t="s">
        <v>4865</v>
      </c>
      <c r="P3953" s="4" t="s">
        <v>4860</v>
      </c>
      <c r="Q3953" s="1" t="str">
        <f>_xlfn.XLOOKUP(tblSales[[#This Row],[Channel Code]],tblChannels[Channel Code],tblChannels[Channel Name],"")</f>
        <v>In-store</v>
      </c>
      <c r="R3953" s="1">
        <f>MONTH(tblSales[[#This Row],[Date]])</f>
        <v>8</v>
      </c>
    </row>
    <row r="3954" spans="2:18" x14ac:dyDescent="0.35">
      <c r="B3954" s="113">
        <v>46258</v>
      </c>
      <c r="C3954" s="4" t="s">
        <v>2654</v>
      </c>
      <c r="D3954" s="4" t="s">
        <v>4641</v>
      </c>
      <c r="E3954" s="1" t="str">
        <f>_xlfn.XLOOKUP(tblSales[[#This Row],[Customer ID]],tblCustomers[Customer ID],tblCustomers[Customer Name],"⚠ Unknown")</f>
        <v>PT Harmoni Pangan Lestari</v>
      </c>
      <c r="F3954" s="4" t="s">
        <v>6</v>
      </c>
      <c r="G3954" s="1" t="str">
        <f>_xlfn.XLOOKUP(tblSales[[#This Row],[Product Code]],tblProducts[Code],tblProducts[Product / Service Name],"⚠ Unknown")</f>
        <v>Socks &amp; Accessories</v>
      </c>
      <c r="H3954" s="1" t="str">
        <f>_xlfn.XLOOKUP(tblSales[[#This Row],[Product Code]],tblProducts[Code],tblProducts[Category],"")</f>
        <v>Accessories &amp; Basics</v>
      </c>
      <c r="I3954" s="4">
        <v>80</v>
      </c>
      <c r="J3954" s="5">
        <f>_xlfn.XLOOKUP(tblSales[[#This Row],[Product Code]],tblProducts[Code],tblProducts[Selling Price (excl. VAT)],0)</f>
        <v>45000</v>
      </c>
      <c r="K3954" s="5">
        <f>tblSales[[#This Row],[Qty]]*tblSales[[#This Row],[Unit Price]]</f>
        <v>3600000</v>
      </c>
      <c r="L3954" s="5">
        <f>ROUND(tblSales[[#This Row],[DPP (excl. VAT)]]*VATEff,0)</f>
        <v>396000</v>
      </c>
      <c r="M3954" s="5">
        <f>tblSales[[#This Row],[DPP (excl. VAT)]]+tblSales[[#This Row],[Output VAT]]</f>
        <v>3996000</v>
      </c>
      <c r="N3954" s="5">
        <f>tblSales[[#This Row],[Qty]]*_xlfn.XLOOKUP(tblSales[[#This Row],[Product Code]],tblProducts[Code],tblProducts[Unit Cost],0)</f>
        <v>1920000</v>
      </c>
      <c r="O3954" s="4" t="s">
        <v>4867</v>
      </c>
      <c r="P3954" s="4" t="s">
        <v>4860</v>
      </c>
      <c r="Q3954" s="1" t="str">
        <f>_xlfn.XLOOKUP(tblSales[[#This Row],[Channel Code]],tblChannels[Channel Code],tblChannels[Channel Name],"")</f>
        <v>In-store</v>
      </c>
      <c r="R3954" s="1">
        <f>MONTH(tblSales[[#This Row],[Date]])</f>
        <v>8</v>
      </c>
    </row>
    <row r="3955" spans="2:18" x14ac:dyDescent="0.35">
      <c r="B3955" s="113">
        <v>46258</v>
      </c>
      <c r="C3955" s="4" t="s">
        <v>2655</v>
      </c>
      <c r="D3955" s="4" t="s">
        <v>4568</v>
      </c>
      <c r="E3955" s="1" t="str">
        <f>_xlfn.XLOOKUP(tblSales[[#This Row],[Customer ID]],tblCustomers[Customer ID],tblCustomers[Customer Name],"⚠ Unknown")</f>
        <v>Walk-in Customer</v>
      </c>
      <c r="F3955" s="4" t="s">
        <v>12</v>
      </c>
      <c r="G3955" s="1" t="str">
        <f>_xlfn.XLOOKUP(tblSales[[#This Row],[Product Code]],tblProducts[Code],tblProducts[Product / Service Name],"⚠ Unknown")</f>
        <v>Bomber Jacket</v>
      </c>
      <c r="H3955" s="1" t="str">
        <f>_xlfn.XLOOKUP(tblSales[[#This Row],[Product Code]],tblProducts[Code],tblProducts[Category],"")</f>
        <v>Apparel &amp; Footwear</v>
      </c>
      <c r="I3955" s="4">
        <v>1</v>
      </c>
      <c r="J3955" s="5">
        <f>_xlfn.XLOOKUP(tblSales[[#This Row],[Product Code]],tblProducts[Code],tblProducts[Selling Price (excl. VAT)],0)</f>
        <v>350000</v>
      </c>
      <c r="K3955" s="5">
        <f>tblSales[[#This Row],[Qty]]*tblSales[[#This Row],[Unit Price]]</f>
        <v>350000</v>
      </c>
      <c r="L3955" s="5">
        <f>ROUND(tblSales[[#This Row],[DPP (excl. VAT)]]*VATEff,0)</f>
        <v>38500</v>
      </c>
      <c r="M3955" s="5">
        <f>tblSales[[#This Row],[DPP (excl. VAT)]]+tblSales[[#This Row],[Output VAT]]</f>
        <v>388500</v>
      </c>
      <c r="N3955" s="5">
        <f>tblSales[[#This Row],[Qty]]*_xlfn.XLOOKUP(tblSales[[#This Row],[Product Code]],tblProducts[Code],tblProducts[Unit Cost],0)</f>
        <v>210000</v>
      </c>
      <c r="O3955" s="4" t="s">
        <v>4866</v>
      </c>
      <c r="P3955" s="4" t="s">
        <v>4861</v>
      </c>
      <c r="Q3955" s="1" t="str">
        <f>_xlfn.XLOOKUP(tblSales[[#This Row],[Channel Code]],tblChannels[Channel Code],tblChannels[Channel Name],"")</f>
        <v>Marketplace</v>
      </c>
      <c r="R3955" s="1">
        <f>MONTH(tblSales[[#This Row],[Date]])</f>
        <v>8</v>
      </c>
    </row>
    <row r="3956" spans="2:18" x14ac:dyDescent="0.35">
      <c r="B3956" s="113">
        <v>46258</v>
      </c>
      <c r="C3956" s="4" t="s">
        <v>2656</v>
      </c>
      <c r="D3956" s="4" t="s">
        <v>4568</v>
      </c>
      <c r="E3956" s="1" t="str">
        <f>_xlfn.XLOOKUP(tblSales[[#This Row],[Customer ID]],tblCustomers[Customer ID],tblCustomers[Customer Name],"⚠ Unknown")</f>
        <v>Walk-in Customer</v>
      </c>
      <c r="F3956" s="4" t="s">
        <v>13</v>
      </c>
      <c r="G3956" s="1" t="str">
        <f>_xlfn.XLOOKUP(tblSales[[#This Row],[Product Code]],tblProducts[Code],tblProducts[Product / Service Name],"⚠ Unknown")</f>
        <v>Backpack</v>
      </c>
      <c r="H3956" s="1" t="str">
        <f>_xlfn.XLOOKUP(tblSales[[#This Row],[Product Code]],tblProducts[Code],tblProducts[Category],"")</f>
        <v>Bags &amp; Gadgets</v>
      </c>
      <c r="I3956" s="4">
        <v>6</v>
      </c>
      <c r="J3956" s="5">
        <f>_xlfn.XLOOKUP(tblSales[[#This Row],[Product Code]],tblProducts[Code],tblProducts[Selling Price (excl. VAT)],0)</f>
        <v>500000</v>
      </c>
      <c r="K3956" s="5">
        <f>tblSales[[#This Row],[Qty]]*tblSales[[#This Row],[Unit Price]]</f>
        <v>3000000</v>
      </c>
      <c r="L3956" s="5">
        <f>ROUND(tblSales[[#This Row],[DPP (excl. VAT)]]*VATEff,0)</f>
        <v>330000</v>
      </c>
      <c r="M3956" s="5">
        <f>tblSales[[#This Row],[DPP (excl. VAT)]]+tblSales[[#This Row],[Output VAT]]</f>
        <v>3330000</v>
      </c>
      <c r="N3956" s="5">
        <f>tblSales[[#This Row],[Qty]]*_xlfn.XLOOKUP(tblSales[[#This Row],[Product Code]],tblProducts[Code],tblProducts[Unit Cost],0)</f>
        <v>1740000</v>
      </c>
      <c r="O3956" s="4" t="s">
        <v>4866</v>
      </c>
      <c r="P3956" s="4" t="s">
        <v>4860</v>
      </c>
      <c r="Q3956" s="1" t="str">
        <f>_xlfn.XLOOKUP(tblSales[[#This Row],[Channel Code]],tblChannels[Channel Code],tblChannels[Channel Name],"")</f>
        <v>In-store</v>
      </c>
      <c r="R3956" s="1">
        <f>MONTH(tblSales[[#This Row],[Date]])</f>
        <v>8</v>
      </c>
    </row>
    <row r="3957" spans="2:18" x14ac:dyDescent="0.35">
      <c r="B3957" s="113">
        <v>46258</v>
      </c>
      <c r="C3957" s="4" t="s">
        <v>2657</v>
      </c>
      <c r="D3957" s="4" t="s">
        <v>4568</v>
      </c>
      <c r="E3957" s="1" t="str">
        <f>_xlfn.XLOOKUP(tblSales[[#This Row],[Customer ID]],tblCustomers[Customer ID],tblCustomers[Customer Name],"⚠ Unknown")</f>
        <v>Walk-in Customer</v>
      </c>
      <c r="F3957" s="4" t="s">
        <v>15</v>
      </c>
      <c r="G3957" s="1" t="str">
        <f>_xlfn.XLOOKUP(tblSales[[#This Row],[Product Code]],tblProducts[Code],tblProducts[Product / Service Name],"⚠ Unknown")</f>
        <v>Wireless Earbuds Pro</v>
      </c>
      <c r="H3957" s="1" t="str">
        <f>_xlfn.XLOOKUP(tblSales[[#This Row],[Product Code]],tblProducts[Code],tblProducts[Category],"")</f>
        <v>Bags &amp; Gadgets</v>
      </c>
      <c r="I3957" s="4">
        <v>3</v>
      </c>
      <c r="J3957" s="5">
        <f>_xlfn.XLOOKUP(tblSales[[#This Row],[Product Code]],tblProducts[Code],tblProducts[Selling Price (excl. VAT)],0)</f>
        <v>1250000</v>
      </c>
      <c r="K3957" s="5">
        <f>tblSales[[#This Row],[Qty]]*tblSales[[#This Row],[Unit Price]]</f>
        <v>3750000</v>
      </c>
      <c r="L3957" s="5">
        <f>ROUND(tblSales[[#This Row],[DPP (excl. VAT)]]*VATEff,0)</f>
        <v>412500</v>
      </c>
      <c r="M3957" s="5">
        <f>tblSales[[#This Row],[DPP (excl. VAT)]]+tblSales[[#This Row],[Output VAT]]</f>
        <v>4162500</v>
      </c>
      <c r="N3957" s="5">
        <f>tblSales[[#This Row],[Qty]]*_xlfn.XLOOKUP(tblSales[[#This Row],[Product Code]],tblProducts[Code],tblProducts[Unit Cost],0)</f>
        <v>2460000</v>
      </c>
      <c r="O3957" s="4" t="s">
        <v>4866</v>
      </c>
      <c r="P3957" s="4" t="s">
        <v>4860</v>
      </c>
      <c r="Q3957" s="1" t="str">
        <f>_xlfn.XLOOKUP(tblSales[[#This Row],[Channel Code]],tblChannels[Channel Code],tblChannels[Channel Name],"")</f>
        <v>In-store</v>
      </c>
      <c r="R3957" s="1">
        <f>MONTH(tblSales[[#This Row],[Date]])</f>
        <v>8</v>
      </c>
    </row>
    <row r="3958" spans="2:18" x14ac:dyDescent="0.35">
      <c r="B3958" s="113">
        <v>46258</v>
      </c>
      <c r="C3958" s="4" t="s">
        <v>2658</v>
      </c>
      <c r="D3958" s="4" t="s">
        <v>4568</v>
      </c>
      <c r="E3958" s="1" t="str">
        <f>_xlfn.XLOOKUP(tblSales[[#This Row],[Customer ID]],tblCustomers[Customer ID],tblCustomers[Customer Name],"⚠ Unknown")</f>
        <v>Walk-in Customer</v>
      </c>
      <c r="F3958" s="4" t="s">
        <v>7</v>
      </c>
      <c r="G3958" s="1" t="str">
        <f>_xlfn.XLOOKUP(tblSales[[#This Row],[Product Code]],tblProducts[Code],tblProducts[Product / Service Name],"⚠ Unknown")</f>
        <v>Premium Basic T-shirt</v>
      </c>
      <c r="H3958" s="1" t="str">
        <f>_xlfn.XLOOKUP(tblSales[[#This Row],[Product Code]],tblProducts[Code],tblProducts[Category],"")</f>
        <v>Accessories &amp; Basics</v>
      </c>
      <c r="I3958" s="4">
        <v>9</v>
      </c>
      <c r="J3958" s="5">
        <f>_xlfn.XLOOKUP(tblSales[[#This Row],[Product Code]],tblProducts[Code],tblProducts[Selling Price (excl. VAT)],0)</f>
        <v>65000</v>
      </c>
      <c r="K3958" s="5">
        <f>tblSales[[#This Row],[Qty]]*tblSales[[#This Row],[Unit Price]]</f>
        <v>585000</v>
      </c>
      <c r="L3958" s="5">
        <f>ROUND(tblSales[[#This Row],[DPP (excl. VAT)]]*VATEff,0)</f>
        <v>64350</v>
      </c>
      <c r="M3958" s="5">
        <f>tblSales[[#This Row],[DPP (excl. VAT)]]+tblSales[[#This Row],[Output VAT]]</f>
        <v>649350</v>
      </c>
      <c r="N3958" s="5">
        <f>tblSales[[#This Row],[Qty]]*_xlfn.XLOOKUP(tblSales[[#This Row],[Product Code]],tblProducts[Code],tblProducts[Unit Cost],0)</f>
        <v>333000</v>
      </c>
      <c r="O3958" s="4" t="s">
        <v>4866</v>
      </c>
      <c r="P3958" s="4" t="s">
        <v>4860</v>
      </c>
      <c r="Q3958" s="1" t="str">
        <f>_xlfn.XLOOKUP(tblSales[[#This Row],[Channel Code]],tblChannels[Channel Code],tblChannels[Channel Name],"")</f>
        <v>In-store</v>
      </c>
      <c r="R3958" s="1">
        <f>MONTH(tblSales[[#This Row],[Date]])</f>
        <v>8</v>
      </c>
    </row>
    <row r="3959" spans="2:18" x14ac:dyDescent="0.35">
      <c r="B3959" s="113">
        <v>46258</v>
      </c>
      <c r="C3959" s="4" t="s">
        <v>2659</v>
      </c>
      <c r="D3959" s="4" t="s">
        <v>4568</v>
      </c>
      <c r="E3959" s="1" t="str">
        <f>_xlfn.XLOOKUP(tblSales[[#This Row],[Customer ID]],tblCustomers[Customer ID],tblCustomers[Customer Name],"⚠ Unknown")</f>
        <v>Walk-in Customer</v>
      </c>
      <c r="F3959" s="4" t="s">
        <v>6</v>
      </c>
      <c r="G3959" s="1" t="str">
        <f>_xlfn.XLOOKUP(tblSales[[#This Row],[Product Code]],tblProducts[Code],tblProducts[Product / Service Name],"⚠ Unknown")</f>
        <v>Socks &amp; Accessories</v>
      </c>
      <c r="H3959" s="1" t="str">
        <f>_xlfn.XLOOKUP(tblSales[[#This Row],[Product Code]],tblProducts[Code],tblProducts[Category],"")</f>
        <v>Accessories &amp; Basics</v>
      </c>
      <c r="I3959" s="4">
        <v>8</v>
      </c>
      <c r="J3959" s="5">
        <f>_xlfn.XLOOKUP(tblSales[[#This Row],[Product Code]],tblProducts[Code],tblProducts[Selling Price (excl. VAT)],0)</f>
        <v>45000</v>
      </c>
      <c r="K3959" s="5">
        <f>tblSales[[#This Row],[Qty]]*tblSales[[#This Row],[Unit Price]]</f>
        <v>360000</v>
      </c>
      <c r="L3959" s="5">
        <f>ROUND(tblSales[[#This Row],[DPP (excl. VAT)]]*VATEff,0)</f>
        <v>39600</v>
      </c>
      <c r="M3959" s="5">
        <f>tblSales[[#This Row],[DPP (excl. VAT)]]+tblSales[[#This Row],[Output VAT]]</f>
        <v>399600</v>
      </c>
      <c r="N3959" s="5">
        <f>tblSales[[#This Row],[Qty]]*_xlfn.XLOOKUP(tblSales[[#This Row],[Product Code]],tblProducts[Code],tblProducts[Unit Cost],0)</f>
        <v>192000</v>
      </c>
      <c r="O3959" s="4" t="s">
        <v>4866</v>
      </c>
      <c r="P3959" s="4" t="s">
        <v>4860</v>
      </c>
      <c r="Q3959" s="1" t="str">
        <f>_xlfn.XLOOKUP(tblSales[[#This Row],[Channel Code]],tblChannels[Channel Code],tblChannels[Channel Name],"")</f>
        <v>In-store</v>
      </c>
      <c r="R3959" s="1">
        <f>MONTH(tblSales[[#This Row],[Date]])</f>
        <v>8</v>
      </c>
    </row>
    <row r="3960" spans="2:18" x14ac:dyDescent="0.35">
      <c r="B3960" s="113">
        <v>46258</v>
      </c>
      <c r="C3960" s="4" t="s">
        <v>2659</v>
      </c>
      <c r="D3960" s="4" t="s">
        <v>4568</v>
      </c>
      <c r="E3960" s="1" t="str">
        <f>_xlfn.XLOOKUP(tblSales[[#This Row],[Customer ID]],tblCustomers[Customer ID],tblCustomers[Customer Name],"⚠ Unknown")</f>
        <v>Walk-in Customer</v>
      </c>
      <c r="F3960" s="4" t="s">
        <v>7</v>
      </c>
      <c r="G3960" s="1" t="str">
        <f>_xlfn.XLOOKUP(tblSales[[#This Row],[Product Code]],tblProducts[Code],tblProducts[Product / Service Name],"⚠ Unknown")</f>
        <v>Premium Basic T-shirt</v>
      </c>
      <c r="H3960" s="1" t="str">
        <f>_xlfn.XLOOKUP(tblSales[[#This Row],[Product Code]],tblProducts[Code],tblProducts[Category],"")</f>
        <v>Accessories &amp; Basics</v>
      </c>
      <c r="I3960" s="4">
        <v>1</v>
      </c>
      <c r="J3960" s="5">
        <f>_xlfn.XLOOKUP(tblSales[[#This Row],[Product Code]],tblProducts[Code],tblProducts[Selling Price (excl. VAT)],0)</f>
        <v>65000</v>
      </c>
      <c r="K3960" s="5">
        <f>tblSales[[#This Row],[Qty]]*tblSales[[#This Row],[Unit Price]]</f>
        <v>65000</v>
      </c>
      <c r="L3960" s="5">
        <f>ROUND(tblSales[[#This Row],[DPP (excl. VAT)]]*VATEff,0)</f>
        <v>7150</v>
      </c>
      <c r="M3960" s="5">
        <f>tblSales[[#This Row],[DPP (excl. VAT)]]+tblSales[[#This Row],[Output VAT]]</f>
        <v>72150</v>
      </c>
      <c r="N3960" s="5">
        <f>tblSales[[#This Row],[Qty]]*_xlfn.XLOOKUP(tblSales[[#This Row],[Product Code]],tblProducts[Code],tblProducts[Unit Cost],0)</f>
        <v>37000</v>
      </c>
      <c r="O3960" s="4" t="s">
        <v>4866</v>
      </c>
      <c r="P3960" s="4" t="s">
        <v>4860</v>
      </c>
      <c r="Q3960" s="1" t="str">
        <f>_xlfn.XLOOKUP(tblSales[[#This Row],[Channel Code]],tblChannels[Channel Code],tblChannels[Channel Name],"")</f>
        <v>In-store</v>
      </c>
      <c r="R3960" s="1">
        <f>MONTH(tblSales[[#This Row],[Date]])</f>
        <v>8</v>
      </c>
    </row>
    <row r="3961" spans="2:18" x14ac:dyDescent="0.35">
      <c r="B3961" s="113">
        <v>46258</v>
      </c>
      <c r="C3961" s="4" t="s">
        <v>2660</v>
      </c>
      <c r="D3961" s="4" t="s">
        <v>4568</v>
      </c>
      <c r="E3961" s="1" t="str">
        <f>_xlfn.XLOOKUP(tblSales[[#This Row],[Customer ID]],tblCustomers[Customer ID],tblCustomers[Customer Name],"⚠ Unknown")</f>
        <v>Walk-in Customer</v>
      </c>
      <c r="F3961" s="4" t="s">
        <v>9</v>
      </c>
      <c r="G3961" s="1" t="str">
        <f>_xlfn.XLOOKUP(tblSales[[#This Row],[Product Code]],tblProducts[Code],tblProducts[Product / Service Name],"⚠ Unknown")</f>
        <v>Casual Shirt</v>
      </c>
      <c r="H3961" s="1" t="str">
        <f>_xlfn.XLOOKUP(tblSales[[#This Row],[Product Code]],tblProducts[Code],tblProducts[Category],"")</f>
        <v>Apparel &amp; Footwear</v>
      </c>
      <c r="I3961" s="4">
        <v>8</v>
      </c>
      <c r="J3961" s="5">
        <f>_xlfn.XLOOKUP(tblSales[[#This Row],[Product Code]],tblProducts[Code],tblProducts[Selling Price (excl. VAT)],0)</f>
        <v>120000</v>
      </c>
      <c r="K3961" s="5">
        <f>tblSales[[#This Row],[Qty]]*tblSales[[#This Row],[Unit Price]]</f>
        <v>960000</v>
      </c>
      <c r="L3961" s="5">
        <f>ROUND(tblSales[[#This Row],[DPP (excl. VAT)]]*VATEff,0)</f>
        <v>105600</v>
      </c>
      <c r="M3961" s="5">
        <f>tblSales[[#This Row],[DPP (excl. VAT)]]+tblSales[[#This Row],[Output VAT]]</f>
        <v>1065600</v>
      </c>
      <c r="N3961" s="5">
        <f>tblSales[[#This Row],[Qty]]*_xlfn.XLOOKUP(tblSales[[#This Row],[Product Code]],tblProducts[Code],tblProducts[Unit Cost],0)</f>
        <v>576000</v>
      </c>
      <c r="O3961" s="4" t="s">
        <v>4865</v>
      </c>
      <c r="P3961" s="4" t="s">
        <v>4860</v>
      </c>
      <c r="Q3961" s="1" t="str">
        <f>_xlfn.XLOOKUP(tblSales[[#This Row],[Channel Code]],tblChannels[Channel Code],tblChannels[Channel Name],"")</f>
        <v>In-store</v>
      </c>
      <c r="R3961" s="1">
        <f>MONTH(tblSales[[#This Row],[Date]])</f>
        <v>8</v>
      </c>
    </row>
    <row r="3962" spans="2:18" x14ac:dyDescent="0.35">
      <c r="B3962" s="113">
        <v>46258</v>
      </c>
      <c r="C3962" s="4" t="s">
        <v>2660</v>
      </c>
      <c r="D3962" s="4" t="s">
        <v>4568</v>
      </c>
      <c r="E3962" s="1" t="str">
        <f>_xlfn.XLOOKUP(tblSales[[#This Row],[Customer ID]],tblCustomers[Customer ID],tblCustomers[Customer Name],"⚠ Unknown")</f>
        <v>Walk-in Customer</v>
      </c>
      <c r="F3962" s="4" t="s">
        <v>11</v>
      </c>
      <c r="G3962" s="1" t="str">
        <f>_xlfn.XLOOKUP(tblSales[[#This Row],[Product Code]],tblProducts[Code],tblProducts[Product / Service Name],"⚠ Unknown")</f>
        <v>Sneakers</v>
      </c>
      <c r="H3962" s="1" t="str">
        <f>_xlfn.XLOOKUP(tblSales[[#This Row],[Product Code]],tblProducts[Code],tblProducts[Category],"")</f>
        <v>Apparel &amp; Footwear</v>
      </c>
      <c r="I3962" s="4">
        <v>6</v>
      </c>
      <c r="J3962" s="5">
        <f>_xlfn.XLOOKUP(tblSales[[#This Row],[Product Code]],tblProducts[Code],tblProducts[Selling Price (excl. VAT)],0)</f>
        <v>250000</v>
      </c>
      <c r="K3962" s="5">
        <f>tblSales[[#This Row],[Qty]]*tblSales[[#This Row],[Unit Price]]</f>
        <v>1500000</v>
      </c>
      <c r="L3962" s="5">
        <f>ROUND(tblSales[[#This Row],[DPP (excl. VAT)]]*VATEff,0)</f>
        <v>165000</v>
      </c>
      <c r="M3962" s="5">
        <f>tblSales[[#This Row],[DPP (excl. VAT)]]+tblSales[[#This Row],[Output VAT]]</f>
        <v>1665000</v>
      </c>
      <c r="N3962" s="5">
        <f>tblSales[[#This Row],[Qty]]*_xlfn.XLOOKUP(tblSales[[#This Row],[Product Code]],tblProducts[Code],tblProducts[Unit Cost],0)</f>
        <v>930000</v>
      </c>
      <c r="O3962" s="4" t="s">
        <v>4865</v>
      </c>
      <c r="P3962" s="4" t="s">
        <v>4860</v>
      </c>
      <c r="Q3962" s="1" t="str">
        <f>_xlfn.XLOOKUP(tblSales[[#This Row],[Channel Code]],tblChannels[Channel Code],tblChannels[Channel Name],"")</f>
        <v>In-store</v>
      </c>
      <c r="R3962" s="1">
        <f>MONTH(tblSales[[#This Row],[Date]])</f>
        <v>8</v>
      </c>
    </row>
    <row r="3963" spans="2:18" x14ac:dyDescent="0.35">
      <c r="B3963" s="113">
        <v>46258</v>
      </c>
      <c r="C3963" s="4" t="s">
        <v>2661</v>
      </c>
      <c r="D3963" s="4" t="s">
        <v>4613</v>
      </c>
      <c r="E3963" s="1" t="str">
        <f>_xlfn.XLOOKUP(tblSales[[#This Row],[Customer ID]],tblCustomers[Customer ID],tblCustomers[Customer Name],"⚠ Unknown")</f>
        <v>PT Mega Prima Distribusi</v>
      </c>
      <c r="F3963" s="4" t="s">
        <v>7</v>
      </c>
      <c r="G3963" s="1" t="str">
        <f>_xlfn.XLOOKUP(tblSales[[#This Row],[Product Code]],tblProducts[Code],tblProducts[Product / Service Name],"⚠ Unknown")</f>
        <v>Premium Basic T-shirt</v>
      </c>
      <c r="H3963" s="1" t="str">
        <f>_xlfn.XLOOKUP(tblSales[[#This Row],[Product Code]],tblProducts[Code],tblProducts[Category],"")</f>
        <v>Accessories &amp; Basics</v>
      </c>
      <c r="I3963" s="4">
        <v>40</v>
      </c>
      <c r="J3963" s="5">
        <f>_xlfn.XLOOKUP(tblSales[[#This Row],[Product Code]],tblProducts[Code],tblProducts[Selling Price (excl. VAT)],0)</f>
        <v>65000</v>
      </c>
      <c r="K3963" s="5">
        <f>tblSales[[#This Row],[Qty]]*tblSales[[#This Row],[Unit Price]]</f>
        <v>2600000</v>
      </c>
      <c r="L3963" s="5">
        <f>ROUND(tblSales[[#This Row],[DPP (excl. VAT)]]*VATEff,0)</f>
        <v>286000</v>
      </c>
      <c r="M3963" s="5">
        <f>tblSales[[#This Row],[DPP (excl. VAT)]]+tblSales[[#This Row],[Output VAT]]</f>
        <v>2886000</v>
      </c>
      <c r="N3963" s="5">
        <f>tblSales[[#This Row],[Qty]]*_xlfn.XLOOKUP(tblSales[[#This Row],[Product Code]],tblProducts[Code],tblProducts[Unit Cost],0)</f>
        <v>1480000</v>
      </c>
      <c r="O3963" s="4" t="s">
        <v>4867</v>
      </c>
      <c r="P3963" s="4" t="s">
        <v>4860</v>
      </c>
      <c r="Q3963" s="1" t="str">
        <f>_xlfn.XLOOKUP(tblSales[[#This Row],[Channel Code]],tblChannels[Channel Code],tblChannels[Channel Name],"")</f>
        <v>In-store</v>
      </c>
      <c r="R3963" s="1">
        <f>MONTH(tblSales[[#This Row],[Date]])</f>
        <v>8</v>
      </c>
    </row>
    <row r="3964" spans="2:18" x14ac:dyDescent="0.35">
      <c r="B3964" s="113">
        <v>46258</v>
      </c>
      <c r="C3964" s="4" t="s">
        <v>2662</v>
      </c>
      <c r="D3964" s="4" t="s">
        <v>4568</v>
      </c>
      <c r="E3964" s="1" t="str">
        <f>_xlfn.XLOOKUP(tblSales[[#This Row],[Customer ID]],tblCustomers[Customer ID],tblCustomers[Customer Name],"⚠ Unknown")</f>
        <v>Walk-in Customer</v>
      </c>
      <c r="F3964" s="4" t="s">
        <v>13</v>
      </c>
      <c r="G3964" s="1" t="str">
        <f>_xlfn.XLOOKUP(tblSales[[#This Row],[Product Code]],tblProducts[Code],tblProducts[Product / Service Name],"⚠ Unknown")</f>
        <v>Backpack</v>
      </c>
      <c r="H3964" s="1" t="str">
        <f>_xlfn.XLOOKUP(tblSales[[#This Row],[Product Code]],tblProducts[Code],tblProducts[Category],"")</f>
        <v>Bags &amp; Gadgets</v>
      </c>
      <c r="I3964" s="4">
        <v>4</v>
      </c>
      <c r="J3964" s="5">
        <f>_xlfn.XLOOKUP(tblSales[[#This Row],[Product Code]],tblProducts[Code],tblProducts[Selling Price (excl. VAT)],0)</f>
        <v>500000</v>
      </c>
      <c r="K3964" s="5">
        <f>tblSales[[#This Row],[Qty]]*tblSales[[#This Row],[Unit Price]]</f>
        <v>2000000</v>
      </c>
      <c r="L3964" s="5">
        <f>ROUND(tblSales[[#This Row],[DPP (excl. VAT)]]*VATEff,0)</f>
        <v>220000</v>
      </c>
      <c r="M3964" s="5">
        <f>tblSales[[#This Row],[DPP (excl. VAT)]]+tblSales[[#This Row],[Output VAT]]</f>
        <v>2220000</v>
      </c>
      <c r="N3964" s="5">
        <f>tblSales[[#This Row],[Qty]]*_xlfn.XLOOKUP(tblSales[[#This Row],[Product Code]],tblProducts[Code],tblProducts[Unit Cost],0)</f>
        <v>1160000</v>
      </c>
      <c r="O3964" s="4" t="s">
        <v>4865</v>
      </c>
      <c r="P3964" s="4" t="s">
        <v>4860</v>
      </c>
      <c r="Q3964" s="1" t="str">
        <f>_xlfn.XLOOKUP(tblSales[[#This Row],[Channel Code]],tblChannels[Channel Code],tblChannels[Channel Name],"")</f>
        <v>In-store</v>
      </c>
      <c r="R3964" s="1">
        <f>MONTH(tblSales[[#This Row],[Date]])</f>
        <v>8</v>
      </c>
    </row>
    <row r="3965" spans="2:18" x14ac:dyDescent="0.35">
      <c r="B3965" s="113">
        <v>46258</v>
      </c>
      <c r="C3965" s="4" t="s">
        <v>2663</v>
      </c>
      <c r="D3965" s="4" t="s">
        <v>4568</v>
      </c>
      <c r="E3965" s="1" t="str">
        <f>_xlfn.XLOOKUP(tblSales[[#This Row],[Customer ID]],tblCustomers[Customer ID],tblCustomers[Customer Name],"⚠ Unknown")</f>
        <v>Walk-in Customer</v>
      </c>
      <c r="F3965" s="4" t="s">
        <v>9</v>
      </c>
      <c r="G3965" s="1" t="str">
        <f>_xlfn.XLOOKUP(tblSales[[#This Row],[Product Code]],tblProducts[Code],tblProducts[Product / Service Name],"⚠ Unknown")</f>
        <v>Casual Shirt</v>
      </c>
      <c r="H3965" s="1" t="str">
        <f>_xlfn.XLOOKUP(tblSales[[#This Row],[Product Code]],tblProducts[Code],tblProducts[Category],"")</f>
        <v>Apparel &amp; Footwear</v>
      </c>
      <c r="I3965" s="4">
        <v>7</v>
      </c>
      <c r="J3965" s="5">
        <f>_xlfn.XLOOKUP(tblSales[[#This Row],[Product Code]],tblProducts[Code],tblProducts[Selling Price (excl. VAT)],0)</f>
        <v>120000</v>
      </c>
      <c r="K3965" s="5">
        <f>tblSales[[#This Row],[Qty]]*tblSales[[#This Row],[Unit Price]]</f>
        <v>840000</v>
      </c>
      <c r="L3965" s="5">
        <f>ROUND(tblSales[[#This Row],[DPP (excl. VAT)]]*VATEff,0)</f>
        <v>92400</v>
      </c>
      <c r="M3965" s="5">
        <f>tblSales[[#This Row],[DPP (excl. VAT)]]+tblSales[[#This Row],[Output VAT]]</f>
        <v>932400</v>
      </c>
      <c r="N3965" s="5">
        <f>tblSales[[#This Row],[Qty]]*_xlfn.XLOOKUP(tblSales[[#This Row],[Product Code]],tblProducts[Code],tblProducts[Unit Cost],0)</f>
        <v>504000</v>
      </c>
      <c r="O3965" s="4" t="s">
        <v>4866</v>
      </c>
      <c r="P3965" s="4" t="s">
        <v>4861</v>
      </c>
      <c r="Q3965" s="1" t="str">
        <f>_xlfn.XLOOKUP(tblSales[[#This Row],[Channel Code]],tblChannels[Channel Code],tblChannels[Channel Name],"")</f>
        <v>Marketplace</v>
      </c>
      <c r="R3965" s="1">
        <f>MONTH(tblSales[[#This Row],[Date]])</f>
        <v>8</v>
      </c>
    </row>
    <row r="3966" spans="2:18" x14ac:dyDescent="0.35">
      <c r="B3966" s="113">
        <v>46259</v>
      </c>
      <c r="C3966" s="4" t="s">
        <v>2664</v>
      </c>
      <c r="D3966" s="4" t="s">
        <v>4568</v>
      </c>
      <c r="E3966" s="1" t="str">
        <f>_xlfn.XLOOKUP(tblSales[[#This Row],[Customer ID]],tblCustomers[Customer ID],tblCustomers[Customer Name],"⚠ Unknown")</f>
        <v>Walk-in Customer</v>
      </c>
      <c r="F3966" s="4" t="s">
        <v>9</v>
      </c>
      <c r="G3966" s="1" t="str">
        <f>_xlfn.XLOOKUP(tblSales[[#This Row],[Product Code]],tblProducts[Code],tblProducts[Product / Service Name],"⚠ Unknown")</f>
        <v>Casual Shirt</v>
      </c>
      <c r="H3966" s="1" t="str">
        <f>_xlfn.XLOOKUP(tblSales[[#This Row],[Product Code]],tblProducts[Code],tblProducts[Category],"")</f>
        <v>Apparel &amp; Footwear</v>
      </c>
      <c r="I3966" s="4">
        <v>8</v>
      </c>
      <c r="J3966" s="5">
        <f>_xlfn.XLOOKUP(tblSales[[#This Row],[Product Code]],tblProducts[Code],tblProducts[Selling Price (excl. VAT)],0)</f>
        <v>120000</v>
      </c>
      <c r="K3966" s="5">
        <f>tblSales[[#This Row],[Qty]]*tblSales[[#This Row],[Unit Price]]</f>
        <v>960000</v>
      </c>
      <c r="L3966" s="5">
        <f>ROUND(tblSales[[#This Row],[DPP (excl. VAT)]]*VATEff,0)</f>
        <v>105600</v>
      </c>
      <c r="M3966" s="5">
        <f>tblSales[[#This Row],[DPP (excl. VAT)]]+tblSales[[#This Row],[Output VAT]]</f>
        <v>1065600</v>
      </c>
      <c r="N3966" s="5">
        <f>tblSales[[#This Row],[Qty]]*_xlfn.XLOOKUP(tblSales[[#This Row],[Product Code]],tblProducts[Code],tblProducts[Unit Cost],0)</f>
        <v>576000</v>
      </c>
      <c r="O3966" s="4" t="s">
        <v>4866</v>
      </c>
      <c r="P3966" s="4" t="s">
        <v>4862</v>
      </c>
      <c r="Q3966" s="1" t="str">
        <f>_xlfn.XLOOKUP(tblSales[[#This Row],[Channel Code]],tblChannels[Channel Code],tblChannels[Channel Name],"")</f>
        <v>Website &amp; Social Media</v>
      </c>
      <c r="R3966" s="1">
        <f>MONTH(tblSales[[#This Row],[Date]])</f>
        <v>8</v>
      </c>
    </row>
    <row r="3967" spans="2:18" x14ac:dyDescent="0.35">
      <c r="B3967" s="113">
        <v>46259</v>
      </c>
      <c r="C3967" s="4" t="s">
        <v>2665</v>
      </c>
      <c r="D3967" s="4" t="s">
        <v>4568</v>
      </c>
      <c r="E3967" s="1" t="str">
        <f>_xlfn.XLOOKUP(tblSales[[#This Row],[Customer ID]],tblCustomers[Customer ID],tblCustomers[Customer Name],"⚠ Unknown")</f>
        <v>Walk-in Customer</v>
      </c>
      <c r="F3967" s="4" t="s">
        <v>8</v>
      </c>
      <c r="G3967" s="1" t="str">
        <f>_xlfn.XLOOKUP(tblSales[[#This Row],[Product Code]],tblProducts[Code],tblProducts[Product / Service Name],"⚠ Unknown")</f>
        <v>Casual Shorts</v>
      </c>
      <c r="H3967" s="1" t="str">
        <f>_xlfn.XLOOKUP(tblSales[[#This Row],[Product Code]],tblProducts[Code],tblProducts[Category],"")</f>
        <v>Accessories &amp; Basics</v>
      </c>
      <c r="I3967" s="4">
        <v>12</v>
      </c>
      <c r="J3967" s="5">
        <f>_xlfn.XLOOKUP(tblSales[[#This Row],[Product Code]],tblProducts[Code],tblProducts[Selling Price (excl. VAT)],0)</f>
        <v>85000</v>
      </c>
      <c r="K3967" s="5">
        <f>tblSales[[#This Row],[Qty]]*tblSales[[#This Row],[Unit Price]]</f>
        <v>1020000</v>
      </c>
      <c r="L3967" s="5">
        <f>ROUND(tblSales[[#This Row],[DPP (excl. VAT)]]*VATEff,0)</f>
        <v>112200</v>
      </c>
      <c r="M3967" s="5">
        <f>tblSales[[#This Row],[DPP (excl. VAT)]]+tblSales[[#This Row],[Output VAT]]</f>
        <v>1132200</v>
      </c>
      <c r="N3967" s="5">
        <f>tblSales[[#This Row],[Qty]]*_xlfn.XLOOKUP(tblSales[[#This Row],[Product Code]],tblProducts[Code],tblProducts[Unit Cost],0)</f>
        <v>600000</v>
      </c>
      <c r="O3967" s="4" t="s">
        <v>4865</v>
      </c>
      <c r="P3967" s="4" t="s">
        <v>4860</v>
      </c>
      <c r="Q3967" s="1" t="str">
        <f>_xlfn.XLOOKUP(tblSales[[#This Row],[Channel Code]],tblChannels[Channel Code],tblChannels[Channel Name],"")</f>
        <v>In-store</v>
      </c>
      <c r="R3967" s="1">
        <f>MONTH(tblSales[[#This Row],[Date]])</f>
        <v>8</v>
      </c>
    </row>
    <row r="3968" spans="2:18" x14ac:dyDescent="0.35">
      <c r="B3968" s="113">
        <v>46259</v>
      </c>
      <c r="C3968" s="4" t="s">
        <v>2665</v>
      </c>
      <c r="D3968" s="4" t="s">
        <v>4568</v>
      </c>
      <c r="E3968" s="1" t="str">
        <f>_xlfn.XLOOKUP(tblSales[[#This Row],[Customer ID]],tblCustomers[Customer ID],tblCustomers[Customer Name],"⚠ Unknown")</f>
        <v>Walk-in Customer</v>
      </c>
      <c r="F3968" s="4" t="s">
        <v>7</v>
      </c>
      <c r="G3968" s="1" t="str">
        <f>_xlfn.XLOOKUP(tblSales[[#This Row],[Product Code]],tblProducts[Code],tblProducts[Product / Service Name],"⚠ Unknown")</f>
        <v>Premium Basic T-shirt</v>
      </c>
      <c r="H3968" s="1" t="str">
        <f>_xlfn.XLOOKUP(tblSales[[#This Row],[Product Code]],tblProducts[Code],tblProducts[Category],"")</f>
        <v>Accessories &amp; Basics</v>
      </c>
      <c r="I3968" s="4">
        <v>6</v>
      </c>
      <c r="J3968" s="5">
        <f>_xlfn.XLOOKUP(tblSales[[#This Row],[Product Code]],tblProducts[Code],tblProducts[Selling Price (excl. VAT)],0)</f>
        <v>65000</v>
      </c>
      <c r="K3968" s="5">
        <f>tblSales[[#This Row],[Qty]]*tblSales[[#This Row],[Unit Price]]</f>
        <v>390000</v>
      </c>
      <c r="L3968" s="5">
        <f>ROUND(tblSales[[#This Row],[DPP (excl. VAT)]]*VATEff,0)</f>
        <v>42900</v>
      </c>
      <c r="M3968" s="5">
        <f>tblSales[[#This Row],[DPP (excl. VAT)]]+tblSales[[#This Row],[Output VAT]]</f>
        <v>432900</v>
      </c>
      <c r="N3968" s="5">
        <f>tblSales[[#This Row],[Qty]]*_xlfn.XLOOKUP(tblSales[[#This Row],[Product Code]],tblProducts[Code],tblProducts[Unit Cost],0)</f>
        <v>222000</v>
      </c>
      <c r="O3968" s="4" t="s">
        <v>4865</v>
      </c>
      <c r="P3968" s="4" t="s">
        <v>4860</v>
      </c>
      <c r="Q3968" s="1" t="str">
        <f>_xlfn.XLOOKUP(tblSales[[#This Row],[Channel Code]],tblChannels[Channel Code],tblChannels[Channel Name],"")</f>
        <v>In-store</v>
      </c>
      <c r="R3968" s="1">
        <f>MONTH(tblSales[[#This Row],[Date]])</f>
        <v>8</v>
      </c>
    </row>
    <row r="3969" spans="2:18" x14ac:dyDescent="0.35">
      <c r="B3969" s="113">
        <v>46259</v>
      </c>
      <c r="C3969" s="4" t="s">
        <v>2666</v>
      </c>
      <c r="D3969" s="4" t="s">
        <v>4568</v>
      </c>
      <c r="E3969" s="1" t="str">
        <f>_xlfn.XLOOKUP(tblSales[[#This Row],[Customer ID]],tblCustomers[Customer ID],tblCustomers[Customer Name],"⚠ Unknown")</f>
        <v>Walk-in Customer</v>
      </c>
      <c r="F3969" s="4" t="s">
        <v>6</v>
      </c>
      <c r="G3969" s="1" t="str">
        <f>_xlfn.XLOOKUP(tblSales[[#This Row],[Product Code]],tblProducts[Code],tblProducts[Product / Service Name],"⚠ Unknown")</f>
        <v>Socks &amp; Accessories</v>
      </c>
      <c r="H3969" s="1" t="str">
        <f>_xlfn.XLOOKUP(tblSales[[#This Row],[Product Code]],tblProducts[Code],tblProducts[Category],"")</f>
        <v>Accessories &amp; Basics</v>
      </c>
      <c r="I3969" s="4">
        <v>1</v>
      </c>
      <c r="J3969" s="5">
        <f>_xlfn.XLOOKUP(tblSales[[#This Row],[Product Code]],tblProducts[Code],tblProducts[Selling Price (excl. VAT)],0)</f>
        <v>45000</v>
      </c>
      <c r="K3969" s="5">
        <f>tblSales[[#This Row],[Qty]]*tblSales[[#This Row],[Unit Price]]</f>
        <v>45000</v>
      </c>
      <c r="L3969" s="5">
        <f>ROUND(tblSales[[#This Row],[DPP (excl. VAT)]]*VATEff,0)</f>
        <v>4950</v>
      </c>
      <c r="M3969" s="5">
        <f>tblSales[[#This Row],[DPP (excl. VAT)]]+tblSales[[#This Row],[Output VAT]]</f>
        <v>49950</v>
      </c>
      <c r="N3969" s="5">
        <f>tblSales[[#This Row],[Qty]]*_xlfn.XLOOKUP(tblSales[[#This Row],[Product Code]],tblProducts[Code],tblProducts[Unit Cost],0)</f>
        <v>24000</v>
      </c>
      <c r="O3969" s="4" t="s">
        <v>4866</v>
      </c>
      <c r="P3969" s="4" t="s">
        <v>4861</v>
      </c>
      <c r="Q3969" s="1" t="str">
        <f>_xlfn.XLOOKUP(tblSales[[#This Row],[Channel Code]],tblChannels[Channel Code],tblChannels[Channel Name],"")</f>
        <v>Marketplace</v>
      </c>
      <c r="R3969" s="1">
        <f>MONTH(tblSales[[#This Row],[Date]])</f>
        <v>8</v>
      </c>
    </row>
    <row r="3970" spans="2:18" x14ac:dyDescent="0.35">
      <c r="B3970" s="113">
        <v>46259</v>
      </c>
      <c r="C3970" s="4" t="s">
        <v>2667</v>
      </c>
      <c r="D3970" s="4" t="s">
        <v>4568</v>
      </c>
      <c r="E3970" s="1" t="str">
        <f>_xlfn.XLOOKUP(tblSales[[#This Row],[Customer ID]],tblCustomers[Customer ID],tblCustomers[Customer Name],"⚠ Unknown")</f>
        <v>Walk-in Customer</v>
      </c>
      <c r="F3970" s="4" t="s">
        <v>15</v>
      </c>
      <c r="G3970" s="1" t="str">
        <f>_xlfn.XLOOKUP(tblSales[[#This Row],[Product Code]],tblProducts[Code],tblProducts[Product / Service Name],"⚠ Unknown")</f>
        <v>Wireless Earbuds Pro</v>
      </c>
      <c r="H3970" s="1" t="str">
        <f>_xlfn.XLOOKUP(tblSales[[#This Row],[Product Code]],tblProducts[Code],tblProducts[Category],"")</f>
        <v>Bags &amp; Gadgets</v>
      </c>
      <c r="I3970" s="4">
        <v>3</v>
      </c>
      <c r="J3970" s="5">
        <f>_xlfn.XLOOKUP(tblSales[[#This Row],[Product Code]],tblProducts[Code],tblProducts[Selling Price (excl. VAT)],0)</f>
        <v>1250000</v>
      </c>
      <c r="K3970" s="5">
        <f>tblSales[[#This Row],[Qty]]*tblSales[[#This Row],[Unit Price]]</f>
        <v>3750000</v>
      </c>
      <c r="L3970" s="5">
        <f>ROUND(tblSales[[#This Row],[DPP (excl. VAT)]]*VATEff,0)</f>
        <v>412500</v>
      </c>
      <c r="M3970" s="5">
        <f>tblSales[[#This Row],[DPP (excl. VAT)]]+tblSales[[#This Row],[Output VAT]]</f>
        <v>4162500</v>
      </c>
      <c r="N3970" s="5">
        <f>tblSales[[#This Row],[Qty]]*_xlfn.XLOOKUP(tblSales[[#This Row],[Product Code]],tblProducts[Code],tblProducts[Unit Cost],0)</f>
        <v>2460000</v>
      </c>
      <c r="O3970" s="4" t="s">
        <v>4866</v>
      </c>
      <c r="P3970" s="4" t="s">
        <v>4860</v>
      </c>
      <c r="Q3970" s="1" t="str">
        <f>_xlfn.XLOOKUP(tblSales[[#This Row],[Channel Code]],tblChannels[Channel Code],tblChannels[Channel Name],"")</f>
        <v>In-store</v>
      </c>
      <c r="R3970" s="1">
        <f>MONTH(tblSales[[#This Row],[Date]])</f>
        <v>8</v>
      </c>
    </row>
    <row r="3971" spans="2:18" x14ac:dyDescent="0.35">
      <c r="B3971" s="113">
        <v>46259</v>
      </c>
      <c r="C3971" s="4" t="s">
        <v>2668</v>
      </c>
      <c r="D3971" s="4" t="s">
        <v>4568</v>
      </c>
      <c r="E3971" s="1" t="str">
        <f>_xlfn.XLOOKUP(tblSales[[#This Row],[Customer ID]],tblCustomers[Customer ID],tblCustomers[Customer Name],"⚠ Unknown")</f>
        <v>Walk-in Customer</v>
      </c>
      <c r="F3971" s="4" t="s">
        <v>6</v>
      </c>
      <c r="G3971" s="1" t="str">
        <f>_xlfn.XLOOKUP(tblSales[[#This Row],[Product Code]],tblProducts[Code],tblProducts[Product / Service Name],"⚠ Unknown")</f>
        <v>Socks &amp; Accessories</v>
      </c>
      <c r="H3971" s="1" t="str">
        <f>_xlfn.XLOOKUP(tblSales[[#This Row],[Product Code]],tblProducts[Code],tblProducts[Category],"")</f>
        <v>Accessories &amp; Basics</v>
      </c>
      <c r="I3971" s="4">
        <v>6</v>
      </c>
      <c r="J3971" s="5">
        <f>_xlfn.XLOOKUP(tblSales[[#This Row],[Product Code]],tblProducts[Code],tblProducts[Selling Price (excl. VAT)],0)</f>
        <v>45000</v>
      </c>
      <c r="K3971" s="5">
        <f>tblSales[[#This Row],[Qty]]*tblSales[[#This Row],[Unit Price]]</f>
        <v>270000</v>
      </c>
      <c r="L3971" s="5">
        <f>ROUND(tblSales[[#This Row],[DPP (excl. VAT)]]*VATEff,0)</f>
        <v>29700</v>
      </c>
      <c r="M3971" s="5">
        <f>tblSales[[#This Row],[DPP (excl. VAT)]]+tblSales[[#This Row],[Output VAT]]</f>
        <v>299700</v>
      </c>
      <c r="N3971" s="5">
        <f>tblSales[[#This Row],[Qty]]*_xlfn.XLOOKUP(tblSales[[#This Row],[Product Code]],tblProducts[Code],tblProducts[Unit Cost],0)</f>
        <v>144000</v>
      </c>
      <c r="O3971" s="4" t="s">
        <v>4865</v>
      </c>
      <c r="P3971" s="4" t="s">
        <v>4860</v>
      </c>
      <c r="Q3971" s="1" t="str">
        <f>_xlfn.XLOOKUP(tblSales[[#This Row],[Channel Code]],tblChannels[Channel Code],tblChannels[Channel Name],"")</f>
        <v>In-store</v>
      </c>
      <c r="R3971" s="1">
        <f>MONTH(tblSales[[#This Row],[Date]])</f>
        <v>8</v>
      </c>
    </row>
    <row r="3972" spans="2:18" x14ac:dyDescent="0.35">
      <c r="B3972" s="113">
        <v>46259</v>
      </c>
      <c r="C3972" s="4" t="s">
        <v>2669</v>
      </c>
      <c r="D3972" s="4" t="s">
        <v>4568</v>
      </c>
      <c r="E3972" s="1" t="str">
        <f>_xlfn.XLOOKUP(tblSales[[#This Row],[Customer ID]],tblCustomers[Customer ID],tblCustomers[Customer Name],"⚠ Unknown")</f>
        <v>Walk-in Customer</v>
      </c>
      <c r="F3972" s="4" t="s">
        <v>10</v>
      </c>
      <c r="G3972" s="1" t="str">
        <f>_xlfn.XLOOKUP(tblSales[[#This Row],[Product Code]],tblProducts[Code],tblProducts[Product / Service Name],"⚠ Unknown")</f>
        <v>Chino Pants</v>
      </c>
      <c r="H3972" s="1" t="str">
        <f>_xlfn.XLOOKUP(tblSales[[#This Row],[Product Code]],tblProducts[Code],tblProducts[Category],"")</f>
        <v>Apparel &amp; Footwear</v>
      </c>
      <c r="I3972" s="4">
        <v>8</v>
      </c>
      <c r="J3972" s="5">
        <f>_xlfn.XLOOKUP(tblSales[[#This Row],[Product Code]],tblProducts[Code],tblProducts[Selling Price (excl. VAT)],0)</f>
        <v>150000</v>
      </c>
      <c r="K3972" s="5">
        <f>tblSales[[#This Row],[Qty]]*tblSales[[#This Row],[Unit Price]]</f>
        <v>1200000</v>
      </c>
      <c r="L3972" s="5">
        <f>ROUND(tblSales[[#This Row],[DPP (excl. VAT)]]*VATEff,0)</f>
        <v>132000</v>
      </c>
      <c r="M3972" s="5">
        <f>tblSales[[#This Row],[DPP (excl. VAT)]]+tblSales[[#This Row],[Output VAT]]</f>
        <v>1332000</v>
      </c>
      <c r="N3972" s="5">
        <f>tblSales[[#This Row],[Qty]]*_xlfn.XLOOKUP(tblSales[[#This Row],[Product Code]],tblProducts[Code],tblProducts[Unit Cost],0)</f>
        <v>704000</v>
      </c>
      <c r="O3972" s="4" t="s">
        <v>4866</v>
      </c>
      <c r="P3972" s="4" t="s">
        <v>4861</v>
      </c>
      <c r="Q3972" s="1" t="str">
        <f>_xlfn.XLOOKUP(tblSales[[#This Row],[Channel Code]],tblChannels[Channel Code],tblChannels[Channel Name],"")</f>
        <v>Marketplace</v>
      </c>
      <c r="R3972" s="1">
        <f>MONTH(tblSales[[#This Row],[Date]])</f>
        <v>8</v>
      </c>
    </row>
    <row r="3973" spans="2:18" x14ac:dyDescent="0.35">
      <c r="B3973" s="113">
        <v>46259</v>
      </c>
      <c r="C3973" s="4" t="s">
        <v>2670</v>
      </c>
      <c r="D3973" s="4" t="s">
        <v>4568</v>
      </c>
      <c r="E3973" s="1" t="str">
        <f>_xlfn.XLOOKUP(tblSales[[#This Row],[Customer ID]],tblCustomers[Customer ID],tblCustomers[Customer Name],"⚠ Unknown")</f>
        <v>Walk-in Customer</v>
      </c>
      <c r="F3973" s="4" t="s">
        <v>8</v>
      </c>
      <c r="G3973" s="1" t="str">
        <f>_xlfn.XLOOKUP(tblSales[[#This Row],[Product Code]],tblProducts[Code],tblProducts[Product / Service Name],"⚠ Unknown")</f>
        <v>Casual Shorts</v>
      </c>
      <c r="H3973" s="1" t="str">
        <f>_xlfn.XLOOKUP(tblSales[[#This Row],[Product Code]],tblProducts[Code],tblProducts[Category],"")</f>
        <v>Accessories &amp; Basics</v>
      </c>
      <c r="I3973" s="4">
        <v>10</v>
      </c>
      <c r="J3973" s="5">
        <f>_xlfn.XLOOKUP(tblSales[[#This Row],[Product Code]],tblProducts[Code],tblProducts[Selling Price (excl. VAT)],0)</f>
        <v>85000</v>
      </c>
      <c r="K3973" s="5">
        <f>tblSales[[#This Row],[Qty]]*tblSales[[#This Row],[Unit Price]]</f>
        <v>850000</v>
      </c>
      <c r="L3973" s="5">
        <f>ROUND(tblSales[[#This Row],[DPP (excl. VAT)]]*VATEff,0)</f>
        <v>93500</v>
      </c>
      <c r="M3973" s="5">
        <f>tblSales[[#This Row],[DPP (excl. VAT)]]+tblSales[[#This Row],[Output VAT]]</f>
        <v>943500</v>
      </c>
      <c r="N3973" s="5">
        <f>tblSales[[#This Row],[Qty]]*_xlfn.XLOOKUP(tblSales[[#This Row],[Product Code]],tblProducts[Code],tblProducts[Unit Cost],0)</f>
        <v>500000</v>
      </c>
      <c r="O3973" s="4" t="s">
        <v>4865</v>
      </c>
      <c r="P3973" s="4" t="s">
        <v>4860</v>
      </c>
      <c r="Q3973" s="1" t="str">
        <f>_xlfn.XLOOKUP(tblSales[[#This Row],[Channel Code]],tblChannels[Channel Code],tblChannels[Channel Name],"")</f>
        <v>In-store</v>
      </c>
      <c r="R3973" s="1">
        <f>MONTH(tblSales[[#This Row],[Date]])</f>
        <v>8</v>
      </c>
    </row>
    <row r="3974" spans="2:18" x14ac:dyDescent="0.35">
      <c r="B3974" s="113">
        <v>46259</v>
      </c>
      <c r="C3974" s="4" t="s">
        <v>2671</v>
      </c>
      <c r="D3974" s="4" t="s">
        <v>4568</v>
      </c>
      <c r="E3974" s="1" t="str">
        <f>_xlfn.XLOOKUP(tblSales[[#This Row],[Customer ID]],tblCustomers[Customer ID],tblCustomers[Customer Name],"⚠ Unknown")</f>
        <v>Walk-in Customer</v>
      </c>
      <c r="F3974" s="4" t="s">
        <v>6</v>
      </c>
      <c r="G3974" s="1" t="str">
        <f>_xlfn.XLOOKUP(tblSales[[#This Row],[Product Code]],tblProducts[Code],tblProducts[Product / Service Name],"⚠ Unknown")</f>
        <v>Socks &amp; Accessories</v>
      </c>
      <c r="H3974" s="1" t="str">
        <f>_xlfn.XLOOKUP(tblSales[[#This Row],[Product Code]],tblProducts[Code],tblProducts[Category],"")</f>
        <v>Accessories &amp; Basics</v>
      </c>
      <c r="I3974" s="4">
        <v>2</v>
      </c>
      <c r="J3974" s="5">
        <f>_xlfn.XLOOKUP(tblSales[[#This Row],[Product Code]],tblProducts[Code],tblProducts[Selling Price (excl. VAT)],0)</f>
        <v>45000</v>
      </c>
      <c r="K3974" s="5">
        <f>tblSales[[#This Row],[Qty]]*tblSales[[#This Row],[Unit Price]]</f>
        <v>90000</v>
      </c>
      <c r="L3974" s="5">
        <f>ROUND(tblSales[[#This Row],[DPP (excl. VAT)]]*VATEff,0)</f>
        <v>9900</v>
      </c>
      <c r="M3974" s="5">
        <f>tblSales[[#This Row],[DPP (excl. VAT)]]+tblSales[[#This Row],[Output VAT]]</f>
        <v>99900</v>
      </c>
      <c r="N3974" s="5">
        <f>tblSales[[#This Row],[Qty]]*_xlfn.XLOOKUP(tblSales[[#This Row],[Product Code]],tblProducts[Code],tblProducts[Unit Cost],0)</f>
        <v>48000</v>
      </c>
      <c r="O3974" s="4" t="s">
        <v>4866</v>
      </c>
      <c r="P3974" s="4" t="s">
        <v>4861</v>
      </c>
      <c r="Q3974" s="1" t="str">
        <f>_xlfn.XLOOKUP(tblSales[[#This Row],[Channel Code]],tblChannels[Channel Code],tblChannels[Channel Name],"")</f>
        <v>Marketplace</v>
      </c>
      <c r="R3974" s="1">
        <f>MONTH(tblSales[[#This Row],[Date]])</f>
        <v>8</v>
      </c>
    </row>
    <row r="3975" spans="2:18" x14ac:dyDescent="0.35">
      <c r="B3975" s="113">
        <v>46259</v>
      </c>
      <c r="C3975" s="4" t="s">
        <v>2672</v>
      </c>
      <c r="D3975" s="4" t="s">
        <v>4568</v>
      </c>
      <c r="E3975" s="1" t="str">
        <f>_xlfn.XLOOKUP(tblSales[[#This Row],[Customer ID]],tblCustomers[Customer ID],tblCustomers[Customer Name],"⚠ Unknown")</f>
        <v>Walk-in Customer</v>
      </c>
      <c r="F3975" s="4" t="s">
        <v>10</v>
      </c>
      <c r="G3975" s="1" t="str">
        <f>_xlfn.XLOOKUP(tblSales[[#This Row],[Product Code]],tblProducts[Code],tblProducts[Product / Service Name],"⚠ Unknown")</f>
        <v>Chino Pants</v>
      </c>
      <c r="H3975" s="1" t="str">
        <f>_xlfn.XLOOKUP(tblSales[[#This Row],[Product Code]],tblProducts[Code],tblProducts[Category],"")</f>
        <v>Apparel &amp; Footwear</v>
      </c>
      <c r="I3975" s="4">
        <v>4</v>
      </c>
      <c r="J3975" s="5">
        <f>_xlfn.XLOOKUP(tblSales[[#This Row],[Product Code]],tblProducts[Code],tblProducts[Selling Price (excl. VAT)],0)</f>
        <v>150000</v>
      </c>
      <c r="K3975" s="5">
        <f>tblSales[[#This Row],[Qty]]*tblSales[[#This Row],[Unit Price]]</f>
        <v>600000</v>
      </c>
      <c r="L3975" s="5">
        <f>ROUND(tblSales[[#This Row],[DPP (excl. VAT)]]*VATEff,0)</f>
        <v>66000</v>
      </c>
      <c r="M3975" s="5">
        <f>tblSales[[#This Row],[DPP (excl. VAT)]]+tblSales[[#This Row],[Output VAT]]</f>
        <v>666000</v>
      </c>
      <c r="N3975" s="5">
        <f>tblSales[[#This Row],[Qty]]*_xlfn.XLOOKUP(tblSales[[#This Row],[Product Code]],tblProducts[Code],tblProducts[Unit Cost],0)</f>
        <v>352000</v>
      </c>
      <c r="O3975" s="4" t="s">
        <v>4865</v>
      </c>
      <c r="P3975" s="4" t="s">
        <v>4860</v>
      </c>
      <c r="Q3975" s="1" t="str">
        <f>_xlfn.XLOOKUP(tblSales[[#This Row],[Channel Code]],tblChannels[Channel Code],tblChannels[Channel Name],"")</f>
        <v>In-store</v>
      </c>
      <c r="R3975" s="1">
        <f>MONTH(tblSales[[#This Row],[Date]])</f>
        <v>8</v>
      </c>
    </row>
    <row r="3976" spans="2:18" x14ac:dyDescent="0.35">
      <c r="B3976" s="113">
        <v>46260</v>
      </c>
      <c r="C3976" s="4" t="s">
        <v>2673</v>
      </c>
      <c r="D3976" s="4" t="s">
        <v>4572</v>
      </c>
      <c r="E3976" s="1" t="str">
        <f>_xlfn.XLOOKUP(tblSales[[#This Row],[Customer ID]],tblCustomers[Customer ID],tblCustomers[Customer Name],"⚠ Unknown")</f>
        <v>PT Cahaya Abadi Makmur</v>
      </c>
      <c r="F3976" s="4" t="s">
        <v>9</v>
      </c>
      <c r="G3976" s="1" t="str">
        <f>_xlfn.XLOOKUP(tblSales[[#This Row],[Product Code]],tblProducts[Code],tblProducts[Product / Service Name],"⚠ Unknown")</f>
        <v>Casual Shirt</v>
      </c>
      <c r="H3976" s="1" t="str">
        <f>_xlfn.XLOOKUP(tblSales[[#This Row],[Product Code]],tblProducts[Code],tblProducts[Category],"")</f>
        <v>Apparel &amp; Footwear</v>
      </c>
      <c r="I3976" s="4">
        <v>72</v>
      </c>
      <c r="J3976" s="5">
        <f>_xlfn.XLOOKUP(tblSales[[#This Row],[Product Code]],tblProducts[Code],tblProducts[Selling Price (excl. VAT)],0)</f>
        <v>120000</v>
      </c>
      <c r="K3976" s="5">
        <f>tblSales[[#This Row],[Qty]]*tblSales[[#This Row],[Unit Price]]</f>
        <v>8640000</v>
      </c>
      <c r="L3976" s="5">
        <f>ROUND(tblSales[[#This Row],[DPP (excl. VAT)]]*VATEff,0)</f>
        <v>950400</v>
      </c>
      <c r="M3976" s="5">
        <f>tblSales[[#This Row],[DPP (excl. VAT)]]+tblSales[[#This Row],[Output VAT]]</f>
        <v>9590400</v>
      </c>
      <c r="N3976" s="5">
        <f>tblSales[[#This Row],[Qty]]*_xlfn.XLOOKUP(tblSales[[#This Row],[Product Code]],tblProducts[Code],tblProducts[Unit Cost],0)</f>
        <v>5184000</v>
      </c>
      <c r="O3976" s="4" t="s">
        <v>4867</v>
      </c>
      <c r="P3976" s="4" t="s">
        <v>4860</v>
      </c>
      <c r="Q3976" s="1" t="str">
        <f>_xlfn.XLOOKUP(tblSales[[#This Row],[Channel Code]],tblChannels[Channel Code],tblChannels[Channel Name],"")</f>
        <v>In-store</v>
      </c>
      <c r="R3976" s="1">
        <f>MONTH(tblSales[[#This Row],[Date]])</f>
        <v>8</v>
      </c>
    </row>
    <row r="3977" spans="2:18" x14ac:dyDescent="0.35">
      <c r="B3977" s="113">
        <v>46260</v>
      </c>
      <c r="C3977" s="4" t="s">
        <v>2674</v>
      </c>
      <c r="D3977" s="4" t="s">
        <v>4568</v>
      </c>
      <c r="E3977" s="1" t="str">
        <f>_xlfn.XLOOKUP(tblSales[[#This Row],[Customer ID]],tblCustomers[Customer ID],tblCustomers[Customer Name],"⚠ Unknown")</f>
        <v>Walk-in Customer</v>
      </c>
      <c r="F3977" s="4" t="s">
        <v>10</v>
      </c>
      <c r="G3977" s="1" t="str">
        <f>_xlfn.XLOOKUP(tblSales[[#This Row],[Product Code]],tblProducts[Code],tblProducts[Product / Service Name],"⚠ Unknown")</f>
        <v>Chino Pants</v>
      </c>
      <c r="H3977" s="1" t="str">
        <f>_xlfn.XLOOKUP(tblSales[[#This Row],[Product Code]],tblProducts[Code],tblProducts[Category],"")</f>
        <v>Apparel &amp; Footwear</v>
      </c>
      <c r="I3977" s="4">
        <v>6</v>
      </c>
      <c r="J3977" s="5">
        <f>_xlfn.XLOOKUP(tblSales[[#This Row],[Product Code]],tblProducts[Code],tblProducts[Selling Price (excl. VAT)],0)</f>
        <v>150000</v>
      </c>
      <c r="K3977" s="5">
        <f>tblSales[[#This Row],[Qty]]*tblSales[[#This Row],[Unit Price]]</f>
        <v>900000</v>
      </c>
      <c r="L3977" s="5">
        <f>ROUND(tblSales[[#This Row],[DPP (excl. VAT)]]*VATEff,0)</f>
        <v>99000</v>
      </c>
      <c r="M3977" s="5">
        <f>tblSales[[#This Row],[DPP (excl. VAT)]]+tblSales[[#This Row],[Output VAT]]</f>
        <v>999000</v>
      </c>
      <c r="N3977" s="5">
        <f>tblSales[[#This Row],[Qty]]*_xlfn.XLOOKUP(tblSales[[#This Row],[Product Code]],tblProducts[Code],tblProducts[Unit Cost],0)</f>
        <v>528000</v>
      </c>
      <c r="O3977" s="4" t="s">
        <v>4865</v>
      </c>
      <c r="P3977" s="4" t="s">
        <v>4860</v>
      </c>
      <c r="Q3977" s="1" t="str">
        <f>_xlfn.XLOOKUP(tblSales[[#This Row],[Channel Code]],tblChannels[Channel Code],tblChannels[Channel Name],"")</f>
        <v>In-store</v>
      </c>
      <c r="R3977" s="1">
        <f>MONTH(tblSales[[#This Row],[Date]])</f>
        <v>8</v>
      </c>
    </row>
    <row r="3978" spans="2:18" x14ac:dyDescent="0.35">
      <c r="B3978" s="113">
        <v>46260</v>
      </c>
      <c r="C3978" s="4" t="s">
        <v>2675</v>
      </c>
      <c r="D3978" s="4" t="s">
        <v>4634</v>
      </c>
      <c r="E3978" s="1" t="str">
        <f>_xlfn.XLOOKUP(tblSales[[#This Row],[Customer ID]],tblCustomers[Customer ID],tblCustomers[Customer Name],"⚠ Unknown")</f>
        <v>PT Delta Inti Selaras</v>
      </c>
      <c r="F3978" s="4" t="s">
        <v>7</v>
      </c>
      <c r="G3978" s="1" t="str">
        <f>_xlfn.XLOOKUP(tblSales[[#This Row],[Product Code]],tblProducts[Code],tblProducts[Product / Service Name],"⚠ Unknown")</f>
        <v>Premium Basic T-shirt</v>
      </c>
      <c r="H3978" s="1" t="str">
        <f>_xlfn.XLOOKUP(tblSales[[#This Row],[Product Code]],tblProducts[Code],tblProducts[Category],"")</f>
        <v>Accessories &amp; Basics</v>
      </c>
      <c r="I3978" s="4">
        <v>80</v>
      </c>
      <c r="J3978" s="5">
        <f>_xlfn.XLOOKUP(tblSales[[#This Row],[Product Code]],tblProducts[Code],tblProducts[Selling Price (excl. VAT)],0)</f>
        <v>65000</v>
      </c>
      <c r="K3978" s="5">
        <f>tblSales[[#This Row],[Qty]]*tblSales[[#This Row],[Unit Price]]</f>
        <v>5200000</v>
      </c>
      <c r="L3978" s="5">
        <f>ROUND(tblSales[[#This Row],[DPP (excl. VAT)]]*VATEff,0)</f>
        <v>572000</v>
      </c>
      <c r="M3978" s="5">
        <f>tblSales[[#This Row],[DPP (excl. VAT)]]+tblSales[[#This Row],[Output VAT]]</f>
        <v>5772000</v>
      </c>
      <c r="N3978" s="5">
        <f>tblSales[[#This Row],[Qty]]*_xlfn.XLOOKUP(tblSales[[#This Row],[Product Code]],tblProducts[Code],tblProducts[Unit Cost],0)</f>
        <v>2960000</v>
      </c>
      <c r="O3978" s="4" t="s">
        <v>4867</v>
      </c>
      <c r="P3978" s="4" t="s">
        <v>4862</v>
      </c>
      <c r="Q3978" s="1" t="str">
        <f>_xlfn.XLOOKUP(tblSales[[#This Row],[Channel Code]],tblChannels[Channel Code],tblChannels[Channel Name],"")</f>
        <v>Website &amp; Social Media</v>
      </c>
      <c r="R3978" s="1">
        <f>MONTH(tblSales[[#This Row],[Date]])</f>
        <v>8</v>
      </c>
    </row>
    <row r="3979" spans="2:18" x14ac:dyDescent="0.35">
      <c r="B3979" s="113">
        <v>46260</v>
      </c>
      <c r="C3979" s="4" t="s">
        <v>2676</v>
      </c>
      <c r="D3979" s="4" t="s">
        <v>4568</v>
      </c>
      <c r="E3979" s="1" t="str">
        <f>_xlfn.XLOOKUP(tblSales[[#This Row],[Customer ID]],tblCustomers[Customer ID],tblCustomers[Customer Name],"⚠ Unknown")</f>
        <v>Walk-in Customer</v>
      </c>
      <c r="F3979" s="4" t="s">
        <v>8</v>
      </c>
      <c r="G3979" s="1" t="str">
        <f>_xlfn.XLOOKUP(tblSales[[#This Row],[Product Code]],tblProducts[Code],tblProducts[Product / Service Name],"⚠ Unknown")</f>
        <v>Casual Shorts</v>
      </c>
      <c r="H3979" s="1" t="str">
        <f>_xlfn.XLOOKUP(tblSales[[#This Row],[Product Code]],tblProducts[Code],tblProducts[Category],"")</f>
        <v>Accessories &amp; Basics</v>
      </c>
      <c r="I3979" s="4">
        <v>5</v>
      </c>
      <c r="J3979" s="5">
        <f>_xlfn.XLOOKUP(tblSales[[#This Row],[Product Code]],tblProducts[Code],tblProducts[Selling Price (excl. VAT)],0)</f>
        <v>85000</v>
      </c>
      <c r="K3979" s="5">
        <f>tblSales[[#This Row],[Qty]]*tblSales[[#This Row],[Unit Price]]</f>
        <v>425000</v>
      </c>
      <c r="L3979" s="5">
        <f>ROUND(tblSales[[#This Row],[DPP (excl. VAT)]]*VATEff,0)</f>
        <v>46750</v>
      </c>
      <c r="M3979" s="5">
        <f>tblSales[[#This Row],[DPP (excl. VAT)]]+tblSales[[#This Row],[Output VAT]]</f>
        <v>471750</v>
      </c>
      <c r="N3979" s="5">
        <f>tblSales[[#This Row],[Qty]]*_xlfn.XLOOKUP(tblSales[[#This Row],[Product Code]],tblProducts[Code],tblProducts[Unit Cost],0)</f>
        <v>250000</v>
      </c>
      <c r="O3979" s="4" t="s">
        <v>4865</v>
      </c>
      <c r="P3979" s="4" t="s">
        <v>4860</v>
      </c>
      <c r="Q3979" s="1" t="str">
        <f>_xlfn.XLOOKUP(tblSales[[#This Row],[Channel Code]],tblChannels[Channel Code],tblChannels[Channel Name],"")</f>
        <v>In-store</v>
      </c>
      <c r="R3979" s="1">
        <f>MONTH(tblSales[[#This Row],[Date]])</f>
        <v>8</v>
      </c>
    </row>
    <row r="3980" spans="2:18" x14ac:dyDescent="0.35">
      <c r="B3980" s="113">
        <v>46260</v>
      </c>
      <c r="C3980" s="4" t="s">
        <v>2677</v>
      </c>
      <c r="D3980" s="4" t="s">
        <v>4568</v>
      </c>
      <c r="E3980" s="1" t="str">
        <f>_xlfn.XLOOKUP(tblSales[[#This Row],[Customer ID]],tblCustomers[Customer ID],tblCustomers[Customer Name],"⚠ Unknown")</f>
        <v>Walk-in Customer</v>
      </c>
      <c r="F3980" s="4" t="s">
        <v>6</v>
      </c>
      <c r="G3980" s="1" t="str">
        <f>_xlfn.XLOOKUP(tblSales[[#This Row],[Product Code]],tblProducts[Code],tblProducts[Product / Service Name],"⚠ Unknown")</f>
        <v>Socks &amp; Accessories</v>
      </c>
      <c r="H3980" s="1" t="str">
        <f>_xlfn.XLOOKUP(tblSales[[#This Row],[Product Code]],tblProducts[Code],tblProducts[Category],"")</f>
        <v>Accessories &amp; Basics</v>
      </c>
      <c r="I3980" s="4">
        <v>6</v>
      </c>
      <c r="J3980" s="5">
        <f>_xlfn.XLOOKUP(tblSales[[#This Row],[Product Code]],tblProducts[Code],tblProducts[Selling Price (excl. VAT)],0)</f>
        <v>45000</v>
      </c>
      <c r="K3980" s="5">
        <f>tblSales[[#This Row],[Qty]]*tblSales[[#This Row],[Unit Price]]</f>
        <v>270000</v>
      </c>
      <c r="L3980" s="5">
        <f>ROUND(tblSales[[#This Row],[DPP (excl. VAT)]]*VATEff,0)</f>
        <v>29700</v>
      </c>
      <c r="M3980" s="5">
        <f>tblSales[[#This Row],[DPP (excl. VAT)]]+tblSales[[#This Row],[Output VAT]]</f>
        <v>299700</v>
      </c>
      <c r="N3980" s="5">
        <f>tblSales[[#This Row],[Qty]]*_xlfn.XLOOKUP(tblSales[[#This Row],[Product Code]],tblProducts[Code],tblProducts[Unit Cost],0)</f>
        <v>144000</v>
      </c>
      <c r="O3980" s="4" t="s">
        <v>4865</v>
      </c>
      <c r="P3980" s="4" t="s">
        <v>4860</v>
      </c>
      <c r="Q3980" s="1" t="str">
        <f>_xlfn.XLOOKUP(tblSales[[#This Row],[Channel Code]],tblChannels[Channel Code],tblChannels[Channel Name],"")</f>
        <v>In-store</v>
      </c>
      <c r="R3980" s="1">
        <f>MONTH(tblSales[[#This Row],[Date]])</f>
        <v>8</v>
      </c>
    </row>
    <row r="3981" spans="2:18" x14ac:dyDescent="0.35">
      <c r="B3981" s="113">
        <v>46260</v>
      </c>
      <c r="C3981" s="4" t="s">
        <v>2678</v>
      </c>
      <c r="D3981" s="4" t="s">
        <v>4568</v>
      </c>
      <c r="E3981" s="1" t="str">
        <f>_xlfn.XLOOKUP(tblSales[[#This Row],[Customer ID]],tblCustomers[Customer ID],tblCustomers[Customer Name],"⚠ Unknown")</f>
        <v>Walk-in Customer</v>
      </c>
      <c r="F3981" s="4" t="s">
        <v>13</v>
      </c>
      <c r="G3981" s="1" t="str">
        <f>_xlfn.XLOOKUP(tblSales[[#This Row],[Product Code]],tblProducts[Code],tblProducts[Product / Service Name],"⚠ Unknown")</f>
        <v>Backpack</v>
      </c>
      <c r="H3981" s="1" t="str">
        <f>_xlfn.XLOOKUP(tblSales[[#This Row],[Product Code]],tblProducts[Code],tblProducts[Category],"")</f>
        <v>Bags &amp; Gadgets</v>
      </c>
      <c r="I3981" s="4">
        <v>6</v>
      </c>
      <c r="J3981" s="5">
        <f>_xlfn.XLOOKUP(tblSales[[#This Row],[Product Code]],tblProducts[Code],tblProducts[Selling Price (excl. VAT)],0)</f>
        <v>500000</v>
      </c>
      <c r="K3981" s="5">
        <f>tblSales[[#This Row],[Qty]]*tblSales[[#This Row],[Unit Price]]</f>
        <v>3000000</v>
      </c>
      <c r="L3981" s="5">
        <f>ROUND(tblSales[[#This Row],[DPP (excl. VAT)]]*VATEff,0)</f>
        <v>330000</v>
      </c>
      <c r="M3981" s="5">
        <f>tblSales[[#This Row],[DPP (excl. VAT)]]+tblSales[[#This Row],[Output VAT]]</f>
        <v>3330000</v>
      </c>
      <c r="N3981" s="5">
        <f>tblSales[[#This Row],[Qty]]*_xlfn.XLOOKUP(tblSales[[#This Row],[Product Code]],tblProducts[Code],tblProducts[Unit Cost],0)</f>
        <v>1740000</v>
      </c>
      <c r="O3981" s="4" t="s">
        <v>4865</v>
      </c>
      <c r="P3981" s="4" t="s">
        <v>4860</v>
      </c>
      <c r="Q3981" s="1" t="str">
        <f>_xlfn.XLOOKUP(tblSales[[#This Row],[Channel Code]],tblChannels[Channel Code],tblChannels[Channel Name],"")</f>
        <v>In-store</v>
      </c>
      <c r="R3981" s="1">
        <f>MONTH(tblSales[[#This Row],[Date]])</f>
        <v>8</v>
      </c>
    </row>
    <row r="3982" spans="2:18" x14ac:dyDescent="0.35">
      <c r="B3982" s="113">
        <v>46260</v>
      </c>
      <c r="C3982" s="4" t="s">
        <v>2678</v>
      </c>
      <c r="D3982" s="4" t="s">
        <v>4568</v>
      </c>
      <c r="E3982" s="1" t="str">
        <f>_xlfn.XLOOKUP(tblSales[[#This Row],[Customer ID]],tblCustomers[Customer ID],tblCustomers[Customer Name],"⚠ Unknown")</f>
        <v>Walk-in Customer</v>
      </c>
      <c r="F3982" s="4" t="s">
        <v>8</v>
      </c>
      <c r="G3982" s="1" t="str">
        <f>_xlfn.XLOOKUP(tblSales[[#This Row],[Product Code]],tblProducts[Code],tblProducts[Product / Service Name],"⚠ Unknown")</f>
        <v>Casual Shorts</v>
      </c>
      <c r="H3982" s="1" t="str">
        <f>_xlfn.XLOOKUP(tblSales[[#This Row],[Product Code]],tblProducts[Code],tblProducts[Category],"")</f>
        <v>Accessories &amp; Basics</v>
      </c>
      <c r="I3982" s="4">
        <v>2</v>
      </c>
      <c r="J3982" s="5">
        <f>_xlfn.XLOOKUP(tblSales[[#This Row],[Product Code]],tblProducts[Code],tblProducts[Selling Price (excl. VAT)],0)</f>
        <v>85000</v>
      </c>
      <c r="K3982" s="5">
        <f>tblSales[[#This Row],[Qty]]*tblSales[[#This Row],[Unit Price]]</f>
        <v>170000</v>
      </c>
      <c r="L3982" s="5">
        <f>ROUND(tblSales[[#This Row],[DPP (excl. VAT)]]*VATEff,0)</f>
        <v>18700</v>
      </c>
      <c r="M3982" s="5">
        <f>tblSales[[#This Row],[DPP (excl. VAT)]]+tblSales[[#This Row],[Output VAT]]</f>
        <v>188700</v>
      </c>
      <c r="N3982" s="5">
        <f>tblSales[[#This Row],[Qty]]*_xlfn.XLOOKUP(tblSales[[#This Row],[Product Code]],tblProducts[Code],tblProducts[Unit Cost],0)</f>
        <v>100000</v>
      </c>
      <c r="O3982" s="4" t="s">
        <v>4865</v>
      </c>
      <c r="P3982" s="4" t="s">
        <v>4860</v>
      </c>
      <c r="Q3982" s="1" t="str">
        <f>_xlfn.XLOOKUP(tblSales[[#This Row],[Channel Code]],tblChannels[Channel Code],tblChannels[Channel Name],"")</f>
        <v>In-store</v>
      </c>
      <c r="R3982" s="1">
        <f>MONTH(tblSales[[#This Row],[Date]])</f>
        <v>8</v>
      </c>
    </row>
    <row r="3983" spans="2:18" x14ac:dyDescent="0.35">
      <c r="B3983" s="113">
        <v>46260</v>
      </c>
      <c r="C3983" s="4" t="s">
        <v>2679</v>
      </c>
      <c r="D3983" s="4" t="s">
        <v>4568</v>
      </c>
      <c r="E3983" s="1" t="str">
        <f>_xlfn.XLOOKUP(tblSales[[#This Row],[Customer ID]],tblCustomers[Customer ID],tblCustomers[Customer Name],"⚠ Unknown")</f>
        <v>Walk-in Customer</v>
      </c>
      <c r="F3983" s="4" t="s">
        <v>7</v>
      </c>
      <c r="G3983" s="1" t="str">
        <f>_xlfn.XLOOKUP(tblSales[[#This Row],[Product Code]],tblProducts[Code],tblProducts[Product / Service Name],"⚠ Unknown")</f>
        <v>Premium Basic T-shirt</v>
      </c>
      <c r="H3983" s="1" t="str">
        <f>_xlfn.XLOOKUP(tblSales[[#This Row],[Product Code]],tblProducts[Code],tblProducts[Category],"")</f>
        <v>Accessories &amp; Basics</v>
      </c>
      <c r="I3983" s="4">
        <v>9</v>
      </c>
      <c r="J3983" s="5">
        <f>_xlfn.XLOOKUP(tblSales[[#This Row],[Product Code]],tblProducts[Code],tblProducts[Selling Price (excl. VAT)],0)</f>
        <v>65000</v>
      </c>
      <c r="K3983" s="5">
        <f>tblSales[[#This Row],[Qty]]*tblSales[[#This Row],[Unit Price]]</f>
        <v>585000</v>
      </c>
      <c r="L3983" s="5">
        <f>ROUND(tblSales[[#This Row],[DPP (excl. VAT)]]*VATEff,0)</f>
        <v>64350</v>
      </c>
      <c r="M3983" s="5">
        <f>tblSales[[#This Row],[DPP (excl. VAT)]]+tblSales[[#This Row],[Output VAT]]</f>
        <v>649350</v>
      </c>
      <c r="N3983" s="5">
        <f>tblSales[[#This Row],[Qty]]*_xlfn.XLOOKUP(tblSales[[#This Row],[Product Code]],tblProducts[Code],tblProducts[Unit Cost],0)</f>
        <v>333000</v>
      </c>
      <c r="O3983" s="4" t="s">
        <v>4865</v>
      </c>
      <c r="P3983" s="4" t="s">
        <v>4860</v>
      </c>
      <c r="Q3983" s="1" t="str">
        <f>_xlfn.XLOOKUP(tblSales[[#This Row],[Channel Code]],tblChannels[Channel Code],tblChannels[Channel Name],"")</f>
        <v>In-store</v>
      </c>
      <c r="R3983" s="1">
        <f>MONTH(tblSales[[#This Row],[Date]])</f>
        <v>8</v>
      </c>
    </row>
    <row r="3984" spans="2:18" x14ac:dyDescent="0.35">
      <c r="B3984" s="113">
        <v>46260</v>
      </c>
      <c r="C3984" s="4" t="s">
        <v>2680</v>
      </c>
      <c r="D3984" s="4" t="s">
        <v>4593</v>
      </c>
      <c r="E3984" s="1" t="str">
        <f>_xlfn.XLOOKUP(tblSales[[#This Row],[Customer ID]],tblCustomers[Customer ID],tblCustomers[Customer Name],"⚠ Unknown")</f>
        <v>PT Graha Nusa Persada</v>
      </c>
      <c r="F3984" s="4" t="s">
        <v>8</v>
      </c>
      <c r="G3984" s="1" t="str">
        <f>_xlfn.XLOOKUP(tblSales[[#This Row],[Product Code]],tblProducts[Code],tblProducts[Product / Service Name],"⚠ Unknown")</f>
        <v>Casual Shorts</v>
      </c>
      <c r="H3984" s="1" t="str">
        <f>_xlfn.XLOOKUP(tblSales[[#This Row],[Product Code]],tblProducts[Code],tblProducts[Category],"")</f>
        <v>Accessories &amp; Basics</v>
      </c>
      <c r="I3984" s="4">
        <v>64</v>
      </c>
      <c r="J3984" s="5">
        <f>_xlfn.XLOOKUP(tblSales[[#This Row],[Product Code]],tblProducts[Code],tblProducts[Selling Price (excl. VAT)],0)</f>
        <v>85000</v>
      </c>
      <c r="K3984" s="5">
        <f>tblSales[[#This Row],[Qty]]*tblSales[[#This Row],[Unit Price]]</f>
        <v>5440000</v>
      </c>
      <c r="L3984" s="5">
        <f>ROUND(tblSales[[#This Row],[DPP (excl. VAT)]]*VATEff,0)</f>
        <v>598400</v>
      </c>
      <c r="M3984" s="5">
        <f>tblSales[[#This Row],[DPP (excl. VAT)]]+tblSales[[#This Row],[Output VAT]]</f>
        <v>6038400</v>
      </c>
      <c r="N3984" s="5">
        <f>tblSales[[#This Row],[Qty]]*_xlfn.XLOOKUP(tblSales[[#This Row],[Product Code]],tblProducts[Code],tblProducts[Unit Cost],0)</f>
        <v>3200000</v>
      </c>
      <c r="O3984" s="4" t="s">
        <v>4867</v>
      </c>
      <c r="P3984" s="4" t="s">
        <v>4860</v>
      </c>
      <c r="Q3984" s="1" t="str">
        <f>_xlfn.XLOOKUP(tblSales[[#This Row],[Channel Code]],tblChannels[Channel Code],tblChannels[Channel Name],"")</f>
        <v>In-store</v>
      </c>
      <c r="R3984" s="1">
        <f>MONTH(tblSales[[#This Row],[Date]])</f>
        <v>8</v>
      </c>
    </row>
    <row r="3985" spans="2:18" x14ac:dyDescent="0.35">
      <c r="B3985" s="113">
        <v>46260</v>
      </c>
      <c r="C3985" s="4" t="s">
        <v>2681</v>
      </c>
      <c r="D3985" s="4" t="s">
        <v>4568</v>
      </c>
      <c r="E3985" s="1" t="str">
        <f>_xlfn.XLOOKUP(tblSales[[#This Row],[Customer ID]],tblCustomers[Customer ID],tblCustomers[Customer Name],"⚠ Unknown")</f>
        <v>Walk-in Customer</v>
      </c>
      <c r="F3985" s="4" t="s">
        <v>6</v>
      </c>
      <c r="G3985" s="1" t="str">
        <f>_xlfn.XLOOKUP(tblSales[[#This Row],[Product Code]],tblProducts[Code],tblProducts[Product / Service Name],"⚠ Unknown")</f>
        <v>Socks &amp; Accessories</v>
      </c>
      <c r="H3985" s="1" t="str">
        <f>_xlfn.XLOOKUP(tblSales[[#This Row],[Product Code]],tblProducts[Code],tblProducts[Category],"")</f>
        <v>Accessories &amp; Basics</v>
      </c>
      <c r="I3985" s="4">
        <v>10</v>
      </c>
      <c r="J3985" s="5">
        <f>_xlfn.XLOOKUP(tblSales[[#This Row],[Product Code]],tblProducts[Code],tblProducts[Selling Price (excl. VAT)],0)</f>
        <v>45000</v>
      </c>
      <c r="K3985" s="5">
        <f>tblSales[[#This Row],[Qty]]*tblSales[[#This Row],[Unit Price]]</f>
        <v>450000</v>
      </c>
      <c r="L3985" s="5">
        <f>ROUND(tblSales[[#This Row],[DPP (excl. VAT)]]*VATEff,0)</f>
        <v>49500</v>
      </c>
      <c r="M3985" s="5">
        <f>tblSales[[#This Row],[DPP (excl. VAT)]]+tblSales[[#This Row],[Output VAT]]</f>
        <v>499500</v>
      </c>
      <c r="N3985" s="5">
        <f>tblSales[[#This Row],[Qty]]*_xlfn.XLOOKUP(tblSales[[#This Row],[Product Code]],tblProducts[Code],tblProducts[Unit Cost],0)</f>
        <v>240000</v>
      </c>
      <c r="O3985" s="4" t="s">
        <v>4865</v>
      </c>
      <c r="P3985" s="4" t="s">
        <v>4860</v>
      </c>
      <c r="Q3985" s="1" t="str">
        <f>_xlfn.XLOOKUP(tblSales[[#This Row],[Channel Code]],tblChannels[Channel Code],tblChannels[Channel Name],"")</f>
        <v>In-store</v>
      </c>
      <c r="R3985" s="1">
        <f>MONTH(tblSales[[#This Row],[Date]])</f>
        <v>8</v>
      </c>
    </row>
    <row r="3986" spans="2:18" x14ac:dyDescent="0.35">
      <c r="B3986" s="113">
        <v>46260</v>
      </c>
      <c r="C3986" s="4" t="s">
        <v>2681</v>
      </c>
      <c r="D3986" s="4" t="s">
        <v>4568</v>
      </c>
      <c r="E3986" s="1" t="str">
        <f>_xlfn.XLOOKUP(tblSales[[#This Row],[Customer ID]],tblCustomers[Customer ID],tblCustomers[Customer Name],"⚠ Unknown")</f>
        <v>Walk-in Customer</v>
      </c>
      <c r="F3986" s="4" t="s">
        <v>10</v>
      </c>
      <c r="G3986" s="1" t="str">
        <f>_xlfn.XLOOKUP(tblSales[[#This Row],[Product Code]],tblProducts[Code],tblProducts[Product / Service Name],"⚠ Unknown")</f>
        <v>Chino Pants</v>
      </c>
      <c r="H3986" s="1" t="str">
        <f>_xlfn.XLOOKUP(tblSales[[#This Row],[Product Code]],tblProducts[Code],tblProducts[Category],"")</f>
        <v>Apparel &amp; Footwear</v>
      </c>
      <c r="I3986" s="4">
        <v>3</v>
      </c>
      <c r="J3986" s="5">
        <f>_xlfn.XLOOKUP(tblSales[[#This Row],[Product Code]],tblProducts[Code],tblProducts[Selling Price (excl. VAT)],0)</f>
        <v>150000</v>
      </c>
      <c r="K3986" s="5">
        <f>tblSales[[#This Row],[Qty]]*tblSales[[#This Row],[Unit Price]]</f>
        <v>450000</v>
      </c>
      <c r="L3986" s="5">
        <f>ROUND(tblSales[[#This Row],[DPP (excl. VAT)]]*VATEff,0)</f>
        <v>49500</v>
      </c>
      <c r="M3986" s="5">
        <f>tblSales[[#This Row],[DPP (excl. VAT)]]+tblSales[[#This Row],[Output VAT]]</f>
        <v>499500</v>
      </c>
      <c r="N3986" s="5">
        <f>tblSales[[#This Row],[Qty]]*_xlfn.XLOOKUP(tblSales[[#This Row],[Product Code]],tblProducts[Code],tblProducts[Unit Cost],0)</f>
        <v>264000</v>
      </c>
      <c r="O3986" s="4" t="s">
        <v>4865</v>
      </c>
      <c r="P3986" s="4" t="s">
        <v>4860</v>
      </c>
      <c r="Q3986" s="1" t="str">
        <f>_xlfn.XLOOKUP(tblSales[[#This Row],[Channel Code]],tblChannels[Channel Code],tblChannels[Channel Name],"")</f>
        <v>In-store</v>
      </c>
      <c r="R3986" s="1">
        <f>MONTH(tblSales[[#This Row],[Date]])</f>
        <v>8</v>
      </c>
    </row>
    <row r="3987" spans="2:18" x14ac:dyDescent="0.35">
      <c r="B3987" s="113">
        <v>46260</v>
      </c>
      <c r="C3987" s="4" t="s">
        <v>2681</v>
      </c>
      <c r="D3987" s="4" t="s">
        <v>4568</v>
      </c>
      <c r="E3987" s="1" t="str">
        <f>_xlfn.XLOOKUP(tblSales[[#This Row],[Customer ID]],tblCustomers[Customer ID],tblCustomers[Customer Name],"⚠ Unknown")</f>
        <v>Walk-in Customer</v>
      </c>
      <c r="F3987" s="4" t="s">
        <v>7</v>
      </c>
      <c r="G3987" s="1" t="str">
        <f>_xlfn.XLOOKUP(tblSales[[#This Row],[Product Code]],tblProducts[Code],tblProducts[Product / Service Name],"⚠ Unknown")</f>
        <v>Premium Basic T-shirt</v>
      </c>
      <c r="H3987" s="1" t="str">
        <f>_xlfn.XLOOKUP(tblSales[[#This Row],[Product Code]],tblProducts[Code],tblProducts[Category],"")</f>
        <v>Accessories &amp; Basics</v>
      </c>
      <c r="I3987" s="4">
        <v>11</v>
      </c>
      <c r="J3987" s="5">
        <f>_xlfn.XLOOKUP(tblSales[[#This Row],[Product Code]],tblProducts[Code],tblProducts[Selling Price (excl. VAT)],0)</f>
        <v>65000</v>
      </c>
      <c r="K3987" s="5">
        <f>tblSales[[#This Row],[Qty]]*tblSales[[#This Row],[Unit Price]]</f>
        <v>715000</v>
      </c>
      <c r="L3987" s="5">
        <f>ROUND(tblSales[[#This Row],[DPP (excl. VAT)]]*VATEff,0)</f>
        <v>78650</v>
      </c>
      <c r="M3987" s="5">
        <f>tblSales[[#This Row],[DPP (excl. VAT)]]+tblSales[[#This Row],[Output VAT]]</f>
        <v>793650</v>
      </c>
      <c r="N3987" s="5">
        <f>tblSales[[#This Row],[Qty]]*_xlfn.XLOOKUP(tblSales[[#This Row],[Product Code]],tblProducts[Code],tblProducts[Unit Cost],0)</f>
        <v>407000</v>
      </c>
      <c r="O3987" s="4" t="s">
        <v>4865</v>
      </c>
      <c r="P3987" s="4" t="s">
        <v>4860</v>
      </c>
      <c r="Q3987" s="1" t="str">
        <f>_xlfn.XLOOKUP(tblSales[[#This Row],[Channel Code]],tblChannels[Channel Code],tblChannels[Channel Name],"")</f>
        <v>In-store</v>
      </c>
      <c r="R3987" s="1">
        <f>MONTH(tblSales[[#This Row],[Date]])</f>
        <v>8</v>
      </c>
    </row>
    <row r="3988" spans="2:18" x14ac:dyDescent="0.35">
      <c r="B3988" s="113">
        <v>46260</v>
      </c>
      <c r="C3988" s="4" t="s">
        <v>2682</v>
      </c>
      <c r="D3988" s="4" t="s">
        <v>4568</v>
      </c>
      <c r="E3988" s="1" t="str">
        <f>_xlfn.XLOOKUP(tblSales[[#This Row],[Customer ID]],tblCustomers[Customer ID],tblCustomers[Customer Name],"⚠ Unknown")</f>
        <v>Walk-in Customer</v>
      </c>
      <c r="F3988" s="4" t="s">
        <v>9</v>
      </c>
      <c r="G3988" s="1" t="str">
        <f>_xlfn.XLOOKUP(tblSales[[#This Row],[Product Code]],tblProducts[Code],tblProducts[Product / Service Name],"⚠ Unknown")</f>
        <v>Casual Shirt</v>
      </c>
      <c r="H3988" s="1" t="str">
        <f>_xlfn.XLOOKUP(tblSales[[#This Row],[Product Code]],tblProducts[Code],tblProducts[Category],"")</f>
        <v>Apparel &amp; Footwear</v>
      </c>
      <c r="I3988" s="4">
        <v>2</v>
      </c>
      <c r="J3988" s="5">
        <f>_xlfn.XLOOKUP(tblSales[[#This Row],[Product Code]],tblProducts[Code],tblProducts[Selling Price (excl. VAT)],0)</f>
        <v>120000</v>
      </c>
      <c r="K3988" s="5">
        <f>tblSales[[#This Row],[Qty]]*tblSales[[#This Row],[Unit Price]]</f>
        <v>240000</v>
      </c>
      <c r="L3988" s="5">
        <f>ROUND(tblSales[[#This Row],[DPP (excl. VAT)]]*VATEff,0)</f>
        <v>26400</v>
      </c>
      <c r="M3988" s="5">
        <f>tblSales[[#This Row],[DPP (excl. VAT)]]+tblSales[[#This Row],[Output VAT]]</f>
        <v>266400</v>
      </c>
      <c r="N3988" s="5">
        <f>tblSales[[#This Row],[Qty]]*_xlfn.XLOOKUP(tblSales[[#This Row],[Product Code]],tblProducts[Code],tblProducts[Unit Cost],0)</f>
        <v>144000</v>
      </c>
      <c r="O3988" s="4" t="s">
        <v>4865</v>
      </c>
      <c r="P3988" s="4" t="s">
        <v>4860</v>
      </c>
      <c r="Q3988" s="1" t="str">
        <f>_xlfn.XLOOKUP(tblSales[[#This Row],[Channel Code]],tblChannels[Channel Code],tblChannels[Channel Name],"")</f>
        <v>In-store</v>
      </c>
      <c r="R3988" s="1">
        <f>MONTH(tblSales[[#This Row],[Date]])</f>
        <v>8</v>
      </c>
    </row>
    <row r="3989" spans="2:18" x14ac:dyDescent="0.35">
      <c r="B3989" s="113">
        <v>46260</v>
      </c>
      <c r="C3989" s="4" t="s">
        <v>2682</v>
      </c>
      <c r="D3989" s="4" t="s">
        <v>4568</v>
      </c>
      <c r="E3989" s="1" t="str">
        <f>_xlfn.XLOOKUP(tblSales[[#This Row],[Customer ID]],tblCustomers[Customer ID],tblCustomers[Customer Name],"⚠ Unknown")</f>
        <v>Walk-in Customer</v>
      </c>
      <c r="F3989" s="4" t="s">
        <v>13</v>
      </c>
      <c r="G3989" s="1" t="str">
        <f>_xlfn.XLOOKUP(tblSales[[#This Row],[Product Code]],tblProducts[Code],tblProducts[Product / Service Name],"⚠ Unknown")</f>
        <v>Backpack</v>
      </c>
      <c r="H3989" s="1" t="str">
        <f>_xlfn.XLOOKUP(tblSales[[#This Row],[Product Code]],tblProducts[Code],tblProducts[Category],"")</f>
        <v>Bags &amp; Gadgets</v>
      </c>
      <c r="I3989" s="4">
        <v>6</v>
      </c>
      <c r="J3989" s="5">
        <f>_xlfn.XLOOKUP(tblSales[[#This Row],[Product Code]],tblProducts[Code],tblProducts[Selling Price (excl. VAT)],0)</f>
        <v>500000</v>
      </c>
      <c r="K3989" s="5">
        <f>tblSales[[#This Row],[Qty]]*tblSales[[#This Row],[Unit Price]]</f>
        <v>3000000</v>
      </c>
      <c r="L3989" s="5">
        <f>ROUND(tblSales[[#This Row],[DPP (excl. VAT)]]*VATEff,0)</f>
        <v>330000</v>
      </c>
      <c r="M3989" s="5">
        <f>tblSales[[#This Row],[DPP (excl. VAT)]]+tblSales[[#This Row],[Output VAT]]</f>
        <v>3330000</v>
      </c>
      <c r="N3989" s="5">
        <f>tblSales[[#This Row],[Qty]]*_xlfn.XLOOKUP(tblSales[[#This Row],[Product Code]],tblProducts[Code],tblProducts[Unit Cost],0)</f>
        <v>1740000</v>
      </c>
      <c r="O3989" s="4" t="s">
        <v>4865</v>
      </c>
      <c r="P3989" s="4" t="s">
        <v>4860</v>
      </c>
      <c r="Q3989" s="1" t="str">
        <f>_xlfn.XLOOKUP(tblSales[[#This Row],[Channel Code]],tblChannels[Channel Code],tblChannels[Channel Name],"")</f>
        <v>In-store</v>
      </c>
      <c r="R3989" s="1">
        <f>MONTH(tblSales[[#This Row],[Date]])</f>
        <v>8</v>
      </c>
    </row>
    <row r="3990" spans="2:18" x14ac:dyDescent="0.35">
      <c r="B3990" s="113">
        <v>46260</v>
      </c>
      <c r="C3990" s="4" t="s">
        <v>2683</v>
      </c>
      <c r="D3990" s="4" t="s">
        <v>4568</v>
      </c>
      <c r="E3990" s="1" t="str">
        <f>_xlfn.XLOOKUP(tblSales[[#This Row],[Customer ID]],tblCustomers[Customer ID],tblCustomers[Customer Name],"⚠ Unknown")</f>
        <v>Walk-in Customer</v>
      </c>
      <c r="F3990" s="4" t="s">
        <v>9</v>
      </c>
      <c r="G3990" s="1" t="str">
        <f>_xlfn.XLOOKUP(tblSales[[#This Row],[Product Code]],tblProducts[Code],tblProducts[Product / Service Name],"⚠ Unknown")</f>
        <v>Casual Shirt</v>
      </c>
      <c r="H3990" s="1" t="str">
        <f>_xlfn.XLOOKUP(tblSales[[#This Row],[Product Code]],tblProducts[Code],tblProducts[Category],"")</f>
        <v>Apparel &amp; Footwear</v>
      </c>
      <c r="I3990" s="4">
        <v>8</v>
      </c>
      <c r="J3990" s="5">
        <f>_xlfn.XLOOKUP(tblSales[[#This Row],[Product Code]],tblProducts[Code],tblProducts[Selling Price (excl. VAT)],0)</f>
        <v>120000</v>
      </c>
      <c r="K3990" s="5">
        <f>tblSales[[#This Row],[Qty]]*tblSales[[#This Row],[Unit Price]]</f>
        <v>960000</v>
      </c>
      <c r="L3990" s="5">
        <f>ROUND(tblSales[[#This Row],[DPP (excl. VAT)]]*VATEff,0)</f>
        <v>105600</v>
      </c>
      <c r="M3990" s="5">
        <f>tblSales[[#This Row],[DPP (excl. VAT)]]+tblSales[[#This Row],[Output VAT]]</f>
        <v>1065600</v>
      </c>
      <c r="N3990" s="5">
        <f>tblSales[[#This Row],[Qty]]*_xlfn.XLOOKUP(tblSales[[#This Row],[Product Code]],tblProducts[Code],tblProducts[Unit Cost],0)</f>
        <v>576000</v>
      </c>
      <c r="O3990" s="4" t="s">
        <v>4865</v>
      </c>
      <c r="P3990" s="4" t="s">
        <v>4860</v>
      </c>
      <c r="Q3990" s="1" t="str">
        <f>_xlfn.XLOOKUP(tblSales[[#This Row],[Channel Code]],tblChannels[Channel Code],tblChannels[Channel Name],"")</f>
        <v>In-store</v>
      </c>
      <c r="R3990" s="1">
        <f>MONTH(tblSales[[#This Row],[Date]])</f>
        <v>8</v>
      </c>
    </row>
    <row r="3991" spans="2:18" x14ac:dyDescent="0.35">
      <c r="B3991" s="113">
        <v>46260</v>
      </c>
      <c r="C3991" s="4" t="s">
        <v>2684</v>
      </c>
      <c r="D3991" s="4" t="s">
        <v>4572</v>
      </c>
      <c r="E3991" s="1" t="str">
        <f>_xlfn.XLOOKUP(tblSales[[#This Row],[Customer ID]],tblCustomers[Customer ID],tblCustomers[Customer Name],"⚠ Unknown")</f>
        <v>PT Cahaya Abadi Makmur</v>
      </c>
      <c r="F3991" s="4" t="s">
        <v>10</v>
      </c>
      <c r="G3991" s="1" t="str">
        <f>_xlfn.XLOOKUP(tblSales[[#This Row],[Product Code]],tblProducts[Code],tblProducts[Product / Service Name],"⚠ Unknown")</f>
        <v>Chino Pants</v>
      </c>
      <c r="H3991" s="1" t="str">
        <f>_xlfn.XLOOKUP(tblSales[[#This Row],[Product Code]],tblProducts[Code],tblProducts[Category],"")</f>
        <v>Apparel &amp; Footwear</v>
      </c>
      <c r="I3991" s="4">
        <v>24</v>
      </c>
      <c r="J3991" s="5">
        <f>_xlfn.XLOOKUP(tblSales[[#This Row],[Product Code]],tblProducts[Code],tblProducts[Selling Price (excl. VAT)],0)</f>
        <v>150000</v>
      </c>
      <c r="K3991" s="5">
        <f>tblSales[[#This Row],[Qty]]*tblSales[[#This Row],[Unit Price]]</f>
        <v>3600000</v>
      </c>
      <c r="L3991" s="5">
        <f>ROUND(tblSales[[#This Row],[DPP (excl. VAT)]]*VATEff,0)</f>
        <v>396000</v>
      </c>
      <c r="M3991" s="5">
        <f>tblSales[[#This Row],[DPP (excl. VAT)]]+tblSales[[#This Row],[Output VAT]]</f>
        <v>3996000</v>
      </c>
      <c r="N3991" s="5">
        <f>tblSales[[#This Row],[Qty]]*_xlfn.XLOOKUP(tblSales[[#This Row],[Product Code]],tblProducts[Code],tblProducts[Unit Cost],0)</f>
        <v>2112000</v>
      </c>
      <c r="O3991" s="4" t="s">
        <v>4867</v>
      </c>
      <c r="P3991" s="4" t="s">
        <v>4860</v>
      </c>
      <c r="Q3991" s="1" t="str">
        <f>_xlfn.XLOOKUP(tblSales[[#This Row],[Channel Code]],tblChannels[Channel Code],tblChannels[Channel Name],"")</f>
        <v>In-store</v>
      </c>
      <c r="R3991" s="1">
        <f>MONTH(tblSales[[#This Row],[Date]])</f>
        <v>8</v>
      </c>
    </row>
    <row r="3992" spans="2:18" x14ac:dyDescent="0.35">
      <c r="B3992" s="113">
        <v>46261</v>
      </c>
      <c r="C3992" s="4" t="s">
        <v>2685</v>
      </c>
      <c r="D3992" s="4" t="s">
        <v>4568</v>
      </c>
      <c r="E3992" s="1" t="str">
        <f>_xlfn.XLOOKUP(tblSales[[#This Row],[Customer ID]],tblCustomers[Customer ID],tblCustomers[Customer Name],"⚠ Unknown")</f>
        <v>Walk-in Customer</v>
      </c>
      <c r="F3992" s="4" t="s">
        <v>11</v>
      </c>
      <c r="G3992" s="1" t="str">
        <f>_xlfn.XLOOKUP(tblSales[[#This Row],[Product Code]],tblProducts[Code],tblProducts[Product / Service Name],"⚠ Unknown")</f>
        <v>Sneakers</v>
      </c>
      <c r="H3992" s="1" t="str">
        <f>_xlfn.XLOOKUP(tblSales[[#This Row],[Product Code]],tblProducts[Code],tblProducts[Category],"")</f>
        <v>Apparel &amp; Footwear</v>
      </c>
      <c r="I3992" s="4">
        <v>6</v>
      </c>
      <c r="J3992" s="5">
        <f>_xlfn.XLOOKUP(tblSales[[#This Row],[Product Code]],tblProducts[Code],tblProducts[Selling Price (excl. VAT)],0)</f>
        <v>250000</v>
      </c>
      <c r="K3992" s="5">
        <f>tblSales[[#This Row],[Qty]]*tblSales[[#This Row],[Unit Price]]</f>
        <v>1500000</v>
      </c>
      <c r="L3992" s="5">
        <f>ROUND(tblSales[[#This Row],[DPP (excl. VAT)]]*VATEff,0)</f>
        <v>165000</v>
      </c>
      <c r="M3992" s="5">
        <f>tblSales[[#This Row],[DPP (excl. VAT)]]+tblSales[[#This Row],[Output VAT]]</f>
        <v>1665000</v>
      </c>
      <c r="N3992" s="5">
        <f>tblSales[[#This Row],[Qty]]*_xlfn.XLOOKUP(tblSales[[#This Row],[Product Code]],tblProducts[Code],tblProducts[Unit Cost],0)</f>
        <v>930000</v>
      </c>
      <c r="O3992" s="4" t="s">
        <v>4865</v>
      </c>
      <c r="P3992" s="4" t="s">
        <v>4860</v>
      </c>
      <c r="Q3992" s="1" t="str">
        <f>_xlfn.XLOOKUP(tblSales[[#This Row],[Channel Code]],tblChannels[Channel Code],tblChannels[Channel Name],"")</f>
        <v>In-store</v>
      </c>
      <c r="R3992" s="1">
        <f>MONTH(tblSales[[#This Row],[Date]])</f>
        <v>8</v>
      </c>
    </row>
    <row r="3993" spans="2:18" x14ac:dyDescent="0.35">
      <c r="B3993" s="113">
        <v>46261</v>
      </c>
      <c r="C3993" s="4" t="s">
        <v>2686</v>
      </c>
      <c r="D3993" s="4" t="s">
        <v>4568</v>
      </c>
      <c r="E3993" s="1" t="str">
        <f>_xlfn.XLOOKUP(tblSales[[#This Row],[Customer ID]],tblCustomers[Customer ID],tblCustomers[Customer Name],"⚠ Unknown")</f>
        <v>Walk-in Customer</v>
      </c>
      <c r="F3993" s="4" t="s">
        <v>6</v>
      </c>
      <c r="G3993" s="1" t="str">
        <f>_xlfn.XLOOKUP(tblSales[[#This Row],[Product Code]],tblProducts[Code],tblProducts[Product / Service Name],"⚠ Unknown")</f>
        <v>Socks &amp; Accessories</v>
      </c>
      <c r="H3993" s="1" t="str">
        <f>_xlfn.XLOOKUP(tblSales[[#This Row],[Product Code]],tblProducts[Code],tblProducts[Category],"")</f>
        <v>Accessories &amp; Basics</v>
      </c>
      <c r="I3993" s="4">
        <v>3</v>
      </c>
      <c r="J3993" s="5">
        <f>_xlfn.XLOOKUP(tblSales[[#This Row],[Product Code]],tblProducts[Code],tblProducts[Selling Price (excl. VAT)],0)</f>
        <v>45000</v>
      </c>
      <c r="K3993" s="5">
        <f>tblSales[[#This Row],[Qty]]*tblSales[[#This Row],[Unit Price]]</f>
        <v>135000</v>
      </c>
      <c r="L3993" s="5">
        <f>ROUND(tblSales[[#This Row],[DPP (excl. VAT)]]*VATEff,0)</f>
        <v>14850</v>
      </c>
      <c r="M3993" s="5">
        <f>tblSales[[#This Row],[DPP (excl. VAT)]]+tblSales[[#This Row],[Output VAT]]</f>
        <v>149850</v>
      </c>
      <c r="N3993" s="5">
        <f>tblSales[[#This Row],[Qty]]*_xlfn.XLOOKUP(tblSales[[#This Row],[Product Code]],tblProducts[Code],tblProducts[Unit Cost],0)</f>
        <v>72000</v>
      </c>
      <c r="O3993" s="4" t="s">
        <v>4866</v>
      </c>
      <c r="P3993" s="4" t="s">
        <v>4861</v>
      </c>
      <c r="Q3993" s="1" t="str">
        <f>_xlfn.XLOOKUP(tblSales[[#This Row],[Channel Code]],tblChannels[Channel Code],tblChannels[Channel Name],"")</f>
        <v>Marketplace</v>
      </c>
      <c r="R3993" s="1">
        <f>MONTH(tblSales[[#This Row],[Date]])</f>
        <v>8</v>
      </c>
    </row>
    <row r="3994" spans="2:18" x14ac:dyDescent="0.35">
      <c r="B3994" s="113">
        <v>46261</v>
      </c>
      <c r="C3994" s="4" t="s">
        <v>2687</v>
      </c>
      <c r="D3994" s="4" t="s">
        <v>4568</v>
      </c>
      <c r="E3994" s="1" t="str">
        <f>_xlfn.XLOOKUP(tblSales[[#This Row],[Customer ID]],tblCustomers[Customer ID],tblCustomers[Customer Name],"⚠ Unknown")</f>
        <v>Walk-in Customer</v>
      </c>
      <c r="F3994" s="4" t="s">
        <v>11</v>
      </c>
      <c r="G3994" s="1" t="str">
        <f>_xlfn.XLOOKUP(tblSales[[#This Row],[Product Code]],tblProducts[Code],tblProducts[Product / Service Name],"⚠ Unknown")</f>
        <v>Sneakers</v>
      </c>
      <c r="H3994" s="1" t="str">
        <f>_xlfn.XLOOKUP(tblSales[[#This Row],[Product Code]],tblProducts[Code],tblProducts[Category],"")</f>
        <v>Apparel &amp; Footwear</v>
      </c>
      <c r="I3994" s="4">
        <v>1</v>
      </c>
      <c r="J3994" s="5">
        <f>_xlfn.XLOOKUP(tblSales[[#This Row],[Product Code]],tblProducts[Code],tblProducts[Selling Price (excl. VAT)],0)</f>
        <v>250000</v>
      </c>
      <c r="K3994" s="5">
        <f>tblSales[[#This Row],[Qty]]*tblSales[[#This Row],[Unit Price]]</f>
        <v>250000</v>
      </c>
      <c r="L3994" s="5">
        <f>ROUND(tblSales[[#This Row],[DPP (excl. VAT)]]*VATEff,0)</f>
        <v>27500</v>
      </c>
      <c r="M3994" s="5">
        <f>tblSales[[#This Row],[DPP (excl. VAT)]]+tblSales[[#This Row],[Output VAT]]</f>
        <v>277500</v>
      </c>
      <c r="N3994" s="5">
        <f>tblSales[[#This Row],[Qty]]*_xlfn.XLOOKUP(tblSales[[#This Row],[Product Code]],tblProducts[Code],tblProducts[Unit Cost],0)</f>
        <v>155000</v>
      </c>
      <c r="O3994" s="4" t="s">
        <v>4866</v>
      </c>
      <c r="P3994" s="4" t="s">
        <v>4861</v>
      </c>
      <c r="Q3994" s="1" t="str">
        <f>_xlfn.XLOOKUP(tblSales[[#This Row],[Channel Code]],tblChannels[Channel Code],tblChannels[Channel Name],"")</f>
        <v>Marketplace</v>
      </c>
      <c r="R3994" s="1">
        <f>MONTH(tblSales[[#This Row],[Date]])</f>
        <v>8</v>
      </c>
    </row>
    <row r="3995" spans="2:18" x14ac:dyDescent="0.35">
      <c r="B3995" s="113">
        <v>46261</v>
      </c>
      <c r="C3995" s="4" t="s">
        <v>2688</v>
      </c>
      <c r="D3995" s="4" t="s">
        <v>4568</v>
      </c>
      <c r="E3995" s="1" t="str">
        <f>_xlfn.XLOOKUP(tblSales[[#This Row],[Customer ID]],tblCustomers[Customer ID],tblCustomers[Customer Name],"⚠ Unknown")</f>
        <v>Walk-in Customer</v>
      </c>
      <c r="F3995" s="4" t="s">
        <v>12</v>
      </c>
      <c r="G3995" s="1" t="str">
        <f>_xlfn.XLOOKUP(tblSales[[#This Row],[Product Code]],tblProducts[Code],tblProducts[Product / Service Name],"⚠ Unknown")</f>
        <v>Bomber Jacket</v>
      </c>
      <c r="H3995" s="1" t="str">
        <f>_xlfn.XLOOKUP(tblSales[[#This Row],[Product Code]],tblProducts[Code],tblProducts[Category],"")</f>
        <v>Apparel &amp; Footwear</v>
      </c>
      <c r="I3995" s="4">
        <v>6</v>
      </c>
      <c r="J3995" s="5">
        <f>_xlfn.XLOOKUP(tblSales[[#This Row],[Product Code]],tblProducts[Code],tblProducts[Selling Price (excl. VAT)],0)</f>
        <v>350000</v>
      </c>
      <c r="K3995" s="5">
        <f>tblSales[[#This Row],[Qty]]*tblSales[[#This Row],[Unit Price]]</f>
        <v>2100000</v>
      </c>
      <c r="L3995" s="5">
        <f>ROUND(tblSales[[#This Row],[DPP (excl. VAT)]]*VATEff,0)</f>
        <v>231000</v>
      </c>
      <c r="M3995" s="5">
        <f>tblSales[[#This Row],[DPP (excl. VAT)]]+tblSales[[#This Row],[Output VAT]]</f>
        <v>2331000</v>
      </c>
      <c r="N3995" s="5">
        <f>tblSales[[#This Row],[Qty]]*_xlfn.XLOOKUP(tblSales[[#This Row],[Product Code]],tblProducts[Code],tblProducts[Unit Cost],0)</f>
        <v>1260000</v>
      </c>
      <c r="O3995" s="4" t="s">
        <v>4865</v>
      </c>
      <c r="P3995" s="4" t="s">
        <v>4860</v>
      </c>
      <c r="Q3995" s="1" t="str">
        <f>_xlfn.XLOOKUP(tblSales[[#This Row],[Channel Code]],tblChannels[Channel Code],tblChannels[Channel Name],"")</f>
        <v>In-store</v>
      </c>
      <c r="R3995" s="1">
        <f>MONTH(tblSales[[#This Row],[Date]])</f>
        <v>8</v>
      </c>
    </row>
    <row r="3996" spans="2:18" x14ac:dyDescent="0.35">
      <c r="B3996" s="113">
        <v>46261</v>
      </c>
      <c r="C3996" s="4" t="s">
        <v>2688</v>
      </c>
      <c r="D3996" s="4" t="s">
        <v>4568</v>
      </c>
      <c r="E3996" s="1" t="str">
        <f>_xlfn.XLOOKUP(tblSales[[#This Row],[Customer ID]],tblCustomers[Customer ID],tblCustomers[Customer Name],"⚠ Unknown")</f>
        <v>Walk-in Customer</v>
      </c>
      <c r="F3996" s="4" t="s">
        <v>7</v>
      </c>
      <c r="G3996" s="1" t="str">
        <f>_xlfn.XLOOKUP(tblSales[[#This Row],[Product Code]],tblProducts[Code],tblProducts[Product / Service Name],"⚠ Unknown")</f>
        <v>Premium Basic T-shirt</v>
      </c>
      <c r="H3996" s="1" t="str">
        <f>_xlfn.XLOOKUP(tblSales[[#This Row],[Product Code]],tblProducts[Code],tblProducts[Category],"")</f>
        <v>Accessories &amp; Basics</v>
      </c>
      <c r="I3996" s="4">
        <v>5</v>
      </c>
      <c r="J3996" s="5">
        <f>_xlfn.XLOOKUP(tblSales[[#This Row],[Product Code]],tblProducts[Code],tblProducts[Selling Price (excl. VAT)],0)</f>
        <v>65000</v>
      </c>
      <c r="K3996" s="5">
        <f>tblSales[[#This Row],[Qty]]*tblSales[[#This Row],[Unit Price]]</f>
        <v>325000</v>
      </c>
      <c r="L3996" s="5">
        <f>ROUND(tblSales[[#This Row],[DPP (excl. VAT)]]*VATEff,0)</f>
        <v>35750</v>
      </c>
      <c r="M3996" s="5">
        <f>tblSales[[#This Row],[DPP (excl. VAT)]]+tblSales[[#This Row],[Output VAT]]</f>
        <v>360750</v>
      </c>
      <c r="N3996" s="5">
        <f>tblSales[[#This Row],[Qty]]*_xlfn.XLOOKUP(tblSales[[#This Row],[Product Code]],tblProducts[Code],tblProducts[Unit Cost],0)</f>
        <v>185000</v>
      </c>
      <c r="O3996" s="4" t="s">
        <v>4865</v>
      </c>
      <c r="P3996" s="4" t="s">
        <v>4860</v>
      </c>
      <c r="Q3996" s="1" t="str">
        <f>_xlfn.XLOOKUP(tblSales[[#This Row],[Channel Code]],tblChannels[Channel Code],tblChannels[Channel Name],"")</f>
        <v>In-store</v>
      </c>
      <c r="R3996" s="1">
        <f>MONTH(tblSales[[#This Row],[Date]])</f>
        <v>8</v>
      </c>
    </row>
    <row r="3997" spans="2:18" x14ac:dyDescent="0.35">
      <c r="B3997" s="113">
        <v>46261</v>
      </c>
      <c r="C3997" s="4" t="s">
        <v>2689</v>
      </c>
      <c r="D3997" s="4" t="s">
        <v>4568</v>
      </c>
      <c r="E3997" s="1" t="str">
        <f>_xlfn.XLOOKUP(tblSales[[#This Row],[Customer ID]],tblCustomers[Customer ID],tblCustomers[Customer Name],"⚠ Unknown")</f>
        <v>Walk-in Customer</v>
      </c>
      <c r="F3997" s="4" t="s">
        <v>9</v>
      </c>
      <c r="G3997" s="1" t="str">
        <f>_xlfn.XLOOKUP(tblSales[[#This Row],[Product Code]],tblProducts[Code],tblProducts[Product / Service Name],"⚠ Unknown")</f>
        <v>Casual Shirt</v>
      </c>
      <c r="H3997" s="1" t="str">
        <f>_xlfn.XLOOKUP(tblSales[[#This Row],[Product Code]],tblProducts[Code],tblProducts[Category],"")</f>
        <v>Apparel &amp; Footwear</v>
      </c>
      <c r="I3997" s="4">
        <v>3</v>
      </c>
      <c r="J3997" s="5">
        <f>_xlfn.XLOOKUP(tblSales[[#This Row],[Product Code]],tblProducts[Code],tblProducts[Selling Price (excl. VAT)],0)</f>
        <v>120000</v>
      </c>
      <c r="K3997" s="5">
        <f>tblSales[[#This Row],[Qty]]*tblSales[[#This Row],[Unit Price]]</f>
        <v>360000</v>
      </c>
      <c r="L3997" s="5">
        <f>ROUND(tblSales[[#This Row],[DPP (excl. VAT)]]*VATEff,0)</f>
        <v>39600</v>
      </c>
      <c r="M3997" s="5">
        <f>tblSales[[#This Row],[DPP (excl. VAT)]]+tblSales[[#This Row],[Output VAT]]</f>
        <v>399600</v>
      </c>
      <c r="N3997" s="5">
        <f>tblSales[[#This Row],[Qty]]*_xlfn.XLOOKUP(tblSales[[#This Row],[Product Code]],tblProducts[Code],tblProducts[Unit Cost],0)</f>
        <v>216000</v>
      </c>
      <c r="O3997" s="4" t="s">
        <v>4865</v>
      </c>
      <c r="P3997" s="4" t="s">
        <v>4860</v>
      </c>
      <c r="Q3997" s="1" t="str">
        <f>_xlfn.XLOOKUP(tblSales[[#This Row],[Channel Code]],tblChannels[Channel Code],tblChannels[Channel Name],"")</f>
        <v>In-store</v>
      </c>
      <c r="R3997" s="1">
        <f>MONTH(tblSales[[#This Row],[Date]])</f>
        <v>8</v>
      </c>
    </row>
    <row r="3998" spans="2:18" x14ac:dyDescent="0.35">
      <c r="B3998" s="113">
        <v>46261</v>
      </c>
      <c r="C3998" s="4" t="s">
        <v>2690</v>
      </c>
      <c r="D3998" s="4" t="s">
        <v>4568</v>
      </c>
      <c r="E3998" s="1" t="str">
        <f>_xlfn.XLOOKUP(tblSales[[#This Row],[Customer ID]],tblCustomers[Customer ID],tblCustomers[Customer Name],"⚠ Unknown")</f>
        <v>Walk-in Customer</v>
      </c>
      <c r="F3998" s="4" t="s">
        <v>7</v>
      </c>
      <c r="G3998" s="1" t="str">
        <f>_xlfn.XLOOKUP(tblSales[[#This Row],[Product Code]],tblProducts[Code],tblProducts[Product / Service Name],"⚠ Unknown")</f>
        <v>Premium Basic T-shirt</v>
      </c>
      <c r="H3998" s="1" t="str">
        <f>_xlfn.XLOOKUP(tblSales[[#This Row],[Product Code]],tblProducts[Code],tblProducts[Category],"")</f>
        <v>Accessories &amp; Basics</v>
      </c>
      <c r="I3998" s="4">
        <v>9</v>
      </c>
      <c r="J3998" s="5">
        <f>_xlfn.XLOOKUP(tblSales[[#This Row],[Product Code]],tblProducts[Code],tblProducts[Selling Price (excl. VAT)],0)</f>
        <v>65000</v>
      </c>
      <c r="K3998" s="5">
        <f>tblSales[[#This Row],[Qty]]*tblSales[[#This Row],[Unit Price]]</f>
        <v>585000</v>
      </c>
      <c r="L3998" s="5">
        <f>ROUND(tblSales[[#This Row],[DPP (excl. VAT)]]*VATEff,0)</f>
        <v>64350</v>
      </c>
      <c r="M3998" s="5">
        <f>tblSales[[#This Row],[DPP (excl. VAT)]]+tblSales[[#This Row],[Output VAT]]</f>
        <v>649350</v>
      </c>
      <c r="N3998" s="5">
        <f>tblSales[[#This Row],[Qty]]*_xlfn.XLOOKUP(tblSales[[#This Row],[Product Code]],tblProducts[Code],tblProducts[Unit Cost],0)</f>
        <v>333000</v>
      </c>
      <c r="O3998" s="4" t="s">
        <v>4866</v>
      </c>
      <c r="P3998" s="4" t="s">
        <v>4862</v>
      </c>
      <c r="Q3998" s="1" t="str">
        <f>_xlfn.XLOOKUP(tblSales[[#This Row],[Channel Code]],tblChannels[Channel Code],tblChannels[Channel Name],"")</f>
        <v>Website &amp; Social Media</v>
      </c>
      <c r="R3998" s="1">
        <f>MONTH(tblSales[[#This Row],[Date]])</f>
        <v>8</v>
      </c>
    </row>
    <row r="3999" spans="2:18" x14ac:dyDescent="0.35">
      <c r="B3999" s="113">
        <v>46261</v>
      </c>
      <c r="C3999" s="4" t="s">
        <v>2691</v>
      </c>
      <c r="D3999" s="4" t="s">
        <v>4648</v>
      </c>
      <c r="E3999" s="1" t="str">
        <f>_xlfn.XLOOKUP(tblSales[[#This Row],[Customer ID]],tblCustomers[Customer ID],tblCustomers[Customer Name],"⚠ Unknown")</f>
        <v>PT Lintas Benua Niaga</v>
      </c>
      <c r="F3999" s="4" t="s">
        <v>13</v>
      </c>
      <c r="G3999" s="1" t="str">
        <f>_xlfn.XLOOKUP(tblSales[[#This Row],[Product Code]],tblProducts[Code],tblProducts[Product / Service Name],"⚠ Unknown")</f>
        <v>Backpack</v>
      </c>
      <c r="H3999" s="1" t="str">
        <f>_xlfn.XLOOKUP(tblSales[[#This Row],[Product Code]],tblProducts[Code],tblProducts[Category],"")</f>
        <v>Bags &amp; Gadgets</v>
      </c>
      <c r="I3999" s="4">
        <v>24</v>
      </c>
      <c r="J3999" s="5">
        <f>_xlfn.XLOOKUP(tblSales[[#This Row],[Product Code]],tblProducts[Code],tblProducts[Selling Price (excl. VAT)],0)</f>
        <v>500000</v>
      </c>
      <c r="K3999" s="5">
        <f>tblSales[[#This Row],[Qty]]*tblSales[[#This Row],[Unit Price]]</f>
        <v>12000000</v>
      </c>
      <c r="L3999" s="5">
        <f>ROUND(tblSales[[#This Row],[DPP (excl. VAT)]]*VATEff,0)</f>
        <v>1320000</v>
      </c>
      <c r="M3999" s="5">
        <f>tblSales[[#This Row],[DPP (excl. VAT)]]+tblSales[[#This Row],[Output VAT]]</f>
        <v>13320000</v>
      </c>
      <c r="N3999" s="5">
        <f>tblSales[[#This Row],[Qty]]*_xlfn.XLOOKUP(tblSales[[#This Row],[Product Code]],tblProducts[Code],tblProducts[Unit Cost],0)</f>
        <v>6960000</v>
      </c>
      <c r="O3999" s="4" t="s">
        <v>4867</v>
      </c>
      <c r="P3999" s="4" t="s">
        <v>4860</v>
      </c>
      <c r="Q3999" s="1" t="str">
        <f>_xlfn.XLOOKUP(tblSales[[#This Row],[Channel Code]],tblChannels[Channel Code],tblChannels[Channel Name],"")</f>
        <v>In-store</v>
      </c>
      <c r="R3999" s="1">
        <f>MONTH(tblSales[[#This Row],[Date]])</f>
        <v>8</v>
      </c>
    </row>
    <row r="4000" spans="2:18" x14ac:dyDescent="0.35">
      <c r="B4000" s="113">
        <v>46261</v>
      </c>
      <c r="C4000" s="4" t="s">
        <v>2691</v>
      </c>
      <c r="D4000" s="4" t="s">
        <v>4648</v>
      </c>
      <c r="E4000" s="1" t="str">
        <f>_xlfn.XLOOKUP(tblSales[[#This Row],[Customer ID]],tblCustomers[Customer ID],tblCustomers[Customer Name],"⚠ Unknown")</f>
        <v>PT Lintas Benua Niaga</v>
      </c>
      <c r="F4000" s="4" t="s">
        <v>9</v>
      </c>
      <c r="G4000" s="1" t="str">
        <f>_xlfn.XLOOKUP(tblSales[[#This Row],[Product Code]],tblProducts[Code],tblProducts[Product / Service Name],"⚠ Unknown")</f>
        <v>Casual Shirt</v>
      </c>
      <c r="H4000" s="1" t="str">
        <f>_xlfn.XLOOKUP(tblSales[[#This Row],[Product Code]],tblProducts[Code],tblProducts[Category],"")</f>
        <v>Apparel &amp; Footwear</v>
      </c>
      <c r="I4000" s="4">
        <v>96</v>
      </c>
      <c r="J4000" s="5">
        <f>_xlfn.XLOOKUP(tblSales[[#This Row],[Product Code]],tblProducts[Code],tblProducts[Selling Price (excl. VAT)],0)</f>
        <v>120000</v>
      </c>
      <c r="K4000" s="5">
        <f>tblSales[[#This Row],[Qty]]*tblSales[[#This Row],[Unit Price]]</f>
        <v>11520000</v>
      </c>
      <c r="L4000" s="5">
        <f>ROUND(tblSales[[#This Row],[DPP (excl. VAT)]]*VATEff,0)</f>
        <v>1267200</v>
      </c>
      <c r="M4000" s="5">
        <f>tblSales[[#This Row],[DPP (excl. VAT)]]+tblSales[[#This Row],[Output VAT]]</f>
        <v>12787200</v>
      </c>
      <c r="N4000" s="5">
        <f>tblSales[[#This Row],[Qty]]*_xlfn.XLOOKUP(tblSales[[#This Row],[Product Code]],tblProducts[Code],tblProducts[Unit Cost],0)</f>
        <v>6912000</v>
      </c>
      <c r="O4000" s="4" t="s">
        <v>4867</v>
      </c>
      <c r="P4000" s="4" t="s">
        <v>4860</v>
      </c>
      <c r="Q4000" s="1" t="str">
        <f>_xlfn.XLOOKUP(tblSales[[#This Row],[Channel Code]],tblChannels[Channel Code],tblChannels[Channel Name],"")</f>
        <v>In-store</v>
      </c>
      <c r="R4000" s="1">
        <f>MONTH(tblSales[[#This Row],[Date]])</f>
        <v>8</v>
      </c>
    </row>
    <row r="4001" spans="2:18" x14ac:dyDescent="0.35">
      <c r="B4001" s="113">
        <v>46261</v>
      </c>
      <c r="C4001" s="4" t="s">
        <v>2692</v>
      </c>
      <c r="D4001" s="4" t="s">
        <v>4568</v>
      </c>
      <c r="E4001" s="1" t="str">
        <f>_xlfn.XLOOKUP(tblSales[[#This Row],[Customer ID]],tblCustomers[Customer ID],tblCustomers[Customer Name],"⚠ Unknown")</f>
        <v>Walk-in Customer</v>
      </c>
      <c r="F4001" s="4" t="s">
        <v>9</v>
      </c>
      <c r="G4001" s="1" t="str">
        <f>_xlfn.XLOOKUP(tblSales[[#This Row],[Product Code]],tblProducts[Code],tblProducts[Product / Service Name],"⚠ Unknown")</f>
        <v>Casual Shirt</v>
      </c>
      <c r="H4001" s="1" t="str">
        <f>_xlfn.XLOOKUP(tblSales[[#This Row],[Product Code]],tblProducts[Code],tblProducts[Category],"")</f>
        <v>Apparel &amp; Footwear</v>
      </c>
      <c r="I4001" s="4">
        <v>4</v>
      </c>
      <c r="J4001" s="5">
        <f>_xlfn.XLOOKUP(tblSales[[#This Row],[Product Code]],tblProducts[Code],tblProducts[Selling Price (excl. VAT)],0)</f>
        <v>120000</v>
      </c>
      <c r="K4001" s="5">
        <f>tblSales[[#This Row],[Qty]]*tblSales[[#This Row],[Unit Price]]</f>
        <v>480000</v>
      </c>
      <c r="L4001" s="5">
        <f>ROUND(tblSales[[#This Row],[DPP (excl. VAT)]]*VATEff,0)</f>
        <v>52800</v>
      </c>
      <c r="M4001" s="5">
        <f>tblSales[[#This Row],[DPP (excl. VAT)]]+tblSales[[#This Row],[Output VAT]]</f>
        <v>532800</v>
      </c>
      <c r="N4001" s="5">
        <f>tblSales[[#This Row],[Qty]]*_xlfn.XLOOKUP(tblSales[[#This Row],[Product Code]],tblProducts[Code],tblProducts[Unit Cost],0)</f>
        <v>288000</v>
      </c>
      <c r="O4001" s="4" t="s">
        <v>4865</v>
      </c>
      <c r="P4001" s="4" t="s">
        <v>4860</v>
      </c>
      <c r="Q4001" s="1" t="str">
        <f>_xlfn.XLOOKUP(tblSales[[#This Row],[Channel Code]],tblChannels[Channel Code],tblChannels[Channel Name],"")</f>
        <v>In-store</v>
      </c>
      <c r="R4001" s="1">
        <f>MONTH(tblSales[[#This Row],[Date]])</f>
        <v>8</v>
      </c>
    </row>
    <row r="4002" spans="2:18" x14ac:dyDescent="0.35">
      <c r="B4002" s="113">
        <v>46261</v>
      </c>
      <c r="C4002" s="4" t="s">
        <v>2692</v>
      </c>
      <c r="D4002" s="4" t="s">
        <v>4568</v>
      </c>
      <c r="E4002" s="1" t="str">
        <f>_xlfn.XLOOKUP(tblSales[[#This Row],[Customer ID]],tblCustomers[Customer ID],tblCustomers[Customer Name],"⚠ Unknown")</f>
        <v>Walk-in Customer</v>
      </c>
      <c r="F4002" s="4" t="s">
        <v>10</v>
      </c>
      <c r="G4002" s="1" t="str">
        <f>_xlfn.XLOOKUP(tblSales[[#This Row],[Product Code]],tblProducts[Code],tblProducts[Product / Service Name],"⚠ Unknown")</f>
        <v>Chino Pants</v>
      </c>
      <c r="H4002" s="1" t="str">
        <f>_xlfn.XLOOKUP(tblSales[[#This Row],[Product Code]],tblProducts[Code],tblProducts[Category],"")</f>
        <v>Apparel &amp; Footwear</v>
      </c>
      <c r="I4002" s="4">
        <v>3</v>
      </c>
      <c r="J4002" s="5">
        <f>_xlfn.XLOOKUP(tblSales[[#This Row],[Product Code]],tblProducts[Code],tblProducts[Selling Price (excl. VAT)],0)</f>
        <v>150000</v>
      </c>
      <c r="K4002" s="5">
        <f>tblSales[[#This Row],[Qty]]*tblSales[[#This Row],[Unit Price]]</f>
        <v>450000</v>
      </c>
      <c r="L4002" s="5">
        <f>ROUND(tblSales[[#This Row],[DPP (excl. VAT)]]*VATEff,0)</f>
        <v>49500</v>
      </c>
      <c r="M4002" s="5">
        <f>tblSales[[#This Row],[DPP (excl. VAT)]]+tblSales[[#This Row],[Output VAT]]</f>
        <v>499500</v>
      </c>
      <c r="N4002" s="5">
        <f>tblSales[[#This Row],[Qty]]*_xlfn.XLOOKUP(tblSales[[#This Row],[Product Code]],tblProducts[Code],tblProducts[Unit Cost],0)</f>
        <v>264000</v>
      </c>
      <c r="O4002" s="4" t="s">
        <v>4865</v>
      </c>
      <c r="P4002" s="4" t="s">
        <v>4860</v>
      </c>
      <c r="Q4002" s="1" t="str">
        <f>_xlfn.XLOOKUP(tblSales[[#This Row],[Channel Code]],tblChannels[Channel Code],tblChannels[Channel Name],"")</f>
        <v>In-store</v>
      </c>
      <c r="R4002" s="1">
        <f>MONTH(tblSales[[#This Row],[Date]])</f>
        <v>8</v>
      </c>
    </row>
    <row r="4003" spans="2:18" x14ac:dyDescent="0.35">
      <c r="B4003" s="113">
        <v>46261</v>
      </c>
      <c r="C4003" s="4" t="s">
        <v>2693</v>
      </c>
      <c r="D4003" s="4" t="s">
        <v>4613</v>
      </c>
      <c r="E4003" s="1" t="str">
        <f>_xlfn.XLOOKUP(tblSales[[#This Row],[Customer ID]],tblCustomers[Customer ID],tblCustomers[Customer Name],"⚠ Unknown")</f>
        <v>PT Mega Prima Distribusi</v>
      </c>
      <c r="F4003" s="4" t="s">
        <v>10</v>
      </c>
      <c r="G4003" s="1" t="str">
        <f>_xlfn.XLOOKUP(tblSales[[#This Row],[Product Code]],tblProducts[Code],tblProducts[Product / Service Name],"⚠ Unknown")</f>
        <v>Chino Pants</v>
      </c>
      <c r="H4003" s="1" t="str">
        <f>_xlfn.XLOOKUP(tblSales[[#This Row],[Product Code]],tblProducts[Code],tblProducts[Category],"")</f>
        <v>Apparel &amp; Footwear</v>
      </c>
      <c r="I4003" s="4">
        <v>64</v>
      </c>
      <c r="J4003" s="5">
        <f>_xlfn.XLOOKUP(tblSales[[#This Row],[Product Code]],tblProducts[Code],tblProducts[Selling Price (excl. VAT)],0)</f>
        <v>150000</v>
      </c>
      <c r="K4003" s="5">
        <f>tblSales[[#This Row],[Qty]]*tblSales[[#This Row],[Unit Price]]</f>
        <v>9600000</v>
      </c>
      <c r="L4003" s="5">
        <f>ROUND(tblSales[[#This Row],[DPP (excl. VAT)]]*VATEff,0)</f>
        <v>1056000</v>
      </c>
      <c r="M4003" s="5">
        <f>tblSales[[#This Row],[DPP (excl. VAT)]]+tblSales[[#This Row],[Output VAT]]</f>
        <v>10656000</v>
      </c>
      <c r="N4003" s="5">
        <f>tblSales[[#This Row],[Qty]]*_xlfn.XLOOKUP(tblSales[[#This Row],[Product Code]],tblProducts[Code],tblProducts[Unit Cost],0)</f>
        <v>5632000</v>
      </c>
      <c r="O4003" s="4" t="s">
        <v>4867</v>
      </c>
      <c r="P4003" s="4" t="s">
        <v>4860</v>
      </c>
      <c r="Q4003" s="1" t="str">
        <f>_xlfn.XLOOKUP(tblSales[[#This Row],[Channel Code]],tblChannels[Channel Code],tblChannels[Channel Name],"")</f>
        <v>In-store</v>
      </c>
      <c r="R4003" s="1">
        <f>MONTH(tblSales[[#This Row],[Date]])</f>
        <v>8</v>
      </c>
    </row>
    <row r="4004" spans="2:18" x14ac:dyDescent="0.35">
      <c r="B4004" s="113">
        <v>46261</v>
      </c>
      <c r="C4004" s="4" t="s">
        <v>2694</v>
      </c>
      <c r="D4004" s="4" t="s">
        <v>4613</v>
      </c>
      <c r="E4004" s="1" t="str">
        <f>_xlfn.XLOOKUP(tblSales[[#This Row],[Customer ID]],tblCustomers[Customer ID],tblCustomers[Customer Name],"⚠ Unknown")</f>
        <v>PT Mega Prima Distribusi</v>
      </c>
      <c r="F4004" s="4" t="s">
        <v>12</v>
      </c>
      <c r="G4004" s="1" t="str">
        <f>_xlfn.XLOOKUP(tblSales[[#This Row],[Product Code]],tblProducts[Code],tblProducts[Product / Service Name],"⚠ Unknown")</f>
        <v>Bomber Jacket</v>
      </c>
      <c r="H4004" s="1" t="str">
        <f>_xlfn.XLOOKUP(tblSales[[#This Row],[Product Code]],tblProducts[Code],tblProducts[Category],"")</f>
        <v>Apparel &amp; Footwear</v>
      </c>
      <c r="I4004" s="4">
        <v>24</v>
      </c>
      <c r="J4004" s="5">
        <f>_xlfn.XLOOKUP(tblSales[[#This Row],[Product Code]],tblProducts[Code],tblProducts[Selling Price (excl. VAT)],0)</f>
        <v>350000</v>
      </c>
      <c r="K4004" s="5">
        <f>tblSales[[#This Row],[Qty]]*tblSales[[#This Row],[Unit Price]]</f>
        <v>8400000</v>
      </c>
      <c r="L4004" s="5">
        <f>ROUND(tblSales[[#This Row],[DPP (excl. VAT)]]*VATEff,0)</f>
        <v>924000</v>
      </c>
      <c r="M4004" s="5">
        <f>tblSales[[#This Row],[DPP (excl. VAT)]]+tblSales[[#This Row],[Output VAT]]</f>
        <v>9324000</v>
      </c>
      <c r="N4004" s="5">
        <f>tblSales[[#This Row],[Qty]]*_xlfn.XLOOKUP(tblSales[[#This Row],[Product Code]],tblProducts[Code],tblProducts[Unit Cost],0)</f>
        <v>5040000</v>
      </c>
      <c r="O4004" s="4" t="s">
        <v>4867</v>
      </c>
      <c r="P4004" s="4" t="s">
        <v>4862</v>
      </c>
      <c r="Q4004" s="1" t="str">
        <f>_xlfn.XLOOKUP(tblSales[[#This Row],[Channel Code]],tblChannels[Channel Code],tblChannels[Channel Name],"")</f>
        <v>Website &amp; Social Media</v>
      </c>
      <c r="R4004" s="1">
        <f>MONTH(tblSales[[#This Row],[Date]])</f>
        <v>8</v>
      </c>
    </row>
    <row r="4005" spans="2:18" x14ac:dyDescent="0.35">
      <c r="B4005" s="113">
        <v>46261</v>
      </c>
      <c r="C4005" s="4" t="s">
        <v>2695</v>
      </c>
      <c r="D4005" s="4" t="s">
        <v>4641</v>
      </c>
      <c r="E4005" s="1" t="str">
        <f>_xlfn.XLOOKUP(tblSales[[#This Row],[Customer ID]],tblCustomers[Customer ID],tblCustomers[Customer Name],"⚠ Unknown")</f>
        <v>PT Harmoni Pangan Lestari</v>
      </c>
      <c r="F4005" s="4" t="s">
        <v>11</v>
      </c>
      <c r="G4005" s="1" t="str">
        <f>_xlfn.XLOOKUP(tblSales[[#This Row],[Product Code]],tblProducts[Code],tblProducts[Product / Service Name],"⚠ Unknown")</f>
        <v>Sneakers</v>
      </c>
      <c r="H4005" s="1" t="str">
        <f>_xlfn.XLOOKUP(tblSales[[#This Row],[Product Code]],tblProducts[Code],tblProducts[Category],"")</f>
        <v>Apparel &amp; Footwear</v>
      </c>
      <c r="I4005" s="4">
        <v>48</v>
      </c>
      <c r="J4005" s="5">
        <f>_xlfn.XLOOKUP(tblSales[[#This Row],[Product Code]],tblProducts[Code],tblProducts[Selling Price (excl. VAT)],0)</f>
        <v>250000</v>
      </c>
      <c r="K4005" s="5">
        <f>tblSales[[#This Row],[Qty]]*tblSales[[#This Row],[Unit Price]]</f>
        <v>12000000</v>
      </c>
      <c r="L4005" s="5">
        <f>ROUND(tblSales[[#This Row],[DPP (excl. VAT)]]*VATEff,0)</f>
        <v>1320000</v>
      </c>
      <c r="M4005" s="5">
        <f>tblSales[[#This Row],[DPP (excl. VAT)]]+tblSales[[#This Row],[Output VAT]]</f>
        <v>13320000</v>
      </c>
      <c r="N4005" s="5">
        <f>tblSales[[#This Row],[Qty]]*_xlfn.XLOOKUP(tblSales[[#This Row],[Product Code]],tblProducts[Code],tblProducts[Unit Cost],0)</f>
        <v>7440000</v>
      </c>
      <c r="O4005" s="4" t="s">
        <v>4867</v>
      </c>
      <c r="P4005" s="4" t="s">
        <v>4860</v>
      </c>
      <c r="Q4005" s="1" t="str">
        <f>_xlfn.XLOOKUP(tblSales[[#This Row],[Channel Code]],tblChannels[Channel Code],tblChannels[Channel Name],"")</f>
        <v>In-store</v>
      </c>
      <c r="R4005" s="1">
        <f>MONTH(tblSales[[#This Row],[Date]])</f>
        <v>8</v>
      </c>
    </row>
    <row r="4006" spans="2:18" x14ac:dyDescent="0.35">
      <c r="B4006" s="113">
        <v>46261</v>
      </c>
      <c r="C4006" s="4" t="s">
        <v>2695</v>
      </c>
      <c r="D4006" s="4" t="s">
        <v>4641</v>
      </c>
      <c r="E4006" s="1" t="str">
        <f>_xlfn.XLOOKUP(tblSales[[#This Row],[Customer ID]],tblCustomers[Customer ID],tblCustomers[Customer Name],"⚠ Unknown")</f>
        <v>PT Harmoni Pangan Lestari</v>
      </c>
      <c r="F4006" s="4" t="s">
        <v>15</v>
      </c>
      <c r="G4006" s="1" t="str">
        <f>_xlfn.XLOOKUP(tblSales[[#This Row],[Product Code]],tblProducts[Code],tblProducts[Product / Service Name],"⚠ Unknown")</f>
        <v>Wireless Earbuds Pro</v>
      </c>
      <c r="H4006" s="1" t="str">
        <f>_xlfn.XLOOKUP(tblSales[[#This Row],[Product Code]],tblProducts[Code],tblProducts[Category],"")</f>
        <v>Bags &amp; Gadgets</v>
      </c>
      <c r="I4006" s="4">
        <v>8</v>
      </c>
      <c r="J4006" s="5">
        <f>_xlfn.XLOOKUP(tblSales[[#This Row],[Product Code]],tblProducts[Code],tblProducts[Selling Price (excl. VAT)],0)</f>
        <v>1250000</v>
      </c>
      <c r="K4006" s="5">
        <f>tblSales[[#This Row],[Qty]]*tblSales[[#This Row],[Unit Price]]</f>
        <v>10000000</v>
      </c>
      <c r="L4006" s="5">
        <f>ROUND(tblSales[[#This Row],[DPP (excl. VAT)]]*VATEff,0)</f>
        <v>1100000</v>
      </c>
      <c r="M4006" s="5">
        <f>tblSales[[#This Row],[DPP (excl. VAT)]]+tblSales[[#This Row],[Output VAT]]</f>
        <v>11100000</v>
      </c>
      <c r="N4006" s="5">
        <f>tblSales[[#This Row],[Qty]]*_xlfn.XLOOKUP(tblSales[[#This Row],[Product Code]],tblProducts[Code],tblProducts[Unit Cost],0)</f>
        <v>6560000</v>
      </c>
      <c r="O4006" s="4" t="s">
        <v>4867</v>
      </c>
      <c r="P4006" s="4" t="s">
        <v>4860</v>
      </c>
      <c r="Q4006" s="1" t="str">
        <f>_xlfn.XLOOKUP(tblSales[[#This Row],[Channel Code]],tblChannels[Channel Code],tblChannels[Channel Name],"")</f>
        <v>In-store</v>
      </c>
      <c r="R4006" s="1">
        <f>MONTH(tblSales[[#This Row],[Date]])</f>
        <v>8</v>
      </c>
    </row>
    <row r="4007" spans="2:18" x14ac:dyDescent="0.35">
      <c r="B4007" s="113">
        <v>46261</v>
      </c>
      <c r="C4007" s="4" t="s">
        <v>2696</v>
      </c>
      <c r="D4007" s="4" t="s">
        <v>4641</v>
      </c>
      <c r="E4007" s="1" t="str">
        <f>_xlfn.XLOOKUP(tblSales[[#This Row],[Customer ID]],tblCustomers[Customer ID],tblCustomers[Customer Name],"⚠ Unknown")</f>
        <v>PT Harmoni Pangan Lestari</v>
      </c>
      <c r="F4007" s="4" t="s">
        <v>7</v>
      </c>
      <c r="G4007" s="1" t="str">
        <f>_xlfn.XLOOKUP(tblSales[[#This Row],[Product Code]],tblProducts[Code],tblProducts[Product / Service Name],"⚠ Unknown")</f>
        <v>Premium Basic T-shirt</v>
      </c>
      <c r="H4007" s="1" t="str">
        <f>_xlfn.XLOOKUP(tblSales[[#This Row],[Product Code]],tblProducts[Code],tblProducts[Category],"")</f>
        <v>Accessories &amp; Basics</v>
      </c>
      <c r="I4007" s="4">
        <v>72</v>
      </c>
      <c r="J4007" s="5">
        <f>_xlfn.XLOOKUP(tblSales[[#This Row],[Product Code]],tblProducts[Code],tblProducts[Selling Price (excl. VAT)],0)</f>
        <v>65000</v>
      </c>
      <c r="K4007" s="5">
        <f>tblSales[[#This Row],[Qty]]*tblSales[[#This Row],[Unit Price]]</f>
        <v>4680000</v>
      </c>
      <c r="L4007" s="5">
        <f>ROUND(tblSales[[#This Row],[DPP (excl. VAT)]]*VATEff,0)</f>
        <v>514800</v>
      </c>
      <c r="M4007" s="5">
        <f>tblSales[[#This Row],[DPP (excl. VAT)]]+tblSales[[#This Row],[Output VAT]]</f>
        <v>5194800</v>
      </c>
      <c r="N4007" s="5">
        <f>tblSales[[#This Row],[Qty]]*_xlfn.XLOOKUP(tblSales[[#This Row],[Product Code]],tblProducts[Code],tblProducts[Unit Cost],0)</f>
        <v>2664000</v>
      </c>
      <c r="O4007" s="4" t="s">
        <v>4867</v>
      </c>
      <c r="P4007" s="4" t="s">
        <v>4860</v>
      </c>
      <c r="Q4007" s="1" t="str">
        <f>_xlfn.XLOOKUP(tblSales[[#This Row],[Channel Code]],tblChannels[Channel Code],tblChannels[Channel Name],"")</f>
        <v>In-store</v>
      </c>
      <c r="R4007" s="1">
        <f>MONTH(tblSales[[#This Row],[Date]])</f>
        <v>8</v>
      </c>
    </row>
    <row r="4008" spans="2:18" x14ac:dyDescent="0.35">
      <c r="B4008" s="113">
        <v>46261</v>
      </c>
      <c r="C4008" s="4" t="s">
        <v>2696</v>
      </c>
      <c r="D4008" s="4" t="s">
        <v>4641</v>
      </c>
      <c r="E4008" s="1" t="str">
        <f>_xlfn.XLOOKUP(tblSales[[#This Row],[Customer ID]],tblCustomers[Customer ID],tblCustomers[Customer Name],"⚠ Unknown")</f>
        <v>PT Harmoni Pangan Lestari</v>
      </c>
      <c r="F4008" s="4" t="s">
        <v>8</v>
      </c>
      <c r="G4008" s="1" t="str">
        <f>_xlfn.XLOOKUP(tblSales[[#This Row],[Product Code]],tblProducts[Code],tblProducts[Product / Service Name],"⚠ Unknown")</f>
        <v>Casual Shorts</v>
      </c>
      <c r="H4008" s="1" t="str">
        <f>_xlfn.XLOOKUP(tblSales[[#This Row],[Product Code]],tblProducts[Code],tblProducts[Category],"")</f>
        <v>Accessories &amp; Basics</v>
      </c>
      <c r="I4008" s="4">
        <v>56</v>
      </c>
      <c r="J4008" s="5">
        <f>_xlfn.XLOOKUP(tblSales[[#This Row],[Product Code]],tblProducts[Code],tblProducts[Selling Price (excl. VAT)],0)</f>
        <v>85000</v>
      </c>
      <c r="K4008" s="5">
        <f>tblSales[[#This Row],[Qty]]*tblSales[[#This Row],[Unit Price]]</f>
        <v>4760000</v>
      </c>
      <c r="L4008" s="5">
        <f>ROUND(tblSales[[#This Row],[DPP (excl. VAT)]]*VATEff,0)</f>
        <v>523600</v>
      </c>
      <c r="M4008" s="5">
        <f>tblSales[[#This Row],[DPP (excl. VAT)]]+tblSales[[#This Row],[Output VAT]]</f>
        <v>5283600</v>
      </c>
      <c r="N4008" s="5">
        <f>tblSales[[#This Row],[Qty]]*_xlfn.XLOOKUP(tblSales[[#This Row],[Product Code]],tblProducts[Code],tblProducts[Unit Cost],0)</f>
        <v>2800000</v>
      </c>
      <c r="O4008" s="4" t="s">
        <v>4867</v>
      </c>
      <c r="P4008" s="4" t="s">
        <v>4860</v>
      </c>
      <c r="Q4008" s="1" t="str">
        <f>_xlfn.XLOOKUP(tblSales[[#This Row],[Channel Code]],tblChannels[Channel Code],tblChannels[Channel Name],"")</f>
        <v>In-store</v>
      </c>
      <c r="R4008" s="1">
        <f>MONTH(tblSales[[#This Row],[Date]])</f>
        <v>8</v>
      </c>
    </row>
    <row r="4009" spans="2:18" x14ac:dyDescent="0.35">
      <c r="B4009" s="113">
        <v>46261</v>
      </c>
      <c r="C4009" s="4" t="s">
        <v>2696</v>
      </c>
      <c r="D4009" s="4" t="s">
        <v>4641</v>
      </c>
      <c r="E4009" s="1" t="str">
        <f>_xlfn.XLOOKUP(tblSales[[#This Row],[Customer ID]],tblCustomers[Customer ID],tblCustomers[Customer Name],"⚠ Unknown")</f>
        <v>PT Harmoni Pangan Lestari</v>
      </c>
      <c r="F4009" s="4" t="s">
        <v>10</v>
      </c>
      <c r="G4009" s="1" t="str">
        <f>_xlfn.XLOOKUP(tblSales[[#This Row],[Product Code]],tblProducts[Code],tblProducts[Product / Service Name],"⚠ Unknown")</f>
        <v>Chino Pants</v>
      </c>
      <c r="H4009" s="1" t="str">
        <f>_xlfn.XLOOKUP(tblSales[[#This Row],[Product Code]],tblProducts[Code],tblProducts[Category],"")</f>
        <v>Apparel &amp; Footwear</v>
      </c>
      <c r="I4009" s="4">
        <v>16</v>
      </c>
      <c r="J4009" s="5">
        <f>_xlfn.XLOOKUP(tblSales[[#This Row],[Product Code]],tblProducts[Code],tblProducts[Selling Price (excl. VAT)],0)</f>
        <v>150000</v>
      </c>
      <c r="K4009" s="5">
        <f>tblSales[[#This Row],[Qty]]*tblSales[[#This Row],[Unit Price]]</f>
        <v>2400000</v>
      </c>
      <c r="L4009" s="5">
        <f>ROUND(tblSales[[#This Row],[DPP (excl. VAT)]]*VATEff,0)</f>
        <v>264000</v>
      </c>
      <c r="M4009" s="5">
        <f>tblSales[[#This Row],[DPP (excl. VAT)]]+tblSales[[#This Row],[Output VAT]]</f>
        <v>2664000</v>
      </c>
      <c r="N4009" s="5">
        <f>tblSales[[#This Row],[Qty]]*_xlfn.XLOOKUP(tblSales[[#This Row],[Product Code]],tblProducts[Code],tblProducts[Unit Cost],0)</f>
        <v>1408000</v>
      </c>
      <c r="O4009" s="4" t="s">
        <v>4867</v>
      </c>
      <c r="P4009" s="4" t="s">
        <v>4860</v>
      </c>
      <c r="Q4009" s="1" t="str">
        <f>_xlfn.XLOOKUP(tblSales[[#This Row],[Channel Code]],tblChannels[Channel Code],tblChannels[Channel Name],"")</f>
        <v>In-store</v>
      </c>
      <c r="R4009" s="1">
        <f>MONTH(tblSales[[#This Row],[Date]])</f>
        <v>8</v>
      </c>
    </row>
    <row r="4010" spans="2:18" x14ac:dyDescent="0.35">
      <c r="B4010" s="113">
        <v>46262</v>
      </c>
      <c r="C4010" s="4" t="s">
        <v>2697</v>
      </c>
      <c r="D4010" s="4" t="s">
        <v>4578</v>
      </c>
      <c r="E4010" s="1" t="str">
        <f>_xlfn.XLOOKUP(tblSales[[#This Row],[Customer ID]],tblCustomers[Customer ID],tblCustomers[Customer Name],"⚠ Unknown")</f>
        <v>PT Bintang Timur Sejahtera</v>
      </c>
      <c r="F4010" s="4" t="s">
        <v>13</v>
      </c>
      <c r="G4010" s="1" t="str">
        <f>_xlfn.XLOOKUP(tblSales[[#This Row],[Product Code]],tblProducts[Code],tblProducts[Product / Service Name],"⚠ Unknown")</f>
        <v>Backpack</v>
      </c>
      <c r="H4010" s="1" t="str">
        <f>_xlfn.XLOOKUP(tblSales[[#This Row],[Product Code]],tblProducts[Code],tblProducts[Category],"")</f>
        <v>Bags &amp; Gadgets</v>
      </c>
      <c r="I4010" s="4">
        <v>24</v>
      </c>
      <c r="J4010" s="5">
        <f>_xlfn.XLOOKUP(tblSales[[#This Row],[Product Code]],tblProducts[Code],tblProducts[Selling Price (excl. VAT)],0)</f>
        <v>500000</v>
      </c>
      <c r="K4010" s="5">
        <f>tblSales[[#This Row],[Qty]]*tblSales[[#This Row],[Unit Price]]</f>
        <v>12000000</v>
      </c>
      <c r="L4010" s="5">
        <f>ROUND(tblSales[[#This Row],[DPP (excl. VAT)]]*VATEff,0)</f>
        <v>1320000</v>
      </c>
      <c r="M4010" s="5">
        <f>tblSales[[#This Row],[DPP (excl. VAT)]]+tblSales[[#This Row],[Output VAT]]</f>
        <v>13320000</v>
      </c>
      <c r="N4010" s="5">
        <f>tblSales[[#This Row],[Qty]]*_xlfn.XLOOKUP(tblSales[[#This Row],[Product Code]],tblProducts[Code],tblProducts[Unit Cost],0)</f>
        <v>6960000</v>
      </c>
      <c r="O4010" s="4" t="s">
        <v>4867</v>
      </c>
      <c r="P4010" s="4" t="s">
        <v>4860</v>
      </c>
      <c r="Q4010" s="1" t="str">
        <f>_xlfn.XLOOKUP(tblSales[[#This Row],[Channel Code]],tblChannels[Channel Code],tblChannels[Channel Name],"")</f>
        <v>In-store</v>
      </c>
      <c r="R4010" s="1">
        <f>MONTH(tblSales[[#This Row],[Date]])</f>
        <v>8</v>
      </c>
    </row>
    <row r="4011" spans="2:18" x14ac:dyDescent="0.35">
      <c r="B4011" s="113">
        <v>46262</v>
      </c>
      <c r="C4011" s="4" t="s">
        <v>2698</v>
      </c>
      <c r="D4011" s="4" t="s">
        <v>4568</v>
      </c>
      <c r="E4011" s="1" t="str">
        <f>_xlfn.XLOOKUP(tblSales[[#This Row],[Customer ID]],tblCustomers[Customer ID],tblCustomers[Customer Name],"⚠ Unknown")</f>
        <v>Walk-in Customer</v>
      </c>
      <c r="F4011" s="4" t="s">
        <v>6</v>
      </c>
      <c r="G4011" s="1" t="str">
        <f>_xlfn.XLOOKUP(tblSales[[#This Row],[Product Code]],tblProducts[Code],tblProducts[Product / Service Name],"⚠ Unknown")</f>
        <v>Socks &amp; Accessories</v>
      </c>
      <c r="H4011" s="1" t="str">
        <f>_xlfn.XLOOKUP(tblSales[[#This Row],[Product Code]],tblProducts[Code],tblProducts[Category],"")</f>
        <v>Accessories &amp; Basics</v>
      </c>
      <c r="I4011" s="4">
        <v>2</v>
      </c>
      <c r="J4011" s="5">
        <f>_xlfn.XLOOKUP(tblSales[[#This Row],[Product Code]],tblProducts[Code],tblProducts[Selling Price (excl. VAT)],0)</f>
        <v>45000</v>
      </c>
      <c r="K4011" s="5">
        <f>tblSales[[#This Row],[Qty]]*tblSales[[#This Row],[Unit Price]]</f>
        <v>90000</v>
      </c>
      <c r="L4011" s="5">
        <f>ROUND(tblSales[[#This Row],[DPP (excl. VAT)]]*VATEff,0)</f>
        <v>9900</v>
      </c>
      <c r="M4011" s="5">
        <f>tblSales[[#This Row],[DPP (excl. VAT)]]+tblSales[[#This Row],[Output VAT]]</f>
        <v>99900</v>
      </c>
      <c r="N4011" s="5">
        <f>tblSales[[#This Row],[Qty]]*_xlfn.XLOOKUP(tblSales[[#This Row],[Product Code]],tblProducts[Code],tblProducts[Unit Cost],0)</f>
        <v>48000</v>
      </c>
      <c r="O4011" s="4" t="s">
        <v>4866</v>
      </c>
      <c r="P4011" s="4" t="s">
        <v>4861</v>
      </c>
      <c r="Q4011" s="1" t="str">
        <f>_xlfn.XLOOKUP(tblSales[[#This Row],[Channel Code]],tblChannels[Channel Code],tblChannels[Channel Name],"")</f>
        <v>Marketplace</v>
      </c>
      <c r="R4011" s="1">
        <f>MONTH(tblSales[[#This Row],[Date]])</f>
        <v>8</v>
      </c>
    </row>
    <row r="4012" spans="2:18" x14ac:dyDescent="0.35">
      <c r="B4012" s="113">
        <v>46262</v>
      </c>
      <c r="C4012" s="4" t="s">
        <v>2699</v>
      </c>
      <c r="D4012" s="4" t="s">
        <v>4568</v>
      </c>
      <c r="E4012" s="1" t="str">
        <f>_xlfn.XLOOKUP(tblSales[[#This Row],[Customer ID]],tblCustomers[Customer ID],tblCustomers[Customer Name],"⚠ Unknown")</f>
        <v>Walk-in Customer</v>
      </c>
      <c r="F4012" s="4" t="s">
        <v>10</v>
      </c>
      <c r="G4012" s="1" t="str">
        <f>_xlfn.XLOOKUP(tblSales[[#This Row],[Product Code]],tblProducts[Code],tblProducts[Product / Service Name],"⚠ Unknown")</f>
        <v>Chino Pants</v>
      </c>
      <c r="H4012" s="1" t="str">
        <f>_xlfn.XLOOKUP(tblSales[[#This Row],[Product Code]],tblProducts[Code],tblProducts[Category],"")</f>
        <v>Apparel &amp; Footwear</v>
      </c>
      <c r="I4012" s="4">
        <v>3</v>
      </c>
      <c r="J4012" s="5">
        <f>_xlfn.XLOOKUP(tblSales[[#This Row],[Product Code]],tblProducts[Code],tblProducts[Selling Price (excl. VAT)],0)</f>
        <v>150000</v>
      </c>
      <c r="K4012" s="5">
        <f>tblSales[[#This Row],[Qty]]*tblSales[[#This Row],[Unit Price]]</f>
        <v>450000</v>
      </c>
      <c r="L4012" s="5">
        <f>ROUND(tblSales[[#This Row],[DPP (excl. VAT)]]*VATEff,0)</f>
        <v>49500</v>
      </c>
      <c r="M4012" s="5">
        <f>tblSales[[#This Row],[DPP (excl. VAT)]]+tblSales[[#This Row],[Output VAT]]</f>
        <v>499500</v>
      </c>
      <c r="N4012" s="5">
        <f>tblSales[[#This Row],[Qty]]*_xlfn.XLOOKUP(tblSales[[#This Row],[Product Code]],tblProducts[Code],tblProducts[Unit Cost],0)</f>
        <v>264000</v>
      </c>
      <c r="O4012" s="4" t="s">
        <v>4866</v>
      </c>
      <c r="P4012" s="4" t="s">
        <v>4861</v>
      </c>
      <c r="Q4012" s="1" t="str">
        <f>_xlfn.XLOOKUP(tblSales[[#This Row],[Channel Code]],tblChannels[Channel Code],tblChannels[Channel Name],"")</f>
        <v>Marketplace</v>
      </c>
      <c r="R4012" s="1">
        <f>MONTH(tblSales[[#This Row],[Date]])</f>
        <v>8</v>
      </c>
    </row>
    <row r="4013" spans="2:18" x14ac:dyDescent="0.35">
      <c r="B4013" s="113">
        <v>46262</v>
      </c>
      <c r="C4013" s="4" t="s">
        <v>2700</v>
      </c>
      <c r="D4013" s="4" t="s">
        <v>4568</v>
      </c>
      <c r="E4013" s="1" t="str">
        <f>_xlfn.XLOOKUP(tblSales[[#This Row],[Customer ID]],tblCustomers[Customer ID],tblCustomers[Customer Name],"⚠ Unknown")</f>
        <v>Walk-in Customer</v>
      </c>
      <c r="F4013" s="4" t="s">
        <v>7</v>
      </c>
      <c r="G4013" s="1" t="str">
        <f>_xlfn.XLOOKUP(tblSales[[#This Row],[Product Code]],tblProducts[Code],tblProducts[Product / Service Name],"⚠ Unknown")</f>
        <v>Premium Basic T-shirt</v>
      </c>
      <c r="H4013" s="1" t="str">
        <f>_xlfn.XLOOKUP(tblSales[[#This Row],[Product Code]],tblProducts[Code],tblProducts[Category],"")</f>
        <v>Accessories &amp; Basics</v>
      </c>
      <c r="I4013" s="4">
        <v>1</v>
      </c>
      <c r="J4013" s="5">
        <f>_xlfn.XLOOKUP(tblSales[[#This Row],[Product Code]],tblProducts[Code],tblProducts[Selling Price (excl. VAT)],0)</f>
        <v>65000</v>
      </c>
      <c r="K4013" s="5">
        <f>tblSales[[#This Row],[Qty]]*tblSales[[#This Row],[Unit Price]]</f>
        <v>65000</v>
      </c>
      <c r="L4013" s="5">
        <f>ROUND(tblSales[[#This Row],[DPP (excl. VAT)]]*VATEff,0)</f>
        <v>7150</v>
      </c>
      <c r="M4013" s="5">
        <f>tblSales[[#This Row],[DPP (excl. VAT)]]+tblSales[[#This Row],[Output VAT]]</f>
        <v>72150</v>
      </c>
      <c r="N4013" s="5">
        <f>tblSales[[#This Row],[Qty]]*_xlfn.XLOOKUP(tblSales[[#This Row],[Product Code]],tblProducts[Code],tblProducts[Unit Cost],0)</f>
        <v>37000</v>
      </c>
      <c r="O4013" s="4" t="s">
        <v>4866</v>
      </c>
      <c r="P4013" s="4" t="s">
        <v>4861</v>
      </c>
      <c r="Q4013" s="1" t="str">
        <f>_xlfn.XLOOKUP(tblSales[[#This Row],[Channel Code]],tblChannels[Channel Code],tblChannels[Channel Name],"")</f>
        <v>Marketplace</v>
      </c>
      <c r="R4013" s="1">
        <f>MONTH(tblSales[[#This Row],[Date]])</f>
        <v>8</v>
      </c>
    </row>
    <row r="4014" spans="2:18" x14ac:dyDescent="0.35">
      <c r="B4014" s="113">
        <v>46262</v>
      </c>
      <c r="C4014" s="4" t="s">
        <v>2701</v>
      </c>
      <c r="D4014" s="4" t="s">
        <v>4568</v>
      </c>
      <c r="E4014" s="1" t="str">
        <f>_xlfn.XLOOKUP(tblSales[[#This Row],[Customer ID]],tblCustomers[Customer ID],tblCustomers[Customer Name],"⚠ Unknown")</f>
        <v>Walk-in Customer</v>
      </c>
      <c r="F4014" s="4" t="s">
        <v>9</v>
      </c>
      <c r="G4014" s="1" t="str">
        <f>_xlfn.XLOOKUP(tblSales[[#This Row],[Product Code]],tblProducts[Code],tblProducts[Product / Service Name],"⚠ Unknown")</f>
        <v>Casual Shirt</v>
      </c>
      <c r="H4014" s="1" t="str">
        <f>_xlfn.XLOOKUP(tblSales[[#This Row],[Product Code]],tblProducts[Code],tblProducts[Category],"")</f>
        <v>Apparel &amp; Footwear</v>
      </c>
      <c r="I4014" s="4">
        <v>6</v>
      </c>
      <c r="J4014" s="5">
        <f>_xlfn.XLOOKUP(tblSales[[#This Row],[Product Code]],tblProducts[Code],tblProducts[Selling Price (excl. VAT)],0)</f>
        <v>120000</v>
      </c>
      <c r="K4014" s="5">
        <f>tblSales[[#This Row],[Qty]]*tblSales[[#This Row],[Unit Price]]</f>
        <v>720000</v>
      </c>
      <c r="L4014" s="5">
        <f>ROUND(tblSales[[#This Row],[DPP (excl. VAT)]]*VATEff,0)</f>
        <v>79200</v>
      </c>
      <c r="M4014" s="5">
        <f>tblSales[[#This Row],[DPP (excl. VAT)]]+tblSales[[#This Row],[Output VAT]]</f>
        <v>799200</v>
      </c>
      <c r="N4014" s="5">
        <f>tblSales[[#This Row],[Qty]]*_xlfn.XLOOKUP(tblSales[[#This Row],[Product Code]],tblProducts[Code],tblProducts[Unit Cost],0)</f>
        <v>432000</v>
      </c>
      <c r="O4014" s="4" t="s">
        <v>4865</v>
      </c>
      <c r="P4014" s="4" t="s">
        <v>4860</v>
      </c>
      <c r="Q4014" s="1" t="str">
        <f>_xlfn.XLOOKUP(tblSales[[#This Row],[Channel Code]],tblChannels[Channel Code],tblChannels[Channel Name],"")</f>
        <v>In-store</v>
      </c>
      <c r="R4014" s="1">
        <f>MONTH(tblSales[[#This Row],[Date]])</f>
        <v>8</v>
      </c>
    </row>
    <row r="4015" spans="2:18" x14ac:dyDescent="0.35">
      <c r="B4015" s="113">
        <v>46262</v>
      </c>
      <c r="C4015" s="4" t="s">
        <v>2702</v>
      </c>
      <c r="D4015" s="4" t="s">
        <v>4568</v>
      </c>
      <c r="E4015" s="1" t="str">
        <f>_xlfn.XLOOKUP(tblSales[[#This Row],[Customer ID]],tblCustomers[Customer ID],tblCustomers[Customer Name],"⚠ Unknown")</f>
        <v>Walk-in Customer</v>
      </c>
      <c r="F4015" s="4" t="s">
        <v>6</v>
      </c>
      <c r="G4015" s="1" t="str">
        <f>_xlfn.XLOOKUP(tblSales[[#This Row],[Product Code]],tblProducts[Code],tblProducts[Product / Service Name],"⚠ Unknown")</f>
        <v>Socks &amp; Accessories</v>
      </c>
      <c r="H4015" s="1" t="str">
        <f>_xlfn.XLOOKUP(tblSales[[#This Row],[Product Code]],tblProducts[Code],tblProducts[Category],"")</f>
        <v>Accessories &amp; Basics</v>
      </c>
      <c r="I4015" s="4">
        <v>10</v>
      </c>
      <c r="J4015" s="5">
        <f>_xlfn.XLOOKUP(tblSales[[#This Row],[Product Code]],tblProducts[Code],tblProducts[Selling Price (excl. VAT)],0)</f>
        <v>45000</v>
      </c>
      <c r="K4015" s="5">
        <f>tblSales[[#This Row],[Qty]]*tblSales[[#This Row],[Unit Price]]</f>
        <v>450000</v>
      </c>
      <c r="L4015" s="5">
        <f>ROUND(tblSales[[#This Row],[DPP (excl. VAT)]]*VATEff,0)</f>
        <v>49500</v>
      </c>
      <c r="M4015" s="5">
        <f>tblSales[[#This Row],[DPP (excl. VAT)]]+tblSales[[#This Row],[Output VAT]]</f>
        <v>499500</v>
      </c>
      <c r="N4015" s="5">
        <f>tblSales[[#This Row],[Qty]]*_xlfn.XLOOKUP(tblSales[[#This Row],[Product Code]],tblProducts[Code],tblProducts[Unit Cost],0)</f>
        <v>240000</v>
      </c>
      <c r="O4015" s="4" t="s">
        <v>4865</v>
      </c>
      <c r="P4015" s="4" t="s">
        <v>4860</v>
      </c>
      <c r="Q4015" s="1" t="str">
        <f>_xlfn.XLOOKUP(tblSales[[#This Row],[Channel Code]],tblChannels[Channel Code],tblChannels[Channel Name],"")</f>
        <v>In-store</v>
      </c>
      <c r="R4015" s="1">
        <f>MONTH(tblSales[[#This Row],[Date]])</f>
        <v>8</v>
      </c>
    </row>
    <row r="4016" spans="2:18" x14ac:dyDescent="0.35">
      <c r="B4016" s="113">
        <v>46262</v>
      </c>
      <c r="C4016" s="4" t="s">
        <v>2703</v>
      </c>
      <c r="D4016" s="4" t="s">
        <v>4568</v>
      </c>
      <c r="E4016" s="1" t="str">
        <f>_xlfn.XLOOKUP(tblSales[[#This Row],[Customer ID]],tblCustomers[Customer ID],tblCustomers[Customer Name],"⚠ Unknown")</f>
        <v>Walk-in Customer</v>
      </c>
      <c r="F4016" s="4" t="s">
        <v>9</v>
      </c>
      <c r="G4016" s="1" t="str">
        <f>_xlfn.XLOOKUP(tblSales[[#This Row],[Product Code]],tblProducts[Code],tblProducts[Product / Service Name],"⚠ Unknown")</f>
        <v>Casual Shirt</v>
      </c>
      <c r="H4016" s="1" t="str">
        <f>_xlfn.XLOOKUP(tblSales[[#This Row],[Product Code]],tblProducts[Code],tblProducts[Category],"")</f>
        <v>Apparel &amp; Footwear</v>
      </c>
      <c r="I4016" s="4">
        <v>7</v>
      </c>
      <c r="J4016" s="5">
        <f>_xlfn.XLOOKUP(tblSales[[#This Row],[Product Code]],tblProducts[Code],tblProducts[Selling Price (excl. VAT)],0)</f>
        <v>120000</v>
      </c>
      <c r="K4016" s="5">
        <f>tblSales[[#This Row],[Qty]]*tblSales[[#This Row],[Unit Price]]</f>
        <v>840000</v>
      </c>
      <c r="L4016" s="5">
        <f>ROUND(tblSales[[#This Row],[DPP (excl. VAT)]]*VATEff,0)</f>
        <v>92400</v>
      </c>
      <c r="M4016" s="5">
        <f>tblSales[[#This Row],[DPP (excl. VAT)]]+tblSales[[#This Row],[Output VAT]]</f>
        <v>932400</v>
      </c>
      <c r="N4016" s="5">
        <f>tblSales[[#This Row],[Qty]]*_xlfn.XLOOKUP(tblSales[[#This Row],[Product Code]],tblProducts[Code],tblProducts[Unit Cost],0)</f>
        <v>504000</v>
      </c>
      <c r="O4016" s="4" t="s">
        <v>4866</v>
      </c>
      <c r="P4016" s="4" t="s">
        <v>4861</v>
      </c>
      <c r="Q4016" s="1" t="str">
        <f>_xlfn.XLOOKUP(tblSales[[#This Row],[Channel Code]],tblChannels[Channel Code],tblChannels[Channel Name],"")</f>
        <v>Marketplace</v>
      </c>
      <c r="R4016" s="1">
        <f>MONTH(tblSales[[#This Row],[Date]])</f>
        <v>8</v>
      </c>
    </row>
    <row r="4017" spans="2:18" x14ac:dyDescent="0.35">
      <c r="B4017" s="113">
        <v>46262</v>
      </c>
      <c r="C4017" s="4" t="s">
        <v>2704</v>
      </c>
      <c r="D4017" s="4" t="s">
        <v>4568</v>
      </c>
      <c r="E4017" s="1" t="str">
        <f>_xlfn.XLOOKUP(tblSales[[#This Row],[Customer ID]],tblCustomers[Customer ID],tblCustomers[Customer Name],"⚠ Unknown")</f>
        <v>Walk-in Customer</v>
      </c>
      <c r="F4017" s="4" t="s">
        <v>9</v>
      </c>
      <c r="G4017" s="1" t="str">
        <f>_xlfn.XLOOKUP(tblSales[[#This Row],[Product Code]],tblProducts[Code],tblProducts[Product / Service Name],"⚠ Unknown")</f>
        <v>Casual Shirt</v>
      </c>
      <c r="H4017" s="1" t="str">
        <f>_xlfn.XLOOKUP(tblSales[[#This Row],[Product Code]],tblProducts[Code],tblProducts[Category],"")</f>
        <v>Apparel &amp; Footwear</v>
      </c>
      <c r="I4017" s="4">
        <v>7</v>
      </c>
      <c r="J4017" s="5">
        <f>_xlfn.XLOOKUP(tblSales[[#This Row],[Product Code]],tblProducts[Code],tblProducts[Selling Price (excl. VAT)],0)</f>
        <v>120000</v>
      </c>
      <c r="K4017" s="5">
        <f>tblSales[[#This Row],[Qty]]*tblSales[[#This Row],[Unit Price]]</f>
        <v>840000</v>
      </c>
      <c r="L4017" s="5">
        <f>ROUND(tblSales[[#This Row],[DPP (excl. VAT)]]*VATEff,0)</f>
        <v>92400</v>
      </c>
      <c r="M4017" s="5">
        <f>tblSales[[#This Row],[DPP (excl. VAT)]]+tblSales[[#This Row],[Output VAT]]</f>
        <v>932400</v>
      </c>
      <c r="N4017" s="5">
        <f>tblSales[[#This Row],[Qty]]*_xlfn.XLOOKUP(tblSales[[#This Row],[Product Code]],tblProducts[Code],tblProducts[Unit Cost],0)</f>
        <v>504000</v>
      </c>
      <c r="O4017" s="4" t="s">
        <v>4866</v>
      </c>
      <c r="P4017" s="4" t="s">
        <v>4861</v>
      </c>
      <c r="Q4017" s="1" t="str">
        <f>_xlfn.XLOOKUP(tblSales[[#This Row],[Channel Code]],tblChannels[Channel Code],tblChannels[Channel Name],"")</f>
        <v>Marketplace</v>
      </c>
      <c r="R4017" s="1">
        <f>MONTH(tblSales[[#This Row],[Date]])</f>
        <v>8</v>
      </c>
    </row>
    <row r="4018" spans="2:18" x14ac:dyDescent="0.35">
      <c r="B4018" s="113">
        <v>46262</v>
      </c>
      <c r="C4018" s="4" t="s">
        <v>2705</v>
      </c>
      <c r="D4018" s="4" t="s">
        <v>4568</v>
      </c>
      <c r="E4018" s="1" t="str">
        <f>_xlfn.XLOOKUP(tblSales[[#This Row],[Customer ID]],tblCustomers[Customer ID],tblCustomers[Customer Name],"⚠ Unknown")</f>
        <v>Walk-in Customer</v>
      </c>
      <c r="F4018" s="4" t="s">
        <v>12</v>
      </c>
      <c r="G4018" s="1" t="str">
        <f>_xlfn.XLOOKUP(tblSales[[#This Row],[Product Code]],tblProducts[Code],tblProducts[Product / Service Name],"⚠ Unknown")</f>
        <v>Bomber Jacket</v>
      </c>
      <c r="H4018" s="1" t="str">
        <f>_xlfn.XLOOKUP(tblSales[[#This Row],[Product Code]],tblProducts[Code],tblProducts[Category],"")</f>
        <v>Apparel &amp; Footwear</v>
      </c>
      <c r="I4018" s="4">
        <v>4</v>
      </c>
      <c r="J4018" s="5">
        <f>_xlfn.XLOOKUP(tblSales[[#This Row],[Product Code]],tblProducts[Code],tblProducts[Selling Price (excl. VAT)],0)</f>
        <v>350000</v>
      </c>
      <c r="K4018" s="5">
        <f>tblSales[[#This Row],[Qty]]*tblSales[[#This Row],[Unit Price]]</f>
        <v>1400000</v>
      </c>
      <c r="L4018" s="5">
        <f>ROUND(tblSales[[#This Row],[DPP (excl. VAT)]]*VATEff,0)</f>
        <v>154000</v>
      </c>
      <c r="M4018" s="5">
        <f>tblSales[[#This Row],[DPP (excl. VAT)]]+tblSales[[#This Row],[Output VAT]]</f>
        <v>1554000</v>
      </c>
      <c r="N4018" s="5">
        <f>tblSales[[#This Row],[Qty]]*_xlfn.XLOOKUP(tblSales[[#This Row],[Product Code]],tblProducts[Code],tblProducts[Unit Cost],0)</f>
        <v>840000</v>
      </c>
      <c r="O4018" s="4" t="s">
        <v>4866</v>
      </c>
      <c r="P4018" s="4" t="s">
        <v>4862</v>
      </c>
      <c r="Q4018" s="1" t="str">
        <f>_xlfn.XLOOKUP(tblSales[[#This Row],[Channel Code]],tblChannels[Channel Code],tblChannels[Channel Name],"")</f>
        <v>Website &amp; Social Media</v>
      </c>
      <c r="R4018" s="1">
        <f>MONTH(tblSales[[#This Row],[Date]])</f>
        <v>8</v>
      </c>
    </row>
    <row r="4019" spans="2:18" x14ac:dyDescent="0.35">
      <c r="B4019" s="113">
        <v>46262</v>
      </c>
      <c r="C4019" s="4" t="s">
        <v>2706</v>
      </c>
      <c r="D4019" s="4" t="s">
        <v>4606</v>
      </c>
      <c r="E4019" s="1" t="str">
        <f>_xlfn.XLOOKUP(tblSales[[#This Row],[Customer ID]],tblCustomers[Customer ID],tblCustomers[Customer Name],"⚠ Unknown")</f>
        <v>PT Arunika Digital Kreatif</v>
      </c>
      <c r="F4019" s="4" t="s">
        <v>9</v>
      </c>
      <c r="G4019" s="1" t="str">
        <f>_xlfn.XLOOKUP(tblSales[[#This Row],[Product Code]],tblProducts[Code],tblProducts[Product / Service Name],"⚠ Unknown")</f>
        <v>Casual Shirt</v>
      </c>
      <c r="H4019" s="1" t="str">
        <f>_xlfn.XLOOKUP(tblSales[[#This Row],[Product Code]],tblProducts[Code],tblProducts[Category],"")</f>
        <v>Apparel &amp; Footwear</v>
      </c>
      <c r="I4019" s="4">
        <v>16</v>
      </c>
      <c r="J4019" s="5">
        <f>_xlfn.XLOOKUP(tblSales[[#This Row],[Product Code]],tblProducts[Code],tblProducts[Selling Price (excl. VAT)],0)</f>
        <v>120000</v>
      </c>
      <c r="K4019" s="5">
        <f>tblSales[[#This Row],[Qty]]*tblSales[[#This Row],[Unit Price]]</f>
        <v>1920000</v>
      </c>
      <c r="L4019" s="5">
        <f>ROUND(tblSales[[#This Row],[DPP (excl. VAT)]]*VATEff,0)</f>
        <v>211200</v>
      </c>
      <c r="M4019" s="5">
        <f>tblSales[[#This Row],[DPP (excl. VAT)]]+tblSales[[#This Row],[Output VAT]]</f>
        <v>2131200</v>
      </c>
      <c r="N4019" s="5">
        <f>tblSales[[#This Row],[Qty]]*_xlfn.XLOOKUP(tblSales[[#This Row],[Product Code]],tblProducts[Code],tblProducts[Unit Cost],0)</f>
        <v>1152000</v>
      </c>
      <c r="O4019" s="4" t="s">
        <v>4867</v>
      </c>
      <c r="P4019" s="4" t="s">
        <v>4860</v>
      </c>
      <c r="Q4019" s="1" t="str">
        <f>_xlfn.XLOOKUP(tblSales[[#This Row],[Channel Code]],tblChannels[Channel Code],tblChannels[Channel Name],"")</f>
        <v>In-store</v>
      </c>
      <c r="R4019" s="1">
        <f>MONTH(tblSales[[#This Row],[Date]])</f>
        <v>8</v>
      </c>
    </row>
    <row r="4020" spans="2:18" x14ac:dyDescent="0.35">
      <c r="B4020" s="113">
        <v>46262</v>
      </c>
      <c r="C4020" s="4" t="s">
        <v>2707</v>
      </c>
      <c r="D4020" s="4" t="s">
        <v>4568</v>
      </c>
      <c r="E4020" s="1" t="str">
        <f>_xlfn.XLOOKUP(tblSales[[#This Row],[Customer ID]],tblCustomers[Customer ID],tblCustomers[Customer Name],"⚠ Unknown")</f>
        <v>Walk-in Customer</v>
      </c>
      <c r="F4020" s="4" t="s">
        <v>6</v>
      </c>
      <c r="G4020" s="1" t="str">
        <f>_xlfn.XLOOKUP(tblSales[[#This Row],[Product Code]],tblProducts[Code],tblProducts[Product / Service Name],"⚠ Unknown")</f>
        <v>Socks &amp; Accessories</v>
      </c>
      <c r="H4020" s="1" t="str">
        <f>_xlfn.XLOOKUP(tblSales[[#This Row],[Product Code]],tblProducts[Code],tblProducts[Category],"")</f>
        <v>Accessories &amp; Basics</v>
      </c>
      <c r="I4020" s="4">
        <v>11</v>
      </c>
      <c r="J4020" s="5">
        <f>_xlfn.XLOOKUP(tblSales[[#This Row],[Product Code]],tblProducts[Code],tblProducts[Selling Price (excl. VAT)],0)</f>
        <v>45000</v>
      </c>
      <c r="K4020" s="5">
        <f>tblSales[[#This Row],[Qty]]*tblSales[[#This Row],[Unit Price]]</f>
        <v>495000</v>
      </c>
      <c r="L4020" s="5">
        <f>ROUND(tblSales[[#This Row],[DPP (excl. VAT)]]*VATEff,0)</f>
        <v>54450</v>
      </c>
      <c r="M4020" s="5">
        <f>tblSales[[#This Row],[DPP (excl. VAT)]]+tblSales[[#This Row],[Output VAT]]</f>
        <v>549450</v>
      </c>
      <c r="N4020" s="5">
        <f>tblSales[[#This Row],[Qty]]*_xlfn.XLOOKUP(tblSales[[#This Row],[Product Code]],tblProducts[Code],tblProducts[Unit Cost],0)</f>
        <v>264000</v>
      </c>
      <c r="O4020" s="4" t="s">
        <v>4865</v>
      </c>
      <c r="P4020" s="4" t="s">
        <v>4860</v>
      </c>
      <c r="Q4020" s="1" t="str">
        <f>_xlfn.XLOOKUP(tblSales[[#This Row],[Channel Code]],tblChannels[Channel Code],tblChannels[Channel Name],"")</f>
        <v>In-store</v>
      </c>
      <c r="R4020" s="1">
        <f>MONTH(tblSales[[#This Row],[Date]])</f>
        <v>8</v>
      </c>
    </row>
    <row r="4021" spans="2:18" x14ac:dyDescent="0.35">
      <c r="B4021" s="113">
        <v>46262</v>
      </c>
      <c r="C4021" s="4" t="s">
        <v>2708</v>
      </c>
      <c r="D4021" s="4" t="s">
        <v>4568</v>
      </c>
      <c r="E4021" s="1" t="str">
        <f>_xlfn.XLOOKUP(tblSales[[#This Row],[Customer ID]],tblCustomers[Customer ID],tblCustomers[Customer Name],"⚠ Unknown")</f>
        <v>Walk-in Customer</v>
      </c>
      <c r="F4021" s="4" t="s">
        <v>9</v>
      </c>
      <c r="G4021" s="1" t="str">
        <f>_xlfn.XLOOKUP(tblSales[[#This Row],[Product Code]],tblProducts[Code],tblProducts[Product / Service Name],"⚠ Unknown")</f>
        <v>Casual Shirt</v>
      </c>
      <c r="H4021" s="1" t="str">
        <f>_xlfn.XLOOKUP(tblSales[[#This Row],[Product Code]],tblProducts[Code],tblProducts[Category],"")</f>
        <v>Apparel &amp; Footwear</v>
      </c>
      <c r="I4021" s="4">
        <v>1</v>
      </c>
      <c r="J4021" s="5">
        <f>_xlfn.XLOOKUP(tblSales[[#This Row],[Product Code]],tblProducts[Code],tblProducts[Selling Price (excl. VAT)],0)</f>
        <v>120000</v>
      </c>
      <c r="K4021" s="5">
        <f>tblSales[[#This Row],[Qty]]*tblSales[[#This Row],[Unit Price]]</f>
        <v>120000</v>
      </c>
      <c r="L4021" s="5">
        <f>ROUND(tblSales[[#This Row],[DPP (excl. VAT)]]*VATEff,0)</f>
        <v>13200</v>
      </c>
      <c r="M4021" s="5">
        <f>tblSales[[#This Row],[DPP (excl. VAT)]]+tblSales[[#This Row],[Output VAT]]</f>
        <v>133200</v>
      </c>
      <c r="N4021" s="5">
        <f>tblSales[[#This Row],[Qty]]*_xlfn.XLOOKUP(tblSales[[#This Row],[Product Code]],tblProducts[Code],tblProducts[Unit Cost],0)</f>
        <v>72000</v>
      </c>
      <c r="O4021" s="4" t="s">
        <v>4866</v>
      </c>
      <c r="P4021" s="4" t="s">
        <v>4861</v>
      </c>
      <c r="Q4021" s="1" t="str">
        <f>_xlfn.XLOOKUP(tblSales[[#This Row],[Channel Code]],tblChannels[Channel Code],tblChannels[Channel Name],"")</f>
        <v>Marketplace</v>
      </c>
      <c r="R4021" s="1">
        <f>MONTH(tblSales[[#This Row],[Date]])</f>
        <v>8</v>
      </c>
    </row>
    <row r="4022" spans="2:18" x14ac:dyDescent="0.35">
      <c r="B4022" s="113">
        <v>46263</v>
      </c>
      <c r="C4022" s="4" t="s">
        <v>2709</v>
      </c>
      <c r="D4022" s="4" t="s">
        <v>4568</v>
      </c>
      <c r="E4022" s="1" t="str">
        <f>_xlfn.XLOOKUP(tblSales[[#This Row],[Customer ID]],tblCustomers[Customer ID],tblCustomers[Customer Name],"⚠ Unknown")</f>
        <v>Walk-in Customer</v>
      </c>
      <c r="F4022" s="4" t="s">
        <v>6</v>
      </c>
      <c r="G4022" s="1" t="str">
        <f>_xlfn.XLOOKUP(tblSales[[#This Row],[Product Code]],tblProducts[Code],tblProducts[Product / Service Name],"⚠ Unknown")</f>
        <v>Socks &amp; Accessories</v>
      </c>
      <c r="H4022" s="1" t="str">
        <f>_xlfn.XLOOKUP(tblSales[[#This Row],[Product Code]],tblProducts[Code],tblProducts[Category],"")</f>
        <v>Accessories &amp; Basics</v>
      </c>
      <c r="I4022" s="4">
        <v>5</v>
      </c>
      <c r="J4022" s="5">
        <f>_xlfn.XLOOKUP(tblSales[[#This Row],[Product Code]],tblProducts[Code],tblProducts[Selling Price (excl. VAT)],0)</f>
        <v>45000</v>
      </c>
      <c r="K4022" s="5">
        <f>tblSales[[#This Row],[Qty]]*tblSales[[#This Row],[Unit Price]]</f>
        <v>225000</v>
      </c>
      <c r="L4022" s="5">
        <f>ROUND(tblSales[[#This Row],[DPP (excl. VAT)]]*VATEff,0)</f>
        <v>24750</v>
      </c>
      <c r="M4022" s="5">
        <f>tblSales[[#This Row],[DPP (excl. VAT)]]+tblSales[[#This Row],[Output VAT]]</f>
        <v>249750</v>
      </c>
      <c r="N4022" s="5">
        <f>tblSales[[#This Row],[Qty]]*_xlfn.XLOOKUP(tblSales[[#This Row],[Product Code]],tblProducts[Code],tblProducts[Unit Cost],0)</f>
        <v>120000</v>
      </c>
      <c r="O4022" s="4" t="s">
        <v>4866</v>
      </c>
      <c r="P4022" s="4" t="s">
        <v>4862</v>
      </c>
      <c r="Q4022" s="1" t="str">
        <f>_xlfn.XLOOKUP(tblSales[[#This Row],[Channel Code]],tblChannels[Channel Code],tblChannels[Channel Name],"")</f>
        <v>Website &amp; Social Media</v>
      </c>
      <c r="R4022" s="1">
        <f>MONTH(tblSales[[#This Row],[Date]])</f>
        <v>8</v>
      </c>
    </row>
    <row r="4023" spans="2:18" x14ac:dyDescent="0.35">
      <c r="B4023" s="113">
        <v>46263</v>
      </c>
      <c r="C4023" s="4" t="s">
        <v>2710</v>
      </c>
      <c r="D4023" s="4" t="s">
        <v>4568</v>
      </c>
      <c r="E4023" s="1" t="str">
        <f>_xlfn.XLOOKUP(tblSales[[#This Row],[Customer ID]],tblCustomers[Customer ID],tblCustomers[Customer Name],"⚠ Unknown")</f>
        <v>Walk-in Customer</v>
      </c>
      <c r="F4023" s="4" t="s">
        <v>11</v>
      </c>
      <c r="G4023" s="1" t="str">
        <f>_xlfn.XLOOKUP(tblSales[[#This Row],[Product Code]],tblProducts[Code],tblProducts[Product / Service Name],"⚠ Unknown")</f>
        <v>Sneakers</v>
      </c>
      <c r="H4023" s="1" t="str">
        <f>_xlfn.XLOOKUP(tblSales[[#This Row],[Product Code]],tblProducts[Code],tblProducts[Category],"")</f>
        <v>Apparel &amp; Footwear</v>
      </c>
      <c r="I4023" s="4">
        <v>6</v>
      </c>
      <c r="J4023" s="5">
        <f>_xlfn.XLOOKUP(tblSales[[#This Row],[Product Code]],tblProducts[Code],tblProducts[Selling Price (excl. VAT)],0)</f>
        <v>250000</v>
      </c>
      <c r="K4023" s="5">
        <f>tblSales[[#This Row],[Qty]]*tblSales[[#This Row],[Unit Price]]</f>
        <v>1500000</v>
      </c>
      <c r="L4023" s="5">
        <f>ROUND(tblSales[[#This Row],[DPP (excl. VAT)]]*VATEff,0)</f>
        <v>165000</v>
      </c>
      <c r="M4023" s="5">
        <f>tblSales[[#This Row],[DPP (excl. VAT)]]+tblSales[[#This Row],[Output VAT]]</f>
        <v>1665000</v>
      </c>
      <c r="N4023" s="5">
        <f>tblSales[[#This Row],[Qty]]*_xlfn.XLOOKUP(tblSales[[#This Row],[Product Code]],tblProducts[Code],tblProducts[Unit Cost],0)</f>
        <v>930000</v>
      </c>
      <c r="O4023" s="4" t="s">
        <v>4866</v>
      </c>
      <c r="P4023" s="4" t="s">
        <v>4862</v>
      </c>
      <c r="Q4023" s="1" t="str">
        <f>_xlfn.XLOOKUP(tblSales[[#This Row],[Channel Code]],tblChannels[Channel Code],tblChannels[Channel Name],"")</f>
        <v>Website &amp; Social Media</v>
      </c>
      <c r="R4023" s="1">
        <f>MONTH(tblSales[[#This Row],[Date]])</f>
        <v>8</v>
      </c>
    </row>
    <row r="4024" spans="2:18" x14ac:dyDescent="0.35">
      <c r="B4024" s="113">
        <v>46263</v>
      </c>
      <c r="C4024" s="4" t="s">
        <v>2710</v>
      </c>
      <c r="D4024" s="4" t="s">
        <v>4568</v>
      </c>
      <c r="E4024" s="1" t="str">
        <f>_xlfn.XLOOKUP(tblSales[[#This Row],[Customer ID]],tblCustomers[Customer ID],tblCustomers[Customer Name],"⚠ Unknown")</f>
        <v>Walk-in Customer</v>
      </c>
      <c r="F4024" s="4" t="s">
        <v>13</v>
      </c>
      <c r="G4024" s="1" t="str">
        <f>_xlfn.XLOOKUP(tblSales[[#This Row],[Product Code]],tblProducts[Code],tblProducts[Product / Service Name],"⚠ Unknown")</f>
        <v>Backpack</v>
      </c>
      <c r="H4024" s="1" t="str">
        <f>_xlfn.XLOOKUP(tblSales[[#This Row],[Product Code]],tblProducts[Code],tblProducts[Category],"")</f>
        <v>Bags &amp; Gadgets</v>
      </c>
      <c r="I4024" s="4">
        <v>4</v>
      </c>
      <c r="J4024" s="5">
        <f>_xlfn.XLOOKUP(tblSales[[#This Row],[Product Code]],tblProducts[Code],tblProducts[Selling Price (excl. VAT)],0)</f>
        <v>500000</v>
      </c>
      <c r="K4024" s="5">
        <f>tblSales[[#This Row],[Qty]]*tblSales[[#This Row],[Unit Price]]</f>
        <v>2000000</v>
      </c>
      <c r="L4024" s="5">
        <f>ROUND(tblSales[[#This Row],[DPP (excl. VAT)]]*VATEff,0)</f>
        <v>220000</v>
      </c>
      <c r="M4024" s="5">
        <f>tblSales[[#This Row],[DPP (excl. VAT)]]+tblSales[[#This Row],[Output VAT]]</f>
        <v>2220000</v>
      </c>
      <c r="N4024" s="5">
        <f>tblSales[[#This Row],[Qty]]*_xlfn.XLOOKUP(tblSales[[#This Row],[Product Code]],tblProducts[Code],tblProducts[Unit Cost],0)</f>
        <v>1160000</v>
      </c>
      <c r="O4024" s="4" t="s">
        <v>4866</v>
      </c>
      <c r="P4024" s="4" t="s">
        <v>4862</v>
      </c>
      <c r="Q4024" s="1" t="str">
        <f>_xlfn.XLOOKUP(tblSales[[#This Row],[Channel Code]],tblChannels[Channel Code],tblChannels[Channel Name],"")</f>
        <v>Website &amp; Social Media</v>
      </c>
      <c r="R4024" s="1">
        <f>MONTH(tblSales[[#This Row],[Date]])</f>
        <v>8</v>
      </c>
    </row>
    <row r="4025" spans="2:18" x14ac:dyDescent="0.35">
      <c r="B4025" s="113">
        <v>46263</v>
      </c>
      <c r="C4025" s="4" t="s">
        <v>2710</v>
      </c>
      <c r="D4025" s="4" t="s">
        <v>4568</v>
      </c>
      <c r="E4025" s="1" t="str">
        <f>_xlfn.XLOOKUP(tblSales[[#This Row],[Customer ID]],tblCustomers[Customer ID],tblCustomers[Customer Name],"⚠ Unknown")</f>
        <v>Walk-in Customer</v>
      </c>
      <c r="F4025" s="4" t="s">
        <v>14</v>
      </c>
      <c r="G4025" s="1" t="str">
        <f>_xlfn.XLOOKUP(tblSales[[#This Row],[Product Code]],tblProducts[Code],tblProducts[Product / Service Name],"⚠ Unknown")</f>
        <v>Smartwatch</v>
      </c>
      <c r="H4025" s="1" t="str">
        <f>_xlfn.XLOOKUP(tblSales[[#This Row],[Product Code]],tblProducts[Code],tblProducts[Category],"")</f>
        <v>Bags &amp; Gadgets</v>
      </c>
      <c r="I4025" s="4">
        <v>3</v>
      </c>
      <c r="J4025" s="5">
        <f>_xlfn.XLOOKUP(tblSales[[#This Row],[Product Code]],tblProducts[Code],tblProducts[Selling Price (excl. VAT)],0)</f>
        <v>850000</v>
      </c>
      <c r="K4025" s="5">
        <f>tblSales[[#This Row],[Qty]]*tblSales[[#This Row],[Unit Price]]</f>
        <v>2550000</v>
      </c>
      <c r="L4025" s="5">
        <f>ROUND(tblSales[[#This Row],[DPP (excl. VAT)]]*VATEff,0)</f>
        <v>280500</v>
      </c>
      <c r="M4025" s="5">
        <f>tblSales[[#This Row],[DPP (excl. VAT)]]+tblSales[[#This Row],[Output VAT]]</f>
        <v>2830500</v>
      </c>
      <c r="N4025" s="5">
        <f>tblSales[[#This Row],[Qty]]*_xlfn.XLOOKUP(tblSales[[#This Row],[Product Code]],tblProducts[Code],tblProducts[Unit Cost],0)</f>
        <v>1680000</v>
      </c>
      <c r="O4025" s="4" t="s">
        <v>4866</v>
      </c>
      <c r="P4025" s="4" t="s">
        <v>4862</v>
      </c>
      <c r="Q4025" s="1" t="str">
        <f>_xlfn.XLOOKUP(tblSales[[#This Row],[Channel Code]],tblChannels[Channel Code],tblChannels[Channel Name],"")</f>
        <v>Website &amp; Social Media</v>
      </c>
      <c r="R4025" s="1">
        <f>MONTH(tblSales[[#This Row],[Date]])</f>
        <v>8</v>
      </c>
    </row>
    <row r="4026" spans="2:18" x14ac:dyDescent="0.35">
      <c r="B4026" s="113">
        <v>46263</v>
      </c>
      <c r="C4026" s="4" t="s">
        <v>2711</v>
      </c>
      <c r="D4026" s="4" t="s">
        <v>4599</v>
      </c>
      <c r="E4026" s="1" t="str">
        <f>_xlfn.XLOOKUP(tblSales[[#This Row],[Customer ID]],tblCustomers[Customer ID],tblCustomers[Customer Name],"⚠ Unknown")</f>
        <v>PT Samudra Jaya Logistik</v>
      </c>
      <c r="F4026" s="4" t="s">
        <v>8</v>
      </c>
      <c r="G4026" s="1" t="str">
        <f>_xlfn.XLOOKUP(tblSales[[#This Row],[Product Code]],tblProducts[Code],tblProducts[Product / Service Name],"⚠ Unknown")</f>
        <v>Casual Shorts</v>
      </c>
      <c r="H4026" s="1" t="str">
        <f>_xlfn.XLOOKUP(tblSales[[#This Row],[Product Code]],tblProducts[Code],tblProducts[Category],"")</f>
        <v>Accessories &amp; Basics</v>
      </c>
      <c r="I4026" s="4">
        <v>32</v>
      </c>
      <c r="J4026" s="5">
        <f>_xlfn.XLOOKUP(tblSales[[#This Row],[Product Code]],tblProducts[Code],tblProducts[Selling Price (excl. VAT)],0)</f>
        <v>85000</v>
      </c>
      <c r="K4026" s="5">
        <f>tblSales[[#This Row],[Qty]]*tblSales[[#This Row],[Unit Price]]</f>
        <v>2720000</v>
      </c>
      <c r="L4026" s="5">
        <f>ROUND(tblSales[[#This Row],[DPP (excl. VAT)]]*VATEff,0)</f>
        <v>299200</v>
      </c>
      <c r="M4026" s="5">
        <f>tblSales[[#This Row],[DPP (excl. VAT)]]+tblSales[[#This Row],[Output VAT]]</f>
        <v>3019200</v>
      </c>
      <c r="N4026" s="5">
        <f>tblSales[[#This Row],[Qty]]*_xlfn.XLOOKUP(tblSales[[#This Row],[Product Code]],tblProducts[Code],tblProducts[Unit Cost],0)</f>
        <v>1600000</v>
      </c>
      <c r="O4026" s="4" t="s">
        <v>4867</v>
      </c>
      <c r="P4026" s="4" t="s">
        <v>4860</v>
      </c>
      <c r="Q4026" s="1" t="str">
        <f>_xlfn.XLOOKUP(tblSales[[#This Row],[Channel Code]],tblChannels[Channel Code],tblChannels[Channel Name],"")</f>
        <v>In-store</v>
      </c>
      <c r="R4026" s="1">
        <f>MONTH(tblSales[[#This Row],[Date]])</f>
        <v>8</v>
      </c>
    </row>
    <row r="4027" spans="2:18" x14ac:dyDescent="0.35">
      <c r="B4027" s="113">
        <v>46263</v>
      </c>
      <c r="C4027" s="4" t="s">
        <v>2712</v>
      </c>
      <c r="D4027" s="4" t="s">
        <v>4568</v>
      </c>
      <c r="E4027" s="1" t="str">
        <f>_xlfn.XLOOKUP(tblSales[[#This Row],[Customer ID]],tblCustomers[Customer ID],tblCustomers[Customer Name],"⚠ Unknown")</f>
        <v>Walk-in Customer</v>
      </c>
      <c r="F4027" s="4" t="s">
        <v>13</v>
      </c>
      <c r="G4027" s="1" t="str">
        <f>_xlfn.XLOOKUP(tblSales[[#This Row],[Product Code]],tblProducts[Code],tblProducts[Product / Service Name],"⚠ Unknown")</f>
        <v>Backpack</v>
      </c>
      <c r="H4027" s="1" t="str">
        <f>_xlfn.XLOOKUP(tblSales[[#This Row],[Product Code]],tblProducts[Code],tblProducts[Category],"")</f>
        <v>Bags &amp; Gadgets</v>
      </c>
      <c r="I4027" s="4">
        <v>1</v>
      </c>
      <c r="J4027" s="5">
        <f>_xlfn.XLOOKUP(tblSales[[#This Row],[Product Code]],tblProducts[Code],tblProducts[Selling Price (excl. VAT)],0)</f>
        <v>500000</v>
      </c>
      <c r="K4027" s="5">
        <f>tblSales[[#This Row],[Qty]]*tblSales[[#This Row],[Unit Price]]</f>
        <v>500000</v>
      </c>
      <c r="L4027" s="5">
        <f>ROUND(tblSales[[#This Row],[DPP (excl. VAT)]]*VATEff,0)</f>
        <v>55000</v>
      </c>
      <c r="M4027" s="5">
        <f>tblSales[[#This Row],[DPP (excl. VAT)]]+tblSales[[#This Row],[Output VAT]]</f>
        <v>555000</v>
      </c>
      <c r="N4027" s="5">
        <f>tblSales[[#This Row],[Qty]]*_xlfn.XLOOKUP(tblSales[[#This Row],[Product Code]],tblProducts[Code],tblProducts[Unit Cost],0)</f>
        <v>290000</v>
      </c>
      <c r="O4027" s="4" t="s">
        <v>4865</v>
      </c>
      <c r="P4027" s="4" t="s">
        <v>4860</v>
      </c>
      <c r="Q4027" s="1" t="str">
        <f>_xlfn.XLOOKUP(tblSales[[#This Row],[Channel Code]],tblChannels[Channel Code],tblChannels[Channel Name],"")</f>
        <v>In-store</v>
      </c>
      <c r="R4027" s="1">
        <f>MONTH(tblSales[[#This Row],[Date]])</f>
        <v>8</v>
      </c>
    </row>
    <row r="4028" spans="2:18" x14ac:dyDescent="0.35">
      <c r="B4028" s="113">
        <v>46263</v>
      </c>
      <c r="C4028" s="4" t="s">
        <v>2712</v>
      </c>
      <c r="D4028" s="4" t="s">
        <v>4568</v>
      </c>
      <c r="E4028" s="1" t="str">
        <f>_xlfn.XLOOKUP(tblSales[[#This Row],[Customer ID]],tblCustomers[Customer ID],tblCustomers[Customer Name],"⚠ Unknown")</f>
        <v>Walk-in Customer</v>
      </c>
      <c r="F4028" s="4" t="s">
        <v>6</v>
      </c>
      <c r="G4028" s="1" t="str">
        <f>_xlfn.XLOOKUP(tblSales[[#This Row],[Product Code]],tblProducts[Code],tblProducts[Product / Service Name],"⚠ Unknown")</f>
        <v>Socks &amp; Accessories</v>
      </c>
      <c r="H4028" s="1" t="str">
        <f>_xlfn.XLOOKUP(tblSales[[#This Row],[Product Code]],tblProducts[Code],tblProducts[Category],"")</f>
        <v>Accessories &amp; Basics</v>
      </c>
      <c r="I4028" s="4">
        <v>10</v>
      </c>
      <c r="J4028" s="5">
        <f>_xlfn.XLOOKUP(tblSales[[#This Row],[Product Code]],tblProducts[Code],tblProducts[Selling Price (excl. VAT)],0)</f>
        <v>45000</v>
      </c>
      <c r="K4028" s="5">
        <f>tblSales[[#This Row],[Qty]]*tblSales[[#This Row],[Unit Price]]</f>
        <v>450000</v>
      </c>
      <c r="L4028" s="5">
        <f>ROUND(tblSales[[#This Row],[DPP (excl. VAT)]]*VATEff,0)</f>
        <v>49500</v>
      </c>
      <c r="M4028" s="5">
        <f>tblSales[[#This Row],[DPP (excl. VAT)]]+tblSales[[#This Row],[Output VAT]]</f>
        <v>499500</v>
      </c>
      <c r="N4028" s="5">
        <f>tblSales[[#This Row],[Qty]]*_xlfn.XLOOKUP(tblSales[[#This Row],[Product Code]],tblProducts[Code],tblProducts[Unit Cost],0)</f>
        <v>240000</v>
      </c>
      <c r="O4028" s="4" t="s">
        <v>4865</v>
      </c>
      <c r="P4028" s="4" t="s">
        <v>4860</v>
      </c>
      <c r="Q4028" s="1" t="str">
        <f>_xlfn.XLOOKUP(tblSales[[#This Row],[Channel Code]],tblChannels[Channel Code],tblChannels[Channel Name],"")</f>
        <v>In-store</v>
      </c>
      <c r="R4028" s="1">
        <f>MONTH(tblSales[[#This Row],[Date]])</f>
        <v>8</v>
      </c>
    </row>
    <row r="4029" spans="2:18" x14ac:dyDescent="0.35">
      <c r="B4029" s="113">
        <v>46263</v>
      </c>
      <c r="C4029" s="4" t="s">
        <v>2713</v>
      </c>
      <c r="D4029" s="4" t="s">
        <v>4568</v>
      </c>
      <c r="E4029" s="1" t="str">
        <f>_xlfn.XLOOKUP(tblSales[[#This Row],[Customer ID]],tblCustomers[Customer ID],tblCustomers[Customer Name],"⚠ Unknown")</f>
        <v>Walk-in Customer</v>
      </c>
      <c r="F4029" s="4" t="s">
        <v>13</v>
      </c>
      <c r="G4029" s="1" t="str">
        <f>_xlfn.XLOOKUP(tblSales[[#This Row],[Product Code]],tblProducts[Code],tblProducts[Product / Service Name],"⚠ Unknown")</f>
        <v>Backpack</v>
      </c>
      <c r="H4029" s="1" t="str">
        <f>_xlfn.XLOOKUP(tblSales[[#This Row],[Product Code]],tblProducts[Code],tblProducts[Category],"")</f>
        <v>Bags &amp; Gadgets</v>
      </c>
      <c r="I4029" s="4">
        <v>3</v>
      </c>
      <c r="J4029" s="5">
        <f>_xlfn.XLOOKUP(tblSales[[#This Row],[Product Code]],tblProducts[Code],tblProducts[Selling Price (excl. VAT)],0)</f>
        <v>500000</v>
      </c>
      <c r="K4029" s="5">
        <f>tblSales[[#This Row],[Qty]]*tblSales[[#This Row],[Unit Price]]</f>
        <v>1500000</v>
      </c>
      <c r="L4029" s="5">
        <f>ROUND(tblSales[[#This Row],[DPP (excl. VAT)]]*VATEff,0)</f>
        <v>165000</v>
      </c>
      <c r="M4029" s="5">
        <f>tblSales[[#This Row],[DPP (excl. VAT)]]+tblSales[[#This Row],[Output VAT]]</f>
        <v>1665000</v>
      </c>
      <c r="N4029" s="5">
        <f>tblSales[[#This Row],[Qty]]*_xlfn.XLOOKUP(tblSales[[#This Row],[Product Code]],tblProducts[Code],tblProducts[Unit Cost],0)</f>
        <v>870000</v>
      </c>
      <c r="O4029" s="4" t="s">
        <v>4865</v>
      </c>
      <c r="P4029" s="4" t="s">
        <v>4860</v>
      </c>
      <c r="Q4029" s="1" t="str">
        <f>_xlfn.XLOOKUP(tblSales[[#This Row],[Channel Code]],tblChannels[Channel Code],tblChannels[Channel Name],"")</f>
        <v>In-store</v>
      </c>
      <c r="R4029" s="1">
        <f>MONTH(tblSales[[#This Row],[Date]])</f>
        <v>8</v>
      </c>
    </row>
    <row r="4030" spans="2:18" x14ac:dyDescent="0.35">
      <c r="B4030" s="113">
        <v>46263</v>
      </c>
      <c r="C4030" s="4" t="s">
        <v>2713</v>
      </c>
      <c r="D4030" s="4" t="s">
        <v>4568</v>
      </c>
      <c r="E4030" s="1" t="str">
        <f>_xlfn.XLOOKUP(tblSales[[#This Row],[Customer ID]],tblCustomers[Customer ID],tblCustomers[Customer Name],"⚠ Unknown")</f>
        <v>Walk-in Customer</v>
      </c>
      <c r="F4030" s="4" t="s">
        <v>15</v>
      </c>
      <c r="G4030" s="1" t="str">
        <f>_xlfn.XLOOKUP(tblSales[[#This Row],[Product Code]],tblProducts[Code],tblProducts[Product / Service Name],"⚠ Unknown")</f>
        <v>Wireless Earbuds Pro</v>
      </c>
      <c r="H4030" s="1" t="str">
        <f>_xlfn.XLOOKUP(tblSales[[#This Row],[Product Code]],tblProducts[Code],tblProducts[Category],"")</f>
        <v>Bags &amp; Gadgets</v>
      </c>
      <c r="I4030" s="4">
        <v>3</v>
      </c>
      <c r="J4030" s="5">
        <f>_xlfn.XLOOKUP(tblSales[[#This Row],[Product Code]],tblProducts[Code],tblProducts[Selling Price (excl. VAT)],0)</f>
        <v>1250000</v>
      </c>
      <c r="K4030" s="5">
        <f>tblSales[[#This Row],[Qty]]*tblSales[[#This Row],[Unit Price]]</f>
        <v>3750000</v>
      </c>
      <c r="L4030" s="5">
        <f>ROUND(tblSales[[#This Row],[DPP (excl. VAT)]]*VATEff,0)</f>
        <v>412500</v>
      </c>
      <c r="M4030" s="5">
        <f>tblSales[[#This Row],[DPP (excl. VAT)]]+tblSales[[#This Row],[Output VAT]]</f>
        <v>4162500</v>
      </c>
      <c r="N4030" s="5">
        <f>tblSales[[#This Row],[Qty]]*_xlfn.XLOOKUP(tblSales[[#This Row],[Product Code]],tblProducts[Code],tblProducts[Unit Cost],0)</f>
        <v>2460000</v>
      </c>
      <c r="O4030" s="4" t="s">
        <v>4865</v>
      </c>
      <c r="P4030" s="4" t="s">
        <v>4860</v>
      </c>
      <c r="Q4030" s="1" t="str">
        <f>_xlfn.XLOOKUP(tblSales[[#This Row],[Channel Code]],tblChannels[Channel Code],tblChannels[Channel Name],"")</f>
        <v>In-store</v>
      </c>
      <c r="R4030" s="1">
        <f>MONTH(tblSales[[#This Row],[Date]])</f>
        <v>8</v>
      </c>
    </row>
    <row r="4031" spans="2:18" x14ac:dyDescent="0.35">
      <c r="B4031" s="113">
        <v>46263</v>
      </c>
      <c r="C4031" s="4" t="s">
        <v>2714</v>
      </c>
      <c r="D4031" s="4" t="s">
        <v>4568</v>
      </c>
      <c r="E4031" s="1" t="str">
        <f>_xlfn.XLOOKUP(tblSales[[#This Row],[Customer ID]],tblCustomers[Customer ID],tblCustomers[Customer Name],"⚠ Unknown")</f>
        <v>Walk-in Customer</v>
      </c>
      <c r="F4031" s="4" t="s">
        <v>11</v>
      </c>
      <c r="G4031" s="1" t="str">
        <f>_xlfn.XLOOKUP(tblSales[[#This Row],[Product Code]],tblProducts[Code],tblProducts[Product / Service Name],"⚠ Unknown")</f>
        <v>Sneakers</v>
      </c>
      <c r="H4031" s="1" t="str">
        <f>_xlfn.XLOOKUP(tblSales[[#This Row],[Product Code]],tblProducts[Code],tblProducts[Category],"")</f>
        <v>Apparel &amp; Footwear</v>
      </c>
      <c r="I4031" s="4">
        <v>4</v>
      </c>
      <c r="J4031" s="5">
        <f>_xlfn.XLOOKUP(tblSales[[#This Row],[Product Code]],tblProducts[Code],tblProducts[Selling Price (excl. VAT)],0)</f>
        <v>250000</v>
      </c>
      <c r="K4031" s="5">
        <f>tblSales[[#This Row],[Qty]]*tblSales[[#This Row],[Unit Price]]</f>
        <v>1000000</v>
      </c>
      <c r="L4031" s="5">
        <f>ROUND(tblSales[[#This Row],[DPP (excl. VAT)]]*VATEff,0)</f>
        <v>110000</v>
      </c>
      <c r="M4031" s="5">
        <f>tblSales[[#This Row],[DPP (excl. VAT)]]+tblSales[[#This Row],[Output VAT]]</f>
        <v>1110000</v>
      </c>
      <c r="N4031" s="5">
        <f>tblSales[[#This Row],[Qty]]*_xlfn.XLOOKUP(tblSales[[#This Row],[Product Code]],tblProducts[Code],tblProducts[Unit Cost],0)</f>
        <v>620000</v>
      </c>
      <c r="O4031" s="4" t="s">
        <v>4866</v>
      </c>
      <c r="P4031" s="4" t="s">
        <v>4861</v>
      </c>
      <c r="Q4031" s="1" t="str">
        <f>_xlfn.XLOOKUP(tblSales[[#This Row],[Channel Code]],tblChannels[Channel Code],tblChannels[Channel Name],"")</f>
        <v>Marketplace</v>
      </c>
      <c r="R4031" s="1">
        <f>MONTH(tblSales[[#This Row],[Date]])</f>
        <v>8</v>
      </c>
    </row>
    <row r="4032" spans="2:18" x14ac:dyDescent="0.35">
      <c r="B4032" s="113">
        <v>46263</v>
      </c>
      <c r="C4032" s="4" t="s">
        <v>2715</v>
      </c>
      <c r="D4032" s="4" t="s">
        <v>4568</v>
      </c>
      <c r="E4032" s="1" t="str">
        <f>_xlfn.XLOOKUP(tblSales[[#This Row],[Customer ID]],tblCustomers[Customer ID],tblCustomers[Customer Name],"⚠ Unknown")</f>
        <v>Walk-in Customer</v>
      </c>
      <c r="F4032" s="4" t="s">
        <v>14</v>
      </c>
      <c r="G4032" s="1" t="str">
        <f>_xlfn.XLOOKUP(tblSales[[#This Row],[Product Code]],tblProducts[Code],tblProducts[Product / Service Name],"⚠ Unknown")</f>
        <v>Smartwatch</v>
      </c>
      <c r="H4032" s="1" t="str">
        <f>_xlfn.XLOOKUP(tblSales[[#This Row],[Product Code]],tblProducts[Code],tblProducts[Category],"")</f>
        <v>Bags &amp; Gadgets</v>
      </c>
      <c r="I4032" s="4">
        <v>1</v>
      </c>
      <c r="J4032" s="5">
        <f>_xlfn.XLOOKUP(tblSales[[#This Row],[Product Code]],tblProducts[Code],tblProducts[Selling Price (excl. VAT)],0)</f>
        <v>850000</v>
      </c>
      <c r="K4032" s="5">
        <f>tblSales[[#This Row],[Qty]]*tblSales[[#This Row],[Unit Price]]</f>
        <v>850000</v>
      </c>
      <c r="L4032" s="5">
        <f>ROUND(tblSales[[#This Row],[DPP (excl. VAT)]]*VATEff,0)</f>
        <v>93500</v>
      </c>
      <c r="M4032" s="5">
        <f>tblSales[[#This Row],[DPP (excl. VAT)]]+tblSales[[#This Row],[Output VAT]]</f>
        <v>943500</v>
      </c>
      <c r="N4032" s="5">
        <f>tblSales[[#This Row],[Qty]]*_xlfn.XLOOKUP(tblSales[[#This Row],[Product Code]],tblProducts[Code],tblProducts[Unit Cost],0)</f>
        <v>560000</v>
      </c>
      <c r="O4032" s="4" t="s">
        <v>4866</v>
      </c>
      <c r="P4032" s="4" t="s">
        <v>4861</v>
      </c>
      <c r="Q4032" s="1" t="str">
        <f>_xlfn.XLOOKUP(tblSales[[#This Row],[Channel Code]],tblChannels[Channel Code],tblChannels[Channel Name],"")</f>
        <v>Marketplace</v>
      </c>
      <c r="R4032" s="1">
        <f>MONTH(tblSales[[#This Row],[Date]])</f>
        <v>8</v>
      </c>
    </row>
    <row r="4033" spans="2:18" x14ac:dyDescent="0.35">
      <c r="B4033" s="113">
        <v>46263</v>
      </c>
      <c r="C4033" s="4" t="s">
        <v>2716</v>
      </c>
      <c r="D4033" s="4" t="s">
        <v>4572</v>
      </c>
      <c r="E4033" s="1" t="str">
        <f>_xlfn.XLOOKUP(tblSales[[#This Row],[Customer ID]],tblCustomers[Customer ID],tblCustomers[Customer Name],"⚠ Unknown")</f>
        <v>PT Cahaya Abadi Makmur</v>
      </c>
      <c r="F4033" s="4" t="s">
        <v>9</v>
      </c>
      <c r="G4033" s="1" t="str">
        <f>_xlfn.XLOOKUP(tblSales[[#This Row],[Product Code]],tblProducts[Code],tblProducts[Product / Service Name],"⚠ Unknown")</f>
        <v>Casual Shirt</v>
      </c>
      <c r="H4033" s="1" t="str">
        <f>_xlfn.XLOOKUP(tblSales[[#This Row],[Product Code]],tblProducts[Code],tblProducts[Category],"")</f>
        <v>Apparel &amp; Footwear</v>
      </c>
      <c r="I4033" s="4">
        <v>24</v>
      </c>
      <c r="J4033" s="5">
        <f>_xlfn.XLOOKUP(tblSales[[#This Row],[Product Code]],tblProducts[Code],tblProducts[Selling Price (excl. VAT)],0)</f>
        <v>120000</v>
      </c>
      <c r="K4033" s="5">
        <f>tblSales[[#This Row],[Qty]]*tblSales[[#This Row],[Unit Price]]</f>
        <v>2880000</v>
      </c>
      <c r="L4033" s="5">
        <f>ROUND(tblSales[[#This Row],[DPP (excl. VAT)]]*VATEff,0)</f>
        <v>316800</v>
      </c>
      <c r="M4033" s="5">
        <f>tblSales[[#This Row],[DPP (excl. VAT)]]+tblSales[[#This Row],[Output VAT]]</f>
        <v>3196800</v>
      </c>
      <c r="N4033" s="5">
        <f>tblSales[[#This Row],[Qty]]*_xlfn.XLOOKUP(tblSales[[#This Row],[Product Code]],tblProducts[Code],tblProducts[Unit Cost],0)</f>
        <v>1728000</v>
      </c>
      <c r="O4033" s="4" t="s">
        <v>4867</v>
      </c>
      <c r="P4033" s="4" t="s">
        <v>4860</v>
      </c>
      <c r="Q4033" s="1" t="str">
        <f>_xlfn.XLOOKUP(tblSales[[#This Row],[Channel Code]],tblChannels[Channel Code],tblChannels[Channel Name],"")</f>
        <v>In-store</v>
      </c>
      <c r="R4033" s="1">
        <f>MONTH(tblSales[[#This Row],[Date]])</f>
        <v>8</v>
      </c>
    </row>
    <row r="4034" spans="2:18" x14ac:dyDescent="0.35">
      <c r="B4034" s="113">
        <v>46263</v>
      </c>
      <c r="C4034" s="4" t="s">
        <v>2717</v>
      </c>
      <c r="D4034" s="4" t="s">
        <v>4568</v>
      </c>
      <c r="E4034" s="1" t="str">
        <f>_xlfn.XLOOKUP(tblSales[[#This Row],[Customer ID]],tblCustomers[Customer ID],tblCustomers[Customer Name],"⚠ Unknown")</f>
        <v>Walk-in Customer</v>
      </c>
      <c r="F4034" s="4" t="s">
        <v>10</v>
      </c>
      <c r="G4034" s="1" t="str">
        <f>_xlfn.XLOOKUP(tblSales[[#This Row],[Product Code]],tblProducts[Code],tblProducts[Product / Service Name],"⚠ Unknown")</f>
        <v>Chino Pants</v>
      </c>
      <c r="H4034" s="1" t="str">
        <f>_xlfn.XLOOKUP(tblSales[[#This Row],[Product Code]],tblProducts[Code],tblProducts[Category],"")</f>
        <v>Apparel &amp; Footwear</v>
      </c>
      <c r="I4034" s="4">
        <v>1</v>
      </c>
      <c r="J4034" s="5">
        <f>_xlfn.XLOOKUP(tblSales[[#This Row],[Product Code]],tblProducts[Code],tblProducts[Selling Price (excl. VAT)],0)</f>
        <v>150000</v>
      </c>
      <c r="K4034" s="5">
        <f>tblSales[[#This Row],[Qty]]*tblSales[[#This Row],[Unit Price]]</f>
        <v>150000</v>
      </c>
      <c r="L4034" s="5">
        <f>ROUND(tblSales[[#This Row],[DPP (excl. VAT)]]*VATEff,0)</f>
        <v>16500</v>
      </c>
      <c r="M4034" s="5">
        <f>tblSales[[#This Row],[DPP (excl. VAT)]]+tblSales[[#This Row],[Output VAT]]</f>
        <v>166500</v>
      </c>
      <c r="N4034" s="5">
        <f>tblSales[[#This Row],[Qty]]*_xlfn.XLOOKUP(tblSales[[#This Row],[Product Code]],tblProducts[Code],tblProducts[Unit Cost],0)</f>
        <v>88000</v>
      </c>
      <c r="O4034" s="4" t="s">
        <v>4865</v>
      </c>
      <c r="P4034" s="4" t="s">
        <v>4860</v>
      </c>
      <c r="Q4034" s="1" t="str">
        <f>_xlfn.XLOOKUP(tblSales[[#This Row],[Channel Code]],tblChannels[Channel Code],tblChannels[Channel Name],"")</f>
        <v>In-store</v>
      </c>
      <c r="R4034" s="1">
        <f>MONTH(tblSales[[#This Row],[Date]])</f>
        <v>8</v>
      </c>
    </row>
    <row r="4035" spans="2:18" x14ac:dyDescent="0.35">
      <c r="B4035" s="113">
        <v>46263</v>
      </c>
      <c r="C4035" s="4" t="s">
        <v>2718</v>
      </c>
      <c r="D4035" s="4" t="s">
        <v>4568</v>
      </c>
      <c r="E4035" s="1" t="str">
        <f>_xlfn.XLOOKUP(tblSales[[#This Row],[Customer ID]],tblCustomers[Customer ID],tblCustomers[Customer Name],"⚠ Unknown")</f>
        <v>Walk-in Customer</v>
      </c>
      <c r="F4035" s="4" t="s">
        <v>8</v>
      </c>
      <c r="G4035" s="1" t="str">
        <f>_xlfn.XLOOKUP(tblSales[[#This Row],[Product Code]],tblProducts[Code],tblProducts[Product / Service Name],"⚠ Unknown")</f>
        <v>Casual Shorts</v>
      </c>
      <c r="H4035" s="1" t="str">
        <f>_xlfn.XLOOKUP(tblSales[[#This Row],[Product Code]],tblProducts[Code],tblProducts[Category],"")</f>
        <v>Accessories &amp; Basics</v>
      </c>
      <c r="I4035" s="4">
        <v>12</v>
      </c>
      <c r="J4035" s="5">
        <f>_xlfn.XLOOKUP(tblSales[[#This Row],[Product Code]],tblProducts[Code],tblProducts[Selling Price (excl. VAT)],0)</f>
        <v>85000</v>
      </c>
      <c r="K4035" s="5">
        <f>tblSales[[#This Row],[Qty]]*tblSales[[#This Row],[Unit Price]]</f>
        <v>1020000</v>
      </c>
      <c r="L4035" s="5">
        <f>ROUND(tblSales[[#This Row],[DPP (excl. VAT)]]*VATEff,0)</f>
        <v>112200</v>
      </c>
      <c r="M4035" s="5">
        <f>tblSales[[#This Row],[DPP (excl. VAT)]]+tblSales[[#This Row],[Output VAT]]</f>
        <v>1132200</v>
      </c>
      <c r="N4035" s="5">
        <f>tblSales[[#This Row],[Qty]]*_xlfn.XLOOKUP(tblSales[[#This Row],[Product Code]],tblProducts[Code],tblProducts[Unit Cost],0)</f>
        <v>600000</v>
      </c>
      <c r="O4035" s="4" t="s">
        <v>4865</v>
      </c>
      <c r="P4035" s="4" t="s">
        <v>4860</v>
      </c>
      <c r="Q4035" s="1" t="str">
        <f>_xlfn.XLOOKUP(tblSales[[#This Row],[Channel Code]],tblChannels[Channel Code],tblChannels[Channel Name],"")</f>
        <v>In-store</v>
      </c>
      <c r="R4035" s="1">
        <f>MONTH(tblSales[[#This Row],[Date]])</f>
        <v>8</v>
      </c>
    </row>
    <row r="4036" spans="2:18" x14ac:dyDescent="0.35">
      <c r="B4036" s="113">
        <v>46263</v>
      </c>
      <c r="C4036" s="4" t="s">
        <v>2718</v>
      </c>
      <c r="D4036" s="4" t="s">
        <v>4568</v>
      </c>
      <c r="E4036" s="1" t="str">
        <f>_xlfn.XLOOKUP(tblSales[[#This Row],[Customer ID]],tblCustomers[Customer ID],tblCustomers[Customer Name],"⚠ Unknown")</f>
        <v>Walk-in Customer</v>
      </c>
      <c r="F4036" s="4" t="s">
        <v>7</v>
      </c>
      <c r="G4036" s="1" t="str">
        <f>_xlfn.XLOOKUP(tblSales[[#This Row],[Product Code]],tblProducts[Code],tblProducts[Product / Service Name],"⚠ Unknown")</f>
        <v>Premium Basic T-shirt</v>
      </c>
      <c r="H4036" s="1" t="str">
        <f>_xlfn.XLOOKUP(tblSales[[#This Row],[Product Code]],tblProducts[Code],tblProducts[Category],"")</f>
        <v>Accessories &amp; Basics</v>
      </c>
      <c r="I4036" s="4">
        <v>5</v>
      </c>
      <c r="J4036" s="5">
        <f>_xlfn.XLOOKUP(tblSales[[#This Row],[Product Code]],tblProducts[Code],tblProducts[Selling Price (excl. VAT)],0)</f>
        <v>65000</v>
      </c>
      <c r="K4036" s="5">
        <f>tblSales[[#This Row],[Qty]]*tblSales[[#This Row],[Unit Price]]</f>
        <v>325000</v>
      </c>
      <c r="L4036" s="5">
        <f>ROUND(tblSales[[#This Row],[DPP (excl. VAT)]]*VATEff,0)</f>
        <v>35750</v>
      </c>
      <c r="M4036" s="5">
        <f>tblSales[[#This Row],[DPP (excl. VAT)]]+tblSales[[#This Row],[Output VAT]]</f>
        <v>360750</v>
      </c>
      <c r="N4036" s="5">
        <f>tblSales[[#This Row],[Qty]]*_xlfn.XLOOKUP(tblSales[[#This Row],[Product Code]],tblProducts[Code],tblProducts[Unit Cost],0)</f>
        <v>185000</v>
      </c>
      <c r="O4036" s="4" t="s">
        <v>4865</v>
      </c>
      <c r="P4036" s="4" t="s">
        <v>4860</v>
      </c>
      <c r="Q4036" s="1" t="str">
        <f>_xlfn.XLOOKUP(tblSales[[#This Row],[Channel Code]],tblChannels[Channel Code],tblChannels[Channel Name],"")</f>
        <v>In-store</v>
      </c>
      <c r="R4036" s="1">
        <f>MONTH(tblSales[[#This Row],[Date]])</f>
        <v>8</v>
      </c>
    </row>
    <row r="4037" spans="2:18" x14ac:dyDescent="0.35">
      <c r="B4037" s="113">
        <v>46263</v>
      </c>
      <c r="C4037" s="4" t="s">
        <v>2719</v>
      </c>
      <c r="D4037" s="4" t="s">
        <v>4606</v>
      </c>
      <c r="E4037" s="1" t="str">
        <f>_xlfn.XLOOKUP(tblSales[[#This Row],[Customer ID]],tblCustomers[Customer ID],tblCustomers[Customer Name],"⚠ Unknown")</f>
        <v>PT Arunika Digital Kreatif</v>
      </c>
      <c r="F4037" s="4" t="s">
        <v>8</v>
      </c>
      <c r="G4037" s="1" t="str">
        <f>_xlfn.XLOOKUP(tblSales[[#This Row],[Product Code]],tblProducts[Code],tblProducts[Product / Service Name],"⚠ Unknown")</f>
        <v>Casual Shorts</v>
      </c>
      <c r="H4037" s="1" t="str">
        <f>_xlfn.XLOOKUP(tblSales[[#This Row],[Product Code]],tblProducts[Code],tblProducts[Category],"")</f>
        <v>Accessories &amp; Basics</v>
      </c>
      <c r="I4037" s="4">
        <v>40</v>
      </c>
      <c r="J4037" s="5">
        <f>_xlfn.XLOOKUP(tblSales[[#This Row],[Product Code]],tblProducts[Code],tblProducts[Selling Price (excl. VAT)],0)</f>
        <v>85000</v>
      </c>
      <c r="K4037" s="5">
        <f>tblSales[[#This Row],[Qty]]*tblSales[[#This Row],[Unit Price]]</f>
        <v>3400000</v>
      </c>
      <c r="L4037" s="5">
        <f>ROUND(tblSales[[#This Row],[DPP (excl. VAT)]]*VATEff,0)</f>
        <v>374000</v>
      </c>
      <c r="M4037" s="5">
        <f>tblSales[[#This Row],[DPP (excl. VAT)]]+tblSales[[#This Row],[Output VAT]]</f>
        <v>3774000</v>
      </c>
      <c r="N4037" s="5">
        <f>tblSales[[#This Row],[Qty]]*_xlfn.XLOOKUP(tblSales[[#This Row],[Product Code]],tblProducts[Code],tblProducts[Unit Cost],0)</f>
        <v>2000000</v>
      </c>
      <c r="O4037" s="4" t="s">
        <v>4867</v>
      </c>
      <c r="P4037" s="4" t="s">
        <v>4860</v>
      </c>
      <c r="Q4037" s="1" t="str">
        <f>_xlfn.XLOOKUP(tblSales[[#This Row],[Channel Code]],tblChannels[Channel Code],tblChannels[Channel Name],"")</f>
        <v>In-store</v>
      </c>
      <c r="R4037" s="1">
        <f>MONTH(tblSales[[#This Row],[Date]])</f>
        <v>8</v>
      </c>
    </row>
    <row r="4038" spans="2:18" x14ac:dyDescent="0.35">
      <c r="B4038" s="113">
        <v>46263</v>
      </c>
      <c r="C4038" s="4" t="s">
        <v>2720</v>
      </c>
      <c r="D4038" s="4" t="s">
        <v>4568</v>
      </c>
      <c r="E4038" s="1" t="str">
        <f>_xlfn.XLOOKUP(tblSales[[#This Row],[Customer ID]],tblCustomers[Customer ID],tblCustomers[Customer Name],"⚠ Unknown")</f>
        <v>Walk-in Customer</v>
      </c>
      <c r="F4038" s="4" t="s">
        <v>13</v>
      </c>
      <c r="G4038" s="1" t="str">
        <f>_xlfn.XLOOKUP(tblSales[[#This Row],[Product Code]],tblProducts[Code],tblProducts[Product / Service Name],"⚠ Unknown")</f>
        <v>Backpack</v>
      </c>
      <c r="H4038" s="1" t="str">
        <f>_xlfn.XLOOKUP(tblSales[[#This Row],[Product Code]],tblProducts[Code],tblProducts[Category],"")</f>
        <v>Bags &amp; Gadgets</v>
      </c>
      <c r="I4038" s="4">
        <v>2</v>
      </c>
      <c r="J4038" s="5">
        <f>_xlfn.XLOOKUP(tblSales[[#This Row],[Product Code]],tblProducts[Code],tblProducts[Selling Price (excl. VAT)],0)</f>
        <v>500000</v>
      </c>
      <c r="K4038" s="5">
        <f>tblSales[[#This Row],[Qty]]*tblSales[[#This Row],[Unit Price]]</f>
        <v>1000000</v>
      </c>
      <c r="L4038" s="5">
        <f>ROUND(tblSales[[#This Row],[DPP (excl. VAT)]]*VATEff,0)</f>
        <v>110000</v>
      </c>
      <c r="M4038" s="5">
        <f>tblSales[[#This Row],[DPP (excl. VAT)]]+tblSales[[#This Row],[Output VAT]]</f>
        <v>1110000</v>
      </c>
      <c r="N4038" s="5">
        <f>tblSales[[#This Row],[Qty]]*_xlfn.XLOOKUP(tblSales[[#This Row],[Product Code]],tblProducts[Code],tblProducts[Unit Cost],0)</f>
        <v>580000</v>
      </c>
      <c r="O4038" s="4" t="s">
        <v>4866</v>
      </c>
      <c r="P4038" s="4" t="s">
        <v>4860</v>
      </c>
      <c r="Q4038" s="1" t="str">
        <f>_xlfn.XLOOKUP(tblSales[[#This Row],[Channel Code]],tblChannels[Channel Code],tblChannels[Channel Name],"")</f>
        <v>In-store</v>
      </c>
      <c r="R4038" s="1">
        <f>MONTH(tblSales[[#This Row],[Date]])</f>
        <v>8</v>
      </c>
    </row>
    <row r="4039" spans="2:18" x14ac:dyDescent="0.35">
      <c r="B4039" s="113">
        <v>46263</v>
      </c>
      <c r="C4039" s="4" t="s">
        <v>2721</v>
      </c>
      <c r="D4039" s="4" t="s">
        <v>4648</v>
      </c>
      <c r="E4039" s="1" t="str">
        <f>_xlfn.XLOOKUP(tblSales[[#This Row],[Customer ID]],tblCustomers[Customer ID],tblCustomers[Customer Name],"⚠ Unknown")</f>
        <v>PT Lintas Benua Niaga</v>
      </c>
      <c r="F4039" s="4" t="s">
        <v>6</v>
      </c>
      <c r="G4039" s="1" t="str">
        <f>_xlfn.XLOOKUP(tblSales[[#This Row],[Product Code]],tblProducts[Code],tblProducts[Product / Service Name],"⚠ Unknown")</f>
        <v>Socks &amp; Accessories</v>
      </c>
      <c r="H4039" s="1" t="str">
        <f>_xlfn.XLOOKUP(tblSales[[#This Row],[Product Code]],tblProducts[Code],tblProducts[Category],"")</f>
        <v>Accessories &amp; Basics</v>
      </c>
      <c r="I4039" s="4">
        <v>24</v>
      </c>
      <c r="J4039" s="5">
        <f>_xlfn.XLOOKUP(tblSales[[#This Row],[Product Code]],tblProducts[Code],tblProducts[Selling Price (excl. VAT)],0)</f>
        <v>45000</v>
      </c>
      <c r="K4039" s="5">
        <f>tblSales[[#This Row],[Qty]]*tblSales[[#This Row],[Unit Price]]</f>
        <v>1080000</v>
      </c>
      <c r="L4039" s="5">
        <f>ROUND(tblSales[[#This Row],[DPP (excl. VAT)]]*VATEff,0)</f>
        <v>118800</v>
      </c>
      <c r="M4039" s="5">
        <f>tblSales[[#This Row],[DPP (excl. VAT)]]+tblSales[[#This Row],[Output VAT]]</f>
        <v>1198800</v>
      </c>
      <c r="N4039" s="5">
        <f>tblSales[[#This Row],[Qty]]*_xlfn.XLOOKUP(tblSales[[#This Row],[Product Code]],tblProducts[Code],tblProducts[Unit Cost],0)</f>
        <v>576000</v>
      </c>
      <c r="O4039" s="4" t="s">
        <v>4867</v>
      </c>
      <c r="P4039" s="4" t="s">
        <v>4860</v>
      </c>
      <c r="Q4039" s="1" t="str">
        <f>_xlfn.XLOOKUP(tblSales[[#This Row],[Channel Code]],tblChannels[Channel Code],tblChannels[Channel Name],"")</f>
        <v>In-store</v>
      </c>
      <c r="R4039" s="1">
        <f>MONTH(tblSales[[#This Row],[Date]])</f>
        <v>8</v>
      </c>
    </row>
    <row r="4040" spans="2:18" x14ac:dyDescent="0.35">
      <c r="B4040" s="113">
        <v>46263</v>
      </c>
      <c r="C4040" s="4" t="s">
        <v>2721</v>
      </c>
      <c r="D4040" s="4" t="s">
        <v>4648</v>
      </c>
      <c r="E4040" s="1" t="str">
        <f>_xlfn.XLOOKUP(tblSales[[#This Row],[Customer ID]],tblCustomers[Customer ID],tblCustomers[Customer Name],"⚠ Unknown")</f>
        <v>PT Lintas Benua Niaga</v>
      </c>
      <c r="F4040" s="4" t="s">
        <v>8</v>
      </c>
      <c r="G4040" s="1" t="str">
        <f>_xlfn.XLOOKUP(tblSales[[#This Row],[Product Code]],tblProducts[Code],tblProducts[Product / Service Name],"⚠ Unknown")</f>
        <v>Casual Shorts</v>
      </c>
      <c r="H4040" s="1" t="str">
        <f>_xlfn.XLOOKUP(tblSales[[#This Row],[Product Code]],tblProducts[Code],tblProducts[Category],"")</f>
        <v>Accessories &amp; Basics</v>
      </c>
      <c r="I4040" s="4">
        <v>8</v>
      </c>
      <c r="J4040" s="5">
        <f>_xlfn.XLOOKUP(tblSales[[#This Row],[Product Code]],tblProducts[Code],tblProducts[Selling Price (excl. VAT)],0)</f>
        <v>85000</v>
      </c>
      <c r="K4040" s="5">
        <f>tblSales[[#This Row],[Qty]]*tblSales[[#This Row],[Unit Price]]</f>
        <v>680000</v>
      </c>
      <c r="L4040" s="5">
        <f>ROUND(tblSales[[#This Row],[DPP (excl. VAT)]]*VATEff,0)</f>
        <v>74800</v>
      </c>
      <c r="M4040" s="5">
        <f>tblSales[[#This Row],[DPP (excl. VAT)]]+tblSales[[#This Row],[Output VAT]]</f>
        <v>754800</v>
      </c>
      <c r="N4040" s="5">
        <f>tblSales[[#This Row],[Qty]]*_xlfn.XLOOKUP(tblSales[[#This Row],[Product Code]],tblProducts[Code],tblProducts[Unit Cost],0)</f>
        <v>400000</v>
      </c>
      <c r="O4040" s="4" t="s">
        <v>4867</v>
      </c>
      <c r="P4040" s="4" t="s">
        <v>4860</v>
      </c>
      <c r="Q4040" s="1" t="str">
        <f>_xlfn.XLOOKUP(tblSales[[#This Row],[Channel Code]],tblChannels[Channel Code],tblChannels[Channel Name],"")</f>
        <v>In-store</v>
      </c>
      <c r="R4040" s="1">
        <f>MONTH(tblSales[[#This Row],[Date]])</f>
        <v>8</v>
      </c>
    </row>
    <row r="4041" spans="2:18" x14ac:dyDescent="0.35">
      <c r="B4041" s="113">
        <v>46263</v>
      </c>
      <c r="C4041" s="4" t="s">
        <v>2721</v>
      </c>
      <c r="D4041" s="4" t="s">
        <v>4648</v>
      </c>
      <c r="E4041" s="1" t="str">
        <f>_xlfn.XLOOKUP(tblSales[[#This Row],[Customer ID]],tblCustomers[Customer ID],tblCustomers[Customer Name],"⚠ Unknown")</f>
        <v>PT Lintas Benua Niaga</v>
      </c>
      <c r="F4041" s="4" t="s">
        <v>12</v>
      </c>
      <c r="G4041" s="1" t="str">
        <f>_xlfn.XLOOKUP(tblSales[[#This Row],[Product Code]],tblProducts[Code],tblProducts[Product / Service Name],"⚠ Unknown")</f>
        <v>Bomber Jacket</v>
      </c>
      <c r="H4041" s="1" t="str">
        <f>_xlfn.XLOOKUP(tblSales[[#This Row],[Product Code]],tblProducts[Code],tblProducts[Category],"")</f>
        <v>Apparel &amp; Footwear</v>
      </c>
      <c r="I4041" s="4">
        <v>16</v>
      </c>
      <c r="J4041" s="5">
        <f>_xlfn.XLOOKUP(tblSales[[#This Row],[Product Code]],tblProducts[Code],tblProducts[Selling Price (excl. VAT)],0)</f>
        <v>350000</v>
      </c>
      <c r="K4041" s="5">
        <f>tblSales[[#This Row],[Qty]]*tblSales[[#This Row],[Unit Price]]</f>
        <v>5600000</v>
      </c>
      <c r="L4041" s="5">
        <f>ROUND(tblSales[[#This Row],[DPP (excl. VAT)]]*VATEff,0)</f>
        <v>616000</v>
      </c>
      <c r="M4041" s="5">
        <f>tblSales[[#This Row],[DPP (excl. VAT)]]+tblSales[[#This Row],[Output VAT]]</f>
        <v>6216000</v>
      </c>
      <c r="N4041" s="5">
        <f>tblSales[[#This Row],[Qty]]*_xlfn.XLOOKUP(tblSales[[#This Row],[Product Code]],tblProducts[Code],tblProducts[Unit Cost],0)</f>
        <v>3360000</v>
      </c>
      <c r="O4041" s="4" t="s">
        <v>4867</v>
      </c>
      <c r="P4041" s="4" t="s">
        <v>4860</v>
      </c>
      <c r="Q4041" s="1" t="str">
        <f>_xlfn.XLOOKUP(tblSales[[#This Row],[Channel Code]],tblChannels[Channel Code],tblChannels[Channel Name],"")</f>
        <v>In-store</v>
      </c>
      <c r="R4041" s="1">
        <f>MONTH(tblSales[[#This Row],[Date]])</f>
        <v>8</v>
      </c>
    </row>
    <row r="4042" spans="2:18" x14ac:dyDescent="0.35">
      <c r="B4042" s="113">
        <v>46263</v>
      </c>
      <c r="C4042" s="4" t="s">
        <v>2722</v>
      </c>
      <c r="D4042" s="4" t="s">
        <v>4568</v>
      </c>
      <c r="E4042" s="1" t="str">
        <f>_xlfn.XLOOKUP(tblSales[[#This Row],[Customer ID]],tblCustomers[Customer ID],tblCustomers[Customer Name],"⚠ Unknown")</f>
        <v>Walk-in Customer</v>
      </c>
      <c r="F4042" s="4" t="s">
        <v>8</v>
      </c>
      <c r="G4042" s="1" t="str">
        <f>_xlfn.XLOOKUP(tblSales[[#This Row],[Product Code]],tblProducts[Code],tblProducts[Product / Service Name],"⚠ Unknown")</f>
        <v>Casual Shorts</v>
      </c>
      <c r="H4042" s="1" t="str">
        <f>_xlfn.XLOOKUP(tblSales[[#This Row],[Product Code]],tblProducts[Code],tblProducts[Category],"")</f>
        <v>Accessories &amp; Basics</v>
      </c>
      <c r="I4042" s="4">
        <v>9</v>
      </c>
      <c r="J4042" s="5">
        <f>_xlfn.XLOOKUP(tblSales[[#This Row],[Product Code]],tblProducts[Code],tblProducts[Selling Price (excl. VAT)],0)</f>
        <v>85000</v>
      </c>
      <c r="K4042" s="5">
        <f>tblSales[[#This Row],[Qty]]*tblSales[[#This Row],[Unit Price]]</f>
        <v>765000</v>
      </c>
      <c r="L4042" s="5">
        <f>ROUND(tblSales[[#This Row],[DPP (excl. VAT)]]*VATEff,0)</f>
        <v>84150</v>
      </c>
      <c r="M4042" s="5">
        <f>tblSales[[#This Row],[DPP (excl. VAT)]]+tblSales[[#This Row],[Output VAT]]</f>
        <v>849150</v>
      </c>
      <c r="N4042" s="5">
        <f>tblSales[[#This Row],[Qty]]*_xlfn.XLOOKUP(tblSales[[#This Row],[Product Code]],tblProducts[Code],tblProducts[Unit Cost],0)</f>
        <v>450000</v>
      </c>
      <c r="O4042" s="4" t="s">
        <v>4866</v>
      </c>
      <c r="P4042" s="4" t="s">
        <v>4860</v>
      </c>
      <c r="Q4042" s="1" t="str">
        <f>_xlfn.XLOOKUP(tblSales[[#This Row],[Channel Code]],tblChannels[Channel Code],tblChannels[Channel Name],"")</f>
        <v>In-store</v>
      </c>
      <c r="R4042" s="1">
        <f>MONTH(tblSales[[#This Row],[Date]])</f>
        <v>8</v>
      </c>
    </row>
    <row r="4043" spans="2:18" x14ac:dyDescent="0.35">
      <c r="B4043" s="113">
        <v>46263</v>
      </c>
      <c r="C4043" s="4" t="s">
        <v>2722</v>
      </c>
      <c r="D4043" s="4" t="s">
        <v>4568</v>
      </c>
      <c r="E4043" s="1" t="str">
        <f>_xlfn.XLOOKUP(tblSales[[#This Row],[Customer ID]],tblCustomers[Customer ID],tblCustomers[Customer Name],"⚠ Unknown")</f>
        <v>Walk-in Customer</v>
      </c>
      <c r="F4043" s="4" t="s">
        <v>9</v>
      </c>
      <c r="G4043" s="1" t="str">
        <f>_xlfn.XLOOKUP(tblSales[[#This Row],[Product Code]],tblProducts[Code],tblProducts[Product / Service Name],"⚠ Unknown")</f>
        <v>Casual Shirt</v>
      </c>
      <c r="H4043" s="1" t="str">
        <f>_xlfn.XLOOKUP(tblSales[[#This Row],[Product Code]],tblProducts[Code],tblProducts[Category],"")</f>
        <v>Apparel &amp; Footwear</v>
      </c>
      <c r="I4043" s="4">
        <v>5</v>
      </c>
      <c r="J4043" s="5">
        <f>_xlfn.XLOOKUP(tblSales[[#This Row],[Product Code]],tblProducts[Code],tblProducts[Selling Price (excl. VAT)],0)</f>
        <v>120000</v>
      </c>
      <c r="K4043" s="5">
        <f>tblSales[[#This Row],[Qty]]*tblSales[[#This Row],[Unit Price]]</f>
        <v>600000</v>
      </c>
      <c r="L4043" s="5">
        <f>ROUND(tblSales[[#This Row],[DPP (excl. VAT)]]*VATEff,0)</f>
        <v>66000</v>
      </c>
      <c r="M4043" s="5">
        <f>tblSales[[#This Row],[DPP (excl. VAT)]]+tblSales[[#This Row],[Output VAT]]</f>
        <v>666000</v>
      </c>
      <c r="N4043" s="5">
        <f>tblSales[[#This Row],[Qty]]*_xlfn.XLOOKUP(tblSales[[#This Row],[Product Code]],tblProducts[Code],tblProducts[Unit Cost],0)</f>
        <v>360000</v>
      </c>
      <c r="O4043" s="4" t="s">
        <v>4866</v>
      </c>
      <c r="P4043" s="4" t="s">
        <v>4860</v>
      </c>
      <c r="Q4043" s="1" t="str">
        <f>_xlfn.XLOOKUP(tblSales[[#This Row],[Channel Code]],tblChannels[Channel Code],tblChannels[Channel Name],"")</f>
        <v>In-store</v>
      </c>
      <c r="R4043" s="1">
        <f>MONTH(tblSales[[#This Row],[Date]])</f>
        <v>8</v>
      </c>
    </row>
    <row r="4044" spans="2:18" x14ac:dyDescent="0.35">
      <c r="B4044" s="113">
        <v>46264</v>
      </c>
      <c r="C4044" s="4" t="s">
        <v>2723</v>
      </c>
      <c r="D4044" s="4" t="s">
        <v>4568</v>
      </c>
      <c r="E4044" s="1" t="str">
        <f>_xlfn.XLOOKUP(tblSales[[#This Row],[Customer ID]],tblCustomers[Customer ID],tblCustomers[Customer Name],"⚠ Unknown")</f>
        <v>Walk-in Customer</v>
      </c>
      <c r="F4044" s="4" t="s">
        <v>15</v>
      </c>
      <c r="G4044" s="1" t="str">
        <f>_xlfn.XLOOKUP(tblSales[[#This Row],[Product Code]],tblProducts[Code],tblProducts[Product / Service Name],"⚠ Unknown")</f>
        <v>Wireless Earbuds Pro</v>
      </c>
      <c r="H4044" s="1" t="str">
        <f>_xlfn.XLOOKUP(tblSales[[#This Row],[Product Code]],tblProducts[Code],tblProducts[Category],"")</f>
        <v>Bags &amp; Gadgets</v>
      </c>
      <c r="I4044" s="4">
        <v>3</v>
      </c>
      <c r="J4044" s="5">
        <f>_xlfn.XLOOKUP(tblSales[[#This Row],[Product Code]],tblProducts[Code],tblProducts[Selling Price (excl. VAT)],0)</f>
        <v>1250000</v>
      </c>
      <c r="K4044" s="5">
        <f>tblSales[[#This Row],[Qty]]*tblSales[[#This Row],[Unit Price]]</f>
        <v>3750000</v>
      </c>
      <c r="L4044" s="5">
        <f>ROUND(tblSales[[#This Row],[DPP (excl. VAT)]]*VATEff,0)</f>
        <v>412500</v>
      </c>
      <c r="M4044" s="5">
        <f>tblSales[[#This Row],[DPP (excl. VAT)]]+tblSales[[#This Row],[Output VAT]]</f>
        <v>4162500</v>
      </c>
      <c r="N4044" s="5">
        <f>tblSales[[#This Row],[Qty]]*_xlfn.XLOOKUP(tblSales[[#This Row],[Product Code]],tblProducts[Code],tblProducts[Unit Cost],0)</f>
        <v>2460000</v>
      </c>
      <c r="O4044" s="4" t="s">
        <v>4866</v>
      </c>
      <c r="P4044" s="4" t="s">
        <v>4860</v>
      </c>
      <c r="Q4044" s="1" t="str">
        <f>_xlfn.XLOOKUP(tblSales[[#This Row],[Channel Code]],tblChannels[Channel Code],tblChannels[Channel Name],"")</f>
        <v>In-store</v>
      </c>
      <c r="R4044" s="1">
        <f>MONTH(tblSales[[#This Row],[Date]])</f>
        <v>8</v>
      </c>
    </row>
    <row r="4045" spans="2:18" x14ac:dyDescent="0.35">
      <c r="B4045" s="113">
        <v>46264</v>
      </c>
      <c r="C4045" s="4" t="s">
        <v>2723</v>
      </c>
      <c r="D4045" s="4" t="s">
        <v>4568</v>
      </c>
      <c r="E4045" s="1" t="str">
        <f>_xlfn.XLOOKUP(tblSales[[#This Row],[Customer ID]],tblCustomers[Customer ID],tblCustomers[Customer Name],"⚠ Unknown")</f>
        <v>Walk-in Customer</v>
      </c>
      <c r="F4045" s="4" t="s">
        <v>12</v>
      </c>
      <c r="G4045" s="1" t="str">
        <f>_xlfn.XLOOKUP(tblSales[[#This Row],[Product Code]],tblProducts[Code],tblProducts[Product / Service Name],"⚠ Unknown")</f>
        <v>Bomber Jacket</v>
      </c>
      <c r="H4045" s="1" t="str">
        <f>_xlfn.XLOOKUP(tblSales[[#This Row],[Product Code]],tblProducts[Code],tblProducts[Category],"")</f>
        <v>Apparel &amp; Footwear</v>
      </c>
      <c r="I4045" s="4">
        <v>2</v>
      </c>
      <c r="J4045" s="5">
        <f>_xlfn.XLOOKUP(tblSales[[#This Row],[Product Code]],tblProducts[Code],tblProducts[Selling Price (excl. VAT)],0)</f>
        <v>350000</v>
      </c>
      <c r="K4045" s="5">
        <f>tblSales[[#This Row],[Qty]]*tblSales[[#This Row],[Unit Price]]</f>
        <v>700000</v>
      </c>
      <c r="L4045" s="5">
        <f>ROUND(tblSales[[#This Row],[DPP (excl. VAT)]]*VATEff,0)</f>
        <v>77000</v>
      </c>
      <c r="M4045" s="5">
        <f>tblSales[[#This Row],[DPP (excl. VAT)]]+tblSales[[#This Row],[Output VAT]]</f>
        <v>777000</v>
      </c>
      <c r="N4045" s="5">
        <f>tblSales[[#This Row],[Qty]]*_xlfn.XLOOKUP(tblSales[[#This Row],[Product Code]],tblProducts[Code],tblProducts[Unit Cost],0)</f>
        <v>420000</v>
      </c>
      <c r="O4045" s="4" t="s">
        <v>4866</v>
      </c>
      <c r="P4045" s="4" t="s">
        <v>4860</v>
      </c>
      <c r="Q4045" s="1" t="str">
        <f>_xlfn.XLOOKUP(tblSales[[#This Row],[Channel Code]],tblChannels[Channel Code],tblChannels[Channel Name],"")</f>
        <v>In-store</v>
      </c>
      <c r="R4045" s="1">
        <f>MONTH(tblSales[[#This Row],[Date]])</f>
        <v>8</v>
      </c>
    </row>
    <row r="4046" spans="2:18" x14ac:dyDescent="0.35">
      <c r="B4046" s="113">
        <v>46264</v>
      </c>
      <c r="C4046" s="4" t="s">
        <v>2724</v>
      </c>
      <c r="D4046" s="4" t="s">
        <v>4568</v>
      </c>
      <c r="E4046" s="1" t="str">
        <f>_xlfn.XLOOKUP(tblSales[[#This Row],[Customer ID]],tblCustomers[Customer ID],tblCustomers[Customer Name],"⚠ Unknown")</f>
        <v>Walk-in Customer</v>
      </c>
      <c r="F4046" s="4" t="s">
        <v>9</v>
      </c>
      <c r="G4046" s="1" t="str">
        <f>_xlfn.XLOOKUP(tblSales[[#This Row],[Product Code]],tblProducts[Code],tblProducts[Product / Service Name],"⚠ Unknown")</f>
        <v>Casual Shirt</v>
      </c>
      <c r="H4046" s="1" t="str">
        <f>_xlfn.XLOOKUP(tblSales[[#This Row],[Product Code]],tblProducts[Code],tblProducts[Category],"")</f>
        <v>Apparel &amp; Footwear</v>
      </c>
      <c r="I4046" s="4">
        <v>2</v>
      </c>
      <c r="J4046" s="5">
        <f>_xlfn.XLOOKUP(tblSales[[#This Row],[Product Code]],tblProducts[Code],tblProducts[Selling Price (excl. VAT)],0)</f>
        <v>120000</v>
      </c>
      <c r="K4046" s="5">
        <f>tblSales[[#This Row],[Qty]]*tblSales[[#This Row],[Unit Price]]</f>
        <v>240000</v>
      </c>
      <c r="L4046" s="5">
        <f>ROUND(tblSales[[#This Row],[DPP (excl. VAT)]]*VATEff,0)</f>
        <v>26400</v>
      </c>
      <c r="M4046" s="5">
        <f>tblSales[[#This Row],[DPP (excl. VAT)]]+tblSales[[#This Row],[Output VAT]]</f>
        <v>266400</v>
      </c>
      <c r="N4046" s="5">
        <f>tblSales[[#This Row],[Qty]]*_xlfn.XLOOKUP(tblSales[[#This Row],[Product Code]],tblProducts[Code],tblProducts[Unit Cost],0)</f>
        <v>144000</v>
      </c>
      <c r="O4046" s="4" t="s">
        <v>4866</v>
      </c>
      <c r="P4046" s="4" t="s">
        <v>4861</v>
      </c>
      <c r="Q4046" s="1" t="str">
        <f>_xlfn.XLOOKUP(tblSales[[#This Row],[Channel Code]],tblChannels[Channel Code],tblChannels[Channel Name],"")</f>
        <v>Marketplace</v>
      </c>
      <c r="R4046" s="1">
        <f>MONTH(tblSales[[#This Row],[Date]])</f>
        <v>8</v>
      </c>
    </row>
    <row r="4047" spans="2:18" x14ac:dyDescent="0.35">
      <c r="B4047" s="113">
        <v>46264</v>
      </c>
      <c r="C4047" s="4" t="s">
        <v>2725</v>
      </c>
      <c r="D4047" s="4" t="s">
        <v>4568</v>
      </c>
      <c r="E4047" s="1" t="str">
        <f>_xlfn.XLOOKUP(tblSales[[#This Row],[Customer ID]],tblCustomers[Customer ID],tblCustomers[Customer Name],"⚠ Unknown")</f>
        <v>Walk-in Customer</v>
      </c>
      <c r="F4047" s="4" t="s">
        <v>10</v>
      </c>
      <c r="G4047" s="1" t="str">
        <f>_xlfn.XLOOKUP(tblSales[[#This Row],[Product Code]],tblProducts[Code],tblProducts[Product / Service Name],"⚠ Unknown")</f>
        <v>Chino Pants</v>
      </c>
      <c r="H4047" s="1" t="str">
        <f>_xlfn.XLOOKUP(tblSales[[#This Row],[Product Code]],tblProducts[Code],tblProducts[Category],"")</f>
        <v>Apparel &amp; Footwear</v>
      </c>
      <c r="I4047" s="4">
        <v>7</v>
      </c>
      <c r="J4047" s="5">
        <f>_xlfn.XLOOKUP(tblSales[[#This Row],[Product Code]],tblProducts[Code],tblProducts[Selling Price (excl. VAT)],0)</f>
        <v>150000</v>
      </c>
      <c r="K4047" s="5">
        <f>tblSales[[#This Row],[Qty]]*tblSales[[#This Row],[Unit Price]]</f>
        <v>1050000</v>
      </c>
      <c r="L4047" s="5">
        <f>ROUND(tblSales[[#This Row],[DPP (excl. VAT)]]*VATEff,0)</f>
        <v>115500</v>
      </c>
      <c r="M4047" s="5">
        <f>tblSales[[#This Row],[DPP (excl. VAT)]]+tblSales[[#This Row],[Output VAT]]</f>
        <v>1165500</v>
      </c>
      <c r="N4047" s="5">
        <f>tblSales[[#This Row],[Qty]]*_xlfn.XLOOKUP(tblSales[[#This Row],[Product Code]],tblProducts[Code],tblProducts[Unit Cost],0)</f>
        <v>616000</v>
      </c>
      <c r="O4047" s="4" t="s">
        <v>4866</v>
      </c>
      <c r="P4047" s="4" t="s">
        <v>4860</v>
      </c>
      <c r="Q4047" s="1" t="str">
        <f>_xlfn.XLOOKUP(tblSales[[#This Row],[Channel Code]],tblChannels[Channel Code],tblChannels[Channel Name],"")</f>
        <v>In-store</v>
      </c>
      <c r="R4047" s="1">
        <f>MONTH(tblSales[[#This Row],[Date]])</f>
        <v>8</v>
      </c>
    </row>
    <row r="4048" spans="2:18" x14ac:dyDescent="0.35">
      <c r="B4048" s="113">
        <v>46264</v>
      </c>
      <c r="C4048" s="4" t="s">
        <v>2725</v>
      </c>
      <c r="D4048" s="4" t="s">
        <v>4568</v>
      </c>
      <c r="E4048" s="1" t="str">
        <f>_xlfn.XLOOKUP(tblSales[[#This Row],[Customer ID]],tblCustomers[Customer ID],tblCustomers[Customer Name],"⚠ Unknown")</f>
        <v>Walk-in Customer</v>
      </c>
      <c r="F4048" s="4" t="s">
        <v>7</v>
      </c>
      <c r="G4048" s="1" t="str">
        <f>_xlfn.XLOOKUP(tblSales[[#This Row],[Product Code]],tblProducts[Code],tblProducts[Product / Service Name],"⚠ Unknown")</f>
        <v>Premium Basic T-shirt</v>
      </c>
      <c r="H4048" s="1" t="str">
        <f>_xlfn.XLOOKUP(tblSales[[#This Row],[Product Code]],tblProducts[Code],tblProducts[Category],"")</f>
        <v>Accessories &amp; Basics</v>
      </c>
      <c r="I4048" s="4">
        <v>10</v>
      </c>
      <c r="J4048" s="5">
        <f>_xlfn.XLOOKUP(tblSales[[#This Row],[Product Code]],tblProducts[Code],tblProducts[Selling Price (excl. VAT)],0)</f>
        <v>65000</v>
      </c>
      <c r="K4048" s="5">
        <f>tblSales[[#This Row],[Qty]]*tblSales[[#This Row],[Unit Price]]</f>
        <v>650000</v>
      </c>
      <c r="L4048" s="5">
        <f>ROUND(tblSales[[#This Row],[DPP (excl. VAT)]]*VATEff,0)</f>
        <v>71500</v>
      </c>
      <c r="M4048" s="5">
        <f>tblSales[[#This Row],[DPP (excl. VAT)]]+tblSales[[#This Row],[Output VAT]]</f>
        <v>721500</v>
      </c>
      <c r="N4048" s="5">
        <f>tblSales[[#This Row],[Qty]]*_xlfn.XLOOKUP(tblSales[[#This Row],[Product Code]],tblProducts[Code],tblProducts[Unit Cost],0)</f>
        <v>370000</v>
      </c>
      <c r="O4048" s="4" t="s">
        <v>4866</v>
      </c>
      <c r="P4048" s="4" t="s">
        <v>4860</v>
      </c>
      <c r="Q4048" s="1" t="str">
        <f>_xlfn.XLOOKUP(tblSales[[#This Row],[Channel Code]],tblChannels[Channel Code],tblChannels[Channel Name],"")</f>
        <v>In-store</v>
      </c>
      <c r="R4048" s="1">
        <f>MONTH(tblSales[[#This Row],[Date]])</f>
        <v>8</v>
      </c>
    </row>
    <row r="4049" spans="2:18" x14ac:dyDescent="0.35">
      <c r="B4049" s="113">
        <v>46264</v>
      </c>
      <c r="C4049" s="4" t="s">
        <v>2725</v>
      </c>
      <c r="D4049" s="4" t="s">
        <v>4568</v>
      </c>
      <c r="E4049" s="1" t="str">
        <f>_xlfn.XLOOKUP(tblSales[[#This Row],[Customer ID]],tblCustomers[Customer ID],tblCustomers[Customer Name],"⚠ Unknown")</f>
        <v>Walk-in Customer</v>
      </c>
      <c r="F4049" s="4" t="s">
        <v>6</v>
      </c>
      <c r="G4049" s="1" t="str">
        <f>_xlfn.XLOOKUP(tblSales[[#This Row],[Product Code]],tblProducts[Code],tblProducts[Product / Service Name],"⚠ Unknown")</f>
        <v>Socks &amp; Accessories</v>
      </c>
      <c r="H4049" s="1" t="str">
        <f>_xlfn.XLOOKUP(tblSales[[#This Row],[Product Code]],tblProducts[Code],tblProducts[Category],"")</f>
        <v>Accessories &amp; Basics</v>
      </c>
      <c r="I4049" s="4">
        <v>6</v>
      </c>
      <c r="J4049" s="5">
        <f>_xlfn.XLOOKUP(tblSales[[#This Row],[Product Code]],tblProducts[Code],tblProducts[Selling Price (excl. VAT)],0)</f>
        <v>45000</v>
      </c>
      <c r="K4049" s="5">
        <f>tblSales[[#This Row],[Qty]]*tblSales[[#This Row],[Unit Price]]</f>
        <v>270000</v>
      </c>
      <c r="L4049" s="5">
        <f>ROUND(tblSales[[#This Row],[DPP (excl. VAT)]]*VATEff,0)</f>
        <v>29700</v>
      </c>
      <c r="M4049" s="5">
        <f>tblSales[[#This Row],[DPP (excl. VAT)]]+tblSales[[#This Row],[Output VAT]]</f>
        <v>299700</v>
      </c>
      <c r="N4049" s="5">
        <f>tblSales[[#This Row],[Qty]]*_xlfn.XLOOKUP(tblSales[[#This Row],[Product Code]],tblProducts[Code],tblProducts[Unit Cost],0)</f>
        <v>144000</v>
      </c>
      <c r="O4049" s="4" t="s">
        <v>4866</v>
      </c>
      <c r="P4049" s="4" t="s">
        <v>4860</v>
      </c>
      <c r="Q4049" s="1" t="str">
        <f>_xlfn.XLOOKUP(tblSales[[#This Row],[Channel Code]],tblChannels[Channel Code],tblChannels[Channel Name],"")</f>
        <v>In-store</v>
      </c>
      <c r="R4049" s="1">
        <f>MONTH(tblSales[[#This Row],[Date]])</f>
        <v>8</v>
      </c>
    </row>
    <row r="4050" spans="2:18" x14ac:dyDescent="0.35">
      <c r="B4050" s="113">
        <v>46264</v>
      </c>
      <c r="C4050" s="4" t="s">
        <v>2726</v>
      </c>
      <c r="D4050" s="4" t="s">
        <v>4568</v>
      </c>
      <c r="E4050" s="1" t="str">
        <f>_xlfn.XLOOKUP(tblSales[[#This Row],[Customer ID]],tblCustomers[Customer ID],tblCustomers[Customer Name],"⚠ Unknown")</f>
        <v>Walk-in Customer</v>
      </c>
      <c r="F4050" s="4" t="s">
        <v>10</v>
      </c>
      <c r="G4050" s="1" t="str">
        <f>_xlfn.XLOOKUP(tblSales[[#This Row],[Product Code]],tblProducts[Code],tblProducts[Product / Service Name],"⚠ Unknown")</f>
        <v>Chino Pants</v>
      </c>
      <c r="H4050" s="1" t="str">
        <f>_xlfn.XLOOKUP(tblSales[[#This Row],[Product Code]],tblProducts[Code],tblProducts[Category],"")</f>
        <v>Apparel &amp; Footwear</v>
      </c>
      <c r="I4050" s="4">
        <v>3</v>
      </c>
      <c r="J4050" s="5">
        <f>_xlfn.XLOOKUP(tblSales[[#This Row],[Product Code]],tblProducts[Code],tblProducts[Selling Price (excl. VAT)],0)</f>
        <v>150000</v>
      </c>
      <c r="K4050" s="5">
        <f>tblSales[[#This Row],[Qty]]*tblSales[[#This Row],[Unit Price]]</f>
        <v>450000</v>
      </c>
      <c r="L4050" s="5">
        <f>ROUND(tblSales[[#This Row],[DPP (excl. VAT)]]*VATEff,0)</f>
        <v>49500</v>
      </c>
      <c r="M4050" s="5">
        <f>tblSales[[#This Row],[DPP (excl. VAT)]]+tblSales[[#This Row],[Output VAT]]</f>
        <v>499500</v>
      </c>
      <c r="N4050" s="5">
        <f>tblSales[[#This Row],[Qty]]*_xlfn.XLOOKUP(tblSales[[#This Row],[Product Code]],tblProducts[Code],tblProducts[Unit Cost],0)</f>
        <v>264000</v>
      </c>
      <c r="O4050" s="4" t="s">
        <v>4865</v>
      </c>
      <c r="P4050" s="4" t="s">
        <v>4860</v>
      </c>
      <c r="Q4050" s="1" t="str">
        <f>_xlfn.XLOOKUP(tblSales[[#This Row],[Channel Code]],tblChannels[Channel Code],tblChannels[Channel Name],"")</f>
        <v>In-store</v>
      </c>
      <c r="R4050" s="1">
        <f>MONTH(tblSales[[#This Row],[Date]])</f>
        <v>8</v>
      </c>
    </row>
    <row r="4051" spans="2:18" x14ac:dyDescent="0.35">
      <c r="B4051" s="113">
        <v>46264</v>
      </c>
      <c r="C4051" s="4" t="s">
        <v>2727</v>
      </c>
      <c r="D4051" s="4" t="s">
        <v>4568</v>
      </c>
      <c r="E4051" s="1" t="str">
        <f>_xlfn.XLOOKUP(tblSales[[#This Row],[Customer ID]],tblCustomers[Customer ID],tblCustomers[Customer Name],"⚠ Unknown")</f>
        <v>Walk-in Customer</v>
      </c>
      <c r="F4051" s="4" t="s">
        <v>6</v>
      </c>
      <c r="G4051" s="1" t="str">
        <f>_xlfn.XLOOKUP(tblSales[[#This Row],[Product Code]],tblProducts[Code],tblProducts[Product / Service Name],"⚠ Unknown")</f>
        <v>Socks &amp; Accessories</v>
      </c>
      <c r="H4051" s="1" t="str">
        <f>_xlfn.XLOOKUP(tblSales[[#This Row],[Product Code]],tblProducts[Code],tblProducts[Category],"")</f>
        <v>Accessories &amp; Basics</v>
      </c>
      <c r="I4051" s="4">
        <v>5</v>
      </c>
      <c r="J4051" s="5">
        <f>_xlfn.XLOOKUP(tblSales[[#This Row],[Product Code]],tblProducts[Code],tblProducts[Selling Price (excl. VAT)],0)</f>
        <v>45000</v>
      </c>
      <c r="K4051" s="5">
        <f>tblSales[[#This Row],[Qty]]*tblSales[[#This Row],[Unit Price]]</f>
        <v>225000</v>
      </c>
      <c r="L4051" s="5">
        <f>ROUND(tblSales[[#This Row],[DPP (excl. VAT)]]*VATEff,0)</f>
        <v>24750</v>
      </c>
      <c r="M4051" s="5">
        <f>tblSales[[#This Row],[DPP (excl. VAT)]]+tblSales[[#This Row],[Output VAT]]</f>
        <v>249750</v>
      </c>
      <c r="N4051" s="5">
        <f>tblSales[[#This Row],[Qty]]*_xlfn.XLOOKUP(tblSales[[#This Row],[Product Code]],tblProducts[Code],tblProducts[Unit Cost],0)</f>
        <v>120000</v>
      </c>
      <c r="O4051" s="4" t="s">
        <v>4865</v>
      </c>
      <c r="P4051" s="4" t="s">
        <v>4860</v>
      </c>
      <c r="Q4051" s="1" t="str">
        <f>_xlfn.XLOOKUP(tblSales[[#This Row],[Channel Code]],tblChannels[Channel Code],tblChannels[Channel Name],"")</f>
        <v>In-store</v>
      </c>
      <c r="R4051" s="1">
        <f>MONTH(tblSales[[#This Row],[Date]])</f>
        <v>8</v>
      </c>
    </row>
    <row r="4052" spans="2:18" x14ac:dyDescent="0.35">
      <c r="B4052" s="113">
        <v>46264</v>
      </c>
      <c r="C4052" s="4" t="s">
        <v>2728</v>
      </c>
      <c r="D4052" s="4" t="s">
        <v>4613</v>
      </c>
      <c r="E4052" s="1" t="str">
        <f>_xlfn.XLOOKUP(tblSales[[#This Row],[Customer ID]],tblCustomers[Customer ID],tblCustomers[Customer Name],"⚠ Unknown")</f>
        <v>PT Mega Prima Distribusi</v>
      </c>
      <c r="F4052" s="4" t="s">
        <v>7</v>
      </c>
      <c r="G4052" s="1" t="str">
        <f>_xlfn.XLOOKUP(tblSales[[#This Row],[Product Code]],tblProducts[Code],tblProducts[Product / Service Name],"⚠ Unknown")</f>
        <v>Premium Basic T-shirt</v>
      </c>
      <c r="H4052" s="1" t="str">
        <f>_xlfn.XLOOKUP(tblSales[[#This Row],[Product Code]],tblProducts[Code],tblProducts[Category],"")</f>
        <v>Accessories &amp; Basics</v>
      </c>
      <c r="I4052" s="4">
        <v>48</v>
      </c>
      <c r="J4052" s="5">
        <f>_xlfn.XLOOKUP(tblSales[[#This Row],[Product Code]],tblProducts[Code],tblProducts[Selling Price (excl. VAT)],0)</f>
        <v>65000</v>
      </c>
      <c r="K4052" s="5">
        <f>tblSales[[#This Row],[Qty]]*tblSales[[#This Row],[Unit Price]]</f>
        <v>3120000</v>
      </c>
      <c r="L4052" s="5">
        <f>ROUND(tblSales[[#This Row],[DPP (excl. VAT)]]*VATEff,0)</f>
        <v>343200</v>
      </c>
      <c r="M4052" s="5">
        <f>tblSales[[#This Row],[DPP (excl. VAT)]]+tblSales[[#This Row],[Output VAT]]</f>
        <v>3463200</v>
      </c>
      <c r="N4052" s="5">
        <f>tblSales[[#This Row],[Qty]]*_xlfn.XLOOKUP(tblSales[[#This Row],[Product Code]],tblProducts[Code],tblProducts[Unit Cost],0)</f>
        <v>1776000</v>
      </c>
      <c r="O4052" s="4" t="s">
        <v>4867</v>
      </c>
      <c r="P4052" s="4" t="s">
        <v>4862</v>
      </c>
      <c r="Q4052" s="1" t="str">
        <f>_xlfn.XLOOKUP(tblSales[[#This Row],[Channel Code]],tblChannels[Channel Code],tblChannels[Channel Name],"")</f>
        <v>Website &amp; Social Media</v>
      </c>
      <c r="R4052" s="1">
        <f>MONTH(tblSales[[#This Row],[Date]])</f>
        <v>8</v>
      </c>
    </row>
    <row r="4053" spans="2:18" x14ac:dyDescent="0.35">
      <c r="B4053" s="113">
        <v>46264</v>
      </c>
      <c r="C4053" s="4" t="s">
        <v>2728</v>
      </c>
      <c r="D4053" s="4" t="s">
        <v>4613</v>
      </c>
      <c r="E4053" s="1" t="str">
        <f>_xlfn.XLOOKUP(tblSales[[#This Row],[Customer ID]],tblCustomers[Customer ID],tblCustomers[Customer Name],"⚠ Unknown")</f>
        <v>PT Mega Prima Distribusi</v>
      </c>
      <c r="F4053" s="4" t="s">
        <v>9</v>
      </c>
      <c r="G4053" s="1" t="str">
        <f>_xlfn.XLOOKUP(tblSales[[#This Row],[Product Code]],tblProducts[Code],tblProducts[Product / Service Name],"⚠ Unknown")</f>
        <v>Casual Shirt</v>
      </c>
      <c r="H4053" s="1" t="str">
        <f>_xlfn.XLOOKUP(tblSales[[#This Row],[Product Code]],tblProducts[Code],tblProducts[Category],"")</f>
        <v>Apparel &amp; Footwear</v>
      </c>
      <c r="I4053" s="4">
        <v>96</v>
      </c>
      <c r="J4053" s="5">
        <f>_xlfn.XLOOKUP(tblSales[[#This Row],[Product Code]],tblProducts[Code],tblProducts[Selling Price (excl. VAT)],0)</f>
        <v>120000</v>
      </c>
      <c r="K4053" s="5">
        <f>tblSales[[#This Row],[Qty]]*tblSales[[#This Row],[Unit Price]]</f>
        <v>11520000</v>
      </c>
      <c r="L4053" s="5">
        <f>ROUND(tblSales[[#This Row],[DPP (excl. VAT)]]*VATEff,0)</f>
        <v>1267200</v>
      </c>
      <c r="M4053" s="5">
        <f>tblSales[[#This Row],[DPP (excl. VAT)]]+tblSales[[#This Row],[Output VAT]]</f>
        <v>12787200</v>
      </c>
      <c r="N4053" s="5">
        <f>tblSales[[#This Row],[Qty]]*_xlfn.XLOOKUP(tblSales[[#This Row],[Product Code]],tblProducts[Code],tblProducts[Unit Cost],0)</f>
        <v>6912000</v>
      </c>
      <c r="O4053" s="4" t="s">
        <v>4867</v>
      </c>
      <c r="P4053" s="4" t="s">
        <v>4862</v>
      </c>
      <c r="Q4053" s="1" t="str">
        <f>_xlfn.XLOOKUP(tblSales[[#This Row],[Channel Code]],tblChannels[Channel Code],tblChannels[Channel Name],"")</f>
        <v>Website &amp; Social Media</v>
      </c>
      <c r="R4053" s="1">
        <f>MONTH(tblSales[[#This Row],[Date]])</f>
        <v>8</v>
      </c>
    </row>
    <row r="4054" spans="2:18" x14ac:dyDescent="0.35">
      <c r="B4054" s="113">
        <v>46264</v>
      </c>
      <c r="C4054" s="4" t="s">
        <v>2729</v>
      </c>
      <c r="D4054" s="4" t="s">
        <v>4568</v>
      </c>
      <c r="E4054" s="1" t="str">
        <f>_xlfn.XLOOKUP(tblSales[[#This Row],[Customer ID]],tblCustomers[Customer ID],tblCustomers[Customer Name],"⚠ Unknown")</f>
        <v>Walk-in Customer</v>
      </c>
      <c r="F4054" s="4" t="s">
        <v>7</v>
      </c>
      <c r="G4054" s="1" t="str">
        <f>_xlfn.XLOOKUP(tblSales[[#This Row],[Product Code]],tblProducts[Code],tblProducts[Product / Service Name],"⚠ Unknown")</f>
        <v>Premium Basic T-shirt</v>
      </c>
      <c r="H4054" s="1" t="str">
        <f>_xlfn.XLOOKUP(tblSales[[#This Row],[Product Code]],tblProducts[Code],tblProducts[Category],"")</f>
        <v>Accessories &amp; Basics</v>
      </c>
      <c r="I4054" s="4">
        <v>9</v>
      </c>
      <c r="J4054" s="5">
        <f>_xlfn.XLOOKUP(tblSales[[#This Row],[Product Code]],tblProducts[Code],tblProducts[Selling Price (excl. VAT)],0)</f>
        <v>65000</v>
      </c>
      <c r="K4054" s="5">
        <f>tblSales[[#This Row],[Qty]]*tblSales[[#This Row],[Unit Price]]</f>
        <v>585000</v>
      </c>
      <c r="L4054" s="5">
        <f>ROUND(tblSales[[#This Row],[DPP (excl. VAT)]]*VATEff,0)</f>
        <v>64350</v>
      </c>
      <c r="M4054" s="5">
        <f>tblSales[[#This Row],[DPP (excl. VAT)]]+tblSales[[#This Row],[Output VAT]]</f>
        <v>649350</v>
      </c>
      <c r="N4054" s="5">
        <f>tblSales[[#This Row],[Qty]]*_xlfn.XLOOKUP(tblSales[[#This Row],[Product Code]],tblProducts[Code],tblProducts[Unit Cost],0)</f>
        <v>333000</v>
      </c>
      <c r="O4054" s="4" t="s">
        <v>4865</v>
      </c>
      <c r="P4054" s="4" t="s">
        <v>4860</v>
      </c>
      <c r="Q4054" s="1" t="str">
        <f>_xlfn.XLOOKUP(tblSales[[#This Row],[Channel Code]],tblChannels[Channel Code],tblChannels[Channel Name],"")</f>
        <v>In-store</v>
      </c>
      <c r="R4054" s="1">
        <f>MONTH(tblSales[[#This Row],[Date]])</f>
        <v>8</v>
      </c>
    </row>
    <row r="4055" spans="2:18" x14ac:dyDescent="0.35">
      <c r="B4055" s="113">
        <v>46264</v>
      </c>
      <c r="C4055" s="4" t="s">
        <v>2730</v>
      </c>
      <c r="D4055" s="4" t="s">
        <v>4568</v>
      </c>
      <c r="E4055" s="1" t="str">
        <f>_xlfn.XLOOKUP(tblSales[[#This Row],[Customer ID]],tblCustomers[Customer ID],tblCustomers[Customer Name],"⚠ Unknown")</f>
        <v>Walk-in Customer</v>
      </c>
      <c r="F4055" s="4" t="s">
        <v>6</v>
      </c>
      <c r="G4055" s="1" t="str">
        <f>_xlfn.XLOOKUP(tblSales[[#This Row],[Product Code]],tblProducts[Code],tblProducts[Product / Service Name],"⚠ Unknown")</f>
        <v>Socks &amp; Accessories</v>
      </c>
      <c r="H4055" s="1" t="str">
        <f>_xlfn.XLOOKUP(tblSales[[#This Row],[Product Code]],tblProducts[Code],tblProducts[Category],"")</f>
        <v>Accessories &amp; Basics</v>
      </c>
      <c r="I4055" s="4">
        <v>10</v>
      </c>
      <c r="J4055" s="5">
        <f>_xlfn.XLOOKUP(tblSales[[#This Row],[Product Code]],tblProducts[Code],tblProducts[Selling Price (excl. VAT)],0)</f>
        <v>45000</v>
      </c>
      <c r="K4055" s="5">
        <f>tblSales[[#This Row],[Qty]]*tblSales[[#This Row],[Unit Price]]</f>
        <v>450000</v>
      </c>
      <c r="L4055" s="5">
        <f>ROUND(tblSales[[#This Row],[DPP (excl. VAT)]]*VATEff,0)</f>
        <v>49500</v>
      </c>
      <c r="M4055" s="5">
        <f>tblSales[[#This Row],[DPP (excl. VAT)]]+tblSales[[#This Row],[Output VAT]]</f>
        <v>499500</v>
      </c>
      <c r="N4055" s="5">
        <f>tblSales[[#This Row],[Qty]]*_xlfn.XLOOKUP(tblSales[[#This Row],[Product Code]],tblProducts[Code],tblProducts[Unit Cost],0)</f>
        <v>240000</v>
      </c>
      <c r="O4055" s="4" t="s">
        <v>4866</v>
      </c>
      <c r="P4055" s="4" t="s">
        <v>4861</v>
      </c>
      <c r="Q4055" s="1" t="str">
        <f>_xlfn.XLOOKUP(tblSales[[#This Row],[Channel Code]],tblChannels[Channel Code],tblChannels[Channel Name],"")</f>
        <v>Marketplace</v>
      </c>
      <c r="R4055" s="1">
        <f>MONTH(tblSales[[#This Row],[Date]])</f>
        <v>8</v>
      </c>
    </row>
    <row r="4056" spans="2:18" x14ac:dyDescent="0.35">
      <c r="B4056" s="113">
        <v>46264</v>
      </c>
      <c r="C4056" s="4" t="s">
        <v>2731</v>
      </c>
      <c r="D4056" s="4" t="s">
        <v>4593</v>
      </c>
      <c r="E4056" s="1" t="str">
        <f>_xlfn.XLOOKUP(tblSales[[#This Row],[Customer ID]],tblCustomers[Customer ID],tblCustomers[Customer Name],"⚠ Unknown")</f>
        <v>PT Graha Nusa Persada</v>
      </c>
      <c r="F4056" s="4" t="s">
        <v>10</v>
      </c>
      <c r="G4056" s="1" t="str">
        <f>_xlfn.XLOOKUP(tblSales[[#This Row],[Product Code]],tblProducts[Code],tblProducts[Product / Service Name],"⚠ Unknown")</f>
        <v>Chino Pants</v>
      </c>
      <c r="H4056" s="1" t="str">
        <f>_xlfn.XLOOKUP(tblSales[[#This Row],[Product Code]],tblProducts[Code],tblProducts[Category],"")</f>
        <v>Apparel &amp; Footwear</v>
      </c>
      <c r="I4056" s="4">
        <v>72</v>
      </c>
      <c r="J4056" s="5">
        <f>_xlfn.XLOOKUP(tblSales[[#This Row],[Product Code]],tblProducts[Code],tblProducts[Selling Price (excl. VAT)],0)</f>
        <v>150000</v>
      </c>
      <c r="K4056" s="5">
        <f>tblSales[[#This Row],[Qty]]*tblSales[[#This Row],[Unit Price]]</f>
        <v>10800000</v>
      </c>
      <c r="L4056" s="5">
        <f>ROUND(tblSales[[#This Row],[DPP (excl. VAT)]]*VATEff,0)</f>
        <v>1188000</v>
      </c>
      <c r="M4056" s="5">
        <f>tblSales[[#This Row],[DPP (excl. VAT)]]+tblSales[[#This Row],[Output VAT]]</f>
        <v>11988000</v>
      </c>
      <c r="N4056" s="5">
        <f>tblSales[[#This Row],[Qty]]*_xlfn.XLOOKUP(tblSales[[#This Row],[Product Code]],tblProducts[Code],tblProducts[Unit Cost],0)</f>
        <v>6336000</v>
      </c>
      <c r="O4056" s="4" t="s">
        <v>4867</v>
      </c>
      <c r="P4056" s="4" t="s">
        <v>4860</v>
      </c>
      <c r="Q4056" s="1" t="str">
        <f>_xlfn.XLOOKUP(tblSales[[#This Row],[Channel Code]],tblChannels[Channel Code],tblChannels[Channel Name],"")</f>
        <v>In-store</v>
      </c>
      <c r="R4056" s="1">
        <f>MONTH(tblSales[[#This Row],[Date]])</f>
        <v>8</v>
      </c>
    </row>
    <row r="4057" spans="2:18" x14ac:dyDescent="0.35">
      <c r="B4057" s="113">
        <v>46264</v>
      </c>
      <c r="C4057" s="4" t="s">
        <v>2732</v>
      </c>
      <c r="D4057" s="4" t="s">
        <v>4568</v>
      </c>
      <c r="E4057" s="1" t="str">
        <f>_xlfn.XLOOKUP(tblSales[[#This Row],[Customer ID]],tblCustomers[Customer ID],tblCustomers[Customer Name],"⚠ Unknown")</f>
        <v>Walk-in Customer</v>
      </c>
      <c r="F4057" s="4" t="s">
        <v>8</v>
      </c>
      <c r="G4057" s="1" t="str">
        <f>_xlfn.XLOOKUP(tblSales[[#This Row],[Product Code]],tblProducts[Code],tblProducts[Product / Service Name],"⚠ Unknown")</f>
        <v>Casual Shorts</v>
      </c>
      <c r="H4057" s="1" t="str">
        <f>_xlfn.XLOOKUP(tblSales[[#This Row],[Product Code]],tblProducts[Code],tblProducts[Category],"")</f>
        <v>Accessories &amp; Basics</v>
      </c>
      <c r="I4057" s="4">
        <v>2</v>
      </c>
      <c r="J4057" s="5">
        <f>_xlfn.XLOOKUP(tblSales[[#This Row],[Product Code]],tblProducts[Code],tblProducts[Selling Price (excl. VAT)],0)</f>
        <v>85000</v>
      </c>
      <c r="K4057" s="5">
        <f>tblSales[[#This Row],[Qty]]*tblSales[[#This Row],[Unit Price]]</f>
        <v>170000</v>
      </c>
      <c r="L4057" s="5">
        <f>ROUND(tblSales[[#This Row],[DPP (excl. VAT)]]*VATEff,0)</f>
        <v>18700</v>
      </c>
      <c r="M4057" s="5">
        <f>tblSales[[#This Row],[DPP (excl. VAT)]]+tblSales[[#This Row],[Output VAT]]</f>
        <v>188700</v>
      </c>
      <c r="N4057" s="5">
        <f>tblSales[[#This Row],[Qty]]*_xlfn.XLOOKUP(tblSales[[#This Row],[Product Code]],tblProducts[Code],tblProducts[Unit Cost],0)</f>
        <v>100000</v>
      </c>
      <c r="O4057" s="4" t="s">
        <v>4866</v>
      </c>
      <c r="P4057" s="4" t="s">
        <v>4860</v>
      </c>
      <c r="Q4057" s="1" t="str">
        <f>_xlfn.XLOOKUP(tblSales[[#This Row],[Channel Code]],tblChannels[Channel Code],tblChannels[Channel Name],"")</f>
        <v>In-store</v>
      </c>
      <c r="R4057" s="1">
        <f>MONTH(tblSales[[#This Row],[Date]])</f>
        <v>8</v>
      </c>
    </row>
    <row r="4058" spans="2:18" x14ac:dyDescent="0.35">
      <c r="B4058" s="113">
        <v>46264</v>
      </c>
      <c r="C4058" s="4" t="s">
        <v>2733</v>
      </c>
      <c r="D4058" s="4" t="s">
        <v>4627</v>
      </c>
      <c r="E4058" s="1" t="str">
        <f>_xlfn.XLOOKUP(tblSales[[#This Row],[Customer ID]],tblCustomers[Customer ID],tblCustomers[Customer Name],"⚠ Unknown")</f>
        <v>PT Kencana Wira Usaha</v>
      </c>
      <c r="F4058" s="4" t="s">
        <v>14</v>
      </c>
      <c r="G4058" s="1" t="str">
        <f>_xlfn.XLOOKUP(tblSales[[#This Row],[Product Code]],tblProducts[Code],tblProducts[Product / Service Name],"⚠ Unknown")</f>
        <v>Smartwatch</v>
      </c>
      <c r="H4058" s="1" t="str">
        <f>_xlfn.XLOOKUP(tblSales[[#This Row],[Product Code]],tblProducts[Code],tblProducts[Category],"")</f>
        <v>Bags &amp; Gadgets</v>
      </c>
      <c r="I4058" s="4">
        <v>24</v>
      </c>
      <c r="J4058" s="5">
        <f>_xlfn.XLOOKUP(tblSales[[#This Row],[Product Code]],tblProducts[Code],tblProducts[Selling Price (excl. VAT)],0)</f>
        <v>850000</v>
      </c>
      <c r="K4058" s="5">
        <f>tblSales[[#This Row],[Qty]]*tblSales[[#This Row],[Unit Price]]</f>
        <v>20400000</v>
      </c>
      <c r="L4058" s="5">
        <f>ROUND(tblSales[[#This Row],[DPP (excl. VAT)]]*VATEff,0)</f>
        <v>2244000</v>
      </c>
      <c r="M4058" s="5">
        <f>tblSales[[#This Row],[DPP (excl. VAT)]]+tblSales[[#This Row],[Output VAT]]</f>
        <v>22644000</v>
      </c>
      <c r="N4058" s="5">
        <f>tblSales[[#This Row],[Qty]]*_xlfn.XLOOKUP(tblSales[[#This Row],[Product Code]],tblProducts[Code],tblProducts[Unit Cost],0)</f>
        <v>13440000</v>
      </c>
      <c r="O4058" s="4" t="s">
        <v>4867</v>
      </c>
      <c r="P4058" s="4" t="s">
        <v>4860</v>
      </c>
      <c r="Q4058" s="1" t="str">
        <f>_xlfn.XLOOKUP(tblSales[[#This Row],[Channel Code]],tblChannels[Channel Code],tblChannels[Channel Name],"")</f>
        <v>In-store</v>
      </c>
      <c r="R4058" s="1">
        <f>MONTH(tblSales[[#This Row],[Date]])</f>
        <v>8</v>
      </c>
    </row>
    <row r="4059" spans="2:18" x14ac:dyDescent="0.35">
      <c r="B4059" s="113">
        <v>46264</v>
      </c>
      <c r="C4059" s="4" t="s">
        <v>2734</v>
      </c>
      <c r="D4059" s="4" t="s">
        <v>4627</v>
      </c>
      <c r="E4059" s="1" t="str">
        <f>_xlfn.XLOOKUP(tblSales[[#This Row],[Customer ID]],tblCustomers[Customer ID],tblCustomers[Customer Name],"⚠ Unknown")</f>
        <v>PT Kencana Wira Usaha</v>
      </c>
      <c r="F4059" s="4" t="s">
        <v>9</v>
      </c>
      <c r="G4059" s="1" t="str">
        <f>_xlfn.XLOOKUP(tblSales[[#This Row],[Product Code]],tblProducts[Code],tblProducts[Product / Service Name],"⚠ Unknown")</f>
        <v>Casual Shirt</v>
      </c>
      <c r="H4059" s="1" t="str">
        <f>_xlfn.XLOOKUP(tblSales[[#This Row],[Product Code]],tblProducts[Code],tblProducts[Category],"")</f>
        <v>Apparel &amp; Footwear</v>
      </c>
      <c r="I4059" s="4">
        <v>8</v>
      </c>
      <c r="J4059" s="5">
        <f>_xlfn.XLOOKUP(tblSales[[#This Row],[Product Code]],tblProducts[Code],tblProducts[Selling Price (excl. VAT)],0)</f>
        <v>120000</v>
      </c>
      <c r="K4059" s="5">
        <f>tblSales[[#This Row],[Qty]]*tblSales[[#This Row],[Unit Price]]</f>
        <v>960000</v>
      </c>
      <c r="L4059" s="5">
        <f>ROUND(tblSales[[#This Row],[DPP (excl. VAT)]]*VATEff,0)</f>
        <v>105600</v>
      </c>
      <c r="M4059" s="5">
        <f>tblSales[[#This Row],[DPP (excl. VAT)]]+tblSales[[#This Row],[Output VAT]]</f>
        <v>1065600</v>
      </c>
      <c r="N4059" s="5">
        <f>tblSales[[#This Row],[Qty]]*_xlfn.XLOOKUP(tblSales[[#This Row],[Product Code]],tblProducts[Code],tblProducts[Unit Cost],0)</f>
        <v>576000</v>
      </c>
      <c r="O4059" s="4" t="s">
        <v>4867</v>
      </c>
      <c r="P4059" s="4" t="s">
        <v>4862</v>
      </c>
      <c r="Q4059" s="1" t="str">
        <f>_xlfn.XLOOKUP(tblSales[[#This Row],[Channel Code]],tblChannels[Channel Code],tblChannels[Channel Name],"")</f>
        <v>Website &amp; Social Media</v>
      </c>
      <c r="R4059" s="1">
        <f>MONTH(tblSales[[#This Row],[Date]])</f>
        <v>8</v>
      </c>
    </row>
    <row r="4060" spans="2:18" x14ac:dyDescent="0.35">
      <c r="B4060" s="113">
        <v>46264</v>
      </c>
      <c r="C4060" s="4" t="s">
        <v>2735</v>
      </c>
      <c r="D4060" s="4" t="s">
        <v>4634</v>
      </c>
      <c r="E4060" s="1" t="str">
        <f>_xlfn.XLOOKUP(tblSales[[#This Row],[Customer ID]],tblCustomers[Customer ID],tblCustomers[Customer Name],"⚠ Unknown")</f>
        <v>PT Delta Inti Selaras</v>
      </c>
      <c r="F4060" s="4" t="s">
        <v>8</v>
      </c>
      <c r="G4060" s="1" t="str">
        <f>_xlfn.XLOOKUP(tblSales[[#This Row],[Product Code]],tblProducts[Code],tblProducts[Product / Service Name],"⚠ Unknown")</f>
        <v>Casual Shorts</v>
      </c>
      <c r="H4060" s="1" t="str">
        <f>_xlfn.XLOOKUP(tblSales[[#This Row],[Product Code]],tblProducts[Code],tblProducts[Category],"")</f>
        <v>Accessories &amp; Basics</v>
      </c>
      <c r="I4060" s="4">
        <v>8</v>
      </c>
      <c r="J4060" s="5">
        <f>_xlfn.XLOOKUP(tblSales[[#This Row],[Product Code]],tblProducts[Code],tblProducts[Selling Price (excl. VAT)],0)</f>
        <v>85000</v>
      </c>
      <c r="K4060" s="5">
        <f>tblSales[[#This Row],[Qty]]*tblSales[[#This Row],[Unit Price]]</f>
        <v>680000</v>
      </c>
      <c r="L4060" s="5">
        <f>ROUND(tblSales[[#This Row],[DPP (excl. VAT)]]*VATEff,0)</f>
        <v>74800</v>
      </c>
      <c r="M4060" s="5">
        <f>tblSales[[#This Row],[DPP (excl. VAT)]]+tblSales[[#This Row],[Output VAT]]</f>
        <v>754800</v>
      </c>
      <c r="N4060" s="5">
        <f>tblSales[[#This Row],[Qty]]*_xlfn.XLOOKUP(tblSales[[#This Row],[Product Code]],tblProducts[Code],tblProducts[Unit Cost],0)</f>
        <v>400000</v>
      </c>
      <c r="O4060" s="4" t="s">
        <v>4867</v>
      </c>
      <c r="P4060" s="4" t="s">
        <v>4860</v>
      </c>
      <c r="Q4060" s="1" t="str">
        <f>_xlfn.XLOOKUP(tblSales[[#This Row],[Channel Code]],tblChannels[Channel Code],tblChannels[Channel Name],"")</f>
        <v>In-store</v>
      </c>
      <c r="R4060" s="1">
        <f>MONTH(tblSales[[#This Row],[Date]])</f>
        <v>8</v>
      </c>
    </row>
    <row r="4061" spans="2:18" x14ac:dyDescent="0.35">
      <c r="B4061" s="113">
        <v>46265</v>
      </c>
      <c r="C4061" s="4" t="s">
        <v>2736</v>
      </c>
      <c r="D4061" s="4" t="s">
        <v>4568</v>
      </c>
      <c r="E4061" s="1" t="str">
        <f>_xlfn.XLOOKUP(tblSales[[#This Row],[Customer ID]],tblCustomers[Customer ID],tblCustomers[Customer Name],"⚠ Unknown")</f>
        <v>Walk-in Customer</v>
      </c>
      <c r="F4061" s="4" t="s">
        <v>7</v>
      </c>
      <c r="G4061" s="1" t="str">
        <f>_xlfn.XLOOKUP(tblSales[[#This Row],[Product Code]],tblProducts[Code],tblProducts[Product / Service Name],"⚠ Unknown")</f>
        <v>Premium Basic T-shirt</v>
      </c>
      <c r="H4061" s="1" t="str">
        <f>_xlfn.XLOOKUP(tblSales[[#This Row],[Product Code]],tblProducts[Code],tblProducts[Category],"")</f>
        <v>Accessories &amp; Basics</v>
      </c>
      <c r="I4061" s="4">
        <v>7</v>
      </c>
      <c r="J4061" s="5">
        <f>_xlfn.XLOOKUP(tblSales[[#This Row],[Product Code]],tblProducts[Code],tblProducts[Selling Price (excl. VAT)],0)</f>
        <v>65000</v>
      </c>
      <c r="K4061" s="5">
        <f>tblSales[[#This Row],[Qty]]*tblSales[[#This Row],[Unit Price]]</f>
        <v>455000</v>
      </c>
      <c r="L4061" s="5">
        <f>ROUND(tblSales[[#This Row],[DPP (excl. VAT)]]*VATEff,0)</f>
        <v>50050</v>
      </c>
      <c r="M4061" s="5">
        <f>tblSales[[#This Row],[DPP (excl. VAT)]]+tblSales[[#This Row],[Output VAT]]</f>
        <v>505050</v>
      </c>
      <c r="N4061" s="5">
        <f>tblSales[[#This Row],[Qty]]*_xlfn.XLOOKUP(tblSales[[#This Row],[Product Code]],tblProducts[Code],tblProducts[Unit Cost],0)</f>
        <v>259000</v>
      </c>
      <c r="O4061" s="4" t="s">
        <v>4866</v>
      </c>
      <c r="P4061" s="4" t="s">
        <v>4861</v>
      </c>
      <c r="Q4061" s="1" t="str">
        <f>_xlfn.XLOOKUP(tblSales[[#This Row],[Channel Code]],tblChannels[Channel Code],tblChannels[Channel Name],"")</f>
        <v>Marketplace</v>
      </c>
      <c r="R4061" s="1">
        <f>MONTH(tblSales[[#This Row],[Date]])</f>
        <v>8</v>
      </c>
    </row>
    <row r="4062" spans="2:18" x14ac:dyDescent="0.35">
      <c r="B4062" s="113">
        <v>46265</v>
      </c>
      <c r="C4062" s="4" t="s">
        <v>2737</v>
      </c>
      <c r="D4062" s="4" t="s">
        <v>4568</v>
      </c>
      <c r="E4062" s="1" t="str">
        <f>_xlfn.XLOOKUP(tblSales[[#This Row],[Customer ID]],tblCustomers[Customer ID],tblCustomers[Customer Name],"⚠ Unknown")</f>
        <v>Walk-in Customer</v>
      </c>
      <c r="F4062" s="4" t="s">
        <v>7</v>
      </c>
      <c r="G4062" s="1" t="str">
        <f>_xlfn.XLOOKUP(tblSales[[#This Row],[Product Code]],tblProducts[Code],tblProducts[Product / Service Name],"⚠ Unknown")</f>
        <v>Premium Basic T-shirt</v>
      </c>
      <c r="H4062" s="1" t="str">
        <f>_xlfn.XLOOKUP(tblSales[[#This Row],[Product Code]],tblProducts[Code],tblProducts[Category],"")</f>
        <v>Accessories &amp; Basics</v>
      </c>
      <c r="I4062" s="4">
        <v>5</v>
      </c>
      <c r="J4062" s="5">
        <f>_xlfn.XLOOKUP(tblSales[[#This Row],[Product Code]],tblProducts[Code],tblProducts[Selling Price (excl. VAT)],0)</f>
        <v>65000</v>
      </c>
      <c r="K4062" s="5">
        <f>tblSales[[#This Row],[Qty]]*tblSales[[#This Row],[Unit Price]]</f>
        <v>325000</v>
      </c>
      <c r="L4062" s="5">
        <f>ROUND(tblSales[[#This Row],[DPP (excl. VAT)]]*VATEff,0)</f>
        <v>35750</v>
      </c>
      <c r="M4062" s="5">
        <f>tblSales[[#This Row],[DPP (excl. VAT)]]+tblSales[[#This Row],[Output VAT]]</f>
        <v>360750</v>
      </c>
      <c r="N4062" s="5">
        <f>tblSales[[#This Row],[Qty]]*_xlfn.XLOOKUP(tblSales[[#This Row],[Product Code]],tblProducts[Code],tblProducts[Unit Cost],0)</f>
        <v>185000</v>
      </c>
      <c r="O4062" s="4" t="s">
        <v>4865</v>
      </c>
      <c r="P4062" s="4" t="s">
        <v>4860</v>
      </c>
      <c r="Q4062" s="1" t="str">
        <f>_xlfn.XLOOKUP(tblSales[[#This Row],[Channel Code]],tblChannels[Channel Code],tblChannels[Channel Name],"")</f>
        <v>In-store</v>
      </c>
      <c r="R4062" s="1">
        <f>MONTH(tblSales[[#This Row],[Date]])</f>
        <v>8</v>
      </c>
    </row>
    <row r="4063" spans="2:18" x14ac:dyDescent="0.35">
      <c r="B4063" s="113">
        <v>46265</v>
      </c>
      <c r="C4063" s="4" t="s">
        <v>2737</v>
      </c>
      <c r="D4063" s="4" t="s">
        <v>4568</v>
      </c>
      <c r="E4063" s="1" t="str">
        <f>_xlfn.XLOOKUP(tblSales[[#This Row],[Customer ID]],tblCustomers[Customer ID],tblCustomers[Customer Name],"⚠ Unknown")</f>
        <v>Walk-in Customer</v>
      </c>
      <c r="F4063" s="4" t="s">
        <v>8</v>
      </c>
      <c r="G4063" s="1" t="str">
        <f>_xlfn.XLOOKUP(tblSales[[#This Row],[Product Code]],tblProducts[Code],tblProducts[Product / Service Name],"⚠ Unknown")</f>
        <v>Casual Shorts</v>
      </c>
      <c r="H4063" s="1" t="str">
        <f>_xlfn.XLOOKUP(tblSales[[#This Row],[Product Code]],tblProducts[Code],tblProducts[Category],"")</f>
        <v>Accessories &amp; Basics</v>
      </c>
      <c r="I4063" s="4">
        <v>2</v>
      </c>
      <c r="J4063" s="5">
        <f>_xlfn.XLOOKUP(tblSales[[#This Row],[Product Code]],tblProducts[Code],tblProducts[Selling Price (excl. VAT)],0)</f>
        <v>85000</v>
      </c>
      <c r="K4063" s="5">
        <f>tblSales[[#This Row],[Qty]]*tblSales[[#This Row],[Unit Price]]</f>
        <v>170000</v>
      </c>
      <c r="L4063" s="5">
        <f>ROUND(tblSales[[#This Row],[DPP (excl. VAT)]]*VATEff,0)</f>
        <v>18700</v>
      </c>
      <c r="M4063" s="5">
        <f>tblSales[[#This Row],[DPP (excl. VAT)]]+tblSales[[#This Row],[Output VAT]]</f>
        <v>188700</v>
      </c>
      <c r="N4063" s="5">
        <f>tblSales[[#This Row],[Qty]]*_xlfn.XLOOKUP(tblSales[[#This Row],[Product Code]],tblProducts[Code],tblProducts[Unit Cost],0)</f>
        <v>100000</v>
      </c>
      <c r="O4063" s="4" t="s">
        <v>4865</v>
      </c>
      <c r="P4063" s="4" t="s">
        <v>4860</v>
      </c>
      <c r="Q4063" s="1" t="str">
        <f>_xlfn.XLOOKUP(tblSales[[#This Row],[Channel Code]],tblChannels[Channel Code],tblChannels[Channel Name],"")</f>
        <v>In-store</v>
      </c>
      <c r="R4063" s="1">
        <f>MONTH(tblSales[[#This Row],[Date]])</f>
        <v>8</v>
      </c>
    </row>
    <row r="4064" spans="2:18" x14ac:dyDescent="0.35">
      <c r="B4064" s="113">
        <v>46265</v>
      </c>
      <c r="C4064" s="4" t="s">
        <v>2738</v>
      </c>
      <c r="D4064" s="4" t="s">
        <v>4620</v>
      </c>
      <c r="E4064" s="1" t="str">
        <f>_xlfn.XLOOKUP(tblSales[[#This Row],[Customer ID]],tblCustomers[Customer ID],tblCustomers[Customer Name],"⚠ Unknown")</f>
        <v>CV Sumber Rejeki Utama</v>
      </c>
      <c r="F4064" s="4" t="s">
        <v>14</v>
      </c>
      <c r="G4064" s="1" t="str">
        <f>_xlfn.XLOOKUP(tblSales[[#This Row],[Product Code]],tblProducts[Code],tblProducts[Product / Service Name],"⚠ Unknown")</f>
        <v>Smartwatch</v>
      </c>
      <c r="H4064" s="1" t="str">
        <f>_xlfn.XLOOKUP(tblSales[[#This Row],[Product Code]],tblProducts[Code],tblProducts[Category],"")</f>
        <v>Bags &amp; Gadgets</v>
      </c>
      <c r="I4064" s="4">
        <v>8</v>
      </c>
      <c r="J4064" s="5">
        <f>_xlfn.XLOOKUP(tblSales[[#This Row],[Product Code]],tblProducts[Code],tblProducts[Selling Price (excl. VAT)],0)</f>
        <v>850000</v>
      </c>
      <c r="K4064" s="5">
        <f>tblSales[[#This Row],[Qty]]*tblSales[[#This Row],[Unit Price]]</f>
        <v>6800000</v>
      </c>
      <c r="L4064" s="5">
        <f>ROUND(tblSales[[#This Row],[DPP (excl. VAT)]]*VATEff,0)</f>
        <v>748000</v>
      </c>
      <c r="M4064" s="5">
        <f>tblSales[[#This Row],[DPP (excl. VAT)]]+tblSales[[#This Row],[Output VAT]]</f>
        <v>7548000</v>
      </c>
      <c r="N4064" s="5">
        <f>tblSales[[#This Row],[Qty]]*_xlfn.XLOOKUP(tblSales[[#This Row],[Product Code]],tblProducts[Code],tblProducts[Unit Cost],0)</f>
        <v>4480000</v>
      </c>
      <c r="O4064" s="4" t="s">
        <v>4867</v>
      </c>
      <c r="P4064" s="4" t="s">
        <v>4860</v>
      </c>
      <c r="Q4064" s="1" t="str">
        <f>_xlfn.XLOOKUP(tblSales[[#This Row],[Channel Code]],tblChannels[Channel Code],tblChannels[Channel Name],"")</f>
        <v>In-store</v>
      </c>
      <c r="R4064" s="1">
        <f>MONTH(tblSales[[#This Row],[Date]])</f>
        <v>8</v>
      </c>
    </row>
    <row r="4065" spans="2:18" x14ac:dyDescent="0.35">
      <c r="B4065" s="113">
        <v>46265</v>
      </c>
      <c r="C4065" s="4" t="s">
        <v>2739</v>
      </c>
      <c r="D4065" s="4" t="s">
        <v>4627</v>
      </c>
      <c r="E4065" s="1" t="str">
        <f>_xlfn.XLOOKUP(tblSales[[#This Row],[Customer ID]],tblCustomers[Customer ID],tblCustomers[Customer Name],"⚠ Unknown")</f>
        <v>PT Kencana Wira Usaha</v>
      </c>
      <c r="F4065" s="4" t="s">
        <v>9</v>
      </c>
      <c r="G4065" s="1" t="str">
        <f>_xlfn.XLOOKUP(tblSales[[#This Row],[Product Code]],tblProducts[Code],tblProducts[Product / Service Name],"⚠ Unknown")</f>
        <v>Casual Shirt</v>
      </c>
      <c r="H4065" s="1" t="str">
        <f>_xlfn.XLOOKUP(tblSales[[#This Row],[Product Code]],tblProducts[Code],tblProducts[Category],"")</f>
        <v>Apparel &amp; Footwear</v>
      </c>
      <c r="I4065" s="4">
        <v>40</v>
      </c>
      <c r="J4065" s="5">
        <f>_xlfn.XLOOKUP(tblSales[[#This Row],[Product Code]],tblProducts[Code],tblProducts[Selling Price (excl. VAT)],0)</f>
        <v>120000</v>
      </c>
      <c r="K4065" s="5">
        <f>tblSales[[#This Row],[Qty]]*tblSales[[#This Row],[Unit Price]]</f>
        <v>4800000</v>
      </c>
      <c r="L4065" s="5">
        <f>ROUND(tblSales[[#This Row],[DPP (excl. VAT)]]*VATEff,0)</f>
        <v>528000</v>
      </c>
      <c r="M4065" s="5">
        <f>tblSales[[#This Row],[DPP (excl. VAT)]]+tblSales[[#This Row],[Output VAT]]</f>
        <v>5328000</v>
      </c>
      <c r="N4065" s="5">
        <f>tblSales[[#This Row],[Qty]]*_xlfn.XLOOKUP(tblSales[[#This Row],[Product Code]],tblProducts[Code],tblProducts[Unit Cost],0)</f>
        <v>2880000</v>
      </c>
      <c r="O4065" s="4" t="s">
        <v>4867</v>
      </c>
      <c r="P4065" s="4" t="s">
        <v>4860</v>
      </c>
      <c r="Q4065" s="1" t="str">
        <f>_xlfn.XLOOKUP(tblSales[[#This Row],[Channel Code]],tblChannels[Channel Code],tblChannels[Channel Name],"")</f>
        <v>In-store</v>
      </c>
      <c r="R4065" s="1">
        <f>MONTH(tblSales[[#This Row],[Date]])</f>
        <v>8</v>
      </c>
    </row>
    <row r="4066" spans="2:18" x14ac:dyDescent="0.35">
      <c r="B4066" s="113">
        <v>46265</v>
      </c>
      <c r="C4066" s="4" t="s">
        <v>2740</v>
      </c>
      <c r="D4066" s="4" t="s">
        <v>4585</v>
      </c>
      <c r="E4066" s="1" t="str">
        <f>_xlfn.XLOOKUP(tblSales[[#This Row],[Customer ID]],tblCustomers[Customer ID],tblCustomers[Customer Name],"⚠ Unknown")</f>
        <v>CV Mitra Karya Mandiri</v>
      </c>
      <c r="F4066" s="4" t="s">
        <v>10</v>
      </c>
      <c r="G4066" s="1" t="str">
        <f>_xlfn.XLOOKUP(tblSales[[#This Row],[Product Code]],tblProducts[Code],tblProducts[Product / Service Name],"⚠ Unknown")</f>
        <v>Chino Pants</v>
      </c>
      <c r="H4066" s="1" t="str">
        <f>_xlfn.XLOOKUP(tblSales[[#This Row],[Product Code]],tblProducts[Code],tblProducts[Category],"")</f>
        <v>Apparel &amp; Footwear</v>
      </c>
      <c r="I4066" s="4">
        <v>16</v>
      </c>
      <c r="J4066" s="5">
        <f>_xlfn.XLOOKUP(tblSales[[#This Row],[Product Code]],tblProducts[Code],tblProducts[Selling Price (excl. VAT)],0)</f>
        <v>150000</v>
      </c>
      <c r="K4066" s="5">
        <f>tblSales[[#This Row],[Qty]]*tblSales[[#This Row],[Unit Price]]</f>
        <v>2400000</v>
      </c>
      <c r="L4066" s="5">
        <f>ROUND(tblSales[[#This Row],[DPP (excl. VAT)]]*VATEff,0)</f>
        <v>264000</v>
      </c>
      <c r="M4066" s="5">
        <f>tblSales[[#This Row],[DPP (excl. VAT)]]+tblSales[[#This Row],[Output VAT]]</f>
        <v>2664000</v>
      </c>
      <c r="N4066" s="5">
        <f>tblSales[[#This Row],[Qty]]*_xlfn.XLOOKUP(tblSales[[#This Row],[Product Code]],tblProducts[Code],tblProducts[Unit Cost],0)</f>
        <v>1408000</v>
      </c>
      <c r="O4066" s="4" t="s">
        <v>4867</v>
      </c>
      <c r="P4066" s="4" t="s">
        <v>4860</v>
      </c>
      <c r="Q4066" s="1" t="str">
        <f>_xlfn.XLOOKUP(tblSales[[#This Row],[Channel Code]],tblChannels[Channel Code],tblChannels[Channel Name],"")</f>
        <v>In-store</v>
      </c>
      <c r="R4066" s="1">
        <f>MONTH(tblSales[[#This Row],[Date]])</f>
        <v>8</v>
      </c>
    </row>
    <row r="4067" spans="2:18" x14ac:dyDescent="0.35">
      <c r="B4067" s="113">
        <v>46265</v>
      </c>
      <c r="C4067" s="4" t="s">
        <v>2740</v>
      </c>
      <c r="D4067" s="4" t="s">
        <v>4585</v>
      </c>
      <c r="E4067" s="1" t="str">
        <f>_xlfn.XLOOKUP(tblSales[[#This Row],[Customer ID]],tblCustomers[Customer ID],tblCustomers[Customer Name],"⚠ Unknown")</f>
        <v>CV Mitra Karya Mandiri</v>
      </c>
      <c r="F4067" s="4" t="s">
        <v>9</v>
      </c>
      <c r="G4067" s="1" t="str">
        <f>_xlfn.XLOOKUP(tblSales[[#This Row],[Product Code]],tblProducts[Code],tblProducts[Product / Service Name],"⚠ Unknown")</f>
        <v>Casual Shirt</v>
      </c>
      <c r="H4067" s="1" t="str">
        <f>_xlfn.XLOOKUP(tblSales[[#This Row],[Product Code]],tblProducts[Code],tblProducts[Category],"")</f>
        <v>Apparel &amp; Footwear</v>
      </c>
      <c r="I4067" s="4">
        <v>80</v>
      </c>
      <c r="J4067" s="5">
        <f>_xlfn.XLOOKUP(tblSales[[#This Row],[Product Code]],tblProducts[Code],tblProducts[Selling Price (excl. VAT)],0)</f>
        <v>120000</v>
      </c>
      <c r="K4067" s="5">
        <f>tblSales[[#This Row],[Qty]]*tblSales[[#This Row],[Unit Price]]</f>
        <v>9600000</v>
      </c>
      <c r="L4067" s="5">
        <f>ROUND(tblSales[[#This Row],[DPP (excl. VAT)]]*VATEff,0)</f>
        <v>1056000</v>
      </c>
      <c r="M4067" s="5">
        <f>tblSales[[#This Row],[DPP (excl. VAT)]]+tblSales[[#This Row],[Output VAT]]</f>
        <v>10656000</v>
      </c>
      <c r="N4067" s="5">
        <f>tblSales[[#This Row],[Qty]]*_xlfn.XLOOKUP(tblSales[[#This Row],[Product Code]],tblProducts[Code],tblProducts[Unit Cost],0)</f>
        <v>5760000</v>
      </c>
      <c r="O4067" s="4" t="s">
        <v>4867</v>
      </c>
      <c r="P4067" s="4" t="s">
        <v>4860</v>
      </c>
      <c r="Q4067" s="1" t="str">
        <f>_xlfn.XLOOKUP(tblSales[[#This Row],[Channel Code]],tblChannels[Channel Code],tblChannels[Channel Name],"")</f>
        <v>In-store</v>
      </c>
      <c r="R4067" s="1">
        <f>MONTH(tblSales[[#This Row],[Date]])</f>
        <v>8</v>
      </c>
    </row>
    <row r="4068" spans="2:18" x14ac:dyDescent="0.35">
      <c r="B4068" s="113">
        <v>46265</v>
      </c>
      <c r="C4068" s="4" t="s">
        <v>2740</v>
      </c>
      <c r="D4068" s="4" t="s">
        <v>4585</v>
      </c>
      <c r="E4068" s="1" t="str">
        <f>_xlfn.XLOOKUP(tblSales[[#This Row],[Customer ID]],tblCustomers[Customer ID],tblCustomers[Customer Name],"⚠ Unknown")</f>
        <v>CV Mitra Karya Mandiri</v>
      </c>
      <c r="F4068" s="4" t="s">
        <v>6</v>
      </c>
      <c r="G4068" s="1" t="str">
        <f>_xlfn.XLOOKUP(tblSales[[#This Row],[Product Code]],tblProducts[Code],tblProducts[Product / Service Name],"⚠ Unknown")</f>
        <v>Socks &amp; Accessories</v>
      </c>
      <c r="H4068" s="1" t="str">
        <f>_xlfn.XLOOKUP(tblSales[[#This Row],[Product Code]],tblProducts[Code],tblProducts[Category],"")</f>
        <v>Accessories &amp; Basics</v>
      </c>
      <c r="I4068" s="4">
        <v>24</v>
      </c>
      <c r="J4068" s="5">
        <f>_xlfn.XLOOKUP(tblSales[[#This Row],[Product Code]],tblProducts[Code],tblProducts[Selling Price (excl. VAT)],0)</f>
        <v>45000</v>
      </c>
      <c r="K4068" s="5">
        <f>tblSales[[#This Row],[Qty]]*tblSales[[#This Row],[Unit Price]]</f>
        <v>1080000</v>
      </c>
      <c r="L4068" s="5">
        <f>ROUND(tblSales[[#This Row],[DPP (excl. VAT)]]*VATEff,0)</f>
        <v>118800</v>
      </c>
      <c r="M4068" s="5">
        <f>tblSales[[#This Row],[DPP (excl. VAT)]]+tblSales[[#This Row],[Output VAT]]</f>
        <v>1198800</v>
      </c>
      <c r="N4068" s="5">
        <f>tblSales[[#This Row],[Qty]]*_xlfn.XLOOKUP(tblSales[[#This Row],[Product Code]],tblProducts[Code],tblProducts[Unit Cost],0)</f>
        <v>576000</v>
      </c>
      <c r="O4068" s="4" t="s">
        <v>4867</v>
      </c>
      <c r="P4068" s="4" t="s">
        <v>4860</v>
      </c>
      <c r="Q4068" s="1" t="str">
        <f>_xlfn.XLOOKUP(tblSales[[#This Row],[Channel Code]],tblChannels[Channel Code],tblChannels[Channel Name],"")</f>
        <v>In-store</v>
      </c>
      <c r="R4068" s="1">
        <f>MONTH(tblSales[[#This Row],[Date]])</f>
        <v>8</v>
      </c>
    </row>
    <row r="4069" spans="2:18" x14ac:dyDescent="0.35">
      <c r="B4069" s="113">
        <v>46265</v>
      </c>
      <c r="C4069" s="4" t="s">
        <v>2741</v>
      </c>
      <c r="D4069" s="4" t="s">
        <v>4568</v>
      </c>
      <c r="E4069" s="1" t="str">
        <f>_xlfn.XLOOKUP(tblSales[[#This Row],[Customer ID]],tblCustomers[Customer ID],tblCustomers[Customer Name],"⚠ Unknown")</f>
        <v>Walk-in Customer</v>
      </c>
      <c r="F4069" s="4" t="s">
        <v>10</v>
      </c>
      <c r="G4069" s="1" t="str">
        <f>_xlfn.XLOOKUP(tblSales[[#This Row],[Product Code]],tblProducts[Code],tblProducts[Product / Service Name],"⚠ Unknown")</f>
        <v>Chino Pants</v>
      </c>
      <c r="H4069" s="1" t="str">
        <f>_xlfn.XLOOKUP(tblSales[[#This Row],[Product Code]],tblProducts[Code],tblProducts[Category],"")</f>
        <v>Apparel &amp; Footwear</v>
      </c>
      <c r="I4069" s="4">
        <v>1</v>
      </c>
      <c r="J4069" s="5">
        <f>_xlfn.XLOOKUP(tblSales[[#This Row],[Product Code]],tblProducts[Code],tblProducts[Selling Price (excl. VAT)],0)</f>
        <v>150000</v>
      </c>
      <c r="K4069" s="5">
        <f>tblSales[[#This Row],[Qty]]*tblSales[[#This Row],[Unit Price]]</f>
        <v>150000</v>
      </c>
      <c r="L4069" s="5">
        <f>ROUND(tblSales[[#This Row],[DPP (excl. VAT)]]*VATEff,0)</f>
        <v>16500</v>
      </c>
      <c r="M4069" s="5">
        <f>tblSales[[#This Row],[DPP (excl. VAT)]]+tblSales[[#This Row],[Output VAT]]</f>
        <v>166500</v>
      </c>
      <c r="N4069" s="5">
        <f>tblSales[[#This Row],[Qty]]*_xlfn.XLOOKUP(tblSales[[#This Row],[Product Code]],tblProducts[Code],tblProducts[Unit Cost],0)</f>
        <v>88000</v>
      </c>
      <c r="O4069" s="4" t="s">
        <v>4866</v>
      </c>
      <c r="P4069" s="4" t="s">
        <v>4862</v>
      </c>
      <c r="Q4069" s="1" t="str">
        <f>_xlfn.XLOOKUP(tblSales[[#This Row],[Channel Code]],tblChannels[Channel Code],tblChannels[Channel Name],"")</f>
        <v>Website &amp; Social Media</v>
      </c>
      <c r="R4069" s="1">
        <f>MONTH(tblSales[[#This Row],[Date]])</f>
        <v>8</v>
      </c>
    </row>
    <row r="4070" spans="2:18" x14ac:dyDescent="0.35">
      <c r="B4070" s="113">
        <v>46265</v>
      </c>
      <c r="C4070" s="4" t="s">
        <v>2742</v>
      </c>
      <c r="D4070" s="4" t="s">
        <v>4568</v>
      </c>
      <c r="E4070" s="1" t="str">
        <f>_xlfn.XLOOKUP(tblSales[[#This Row],[Customer ID]],tblCustomers[Customer ID],tblCustomers[Customer Name],"⚠ Unknown")</f>
        <v>Walk-in Customer</v>
      </c>
      <c r="F4070" s="4" t="s">
        <v>8</v>
      </c>
      <c r="G4070" s="1" t="str">
        <f>_xlfn.XLOOKUP(tblSales[[#This Row],[Product Code]],tblProducts[Code],tblProducts[Product / Service Name],"⚠ Unknown")</f>
        <v>Casual Shorts</v>
      </c>
      <c r="H4070" s="1" t="str">
        <f>_xlfn.XLOOKUP(tblSales[[#This Row],[Product Code]],tblProducts[Code],tblProducts[Category],"")</f>
        <v>Accessories &amp; Basics</v>
      </c>
      <c r="I4070" s="4">
        <v>9</v>
      </c>
      <c r="J4070" s="5">
        <f>_xlfn.XLOOKUP(tblSales[[#This Row],[Product Code]],tblProducts[Code],tblProducts[Selling Price (excl. VAT)],0)</f>
        <v>85000</v>
      </c>
      <c r="K4070" s="5">
        <f>tblSales[[#This Row],[Qty]]*tblSales[[#This Row],[Unit Price]]</f>
        <v>765000</v>
      </c>
      <c r="L4070" s="5">
        <f>ROUND(tblSales[[#This Row],[DPP (excl. VAT)]]*VATEff,0)</f>
        <v>84150</v>
      </c>
      <c r="M4070" s="5">
        <f>tblSales[[#This Row],[DPP (excl. VAT)]]+tblSales[[#This Row],[Output VAT]]</f>
        <v>849150</v>
      </c>
      <c r="N4070" s="5">
        <f>tblSales[[#This Row],[Qty]]*_xlfn.XLOOKUP(tblSales[[#This Row],[Product Code]],tblProducts[Code],tblProducts[Unit Cost],0)</f>
        <v>450000</v>
      </c>
      <c r="O4070" s="4" t="s">
        <v>4866</v>
      </c>
      <c r="P4070" s="4" t="s">
        <v>4861</v>
      </c>
      <c r="Q4070" s="1" t="str">
        <f>_xlfn.XLOOKUP(tblSales[[#This Row],[Channel Code]],tblChannels[Channel Code],tblChannels[Channel Name],"")</f>
        <v>Marketplace</v>
      </c>
      <c r="R4070" s="1">
        <f>MONTH(tblSales[[#This Row],[Date]])</f>
        <v>8</v>
      </c>
    </row>
    <row r="4071" spans="2:18" x14ac:dyDescent="0.35">
      <c r="B4071" s="113">
        <v>46265</v>
      </c>
      <c r="C4071" s="4" t="s">
        <v>2743</v>
      </c>
      <c r="D4071" s="4" t="s">
        <v>4568</v>
      </c>
      <c r="E4071" s="1" t="str">
        <f>_xlfn.XLOOKUP(tblSales[[#This Row],[Customer ID]],tblCustomers[Customer ID],tblCustomers[Customer Name],"⚠ Unknown")</f>
        <v>Walk-in Customer</v>
      </c>
      <c r="F4071" s="4" t="s">
        <v>7</v>
      </c>
      <c r="G4071" s="1" t="str">
        <f>_xlfn.XLOOKUP(tblSales[[#This Row],[Product Code]],tblProducts[Code],tblProducts[Product / Service Name],"⚠ Unknown")</f>
        <v>Premium Basic T-shirt</v>
      </c>
      <c r="H4071" s="1" t="str">
        <f>_xlfn.XLOOKUP(tblSales[[#This Row],[Product Code]],tblProducts[Code],tblProducts[Category],"")</f>
        <v>Accessories &amp; Basics</v>
      </c>
      <c r="I4071" s="4">
        <v>8</v>
      </c>
      <c r="J4071" s="5">
        <f>_xlfn.XLOOKUP(tblSales[[#This Row],[Product Code]],tblProducts[Code],tblProducts[Selling Price (excl. VAT)],0)</f>
        <v>65000</v>
      </c>
      <c r="K4071" s="5">
        <f>tblSales[[#This Row],[Qty]]*tblSales[[#This Row],[Unit Price]]</f>
        <v>520000</v>
      </c>
      <c r="L4071" s="5">
        <f>ROUND(tblSales[[#This Row],[DPP (excl. VAT)]]*VATEff,0)</f>
        <v>57200</v>
      </c>
      <c r="M4071" s="5">
        <f>tblSales[[#This Row],[DPP (excl. VAT)]]+tblSales[[#This Row],[Output VAT]]</f>
        <v>577200</v>
      </c>
      <c r="N4071" s="5">
        <f>tblSales[[#This Row],[Qty]]*_xlfn.XLOOKUP(tblSales[[#This Row],[Product Code]],tblProducts[Code],tblProducts[Unit Cost],0)</f>
        <v>296000</v>
      </c>
      <c r="O4071" s="4" t="s">
        <v>4865</v>
      </c>
      <c r="P4071" s="4" t="s">
        <v>4860</v>
      </c>
      <c r="Q4071" s="1" t="str">
        <f>_xlfn.XLOOKUP(tblSales[[#This Row],[Channel Code]],tblChannels[Channel Code],tblChannels[Channel Name],"")</f>
        <v>In-store</v>
      </c>
      <c r="R4071" s="1">
        <f>MONTH(tblSales[[#This Row],[Date]])</f>
        <v>8</v>
      </c>
    </row>
    <row r="4072" spans="2:18" x14ac:dyDescent="0.35">
      <c r="B4072" s="113">
        <v>46265</v>
      </c>
      <c r="C4072" s="4" t="s">
        <v>2744</v>
      </c>
      <c r="D4072" s="4" t="s">
        <v>4568</v>
      </c>
      <c r="E4072" s="1" t="str">
        <f>_xlfn.XLOOKUP(tblSales[[#This Row],[Customer ID]],tblCustomers[Customer ID],tblCustomers[Customer Name],"⚠ Unknown")</f>
        <v>Walk-in Customer</v>
      </c>
      <c r="F4072" s="4" t="s">
        <v>6</v>
      </c>
      <c r="G4072" s="1" t="str">
        <f>_xlfn.XLOOKUP(tblSales[[#This Row],[Product Code]],tblProducts[Code],tblProducts[Product / Service Name],"⚠ Unknown")</f>
        <v>Socks &amp; Accessories</v>
      </c>
      <c r="H4072" s="1" t="str">
        <f>_xlfn.XLOOKUP(tblSales[[#This Row],[Product Code]],tblProducts[Code],tblProducts[Category],"")</f>
        <v>Accessories &amp; Basics</v>
      </c>
      <c r="I4072" s="4">
        <v>7</v>
      </c>
      <c r="J4072" s="5">
        <f>_xlfn.XLOOKUP(tblSales[[#This Row],[Product Code]],tblProducts[Code],tblProducts[Selling Price (excl. VAT)],0)</f>
        <v>45000</v>
      </c>
      <c r="K4072" s="5">
        <f>tblSales[[#This Row],[Qty]]*tblSales[[#This Row],[Unit Price]]</f>
        <v>315000</v>
      </c>
      <c r="L4072" s="5">
        <f>ROUND(tblSales[[#This Row],[DPP (excl. VAT)]]*VATEff,0)</f>
        <v>34650</v>
      </c>
      <c r="M4072" s="5">
        <f>tblSales[[#This Row],[DPP (excl. VAT)]]+tblSales[[#This Row],[Output VAT]]</f>
        <v>349650</v>
      </c>
      <c r="N4072" s="5">
        <f>tblSales[[#This Row],[Qty]]*_xlfn.XLOOKUP(tblSales[[#This Row],[Product Code]],tblProducts[Code],tblProducts[Unit Cost],0)</f>
        <v>168000</v>
      </c>
      <c r="O4072" s="4" t="s">
        <v>4866</v>
      </c>
      <c r="P4072" s="4" t="s">
        <v>4861</v>
      </c>
      <c r="Q4072" s="1" t="str">
        <f>_xlfn.XLOOKUP(tblSales[[#This Row],[Channel Code]],tblChannels[Channel Code],tblChannels[Channel Name],"")</f>
        <v>Marketplace</v>
      </c>
      <c r="R4072" s="1">
        <f>MONTH(tblSales[[#This Row],[Date]])</f>
        <v>8</v>
      </c>
    </row>
    <row r="4073" spans="2:18" x14ac:dyDescent="0.35">
      <c r="B4073" s="113">
        <v>46265</v>
      </c>
      <c r="C4073" s="4" t="s">
        <v>2745</v>
      </c>
      <c r="D4073" s="4" t="s">
        <v>4568</v>
      </c>
      <c r="E4073" s="1" t="str">
        <f>_xlfn.XLOOKUP(tblSales[[#This Row],[Customer ID]],tblCustomers[Customer ID],tblCustomers[Customer Name],"⚠ Unknown")</f>
        <v>Walk-in Customer</v>
      </c>
      <c r="F4073" s="4" t="s">
        <v>12</v>
      </c>
      <c r="G4073" s="1" t="str">
        <f>_xlfn.XLOOKUP(tblSales[[#This Row],[Product Code]],tblProducts[Code],tblProducts[Product / Service Name],"⚠ Unknown")</f>
        <v>Bomber Jacket</v>
      </c>
      <c r="H4073" s="1" t="str">
        <f>_xlfn.XLOOKUP(tblSales[[#This Row],[Product Code]],tblProducts[Code],tblProducts[Category],"")</f>
        <v>Apparel &amp; Footwear</v>
      </c>
      <c r="I4073" s="4">
        <v>3</v>
      </c>
      <c r="J4073" s="5">
        <f>_xlfn.XLOOKUP(tblSales[[#This Row],[Product Code]],tblProducts[Code],tblProducts[Selling Price (excl. VAT)],0)</f>
        <v>350000</v>
      </c>
      <c r="K4073" s="5">
        <f>tblSales[[#This Row],[Qty]]*tblSales[[#This Row],[Unit Price]]</f>
        <v>1050000</v>
      </c>
      <c r="L4073" s="5">
        <f>ROUND(tblSales[[#This Row],[DPP (excl. VAT)]]*VATEff,0)</f>
        <v>115500</v>
      </c>
      <c r="M4073" s="5">
        <f>tblSales[[#This Row],[DPP (excl. VAT)]]+tblSales[[#This Row],[Output VAT]]</f>
        <v>1165500</v>
      </c>
      <c r="N4073" s="5">
        <f>tblSales[[#This Row],[Qty]]*_xlfn.XLOOKUP(tblSales[[#This Row],[Product Code]],tblProducts[Code],tblProducts[Unit Cost],0)</f>
        <v>630000</v>
      </c>
      <c r="O4073" s="4" t="s">
        <v>4865</v>
      </c>
      <c r="P4073" s="4" t="s">
        <v>4860</v>
      </c>
      <c r="Q4073" s="1" t="str">
        <f>_xlfn.XLOOKUP(tblSales[[#This Row],[Channel Code]],tblChannels[Channel Code],tblChannels[Channel Name],"")</f>
        <v>In-store</v>
      </c>
      <c r="R4073" s="1">
        <f>MONTH(tblSales[[#This Row],[Date]])</f>
        <v>8</v>
      </c>
    </row>
    <row r="4074" spans="2:18" x14ac:dyDescent="0.35">
      <c r="B4074" s="113">
        <v>46266</v>
      </c>
      <c r="C4074" s="4" t="s">
        <v>2746</v>
      </c>
      <c r="D4074" s="4" t="s">
        <v>4568</v>
      </c>
      <c r="E4074" s="1" t="str">
        <f>_xlfn.XLOOKUP(tblSales[[#This Row],[Customer ID]],tblCustomers[Customer ID],tblCustomers[Customer Name],"⚠ Unknown")</f>
        <v>Walk-in Customer</v>
      </c>
      <c r="F4074" s="4" t="s">
        <v>8</v>
      </c>
      <c r="G4074" s="1" t="str">
        <f>_xlfn.XLOOKUP(tblSales[[#This Row],[Product Code]],tblProducts[Code],tblProducts[Product / Service Name],"⚠ Unknown")</f>
        <v>Casual Shorts</v>
      </c>
      <c r="H4074" s="1" t="str">
        <f>_xlfn.XLOOKUP(tblSales[[#This Row],[Product Code]],tblProducts[Code],tblProducts[Category],"")</f>
        <v>Accessories &amp; Basics</v>
      </c>
      <c r="I4074" s="4">
        <v>8</v>
      </c>
      <c r="J4074" s="5">
        <f>_xlfn.XLOOKUP(tblSales[[#This Row],[Product Code]],tblProducts[Code],tblProducts[Selling Price (excl. VAT)],0)</f>
        <v>85000</v>
      </c>
      <c r="K4074" s="5">
        <f>tblSales[[#This Row],[Qty]]*tblSales[[#This Row],[Unit Price]]</f>
        <v>680000</v>
      </c>
      <c r="L4074" s="5">
        <f>ROUND(tblSales[[#This Row],[DPP (excl. VAT)]]*VATEff,0)</f>
        <v>74800</v>
      </c>
      <c r="M4074" s="5">
        <f>tblSales[[#This Row],[DPP (excl. VAT)]]+tblSales[[#This Row],[Output VAT]]</f>
        <v>754800</v>
      </c>
      <c r="N4074" s="5">
        <f>tblSales[[#This Row],[Qty]]*_xlfn.XLOOKUP(tblSales[[#This Row],[Product Code]],tblProducts[Code],tblProducts[Unit Cost],0)</f>
        <v>400000</v>
      </c>
      <c r="O4074" s="4" t="s">
        <v>4865</v>
      </c>
      <c r="P4074" s="4" t="s">
        <v>4860</v>
      </c>
      <c r="Q4074" s="1" t="str">
        <f>_xlfn.XLOOKUP(tblSales[[#This Row],[Channel Code]],tblChannels[Channel Code],tblChannels[Channel Name],"")</f>
        <v>In-store</v>
      </c>
      <c r="R4074" s="1">
        <f>MONTH(tblSales[[#This Row],[Date]])</f>
        <v>9</v>
      </c>
    </row>
    <row r="4075" spans="2:18" x14ac:dyDescent="0.35">
      <c r="B4075" s="113">
        <v>46266</v>
      </c>
      <c r="C4075" s="4" t="s">
        <v>2747</v>
      </c>
      <c r="D4075" s="4" t="s">
        <v>4568</v>
      </c>
      <c r="E4075" s="1" t="str">
        <f>_xlfn.XLOOKUP(tblSales[[#This Row],[Customer ID]],tblCustomers[Customer ID],tblCustomers[Customer Name],"⚠ Unknown")</f>
        <v>Walk-in Customer</v>
      </c>
      <c r="F4075" s="4" t="s">
        <v>7</v>
      </c>
      <c r="G4075" s="1" t="str">
        <f>_xlfn.XLOOKUP(tblSales[[#This Row],[Product Code]],tblProducts[Code],tblProducts[Product / Service Name],"⚠ Unknown")</f>
        <v>Premium Basic T-shirt</v>
      </c>
      <c r="H4075" s="1" t="str">
        <f>_xlfn.XLOOKUP(tblSales[[#This Row],[Product Code]],tblProducts[Code],tblProducts[Category],"")</f>
        <v>Accessories &amp; Basics</v>
      </c>
      <c r="I4075" s="4">
        <v>3</v>
      </c>
      <c r="J4075" s="5">
        <f>_xlfn.XLOOKUP(tblSales[[#This Row],[Product Code]],tblProducts[Code],tblProducts[Selling Price (excl. VAT)],0)</f>
        <v>65000</v>
      </c>
      <c r="K4075" s="5">
        <f>tblSales[[#This Row],[Qty]]*tblSales[[#This Row],[Unit Price]]</f>
        <v>195000</v>
      </c>
      <c r="L4075" s="5">
        <f>ROUND(tblSales[[#This Row],[DPP (excl. VAT)]]*VATEff,0)</f>
        <v>21450</v>
      </c>
      <c r="M4075" s="5">
        <f>tblSales[[#This Row],[DPP (excl. VAT)]]+tblSales[[#This Row],[Output VAT]]</f>
        <v>216450</v>
      </c>
      <c r="N4075" s="5">
        <f>tblSales[[#This Row],[Qty]]*_xlfn.XLOOKUP(tblSales[[#This Row],[Product Code]],tblProducts[Code],tblProducts[Unit Cost],0)</f>
        <v>111000</v>
      </c>
      <c r="O4075" s="4" t="s">
        <v>4865</v>
      </c>
      <c r="P4075" s="4" t="s">
        <v>4860</v>
      </c>
      <c r="Q4075" s="1" t="str">
        <f>_xlfn.XLOOKUP(tblSales[[#This Row],[Channel Code]],tblChannels[Channel Code],tblChannels[Channel Name],"")</f>
        <v>In-store</v>
      </c>
      <c r="R4075" s="1">
        <f>MONTH(tblSales[[#This Row],[Date]])</f>
        <v>9</v>
      </c>
    </row>
    <row r="4076" spans="2:18" x14ac:dyDescent="0.35">
      <c r="B4076" s="113">
        <v>46266</v>
      </c>
      <c r="C4076" s="4" t="s">
        <v>2747</v>
      </c>
      <c r="D4076" s="4" t="s">
        <v>4568</v>
      </c>
      <c r="E4076" s="1" t="str">
        <f>_xlfn.XLOOKUP(tblSales[[#This Row],[Customer ID]],tblCustomers[Customer ID],tblCustomers[Customer Name],"⚠ Unknown")</f>
        <v>Walk-in Customer</v>
      </c>
      <c r="F4076" s="4" t="s">
        <v>10</v>
      </c>
      <c r="G4076" s="1" t="str">
        <f>_xlfn.XLOOKUP(tblSales[[#This Row],[Product Code]],tblProducts[Code],tblProducts[Product / Service Name],"⚠ Unknown")</f>
        <v>Chino Pants</v>
      </c>
      <c r="H4076" s="1" t="str">
        <f>_xlfn.XLOOKUP(tblSales[[#This Row],[Product Code]],tblProducts[Code],tblProducts[Category],"")</f>
        <v>Apparel &amp; Footwear</v>
      </c>
      <c r="I4076" s="4">
        <v>7</v>
      </c>
      <c r="J4076" s="5">
        <f>_xlfn.XLOOKUP(tblSales[[#This Row],[Product Code]],tblProducts[Code],tblProducts[Selling Price (excl. VAT)],0)</f>
        <v>150000</v>
      </c>
      <c r="K4076" s="5">
        <f>tblSales[[#This Row],[Qty]]*tblSales[[#This Row],[Unit Price]]</f>
        <v>1050000</v>
      </c>
      <c r="L4076" s="5">
        <f>ROUND(tblSales[[#This Row],[DPP (excl. VAT)]]*VATEff,0)</f>
        <v>115500</v>
      </c>
      <c r="M4076" s="5">
        <f>tblSales[[#This Row],[DPP (excl. VAT)]]+tblSales[[#This Row],[Output VAT]]</f>
        <v>1165500</v>
      </c>
      <c r="N4076" s="5">
        <f>tblSales[[#This Row],[Qty]]*_xlfn.XLOOKUP(tblSales[[#This Row],[Product Code]],tblProducts[Code],tblProducts[Unit Cost],0)</f>
        <v>616000</v>
      </c>
      <c r="O4076" s="4" t="s">
        <v>4865</v>
      </c>
      <c r="P4076" s="4" t="s">
        <v>4860</v>
      </c>
      <c r="Q4076" s="1" t="str">
        <f>_xlfn.XLOOKUP(tblSales[[#This Row],[Channel Code]],tblChannels[Channel Code],tblChannels[Channel Name],"")</f>
        <v>In-store</v>
      </c>
      <c r="R4076" s="1">
        <f>MONTH(tblSales[[#This Row],[Date]])</f>
        <v>9</v>
      </c>
    </row>
    <row r="4077" spans="2:18" x14ac:dyDescent="0.35">
      <c r="B4077" s="113">
        <v>46266</v>
      </c>
      <c r="C4077" s="4" t="s">
        <v>2748</v>
      </c>
      <c r="D4077" s="4" t="s">
        <v>4568</v>
      </c>
      <c r="E4077" s="1" t="str">
        <f>_xlfn.XLOOKUP(tblSales[[#This Row],[Customer ID]],tblCustomers[Customer ID],tblCustomers[Customer Name],"⚠ Unknown")</f>
        <v>Walk-in Customer</v>
      </c>
      <c r="F4077" s="4" t="s">
        <v>8</v>
      </c>
      <c r="G4077" s="1" t="str">
        <f>_xlfn.XLOOKUP(tblSales[[#This Row],[Product Code]],tblProducts[Code],tblProducts[Product / Service Name],"⚠ Unknown")</f>
        <v>Casual Shorts</v>
      </c>
      <c r="H4077" s="1" t="str">
        <f>_xlfn.XLOOKUP(tblSales[[#This Row],[Product Code]],tblProducts[Code],tblProducts[Category],"")</f>
        <v>Accessories &amp; Basics</v>
      </c>
      <c r="I4077" s="4">
        <v>2</v>
      </c>
      <c r="J4077" s="5">
        <f>_xlfn.XLOOKUP(tblSales[[#This Row],[Product Code]],tblProducts[Code],tblProducts[Selling Price (excl. VAT)],0)</f>
        <v>85000</v>
      </c>
      <c r="K4077" s="5">
        <f>tblSales[[#This Row],[Qty]]*tblSales[[#This Row],[Unit Price]]</f>
        <v>170000</v>
      </c>
      <c r="L4077" s="5">
        <f>ROUND(tblSales[[#This Row],[DPP (excl. VAT)]]*VATEff,0)</f>
        <v>18700</v>
      </c>
      <c r="M4077" s="5">
        <f>tblSales[[#This Row],[DPP (excl. VAT)]]+tblSales[[#This Row],[Output VAT]]</f>
        <v>188700</v>
      </c>
      <c r="N4077" s="5">
        <f>tblSales[[#This Row],[Qty]]*_xlfn.XLOOKUP(tblSales[[#This Row],[Product Code]],tblProducts[Code],tblProducts[Unit Cost],0)</f>
        <v>100000</v>
      </c>
      <c r="O4077" s="4" t="s">
        <v>4866</v>
      </c>
      <c r="P4077" s="4" t="s">
        <v>4862</v>
      </c>
      <c r="Q4077" s="1" t="str">
        <f>_xlfn.XLOOKUP(tblSales[[#This Row],[Channel Code]],tblChannels[Channel Code],tblChannels[Channel Name],"")</f>
        <v>Website &amp; Social Media</v>
      </c>
      <c r="R4077" s="1">
        <f>MONTH(tblSales[[#This Row],[Date]])</f>
        <v>9</v>
      </c>
    </row>
    <row r="4078" spans="2:18" x14ac:dyDescent="0.35">
      <c r="B4078" s="113">
        <v>46266</v>
      </c>
      <c r="C4078" s="4" t="s">
        <v>2749</v>
      </c>
      <c r="D4078" s="4" t="s">
        <v>4568</v>
      </c>
      <c r="E4078" s="1" t="str">
        <f>_xlfn.XLOOKUP(tblSales[[#This Row],[Customer ID]],tblCustomers[Customer ID],tblCustomers[Customer Name],"⚠ Unknown")</f>
        <v>Walk-in Customer</v>
      </c>
      <c r="F4078" s="4" t="s">
        <v>13</v>
      </c>
      <c r="G4078" s="1" t="str">
        <f>_xlfn.XLOOKUP(tblSales[[#This Row],[Product Code]],tblProducts[Code],tblProducts[Product / Service Name],"⚠ Unknown")</f>
        <v>Backpack</v>
      </c>
      <c r="H4078" s="1" t="str">
        <f>_xlfn.XLOOKUP(tblSales[[#This Row],[Product Code]],tblProducts[Code],tblProducts[Category],"")</f>
        <v>Bags &amp; Gadgets</v>
      </c>
      <c r="I4078" s="4">
        <v>5</v>
      </c>
      <c r="J4078" s="5">
        <f>_xlfn.XLOOKUP(tblSales[[#This Row],[Product Code]],tblProducts[Code],tblProducts[Selling Price (excl. VAT)],0)</f>
        <v>500000</v>
      </c>
      <c r="K4078" s="5">
        <f>tblSales[[#This Row],[Qty]]*tblSales[[#This Row],[Unit Price]]</f>
        <v>2500000</v>
      </c>
      <c r="L4078" s="5">
        <f>ROUND(tblSales[[#This Row],[DPP (excl. VAT)]]*VATEff,0)</f>
        <v>275000</v>
      </c>
      <c r="M4078" s="5">
        <f>tblSales[[#This Row],[DPP (excl. VAT)]]+tblSales[[#This Row],[Output VAT]]</f>
        <v>2775000</v>
      </c>
      <c r="N4078" s="5">
        <f>tblSales[[#This Row],[Qty]]*_xlfn.XLOOKUP(tblSales[[#This Row],[Product Code]],tblProducts[Code],tblProducts[Unit Cost],0)</f>
        <v>1450000</v>
      </c>
      <c r="O4078" s="4" t="s">
        <v>4866</v>
      </c>
      <c r="P4078" s="4" t="s">
        <v>4860</v>
      </c>
      <c r="Q4078" s="1" t="str">
        <f>_xlfn.XLOOKUP(tblSales[[#This Row],[Channel Code]],tblChannels[Channel Code],tblChannels[Channel Name],"")</f>
        <v>In-store</v>
      </c>
      <c r="R4078" s="1">
        <f>MONTH(tblSales[[#This Row],[Date]])</f>
        <v>9</v>
      </c>
    </row>
    <row r="4079" spans="2:18" x14ac:dyDescent="0.35">
      <c r="B4079" s="113">
        <v>46266</v>
      </c>
      <c r="C4079" s="4" t="s">
        <v>2750</v>
      </c>
      <c r="D4079" s="4" t="s">
        <v>4620</v>
      </c>
      <c r="E4079" s="1" t="str">
        <f>_xlfn.XLOOKUP(tblSales[[#This Row],[Customer ID]],tblCustomers[Customer ID],tblCustomers[Customer Name],"⚠ Unknown")</f>
        <v>CV Sumber Rejeki Utama</v>
      </c>
      <c r="F4079" s="4" t="s">
        <v>15</v>
      </c>
      <c r="G4079" s="1" t="str">
        <f>_xlfn.XLOOKUP(tblSales[[#This Row],[Product Code]],tblProducts[Code],tblProducts[Product / Service Name],"⚠ Unknown")</f>
        <v>Wireless Earbuds Pro</v>
      </c>
      <c r="H4079" s="1" t="str">
        <f>_xlfn.XLOOKUP(tblSales[[#This Row],[Product Code]],tblProducts[Code],tblProducts[Category],"")</f>
        <v>Bags &amp; Gadgets</v>
      </c>
      <c r="I4079" s="4">
        <v>8</v>
      </c>
      <c r="J4079" s="5">
        <f>_xlfn.XLOOKUP(tblSales[[#This Row],[Product Code]],tblProducts[Code],tblProducts[Selling Price (excl. VAT)],0)</f>
        <v>1250000</v>
      </c>
      <c r="K4079" s="5">
        <f>tblSales[[#This Row],[Qty]]*tblSales[[#This Row],[Unit Price]]</f>
        <v>10000000</v>
      </c>
      <c r="L4079" s="5">
        <f>ROUND(tblSales[[#This Row],[DPP (excl. VAT)]]*VATEff,0)</f>
        <v>1100000</v>
      </c>
      <c r="M4079" s="5">
        <f>tblSales[[#This Row],[DPP (excl. VAT)]]+tblSales[[#This Row],[Output VAT]]</f>
        <v>11100000</v>
      </c>
      <c r="N4079" s="5">
        <f>tblSales[[#This Row],[Qty]]*_xlfn.XLOOKUP(tblSales[[#This Row],[Product Code]],tblProducts[Code],tblProducts[Unit Cost],0)</f>
        <v>6560000</v>
      </c>
      <c r="O4079" s="4" t="s">
        <v>4867</v>
      </c>
      <c r="P4079" s="4" t="s">
        <v>4860</v>
      </c>
      <c r="Q4079" s="1" t="str">
        <f>_xlfn.XLOOKUP(tblSales[[#This Row],[Channel Code]],tblChannels[Channel Code],tblChannels[Channel Name],"")</f>
        <v>In-store</v>
      </c>
      <c r="R4079" s="1">
        <f>MONTH(tblSales[[#This Row],[Date]])</f>
        <v>9</v>
      </c>
    </row>
    <row r="4080" spans="2:18" x14ac:dyDescent="0.35">
      <c r="B4080" s="113">
        <v>46266</v>
      </c>
      <c r="C4080" s="4" t="s">
        <v>2751</v>
      </c>
      <c r="D4080" s="4" t="s">
        <v>4568</v>
      </c>
      <c r="E4080" s="1" t="str">
        <f>_xlfn.XLOOKUP(tblSales[[#This Row],[Customer ID]],tblCustomers[Customer ID],tblCustomers[Customer Name],"⚠ Unknown")</f>
        <v>Walk-in Customer</v>
      </c>
      <c r="F4080" s="4" t="s">
        <v>12</v>
      </c>
      <c r="G4080" s="1" t="str">
        <f>_xlfn.XLOOKUP(tblSales[[#This Row],[Product Code]],tblProducts[Code],tblProducts[Product / Service Name],"⚠ Unknown")</f>
        <v>Bomber Jacket</v>
      </c>
      <c r="H4080" s="1" t="str">
        <f>_xlfn.XLOOKUP(tblSales[[#This Row],[Product Code]],tblProducts[Code],tblProducts[Category],"")</f>
        <v>Apparel &amp; Footwear</v>
      </c>
      <c r="I4080" s="4">
        <v>2</v>
      </c>
      <c r="J4080" s="5">
        <f>_xlfn.XLOOKUP(tblSales[[#This Row],[Product Code]],tblProducts[Code],tblProducts[Selling Price (excl. VAT)],0)</f>
        <v>350000</v>
      </c>
      <c r="K4080" s="5">
        <f>tblSales[[#This Row],[Qty]]*tblSales[[#This Row],[Unit Price]]</f>
        <v>700000</v>
      </c>
      <c r="L4080" s="5">
        <f>ROUND(tblSales[[#This Row],[DPP (excl. VAT)]]*VATEff,0)</f>
        <v>77000</v>
      </c>
      <c r="M4080" s="5">
        <f>tblSales[[#This Row],[DPP (excl. VAT)]]+tblSales[[#This Row],[Output VAT]]</f>
        <v>777000</v>
      </c>
      <c r="N4080" s="5">
        <f>tblSales[[#This Row],[Qty]]*_xlfn.XLOOKUP(tblSales[[#This Row],[Product Code]],tblProducts[Code],tblProducts[Unit Cost],0)</f>
        <v>420000</v>
      </c>
      <c r="O4080" s="4" t="s">
        <v>4866</v>
      </c>
      <c r="P4080" s="4" t="s">
        <v>4861</v>
      </c>
      <c r="Q4080" s="1" t="str">
        <f>_xlfn.XLOOKUP(tblSales[[#This Row],[Channel Code]],tblChannels[Channel Code],tblChannels[Channel Name],"")</f>
        <v>Marketplace</v>
      </c>
      <c r="R4080" s="1">
        <f>MONTH(tblSales[[#This Row],[Date]])</f>
        <v>9</v>
      </c>
    </row>
    <row r="4081" spans="2:18" x14ac:dyDescent="0.35">
      <c r="B4081" s="113">
        <v>46266</v>
      </c>
      <c r="C4081" s="4" t="s">
        <v>2752</v>
      </c>
      <c r="D4081" s="4" t="s">
        <v>4568</v>
      </c>
      <c r="E4081" s="1" t="str">
        <f>_xlfn.XLOOKUP(tblSales[[#This Row],[Customer ID]],tblCustomers[Customer ID],tblCustomers[Customer Name],"⚠ Unknown")</f>
        <v>Walk-in Customer</v>
      </c>
      <c r="F4081" s="4" t="s">
        <v>12</v>
      </c>
      <c r="G4081" s="1" t="str">
        <f>_xlfn.XLOOKUP(tblSales[[#This Row],[Product Code]],tblProducts[Code],tblProducts[Product / Service Name],"⚠ Unknown")</f>
        <v>Bomber Jacket</v>
      </c>
      <c r="H4081" s="1" t="str">
        <f>_xlfn.XLOOKUP(tblSales[[#This Row],[Product Code]],tblProducts[Code],tblProducts[Category],"")</f>
        <v>Apparel &amp; Footwear</v>
      </c>
      <c r="I4081" s="4">
        <v>3</v>
      </c>
      <c r="J4081" s="5">
        <f>_xlfn.XLOOKUP(tblSales[[#This Row],[Product Code]],tblProducts[Code],tblProducts[Selling Price (excl. VAT)],0)</f>
        <v>350000</v>
      </c>
      <c r="K4081" s="5">
        <f>tblSales[[#This Row],[Qty]]*tblSales[[#This Row],[Unit Price]]</f>
        <v>1050000</v>
      </c>
      <c r="L4081" s="5">
        <f>ROUND(tblSales[[#This Row],[DPP (excl. VAT)]]*VATEff,0)</f>
        <v>115500</v>
      </c>
      <c r="M4081" s="5">
        <f>tblSales[[#This Row],[DPP (excl. VAT)]]+tblSales[[#This Row],[Output VAT]]</f>
        <v>1165500</v>
      </c>
      <c r="N4081" s="5">
        <f>tblSales[[#This Row],[Qty]]*_xlfn.XLOOKUP(tblSales[[#This Row],[Product Code]],tblProducts[Code],tblProducts[Unit Cost],0)</f>
        <v>630000</v>
      </c>
      <c r="O4081" s="4" t="s">
        <v>4865</v>
      </c>
      <c r="P4081" s="4" t="s">
        <v>4860</v>
      </c>
      <c r="Q4081" s="1" t="str">
        <f>_xlfn.XLOOKUP(tblSales[[#This Row],[Channel Code]],tblChannels[Channel Code],tblChannels[Channel Name],"")</f>
        <v>In-store</v>
      </c>
      <c r="R4081" s="1">
        <f>MONTH(tblSales[[#This Row],[Date]])</f>
        <v>9</v>
      </c>
    </row>
    <row r="4082" spans="2:18" x14ac:dyDescent="0.35">
      <c r="B4082" s="113">
        <v>46266</v>
      </c>
      <c r="C4082" s="4" t="s">
        <v>2753</v>
      </c>
      <c r="D4082" s="4" t="s">
        <v>4634</v>
      </c>
      <c r="E4082" s="1" t="str">
        <f>_xlfn.XLOOKUP(tblSales[[#This Row],[Customer ID]],tblCustomers[Customer ID],tblCustomers[Customer Name],"⚠ Unknown")</f>
        <v>PT Delta Inti Selaras</v>
      </c>
      <c r="F4082" s="4" t="s">
        <v>14</v>
      </c>
      <c r="G4082" s="1" t="str">
        <f>_xlfn.XLOOKUP(tblSales[[#This Row],[Product Code]],tblProducts[Code],tblProducts[Product / Service Name],"⚠ Unknown")</f>
        <v>Smartwatch</v>
      </c>
      <c r="H4082" s="1" t="str">
        <f>_xlfn.XLOOKUP(tblSales[[#This Row],[Product Code]],tblProducts[Code],tblProducts[Category],"")</f>
        <v>Bags &amp; Gadgets</v>
      </c>
      <c r="I4082" s="4">
        <v>24</v>
      </c>
      <c r="J4082" s="5">
        <f>_xlfn.XLOOKUP(tblSales[[#This Row],[Product Code]],tblProducts[Code],tblProducts[Selling Price (excl. VAT)],0)</f>
        <v>850000</v>
      </c>
      <c r="K4082" s="5">
        <f>tblSales[[#This Row],[Qty]]*tblSales[[#This Row],[Unit Price]]</f>
        <v>20400000</v>
      </c>
      <c r="L4082" s="5">
        <f>ROUND(tblSales[[#This Row],[DPP (excl. VAT)]]*VATEff,0)</f>
        <v>2244000</v>
      </c>
      <c r="M4082" s="5">
        <f>tblSales[[#This Row],[DPP (excl. VAT)]]+tblSales[[#This Row],[Output VAT]]</f>
        <v>22644000</v>
      </c>
      <c r="N4082" s="5">
        <f>tblSales[[#This Row],[Qty]]*_xlfn.XLOOKUP(tblSales[[#This Row],[Product Code]],tblProducts[Code],tblProducts[Unit Cost],0)</f>
        <v>13440000</v>
      </c>
      <c r="O4082" s="4" t="s">
        <v>4867</v>
      </c>
      <c r="P4082" s="4" t="s">
        <v>4860</v>
      </c>
      <c r="Q4082" s="1" t="str">
        <f>_xlfn.XLOOKUP(tblSales[[#This Row],[Channel Code]],tblChannels[Channel Code],tblChannels[Channel Name],"")</f>
        <v>In-store</v>
      </c>
      <c r="R4082" s="1">
        <f>MONTH(tblSales[[#This Row],[Date]])</f>
        <v>9</v>
      </c>
    </row>
    <row r="4083" spans="2:18" x14ac:dyDescent="0.35">
      <c r="B4083" s="113">
        <v>46266</v>
      </c>
      <c r="C4083" s="4" t="s">
        <v>2754</v>
      </c>
      <c r="D4083" s="4" t="s">
        <v>4568</v>
      </c>
      <c r="E4083" s="1" t="str">
        <f>_xlfn.XLOOKUP(tblSales[[#This Row],[Customer ID]],tblCustomers[Customer ID],tblCustomers[Customer Name],"⚠ Unknown")</f>
        <v>Walk-in Customer</v>
      </c>
      <c r="F4083" s="4" t="s">
        <v>11</v>
      </c>
      <c r="G4083" s="1" t="str">
        <f>_xlfn.XLOOKUP(tblSales[[#This Row],[Product Code]],tblProducts[Code],tblProducts[Product / Service Name],"⚠ Unknown")</f>
        <v>Sneakers</v>
      </c>
      <c r="H4083" s="1" t="str">
        <f>_xlfn.XLOOKUP(tblSales[[#This Row],[Product Code]],tblProducts[Code],tblProducts[Category],"")</f>
        <v>Apparel &amp; Footwear</v>
      </c>
      <c r="I4083" s="4">
        <v>2</v>
      </c>
      <c r="J4083" s="5">
        <f>_xlfn.XLOOKUP(tblSales[[#This Row],[Product Code]],tblProducts[Code],tblProducts[Selling Price (excl. VAT)],0)</f>
        <v>250000</v>
      </c>
      <c r="K4083" s="5">
        <f>tblSales[[#This Row],[Qty]]*tblSales[[#This Row],[Unit Price]]</f>
        <v>500000</v>
      </c>
      <c r="L4083" s="5">
        <f>ROUND(tblSales[[#This Row],[DPP (excl. VAT)]]*VATEff,0)</f>
        <v>55000</v>
      </c>
      <c r="M4083" s="5">
        <f>tblSales[[#This Row],[DPP (excl. VAT)]]+tblSales[[#This Row],[Output VAT]]</f>
        <v>555000</v>
      </c>
      <c r="N4083" s="5">
        <f>tblSales[[#This Row],[Qty]]*_xlfn.XLOOKUP(tblSales[[#This Row],[Product Code]],tblProducts[Code],tblProducts[Unit Cost],0)</f>
        <v>310000</v>
      </c>
      <c r="O4083" s="4" t="s">
        <v>4866</v>
      </c>
      <c r="P4083" s="4" t="s">
        <v>4862</v>
      </c>
      <c r="Q4083" s="1" t="str">
        <f>_xlfn.XLOOKUP(tblSales[[#This Row],[Channel Code]],tblChannels[Channel Code],tblChannels[Channel Name],"")</f>
        <v>Website &amp; Social Media</v>
      </c>
      <c r="R4083" s="1">
        <f>MONTH(tblSales[[#This Row],[Date]])</f>
        <v>9</v>
      </c>
    </row>
    <row r="4084" spans="2:18" x14ac:dyDescent="0.35">
      <c r="B4084" s="113">
        <v>46266</v>
      </c>
      <c r="C4084" s="4" t="s">
        <v>2755</v>
      </c>
      <c r="D4084" s="4" t="s">
        <v>4585</v>
      </c>
      <c r="E4084" s="1" t="str">
        <f>_xlfn.XLOOKUP(tblSales[[#This Row],[Customer ID]],tblCustomers[Customer ID],tblCustomers[Customer Name],"⚠ Unknown")</f>
        <v>CV Mitra Karya Mandiri</v>
      </c>
      <c r="F4084" s="4" t="s">
        <v>7</v>
      </c>
      <c r="G4084" s="1" t="str">
        <f>_xlfn.XLOOKUP(tblSales[[#This Row],[Product Code]],tblProducts[Code],tblProducts[Product / Service Name],"⚠ Unknown")</f>
        <v>Premium Basic T-shirt</v>
      </c>
      <c r="H4084" s="1" t="str">
        <f>_xlfn.XLOOKUP(tblSales[[#This Row],[Product Code]],tblProducts[Code],tblProducts[Category],"")</f>
        <v>Accessories &amp; Basics</v>
      </c>
      <c r="I4084" s="4">
        <v>40</v>
      </c>
      <c r="J4084" s="5">
        <f>_xlfn.XLOOKUP(tblSales[[#This Row],[Product Code]],tblProducts[Code],tblProducts[Selling Price (excl. VAT)],0)</f>
        <v>65000</v>
      </c>
      <c r="K4084" s="5">
        <f>tblSales[[#This Row],[Qty]]*tblSales[[#This Row],[Unit Price]]</f>
        <v>2600000</v>
      </c>
      <c r="L4084" s="5">
        <f>ROUND(tblSales[[#This Row],[DPP (excl. VAT)]]*VATEff,0)</f>
        <v>286000</v>
      </c>
      <c r="M4084" s="5">
        <f>tblSales[[#This Row],[DPP (excl. VAT)]]+tblSales[[#This Row],[Output VAT]]</f>
        <v>2886000</v>
      </c>
      <c r="N4084" s="5">
        <f>tblSales[[#This Row],[Qty]]*_xlfn.XLOOKUP(tblSales[[#This Row],[Product Code]],tblProducts[Code],tblProducts[Unit Cost],0)</f>
        <v>1480000</v>
      </c>
      <c r="O4084" s="4" t="s">
        <v>4867</v>
      </c>
      <c r="P4084" s="4" t="s">
        <v>4860</v>
      </c>
      <c r="Q4084" s="1" t="str">
        <f>_xlfn.XLOOKUP(tblSales[[#This Row],[Channel Code]],tblChannels[Channel Code],tblChannels[Channel Name],"")</f>
        <v>In-store</v>
      </c>
      <c r="R4084" s="1">
        <f>MONTH(tblSales[[#This Row],[Date]])</f>
        <v>9</v>
      </c>
    </row>
    <row r="4085" spans="2:18" x14ac:dyDescent="0.35">
      <c r="B4085" s="113">
        <v>46266</v>
      </c>
      <c r="C4085" s="4" t="s">
        <v>2755</v>
      </c>
      <c r="D4085" s="4" t="s">
        <v>4585</v>
      </c>
      <c r="E4085" s="1" t="str">
        <f>_xlfn.XLOOKUP(tblSales[[#This Row],[Customer ID]],tblCustomers[Customer ID],tblCustomers[Customer Name],"⚠ Unknown")</f>
        <v>CV Mitra Karya Mandiri</v>
      </c>
      <c r="F4085" s="4" t="s">
        <v>6</v>
      </c>
      <c r="G4085" s="1" t="str">
        <f>_xlfn.XLOOKUP(tblSales[[#This Row],[Product Code]],tblProducts[Code],tblProducts[Product / Service Name],"⚠ Unknown")</f>
        <v>Socks &amp; Accessories</v>
      </c>
      <c r="H4085" s="1" t="str">
        <f>_xlfn.XLOOKUP(tblSales[[#This Row],[Product Code]],tblProducts[Code],tblProducts[Category],"")</f>
        <v>Accessories &amp; Basics</v>
      </c>
      <c r="I4085" s="4">
        <v>96</v>
      </c>
      <c r="J4085" s="5">
        <f>_xlfn.XLOOKUP(tblSales[[#This Row],[Product Code]],tblProducts[Code],tblProducts[Selling Price (excl. VAT)],0)</f>
        <v>45000</v>
      </c>
      <c r="K4085" s="5">
        <f>tblSales[[#This Row],[Qty]]*tblSales[[#This Row],[Unit Price]]</f>
        <v>4320000</v>
      </c>
      <c r="L4085" s="5">
        <f>ROUND(tblSales[[#This Row],[DPP (excl. VAT)]]*VATEff,0)</f>
        <v>475200</v>
      </c>
      <c r="M4085" s="5">
        <f>tblSales[[#This Row],[DPP (excl. VAT)]]+tblSales[[#This Row],[Output VAT]]</f>
        <v>4795200</v>
      </c>
      <c r="N4085" s="5">
        <f>tblSales[[#This Row],[Qty]]*_xlfn.XLOOKUP(tblSales[[#This Row],[Product Code]],tblProducts[Code],tblProducts[Unit Cost],0)</f>
        <v>2304000</v>
      </c>
      <c r="O4085" s="4" t="s">
        <v>4867</v>
      </c>
      <c r="P4085" s="4" t="s">
        <v>4860</v>
      </c>
      <c r="Q4085" s="1" t="str">
        <f>_xlfn.XLOOKUP(tblSales[[#This Row],[Channel Code]],tblChannels[Channel Code],tblChannels[Channel Name],"")</f>
        <v>In-store</v>
      </c>
      <c r="R4085" s="1">
        <f>MONTH(tblSales[[#This Row],[Date]])</f>
        <v>9</v>
      </c>
    </row>
    <row r="4086" spans="2:18" x14ac:dyDescent="0.35">
      <c r="B4086" s="113">
        <v>46266</v>
      </c>
      <c r="C4086" s="4" t="s">
        <v>2755</v>
      </c>
      <c r="D4086" s="4" t="s">
        <v>4585</v>
      </c>
      <c r="E4086" s="1" t="str">
        <f>_xlfn.XLOOKUP(tblSales[[#This Row],[Customer ID]],tblCustomers[Customer ID],tblCustomers[Customer Name],"⚠ Unknown")</f>
        <v>CV Mitra Karya Mandiri</v>
      </c>
      <c r="F4086" s="4" t="s">
        <v>13</v>
      </c>
      <c r="G4086" s="1" t="str">
        <f>_xlfn.XLOOKUP(tblSales[[#This Row],[Product Code]],tblProducts[Code],tblProducts[Product / Service Name],"⚠ Unknown")</f>
        <v>Backpack</v>
      </c>
      <c r="H4086" s="1" t="str">
        <f>_xlfn.XLOOKUP(tblSales[[#This Row],[Product Code]],tblProducts[Code],tblProducts[Category],"")</f>
        <v>Bags &amp; Gadgets</v>
      </c>
      <c r="I4086" s="4">
        <v>40</v>
      </c>
      <c r="J4086" s="5">
        <f>_xlfn.XLOOKUP(tblSales[[#This Row],[Product Code]],tblProducts[Code],tblProducts[Selling Price (excl. VAT)],0)</f>
        <v>500000</v>
      </c>
      <c r="K4086" s="5">
        <f>tblSales[[#This Row],[Qty]]*tblSales[[#This Row],[Unit Price]]</f>
        <v>20000000</v>
      </c>
      <c r="L4086" s="5">
        <f>ROUND(tblSales[[#This Row],[DPP (excl. VAT)]]*VATEff,0)</f>
        <v>2200000</v>
      </c>
      <c r="M4086" s="5">
        <f>tblSales[[#This Row],[DPP (excl. VAT)]]+tblSales[[#This Row],[Output VAT]]</f>
        <v>22200000</v>
      </c>
      <c r="N4086" s="5">
        <f>tblSales[[#This Row],[Qty]]*_xlfn.XLOOKUP(tblSales[[#This Row],[Product Code]],tblProducts[Code],tblProducts[Unit Cost],0)</f>
        <v>11600000</v>
      </c>
      <c r="O4086" s="4" t="s">
        <v>4867</v>
      </c>
      <c r="P4086" s="4" t="s">
        <v>4860</v>
      </c>
      <c r="Q4086" s="1" t="str">
        <f>_xlfn.XLOOKUP(tblSales[[#This Row],[Channel Code]],tblChannels[Channel Code],tblChannels[Channel Name],"")</f>
        <v>In-store</v>
      </c>
      <c r="R4086" s="1">
        <f>MONTH(tblSales[[#This Row],[Date]])</f>
        <v>9</v>
      </c>
    </row>
    <row r="4087" spans="2:18" x14ac:dyDescent="0.35">
      <c r="B4087" s="113">
        <v>46267</v>
      </c>
      <c r="C4087" s="4" t="s">
        <v>2756</v>
      </c>
      <c r="D4087" s="4" t="s">
        <v>4568</v>
      </c>
      <c r="E4087" s="1" t="str">
        <f>_xlfn.XLOOKUP(tblSales[[#This Row],[Customer ID]],tblCustomers[Customer ID],tblCustomers[Customer Name],"⚠ Unknown")</f>
        <v>Walk-in Customer</v>
      </c>
      <c r="F4087" s="4" t="s">
        <v>7</v>
      </c>
      <c r="G4087" s="1" t="str">
        <f>_xlfn.XLOOKUP(tblSales[[#This Row],[Product Code]],tblProducts[Code],tblProducts[Product / Service Name],"⚠ Unknown")</f>
        <v>Premium Basic T-shirt</v>
      </c>
      <c r="H4087" s="1" t="str">
        <f>_xlfn.XLOOKUP(tblSales[[#This Row],[Product Code]],tblProducts[Code],tblProducts[Category],"")</f>
        <v>Accessories &amp; Basics</v>
      </c>
      <c r="I4087" s="4">
        <v>3</v>
      </c>
      <c r="J4087" s="5">
        <f>_xlfn.XLOOKUP(tblSales[[#This Row],[Product Code]],tblProducts[Code],tblProducts[Selling Price (excl. VAT)],0)</f>
        <v>65000</v>
      </c>
      <c r="K4087" s="5">
        <f>tblSales[[#This Row],[Qty]]*tblSales[[#This Row],[Unit Price]]</f>
        <v>195000</v>
      </c>
      <c r="L4087" s="5">
        <f>ROUND(tblSales[[#This Row],[DPP (excl. VAT)]]*VATEff,0)</f>
        <v>21450</v>
      </c>
      <c r="M4087" s="5">
        <f>tblSales[[#This Row],[DPP (excl. VAT)]]+tblSales[[#This Row],[Output VAT]]</f>
        <v>216450</v>
      </c>
      <c r="N4087" s="5">
        <f>tblSales[[#This Row],[Qty]]*_xlfn.XLOOKUP(tblSales[[#This Row],[Product Code]],tblProducts[Code],tblProducts[Unit Cost],0)</f>
        <v>111000</v>
      </c>
      <c r="O4087" s="4" t="s">
        <v>4865</v>
      </c>
      <c r="P4087" s="4" t="s">
        <v>4860</v>
      </c>
      <c r="Q4087" s="1" t="str">
        <f>_xlfn.XLOOKUP(tblSales[[#This Row],[Channel Code]],tblChannels[Channel Code],tblChannels[Channel Name],"")</f>
        <v>In-store</v>
      </c>
      <c r="R4087" s="1">
        <f>MONTH(tblSales[[#This Row],[Date]])</f>
        <v>9</v>
      </c>
    </row>
    <row r="4088" spans="2:18" x14ac:dyDescent="0.35">
      <c r="B4088" s="113">
        <v>46267</v>
      </c>
      <c r="C4088" s="4" t="s">
        <v>2757</v>
      </c>
      <c r="D4088" s="4" t="s">
        <v>4568</v>
      </c>
      <c r="E4088" s="1" t="str">
        <f>_xlfn.XLOOKUP(tblSales[[#This Row],[Customer ID]],tblCustomers[Customer ID],tblCustomers[Customer Name],"⚠ Unknown")</f>
        <v>Walk-in Customer</v>
      </c>
      <c r="F4088" s="4" t="s">
        <v>7</v>
      </c>
      <c r="G4088" s="1" t="str">
        <f>_xlfn.XLOOKUP(tblSales[[#This Row],[Product Code]],tblProducts[Code],tblProducts[Product / Service Name],"⚠ Unknown")</f>
        <v>Premium Basic T-shirt</v>
      </c>
      <c r="H4088" s="1" t="str">
        <f>_xlfn.XLOOKUP(tblSales[[#This Row],[Product Code]],tblProducts[Code],tblProducts[Category],"")</f>
        <v>Accessories &amp; Basics</v>
      </c>
      <c r="I4088" s="4">
        <v>12</v>
      </c>
      <c r="J4088" s="5">
        <f>_xlfn.XLOOKUP(tblSales[[#This Row],[Product Code]],tblProducts[Code],tblProducts[Selling Price (excl. VAT)],0)</f>
        <v>65000</v>
      </c>
      <c r="K4088" s="5">
        <f>tblSales[[#This Row],[Qty]]*tblSales[[#This Row],[Unit Price]]</f>
        <v>780000</v>
      </c>
      <c r="L4088" s="5">
        <f>ROUND(tblSales[[#This Row],[DPP (excl. VAT)]]*VATEff,0)</f>
        <v>85800</v>
      </c>
      <c r="M4088" s="5">
        <f>tblSales[[#This Row],[DPP (excl. VAT)]]+tblSales[[#This Row],[Output VAT]]</f>
        <v>865800</v>
      </c>
      <c r="N4088" s="5">
        <f>tblSales[[#This Row],[Qty]]*_xlfn.XLOOKUP(tblSales[[#This Row],[Product Code]],tblProducts[Code],tblProducts[Unit Cost],0)</f>
        <v>444000</v>
      </c>
      <c r="O4088" s="4" t="s">
        <v>4865</v>
      </c>
      <c r="P4088" s="4" t="s">
        <v>4860</v>
      </c>
      <c r="Q4088" s="1" t="str">
        <f>_xlfn.XLOOKUP(tblSales[[#This Row],[Channel Code]],tblChannels[Channel Code],tblChannels[Channel Name],"")</f>
        <v>In-store</v>
      </c>
      <c r="R4088" s="1">
        <f>MONTH(tblSales[[#This Row],[Date]])</f>
        <v>9</v>
      </c>
    </row>
    <row r="4089" spans="2:18" x14ac:dyDescent="0.35">
      <c r="B4089" s="113">
        <v>46267</v>
      </c>
      <c r="C4089" s="4" t="s">
        <v>2758</v>
      </c>
      <c r="D4089" s="4" t="s">
        <v>4568</v>
      </c>
      <c r="E4089" s="1" t="str">
        <f>_xlfn.XLOOKUP(tblSales[[#This Row],[Customer ID]],tblCustomers[Customer ID],tblCustomers[Customer Name],"⚠ Unknown")</f>
        <v>Walk-in Customer</v>
      </c>
      <c r="F4089" s="4" t="s">
        <v>11</v>
      </c>
      <c r="G4089" s="1" t="str">
        <f>_xlfn.XLOOKUP(tblSales[[#This Row],[Product Code]],tblProducts[Code],tblProducts[Product / Service Name],"⚠ Unknown")</f>
        <v>Sneakers</v>
      </c>
      <c r="H4089" s="1" t="str">
        <f>_xlfn.XLOOKUP(tblSales[[#This Row],[Product Code]],tblProducts[Code],tblProducts[Category],"")</f>
        <v>Apparel &amp; Footwear</v>
      </c>
      <c r="I4089" s="4">
        <v>2</v>
      </c>
      <c r="J4089" s="5">
        <f>_xlfn.XLOOKUP(tblSales[[#This Row],[Product Code]],tblProducts[Code],tblProducts[Selling Price (excl. VAT)],0)</f>
        <v>250000</v>
      </c>
      <c r="K4089" s="5">
        <f>tblSales[[#This Row],[Qty]]*tblSales[[#This Row],[Unit Price]]</f>
        <v>500000</v>
      </c>
      <c r="L4089" s="5">
        <f>ROUND(tblSales[[#This Row],[DPP (excl. VAT)]]*VATEff,0)</f>
        <v>55000</v>
      </c>
      <c r="M4089" s="5">
        <f>tblSales[[#This Row],[DPP (excl. VAT)]]+tblSales[[#This Row],[Output VAT]]</f>
        <v>555000</v>
      </c>
      <c r="N4089" s="5">
        <f>tblSales[[#This Row],[Qty]]*_xlfn.XLOOKUP(tblSales[[#This Row],[Product Code]],tblProducts[Code],tblProducts[Unit Cost],0)</f>
        <v>310000</v>
      </c>
      <c r="O4089" s="4" t="s">
        <v>4866</v>
      </c>
      <c r="P4089" s="4" t="s">
        <v>4860</v>
      </c>
      <c r="Q4089" s="1" t="str">
        <f>_xlfn.XLOOKUP(tblSales[[#This Row],[Channel Code]],tblChannels[Channel Code],tblChannels[Channel Name],"")</f>
        <v>In-store</v>
      </c>
      <c r="R4089" s="1">
        <f>MONTH(tblSales[[#This Row],[Date]])</f>
        <v>9</v>
      </c>
    </row>
    <row r="4090" spans="2:18" x14ac:dyDescent="0.35">
      <c r="B4090" s="113">
        <v>46267</v>
      </c>
      <c r="C4090" s="4" t="s">
        <v>2758</v>
      </c>
      <c r="D4090" s="4" t="s">
        <v>4568</v>
      </c>
      <c r="E4090" s="1" t="str">
        <f>_xlfn.XLOOKUP(tblSales[[#This Row],[Customer ID]],tblCustomers[Customer ID],tblCustomers[Customer Name],"⚠ Unknown")</f>
        <v>Walk-in Customer</v>
      </c>
      <c r="F4090" s="4" t="s">
        <v>13</v>
      </c>
      <c r="G4090" s="1" t="str">
        <f>_xlfn.XLOOKUP(tblSales[[#This Row],[Product Code]],tblProducts[Code],tblProducts[Product / Service Name],"⚠ Unknown")</f>
        <v>Backpack</v>
      </c>
      <c r="H4090" s="1" t="str">
        <f>_xlfn.XLOOKUP(tblSales[[#This Row],[Product Code]],tblProducts[Code],tblProducts[Category],"")</f>
        <v>Bags &amp; Gadgets</v>
      </c>
      <c r="I4090" s="4">
        <v>6</v>
      </c>
      <c r="J4090" s="5">
        <f>_xlfn.XLOOKUP(tblSales[[#This Row],[Product Code]],tblProducts[Code],tblProducts[Selling Price (excl. VAT)],0)</f>
        <v>500000</v>
      </c>
      <c r="K4090" s="5">
        <f>tblSales[[#This Row],[Qty]]*tblSales[[#This Row],[Unit Price]]</f>
        <v>3000000</v>
      </c>
      <c r="L4090" s="5">
        <f>ROUND(tblSales[[#This Row],[DPP (excl. VAT)]]*VATEff,0)</f>
        <v>330000</v>
      </c>
      <c r="M4090" s="5">
        <f>tblSales[[#This Row],[DPP (excl. VAT)]]+tblSales[[#This Row],[Output VAT]]</f>
        <v>3330000</v>
      </c>
      <c r="N4090" s="5">
        <f>tblSales[[#This Row],[Qty]]*_xlfn.XLOOKUP(tblSales[[#This Row],[Product Code]],tblProducts[Code],tblProducts[Unit Cost],0)</f>
        <v>1740000</v>
      </c>
      <c r="O4090" s="4" t="s">
        <v>4866</v>
      </c>
      <c r="P4090" s="4" t="s">
        <v>4860</v>
      </c>
      <c r="Q4090" s="1" t="str">
        <f>_xlfn.XLOOKUP(tblSales[[#This Row],[Channel Code]],tblChannels[Channel Code],tblChannels[Channel Name],"")</f>
        <v>In-store</v>
      </c>
      <c r="R4090" s="1">
        <f>MONTH(tblSales[[#This Row],[Date]])</f>
        <v>9</v>
      </c>
    </row>
    <row r="4091" spans="2:18" x14ac:dyDescent="0.35">
      <c r="B4091" s="113">
        <v>46267</v>
      </c>
      <c r="C4091" s="4" t="s">
        <v>2758</v>
      </c>
      <c r="D4091" s="4" t="s">
        <v>4568</v>
      </c>
      <c r="E4091" s="1" t="str">
        <f>_xlfn.XLOOKUP(tblSales[[#This Row],[Customer ID]],tblCustomers[Customer ID],tblCustomers[Customer Name],"⚠ Unknown")</f>
        <v>Walk-in Customer</v>
      </c>
      <c r="F4091" s="4" t="s">
        <v>6</v>
      </c>
      <c r="G4091" s="1" t="str">
        <f>_xlfn.XLOOKUP(tblSales[[#This Row],[Product Code]],tblProducts[Code],tblProducts[Product / Service Name],"⚠ Unknown")</f>
        <v>Socks &amp; Accessories</v>
      </c>
      <c r="H4091" s="1" t="str">
        <f>_xlfn.XLOOKUP(tblSales[[#This Row],[Product Code]],tblProducts[Code],tblProducts[Category],"")</f>
        <v>Accessories &amp; Basics</v>
      </c>
      <c r="I4091" s="4">
        <v>2</v>
      </c>
      <c r="J4091" s="5">
        <f>_xlfn.XLOOKUP(tblSales[[#This Row],[Product Code]],tblProducts[Code],tblProducts[Selling Price (excl. VAT)],0)</f>
        <v>45000</v>
      </c>
      <c r="K4091" s="5">
        <f>tblSales[[#This Row],[Qty]]*tblSales[[#This Row],[Unit Price]]</f>
        <v>90000</v>
      </c>
      <c r="L4091" s="5">
        <f>ROUND(tblSales[[#This Row],[DPP (excl. VAT)]]*VATEff,0)</f>
        <v>9900</v>
      </c>
      <c r="M4091" s="5">
        <f>tblSales[[#This Row],[DPP (excl. VAT)]]+tblSales[[#This Row],[Output VAT]]</f>
        <v>99900</v>
      </c>
      <c r="N4091" s="5">
        <f>tblSales[[#This Row],[Qty]]*_xlfn.XLOOKUP(tblSales[[#This Row],[Product Code]],tblProducts[Code],tblProducts[Unit Cost],0)</f>
        <v>48000</v>
      </c>
      <c r="O4091" s="4" t="s">
        <v>4866</v>
      </c>
      <c r="P4091" s="4" t="s">
        <v>4860</v>
      </c>
      <c r="Q4091" s="1" t="str">
        <f>_xlfn.XLOOKUP(tblSales[[#This Row],[Channel Code]],tblChannels[Channel Code],tblChannels[Channel Name],"")</f>
        <v>In-store</v>
      </c>
      <c r="R4091" s="1">
        <f>MONTH(tblSales[[#This Row],[Date]])</f>
        <v>9</v>
      </c>
    </row>
    <row r="4092" spans="2:18" x14ac:dyDescent="0.35">
      <c r="B4092" s="113">
        <v>46267</v>
      </c>
      <c r="C4092" s="4" t="s">
        <v>2759</v>
      </c>
      <c r="D4092" s="4" t="s">
        <v>4568</v>
      </c>
      <c r="E4092" s="1" t="str">
        <f>_xlfn.XLOOKUP(tblSales[[#This Row],[Customer ID]],tblCustomers[Customer ID],tblCustomers[Customer Name],"⚠ Unknown")</f>
        <v>Walk-in Customer</v>
      </c>
      <c r="F4092" s="4" t="s">
        <v>9</v>
      </c>
      <c r="G4092" s="1" t="str">
        <f>_xlfn.XLOOKUP(tblSales[[#This Row],[Product Code]],tblProducts[Code],tblProducts[Product / Service Name],"⚠ Unknown")</f>
        <v>Casual Shirt</v>
      </c>
      <c r="H4092" s="1" t="str">
        <f>_xlfn.XLOOKUP(tblSales[[#This Row],[Product Code]],tblProducts[Code],tblProducts[Category],"")</f>
        <v>Apparel &amp; Footwear</v>
      </c>
      <c r="I4092" s="4">
        <v>6</v>
      </c>
      <c r="J4092" s="5">
        <f>_xlfn.XLOOKUP(tblSales[[#This Row],[Product Code]],tblProducts[Code],tblProducts[Selling Price (excl. VAT)],0)</f>
        <v>120000</v>
      </c>
      <c r="K4092" s="5">
        <f>tblSales[[#This Row],[Qty]]*tblSales[[#This Row],[Unit Price]]</f>
        <v>720000</v>
      </c>
      <c r="L4092" s="5">
        <f>ROUND(tblSales[[#This Row],[DPP (excl. VAT)]]*VATEff,0)</f>
        <v>79200</v>
      </c>
      <c r="M4092" s="5">
        <f>tblSales[[#This Row],[DPP (excl. VAT)]]+tblSales[[#This Row],[Output VAT]]</f>
        <v>799200</v>
      </c>
      <c r="N4092" s="5">
        <f>tblSales[[#This Row],[Qty]]*_xlfn.XLOOKUP(tblSales[[#This Row],[Product Code]],tblProducts[Code],tblProducts[Unit Cost],0)</f>
        <v>432000</v>
      </c>
      <c r="O4092" s="4" t="s">
        <v>4866</v>
      </c>
      <c r="P4092" s="4" t="s">
        <v>4861</v>
      </c>
      <c r="Q4092" s="1" t="str">
        <f>_xlfn.XLOOKUP(tblSales[[#This Row],[Channel Code]],tblChannels[Channel Code],tblChannels[Channel Name],"")</f>
        <v>Marketplace</v>
      </c>
      <c r="R4092" s="1">
        <f>MONTH(tblSales[[#This Row],[Date]])</f>
        <v>9</v>
      </c>
    </row>
    <row r="4093" spans="2:18" x14ac:dyDescent="0.35">
      <c r="B4093" s="113">
        <v>46267</v>
      </c>
      <c r="C4093" s="4" t="s">
        <v>2760</v>
      </c>
      <c r="D4093" s="4" t="s">
        <v>4585</v>
      </c>
      <c r="E4093" s="1" t="str">
        <f>_xlfn.XLOOKUP(tblSales[[#This Row],[Customer ID]],tblCustomers[Customer ID],tblCustomers[Customer Name],"⚠ Unknown")</f>
        <v>CV Mitra Karya Mandiri</v>
      </c>
      <c r="F4093" s="4" t="s">
        <v>6</v>
      </c>
      <c r="G4093" s="1" t="str">
        <f>_xlfn.XLOOKUP(tblSales[[#This Row],[Product Code]],tblProducts[Code],tblProducts[Product / Service Name],"⚠ Unknown")</f>
        <v>Socks &amp; Accessories</v>
      </c>
      <c r="H4093" s="1" t="str">
        <f>_xlfn.XLOOKUP(tblSales[[#This Row],[Product Code]],tblProducts[Code],tblProducts[Category],"")</f>
        <v>Accessories &amp; Basics</v>
      </c>
      <c r="I4093" s="4">
        <v>16</v>
      </c>
      <c r="J4093" s="5">
        <f>_xlfn.XLOOKUP(tblSales[[#This Row],[Product Code]],tblProducts[Code],tblProducts[Selling Price (excl. VAT)],0)</f>
        <v>45000</v>
      </c>
      <c r="K4093" s="5">
        <f>tblSales[[#This Row],[Qty]]*tblSales[[#This Row],[Unit Price]]</f>
        <v>720000</v>
      </c>
      <c r="L4093" s="5">
        <f>ROUND(tblSales[[#This Row],[DPP (excl. VAT)]]*VATEff,0)</f>
        <v>79200</v>
      </c>
      <c r="M4093" s="5">
        <f>tblSales[[#This Row],[DPP (excl. VAT)]]+tblSales[[#This Row],[Output VAT]]</f>
        <v>799200</v>
      </c>
      <c r="N4093" s="5">
        <f>tblSales[[#This Row],[Qty]]*_xlfn.XLOOKUP(tblSales[[#This Row],[Product Code]],tblProducts[Code],tblProducts[Unit Cost],0)</f>
        <v>384000</v>
      </c>
      <c r="O4093" s="4" t="s">
        <v>4867</v>
      </c>
      <c r="P4093" s="4" t="s">
        <v>4860</v>
      </c>
      <c r="Q4093" s="1" t="str">
        <f>_xlfn.XLOOKUP(tblSales[[#This Row],[Channel Code]],tblChannels[Channel Code],tblChannels[Channel Name],"")</f>
        <v>In-store</v>
      </c>
      <c r="R4093" s="1">
        <f>MONTH(tblSales[[#This Row],[Date]])</f>
        <v>9</v>
      </c>
    </row>
    <row r="4094" spans="2:18" x14ac:dyDescent="0.35">
      <c r="B4094" s="113">
        <v>46267</v>
      </c>
      <c r="C4094" s="4" t="s">
        <v>2760</v>
      </c>
      <c r="D4094" s="4" t="s">
        <v>4585</v>
      </c>
      <c r="E4094" s="1" t="str">
        <f>_xlfn.XLOOKUP(tblSales[[#This Row],[Customer ID]],tblCustomers[Customer ID],tblCustomers[Customer Name],"⚠ Unknown")</f>
        <v>CV Mitra Karya Mandiri</v>
      </c>
      <c r="F4094" s="4" t="s">
        <v>12</v>
      </c>
      <c r="G4094" s="1" t="str">
        <f>_xlfn.XLOOKUP(tblSales[[#This Row],[Product Code]],tblProducts[Code],tblProducts[Product / Service Name],"⚠ Unknown")</f>
        <v>Bomber Jacket</v>
      </c>
      <c r="H4094" s="1" t="str">
        <f>_xlfn.XLOOKUP(tblSales[[#This Row],[Product Code]],tblProducts[Code],tblProducts[Category],"")</f>
        <v>Apparel &amp; Footwear</v>
      </c>
      <c r="I4094" s="4">
        <v>24</v>
      </c>
      <c r="J4094" s="5">
        <f>_xlfn.XLOOKUP(tblSales[[#This Row],[Product Code]],tblProducts[Code],tblProducts[Selling Price (excl. VAT)],0)</f>
        <v>350000</v>
      </c>
      <c r="K4094" s="5">
        <f>tblSales[[#This Row],[Qty]]*tblSales[[#This Row],[Unit Price]]</f>
        <v>8400000</v>
      </c>
      <c r="L4094" s="5">
        <f>ROUND(tblSales[[#This Row],[DPP (excl. VAT)]]*VATEff,0)</f>
        <v>924000</v>
      </c>
      <c r="M4094" s="5">
        <f>tblSales[[#This Row],[DPP (excl. VAT)]]+tblSales[[#This Row],[Output VAT]]</f>
        <v>9324000</v>
      </c>
      <c r="N4094" s="5">
        <f>tblSales[[#This Row],[Qty]]*_xlfn.XLOOKUP(tblSales[[#This Row],[Product Code]],tblProducts[Code],tblProducts[Unit Cost],0)</f>
        <v>5040000</v>
      </c>
      <c r="O4094" s="4" t="s">
        <v>4867</v>
      </c>
      <c r="P4094" s="4" t="s">
        <v>4860</v>
      </c>
      <c r="Q4094" s="1" t="str">
        <f>_xlfn.XLOOKUP(tblSales[[#This Row],[Channel Code]],tblChannels[Channel Code],tblChannels[Channel Name],"")</f>
        <v>In-store</v>
      </c>
      <c r="R4094" s="1">
        <f>MONTH(tblSales[[#This Row],[Date]])</f>
        <v>9</v>
      </c>
    </row>
    <row r="4095" spans="2:18" x14ac:dyDescent="0.35">
      <c r="B4095" s="113">
        <v>46267</v>
      </c>
      <c r="C4095" s="4" t="s">
        <v>2760</v>
      </c>
      <c r="D4095" s="4" t="s">
        <v>4585</v>
      </c>
      <c r="E4095" s="1" t="str">
        <f>_xlfn.XLOOKUP(tblSales[[#This Row],[Customer ID]],tblCustomers[Customer ID],tblCustomers[Customer Name],"⚠ Unknown")</f>
        <v>CV Mitra Karya Mandiri</v>
      </c>
      <c r="F4095" s="4" t="s">
        <v>7</v>
      </c>
      <c r="G4095" s="1" t="str">
        <f>_xlfn.XLOOKUP(tblSales[[#This Row],[Product Code]],tblProducts[Code],tblProducts[Product / Service Name],"⚠ Unknown")</f>
        <v>Premium Basic T-shirt</v>
      </c>
      <c r="H4095" s="1" t="str">
        <f>_xlfn.XLOOKUP(tblSales[[#This Row],[Product Code]],tblProducts[Code],tblProducts[Category],"")</f>
        <v>Accessories &amp; Basics</v>
      </c>
      <c r="I4095" s="4">
        <v>64</v>
      </c>
      <c r="J4095" s="5">
        <f>_xlfn.XLOOKUP(tblSales[[#This Row],[Product Code]],tblProducts[Code],tblProducts[Selling Price (excl. VAT)],0)</f>
        <v>65000</v>
      </c>
      <c r="K4095" s="5">
        <f>tblSales[[#This Row],[Qty]]*tblSales[[#This Row],[Unit Price]]</f>
        <v>4160000</v>
      </c>
      <c r="L4095" s="5">
        <f>ROUND(tblSales[[#This Row],[DPP (excl. VAT)]]*VATEff,0)</f>
        <v>457600</v>
      </c>
      <c r="M4095" s="5">
        <f>tblSales[[#This Row],[DPP (excl. VAT)]]+tblSales[[#This Row],[Output VAT]]</f>
        <v>4617600</v>
      </c>
      <c r="N4095" s="5">
        <f>tblSales[[#This Row],[Qty]]*_xlfn.XLOOKUP(tblSales[[#This Row],[Product Code]],tblProducts[Code],tblProducts[Unit Cost],0)</f>
        <v>2368000</v>
      </c>
      <c r="O4095" s="4" t="s">
        <v>4867</v>
      </c>
      <c r="P4095" s="4" t="s">
        <v>4860</v>
      </c>
      <c r="Q4095" s="1" t="str">
        <f>_xlfn.XLOOKUP(tblSales[[#This Row],[Channel Code]],tblChannels[Channel Code],tblChannels[Channel Name],"")</f>
        <v>In-store</v>
      </c>
      <c r="R4095" s="1">
        <f>MONTH(tblSales[[#This Row],[Date]])</f>
        <v>9</v>
      </c>
    </row>
    <row r="4096" spans="2:18" x14ac:dyDescent="0.35">
      <c r="B4096" s="113">
        <v>46267</v>
      </c>
      <c r="C4096" s="4" t="s">
        <v>2761</v>
      </c>
      <c r="D4096" s="4" t="s">
        <v>4572</v>
      </c>
      <c r="E4096" s="1" t="str">
        <f>_xlfn.XLOOKUP(tblSales[[#This Row],[Customer ID]],tblCustomers[Customer ID],tblCustomers[Customer Name],"⚠ Unknown")</f>
        <v>PT Cahaya Abadi Makmur</v>
      </c>
      <c r="F4096" s="4" t="s">
        <v>10</v>
      </c>
      <c r="G4096" s="1" t="str">
        <f>_xlfn.XLOOKUP(tblSales[[#This Row],[Product Code]],tblProducts[Code],tblProducts[Product / Service Name],"⚠ Unknown")</f>
        <v>Chino Pants</v>
      </c>
      <c r="H4096" s="1" t="str">
        <f>_xlfn.XLOOKUP(tblSales[[#This Row],[Product Code]],tblProducts[Code],tblProducts[Category],"")</f>
        <v>Apparel &amp; Footwear</v>
      </c>
      <c r="I4096" s="4">
        <v>80</v>
      </c>
      <c r="J4096" s="5">
        <f>_xlfn.XLOOKUP(tblSales[[#This Row],[Product Code]],tblProducts[Code],tblProducts[Selling Price (excl. VAT)],0)</f>
        <v>150000</v>
      </c>
      <c r="K4096" s="5">
        <f>tblSales[[#This Row],[Qty]]*tblSales[[#This Row],[Unit Price]]</f>
        <v>12000000</v>
      </c>
      <c r="L4096" s="5">
        <f>ROUND(tblSales[[#This Row],[DPP (excl. VAT)]]*VATEff,0)</f>
        <v>1320000</v>
      </c>
      <c r="M4096" s="5">
        <f>tblSales[[#This Row],[DPP (excl. VAT)]]+tblSales[[#This Row],[Output VAT]]</f>
        <v>13320000</v>
      </c>
      <c r="N4096" s="5">
        <f>tblSales[[#This Row],[Qty]]*_xlfn.XLOOKUP(tblSales[[#This Row],[Product Code]],tblProducts[Code],tblProducts[Unit Cost],0)</f>
        <v>7040000</v>
      </c>
      <c r="O4096" s="4" t="s">
        <v>4867</v>
      </c>
      <c r="P4096" s="4" t="s">
        <v>4860</v>
      </c>
      <c r="Q4096" s="1" t="str">
        <f>_xlfn.XLOOKUP(tblSales[[#This Row],[Channel Code]],tblChannels[Channel Code],tblChannels[Channel Name],"")</f>
        <v>In-store</v>
      </c>
      <c r="R4096" s="1">
        <f>MONTH(tblSales[[#This Row],[Date]])</f>
        <v>9</v>
      </c>
    </row>
    <row r="4097" spans="2:18" x14ac:dyDescent="0.35">
      <c r="B4097" s="113">
        <v>46267</v>
      </c>
      <c r="C4097" s="4" t="s">
        <v>2762</v>
      </c>
      <c r="D4097" s="4" t="s">
        <v>4568</v>
      </c>
      <c r="E4097" s="1" t="str">
        <f>_xlfn.XLOOKUP(tblSales[[#This Row],[Customer ID]],tblCustomers[Customer ID],tblCustomers[Customer Name],"⚠ Unknown")</f>
        <v>Walk-in Customer</v>
      </c>
      <c r="F4097" s="4" t="s">
        <v>15</v>
      </c>
      <c r="G4097" s="1" t="str">
        <f>_xlfn.XLOOKUP(tblSales[[#This Row],[Product Code]],tblProducts[Code],tblProducts[Product / Service Name],"⚠ Unknown")</f>
        <v>Wireless Earbuds Pro</v>
      </c>
      <c r="H4097" s="1" t="str">
        <f>_xlfn.XLOOKUP(tblSales[[#This Row],[Product Code]],tblProducts[Code],tblProducts[Category],"")</f>
        <v>Bags &amp; Gadgets</v>
      </c>
      <c r="I4097" s="4">
        <v>3</v>
      </c>
      <c r="J4097" s="5">
        <f>_xlfn.XLOOKUP(tblSales[[#This Row],[Product Code]],tblProducts[Code],tblProducts[Selling Price (excl. VAT)],0)</f>
        <v>1250000</v>
      </c>
      <c r="K4097" s="5">
        <f>tblSales[[#This Row],[Qty]]*tblSales[[#This Row],[Unit Price]]</f>
        <v>3750000</v>
      </c>
      <c r="L4097" s="5">
        <f>ROUND(tblSales[[#This Row],[DPP (excl. VAT)]]*VATEff,0)</f>
        <v>412500</v>
      </c>
      <c r="M4097" s="5">
        <f>tblSales[[#This Row],[DPP (excl. VAT)]]+tblSales[[#This Row],[Output VAT]]</f>
        <v>4162500</v>
      </c>
      <c r="N4097" s="5">
        <f>tblSales[[#This Row],[Qty]]*_xlfn.XLOOKUP(tblSales[[#This Row],[Product Code]],tblProducts[Code],tblProducts[Unit Cost],0)</f>
        <v>2460000</v>
      </c>
      <c r="O4097" s="4" t="s">
        <v>4866</v>
      </c>
      <c r="P4097" s="4" t="s">
        <v>4860</v>
      </c>
      <c r="Q4097" s="1" t="str">
        <f>_xlfn.XLOOKUP(tblSales[[#This Row],[Channel Code]],tblChannels[Channel Code],tblChannels[Channel Name],"")</f>
        <v>In-store</v>
      </c>
      <c r="R4097" s="1">
        <f>MONTH(tblSales[[#This Row],[Date]])</f>
        <v>9</v>
      </c>
    </row>
    <row r="4098" spans="2:18" x14ac:dyDescent="0.35">
      <c r="B4098" s="113">
        <v>46267</v>
      </c>
      <c r="C4098" s="4" t="s">
        <v>2763</v>
      </c>
      <c r="D4098" s="4" t="s">
        <v>4585</v>
      </c>
      <c r="E4098" s="1" t="str">
        <f>_xlfn.XLOOKUP(tblSales[[#This Row],[Customer ID]],tblCustomers[Customer ID],tblCustomers[Customer Name],"⚠ Unknown")</f>
        <v>CV Mitra Karya Mandiri</v>
      </c>
      <c r="F4098" s="4" t="s">
        <v>9</v>
      </c>
      <c r="G4098" s="1" t="str">
        <f>_xlfn.XLOOKUP(tblSales[[#This Row],[Product Code]],tblProducts[Code],tblProducts[Product / Service Name],"⚠ Unknown")</f>
        <v>Casual Shirt</v>
      </c>
      <c r="H4098" s="1" t="str">
        <f>_xlfn.XLOOKUP(tblSales[[#This Row],[Product Code]],tblProducts[Code],tblProducts[Category],"")</f>
        <v>Apparel &amp; Footwear</v>
      </c>
      <c r="I4098" s="4">
        <v>48</v>
      </c>
      <c r="J4098" s="5">
        <f>_xlfn.XLOOKUP(tblSales[[#This Row],[Product Code]],tblProducts[Code],tblProducts[Selling Price (excl. VAT)],0)</f>
        <v>120000</v>
      </c>
      <c r="K4098" s="5">
        <f>tblSales[[#This Row],[Qty]]*tblSales[[#This Row],[Unit Price]]</f>
        <v>5760000</v>
      </c>
      <c r="L4098" s="5">
        <f>ROUND(tblSales[[#This Row],[DPP (excl. VAT)]]*VATEff,0)</f>
        <v>633600</v>
      </c>
      <c r="M4098" s="5">
        <f>tblSales[[#This Row],[DPP (excl. VAT)]]+tblSales[[#This Row],[Output VAT]]</f>
        <v>6393600</v>
      </c>
      <c r="N4098" s="5">
        <f>tblSales[[#This Row],[Qty]]*_xlfn.XLOOKUP(tblSales[[#This Row],[Product Code]],tblProducts[Code],tblProducts[Unit Cost],0)</f>
        <v>3456000</v>
      </c>
      <c r="O4098" s="4" t="s">
        <v>4867</v>
      </c>
      <c r="P4098" s="4" t="s">
        <v>4860</v>
      </c>
      <c r="Q4098" s="1" t="str">
        <f>_xlfn.XLOOKUP(tblSales[[#This Row],[Channel Code]],tblChannels[Channel Code],tblChannels[Channel Name],"")</f>
        <v>In-store</v>
      </c>
      <c r="R4098" s="1">
        <f>MONTH(tblSales[[#This Row],[Date]])</f>
        <v>9</v>
      </c>
    </row>
    <row r="4099" spans="2:18" x14ac:dyDescent="0.35">
      <c r="B4099" s="113">
        <v>46267</v>
      </c>
      <c r="C4099" s="4" t="s">
        <v>2764</v>
      </c>
      <c r="D4099" s="4" t="s">
        <v>4568</v>
      </c>
      <c r="E4099" s="1" t="str">
        <f>_xlfn.XLOOKUP(tblSales[[#This Row],[Customer ID]],tblCustomers[Customer ID],tblCustomers[Customer Name],"⚠ Unknown")</f>
        <v>Walk-in Customer</v>
      </c>
      <c r="F4099" s="4" t="s">
        <v>7</v>
      </c>
      <c r="G4099" s="1" t="str">
        <f>_xlfn.XLOOKUP(tblSales[[#This Row],[Product Code]],tblProducts[Code],tblProducts[Product / Service Name],"⚠ Unknown")</f>
        <v>Premium Basic T-shirt</v>
      </c>
      <c r="H4099" s="1" t="str">
        <f>_xlfn.XLOOKUP(tblSales[[#This Row],[Product Code]],tblProducts[Code],tblProducts[Category],"")</f>
        <v>Accessories &amp; Basics</v>
      </c>
      <c r="I4099" s="4">
        <v>5</v>
      </c>
      <c r="J4099" s="5">
        <f>_xlfn.XLOOKUP(tblSales[[#This Row],[Product Code]],tblProducts[Code],tblProducts[Selling Price (excl. VAT)],0)</f>
        <v>65000</v>
      </c>
      <c r="K4099" s="5">
        <f>tblSales[[#This Row],[Qty]]*tblSales[[#This Row],[Unit Price]]</f>
        <v>325000</v>
      </c>
      <c r="L4099" s="5">
        <f>ROUND(tblSales[[#This Row],[DPP (excl. VAT)]]*VATEff,0)</f>
        <v>35750</v>
      </c>
      <c r="M4099" s="5">
        <f>tblSales[[#This Row],[DPP (excl. VAT)]]+tblSales[[#This Row],[Output VAT]]</f>
        <v>360750</v>
      </c>
      <c r="N4099" s="5">
        <f>tblSales[[#This Row],[Qty]]*_xlfn.XLOOKUP(tblSales[[#This Row],[Product Code]],tblProducts[Code],tblProducts[Unit Cost],0)</f>
        <v>185000</v>
      </c>
      <c r="O4099" s="4" t="s">
        <v>4865</v>
      </c>
      <c r="P4099" s="4" t="s">
        <v>4860</v>
      </c>
      <c r="Q4099" s="1" t="str">
        <f>_xlfn.XLOOKUP(tblSales[[#This Row],[Channel Code]],tblChannels[Channel Code],tblChannels[Channel Name],"")</f>
        <v>In-store</v>
      </c>
      <c r="R4099" s="1">
        <f>MONTH(tblSales[[#This Row],[Date]])</f>
        <v>9</v>
      </c>
    </row>
    <row r="4100" spans="2:18" x14ac:dyDescent="0.35">
      <c r="B4100" s="113">
        <v>46268</v>
      </c>
      <c r="C4100" s="4" t="s">
        <v>2765</v>
      </c>
      <c r="D4100" s="4" t="s">
        <v>4568</v>
      </c>
      <c r="E4100" s="1" t="str">
        <f>_xlfn.XLOOKUP(tblSales[[#This Row],[Customer ID]],tblCustomers[Customer ID],tblCustomers[Customer Name],"⚠ Unknown")</f>
        <v>Walk-in Customer</v>
      </c>
      <c r="F4100" s="4" t="s">
        <v>8</v>
      </c>
      <c r="G4100" s="1" t="str">
        <f>_xlfn.XLOOKUP(tblSales[[#This Row],[Product Code]],tblProducts[Code],tblProducts[Product / Service Name],"⚠ Unknown")</f>
        <v>Casual Shorts</v>
      </c>
      <c r="H4100" s="1" t="str">
        <f>_xlfn.XLOOKUP(tblSales[[#This Row],[Product Code]],tblProducts[Code],tblProducts[Category],"")</f>
        <v>Accessories &amp; Basics</v>
      </c>
      <c r="I4100" s="4">
        <v>12</v>
      </c>
      <c r="J4100" s="5">
        <f>_xlfn.XLOOKUP(tblSales[[#This Row],[Product Code]],tblProducts[Code],tblProducts[Selling Price (excl. VAT)],0)</f>
        <v>85000</v>
      </c>
      <c r="K4100" s="5">
        <f>tblSales[[#This Row],[Qty]]*tblSales[[#This Row],[Unit Price]]</f>
        <v>1020000</v>
      </c>
      <c r="L4100" s="5">
        <f>ROUND(tblSales[[#This Row],[DPP (excl. VAT)]]*VATEff,0)</f>
        <v>112200</v>
      </c>
      <c r="M4100" s="5">
        <f>tblSales[[#This Row],[DPP (excl. VAT)]]+tblSales[[#This Row],[Output VAT]]</f>
        <v>1132200</v>
      </c>
      <c r="N4100" s="5">
        <f>tblSales[[#This Row],[Qty]]*_xlfn.XLOOKUP(tblSales[[#This Row],[Product Code]],tblProducts[Code],tblProducts[Unit Cost],0)</f>
        <v>600000</v>
      </c>
      <c r="O4100" s="4" t="s">
        <v>4866</v>
      </c>
      <c r="P4100" s="4" t="s">
        <v>4860</v>
      </c>
      <c r="Q4100" s="1" t="str">
        <f>_xlfn.XLOOKUP(tblSales[[#This Row],[Channel Code]],tblChannels[Channel Code],tblChannels[Channel Name],"")</f>
        <v>In-store</v>
      </c>
      <c r="R4100" s="1">
        <f>MONTH(tblSales[[#This Row],[Date]])</f>
        <v>9</v>
      </c>
    </row>
    <row r="4101" spans="2:18" x14ac:dyDescent="0.35">
      <c r="B4101" s="113">
        <v>46268</v>
      </c>
      <c r="C4101" s="4" t="s">
        <v>2766</v>
      </c>
      <c r="D4101" s="4" t="s">
        <v>4568</v>
      </c>
      <c r="E4101" s="1" t="str">
        <f>_xlfn.XLOOKUP(tblSales[[#This Row],[Customer ID]],tblCustomers[Customer ID],tblCustomers[Customer Name],"⚠ Unknown")</f>
        <v>Walk-in Customer</v>
      </c>
      <c r="F4101" s="4" t="s">
        <v>14</v>
      </c>
      <c r="G4101" s="1" t="str">
        <f>_xlfn.XLOOKUP(tblSales[[#This Row],[Product Code]],tblProducts[Code],tblProducts[Product / Service Name],"⚠ Unknown")</f>
        <v>Smartwatch</v>
      </c>
      <c r="H4101" s="1" t="str">
        <f>_xlfn.XLOOKUP(tblSales[[#This Row],[Product Code]],tblProducts[Code],tblProducts[Category],"")</f>
        <v>Bags &amp; Gadgets</v>
      </c>
      <c r="I4101" s="4">
        <v>1</v>
      </c>
      <c r="J4101" s="5">
        <f>_xlfn.XLOOKUP(tblSales[[#This Row],[Product Code]],tblProducts[Code],tblProducts[Selling Price (excl. VAT)],0)</f>
        <v>850000</v>
      </c>
      <c r="K4101" s="5">
        <f>tblSales[[#This Row],[Qty]]*tblSales[[#This Row],[Unit Price]]</f>
        <v>850000</v>
      </c>
      <c r="L4101" s="5">
        <f>ROUND(tblSales[[#This Row],[DPP (excl. VAT)]]*VATEff,0)</f>
        <v>93500</v>
      </c>
      <c r="M4101" s="5">
        <f>tblSales[[#This Row],[DPP (excl. VAT)]]+tblSales[[#This Row],[Output VAT]]</f>
        <v>943500</v>
      </c>
      <c r="N4101" s="5">
        <f>tblSales[[#This Row],[Qty]]*_xlfn.XLOOKUP(tblSales[[#This Row],[Product Code]],tblProducts[Code],tblProducts[Unit Cost],0)</f>
        <v>560000</v>
      </c>
      <c r="O4101" s="4" t="s">
        <v>4865</v>
      </c>
      <c r="P4101" s="4" t="s">
        <v>4860</v>
      </c>
      <c r="Q4101" s="1" t="str">
        <f>_xlfn.XLOOKUP(tblSales[[#This Row],[Channel Code]],tblChannels[Channel Code],tblChannels[Channel Name],"")</f>
        <v>In-store</v>
      </c>
      <c r="R4101" s="1">
        <f>MONTH(tblSales[[#This Row],[Date]])</f>
        <v>9</v>
      </c>
    </row>
    <row r="4102" spans="2:18" x14ac:dyDescent="0.35">
      <c r="B4102" s="113">
        <v>46268</v>
      </c>
      <c r="C4102" s="4" t="s">
        <v>2767</v>
      </c>
      <c r="D4102" s="4" t="s">
        <v>4568</v>
      </c>
      <c r="E4102" s="1" t="str">
        <f>_xlfn.XLOOKUP(tblSales[[#This Row],[Customer ID]],tblCustomers[Customer ID],tblCustomers[Customer Name],"⚠ Unknown")</f>
        <v>Walk-in Customer</v>
      </c>
      <c r="F4102" s="4" t="s">
        <v>8</v>
      </c>
      <c r="G4102" s="1" t="str">
        <f>_xlfn.XLOOKUP(tblSales[[#This Row],[Product Code]],tblProducts[Code],tblProducts[Product / Service Name],"⚠ Unknown")</f>
        <v>Casual Shorts</v>
      </c>
      <c r="H4102" s="1" t="str">
        <f>_xlfn.XLOOKUP(tblSales[[#This Row],[Product Code]],tblProducts[Code],tblProducts[Category],"")</f>
        <v>Accessories &amp; Basics</v>
      </c>
      <c r="I4102" s="4">
        <v>3</v>
      </c>
      <c r="J4102" s="5">
        <f>_xlfn.XLOOKUP(tblSales[[#This Row],[Product Code]],tblProducts[Code],tblProducts[Selling Price (excl. VAT)],0)</f>
        <v>85000</v>
      </c>
      <c r="K4102" s="5">
        <f>tblSales[[#This Row],[Qty]]*tblSales[[#This Row],[Unit Price]]</f>
        <v>255000</v>
      </c>
      <c r="L4102" s="5">
        <f>ROUND(tblSales[[#This Row],[DPP (excl. VAT)]]*VATEff,0)</f>
        <v>28050</v>
      </c>
      <c r="M4102" s="5">
        <f>tblSales[[#This Row],[DPP (excl. VAT)]]+tblSales[[#This Row],[Output VAT]]</f>
        <v>283050</v>
      </c>
      <c r="N4102" s="5">
        <f>tblSales[[#This Row],[Qty]]*_xlfn.XLOOKUP(tblSales[[#This Row],[Product Code]],tblProducts[Code],tblProducts[Unit Cost],0)</f>
        <v>150000</v>
      </c>
      <c r="O4102" s="4" t="s">
        <v>4865</v>
      </c>
      <c r="P4102" s="4" t="s">
        <v>4860</v>
      </c>
      <c r="Q4102" s="1" t="str">
        <f>_xlfn.XLOOKUP(tblSales[[#This Row],[Channel Code]],tblChannels[Channel Code],tblChannels[Channel Name],"")</f>
        <v>In-store</v>
      </c>
      <c r="R4102" s="1">
        <f>MONTH(tblSales[[#This Row],[Date]])</f>
        <v>9</v>
      </c>
    </row>
    <row r="4103" spans="2:18" x14ac:dyDescent="0.35">
      <c r="B4103" s="113">
        <v>46268</v>
      </c>
      <c r="C4103" s="4" t="s">
        <v>2768</v>
      </c>
      <c r="D4103" s="4" t="s">
        <v>4648</v>
      </c>
      <c r="E4103" s="1" t="str">
        <f>_xlfn.XLOOKUP(tblSales[[#This Row],[Customer ID]],tblCustomers[Customer ID],tblCustomers[Customer Name],"⚠ Unknown")</f>
        <v>PT Lintas Benua Niaga</v>
      </c>
      <c r="F4103" s="4" t="s">
        <v>7</v>
      </c>
      <c r="G4103" s="1" t="str">
        <f>_xlfn.XLOOKUP(tblSales[[#This Row],[Product Code]],tblProducts[Code],tblProducts[Product / Service Name],"⚠ Unknown")</f>
        <v>Premium Basic T-shirt</v>
      </c>
      <c r="H4103" s="1" t="str">
        <f>_xlfn.XLOOKUP(tblSales[[#This Row],[Product Code]],tblProducts[Code],tblProducts[Category],"")</f>
        <v>Accessories &amp; Basics</v>
      </c>
      <c r="I4103" s="4">
        <v>88</v>
      </c>
      <c r="J4103" s="5">
        <f>_xlfn.XLOOKUP(tblSales[[#This Row],[Product Code]],tblProducts[Code],tblProducts[Selling Price (excl. VAT)],0)</f>
        <v>65000</v>
      </c>
      <c r="K4103" s="5">
        <f>tblSales[[#This Row],[Qty]]*tblSales[[#This Row],[Unit Price]]</f>
        <v>5720000</v>
      </c>
      <c r="L4103" s="5">
        <f>ROUND(tblSales[[#This Row],[DPP (excl. VAT)]]*VATEff,0)</f>
        <v>629200</v>
      </c>
      <c r="M4103" s="5">
        <f>tblSales[[#This Row],[DPP (excl. VAT)]]+tblSales[[#This Row],[Output VAT]]</f>
        <v>6349200</v>
      </c>
      <c r="N4103" s="5">
        <f>tblSales[[#This Row],[Qty]]*_xlfn.XLOOKUP(tblSales[[#This Row],[Product Code]],tblProducts[Code],tblProducts[Unit Cost],0)</f>
        <v>3256000</v>
      </c>
      <c r="O4103" s="4" t="s">
        <v>4867</v>
      </c>
      <c r="P4103" s="4" t="s">
        <v>4860</v>
      </c>
      <c r="Q4103" s="1" t="str">
        <f>_xlfn.XLOOKUP(tblSales[[#This Row],[Channel Code]],tblChannels[Channel Code],tblChannels[Channel Name],"")</f>
        <v>In-store</v>
      </c>
      <c r="R4103" s="1">
        <f>MONTH(tblSales[[#This Row],[Date]])</f>
        <v>9</v>
      </c>
    </row>
    <row r="4104" spans="2:18" x14ac:dyDescent="0.35">
      <c r="B4104" s="113">
        <v>46268</v>
      </c>
      <c r="C4104" s="4" t="s">
        <v>2769</v>
      </c>
      <c r="D4104" s="4" t="s">
        <v>4568</v>
      </c>
      <c r="E4104" s="1" t="str">
        <f>_xlfn.XLOOKUP(tblSales[[#This Row],[Customer ID]],tblCustomers[Customer ID],tblCustomers[Customer Name],"⚠ Unknown")</f>
        <v>Walk-in Customer</v>
      </c>
      <c r="F4104" s="4" t="s">
        <v>8</v>
      </c>
      <c r="G4104" s="1" t="str">
        <f>_xlfn.XLOOKUP(tblSales[[#This Row],[Product Code]],tblProducts[Code],tblProducts[Product / Service Name],"⚠ Unknown")</f>
        <v>Casual Shorts</v>
      </c>
      <c r="H4104" s="1" t="str">
        <f>_xlfn.XLOOKUP(tblSales[[#This Row],[Product Code]],tblProducts[Code],tblProducts[Category],"")</f>
        <v>Accessories &amp; Basics</v>
      </c>
      <c r="I4104" s="4">
        <v>7</v>
      </c>
      <c r="J4104" s="5">
        <f>_xlfn.XLOOKUP(tblSales[[#This Row],[Product Code]],tblProducts[Code],tblProducts[Selling Price (excl. VAT)],0)</f>
        <v>85000</v>
      </c>
      <c r="K4104" s="5">
        <f>tblSales[[#This Row],[Qty]]*tblSales[[#This Row],[Unit Price]]</f>
        <v>595000</v>
      </c>
      <c r="L4104" s="5">
        <f>ROUND(tblSales[[#This Row],[DPP (excl. VAT)]]*VATEff,0)</f>
        <v>65450</v>
      </c>
      <c r="M4104" s="5">
        <f>tblSales[[#This Row],[DPP (excl. VAT)]]+tblSales[[#This Row],[Output VAT]]</f>
        <v>660450</v>
      </c>
      <c r="N4104" s="5">
        <f>tblSales[[#This Row],[Qty]]*_xlfn.XLOOKUP(tblSales[[#This Row],[Product Code]],tblProducts[Code],tblProducts[Unit Cost],0)</f>
        <v>350000</v>
      </c>
      <c r="O4104" s="4" t="s">
        <v>4866</v>
      </c>
      <c r="P4104" s="4" t="s">
        <v>4861</v>
      </c>
      <c r="Q4104" s="1" t="str">
        <f>_xlfn.XLOOKUP(tblSales[[#This Row],[Channel Code]],tblChannels[Channel Code],tblChannels[Channel Name],"")</f>
        <v>Marketplace</v>
      </c>
      <c r="R4104" s="1">
        <f>MONTH(tblSales[[#This Row],[Date]])</f>
        <v>9</v>
      </c>
    </row>
    <row r="4105" spans="2:18" x14ac:dyDescent="0.35">
      <c r="B4105" s="113">
        <v>46268</v>
      </c>
      <c r="C4105" s="4" t="s">
        <v>2769</v>
      </c>
      <c r="D4105" s="4" t="s">
        <v>4568</v>
      </c>
      <c r="E4105" s="1" t="str">
        <f>_xlfn.XLOOKUP(tblSales[[#This Row],[Customer ID]],tblCustomers[Customer ID],tblCustomers[Customer Name],"⚠ Unknown")</f>
        <v>Walk-in Customer</v>
      </c>
      <c r="F4105" s="4" t="s">
        <v>6</v>
      </c>
      <c r="G4105" s="1" t="str">
        <f>_xlfn.XLOOKUP(tblSales[[#This Row],[Product Code]],tblProducts[Code],tblProducts[Product / Service Name],"⚠ Unknown")</f>
        <v>Socks &amp; Accessories</v>
      </c>
      <c r="H4105" s="1" t="str">
        <f>_xlfn.XLOOKUP(tblSales[[#This Row],[Product Code]],tblProducts[Code],tblProducts[Category],"")</f>
        <v>Accessories &amp; Basics</v>
      </c>
      <c r="I4105" s="4">
        <v>1</v>
      </c>
      <c r="J4105" s="5">
        <f>_xlfn.XLOOKUP(tblSales[[#This Row],[Product Code]],tblProducts[Code],tblProducts[Selling Price (excl. VAT)],0)</f>
        <v>45000</v>
      </c>
      <c r="K4105" s="5">
        <f>tblSales[[#This Row],[Qty]]*tblSales[[#This Row],[Unit Price]]</f>
        <v>45000</v>
      </c>
      <c r="L4105" s="5">
        <f>ROUND(tblSales[[#This Row],[DPP (excl. VAT)]]*VATEff,0)</f>
        <v>4950</v>
      </c>
      <c r="M4105" s="5">
        <f>tblSales[[#This Row],[DPP (excl. VAT)]]+tblSales[[#This Row],[Output VAT]]</f>
        <v>49950</v>
      </c>
      <c r="N4105" s="5">
        <f>tblSales[[#This Row],[Qty]]*_xlfn.XLOOKUP(tblSales[[#This Row],[Product Code]],tblProducts[Code],tblProducts[Unit Cost],0)</f>
        <v>24000</v>
      </c>
      <c r="O4105" s="4" t="s">
        <v>4866</v>
      </c>
      <c r="P4105" s="4" t="s">
        <v>4861</v>
      </c>
      <c r="Q4105" s="1" t="str">
        <f>_xlfn.XLOOKUP(tblSales[[#This Row],[Channel Code]],tblChannels[Channel Code],tblChannels[Channel Name],"")</f>
        <v>Marketplace</v>
      </c>
      <c r="R4105" s="1">
        <f>MONTH(tblSales[[#This Row],[Date]])</f>
        <v>9</v>
      </c>
    </row>
    <row r="4106" spans="2:18" x14ac:dyDescent="0.35">
      <c r="B4106" s="113">
        <v>46268</v>
      </c>
      <c r="C4106" s="4" t="s">
        <v>2770</v>
      </c>
      <c r="D4106" s="4" t="s">
        <v>4634</v>
      </c>
      <c r="E4106" s="1" t="str">
        <f>_xlfn.XLOOKUP(tblSales[[#This Row],[Customer ID]],tblCustomers[Customer ID],tblCustomers[Customer Name],"⚠ Unknown")</f>
        <v>PT Delta Inti Selaras</v>
      </c>
      <c r="F4106" s="4" t="s">
        <v>9</v>
      </c>
      <c r="G4106" s="1" t="str">
        <f>_xlfn.XLOOKUP(tblSales[[#This Row],[Product Code]],tblProducts[Code],tblProducts[Product / Service Name],"⚠ Unknown")</f>
        <v>Casual Shirt</v>
      </c>
      <c r="H4106" s="1" t="str">
        <f>_xlfn.XLOOKUP(tblSales[[#This Row],[Product Code]],tblProducts[Code],tblProducts[Category],"")</f>
        <v>Apparel &amp; Footwear</v>
      </c>
      <c r="I4106" s="4">
        <v>16</v>
      </c>
      <c r="J4106" s="5">
        <f>_xlfn.XLOOKUP(tblSales[[#This Row],[Product Code]],tblProducts[Code],tblProducts[Selling Price (excl. VAT)],0)</f>
        <v>120000</v>
      </c>
      <c r="K4106" s="5">
        <f>tblSales[[#This Row],[Qty]]*tblSales[[#This Row],[Unit Price]]</f>
        <v>1920000</v>
      </c>
      <c r="L4106" s="5">
        <f>ROUND(tblSales[[#This Row],[DPP (excl. VAT)]]*VATEff,0)</f>
        <v>211200</v>
      </c>
      <c r="M4106" s="5">
        <f>tblSales[[#This Row],[DPP (excl. VAT)]]+tblSales[[#This Row],[Output VAT]]</f>
        <v>2131200</v>
      </c>
      <c r="N4106" s="5">
        <f>tblSales[[#This Row],[Qty]]*_xlfn.XLOOKUP(tblSales[[#This Row],[Product Code]],tblProducts[Code],tblProducts[Unit Cost],0)</f>
        <v>1152000</v>
      </c>
      <c r="O4106" s="4" t="s">
        <v>4867</v>
      </c>
      <c r="P4106" s="4" t="s">
        <v>4860</v>
      </c>
      <c r="Q4106" s="1" t="str">
        <f>_xlfn.XLOOKUP(tblSales[[#This Row],[Channel Code]],tblChannels[Channel Code],tblChannels[Channel Name],"")</f>
        <v>In-store</v>
      </c>
      <c r="R4106" s="1">
        <f>MONTH(tblSales[[#This Row],[Date]])</f>
        <v>9</v>
      </c>
    </row>
    <row r="4107" spans="2:18" x14ac:dyDescent="0.35">
      <c r="B4107" s="113">
        <v>46268</v>
      </c>
      <c r="C4107" s="4" t="s">
        <v>2770</v>
      </c>
      <c r="D4107" s="4" t="s">
        <v>4634</v>
      </c>
      <c r="E4107" s="1" t="str">
        <f>_xlfn.XLOOKUP(tblSales[[#This Row],[Customer ID]],tblCustomers[Customer ID],tblCustomers[Customer Name],"⚠ Unknown")</f>
        <v>PT Delta Inti Selaras</v>
      </c>
      <c r="F4107" s="4" t="s">
        <v>6</v>
      </c>
      <c r="G4107" s="1" t="str">
        <f>_xlfn.XLOOKUP(tblSales[[#This Row],[Product Code]],tblProducts[Code],tblProducts[Product / Service Name],"⚠ Unknown")</f>
        <v>Socks &amp; Accessories</v>
      </c>
      <c r="H4107" s="1" t="str">
        <f>_xlfn.XLOOKUP(tblSales[[#This Row],[Product Code]],tblProducts[Code],tblProducts[Category],"")</f>
        <v>Accessories &amp; Basics</v>
      </c>
      <c r="I4107" s="4">
        <v>40</v>
      </c>
      <c r="J4107" s="5">
        <f>_xlfn.XLOOKUP(tblSales[[#This Row],[Product Code]],tblProducts[Code],tblProducts[Selling Price (excl. VAT)],0)</f>
        <v>45000</v>
      </c>
      <c r="K4107" s="5">
        <f>tblSales[[#This Row],[Qty]]*tblSales[[#This Row],[Unit Price]]</f>
        <v>1800000</v>
      </c>
      <c r="L4107" s="5">
        <f>ROUND(tblSales[[#This Row],[DPP (excl. VAT)]]*VATEff,0)</f>
        <v>198000</v>
      </c>
      <c r="M4107" s="5">
        <f>tblSales[[#This Row],[DPP (excl. VAT)]]+tblSales[[#This Row],[Output VAT]]</f>
        <v>1998000</v>
      </c>
      <c r="N4107" s="5">
        <f>tblSales[[#This Row],[Qty]]*_xlfn.XLOOKUP(tblSales[[#This Row],[Product Code]],tblProducts[Code],tblProducts[Unit Cost],0)</f>
        <v>960000</v>
      </c>
      <c r="O4107" s="4" t="s">
        <v>4867</v>
      </c>
      <c r="P4107" s="4" t="s">
        <v>4860</v>
      </c>
      <c r="Q4107" s="1" t="str">
        <f>_xlfn.XLOOKUP(tblSales[[#This Row],[Channel Code]],tblChannels[Channel Code],tblChannels[Channel Name],"")</f>
        <v>In-store</v>
      </c>
      <c r="R4107" s="1">
        <f>MONTH(tblSales[[#This Row],[Date]])</f>
        <v>9</v>
      </c>
    </row>
    <row r="4108" spans="2:18" x14ac:dyDescent="0.35">
      <c r="B4108" s="113">
        <v>46268</v>
      </c>
      <c r="C4108" s="4" t="s">
        <v>2771</v>
      </c>
      <c r="D4108" s="4" t="s">
        <v>4568</v>
      </c>
      <c r="E4108" s="1" t="str">
        <f>_xlfn.XLOOKUP(tblSales[[#This Row],[Customer ID]],tblCustomers[Customer ID],tblCustomers[Customer Name],"⚠ Unknown")</f>
        <v>Walk-in Customer</v>
      </c>
      <c r="F4108" s="4" t="s">
        <v>8</v>
      </c>
      <c r="G4108" s="1" t="str">
        <f>_xlfn.XLOOKUP(tblSales[[#This Row],[Product Code]],tblProducts[Code],tblProducts[Product / Service Name],"⚠ Unknown")</f>
        <v>Casual Shorts</v>
      </c>
      <c r="H4108" s="1" t="str">
        <f>_xlfn.XLOOKUP(tblSales[[#This Row],[Product Code]],tblProducts[Code],tblProducts[Category],"")</f>
        <v>Accessories &amp; Basics</v>
      </c>
      <c r="I4108" s="4">
        <v>10</v>
      </c>
      <c r="J4108" s="5">
        <f>_xlfn.XLOOKUP(tblSales[[#This Row],[Product Code]],tblProducts[Code],tblProducts[Selling Price (excl. VAT)],0)</f>
        <v>85000</v>
      </c>
      <c r="K4108" s="5">
        <f>tblSales[[#This Row],[Qty]]*tblSales[[#This Row],[Unit Price]]</f>
        <v>850000</v>
      </c>
      <c r="L4108" s="5">
        <f>ROUND(tblSales[[#This Row],[DPP (excl. VAT)]]*VATEff,0)</f>
        <v>93500</v>
      </c>
      <c r="M4108" s="5">
        <f>tblSales[[#This Row],[DPP (excl. VAT)]]+tblSales[[#This Row],[Output VAT]]</f>
        <v>943500</v>
      </c>
      <c r="N4108" s="5">
        <f>tblSales[[#This Row],[Qty]]*_xlfn.XLOOKUP(tblSales[[#This Row],[Product Code]],tblProducts[Code],tblProducts[Unit Cost],0)</f>
        <v>500000</v>
      </c>
      <c r="O4108" s="4" t="s">
        <v>4865</v>
      </c>
      <c r="P4108" s="4" t="s">
        <v>4860</v>
      </c>
      <c r="Q4108" s="1" t="str">
        <f>_xlfn.XLOOKUP(tblSales[[#This Row],[Channel Code]],tblChannels[Channel Code],tblChannels[Channel Name],"")</f>
        <v>In-store</v>
      </c>
      <c r="R4108" s="1">
        <f>MONTH(tblSales[[#This Row],[Date]])</f>
        <v>9</v>
      </c>
    </row>
    <row r="4109" spans="2:18" x14ac:dyDescent="0.35">
      <c r="B4109" s="113">
        <v>46268</v>
      </c>
      <c r="C4109" s="4" t="s">
        <v>2771</v>
      </c>
      <c r="D4109" s="4" t="s">
        <v>4568</v>
      </c>
      <c r="E4109" s="1" t="str">
        <f>_xlfn.XLOOKUP(tblSales[[#This Row],[Customer ID]],tblCustomers[Customer ID],tblCustomers[Customer Name],"⚠ Unknown")</f>
        <v>Walk-in Customer</v>
      </c>
      <c r="F4109" s="4" t="s">
        <v>11</v>
      </c>
      <c r="G4109" s="1" t="str">
        <f>_xlfn.XLOOKUP(tblSales[[#This Row],[Product Code]],tblProducts[Code],tblProducts[Product / Service Name],"⚠ Unknown")</f>
        <v>Sneakers</v>
      </c>
      <c r="H4109" s="1" t="str">
        <f>_xlfn.XLOOKUP(tblSales[[#This Row],[Product Code]],tblProducts[Code],tblProducts[Category],"")</f>
        <v>Apparel &amp; Footwear</v>
      </c>
      <c r="I4109" s="4">
        <v>5</v>
      </c>
      <c r="J4109" s="5">
        <f>_xlfn.XLOOKUP(tblSales[[#This Row],[Product Code]],tblProducts[Code],tblProducts[Selling Price (excl. VAT)],0)</f>
        <v>250000</v>
      </c>
      <c r="K4109" s="5">
        <f>tblSales[[#This Row],[Qty]]*tblSales[[#This Row],[Unit Price]]</f>
        <v>1250000</v>
      </c>
      <c r="L4109" s="5">
        <f>ROUND(tblSales[[#This Row],[DPP (excl. VAT)]]*VATEff,0)</f>
        <v>137500</v>
      </c>
      <c r="M4109" s="5">
        <f>tblSales[[#This Row],[DPP (excl. VAT)]]+tblSales[[#This Row],[Output VAT]]</f>
        <v>1387500</v>
      </c>
      <c r="N4109" s="5">
        <f>tblSales[[#This Row],[Qty]]*_xlfn.XLOOKUP(tblSales[[#This Row],[Product Code]],tblProducts[Code],tblProducts[Unit Cost],0)</f>
        <v>775000</v>
      </c>
      <c r="O4109" s="4" t="s">
        <v>4865</v>
      </c>
      <c r="P4109" s="4" t="s">
        <v>4860</v>
      </c>
      <c r="Q4109" s="1" t="str">
        <f>_xlfn.XLOOKUP(tblSales[[#This Row],[Channel Code]],tblChannels[Channel Code],tblChannels[Channel Name],"")</f>
        <v>In-store</v>
      </c>
      <c r="R4109" s="1">
        <f>MONTH(tblSales[[#This Row],[Date]])</f>
        <v>9</v>
      </c>
    </row>
    <row r="4110" spans="2:18" x14ac:dyDescent="0.35">
      <c r="B4110" s="113">
        <v>46268</v>
      </c>
      <c r="C4110" s="4" t="s">
        <v>2771</v>
      </c>
      <c r="D4110" s="4" t="s">
        <v>4568</v>
      </c>
      <c r="E4110" s="1" t="str">
        <f>_xlfn.XLOOKUP(tblSales[[#This Row],[Customer ID]],tblCustomers[Customer ID],tblCustomers[Customer Name],"⚠ Unknown")</f>
        <v>Walk-in Customer</v>
      </c>
      <c r="F4110" s="4" t="s">
        <v>10</v>
      </c>
      <c r="G4110" s="1" t="str">
        <f>_xlfn.XLOOKUP(tblSales[[#This Row],[Product Code]],tblProducts[Code],tblProducts[Product / Service Name],"⚠ Unknown")</f>
        <v>Chino Pants</v>
      </c>
      <c r="H4110" s="1" t="str">
        <f>_xlfn.XLOOKUP(tblSales[[#This Row],[Product Code]],tblProducts[Code],tblProducts[Category],"")</f>
        <v>Apparel &amp; Footwear</v>
      </c>
      <c r="I4110" s="4">
        <v>1</v>
      </c>
      <c r="J4110" s="5">
        <f>_xlfn.XLOOKUP(tblSales[[#This Row],[Product Code]],tblProducts[Code],tblProducts[Selling Price (excl. VAT)],0)</f>
        <v>150000</v>
      </c>
      <c r="K4110" s="5">
        <f>tblSales[[#This Row],[Qty]]*tblSales[[#This Row],[Unit Price]]</f>
        <v>150000</v>
      </c>
      <c r="L4110" s="5">
        <f>ROUND(tblSales[[#This Row],[DPP (excl. VAT)]]*VATEff,0)</f>
        <v>16500</v>
      </c>
      <c r="M4110" s="5">
        <f>tblSales[[#This Row],[DPP (excl. VAT)]]+tblSales[[#This Row],[Output VAT]]</f>
        <v>166500</v>
      </c>
      <c r="N4110" s="5">
        <f>tblSales[[#This Row],[Qty]]*_xlfn.XLOOKUP(tblSales[[#This Row],[Product Code]],tblProducts[Code],tblProducts[Unit Cost],0)</f>
        <v>88000</v>
      </c>
      <c r="O4110" s="4" t="s">
        <v>4865</v>
      </c>
      <c r="P4110" s="4" t="s">
        <v>4860</v>
      </c>
      <c r="Q4110" s="1" t="str">
        <f>_xlfn.XLOOKUP(tblSales[[#This Row],[Channel Code]],tblChannels[Channel Code],tblChannels[Channel Name],"")</f>
        <v>In-store</v>
      </c>
      <c r="R4110" s="1">
        <f>MONTH(tblSales[[#This Row],[Date]])</f>
        <v>9</v>
      </c>
    </row>
    <row r="4111" spans="2:18" x14ac:dyDescent="0.35">
      <c r="B4111" s="113">
        <v>46268</v>
      </c>
      <c r="C4111" s="4" t="s">
        <v>2772</v>
      </c>
      <c r="D4111" s="4" t="s">
        <v>4568</v>
      </c>
      <c r="E4111" s="1" t="str">
        <f>_xlfn.XLOOKUP(tblSales[[#This Row],[Customer ID]],tblCustomers[Customer ID],tblCustomers[Customer Name],"⚠ Unknown")</f>
        <v>Walk-in Customer</v>
      </c>
      <c r="F4111" s="4" t="s">
        <v>6</v>
      </c>
      <c r="G4111" s="1" t="str">
        <f>_xlfn.XLOOKUP(tblSales[[#This Row],[Product Code]],tblProducts[Code],tblProducts[Product / Service Name],"⚠ Unknown")</f>
        <v>Socks &amp; Accessories</v>
      </c>
      <c r="H4111" s="1" t="str">
        <f>_xlfn.XLOOKUP(tblSales[[#This Row],[Product Code]],tblProducts[Code],tblProducts[Category],"")</f>
        <v>Accessories &amp; Basics</v>
      </c>
      <c r="I4111" s="4">
        <v>2</v>
      </c>
      <c r="J4111" s="5">
        <f>_xlfn.XLOOKUP(tblSales[[#This Row],[Product Code]],tblProducts[Code],tblProducts[Selling Price (excl. VAT)],0)</f>
        <v>45000</v>
      </c>
      <c r="K4111" s="5">
        <f>tblSales[[#This Row],[Qty]]*tblSales[[#This Row],[Unit Price]]</f>
        <v>90000</v>
      </c>
      <c r="L4111" s="5">
        <f>ROUND(tblSales[[#This Row],[DPP (excl. VAT)]]*VATEff,0)</f>
        <v>9900</v>
      </c>
      <c r="M4111" s="5">
        <f>tblSales[[#This Row],[DPP (excl. VAT)]]+tblSales[[#This Row],[Output VAT]]</f>
        <v>99900</v>
      </c>
      <c r="N4111" s="5">
        <f>tblSales[[#This Row],[Qty]]*_xlfn.XLOOKUP(tblSales[[#This Row],[Product Code]],tblProducts[Code],tblProducts[Unit Cost],0)</f>
        <v>48000</v>
      </c>
      <c r="O4111" s="4" t="s">
        <v>4865</v>
      </c>
      <c r="P4111" s="4" t="s">
        <v>4860</v>
      </c>
      <c r="Q4111" s="1" t="str">
        <f>_xlfn.XLOOKUP(tblSales[[#This Row],[Channel Code]],tblChannels[Channel Code],tblChannels[Channel Name],"")</f>
        <v>In-store</v>
      </c>
      <c r="R4111" s="1">
        <f>MONTH(tblSales[[#This Row],[Date]])</f>
        <v>9</v>
      </c>
    </row>
    <row r="4112" spans="2:18" x14ac:dyDescent="0.35">
      <c r="B4112" s="113">
        <v>46269</v>
      </c>
      <c r="C4112" s="4" t="s">
        <v>2773</v>
      </c>
      <c r="D4112" s="4" t="s">
        <v>4568</v>
      </c>
      <c r="E4112" s="1" t="str">
        <f>_xlfn.XLOOKUP(tblSales[[#This Row],[Customer ID]],tblCustomers[Customer ID],tblCustomers[Customer Name],"⚠ Unknown")</f>
        <v>Walk-in Customer</v>
      </c>
      <c r="F4112" s="4" t="s">
        <v>7</v>
      </c>
      <c r="G4112" s="1" t="str">
        <f>_xlfn.XLOOKUP(tblSales[[#This Row],[Product Code]],tblProducts[Code],tblProducts[Product / Service Name],"⚠ Unknown")</f>
        <v>Premium Basic T-shirt</v>
      </c>
      <c r="H4112" s="1" t="str">
        <f>_xlfn.XLOOKUP(tblSales[[#This Row],[Product Code]],tblProducts[Code],tblProducts[Category],"")</f>
        <v>Accessories &amp; Basics</v>
      </c>
      <c r="I4112" s="4">
        <v>5</v>
      </c>
      <c r="J4112" s="5">
        <f>_xlfn.XLOOKUP(tblSales[[#This Row],[Product Code]],tblProducts[Code],tblProducts[Selling Price (excl. VAT)],0)</f>
        <v>65000</v>
      </c>
      <c r="K4112" s="5">
        <f>tblSales[[#This Row],[Qty]]*tblSales[[#This Row],[Unit Price]]</f>
        <v>325000</v>
      </c>
      <c r="L4112" s="5">
        <f>ROUND(tblSales[[#This Row],[DPP (excl. VAT)]]*VATEff,0)</f>
        <v>35750</v>
      </c>
      <c r="M4112" s="5">
        <f>tblSales[[#This Row],[DPP (excl. VAT)]]+tblSales[[#This Row],[Output VAT]]</f>
        <v>360750</v>
      </c>
      <c r="N4112" s="5">
        <f>tblSales[[#This Row],[Qty]]*_xlfn.XLOOKUP(tblSales[[#This Row],[Product Code]],tblProducts[Code],tblProducts[Unit Cost],0)</f>
        <v>185000</v>
      </c>
      <c r="O4112" s="4" t="s">
        <v>4866</v>
      </c>
      <c r="P4112" s="4" t="s">
        <v>4861</v>
      </c>
      <c r="Q4112" s="1" t="str">
        <f>_xlfn.XLOOKUP(tblSales[[#This Row],[Channel Code]],tblChannels[Channel Code],tblChannels[Channel Name],"")</f>
        <v>Marketplace</v>
      </c>
      <c r="R4112" s="1">
        <f>MONTH(tblSales[[#This Row],[Date]])</f>
        <v>9</v>
      </c>
    </row>
    <row r="4113" spans="2:18" x14ac:dyDescent="0.35">
      <c r="B4113" s="113">
        <v>46269</v>
      </c>
      <c r="C4113" s="4" t="s">
        <v>2774</v>
      </c>
      <c r="D4113" s="4" t="s">
        <v>4641</v>
      </c>
      <c r="E4113" s="1" t="str">
        <f>_xlfn.XLOOKUP(tblSales[[#This Row],[Customer ID]],tblCustomers[Customer ID],tblCustomers[Customer Name],"⚠ Unknown")</f>
        <v>PT Harmoni Pangan Lestari</v>
      </c>
      <c r="F4113" s="4" t="s">
        <v>8</v>
      </c>
      <c r="G4113" s="1" t="str">
        <f>_xlfn.XLOOKUP(tblSales[[#This Row],[Product Code]],tblProducts[Code],tblProducts[Product / Service Name],"⚠ Unknown")</f>
        <v>Casual Shorts</v>
      </c>
      <c r="H4113" s="1" t="str">
        <f>_xlfn.XLOOKUP(tblSales[[#This Row],[Product Code]],tblProducts[Code],tblProducts[Category],"")</f>
        <v>Accessories &amp; Basics</v>
      </c>
      <c r="I4113" s="4">
        <v>48</v>
      </c>
      <c r="J4113" s="5">
        <f>_xlfn.XLOOKUP(tblSales[[#This Row],[Product Code]],tblProducts[Code],tblProducts[Selling Price (excl. VAT)],0)</f>
        <v>85000</v>
      </c>
      <c r="K4113" s="5">
        <f>tblSales[[#This Row],[Qty]]*tblSales[[#This Row],[Unit Price]]</f>
        <v>4080000</v>
      </c>
      <c r="L4113" s="5">
        <f>ROUND(tblSales[[#This Row],[DPP (excl. VAT)]]*VATEff,0)</f>
        <v>448800</v>
      </c>
      <c r="M4113" s="5">
        <f>tblSales[[#This Row],[DPP (excl. VAT)]]+tblSales[[#This Row],[Output VAT]]</f>
        <v>4528800</v>
      </c>
      <c r="N4113" s="5">
        <f>tblSales[[#This Row],[Qty]]*_xlfn.XLOOKUP(tblSales[[#This Row],[Product Code]],tblProducts[Code],tblProducts[Unit Cost],0)</f>
        <v>2400000</v>
      </c>
      <c r="O4113" s="4" t="s">
        <v>4867</v>
      </c>
      <c r="P4113" s="4" t="s">
        <v>4860</v>
      </c>
      <c r="Q4113" s="1" t="str">
        <f>_xlfn.XLOOKUP(tblSales[[#This Row],[Channel Code]],tblChannels[Channel Code],tblChannels[Channel Name],"")</f>
        <v>In-store</v>
      </c>
      <c r="R4113" s="1">
        <f>MONTH(tblSales[[#This Row],[Date]])</f>
        <v>9</v>
      </c>
    </row>
    <row r="4114" spans="2:18" x14ac:dyDescent="0.35">
      <c r="B4114" s="113">
        <v>46269</v>
      </c>
      <c r="C4114" s="4" t="s">
        <v>2775</v>
      </c>
      <c r="D4114" s="4" t="s">
        <v>4568</v>
      </c>
      <c r="E4114" s="1" t="str">
        <f>_xlfn.XLOOKUP(tblSales[[#This Row],[Customer ID]],tblCustomers[Customer ID],tblCustomers[Customer Name],"⚠ Unknown")</f>
        <v>Walk-in Customer</v>
      </c>
      <c r="F4114" s="4" t="s">
        <v>11</v>
      </c>
      <c r="G4114" s="1" t="str">
        <f>_xlfn.XLOOKUP(tblSales[[#This Row],[Product Code]],tblProducts[Code],tblProducts[Product / Service Name],"⚠ Unknown")</f>
        <v>Sneakers</v>
      </c>
      <c r="H4114" s="1" t="str">
        <f>_xlfn.XLOOKUP(tblSales[[#This Row],[Product Code]],tblProducts[Code],tblProducts[Category],"")</f>
        <v>Apparel &amp; Footwear</v>
      </c>
      <c r="I4114" s="4">
        <v>1</v>
      </c>
      <c r="J4114" s="5">
        <f>_xlfn.XLOOKUP(tblSales[[#This Row],[Product Code]],tblProducts[Code],tblProducts[Selling Price (excl. VAT)],0)</f>
        <v>250000</v>
      </c>
      <c r="K4114" s="5">
        <f>tblSales[[#This Row],[Qty]]*tblSales[[#This Row],[Unit Price]]</f>
        <v>250000</v>
      </c>
      <c r="L4114" s="5">
        <f>ROUND(tblSales[[#This Row],[DPP (excl. VAT)]]*VATEff,0)</f>
        <v>27500</v>
      </c>
      <c r="M4114" s="5">
        <f>tblSales[[#This Row],[DPP (excl. VAT)]]+tblSales[[#This Row],[Output VAT]]</f>
        <v>277500</v>
      </c>
      <c r="N4114" s="5">
        <f>tblSales[[#This Row],[Qty]]*_xlfn.XLOOKUP(tblSales[[#This Row],[Product Code]],tblProducts[Code],tblProducts[Unit Cost],0)</f>
        <v>155000</v>
      </c>
      <c r="O4114" s="4" t="s">
        <v>4866</v>
      </c>
      <c r="P4114" s="4" t="s">
        <v>4860</v>
      </c>
      <c r="Q4114" s="1" t="str">
        <f>_xlfn.XLOOKUP(tblSales[[#This Row],[Channel Code]],tblChannels[Channel Code],tblChannels[Channel Name],"")</f>
        <v>In-store</v>
      </c>
      <c r="R4114" s="1">
        <f>MONTH(tblSales[[#This Row],[Date]])</f>
        <v>9</v>
      </c>
    </row>
    <row r="4115" spans="2:18" x14ac:dyDescent="0.35">
      <c r="B4115" s="113">
        <v>46269</v>
      </c>
      <c r="C4115" s="4" t="s">
        <v>2776</v>
      </c>
      <c r="D4115" s="4" t="s">
        <v>4568</v>
      </c>
      <c r="E4115" s="1" t="str">
        <f>_xlfn.XLOOKUP(tblSales[[#This Row],[Customer ID]],tblCustomers[Customer ID],tblCustomers[Customer Name],"⚠ Unknown")</f>
        <v>Walk-in Customer</v>
      </c>
      <c r="F4115" s="4" t="s">
        <v>7</v>
      </c>
      <c r="G4115" s="1" t="str">
        <f>_xlfn.XLOOKUP(tblSales[[#This Row],[Product Code]],tblProducts[Code],tblProducts[Product / Service Name],"⚠ Unknown")</f>
        <v>Premium Basic T-shirt</v>
      </c>
      <c r="H4115" s="1" t="str">
        <f>_xlfn.XLOOKUP(tblSales[[#This Row],[Product Code]],tblProducts[Code],tblProducts[Category],"")</f>
        <v>Accessories &amp; Basics</v>
      </c>
      <c r="I4115" s="4">
        <v>1</v>
      </c>
      <c r="J4115" s="5">
        <f>_xlfn.XLOOKUP(tblSales[[#This Row],[Product Code]],tblProducts[Code],tblProducts[Selling Price (excl. VAT)],0)</f>
        <v>65000</v>
      </c>
      <c r="K4115" s="5">
        <f>tblSales[[#This Row],[Qty]]*tblSales[[#This Row],[Unit Price]]</f>
        <v>65000</v>
      </c>
      <c r="L4115" s="5">
        <f>ROUND(tblSales[[#This Row],[DPP (excl. VAT)]]*VATEff,0)</f>
        <v>7150</v>
      </c>
      <c r="M4115" s="5">
        <f>tblSales[[#This Row],[DPP (excl. VAT)]]+tblSales[[#This Row],[Output VAT]]</f>
        <v>72150</v>
      </c>
      <c r="N4115" s="5">
        <f>tblSales[[#This Row],[Qty]]*_xlfn.XLOOKUP(tblSales[[#This Row],[Product Code]],tblProducts[Code],tblProducts[Unit Cost],0)</f>
        <v>37000</v>
      </c>
      <c r="O4115" s="4" t="s">
        <v>4865</v>
      </c>
      <c r="P4115" s="4" t="s">
        <v>4860</v>
      </c>
      <c r="Q4115" s="1" t="str">
        <f>_xlfn.XLOOKUP(tblSales[[#This Row],[Channel Code]],tblChannels[Channel Code],tblChannels[Channel Name],"")</f>
        <v>In-store</v>
      </c>
      <c r="R4115" s="1">
        <f>MONTH(tblSales[[#This Row],[Date]])</f>
        <v>9</v>
      </c>
    </row>
    <row r="4116" spans="2:18" x14ac:dyDescent="0.35">
      <c r="B4116" s="113">
        <v>46269</v>
      </c>
      <c r="C4116" s="4" t="s">
        <v>2776</v>
      </c>
      <c r="D4116" s="4" t="s">
        <v>4568</v>
      </c>
      <c r="E4116" s="1" t="str">
        <f>_xlfn.XLOOKUP(tblSales[[#This Row],[Customer ID]],tblCustomers[Customer ID],tblCustomers[Customer Name],"⚠ Unknown")</f>
        <v>Walk-in Customer</v>
      </c>
      <c r="F4116" s="4" t="s">
        <v>6</v>
      </c>
      <c r="G4116" s="1" t="str">
        <f>_xlfn.XLOOKUP(tblSales[[#This Row],[Product Code]],tblProducts[Code],tblProducts[Product / Service Name],"⚠ Unknown")</f>
        <v>Socks &amp; Accessories</v>
      </c>
      <c r="H4116" s="1" t="str">
        <f>_xlfn.XLOOKUP(tblSales[[#This Row],[Product Code]],tblProducts[Code],tblProducts[Category],"")</f>
        <v>Accessories &amp; Basics</v>
      </c>
      <c r="I4116" s="4">
        <v>1</v>
      </c>
      <c r="J4116" s="5">
        <f>_xlfn.XLOOKUP(tblSales[[#This Row],[Product Code]],tblProducts[Code],tblProducts[Selling Price (excl. VAT)],0)</f>
        <v>45000</v>
      </c>
      <c r="K4116" s="5">
        <f>tblSales[[#This Row],[Qty]]*tblSales[[#This Row],[Unit Price]]</f>
        <v>45000</v>
      </c>
      <c r="L4116" s="5">
        <f>ROUND(tblSales[[#This Row],[DPP (excl. VAT)]]*VATEff,0)</f>
        <v>4950</v>
      </c>
      <c r="M4116" s="5">
        <f>tblSales[[#This Row],[DPP (excl. VAT)]]+tblSales[[#This Row],[Output VAT]]</f>
        <v>49950</v>
      </c>
      <c r="N4116" s="5">
        <f>tblSales[[#This Row],[Qty]]*_xlfn.XLOOKUP(tblSales[[#This Row],[Product Code]],tblProducts[Code],tblProducts[Unit Cost],0)</f>
        <v>24000</v>
      </c>
      <c r="O4116" s="4" t="s">
        <v>4865</v>
      </c>
      <c r="P4116" s="4" t="s">
        <v>4860</v>
      </c>
      <c r="Q4116" s="1" t="str">
        <f>_xlfn.XLOOKUP(tblSales[[#This Row],[Channel Code]],tblChannels[Channel Code],tblChannels[Channel Name],"")</f>
        <v>In-store</v>
      </c>
      <c r="R4116" s="1">
        <f>MONTH(tblSales[[#This Row],[Date]])</f>
        <v>9</v>
      </c>
    </row>
    <row r="4117" spans="2:18" x14ac:dyDescent="0.35">
      <c r="B4117" s="113">
        <v>46269</v>
      </c>
      <c r="C4117" s="4" t="s">
        <v>2777</v>
      </c>
      <c r="D4117" s="4" t="s">
        <v>4568</v>
      </c>
      <c r="E4117" s="1" t="str">
        <f>_xlfn.XLOOKUP(tblSales[[#This Row],[Customer ID]],tblCustomers[Customer ID],tblCustomers[Customer Name],"⚠ Unknown")</f>
        <v>Walk-in Customer</v>
      </c>
      <c r="F4117" s="4" t="s">
        <v>11</v>
      </c>
      <c r="G4117" s="1" t="str">
        <f>_xlfn.XLOOKUP(tblSales[[#This Row],[Product Code]],tblProducts[Code],tblProducts[Product / Service Name],"⚠ Unknown")</f>
        <v>Sneakers</v>
      </c>
      <c r="H4117" s="1" t="str">
        <f>_xlfn.XLOOKUP(tblSales[[#This Row],[Product Code]],tblProducts[Code],tblProducts[Category],"")</f>
        <v>Apparel &amp; Footwear</v>
      </c>
      <c r="I4117" s="4">
        <v>1</v>
      </c>
      <c r="J4117" s="5">
        <f>_xlfn.XLOOKUP(tblSales[[#This Row],[Product Code]],tblProducts[Code],tblProducts[Selling Price (excl. VAT)],0)</f>
        <v>250000</v>
      </c>
      <c r="K4117" s="5">
        <f>tblSales[[#This Row],[Qty]]*tblSales[[#This Row],[Unit Price]]</f>
        <v>250000</v>
      </c>
      <c r="L4117" s="5">
        <f>ROUND(tblSales[[#This Row],[DPP (excl. VAT)]]*VATEff,0)</f>
        <v>27500</v>
      </c>
      <c r="M4117" s="5">
        <f>tblSales[[#This Row],[DPP (excl. VAT)]]+tblSales[[#This Row],[Output VAT]]</f>
        <v>277500</v>
      </c>
      <c r="N4117" s="5">
        <f>tblSales[[#This Row],[Qty]]*_xlfn.XLOOKUP(tblSales[[#This Row],[Product Code]],tblProducts[Code],tblProducts[Unit Cost],0)</f>
        <v>155000</v>
      </c>
      <c r="O4117" s="4" t="s">
        <v>4865</v>
      </c>
      <c r="P4117" s="4" t="s">
        <v>4860</v>
      </c>
      <c r="Q4117" s="1" t="str">
        <f>_xlfn.XLOOKUP(tblSales[[#This Row],[Channel Code]],tblChannels[Channel Code],tblChannels[Channel Name],"")</f>
        <v>In-store</v>
      </c>
      <c r="R4117" s="1">
        <f>MONTH(tblSales[[#This Row],[Date]])</f>
        <v>9</v>
      </c>
    </row>
    <row r="4118" spans="2:18" x14ac:dyDescent="0.35">
      <c r="B4118" s="113">
        <v>46269</v>
      </c>
      <c r="C4118" s="4" t="s">
        <v>2778</v>
      </c>
      <c r="D4118" s="4" t="s">
        <v>4568</v>
      </c>
      <c r="E4118" s="1" t="str">
        <f>_xlfn.XLOOKUP(tblSales[[#This Row],[Customer ID]],tblCustomers[Customer ID],tblCustomers[Customer Name],"⚠ Unknown")</f>
        <v>Walk-in Customer</v>
      </c>
      <c r="F4118" s="4" t="s">
        <v>14</v>
      </c>
      <c r="G4118" s="1" t="str">
        <f>_xlfn.XLOOKUP(tblSales[[#This Row],[Product Code]],tblProducts[Code],tblProducts[Product / Service Name],"⚠ Unknown")</f>
        <v>Smartwatch</v>
      </c>
      <c r="H4118" s="1" t="str">
        <f>_xlfn.XLOOKUP(tblSales[[#This Row],[Product Code]],tblProducts[Code],tblProducts[Category],"")</f>
        <v>Bags &amp; Gadgets</v>
      </c>
      <c r="I4118" s="4">
        <v>3</v>
      </c>
      <c r="J4118" s="5">
        <f>_xlfn.XLOOKUP(tblSales[[#This Row],[Product Code]],tblProducts[Code],tblProducts[Selling Price (excl. VAT)],0)</f>
        <v>850000</v>
      </c>
      <c r="K4118" s="5">
        <f>tblSales[[#This Row],[Qty]]*tblSales[[#This Row],[Unit Price]]</f>
        <v>2550000</v>
      </c>
      <c r="L4118" s="5">
        <f>ROUND(tblSales[[#This Row],[DPP (excl. VAT)]]*VATEff,0)</f>
        <v>280500</v>
      </c>
      <c r="M4118" s="5">
        <f>tblSales[[#This Row],[DPP (excl. VAT)]]+tblSales[[#This Row],[Output VAT]]</f>
        <v>2830500</v>
      </c>
      <c r="N4118" s="5">
        <f>tblSales[[#This Row],[Qty]]*_xlfn.XLOOKUP(tblSales[[#This Row],[Product Code]],tblProducts[Code],tblProducts[Unit Cost],0)</f>
        <v>1680000</v>
      </c>
      <c r="O4118" s="4" t="s">
        <v>4865</v>
      </c>
      <c r="P4118" s="4" t="s">
        <v>4860</v>
      </c>
      <c r="Q4118" s="1" t="str">
        <f>_xlfn.XLOOKUP(tblSales[[#This Row],[Channel Code]],tblChannels[Channel Code],tblChannels[Channel Name],"")</f>
        <v>In-store</v>
      </c>
      <c r="R4118" s="1">
        <f>MONTH(tblSales[[#This Row],[Date]])</f>
        <v>9</v>
      </c>
    </row>
    <row r="4119" spans="2:18" x14ac:dyDescent="0.35">
      <c r="B4119" s="113">
        <v>46269</v>
      </c>
      <c r="C4119" s="4" t="s">
        <v>2778</v>
      </c>
      <c r="D4119" s="4" t="s">
        <v>4568</v>
      </c>
      <c r="E4119" s="1" t="str">
        <f>_xlfn.XLOOKUP(tblSales[[#This Row],[Customer ID]],tblCustomers[Customer ID],tblCustomers[Customer Name],"⚠ Unknown")</f>
        <v>Walk-in Customer</v>
      </c>
      <c r="F4119" s="4" t="s">
        <v>7</v>
      </c>
      <c r="G4119" s="1" t="str">
        <f>_xlfn.XLOOKUP(tblSales[[#This Row],[Product Code]],tblProducts[Code],tblProducts[Product / Service Name],"⚠ Unknown")</f>
        <v>Premium Basic T-shirt</v>
      </c>
      <c r="H4119" s="1" t="str">
        <f>_xlfn.XLOOKUP(tblSales[[#This Row],[Product Code]],tblProducts[Code],tblProducts[Category],"")</f>
        <v>Accessories &amp; Basics</v>
      </c>
      <c r="I4119" s="4">
        <v>9</v>
      </c>
      <c r="J4119" s="5">
        <f>_xlfn.XLOOKUP(tblSales[[#This Row],[Product Code]],tblProducts[Code],tblProducts[Selling Price (excl. VAT)],0)</f>
        <v>65000</v>
      </c>
      <c r="K4119" s="5">
        <f>tblSales[[#This Row],[Qty]]*tblSales[[#This Row],[Unit Price]]</f>
        <v>585000</v>
      </c>
      <c r="L4119" s="5">
        <f>ROUND(tblSales[[#This Row],[DPP (excl. VAT)]]*VATEff,0)</f>
        <v>64350</v>
      </c>
      <c r="M4119" s="5">
        <f>tblSales[[#This Row],[DPP (excl. VAT)]]+tblSales[[#This Row],[Output VAT]]</f>
        <v>649350</v>
      </c>
      <c r="N4119" s="5">
        <f>tblSales[[#This Row],[Qty]]*_xlfn.XLOOKUP(tblSales[[#This Row],[Product Code]],tblProducts[Code],tblProducts[Unit Cost],0)</f>
        <v>333000</v>
      </c>
      <c r="O4119" s="4" t="s">
        <v>4865</v>
      </c>
      <c r="P4119" s="4" t="s">
        <v>4860</v>
      </c>
      <c r="Q4119" s="1" t="str">
        <f>_xlfn.XLOOKUP(tblSales[[#This Row],[Channel Code]],tblChannels[Channel Code],tblChannels[Channel Name],"")</f>
        <v>In-store</v>
      </c>
      <c r="R4119" s="1">
        <f>MONTH(tblSales[[#This Row],[Date]])</f>
        <v>9</v>
      </c>
    </row>
    <row r="4120" spans="2:18" x14ac:dyDescent="0.35">
      <c r="B4120" s="113">
        <v>46269</v>
      </c>
      <c r="C4120" s="4" t="s">
        <v>2779</v>
      </c>
      <c r="D4120" s="4" t="s">
        <v>4568</v>
      </c>
      <c r="E4120" s="1" t="str">
        <f>_xlfn.XLOOKUP(tblSales[[#This Row],[Customer ID]],tblCustomers[Customer ID],tblCustomers[Customer Name],"⚠ Unknown")</f>
        <v>Walk-in Customer</v>
      </c>
      <c r="F4120" s="4" t="s">
        <v>7</v>
      </c>
      <c r="G4120" s="1" t="str">
        <f>_xlfn.XLOOKUP(tblSales[[#This Row],[Product Code]],tblProducts[Code],tblProducts[Product / Service Name],"⚠ Unknown")</f>
        <v>Premium Basic T-shirt</v>
      </c>
      <c r="H4120" s="1" t="str">
        <f>_xlfn.XLOOKUP(tblSales[[#This Row],[Product Code]],tblProducts[Code],tblProducts[Category],"")</f>
        <v>Accessories &amp; Basics</v>
      </c>
      <c r="I4120" s="4">
        <v>5</v>
      </c>
      <c r="J4120" s="5">
        <f>_xlfn.XLOOKUP(tblSales[[#This Row],[Product Code]],tblProducts[Code],tblProducts[Selling Price (excl. VAT)],0)</f>
        <v>65000</v>
      </c>
      <c r="K4120" s="5">
        <f>tblSales[[#This Row],[Qty]]*tblSales[[#This Row],[Unit Price]]</f>
        <v>325000</v>
      </c>
      <c r="L4120" s="5">
        <f>ROUND(tblSales[[#This Row],[DPP (excl. VAT)]]*VATEff,0)</f>
        <v>35750</v>
      </c>
      <c r="M4120" s="5">
        <f>tblSales[[#This Row],[DPP (excl. VAT)]]+tblSales[[#This Row],[Output VAT]]</f>
        <v>360750</v>
      </c>
      <c r="N4120" s="5">
        <f>tblSales[[#This Row],[Qty]]*_xlfn.XLOOKUP(tblSales[[#This Row],[Product Code]],tblProducts[Code],tblProducts[Unit Cost],0)</f>
        <v>185000</v>
      </c>
      <c r="O4120" s="4" t="s">
        <v>4866</v>
      </c>
      <c r="P4120" s="4" t="s">
        <v>4860</v>
      </c>
      <c r="Q4120" s="1" t="str">
        <f>_xlfn.XLOOKUP(tblSales[[#This Row],[Channel Code]],tblChannels[Channel Code],tblChannels[Channel Name],"")</f>
        <v>In-store</v>
      </c>
      <c r="R4120" s="1">
        <f>MONTH(tblSales[[#This Row],[Date]])</f>
        <v>9</v>
      </c>
    </row>
    <row r="4121" spans="2:18" x14ac:dyDescent="0.35">
      <c r="B4121" s="113">
        <v>46269</v>
      </c>
      <c r="C4121" s="4" t="s">
        <v>2780</v>
      </c>
      <c r="D4121" s="4" t="s">
        <v>4568</v>
      </c>
      <c r="E4121" s="1" t="str">
        <f>_xlfn.XLOOKUP(tblSales[[#This Row],[Customer ID]],tblCustomers[Customer ID],tblCustomers[Customer Name],"⚠ Unknown")</f>
        <v>Walk-in Customer</v>
      </c>
      <c r="F4121" s="4" t="s">
        <v>13</v>
      </c>
      <c r="G4121" s="1" t="str">
        <f>_xlfn.XLOOKUP(tblSales[[#This Row],[Product Code]],tblProducts[Code],tblProducts[Product / Service Name],"⚠ Unknown")</f>
        <v>Backpack</v>
      </c>
      <c r="H4121" s="1" t="str">
        <f>_xlfn.XLOOKUP(tblSales[[#This Row],[Product Code]],tblProducts[Code],tblProducts[Category],"")</f>
        <v>Bags &amp; Gadgets</v>
      </c>
      <c r="I4121" s="4">
        <v>2</v>
      </c>
      <c r="J4121" s="5">
        <f>_xlfn.XLOOKUP(tblSales[[#This Row],[Product Code]],tblProducts[Code],tblProducts[Selling Price (excl. VAT)],0)</f>
        <v>500000</v>
      </c>
      <c r="K4121" s="5">
        <f>tblSales[[#This Row],[Qty]]*tblSales[[#This Row],[Unit Price]]</f>
        <v>1000000</v>
      </c>
      <c r="L4121" s="5">
        <f>ROUND(tblSales[[#This Row],[DPP (excl. VAT)]]*VATEff,0)</f>
        <v>110000</v>
      </c>
      <c r="M4121" s="5">
        <f>tblSales[[#This Row],[DPP (excl. VAT)]]+tblSales[[#This Row],[Output VAT]]</f>
        <v>1110000</v>
      </c>
      <c r="N4121" s="5">
        <f>tblSales[[#This Row],[Qty]]*_xlfn.XLOOKUP(tblSales[[#This Row],[Product Code]],tblProducts[Code],tblProducts[Unit Cost],0)</f>
        <v>580000</v>
      </c>
      <c r="O4121" s="4" t="s">
        <v>4865</v>
      </c>
      <c r="P4121" s="4" t="s">
        <v>4860</v>
      </c>
      <c r="Q4121" s="1" t="str">
        <f>_xlfn.XLOOKUP(tblSales[[#This Row],[Channel Code]],tblChannels[Channel Code],tblChannels[Channel Name],"")</f>
        <v>In-store</v>
      </c>
      <c r="R4121" s="1">
        <f>MONTH(tblSales[[#This Row],[Date]])</f>
        <v>9</v>
      </c>
    </row>
    <row r="4122" spans="2:18" x14ac:dyDescent="0.35">
      <c r="B4122" s="113">
        <v>46269</v>
      </c>
      <c r="C4122" s="4" t="s">
        <v>2781</v>
      </c>
      <c r="D4122" s="4" t="s">
        <v>4568</v>
      </c>
      <c r="E4122" s="1" t="str">
        <f>_xlfn.XLOOKUP(tblSales[[#This Row],[Customer ID]],tblCustomers[Customer ID],tblCustomers[Customer Name],"⚠ Unknown")</f>
        <v>Walk-in Customer</v>
      </c>
      <c r="F4122" s="4" t="s">
        <v>8</v>
      </c>
      <c r="G4122" s="1" t="str">
        <f>_xlfn.XLOOKUP(tblSales[[#This Row],[Product Code]],tblProducts[Code],tblProducts[Product / Service Name],"⚠ Unknown")</f>
        <v>Casual Shorts</v>
      </c>
      <c r="H4122" s="1" t="str">
        <f>_xlfn.XLOOKUP(tblSales[[#This Row],[Product Code]],tblProducts[Code],tblProducts[Category],"")</f>
        <v>Accessories &amp; Basics</v>
      </c>
      <c r="I4122" s="4">
        <v>9</v>
      </c>
      <c r="J4122" s="5">
        <f>_xlfn.XLOOKUP(tblSales[[#This Row],[Product Code]],tblProducts[Code],tblProducts[Selling Price (excl. VAT)],0)</f>
        <v>85000</v>
      </c>
      <c r="K4122" s="5">
        <f>tblSales[[#This Row],[Qty]]*tblSales[[#This Row],[Unit Price]]</f>
        <v>765000</v>
      </c>
      <c r="L4122" s="5">
        <f>ROUND(tblSales[[#This Row],[DPP (excl. VAT)]]*VATEff,0)</f>
        <v>84150</v>
      </c>
      <c r="M4122" s="5">
        <f>tblSales[[#This Row],[DPP (excl. VAT)]]+tblSales[[#This Row],[Output VAT]]</f>
        <v>849150</v>
      </c>
      <c r="N4122" s="5">
        <f>tblSales[[#This Row],[Qty]]*_xlfn.XLOOKUP(tblSales[[#This Row],[Product Code]],tblProducts[Code],tblProducts[Unit Cost],0)</f>
        <v>450000</v>
      </c>
      <c r="O4122" s="4" t="s">
        <v>4866</v>
      </c>
      <c r="P4122" s="4" t="s">
        <v>4860</v>
      </c>
      <c r="Q4122" s="1" t="str">
        <f>_xlfn.XLOOKUP(tblSales[[#This Row],[Channel Code]],tblChannels[Channel Code],tblChannels[Channel Name],"")</f>
        <v>In-store</v>
      </c>
      <c r="R4122" s="1">
        <f>MONTH(tblSales[[#This Row],[Date]])</f>
        <v>9</v>
      </c>
    </row>
    <row r="4123" spans="2:18" x14ac:dyDescent="0.35">
      <c r="B4123" s="113">
        <v>46269</v>
      </c>
      <c r="C4123" s="4" t="s">
        <v>2782</v>
      </c>
      <c r="D4123" s="4" t="s">
        <v>4568</v>
      </c>
      <c r="E4123" s="1" t="str">
        <f>_xlfn.XLOOKUP(tblSales[[#This Row],[Customer ID]],tblCustomers[Customer ID],tblCustomers[Customer Name],"⚠ Unknown")</f>
        <v>Walk-in Customer</v>
      </c>
      <c r="F4123" s="4" t="s">
        <v>6</v>
      </c>
      <c r="G4123" s="1" t="str">
        <f>_xlfn.XLOOKUP(tblSales[[#This Row],[Product Code]],tblProducts[Code],tblProducts[Product / Service Name],"⚠ Unknown")</f>
        <v>Socks &amp; Accessories</v>
      </c>
      <c r="H4123" s="1" t="str">
        <f>_xlfn.XLOOKUP(tblSales[[#This Row],[Product Code]],tblProducts[Code],tblProducts[Category],"")</f>
        <v>Accessories &amp; Basics</v>
      </c>
      <c r="I4123" s="4">
        <v>9</v>
      </c>
      <c r="J4123" s="5">
        <f>_xlfn.XLOOKUP(tblSales[[#This Row],[Product Code]],tblProducts[Code],tblProducts[Selling Price (excl. VAT)],0)</f>
        <v>45000</v>
      </c>
      <c r="K4123" s="5">
        <f>tblSales[[#This Row],[Qty]]*tblSales[[#This Row],[Unit Price]]</f>
        <v>405000</v>
      </c>
      <c r="L4123" s="5">
        <f>ROUND(tblSales[[#This Row],[DPP (excl. VAT)]]*VATEff,0)</f>
        <v>44550</v>
      </c>
      <c r="M4123" s="5">
        <f>tblSales[[#This Row],[DPP (excl. VAT)]]+tblSales[[#This Row],[Output VAT]]</f>
        <v>449550</v>
      </c>
      <c r="N4123" s="5">
        <f>tblSales[[#This Row],[Qty]]*_xlfn.XLOOKUP(tblSales[[#This Row],[Product Code]],tblProducts[Code],tblProducts[Unit Cost],0)</f>
        <v>216000</v>
      </c>
      <c r="O4123" s="4" t="s">
        <v>4866</v>
      </c>
      <c r="P4123" s="4" t="s">
        <v>4861</v>
      </c>
      <c r="Q4123" s="1" t="str">
        <f>_xlfn.XLOOKUP(tblSales[[#This Row],[Channel Code]],tblChannels[Channel Code],tblChannels[Channel Name],"")</f>
        <v>Marketplace</v>
      </c>
      <c r="R4123" s="1">
        <f>MONTH(tblSales[[#This Row],[Date]])</f>
        <v>9</v>
      </c>
    </row>
    <row r="4124" spans="2:18" x14ac:dyDescent="0.35">
      <c r="B4124" s="113">
        <v>46269</v>
      </c>
      <c r="C4124" s="4" t="s">
        <v>2783</v>
      </c>
      <c r="D4124" s="4" t="s">
        <v>4634</v>
      </c>
      <c r="E4124" s="1" t="str">
        <f>_xlfn.XLOOKUP(tblSales[[#This Row],[Customer ID]],tblCustomers[Customer ID],tblCustomers[Customer Name],"⚠ Unknown")</f>
        <v>PT Delta Inti Selaras</v>
      </c>
      <c r="F4124" s="4" t="s">
        <v>11</v>
      </c>
      <c r="G4124" s="1" t="str">
        <f>_xlfn.XLOOKUP(tblSales[[#This Row],[Product Code]],tblProducts[Code],tblProducts[Product / Service Name],"⚠ Unknown")</f>
        <v>Sneakers</v>
      </c>
      <c r="H4124" s="1" t="str">
        <f>_xlfn.XLOOKUP(tblSales[[#This Row],[Product Code]],tblProducts[Code],tblProducts[Category],"")</f>
        <v>Apparel &amp; Footwear</v>
      </c>
      <c r="I4124" s="4">
        <v>32</v>
      </c>
      <c r="J4124" s="5">
        <f>_xlfn.XLOOKUP(tblSales[[#This Row],[Product Code]],tblProducts[Code],tblProducts[Selling Price (excl. VAT)],0)</f>
        <v>250000</v>
      </c>
      <c r="K4124" s="5">
        <f>tblSales[[#This Row],[Qty]]*tblSales[[#This Row],[Unit Price]]</f>
        <v>8000000</v>
      </c>
      <c r="L4124" s="5">
        <f>ROUND(tblSales[[#This Row],[DPP (excl. VAT)]]*VATEff,0)</f>
        <v>880000</v>
      </c>
      <c r="M4124" s="5">
        <f>tblSales[[#This Row],[DPP (excl. VAT)]]+tblSales[[#This Row],[Output VAT]]</f>
        <v>8880000</v>
      </c>
      <c r="N4124" s="5">
        <f>tblSales[[#This Row],[Qty]]*_xlfn.XLOOKUP(tblSales[[#This Row],[Product Code]],tblProducts[Code],tblProducts[Unit Cost],0)</f>
        <v>4960000</v>
      </c>
      <c r="O4124" s="4" t="s">
        <v>4867</v>
      </c>
      <c r="P4124" s="4" t="s">
        <v>4862</v>
      </c>
      <c r="Q4124" s="1" t="str">
        <f>_xlfn.XLOOKUP(tblSales[[#This Row],[Channel Code]],tblChannels[Channel Code],tblChannels[Channel Name],"")</f>
        <v>Website &amp; Social Media</v>
      </c>
      <c r="R4124" s="1">
        <f>MONTH(tblSales[[#This Row],[Date]])</f>
        <v>9</v>
      </c>
    </row>
    <row r="4125" spans="2:18" x14ac:dyDescent="0.35">
      <c r="B4125" s="113">
        <v>46269</v>
      </c>
      <c r="C4125" s="4" t="s">
        <v>2784</v>
      </c>
      <c r="D4125" s="4" t="s">
        <v>4572</v>
      </c>
      <c r="E4125" s="1" t="str">
        <f>_xlfn.XLOOKUP(tblSales[[#This Row],[Customer ID]],tblCustomers[Customer ID],tblCustomers[Customer Name],"⚠ Unknown")</f>
        <v>PT Cahaya Abadi Makmur</v>
      </c>
      <c r="F4125" s="4" t="s">
        <v>13</v>
      </c>
      <c r="G4125" s="1" t="str">
        <f>_xlfn.XLOOKUP(tblSales[[#This Row],[Product Code]],tblProducts[Code],tblProducts[Product / Service Name],"⚠ Unknown")</f>
        <v>Backpack</v>
      </c>
      <c r="H4125" s="1" t="str">
        <f>_xlfn.XLOOKUP(tblSales[[#This Row],[Product Code]],tblProducts[Code],tblProducts[Category],"")</f>
        <v>Bags &amp; Gadgets</v>
      </c>
      <c r="I4125" s="4">
        <v>48</v>
      </c>
      <c r="J4125" s="5">
        <f>_xlfn.XLOOKUP(tblSales[[#This Row],[Product Code]],tblProducts[Code],tblProducts[Selling Price (excl. VAT)],0)</f>
        <v>500000</v>
      </c>
      <c r="K4125" s="5">
        <f>tblSales[[#This Row],[Qty]]*tblSales[[#This Row],[Unit Price]]</f>
        <v>24000000</v>
      </c>
      <c r="L4125" s="5">
        <f>ROUND(tblSales[[#This Row],[DPP (excl. VAT)]]*VATEff,0)</f>
        <v>2640000</v>
      </c>
      <c r="M4125" s="5">
        <f>tblSales[[#This Row],[DPP (excl. VAT)]]+tblSales[[#This Row],[Output VAT]]</f>
        <v>26640000</v>
      </c>
      <c r="N4125" s="5">
        <f>tblSales[[#This Row],[Qty]]*_xlfn.XLOOKUP(tblSales[[#This Row],[Product Code]],tblProducts[Code],tblProducts[Unit Cost],0)</f>
        <v>13920000</v>
      </c>
      <c r="O4125" s="4" t="s">
        <v>4867</v>
      </c>
      <c r="P4125" s="4" t="s">
        <v>4860</v>
      </c>
      <c r="Q4125" s="1" t="str">
        <f>_xlfn.XLOOKUP(tblSales[[#This Row],[Channel Code]],tblChannels[Channel Code],tblChannels[Channel Name],"")</f>
        <v>In-store</v>
      </c>
      <c r="R4125" s="1">
        <f>MONTH(tblSales[[#This Row],[Date]])</f>
        <v>9</v>
      </c>
    </row>
    <row r="4126" spans="2:18" x14ac:dyDescent="0.35">
      <c r="B4126" s="113">
        <v>46269</v>
      </c>
      <c r="C4126" s="4" t="s">
        <v>2784</v>
      </c>
      <c r="D4126" s="4" t="s">
        <v>4572</v>
      </c>
      <c r="E4126" s="1" t="str">
        <f>_xlfn.XLOOKUP(tblSales[[#This Row],[Customer ID]],tblCustomers[Customer ID],tblCustomers[Customer Name],"⚠ Unknown")</f>
        <v>PT Cahaya Abadi Makmur</v>
      </c>
      <c r="F4126" s="4" t="s">
        <v>8</v>
      </c>
      <c r="G4126" s="1" t="str">
        <f>_xlfn.XLOOKUP(tblSales[[#This Row],[Product Code]],tblProducts[Code],tblProducts[Product / Service Name],"⚠ Unknown")</f>
        <v>Casual Shorts</v>
      </c>
      <c r="H4126" s="1" t="str">
        <f>_xlfn.XLOOKUP(tblSales[[#This Row],[Product Code]],tblProducts[Code],tblProducts[Category],"")</f>
        <v>Accessories &amp; Basics</v>
      </c>
      <c r="I4126" s="4">
        <v>72</v>
      </c>
      <c r="J4126" s="5">
        <f>_xlfn.XLOOKUP(tblSales[[#This Row],[Product Code]],tblProducts[Code],tblProducts[Selling Price (excl. VAT)],0)</f>
        <v>85000</v>
      </c>
      <c r="K4126" s="5">
        <f>tblSales[[#This Row],[Qty]]*tblSales[[#This Row],[Unit Price]]</f>
        <v>6120000</v>
      </c>
      <c r="L4126" s="5">
        <f>ROUND(tblSales[[#This Row],[DPP (excl. VAT)]]*VATEff,0)</f>
        <v>673200</v>
      </c>
      <c r="M4126" s="5">
        <f>tblSales[[#This Row],[DPP (excl. VAT)]]+tblSales[[#This Row],[Output VAT]]</f>
        <v>6793200</v>
      </c>
      <c r="N4126" s="5">
        <f>tblSales[[#This Row],[Qty]]*_xlfn.XLOOKUP(tblSales[[#This Row],[Product Code]],tblProducts[Code],tblProducts[Unit Cost],0)</f>
        <v>3600000</v>
      </c>
      <c r="O4126" s="4" t="s">
        <v>4867</v>
      </c>
      <c r="P4126" s="4" t="s">
        <v>4860</v>
      </c>
      <c r="Q4126" s="1" t="str">
        <f>_xlfn.XLOOKUP(tblSales[[#This Row],[Channel Code]],tblChannels[Channel Code],tblChannels[Channel Name],"")</f>
        <v>In-store</v>
      </c>
      <c r="R4126" s="1">
        <f>MONTH(tblSales[[#This Row],[Date]])</f>
        <v>9</v>
      </c>
    </row>
    <row r="4127" spans="2:18" x14ac:dyDescent="0.35">
      <c r="B4127" s="113">
        <v>46269</v>
      </c>
      <c r="C4127" s="4" t="s">
        <v>2785</v>
      </c>
      <c r="D4127" s="4" t="s">
        <v>4648</v>
      </c>
      <c r="E4127" s="1" t="str">
        <f>_xlfn.XLOOKUP(tblSales[[#This Row],[Customer ID]],tblCustomers[Customer ID],tblCustomers[Customer Name],"⚠ Unknown")</f>
        <v>PT Lintas Benua Niaga</v>
      </c>
      <c r="F4127" s="4" t="s">
        <v>8</v>
      </c>
      <c r="G4127" s="1" t="str">
        <f>_xlfn.XLOOKUP(tblSales[[#This Row],[Product Code]],tblProducts[Code],tblProducts[Product / Service Name],"⚠ Unknown")</f>
        <v>Casual Shorts</v>
      </c>
      <c r="H4127" s="1" t="str">
        <f>_xlfn.XLOOKUP(tblSales[[#This Row],[Product Code]],tblProducts[Code],tblProducts[Category],"")</f>
        <v>Accessories &amp; Basics</v>
      </c>
      <c r="I4127" s="4">
        <v>56</v>
      </c>
      <c r="J4127" s="5">
        <f>_xlfn.XLOOKUP(tblSales[[#This Row],[Product Code]],tblProducts[Code],tblProducts[Selling Price (excl. VAT)],0)</f>
        <v>85000</v>
      </c>
      <c r="K4127" s="5">
        <f>tblSales[[#This Row],[Qty]]*tblSales[[#This Row],[Unit Price]]</f>
        <v>4760000</v>
      </c>
      <c r="L4127" s="5">
        <f>ROUND(tblSales[[#This Row],[DPP (excl. VAT)]]*VATEff,0)</f>
        <v>523600</v>
      </c>
      <c r="M4127" s="5">
        <f>tblSales[[#This Row],[DPP (excl. VAT)]]+tblSales[[#This Row],[Output VAT]]</f>
        <v>5283600</v>
      </c>
      <c r="N4127" s="5">
        <f>tblSales[[#This Row],[Qty]]*_xlfn.XLOOKUP(tblSales[[#This Row],[Product Code]],tblProducts[Code],tblProducts[Unit Cost],0)</f>
        <v>2800000</v>
      </c>
      <c r="O4127" s="4" t="s">
        <v>4867</v>
      </c>
      <c r="P4127" s="4" t="s">
        <v>4860</v>
      </c>
      <c r="Q4127" s="1" t="str">
        <f>_xlfn.XLOOKUP(tblSales[[#This Row],[Channel Code]],tblChannels[Channel Code],tblChannels[Channel Name],"")</f>
        <v>In-store</v>
      </c>
      <c r="R4127" s="1">
        <f>MONTH(tblSales[[#This Row],[Date]])</f>
        <v>9</v>
      </c>
    </row>
    <row r="4128" spans="2:18" x14ac:dyDescent="0.35">
      <c r="B4128" s="113">
        <v>46270</v>
      </c>
      <c r="C4128" s="4" t="s">
        <v>2786</v>
      </c>
      <c r="D4128" s="4" t="s">
        <v>4568</v>
      </c>
      <c r="E4128" s="1" t="str">
        <f>_xlfn.XLOOKUP(tblSales[[#This Row],[Customer ID]],tblCustomers[Customer ID],tblCustomers[Customer Name],"⚠ Unknown")</f>
        <v>Walk-in Customer</v>
      </c>
      <c r="F4128" s="4" t="s">
        <v>7</v>
      </c>
      <c r="G4128" s="1" t="str">
        <f>_xlfn.XLOOKUP(tblSales[[#This Row],[Product Code]],tblProducts[Code],tblProducts[Product / Service Name],"⚠ Unknown")</f>
        <v>Premium Basic T-shirt</v>
      </c>
      <c r="H4128" s="1" t="str">
        <f>_xlfn.XLOOKUP(tblSales[[#This Row],[Product Code]],tblProducts[Code],tblProducts[Category],"")</f>
        <v>Accessories &amp; Basics</v>
      </c>
      <c r="I4128" s="4">
        <v>4</v>
      </c>
      <c r="J4128" s="5">
        <f>_xlfn.XLOOKUP(tblSales[[#This Row],[Product Code]],tblProducts[Code],tblProducts[Selling Price (excl. VAT)],0)</f>
        <v>65000</v>
      </c>
      <c r="K4128" s="5">
        <f>tblSales[[#This Row],[Qty]]*tblSales[[#This Row],[Unit Price]]</f>
        <v>260000</v>
      </c>
      <c r="L4128" s="5">
        <f>ROUND(tblSales[[#This Row],[DPP (excl. VAT)]]*VATEff,0)</f>
        <v>28600</v>
      </c>
      <c r="M4128" s="5">
        <f>tblSales[[#This Row],[DPP (excl. VAT)]]+tblSales[[#This Row],[Output VAT]]</f>
        <v>288600</v>
      </c>
      <c r="N4128" s="5">
        <f>tblSales[[#This Row],[Qty]]*_xlfn.XLOOKUP(tblSales[[#This Row],[Product Code]],tblProducts[Code],tblProducts[Unit Cost],0)</f>
        <v>148000</v>
      </c>
      <c r="O4128" s="4" t="s">
        <v>4866</v>
      </c>
      <c r="P4128" s="4" t="s">
        <v>4861</v>
      </c>
      <c r="Q4128" s="1" t="str">
        <f>_xlfn.XLOOKUP(tblSales[[#This Row],[Channel Code]],tblChannels[Channel Code],tblChannels[Channel Name],"")</f>
        <v>Marketplace</v>
      </c>
      <c r="R4128" s="1">
        <f>MONTH(tblSales[[#This Row],[Date]])</f>
        <v>9</v>
      </c>
    </row>
    <row r="4129" spans="2:18" x14ac:dyDescent="0.35">
      <c r="B4129" s="113">
        <v>46270</v>
      </c>
      <c r="C4129" s="4" t="s">
        <v>2786</v>
      </c>
      <c r="D4129" s="4" t="s">
        <v>4568</v>
      </c>
      <c r="E4129" s="1" t="str">
        <f>_xlfn.XLOOKUP(tblSales[[#This Row],[Customer ID]],tblCustomers[Customer ID],tblCustomers[Customer Name],"⚠ Unknown")</f>
        <v>Walk-in Customer</v>
      </c>
      <c r="F4129" s="4" t="s">
        <v>8</v>
      </c>
      <c r="G4129" s="1" t="str">
        <f>_xlfn.XLOOKUP(tblSales[[#This Row],[Product Code]],tblProducts[Code],tblProducts[Product / Service Name],"⚠ Unknown")</f>
        <v>Casual Shorts</v>
      </c>
      <c r="H4129" s="1" t="str">
        <f>_xlfn.XLOOKUP(tblSales[[#This Row],[Product Code]],tblProducts[Code],tblProducts[Category],"")</f>
        <v>Accessories &amp; Basics</v>
      </c>
      <c r="I4129" s="4">
        <v>12</v>
      </c>
      <c r="J4129" s="5">
        <f>_xlfn.XLOOKUP(tblSales[[#This Row],[Product Code]],tblProducts[Code],tblProducts[Selling Price (excl. VAT)],0)</f>
        <v>85000</v>
      </c>
      <c r="K4129" s="5">
        <f>tblSales[[#This Row],[Qty]]*tblSales[[#This Row],[Unit Price]]</f>
        <v>1020000</v>
      </c>
      <c r="L4129" s="5">
        <f>ROUND(tblSales[[#This Row],[DPP (excl. VAT)]]*VATEff,0)</f>
        <v>112200</v>
      </c>
      <c r="M4129" s="5">
        <f>tblSales[[#This Row],[DPP (excl. VAT)]]+tblSales[[#This Row],[Output VAT]]</f>
        <v>1132200</v>
      </c>
      <c r="N4129" s="5">
        <f>tblSales[[#This Row],[Qty]]*_xlfn.XLOOKUP(tblSales[[#This Row],[Product Code]],tblProducts[Code],tblProducts[Unit Cost],0)</f>
        <v>600000</v>
      </c>
      <c r="O4129" s="4" t="s">
        <v>4866</v>
      </c>
      <c r="P4129" s="4" t="s">
        <v>4861</v>
      </c>
      <c r="Q4129" s="1" t="str">
        <f>_xlfn.XLOOKUP(tblSales[[#This Row],[Channel Code]],tblChannels[Channel Code],tblChannels[Channel Name],"")</f>
        <v>Marketplace</v>
      </c>
      <c r="R4129" s="1">
        <f>MONTH(tblSales[[#This Row],[Date]])</f>
        <v>9</v>
      </c>
    </row>
    <row r="4130" spans="2:18" x14ac:dyDescent="0.35">
      <c r="B4130" s="113">
        <v>46270</v>
      </c>
      <c r="C4130" s="4" t="s">
        <v>2786</v>
      </c>
      <c r="D4130" s="4" t="s">
        <v>4568</v>
      </c>
      <c r="E4130" s="1" t="str">
        <f>_xlfn.XLOOKUP(tblSales[[#This Row],[Customer ID]],tblCustomers[Customer ID],tblCustomers[Customer Name],"⚠ Unknown")</f>
        <v>Walk-in Customer</v>
      </c>
      <c r="F4130" s="4" t="s">
        <v>9</v>
      </c>
      <c r="G4130" s="1" t="str">
        <f>_xlfn.XLOOKUP(tblSales[[#This Row],[Product Code]],tblProducts[Code],tblProducts[Product / Service Name],"⚠ Unknown")</f>
        <v>Casual Shirt</v>
      </c>
      <c r="H4130" s="1" t="str">
        <f>_xlfn.XLOOKUP(tblSales[[#This Row],[Product Code]],tblProducts[Code],tblProducts[Category],"")</f>
        <v>Apparel &amp; Footwear</v>
      </c>
      <c r="I4130" s="4">
        <v>12</v>
      </c>
      <c r="J4130" s="5">
        <f>_xlfn.XLOOKUP(tblSales[[#This Row],[Product Code]],tblProducts[Code],tblProducts[Selling Price (excl. VAT)],0)</f>
        <v>120000</v>
      </c>
      <c r="K4130" s="5">
        <f>tblSales[[#This Row],[Qty]]*tblSales[[#This Row],[Unit Price]]</f>
        <v>1440000</v>
      </c>
      <c r="L4130" s="5">
        <f>ROUND(tblSales[[#This Row],[DPP (excl. VAT)]]*VATEff,0)</f>
        <v>158400</v>
      </c>
      <c r="M4130" s="5">
        <f>tblSales[[#This Row],[DPP (excl. VAT)]]+tblSales[[#This Row],[Output VAT]]</f>
        <v>1598400</v>
      </c>
      <c r="N4130" s="5">
        <f>tblSales[[#This Row],[Qty]]*_xlfn.XLOOKUP(tblSales[[#This Row],[Product Code]],tblProducts[Code],tblProducts[Unit Cost],0)</f>
        <v>864000</v>
      </c>
      <c r="O4130" s="4" t="s">
        <v>4866</v>
      </c>
      <c r="P4130" s="4" t="s">
        <v>4861</v>
      </c>
      <c r="Q4130" s="1" t="str">
        <f>_xlfn.XLOOKUP(tblSales[[#This Row],[Channel Code]],tblChannels[Channel Code],tblChannels[Channel Name],"")</f>
        <v>Marketplace</v>
      </c>
      <c r="R4130" s="1">
        <f>MONTH(tblSales[[#This Row],[Date]])</f>
        <v>9</v>
      </c>
    </row>
    <row r="4131" spans="2:18" x14ac:dyDescent="0.35">
      <c r="B4131" s="113">
        <v>46270</v>
      </c>
      <c r="C4131" s="4" t="s">
        <v>2787</v>
      </c>
      <c r="D4131" s="4" t="s">
        <v>4606</v>
      </c>
      <c r="E4131" s="1" t="str">
        <f>_xlfn.XLOOKUP(tblSales[[#This Row],[Customer ID]],tblCustomers[Customer ID],tblCustomers[Customer Name],"⚠ Unknown")</f>
        <v>PT Arunika Digital Kreatif</v>
      </c>
      <c r="F4131" s="4" t="s">
        <v>8</v>
      </c>
      <c r="G4131" s="1" t="str">
        <f>_xlfn.XLOOKUP(tblSales[[#This Row],[Product Code]],tblProducts[Code],tblProducts[Product / Service Name],"⚠ Unknown")</f>
        <v>Casual Shorts</v>
      </c>
      <c r="H4131" s="1" t="str">
        <f>_xlfn.XLOOKUP(tblSales[[#This Row],[Product Code]],tblProducts[Code],tblProducts[Category],"")</f>
        <v>Accessories &amp; Basics</v>
      </c>
      <c r="I4131" s="4">
        <v>72</v>
      </c>
      <c r="J4131" s="5">
        <f>_xlfn.XLOOKUP(tblSales[[#This Row],[Product Code]],tblProducts[Code],tblProducts[Selling Price (excl. VAT)],0)</f>
        <v>85000</v>
      </c>
      <c r="K4131" s="5">
        <f>tblSales[[#This Row],[Qty]]*tblSales[[#This Row],[Unit Price]]</f>
        <v>6120000</v>
      </c>
      <c r="L4131" s="5">
        <f>ROUND(tblSales[[#This Row],[DPP (excl. VAT)]]*VATEff,0)</f>
        <v>673200</v>
      </c>
      <c r="M4131" s="5">
        <f>tblSales[[#This Row],[DPP (excl. VAT)]]+tblSales[[#This Row],[Output VAT]]</f>
        <v>6793200</v>
      </c>
      <c r="N4131" s="5">
        <f>tblSales[[#This Row],[Qty]]*_xlfn.XLOOKUP(tblSales[[#This Row],[Product Code]],tblProducts[Code],tblProducts[Unit Cost],0)</f>
        <v>3600000</v>
      </c>
      <c r="O4131" s="4" t="s">
        <v>4867</v>
      </c>
      <c r="P4131" s="4" t="s">
        <v>4862</v>
      </c>
      <c r="Q4131" s="1" t="str">
        <f>_xlfn.XLOOKUP(tblSales[[#This Row],[Channel Code]],tblChannels[Channel Code],tblChannels[Channel Name],"")</f>
        <v>Website &amp; Social Media</v>
      </c>
      <c r="R4131" s="1">
        <f>MONTH(tblSales[[#This Row],[Date]])</f>
        <v>9</v>
      </c>
    </row>
    <row r="4132" spans="2:18" x14ac:dyDescent="0.35">
      <c r="B4132" s="113">
        <v>46270</v>
      </c>
      <c r="C4132" s="4" t="s">
        <v>2788</v>
      </c>
      <c r="D4132" s="4" t="s">
        <v>4568</v>
      </c>
      <c r="E4132" s="1" t="str">
        <f>_xlfn.XLOOKUP(tblSales[[#This Row],[Customer ID]],tblCustomers[Customer ID],tblCustomers[Customer Name],"⚠ Unknown")</f>
        <v>Walk-in Customer</v>
      </c>
      <c r="F4132" s="4" t="s">
        <v>7</v>
      </c>
      <c r="G4132" s="1" t="str">
        <f>_xlfn.XLOOKUP(tblSales[[#This Row],[Product Code]],tblProducts[Code],tblProducts[Product / Service Name],"⚠ Unknown")</f>
        <v>Premium Basic T-shirt</v>
      </c>
      <c r="H4132" s="1" t="str">
        <f>_xlfn.XLOOKUP(tblSales[[#This Row],[Product Code]],tblProducts[Code],tblProducts[Category],"")</f>
        <v>Accessories &amp; Basics</v>
      </c>
      <c r="I4132" s="4">
        <v>2</v>
      </c>
      <c r="J4132" s="5">
        <f>_xlfn.XLOOKUP(tblSales[[#This Row],[Product Code]],tblProducts[Code],tblProducts[Selling Price (excl. VAT)],0)</f>
        <v>65000</v>
      </c>
      <c r="K4132" s="5">
        <f>tblSales[[#This Row],[Qty]]*tblSales[[#This Row],[Unit Price]]</f>
        <v>130000</v>
      </c>
      <c r="L4132" s="5">
        <f>ROUND(tblSales[[#This Row],[DPP (excl. VAT)]]*VATEff,0)</f>
        <v>14300</v>
      </c>
      <c r="M4132" s="5">
        <f>tblSales[[#This Row],[DPP (excl. VAT)]]+tblSales[[#This Row],[Output VAT]]</f>
        <v>144300</v>
      </c>
      <c r="N4132" s="5">
        <f>tblSales[[#This Row],[Qty]]*_xlfn.XLOOKUP(tblSales[[#This Row],[Product Code]],tblProducts[Code],tblProducts[Unit Cost],0)</f>
        <v>74000</v>
      </c>
      <c r="O4132" s="4" t="s">
        <v>4866</v>
      </c>
      <c r="P4132" s="4" t="s">
        <v>4861</v>
      </c>
      <c r="Q4132" s="1" t="str">
        <f>_xlfn.XLOOKUP(tblSales[[#This Row],[Channel Code]],tblChannels[Channel Code],tblChannels[Channel Name],"")</f>
        <v>Marketplace</v>
      </c>
      <c r="R4132" s="1">
        <f>MONTH(tblSales[[#This Row],[Date]])</f>
        <v>9</v>
      </c>
    </row>
    <row r="4133" spans="2:18" x14ac:dyDescent="0.35">
      <c r="B4133" s="113">
        <v>46270</v>
      </c>
      <c r="C4133" s="4" t="s">
        <v>2789</v>
      </c>
      <c r="D4133" s="4" t="s">
        <v>4568</v>
      </c>
      <c r="E4133" s="1" t="str">
        <f>_xlfn.XLOOKUP(tblSales[[#This Row],[Customer ID]],tblCustomers[Customer ID],tblCustomers[Customer Name],"⚠ Unknown")</f>
        <v>Walk-in Customer</v>
      </c>
      <c r="F4133" s="4" t="s">
        <v>6</v>
      </c>
      <c r="G4133" s="1" t="str">
        <f>_xlfn.XLOOKUP(tblSales[[#This Row],[Product Code]],tblProducts[Code],tblProducts[Product / Service Name],"⚠ Unknown")</f>
        <v>Socks &amp; Accessories</v>
      </c>
      <c r="H4133" s="1" t="str">
        <f>_xlfn.XLOOKUP(tblSales[[#This Row],[Product Code]],tblProducts[Code],tblProducts[Category],"")</f>
        <v>Accessories &amp; Basics</v>
      </c>
      <c r="I4133" s="4">
        <v>3</v>
      </c>
      <c r="J4133" s="5">
        <f>_xlfn.XLOOKUP(tblSales[[#This Row],[Product Code]],tblProducts[Code],tblProducts[Selling Price (excl. VAT)],0)</f>
        <v>45000</v>
      </c>
      <c r="K4133" s="5">
        <f>tblSales[[#This Row],[Qty]]*tblSales[[#This Row],[Unit Price]]</f>
        <v>135000</v>
      </c>
      <c r="L4133" s="5">
        <f>ROUND(tblSales[[#This Row],[DPP (excl. VAT)]]*VATEff,0)</f>
        <v>14850</v>
      </c>
      <c r="M4133" s="5">
        <f>tblSales[[#This Row],[DPP (excl. VAT)]]+tblSales[[#This Row],[Output VAT]]</f>
        <v>149850</v>
      </c>
      <c r="N4133" s="5">
        <f>tblSales[[#This Row],[Qty]]*_xlfn.XLOOKUP(tblSales[[#This Row],[Product Code]],tblProducts[Code],tblProducts[Unit Cost],0)</f>
        <v>72000</v>
      </c>
      <c r="O4133" s="4" t="s">
        <v>4865</v>
      </c>
      <c r="P4133" s="4" t="s">
        <v>4860</v>
      </c>
      <c r="Q4133" s="1" t="str">
        <f>_xlfn.XLOOKUP(tblSales[[#This Row],[Channel Code]],tblChannels[Channel Code],tblChannels[Channel Name],"")</f>
        <v>In-store</v>
      </c>
      <c r="R4133" s="1">
        <f>MONTH(tblSales[[#This Row],[Date]])</f>
        <v>9</v>
      </c>
    </row>
    <row r="4134" spans="2:18" x14ac:dyDescent="0.35">
      <c r="B4134" s="113">
        <v>46270</v>
      </c>
      <c r="C4134" s="4" t="s">
        <v>2790</v>
      </c>
      <c r="D4134" s="4" t="s">
        <v>4648</v>
      </c>
      <c r="E4134" s="1" t="str">
        <f>_xlfn.XLOOKUP(tblSales[[#This Row],[Customer ID]],tblCustomers[Customer ID],tblCustomers[Customer Name],"⚠ Unknown")</f>
        <v>PT Lintas Benua Niaga</v>
      </c>
      <c r="F4134" s="4" t="s">
        <v>9</v>
      </c>
      <c r="G4134" s="1" t="str">
        <f>_xlfn.XLOOKUP(tblSales[[#This Row],[Product Code]],tblProducts[Code],tblProducts[Product / Service Name],"⚠ Unknown")</f>
        <v>Casual Shirt</v>
      </c>
      <c r="H4134" s="1" t="str">
        <f>_xlfn.XLOOKUP(tblSales[[#This Row],[Product Code]],tblProducts[Code],tblProducts[Category],"")</f>
        <v>Apparel &amp; Footwear</v>
      </c>
      <c r="I4134" s="4">
        <v>40</v>
      </c>
      <c r="J4134" s="5">
        <f>_xlfn.XLOOKUP(tblSales[[#This Row],[Product Code]],tblProducts[Code],tblProducts[Selling Price (excl. VAT)],0)</f>
        <v>120000</v>
      </c>
      <c r="K4134" s="5">
        <f>tblSales[[#This Row],[Qty]]*tblSales[[#This Row],[Unit Price]]</f>
        <v>4800000</v>
      </c>
      <c r="L4134" s="5">
        <f>ROUND(tblSales[[#This Row],[DPP (excl. VAT)]]*VATEff,0)</f>
        <v>528000</v>
      </c>
      <c r="M4134" s="5">
        <f>tblSales[[#This Row],[DPP (excl. VAT)]]+tblSales[[#This Row],[Output VAT]]</f>
        <v>5328000</v>
      </c>
      <c r="N4134" s="5">
        <f>tblSales[[#This Row],[Qty]]*_xlfn.XLOOKUP(tblSales[[#This Row],[Product Code]],tblProducts[Code],tblProducts[Unit Cost],0)</f>
        <v>2880000</v>
      </c>
      <c r="O4134" s="4" t="s">
        <v>4867</v>
      </c>
      <c r="P4134" s="4" t="s">
        <v>4860</v>
      </c>
      <c r="Q4134" s="1" t="str">
        <f>_xlfn.XLOOKUP(tblSales[[#This Row],[Channel Code]],tblChannels[Channel Code],tblChannels[Channel Name],"")</f>
        <v>In-store</v>
      </c>
      <c r="R4134" s="1">
        <f>MONTH(tblSales[[#This Row],[Date]])</f>
        <v>9</v>
      </c>
    </row>
    <row r="4135" spans="2:18" x14ac:dyDescent="0.35">
      <c r="B4135" s="113">
        <v>46270</v>
      </c>
      <c r="C4135" s="4" t="s">
        <v>2791</v>
      </c>
      <c r="D4135" s="4" t="s">
        <v>4568</v>
      </c>
      <c r="E4135" s="1" t="str">
        <f>_xlfn.XLOOKUP(tblSales[[#This Row],[Customer ID]],tblCustomers[Customer ID],tblCustomers[Customer Name],"⚠ Unknown")</f>
        <v>Walk-in Customer</v>
      </c>
      <c r="F4135" s="4" t="s">
        <v>10</v>
      </c>
      <c r="G4135" s="1" t="str">
        <f>_xlfn.XLOOKUP(tblSales[[#This Row],[Product Code]],tblProducts[Code],tblProducts[Product / Service Name],"⚠ Unknown")</f>
        <v>Chino Pants</v>
      </c>
      <c r="H4135" s="1" t="str">
        <f>_xlfn.XLOOKUP(tblSales[[#This Row],[Product Code]],tblProducts[Code],tblProducts[Category],"")</f>
        <v>Apparel &amp; Footwear</v>
      </c>
      <c r="I4135" s="4">
        <v>9</v>
      </c>
      <c r="J4135" s="5">
        <f>_xlfn.XLOOKUP(tblSales[[#This Row],[Product Code]],tblProducts[Code],tblProducts[Selling Price (excl. VAT)],0)</f>
        <v>150000</v>
      </c>
      <c r="K4135" s="5">
        <f>tblSales[[#This Row],[Qty]]*tblSales[[#This Row],[Unit Price]]</f>
        <v>1350000</v>
      </c>
      <c r="L4135" s="5">
        <f>ROUND(tblSales[[#This Row],[DPP (excl. VAT)]]*VATEff,0)</f>
        <v>148500</v>
      </c>
      <c r="M4135" s="5">
        <f>tblSales[[#This Row],[DPP (excl. VAT)]]+tblSales[[#This Row],[Output VAT]]</f>
        <v>1498500</v>
      </c>
      <c r="N4135" s="5">
        <f>tblSales[[#This Row],[Qty]]*_xlfn.XLOOKUP(tblSales[[#This Row],[Product Code]],tblProducts[Code],tblProducts[Unit Cost],0)</f>
        <v>792000</v>
      </c>
      <c r="O4135" s="4" t="s">
        <v>4865</v>
      </c>
      <c r="P4135" s="4" t="s">
        <v>4860</v>
      </c>
      <c r="Q4135" s="1" t="str">
        <f>_xlfn.XLOOKUP(tblSales[[#This Row],[Channel Code]],tblChannels[Channel Code],tblChannels[Channel Name],"")</f>
        <v>In-store</v>
      </c>
      <c r="R4135" s="1">
        <f>MONTH(tblSales[[#This Row],[Date]])</f>
        <v>9</v>
      </c>
    </row>
    <row r="4136" spans="2:18" x14ac:dyDescent="0.35">
      <c r="B4136" s="113">
        <v>46270</v>
      </c>
      <c r="C4136" s="4" t="s">
        <v>2792</v>
      </c>
      <c r="D4136" s="4" t="s">
        <v>4568</v>
      </c>
      <c r="E4136" s="1" t="str">
        <f>_xlfn.XLOOKUP(tblSales[[#This Row],[Customer ID]],tblCustomers[Customer ID],tblCustomers[Customer Name],"⚠ Unknown")</f>
        <v>Walk-in Customer</v>
      </c>
      <c r="F4136" s="4" t="s">
        <v>11</v>
      </c>
      <c r="G4136" s="1" t="str">
        <f>_xlfn.XLOOKUP(tblSales[[#This Row],[Product Code]],tblProducts[Code],tblProducts[Product / Service Name],"⚠ Unknown")</f>
        <v>Sneakers</v>
      </c>
      <c r="H4136" s="1" t="str">
        <f>_xlfn.XLOOKUP(tblSales[[#This Row],[Product Code]],tblProducts[Code],tblProducts[Category],"")</f>
        <v>Apparel &amp; Footwear</v>
      </c>
      <c r="I4136" s="4">
        <v>6</v>
      </c>
      <c r="J4136" s="5">
        <f>_xlfn.XLOOKUP(tblSales[[#This Row],[Product Code]],tblProducts[Code],tblProducts[Selling Price (excl. VAT)],0)</f>
        <v>250000</v>
      </c>
      <c r="K4136" s="5">
        <f>tblSales[[#This Row],[Qty]]*tblSales[[#This Row],[Unit Price]]</f>
        <v>1500000</v>
      </c>
      <c r="L4136" s="5">
        <f>ROUND(tblSales[[#This Row],[DPP (excl. VAT)]]*VATEff,0)</f>
        <v>165000</v>
      </c>
      <c r="M4136" s="5">
        <f>tblSales[[#This Row],[DPP (excl. VAT)]]+tblSales[[#This Row],[Output VAT]]</f>
        <v>1665000</v>
      </c>
      <c r="N4136" s="5">
        <f>tblSales[[#This Row],[Qty]]*_xlfn.XLOOKUP(tblSales[[#This Row],[Product Code]],tblProducts[Code],tblProducts[Unit Cost],0)</f>
        <v>930000</v>
      </c>
      <c r="O4136" s="4" t="s">
        <v>4866</v>
      </c>
      <c r="P4136" s="4" t="s">
        <v>4861</v>
      </c>
      <c r="Q4136" s="1" t="str">
        <f>_xlfn.XLOOKUP(tblSales[[#This Row],[Channel Code]],tblChannels[Channel Code],tblChannels[Channel Name],"")</f>
        <v>Marketplace</v>
      </c>
      <c r="R4136" s="1">
        <f>MONTH(tblSales[[#This Row],[Date]])</f>
        <v>9</v>
      </c>
    </row>
    <row r="4137" spans="2:18" x14ac:dyDescent="0.35">
      <c r="B4137" s="113">
        <v>46270</v>
      </c>
      <c r="C4137" s="4" t="s">
        <v>2793</v>
      </c>
      <c r="D4137" s="4" t="s">
        <v>4606</v>
      </c>
      <c r="E4137" s="1" t="str">
        <f>_xlfn.XLOOKUP(tblSales[[#This Row],[Customer ID]],tblCustomers[Customer ID],tblCustomers[Customer Name],"⚠ Unknown")</f>
        <v>PT Arunika Digital Kreatif</v>
      </c>
      <c r="F4137" s="4" t="s">
        <v>10</v>
      </c>
      <c r="G4137" s="1" t="str">
        <f>_xlfn.XLOOKUP(tblSales[[#This Row],[Product Code]],tblProducts[Code],tblProducts[Product / Service Name],"⚠ Unknown")</f>
        <v>Chino Pants</v>
      </c>
      <c r="H4137" s="1" t="str">
        <f>_xlfn.XLOOKUP(tblSales[[#This Row],[Product Code]],tblProducts[Code],tblProducts[Category],"")</f>
        <v>Apparel &amp; Footwear</v>
      </c>
      <c r="I4137" s="4">
        <v>40</v>
      </c>
      <c r="J4137" s="5">
        <f>_xlfn.XLOOKUP(tblSales[[#This Row],[Product Code]],tblProducts[Code],tblProducts[Selling Price (excl. VAT)],0)</f>
        <v>150000</v>
      </c>
      <c r="K4137" s="5">
        <f>tblSales[[#This Row],[Qty]]*tblSales[[#This Row],[Unit Price]]</f>
        <v>6000000</v>
      </c>
      <c r="L4137" s="5">
        <f>ROUND(tblSales[[#This Row],[DPP (excl. VAT)]]*VATEff,0)</f>
        <v>660000</v>
      </c>
      <c r="M4137" s="5">
        <f>tblSales[[#This Row],[DPP (excl. VAT)]]+tblSales[[#This Row],[Output VAT]]</f>
        <v>6660000</v>
      </c>
      <c r="N4137" s="5">
        <f>tblSales[[#This Row],[Qty]]*_xlfn.XLOOKUP(tblSales[[#This Row],[Product Code]],tblProducts[Code],tblProducts[Unit Cost],0)</f>
        <v>3520000</v>
      </c>
      <c r="O4137" s="4" t="s">
        <v>4867</v>
      </c>
      <c r="P4137" s="4" t="s">
        <v>4860</v>
      </c>
      <c r="Q4137" s="1" t="str">
        <f>_xlfn.XLOOKUP(tblSales[[#This Row],[Channel Code]],tblChannels[Channel Code],tblChannels[Channel Name],"")</f>
        <v>In-store</v>
      </c>
      <c r="R4137" s="1">
        <f>MONTH(tblSales[[#This Row],[Date]])</f>
        <v>9</v>
      </c>
    </row>
    <row r="4138" spans="2:18" x14ac:dyDescent="0.35">
      <c r="B4138" s="113">
        <v>46270</v>
      </c>
      <c r="C4138" s="4" t="s">
        <v>2794</v>
      </c>
      <c r="D4138" s="4" t="s">
        <v>4634</v>
      </c>
      <c r="E4138" s="1" t="str">
        <f>_xlfn.XLOOKUP(tblSales[[#This Row],[Customer ID]],tblCustomers[Customer ID],tblCustomers[Customer Name],"⚠ Unknown")</f>
        <v>PT Delta Inti Selaras</v>
      </c>
      <c r="F4138" s="4" t="s">
        <v>11</v>
      </c>
      <c r="G4138" s="1" t="str">
        <f>_xlfn.XLOOKUP(tblSales[[#This Row],[Product Code]],tblProducts[Code],tblProducts[Product / Service Name],"⚠ Unknown")</f>
        <v>Sneakers</v>
      </c>
      <c r="H4138" s="1" t="str">
        <f>_xlfn.XLOOKUP(tblSales[[#This Row],[Product Code]],tblProducts[Code],tblProducts[Category],"")</f>
        <v>Apparel &amp; Footwear</v>
      </c>
      <c r="I4138" s="4">
        <v>48</v>
      </c>
      <c r="J4138" s="5">
        <f>_xlfn.XLOOKUP(tblSales[[#This Row],[Product Code]],tblProducts[Code],tblProducts[Selling Price (excl. VAT)],0)</f>
        <v>250000</v>
      </c>
      <c r="K4138" s="5">
        <f>tblSales[[#This Row],[Qty]]*tblSales[[#This Row],[Unit Price]]</f>
        <v>12000000</v>
      </c>
      <c r="L4138" s="5">
        <f>ROUND(tblSales[[#This Row],[DPP (excl. VAT)]]*VATEff,0)</f>
        <v>1320000</v>
      </c>
      <c r="M4138" s="5">
        <f>tblSales[[#This Row],[DPP (excl. VAT)]]+tblSales[[#This Row],[Output VAT]]</f>
        <v>13320000</v>
      </c>
      <c r="N4138" s="5">
        <f>tblSales[[#This Row],[Qty]]*_xlfn.XLOOKUP(tblSales[[#This Row],[Product Code]],tblProducts[Code],tblProducts[Unit Cost],0)</f>
        <v>7440000</v>
      </c>
      <c r="O4138" s="4" t="s">
        <v>4867</v>
      </c>
      <c r="P4138" s="4" t="s">
        <v>4860</v>
      </c>
      <c r="Q4138" s="1" t="str">
        <f>_xlfn.XLOOKUP(tblSales[[#This Row],[Channel Code]],tblChannels[Channel Code],tblChannels[Channel Name],"")</f>
        <v>In-store</v>
      </c>
      <c r="R4138" s="1">
        <f>MONTH(tblSales[[#This Row],[Date]])</f>
        <v>9</v>
      </c>
    </row>
    <row r="4139" spans="2:18" x14ac:dyDescent="0.35">
      <c r="B4139" s="113">
        <v>46270</v>
      </c>
      <c r="C4139" s="4" t="s">
        <v>2795</v>
      </c>
      <c r="D4139" s="4" t="s">
        <v>4568</v>
      </c>
      <c r="E4139" s="1" t="str">
        <f>_xlfn.XLOOKUP(tblSales[[#This Row],[Customer ID]],tblCustomers[Customer ID],tblCustomers[Customer Name],"⚠ Unknown")</f>
        <v>Walk-in Customer</v>
      </c>
      <c r="F4139" s="4" t="s">
        <v>14</v>
      </c>
      <c r="G4139" s="1" t="str">
        <f>_xlfn.XLOOKUP(tblSales[[#This Row],[Product Code]],tblProducts[Code],tblProducts[Product / Service Name],"⚠ Unknown")</f>
        <v>Smartwatch</v>
      </c>
      <c r="H4139" s="1" t="str">
        <f>_xlfn.XLOOKUP(tblSales[[#This Row],[Product Code]],tblProducts[Code],tblProducts[Category],"")</f>
        <v>Bags &amp; Gadgets</v>
      </c>
      <c r="I4139" s="4">
        <v>3</v>
      </c>
      <c r="J4139" s="5">
        <f>_xlfn.XLOOKUP(tblSales[[#This Row],[Product Code]],tblProducts[Code],tblProducts[Selling Price (excl. VAT)],0)</f>
        <v>850000</v>
      </c>
      <c r="K4139" s="5">
        <f>tblSales[[#This Row],[Qty]]*tblSales[[#This Row],[Unit Price]]</f>
        <v>2550000</v>
      </c>
      <c r="L4139" s="5">
        <f>ROUND(tblSales[[#This Row],[DPP (excl. VAT)]]*VATEff,0)</f>
        <v>280500</v>
      </c>
      <c r="M4139" s="5">
        <f>tblSales[[#This Row],[DPP (excl. VAT)]]+tblSales[[#This Row],[Output VAT]]</f>
        <v>2830500</v>
      </c>
      <c r="N4139" s="5">
        <f>tblSales[[#This Row],[Qty]]*_xlfn.XLOOKUP(tblSales[[#This Row],[Product Code]],tblProducts[Code],tblProducts[Unit Cost],0)</f>
        <v>1680000</v>
      </c>
      <c r="O4139" s="4" t="s">
        <v>4865</v>
      </c>
      <c r="P4139" s="4" t="s">
        <v>4860</v>
      </c>
      <c r="Q4139" s="1" t="str">
        <f>_xlfn.XLOOKUP(tblSales[[#This Row],[Channel Code]],tblChannels[Channel Code],tblChannels[Channel Name],"")</f>
        <v>In-store</v>
      </c>
      <c r="R4139" s="1">
        <f>MONTH(tblSales[[#This Row],[Date]])</f>
        <v>9</v>
      </c>
    </row>
    <row r="4140" spans="2:18" x14ac:dyDescent="0.35">
      <c r="B4140" s="113">
        <v>46270</v>
      </c>
      <c r="C4140" s="4" t="s">
        <v>2796</v>
      </c>
      <c r="D4140" s="4" t="s">
        <v>4568</v>
      </c>
      <c r="E4140" s="1" t="str">
        <f>_xlfn.XLOOKUP(tblSales[[#This Row],[Customer ID]],tblCustomers[Customer ID],tblCustomers[Customer Name],"⚠ Unknown")</f>
        <v>Walk-in Customer</v>
      </c>
      <c r="F4140" s="4" t="s">
        <v>6</v>
      </c>
      <c r="G4140" s="1" t="str">
        <f>_xlfn.XLOOKUP(tblSales[[#This Row],[Product Code]],tblProducts[Code],tblProducts[Product / Service Name],"⚠ Unknown")</f>
        <v>Socks &amp; Accessories</v>
      </c>
      <c r="H4140" s="1" t="str">
        <f>_xlfn.XLOOKUP(tblSales[[#This Row],[Product Code]],tblProducts[Code],tblProducts[Category],"")</f>
        <v>Accessories &amp; Basics</v>
      </c>
      <c r="I4140" s="4">
        <v>11</v>
      </c>
      <c r="J4140" s="5">
        <f>_xlfn.XLOOKUP(tblSales[[#This Row],[Product Code]],tblProducts[Code],tblProducts[Selling Price (excl. VAT)],0)</f>
        <v>45000</v>
      </c>
      <c r="K4140" s="5">
        <f>tblSales[[#This Row],[Qty]]*tblSales[[#This Row],[Unit Price]]</f>
        <v>495000</v>
      </c>
      <c r="L4140" s="5">
        <f>ROUND(tblSales[[#This Row],[DPP (excl. VAT)]]*VATEff,0)</f>
        <v>54450</v>
      </c>
      <c r="M4140" s="5">
        <f>tblSales[[#This Row],[DPP (excl. VAT)]]+tblSales[[#This Row],[Output VAT]]</f>
        <v>549450</v>
      </c>
      <c r="N4140" s="5">
        <f>tblSales[[#This Row],[Qty]]*_xlfn.XLOOKUP(tblSales[[#This Row],[Product Code]],tblProducts[Code],tblProducts[Unit Cost],0)</f>
        <v>264000</v>
      </c>
      <c r="O4140" s="4" t="s">
        <v>4865</v>
      </c>
      <c r="P4140" s="4" t="s">
        <v>4860</v>
      </c>
      <c r="Q4140" s="1" t="str">
        <f>_xlfn.XLOOKUP(tblSales[[#This Row],[Channel Code]],tblChannels[Channel Code],tblChannels[Channel Name],"")</f>
        <v>In-store</v>
      </c>
      <c r="R4140" s="1">
        <f>MONTH(tblSales[[#This Row],[Date]])</f>
        <v>9</v>
      </c>
    </row>
    <row r="4141" spans="2:18" x14ac:dyDescent="0.35">
      <c r="B4141" s="113">
        <v>46270</v>
      </c>
      <c r="C4141" s="4" t="s">
        <v>2796</v>
      </c>
      <c r="D4141" s="4" t="s">
        <v>4568</v>
      </c>
      <c r="E4141" s="1" t="str">
        <f>_xlfn.XLOOKUP(tblSales[[#This Row],[Customer ID]],tblCustomers[Customer ID],tblCustomers[Customer Name],"⚠ Unknown")</f>
        <v>Walk-in Customer</v>
      </c>
      <c r="F4141" s="4" t="s">
        <v>8</v>
      </c>
      <c r="G4141" s="1" t="str">
        <f>_xlfn.XLOOKUP(tblSales[[#This Row],[Product Code]],tblProducts[Code],tblProducts[Product / Service Name],"⚠ Unknown")</f>
        <v>Casual Shorts</v>
      </c>
      <c r="H4141" s="1" t="str">
        <f>_xlfn.XLOOKUP(tblSales[[#This Row],[Product Code]],tblProducts[Code],tblProducts[Category],"")</f>
        <v>Accessories &amp; Basics</v>
      </c>
      <c r="I4141" s="4">
        <v>9</v>
      </c>
      <c r="J4141" s="5">
        <f>_xlfn.XLOOKUP(tblSales[[#This Row],[Product Code]],tblProducts[Code],tblProducts[Selling Price (excl. VAT)],0)</f>
        <v>85000</v>
      </c>
      <c r="K4141" s="5">
        <f>tblSales[[#This Row],[Qty]]*tblSales[[#This Row],[Unit Price]]</f>
        <v>765000</v>
      </c>
      <c r="L4141" s="5">
        <f>ROUND(tblSales[[#This Row],[DPP (excl. VAT)]]*VATEff,0)</f>
        <v>84150</v>
      </c>
      <c r="M4141" s="5">
        <f>tblSales[[#This Row],[DPP (excl. VAT)]]+tblSales[[#This Row],[Output VAT]]</f>
        <v>849150</v>
      </c>
      <c r="N4141" s="5">
        <f>tblSales[[#This Row],[Qty]]*_xlfn.XLOOKUP(tblSales[[#This Row],[Product Code]],tblProducts[Code],tblProducts[Unit Cost],0)</f>
        <v>450000</v>
      </c>
      <c r="O4141" s="4" t="s">
        <v>4865</v>
      </c>
      <c r="P4141" s="4" t="s">
        <v>4860</v>
      </c>
      <c r="Q4141" s="1" t="str">
        <f>_xlfn.XLOOKUP(tblSales[[#This Row],[Channel Code]],tblChannels[Channel Code],tblChannels[Channel Name],"")</f>
        <v>In-store</v>
      </c>
      <c r="R4141" s="1">
        <f>MONTH(tblSales[[#This Row],[Date]])</f>
        <v>9</v>
      </c>
    </row>
    <row r="4142" spans="2:18" x14ac:dyDescent="0.35">
      <c r="B4142" s="113">
        <v>46270</v>
      </c>
      <c r="C4142" s="4" t="s">
        <v>2797</v>
      </c>
      <c r="D4142" s="4" t="s">
        <v>4568</v>
      </c>
      <c r="E4142" s="1" t="str">
        <f>_xlfn.XLOOKUP(tblSales[[#This Row],[Customer ID]],tblCustomers[Customer ID],tblCustomers[Customer Name],"⚠ Unknown")</f>
        <v>Walk-in Customer</v>
      </c>
      <c r="F4142" s="4" t="s">
        <v>8</v>
      </c>
      <c r="G4142" s="1" t="str">
        <f>_xlfn.XLOOKUP(tblSales[[#This Row],[Product Code]],tblProducts[Code],tblProducts[Product / Service Name],"⚠ Unknown")</f>
        <v>Casual Shorts</v>
      </c>
      <c r="H4142" s="1" t="str">
        <f>_xlfn.XLOOKUP(tblSales[[#This Row],[Product Code]],tblProducts[Code],tblProducts[Category],"")</f>
        <v>Accessories &amp; Basics</v>
      </c>
      <c r="I4142" s="4">
        <v>1</v>
      </c>
      <c r="J4142" s="5">
        <f>_xlfn.XLOOKUP(tblSales[[#This Row],[Product Code]],tblProducts[Code],tblProducts[Selling Price (excl. VAT)],0)</f>
        <v>85000</v>
      </c>
      <c r="K4142" s="5">
        <f>tblSales[[#This Row],[Qty]]*tblSales[[#This Row],[Unit Price]]</f>
        <v>85000</v>
      </c>
      <c r="L4142" s="5">
        <f>ROUND(tblSales[[#This Row],[DPP (excl. VAT)]]*VATEff,0)</f>
        <v>9350</v>
      </c>
      <c r="M4142" s="5">
        <f>tblSales[[#This Row],[DPP (excl. VAT)]]+tblSales[[#This Row],[Output VAT]]</f>
        <v>94350</v>
      </c>
      <c r="N4142" s="5">
        <f>tblSales[[#This Row],[Qty]]*_xlfn.XLOOKUP(tblSales[[#This Row],[Product Code]],tblProducts[Code],tblProducts[Unit Cost],0)</f>
        <v>50000</v>
      </c>
      <c r="O4142" s="4" t="s">
        <v>4866</v>
      </c>
      <c r="P4142" s="4" t="s">
        <v>4861</v>
      </c>
      <c r="Q4142" s="1" t="str">
        <f>_xlfn.XLOOKUP(tblSales[[#This Row],[Channel Code]],tblChannels[Channel Code],tblChannels[Channel Name],"")</f>
        <v>Marketplace</v>
      </c>
      <c r="R4142" s="1">
        <f>MONTH(tblSales[[#This Row],[Date]])</f>
        <v>9</v>
      </c>
    </row>
    <row r="4143" spans="2:18" x14ac:dyDescent="0.35">
      <c r="B4143" s="113">
        <v>46270</v>
      </c>
      <c r="C4143" s="4" t="s">
        <v>2798</v>
      </c>
      <c r="D4143" s="4" t="s">
        <v>4568</v>
      </c>
      <c r="E4143" s="1" t="str">
        <f>_xlfn.XLOOKUP(tblSales[[#This Row],[Customer ID]],tblCustomers[Customer ID],tblCustomers[Customer Name],"⚠ Unknown")</f>
        <v>Walk-in Customer</v>
      </c>
      <c r="F4143" s="4" t="s">
        <v>6</v>
      </c>
      <c r="G4143" s="1" t="str">
        <f>_xlfn.XLOOKUP(tblSales[[#This Row],[Product Code]],tblProducts[Code],tblProducts[Product / Service Name],"⚠ Unknown")</f>
        <v>Socks &amp; Accessories</v>
      </c>
      <c r="H4143" s="1" t="str">
        <f>_xlfn.XLOOKUP(tblSales[[#This Row],[Product Code]],tblProducts[Code],tblProducts[Category],"")</f>
        <v>Accessories &amp; Basics</v>
      </c>
      <c r="I4143" s="4">
        <v>12</v>
      </c>
      <c r="J4143" s="5">
        <f>_xlfn.XLOOKUP(tblSales[[#This Row],[Product Code]],tblProducts[Code],tblProducts[Selling Price (excl. VAT)],0)</f>
        <v>45000</v>
      </c>
      <c r="K4143" s="5">
        <f>tblSales[[#This Row],[Qty]]*tblSales[[#This Row],[Unit Price]]</f>
        <v>540000</v>
      </c>
      <c r="L4143" s="5">
        <f>ROUND(tblSales[[#This Row],[DPP (excl. VAT)]]*VATEff,0)</f>
        <v>59400</v>
      </c>
      <c r="M4143" s="5">
        <f>tblSales[[#This Row],[DPP (excl. VAT)]]+tblSales[[#This Row],[Output VAT]]</f>
        <v>599400</v>
      </c>
      <c r="N4143" s="5">
        <f>tblSales[[#This Row],[Qty]]*_xlfn.XLOOKUP(tblSales[[#This Row],[Product Code]],tblProducts[Code],tblProducts[Unit Cost],0)</f>
        <v>288000</v>
      </c>
      <c r="O4143" s="4" t="s">
        <v>4866</v>
      </c>
      <c r="P4143" s="4" t="s">
        <v>4862</v>
      </c>
      <c r="Q4143" s="1" t="str">
        <f>_xlfn.XLOOKUP(tblSales[[#This Row],[Channel Code]],tblChannels[Channel Code],tblChannels[Channel Name],"")</f>
        <v>Website &amp; Social Media</v>
      </c>
      <c r="R4143" s="1">
        <f>MONTH(tblSales[[#This Row],[Date]])</f>
        <v>9</v>
      </c>
    </row>
    <row r="4144" spans="2:18" x14ac:dyDescent="0.35">
      <c r="B4144" s="113">
        <v>46270</v>
      </c>
      <c r="C4144" s="4" t="s">
        <v>2798</v>
      </c>
      <c r="D4144" s="4" t="s">
        <v>4568</v>
      </c>
      <c r="E4144" s="1" t="str">
        <f>_xlfn.XLOOKUP(tblSales[[#This Row],[Customer ID]],tblCustomers[Customer ID],tblCustomers[Customer Name],"⚠ Unknown")</f>
        <v>Walk-in Customer</v>
      </c>
      <c r="F4144" s="4" t="s">
        <v>10</v>
      </c>
      <c r="G4144" s="1" t="str">
        <f>_xlfn.XLOOKUP(tblSales[[#This Row],[Product Code]],tblProducts[Code],tblProducts[Product / Service Name],"⚠ Unknown")</f>
        <v>Chino Pants</v>
      </c>
      <c r="H4144" s="1" t="str">
        <f>_xlfn.XLOOKUP(tblSales[[#This Row],[Product Code]],tblProducts[Code],tblProducts[Category],"")</f>
        <v>Apparel &amp; Footwear</v>
      </c>
      <c r="I4144" s="4">
        <v>7</v>
      </c>
      <c r="J4144" s="5">
        <f>_xlfn.XLOOKUP(tblSales[[#This Row],[Product Code]],tblProducts[Code],tblProducts[Selling Price (excl. VAT)],0)</f>
        <v>150000</v>
      </c>
      <c r="K4144" s="5">
        <f>tblSales[[#This Row],[Qty]]*tblSales[[#This Row],[Unit Price]]</f>
        <v>1050000</v>
      </c>
      <c r="L4144" s="5">
        <f>ROUND(tblSales[[#This Row],[DPP (excl. VAT)]]*VATEff,0)</f>
        <v>115500</v>
      </c>
      <c r="M4144" s="5">
        <f>tblSales[[#This Row],[DPP (excl. VAT)]]+tblSales[[#This Row],[Output VAT]]</f>
        <v>1165500</v>
      </c>
      <c r="N4144" s="5">
        <f>tblSales[[#This Row],[Qty]]*_xlfn.XLOOKUP(tblSales[[#This Row],[Product Code]],tblProducts[Code],tblProducts[Unit Cost],0)</f>
        <v>616000</v>
      </c>
      <c r="O4144" s="4" t="s">
        <v>4866</v>
      </c>
      <c r="P4144" s="4" t="s">
        <v>4862</v>
      </c>
      <c r="Q4144" s="1" t="str">
        <f>_xlfn.XLOOKUP(tblSales[[#This Row],[Channel Code]],tblChannels[Channel Code],tblChannels[Channel Name],"")</f>
        <v>Website &amp; Social Media</v>
      </c>
      <c r="R4144" s="1">
        <f>MONTH(tblSales[[#This Row],[Date]])</f>
        <v>9</v>
      </c>
    </row>
    <row r="4145" spans="2:18" x14ac:dyDescent="0.35">
      <c r="B4145" s="113">
        <v>46270</v>
      </c>
      <c r="C4145" s="4" t="s">
        <v>2798</v>
      </c>
      <c r="D4145" s="4" t="s">
        <v>4568</v>
      </c>
      <c r="E4145" s="1" t="str">
        <f>_xlfn.XLOOKUP(tblSales[[#This Row],[Customer ID]],tblCustomers[Customer ID],tblCustomers[Customer Name],"⚠ Unknown")</f>
        <v>Walk-in Customer</v>
      </c>
      <c r="F4145" s="4" t="s">
        <v>13</v>
      </c>
      <c r="G4145" s="1" t="str">
        <f>_xlfn.XLOOKUP(tblSales[[#This Row],[Product Code]],tblProducts[Code],tblProducts[Product / Service Name],"⚠ Unknown")</f>
        <v>Backpack</v>
      </c>
      <c r="H4145" s="1" t="str">
        <f>_xlfn.XLOOKUP(tblSales[[#This Row],[Product Code]],tblProducts[Code],tblProducts[Category],"")</f>
        <v>Bags &amp; Gadgets</v>
      </c>
      <c r="I4145" s="4">
        <v>5</v>
      </c>
      <c r="J4145" s="5">
        <f>_xlfn.XLOOKUP(tblSales[[#This Row],[Product Code]],tblProducts[Code],tblProducts[Selling Price (excl. VAT)],0)</f>
        <v>500000</v>
      </c>
      <c r="K4145" s="5">
        <f>tblSales[[#This Row],[Qty]]*tblSales[[#This Row],[Unit Price]]</f>
        <v>2500000</v>
      </c>
      <c r="L4145" s="5">
        <f>ROUND(tblSales[[#This Row],[DPP (excl. VAT)]]*VATEff,0)</f>
        <v>275000</v>
      </c>
      <c r="M4145" s="5">
        <f>tblSales[[#This Row],[DPP (excl. VAT)]]+tblSales[[#This Row],[Output VAT]]</f>
        <v>2775000</v>
      </c>
      <c r="N4145" s="5">
        <f>tblSales[[#This Row],[Qty]]*_xlfn.XLOOKUP(tblSales[[#This Row],[Product Code]],tblProducts[Code],tblProducts[Unit Cost],0)</f>
        <v>1450000</v>
      </c>
      <c r="O4145" s="4" t="s">
        <v>4866</v>
      </c>
      <c r="P4145" s="4" t="s">
        <v>4862</v>
      </c>
      <c r="Q4145" s="1" t="str">
        <f>_xlfn.XLOOKUP(tblSales[[#This Row],[Channel Code]],tblChannels[Channel Code],tblChannels[Channel Name],"")</f>
        <v>Website &amp; Social Media</v>
      </c>
      <c r="R4145" s="1">
        <f>MONTH(tblSales[[#This Row],[Date]])</f>
        <v>9</v>
      </c>
    </row>
    <row r="4146" spans="2:18" x14ac:dyDescent="0.35">
      <c r="B4146" s="113">
        <v>46270</v>
      </c>
      <c r="C4146" s="4" t="s">
        <v>2799</v>
      </c>
      <c r="D4146" s="4" t="s">
        <v>4568</v>
      </c>
      <c r="E4146" s="1" t="str">
        <f>_xlfn.XLOOKUP(tblSales[[#This Row],[Customer ID]],tblCustomers[Customer ID],tblCustomers[Customer Name],"⚠ Unknown")</f>
        <v>Walk-in Customer</v>
      </c>
      <c r="F4146" s="4" t="s">
        <v>7</v>
      </c>
      <c r="G4146" s="1" t="str">
        <f>_xlfn.XLOOKUP(tblSales[[#This Row],[Product Code]],tblProducts[Code],tblProducts[Product / Service Name],"⚠ Unknown")</f>
        <v>Premium Basic T-shirt</v>
      </c>
      <c r="H4146" s="1" t="str">
        <f>_xlfn.XLOOKUP(tblSales[[#This Row],[Product Code]],tblProducts[Code],tblProducts[Category],"")</f>
        <v>Accessories &amp; Basics</v>
      </c>
      <c r="I4146" s="4">
        <v>4</v>
      </c>
      <c r="J4146" s="5">
        <f>_xlfn.XLOOKUP(tblSales[[#This Row],[Product Code]],tblProducts[Code],tblProducts[Selling Price (excl. VAT)],0)</f>
        <v>65000</v>
      </c>
      <c r="K4146" s="5">
        <f>tblSales[[#This Row],[Qty]]*tblSales[[#This Row],[Unit Price]]</f>
        <v>260000</v>
      </c>
      <c r="L4146" s="5">
        <f>ROUND(tblSales[[#This Row],[DPP (excl. VAT)]]*VATEff,0)</f>
        <v>28600</v>
      </c>
      <c r="M4146" s="5">
        <f>tblSales[[#This Row],[DPP (excl. VAT)]]+tblSales[[#This Row],[Output VAT]]</f>
        <v>288600</v>
      </c>
      <c r="N4146" s="5">
        <f>tblSales[[#This Row],[Qty]]*_xlfn.XLOOKUP(tblSales[[#This Row],[Product Code]],tblProducts[Code],tblProducts[Unit Cost],0)</f>
        <v>148000</v>
      </c>
      <c r="O4146" s="4" t="s">
        <v>4866</v>
      </c>
      <c r="P4146" s="4" t="s">
        <v>4862</v>
      </c>
      <c r="Q4146" s="1" t="str">
        <f>_xlfn.XLOOKUP(tblSales[[#This Row],[Channel Code]],tblChannels[Channel Code],tblChannels[Channel Name],"")</f>
        <v>Website &amp; Social Media</v>
      </c>
      <c r="R4146" s="1">
        <f>MONTH(tblSales[[#This Row],[Date]])</f>
        <v>9</v>
      </c>
    </row>
    <row r="4147" spans="2:18" x14ac:dyDescent="0.35">
      <c r="B4147" s="113">
        <v>46270</v>
      </c>
      <c r="C4147" s="4" t="s">
        <v>2800</v>
      </c>
      <c r="D4147" s="4" t="s">
        <v>4568</v>
      </c>
      <c r="E4147" s="1" t="str">
        <f>_xlfn.XLOOKUP(tblSales[[#This Row],[Customer ID]],tblCustomers[Customer ID],tblCustomers[Customer Name],"⚠ Unknown")</f>
        <v>Walk-in Customer</v>
      </c>
      <c r="F4147" s="4" t="s">
        <v>12</v>
      </c>
      <c r="G4147" s="1" t="str">
        <f>_xlfn.XLOOKUP(tblSales[[#This Row],[Product Code]],tblProducts[Code],tblProducts[Product / Service Name],"⚠ Unknown")</f>
        <v>Bomber Jacket</v>
      </c>
      <c r="H4147" s="1" t="str">
        <f>_xlfn.XLOOKUP(tblSales[[#This Row],[Product Code]],tblProducts[Code],tblProducts[Category],"")</f>
        <v>Apparel &amp; Footwear</v>
      </c>
      <c r="I4147" s="4">
        <v>5</v>
      </c>
      <c r="J4147" s="5">
        <f>_xlfn.XLOOKUP(tblSales[[#This Row],[Product Code]],tblProducts[Code],tblProducts[Selling Price (excl. VAT)],0)</f>
        <v>350000</v>
      </c>
      <c r="K4147" s="5">
        <f>tblSales[[#This Row],[Qty]]*tblSales[[#This Row],[Unit Price]]</f>
        <v>1750000</v>
      </c>
      <c r="L4147" s="5">
        <f>ROUND(tblSales[[#This Row],[DPP (excl. VAT)]]*VATEff,0)</f>
        <v>192500</v>
      </c>
      <c r="M4147" s="5">
        <f>tblSales[[#This Row],[DPP (excl. VAT)]]+tblSales[[#This Row],[Output VAT]]</f>
        <v>1942500</v>
      </c>
      <c r="N4147" s="5">
        <f>tblSales[[#This Row],[Qty]]*_xlfn.XLOOKUP(tblSales[[#This Row],[Product Code]],tblProducts[Code],tblProducts[Unit Cost],0)</f>
        <v>1050000</v>
      </c>
      <c r="O4147" s="4" t="s">
        <v>4865</v>
      </c>
      <c r="P4147" s="4" t="s">
        <v>4860</v>
      </c>
      <c r="Q4147" s="1" t="str">
        <f>_xlfn.XLOOKUP(tblSales[[#This Row],[Channel Code]],tblChannels[Channel Code],tblChannels[Channel Name],"")</f>
        <v>In-store</v>
      </c>
      <c r="R4147" s="1">
        <f>MONTH(tblSales[[#This Row],[Date]])</f>
        <v>9</v>
      </c>
    </row>
    <row r="4148" spans="2:18" x14ac:dyDescent="0.35">
      <c r="B4148" s="113">
        <v>46270</v>
      </c>
      <c r="C4148" s="4" t="s">
        <v>2800</v>
      </c>
      <c r="D4148" s="4" t="s">
        <v>4568</v>
      </c>
      <c r="E4148" s="1" t="str">
        <f>_xlfn.XLOOKUP(tblSales[[#This Row],[Customer ID]],tblCustomers[Customer ID],tblCustomers[Customer Name],"⚠ Unknown")</f>
        <v>Walk-in Customer</v>
      </c>
      <c r="F4148" s="4" t="s">
        <v>9</v>
      </c>
      <c r="G4148" s="1" t="str">
        <f>_xlfn.XLOOKUP(tblSales[[#This Row],[Product Code]],tblProducts[Code],tblProducts[Product / Service Name],"⚠ Unknown")</f>
        <v>Casual Shirt</v>
      </c>
      <c r="H4148" s="1" t="str">
        <f>_xlfn.XLOOKUP(tblSales[[#This Row],[Product Code]],tblProducts[Code],tblProducts[Category],"")</f>
        <v>Apparel &amp; Footwear</v>
      </c>
      <c r="I4148" s="4">
        <v>1</v>
      </c>
      <c r="J4148" s="5">
        <f>_xlfn.XLOOKUP(tblSales[[#This Row],[Product Code]],tblProducts[Code],tblProducts[Selling Price (excl. VAT)],0)</f>
        <v>120000</v>
      </c>
      <c r="K4148" s="5">
        <f>tblSales[[#This Row],[Qty]]*tblSales[[#This Row],[Unit Price]]</f>
        <v>120000</v>
      </c>
      <c r="L4148" s="5">
        <f>ROUND(tblSales[[#This Row],[DPP (excl. VAT)]]*VATEff,0)</f>
        <v>13200</v>
      </c>
      <c r="M4148" s="5">
        <f>tblSales[[#This Row],[DPP (excl. VAT)]]+tblSales[[#This Row],[Output VAT]]</f>
        <v>133200</v>
      </c>
      <c r="N4148" s="5">
        <f>tblSales[[#This Row],[Qty]]*_xlfn.XLOOKUP(tblSales[[#This Row],[Product Code]],tblProducts[Code],tblProducts[Unit Cost],0)</f>
        <v>72000</v>
      </c>
      <c r="O4148" s="4" t="s">
        <v>4865</v>
      </c>
      <c r="P4148" s="4" t="s">
        <v>4860</v>
      </c>
      <c r="Q4148" s="1" t="str">
        <f>_xlfn.XLOOKUP(tblSales[[#This Row],[Channel Code]],tblChannels[Channel Code],tblChannels[Channel Name],"")</f>
        <v>In-store</v>
      </c>
      <c r="R4148" s="1">
        <f>MONTH(tblSales[[#This Row],[Date]])</f>
        <v>9</v>
      </c>
    </row>
    <row r="4149" spans="2:18" x14ac:dyDescent="0.35">
      <c r="B4149" s="113">
        <v>46271</v>
      </c>
      <c r="C4149" s="4" t="s">
        <v>2801</v>
      </c>
      <c r="D4149" s="4" t="s">
        <v>4568</v>
      </c>
      <c r="E4149" s="1" t="str">
        <f>_xlfn.XLOOKUP(tblSales[[#This Row],[Customer ID]],tblCustomers[Customer ID],tblCustomers[Customer Name],"⚠ Unknown")</f>
        <v>Walk-in Customer</v>
      </c>
      <c r="F4149" s="4" t="s">
        <v>8</v>
      </c>
      <c r="G4149" s="1" t="str">
        <f>_xlfn.XLOOKUP(tblSales[[#This Row],[Product Code]],tblProducts[Code],tblProducts[Product / Service Name],"⚠ Unknown")</f>
        <v>Casual Shorts</v>
      </c>
      <c r="H4149" s="1" t="str">
        <f>_xlfn.XLOOKUP(tblSales[[#This Row],[Product Code]],tblProducts[Code],tblProducts[Category],"")</f>
        <v>Accessories &amp; Basics</v>
      </c>
      <c r="I4149" s="4">
        <v>4</v>
      </c>
      <c r="J4149" s="5">
        <f>_xlfn.XLOOKUP(tblSales[[#This Row],[Product Code]],tblProducts[Code],tblProducts[Selling Price (excl. VAT)],0)</f>
        <v>85000</v>
      </c>
      <c r="K4149" s="5">
        <f>tblSales[[#This Row],[Qty]]*tblSales[[#This Row],[Unit Price]]</f>
        <v>340000</v>
      </c>
      <c r="L4149" s="5">
        <f>ROUND(tblSales[[#This Row],[DPP (excl. VAT)]]*VATEff,0)</f>
        <v>37400</v>
      </c>
      <c r="M4149" s="5">
        <f>tblSales[[#This Row],[DPP (excl. VAT)]]+tblSales[[#This Row],[Output VAT]]</f>
        <v>377400</v>
      </c>
      <c r="N4149" s="5">
        <f>tblSales[[#This Row],[Qty]]*_xlfn.XLOOKUP(tblSales[[#This Row],[Product Code]],tblProducts[Code],tblProducts[Unit Cost],0)</f>
        <v>200000</v>
      </c>
      <c r="O4149" s="4" t="s">
        <v>4866</v>
      </c>
      <c r="P4149" s="4" t="s">
        <v>4862</v>
      </c>
      <c r="Q4149" s="1" t="str">
        <f>_xlfn.XLOOKUP(tblSales[[#This Row],[Channel Code]],tblChannels[Channel Code],tblChannels[Channel Name],"")</f>
        <v>Website &amp; Social Media</v>
      </c>
      <c r="R4149" s="1">
        <f>MONTH(tblSales[[#This Row],[Date]])</f>
        <v>9</v>
      </c>
    </row>
    <row r="4150" spans="2:18" x14ac:dyDescent="0.35">
      <c r="B4150" s="113">
        <v>46271</v>
      </c>
      <c r="C4150" s="4" t="s">
        <v>2801</v>
      </c>
      <c r="D4150" s="4" t="s">
        <v>4568</v>
      </c>
      <c r="E4150" s="1" t="str">
        <f>_xlfn.XLOOKUP(tblSales[[#This Row],[Customer ID]],tblCustomers[Customer ID],tblCustomers[Customer Name],"⚠ Unknown")</f>
        <v>Walk-in Customer</v>
      </c>
      <c r="F4150" s="4" t="s">
        <v>12</v>
      </c>
      <c r="G4150" s="1" t="str">
        <f>_xlfn.XLOOKUP(tblSales[[#This Row],[Product Code]],tblProducts[Code],tblProducts[Product / Service Name],"⚠ Unknown")</f>
        <v>Bomber Jacket</v>
      </c>
      <c r="H4150" s="1" t="str">
        <f>_xlfn.XLOOKUP(tblSales[[#This Row],[Product Code]],tblProducts[Code],tblProducts[Category],"")</f>
        <v>Apparel &amp; Footwear</v>
      </c>
      <c r="I4150" s="4">
        <v>1</v>
      </c>
      <c r="J4150" s="5">
        <f>_xlfn.XLOOKUP(tblSales[[#This Row],[Product Code]],tblProducts[Code],tblProducts[Selling Price (excl. VAT)],0)</f>
        <v>350000</v>
      </c>
      <c r="K4150" s="5">
        <f>tblSales[[#This Row],[Qty]]*tblSales[[#This Row],[Unit Price]]</f>
        <v>350000</v>
      </c>
      <c r="L4150" s="5">
        <f>ROUND(tblSales[[#This Row],[DPP (excl. VAT)]]*VATEff,0)</f>
        <v>38500</v>
      </c>
      <c r="M4150" s="5">
        <f>tblSales[[#This Row],[DPP (excl. VAT)]]+tblSales[[#This Row],[Output VAT]]</f>
        <v>388500</v>
      </c>
      <c r="N4150" s="5">
        <f>tblSales[[#This Row],[Qty]]*_xlfn.XLOOKUP(tblSales[[#This Row],[Product Code]],tblProducts[Code],tblProducts[Unit Cost],0)</f>
        <v>210000</v>
      </c>
      <c r="O4150" s="4" t="s">
        <v>4866</v>
      </c>
      <c r="P4150" s="4" t="s">
        <v>4862</v>
      </c>
      <c r="Q4150" s="1" t="str">
        <f>_xlfn.XLOOKUP(tblSales[[#This Row],[Channel Code]],tblChannels[Channel Code],tblChannels[Channel Name],"")</f>
        <v>Website &amp; Social Media</v>
      </c>
      <c r="R4150" s="1">
        <f>MONTH(tblSales[[#This Row],[Date]])</f>
        <v>9</v>
      </c>
    </row>
    <row r="4151" spans="2:18" x14ac:dyDescent="0.35">
      <c r="B4151" s="113">
        <v>46271</v>
      </c>
      <c r="C4151" s="4" t="s">
        <v>2801</v>
      </c>
      <c r="D4151" s="4" t="s">
        <v>4568</v>
      </c>
      <c r="E4151" s="1" t="str">
        <f>_xlfn.XLOOKUP(tblSales[[#This Row],[Customer ID]],tblCustomers[Customer ID],tblCustomers[Customer Name],"⚠ Unknown")</f>
        <v>Walk-in Customer</v>
      </c>
      <c r="F4151" s="4" t="s">
        <v>15</v>
      </c>
      <c r="G4151" s="1" t="str">
        <f>_xlfn.XLOOKUP(tblSales[[#This Row],[Product Code]],tblProducts[Code],tblProducts[Product / Service Name],"⚠ Unknown")</f>
        <v>Wireless Earbuds Pro</v>
      </c>
      <c r="H4151" s="1" t="str">
        <f>_xlfn.XLOOKUP(tblSales[[#This Row],[Product Code]],tblProducts[Code],tblProducts[Category],"")</f>
        <v>Bags &amp; Gadgets</v>
      </c>
      <c r="I4151" s="4">
        <v>2</v>
      </c>
      <c r="J4151" s="5">
        <f>_xlfn.XLOOKUP(tblSales[[#This Row],[Product Code]],tblProducts[Code],tblProducts[Selling Price (excl. VAT)],0)</f>
        <v>1250000</v>
      </c>
      <c r="K4151" s="5">
        <f>tblSales[[#This Row],[Qty]]*tblSales[[#This Row],[Unit Price]]</f>
        <v>2500000</v>
      </c>
      <c r="L4151" s="5">
        <f>ROUND(tblSales[[#This Row],[DPP (excl. VAT)]]*VATEff,0)</f>
        <v>275000</v>
      </c>
      <c r="M4151" s="5">
        <f>tblSales[[#This Row],[DPP (excl. VAT)]]+tblSales[[#This Row],[Output VAT]]</f>
        <v>2775000</v>
      </c>
      <c r="N4151" s="5">
        <f>tblSales[[#This Row],[Qty]]*_xlfn.XLOOKUP(tblSales[[#This Row],[Product Code]],tblProducts[Code],tblProducts[Unit Cost],0)</f>
        <v>1640000</v>
      </c>
      <c r="O4151" s="4" t="s">
        <v>4866</v>
      </c>
      <c r="P4151" s="4" t="s">
        <v>4862</v>
      </c>
      <c r="Q4151" s="1" t="str">
        <f>_xlfn.XLOOKUP(tblSales[[#This Row],[Channel Code]],tblChannels[Channel Code],tblChannels[Channel Name],"")</f>
        <v>Website &amp; Social Media</v>
      </c>
      <c r="R4151" s="1">
        <f>MONTH(tblSales[[#This Row],[Date]])</f>
        <v>9</v>
      </c>
    </row>
    <row r="4152" spans="2:18" x14ac:dyDescent="0.35">
      <c r="B4152" s="113">
        <v>46271</v>
      </c>
      <c r="C4152" s="4" t="s">
        <v>2802</v>
      </c>
      <c r="D4152" s="4" t="s">
        <v>4568</v>
      </c>
      <c r="E4152" s="1" t="str">
        <f>_xlfn.XLOOKUP(tblSales[[#This Row],[Customer ID]],tblCustomers[Customer ID],tblCustomers[Customer Name],"⚠ Unknown")</f>
        <v>Walk-in Customer</v>
      </c>
      <c r="F4152" s="4" t="s">
        <v>7</v>
      </c>
      <c r="G4152" s="1" t="str">
        <f>_xlfn.XLOOKUP(tblSales[[#This Row],[Product Code]],tblProducts[Code],tblProducts[Product / Service Name],"⚠ Unknown")</f>
        <v>Premium Basic T-shirt</v>
      </c>
      <c r="H4152" s="1" t="str">
        <f>_xlfn.XLOOKUP(tblSales[[#This Row],[Product Code]],tblProducts[Code],tblProducts[Category],"")</f>
        <v>Accessories &amp; Basics</v>
      </c>
      <c r="I4152" s="4">
        <v>6</v>
      </c>
      <c r="J4152" s="5">
        <f>_xlfn.XLOOKUP(tblSales[[#This Row],[Product Code]],tblProducts[Code],tblProducts[Selling Price (excl. VAT)],0)</f>
        <v>65000</v>
      </c>
      <c r="K4152" s="5">
        <f>tblSales[[#This Row],[Qty]]*tblSales[[#This Row],[Unit Price]]</f>
        <v>390000</v>
      </c>
      <c r="L4152" s="5">
        <f>ROUND(tblSales[[#This Row],[DPP (excl. VAT)]]*VATEff,0)</f>
        <v>42900</v>
      </c>
      <c r="M4152" s="5">
        <f>tblSales[[#This Row],[DPP (excl. VAT)]]+tblSales[[#This Row],[Output VAT]]</f>
        <v>432900</v>
      </c>
      <c r="N4152" s="5">
        <f>tblSales[[#This Row],[Qty]]*_xlfn.XLOOKUP(tblSales[[#This Row],[Product Code]],tblProducts[Code],tblProducts[Unit Cost],0)</f>
        <v>222000</v>
      </c>
      <c r="O4152" s="4" t="s">
        <v>4866</v>
      </c>
      <c r="P4152" s="4" t="s">
        <v>4860</v>
      </c>
      <c r="Q4152" s="1" t="str">
        <f>_xlfn.XLOOKUP(tblSales[[#This Row],[Channel Code]],tblChannels[Channel Code],tblChannels[Channel Name],"")</f>
        <v>In-store</v>
      </c>
      <c r="R4152" s="1">
        <f>MONTH(tblSales[[#This Row],[Date]])</f>
        <v>9</v>
      </c>
    </row>
    <row r="4153" spans="2:18" x14ac:dyDescent="0.35">
      <c r="B4153" s="113">
        <v>46271</v>
      </c>
      <c r="C4153" s="4" t="s">
        <v>2802</v>
      </c>
      <c r="D4153" s="4" t="s">
        <v>4568</v>
      </c>
      <c r="E4153" s="1" t="str">
        <f>_xlfn.XLOOKUP(tblSales[[#This Row],[Customer ID]],tblCustomers[Customer ID],tblCustomers[Customer Name],"⚠ Unknown")</f>
        <v>Walk-in Customer</v>
      </c>
      <c r="F4153" s="4" t="s">
        <v>8</v>
      </c>
      <c r="G4153" s="1" t="str">
        <f>_xlfn.XLOOKUP(tblSales[[#This Row],[Product Code]],tblProducts[Code],tblProducts[Product / Service Name],"⚠ Unknown")</f>
        <v>Casual Shorts</v>
      </c>
      <c r="H4153" s="1" t="str">
        <f>_xlfn.XLOOKUP(tblSales[[#This Row],[Product Code]],tblProducts[Code],tblProducts[Category],"")</f>
        <v>Accessories &amp; Basics</v>
      </c>
      <c r="I4153" s="4">
        <v>8</v>
      </c>
      <c r="J4153" s="5">
        <f>_xlfn.XLOOKUP(tblSales[[#This Row],[Product Code]],tblProducts[Code],tblProducts[Selling Price (excl. VAT)],0)</f>
        <v>85000</v>
      </c>
      <c r="K4153" s="5">
        <f>tblSales[[#This Row],[Qty]]*tblSales[[#This Row],[Unit Price]]</f>
        <v>680000</v>
      </c>
      <c r="L4153" s="5">
        <f>ROUND(tblSales[[#This Row],[DPP (excl. VAT)]]*VATEff,0)</f>
        <v>74800</v>
      </c>
      <c r="M4153" s="5">
        <f>tblSales[[#This Row],[DPP (excl. VAT)]]+tblSales[[#This Row],[Output VAT]]</f>
        <v>754800</v>
      </c>
      <c r="N4153" s="5">
        <f>tblSales[[#This Row],[Qty]]*_xlfn.XLOOKUP(tblSales[[#This Row],[Product Code]],tblProducts[Code],tblProducts[Unit Cost],0)</f>
        <v>400000</v>
      </c>
      <c r="O4153" s="4" t="s">
        <v>4866</v>
      </c>
      <c r="P4153" s="4" t="s">
        <v>4860</v>
      </c>
      <c r="Q4153" s="1" t="str">
        <f>_xlfn.XLOOKUP(tblSales[[#This Row],[Channel Code]],tblChannels[Channel Code],tblChannels[Channel Name],"")</f>
        <v>In-store</v>
      </c>
      <c r="R4153" s="1">
        <f>MONTH(tblSales[[#This Row],[Date]])</f>
        <v>9</v>
      </c>
    </row>
    <row r="4154" spans="2:18" x14ac:dyDescent="0.35">
      <c r="B4154" s="113">
        <v>46271</v>
      </c>
      <c r="C4154" s="4" t="s">
        <v>2802</v>
      </c>
      <c r="D4154" s="4" t="s">
        <v>4568</v>
      </c>
      <c r="E4154" s="1" t="str">
        <f>_xlfn.XLOOKUP(tblSales[[#This Row],[Customer ID]],tblCustomers[Customer ID],tblCustomers[Customer Name],"⚠ Unknown")</f>
        <v>Walk-in Customer</v>
      </c>
      <c r="F4154" s="4" t="s">
        <v>15</v>
      </c>
      <c r="G4154" s="1" t="str">
        <f>_xlfn.XLOOKUP(tblSales[[#This Row],[Product Code]],tblProducts[Code],tblProducts[Product / Service Name],"⚠ Unknown")</f>
        <v>Wireless Earbuds Pro</v>
      </c>
      <c r="H4154" s="1" t="str">
        <f>_xlfn.XLOOKUP(tblSales[[#This Row],[Product Code]],tblProducts[Code],tblProducts[Category],"")</f>
        <v>Bags &amp; Gadgets</v>
      </c>
      <c r="I4154" s="4">
        <v>1</v>
      </c>
      <c r="J4154" s="5">
        <f>_xlfn.XLOOKUP(tblSales[[#This Row],[Product Code]],tblProducts[Code],tblProducts[Selling Price (excl. VAT)],0)</f>
        <v>1250000</v>
      </c>
      <c r="K4154" s="5">
        <f>tblSales[[#This Row],[Qty]]*tblSales[[#This Row],[Unit Price]]</f>
        <v>1250000</v>
      </c>
      <c r="L4154" s="5">
        <f>ROUND(tblSales[[#This Row],[DPP (excl. VAT)]]*VATEff,0)</f>
        <v>137500</v>
      </c>
      <c r="M4154" s="5">
        <f>tblSales[[#This Row],[DPP (excl. VAT)]]+tblSales[[#This Row],[Output VAT]]</f>
        <v>1387500</v>
      </c>
      <c r="N4154" s="5">
        <f>tblSales[[#This Row],[Qty]]*_xlfn.XLOOKUP(tblSales[[#This Row],[Product Code]],tblProducts[Code],tblProducts[Unit Cost],0)</f>
        <v>820000</v>
      </c>
      <c r="O4154" s="4" t="s">
        <v>4866</v>
      </c>
      <c r="P4154" s="4" t="s">
        <v>4860</v>
      </c>
      <c r="Q4154" s="1" t="str">
        <f>_xlfn.XLOOKUP(tblSales[[#This Row],[Channel Code]],tblChannels[Channel Code],tblChannels[Channel Name],"")</f>
        <v>In-store</v>
      </c>
      <c r="R4154" s="1">
        <f>MONTH(tblSales[[#This Row],[Date]])</f>
        <v>9</v>
      </c>
    </row>
    <row r="4155" spans="2:18" x14ac:dyDescent="0.35">
      <c r="B4155" s="113">
        <v>46271</v>
      </c>
      <c r="C4155" s="4" t="s">
        <v>2803</v>
      </c>
      <c r="D4155" s="4" t="s">
        <v>4568</v>
      </c>
      <c r="E4155" s="1" t="str">
        <f>_xlfn.XLOOKUP(tblSales[[#This Row],[Customer ID]],tblCustomers[Customer ID],tblCustomers[Customer Name],"⚠ Unknown")</f>
        <v>Walk-in Customer</v>
      </c>
      <c r="F4155" s="4" t="s">
        <v>8</v>
      </c>
      <c r="G4155" s="1" t="str">
        <f>_xlfn.XLOOKUP(tblSales[[#This Row],[Product Code]],tblProducts[Code],tblProducts[Product / Service Name],"⚠ Unknown")</f>
        <v>Casual Shorts</v>
      </c>
      <c r="H4155" s="1" t="str">
        <f>_xlfn.XLOOKUP(tblSales[[#This Row],[Product Code]],tblProducts[Code],tblProducts[Category],"")</f>
        <v>Accessories &amp; Basics</v>
      </c>
      <c r="I4155" s="4">
        <v>2</v>
      </c>
      <c r="J4155" s="5">
        <f>_xlfn.XLOOKUP(tblSales[[#This Row],[Product Code]],tblProducts[Code],tblProducts[Selling Price (excl. VAT)],0)</f>
        <v>85000</v>
      </c>
      <c r="K4155" s="5">
        <f>tblSales[[#This Row],[Qty]]*tblSales[[#This Row],[Unit Price]]</f>
        <v>170000</v>
      </c>
      <c r="L4155" s="5">
        <f>ROUND(tblSales[[#This Row],[DPP (excl. VAT)]]*VATEff,0)</f>
        <v>18700</v>
      </c>
      <c r="M4155" s="5">
        <f>tblSales[[#This Row],[DPP (excl. VAT)]]+tblSales[[#This Row],[Output VAT]]</f>
        <v>188700</v>
      </c>
      <c r="N4155" s="5">
        <f>tblSales[[#This Row],[Qty]]*_xlfn.XLOOKUP(tblSales[[#This Row],[Product Code]],tblProducts[Code],tblProducts[Unit Cost],0)</f>
        <v>100000</v>
      </c>
      <c r="O4155" s="4" t="s">
        <v>4866</v>
      </c>
      <c r="P4155" s="4" t="s">
        <v>4861</v>
      </c>
      <c r="Q4155" s="1" t="str">
        <f>_xlfn.XLOOKUP(tblSales[[#This Row],[Channel Code]],tblChannels[Channel Code],tblChannels[Channel Name],"")</f>
        <v>Marketplace</v>
      </c>
      <c r="R4155" s="1">
        <f>MONTH(tblSales[[#This Row],[Date]])</f>
        <v>9</v>
      </c>
    </row>
    <row r="4156" spans="2:18" x14ac:dyDescent="0.35">
      <c r="B4156" s="113">
        <v>46271</v>
      </c>
      <c r="C4156" s="4" t="s">
        <v>2804</v>
      </c>
      <c r="D4156" s="4" t="s">
        <v>4568</v>
      </c>
      <c r="E4156" s="1" t="str">
        <f>_xlfn.XLOOKUP(tblSales[[#This Row],[Customer ID]],tblCustomers[Customer ID],tblCustomers[Customer Name],"⚠ Unknown")</f>
        <v>Walk-in Customer</v>
      </c>
      <c r="F4156" s="4" t="s">
        <v>7</v>
      </c>
      <c r="G4156" s="1" t="str">
        <f>_xlfn.XLOOKUP(tblSales[[#This Row],[Product Code]],tblProducts[Code],tblProducts[Product / Service Name],"⚠ Unknown")</f>
        <v>Premium Basic T-shirt</v>
      </c>
      <c r="H4156" s="1" t="str">
        <f>_xlfn.XLOOKUP(tblSales[[#This Row],[Product Code]],tblProducts[Code],tblProducts[Category],"")</f>
        <v>Accessories &amp; Basics</v>
      </c>
      <c r="I4156" s="4">
        <v>11</v>
      </c>
      <c r="J4156" s="5">
        <f>_xlfn.XLOOKUP(tblSales[[#This Row],[Product Code]],tblProducts[Code],tblProducts[Selling Price (excl. VAT)],0)</f>
        <v>65000</v>
      </c>
      <c r="K4156" s="5">
        <f>tblSales[[#This Row],[Qty]]*tblSales[[#This Row],[Unit Price]]</f>
        <v>715000</v>
      </c>
      <c r="L4156" s="5">
        <f>ROUND(tblSales[[#This Row],[DPP (excl. VAT)]]*VATEff,0)</f>
        <v>78650</v>
      </c>
      <c r="M4156" s="5">
        <f>tblSales[[#This Row],[DPP (excl. VAT)]]+tblSales[[#This Row],[Output VAT]]</f>
        <v>793650</v>
      </c>
      <c r="N4156" s="5">
        <f>tblSales[[#This Row],[Qty]]*_xlfn.XLOOKUP(tblSales[[#This Row],[Product Code]],tblProducts[Code],tblProducts[Unit Cost],0)</f>
        <v>407000</v>
      </c>
      <c r="O4156" s="4" t="s">
        <v>4865</v>
      </c>
      <c r="P4156" s="4" t="s">
        <v>4860</v>
      </c>
      <c r="Q4156" s="1" t="str">
        <f>_xlfn.XLOOKUP(tblSales[[#This Row],[Channel Code]],tblChannels[Channel Code],tblChannels[Channel Name],"")</f>
        <v>In-store</v>
      </c>
      <c r="R4156" s="1">
        <f>MONTH(tblSales[[#This Row],[Date]])</f>
        <v>9</v>
      </c>
    </row>
    <row r="4157" spans="2:18" x14ac:dyDescent="0.35">
      <c r="B4157" s="113">
        <v>46271</v>
      </c>
      <c r="C4157" s="4" t="s">
        <v>2805</v>
      </c>
      <c r="D4157" s="4" t="s">
        <v>4568</v>
      </c>
      <c r="E4157" s="1" t="str">
        <f>_xlfn.XLOOKUP(tblSales[[#This Row],[Customer ID]],tblCustomers[Customer ID],tblCustomers[Customer Name],"⚠ Unknown")</f>
        <v>Walk-in Customer</v>
      </c>
      <c r="F4157" s="4" t="s">
        <v>8</v>
      </c>
      <c r="G4157" s="1" t="str">
        <f>_xlfn.XLOOKUP(tblSales[[#This Row],[Product Code]],tblProducts[Code],tblProducts[Product / Service Name],"⚠ Unknown")</f>
        <v>Casual Shorts</v>
      </c>
      <c r="H4157" s="1" t="str">
        <f>_xlfn.XLOOKUP(tblSales[[#This Row],[Product Code]],tblProducts[Code],tblProducts[Category],"")</f>
        <v>Accessories &amp; Basics</v>
      </c>
      <c r="I4157" s="4">
        <v>3</v>
      </c>
      <c r="J4157" s="5">
        <f>_xlfn.XLOOKUP(tblSales[[#This Row],[Product Code]],tblProducts[Code],tblProducts[Selling Price (excl. VAT)],0)</f>
        <v>85000</v>
      </c>
      <c r="K4157" s="5">
        <f>tblSales[[#This Row],[Qty]]*tblSales[[#This Row],[Unit Price]]</f>
        <v>255000</v>
      </c>
      <c r="L4157" s="5">
        <f>ROUND(tblSales[[#This Row],[DPP (excl. VAT)]]*VATEff,0)</f>
        <v>28050</v>
      </c>
      <c r="M4157" s="5">
        <f>tblSales[[#This Row],[DPP (excl. VAT)]]+tblSales[[#This Row],[Output VAT]]</f>
        <v>283050</v>
      </c>
      <c r="N4157" s="5">
        <f>tblSales[[#This Row],[Qty]]*_xlfn.XLOOKUP(tblSales[[#This Row],[Product Code]],tblProducts[Code],tblProducts[Unit Cost],0)</f>
        <v>150000</v>
      </c>
      <c r="O4157" s="4" t="s">
        <v>4866</v>
      </c>
      <c r="P4157" s="4" t="s">
        <v>4861</v>
      </c>
      <c r="Q4157" s="1" t="str">
        <f>_xlfn.XLOOKUP(tblSales[[#This Row],[Channel Code]],tblChannels[Channel Code],tblChannels[Channel Name],"")</f>
        <v>Marketplace</v>
      </c>
      <c r="R4157" s="1">
        <f>MONTH(tblSales[[#This Row],[Date]])</f>
        <v>9</v>
      </c>
    </row>
    <row r="4158" spans="2:18" x14ac:dyDescent="0.35">
      <c r="B4158" s="113">
        <v>46271</v>
      </c>
      <c r="C4158" s="4" t="s">
        <v>2806</v>
      </c>
      <c r="D4158" s="4" t="s">
        <v>4568</v>
      </c>
      <c r="E4158" s="1" t="str">
        <f>_xlfn.XLOOKUP(tblSales[[#This Row],[Customer ID]],tblCustomers[Customer ID],tblCustomers[Customer Name],"⚠ Unknown")</f>
        <v>Walk-in Customer</v>
      </c>
      <c r="F4158" s="4" t="s">
        <v>6</v>
      </c>
      <c r="G4158" s="1" t="str">
        <f>_xlfn.XLOOKUP(tblSales[[#This Row],[Product Code]],tblProducts[Code],tblProducts[Product / Service Name],"⚠ Unknown")</f>
        <v>Socks &amp; Accessories</v>
      </c>
      <c r="H4158" s="1" t="str">
        <f>_xlfn.XLOOKUP(tblSales[[#This Row],[Product Code]],tblProducts[Code],tblProducts[Category],"")</f>
        <v>Accessories &amp; Basics</v>
      </c>
      <c r="I4158" s="4">
        <v>7</v>
      </c>
      <c r="J4158" s="5">
        <f>_xlfn.XLOOKUP(tblSales[[#This Row],[Product Code]],tblProducts[Code],tblProducts[Selling Price (excl. VAT)],0)</f>
        <v>45000</v>
      </c>
      <c r="K4158" s="5">
        <f>tblSales[[#This Row],[Qty]]*tblSales[[#This Row],[Unit Price]]</f>
        <v>315000</v>
      </c>
      <c r="L4158" s="5">
        <f>ROUND(tblSales[[#This Row],[DPP (excl. VAT)]]*VATEff,0)</f>
        <v>34650</v>
      </c>
      <c r="M4158" s="5">
        <f>tblSales[[#This Row],[DPP (excl. VAT)]]+tblSales[[#This Row],[Output VAT]]</f>
        <v>349650</v>
      </c>
      <c r="N4158" s="5">
        <f>tblSales[[#This Row],[Qty]]*_xlfn.XLOOKUP(tblSales[[#This Row],[Product Code]],tblProducts[Code],tblProducts[Unit Cost],0)</f>
        <v>168000</v>
      </c>
      <c r="O4158" s="4" t="s">
        <v>4866</v>
      </c>
      <c r="P4158" s="4" t="s">
        <v>4862</v>
      </c>
      <c r="Q4158" s="1" t="str">
        <f>_xlfn.XLOOKUP(tblSales[[#This Row],[Channel Code]],tblChannels[Channel Code],tblChannels[Channel Name],"")</f>
        <v>Website &amp; Social Media</v>
      </c>
      <c r="R4158" s="1">
        <f>MONTH(tblSales[[#This Row],[Date]])</f>
        <v>9</v>
      </c>
    </row>
    <row r="4159" spans="2:18" x14ac:dyDescent="0.35">
      <c r="B4159" s="113">
        <v>46271</v>
      </c>
      <c r="C4159" s="4" t="s">
        <v>2807</v>
      </c>
      <c r="D4159" s="4" t="s">
        <v>4568</v>
      </c>
      <c r="E4159" s="1" t="str">
        <f>_xlfn.XLOOKUP(tblSales[[#This Row],[Customer ID]],tblCustomers[Customer ID],tblCustomers[Customer Name],"⚠ Unknown")</f>
        <v>Walk-in Customer</v>
      </c>
      <c r="F4159" s="4" t="s">
        <v>15</v>
      </c>
      <c r="G4159" s="1" t="str">
        <f>_xlfn.XLOOKUP(tblSales[[#This Row],[Product Code]],tblProducts[Code],tblProducts[Product / Service Name],"⚠ Unknown")</f>
        <v>Wireless Earbuds Pro</v>
      </c>
      <c r="H4159" s="1" t="str">
        <f>_xlfn.XLOOKUP(tblSales[[#This Row],[Product Code]],tblProducts[Code],tblProducts[Category],"")</f>
        <v>Bags &amp; Gadgets</v>
      </c>
      <c r="I4159" s="4">
        <v>3</v>
      </c>
      <c r="J4159" s="5">
        <f>_xlfn.XLOOKUP(tblSales[[#This Row],[Product Code]],tblProducts[Code],tblProducts[Selling Price (excl. VAT)],0)</f>
        <v>1250000</v>
      </c>
      <c r="K4159" s="5">
        <f>tblSales[[#This Row],[Qty]]*tblSales[[#This Row],[Unit Price]]</f>
        <v>3750000</v>
      </c>
      <c r="L4159" s="5">
        <f>ROUND(tblSales[[#This Row],[DPP (excl. VAT)]]*VATEff,0)</f>
        <v>412500</v>
      </c>
      <c r="M4159" s="5">
        <f>tblSales[[#This Row],[DPP (excl. VAT)]]+tblSales[[#This Row],[Output VAT]]</f>
        <v>4162500</v>
      </c>
      <c r="N4159" s="5">
        <f>tblSales[[#This Row],[Qty]]*_xlfn.XLOOKUP(tblSales[[#This Row],[Product Code]],tblProducts[Code],tblProducts[Unit Cost],0)</f>
        <v>2460000</v>
      </c>
      <c r="O4159" s="4" t="s">
        <v>4866</v>
      </c>
      <c r="P4159" s="4" t="s">
        <v>4860</v>
      </c>
      <c r="Q4159" s="1" t="str">
        <f>_xlfn.XLOOKUP(tblSales[[#This Row],[Channel Code]],tblChannels[Channel Code],tblChannels[Channel Name],"")</f>
        <v>In-store</v>
      </c>
      <c r="R4159" s="1">
        <f>MONTH(tblSales[[#This Row],[Date]])</f>
        <v>9</v>
      </c>
    </row>
    <row r="4160" spans="2:18" x14ac:dyDescent="0.35">
      <c r="B4160" s="113">
        <v>46271</v>
      </c>
      <c r="C4160" s="4" t="s">
        <v>2808</v>
      </c>
      <c r="D4160" s="4" t="s">
        <v>4599</v>
      </c>
      <c r="E4160" s="1" t="str">
        <f>_xlfn.XLOOKUP(tblSales[[#This Row],[Customer ID]],tblCustomers[Customer ID],tblCustomers[Customer Name],"⚠ Unknown")</f>
        <v>PT Samudra Jaya Logistik</v>
      </c>
      <c r="F4160" s="4" t="s">
        <v>8</v>
      </c>
      <c r="G4160" s="1" t="str">
        <f>_xlfn.XLOOKUP(tblSales[[#This Row],[Product Code]],tblProducts[Code],tblProducts[Product / Service Name],"⚠ Unknown")</f>
        <v>Casual Shorts</v>
      </c>
      <c r="H4160" s="1" t="str">
        <f>_xlfn.XLOOKUP(tblSales[[#This Row],[Product Code]],tblProducts[Code],tblProducts[Category],"")</f>
        <v>Accessories &amp; Basics</v>
      </c>
      <c r="I4160" s="4">
        <v>96</v>
      </c>
      <c r="J4160" s="5">
        <f>_xlfn.XLOOKUP(tblSales[[#This Row],[Product Code]],tblProducts[Code],tblProducts[Selling Price (excl. VAT)],0)</f>
        <v>85000</v>
      </c>
      <c r="K4160" s="5">
        <f>tblSales[[#This Row],[Qty]]*tblSales[[#This Row],[Unit Price]]</f>
        <v>8160000</v>
      </c>
      <c r="L4160" s="5">
        <f>ROUND(tblSales[[#This Row],[DPP (excl. VAT)]]*VATEff,0)</f>
        <v>897600</v>
      </c>
      <c r="M4160" s="5">
        <f>tblSales[[#This Row],[DPP (excl. VAT)]]+tblSales[[#This Row],[Output VAT]]</f>
        <v>9057600</v>
      </c>
      <c r="N4160" s="5">
        <f>tblSales[[#This Row],[Qty]]*_xlfn.XLOOKUP(tblSales[[#This Row],[Product Code]],tblProducts[Code],tblProducts[Unit Cost],0)</f>
        <v>4800000</v>
      </c>
      <c r="O4160" s="4" t="s">
        <v>4867</v>
      </c>
      <c r="P4160" s="4" t="s">
        <v>4860</v>
      </c>
      <c r="Q4160" s="1" t="str">
        <f>_xlfn.XLOOKUP(tblSales[[#This Row],[Channel Code]],tblChannels[Channel Code],tblChannels[Channel Name],"")</f>
        <v>In-store</v>
      </c>
      <c r="R4160" s="1">
        <f>MONTH(tblSales[[#This Row],[Date]])</f>
        <v>9</v>
      </c>
    </row>
    <row r="4161" spans="2:18" x14ac:dyDescent="0.35">
      <c r="B4161" s="113">
        <v>46271</v>
      </c>
      <c r="C4161" s="4" t="s">
        <v>2809</v>
      </c>
      <c r="D4161" s="4" t="s">
        <v>4572</v>
      </c>
      <c r="E4161" s="1" t="str">
        <f>_xlfn.XLOOKUP(tblSales[[#This Row],[Customer ID]],tblCustomers[Customer ID],tblCustomers[Customer Name],"⚠ Unknown")</f>
        <v>PT Cahaya Abadi Makmur</v>
      </c>
      <c r="F4161" s="4" t="s">
        <v>10</v>
      </c>
      <c r="G4161" s="1" t="str">
        <f>_xlfn.XLOOKUP(tblSales[[#This Row],[Product Code]],tblProducts[Code],tblProducts[Product / Service Name],"⚠ Unknown")</f>
        <v>Chino Pants</v>
      </c>
      <c r="H4161" s="1" t="str">
        <f>_xlfn.XLOOKUP(tblSales[[#This Row],[Product Code]],tblProducts[Code],tblProducts[Category],"")</f>
        <v>Apparel &amp; Footwear</v>
      </c>
      <c r="I4161" s="4">
        <v>80</v>
      </c>
      <c r="J4161" s="5">
        <f>_xlfn.XLOOKUP(tblSales[[#This Row],[Product Code]],tblProducts[Code],tblProducts[Selling Price (excl. VAT)],0)</f>
        <v>150000</v>
      </c>
      <c r="K4161" s="5">
        <f>tblSales[[#This Row],[Qty]]*tblSales[[#This Row],[Unit Price]]</f>
        <v>12000000</v>
      </c>
      <c r="L4161" s="5">
        <f>ROUND(tblSales[[#This Row],[DPP (excl. VAT)]]*VATEff,0)</f>
        <v>1320000</v>
      </c>
      <c r="M4161" s="5">
        <f>tblSales[[#This Row],[DPP (excl. VAT)]]+tblSales[[#This Row],[Output VAT]]</f>
        <v>13320000</v>
      </c>
      <c r="N4161" s="5">
        <f>tblSales[[#This Row],[Qty]]*_xlfn.XLOOKUP(tblSales[[#This Row],[Product Code]],tblProducts[Code],tblProducts[Unit Cost],0)</f>
        <v>7040000</v>
      </c>
      <c r="O4161" s="4" t="s">
        <v>4867</v>
      </c>
      <c r="P4161" s="4" t="s">
        <v>4860</v>
      </c>
      <c r="Q4161" s="1" t="str">
        <f>_xlfn.XLOOKUP(tblSales[[#This Row],[Channel Code]],tblChannels[Channel Code],tblChannels[Channel Name],"")</f>
        <v>In-store</v>
      </c>
      <c r="R4161" s="1">
        <f>MONTH(tblSales[[#This Row],[Date]])</f>
        <v>9</v>
      </c>
    </row>
    <row r="4162" spans="2:18" x14ac:dyDescent="0.35">
      <c r="B4162" s="113">
        <v>46271</v>
      </c>
      <c r="C4162" s="4" t="s">
        <v>2810</v>
      </c>
      <c r="D4162" s="4" t="s">
        <v>4568</v>
      </c>
      <c r="E4162" s="1" t="str">
        <f>_xlfn.XLOOKUP(tblSales[[#This Row],[Customer ID]],tblCustomers[Customer ID],tblCustomers[Customer Name],"⚠ Unknown")</f>
        <v>Walk-in Customer</v>
      </c>
      <c r="F4162" s="4" t="s">
        <v>9</v>
      </c>
      <c r="G4162" s="1" t="str">
        <f>_xlfn.XLOOKUP(tblSales[[#This Row],[Product Code]],tblProducts[Code],tblProducts[Product / Service Name],"⚠ Unknown")</f>
        <v>Casual Shirt</v>
      </c>
      <c r="H4162" s="1" t="str">
        <f>_xlfn.XLOOKUP(tblSales[[#This Row],[Product Code]],tblProducts[Code],tblProducts[Category],"")</f>
        <v>Apparel &amp; Footwear</v>
      </c>
      <c r="I4162" s="4">
        <v>1</v>
      </c>
      <c r="J4162" s="5">
        <f>_xlfn.XLOOKUP(tblSales[[#This Row],[Product Code]],tblProducts[Code],tblProducts[Selling Price (excl. VAT)],0)</f>
        <v>120000</v>
      </c>
      <c r="K4162" s="5">
        <f>tblSales[[#This Row],[Qty]]*tblSales[[#This Row],[Unit Price]]</f>
        <v>120000</v>
      </c>
      <c r="L4162" s="5">
        <f>ROUND(tblSales[[#This Row],[DPP (excl. VAT)]]*VATEff,0)</f>
        <v>13200</v>
      </c>
      <c r="M4162" s="5">
        <f>tblSales[[#This Row],[DPP (excl. VAT)]]+tblSales[[#This Row],[Output VAT]]</f>
        <v>133200</v>
      </c>
      <c r="N4162" s="5">
        <f>tblSales[[#This Row],[Qty]]*_xlfn.XLOOKUP(tblSales[[#This Row],[Product Code]],tblProducts[Code],tblProducts[Unit Cost],0)</f>
        <v>72000</v>
      </c>
      <c r="O4162" s="4" t="s">
        <v>4866</v>
      </c>
      <c r="P4162" s="4" t="s">
        <v>4862</v>
      </c>
      <c r="Q4162" s="1" t="str">
        <f>_xlfn.XLOOKUP(tblSales[[#This Row],[Channel Code]],tblChannels[Channel Code],tblChannels[Channel Name],"")</f>
        <v>Website &amp; Social Media</v>
      </c>
      <c r="R4162" s="1">
        <f>MONTH(tblSales[[#This Row],[Date]])</f>
        <v>9</v>
      </c>
    </row>
    <row r="4163" spans="2:18" x14ac:dyDescent="0.35">
      <c r="B4163" s="113">
        <v>46271</v>
      </c>
      <c r="C4163" s="4" t="s">
        <v>2811</v>
      </c>
      <c r="D4163" s="4" t="s">
        <v>4568</v>
      </c>
      <c r="E4163" s="1" t="str">
        <f>_xlfn.XLOOKUP(tblSales[[#This Row],[Customer ID]],tblCustomers[Customer ID],tblCustomers[Customer Name],"⚠ Unknown")</f>
        <v>Walk-in Customer</v>
      </c>
      <c r="F4163" s="4" t="s">
        <v>14</v>
      </c>
      <c r="G4163" s="1" t="str">
        <f>_xlfn.XLOOKUP(tblSales[[#This Row],[Product Code]],tblProducts[Code],tblProducts[Product / Service Name],"⚠ Unknown")</f>
        <v>Smartwatch</v>
      </c>
      <c r="H4163" s="1" t="str">
        <f>_xlfn.XLOOKUP(tblSales[[#This Row],[Product Code]],tblProducts[Code],tblProducts[Category],"")</f>
        <v>Bags &amp; Gadgets</v>
      </c>
      <c r="I4163" s="4">
        <v>3</v>
      </c>
      <c r="J4163" s="5">
        <f>_xlfn.XLOOKUP(tblSales[[#This Row],[Product Code]],tblProducts[Code],tblProducts[Selling Price (excl. VAT)],0)</f>
        <v>850000</v>
      </c>
      <c r="K4163" s="5">
        <f>tblSales[[#This Row],[Qty]]*tblSales[[#This Row],[Unit Price]]</f>
        <v>2550000</v>
      </c>
      <c r="L4163" s="5">
        <f>ROUND(tblSales[[#This Row],[DPP (excl. VAT)]]*VATEff,0)</f>
        <v>280500</v>
      </c>
      <c r="M4163" s="5">
        <f>tblSales[[#This Row],[DPP (excl. VAT)]]+tblSales[[#This Row],[Output VAT]]</f>
        <v>2830500</v>
      </c>
      <c r="N4163" s="5">
        <f>tblSales[[#This Row],[Qty]]*_xlfn.XLOOKUP(tblSales[[#This Row],[Product Code]],tblProducts[Code],tblProducts[Unit Cost],0)</f>
        <v>1680000</v>
      </c>
      <c r="O4163" s="4" t="s">
        <v>4866</v>
      </c>
      <c r="P4163" s="4" t="s">
        <v>4861</v>
      </c>
      <c r="Q4163" s="1" t="str">
        <f>_xlfn.XLOOKUP(tblSales[[#This Row],[Channel Code]],tblChannels[Channel Code],tblChannels[Channel Name],"")</f>
        <v>Marketplace</v>
      </c>
      <c r="R4163" s="1">
        <f>MONTH(tblSales[[#This Row],[Date]])</f>
        <v>9</v>
      </c>
    </row>
    <row r="4164" spans="2:18" x14ac:dyDescent="0.35">
      <c r="B4164" s="113">
        <v>46271</v>
      </c>
      <c r="C4164" s="4" t="s">
        <v>2812</v>
      </c>
      <c r="D4164" s="4" t="s">
        <v>4568</v>
      </c>
      <c r="E4164" s="1" t="str">
        <f>_xlfn.XLOOKUP(tblSales[[#This Row],[Customer ID]],tblCustomers[Customer ID],tblCustomers[Customer Name],"⚠ Unknown")</f>
        <v>Walk-in Customer</v>
      </c>
      <c r="F4164" s="4" t="s">
        <v>15</v>
      </c>
      <c r="G4164" s="1" t="str">
        <f>_xlfn.XLOOKUP(tblSales[[#This Row],[Product Code]],tblProducts[Code],tblProducts[Product / Service Name],"⚠ Unknown")</f>
        <v>Wireless Earbuds Pro</v>
      </c>
      <c r="H4164" s="1" t="str">
        <f>_xlfn.XLOOKUP(tblSales[[#This Row],[Product Code]],tblProducts[Code],tblProducts[Category],"")</f>
        <v>Bags &amp; Gadgets</v>
      </c>
      <c r="I4164" s="4">
        <v>3</v>
      </c>
      <c r="J4164" s="5">
        <f>_xlfn.XLOOKUP(tblSales[[#This Row],[Product Code]],tblProducts[Code],tblProducts[Selling Price (excl. VAT)],0)</f>
        <v>1250000</v>
      </c>
      <c r="K4164" s="5">
        <f>tblSales[[#This Row],[Qty]]*tblSales[[#This Row],[Unit Price]]</f>
        <v>3750000</v>
      </c>
      <c r="L4164" s="5">
        <f>ROUND(tblSales[[#This Row],[DPP (excl. VAT)]]*VATEff,0)</f>
        <v>412500</v>
      </c>
      <c r="M4164" s="5">
        <f>tblSales[[#This Row],[DPP (excl. VAT)]]+tblSales[[#This Row],[Output VAT]]</f>
        <v>4162500</v>
      </c>
      <c r="N4164" s="5">
        <f>tblSales[[#This Row],[Qty]]*_xlfn.XLOOKUP(tblSales[[#This Row],[Product Code]],tblProducts[Code],tblProducts[Unit Cost],0)</f>
        <v>2460000</v>
      </c>
      <c r="O4164" s="4" t="s">
        <v>4865</v>
      </c>
      <c r="P4164" s="4" t="s">
        <v>4860</v>
      </c>
      <c r="Q4164" s="1" t="str">
        <f>_xlfn.XLOOKUP(tblSales[[#This Row],[Channel Code]],tblChannels[Channel Code],tblChannels[Channel Name],"")</f>
        <v>In-store</v>
      </c>
      <c r="R4164" s="1">
        <f>MONTH(tblSales[[#This Row],[Date]])</f>
        <v>9</v>
      </c>
    </row>
    <row r="4165" spans="2:18" x14ac:dyDescent="0.35">
      <c r="B4165" s="113">
        <v>46272</v>
      </c>
      <c r="C4165" s="4" t="s">
        <v>2813</v>
      </c>
      <c r="D4165" s="4" t="s">
        <v>4568</v>
      </c>
      <c r="E4165" s="1" t="str">
        <f>_xlfn.XLOOKUP(tblSales[[#This Row],[Customer ID]],tblCustomers[Customer ID],tblCustomers[Customer Name],"⚠ Unknown")</f>
        <v>Walk-in Customer</v>
      </c>
      <c r="F4165" s="4" t="s">
        <v>13</v>
      </c>
      <c r="G4165" s="1" t="str">
        <f>_xlfn.XLOOKUP(tblSales[[#This Row],[Product Code]],tblProducts[Code],tblProducts[Product / Service Name],"⚠ Unknown")</f>
        <v>Backpack</v>
      </c>
      <c r="H4165" s="1" t="str">
        <f>_xlfn.XLOOKUP(tblSales[[#This Row],[Product Code]],tblProducts[Code],tblProducts[Category],"")</f>
        <v>Bags &amp; Gadgets</v>
      </c>
      <c r="I4165" s="4">
        <v>6</v>
      </c>
      <c r="J4165" s="5">
        <f>_xlfn.XLOOKUP(tblSales[[#This Row],[Product Code]],tblProducts[Code],tblProducts[Selling Price (excl. VAT)],0)</f>
        <v>500000</v>
      </c>
      <c r="K4165" s="5">
        <f>tblSales[[#This Row],[Qty]]*tblSales[[#This Row],[Unit Price]]</f>
        <v>3000000</v>
      </c>
      <c r="L4165" s="5">
        <f>ROUND(tblSales[[#This Row],[DPP (excl. VAT)]]*VATEff,0)</f>
        <v>330000</v>
      </c>
      <c r="M4165" s="5">
        <f>tblSales[[#This Row],[DPP (excl. VAT)]]+tblSales[[#This Row],[Output VAT]]</f>
        <v>3330000</v>
      </c>
      <c r="N4165" s="5">
        <f>tblSales[[#This Row],[Qty]]*_xlfn.XLOOKUP(tblSales[[#This Row],[Product Code]],tblProducts[Code],tblProducts[Unit Cost],0)</f>
        <v>1740000</v>
      </c>
      <c r="O4165" s="4" t="s">
        <v>4866</v>
      </c>
      <c r="P4165" s="4" t="s">
        <v>4860</v>
      </c>
      <c r="Q4165" s="1" t="str">
        <f>_xlfn.XLOOKUP(tblSales[[#This Row],[Channel Code]],tblChannels[Channel Code],tblChannels[Channel Name],"")</f>
        <v>In-store</v>
      </c>
      <c r="R4165" s="1">
        <f>MONTH(tblSales[[#This Row],[Date]])</f>
        <v>9</v>
      </c>
    </row>
    <row r="4166" spans="2:18" x14ac:dyDescent="0.35">
      <c r="B4166" s="113">
        <v>46272</v>
      </c>
      <c r="C4166" s="4" t="s">
        <v>2814</v>
      </c>
      <c r="D4166" s="4" t="s">
        <v>4568</v>
      </c>
      <c r="E4166" s="1" t="str">
        <f>_xlfn.XLOOKUP(tblSales[[#This Row],[Customer ID]],tblCustomers[Customer ID],tblCustomers[Customer Name],"⚠ Unknown")</f>
        <v>Walk-in Customer</v>
      </c>
      <c r="F4166" s="4" t="s">
        <v>7</v>
      </c>
      <c r="G4166" s="1" t="str">
        <f>_xlfn.XLOOKUP(tblSales[[#This Row],[Product Code]],tblProducts[Code],tblProducts[Product / Service Name],"⚠ Unknown")</f>
        <v>Premium Basic T-shirt</v>
      </c>
      <c r="H4166" s="1" t="str">
        <f>_xlfn.XLOOKUP(tblSales[[#This Row],[Product Code]],tblProducts[Code],tblProducts[Category],"")</f>
        <v>Accessories &amp; Basics</v>
      </c>
      <c r="I4166" s="4">
        <v>2</v>
      </c>
      <c r="J4166" s="5">
        <f>_xlfn.XLOOKUP(tblSales[[#This Row],[Product Code]],tblProducts[Code],tblProducts[Selling Price (excl. VAT)],0)</f>
        <v>65000</v>
      </c>
      <c r="K4166" s="5">
        <f>tblSales[[#This Row],[Qty]]*tblSales[[#This Row],[Unit Price]]</f>
        <v>130000</v>
      </c>
      <c r="L4166" s="5">
        <f>ROUND(tblSales[[#This Row],[DPP (excl. VAT)]]*VATEff,0)</f>
        <v>14300</v>
      </c>
      <c r="M4166" s="5">
        <f>tblSales[[#This Row],[DPP (excl. VAT)]]+tblSales[[#This Row],[Output VAT]]</f>
        <v>144300</v>
      </c>
      <c r="N4166" s="5">
        <f>tblSales[[#This Row],[Qty]]*_xlfn.XLOOKUP(tblSales[[#This Row],[Product Code]],tblProducts[Code],tblProducts[Unit Cost],0)</f>
        <v>74000</v>
      </c>
      <c r="O4166" s="4" t="s">
        <v>4866</v>
      </c>
      <c r="P4166" s="4" t="s">
        <v>4862</v>
      </c>
      <c r="Q4166" s="1" t="str">
        <f>_xlfn.XLOOKUP(tblSales[[#This Row],[Channel Code]],tblChannels[Channel Code],tblChannels[Channel Name],"")</f>
        <v>Website &amp; Social Media</v>
      </c>
      <c r="R4166" s="1">
        <f>MONTH(tblSales[[#This Row],[Date]])</f>
        <v>9</v>
      </c>
    </row>
    <row r="4167" spans="2:18" x14ac:dyDescent="0.35">
      <c r="B4167" s="113">
        <v>46272</v>
      </c>
      <c r="C4167" s="4" t="s">
        <v>2815</v>
      </c>
      <c r="D4167" s="4" t="s">
        <v>4568</v>
      </c>
      <c r="E4167" s="1" t="str">
        <f>_xlfn.XLOOKUP(tblSales[[#This Row],[Customer ID]],tblCustomers[Customer ID],tblCustomers[Customer Name],"⚠ Unknown")</f>
        <v>Walk-in Customer</v>
      </c>
      <c r="F4167" s="4" t="s">
        <v>10</v>
      </c>
      <c r="G4167" s="1" t="str">
        <f>_xlfn.XLOOKUP(tblSales[[#This Row],[Product Code]],tblProducts[Code],tblProducts[Product / Service Name],"⚠ Unknown")</f>
        <v>Chino Pants</v>
      </c>
      <c r="H4167" s="1" t="str">
        <f>_xlfn.XLOOKUP(tblSales[[#This Row],[Product Code]],tblProducts[Code],tblProducts[Category],"")</f>
        <v>Apparel &amp; Footwear</v>
      </c>
      <c r="I4167" s="4">
        <v>7</v>
      </c>
      <c r="J4167" s="5">
        <f>_xlfn.XLOOKUP(tblSales[[#This Row],[Product Code]],tblProducts[Code],tblProducts[Selling Price (excl. VAT)],0)</f>
        <v>150000</v>
      </c>
      <c r="K4167" s="5">
        <f>tblSales[[#This Row],[Qty]]*tblSales[[#This Row],[Unit Price]]</f>
        <v>1050000</v>
      </c>
      <c r="L4167" s="5">
        <f>ROUND(tblSales[[#This Row],[DPP (excl. VAT)]]*VATEff,0)</f>
        <v>115500</v>
      </c>
      <c r="M4167" s="5">
        <f>tblSales[[#This Row],[DPP (excl. VAT)]]+tblSales[[#This Row],[Output VAT]]</f>
        <v>1165500</v>
      </c>
      <c r="N4167" s="5">
        <f>tblSales[[#This Row],[Qty]]*_xlfn.XLOOKUP(tblSales[[#This Row],[Product Code]],tblProducts[Code],tblProducts[Unit Cost],0)</f>
        <v>616000</v>
      </c>
      <c r="O4167" s="4" t="s">
        <v>4866</v>
      </c>
      <c r="P4167" s="4" t="s">
        <v>4861</v>
      </c>
      <c r="Q4167" s="1" t="str">
        <f>_xlfn.XLOOKUP(tblSales[[#This Row],[Channel Code]],tblChannels[Channel Code],tblChannels[Channel Name],"")</f>
        <v>Marketplace</v>
      </c>
      <c r="R4167" s="1">
        <f>MONTH(tblSales[[#This Row],[Date]])</f>
        <v>9</v>
      </c>
    </row>
    <row r="4168" spans="2:18" x14ac:dyDescent="0.35">
      <c r="B4168" s="113">
        <v>46272</v>
      </c>
      <c r="C4168" s="4" t="s">
        <v>2816</v>
      </c>
      <c r="D4168" s="4" t="s">
        <v>4568</v>
      </c>
      <c r="E4168" s="1" t="str">
        <f>_xlfn.XLOOKUP(tblSales[[#This Row],[Customer ID]],tblCustomers[Customer ID],tblCustomers[Customer Name],"⚠ Unknown")</f>
        <v>Walk-in Customer</v>
      </c>
      <c r="F4168" s="4" t="s">
        <v>6</v>
      </c>
      <c r="G4168" s="1" t="str">
        <f>_xlfn.XLOOKUP(tblSales[[#This Row],[Product Code]],tblProducts[Code],tblProducts[Product / Service Name],"⚠ Unknown")</f>
        <v>Socks &amp; Accessories</v>
      </c>
      <c r="H4168" s="1" t="str">
        <f>_xlfn.XLOOKUP(tblSales[[#This Row],[Product Code]],tblProducts[Code],tblProducts[Category],"")</f>
        <v>Accessories &amp; Basics</v>
      </c>
      <c r="I4168" s="4">
        <v>5</v>
      </c>
      <c r="J4168" s="5">
        <f>_xlfn.XLOOKUP(tblSales[[#This Row],[Product Code]],tblProducts[Code],tblProducts[Selling Price (excl. VAT)],0)</f>
        <v>45000</v>
      </c>
      <c r="K4168" s="5">
        <f>tblSales[[#This Row],[Qty]]*tblSales[[#This Row],[Unit Price]]</f>
        <v>225000</v>
      </c>
      <c r="L4168" s="5">
        <f>ROUND(tblSales[[#This Row],[DPP (excl. VAT)]]*VATEff,0)</f>
        <v>24750</v>
      </c>
      <c r="M4168" s="5">
        <f>tblSales[[#This Row],[DPP (excl. VAT)]]+tblSales[[#This Row],[Output VAT]]</f>
        <v>249750</v>
      </c>
      <c r="N4168" s="5">
        <f>tblSales[[#This Row],[Qty]]*_xlfn.XLOOKUP(tblSales[[#This Row],[Product Code]],tblProducts[Code],tblProducts[Unit Cost],0)</f>
        <v>120000</v>
      </c>
      <c r="O4168" s="4" t="s">
        <v>4866</v>
      </c>
      <c r="P4168" s="4" t="s">
        <v>4860</v>
      </c>
      <c r="Q4168" s="1" t="str">
        <f>_xlfn.XLOOKUP(tblSales[[#This Row],[Channel Code]],tblChannels[Channel Code],tblChannels[Channel Name],"")</f>
        <v>In-store</v>
      </c>
      <c r="R4168" s="1">
        <f>MONTH(tblSales[[#This Row],[Date]])</f>
        <v>9</v>
      </c>
    </row>
    <row r="4169" spans="2:18" x14ac:dyDescent="0.35">
      <c r="B4169" s="113">
        <v>46272</v>
      </c>
      <c r="C4169" s="4" t="s">
        <v>2817</v>
      </c>
      <c r="D4169" s="4" t="s">
        <v>4568</v>
      </c>
      <c r="E4169" s="1" t="str">
        <f>_xlfn.XLOOKUP(tblSales[[#This Row],[Customer ID]],tblCustomers[Customer ID],tblCustomers[Customer Name],"⚠ Unknown")</f>
        <v>Walk-in Customer</v>
      </c>
      <c r="F4169" s="4" t="s">
        <v>14</v>
      </c>
      <c r="G4169" s="1" t="str">
        <f>_xlfn.XLOOKUP(tblSales[[#This Row],[Product Code]],tblProducts[Code],tblProducts[Product / Service Name],"⚠ Unknown")</f>
        <v>Smartwatch</v>
      </c>
      <c r="H4169" s="1" t="str">
        <f>_xlfn.XLOOKUP(tblSales[[#This Row],[Product Code]],tblProducts[Code],tblProducts[Category],"")</f>
        <v>Bags &amp; Gadgets</v>
      </c>
      <c r="I4169" s="4">
        <v>2</v>
      </c>
      <c r="J4169" s="5">
        <f>_xlfn.XLOOKUP(tblSales[[#This Row],[Product Code]],tblProducts[Code],tblProducts[Selling Price (excl. VAT)],0)</f>
        <v>850000</v>
      </c>
      <c r="K4169" s="5">
        <f>tblSales[[#This Row],[Qty]]*tblSales[[#This Row],[Unit Price]]</f>
        <v>1700000</v>
      </c>
      <c r="L4169" s="5">
        <f>ROUND(tblSales[[#This Row],[DPP (excl. VAT)]]*VATEff,0)</f>
        <v>187000</v>
      </c>
      <c r="M4169" s="5">
        <f>tblSales[[#This Row],[DPP (excl. VAT)]]+tblSales[[#This Row],[Output VAT]]</f>
        <v>1887000</v>
      </c>
      <c r="N4169" s="5">
        <f>tblSales[[#This Row],[Qty]]*_xlfn.XLOOKUP(tblSales[[#This Row],[Product Code]],tblProducts[Code],tblProducts[Unit Cost],0)</f>
        <v>1120000</v>
      </c>
      <c r="O4169" s="4" t="s">
        <v>4865</v>
      </c>
      <c r="P4169" s="4" t="s">
        <v>4860</v>
      </c>
      <c r="Q4169" s="1" t="str">
        <f>_xlfn.XLOOKUP(tblSales[[#This Row],[Channel Code]],tblChannels[Channel Code],tblChannels[Channel Name],"")</f>
        <v>In-store</v>
      </c>
      <c r="R4169" s="1">
        <f>MONTH(tblSales[[#This Row],[Date]])</f>
        <v>9</v>
      </c>
    </row>
    <row r="4170" spans="2:18" x14ac:dyDescent="0.35">
      <c r="B4170" s="113">
        <v>46272</v>
      </c>
      <c r="C4170" s="4" t="s">
        <v>2817</v>
      </c>
      <c r="D4170" s="4" t="s">
        <v>4568</v>
      </c>
      <c r="E4170" s="1" t="str">
        <f>_xlfn.XLOOKUP(tblSales[[#This Row],[Customer ID]],tblCustomers[Customer ID],tblCustomers[Customer Name],"⚠ Unknown")</f>
        <v>Walk-in Customer</v>
      </c>
      <c r="F4170" s="4" t="s">
        <v>9</v>
      </c>
      <c r="G4170" s="1" t="str">
        <f>_xlfn.XLOOKUP(tblSales[[#This Row],[Product Code]],tblProducts[Code],tblProducts[Product / Service Name],"⚠ Unknown")</f>
        <v>Casual Shirt</v>
      </c>
      <c r="H4170" s="1" t="str">
        <f>_xlfn.XLOOKUP(tblSales[[#This Row],[Product Code]],tblProducts[Code],tblProducts[Category],"")</f>
        <v>Apparel &amp; Footwear</v>
      </c>
      <c r="I4170" s="4">
        <v>10</v>
      </c>
      <c r="J4170" s="5">
        <f>_xlfn.XLOOKUP(tblSales[[#This Row],[Product Code]],tblProducts[Code],tblProducts[Selling Price (excl. VAT)],0)</f>
        <v>120000</v>
      </c>
      <c r="K4170" s="5">
        <f>tblSales[[#This Row],[Qty]]*tblSales[[#This Row],[Unit Price]]</f>
        <v>1200000</v>
      </c>
      <c r="L4170" s="5">
        <f>ROUND(tblSales[[#This Row],[DPP (excl. VAT)]]*VATEff,0)</f>
        <v>132000</v>
      </c>
      <c r="M4170" s="5">
        <f>tblSales[[#This Row],[DPP (excl. VAT)]]+tblSales[[#This Row],[Output VAT]]</f>
        <v>1332000</v>
      </c>
      <c r="N4170" s="5">
        <f>tblSales[[#This Row],[Qty]]*_xlfn.XLOOKUP(tblSales[[#This Row],[Product Code]],tblProducts[Code],tblProducts[Unit Cost],0)</f>
        <v>720000</v>
      </c>
      <c r="O4170" s="4" t="s">
        <v>4865</v>
      </c>
      <c r="P4170" s="4" t="s">
        <v>4860</v>
      </c>
      <c r="Q4170" s="1" t="str">
        <f>_xlfn.XLOOKUP(tblSales[[#This Row],[Channel Code]],tblChannels[Channel Code],tblChannels[Channel Name],"")</f>
        <v>In-store</v>
      </c>
      <c r="R4170" s="1">
        <f>MONTH(tblSales[[#This Row],[Date]])</f>
        <v>9</v>
      </c>
    </row>
    <row r="4171" spans="2:18" x14ac:dyDescent="0.35">
      <c r="B4171" s="113">
        <v>46272</v>
      </c>
      <c r="C4171" s="4" t="s">
        <v>2817</v>
      </c>
      <c r="D4171" s="4" t="s">
        <v>4568</v>
      </c>
      <c r="E4171" s="1" t="str">
        <f>_xlfn.XLOOKUP(tblSales[[#This Row],[Customer ID]],tblCustomers[Customer ID],tblCustomers[Customer Name],"⚠ Unknown")</f>
        <v>Walk-in Customer</v>
      </c>
      <c r="F4171" s="4" t="s">
        <v>8</v>
      </c>
      <c r="G4171" s="1" t="str">
        <f>_xlfn.XLOOKUP(tblSales[[#This Row],[Product Code]],tblProducts[Code],tblProducts[Product / Service Name],"⚠ Unknown")</f>
        <v>Casual Shorts</v>
      </c>
      <c r="H4171" s="1" t="str">
        <f>_xlfn.XLOOKUP(tblSales[[#This Row],[Product Code]],tblProducts[Code],tblProducts[Category],"")</f>
        <v>Accessories &amp; Basics</v>
      </c>
      <c r="I4171" s="4">
        <v>9</v>
      </c>
      <c r="J4171" s="5">
        <f>_xlfn.XLOOKUP(tblSales[[#This Row],[Product Code]],tblProducts[Code],tblProducts[Selling Price (excl. VAT)],0)</f>
        <v>85000</v>
      </c>
      <c r="K4171" s="5">
        <f>tblSales[[#This Row],[Qty]]*tblSales[[#This Row],[Unit Price]]</f>
        <v>765000</v>
      </c>
      <c r="L4171" s="5">
        <f>ROUND(tblSales[[#This Row],[DPP (excl. VAT)]]*VATEff,0)</f>
        <v>84150</v>
      </c>
      <c r="M4171" s="5">
        <f>tblSales[[#This Row],[DPP (excl. VAT)]]+tblSales[[#This Row],[Output VAT]]</f>
        <v>849150</v>
      </c>
      <c r="N4171" s="5">
        <f>tblSales[[#This Row],[Qty]]*_xlfn.XLOOKUP(tblSales[[#This Row],[Product Code]],tblProducts[Code],tblProducts[Unit Cost],0)</f>
        <v>450000</v>
      </c>
      <c r="O4171" s="4" t="s">
        <v>4865</v>
      </c>
      <c r="P4171" s="4" t="s">
        <v>4860</v>
      </c>
      <c r="Q4171" s="1" t="str">
        <f>_xlfn.XLOOKUP(tblSales[[#This Row],[Channel Code]],tblChannels[Channel Code],tblChannels[Channel Name],"")</f>
        <v>In-store</v>
      </c>
      <c r="R4171" s="1">
        <f>MONTH(tblSales[[#This Row],[Date]])</f>
        <v>9</v>
      </c>
    </row>
    <row r="4172" spans="2:18" x14ac:dyDescent="0.35">
      <c r="B4172" s="113">
        <v>46272</v>
      </c>
      <c r="C4172" s="4" t="s">
        <v>2818</v>
      </c>
      <c r="D4172" s="4" t="s">
        <v>4568</v>
      </c>
      <c r="E4172" s="1" t="str">
        <f>_xlfn.XLOOKUP(tblSales[[#This Row],[Customer ID]],tblCustomers[Customer ID],tblCustomers[Customer Name],"⚠ Unknown")</f>
        <v>Walk-in Customer</v>
      </c>
      <c r="F4172" s="4" t="s">
        <v>10</v>
      </c>
      <c r="G4172" s="1" t="str">
        <f>_xlfn.XLOOKUP(tblSales[[#This Row],[Product Code]],tblProducts[Code],tblProducts[Product / Service Name],"⚠ Unknown")</f>
        <v>Chino Pants</v>
      </c>
      <c r="H4172" s="1" t="str">
        <f>_xlfn.XLOOKUP(tblSales[[#This Row],[Product Code]],tblProducts[Code],tblProducts[Category],"")</f>
        <v>Apparel &amp; Footwear</v>
      </c>
      <c r="I4172" s="4">
        <v>12</v>
      </c>
      <c r="J4172" s="5">
        <f>_xlfn.XLOOKUP(tblSales[[#This Row],[Product Code]],tblProducts[Code],tblProducts[Selling Price (excl. VAT)],0)</f>
        <v>150000</v>
      </c>
      <c r="K4172" s="5">
        <f>tblSales[[#This Row],[Qty]]*tblSales[[#This Row],[Unit Price]]</f>
        <v>1800000</v>
      </c>
      <c r="L4172" s="5">
        <f>ROUND(tblSales[[#This Row],[DPP (excl. VAT)]]*VATEff,0)</f>
        <v>198000</v>
      </c>
      <c r="M4172" s="5">
        <f>tblSales[[#This Row],[DPP (excl. VAT)]]+tblSales[[#This Row],[Output VAT]]</f>
        <v>1998000</v>
      </c>
      <c r="N4172" s="5">
        <f>tblSales[[#This Row],[Qty]]*_xlfn.XLOOKUP(tblSales[[#This Row],[Product Code]],tblProducts[Code],tblProducts[Unit Cost],0)</f>
        <v>1056000</v>
      </c>
      <c r="O4172" s="4" t="s">
        <v>4866</v>
      </c>
      <c r="P4172" s="4" t="s">
        <v>4862</v>
      </c>
      <c r="Q4172" s="1" t="str">
        <f>_xlfn.XLOOKUP(tblSales[[#This Row],[Channel Code]],tblChannels[Channel Code],tblChannels[Channel Name],"")</f>
        <v>Website &amp; Social Media</v>
      </c>
      <c r="R4172" s="1">
        <f>MONTH(tblSales[[#This Row],[Date]])</f>
        <v>9</v>
      </c>
    </row>
    <row r="4173" spans="2:18" x14ac:dyDescent="0.35">
      <c r="B4173" s="113">
        <v>46272</v>
      </c>
      <c r="C4173" s="4" t="s">
        <v>2819</v>
      </c>
      <c r="D4173" s="4" t="s">
        <v>4568</v>
      </c>
      <c r="E4173" s="1" t="str">
        <f>_xlfn.XLOOKUP(tblSales[[#This Row],[Customer ID]],tblCustomers[Customer ID],tblCustomers[Customer Name],"⚠ Unknown")</f>
        <v>Walk-in Customer</v>
      </c>
      <c r="F4173" s="4" t="s">
        <v>6</v>
      </c>
      <c r="G4173" s="1" t="str">
        <f>_xlfn.XLOOKUP(tblSales[[#This Row],[Product Code]],tblProducts[Code],tblProducts[Product / Service Name],"⚠ Unknown")</f>
        <v>Socks &amp; Accessories</v>
      </c>
      <c r="H4173" s="1" t="str">
        <f>_xlfn.XLOOKUP(tblSales[[#This Row],[Product Code]],tblProducts[Code],tblProducts[Category],"")</f>
        <v>Accessories &amp; Basics</v>
      </c>
      <c r="I4173" s="4">
        <v>1</v>
      </c>
      <c r="J4173" s="5">
        <f>_xlfn.XLOOKUP(tblSales[[#This Row],[Product Code]],tblProducts[Code],tblProducts[Selling Price (excl. VAT)],0)</f>
        <v>45000</v>
      </c>
      <c r="K4173" s="5">
        <f>tblSales[[#This Row],[Qty]]*tblSales[[#This Row],[Unit Price]]</f>
        <v>45000</v>
      </c>
      <c r="L4173" s="5">
        <f>ROUND(tblSales[[#This Row],[DPP (excl. VAT)]]*VATEff,0)</f>
        <v>4950</v>
      </c>
      <c r="M4173" s="5">
        <f>tblSales[[#This Row],[DPP (excl. VAT)]]+tblSales[[#This Row],[Output VAT]]</f>
        <v>49950</v>
      </c>
      <c r="N4173" s="5">
        <f>tblSales[[#This Row],[Qty]]*_xlfn.XLOOKUP(tblSales[[#This Row],[Product Code]],tblProducts[Code],tblProducts[Unit Cost],0)</f>
        <v>24000</v>
      </c>
      <c r="O4173" s="4" t="s">
        <v>4866</v>
      </c>
      <c r="P4173" s="4" t="s">
        <v>4861</v>
      </c>
      <c r="Q4173" s="1" t="str">
        <f>_xlfn.XLOOKUP(tblSales[[#This Row],[Channel Code]],tblChannels[Channel Code],tblChannels[Channel Name],"")</f>
        <v>Marketplace</v>
      </c>
      <c r="R4173" s="1">
        <f>MONTH(tblSales[[#This Row],[Date]])</f>
        <v>9</v>
      </c>
    </row>
    <row r="4174" spans="2:18" x14ac:dyDescent="0.35">
      <c r="B4174" s="113">
        <v>46272</v>
      </c>
      <c r="C4174" s="4" t="s">
        <v>2819</v>
      </c>
      <c r="D4174" s="4" t="s">
        <v>4568</v>
      </c>
      <c r="E4174" s="1" t="str">
        <f>_xlfn.XLOOKUP(tblSales[[#This Row],[Customer ID]],tblCustomers[Customer ID],tblCustomers[Customer Name],"⚠ Unknown")</f>
        <v>Walk-in Customer</v>
      </c>
      <c r="F4174" s="4" t="s">
        <v>8</v>
      </c>
      <c r="G4174" s="1" t="str">
        <f>_xlfn.XLOOKUP(tblSales[[#This Row],[Product Code]],tblProducts[Code],tblProducts[Product / Service Name],"⚠ Unknown")</f>
        <v>Casual Shorts</v>
      </c>
      <c r="H4174" s="1" t="str">
        <f>_xlfn.XLOOKUP(tblSales[[#This Row],[Product Code]],tblProducts[Code],tblProducts[Category],"")</f>
        <v>Accessories &amp; Basics</v>
      </c>
      <c r="I4174" s="4">
        <v>4</v>
      </c>
      <c r="J4174" s="5">
        <f>_xlfn.XLOOKUP(tblSales[[#This Row],[Product Code]],tblProducts[Code],tblProducts[Selling Price (excl. VAT)],0)</f>
        <v>85000</v>
      </c>
      <c r="K4174" s="5">
        <f>tblSales[[#This Row],[Qty]]*tblSales[[#This Row],[Unit Price]]</f>
        <v>340000</v>
      </c>
      <c r="L4174" s="5">
        <f>ROUND(tblSales[[#This Row],[DPP (excl. VAT)]]*VATEff,0)</f>
        <v>37400</v>
      </c>
      <c r="M4174" s="5">
        <f>tblSales[[#This Row],[DPP (excl. VAT)]]+tblSales[[#This Row],[Output VAT]]</f>
        <v>377400</v>
      </c>
      <c r="N4174" s="5">
        <f>tblSales[[#This Row],[Qty]]*_xlfn.XLOOKUP(tblSales[[#This Row],[Product Code]],tblProducts[Code],tblProducts[Unit Cost],0)</f>
        <v>200000</v>
      </c>
      <c r="O4174" s="4" t="s">
        <v>4866</v>
      </c>
      <c r="P4174" s="4" t="s">
        <v>4861</v>
      </c>
      <c r="Q4174" s="1" t="str">
        <f>_xlfn.XLOOKUP(tblSales[[#This Row],[Channel Code]],tblChannels[Channel Code],tblChannels[Channel Name],"")</f>
        <v>Marketplace</v>
      </c>
      <c r="R4174" s="1">
        <f>MONTH(tblSales[[#This Row],[Date]])</f>
        <v>9</v>
      </c>
    </row>
    <row r="4175" spans="2:18" x14ac:dyDescent="0.35">
      <c r="B4175" s="113">
        <v>46272</v>
      </c>
      <c r="C4175" s="4" t="s">
        <v>2820</v>
      </c>
      <c r="D4175" s="4" t="s">
        <v>4568</v>
      </c>
      <c r="E4175" s="1" t="str">
        <f>_xlfn.XLOOKUP(tblSales[[#This Row],[Customer ID]],tblCustomers[Customer ID],tblCustomers[Customer Name],"⚠ Unknown")</f>
        <v>Walk-in Customer</v>
      </c>
      <c r="F4175" s="4" t="s">
        <v>9</v>
      </c>
      <c r="G4175" s="1" t="str">
        <f>_xlfn.XLOOKUP(tblSales[[#This Row],[Product Code]],tblProducts[Code],tblProducts[Product / Service Name],"⚠ Unknown")</f>
        <v>Casual Shirt</v>
      </c>
      <c r="H4175" s="1" t="str">
        <f>_xlfn.XLOOKUP(tblSales[[#This Row],[Product Code]],tblProducts[Code],tblProducts[Category],"")</f>
        <v>Apparel &amp; Footwear</v>
      </c>
      <c r="I4175" s="4">
        <v>1</v>
      </c>
      <c r="J4175" s="5">
        <f>_xlfn.XLOOKUP(tblSales[[#This Row],[Product Code]],tblProducts[Code],tblProducts[Selling Price (excl. VAT)],0)</f>
        <v>120000</v>
      </c>
      <c r="K4175" s="5">
        <f>tblSales[[#This Row],[Qty]]*tblSales[[#This Row],[Unit Price]]</f>
        <v>120000</v>
      </c>
      <c r="L4175" s="5">
        <f>ROUND(tblSales[[#This Row],[DPP (excl. VAT)]]*VATEff,0)</f>
        <v>13200</v>
      </c>
      <c r="M4175" s="5">
        <f>tblSales[[#This Row],[DPP (excl. VAT)]]+tblSales[[#This Row],[Output VAT]]</f>
        <v>133200</v>
      </c>
      <c r="N4175" s="5">
        <f>tblSales[[#This Row],[Qty]]*_xlfn.XLOOKUP(tblSales[[#This Row],[Product Code]],tblProducts[Code],tblProducts[Unit Cost],0)</f>
        <v>72000</v>
      </c>
      <c r="O4175" s="4" t="s">
        <v>4865</v>
      </c>
      <c r="P4175" s="4" t="s">
        <v>4860</v>
      </c>
      <c r="Q4175" s="1" t="str">
        <f>_xlfn.XLOOKUP(tblSales[[#This Row],[Channel Code]],tblChannels[Channel Code],tblChannels[Channel Name],"")</f>
        <v>In-store</v>
      </c>
      <c r="R4175" s="1">
        <f>MONTH(tblSales[[#This Row],[Date]])</f>
        <v>9</v>
      </c>
    </row>
    <row r="4176" spans="2:18" x14ac:dyDescent="0.35">
      <c r="B4176" s="113">
        <v>46272</v>
      </c>
      <c r="C4176" s="4" t="s">
        <v>2820</v>
      </c>
      <c r="D4176" s="4" t="s">
        <v>4568</v>
      </c>
      <c r="E4176" s="1" t="str">
        <f>_xlfn.XLOOKUP(tblSales[[#This Row],[Customer ID]],tblCustomers[Customer ID],tblCustomers[Customer Name],"⚠ Unknown")</f>
        <v>Walk-in Customer</v>
      </c>
      <c r="F4176" s="4" t="s">
        <v>7</v>
      </c>
      <c r="G4176" s="1" t="str">
        <f>_xlfn.XLOOKUP(tblSales[[#This Row],[Product Code]],tblProducts[Code],tblProducts[Product / Service Name],"⚠ Unknown")</f>
        <v>Premium Basic T-shirt</v>
      </c>
      <c r="H4176" s="1" t="str">
        <f>_xlfn.XLOOKUP(tblSales[[#This Row],[Product Code]],tblProducts[Code],tblProducts[Category],"")</f>
        <v>Accessories &amp; Basics</v>
      </c>
      <c r="I4176" s="4">
        <v>1</v>
      </c>
      <c r="J4176" s="5">
        <f>_xlfn.XLOOKUP(tblSales[[#This Row],[Product Code]],tblProducts[Code],tblProducts[Selling Price (excl. VAT)],0)</f>
        <v>65000</v>
      </c>
      <c r="K4176" s="5">
        <f>tblSales[[#This Row],[Qty]]*tblSales[[#This Row],[Unit Price]]</f>
        <v>65000</v>
      </c>
      <c r="L4176" s="5">
        <f>ROUND(tblSales[[#This Row],[DPP (excl. VAT)]]*VATEff,0)</f>
        <v>7150</v>
      </c>
      <c r="M4176" s="5">
        <f>tblSales[[#This Row],[DPP (excl. VAT)]]+tblSales[[#This Row],[Output VAT]]</f>
        <v>72150</v>
      </c>
      <c r="N4176" s="5">
        <f>tblSales[[#This Row],[Qty]]*_xlfn.XLOOKUP(tblSales[[#This Row],[Product Code]],tblProducts[Code],tblProducts[Unit Cost],0)</f>
        <v>37000</v>
      </c>
      <c r="O4176" s="4" t="s">
        <v>4865</v>
      </c>
      <c r="P4176" s="4" t="s">
        <v>4860</v>
      </c>
      <c r="Q4176" s="1" t="str">
        <f>_xlfn.XLOOKUP(tblSales[[#This Row],[Channel Code]],tblChannels[Channel Code],tblChannels[Channel Name],"")</f>
        <v>In-store</v>
      </c>
      <c r="R4176" s="1">
        <f>MONTH(tblSales[[#This Row],[Date]])</f>
        <v>9</v>
      </c>
    </row>
    <row r="4177" spans="2:18" x14ac:dyDescent="0.35">
      <c r="B4177" s="113">
        <v>46272</v>
      </c>
      <c r="C4177" s="4" t="s">
        <v>2821</v>
      </c>
      <c r="D4177" s="4" t="s">
        <v>4568</v>
      </c>
      <c r="E4177" s="1" t="str">
        <f>_xlfn.XLOOKUP(tblSales[[#This Row],[Customer ID]],tblCustomers[Customer ID],tblCustomers[Customer Name],"⚠ Unknown")</f>
        <v>Walk-in Customer</v>
      </c>
      <c r="F4177" s="4" t="s">
        <v>13</v>
      </c>
      <c r="G4177" s="1" t="str">
        <f>_xlfn.XLOOKUP(tblSales[[#This Row],[Product Code]],tblProducts[Code],tblProducts[Product / Service Name],"⚠ Unknown")</f>
        <v>Backpack</v>
      </c>
      <c r="H4177" s="1" t="str">
        <f>_xlfn.XLOOKUP(tblSales[[#This Row],[Product Code]],tblProducts[Code],tblProducts[Category],"")</f>
        <v>Bags &amp; Gadgets</v>
      </c>
      <c r="I4177" s="4">
        <v>6</v>
      </c>
      <c r="J4177" s="5">
        <f>_xlfn.XLOOKUP(tblSales[[#This Row],[Product Code]],tblProducts[Code],tblProducts[Selling Price (excl. VAT)],0)</f>
        <v>500000</v>
      </c>
      <c r="K4177" s="5">
        <f>tblSales[[#This Row],[Qty]]*tblSales[[#This Row],[Unit Price]]</f>
        <v>3000000</v>
      </c>
      <c r="L4177" s="5">
        <f>ROUND(tblSales[[#This Row],[DPP (excl. VAT)]]*VATEff,0)</f>
        <v>330000</v>
      </c>
      <c r="M4177" s="5">
        <f>tblSales[[#This Row],[DPP (excl. VAT)]]+tblSales[[#This Row],[Output VAT]]</f>
        <v>3330000</v>
      </c>
      <c r="N4177" s="5">
        <f>tblSales[[#This Row],[Qty]]*_xlfn.XLOOKUP(tblSales[[#This Row],[Product Code]],tblProducts[Code],tblProducts[Unit Cost],0)</f>
        <v>1740000</v>
      </c>
      <c r="O4177" s="4" t="s">
        <v>4866</v>
      </c>
      <c r="P4177" s="4" t="s">
        <v>4860</v>
      </c>
      <c r="Q4177" s="1" t="str">
        <f>_xlfn.XLOOKUP(tblSales[[#This Row],[Channel Code]],tblChannels[Channel Code],tblChannels[Channel Name],"")</f>
        <v>In-store</v>
      </c>
      <c r="R4177" s="1">
        <f>MONTH(tblSales[[#This Row],[Date]])</f>
        <v>9</v>
      </c>
    </row>
    <row r="4178" spans="2:18" x14ac:dyDescent="0.35">
      <c r="B4178" s="113">
        <v>46272</v>
      </c>
      <c r="C4178" s="4" t="s">
        <v>2821</v>
      </c>
      <c r="D4178" s="4" t="s">
        <v>4568</v>
      </c>
      <c r="E4178" s="1" t="str">
        <f>_xlfn.XLOOKUP(tblSales[[#This Row],[Customer ID]],tblCustomers[Customer ID],tblCustomers[Customer Name],"⚠ Unknown")</f>
        <v>Walk-in Customer</v>
      </c>
      <c r="F4178" s="4" t="s">
        <v>6</v>
      </c>
      <c r="G4178" s="1" t="str">
        <f>_xlfn.XLOOKUP(tblSales[[#This Row],[Product Code]],tblProducts[Code],tblProducts[Product / Service Name],"⚠ Unknown")</f>
        <v>Socks &amp; Accessories</v>
      </c>
      <c r="H4178" s="1" t="str">
        <f>_xlfn.XLOOKUP(tblSales[[#This Row],[Product Code]],tblProducts[Code],tblProducts[Category],"")</f>
        <v>Accessories &amp; Basics</v>
      </c>
      <c r="I4178" s="4">
        <v>5</v>
      </c>
      <c r="J4178" s="5">
        <f>_xlfn.XLOOKUP(tblSales[[#This Row],[Product Code]],tblProducts[Code],tblProducts[Selling Price (excl. VAT)],0)</f>
        <v>45000</v>
      </c>
      <c r="K4178" s="5">
        <f>tblSales[[#This Row],[Qty]]*tblSales[[#This Row],[Unit Price]]</f>
        <v>225000</v>
      </c>
      <c r="L4178" s="5">
        <f>ROUND(tblSales[[#This Row],[DPP (excl. VAT)]]*VATEff,0)</f>
        <v>24750</v>
      </c>
      <c r="M4178" s="5">
        <f>tblSales[[#This Row],[DPP (excl. VAT)]]+tblSales[[#This Row],[Output VAT]]</f>
        <v>249750</v>
      </c>
      <c r="N4178" s="5">
        <f>tblSales[[#This Row],[Qty]]*_xlfn.XLOOKUP(tblSales[[#This Row],[Product Code]],tblProducts[Code],tblProducts[Unit Cost],0)</f>
        <v>120000</v>
      </c>
      <c r="O4178" s="4" t="s">
        <v>4866</v>
      </c>
      <c r="P4178" s="4" t="s">
        <v>4860</v>
      </c>
      <c r="Q4178" s="1" t="str">
        <f>_xlfn.XLOOKUP(tblSales[[#This Row],[Channel Code]],tblChannels[Channel Code],tblChannels[Channel Name],"")</f>
        <v>In-store</v>
      </c>
      <c r="R4178" s="1">
        <f>MONTH(tblSales[[#This Row],[Date]])</f>
        <v>9</v>
      </c>
    </row>
    <row r="4179" spans="2:18" x14ac:dyDescent="0.35">
      <c r="B4179" s="113">
        <v>46272</v>
      </c>
      <c r="C4179" s="4" t="s">
        <v>2821</v>
      </c>
      <c r="D4179" s="4" t="s">
        <v>4568</v>
      </c>
      <c r="E4179" s="1" t="str">
        <f>_xlfn.XLOOKUP(tblSales[[#This Row],[Customer ID]],tblCustomers[Customer ID],tblCustomers[Customer Name],"⚠ Unknown")</f>
        <v>Walk-in Customer</v>
      </c>
      <c r="F4179" s="4" t="s">
        <v>10</v>
      </c>
      <c r="G4179" s="1" t="str">
        <f>_xlfn.XLOOKUP(tblSales[[#This Row],[Product Code]],tblProducts[Code],tblProducts[Product / Service Name],"⚠ Unknown")</f>
        <v>Chino Pants</v>
      </c>
      <c r="H4179" s="1" t="str">
        <f>_xlfn.XLOOKUP(tblSales[[#This Row],[Product Code]],tblProducts[Code],tblProducts[Category],"")</f>
        <v>Apparel &amp; Footwear</v>
      </c>
      <c r="I4179" s="4">
        <v>1</v>
      </c>
      <c r="J4179" s="5">
        <f>_xlfn.XLOOKUP(tblSales[[#This Row],[Product Code]],tblProducts[Code],tblProducts[Selling Price (excl. VAT)],0)</f>
        <v>150000</v>
      </c>
      <c r="K4179" s="5">
        <f>tblSales[[#This Row],[Qty]]*tblSales[[#This Row],[Unit Price]]</f>
        <v>150000</v>
      </c>
      <c r="L4179" s="5">
        <f>ROUND(tblSales[[#This Row],[DPP (excl. VAT)]]*VATEff,0)</f>
        <v>16500</v>
      </c>
      <c r="M4179" s="5">
        <f>tblSales[[#This Row],[DPP (excl. VAT)]]+tblSales[[#This Row],[Output VAT]]</f>
        <v>166500</v>
      </c>
      <c r="N4179" s="5">
        <f>tblSales[[#This Row],[Qty]]*_xlfn.XLOOKUP(tblSales[[#This Row],[Product Code]],tblProducts[Code],tblProducts[Unit Cost],0)</f>
        <v>88000</v>
      </c>
      <c r="O4179" s="4" t="s">
        <v>4866</v>
      </c>
      <c r="P4179" s="4" t="s">
        <v>4860</v>
      </c>
      <c r="Q4179" s="1" t="str">
        <f>_xlfn.XLOOKUP(tblSales[[#This Row],[Channel Code]],tblChannels[Channel Code],tblChannels[Channel Name],"")</f>
        <v>In-store</v>
      </c>
      <c r="R4179" s="1">
        <f>MONTH(tblSales[[#This Row],[Date]])</f>
        <v>9</v>
      </c>
    </row>
    <row r="4180" spans="2:18" x14ac:dyDescent="0.35">
      <c r="B4180" s="113">
        <v>46272</v>
      </c>
      <c r="C4180" s="4" t="s">
        <v>2822</v>
      </c>
      <c r="D4180" s="4" t="s">
        <v>4568</v>
      </c>
      <c r="E4180" s="1" t="str">
        <f>_xlfn.XLOOKUP(tblSales[[#This Row],[Customer ID]],tblCustomers[Customer ID],tblCustomers[Customer Name],"⚠ Unknown")</f>
        <v>Walk-in Customer</v>
      </c>
      <c r="F4180" s="4" t="s">
        <v>7</v>
      </c>
      <c r="G4180" s="1" t="str">
        <f>_xlfn.XLOOKUP(tblSales[[#This Row],[Product Code]],tblProducts[Code],tblProducts[Product / Service Name],"⚠ Unknown")</f>
        <v>Premium Basic T-shirt</v>
      </c>
      <c r="H4180" s="1" t="str">
        <f>_xlfn.XLOOKUP(tblSales[[#This Row],[Product Code]],tblProducts[Code],tblProducts[Category],"")</f>
        <v>Accessories &amp; Basics</v>
      </c>
      <c r="I4180" s="4">
        <v>1</v>
      </c>
      <c r="J4180" s="5">
        <f>_xlfn.XLOOKUP(tblSales[[#This Row],[Product Code]],tblProducts[Code],tblProducts[Selling Price (excl. VAT)],0)</f>
        <v>65000</v>
      </c>
      <c r="K4180" s="5">
        <f>tblSales[[#This Row],[Qty]]*tblSales[[#This Row],[Unit Price]]</f>
        <v>65000</v>
      </c>
      <c r="L4180" s="5">
        <f>ROUND(tblSales[[#This Row],[DPP (excl. VAT)]]*VATEff,0)</f>
        <v>7150</v>
      </c>
      <c r="M4180" s="5">
        <f>tblSales[[#This Row],[DPP (excl. VAT)]]+tblSales[[#This Row],[Output VAT]]</f>
        <v>72150</v>
      </c>
      <c r="N4180" s="5">
        <f>tblSales[[#This Row],[Qty]]*_xlfn.XLOOKUP(tblSales[[#This Row],[Product Code]],tblProducts[Code],tblProducts[Unit Cost],0)</f>
        <v>37000</v>
      </c>
      <c r="O4180" s="4" t="s">
        <v>4866</v>
      </c>
      <c r="P4180" s="4" t="s">
        <v>4861</v>
      </c>
      <c r="Q4180" s="1" t="str">
        <f>_xlfn.XLOOKUP(tblSales[[#This Row],[Channel Code]],tblChannels[Channel Code],tblChannels[Channel Name],"")</f>
        <v>Marketplace</v>
      </c>
      <c r="R4180" s="1">
        <f>MONTH(tblSales[[#This Row],[Date]])</f>
        <v>9</v>
      </c>
    </row>
    <row r="4181" spans="2:18" x14ac:dyDescent="0.35">
      <c r="B4181" s="113">
        <v>46273</v>
      </c>
      <c r="C4181" s="4" t="s">
        <v>2823</v>
      </c>
      <c r="D4181" s="4" t="s">
        <v>4568</v>
      </c>
      <c r="E4181" s="1" t="str">
        <f>_xlfn.XLOOKUP(tblSales[[#This Row],[Customer ID]],tblCustomers[Customer ID],tblCustomers[Customer Name],"⚠ Unknown")</f>
        <v>Walk-in Customer</v>
      </c>
      <c r="F4181" s="4" t="s">
        <v>12</v>
      </c>
      <c r="G4181" s="1" t="str">
        <f>_xlfn.XLOOKUP(tblSales[[#This Row],[Product Code]],tblProducts[Code],tblProducts[Product / Service Name],"⚠ Unknown")</f>
        <v>Bomber Jacket</v>
      </c>
      <c r="H4181" s="1" t="str">
        <f>_xlfn.XLOOKUP(tblSales[[#This Row],[Product Code]],tblProducts[Code],tblProducts[Category],"")</f>
        <v>Apparel &amp; Footwear</v>
      </c>
      <c r="I4181" s="4">
        <v>2</v>
      </c>
      <c r="J4181" s="5">
        <f>_xlfn.XLOOKUP(tblSales[[#This Row],[Product Code]],tblProducts[Code],tblProducts[Selling Price (excl. VAT)],0)</f>
        <v>350000</v>
      </c>
      <c r="K4181" s="5">
        <f>tblSales[[#This Row],[Qty]]*tblSales[[#This Row],[Unit Price]]</f>
        <v>700000</v>
      </c>
      <c r="L4181" s="5">
        <f>ROUND(tblSales[[#This Row],[DPP (excl. VAT)]]*VATEff,0)</f>
        <v>77000</v>
      </c>
      <c r="M4181" s="5">
        <f>tblSales[[#This Row],[DPP (excl. VAT)]]+tblSales[[#This Row],[Output VAT]]</f>
        <v>777000</v>
      </c>
      <c r="N4181" s="5">
        <f>tblSales[[#This Row],[Qty]]*_xlfn.XLOOKUP(tblSales[[#This Row],[Product Code]],tblProducts[Code],tblProducts[Unit Cost],0)</f>
        <v>420000</v>
      </c>
      <c r="O4181" s="4" t="s">
        <v>4866</v>
      </c>
      <c r="P4181" s="4" t="s">
        <v>4860</v>
      </c>
      <c r="Q4181" s="1" t="str">
        <f>_xlfn.XLOOKUP(tblSales[[#This Row],[Channel Code]],tblChannels[Channel Code],tblChannels[Channel Name],"")</f>
        <v>In-store</v>
      </c>
      <c r="R4181" s="1">
        <f>MONTH(tblSales[[#This Row],[Date]])</f>
        <v>9</v>
      </c>
    </row>
    <row r="4182" spans="2:18" x14ac:dyDescent="0.35">
      <c r="B4182" s="113">
        <v>46273</v>
      </c>
      <c r="C4182" s="4" t="s">
        <v>2824</v>
      </c>
      <c r="D4182" s="4" t="s">
        <v>4613</v>
      </c>
      <c r="E4182" s="1" t="str">
        <f>_xlfn.XLOOKUP(tblSales[[#This Row],[Customer ID]],tblCustomers[Customer ID],tblCustomers[Customer Name],"⚠ Unknown")</f>
        <v>PT Mega Prima Distribusi</v>
      </c>
      <c r="F4182" s="4" t="s">
        <v>8</v>
      </c>
      <c r="G4182" s="1" t="str">
        <f>_xlfn.XLOOKUP(tblSales[[#This Row],[Product Code]],tblProducts[Code],tblProducts[Product / Service Name],"⚠ Unknown")</f>
        <v>Casual Shorts</v>
      </c>
      <c r="H4182" s="1" t="str">
        <f>_xlfn.XLOOKUP(tblSales[[#This Row],[Product Code]],tblProducts[Code],tblProducts[Category],"")</f>
        <v>Accessories &amp; Basics</v>
      </c>
      <c r="I4182" s="4">
        <v>32</v>
      </c>
      <c r="J4182" s="5">
        <f>_xlfn.XLOOKUP(tblSales[[#This Row],[Product Code]],tblProducts[Code],tblProducts[Selling Price (excl. VAT)],0)</f>
        <v>85000</v>
      </c>
      <c r="K4182" s="5">
        <f>tblSales[[#This Row],[Qty]]*tblSales[[#This Row],[Unit Price]]</f>
        <v>2720000</v>
      </c>
      <c r="L4182" s="5">
        <f>ROUND(tblSales[[#This Row],[DPP (excl. VAT)]]*VATEff,0)</f>
        <v>299200</v>
      </c>
      <c r="M4182" s="5">
        <f>tblSales[[#This Row],[DPP (excl. VAT)]]+tblSales[[#This Row],[Output VAT]]</f>
        <v>3019200</v>
      </c>
      <c r="N4182" s="5">
        <f>tblSales[[#This Row],[Qty]]*_xlfn.XLOOKUP(tblSales[[#This Row],[Product Code]],tblProducts[Code],tblProducts[Unit Cost],0)</f>
        <v>1600000</v>
      </c>
      <c r="O4182" s="4" t="s">
        <v>4867</v>
      </c>
      <c r="P4182" s="4" t="s">
        <v>4860</v>
      </c>
      <c r="Q4182" s="1" t="str">
        <f>_xlfn.XLOOKUP(tblSales[[#This Row],[Channel Code]],tblChannels[Channel Code],tblChannels[Channel Name],"")</f>
        <v>In-store</v>
      </c>
      <c r="R4182" s="1">
        <f>MONTH(tblSales[[#This Row],[Date]])</f>
        <v>9</v>
      </c>
    </row>
    <row r="4183" spans="2:18" x14ac:dyDescent="0.35">
      <c r="B4183" s="113">
        <v>46273</v>
      </c>
      <c r="C4183" s="4" t="s">
        <v>2825</v>
      </c>
      <c r="D4183" s="4" t="s">
        <v>4568</v>
      </c>
      <c r="E4183" s="1" t="str">
        <f>_xlfn.XLOOKUP(tblSales[[#This Row],[Customer ID]],tblCustomers[Customer ID],tblCustomers[Customer Name],"⚠ Unknown")</f>
        <v>Walk-in Customer</v>
      </c>
      <c r="F4183" s="4" t="s">
        <v>10</v>
      </c>
      <c r="G4183" s="1" t="str">
        <f>_xlfn.XLOOKUP(tblSales[[#This Row],[Product Code]],tblProducts[Code],tblProducts[Product / Service Name],"⚠ Unknown")</f>
        <v>Chino Pants</v>
      </c>
      <c r="H4183" s="1" t="str">
        <f>_xlfn.XLOOKUP(tblSales[[#This Row],[Product Code]],tblProducts[Code],tblProducts[Category],"")</f>
        <v>Apparel &amp; Footwear</v>
      </c>
      <c r="I4183" s="4">
        <v>5</v>
      </c>
      <c r="J4183" s="5">
        <f>_xlfn.XLOOKUP(tblSales[[#This Row],[Product Code]],tblProducts[Code],tblProducts[Selling Price (excl. VAT)],0)</f>
        <v>150000</v>
      </c>
      <c r="K4183" s="5">
        <f>tblSales[[#This Row],[Qty]]*tblSales[[#This Row],[Unit Price]]</f>
        <v>750000</v>
      </c>
      <c r="L4183" s="5">
        <f>ROUND(tblSales[[#This Row],[DPP (excl. VAT)]]*VATEff,0)</f>
        <v>82500</v>
      </c>
      <c r="M4183" s="5">
        <f>tblSales[[#This Row],[DPP (excl. VAT)]]+tblSales[[#This Row],[Output VAT]]</f>
        <v>832500</v>
      </c>
      <c r="N4183" s="5">
        <f>tblSales[[#This Row],[Qty]]*_xlfn.XLOOKUP(tblSales[[#This Row],[Product Code]],tblProducts[Code],tblProducts[Unit Cost],0)</f>
        <v>440000</v>
      </c>
      <c r="O4183" s="4" t="s">
        <v>4866</v>
      </c>
      <c r="P4183" s="4" t="s">
        <v>4860</v>
      </c>
      <c r="Q4183" s="1" t="str">
        <f>_xlfn.XLOOKUP(tblSales[[#This Row],[Channel Code]],tblChannels[Channel Code],tblChannels[Channel Name],"")</f>
        <v>In-store</v>
      </c>
      <c r="R4183" s="1">
        <f>MONTH(tblSales[[#This Row],[Date]])</f>
        <v>9</v>
      </c>
    </row>
    <row r="4184" spans="2:18" x14ac:dyDescent="0.35">
      <c r="B4184" s="113">
        <v>46273</v>
      </c>
      <c r="C4184" s="4" t="s">
        <v>2826</v>
      </c>
      <c r="D4184" s="4" t="s">
        <v>4568</v>
      </c>
      <c r="E4184" s="1" t="str">
        <f>_xlfn.XLOOKUP(tblSales[[#This Row],[Customer ID]],tblCustomers[Customer ID],tblCustomers[Customer Name],"⚠ Unknown")</f>
        <v>Walk-in Customer</v>
      </c>
      <c r="F4184" s="4" t="s">
        <v>7</v>
      </c>
      <c r="G4184" s="1" t="str">
        <f>_xlfn.XLOOKUP(tblSales[[#This Row],[Product Code]],tblProducts[Code],tblProducts[Product / Service Name],"⚠ Unknown")</f>
        <v>Premium Basic T-shirt</v>
      </c>
      <c r="H4184" s="1" t="str">
        <f>_xlfn.XLOOKUP(tblSales[[#This Row],[Product Code]],tblProducts[Code],tblProducts[Category],"")</f>
        <v>Accessories &amp; Basics</v>
      </c>
      <c r="I4184" s="4">
        <v>12</v>
      </c>
      <c r="J4184" s="5">
        <f>_xlfn.XLOOKUP(tblSales[[#This Row],[Product Code]],tblProducts[Code],tblProducts[Selling Price (excl. VAT)],0)</f>
        <v>65000</v>
      </c>
      <c r="K4184" s="5">
        <f>tblSales[[#This Row],[Qty]]*tblSales[[#This Row],[Unit Price]]</f>
        <v>780000</v>
      </c>
      <c r="L4184" s="5">
        <f>ROUND(tblSales[[#This Row],[DPP (excl. VAT)]]*VATEff,0)</f>
        <v>85800</v>
      </c>
      <c r="M4184" s="5">
        <f>tblSales[[#This Row],[DPP (excl. VAT)]]+tblSales[[#This Row],[Output VAT]]</f>
        <v>865800</v>
      </c>
      <c r="N4184" s="5">
        <f>tblSales[[#This Row],[Qty]]*_xlfn.XLOOKUP(tblSales[[#This Row],[Product Code]],tblProducts[Code],tblProducts[Unit Cost],0)</f>
        <v>444000</v>
      </c>
      <c r="O4184" s="4" t="s">
        <v>4866</v>
      </c>
      <c r="P4184" s="4" t="s">
        <v>4861</v>
      </c>
      <c r="Q4184" s="1" t="str">
        <f>_xlfn.XLOOKUP(tblSales[[#This Row],[Channel Code]],tblChannels[Channel Code],tblChannels[Channel Name],"")</f>
        <v>Marketplace</v>
      </c>
      <c r="R4184" s="1">
        <f>MONTH(tblSales[[#This Row],[Date]])</f>
        <v>9</v>
      </c>
    </row>
    <row r="4185" spans="2:18" x14ac:dyDescent="0.35">
      <c r="B4185" s="113">
        <v>46273</v>
      </c>
      <c r="C4185" s="4" t="s">
        <v>2826</v>
      </c>
      <c r="D4185" s="4" t="s">
        <v>4568</v>
      </c>
      <c r="E4185" s="1" t="str">
        <f>_xlfn.XLOOKUP(tblSales[[#This Row],[Customer ID]],tblCustomers[Customer ID],tblCustomers[Customer Name],"⚠ Unknown")</f>
        <v>Walk-in Customer</v>
      </c>
      <c r="F4185" s="4" t="s">
        <v>14</v>
      </c>
      <c r="G4185" s="1" t="str">
        <f>_xlfn.XLOOKUP(tblSales[[#This Row],[Product Code]],tblProducts[Code],tblProducts[Product / Service Name],"⚠ Unknown")</f>
        <v>Smartwatch</v>
      </c>
      <c r="H4185" s="1" t="str">
        <f>_xlfn.XLOOKUP(tblSales[[#This Row],[Product Code]],tblProducts[Code],tblProducts[Category],"")</f>
        <v>Bags &amp; Gadgets</v>
      </c>
      <c r="I4185" s="4">
        <v>2</v>
      </c>
      <c r="J4185" s="5">
        <f>_xlfn.XLOOKUP(tblSales[[#This Row],[Product Code]],tblProducts[Code],tblProducts[Selling Price (excl. VAT)],0)</f>
        <v>850000</v>
      </c>
      <c r="K4185" s="5">
        <f>tblSales[[#This Row],[Qty]]*tblSales[[#This Row],[Unit Price]]</f>
        <v>1700000</v>
      </c>
      <c r="L4185" s="5">
        <f>ROUND(tblSales[[#This Row],[DPP (excl. VAT)]]*VATEff,0)</f>
        <v>187000</v>
      </c>
      <c r="M4185" s="5">
        <f>tblSales[[#This Row],[DPP (excl. VAT)]]+tblSales[[#This Row],[Output VAT]]</f>
        <v>1887000</v>
      </c>
      <c r="N4185" s="5">
        <f>tblSales[[#This Row],[Qty]]*_xlfn.XLOOKUP(tblSales[[#This Row],[Product Code]],tblProducts[Code],tblProducts[Unit Cost],0)</f>
        <v>1120000</v>
      </c>
      <c r="O4185" s="4" t="s">
        <v>4866</v>
      </c>
      <c r="P4185" s="4" t="s">
        <v>4861</v>
      </c>
      <c r="Q4185" s="1" t="str">
        <f>_xlfn.XLOOKUP(tblSales[[#This Row],[Channel Code]],tblChannels[Channel Code],tblChannels[Channel Name],"")</f>
        <v>Marketplace</v>
      </c>
      <c r="R4185" s="1">
        <f>MONTH(tblSales[[#This Row],[Date]])</f>
        <v>9</v>
      </c>
    </row>
    <row r="4186" spans="2:18" x14ac:dyDescent="0.35">
      <c r="B4186" s="113">
        <v>46273</v>
      </c>
      <c r="C4186" s="4" t="s">
        <v>2826</v>
      </c>
      <c r="D4186" s="4" t="s">
        <v>4568</v>
      </c>
      <c r="E4186" s="1" t="str">
        <f>_xlfn.XLOOKUP(tblSales[[#This Row],[Customer ID]],tblCustomers[Customer ID],tblCustomers[Customer Name],"⚠ Unknown")</f>
        <v>Walk-in Customer</v>
      </c>
      <c r="F4186" s="4" t="s">
        <v>15</v>
      </c>
      <c r="G4186" s="1" t="str">
        <f>_xlfn.XLOOKUP(tblSales[[#This Row],[Product Code]],tblProducts[Code],tblProducts[Product / Service Name],"⚠ Unknown")</f>
        <v>Wireless Earbuds Pro</v>
      </c>
      <c r="H4186" s="1" t="str">
        <f>_xlfn.XLOOKUP(tblSales[[#This Row],[Product Code]],tblProducts[Code],tblProducts[Category],"")</f>
        <v>Bags &amp; Gadgets</v>
      </c>
      <c r="I4186" s="4">
        <v>3</v>
      </c>
      <c r="J4186" s="5">
        <f>_xlfn.XLOOKUP(tblSales[[#This Row],[Product Code]],tblProducts[Code],tblProducts[Selling Price (excl. VAT)],0)</f>
        <v>1250000</v>
      </c>
      <c r="K4186" s="5">
        <f>tblSales[[#This Row],[Qty]]*tblSales[[#This Row],[Unit Price]]</f>
        <v>3750000</v>
      </c>
      <c r="L4186" s="5">
        <f>ROUND(tblSales[[#This Row],[DPP (excl. VAT)]]*VATEff,0)</f>
        <v>412500</v>
      </c>
      <c r="M4186" s="5">
        <f>tblSales[[#This Row],[DPP (excl. VAT)]]+tblSales[[#This Row],[Output VAT]]</f>
        <v>4162500</v>
      </c>
      <c r="N4186" s="5">
        <f>tblSales[[#This Row],[Qty]]*_xlfn.XLOOKUP(tblSales[[#This Row],[Product Code]],tblProducts[Code],tblProducts[Unit Cost],0)</f>
        <v>2460000</v>
      </c>
      <c r="O4186" s="4" t="s">
        <v>4866</v>
      </c>
      <c r="P4186" s="4" t="s">
        <v>4861</v>
      </c>
      <c r="Q4186" s="1" t="str">
        <f>_xlfn.XLOOKUP(tblSales[[#This Row],[Channel Code]],tblChannels[Channel Code],tblChannels[Channel Name],"")</f>
        <v>Marketplace</v>
      </c>
      <c r="R4186" s="1">
        <f>MONTH(tblSales[[#This Row],[Date]])</f>
        <v>9</v>
      </c>
    </row>
    <row r="4187" spans="2:18" x14ac:dyDescent="0.35">
      <c r="B4187" s="113">
        <v>46273</v>
      </c>
      <c r="C4187" s="4" t="s">
        <v>2827</v>
      </c>
      <c r="D4187" s="4" t="s">
        <v>4568</v>
      </c>
      <c r="E4187" s="1" t="str">
        <f>_xlfn.XLOOKUP(tblSales[[#This Row],[Customer ID]],tblCustomers[Customer ID],tblCustomers[Customer Name],"⚠ Unknown")</f>
        <v>Walk-in Customer</v>
      </c>
      <c r="F4187" s="4" t="s">
        <v>11</v>
      </c>
      <c r="G4187" s="1" t="str">
        <f>_xlfn.XLOOKUP(tblSales[[#This Row],[Product Code]],tblProducts[Code],tblProducts[Product / Service Name],"⚠ Unknown")</f>
        <v>Sneakers</v>
      </c>
      <c r="H4187" s="1" t="str">
        <f>_xlfn.XLOOKUP(tblSales[[#This Row],[Product Code]],tblProducts[Code],tblProducts[Category],"")</f>
        <v>Apparel &amp; Footwear</v>
      </c>
      <c r="I4187" s="4">
        <v>3</v>
      </c>
      <c r="J4187" s="5">
        <f>_xlfn.XLOOKUP(tblSales[[#This Row],[Product Code]],tblProducts[Code],tblProducts[Selling Price (excl. VAT)],0)</f>
        <v>250000</v>
      </c>
      <c r="K4187" s="5">
        <f>tblSales[[#This Row],[Qty]]*tblSales[[#This Row],[Unit Price]]</f>
        <v>750000</v>
      </c>
      <c r="L4187" s="5">
        <f>ROUND(tblSales[[#This Row],[DPP (excl. VAT)]]*VATEff,0)</f>
        <v>82500</v>
      </c>
      <c r="M4187" s="5">
        <f>tblSales[[#This Row],[DPP (excl. VAT)]]+tblSales[[#This Row],[Output VAT]]</f>
        <v>832500</v>
      </c>
      <c r="N4187" s="5">
        <f>tblSales[[#This Row],[Qty]]*_xlfn.XLOOKUP(tblSales[[#This Row],[Product Code]],tblProducts[Code],tblProducts[Unit Cost],0)</f>
        <v>465000</v>
      </c>
      <c r="O4187" s="4" t="s">
        <v>4866</v>
      </c>
      <c r="P4187" s="4" t="s">
        <v>4860</v>
      </c>
      <c r="Q4187" s="1" t="str">
        <f>_xlfn.XLOOKUP(tblSales[[#This Row],[Channel Code]],tblChannels[Channel Code],tblChannels[Channel Name],"")</f>
        <v>In-store</v>
      </c>
      <c r="R4187" s="1">
        <f>MONTH(tblSales[[#This Row],[Date]])</f>
        <v>9</v>
      </c>
    </row>
    <row r="4188" spans="2:18" x14ac:dyDescent="0.35">
      <c r="B4188" s="113">
        <v>46273</v>
      </c>
      <c r="C4188" s="4" t="s">
        <v>2828</v>
      </c>
      <c r="D4188" s="4" t="s">
        <v>4568</v>
      </c>
      <c r="E4188" s="1" t="str">
        <f>_xlfn.XLOOKUP(tblSales[[#This Row],[Customer ID]],tblCustomers[Customer ID],tblCustomers[Customer Name],"⚠ Unknown")</f>
        <v>Walk-in Customer</v>
      </c>
      <c r="F4188" s="4" t="s">
        <v>8</v>
      </c>
      <c r="G4188" s="1" t="str">
        <f>_xlfn.XLOOKUP(tblSales[[#This Row],[Product Code]],tblProducts[Code],tblProducts[Product / Service Name],"⚠ Unknown")</f>
        <v>Casual Shorts</v>
      </c>
      <c r="H4188" s="1" t="str">
        <f>_xlfn.XLOOKUP(tblSales[[#This Row],[Product Code]],tblProducts[Code],tblProducts[Category],"")</f>
        <v>Accessories &amp; Basics</v>
      </c>
      <c r="I4188" s="4">
        <v>3</v>
      </c>
      <c r="J4188" s="5">
        <f>_xlfn.XLOOKUP(tblSales[[#This Row],[Product Code]],tblProducts[Code],tblProducts[Selling Price (excl. VAT)],0)</f>
        <v>85000</v>
      </c>
      <c r="K4188" s="5">
        <f>tblSales[[#This Row],[Qty]]*tblSales[[#This Row],[Unit Price]]</f>
        <v>255000</v>
      </c>
      <c r="L4188" s="5">
        <f>ROUND(tblSales[[#This Row],[DPP (excl. VAT)]]*VATEff,0)</f>
        <v>28050</v>
      </c>
      <c r="M4188" s="5">
        <f>tblSales[[#This Row],[DPP (excl. VAT)]]+tblSales[[#This Row],[Output VAT]]</f>
        <v>283050</v>
      </c>
      <c r="N4188" s="5">
        <f>tblSales[[#This Row],[Qty]]*_xlfn.XLOOKUP(tblSales[[#This Row],[Product Code]],tblProducts[Code],tblProducts[Unit Cost],0)</f>
        <v>150000</v>
      </c>
      <c r="O4188" s="4" t="s">
        <v>4866</v>
      </c>
      <c r="P4188" s="4" t="s">
        <v>4860</v>
      </c>
      <c r="Q4188" s="1" t="str">
        <f>_xlfn.XLOOKUP(tblSales[[#This Row],[Channel Code]],tblChannels[Channel Code],tblChannels[Channel Name],"")</f>
        <v>In-store</v>
      </c>
      <c r="R4188" s="1">
        <f>MONTH(tblSales[[#This Row],[Date]])</f>
        <v>9</v>
      </c>
    </row>
    <row r="4189" spans="2:18" x14ac:dyDescent="0.35">
      <c r="B4189" s="113">
        <v>46273</v>
      </c>
      <c r="C4189" s="4" t="s">
        <v>2828</v>
      </c>
      <c r="D4189" s="4" t="s">
        <v>4568</v>
      </c>
      <c r="E4189" s="1" t="str">
        <f>_xlfn.XLOOKUP(tblSales[[#This Row],[Customer ID]],tblCustomers[Customer ID],tblCustomers[Customer Name],"⚠ Unknown")</f>
        <v>Walk-in Customer</v>
      </c>
      <c r="F4189" s="4" t="s">
        <v>9</v>
      </c>
      <c r="G4189" s="1" t="str">
        <f>_xlfn.XLOOKUP(tblSales[[#This Row],[Product Code]],tblProducts[Code],tblProducts[Product / Service Name],"⚠ Unknown")</f>
        <v>Casual Shirt</v>
      </c>
      <c r="H4189" s="1" t="str">
        <f>_xlfn.XLOOKUP(tblSales[[#This Row],[Product Code]],tblProducts[Code],tblProducts[Category],"")</f>
        <v>Apparel &amp; Footwear</v>
      </c>
      <c r="I4189" s="4">
        <v>9</v>
      </c>
      <c r="J4189" s="5">
        <f>_xlfn.XLOOKUP(tblSales[[#This Row],[Product Code]],tblProducts[Code],tblProducts[Selling Price (excl. VAT)],0)</f>
        <v>120000</v>
      </c>
      <c r="K4189" s="5">
        <f>tblSales[[#This Row],[Qty]]*tblSales[[#This Row],[Unit Price]]</f>
        <v>1080000</v>
      </c>
      <c r="L4189" s="5">
        <f>ROUND(tblSales[[#This Row],[DPP (excl. VAT)]]*VATEff,0)</f>
        <v>118800</v>
      </c>
      <c r="M4189" s="5">
        <f>tblSales[[#This Row],[DPP (excl. VAT)]]+tblSales[[#This Row],[Output VAT]]</f>
        <v>1198800</v>
      </c>
      <c r="N4189" s="5">
        <f>tblSales[[#This Row],[Qty]]*_xlfn.XLOOKUP(tblSales[[#This Row],[Product Code]],tblProducts[Code],tblProducts[Unit Cost],0)</f>
        <v>648000</v>
      </c>
      <c r="O4189" s="4" t="s">
        <v>4866</v>
      </c>
      <c r="P4189" s="4" t="s">
        <v>4860</v>
      </c>
      <c r="Q4189" s="1" t="str">
        <f>_xlfn.XLOOKUP(tblSales[[#This Row],[Channel Code]],tblChannels[Channel Code],tblChannels[Channel Name],"")</f>
        <v>In-store</v>
      </c>
      <c r="R4189" s="1">
        <f>MONTH(tblSales[[#This Row],[Date]])</f>
        <v>9</v>
      </c>
    </row>
    <row r="4190" spans="2:18" x14ac:dyDescent="0.35">
      <c r="B4190" s="113">
        <v>46273</v>
      </c>
      <c r="C4190" s="4" t="s">
        <v>2829</v>
      </c>
      <c r="D4190" s="4" t="s">
        <v>4568</v>
      </c>
      <c r="E4190" s="1" t="str">
        <f>_xlfn.XLOOKUP(tblSales[[#This Row],[Customer ID]],tblCustomers[Customer ID],tblCustomers[Customer Name],"⚠ Unknown")</f>
        <v>Walk-in Customer</v>
      </c>
      <c r="F4190" s="4" t="s">
        <v>7</v>
      </c>
      <c r="G4190" s="1" t="str">
        <f>_xlfn.XLOOKUP(tblSales[[#This Row],[Product Code]],tblProducts[Code],tblProducts[Product / Service Name],"⚠ Unknown")</f>
        <v>Premium Basic T-shirt</v>
      </c>
      <c r="H4190" s="1" t="str">
        <f>_xlfn.XLOOKUP(tblSales[[#This Row],[Product Code]],tblProducts[Code],tblProducts[Category],"")</f>
        <v>Accessories &amp; Basics</v>
      </c>
      <c r="I4190" s="4">
        <v>6</v>
      </c>
      <c r="J4190" s="5">
        <f>_xlfn.XLOOKUP(tblSales[[#This Row],[Product Code]],tblProducts[Code],tblProducts[Selling Price (excl. VAT)],0)</f>
        <v>65000</v>
      </c>
      <c r="K4190" s="5">
        <f>tblSales[[#This Row],[Qty]]*tblSales[[#This Row],[Unit Price]]</f>
        <v>390000</v>
      </c>
      <c r="L4190" s="5">
        <f>ROUND(tblSales[[#This Row],[DPP (excl. VAT)]]*VATEff,0)</f>
        <v>42900</v>
      </c>
      <c r="M4190" s="5">
        <f>tblSales[[#This Row],[DPP (excl. VAT)]]+tblSales[[#This Row],[Output VAT]]</f>
        <v>432900</v>
      </c>
      <c r="N4190" s="5">
        <f>tblSales[[#This Row],[Qty]]*_xlfn.XLOOKUP(tblSales[[#This Row],[Product Code]],tblProducts[Code],tblProducts[Unit Cost],0)</f>
        <v>222000</v>
      </c>
      <c r="O4190" s="4" t="s">
        <v>4866</v>
      </c>
      <c r="P4190" s="4" t="s">
        <v>4861</v>
      </c>
      <c r="Q4190" s="1" t="str">
        <f>_xlfn.XLOOKUP(tblSales[[#This Row],[Channel Code]],tblChannels[Channel Code],tblChannels[Channel Name],"")</f>
        <v>Marketplace</v>
      </c>
      <c r="R4190" s="1">
        <f>MONTH(tblSales[[#This Row],[Date]])</f>
        <v>9</v>
      </c>
    </row>
    <row r="4191" spans="2:18" x14ac:dyDescent="0.35">
      <c r="B4191" s="113">
        <v>46273</v>
      </c>
      <c r="C4191" s="4" t="s">
        <v>2830</v>
      </c>
      <c r="D4191" s="4" t="s">
        <v>4568</v>
      </c>
      <c r="E4191" s="1" t="str">
        <f>_xlfn.XLOOKUP(tblSales[[#This Row],[Customer ID]],tblCustomers[Customer ID],tblCustomers[Customer Name],"⚠ Unknown")</f>
        <v>Walk-in Customer</v>
      </c>
      <c r="F4191" s="4" t="s">
        <v>14</v>
      </c>
      <c r="G4191" s="1" t="str">
        <f>_xlfn.XLOOKUP(tblSales[[#This Row],[Product Code]],tblProducts[Code],tblProducts[Product / Service Name],"⚠ Unknown")</f>
        <v>Smartwatch</v>
      </c>
      <c r="H4191" s="1" t="str">
        <f>_xlfn.XLOOKUP(tblSales[[#This Row],[Product Code]],tblProducts[Code],tblProducts[Category],"")</f>
        <v>Bags &amp; Gadgets</v>
      </c>
      <c r="I4191" s="4">
        <v>3</v>
      </c>
      <c r="J4191" s="5">
        <f>_xlfn.XLOOKUP(tblSales[[#This Row],[Product Code]],tblProducts[Code],tblProducts[Selling Price (excl. VAT)],0)</f>
        <v>850000</v>
      </c>
      <c r="K4191" s="5">
        <f>tblSales[[#This Row],[Qty]]*tblSales[[#This Row],[Unit Price]]</f>
        <v>2550000</v>
      </c>
      <c r="L4191" s="5">
        <f>ROUND(tblSales[[#This Row],[DPP (excl. VAT)]]*VATEff,0)</f>
        <v>280500</v>
      </c>
      <c r="M4191" s="5">
        <f>tblSales[[#This Row],[DPP (excl. VAT)]]+tblSales[[#This Row],[Output VAT]]</f>
        <v>2830500</v>
      </c>
      <c r="N4191" s="5">
        <f>tblSales[[#This Row],[Qty]]*_xlfn.XLOOKUP(tblSales[[#This Row],[Product Code]],tblProducts[Code],tblProducts[Unit Cost],0)</f>
        <v>1680000</v>
      </c>
      <c r="O4191" s="4" t="s">
        <v>4866</v>
      </c>
      <c r="P4191" s="4" t="s">
        <v>4860</v>
      </c>
      <c r="Q4191" s="1" t="str">
        <f>_xlfn.XLOOKUP(tblSales[[#This Row],[Channel Code]],tblChannels[Channel Code],tblChannels[Channel Name],"")</f>
        <v>In-store</v>
      </c>
      <c r="R4191" s="1">
        <f>MONTH(tblSales[[#This Row],[Date]])</f>
        <v>9</v>
      </c>
    </row>
    <row r="4192" spans="2:18" x14ac:dyDescent="0.35">
      <c r="B4192" s="113">
        <v>46274</v>
      </c>
      <c r="C4192" s="4" t="s">
        <v>2831</v>
      </c>
      <c r="D4192" s="4" t="s">
        <v>4568</v>
      </c>
      <c r="E4192" s="1" t="str">
        <f>_xlfn.XLOOKUP(tblSales[[#This Row],[Customer ID]],tblCustomers[Customer ID],tblCustomers[Customer Name],"⚠ Unknown")</f>
        <v>Walk-in Customer</v>
      </c>
      <c r="F4192" s="4" t="s">
        <v>12</v>
      </c>
      <c r="G4192" s="1" t="str">
        <f>_xlfn.XLOOKUP(tblSales[[#This Row],[Product Code]],tblProducts[Code],tblProducts[Product / Service Name],"⚠ Unknown")</f>
        <v>Bomber Jacket</v>
      </c>
      <c r="H4192" s="1" t="str">
        <f>_xlfn.XLOOKUP(tblSales[[#This Row],[Product Code]],tblProducts[Code],tblProducts[Category],"")</f>
        <v>Apparel &amp; Footwear</v>
      </c>
      <c r="I4192" s="4">
        <v>2</v>
      </c>
      <c r="J4192" s="5">
        <f>_xlfn.XLOOKUP(tblSales[[#This Row],[Product Code]],tblProducts[Code],tblProducts[Selling Price (excl. VAT)],0)</f>
        <v>350000</v>
      </c>
      <c r="K4192" s="5">
        <f>tblSales[[#This Row],[Qty]]*tblSales[[#This Row],[Unit Price]]</f>
        <v>700000</v>
      </c>
      <c r="L4192" s="5">
        <f>ROUND(tblSales[[#This Row],[DPP (excl. VAT)]]*VATEff,0)</f>
        <v>77000</v>
      </c>
      <c r="M4192" s="5">
        <f>tblSales[[#This Row],[DPP (excl. VAT)]]+tblSales[[#This Row],[Output VAT]]</f>
        <v>777000</v>
      </c>
      <c r="N4192" s="5">
        <f>tblSales[[#This Row],[Qty]]*_xlfn.XLOOKUP(tblSales[[#This Row],[Product Code]],tblProducts[Code],tblProducts[Unit Cost],0)</f>
        <v>420000</v>
      </c>
      <c r="O4192" s="4" t="s">
        <v>4866</v>
      </c>
      <c r="P4192" s="4" t="s">
        <v>4860</v>
      </c>
      <c r="Q4192" s="1" t="str">
        <f>_xlfn.XLOOKUP(tblSales[[#This Row],[Channel Code]],tblChannels[Channel Code],tblChannels[Channel Name],"")</f>
        <v>In-store</v>
      </c>
      <c r="R4192" s="1">
        <f>MONTH(tblSales[[#This Row],[Date]])</f>
        <v>9</v>
      </c>
    </row>
    <row r="4193" spans="2:18" x14ac:dyDescent="0.35">
      <c r="B4193" s="113">
        <v>46274</v>
      </c>
      <c r="C4193" s="4" t="s">
        <v>2831</v>
      </c>
      <c r="D4193" s="4" t="s">
        <v>4568</v>
      </c>
      <c r="E4193" s="1" t="str">
        <f>_xlfn.XLOOKUP(tblSales[[#This Row],[Customer ID]],tblCustomers[Customer ID],tblCustomers[Customer Name],"⚠ Unknown")</f>
        <v>Walk-in Customer</v>
      </c>
      <c r="F4193" s="4" t="s">
        <v>10</v>
      </c>
      <c r="G4193" s="1" t="str">
        <f>_xlfn.XLOOKUP(tblSales[[#This Row],[Product Code]],tblProducts[Code],tblProducts[Product / Service Name],"⚠ Unknown")</f>
        <v>Chino Pants</v>
      </c>
      <c r="H4193" s="1" t="str">
        <f>_xlfn.XLOOKUP(tblSales[[#This Row],[Product Code]],tblProducts[Code],tblProducts[Category],"")</f>
        <v>Apparel &amp; Footwear</v>
      </c>
      <c r="I4193" s="4">
        <v>3</v>
      </c>
      <c r="J4193" s="5">
        <f>_xlfn.XLOOKUP(tblSales[[#This Row],[Product Code]],tblProducts[Code],tblProducts[Selling Price (excl. VAT)],0)</f>
        <v>150000</v>
      </c>
      <c r="K4193" s="5">
        <f>tblSales[[#This Row],[Qty]]*tblSales[[#This Row],[Unit Price]]</f>
        <v>450000</v>
      </c>
      <c r="L4193" s="5">
        <f>ROUND(tblSales[[#This Row],[DPP (excl. VAT)]]*VATEff,0)</f>
        <v>49500</v>
      </c>
      <c r="M4193" s="5">
        <f>tblSales[[#This Row],[DPP (excl. VAT)]]+tblSales[[#This Row],[Output VAT]]</f>
        <v>499500</v>
      </c>
      <c r="N4193" s="5">
        <f>tblSales[[#This Row],[Qty]]*_xlfn.XLOOKUP(tblSales[[#This Row],[Product Code]],tblProducts[Code],tblProducts[Unit Cost],0)</f>
        <v>264000</v>
      </c>
      <c r="O4193" s="4" t="s">
        <v>4866</v>
      </c>
      <c r="P4193" s="4" t="s">
        <v>4860</v>
      </c>
      <c r="Q4193" s="1" t="str">
        <f>_xlfn.XLOOKUP(tblSales[[#This Row],[Channel Code]],tblChannels[Channel Code],tblChannels[Channel Name],"")</f>
        <v>In-store</v>
      </c>
      <c r="R4193" s="1">
        <f>MONTH(tblSales[[#This Row],[Date]])</f>
        <v>9</v>
      </c>
    </row>
    <row r="4194" spans="2:18" x14ac:dyDescent="0.35">
      <c r="B4194" s="113">
        <v>46274</v>
      </c>
      <c r="C4194" s="4" t="s">
        <v>2831</v>
      </c>
      <c r="D4194" s="4" t="s">
        <v>4568</v>
      </c>
      <c r="E4194" s="1" t="str">
        <f>_xlfn.XLOOKUP(tblSales[[#This Row],[Customer ID]],tblCustomers[Customer ID],tblCustomers[Customer Name],"⚠ Unknown")</f>
        <v>Walk-in Customer</v>
      </c>
      <c r="F4194" s="4" t="s">
        <v>9</v>
      </c>
      <c r="G4194" s="1" t="str">
        <f>_xlfn.XLOOKUP(tblSales[[#This Row],[Product Code]],tblProducts[Code],tblProducts[Product / Service Name],"⚠ Unknown")</f>
        <v>Casual Shirt</v>
      </c>
      <c r="H4194" s="1" t="str">
        <f>_xlfn.XLOOKUP(tblSales[[#This Row],[Product Code]],tblProducts[Code],tblProducts[Category],"")</f>
        <v>Apparel &amp; Footwear</v>
      </c>
      <c r="I4194" s="4">
        <v>9</v>
      </c>
      <c r="J4194" s="5">
        <f>_xlfn.XLOOKUP(tblSales[[#This Row],[Product Code]],tblProducts[Code],tblProducts[Selling Price (excl. VAT)],0)</f>
        <v>120000</v>
      </c>
      <c r="K4194" s="5">
        <f>tblSales[[#This Row],[Qty]]*tblSales[[#This Row],[Unit Price]]</f>
        <v>1080000</v>
      </c>
      <c r="L4194" s="5">
        <f>ROUND(tblSales[[#This Row],[DPP (excl. VAT)]]*VATEff,0)</f>
        <v>118800</v>
      </c>
      <c r="M4194" s="5">
        <f>tblSales[[#This Row],[DPP (excl. VAT)]]+tblSales[[#This Row],[Output VAT]]</f>
        <v>1198800</v>
      </c>
      <c r="N4194" s="5">
        <f>tblSales[[#This Row],[Qty]]*_xlfn.XLOOKUP(tblSales[[#This Row],[Product Code]],tblProducts[Code],tblProducts[Unit Cost],0)</f>
        <v>648000</v>
      </c>
      <c r="O4194" s="4" t="s">
        <v>4866</v>
      </c>
      <c r="P4194" s="4" t="s">
        <v>4860</v>
      </c>
      <c r="Q4194" s="1" t="str">
        <f>_xlfn.XLOOKUP(tblSales[[#This Row],[Channel Code]],tblChannels[Channel Code],tblChannels[Channel Name],"")</f>
        <v>In-store</v>
      </c>
      <c r="R4194" s="1">
        <f>MONTH(tblSales[[#This Row],[Date]])</f>
        <v>9</v>
      </c>
    </row>
    <row r="4195" spans="2:18" x14ac:dyDescent="0.35">
      <c r="B4195" s="113">
        <v>46274</v>
      </c>
      <c r="C4195" s="4" t="s">
        <v>2832</v>
      </c>
      <c r="D4195" s="4" t="s">
        <v>4568</v>
      </c>
      <c r="E4195" s="1" t="str">
        <f>_xlfn.XLOOKUP(tblSales[[#This Row],[Customer ID]],tblCustomers[Customer ID],tblCustomers[Customer Name],"⚠ Unknown")</f>
        <v>Walk-in Customer</v>
      </c>
      <c r="F4195" s="4" t="s">
        <v>10</v>
      </c>
      <c r="G4195" s="1" t="str">
        <f>_xlfn.XLOOKUP(tblSales[[#This Row],[Product Code]],tblProducts[Code],tblProducts[Product / Service Name],"⚠ Unknown")</f>
        <v>Chino Pants</v>
      </c>
      <c r="H4195" s="1" t="str">
        <f>_xlfn.XLOOKUP(tblSales[[#This Row],[Product Code]],tblProducts[Code],tblProducts[Category],"")</f>
        <v>Apparel &amp; Footwear</v>
      </c>
      <c r="I4195" s="4">
        <v>10</v>
      </c>
      <c r="J4195" s="5">
        <f>_xlfn.XLOOKUP(tblSales[[#This Row],[Product Code]],tblProducts[Code],tblProducts[Selling Price (excl. VAT)],0)</f>
        <v>150000</v>
      </c>
      <c r="K4195" s="5">
        <f>tblSales[[#This Row],[Qty]]*tblSales[[#This Row],[Unit Price]]</f>
        <v>1500000</v>
      </c>
      <c r="L4195" s="5">
        <f>ROUND(tblSales[[#This Row],[DPP (excl. VAT)]]*VATEff,0)</f>
        <v>165000</v>
      </c>
      <c r="M4195" s="5">
        <f>tblSales[[#This Row],[DPP (excl. VAT)]]+tblSales[[#This Row],[Output VAT]]</f>
        <v>1665000</v>
      </c>
      <c r="N4195" s="5">
        <f>tblSales[[#This Row],[Qty]]*_xlfn.XLOOKUP(tblSales[[#This Row],[Product Code]],tblProducts[Code],tblProducts[Unit Cost],0)</f>
        <v>880000</v>
      </c>
      <c r="O4195" s="4" t="s">
        <v>4865</v>
      </c>
      <c r="P4195" s="4" t="s">
        <v>4860</v>
      </c>
      <c r="Q4195" s="1" t="str">
        <f>_xlfn.XLOOKUP(tblSales[[#This Row],[Channel Code]],tblChannels[Channel Code],tblChannels[Channel Name],"")</f>
        <v>In-store</v>
      </c>
      <c r="R4195" s="1">
        <f>MONTH(tblSales[[#This Row],[Date]])</f>
        <v>9</v>
      </c>
    </row>
    <row r="4196" spans="2:18" x14ac:dyDescent="0.35">
      <c r="B4196" s="113">
        <v>46274</v>
      </c>
      <c r="C4196" s="4" t="s">
        <v>2833</v>
      </c>
      <c r="D4196" s="4" t="s">
        <v>4613</v>
      </c>
      <c r="E4196" s="1" t="str">
        <f>_xlfn.XLOOKUP(tblSales[[#This Row],[Customer ID]],tblCustomers[Customer ID],tblCustomers[Customer Name],"⚠ Unknown")</f>
        <v>PT Mega Prima Distribusi</v>
      </c>
      <c r="F4196" s="4" t="s">
        <v>6</v>
      </c>
      <c r="G4196" s="1" t="str">
        <f>_xlfn.XLOOKUP(tblSales[[#This Row],[Product Code]],tblProducts[Code],tblProducts[Product / Service Name],"⚠ Unknown")</f>
        <v>Socks &amp; Accessories</v>
      </c>
      <c r="H4196" s="1" t="str">
        <f>_xlfn.XLOOKUP(tblSales[[#This Row],[Product Code]],tblProducts[Code],tblProducts[Category],"")</f>
        <v>Accessories &amp; Basics</v>
      </c>
      <c r="I4196" s="4">
        <v>40</v>
      </c>
      <c r="J4196" s="5">
        <f>_xlfn.XLOOKUP(tblSales[[#This Row],[Product Code]],tblProducts[Code],tblProducts[Selling Price (excl. VAT)],0)</f>
        <v>45000</v>
      </c>
      <c r="K4196" s="5">
        <f>tblSales[[#This Row],[Qty]]*tblSales[[#This Row],[Unit Price]]</f>
        <v>1800000</v>
      </c>
      <c r="L4196" s="5">
        <f>ROUND(tblSales[[#This Row],[DPP (excl. VAT)]]*VATEff,0)</f>
        <v>198000</v>
      </c>
      <c r="M4196" s="5">
        <f>tblSales[[#This Row],[DPP (excl. VAT)]]+tblSales[[#This Row],[Output VAT]]</f>
        <v>1998000</v>
      </c>
      <c r="N4196" s="5">
        <f>tblSales[[#This Row],[Qty]]*_xlfn.XLOOKUP(tblSales[[#This Row],[Product Code]],tblProducts[Code],tblProducts[Unit Cost],0)</f>
        <v>960000</v>
      </c>
      <c r="O4196" s="4" t="s">
        <v>4867</v>
      </c>
      <c r="P4196" s="4" t="s">
        <v>4862</v>
      </c>
      <c r="Q4196" s="1" t="str">
        <f>_xlfn.XLOOKUP(tblSales[[#This Row],[Channel Code]],tblChannels[Channel Code],tblChannels[Channel Name],"")</f>
        <v>Website &amp; Social Media</v>
      </c>
      <c r="R4196" s="1">
        <f>MONTH(tblSales[[#This Row],[Date]])</f>
        <v>9</v>
      </c>
    </row>
    <row r="4197" spans="2:18" x14ac:dyDescent="0.35">
      <c r="B4197" s="113">
        <v>46274</v>
      </c>
      <c r="C4197" s="4" t="s">
        <v>2834</v>
      </c>
      <c r="D4197" s="4" t="s">
        <v>4568</v>
      </c>
      <c r="E4197" s="1" t="str">
        <f>_xlfn.XLOOKUP(tblSales[[#This Row],[Customer ID]],tblCustomers[Customer ID],tblCustomers[Customer Name],"⚠ Unknown")</f>
        <v>Walk-in Customer</v>
      </c>
      <c r="F4197" s="4" t="s">
        <v>7</v>
      </c>
      <c r="G4197" s="1" t="str">
        <f>_xlfn.XLOOKUP(tblSales[[#This Row],[Product Code]],tblProducts[Code],tblProducts[Product / Service Name],"⚠ Unknown")</f>
        <v>Premium Basic T-shirt</v>
      </c>
      <c r="H4197" s="1" t="str">
        <f>_xlfn.XLOOKUP(tblSales[[#This Row],[Product Code]],tblProducts[Code],tblProducts[Category],"")</f>
        <v>Accessories &amp; Basics</v>
      </c>
      <c r="I4197" s="4">
        <v>1</v>
      </c>
      <c r="J4197" s="5">
        <f>_xlfn.XLOOKUP(tblSales[[#This Row],[Product Code]],tblProducts[Code],tblProducts[Selling Price (excl. VAT)],0)</f>
        <v>65000</v>
      </c>
      <c r="K4197" s="5">
        <f>tblSales[[#This Row],[Qty]]*tblSales[[#This Row],[Unit Price]]</f>
        <v>65000</v>
      </c>
      <c r="L4197" s="5">
        <f>ROUND(tblSales[[#This Row],[DPP (excl. VAT)]]*VATEff,0)</f>
        <v>7150</v>
      </c>
      <c r="M4197" s="5">
        <f>tblSales[[#This Row],[DPP (excl. VAT)]]+tblSales[[#This Row],[Output VAT]]</f>
        <v>72150</v>
      </c>
      <c r="N4197" s="5">
        <f>tblSales[[#This Row],[Qty]]*_xlfn.XLOOKUP(tblSales[[#This Row],[Product Code]],tblProducts[Code],tblProducts[Unit Cost],0)</f>
        <v>37000</v>
      </c>
      <c r="O4197" s="4" t="s">
        <v>4866</v>
      </c>
      <c r="P4197" s="4" t="s">
        <v>4861</v>
      </c>
      <c r="Q4197" s="1" t="str">
        <f>_xlfn.XLOOKUP(tblSales[[#This Row],[Channel Code]],tblChannels[Channel Code],tblChannels[Channel Name],"")</f>
        <v>Marketplace</v>
      </c>
      <c r="R4197" s="1">
        <f>MONTH(tblSales[[#This Row],[Date]])</f>
        <v>9</v>
      </c>
    </row>
    <row r="4198" spans="2:18" x14ac:dyDescent="0.35">
      <c r="B4198" s="113">
        <v>46274</v>
      </c>
      <c r="C4198" s="4" t="s">
        <v>2835</v>
      </c>
      <c r="D4198" s="4" t="s">
        <v>4613</v>
      </c>
      <c r="E4198" s="1" t="str">
        <f>_xlfn.XLOOKUP(tblSales[[#This Row],[Customer ID]],tblCustomers[Customer ID],tblCustomers[Customer Name],"⚠ Unknown")</f>
        <v>PT Mega Prima Distribusi</v>
      </c>
      <c r="F4198" s="4" t="s">
        <v>14</v>
      </c>
      <c r="G4198" s="1" t="str">
        <f>_xlfn.XLOOKUP(tblSales[[#This Row],[Product Code]],tblProducts[Code],tblProducts[Product / Service Name],"⚠ Unknown")</f>
        <v>Smartwatch</v>
      </c>
      <c r="H4198" s="1" t="str">
        <f>_xlfn.XLOOKUP(tblSales[[#This Row],[Product Code]],tblProducts[Code],tblProducts[Category],"")</f>
        <v>Bags &amp; Gadgets</v>
      </c>
      <c r="I4198" s="4">
        <v>8</v>
      </c>
      <c r="J4198" s="5">
        <f>_xlfn.XLOOKUP(tblSales[[#This Row],[Product Code]],tblProducts[Code],tblProducts[Selling Price (excl. VAT)],0)</f>
        <v>850000</v>
      </c>
      <c r="K4198" s="5">
        <f>tblSales[[#This Row],[Qty]]*tblSales[[#This Row],[Unit Price]]</f>
        <v>6800000</v>
      </c>
      <c r="L4198" s="5">
        <f>ROUND(tblSales[[#This Row],[DPP (excl. VAT)]]*VATEff,0)</f>
        <v>748000</v>
      </c>
      <c r="M4198" s="5">
        <f>tblSales[[#This Row],[DPP (excl. VAT)]]+tblSales[[#This Row],[Output VAT]]</f>
        <v>7548000</v>
      </c>
      <c r="N4198" s="5">
        <f>tblSales[[#This Row],[Qty]]*_xlfn.XLOOKUP(tblSales[[#This Row],[Product Code]],tblProducts[Code],tblProducts[Unit Cost],0)</f>
        <v>4480000</v>
      </c>
      <c r="O4198" s="4" t="s">
        <v>4867</v>
      </c>
      <c r="P4198" s="4" t="s">
        <v>4860</v>
      </c>
      <c r="Q4198" s="1" t="str">
        <f>_xlfn.XLOOKUP(tblSales[[#This Row],[Channel Code]],tblChannels[Channel Code],tblChannels[Channel Name],"")</f>
        <v>In-store</v>
      </c>
      <c r="R4198" s="1">
        <f>MONTH(tblSales[[#This Row],[Date]])</f>
        <v>9</v>
      </c>
    </row>
    <row r="4199" spans="2:18" x14ac:dyDescent="0.35">
      <c r="B4199" s="113">
        <v>46274</v>
      </c>
      <c r="C4199" s="4" t="s">
        <v>2835</v>
      </c>
      <c r="D4199" s="4" t="s">
        <v>4613</v>
      </c>
      <c r="E4199" s="1" t="str">
        <f>_xlfn.XLOOKUP(tblSales[[#This Row],[Customer ID]],tblCustomers[Customer ID],tblCustomers[Customer Name],"⚠ Unknown")</f>
        <v>PT Mega Prima Distribusi</v>
      </c>
      <c r="F4199" s="4" t="s">
        <v>9</v>
      </c>
      <c r="G4199" s="1" t="str">
        <f>_xlfn.XLOOKUP(tblSales[[#This Row],[Product Code]],tblProducts[Code],tblProducts[Product / Service Name],"⚠ Unknown")</f>
        <v>Casual Shirt</v>
      </c>
      <c r="H4199" s="1" t="str">
        <f>_xlfn.XLOOKUP(tblSales[[#This Row],[Product Code]],tblProducts[Code],tblProducts[Category],"")</f>
        <v>Apparel &amp; Footwear</v>
      </c>
      <c r="I4199" s="4">
        <v>8</v>
      </c>
      <c r="J4199" s="5">
        <f>_xlfn.XLOOKUP(tblSales[[#This Row],[Product Code]],tblProducts[Code],tblProducts[Selling Price (excl. VAT)],0)</f>
        <v>120000</v>
      </c>
      <c r="K4199" s="5">
        <f>tblSales[[#This Row],[Qty]]*tblSales[[#This Row],[Unit Price]]</f>
        <v>960000</v>
      </c>
      <c r="L4199" s="5">
        <f>ROUND(tblSales[[#This Row],[DPP (excl. VAT)]]*VATEff,0)</f>
        <v>105600</v>
      </c>
      <c r="M4199" s="5">
        <f>tblSales[[#This Row],[DPP (excl. VAT)]]+tblSales[[#This Row],[Output VAT]]</f>
        <v>1065600</v>
      </c>
      <c r="N4199" s="5">
        <f>tblSales[[#This Row],[Qty]]*_xlfn.XLOOKUP(tblSales[[#This Row],[Product Code]],tblProducts[Code],tblProducts[Unit Cost],0)</f>
        <v>576000</v>
      </c>
      <c r="O4199" s="4" t="s">
        <v>4867</v>
      </c>
      <c r="P4199" s="4" t="s">
        <v>4860</v>
      </c>
      <c r="Q4199" s="1" t="str">
        <f>_xlfn.XLOOKUP(tblSales[[#This Row],[Channel Code]],tblChannels[Channel Code],tblChannels[Channel Name],"")</f>
        <v>In-store</v>
      </c>
      <c r="R4199" s="1">
        <f>MONTH(tblSales[[#This Row],[Date]])</f>
        <v>9</v>
      </c>
    </row>
    <row r="4200" spans="2:18" x14ac:dyDescent="0.35">
      <c r="B4200" s="113">
        <v>46274</v>
      </c>
      <c r="C4200" s="4" t="s">
        <v>2836</v>
      </c>
      <c r="D4200" s="4" t="s">
        <v>4568</v>
      </c>
      <c r="E4200" s="1" t="str">
        <f>_xlfn.XLOOKUP(tblSales[[#This Row],[Customer ID]],tblCustomers[Customer ID],tblCustomers[Customer Name],"⚠ Unknown")</f>
        <v>Walk-in Customer</v>
      </c>
      <c r="F4200" s="4" t="s">
        <v>9</v>
      </c>
      <c r="G4200" s="1" t="str">
        <f>_xlfn.XLOOKUP(tblSales[[#This Row],[Product Code]],tblProducts[Code],tblProducts[Product / Service Name],"⚠ Unknown")</f>
        <v>Casual Shirt</v>
      </c>
      <c r="H4200" s="1" t="str">
        <f>_xlfn.XLOOKUP(tblSales[[#This Row],[Product Code]],tblProducts[Code],tblProducts[Category],"")</f>
        <v>Apparel &amp; Footwear</v>
      </c>
      <c r="I4200" s="4">
        <v>6</v>
      </c>
      <c r="J4200" s="5">
        <f>_xlfn.XLOOKUP(tblSales[[#This Row],[Product Code]],tblProducts[Code],tblProducts[Selling Price (excl. VAT)],0)</f>
        <v>120000</v>
      </c>
      <c r="K4200" s="5">
        <f>tblSales[[#This Row],[Qty]]*tblSales[[#This Row],[Unit Price]]</f>
        <v>720000</v>
      </c>
      <c r="L4200" s="5">
        <f>ROUND(tblSales[[#This Row],[DPP (excl. VAT)]]*VATEff,0)</f>
        <v>79200</v>
      </c>
      <c r="M4200" s="5">
        <f>tblSales[[#This Row],[DPP (excl. VAT)]]+tblSales[[#This Row],[Output VAT]]</f>
        <v>799200</v>
      </c>
      <c r="N4200" s="5">
        <f>tblSales[[#This Row],[Qty]]*_xlfn.XLOOKUP(tblSales[[#This Row],[Product Code]],tblProducts[Code],tblProducts[Unit Cost],0)</f>
        <v>432000</v>
      </c>
      <c r="O4200" s="4" t="s">
        <v>4866</v>
      </c>
      <c r="P4200" s="4" t="s">
        <v>4861</v>
      </c>
      <c r="Q4200" s="1" t="str">
        <f>_xlfn.XLOOKUP(tblSales[[#This Row],[Channel Code]],tblChannels[Channel Code],tblChannels[Channel Name],"")</f>
        <v>Marketplace</v>
      </c>
      <c r="R4200" s="1">
        <f>MONTH(tblSales[[#This Row],[Date]])</f>
        <v>9</v>
      </c>
    </row>
    <row r="4201" spans="2:18" x14ac:dyDescent="0.35">
      <c r="B4201" s="113">
        <v>46274</v>
      </c>
      <c r="C4201" s="4" t="s">
        <v>2837</v>
      </c>
      <c r="D4201" s="4" t="s">
        <v>4568</v>
      </c>
      <c r="E4201" s="1" t="str">
        <f>_xlfn.XLOOKUP(tblSales[[#This Row],[Customer ID]],tblCustomers[Customer ID],tblCustomers[Customer Name],"⚠ Unknown")</f>
        <v>Walk-in Customer</v>
      </c>
      <c r="F4201" s="4" t="s">
        <v>7</v>
      </c>
      <c r="G4201" s="1" t="str">
        <f>_xlfn.XLOOKUP(tblSales[[#This Row],[Product Code]],tblProducts[Code],tblProducts[Product / Service Name],"⚠ Unknown")</f>
        <v>Premium Basic T-shirt</v>
      </c>
      <c r="H4201" s="1" t="str">
        <f>_xlfn.XLOOKUP(tblSales[[#This Row],[Product Code]],tblProducts[Code],tblProducts[Category],"")</f>
        <v>Accessories &amp; Basics</v>
      </c>
      <c r="I4201" s="4">
        <v>4</v>
      </c>
      <c r="J4201" s="5">
        <f>_xlfn.XLOOKUP(tblSales[[#This Row],[Product Code]],tblProducts[Code],tblProducts[Selling Price (excl. VAT)],0)</f>
        <v>65000</v>
      </c>
      <c r="K4201" s="5">
        <f>tblSales[[#This Row],[Qty]]*tblSales[[#This Row],[Unit Price]]</f>
        <v>260000</v>
      </c>
      <c r="L4201" s="5">
        <f>ROUND(tblSales[[#This Row],[DPP (excl. VAT)]]*VATEff,0)</f>
        <v>28600</v>
      </c>
      <c r="M4201" s="5">
        <f>tblSales[[#This Row],[DPP (excl. VAT)]]+tblSales[[#This Row],[Output VAT]]</f>
        <v>288600</v>
      </c>
      <c r="N4201" s="5">
        <f>tblSales[[#This Row],[Qty]]*_xlfn.XLOOKUP(tblSales[[#This Row],[Product Code]],tblProducts[Code],tblProducts[Unit Cost],0)</f>
        <v>148000</v>
      </c>
      <c r="O4201" s="4" t="s">
        <v>4866</v>
      </c>
      <c r="P4201" s="4" t="s">
        <v>4861</v>
      </c>
      <c r="Q4201" s="1" t="str">
        <f>_xlfn.XLOOKUP(tblSales[[#This Row],[Channel Code]],tblChannels[Channel Code],tblChannels[Channel Name],"")</f>
        <v>Marketplace</v>
      </c>
      <c r="R4201" s="1">
        <f>MONTH(tblSales[[#This Row],[Date]])</f>
        <v>9</v>
      </c>
    </row>
    <row r="4202" spans="2:18" x14ac:dyDescent="0.35">
      <c r="B4202" s="113">
        <v>46274</v>
      </c>
      <c r="C4202" s="4" t="s">
        <v>2838</v>
      </c>
      <c r="D4202" s="4" t="s">
        <v>4568</v>
      </c>
      <c r="E4202" s="1" t="str">
        <f>_xlfn.XLOOKUP(tblSales[[#This Row],[Customer ID]],tblCustomers[Customer ID],tblCustomers[Customer Name],"⚠ Unknown")</f>
        <v>Walk-in Customer</v>
      </c>
      <c r="F4202" s="4" t="s">
        <v>11</v>
      </c>
      <c r="G4202" s="1" t="str">
        <f>_xlfn.XLOOKUP(tblSales[[#This Row],[Product Code]],tblProducts[Code],tblProducts[Product / Service Name],"⚠ Unknown")</f>
        <v>Sneakers</v>
      </c>
      <c r="H4202" s="1" t="str">
        <f>_xlfn.XLOOKUP(tblSales[[#This Row],[Product Code]],tblProducts[Code],tblProducts[Category],"")</f>
        <v>Apparel &amp; Footwear</v>
      </c>
      <c r="I4202" s="4">
        <v>3</v>
      </c>
      <c r="J4202" s="5">
        <f>_xlfn.XLOOKUP(tblSales[[#This Row],[Product Code]],tblProducts[Code],tblProducts[Selling Price (excl. VAT)],0)</f>
        <v>250000</v>
      </c>
      <c r="K4202" s="5">
        <f>tblSales[[#This Row],[Qty]]*tblSales[[#This Row],[Unit Price]]</f>
        <v>750000</v>
      </c>
      <c r="L4202" s="5">
        <f>ROUND(tblSales[[#This Row],[DPP (excl. VAT)]]*VATEff,0)</f>
        <v>82500</v>
      </c>
      <c r="M4202" s="5">
        <f>tblSales[[#This Row],[DPP (excl. VAT)]]+tblSales[[#This Row],[Output VAT]]</f>
        <v>832500</v>
      </c>
      <c r="N4202" s="5">
        <f>tblSales[[#This Row],[Qty]]*_xlfn.XLOOKUP(tblSales[[#This Row],[Product Code]],tblProducts[Code],tblProducts[Unit Cost],0)</f>
        <v>465000</v>
      </c>
      <c r="O4202" s="4" t="s">
        <v>4866</v>
      </c>
      <c r="P4202" s="4" t="s">
        <v>4861</v>
      </c>
      <c r="Q4202" s="1" t="str">
        <f>_xlfn.XLOOKUP(tblSales[[#This Row],[Channel Code]],tblChannels[Channel Code],tblChannels[Channel Name],"")</f>
        <v>Marketplace</v>
      </c>
      <c r="R4202" s="1">
        <f>MONTH(tblSales[[#This Row],[Date]])</f>
        <v>9</v>
      </c>
    </row>
    <row r="4203" spans="2:18" x14ac:dyDescent="0.35">
      <c r="B4203" s="113">
        <v>46274</v>
      </c>
      <c r="C4203" s="4" t="s">
        <v>2839</v>
      </c>
      <c r="D4203" s="4" t="s">
        <v>4568</v>
      </c>
      <c r="E4203" s="1" t="str">
        <f>_xlfn.XLOOKUP(tblSales[[#This Row],[Customer ID]],tblCustomers[Customer ID],tblCustomers[Customer Name],"⚠ Unknown")</f>
        <v>Walk-in Customer</v>
      </c>
      <c r="F4203" s="4" t="s">
        <v>7</v>
      </c>
      <c r="G4203" s="1" t="str">
        <f>_xlfn.XLOOKUP(tblSales[[#This Row],[Product Code]],tblProducts[Code],tblProducts[Product / Service Name],"⚠ Unknown")</f>
        <v>Premium Basic T-shirt</v>
      </c>
      <c r="H4203" s="1" t="str">
        <f>_xlfn.XLOOKUP(tblSales[[#This Row],[Product Code]],tblProducts[Code],tblProducts[Category],"")</f>
        <v>Accessories &amp; Basics</v>
      </c>
      <c r="I4203" s="4">
        <v>3</v>
      </c>
      <c r="J4203" s="5">
        <f>_xlfn.XLOOKUP(tblSales[[#This Row],[Product Code]],tblProducts[Code],tblProducts[Selling Price (excl. VAT)],0)</f>
        <v>65000</v>
      </c>
      <c r="K4203" s="5">
        <f>tblSales[[#This Row],[Qty]]*tblSales[[#This Row],[Unit Price]]</f>
        <v>195000</v>
      </c>
      <c r="L4203" s="5">
        <f>ROUND(tblSales[[#This Row],[DPP (excl. VAT)]]*VATEff,0)</f>
        <v>21450</v>
      </c>
      <c r="M4203" s="5">
        <f>tblSales[[#This Row],[DPP (excl. VAT)]]+tblSales[[#This Row],[Output VAT]]</f>
        <v>216450</v>
      </c>
      <c r="N4203" s="5">
        <f>tblSales[[#This Row],[Qty]]*_xlfn.XLOOKUP(tblSales[[#This Row],[Product Code]],tblProducts[Code],tblProducts[Unit Cost],0)</f>
        <v>111000</v>
      </c>
      <c r="O4203" s="4" t="s">
        <v>4866</v>
      </c>
      <c r="P4203" s="4" t="s">
        <v>4862</v>
      </c>
      <c r="Q4203" s="1" t="str">
        <f>_xlfn.XLOOKUP(tblSales[[#This Row],[Channel Code]],tblChannels[Channel Code],tblChannels[Channel Name],"")</f>
        <v>Website &amp; Social Media</v>
      </c>
      <c r="R4203" s="1">
        <f>MONTH(tblSales[[#This Row],[Date]])</f>
        <v>9</v>
      </c>
    </row>
    <row r="4204" spans="2:18" x14ac:dyDescent="0.35">
      <c r="B4204" s="113">
        <v>46274</v>
      </c>
      <c r="C4204" s="4" t="s">
        <v>2839</v>
      </c>
      <c r="D4204" s="4" t="s">
        <v>4568</v>
      </c>
      <c r="E4204" s="1" t="str">
        <f>_xlfn.XLOOKUP(tblSales[[#This Row],[Customer ID]],tblCustomers[Customer ID],tblCustomers[Customer Name],"⚠ Unknown")</f>
        <v>Walk-in Customer</v>
      </c>
      <c r="F4204" s="4" t="s">
        <v>10</v>
      </c>
      <c r="G4204" s="1" t="str">
        <f>_xlfn.XLOOKUP(tblSales[[#This Row],[Product Code]],tblProducts[Code],tblProducts[Product / Service Name],"⚠ Unknown")</f>
        <v>Chino Pants</v>
      </c>
      <c r="H4204" s="1" t="str">
        <f>_xlfn.XLOOKUP(tblSales[[#This Row],[Product Code]],tblProducts[Code],tblProducts[Category],"")</f>
        <v>Apparel &amp; Footwear</v>
      </c>
      <c r="I4204" s="4">
        <v>2</v>
      </c>
      <c r="J4204" s="5">
        <f>_xlfn.XLOOKUP(tblSales[[#This Row],[Product Code]],tblProducts[Code],tblProducts[Selling Price (excl. VAT)],0)</f>
        <v>150000</v>
      </c>
      <c r="K4204" s="5">
        <f>tblSales[[#This Row],[Qty]]*tblSales[[#This Row],[Unit Price]]</f>
        <v>300000</v>
      </c>
      <c r="L4204" s="5">
        <f>ROUND(tblSales[[#This Row],[DPP (excl. VAT)]]*VATEff,0)</f>
        <v>33000</v>
      </c>
      <c r="M4204" s="5">
        <f>tblSales[[#This Row],[DPP (excl. VAT)]]+tblSales[[#This Row],[Output VAT]]</f>
        <v>333000</v>
      </c>
      <c r="N4204" s="5">
        <f>tblSales[[#This Row],[Qty]]*_xlfn.XLOOKUP(tblSales[[#This Row],[Product Code]],tblProducts[Code],tblProducts[Unit Cost],0)</f>
        <v>176000</v>
      </c>
      <c r="O4204" s="4" t="s">
        <v>4866</v>
      </c>
      <c r="P4204" s="4" t="s">
        <v>4862</v>
      </c>
      <c r="Q4204" s="1" t="str">
        <f>_xlfn.XLOOKUP(tblSales[[#This Row],[Channel Code]],tblChannels[Channel Code],tblChannels[Channel Name],"")</f>
        <v>Website &amp; Social Media</v>
      </c>
      <c r="R4204" s="1">
        <f>MONTH(tblSales[[#This Row],[Date]])</f>
        <v>9</v>
      </c>
    </row>
    <row r="4205" spans="2:18" x14ac:dyDescent="0.35">
      <c r="B4205" s="113">
        <v>46274</v>
      </c>
      <c r="C4205" s="4" t="s">
        <v>2839</v>
      </c>
      <c r="D4205" s="4" t="s">
        <v>4568</v>
      </c>
      <c r="E4205" s="1" t="str">
        <f>_xlfn.XLOOKUP(tblSales[[#This Row],[Customer ID]],tblCustomers[Customer ID],tblCustomers[Customer Name],"⚠ Unknown")</f>
        <v>Walk-in Customer</v>
      </c>
      <c r="F4205" s="4" t="s">
        <v>11</v>
      </c>
      <c r="G4205" s="1" t="str">
        <f>_xlfn.XLOOKUP(tblSales[[#This Row],[Product Code]],tblProducts[Code],tblProducts[Product / Service Name],"⚠ Unknown")</f>
        <v>Sneakers</v>
      </c>
      <c r="H4205" s="1" t="str">
        <f>_xlfn.XLOOKUP(tblSales[[#This Row],[Product Code]],tblProducts[Code],tblProducts[Category],"")</f>
        <v>Apparel &amp; Footwear</v>
      </c>
      <c r="I4205" s="4">
        <v>1</v>
      </c>
      <c r="J4205" s="5">
        <f>_xlfn.XLOOKUP(tblSales[[#This Row],[Product Code]],tblProducts[Code],tblProducts[Selling Price (excl. VAT)],0)</f>
        <v>250000</v>
      </c>
      <c r="K4205" s="5">
        <f>tblSales[[#This Row],[Qty]]*tblSales[[#This Row],[Unit Price]]</f>
        <v>250000</v>
      </c>
      <c r="L4205" s="5">
        <f>ROUND(tblSales[[#This Row],[DPP (excl. VAT)]]*VATEff,0)</f>
        <v>27500</v>
      </c>
      <c r="M4205" s="5">
        <f>tblSales[[#This Row],[DPP (excl. VAT)]]+tblSales[[#This Row],[Output VAT]]</f>
        <v>277500</v>
      </c>
      <c r="N4205" s="5">
        <f>tblSales[[#This Row],[Qty]]*_xlfn.XLOOKUP(tblSales[[#This Row],[Product Code]],tblProducts[Code],tblProducts[Unit Cost],0)</f>
        <v>155000</v>
      </c>
      <c r="O4205" s="4" t="s">
        <v>4866</v>
      </c>
      <c r="P4205" s="4" t="s">
        <v>4862</v>
      </c>
      <c r="Q4205" s="1" t="str">
        <f>_xlfn.XLOOKUP(tblSales[[#This Row],[Channel Code]],tblChannels[Channel Code],tblChannels[Channel Name],"")</f>
        <v>Website &amp; Social Media</v>
      </c>
      <c r="R4205" s="1">
        <f>MONTH(tblSales[[#This Row],[Date]])</f>
        <v>9</v>
      </c>
    </row>
    <row r="4206" spans="2:18" x14ac:dyDescent="0.35">
      <c r="B4206" s="113">
        <v>46274</v>
      </c>
      <c r="C4206" s="4" t="s">
        <v>2840</v>
      </c>
      <c r="D4206" s="4" t="s">
        <v>4568</v>
      </c>
      <c r="E4206" s="1" t="str">
        <f>_xlfn.XLOOKUP(tblSales[[#This Row],[Customer ID]],tblCustomers[Customer ID],tblCustomers[Customer Name],"⚠ Unknown")</f>
        <v>Walk-in Customer</v>
      </c>
      <c r="F4206" s="4" t="s">
        <v>8</v>
      </c>
      <c r="G4206" s="1" t="str">
        <f>_xlfn.XLOOKUP(tblSales[[#This Row],[Product Code]],tblProducts[Code],tblProducts[Product / Service Name],"⚠ Unknown")</f>
        <v>Casual Shorts</v>
      </c>
      <c r="H4206" s="1" t="str">
        <f>_xlfn.XLOOKUP(tblSales[[#This Row],[Product Code]],tblProducts[Code],tblProducts[Category],"")</f>
        <v>Accessories &amp; Basics</v>
      </c>
      <c r="I4206" s="4">
        <v>8</v>
      </c>
      <c r="J4206" s="5">
        <f>_xlfn.XLOOKUP(tblSales[[#This Row],[Product Code]],tblProducts[Code],tblProducts[Selling Price (excl. VAT)],0)</f>
        <v>85000</v>
      </c>
      <c r="K4206" s="5">
        <f>tblSales[[#This Row],[Qty]]*tblSales[[#This Row],[Unit Price]]</f>
        <v>680000</v>
      </c>
      <c r="L4206" s="5">
        <f>ROUND(tblSales[[#This Row],[DPP (excl. VAT)]]*VATEff,0)</f>
        <v>74800</v>
      </c>
      <c r="M4206" s="5">
        <f>tblSales[[#This Row],[DPP (excl. VAT)]]+tblSales[[#This Row],[Output VAT]]</f>
        <v>754800</v>
      </c>
      <c r="N4206" s="5">
        <f>tblSales[[#This Row],[Qty]]*_xlfn.XLOOKUP(tblSales[[#This Row],[Product Code]],tblProducts[Code],tblProducts[Unit Cost],0)</f>
        <v>400000</v>
      </c>
      <c r="O4206" s="4" t="s">
        <v>4865</v>
      </c>
      <c r="P4206" s="4" t="s">
        <v>4860</v>
      </c>
      <c r="Q4206" s="1" t="str">
        <f>_xlfn.XLOOKUP(tblSales[[#This Row],[Channel Code]],tblChannels[Channel Code],tblChannels[Channel Name],"")</f>
        <v>In-store</v>
      </c>
      <c r="R4206" s="1">
        <f>MONTH(tblSales[[#This Row],[Date]])</f>
        <v>9</v>
      </c>
    </row>
    <row r="4207" spans="2:18" x14ac:dyDescent="0.35">
      <c r="B4207" s="113">
        <v>46274</v>
      </c>
      <c r="C4207" s="4" t="s">
        <v>2840</v>
      </c>
      <c r="D4207" s="4" t="s">
        <v>4568</v>
      </c>
      <c r="E4207" s="1" t="str">
        <f>_xlfn.XLOOKUP(tblSales[[#This Row],[Customer ID]],tblCustomers[Customer ID],tblCustomers[Customer Name],"⚠ Unknown")</f>
        <v>Walk-in Customer</v>
      </c>
      <c r="F4207" s="4" t="s">
        <v>7</v>
      </c>
      <c r="G4207" s="1" t="str">
        <f>_xlfn.XLOOKUP(tblSales[[#This Row],[Product Code]],tblProducts[Code],tblProducts[Product / Service Name],"⚠ Unknown")</f>
        <v>Premium Basic T-shirt</v>
      </c>
      <c r="H4207" s="1" t="str">
        <f>_xlfn.XLOOKUP(tblSales[[#This Row],[Product Code]],tblProducts[Code],tblProducts[Category],"")</f>
        <v>Accessories &amp; Basics</v>
      </c>
      <c r="I4207" s="4">
        <v>4</v>
      </c>
      <c r="J4207" s="5">
        <f>_xlfn.XLOOKUP(tblSales[[#This Row],[Product Code]],tblProducts[Code],tblProducts[Selling Price (excl. VAT)],0)</f>
        <v>65000</v>
      </c>
      <c r="K4207" s="5">
        <f>tblSales[[#This Row],[Qty]]*tblSales[[#This Row],[Unit Price]]</f>
        <v>260000</v>
      </c>
      <c r="L4207" s="5">
        <f>ROUND(tblSales[[#This Row],[DPP (excl. VAT)]]*VATEff,0)</f>
        <v>28600</v>
      </c>
      <c r="M4207" s="5">
        <f>tblSales[[#This Row],[DPP (excl. VAT)]]+tblSales[[#This Row],[Output VAT]]</f>
        <v>288600</v>
      </c>
      <c r="N4207" s="5">
        <f>tblSales[[#This Row],[Qty]]*_xlfn.XLOOKUP(tblSales[[#This Row],[Product Code]],tblProducts[Code],tblProducts[Unit Cost],0)</f>
        <v>148000</v>
      </c>
      <c r="O4207" s="4" t="s">
        <v>4865</v>
      </c>
      <c r="P4207" s="4" t="s">
        <v>4860</v>
      </c>
      <c r="Q4207" s="1" t="str">
        <f>_xlfn.XLOOKUP(tblSales[[#This Row],[Channel Code]],tblChannels[Channel Code],tblChannels[Channel Name],"")</f>
        <v>In-store</v>
      </c>
      <c r="R4207" s="1">
        <f>MONTH(tblSales[[#This Row],[Date]])</f>
        <v>9</v>
      </c>
    </row>
    <row r="4208" spans="2:18" x14ac:dyDescent="0.35">
      <c r="B4208" s="113">
        <v>46275</v>
      </c>
      <c r="C4208" s="4" t="s">
        <v>2841</v>
      </c>
      <c r="D4208" s="4" t="s">
        <v>4568</v>
      </c>
      <c r="E4208" s="1" t="str">
        <f>_xlfn.XLOOKUP(tblSales[[#This Row],[Customer ID]],tblCustomers[Customer ID],tblCustomers[Customer Name],"⚠ Unknown")</f>
        <v>Walk-in Customer</v>
      </c>
      <c r="F4208" s="4" t="s">
        <v>13</v>
      </c>
      <c r="G4208" s="1" t="str">
        <f>_xlfn.XLOOKUP(tblSales[[#This Row],[Product Code]],tblProducts[Code],tblProducts[Product / Service Name],"⚠ Unknown")</f>
        <v>Backpack</v>
      </c>
      <c r="H4208" s="1" t="str">
        <f>_xlfn.XLOOKUP(tblSales[[#This Row],[Product Code]],tblProducts[Code],tblProducts[Category],"")</f>
        <v>Bags &amp; Gadgets</v>
      </c>
      <c r="I4208" s="4">
        <v>5</v>
      </c>
      <c r="J4208" s="5">
        <f>_xlfn.XLOOKUP(tblSales[[#This Row],[Product Code]],tblProducts[Code],tblProducts[Selling Price (excl. VAT)],0)</f>
        <v>500000</v>
      </c>
      <c r="K4208" s="5">
        <f>tblSales[[#This Row],[Qty]]*tblSales[[#This Row],[Unit Price]]</f>
        <v>2500000</v>
      </c>
      <c r="L4208" s="5">
        <f>ROUND(tblSales[[#This Row],[DPP (excl. VAT)]]*VATEff,0)</f>
        <v>275000</v>
      </c>
      <c r="M4208" s="5">
        <f>tblSales[[#This Row],[DPP (excl. VAT)]]+tblSales[[#This Row],[Output VAT]]</f>
        <v>2775000</v>
      </c>
      <c r="N4208" s="5">
        <f>tblSales[[#This Row],[Qty]]*_xlfn.XLOOKUP(tblSales[[#This Row],[Product Code]],tblProducts[Code],tblProducts[Unit Cost],0)</f>
        <v>1450000</v>
      </c>
      <c r="O4208" s="4" t="s">
        <v>4866</v>
      </c>
      <c r="P4208" s="4" t="s">
        <v>4861</v>
      </c>
      <c r="Q4208" s="1" t="str">
        <f>_xlfn.XLOOKUP(tblSales[[#This Row],[Channel Code]],tblChannels[Channel Code],tblChannels[Channel Name],"")</f>
        <v>Marketplace</v>
      </c>
      <c r="R4208" s="1">
        <f>MONTH(tblSales[[#This Row],[Date]])</f>
        <v>9</v>
      </c>
    </row>
    <row r="4209" spans="2:18" x14ac:dyDescent="0.35">
      <c r="B4209" s="113">
        <v>46275</v>
      </c>
      <c r="C4209" s="4" t="s">
        <v>2841</v>
      </c>
      <c r="D4209" s="4" t="s">
        <v>4568</v>
      </c>
      <c r="E4209" s="1" t="str">
        <f>_xlfn.XLOOKUP(tblSales[[#This Row],[Customer ID]],tblCustomers[Customer ID],tblCustomers[Customer Name],"⚠ Unknown")</f>
        <v>Walk-in Customer</v>
      </c>
      <c r="F4209" s="4" t="s">
        <v>7</v>
      </c>
      <c r="G4209" s="1" t="str">
        <f>_xlfn.XLOOKUP(tblSales[[#This Row],[Product Code]],tblProducts[Code],tblProducts[Product / Service Name],"⚠ Unknown")</f>
        <v>Premium Basic T-shirt</v>
      </c>
      <c r="H4209" s="1" t="str">
        <f>_xlfn.XLOOKUP(tblSales[[#This Row],[Product Code]],tblProducts[Code],tblProducts[Category],"")</f>
        <v>Accessories &amp; Basics</v>
      </c>
      <c r="I4209" s="4">
        <v>11</v>
      </c>
      <c r="J4209" s="5">
        <f>_xlfn.XLOOKUP(tblSales[[#This Row],[Product Code]],tblProducts[Code],tblProducts[Selling Price (excl. VAT)],0)</f>
        <v>65000</v>
      </c>
      <c r="K4209" s="5">
        <f>tblSales[[#This Row],[Qty]]*tblSales[[#This Row],[Unit Price]]</f>
        <v>715000</v>
      </c>
      <c r="L4209" s="5">
        <f>ROUND(tblSales[[#This Row],[DPP (excl. VAT)]]*VATEff,0)</f>
        <v>78650</v>
      </c>
      <c r="M4209" s="5">
        <f>tblSales[[#This Row],[DPP (excl. VAT)]]+tblSales[[#This Row],[Output VAT]]</f>
        <v>793650</v>
      </c>
      <c r="N4209" s="5">
        <f>tblSales[[#This Row],[Qty]]*_xlfn.XLOOKUP(tblSales[[#This Row],[Product Code]],tblProducts[Code],tblProducts[Unit Cost],0)</f>
        <v>407000</v>
      </c>
      <c r="O4209" s="4" t="s">
        <v>4866</v>
      </c>
      <c r="P4209" s="4" t="s">
        <v>4861</v>
      </c>
      <c r="Q4209" s="1" t="str">
        <f>_xlfn.XLOOKUP(tblSales[[#This Row],[Channel Code]],tblChannels[Channel Code],tblChannels[Channel Name],"")</f>
        <v>Marketplace</v>
      </c>
      <c r="R4209" s="1">
        <f>MONTH(tblSales[[#This Row],[Date]])</f>
        <v>9</v>
      </c>
    </row>
    <row r="4210" spans="2:18" x14ac:dyDescent="0.35">
      <c r="B4210" s="113">
        <v>46275</v>
      </c>
      <c r="C4210" s="4" t="s">
        <v>2842</v>
      </c>
      <c r="D4210" s="4" t="s">
        <v>4568</v>
      </c>
      <c r="E4210" s="1" t="str">
        <f>_xlfn.XLOOKUP(tblSales[[#This Row],[Customer ID]],tblCustomers[Customer ID],tblCustomers[Customer Name],"⚠ Unknown")</f>
        <v>Walk-in Customer</v>
      </c>
      <c r="F4210" s="4" t="s">
        <v>12</v>
      </c>
      <c r="G4210" s="1" t="str">
        <f>_xlfn.XLOOKUP(tblSales[[#This Row],[Product Code]],tblProducts[Code],tblProducts[Product / Service Name],"⚠ Unknown")</f>
        <v>Bomber Jacket</v>
      </c>
      <c r="H4210" s="1" t="str">
        <f>_xlfn.XLOOKUP(tblSales[[#This Row],[Product Code]],tblProducts[Code],tblProducts[Category],"")</f>
        <v>Apparel &amp; Footwear</v>
      </c>
      <c r="I4210" s="4">
        <v>6</v>
      </c>
      <c r="J4210" s="5">
        <f>_xlfn.XLOOKUP(tblSales[[#This Row],[Product Code]],tblProducts[Code],tblProducts[Selling Price (excl. VAT)],0)</f>
        <v>350000</v>
      </c>
      <c r="K4210" s="5">
        <f>tblSales[[#This Row],[Qty]]*tblSales[[#This Row],[Unit Price]]</f>
        <v>2100000</v>
      </c>
      <c r="L4210" s="5">
        <f>ROUND(tblSales[[#This Row],[DPP (excl. VAT)]]*VATEff,0)</f>
        <v>231000</v>
      </c>
      <c r="M4210" s="5">
        <f>tblSales[[#This Row],[DPP (excl. VAT)]]+tblSales[[#This Row],[Output VAT]]</f>
        <v>2331000</v>
      </c>
      <c r="N4210" s="5">
        <f>tblSales[[#This Row],[Qty]]*_xlfn.XLOOKUP(tblSales[[#This Row],[Product Code]],tblProducts[Code],tblProducts[Unit Cost],0)</f>
        <v>1260000</v>
      </c>
      <c r="O4210" s="4" t="s">
        <v>4865</v>
      </c>
      <c r="P4210" s="4" t="s">
        <v>4860</v>
      </c>
      <c r="Q4210" s="1" t="str">
        <f>_xlfn.XLOOKUP(tblSales[[#This Row],[Channel Code]],tblChannels[Channel Code],tblChannels[Channel Name],"")</f>
        <v>In-store</v>
      </c>
      <c r="R4210" s="1">
        <f>MONTH(tblSales[[#This Row],[Date]])</f>
        <v>9</v>
      </c>
    </row>
    <row r="4211" spans="2:18" x14ac:dyDescent="0.35">
      <c r="B4211" s="113">
        <v>46275</v>
      </c>
      <c r="C4211" s="4" t="s">
        <v>2843</v>
      </c>
      <c r="D4211" s="4" t="s">
        <v>4568</v>
      </c>
      <c r="E4211" s="1" t="str">
        <f>_xlfn.XLOOKUP(tblSales[[#This Row],[Customer ID]],tblCustomers[Customer ID],tblCustomers[Customer Name],"⚠ Unknown")</f>
        <v>Walk-in Customer</v>
      </c>
      <c r="F4211" s="4" t="s">
        <v>8</v>
      </c>
      <c r="G4211" s="1" t="str">
        <f>_xlfn.XLOOKUP(tblSales[[#This Row],[Product Code]],tblProducts[Code],tblProducts[Product / Service Name],"⚠ Unknown")</f>
        <v>Casual Shorts</v>
      </c>
      <c r="H4211" s="1" t="str">
        <f>_xlfn.XLOOKUP(tblSales[[#This Row],[Product Code]],tblProducts[Code],tblProducts[Category],"")</f>
        <v>Accessories &amp; Basics</v>
      </c>
      <c r="I4211" s="4">
        <v>8</v>
      </c>
      <c r="J4211" s="5">
        <f>_xlfn.XLOOKUP(tblSales[[#This Row],[Product Code]],tblProducts[Code],tblProducts[Selling Price (excl. VAT)],0)</f>
        <v>85000</v>
      </c>
      <c r="K4211" s="5">
        <f>tblSales[[#This Row],[Qty]]*tblSales[[#This Row],[Unit Price]]</f>
        <v>680000</v>
      </c>
      <c r="L4211" s="5">
        <f>ROUND(tblSales[[#This Row],[DPP (excl. VAT)]]*VATEff,0)</f>
        <v>74800</v>
      </c>
      <c r="M4211" s="5">
        <f>tblSales[[#This Row],[DPP (excl. VAT)]]+tblSales[[#This Row],[Output VAT]]</f>
        <v>754800</v>
      </c>
      <c r="N4211" s="5">
        <f>tblSales[[#This Row],[Qty]]*_xlfn.XLOOKUP(tblSales[[#This Row],[Product Code]],tblProducts[Code],tblProducts[Unit Cost],0)</f>
        <v>400000</v>
      </c>
      <c r="O4211" s="4" t="s">
        <v>4866</v>
      </c>
      <c r="P4211" s="4" t="s">
        <v>4862</v>
      </c>
      <c r="Q4211" s="1" t="str">
        <f>_xlfn.XLOOKUP(tblSales[[#This Row],[Channel Code]],tblChannels[Channel Code],tblChannels[Channel Name],"")</f>
        <v>Website &amp; Social Media</v>
      </c>
      <c r="R4211" s="1">
        <f>MONTH(tblSales[[#This Row],[Date]])</f>
        <v>9</v>
      </c>
    </row>
    <row r="4212" spans="2:18" x14ac:dyDescent="0.35">
      <c r="B4212" s="113">
        <v>46275</v>
      </c>
      <c r="C4212" s="4" t="s">
        <v>2844</v>
      </c>
      <c r="D4212" s="4" t="s">
        <v>4568</v>
      </c>
      <c r="E4212" s="1" t="str">
        <f>_xlfn.XLOOKUP(tblSales[[#This Row],[Customer ID]],tblCustomers[Customer ID],tblCustomers[Customer Name],"⚠ Unknown")</f>
        <v>Walk-in Customer</v>
      </c>
      <c r="F4212" s="4" t="s">
        <v>12</v>
      </c>
      <c r="G4212" s="1" t="str">
        <f>_xlfn.XLOOKUP(tblSales[[#This Row],[Product Code]],tblProducts[Code],tblProducts[Product / Service Name],"⚠ Unknown")</f>
        <v>Bomber Jacket</v>
      </c>
      <c r="H4212" s="1" t="str">
        <f>_xlfn.XLOOKUP(tblSales[[#This Row],[Product Code]],tblProducts[Code],tblProducts[Category],"")</f>
        <v>Apparel &amp; Footwear</v>
      </c>
      <c r="I4212" s="4">
        <v>5</v>
      </c>
      <c r="J4212" s="5">
        <f>_xlfn.XLOOKUP(tblSales[[#This Row],[Product Code]],tblProducts[Code],tblProducts[Selling Price (excl. VAT)],0)</f>
        <v>350000</v>
      </c>
      <c r="K4212" s="5">
        <f>tblSales[[#This Row],[Qty]]*tblSales[[#This Row],[Unit Price]]</f>
        <v>1750000</v>
      </c>
      <c r="L4212" s="5">
        <f>ROUND(tblSales[[#This Row],[DPP (excl. VAT)]]*VATEff,0)</f>
        <v>192500</v>
      </c>
      <c r="M4212" s="5">
        <f>tblSales[[#This Row],[DPP (excl. VAT)]]+tblSales[[#This Row],[Output VAT]]</f>
        <v>1942500</v>
      </c>
      <c r="N4212" s="5">
        <f>tblSales[[#This Row],[Qty]]*_xlfn.XLOOKUP(tblSales[[#This Row],[Product Code]],tblProducts[Code],tblProducts[Unit Cost],0)</f>
        <v>1050000</v>
      </c>
      <c r="O4212" s="4" t="s">
        <v>4866</v>
      </c>
      <c r="P4212" s="4" t="s">
        <v>4861</v>
      </c>
      <c r="Q4212" s="1" t="str">
        <f>_xlfn.XLOOKUP(tblSales[[#This Row],[Channel Code]],tblChannels[Channel Code],tblChannels[Channel Name],"")</f>
        <v>Marketplace</v>
      </c>
      <c r="R4212" s="1">
        <f>MONTH(tblSales[[#This Row],[Date]])</f>
        <v>9</v>
      </c>
    </row>
    <row r="4213" spans="2:18" x14ac:dyDescent="0.35">
      <c r="B4213" s="113">
        <v>46275</v>
      </c>
      <c r="C4213" s="4" t="s">
        <v>2845</v>
      </c>
      <c r="D4213" s="4" t="s">
        <v>4568</v>
      </c>
      <c r="E4213" s="1" t="str">
        <f>_xlfn.XLOOKUP(tblSales[[#This Row],[Customer ID]],tblCustomers[Customer ID],tblCustomers[Customer Name],"⚠ Unknown")</f>
        <v>Walk-in Customer</v>
      </c>
      <c r="F4213" s="4" t="s">
        <v>10</v>
      </c>
      <c r="G4213" s="1" t="str">
        <f>_xlfn.XLOOKUP(tblSales[[#This Row],[Product Code]],tblProducts[Code],tblProducts[Product / Service Name],"⚠ Unknown")</f>
        <v>Chino Pants</v>
      </c>
      <c r="H4213" s="1" t="str">
        <f>_xlfn.XLOOKUP(tblSales[[#This Row],[Product Code]],tblProducts[Code],tblProducts[Category],"")</f>
        <v>Apparel &amp; Footwear</v>
      </c>
      <c r="I4213" s="4">
        <v>6</v>
      </c>
      <c r="J4213" s="5">
        <f>_xlfn.XLOOKUP(tblSales[[#This Row],[Product Code]],tblProducts[Code],tblProducts[Selling Price (excl. VAT)],0)</f>
        <v>150000</v>
      </c>
      <c r="K4213" s="5">
        <f>tblSales[[#This Row],[Qty]]*tblSales[[#This Row],[Unit Price]]</f>
        <v>900000</v>
      </c>
      <c r="L4213" s="5">
        <f>ROUND(tblSales[[#This Row],[DPP (excl. VAT)]]*VATEff,0)</f>
        <v>99000</v>
      </c>
      <c r="M4213" s="5">
        <f>tblSales[[#This Row],[DPP (excl. VAT)]]+tblSales[[#This Row],[Output VAT]]</f>
        <v>999000</v>
      </c>
      <c r="N4213" s="5">
        <f>tblSales[[#This Row],[Qty]]*_xlfn.XLOOKUP(tblSales[[#This Row],[Product Code]],tblProducts[Code],tblProducts[Unit Cost],0)</f>
        <v>528000</v>
      </c>
      <c r="O4213" s="4" t="s">
        <v>4865</v>
      </c>
      <c r="P4213" s="4" t="s">
        <v>4860</v>
      </c>
      <c r="Q4213" s="1" t="str">
        <f>_xlfn.XLOOKUP(tblSales[[#This Row],[Channel Code]],tblChannels[Channel Code],tblChannels[Channel Name],"")</f>
        <v>In-store</v>
      </c>
      <c r="R4213" s="1">
        <f>MONTH(tblSales[[#This Row],[Date]])</f>
        <v>9</v>
      </c>
    </row>
    <row r="4214" spans="2:18" x14ac:dyDescent="0.35">
      <c r="B4214" s="113">
        <v>46275</v>
      </c>
      <c r="C4214" s="4" t="s">
        <v>2846</v>
      </c>
      <c r="D4214" s="4" t="s">
        <v>4568</v>
      </c>
      <c r="E4214" s="1" t="str">
        <f>_xlfn.XLOOKUP(tblSales[[#This Row],[Customer ID]],tblCustomers[Customer ID],tblCustomers[Customer Name],"⚠ Unknown")</f>
        <v>Walk-in Customer</v>
      </c>
      <c r="F4214" s="4" t="s">
        <v>12</v>
      </c>
      <c r="G4214" s="1" t="str">
        <f>_xlfn.XLOOKUP(tblSales[[#This Row],[Product Code]],tblProducts[Code],tblProducts[Product / Service Name],"⚠ Unknown")</f>
        <v>Bomber Jacket</v>
      </c>
      <c r="H4214" s="1" t="str">
        <f>_xlfn.XLOOKUP(tblSales[[#This Row],[Product Code]],tblProducts[Code],tblProducts[Category],"")</f>
        <v>Apparel &amp; Footwear</v>
      </c>
      <c r="I4214" s="4">
        <v>5</v>
      </c>
      <c r="J4214" s="5">
        <f>_xlfn.XLOOKUP(tblSales[[#This Row],[Product Code]],tblProducts[Code],tblProducts[Selling Price (excl. VAT)],0)</f>
        <v>350000</v>
      </c>
      <c r="K4214" s="5">
        <f>tblSales[[#This Row],[Qty]]*tblSales[[#This Row],[Unit Price]]</f>
        <v>1750000</v>
      </c>
      <c r="L4214" s="5">
        <f>ROUND(tblSales[[#This Row],[DPP (excl. VAT)]]*VATEff,0)</f>
        <v>192500</v>
      </c>
      <c r="M4214" s="5">
        <f>tblSales[[#This Row],[DPP (excl. VAT)]]+tblSales[[#This Row],[Output VAT]]</f>
        <v>1942500</v>
      </c>
      <c r="N4214" s="5">
        <f>tblSales[[#This Row],[Qty]]*_xlfn.XLOOKUP(tblSales[[#This Row],[Product Code]],tblProducts[Code],tblProducts[Unit Cost],0)</f>
        <v>1050000</v>
      </c>
      <c r="O4214" s="4" t="s">
        <v>4866</v>
      </c>
      <c r="P4214" s="4" t="s">
        <v>4862</v>
      </c>
      <c r="Q4214" s="1" t="str">
        <f>_xlfn.XLOOKUP(tblSales[[#This Row],[Channel Code]],tblChannels[Channel Code],tblChannels[Channel Name],"")</f>
        <v>Website &amp; Social Media</v>
      </c>
      <c r="R4214" s="1">
        <f>MONTH(tblSales[[#This Row],[Date]])</f>
        <v>9</v>
      </c>
    </row>
    <row r="4215" spans="2:18" x14ac:dyDescent="0.35">
      <c r="B4215" s="113">
        <v>46275</v>
      </c>
      <c r="C4215" s="4" t="s">
        <v>2847</v>
      </c>
      <c r="D4215" s="4" t="s">
        <v>4620</v>
      </c>
      <c r="E4215" s="1" t="str">
        <f>_xlfn.XLOOKUP(tblSales[[#This Row],[Customer ID]],tblCustomers[Customer ID],tblCustomers[Customer Name],"⚠ Unknown")</f>
        <v>CV Sumber Rejeki Utama</v>
      </c>
      <c r="F4215" s="4" t="s">
        <v>7</v>
      </c>
      <c r="G4215" s="1" t="str">
        <f>_xlfn.XLOOKUP(tblSales[[#This Row],[Product Code]],tblProducts[Code],tblProducts[Product / Service Name],"⚠ Unknown")</f>
        <v>Premium Basic T-shirt</v>
      </c>
      <c r="H4215" s="1" t="str">
        <f>_xlfn.XLOOKUP(tblSales[[#This Row],[Product Code]],tblProducts[Code],tblProducts[Category],"")</f>
        <v>Accessories &amp; Basics</v>
      </c>
      <c r="I4215" s="4">
        <v>56</v>
      </c>
      <c r="J4215" s="5">
        <f>_xlfn.XLOOKUP(tblSales[[#This Row],[Product Code]],tblProducts[Code],tblProducts[Selling Price (excl. VAT)],0)</f>
        <v>65000</v>
      </c>
      <c r="K4215" s="5">
        <f>tblSales[[#This Row],[Qty]]*tblSales[[#This Row],[Unit Price]]</f>
        <v>3640000</v>
      </c>
      <c r="L4215" s="5">
        <f>ROUND(tblSales[[#This Row],[DPP (excl. VAT)]]*VATEff,0)</f>
        <v>400400</v>
      </c>
      <c r="M4215" s="5">
        <f>tblSales[[#This Row],[DPP (excl. VAT)]]+tblSales[[#This Row],[Output VAT]]</f>
        <v>4040400</v>
      </c>
      <c r="N4215" s="5">
        <f>tblSales[[#This Row],[Qty]]*_xlfn.XLOOKUP(tblSales[[#This Row],[Product Code]],tblProducts[Code],tblProducts[Unit Cost],0)</f>
        <v>2072000</v>
      </c>
      <c r="O4215" s="4" t="s">
        <v>4867</v>
      </c>
      <c r="P4215" s="4" t="s">
        <v>4860</v>
      </c>
      <c r="Q4215" s="1" t="str">
        <f>_xlfn.XLOOKUP(tblSales[[#This Row],[Channel Code]],tblChannels[Channel Code],tblChannels[Channel Name],"")</f>
        <v>In-store</v>
      </c>
      <c r="R4215" s="1">
        <f>MONTH(tblSales[[#This Row],[Date]])</f>
        <v>9</v>
      </c>
    </row>
    <row r="4216" spans="2:18" x14ac:dyDescent="0.35">
      <c r="B4216" s="113">
        <v>46275</v>
      </c>
      <c r="C4216" s="4" t="s">
        <v>2848</v>
      </c>
      <c r="D4216" s="4" t="s">
        <v>4620</v>
      </c>
      <c r="E4216" s="1" t="str">
        <f>_xlfn.XLOOKUP(tblSales[[#This Row],[Customer ID]],tblCustomers[Customer ID],tblCustomers[Customer Name],"⚠ Unknown")</f>
        <v>CV Sumber Rejeki Utama</v>
      </c>
      <c r="F4216" s="4" t="s">
        <v>6</v>
      </c>
      <c r="G4216" s="1" t="str">
        <f>_xlfn.XLOOKUP(tblSales[[#This Row],[Product Code]],tblProducts[Code],tblProducts[Product / Service Name],"⚠ Unknown")</f>
        <v>Socks &amp; Accessories</v>
      </c>
      <c r="H4216" s="1" t="str">
        <f>_xlfn.XLOOKUP(tblSales[[#This Row],[Product Code]],tblProducts[Code],tblProducts[Category],"")</f>
        <v>Accessories &amp; Basics</v>
      </c>
      <c r="I4216" s="4">
        <v>8</v>
      </c>
      <c r="J4216" s="5">
        <f>_xlfn.XLOOKUP(tblSales[[#This Row],[Product Code]],tblProducts[Code],tblProducts[Selling Price (excl. VAT)],0)</f>
        <v>45000</v>
      </c>
      <c r="K4216" s="5">
        <f>tblSales[[#This Row],[Qty]]*tblSales[[#This Row],[Unit Price]]</f>
        <v>360000</v>
      </c>
      <c r="L4216" s="5">
        <f>ROUND(tblSales[[#This Row],[DPP (excl. VAT)]]*VATEff,0)</f>
        <v>39600</v>
      </c>
      <c r="M4216" s="5">
        <f>tblSales[[#This Row],[DPP (excl. VAT)]]+tblSales[[#This Row],[Output VAT]]</f>
        <v>399600</v>
      </c>
      <c r="N4216" s="5">
        <f>tblSales[[#This Row],[Qty]]*_xlfn.XLOOKUP(tblSales[[#This Row],[Product Code]],tblProducts[Code],tblProducts[Unit Cost],0)</f>
        <v>192000</v>
      </c>
      <c r="O4216" s="4" t="s">
        <v>4867</v>
      </c>
      <c r="P4216" s="4" t="s">
        <v>4860</v>
      </c>
      <c r="Q4216" s="1" t="str">
        <f>_xlfn.XLOOKUP(tblSales[[#This Row],[Channel Code]],tblChannels[Channel Code],tblChannels[Channel Name],"")</f>
        <v>In-store</v>
      </c>
      <c r="R4216" s="1">
        <f>MONTH(tblSales[[#This Row],[Date]])</f>
        <v>9</v>
      </c>
    </row>
    <row r="4217" spans="2:18" x14ac:dyDescent="0.35">
      <c r="B4217" s="113">
        <v>46275</v>
      </c>
      <c r="C4217" s="4" t="s">
        <v>2848</v>
      </c>
      <c r="D4217" s="4" t="s">
        <v>4620</v>
      </c>
      <c r="E4217" s="1" t="str">
        <f>_xlfn.XLOOKUP(tblSales[[#This Row],[Customer ID]],tblCustomers[Customer ID],tblCustomers[Customer Name],"⚠ Unknown")</f>
        <v>CV Sumber Rejeki Utama</v>
      </c>
      <c r="F4217" s="4" t="s">
        <v>9</v>
      </c>
      <c r="G4217" s="1" t="str">
        <f>_xlfn.XLOOKUP(tblSales[[#This Row],[Product Code]],tblProducts[Code],tblProducts[Product / Service Name],"⚠ Unknown")</f>
        <v>Casual Shirt</v>
      </c>
      <c r="H4217" s="1" t="str">
        <f>_xlfn.XLOOKUP(tblSales[[#This Row],[Product Code]],tblProducts[Code],tblProducts[Category],"")</f>
        <v>Apparel &amp; Footwear</v>
      </c>
      <c r="I4217" s="4">
        <v>48</v>
      </c>
      <c r="J4217" s="5">
        <f>_xlfn.XLOOKUP(tblSales[[#This Row],[Product Code]],tblProducts[Code],tblProducts[Selling Price (excl. VAT)],0)</f>
        <v>120000</v>
      </c>
      <c r="K4217" s="5">
        <f>tblSales[[#This Row],[Qty]]*tblSales[[#This Row],[Unit Price]]</f>
        <v>5760000</v>
      </c>
      <c r="L4217" s="5">
        <f>ROUND(tblSales[[#This Row],[DPP (excl. VAT)]]*VATEff,0)</f>
        <v>633600</v>
      </c>
      <c r="M4217" s="5">
        <f>tblSales[[#This Row],[DPP (excl. VAT)]]+tblSales[[#This Row],[Output VAT]]</f>
        <v>6393600</v>
      </c>
      <c r="N4217" s="5">
        <f>tblSales[[#This Row],[Qty]]*_xlfn.XLOOKUP(tblSales[[#This Row],[Product Code]],tblProducts[Code],tblProducts[Unit Cost],0)</f>
        <v>3456000</v>
      </c>
      <c r="O4217" s="4" t="s">
        <v>4867</v>
      </c>
      <c r="P4217" s="4" t="s">
        <v>4860</v>
      </c>
      <c r="Q4217" s="1" t="str">
        <f>_xlfn.XLOOKUP(tblSales[[#This Row],[Channel Code]],tblChannels[Channel Code],tblChannels[Channel Name],"")</f>
        <v>In-store</v>
      </c>
      <c r="R4217" s="1">
        <f>MONTH(tblSales[[#This Row],[Date]])</f>
        <v>9</v>
      </c>
    </row>
    <row r="4218" spans="2:18" x14ac:dyDescent="0.35">
      <c r="B4218" s="113">
        <v>46275</v>
      </c>
      <c r="C4218" s="4" t="s">
        <v>2849</v>
      </c>
      <c r="D4218" s="4" t="s">
        <v>4620</v>
      </c>
      <c r="E4218" s="1" t="str">
        <f>_xlfn.XLOOKUP(tblSales[[#This Row],[Customer ID]],tblCustomers[Customer ID],tblCustomers[Customer Name],"⚠ Unknown")</f>
        <v>CV Sumber Rejeki Utama</v>
      </c>
      <c r="F4218" s="4" t="s">
        <v>6</v>
      </c>
      <c r="G4218" s="1" t="str">
        <f>_xlfn.XLOOKUP(tblSales[[#This Row],[Product Code]],tblProducts[Code],tblProducts[Product / Service Name],"⚠ Unknown")</f>
        <v>Socks &amp; Accessories</v>
      </c>
      <c r="H4218" s="1" t="str">
        <f>_xlfn.XLOOKUP(tblSales[[#This Row],[Product Code]],tblProducts[Code],tblProducts[Category],"")</f>
        <v>Accessories &amp; Basics</v>
      </c>
      <c r="I4218" s="4">
        <v>72</v>
      </c>
      <c r="J4218" s="5">
        <f>_xlfn.XLOOKUP(tblSales[[#This Row],[Product Code]],tblProducts[Code],tblProducts[Selling Price (excl. VAT)],0)</f>
        <v>45000</v>
      </c>
      <c r="K4218" s="5">
        <f>tblSales[[#This Row],[Qty]]*tblSales[[#This Row],[Unit Price]]</f>
        <v>3240000</v>
      </c>
      <c r="L4218" s="5">
        <f>ROUND(tblSales[[#This Row],[DPP (excl. VAT)]]*VATEff,0)</f>
        <v>356400</v>
      </c>
      <c r="M4218" s="5">
        <f>tblSales[[#This Row],[DPP (excl. VAT)]]+tblSales[[#This Row],[Output VAT]]</f>
        <v>3596400</v>
      </c>
      <c r="N4218" s="5">
        <f>tblSales[[#This Row],[Qty]]*_xlfn.XLOOKUP(tblSales[[#This Row],[Product Code]],tblProducts[Code],tblProducts[Unit Cost],0)</f>
        <v>1728000</v>
      </c>
      <c r="O4218" s="4" t="s">
        <v>4867</v>
      </c>
      <c r="P4218" s="4" t="s">
        <v>4860</v>
      </c>
      <c r="Q4218" s="1" t="str">
        <f>_xlfn.XLOOKUP(tblSales[[#This Row],[Channel Code]],tblChannels[Channel Code],tblChannels[Channel Name],"")</f>
        <v>In-store</v>
      </c>
      <c r="R4218" s="1">
        <f>MONTH(tblSales[[#This Row],[Date]])</f>
        <v>9</v>
      </c>
    </row>
    <row r="4219" spans="2:18" x14ac:dyDescent="0.35">
      <c r="B4219" s="113">
        <v>46276</v>
      </c>
      <c r="C4219" s="4" t="s">
        <v>2850</v>
      </c>
      <c r="D4219" s="4" t="s">
        <v>4568</v>
      </c>
      <c r="E4219" s="1" t="str">
        <f>_xlfn.XLOOKUP(tblSales[[#This Row],[Customer ID]],tblCustomers[Customer ID],tblCustomers[Customer Name],"⚠ Unknown")</f>
        <v>Walk-in Customer</v>
      </c>
      <c r="F4219" s="4" t="s">
        <v>6</v>
      </c>
      <c r="G4219" s="1" t="str">
        <f>_xlfn.XLOOKUP(tblSales[[#This Row],[Product Code]],tblProducts[Code],tblProducts[Product / Service Name],"⚠ Unknown")</f>
        <v>Socks &amp; Accessories</v>
      </c>
      <c r="H4219" s="1" t="str">
        <f>_xlfn.XLOOKUP(tblSales[[#This Row],[Product Code]],tblProducts[Code],tblProducts[Category],"")</f>
        <v>Accessories &amp; Basics</v>
      </c>
      <c r="I4219" s="4">
        <v>12</v>
      </c>
      <c r="J4219" s="5">
        <f>_xlfn.XLOOKUP(tblSales[[#This Row],[Product Code]],tblProducts[Code],tblProducts[Selling Price (excl. VAT)],0)</f>
        <v>45000</v>
      </c>
      <c r="K4219" s="5">
        <f>tblSales[[#This Row],[Qty]]*tblSales[[#This Row],[Unit Price]]</f>
        <v>540000</v>
      </c>
      <c r="L4219" s="5">
        <f>ROUND(tblSales[[#This Row],[DPP (excl. VAT)]]*VATEff,0)</f>
        <v>59400</v>
      </c>
      <c r="M4219" s="5">
        <f>tblSales[[#This Row],[DPP (excl. VAT)]]+tblSales[[#This Row],[Output VAT]]</f>
        <v>599400</v>
      </c>
      <c r="N4219" s="5">
        <f>tblSales[[#This Row],[Qty]]*_xlfn.XLOOKUP(tblSales[[#This Row],[Product Code]],tblProducts[Code],tblProducts[Unit Cost],0)</f>
        <v>288000</v>
      </c>
      <c r="O4219" s="4" t="s">
        <v>4866</v>
      </c>
      <c r="P4219" s="4" t="s">
        <v>4860</v>
      </c>
      <c r="Q4219" s="1" t="str">
        <f>_xlfn.XLOOKUP(tblSales[[#This Row],[Channel Code]],tblChannels[Channel Code],tblChannels[Channel Name],"")</f>
        <v>In-store</v>
      </c>
      <c r="R4219" s="1">
        <f>MONTH(tblSales[[#This Row],[Date]])</f>
        <v>9</v>
      </c>
    </row>
    <row r="4220" spans="2:18" x14ac:dyDescent="0.35">
      <c r="B4220" s="113">
        <v>46276</v>
      </c>
      <c r="C4220" s="4" t="s">
        <v>2850</v>
      </c>
      <c r="D4220" s="4" t="s">
        <v>4568</v>
      </c>
      <c r="E4220" s="1" t="str">
        <f>_xlfn.XLOOKUP(tblSales[[#This Row],[Customer ID]],tblCustomers[Customer ID],tblCustomers[Customer Name],"⚠ Unknown")</f>
        <v>Walk-in Customer</v>
      </c>
      <c r="F4220" s="4" t="s">
        <v>9</v>
      </c>
      <c r="G4220" s="1" t="str">
        <f>_xlfn.XLOOKUP(tblSales[[#This Row],[Product Code]],tblProducts[Code],tblProducts[Product / Service Name],"⚠ Unknown")</f>
        <v>Casual Shirt</v>
      </c>
      <c r="H4220" s="1" t="str">
        <f>_xlfn.XLOOKUP(tblSales[[#This Row],[Product Code]],tblProducts[Code],tblProducts[Category],"")</f>
        <v>Apparel &amp; Footwear</v>
      </c>
      <c r="I4220" s="4">
        <v>9</v>
      </c>
      <c r="J4220" s="5">
        <f>_xlfn.XLOOKUP(tblSales[[#This Row],[Product Code]],tblProducts[Code],tblProducts[Selling Price (excl. VAT)],0)</f>
        <v>120000</v>
      </c>
      <c r="K4220" s="5">
        <f>tblSales[[#This Row],[Qty]]*tblSales[[#This Row],[Unit Price]]</f>
        <v>1080000</v>
      </c>
      <c r="L4220" s="5">
        <f>ROUND(tblSales[[#This Row],[DPP (excl. VAT)]]*VATEff,0)</f>
        <v>118800</v>
      </c>
      <c r="M4220" s="5">
        <f>tblSales[[#This Row],[DPP (excl. VAT)]]+tblSales[[#This Row],[Output VAT]]</f>
        <v>1198800</v>
      </c>
      <c r="N4220" s="5">
        <f>tblSales[[#This Row],[Qty]]*_xlfn.XLOOKUP(tblSales[[#This Row],[Product Code]],tblProducts[Code],tblProducts[Unit Cost],0)</f>
        <v>648000</v>
      </c>
      <c r="O4220" s="4" t="s">
        <v>4866</v>
      </c>
      <c r="P4220" s="4" t="s">
        <v>4860</v>
      </c>
      <c r="Q4220" s="1" t="str">
        <f>_xlfn.XLOOKUP(tblSales[[#This Row],[Channel Code]],tblChannels[Channel Code],tblChannels[Channel Name],"")</f>
        <v>In-store</v>
      </c>
      <c r="R4220" s="1">
        <f>MONTH(tblSales[[#This Row],[Date]])</f>
        <v>9</v>
      </c>
    </row>
    <row r="4221" spans="2:18" x14ac:dyDescent="0.35">
      <c r="B4221" s="113">
        <v>46276</v>
      </c>
      <c r="C4221" s="4" t="s">
        <v>2851</v>
      </c>
      <c r="D4221" s="4" t="s">
        <v>4568</v>
      </c>
      <c r="E4221" s="1" t="str">
        <f>_xlfn.XLOOKUP(tblSales[[#This Row],[Customer ID]],tblCustomers[Customer ID],tblCustomers[Customer Name],"⚠ Unknown")</f>
        <v>Walk-in Customer</v>
      </c>
      <c r="F4221" s="4" t="s">
        <v>11</v>
      </c>
      <c r="G4221" s="1" t="str">
        <f>_xlfn.XLOOKUP(tblSales[[#This Row],[Product Code]],tblProducts[Code],tblProducts[Product / Service Name],"⚠ Unknown")</f>
        <v>Sneakers</v>
      </c>
      <c r="H4221" s="1" t="str">
        <f>_xlfn.XLOOKUP(tblSales[[#This Row],[Product Code]],tblProducts[Code],tblProducts[Category],"")</f>
        <v>Apparel &amp; Footwear</v>
      </c>
      <c r="I4221" s="4">
        <v>1</v>
      </c>
      <c r="J4221" s="5">
        <f>_xlfn.XLOOKUP(tblSales[[#This Row],[Product Code]],tblProducts[Code],tblProducts[Selling Price (excl. VAT)],0)</f>
        <v>250000</v>
      </c>
      <c r="K4221" s="5">
        <f>tblSales[[#This Row],[Qty]]*tblSales[[#This Row],[Unit Price]]</f>
        <v>250000</v>
      </c>
      <c r="L4221" s="5">
        <f>ROUND(tblSales[[#This Row],[DPP (excl. VAT)]]*VATEff,0)</f>
        <v>27500</v>
      </c>
      <c r="M4221" s="5">
        <f>tblSales[[#This Row],[DPP (excl. VAT)]]+tblSales[[#This Row],[Output VAT]]</f>
        <v>277500</v>
      </c>
      <c r="N4221" s="5">
        <f>tblSales[[#This Row],[Qty]]*_xlfn.XLOOKUP(tblSales[[#This Row],[Product Code]],tblProducts[Code],tblProducts[Unit Cost],0)</f>
        <v>155000</v>
      </c>
      <c r="O4221" s="4" t="s">
        <v>4865</v>
      </c>
      <c r="P4221" s="4" t="s">
        <v>4860</v>
      </c>
      <c r="Q4221" s="1" t="str">
        <f>_xlfn.XLOOKUP(tblSales[[#This Row],[Channel Code]],tblChannels[Channel Code],tblChannels[Channel Name],"")</f>
        <v>In-store</v>
      </c>
      <c r="R4221" s="1">
        <f>MONTH(tblSales[[#This Row],[Date]])</f>
        <v>9</v>
      </c>
    </row>
    <row r="4222" spans="2:18" x14ac:dyDescent="0.35">
      <c r="B4222" s="113">
        <v>46276</v>
      </c>
      <c r="C4222" s="4" t="s">
        <v>2852</v>
      </c>
      <c r="D4222" s="4" t="s">
        <v>4568</v>
      </c>
      <c r="E4222" s="1" t="str">
        <f>_xlfn.XLOOKUP(tblSales[[#This Row],[Customer ID]],tblCustomers[Customer ID],tblCustomers[Customer Name],"⚠ Unknown")</f>
        <v>Walk-in Customer</v>
      </c>
      <c r="F4222" s="4" t="s">
        <v>13</v>
      </c>
      <c r="G4222" s="1" t="str">
        <f>_xlfn.XLOOKUP(tblSales[[#This Row],[Product Code]],tblProducts[Code],tblProducts[Product / Service Name],"⚠ Unknown")</f>
        <v>Backpack</v>
      </c>
      <c r="H4222" s="1" t="str">
        <f>_xlfn.XLOOKUP(tblSales[[#This Row],[Product Code]],tblProducts[Code],tblProducts[Category],"")</f>
        <v>Bags &amp; Gadgets</v>
      </c>
      <c r="I4222" s="4">
        <v>1</v>
      </c>
      <c r="J4222" s="5">
        <f>_xlfn.XLOOKUP(tblSales[[#This Row],[Product Code]],tblProducts[Code],tblProducts[Selling Price (excl. VAT)],0)</f>
        <v>500000</v>
      </c>
      <c r="K4222" s="5">
        <f>tblSales[[#This Row],[Qty]]*tblSales[[#This Row],[Unit Price]]</f>
        <v>500000</v>
      </c>
      <c r="L4222" s="5">
        <f>ROUND(tblSales[[#This Row],[DPP (excl. VAT)]]*VATEff,0)</f>
        <v>55000</v>
      </c>
      <c r="M4222" s="5">
        <f>tblSales[[#This Row],[DPP (excl. VAT)]]+tblSales[[#This Row],[Output VAT]]</f>
        <v>555000</v>
      </c>
      <c r="N4222" s="5">
        <f>tblSales[[#This Row],[Qty]]*_xlfn.XLOOKUP(tblSales[[#This Row],[Product Code]],tblProducts[Code],tblProducts[Unit Cost],0)</f>
        <v>290000</v>
      </c>
      <c r="O4222" s="4" t="s">
        <v>4866</v>
      </c>
      <c r="P4222" s="4" t="s">
        <v>4862</v>
      </c>
      <c r="Q4222" s="1" t="str">
        <f>_xlfn.XLOOKUP(tblSales[[#This Row],[Channel Code]],tblChannels[Channel Code],tblChannels[Channel Name],"")</f>
        <v>Website &amp; Social Media</v>
      </c>
      <c r="R4222" s="1">
        <f>MONTH(tblSales[[#This Row],[Date]])</f>
        <v>9</v>
      </c>
    </row>
    <row r="4223" spans="2:18" x14ac:dyDescent="0.35">
      <c r="B4223" s="113">
        <v>46276</v>
      </c>
      <c r="C4223" s="4" t="s">
        <v>2853</v>
      </c>
      <c r="D4223" s="4" t="s">
        <v>4568</v>
      </c>
      <c r="E4223" s="1" t="str">
        <f>_xlfn.XLOOKUP(tblSales[[#This Row],[Customer ID]],tblCustomers[Customer ID],tblCustomers[Customer Name],"⚠ Unknown")</f>
        <v>Walk-in Customer</v>
      </c>
      <c r="F4223" s="4" t="s">
        <v>6</v>
      </c>
      <c r="G4223" s="1" t="str">
        <f>_xlfn.XLOOKUP(tblSales[[#This Row],[Product Code]],tblProducts[Code],tblProducts[Product / Service Name],"⚠ Unknown")</f>
        <v>Socks &amp; Accessories</v>
      </c>
      <c r="H4223" s="1" t="str">
        <f>_xlfn.XLOOKUP(tblSales[[#This Row],[Product Code]],tblProducts[Code],tblProducts[Category],"")</f>
        <v>Accessories &amp; Basics</v>
      </c>
      <c r="I4223" s="4">
        <v>3</v>
      </c>
      <c r="J4223" s="5">
        <f>_xlfn.XLOOKUP(tblSales[[#This Row],[Product Code]],tblProducts[Code],tblProducts[Selling Price (excl. VAT)],0)</f>
        <v>45000</v>
      </c>
      <c r="K4223" s="5">
        <f>tblSales[[#This Row],[Qty]]*tblSales[[#This Row],[Unit Price]]</f>
        <v>135000</v>
      </c>
      <c r="L4223" s="5">
        <f>ROUND(tblSales[[#This Row],[DPP (excl. VAT)]]*VATEff,0)</f>
        <v>14850</v>
      </c>
      <c r="M4223" s="5">
        <f>tblSales[[#This Row],[DPP (excl. VAT)]]+tblSales[[#This Row],[Output VAT]]</f>
        <v>149850</v>
      </c>
      <c r="N4223" s="5">
        <f>tblSales[[#This Row],[Qty]]*_xlfn.XLOOKUP(tblSales[[#This Row],[Product Code]],tblProducts[Code],tblProducts[Unit Cost],0)</f>
        <v>72000</v>
      </c>
      <c r="O4223" s="4" t="s">
        <v>4865</v>
      </c>
      <c r="P4223" s="4" t="s">
        <v>4860</v>
      </c>
      <c r="Q4223" s="1" t="str">
        <f>_xlfn.XLOOKUP(tblSales[[#This Row],[Channel Code]],tblChannels[Channel Code],tblChannels[Channel Name],"")</f>
        <v>In-store</v>
      </c>
      <c r="R4223" s="1">
        <f>MONTH(tblSales[[#This Row],[Date]])</f>
        <v>9</v>
      </c>
    </row>
    <row r="4224" spans="2:18" x14ac:dyDescent="0.35">
      <c r="B4224" s="113">
        <v>46276</v>
      </c>
      <c r="C4224" s="4" t="s">
        <v>2853</v>
      </c>
      <c r="D4224" s="4" t="s">
        <v>4568</v>
      </c>
      <c r="E4224" s="1" t="str">
        <f>_xlfn.XLOOKUP(tblSales[[#This Row],[Customer ID]],tblCustomers[Customer ID],tblCustomers[Customer Name],"⚠ Unknown")</f>
        <v>Walk-in Customer</v>
      </c>
      <c r="F4224" s="4" t="s">
        <v>7</v>
      </c>
      <c r="G4224" s="1" t="str">
        <f>_xlfn.XLOOKUP(tblSales[[#This Row],[Product Code]],tblProducts[Code],tblProducts[Product / Service Name],"⚠ Unknown")</f>
        <v>Premium Basic T-shirt</v>
      </c>
      <c r="H4224" s="1" t="str">
        <f>_xlfn.XLOOKUP(tblSales[[#This Row],[Product Code]],tblProducts[Code],tblProducts[Category],"")</f>
        <v>Accessories &amp; Basics</v>
      </c>
      <c r="I4224" s="4">
        <v>11</v>
      </c>
      <c r="J4224" s="5">
        <f>_xlfn.XLOOKUP(tblSales[[#This Row],[Product Code]],tblProducts[Code],tblProducts[Selling Price (excl. VAT)],0)</f>
        <v>65000</v>
      </c>
      <c r="K4224" s="5">
        <f>tblSales[[#This Row],[Qty]]*tblSales[[#This Row],[Unit Price]]</f>
        <v>715000</v>
      </c>
      <c r="L4224" s="5">
        <f>ROUND(tblSales[[#This Row],[DPP (excl. VAT)]]*VATEff,0)</f>
        <v>78650</v>
      </c>
      <c r="M4224" s="5">
        <f>tblSales[[#This Row],[DPP (excl. VAT)]]+tblSales[[#This Row],[Output VAT]]</f>
        <v>793650</v>
      </c>
      <c r="N4224" s="5">
        <f>tblSales[[#This Row],[Qty]]*_xlfn.XLOOKUP(tblSales[[#This Row],[Product Code]],tblProducts[Code],tblProducts[Unit Cost],0)</f>
        <v>407000</v>
      </c>
      <c r="O4224" s="4" t="s">
        <v>4865</v>
      </c>
      <c r="P4224" s="4" t="s">
        <v>4860</v>
      </c>
      <c r="Q4224" s="1" t="str">
        <f>_xlfn.XLOOKUP(tblSales[[#This Row],[Channel Code]],tblChannels[Channel Code],tblChannels[Channel Name],"")</f>
        <v>In-store</v>
      </c>
      <c r="R4224" s="1">
        <f>MONTH(tblSales[[#This Row],[Date]])</f>
        <v>9</v>
      </c>
    </row>
    <row r="4225" spans="2:18" x14ac:dyDescent="0.35">
      <c r="B4225" s="113">
        <v>46276</v>
      </c>
      <c r="C4225" s="4" t="s">
        <v>2853</v>
      </c>
      <c r="D4225" s="4" t="s">
        <v>4568</v>
      </c>
      <c r="E4225" s="1" t="str">
        <f>_xlfn.XLOOKUP(tblSales[[#This Row],[Customer ID]],tblCustomers[Customer ID],tblCustomers[Customer Name],"⚠ Unknown")</f>
        <v>Walk-in Customer</v>
      </c>
      <c r="F4225" s="4" t="s">
        <v>12</v>
      </c>
      <c r="G4225" s="1" t="str">
        <f>_xlfn.XLOOKUP(tblSales[[#This Row],[Product Code]],tblProducts[Code],tblProducts[Product / Service Name],"⚠ Unknown")</f>
        <v>Bomber Jacket</v>
      </c>
      <c r="H4225" s="1" t="str">
        <f>_xlfn.XLOOKUP(tblSales[[#This Row],[Product Code]],tblProducts[Code],tblProducts[Category],"")</f>
        <v>Apparel &amp; Footwear</v>
      </c>
      <c r="I4225" s="4">
        <v>3</v>
      </c>
      <c r="J4225" s="5">
        <f>_xlfn.XLOOKUP(tblSales[[#This Row],[Product Code]],tblProducts[Code],tblProducts[Selling Price (excl. VAT)],0)</f>
        <v>350000</v>
      </c>
      <c r="K4225" s="5">
        <f>tblSales[[#This Row],[Qty]]*tblSales[[#This Row],[Unit Price]]</f>
        <v>1050000</v>
      </c>
      <c r="L4225" s="5">
        <f>ROUND(tblSales[[#This Row],[DPP (excl. VAT)]]*VATEff,0)</f>
        <v>115500</v>
      </c>
      <c r="M4225" s="5">
        <f>tblSales[[#This Row],[DPP (excl. VAT)]]+tblSales[[#This Row],[Output VAT]]</f>
        <v>1165500</v>
      </c>
      <c r="N4225" s="5">
        <f>tblSales[[#This Row],[Qty]]*_xlfn.XLOOKUP(tblSales[[#This Row],[Product Code]],tblProducts[Code],tblProducts[Unit Cost],0)</f>
        <v>630000</v>
      </c>
      <c r="O4225" s="4" t="s">
        <v>4865</v>
      </c>
      <c r="P4225" s="4" t="s">
        <v>4860</v>
      </c>
      <c r="Q4225" s="1" t="str">
        <f>_xlfn.XLOOKUP(tblSales[[#This Row],[Channel Code]],tblChannels[Channel Code],tblChannels[Channel Name],"")</f>
        <v>In-store</v>
      </c>
      <c r="R4225" s="1">
        <f>MONTH(tblSales[[#This Row],[Date]])</f>
        <v>9</v>
      </c>
    </row>
    <row r="4226" spans="2:18" x14ac:dyDescent="0.35">
      <c r="B4226" s="113">
        <v>46276</v>
      </c>
      <c r="C4226" s="4" t="s">
        <v>2854</v>
      </c>
      <c r="D4226" s="4" t="s">
        <v>4568</v>
      </c>
      <c r="E4226" s="1" t="str">
        <f>_xlfn.XLOOKUP(tblSales[[#This Row],[Customer ID]],tblCustomers[Customer ID],tblCustomers[Customer Name],"⚠ Unknown")</f>
        <v>Walk-in Customer</v>
      </c>
      <c r="F4226" s="4" t="s">
        <v>8</v>
      </c>
      <c r="G4226" s="1" t="str">
        <f>_xlfn.XLOOKUP(tblSales[[#This Row],[Product Code]],tblProducts[Code],tblProducts[Product / Service Name],"⚠ Unknown")</f>
        <v>Casual Shorts</v>
      </c>
      <c r="H4226" s="1" t="str">
        <f>_xlfn.XLOOKUP(tblSales[[#This Row],[Product Code]],tblProducts[Code],tblProducts[Category],"")</f>
        <v>Accessories &amp; Basics</v>
      </c>
      <c r="I4226" s="4">
        <v>4</v>
      </c>
      <c r="J4226" s="5">
        <f>_xlfn.XLOOKUP(tblSales[[#This Row],[Product Code]],tblProducts[Code],tblProducts[Selling Price (excl. VAT)],0)</f>
        <v>85000</v>
      </c>
      <c r="K4226" s="5">
        <f>tblSales[[#This Row],[Qty]]*tblSales[[#This Row],[Unit Price]]</f>
        <v>340000</v>
      </c>
      <c r="L4226" s="5">
        <f>ROUND(tblSales[[#This Row],[DPP (excl. VAT)]]*VATEff,0)</f>
        <v>37400</v>
      </c>
      <c r="M4226" s="5">
        <f>tblSales[[#This Row],[DPP (excl. VAT)]]+tblSales[[#This Row],[Output VAT]]</f>
        <v>377400</v>
      </c>
      <c r="N4226" s="5">
        <f>tblSales[[#This Row],[Qty]]*_xlfn.XLOOKUP(tblSales[[#This Row],[Product Code]],tblProducts[Code],tblProducts[Unit Cost],0)</f>
        <v>200000</v>
      </c>
      <c r="O4226" s="4" t="s">
        <v>4865</v>
      </c>
      <c r="P4226" s="4" t="s">
        <v>4860</v>
      </c>
      <c r="Q4226" s="1" t="str">
        <f>_xlfn.XLOOKUP(tblSales[[#This Row],[Channel Code]],tblChannels[Channel Code],tblChannels[Channel Name],"")</f>
        <v>In-store</v>
      </c>
      <c r="R4226" s="1">
        <f>MONTH(tblSales[[#This Row],[Date]])</f>
        <v>9</v>
      </c>
    </row>
    <row r="4227" spans="2:18" x14ac:dyDescent="0.35">
      <c r="B4227" s="113">
        <v>46276</v>
      </c>
      <c r="C4227" s="4" t="s">
        <v>2854</v>
      </c>
      <c r="D4227" s="4" t="s">
        <v>4568</v>
      </c>
      <c r="E4227" s="1" t="str">
        <f>_xlfn.XLOOKUP(tblSales[[#This Row],[Customer ID]],tblCustomers[Customer ID],tblCustomers[Customer Name],"⚠ Unknown")</f>
        <v>Walk-in Customer</v>
      </c>
      <c r="F4227" s="4" t="s">
        <v>9</v>
      </c>
      <c r="G4227" s="1" t="str">
        <f>_xlfn.XLOOKUP(tblSales[[#This Row],[Product Code]],tblProducts[Code],tblProducts[Product / Service Name],"⚠ Unknown")</f>
        <v>Casual Shirt</v>
      </c>
      <c r="H4227" s="1" t="str">
        <f>_xlfn.XLOOKUP(tblSales[[#This Row],[Product Code]],tblProducts[Code],tblProducts[Category],"")</f>
        <v>Apparel &amp; Footwear</v>
      </c>
      <c r="I4227" s="4">
        <v>5</v>
      </c>
      <c r="J4227" s="5">
        <f>_xlfn.XLOOKUP(tblSales[[#This Row],[Product Code]],tblProducts[Code],tblProducts[Selling Price (excl. VAT)],0)</f>
        <v>120000</v>
      </c>
      <c r="K4227" s="5">
        <f>tblSales[[#This Row],[Qty]]*tblSales[[#This Row],[Unit Price]]</f>
        <v>600000</v>
      </c>
      <c r="L4227" s="5">
        <f>ROUND(tblSales[[#This Row],[DPP (excl. VAT)]]*VATEff,0)</f>
        <v>66000</v>
      </c>
      <c r="M4227" s="5">
        <f>tblSales[[#This Row],[DPP (excl. VAT)]]+tblSales[[#This Row],[Output VAT]]</f>
        <v>666000</v>
      </c>
      <c r="N4227" s="5">
        <f>tblSales[[#This Row],[Qty]]*_xlfn.XLOOKUP(tblSales[[#This Row],[Product Code]],tblProducts[Code],tblProducts[Unit Cost],0)</f>
        <v>360000</v>
      </c>
      <c r="O4227" s="4" t="s">
        <v>4865</v>
      </c>
      <c r="P4227" s="4" t="s">
        <v>4860</v>
      </c>
      <c r="Q4227" s="1" t="str">
        <f>_xlfn.XLOOKUP(tblSales[[#This Row],[Channel Code]],tblChannels[Channel Code],tblChannels[Channel Name],"")</f>
        <v>In-store</v>
      </c>
      <c r="R4227" s="1">
        <f>MONTH(tblSales[[#This Row],[Date]])</f>
        <v>9</v>
      </c>
    </row>
    <row r="4228" spans="2:18" x14ac:dyDescent="0.35">
      <c r="B4228" s="113">
        <v>46276</v>
      </c>
      <c r="C4228" s="4" t="s">
        <v>2855</v>
      </c>
      <c r="D4228" s="4" t="s">
        <v>4568</v>
      </c>
      <c r="E4228" s="1" t="str">
        <f>_xlfn.XLOOKUP(tblSales[[#This Row],[Customer ID]],tblCustomers[Customer ID],tblCustomers[Customer Name],"⚠ Unknown")</f>
        <v>Walk-in Customer</v>
      </c>
      <c r="F4228" s="4" t="s">
        <v>7</v>
      </c>
      <c r="G4228" s="1" t="str">
        <f>_xlfn.XLOOKUP(tblSales[[#This Row],[Product Code]],tblProducts[Code],tblProducts[Product / Service Name],"⚠ Unknown")</f>
        <v>Premium Basic T-shirt</v>
      </c>
      <c r="H4228" s="1" t="str">
        <f>_xlfn.XLOOKUP(tblSales[[#This Row],[Product Code]],tblProducts[Code],tblProducts[Category],"")</f>
        <v>Accessories &amp; Basics</v>
      </c>
      <c r="I4228" s="4">
        <v>10</v>
      </c>
      <c r="J4228" s="5">
        <f>_xlfn.XLOOKUP(tblSales[[#This Row],[Product Code]],tblProducts[Code],tblProducts[Selling Price (excl. VAT)],0)</f>
        <v>65000</v>
      </c>
      <c r="K4228" s="5">
        <f>tblSales[[#This Row],[Qty]]*tblSales[[#This Row],[Unit Price]]</f>
        <v>650000</v>
      </c>
      <c r="L4228" s="5">
        <f>ROUND(tblSales[[#This Row],[DPP (excl. VAT)]]*VATEff,0)</f>
        <v>71500</v>
      </c>
      <c r="M4228" s="5">
        <f>tblSales[[#This Row],[DPP (excl. VAT)]]+tblSales[[#This Row],[Output VAT]]</f>
        <v>721500</v>
      </c>
      <c r="N4228" s="5">
        <f>tblSales[[#This Row],[Qty]]*_xlfn.XLOOKUP(tblSales[[#This Row],[Product Code]],tblProducts[Code],tblProducts[Unit Cost],0)</f>
        <v>370000</v>
      </c>
      <c r="O4228" s="4" t="s">
        <v>4866</v>
      </c>
      <c r="P4228" s="4" t="s">
        <v>4860</v>
      </c>
      <c r="Q4228" s="1" t="str">
        <f>_xlfn.XLOOKUP(tblSales[[#This Row],[Channel Code]],tblChannels[Channel Code],tblChannels[Channel Name],"")</f>
        <v>In-store</v>
      </c>
      <c r="R4228" s="1">
        <f>MONTH(tblSales[[#This Row],[Date]])</f>
        <v>9</v>
      </c>
    </row>
    <row r="4229" spans="2:18" x14ac:dyDescent="0.35">
      <c r="B4229" s="113">
        <v>46276</v>
      </c>
      <c r="C4229" s="4" t="s">
        <v>2856</v>
      </c>
      <c r="D4229" s="4" t="s">
        <v>4572</v>
      </c>
      <c r="E4229" s="1" t="str">
        <f>_xlfn.XLOOKUP(tblSales[[#This Row],[Customer ID]],tblCustomers[Customer ID],tblCustomers[Customer Name],"⚠ Unknown")</f>
        <v>PT Cahaya Abadi Makmur</v>
      </c>
      <c r="F4229" s="4" t="s">
        <v>7</v>
      </c>
      <c r="G4229" s="1" t="str">
        <f>_xlfn.XLOOKUP(tblSales[[#This Row],[Product Code]],tblProducts[Code],tblProducts[Product / Service Name],"⚠ Unknown")</f>
        <v>Premium Basic T-shirt</v>
      </c>
      <c r="H4229" s="1" t="str">
        <f>_xlfn.XLOOKUP(tblSales[[#This Row],[Product Code]],tblProducts[Code],tblProducts[Category],"")</f>
        <v>Accessories &amp; Basics</v>
      </c>
      <c r="I4229" s="4">
        <v>88</v>
      </c>
      <c r="J4229" s="5">
        <f>_xlfn.XLOOKUP(tblSales[[#This Row],[Product Code]],tblProducts[Code],tblProducts[Selling Price (excl. VAT)],0)</f>
        <v>65000</v>
      </c>
      <c r="K4229" s="5">
        <f>tblSales[[#This Row],[Qty]]*tblSales[[#This Row],[Unit Price]]</f>
        <v>5720000</v>
      </c>
      <c r="L4229" s="5">
        <f>ROUND(tblSales[[#This Row],[DPP (excl. VAT)]]*VATEff,0)</f>
        <v>629200</v>
      </c>
      <c r="M4229" s="5">
        <f>tblSales[[#This Row],[DPP (excl. VAT)]]+tblSales[[#This Row],[Output VAT]]</f>
        <v>6349200</v>
      </c>
      <c r="N4229" s="5">
        <f>tblSales[[#This Row],[Qty]]*_xlfn.XLOOKUP(tblSales[[#This Row],[Product Code]],tblProducts[Code],tblProducts[Unit Cost],0)</f>
        <v>3256000</v>
      </c>
      <c r="O4229" s="4" t="s">
        <v>4867</v>
      </c>
      <c r="P4229" s="4" t="s">
        <v>4860</v>
      </c>
      <c r="Q4229" s="1" t="str">
        <f>_xlfn.XLOOKUP(tblSales[[#This Row],[Channel Code]],tblChannels[Channel Code],tblChannels[Channel Name],"")</f>
        <v>In-store</v>
      </c>
      <c r="R4229" s="1">
        <f>MONTH(tblSales[[#This Row],[Date]])</f>
        <v>9</v>
      </c>
    </row>
    <row r="4230" spans="2:18" x14ac:dyDescent="0.35">
      <c r="B4230" s="113">
        <v>46276</v>
      </c>
      <c r="C4230" s="4" t="s">
        <v>2856</v>
      </c>
      <c r="D4230" s="4" t="s">
        <v>4572</v>
      </c>
      <c r="E4230" s="1" t="str">
        <f>_xlfn.XLOOKUP(tblSales[[#This Row],[Customer ID]],tblCustomers[Customer ID],tblCustomers[Customer Name],"⚠ Unknown")</f>
        <v>PT Cahaya Abadi Makmur</v>
      </c>
      <c r="F4230" s="4" t="s">
        <v>6</v>
      </c>
      <c r="G4230" s="1" t="str">
        <f>_xlfn.XLOOKUP(tblSales[[#This Row],[Product Code]],tblProducts[Code],tblProducts[Product / Service Name],"⚠ Unknown")</f>
        <v>Socks &amp; Accessories</v>
      </c>
      <c r="H4230" s="1" t="str">
        <f>_xlfn.XLOOKUP(tblSales[[#This Row],[Product Code]],tblProducts[Code],tblProducts[Category],"")</f>
        <v>Accessories &amp; Basics</v>
      </c>
      <c r="I4230" s="4">
        <v>32</v>
      </c>
      <c r="J4230" s="5">
        <f>_xlfn.XLOOKUP(tblSales[[#This Row],[Product Code]],tblProducts[Code],tblProducts[Selling Price (excl. VAT)],0)</f>
        <v>45000</v>
      </c>
      <c r="K4230" s="5">
        <f>tblSales[[#This Row],[Qty]]*tblSales[[#This Row],[Unit Price]]</f>
        <v>1440000</v>
      </c>
      <c r="L4230" s="5">
        <f>ROUND(tblSales[[#This Row],[DPP (excl. VAT)]]*VATEff,0)</f>
        <v>158400</v>
      </c>
      <c r="M4230" s="5">
        <f>tblSales[[#This Row],[DPP (excl. VAT)]]+tblSales[[#This Row],[Output VAT]]</f>
        <v>1598400</v>
      </c>
      <c r="N4230" s="5">
        <f>tblSales[[#This Row],[Qty]]*_xlfn.XLOOKUP(tblSales[[#This Row],[Product Code]],tblProducts[Code],tblProducts[Unit Cost],0)</f>
        <v>768000</v>
      </c>
      <c r="O4230" s="4" t="s">
        <v>4867</v>
      </c>
      <c r="P4230" s="4" t="s">
        <v>4860</v>
      </c>
      <c r="Q4230" s="1" t="str">
        <f>_xlfn.XLOOKUP(tblSales[[#This Row],[Channel Code]],tblChannels[Channel Code],tblChannels[Channel Name],"")</f>
        <v>In-store</v>
      </c>
      <c r="R4230" s="1">
        <f>MONTH(tblSales[[#This Row],[Date]])</f>
        <v>9</v>
      </c>
    </row>
    <row r="4231" spans="2:18" x14ac:dyDescent="0.35">
      <c r="B4231" s="113">
        <v>46276</v>
      </c>
      <c r="C4231" s="4" t="s">
        <v>2856</v>
      </c>
      <c r="D4231" s="4" t="s">
        <v>4572</v>
      </c>
      <c r="E4231" s="1" t="str">
        <f>_xlfn.XLOOKUP(tblSales[[#This Row],[Customer ID]],tblCustomers[Customer ID],tblCustomers[Customer Name],"⚠ Unknown")</f>
        <v>PT Cahaya Abadi Makmur</v>
      </c>
      <c r="F4231" s="4" t="s">
        <v>12</v>
      </c>
      <c r="G4231" s="1" t="str">
        <f>_xlfn.XLOOKUP(tblSales[[#This Row],[Product Code]],tblProducts[Code],tblProducts[Product / Service Name],"⚠ Unknown")</f>
        <v>Bomber Jacket</v>
      </c>
      <c r="H4231" s="1" t="str">
        <f>_xlfn.XLOOKUP(tblSales[[#This Row],[Product Code]],tblProducts[Code],tblProducts[Category],"")</f>
        <v>Apparel &amp; Footwear</v>
      </c>
      <c r="I4231" s="4">
        <v>32</v>
      </c>
      <c r="J4231" s="5">
        <f>_xlfn.XLOOKUP(tblSales[[#This Row],[Product Code]],tblProducts[Code],tblProducts[Selling Price (excl. VAT)],0)</f>
        <v>350000</v>
      </c>
      <c r="K4231" s="5">
        <f>tblSales[[#This Row],[Qty]]*tblSales[[#This Row],[Unit Price]]</f>
        <v>11200000</v>
      </c>
      <c r="L4231" s="5">
        <f>ROUND(tblSales[[#This Row],[DPP (excl. VAT)]]*VATEff,0)</f>
        <v>1232000</v>
      </c>
      <c r="M4231" s="5">
        <f>tblSales[[#This Row],[DPP (excl. VAT)]]+tblSales[[#This Row],[Output VAT]]</f>
        <v>12432000</v>
      </c>
      <c r="N4231" s="5">
        <f>tblSales[[#This Row],[Qty]]*_xlfn.XLOOKUP(tblSales[[#This Row],[Product Code]],tblProducts[Code],tblProducts[Unit Cost],0)</f>
        <v>6720000</v>
      </c>
      <c r="O4231" s="4" t="s">
        <v>4867</v>
      </c>
      <c r="P4231" s="4" t="s">
        <v>4860</v>
      </c>
      <c r="Q4231" s="1" t="str">
        <f>_xlfn.XLOOKUP(tblSales[[#This Row],[Channel Code]],tblChannels[Channel Code],tblChannels[Channel Name],"")</f>
        <v>In-store</v>
      </c>
      <c r="R4231" s="1">
        <f>MONTH(tblSales[[#This Row],[Date]])</f>
        <v>9</v>
      </c>
    </row>
    <row r="4232" spans="2:18" x14ac:dyDescent="0.35">
      <c r="B4232" s="113">
        <v>46276</v>
      </c>
      <c r="C4232" s="4" t="s">
        <v>2857</v>
      </c>
      <c r="D4232" s="4" t="s">
        <v>4634</v>
      </c>
      <c r="E4232" s="1" t="str">
        <f>_xlfn.XLOOKUP(tblSales[[#This Row],[Customer ID]],tblCustomers[Customer ID],tblCustomers[Customer Name],"⚠ Unknown")</f>
        <v>PT Delta Inti Selaras</v>
      </c>
      <c r="F4232" s="4" t="s">
        <v>10</v>
      </c>
      <c r="G4232" s="1" t="str">
        <f>_xlfn.XLOOKUP(tblSales[[#This Row],[Product Code]],tblProducts[Code],tblProducts[Product / Service Name],"⚠ Unknown")</f>
        <v>Chino Pants</v>
      </c>
      <c r="H4232" s="1" t="str">
        <f>_xlfn.XLOOKUP(tblSales[[#This Row],[Product Code]],tblProducts[Code],tblProducts[Category],"")</f>
        <v>Apparel &amp; Footwear</v>
      </c>
      <c r="I4232" s="4">
        <v>72</v>
      </c>
      <c r="J4232" s="5">
        <f>_xlfn.XLOOKUP(tblSales[[#This Row],[Product Code]],tblProducts[Code],tblProducts[Selling Price (excl. VAT)],0)</f>
        <v>150000</v>
      </c>
      <c r="K4232" s="5">
        <f>tblSales[[#This Row],[Qty]]*tblSales[[#This Row],[Unit Price]]</f>
        <v>10800000</v>
      </c>
      <c r="L4232" s="5">
        <f>ROUND(tblSales[[#This Row],[DPP (excl. VAT)]]*VATEff,0)</f>
        <v>1188000</v>
      </c>
      <c r="M4232" s="5">
        <f>tblSales[[#This Row],[DPP (excl. VAT)]]+tblSales[[#This Row],[Output VAT]]</f>
        <v>11988000</v>
      </c>
      <c r="N4232" s="5">
        <f>tblSales[[#This Row],[Qty]]*_xlfn.XLOOKUP(tblSales[[#This Row],[Product Code]],tblProducts[Code],tblProducts[Unit Cost],0)</f>
        <v>6336000</v>
      </c>
      <c r="O4232" s="4" t="s">
        <v>4867</v>
      </c>
      <c r="P4232" s="4" t="s">
        <v>4860</v>
      </c>
      <c r="Q4232" s="1" t="str">
        <f>_xlfn.XLOOKUP(tblSales[[#This Row],[Channel Code]],tblChannels[Channel Code],tblChannels[Channel Name],"")</f>
        <v>In-store</v>
      </c>
      <c r="R4232" s="1">
        <f>MONTH(tblSales[[#This Row],[Date]])</f>
        <v>9</v>
      </c>
    </row>
    <row r="4233" spans="2:18" x14ac:dyDescent="0.35">
      <c r="B4233" s="113">
        <v>46276</v>
      </c>
      <c r="C4233" s="4" t="s">
        <v>2857</v>
      </c>
      <c r="D4233" s="4" t="s">
        <v>4634</v>
      </c>
      <c r="E4233" s="1" t="str">
        <f>_xlfn.XLOOKUP(tblSales[[#This Row],[Customer ID]],tblCustomers[Customer ID],tblCustomers[Customer Name],"⚠ Unknown")</f>
        <v>PT Delta Inti Selaras</v>
      </c>
      <c r="F4233" s="4" t="s">
        <v>6</v>
      </c>
      <c r="G4233" s="1" t="str">
        <f>_xlfn.XLOOKUP(tblSales[[#This Row],[Product Code]],tblProducts[Code],tblProducts[Product / Service Name],"⚠ Unknown")</f>
        <v>Socks &amp; Accessories</v>
      </c>
      <c r="H4233" s="1" t="str">
        <f>_xlfn.XLOOKUP(tblSales[[#This Row],[Product Code]],tblProducts[Code],tblProducts[Category],"")</f>
        <v>Accessories &amp; Basics</v>
      </c>
      <c r="I4233" s="4">
        <v>24</v>
      </c>
      <c r="J4233" s="5">
        <f>_xlfn.XLOOKUP(tblSales[[#This Row],[Product Code]],tblProducts[Code],tblProducts[Selling Price (excl. VAT)],0)</f>
        <v>45000</v>
      </c>
      <c r="K4233" s="5">
        <f>tblSales[[#This Row],[Qty]]*tblSales[[#This Row],[Unit Price]]</f>
        <v>1080000</v>
      </c>
      <c r="L4233" s="5">
        <f>ROUND(tblSales[[#This Row],[DPP (excl. VAT)]]*VATEff,0)</f>
        <v>118800</v>
      </c>
      <c r="M4233" s="5">
        <f>tblSales[[#This Row],[DPP (excl. VAT)]]+tblSales[[#This Row],[Output VAT]]</f>
        <v>1198800</v>
      </c>
      <c r="N4233" s="5">
        <f>tblSales[[#This Row],[Qty]]*_xlfn.XLOOKUP(tblSales[[#This Row],[Product Code]],tblProducts[Code],tblProducts[Unit Cost],0)</f>
        <v>576000</v>
      </c>
      <c r="O4233" s="4" t="s">
        <v>4867</v>
      </c>
      <c r="P4233" s="4" t="s">
        <v>4860</v>
      </c>
      <c r="Q4233" s="1" t="str">
        <f>_xlfn.XLOOKUP(tblSales[[#This Row],[Channel Code]],tblChannels[Channel Code],tblChannels[Channel Name],"")</f>
        <v>In-store</v>
      </c>
      <c r="R4233" s="1">
        <f>MONTH(tblSales[[#This Row],[Date]])</f>
        <v>9</v>
      </c>
    </row>
    <row r="4234" spans="2:18" x14ac:dyDescent="0.35">
      <c r="B4234" s="113">
        <v>46276</v>
      </c>
      <c r="C4234" s="4" t="s">
        <v>2857</v>
      </c>
      <c r="D4234" s="4" t="s">
        <v>4634</v>
      </c>
      <c r="E4234" s="1" t="str">
        <f>_xlfn.XLOOKUP(tblSales[[#This Row],[Customer ID]],tblCustomers[Customer ID],tblCustomers[Customer Name],"⚠ Unknown")</f>
        <v>PT Delta Inti Selaras</v>
      </c>
      <c r="F4234" s="4" t="s">
        <v>7</v>
      </c>
      <c r="G4234" s="1" t="str">
        <f>_xlfn.XLOOKUP(tblSales[[#This Row],[Product Code]],tblProducts[Code],tblProducts[Product / Service Name],"⚠ Unknown")</f>
        <v>Premium Basic T-shirt</v>
      </c>
      <c r="H4234" s="1" t="str">
        <f>_xlfn.XLOOKUP(tblSales[[#This Row],[Product Code]],tblProducts[Code],tblProducts[Category],"")</f>
        <v>Accessories &amp; Basics</v>
      </c>
      <c r="I4234" s="4">
        <v>72</v>
      </c>
      <c r="J4234" s="5">
        <f>_xlfn.XLOOKUP(tblSales[[#This Row],[Product Code]],tblProducts[Code],tblProducts[Selling Price (excl. VAT)],0)</f>
        <v>65000</v>
      </c>
      <c r="K4234" s="5">
        <f>tblSales[[#This Row],[Qty]]*tblSales[[#This Row],[Unit Price]]</f>
        <v>4680000</v>
      </c>
      <c r="L4234" s="5">
        <f>ROUND(tblSales[[#This Row],[DPP (excl. VAT)]]*VATEff,0)</f>
        <v>514800</v>
      </c>
      <c r="M4234" s="5">
        <f>tblSales[[#This Row],[DPP (excl. VAT)]]+tblSales[[#This Row],[Output VAT]]</f>
        <v>5194800</v>
      </c>
      <c r="N4234" s="5">
        <f>tblSales[[#This Row],[Qty]]*_xlfn.XLOOKUP(tblSales[[#This Row],[Product Code]],tblProducts[Code],tblProducts[Unit Cost],0)</f>
        <v>2664000</v>
      </c>
      <c r="O4234" s="4" t="s">
        <v>4867</v>
      </c>
      <c r="P4234" s="4" t="s">
        <v>4860</v>
      </c>
      <c r="Q4234" s="1" t="str">
        <f>_xlfn.XLOOKUP(tblSales[[#This Row],[Channel Code]],tblChannels[Channel Code],tblChannels[Channel Name],"")</f>
        <v>In-store</v>
      </c>
      <c r="R4234" s="1">
        <f>MONTH(tblSales[[#This Row],[Date]])</f>
        <v>9</v>
      </c>
    </row>
    <row r="4235" spans="2:18" x14ac:dyDescent="0.35">
      <c r="B4235" s="113">
        <v>46276</v>
      </c>
      <c r="C4235" s="4" t="s">
        <v>2858</v>
      </c>
      <c r="D4235" s="4" t="s">
        <v>4572</v>
      </c>
      <c r="E4235" s="1" t="str">
        <f>_xlfn.XLOOKUP(tblSales[[#This Row],[Customer ID]],tblCustomers[Customer ID],tblCustomers[Customer Name],"⚠ Unknown")</f>
        <v>PT Cahaya Abadi Makmur</v>
      </c>
      <c r="F4235" s="4" t="s">
        <v>10</v>
      </c>
      <c r="G4235" s="1" t="str">
        <f>_xlfn.XLOOKUP(tblSales[[#This Row],[Product Code]],tblProducts[Code],tblProducts[Product / Service Name],"⚠ Unknown")</f>
        <v>Chino Pants</v>
      </c>
      <c r="H4235" s="1" t="str">
        <f>_xlfn.XLOOKUP(tblSales[[#This Row],[Product Code]],tblProducts[Code],tblProducts[Category],"")</f>
        <v>Apparel &amp; Footwear</v>
      </c>
      <c r="I4235" s="4">
        <v>56</v>
      </c>
      <c r="J4235" s="5">
        <f>_xlfn.XLOOKUP(tblSales[[#This Row],[Product Code]],tblProducts[Code],tblProducts[Selling Price (excl. VAT)],0)</f>
        <v>150000</v>
      </c>
      <c r="K4235" s="5">
        <f>tblSales[[#This Row],[Qty]]*tblSales[[#This Row],[Unit Price]]</f>
        <v>8400000</v>
      </c>
      <c r="L4235" s="5">
        <f>ROUND(tblSales[[#This Row],[DPP (excl. VAT)]]*VATEff,0)</f>
        <v>924000</v>
      </c>
      <c r="M4235" s="5">
        <f>tblSales[[#This Row],[DPP (excl. VAT)]]+tblSales[[#This Row],[Output VAT]]</f>
        <v>9324000</v>
      </c>
      <c r="N4235" s="5">
        <f>tblSales[[#This Row],[Qty]]*_xlfn.XLOOKUP(tblSales[[#This Row],[Product Code]],tblProducts[Code],tblProducts[Unit Cost],0)</f>
        <v>4928000</v>
      </c>
      <c r="O4235" s="4" t="s">
        <v>4867</v>
      </c>
      <c r="P4235" s="4" t="s">
        <v>4860</v>
      </c>
      <c r="Q4235" s="1" t="str">
        <f>_xlfn.XLOOKUP(tblSales[[#This Row],[Channel Code]],tblChannels[Channel Code],tblChannels[Channel Name],"")</f>
        <v>In-store</v>
      </c>
      <c r="R4235" s="1">
        <f>MONTH(tblSales[[#This Row],[Date]])</f>
        <v>9</v>
      </c>
    </row>
    <row r="4236" spans="2:18" x14ac:dyDescent="0.35">
      <c r="B4236" s="113">
        <v>46276</v>
      </c>
      <c r="C4236" s="4" t="s">
        <v>2859</v>
      </c>
      <c r="D4236" s="4" t="s">
        <v>4568</v>
      </c>
      <c r="E4236" s="1" t="str">
        <f>_xlfn.XLOOKUP(tblSales[[#This Row],[Customer ID]],tblCustomers[Customer ID],tblCustomers[Customer Name],"⚠ Unknown")</f>
        <v>Walk-in Customer</v>
      </c>
      <c r="F4236" s="4" t="s">
        <v>6</v>
      </c>
      <c r="G4236" s="1" t="str">
        <f>_xlfn.XLOOKUP(tblSales[[#This Row],[Product Code]],tblProducts[Code],tblProducts[Product / Service Name],"⚠ Unknown")</f>
        <v>Socks &amp; Accessories</v>
      </c>
      <c r="H4236" s="1" t="str">
        <f>_xlfn.XLOOKUP(tblSales[[#This Row],[Product Code]],tblProducts[Code],tblProducts[Category],"")</f>
        <v>Accessories &amp; Basics</v>
      </c>
      <c r="I4236" s="4">
        <v>11</v>
      </c>
      <c r="J4236" s="5">
        <f>_xlfn.XLOOKUP(tblSales[[#This Row],[Product Code]],tblProducts[Code],tblProducts[Selling Price (excl. VAT)],0)</f>
        <v>45000</v>
      </c>
      <c r="K4236" s="5">
        <f>tblSales[[#This Row],[Qty]]*tblSales[[#This Row],[Unit Price]]</f>
        <v>495000</v>
      </c>
      <c r="L4236" s="5">
        <f>ROUND(tblSales[[#This Row],[DPP (excl. VAT)]]*VATEff,0)</f>
        <v>54450</v>
      </c>
      <c r="M4236" s="5">
        <f>tblSales[[#This Row],[DPP (excl. VAT)]]+tblSales[[#This Row],[Output VAT]]</f>
        <v>549450</v>
      </c>
      <c r="N4236" s="5">
        <f>tblSales[[#This Row],[Qty]]*_xlfn.XLOOKUP(tblSales[[#This Row],[Product Code]],tblProducts[Code],tblProducts[Unit Cost],0)</f>
        <v>264000</v>
      </c>
      <c r="O4236" s="4" t="s">
        <v>4866</v>
      </c>
      <c r="P4236" s="4" t="s">
        <v>4860</v>
      </c>
      <c r="Q4236" s="1" t="str">
        <f>_xlfn.XLOOKUP(tblSales[[#This Row],[Channel Code]],tblChannels[Channel Code],tblChannels[Channel Name],"")</f>
        <v>In-store</v>
      </c>
      <c r="R4236" s="1">
        <f>MONTH(tblSales[[#This Row],[Date]])</f>
        <v>9</v>
      </c>
    </row>
    <row r="4237" spans="2:18" x14ac:dyDescent="0.35">
      <c r="B4237" s="113">
        <v>46276</v>
      </c>
      <c r="C4237" s="4" t="s">
        <v>2860</v>
      </c>
      <c r="D4237" s="4" t="s">
        <v>4568</v>
      </c>
      <c r="E4237" s="1" t="str">
        <f>_xlfn.XLOOKUP(tblSales[[#This Row],[Customer ID]],tblCustomers[Customer ID],tblCustomers[Customer Name],"⚠ Unknown")</f>
        <v>Walk-in Customer</v>
      </c>
      <c r="F4237" s="4" t="s">
        <v>7</v>
      </c>
      <c r="G4237" s="1" t="str">
        <f>_xlfn.XLOOKUP(tblSales[[#This Row],[Product Code]],tblProducts[Code],tblProducts[Product / Service Name],"⚠ Unknown")</f>
        <v>Premium Basic T-shirt</v>
      </c>
      <c r="H4237" s="1" t="str">
        <f>_xlfn.XLOOKUP(tblSales[[#This Row],[Product Code]],tblProducts[Code],tblProducts[Category],"")</f>
        <v>Accessories &amp; Basics</v>
      </c>
      <c r="I4237" s="4">
        <v>9</v>
      </c>
      <c r="J4237" s="5">
        <f>_xlfn.XLOOKUP(tblSales[[#This Row],[Product Code]],tblProducts[Code],tblProducts[Selling Price (excl. VAT)],0)</f>
        <v>65000</v>
      </c>
      <c r="K4237" s="5">
        <f>tblSales[[#This Row],[Qty]]*tblSales[[#This Row],[Unit Price]]</f>
        <v>585000</v>
      </c>
      <c r="L4237" s="5">
        <f>ROUND(tblSales[[#This Row],[DPP (excl. VAT)]]*VATEff,0)</f>
        <v>64350</v>
      </c>
      <c r="M4237" s="5">
        <f>tblSales[[#This Row],[DPP (excl. VAT)]]+tblSales[[#This Row],[Output VAT]]</f>
        <v>649350</v>
      </c>
      <c r="N4237" s="5">
        <f>tblSales[[#This Row],[Qty]]*_xlfn.XLOOKUP(tblSales[[#This Row],[Product Code]],tblProducts[Code],tblProducts[Unit Cost],0)</f>
        <v>333000</v>
      </c>
      <c r="O4237" s="4" t="s">
        <v>4866</v>
      </c>
      <c r="P4237" s="4" t="s">
        <v>4861</v>
      </c>
      <c r="Q4237" s="1" t="str">
        <f>_xlfn.XLOOKUP(tblSales[[#This Row],[Channel Code]],tblChannels[Channel Code],tblChannels[Channel Name],"")</f>
        <v>Marketplace</v>
      </c>
      <c r="R4237" s="1">
        <f>MONTH(tblSales[[#This Row],[Date]])</f>
        <v>9</v>
      </c>
    </row>
    <row r="4238" spans="2:18" x14ac:dyDescent="0.35">
      <c r="B4238" s="113">
        <v>46277</v>
      </c>
      <c r="C4238" s="4" t="s">
        <v>2861</v>
      </c>
      <c r="D4238" s="4" t="s">
        <v>4568</v>
      </c>
      <c r="E4238" s="1" t="str">
        <f>_xlfn.XLOOKUP(tblSales[[#This Row],[Customer ID]],tblCustomers[Customer ID],tblCustomers[Customer Name],"⚠ Unknown")</f>
        <v>Walk-in Customer</v>
      </c>
      <c r="F4238" s="4" t="s">
        <v>11</v>
      </c>
      <c r="G4238" s="1" t="str">
        <f>_xlfn.XLOOKUP(tblSales[[#This Row],[Product Code]],tblProducts[Code],tblProducts[Product / Service Name],"⚠ Unknown")</f>
        <v>Sneakers</v>
      </c>
      <c r="H4238" s="1" t="str">
        <f>_xlfn.XLOOKUP(tblSales[[#This Row],[Product Code]],tblProducts[Code],tblProducts[Category],"")</f>
        <v>Apparel &amp; Footwear</v>
      </c>
      <c r="I4238" s="4">
        <v>6</v>
      </c>
      <c r="J4238" s="5">
        <f>_xlfn.XLOOKUP(tblSales[[#This Row],[Product Code]],tblProducts[Code],tblProducts[Selling Price (excl. VAT)],0)</f>
        <v>250000</v>
      </c>
      <c r="K4238" s="5">
        <f>tblSales[[#This Row],[Qty]]*tblSales[[#This Row],[Unit Price]]</f>
        <v>1500000</v>
      </c>
      <c r="L4238" s="5">
        <f>ROUND(tblSales[[#This Row],[DPP (excl. VAT)]]*VATEff,0)</f>
        <v>165000</v>
      </c>
      <c r="M4238" s="5">
        <f>tblSales[[#This Row],[DPP (excl. VAT)]]+tblSales[[#This Row],[Output VAT]]</f>
        <v>1665000</v>
      </c>
      <c r="N4238" s="5">
        <f>tblSales[[#This Row],[Qty]]*_xlfn.XLOOKUP(tblSales[[#This Row],[Product Code]],tblProducts[Code],tblProducts[Unit Cost],0)</f>
        <v>930000</v>
      </c>
      <c r="O4238" s="4" t="s">
        <v>4865</v>
      </c>
      <c r="P4238" s="4" t="s">
        <v>4860</v>
      </c>
      <c r="Q4238" s="1" t="str">
        <f>_xlfn.XLOOKUP(tblSales[[#This Row],[Channel Code]],tblChannels[Channel Code],tblChannels[Channel Name],"")</f>
        <v>In-store</v>
      </c>
      <c r="R4238" s="1">
        <f>MONTH(tblSales[[#This Row],[Date]])</f>
        <v>9</v>
      </c>
    </row>
    <row r="4239" spans="2:18" x14ac:dyDescent="0.35">
      <c r="B4239" s="113">
        <v>46277</v>
      </c>
      <c r="C4239" s="4" t="s">
        <v>2862</v>
      </c>
      <c r="D4239" s="4" t="s">
        <v>4568</v>
      </c>
      <c r="E4239" s="1" t="str">
        <f>_xlfn.XLOOKUP(tblSales[[#This Row],[Customer ID]],tblCustomers[Customer ID],tblCustomers[Customer Name],"⚠ Unknown")</f>
        <v>Walk-in Customer</v>
      </c>
      <c r="F4239" s="4" t="s">
        <v>7</v>
      </c>
      <c r="G4239" s="1" t="str">
        <f>_xlfn.XLOOKUP(tblSales[[#This Row],[Product Code]],tblProducts[Code],tblProducts[Product / Service Name],"⚠ Unknown")</f>
        <v>Premium Basic T-shirt</v>
      </c>
      <c r="H4239" s="1" t="str">
        <f>_xlfn.XLOOKUP(tblSales[[#This Row],[Product Code]],tblProducts[Code],tblProducts[Category],"")</f>
        <v>Accessories &amp; Basics</v>
      </c>
      <c r="I4239" s="4">
        <v>6</v>
      </c>
      <c r="J4239" s="5">
        <f>_xlfn.XLOOKUP(tblSales[[#This Row],[Product Code]],tblProducts[Code],tblProducts[Selling Price (excl. VAT)],0)</f>
        <v>65000</v>
      </c>
      <c r="K4239" s="5">
        <f>tblSales[[#This Row],[Qty]]*tblSales[[#This Row],[Unit Price]]</f>
        <v>390000</v>
      </c>
      <c r="L4239" s="5">
        <f>ROUND(tblSales[[#This Row],[DPP (excl. VAT)]]*VATEff,0)</f>
        <v>42900</v>
      </c>
      <c r="M4239" s="5">
        <f>tblSales[[#This Row],[DPP (excl. VAT)]]+tblSales[[#This Row],[Output VAT]]</f>
        <v>432900</v>
      </c>
      <c r="N4239" s="5">
        <f>tblSales[[#This Row],[Qty]]*_xlfn.XLOOKUP(tblSales[[#This Row],[Product Code]],tblProducts[Code],tblProducts[Unit Cost],0)</f>
        <v>222000</v>
      </c>
      <c r="O4239" s="4" t="s">
        <v>4865</v>
      </c>
      <c r="P4239" s="4" t="s">
        <v>4860</v>
      </c>
      <c r="Q4239" s="1" t="str">
        <f>_xlfn.XLOOKUP(tblSales[[#This Row],[Channel Code]],tblChannels[Channel Code],tblChannels[Channel Name],"")</f>
        <v>In-store</v>
      </c>
      <c r="R4239" s="1">
        <f>MONTH(tblSales[[#This Row],[Date]])</f>
        <v>9</v>
      </c>
    </row>
    <row r="4240" spans="2:18" x14ac:dyDescent="0.35">
      <c r="B4240" s="113">
        <v>46277</v>
      </c>
      <c r="C4240" s="4" t="s">
        <v>2863</v>
      </c>
      <c r="D4240" s="4" t="s">
        <v>4568</v>
      </c>
      <c r="E4240" s="1" t="str">
        <f>_xlfn.XLOOKUP(tblSales[[#This Row],[Customer ID]],tblCustomers[Customer ID],tblCustomers[Customer Name],"⚠ Unknown")</f>
        <v>Walk-in Customer</v>
      </c>
      <c r="F4240" s="4" t="s">
        <v>13</v>
      </c>
      <c r="G4240" s="1" t="str">
        <f>_xlfn.XLOOKUP(tblSales[[#This Row],[Product Code]],tblProducts[Code],tblProducts[Product / Service Name],"⚠ Unknown")</f>
        <v>Backpack</v>
      </c>
      <c r="H4240" s="1" t="str">
        <f>_xlfn.XLOOKUP(tblSales[[#This Row],[Product Code]],tblProducts[Code],tblProducts[Category],"")</f>
        <v>Bags &amp; Gadgets</v>
      </c>
      <c r="I4240" s="4">
        <v>6</v>
      </c>
      <c r="J4240" s="5">
        <f>_xlfn.XLOOKUP(tblSales[[#This Row],[Product Code]],tblProducts[Code],tblProducts[Selling Price (excl. VAT)],0)</f>
        <v>500000</v>
      </c>
      <c r="K4240" s="5">
        <f>tblSales[[#This Row],[Qty]]*tblSales[[#This Row],[Unit Price]]</f>
        <v>3000000</v>
      </c>
      <c r="L4240" s="5">
        <f>ROUND(tblSales[[#This Row],[DPP (excl. VAT)]]*VATEff,0)</f>
        <v>330000</v>
      </c>
      <c r="M4240" s="5">
        <f>tblSales[[#This Row],[DPP (excl. VAT)]]+tblSales[[#This Row],[Output VAT]]</f>
        <v>3330000</v>
      </c>
      <c r="N4240" s="5">
        <f>tblSales[[#This Row],[Qty]]*_xlfn.XLOOKUP(tblSales[[#This Row],[Product Code]],tblProducts[Code],tblProducts[Unit Cost],0)</f>
        <v>1740000</v>
      </c>
      <c r="O4240" s="4" t="s">
        <v>4866</v>
      </c>
      <c r="P4240" s="4" t="s">
        <v>4862</v>
      </c>
      <c r="Q4240" s="1" t="str">
        <f>_xlfn.XLOOKUP(tblSales[[#This Row],[Channel Code]],tblChannels[Channel Code],tblChannels[Channel Name],"")</f>
        <v>Website &amp; Social Media</v>
      </c>
      <c r="R4240" s="1">
        <f>MONTH(tblSales[[#This Row],[Date]])</f>
        <v>9</v>
      </c>
    </row>
    <row r="4241" spans="2:18" x14ac:dyDescent="0.35">
      <c r="B4241" s="113">
        <v>46277</v>
      </c>
      <c r="C4241" s="4" t="s">
        <v>2863</v>
      </c>
      <c r="D4241" s="4" t="s">
        <v>4568</v>
      </c>
      <c r="E4241" s="1" t="str">
        <f>_xlfn.XLOOKUP(tblSales[[#This Row],[Customer ID]],tblCustomers[Customer ID],tblCustomers[Customer Name],"⚠ Unknown")</f>
        <v>Walk-in Customer</v>
      </c>
      <c r="F4241" s="4" t="s">
        <v>11</v>
      </c>
      <c r="G4241" s="1" t="str">
        <f>_xlfn.XLOOKUP(tblSales[[#This Row],[Product Code]],tblProducts[Code],tblProducts[Product / Service Name],"⚠ Unknown")</f>
        <v>Sneakers</v>
      </c>
      <c r="H4241" s="1" t="str">
        <f>_xlfn.XLOOKUP(tblSales[[#This Row],[Product Code]],tblProducts[Code],tblProducts[Category],"")</f>
        <v>Apparel &amp; Footwear</v>
      </c>
      <c r="I4241" s="4">
        <v>2</v>
      </c>
      <c r="J4241" s="5">
        <f>_xlfn.XLOOKUP(tblSales[[#This Row],[Product Code]],tblProducts[Code],tblProducts[Selling Price (excl. VAT)],0)</f>
        <v>250000</v>
      </c>
      <c r="K4241" s="5">
        <f>tblSales[[#This Row],[Qty]]*tblSales[[#This Row],[Unit Price]]</f>
        <v>500000</v>
      </c>
      <c r="L4241" s="5">
        <f>ROUND(tblSales[[#This Row],[DPP (excl. VAT)]]*VATEff,0)</f>
        <v>55000</v>
      </c>
      <c r="M4241" s="5">
        <f>tblSales[[#This Row],[DPP (excl. VAT)]]+tblSales[[#This Row],[Output VAT]]</f>
        <v>555000</v>
      </c>
      <c r="N4241" s="5">
        <f>tblSales[[#This Row],[Qty]]*_xlfn.XLOOKUP(tblSales[[#This Row],[Product Code]],tblProducts[Code],tblProducts[Unit Cost],0)</f>
        <v>310000</v>
      </c>
      <c r="O4241" s="4" t="s">
        <v>4866</v>
      </c>
      <c r="P4241" s="4" t="s">
        <v>4862</v>
      </c>
      <c r="Q4241" s="1" t="str">
        <f>_xlfn.XLOOKUP(tblSales[[#This Row],[Channel Code]],tblChannels[Channel Code],tblChannels[Channel Name],"")</f>
        <v>Website &amp; Social Media</v>
      </c>
      <c r="R4241" s="1">
        <f>MONTH(tblSales[[#This Row],[Date]])</f>
        <v>9</v>
      </c>
    </row>
    <row r="4242" spans="2:18" x14ac:dyDescent="0.35">
      <c r="B4242" s="113">
        <v>46277</v>
      </c>
      <c r="C4242" s="4" t="s">
        <v>2864</v>
      </c>
      <c r="D4242" s="4" t="s">
        <v>4568</v>
      </c>
      <c r="E4242" s="1" t="str">
        <f>_xlfn.XLOOKUP(tblSales[[#This Row],[Customer ID]],tblCustomers[Customer ID],tblCustomers[Customer Name],"⚠ Unknown")</f>
        <v>Walk-in Customer</v>
      </c>
      <c r="F4242" s="4" t="s">
        <v>6</v>
      </c>
      <c r="G4242" s="1" t="str">
        <f>_xlfn.XLOOKUP(tblSales[[#This Row],[Product Code]],tblProducts[Code],tblProducts[Product / Service Name],"⚠ Unknown")</f>
        <v>Socks &amp; Accessories</v>
      </c>
      <c r="H4242" s="1" t="str">
        <f>_xlfn.XLOOKUP(tblSales[[#This Row],[Product Code]],tblProducts[Code],tblProducts[Category],"")</f>
        <v>Accessories &amp; Basics</v>
      </c>
      <c r="I4242" s="4">
        <v>9</v>
      </c>
      <c r="J4242" s="5">
        <f>_xlfn.XLOOKUP(tblSales[[#This Row],[Product Code]],tblProducts[Code],tblProducts[Selling Price (excl. VAT)],0)</f>
        <v>45000</v>
      </c>
      <c r="K4242" s="5">
        <f>tblSales[[#This Row],[Qty]]*tblSales[[#This Row],[Unit Price]]</f>
        <v>405000</v>
      </c>
      <c r="L4242" s="5">
        <f>ROUND(tblSales[[#This Row],[DPP (excl. VAT)]]*VATEff,0)</f>
        <v>44550</v>
      </c>
      <c r="M4242" s="5">
        <f>tblSales[[#This Row],[DPP (excl. VAT)]]+tblSales[[#This Row],[Output VAT]]</f>
        <v>449550</v>
      </c>
      <c r="N4242" s="5">
        <f>tblSales[[#This Row],[Qty]]*_xlfn.XLOOKUP(tblSales[[#This Row],[Product Code]],tblProducts[Code],tblProducts[Unit Cost],0)</f>
        <v>216000</v>
      </c>
      <c r="O4242" s="4" t="s">
        <v>4866</v>
      </c>
      <c r="P4242" s="4" t="s">
        <v>4860</v>
      </c>
      <c r="Q4242" s="1" t="str">
        <f>_xlfn.XLOOKUP(tblSales[[#This Row],[Channel Code]],tblChannels[Channel Code],tblChannels[Channel Name],"")</f>
        <v>In-store</v>
      </c>
      <c r="R4242" s="1">
        <f>MONTH(tblSales[[#This Row],[Date]])</f>
        <v>9</v>
      </c>
    </row>
    <row r="4243" spans="2:18" x14ac:dyDescent="0.35">
      <c r="B4243" s="113">
        <v>46277</v>
      </c>
      <c r="C4243" s="4" t="s">
        <v>2865</v>
      </c>
      <c r="D4243" s="4" t="s">
        <v>4641</v>
      </c>
      <c r="E4243" s="1" t="str">
        <f>_xlfn.XLOOKUP(tblSales[[#This Row],[Customer ID]],tblCustomers[Customer ID],tblCustomers[Customer Name],"⚠ Unknown")</f>
        <v>PT Harmoni Pangan Lestari</v>
      </c>
      <c r="F4243" s="4" t="s">
        <v>13</v>
      </c>
      <c r="G4243" s="1" t="str">
        <f>_xlfn.XLOOKUP(tblSales[[#This Row],[Product Code]],tblProducts[Code],tblProducts[Product / Service Name],"⚠ Unknown")</f>
        <v>Backpack</v>
      </c>
      <c r="H4243" s="1" t="str">
        <f>_xlfn.XLOOKUP(tblSales[[#This Row],[Product Code]],tblProducts[Code],tblProducts[Category],"")</f>
        <v>Bags &amp; Gadgets</v>
      </c>
      <c r="I4243" s="4">
        <v>48</v>
      </c>
      <c r="J4243" s="5">
        <f>_xlfn.XLOOKUP(tblSales[[#This Row],[Product Code]],tblProducts[Code],tblProducts[Selling Price (excl. VAT)],0)</f>
        <v>500000</v>
      </c>
      <c r="K4243" s="5">
        <f>tblSales[[#This Row],[Qty]]*tblSales[[#This Row],[Unit Price]]</f>
        <v>24000000</v>
      </c>
      <c r="L4243" s="5">
        <f>ROUND(tblSales[[#This Row],[DPP (excl. VAT)]]*VATEff,0)</f>
        <v>2640000</v>
      </c>
      <c r="M4243" s="5">
        <f>tblSales[[#This Row],[DPP (excl. VAT)]]+tblSales[[#This Row],[Output VAT]]</f>
        <v>26640000</v>
      </c>
      <c r="N4243" s="5">
        <f>tblSales[[#This Row],[Qty]]*_xlfn.XLOOKUP(tblSales[[#This Row],[Product Code]],tblProducts[Code],tblProducts[Unit Cost],0)</f>
        <v>13920000</v>
      </c>
      <c r="O4243" s="4" t="s">
        <v>4867</v>
      </c>
      <c r="P4243" s="4" t="s">
        <v>4860</v>
      </c>
      <c r="Q4243" s="1" t="str">
        <f>_xlfn.XLOOKUP(tblSales[[#This Row],[Channel Code]],tblChannels[Channel Code],tblChannels[Channel Name],"")</f>
        <v>In-store</v>
      </c>
      <c r="R4243" s="1">
        <f>MONTH(tblSales[[#This Row],[Date]])</f>
        <v>9</v>
      </c>
    </row>
    <row r="4244" spans="2:18" x14ac:dyDescent="0.35">
      <c r="B4244" s="113">
        <v>46277</v>
      </c>
      <c r="C4244" s="4" t="s">
        <v>2866</v>
      </c>
      <c r="D4244" s="4" t="s">
        <v>4568</v>
      </c>
      <c r="E4244" s="1" t="str">
        <f>_xlfn.XLOOKUP(tblSales[[#This Row],[Customer ID]],tblCustomers[Customer ID],tblCustomers[Customer Name],"⚠ Unknown")</f>
        <v>Walk-in Customer</v>
      </c>
      <c r="F4244" s="4" t="s">
        <v>9</v>
      </c>
      <c r="G4244" s="1" t="str">
        <f>_xlfn.XLOOKUP(tblSales[[#This Row],[Product Code]],tblProducts[Code],tblProducts[Product / Service Name],"⚠ Unknown")</f>
        <v>Casual Shirt</v>
      </c>
      <c r="H4244" s="1" t="str">
        <f>_xlfn.XLOOKUP(tblSales[[#This Row],[Product Code]],tblProducts[Code],tblProducts[Category],"")</f>
        <v>Apparel &amp; Footwear</v>
      </c>
      <c r="I4244" s="4">
        <v>7</v>
      </c>
      <c r="J4244" s="5">
        <f>_xlfn.XLOOKUP(tblSales[[#This Row],[Product Code]],tblProducts[Code],tblProducts[Selling Price (excl. VAT)],0)</f>
        <v>120000</v>
      </c>
      <c r="K4244" s="5">
        <f>tblSales[[#This Row],[Qty]]*tblSales[[#This Row],[Unit Price]]</f>
        <v>840000</v>
      </c>
      <c r="L4244" s="5">
        <f>ROUND(tblSales[[#This Row],[DPP (excl. VAT)]]*VATEff,0)</f>
        <v>92400</v>
      </c>
      <c r="M4244" s="5">
        <f>tblSales[[#This Row],[DPP (excl. VAT)]]+tblSales[[#This Row],[Output VAT]]</f>
        <v>932400</v>
      </c>
      <c r="N4244" s="5">
        <f>tblSales[[#This Row],[Qty]]*_xlfn.XLOOKUP(tblSales[[#This Row],[Product Code]],tblProducts[Code],tblProducts[Unit Cost],0)</f>
        <v>504000</v>
      </c>
      <c r="O4244" s="4" t="s">
        <v>4866</v>
      </c>
      <c r="P4244" s="4" t="s">
        <v>4862</v>
      </c>
      <c r="Q4244" s="1" t="str">
        <f>_xlfn.XLOOKUP(tblSales[[#This Row],[Channel Code]],tblChannels[Channel Code],tblChannels[Channel Name],"")</f>
        <v>Website &amp; Social Media</v>
      </c>
      <c r="R4244" s="1">
        <f>MONTH(tblSales[[#This Row],[Date]])</f>
        <v>9</v>
      </c>
    </row>
    <row r="4245" spans="2:18" x14ac:dyDescent="0.35">
      <c r="B4245" s="113">
        <v>46277</v>
      </c>
      <c r="C4245" s="4" t="s">
        <v>2866</v>
      </c>
      <c r="D4245" s="4" t="s">
        <v>4568</v>
      </c>
      <c r="E4245" s="1" t="str">
        <f>_xlfn.XLOOKUP(tblSales[[#This Row],[Customer ID]],tblCustomers[Customer ID],tblCustomers[Customer Name],"⚠ Unknown")</f>
        <v>Walk-in Customer</v>
      </c>
      <c r="F4245" s="4" t="s">
        <v>7</v>
      </c>
      <c r="G4245" s="1" t="str">
        <f>_xlfn.XLOOKUP(tblSales[[#This Row],[Product Code]],tblProducts[Code],tblProducts[Product / Service Name],"⚠ Unknown")</f>
        <v>Premium Basic T-shirt</v>
      </c>
      <c r="H4245" s="1" t="str">
        <f>_xlfn.XLOOKUP(tblSales[[#This Row],[Product Code]],tblProducts[Code],tblProducts[Category],"")</f>
        <v>Accessories &amp; Basics</v>
      </c>
      <c r="I4245" s="4">
        <v>1</v>
      </c>
      <c r="J4245" s="5">
        <f>_xlfn.XLOOKUP(tblSales[[#This Row],[Product Code]],tblProducts[Code],tblProducts[Selling Price (excl. VAT)],0)</f>
        <v>65000</v>
      </c>
      <c r="K4245" s="5">
        <f>tblSales[[#This Row],[Qty]]*tblSales[[#This Row],[Unit Price]]</f>
        <v>65000</v>
      </c>
      <c r="L4245" s="5">
        <f>ROUND(tblSales[[#This Row],[DPP (excl. VAT)]]*VATEff,0)</f>
        <v>7150</v>
      </c>
      <c r="M4245" s="5">
        <f>tblSales[[#This Row],[DPP (excl. VAT)]]+tblSales[[#This Row],[Output VAT]]</f>
        <v>72150</v>
      </c>
      <c r="N4245" s="5">
        <f>tblSales[[#This Row],[Qty]]*_xlfn.XLOOKUP(tblSales[[#This Row],[Product Code]],tblProducts[Code],tblProducts[Unit Cost],0)</f>
        <v>37000</v>
      </c>
      <c r="O4245" s="4" t="s">
        <v>4866</v>
      </c>
      <c r="P4245" s="4" t="s">
        <v>4862</v>
      </c>
      <c r="Q4245" s="1" t="str">
        <f>_xlfn.XLOOKUP(tblSales[[#This Row],[Channel Code]],tblChannels[Channel Code],tblChannels[Channel Name],"")</f>
        <v>Website &amp; Social Media</v>
      </c>
      <c r="R4245" s="1">
        <f>MONTH(tblSales[[#This Row],[Date]])</f>
        <v>9</v>
      </c>
    </row>
    <row r="4246" spans="2:18" x14ac:dyDescent="0.35">
      <c r="B4246" s="113">
        <v>46277</v>
      </c>
      <c r="C4246" s="4" t="s">
        <v>2867</v>
      </c>
      <c r="D4246" s="4" t="s">
        <v>4568</v>
      </c>
      <c r="E4246" s="1" t="str">
        <f>_xlfn.XLOOKUP(tblSales[[#This Row],[Customer ID]],tblCustomers[Customer ID],tblCustomers[Customer Name],"⚠ Unknown")</f>
        <v>Walk-in Customer</v>
      </c>
      <c r="F4246" s="4" t="s">
        <v>7</v>
      </c>
      <c r="G4246" s="1" t="str">
        <f>_xlfn.XLOOKUP(tblSales[[#This Row],[Product Code]],tblProducts[Code],tblProducts[Product / Service Name],"⚠ Unknown")</f>
        <v>Premium Basic T-shirt</v>
      </c>
      <c r="H4246" s="1" t="str">
        <f>_xlfn.XLOOKUP(tblSales[[#This Row],[Product Code]],tblProducts[Code],tblProducts[Category],"")</f>
        <v>Accessories &amp; Basics</v>
      </c>
      <c r="I4246" s="4">
        <v>5</v>
      </c>
      <c r="J4246" s="5">
        <f>_xlfn.XLOOKUP(tblSales[[#This Row],[Product Code]],tblProducts[Code],tblProducts[Selling Price (excl. VAT)],0)</f>
        <v>65000</v>
      </c>
      <c r="K4246" s="5">
        <f>tblSales[[#This Row],[Qty]]*tblSales[[#This Row],[Unit Price]]</f>
        <v>325000</v>
      </c>
      <c r="L4246" s="5">
        <f>ROUND(tblSales[[#This Row],[DPP (excl. VAT)]]*VATEff,0)</f>
        <v>35750</v>
      </c>
      <c r="M4246" s="5">
        <f>tblSales[[#This Row],[DPP (excl. VAT)]]+tblSales[[#This Row],[Output VAT]]</f>
        <v>360750</v>
      </c>
      <c r="N4246" s="5">
        <f>tblSales[[#This Row],[Qty]]*_xlfn.XLOOKUP(tblSales[[#This Row],[Product Code]],tblProducts[Code],tblProducts[Unit Cost],0)</f>
        <v>185000</v>
      </c>
      <c r="O4246" s="4" t="s">
        <v>4865</v>
      </c>
      <c r="P4246" s="4" t="s">
        <v>4860</v>
      </c>
      <c r="Q4246" s="1" t="str">
        <f>_xlfn.XLOOKUP(tblSales[[#This Row],[Channel Code]],tblChannels[Channel Code],tblChannels[Channel Name],"")</f>
        <v>In-store</v>
      </c>
      <c r="R4246" s="1">
        <f>MONTH(tblSales[[#This Row],[Date]])</f>
        <v>9</v>
      </c>
    </row>
    <row r="4247" spans="2:18" x14ac:dyDescent="0.35">
      <c r="B4247" s="113">
        <v>46277</v>
      </c>
      <c r="C4247" s="4" t="s">
        <v>2868</v>
      </c>
      <c r="D4247" s="4" t="s">
        <v>4568</v>
      </c>
      <c r="E4247" s="1" t="str">
        <f>_xlfn.XLOOKUP(tblSales[[#This Row],[Customer ID]],tblCustomers[Customer ID],tblCustomers[Customer Name],"⚠ Unknown")</f>
        <v>Walk-in Customer</v>
      </c>
      <c r="F4247" s="4" t="s">
        <v>6</v>
      </c>
      <c r="G4247" s="1" t="str">
        <f>_xlfn.XLOOKUP(tblSales[[#This Row],[Product Code]],tblProducts[Code],tblProducts[Product / Service Name],"⚠ Unknown")</f>
        <v>Socks &amp; Accessories</v>
      </c>
      <c r="H4247" s="1" t="str">
        <f>_xlfn.XLOOKUP(tblSales[[#This Row],[Product Code]],tblProducts[Code],tblProducts[Category],"")</f>
        <v>Accessories &amp; Basics</v>
      </c>
      <c r="I4247" s="4">
        <v>3</v>
      </c>
      <c r="J4247" s="5">
        <f>_xlfn.XLOOKUP(tblSales[[#This Row],[Product Code]],tblProducts[Code],tblProducts[Selling Price (excl. VAT)],0)</f>
        <v>45000</v>
      </c>
      <c r="K4247" s="5">
        <f>tblSales[[#This Row],[Qty]]*tblSales[[#This Row],[Unit Price]]</f>
        <v>135000</v>
      </c>
      <c r="L4247" s="5">
        <f>ROUND(tblSales[[#This Row],[DPP (excl. VAT)]]*VATEff,0)</f>
        <v>14850</v>
      </c>
      <c r="M4247" s="5">
        <f>tblSales[[#This Row],[DPP (excl. VAT)]]+tblSales[[#This Row],[Output VAT]]</f>
        <v>149850</v>
      </c>
      <c r="N4247" s="5">
        <f>tblSales[[#This Row],[Qty]]*_xlfn.XLOOKUP(tblSales[[#This Row],[Product Code]],tblProducts[Code],tblProducts[Unit Cost],0)</f>
        <v>72000</v>
      </c>
      <c r="O4247" s="4" t="s">
        <v>4865</v>
      </c>
      <c r="P4247" s="4" t="s">
        <v>4860</v>
      </c>
      <c r="Q4247" s="1" t="str">
        <f>_xlfn.XLOOKUP(tblSales[[#This Row],[Channel Code]],tblChannels[Channel Code],tblChannels[Channel Name],"")</f>
        <v>In-store</v>
      </c>
      <c r="R4247" s="1">
        <f>MONTH(tblSales[[#This Row],[Date]])</f>
        <v>9</v>
      </c>
    </row>
    <row r="4248" spans="2:18" x14ac:dyDescent="0.35">
      <c r="B4248" s="113">
        <v>46277</v>
      </c>
      <c r="C4248" s="4" t="s">
        <v>2869</v>
      </c>
      <c r="D4248" s="4" t="s">
        <v>4568</v>
      </c>
      <c r="E4248" s="1" t="str">
        <f>_xlfn.XLOOKUP(tblSales[[#This Row],[Customer ID]],tblCustomers[Customer ID],tblCustomers[Customer Name],"⚠ Unknown")</f>
        <v>Walk-in Customer</v>
      </c>
      <c r="F4248" s="4" t="s">
        <v>6</v>
      </c>
      <c r="G4248" s="1" t="str">
        <f>_xlfn.XLOOKUP(tblSales[[#This Row],[Product Code]],tblProducts[Code],tblProducts[Product / Service Name],"⚠ Unknown")</f>
        <v>Socks &amp; Accessories</v>
      </c>
      <c r="H4248" s="1" t="str">
        <f>_xlfn.XLOOKUP(tblSales[[#This Row],[Product Code]],tblProducts[Code],tblProducts[Category],"")</f>
        <v>Accessories &amp; Basics</v>
      </c>
      <c r="I4248" s="4">
        <v>2</v>
      </c>
      <c r="J4248" s="5">
        <f>_xlfn.XLOOKUP(tblSales[[#This Row],[Product Code]],tblProducts[Code],tblProducts[Selling Price (excl. VAT)],0)</f>
        <v>45000</v>
      </c>
      <c r="K4248" s="5">
        <f>tblSales[[#This Row],[Qty]]*tblSales[[#This Row],[Unit Price]]</f>
        <v>90000</v>
      </c>
      <c r="L4248" s="5">
        <f>ROUND(tblSales[[#This Row],[DPP (excl. VAT)]]*VATEff,0)</f>
        <v>9900</v>
      </c>
      <c r="M4248" s="5">
        <f>tblSales[[#This Row],[DPP (excl. VAT)]]+tblSales[[#This Row],[Output VAT]]</f>
        <v>99900</v>
      </c>
      <c r="N4248" s="5">
        <f>tblSales[[#This Row],[Qty]]*_xlfn.XLOOKUP(tblSales[[#This Row],[Product Code]],tblProducts[Code],tblProducts[Unit Cost],0)</f>
        <v>48000</v>
      </c>
      <c r="O4248" s="4" t="s">
        <v>4866</v>
      </c>
      <c r="P4248" s="4" t="s">
        <v>4862</v>
      </c>
      <c r="Q4248" s="1" t="str">
        <f>_xlfn.XLOOKUP(tblSales[[#This Row],[Channel Code]],tblChannels[Channel Code],tblChannels[Channel Name],"")</f>
        <v>Website &amp; Social Media</v>
      </c>
      <c r="R4248" s="1">
        <f>MONTH(tblSales[[#This Row],[Date]])</f>
        <v>9</v>
      </c>
    </row>
    <row r="4249" spans="2:18" x14ac:dyDescent="0.35">
      <c r="B4249" s="113">
        <v>46277</v>
      </c>
      <c r="C4249" s="4" t="s">
        <v>2870</v>
      </c>
      <c r="D4249" s="4" t="s">
        <v>4568</v>
      </c>
      <c r="E4249" s="1" t="str">
        <f>_xlfn.XLOOKUP(tblSales[[#This Row],[Customer ID]],tblCustomers[Customer ID],tblCustomers[Customer Name],"⚠ Unknown")</f>
        <v>Walk-in Customer</v>
      </c>
      <c r="F4249" s="4" t="s">
        <v>6</v>
      </c>
      <c r="G4249" s="1" t="str">
        <f>_xlfn.XLOOKUP(tblSales[[#This Row],[Product Code]],tblProducts[Code],tblProducts[Product / Service Name],"⚠ Unknown")</f>
        <v>Socks &amp; Accessories</v>
      </c>
      <c r="H4249" s="1" t="str">
        <f>_xlfn.XLOOKUP(tblSales[[#This Row],[Product Code]],tblProducts[Code],tblProducts[Category],"")</f>
        <v>Accessories &amp; Basics</v>
      </c>
      <c r="I4249" s="4">
        <v>6</v>
      </c>
      <c r="J4249" s="5">
        <f>_xlfn.XLOOKUP(tblSales[[#This Row],[Product Code]],tblProducts[Code],tblProducts[Selling Price (excl. VAT)],0)</f>
        <v>45000</v>
      </c>
      <c r="K4249" s="5">
        <f>tblSales[[#This Row],[Qty]]*tblSales[[#This Row],[Unit Price]]</f>
        <v>270000</v>
      </c>
      <c r="L4249" s="5">
        <f>ROUND(tblSales[[#This Row],[DPP (excl. VAT)]]*VATEff,0)</f>
        <v>29700</v>
      </c>
      <c r="M4249" s="5">
        <f>tblSales[[#This Row],[DPP (excl. VAT)]]+tblSales[[#This Row],[Output VAT]]</f>
        <v>299700</v>
      </c>
      <c r="N4249" s="5">
        <f>tblSales[[#This Row],[Qty]]*_xlfn.XLOOKUP(tblSales[[#This Row],[Product Code]],tblProducts[Code],tblProducts[Unit Cost],0)</f>
        <v>144000</v>
      </c>
      <c r="O4249" s="4" t="s">
        <v>4866</v>
      </c>
      <c r="P4249" s="4" t="s">
        <v>4862</v>
      </c>
      <c r="Q4249" s="1" t="str">
        <f>_xlfn.XLOOKUP(tblSales[[#This Row],[Channel Code]],tblChannels[Channel Code],tblChannels[Channel Name],"")</f>
        <v>Website &amp; Social Media</v>
      </c>
      <c r="R4249" s="1">
        <f>MONTH(tblSales[[#This Row],[Date]])</f>
        <v>9</v>
      </c>
    </row>
    <row r="4250" spans="2:18" x14ac:dyDescent="0.35">
      <c r="B4250" s="113">
        <v>46277</v>
      </c>
      <c r="C4250" s="4" t="s">
        <v>2870</v>
      </c>
      <c r="D4250" s="4" t="s">
        <v>4568</v>
      </c>
      <c r="E4250" s="1" t="str">
        <f>_xlfn.XLOOKUP(tblSales[[#This Row],[Customer ID]],tblCustomers[Customer ID],tblCustomers[Customer Name],"⚠ Unknown")</f>
        <v>Walk-in Customer</v>
      </c>
      <c r="F4250" s="4" t="s">
        <v>12</v>
      </c>
      <c r="G4250" s="1" t="str">
        <f>_xlfn.XLOOKUP(tblSales[[#This Row],[Product Code]],tblProducts[Code],tblProducts[Product / Service Name],"⚠ Unknown")</f>
        <v>Bomber Jacket</v>
      </c>
      <c r="H4250" s="1" t="str">
        <f>_xlfn.XLOOKUP(tblSales[[#This Row],[Product Code]],tblProducts[Code],tblProducts[Category],"")</f>
        <v>Apparel &amp; Footwear</v>
      </c>
      <c r="I4250" s="4">
        <v>3</v>
      </c>
      <c r="J4250" s="5">
        <f>_xlfn.XLOOKUP(tblSales[[#This Row],[Product Code]],tblProducts[Code],tblProducts[Selling Price (excl. VAT)],0)</f>
        <v>350000</v>
      </c>
      <c r="K4250" s="5">
        <f>tblSales[[#This Row],[Qty]]*tblSales[[#This Row],[Unit Price]]</f>
        <v>1050000</v>
      </c>
      <c r="L4250" s="5">
        <f>ROUND(tblSales[[#This Row],[DPP (excl. VAT)]]*VATEff,0)</f>
        <v>115500</v>
      </c>
      <c r="M4250" s="5">
        <f>tblSales[[#This Row],[DPP (excl. VAT)]]+tblSales[[#This Row],[Output VAT]]</f>
        <v>1165500</v>
      </c>
      <c r="N4250" s="5">
        <f>tblSales[[#This Row],[Qty]]*_xlfn.XLOOKUP(tblSales[[#This Row],[Product Code]],tblProducts[Code],tblProducts[Unit Cost],0)</f>
        <v>630000</v>
      </c>
      <c r="O4250" s="4" t="s">
        <v>4866</v>
      </c>
      <c r="P4250" s="4" t="s">
        <v>4862</v>
      </c>
      <c r="Q4250" s="1" t="str">
        <f>_xlfn.XLOOKUP(tblSales[[#This Row],[Channel Code]],tblChannels[Channel Code],tblChannels[Channel Name],"")</f>
        <v>Website &amp; Social Media</v>
      </c>
      <c r="R4250" s="1">
        <f>MONTH(tblSales[[#This Row],[Date]])</f>
        <v>9</v>
      </c>
    </row>
    <row r="4251" spans="2:18" x14ac:dyDescent="0.35">
      <c r="B4251" s="113">
        <v>46277</v>
      </c>
      <c r="C4251" s="4" t="s">
        <v>2870</v>
      </c>
      <c r="D4251" s="4" t="s">
        <v>4568</v>
      </c>
      <c r="E4251" s="1" t="str">
        <f>_xlfn.XLOOKUP(tblSales[[#This Row],[Customer ID]],tblCustomers[Customer ID],tblCustomers[Customer Name],"⚠ Unknown")</f>
        <v>Walk-in Customer</v>
      </c>
      <c r="F4251" s="4" t="s">
        <v>10</v>
      </c>
      <c r="G4251" s="1" t="str">
        <f>_xlfn.XLOOKUP(tblSales[[#This Row],[Product Code]],tblProducts[Code],tblProducts[Product / Service Name],"⚠ Unknown")</f>
        <v>Chino Pants</v>
      </c>
      <c r="H4251" s="1" t="str">
        <f>_xlfn.XLOOKUP(tblSales[[#This Row],[Product Code]],tblProducts[Code],tblProducts[Category],"")</f>
        <v>Apparel &amp; Footwear</v>
      </c>
      <c r="I4251" s="4">
        <v>2</v>
      </c>
      <c r="J4251" s="5">
        <f>_xlfn.XLOOKUP(tblSales[[#This Row],[Product Code]],tblProducts[Code],tblProducts[Selling Price (excl. VAT)],0)</f>
        <v>150000</v>
      </c>
      <c r="K4251" s="5">
        <f>tblSales[[#This Row],[Qty]]*tblSales[[#This Row],[Unit Price]]</f>
        <v>300000</v>
      </c>
      <c r="L4251" s="5">
        <f>ROUND(tblSales[[#This Row],[DPP (excl. VAT)]]*VATEff,0)</f>
        <v>33000</v>
      </c>
      <c r="M4251" s="5">
        <f>tblSales[[#This Row],[DPP (excl. VAT)]]+tblSales[[#This Row],[Output VAT]]</f>
        <v>333000</v>
      </c>
      <c r="N4251" s="5">
        <f>tblSales[[#This Row],[Qty]]*_xlfn.XLOOKUP(tblSales[[#This Row],[Product Code]],tblProducts[Code],tblProducts[Unit Cost],0)</f>
        <v>176000</v>
      </c>
      <c r="O4251" s="4" t="s">
        <v>4866</v>
      </c>
      <c r="P4251" s="4" t="s">
        <v>4862</v>
      </c>
      <c r="Q4251" s="1" t="str">
        <f>_xlfn.XLOOKUP(tblSales[[#This Row],[Channel Code]],tblChannels[Channel Code],tblChannels[Channel Name],"")</f>
        <v>Website &amp; Social Media</v>
      </c>
      <c r="R4251" s="1">
        <f>MONTH(tblSales[[#This Row],[Date]])</f>
        <v>9</v>
      </c>
    </row>
    <row r="4252" spans="2:18" x14ac:dyDescent="0.35">
      <c r="B4252" s="113">
        <v>46277</v>
      </c>
      <c r="C4252" s="4" t="s">
        <v>2871</v>
      </c>
      <c r="D4252" s="4" t="s">
        <v>4568</v>
      </c>
      <c r="E4252" s="1" t="str">
        <f>_xlfn.XLOOKUP(tblSales[[#This Row],[Customer ID]],tblCustomers[Customer ID],tblCustomers[Customer Name],"⚠ Unknown")</f>
        <v>Walk-in Customer</v>
      </c>
      <c r="F4252" s="4" t="s">
        <v>15</v>
      </c>
      <c r="G4252" s="1" t="str">
        <f>_xlfn.XLOOKUP(tblSales[[#This Row],[Product Code]],tblProducts[Code],tblProducts[Product / Service Name],"⚠ Unknown")</f>
        <v>Wireless Earbuds Pro</v>
      </c>
      <c r="H4252" s="1" t="str">
        <f>_xlfn.XLOOKUP(tblSales[[#This Row],[Product Code]],tblProducts[Code],tblProducts[Category],"")</f>
        <v>Bags &amp; Gadgets</v>
      </c>
      <c r="I4252" s="4">
        <v>2</v>
      </c>
      <c r="J4252" s="5">
        <f>_xlfn.XLOOKUP(tblSales[[#This Row],[Product Code]],tblProducts[Code],tblProducts[Selling Price (excl. VAT)],0)</f>
        <v>1250000</v>
      </c>
      <c r="K4252" s="5">
        <f>tblSales[[#This Row],[Qty]]*tblSales[[#This Row],[Unit Price]]</f>
        <v>2500000</v>
      </c>
      <c r="L4252" s="5">
        <f>ROUND(tblSales[[#This Row],[DPP (excl. VAT)]]*VATEff,0)</f>
        <v>275000</v>
      </c>
      <c r="M4252" s="5">
        <f>tblSales[[#This Row],[DPP (excl. VAT)]]+tblSales[[#This Row],[Output VAT]]</f>
        <v>2775000</v>
      </c>
      <c r="N4252" s="5">
        <f>tblSales[[#This Row],[Qty]]*_xlfn.XLOOKUP(tblSales[[#This Row],[Product Code]],tblProducts[Code],tblProducts[Unit Cost],0)</f>
        <v>1640000</v>
      </c>
      <c r="O4252" s="4" t="s">
        <v>4865</v>
      </c>
      <c r="P4252" s="4" t="s">
        <v>4860</v>
      </c>
      <c r="Q4252" s="1" t="str">
        <f>_xlfn.XLOOKUP(tblSales[[#This Row],[Channel Code]],tblChannels[Channel Code],tblChannels[Channel Name],"")</f>
        <v>In-store</v>
      </c>
      <c r="R4252" s="1">
        <f>MONTH(tblSales[[#This Row],[Date]])</f>
        <v>9</v>
      </c>
    </row>
    <row r="4253" spans="2:18" x14ac:dyDescent="0.35">
      <c r="B4253" s="113">
        <v>46277</v>
      </c>
      <c r="C4253" s="4" t="s">
        <v>2871</v>
      </c>
      <c r="D4253" s="4" t="s">
        <v>4568</v>
      </c>
      <c r="E4253" s="1" t="str">
        <f>_xlfn.XLOOKUP(tblSales[[#This Row],[Customer ID]],tblCustomers[Customer ID],tblCustomers[Customer Name],"⚠ Unknown")</f>
        <v>Walk-in Customer</v>
      </c>
      <c r="F4253" s="4" t="s">
        <v>10</v>
      </c>
      <c r="G4253" s="1" t="str">
        <f>_xlfn.XLOOKUP(tblSales[[#This Row],[Product Code]],tblProducts[Code],tblProducts[Product / Service Name],"⚠ Unknown")</f>
        <v>Chino Pants</v>
      </c>
      <c r="H4253" s="1" t="str">
        <f>_xlfn.XLOOKUP(tblSales[[#This Row],[Product Code]],tblProducts[Code],tblProducts[Category],"")</f>
        <v>Apparel &amp; Footwear</v>
      </c>
      <c r="I4253" s="4">
        <v>5</v>
      </c>
      <c r="J4253" s="5">
        <f>_xlfn.XLOOKUP(tblSales[[#This Row],[Product Code]],tblProducts[Code],tblProducts[Selling Price (excl. VAT)],0)</f>
        <v>150000</v>
      </c>
      <c r="K4253" s="5">
        <f>tblSales[[#This Row],[Qty]]*tblSales[[#This Row],[Unit Price]]</f>
        <v>750000</v>
      </c>
      <c r="L4253" s="5">
        <f>ROUND(tblSales[[#This Row],[DPP (excl. VAT)]]*VATEff,0)</f>
        <v>82500</v>
      </c>
      <c r="M4253" s="5">
        <f>tblSales[[#This Row],[DPP (excl. VAT)]]+tblSales[[#This Row],[Output VAT]]</f>
        <v>832500</v>
      </c>
      <c r="N4253" s="5">
        <f>tblSales[[#This Row],[Qty]]*_xlfn.XLOOKUP(tblSales[[#This Row],[Product Code]],tblProducts[Code],tblProducts[Unit Cost],0)</f>
        <v>440000</v>
      </c>
      <c r="O4253" s="4" t="s">
        <v>4865</v>
      </c>
      <c r="P4253" s="4" t="s">
        <v>4860</v>
      </c>
      <c r="Q4253" s="1" t="str">
        <f>_xlfn.XLOOKUP(tblSales[[#This Row],[Channel Code]],tblChannels[Channel Code],tblChannels[Channel Name],"")</f>
        <v>In-store</v>
      </c>
      <c r="R4253" s="1">
        <f>MONTH(tblSales[[#This Row],[Date]])</f>
        <v>9</v>
      </c>
    </row>
    <row r="4254" spans="2:18" x14ac:dyDescent="0.35">
      <c r="B4254" s="113">
        <v>46277</v>
      </c>
      <c r="C4254" s="4" t="s">
        <v>2872</v>
      </c>
      <c r="D4254" s="4" t="s">
        <v>4568</v>
      </c>
      <c r="E4254" s="1" t="str">
        <f>_xlfn.XLOOKUP(tblSales[[#This Row],[Customer ID]],tblCustomers[Customer ID],tblCustomers[Customer Name],"⚠ Unknown")</f>
        <v>Walk-in Customer</v>
      </c>
      <c r="F4254" s="4" t="s">
        <v>9</v>
      </c>
      <c r="G4254" s="1" t="str">
        <f>_xlfn.XLOOKUP(tblSales[[#This Row],[Product Code]],tblProducts[Code],tblProducts[Product / Service Name],"⚠ Unknown")</f>
        <v>Casual Shirt</v>
      </c>
      <c r="H4254" s="1" t="str">
        <f>_xlfn.XLOOKUP(tblSales[[#This Row],[Product Code]],tblProducts[Code],tblProducts[Category],"")</f>
        <v>Apparel &amp; Footwear</v>
      </c>
      <c r="I4254" s="4">
        <v>8</v>
      </c>
      <c r="J4254" s="5">
        <f>_xlfn.XLOOKUP(tblSales[[#This Row],[Product Code]],tblProducts[Code],tblProducts[Selling Price (excl. VAT)],0)</f>
        <v>120000</v>
      </c>
      <c r="K4254" s="5">
        <f>tblSales[[#This Row],[Qty]]*tblSales[[#This Row],[Unit Price]]</f>
        <v>960000</v>
      </c>
      <c r="L4254" s="5">
        <f>ROUND(tblSales[[#This Row],[DPP (excl. VAT)]]*VATEff,0)</f>
        <v>105600</v>
      </c>
      <c r="M4254" s="5">
        <f>tblSales[[#This Row],[DPP (excl. VAT)]]+tblSales[[#This Row],[Output VAT]]</f>
        <v>1065600</v>
      </c>
      <c r="N4254" s="5">
        <f>tblSales[[#This Row],[Qty]]*_xlfn.XLOOKUP(tblSales[[#This Row],[Product Code]],tblProducts[Code],tblProducts[Unit Cost],0)</f>
        <v>576000</v>
      </c>
      <c r="O4254" s="4" t="s">
        <v>4866</v>
      </c>
      <c r="P4254" s="4" t="s">
        <v>4862</v>
      </c>
      <c r="Q4254" s="1" t="str">
        <f>_xlfn.XLOOKUP(tblSales[[#This Row],[Channel Code]],tblChannels[Channel Code],tblChannels[Channel Name],"")</f>
        <v>Website &amp; Social Media</v>
      </c>
      <c r="R4254" s="1">
        <f>MONTH(tblSales[[#This Row],[Date]])</f>
        <v>9</v>
      </c>
    </row>
    <row r="4255" spans="2:18" x14ac:dyDescent="0.35">
      <c r="B4255" s="113">
        <v>46277</v>
      </c>
      <c r="C4255" s="4" t="s">
        <v>2873</v>
      </c>
      <c r="D4255" s="4" t="s">
        <v>4620</v>
      </c>
      <c r="E4255" s="1" t="str">
        <f>_xlfn.XLOOKUP(tblSales[[#This Row],[Customer ID]],tblCustomers[Customer ID],tblCustomers[Customer Name],"⚠ Unknown")</f>
        <v>CV Sumber Rejeki Utama</v>
      </c>
      <c r="F4255" s="4" t="s">
        <v>15</v>
      </c>
      <c r="G4255" s="1" t="str">
        <f>_xlfn.XLOOKUP(tblSales[[#This Row],[Product Code]],tblProducts[Code],tblProducts[Product / Service Name],"⚠ Unknown")</f>
        <v>Wireless Earbuds Pro</v>
      </c>
      <c r="H4255" s="1" t="str">
        <f>_xlfn.XLOOKUP(tblSales[[#This Row],[Product Code]],tblProducts[Code],tblProducts[Category],"")</f>
        <v>Bags &amp; Gadgets</v>
      </c>
      <c r="I4255" s="4">
        <v>24</v>
      </c>
      <c r="J4255" s="5">
        <f>_xlfn.XLOOKUP(tblSales[[#This Row],[Product Code]],tblProducts[Code],tblProducts[Selling Price (excl. VAT)],0)</f>
        <v>1250000</v>
      </c>
      <c r="K4255" s="5">
        <f>tblSales[[#This Row],[Qty]]*tblSales[[#This Row],[Unit Price]]</f>
        <v>30000000</v>
      </c>
      <c r="L4255" s="5">
        <f>ROUND(tblSales[[#This Row],[DPP (excl. VAT)]]*VATEff,0)</f>
        <v>3300000</v>
      </c>
      <c r="M4255" s="5">
        <f>tblSales[[#This Row],[DPP (excl. VAT)]]+tblSales[[#This Row],[Output VAT]]</f>
        <v>33300000</v>
      </c>
      <c r="N4255" s="5">
        <f>tblSales[[#This Row],[Qty]]*_xlfn.XLOOKUP(tblSales[[#This Row],[Product Code]],tblProducts[Code],tblProducts[Unit Cost],0)</f>
        <v>19680000</v>
      </c>
      <c r="O4255" s="4" t="s">
        <v>4867</v>
      </c>
      <c r="P4255" s="4" t="s">
        <v>4862</v>
      </c>
      <c r="Q4255" s="1" t="str">
        <f>_xlfn.XLOOKUP(tblSales[[#This Row],[Channel Code]],tblChannels[Channel Code],tblChannels[Channel Name],"")</f>
        <v>Website &amp; Social Media</v>
      </c>
      <c r="R4255" s="1">
        <f>MONTH(tblSales[[#This Row],[Date]])</f>
        <v>9</v>
      </c>
    </row>
    <row r="4256" spans="2:18" x14ac:dyDescent="0.35">
      <c r="B4256" s="113">
        <v>46278</v>
      </c>
      <c r="C4256" s="4" t="s">
        <v>2874</v>
      </c>
      <c r="D4256" s="4" t="s">
        <v>4613</v>
      </c>
      <c r="E4256" s="1" t="str">
        <f>_xlfn.XLOOKUP(tblSales[[#This Row],[Customer ID]],tblCustomers[Customer ID],tblCustomers[Customer Name],"⚠ Unknown")</f>
        <v>PT Mega Prima Distribusi</v>
      </c>
      <c r="F4256" s="4" t="s">
        <v>11</v>
      </c>
      <c r="G4256" s="1" t="str">
        <f>_xlfn.XLOOKUP(tblSales[[#This Row],[Product Code]],tblProducts[Code],tblProducts[Product / Service Name],"⚠ Unknown")</f>
        <v>Sneakers</v>
      </c>
      <c r="H4256" s="1" t="str">
        <f>_xlfn.XLOOKUP(tblSales[[#This Row],[Product Code]],tblProducts[Code],tblProducts[Category],"")</f>
        <v>Apparel &amp; Footwear</v>
      </c>
      <c r="I4256" s="4">
        <v>48</v>
      </c>
      <c r="J4256" s="5">
        <f>_xlfn.XLOOKUP(tblSales[[#This Row],[Product Code]],tblProducts[Code],tblProducts[Selling Price (excl. VAT)],0)</f>
        <v>250000</v>
      </c>
      <c r="K4256" s="5">
        <f>tblSales[[#This Row],[Qty]]*tblSales[[#This Row],[Unit Price]]</f>
        <v>12000000</v>
      </c>
      <c r="L4256" s="5">
        <f>ROUND(tblSales[[#This Row],[DPP (excl. VAT)]]*VATEff,0)</f>
        <v>1320000</v>
      </c>
      <c r="M4256" s="5">
        <f>tblSales[[#This Row],[DPP (excl. VAT)]]+tblSales[[#This Row],[Output VAT]]</f>
        <v>13320000</v>
      </c>
      <c r="N4256" s="5">
        <f>tblSales[[#This Row],[Qty]]*_xlfn.XLOOKUP(tblSales[[#This Row],[Product Code]],tblProducts[Code],tblProducts[Unit Cost],0)</f>
        <v>7440000</v>
      </c>
      <c r="O4256" s="4" t="s">
        <v>4867</v>
      </c>
      <c r="P4256" s="4" t="s">
        <v>4860</v>
      </c>
      <c r="Q4256" s="1" t="str">
        <f>_xlfn.XLOOKUP(tblSales[[#This Row],[Channel Code]],tblChannels[Channel Code],tblChannels[Channel Name],"")</f>
        <v>In-store</v>
      </c>
      <c r="R4256" s="1">
        <f>MONTH(tblSales[[#This Row],[Date]])</f>
        <v>9</v>
      </c>
    </row>
    <row r="4257" spans="2:18" x14ac:dyDescent="0.35">
      <c r="B4257" s="113">
        <v>46278</v>
      </c>
      <c r="C4257" s="4" t="s">
        <v>2875</v>
      </c>
      <c r="D4257" s="4" t="s">
        <v>4568</v>
      </c>
      <c r="E4257" s="1" t="str">
        <f>_xlfn.XLOOKUP(tblSales[[#This Row],[Customer ID]],tblCustomers[Customer ID],tblCustomers[Customer Name],"⚠ Unknown")</f>
        <v>Walk-in Customer</v>
      </c>
      <c r="F4257" s="4" t="s">
        <v>8</v>
      </c>
      <c r="G4257" s="1" t="str">
        <f>_xlfn.XLOOKUP(tblSales[[#This Row],[Product Code]],tblProducts[Code],tblProducts[Product / Service Name],"⚠ Unknown")</f>
        <v>Casual Shorts</v>
      </c>
      <c r="H4257" s="1" t="str">
        <f>_xlfn.XLOOKUP(tblSales[[#This Row],[Product Code]],tblProducts[Code],tblProducts[Category],"")</f>
        <v>Accessories &amp; Basics</v>
      </c>
      <c r="I4257" s="4">
        <v>2</v>
      </c>
      <c r="J4257" s="5">
        <f>_xlfn.XLOOKUP(tblSales[[#This Row],[Product Code]],tblProducts[Code],tblProducts[Selling Price (excl. VAT)],0)</f>
        <v>85000</v>
      </c>
      <c r="K4257" s="5">
        <f>tblSales[[#This Row],[Qty]]*tblSales[[#This Row],[Unit Price]]</f>
        <v>170000</v>
      </c>
      <c r="L4257" s="5">
        <f>ROUND(tblSales[[#This Row],[DPP (excl. VAT)]]*VATEff,0)</f>
        <v>18700</v>
      </c>
      <c r="M4257" s="5">
        <f>tblSales[[#This Row],[DPP (excl. VAT)]]+tblSales[[#This Row],[Output VAT]]</f>
        <v>188700</v>
      </c>
      <c r="N4257" s="5">
        <f>tblSales[[#This Row],[Qty]]*_xlfn.XLOOKUP(tblSales[[#This Row],[Product Code]],tblProducts[Code],tblProducts[Unit Cost],0)</f>
        <v>100000</v>
      </c>
      <c r="O4257" s="4" t="s">
        <v>4866</v>
      </c>
      <c r="P4257" s="4" t="s">
        <v>4861</v>
      </c>
      <c r="Q4257" s="1" t="str">
        <f>_xlfn.XLOOKUP(tblSales[[#This Row],[Channel Code]],tblChannels[Channel Code],tblChannels[Channel Name],"")</f>
        <v>Marketplace</v>
      </c>
      <c r="R4257" s="1">
        <f>MONTH(tblSales[[#This Row],[Date]])</f>
        <v>9</v>
      </c>
    </row>
    <row r="4258" spans="2:18" x14ac:dyDescent="0.35">
      <c r="B4258" s="113">
        <v>46278</v>
      </c>
      <c r="C4258" s="4" t="s">
        <v>2875</v>
      </c>
      <c r="D4258" s="4" t="s">
        <v>4568</v>
      </c>
      <c r="E4258" s="1" t="str">
        <f>_xlfn.XLOOKUP(tblSales[[#This Row],[Customer ID]],tblCustomers[Customer ID],tblCustomers[Customer Name],"⚠ Unknown")</f>
        <v>Walk-in Customer</v>
      </c>
      <c r="F4258" s="4" t="s">
        <v>14</v>
      </c>
      <c r="G4258" s="1" t="str">
        <f>_xlfn.XLOOKUP(tblSales[[#This Row],[Product Code]],tblProducts[Code],tblProducts[Product / Service Name],"⚠ Unknown")</f>
        <v>Smartwatch</v>
      </c>
      <c r="H4258" s="1" t="str">
        <f>_xlfn.XLOOKUP(tblSales[[#This Row],[Product Code]],tblProducts[Code],tblProducts[Category],"")</f>
        <v>Bags &amp; Gadgets</v>
      </c>
      <c r="I4258" s="4">
        <v>3</v>
      </c>
      <c r="J4258" s="5">
        <f>_xlfn.XLOOKUP(tblSales[[#This Row],[Product Code]],tblProducts[Code],tblProducts[Selling Price (excl. VAT)],0)</f>
        <v>850000</v>
      </c>
      <c r="K4258" s="5">
        <f>tblSales[[#This Row],[Qty]]*tblSales[[#This Row],[Unit Price]]</f>
        <v>2550000</v>
      </c>
      <c r="L4258" s="5">
        <f>ROUND(tblSales[[#This Row],[DPP (excl. VAT)]]*VATEff,0)</f>
        <v>280500</v>
      </c>
      <c r="M4258" s="5">
        <f>tblSales[[#This Row],[DPP (excl. VAT)]]+tblSales[[#This Row],[Output VAT]]</f>
        <v>2830500</v>
      </c>
      <c r="N4258" s="5">
        <f>tblSales[[#This Row],[Qty]]*_xlfn.XLOOKUP(tblSales[[#This Row],[Product Code]],tblProducts[Code],tblProducts[Unit Cost],0)</f>
        <v>1680000</v>
      </c>
      <c r="O4258" s="4" t="s">
        <v>4866</v>
      </c>
      <c r="P4258" s="4" t="s">
        <v>4861</v>
      </c>
      <c r="Q4258" s="1" t="str">
        <f>_xlfn.XLOOKUP(tblSales[[#This Row],[Channel Code]],tblChannels[Channel Code],tblChannels[Channel Name],"")</f>
        <v>Marketplace</v>
      </c>
      <c r="R4258" s="1">
        <f>MONTH(tblSales[[#This Row],[Date]])</f>
        <v>9</v>
      </c>
    </row>
    <row r="4259" spans="2:18" x14ac:dyDescent="0.35">
      <c r="B4259" s="113">
        <v>46278</v>
      </c>
      <c r="C4259" s="4" t="s">
        <v>2875</v>
      </c>
      <c r="D4259" s="4" t="s">
        <v>4568</v>
      </c>
      <c r="E4259" s="1" t="str">
        <f>_xlfn.XLOOKUP(tblSales[[#This Row],[Customer ID]],tblCustomers[Customer ID],tblCustomers[Customer Name],"⚠ Unknown")</f>
        <v>Walk-in Customer</v>
      </c>
      <c r="F4259" s="4" t="s">
        <v>6</v>
      </c>
      <c r="G4259" s="1" t="str">
        <f>_xlfn.XLOOKUP(tblSales[[#This Row],[Product Code]],tblProducts[Code],tblProducts[Product / Service Name],"⚠ Unknown")</f>
        <v>Socks &amp; Accessories</v>
      </c>
      <c r="H4259" s="1" t="str">
        <f>_xlfn.XLOOKUP(tblSales[[#This Row],[Product Code]],tblProducts[Code],tblProducts[Category],"")</f>
        <v>Accessories &amp; Basics</v>
      </c>
      <c r="I4259" s="4">
        <v>6</v>
      </c>
      <c r="J4259" s="5">
        <f>_xlfn.XLOOKUP(tblSales[[#This Row],[Product Code]],tblProducts[Code],tblProducts[Selling Price (excl. VAT)],0)</f>
        <v>45000</v>
      </c>
      <c r="K4259" s="5">
        <f>tblSales[[#This Row],[Qty]]*tblSales[[#This Row],[Unit Price]]</f>
        <v>270000</v>
      </c>
      <c r="L4259" s="5">
        <f>ROUND(tblSales[[#This Row],[DPP (excl. VAT)]]*VATEff,0)</f>
        <v>29700</v>
      </c>
      <c r="M4259" s="5">
        <f>tblSales[[#This Row],[DPP (excl. VAT)]]+tblSales[[#This Row],[Output VAT]]</f>
        <v>299700</v>
      </c>
      <c r="N4259" s="5">
        <f>tblSales[[#This Row],[Qty]]*_xlfn.XLOOKUP(tblSales[[#This Row],[Product Code]],tblProducts[Code],tblProducts[Unit Cost],0)</f>
        <v>144000</v>
      </c>
      <c r="O4259" s="4" t="s">
        <v>4866</v>
      </c>
      <c r="P4259" s="4" t="s">
        <v>4861</v>
      </c>
      <c r="Q4259" s="1" t="str">
        <f>_xlfn.XLOOKUP(tblSales[[#This Row],[Channel Code]],tblChannels[Channel Code],tblChannels[Channel Name],"")</f>
        <v>Marketplace</v>
      </c>
      <c r="R4259" s="1">
        <f>MONTH(tblSales[[#This Row],[Date]])</f>
        <v>9</v>
      </c>
    </row>
    <row r="4260" spans="2:18" x14ac:dyDescent="0.35">
      <c r="B4260" s="113">
        <v>46278</v>
      </c>
      <c r="C4260" s="4" t="s">
        <v>2876</v>
      </c>
      <c r="D4260" s="4" t="s">
        <v>4568</v>
      </c>
      <c r="E4260" s="1" t="str">
        <f>_xlfn.XLOOKUP(tblSales[[#This Row],[Customer ID]],tblCustomers[Customer ID],tblCustomers[Customer Name],"⚠ Unknown")</f>
        <v>Walk-in Customer</v>
      </c>
      <c r="F4260" s="4" t="s">
        <v>7</v>
      </c>
      <c r="G4260" s="1" t="str">
        <f>_xlfn.XLOOKUP(tblSales[[#This Row],[Product Code]],tblProducts[Code],tblProducts[Product / Service Name],"⚠ Unknown")</f>
        <v>Premium Basic T-shirt</v>
      </c>
      <c r="H4260" s="1" t="str">
        <f>_xlfn.XLOOKUP(tblSales[[#This Row],[Product Code]],tblProducts[Code],tblProducts[Category],"")</f>
        <v>Accessories &amp; Basics</v>
      </c>
      <c r="I4260" s="4">
        <v>5</v>
      </c>
      <c r="J4260" s="5">
        <f>_xlfn.XLOOKUP(tblSales[[#This Row],[Product Code]],tblProducts[Code],tblProducts[Selling Price (excl. VAT)],0)</f>
        <v>65000</v>
      </c>
      <c r="K4260" s="5">
        <f>tblSales[[#This Row],[Qty]]*tblSales[[#This Row],[Unit Price]]</f>
        <v>325000</v>
      </c>
      <c r="L4260" s="5">
        <f>ROUND(tblSales[[#This Row],[DPP (excl. VAT)]]*VATEff,0)</f>
        <v>35750</v>
      </c>
      <c r="M4260" s="5">
        <f>tblSales[[#This Row],[DPP (excl. VAT)]]+tblSales[[#This Row],[Output VAT]]</f>
        <v>360750</v>
      </c>
      <c r="N4260" s="5">
        <f>tblSales[[#This Row],[Qty]]*_xlfn.XLOOKUP(tblSales[[#This Row],[Product Code]],tblProducts[Code],tblProducts[Unit Cost],0)</f>
        <v>185000</v>
      </c>
      <c r="O4260" s="4" t="s">
        <v>4865</v>
      </c>
      <c r="P4260" s="4" t="s">
        <v>4860</v>
      </c>
      <c r="Q4260" s="1" t="str">
        <f>_xlfn.XLOOKUP(tblSales[[#This Row],[Channel Code]],tblChannels[Channel Code],tblChannels[Channel Name],"")</f>
        <v>In-store</v>
      </c>
      <c r="R4260" s="1">
        <f>MONTH(tblSales[[#This Row],[Date]])</f>
        <v>9</v>
      </c>
    </row>
    <row r="4261" spans="2:18" x14ac:dyDescent="0.35">
      <c r="B4261" s="113">
        <v>46278</v>
      </c>
      <c r="C4261" s="4" t="s">
        <v>2877</v>
      </c>
      <c r="D4261" s="4" t="s">
        <v>4568</v>
      </c>
      <c r="E4261" s="1" t="str">
        <f>_xlfn.XLOOKUP(tblSales[[#This Row],[Customer ID]],tblCustomers[Customer ID],tblCustomers[Customer Name],"⚠ Unknown")</f>
        <v>Walk-in Customer</v>
      </c>
      <c r="F4261" s="4" t="s">
        <v>6</v>
      </c>
      <c r="G4261" s="1" t="str">
        <f>_xlfn.XLOOKUP(tblSales[[#This Row],[Product Code]],tblProducts[Code],tblProducts[Product / Service Name],"⚠ Unknown")</f>
        <v>Socks &amp; Accessories</v>
      </c>
      <c r="H4261" s="1" t="str">
        <f>_xlfn.XLOOKUP(tblSales[[#This Row],[Product Code]],tblProducts[Code],tblProducts[Category],"")</f>
        <v>Accessories &amp; Basics</v>
      </c>
      <c r="I4261" s="4">
        <v>3</v>
      </c>
      <c r="J4261" s="5">
        <f>_xlfn.XLOOKUP(tblSales[[#This Row],[Product Code]],tblProducts[Code],tblProducts[Selling Price (excl. VAT)],0)</f>
        <v>45000</v>
      </c>
      <c r="K4261" s="5">
        <f>tblSales[[#This Row],[Qty]]*tblSales[[#This Row],[Unit Price]]</f>
        <v>135000</v>
      </c>
      <c r="L4261" s="5">
        <f>ROUND(tblSales[[#This Row],[DPP (excl. VAT)]]*VATEff,0)</f>
        <v>14850</v>
      </c>
      <c r="M4261" s="5">
        <f>tblSales[[#This Row],[DPP (excl. VAT)]]+tblSales[[#This Row],[Output VAT]]</f>
        <v>149850</v>
      </c>
      <c r="N4261" s="5">
        <f>tblSales[[#This Row],[Qty]]*_xlfn.XLOOKUP(tblSales[[#This Row],[Product Code]],tblProducts[Code],tblProducts[Unit Cost],0)</f>
        <v>72000</v>
      </c>
      <c r="O4261" s="4" t="s">
        <v>4865</v>
      </c>
      <c r="P4261" s="4" t="s">
        <v>4860</v>
      </c>
      <c r="Q4261" s="1" t="str">
        <f>_xlfn.XLOOKUP(tblSales[[#This Row],[Channel Code]],tblChannels[Channel Code],tblChannels[Channel Name],"")</f>
        <v>In-store</v>
      </c>
      <c r="R4261" s="1">
        <f>MONTH(tblSales[[#This Row],[Date]])</f>
        <v>9</v>
      </c>
    </row>
    <row r="4262" spans="2:18" x14ac:dyDescent="0.35">
      <c r="B4262" s="113">
        <v>46278</v>
      </c>
      <c r="C4262" s="4" t="s">
        <v>2878</v>
      </c>
      <c r="D4262" s="4" t="s">
        <v>4568</v>
      </c>
      <c r="E4262" s="1" t="str">
        <f>_xlfn.XLOOKUP(tblSales[[#This Row],[Customer ID]],tblCustomers[Customer ID],tblCustomers[Customer Name],"⚠ Unknown")</f>
        <v>Walk-in Customer</v>
      </c>
      <c r="F4262" s="4" t="s">
        <v>6</v>
      </c>
      <c r="G4262" s="1" t="str">
        <f>_xlfn.XLOOKUP(tblSales[[#This Row],[Product Code]],tblProducts[Code],tblProducts[Product / Service Name],"⚠ Unknown")</f>
        <v>Socks &amp; Accessories</v>
      </c>
      <c r="H4262" s="1" t="str">
        <f>_xlfn.XLOOKUP(tblSales[[#This Row],[Product Code]],tblProducts[Code],tblProducts[Category],"")</f>
        <v>Accessories &amp; Basics</v>
      </c>
      <c r="I4262" s="4">
        <v>11</v>
      </c>
      <c r="J4262" s="5">
        <f>_xlfn.XLOOKUP(tblSales[[#This Row],[Product Code]],tblProducts[Code],tblProducts[Selling Price (excl. VAT)],0)</f>
        <v>45000</v>
      </c>
      <c r="K4262" s="5">
        <f>tblSales[[#This Row],[Qty]]*tblSales[[#This Row],[Unit Price]]</f>
        <v>495000</v>
      </c>
      <c r="L4262" s="5">
        <f>ROUND(tblSales[[#This Row],[DPP (excl. VAT)]]*VATEff,0)</f>
        <v>54450</v>
      </c>
      <c r="M4262" s="5">
        <f>tblSales[[#This Row],[DPP (excl. VAT)]]+tblSales[[#This Row],[Output VAT]]</f>
        <v>549450</v>
      </c>
      <c r="N4262" s="5">
        <f>tblSales[[#This Row],[Qty]]*_xlfn.XLOOKUP(tblSales[[#This Row],[Product Code]],tblProducts[Code],tblProducts[Unit Cost],0)</f>
        <v>264000</v>
      </c>
      <c r="O4262" s="4" t="s">
        <v>4865</v>
      </c>
      <c r="P4262" s="4" t="s">
        <v>4860</v>
      </c>
      <c r="Q4262" s="1" t="str">
        <f>_xlfn.XLOOKUP(tblSales[[#This Row],[Channel Code]],tblChannels[Channel Code],tblChannels[Channel Name],"")</f>
        <v>In-store</v>
      </c>
      <c r="R4262" s="1">
        <f>MONTH(tblSales[[#This Row],[Date]])</f>
        <v>9</v>
      </c>
    </row>
    <row r="4263" spans="2:18" x14ac:dyDescent="0.35">
      <c r="B4263" s="113">
        <v>46278</v>
      </c>
      <c r="C4263" s="4" t="s">
        <v>2879</v>
      </c>
      <c r="D4263" s="4" t="s">
        <v>4568</v>
      </c>
      <c r="E4263" s="1" t="str">
        <f>_xlfn.XLOOKUP(tblSales[[#This Row],[Customer ID]],tblCustomers[Customer ID],tblCustomers[Customer Name],"⚠ Unknown")</f>
        <v>Walk-in Customer</v>
      </c>
      <c r="F4263" s="4" t="s">
        <v>7</v>
      </c>
      <c r="G4263" s="1" t="str">
        <f>_xlfn.XLOOKUP(tblSales[[#This Row],[Product Code]],tblProducts[Code],tblProducts[Product / Service Name],"⚠ Unknown")</f>
        <v>Premium Basic T-shirt</v>
      </c>
      <c r="H4263" s="1" t="str">
        <f>_xlfn.XLOOKUP(tblSales[[#This Row],[Product Code]],tblProducts[Code],tblProducts[Category],"")</f>
        <v>Accessories &amp; Basics</v>
      </c>
      <c r="I4263" s="4">
        <v>5</v>
      </c>
      <c r="J4263" s="5">
        <f>_xlfn.XLOOKUP(tblSales[[#This Row],[Product Code]],tblProducts[Code],tblProducts[Selling Price (excl. VAT)],0)</f>
        <v>65000</v>
      </c>
      <c r="K4263" s="5">
        <f>tblSales[[#This Row],[Qty]]*tblSales[[#This Row],[Unit Price]]</f>
        <v>325000</v>
      </c>
      <c r="L4263" s="5">
        <f>ROUND(tblSales[[#This Row],[DPP (excl. VAT)]]*VATEff,0)</f>
        <v>35750</v>
      </c>
      <c r="M4263" s="5">
        <f>tblSales[[#This Row],[DPP (excl. VAT)]]+tblSales[[#This Row],[Output VAT]]</f>
        <v>360750</v>
      </c>
      <c r="N4263" s="5">
        <f>tblSales[[#This Row],[Qty]]*_xlfn.XLOOKUP(tblSales[[#This Row],[Product Code]],tblProducts[Code],tblProducts[Unit Cost],0)</f>
        <v>185000</v>
      </c>
      <c r="O4263" s="4" t="s">
        <v>4866</v>
      </c>
      <c r="P4263" s="4" t="s">
        <v>4860</v>
      </c>
      <c r="Q4263" s="1" t="str">
        <f>_xlfn.XLOOKUP(tblSales[[#This Row],[Channel Code]],tblChannels[Channel Code],tblChannels[Channel Name],"")</f>
        <v>In-store</v>
      </c>
      <c r="R4263" s="1">
        <f>MONTH(tblSales[[#This Row],[Date]])</f>
        <v>9</v>
      </c>
    </row>
    <row r="4264" spans="2:18" x14ac:dyDescent="0.35">
      <c r="B4264" s="113">
        <v>46278</v>
      </c>
      <c r="C4264" s="4" t="s">
        <v>2879</v>
      </c>
      <c r="D4264" s="4" t="s">
        <v>4568</v>
      </c>
      <c r="E4264" s="1" t="str">
        <f>_xlfn.XLOOKUP(tblSales[[#This Row],[Customer ID]],tblCustomers[Customer ID],tblCustomers[Customer Name],"⚠ Unknown")</f>
        <v>Walk-in Customer</v>
      </c>
      <c r="F4264" s="4" t="s">
        <v>10</v>
      </c>
      <c r="G4264" s="1" t="str">
        <f>_xlfn.XLOOKUP(tblSales[[#This Row],[Product Code]],tblProducts[Code],tblProducts[Product / Service Name],"⚠ Unknown")</f>
        <v>Chino Pants</v>
      </c>
      <c r="H4264" s="1" t="str">
        <f>_xlfn.XLOOKUP(tblSales[[#This Row],[Product Code]],tblProducts[Code],tblProducts[Category],"")</f>
        <v>Apparel &amp; Footwear</v>
      </c>
      <c r="I4264" s="4">
        <v>7</v>
      </c>
      <c r="J4264" s="5">
        <f>_xlfn.XLOOKUP(tblSales[[#This Row],[Product Code]],tblProducts[Code],tblProducts[Selling Price (excl. VAT)],0)</f>
        <v>150000</v>
      </c>
      <c r="K4264" s="5">
        <f>tblSales[[#This Row],[Qty]]*tblSales[[#This Row],[Unit Price]]</f>
        <v>1050000</v>
      </c>
      <c r="L4264" s="5">
        <f>ROUND(tblSales[[#This Row],[DPP (excl. VAT)]]*VATEff,0)</f>
        <v>115500</v>
      </c>
      <c r="M4264" s="5">
        <f>tblSales[[#This Row],[DPP (excl. VAT)]]+tblSales[[#This Row],[Output VAT]]</f>
        <v>1165500</v>
      </c>
      <c r="N4264" s="5">
        <f>tblSales[[#This Row],[Qty]]*_xlfn.XLOOKUP(tblSales[[#This Row],[Product Code]],tblProducts[Code],tblProducts[Unit Cost],0)</f>
        <v>616000</v>
      </c>
      <c r="O4264" s="4" t="s">
        <v>4866</v>
      </c>
      <c r="P4264" s="4" t="s">
        <v>4860</v>
      </c>
      <c r="Q4264" s="1" t="str">
        <f>_xlfn.XLOOKUP(tblSales[[#This Row],[Channel Code]],tblChannels[Channel Code],tblChannels[Channel Name],"")</f>
        <v>In-store</v>
      </c>
      <c r="R4264" s="1">
        <f>MONTH(tblSales[[#This Row],[Date]])</f>
        <v>9</v>
      </c>
    </row>
    <row r="4265" spans="2:18" x14ac:dyDescent="0.35">
      <c r="B4265" s="113">
        <v>46278</v>
      </c>
      <c r="C4265" s="4" t="s">
        <v>2880</v>
      </c>
      <c r="D4265" s="4" t="s">
        <v>4613</v>
      </c>
      <c r="E4265" s="1" t="str">
        <f>_xlfn.XLOOKUP(tblSales[[#This Row],[Customer ID]],tblCustomers[Customer ID],tblCustomers[Customer Name],"⚠ Unknown")</f>
        <v>PT Mega Prima Distribusi</v>
      </c>
      <c r="F4265" s="4" t="s">
        <v>8</v>
      </c>
      <c r="G4265" s="1" t="str">
        <f>_xlfn.XLOOKUP(tblSales[[#This Row],[Product Code]],tblProducts[Code],tblProducts[Product / Service Name],"⚠ Unknown")</f>
        <v>Casual Shorts</v>
      </c>
      <c r="H4265" s="1" t="str">
        <f>_xlfn.XLOOKUP(tblSales[[#This Row],[Product Code]],tblProducts[Code],tblProducts[Category],"")</f>
        <v>Accessories &amp; Basics</v>
      </c>
      <c r="I4265" s="4">
        <v>40</v>
      </c>
      <c r="J4265" s="5">
        <f>_xlfn.XLOOKUP(tblSales[[#This Row],[Product Code]],tblProducts[Code],tblProducts[Selling Price (excl. VAT)],0)</f>
        <v>85000</v>
      </c>
      <c r="K4265" s="5">
        <f>tblSales[[#This Row],[Qty]]*tblSales[[#This Row],[Unit Price]]</f>
        <v>3400000</v>
      </c>
      <c r="L4265" s="5">
        <f>ROUND(tblSales[[#This Row],[DPP (excl. VAT)]]*VATEff,0)</f>
        <v>374000</v>
      </c>
      <c r="M4265" s="5">
        <f>tblSales[[#This Row],[DPP (excl. VAT)]]+tblSales[[#This Row],[Output VAT]]</f>
        <v>3774000</v>
      </c>
      <c r="N4265" s="5">
        <f>tblSales[[#This Row],[Qty]]*_xlfn.XLOOKUP(tblSales[[#This Row],[Product Code]],tblProducts[Code],tblProducts[Unit Cost],0)</f>
        <v>2000000</v>
      </c>
      <c r="O4265" s="4" t="s">
        <v>4867</v>
      </c>
      <c r="P4265" s="4" t="s">
        <v>4860</v>
      </c>
      <c r="Q4265" s="1" t="str">
        <f>_xlfn.XLOOKUP(tblSales[[#This Row],[Channel Code]],tblChannels[Channel Code],tblChannels[Channel Name],"")</f>
        <v>In-store</v>
      </c>
      <c r="R4265" s="1">
        <f>MONTH(tblSales[[#This Row],[Date]])</f>
        <v>9</v>
      </c>
    </row>
    <row r="4266" spans="2:18" x14ac:dyDescent="0.35">
      <c r="B4266" s="113">
        <v>46278</v>
      </c>
      <c r="C4266" s="4" t="s">
        <v>2881</v>
      </c>
      <c r="D4266" s="4" t="s">
        <v>4606</v>
      </c>
      <c r="E4266" s="1" t="str">
        <f>_xlfn.XLOOKUP(tblSales[[#This Row],[Customer ID]],tblCustomers[Customer ID],tblCustomers[Customer Name],"⚠ Unknown")</f>
        <v>PT Arunika Digital Kreatif</v>
      </c>
      <c r="F4266" s="4" t="s">
        <v>6</v>
      </c>
      <c r="G4266" s="1" t="str">
        <f>_xlfn.XLOOKUP(tblSales[[#This Row],[Product Code]],tblProducts[Code],tblProducts[Product / Service Name],"⚠ Unknown")</f>
        <v>Socks &amp; Accessories</v>
      </c>
      <c r="H4266" s="1" t="str">
        <f>_xlfn.XLOOKUP(tblSales[[#This Row],[Product Code]],tblProducts[Code],tblProducts[Category],"")</f>
        <v>Accessories &amp; Basics</v>
      </c>
      <c r="I4266" s="4">
        <v>80</v>
      </c>
      <c r="J4266" s="5">
        <f>_xlfn.XLOOKUP(tblSales[[#This Row],[Product Code]],tblProducts[Code],tblProducts[Selling Price (excl. VAT)],0)</f>
        <v>45000</v>
      </c>
      <c r="K4266" s="5">
        <f>tblSales[[#This Row],[Qty]]*tblSales[[#This Row],[Unit Price]]</f>
        <v>3600000</v>
      </c>
      <c r="L4266" s="5">
        <f>ROUND(tblSales[[#This Row],[DPP (excl. VAT)]]*VATEff,0)</f>
        <v>396000</v>
      </c>
      <c r="M4266" s="5">
        <f>tblSales[[#This Row],[DPP (excl. VAT)]]+tblSales[[#This Row],[Output VAT]]</f>
        <v>3996000</v>
      </c>
      <c r="N4266" s="5">
        <f>tblSales[[#This Row],[Qty]]*_xlfn.XLOOKUP(tblSales[[#This Row],[Product Code]],tblProducts[Code],tblProducts[Unit Cost],0)</f>
        <v>1920000</v>
      </c>
      <c r="O4266" s="4" t="s">
        <v>4867</v>
      </c>
      <c r="P4266" s="4" t="s">
        <v>4860</v>
      </c>
      <c r="Q4266" s="1" t="str">
        <f>_xlfn.XLOOKUP(tblSales[[#This Row],[Channel Code]],tblChannels[Channel Code],tblChannels[Channel Name],"")</f>
        <v>In-store</v>
      </c>
      <c r="R4266" s="1">
        <f>MONTH(tblSales[[#This Row],[Date]])</f>
        <v>9</v>
      </c>
    </row>
    <row r="4267" spans="2:18" x14ac:dyDescent="0.35">
      <c r="B4267" s="113">
        <v>46278</v>
      </c>
      <c r="C4267" s="4" t="s">
        <v>2881</v>
      </c>
      <c r="D4267" s="4" t="s">
        <v>4606</v>
      </c>
      <c r="E4267" s="1" t="str">
        <f>_xlfn.XLOOKUP(tblSales[[#This Row],[Customer ID]],tblCustomers[Customer ID],tblCustomers[Customer Name],"⚠ Unknown")</f>
        <v>PT Arunika Digital Kreatif</v>
      </c>
      <c r="F4267" s="4" t="s">
        <v>11</v>
      </c>
      <c r="G4267" s="1" t="str">
        <f>_xlfn.XLOOKUP(tblSales[[#This Row],[Product Code]],tblProducts[Code],tblProducts[Product / Service Name],"⚠ Unknown")</f>
        <v>Sneakers</v>
      </c>
      <c r="H4267" s="1" t="str">
        <f>_xlfn.XLOOKUP(tblSales[[#This Row],[Product Code]],tblProducts[Code],tblProducts[Category],"")</f>
        <v>Apparel &amp; Footwear</v>
      </c>
      <c r="I4267" s="4">
        <v>8</v>
      </c>
      <c r="J4267" s="5">
        <f>_xlfn.XLOOKUP(tblSales[[#This Row],[Product Code]],tblProducts[Code],tblProducts[Selling Price (excl. VAT)],0)</f>
        <v>250000</v>
      </c>
      <c r="K4267" s="5">
        <f>tblSales[[#This Row],[Qty]]*tblSales[[#This Row],[Unit Price]]</f>
        <v>2000000</v>
      </c>
      <c r="L4267" s="5">
        <f>ROUND(tblSales[[#This Row],[DPP (excl. VAT)]]*VATEff,0)</f>
        <v>220000</v>
      </c>
      <c r="M4267" s="5">
        <f>tblSales[[#This Row],[DPP (excl. VAT)]]+tblSales[[#This Row],[Output VAT]]</f>
        <v>2220000</v>
      </c>
      <c r="N4267" s="5">
        <f>tblSales[[#This Row],[Qty]]*_xlfn.XLOOKUP(tblSales[[#This Row],[Product Code]],tblProducts[Code],tblProducts[Unit Cost],0)</f>
        <v>1240000</v>
      </c>
      <c r="O4267" s="4" t="s">
        <v>4867</v>
      </c>
      <c r="P4267" s="4" t="s">
        <v>4860</v>
      </c>
      <c r="Q4267" s="1" t="str">
        <f>_xlfn.XLOOKUP(tblSales[[#This Row],[Channel Code]],tblChannels[Channel Code],tblChannels[Channel Name],"")</f>
        <v>In-store</v>
      </c>
      <c r="R4267" s="1">
        <f>MONTH(tblSales[[#This Row],[Date]])</f>
        <v>9</v>
      </c>
    </row>
    <row r="4268" spans="2:18" x14ac:dyDescent="0.35">
      <c r="B4268" s="113">
        <v>46278</v>
      </c>
      <c r="C4268" s="4" t="s">
        <v>2882</v>
      </c>
      <c r="D4268" s="4" t="s">
        <v>4627</v>
      </c>
      <c r="E4268" s="1" t="str">
        <f>_xlfn.XLOOKUP(tblSales[[#This Row],[Customer ID]],tblCustomers[Customer ID],tblCustomers[Customer Name],"⚠ Unknown")</f>
        <v>PT Kencana Wira Usaha</v>
      </c>
      <c r="F4268" s="4" t="s">
        <v>6</v>
      </c>
      <c r="G4268" s="1" t="str">
        <f>_xlfn.XLOOKUP(tblSales[[#This Row],[Product Code]],tblProducts[Code],tblProducts[Product / Service Name],"⚠ Unknown")</f>
        <v>Socks &amp; Accessories</v>
      </c>
      <c r="H4268" s="1" t="str">
        <f>_xlfn.XLOOKUP(tblSales[[#This Row],[Product Code]],tblProducts[Code],tblProducts[Category],"")</f>
        <v>Accessories &amp; Basics</v>
      </c>
      <c r="I4268" s="4">
        <v>8</v>
      </c>
      <c r="J4268" s="5">
        <f>_xlfn.XLOOKUP(tblSales[[#This Row],[Product Code]],tblProducts[Code],tblProducts[Selling Price (excl. VAT)],0)</f>
        <v>45000</v>
      </c>
      <c r="K4268" s="5">
        <f>tblSales[[#This Row],[Qty]]*tblSales[[#This Row],[Unit Price]]</f>
        <v>360000</v>
      </c>
      <c r="L4268" s="5">
        <f>ROUND(tblSales[[#This Row],[DPP (excl. VAT)]]*VATEff,0)</f>
        <v>39600</v>
      </c>
      <c r="M4268" s="5">
        <f>tblSales[[#This Row],[DPP (excl. VAT)]]+tblSales[[#This Row],[Output VAT]]</f>
        <v>399600</v>
      </c>
      <c r="N4268" s="5">
        <f>tblSales[[#This Row],[Qty]]*_xlfn.XLOOKUP(tblSales[[#This Row],[Product Code]],tblProducts[Code],tblProducts[Unit Cost],0)</f>
        <v>192000</v>
      </c>
      <c r="O4268" s="4" t="s">
        <v>4867</v>
      </c>
      <c r="P4268" s="4" t="s">
        <v>4862</v>
      </c>
      <c r="Q4268" s="1" t="str">
        <f>_xlfn.XLOOKUP(tblSales[[#This Row],[Channel Code]],tblChannels[Channel Code],tblChannels[Channel Name],"")</f>
        <v>Website &amp; Social Media</v>
      </c>
      <c r="R4268" s="1">
        <f>MONTH(tblSales[[#This Row],[Date]])</f>
        <v>9</v>
      </c>
    </row>
    <row r="4269" spans="2:18" x14ac:dyDescent="0.35">
      <c r="B4269" s="113">
        <v>46278</v>
      </c>
      <c r="C4269" s="4" t="s">
        <v>2882</v>
      </c>
      <c r="D4269" s="4" t="s">
        <v>4627</v>
      </c>
      <c r="E4269" s="1" t="str">
        <f>_xlfn.XLOOKUP(tblSales[[#This Row],[Customer ID]],tblCustomers[Customer ID],tblCustomers[Customer Name],"⚠ Unknown")</f>
        <v>PT Kencana Wira Usaha</v>
      </c>
      <c r="F4269" s="4" t="s">
        <v>13</v>
      </c>
      <c r="G4269" s="1" t="str">
        <f>_xlfn.XLOOKUP(tblSales[[#This Row],[Product Code]],tblProducts[Code],tblProducts[Product / Service Name],"⚠ Unknown")</f>
        <v>Backpack</v>
      </c>
      <c r="H4269" s="1" t="str">
        <f>_xlfn.XLOOKUP(tblSales[[#This Row],[Product Code]],tblProducts[Code],tblProducts[Category],"")</f>
        <v>Bags &amp; Gadgets</v>
      </c>
      <c r="I4269" s="4">
        <v>32</v>
      </c>
      <c r="J4269" s="5">
        <f>_xlfn.XLOOKUP(tblSales[[#This Row],[Product Code]],tblProducts[Code],tblProducts[Selling Price (excl. VAT)],0)</f>
        <v>500000</v>
      </c>
      <c r="K4269" s="5">
        <f>tblSales[[#This Row],[Qty]]*tblSales[[#This Row],[Unit Price]]</f>
        <v>16000000</v>
      </c>
      <c r="L4269" s="5">
        <f>ROUND(tblSales[[#This Row],[DPP (excl. VAT)]]*VATEff,0)</f>
        <v>1760000</v>
      </c>
      <c r="M4269" s="5">
        <f>tblSales[[#This Row],[DPP (excl. VAT)]]+tblSales[[#This Row],[Output VAT]]</f>
        <v>17760000</v>
      </c>
      <c r="N4269" s="5">
        <f>tblSales[[#This Row],[Qty]]*_xlfn.XLOOKUP(tblSales[[#This Row],[Product Code]],tblProducts[Code],tblProducts[Unit Cost],0)</f>
        <v>9280000</v>
      </c>
      <c r="O4269" s="4" t="s">
        <v>4867</v>
      </c>
      <c r="P4269" s="4" t="s">
        <v>4862</v>
      </c>
      <c r="Q4269" s="1" t="str">
        <f>_xlfn.XLOOKUP(tblSales[[#This Row],[Channel Code]],tblChannels[Channel Code],tblChannels[Channel Name],"")</f>
        <v>Website &amp; Social Media</v>
      </c>
      <c r="R4269" s="1">
        <f>MONTH(tblSales[[#This Row],[Date]])</f>
        <v>9</v>
      </c>
    </row>
    <row r="4270" spans="2:18" x14ac:dyDescent="0.35">
      <c r="B4270" s="113">
        <v>46278</v>
      </c>
      <c r="C4270" s="4" t="s">
        <v>2882</v>
      </c>
      <c r="D4270" s="4" t="s">
        <v>4627</v>
      </c>
      <c r="E4270" s="1" t="str">
        <f>_xlfn.XLOOKUP(tblSales[[#This Row],[Customer ID]],tblCustomers[Customer ID],tblCustomers[Customer Name],"⚠ Unknown")</f>
        <v>PT Kencana Wira Usaha</v>
      </c>
      <c r="F4270" s="4" t="s">
        <v>14</v>
      </c>
      <c r="G4270" s="1" t="str">
        <f>_xlfn.XLOOKUP(tblSales[[#This Row],[Product Code]],tblProducts[Code],tblProducts[Product / Service Name],"⚠ Unknown")</f>
        <v>Smartwatch</v>
      </c>
      <c r="H4270" s="1" t="str">
        <f>_xlfn.XLOOKUP(tblSales[[#This Row],[Product Code]],tblProducts[Code],tblProducts[Category],"")</f>
        <v>Bags &amp; Gadgets</v>
      </c>
      <c r="I4270" s="4">
        <v>24</v>
      </c>
      <c r="J4270" s="5">
        <f>_xlfn.XLOOKUP(tblSales[[#This Row],[Product Code]],tblProducts[Code],tblProducts[Selling Price (excl. VAT)],0)</f>
        <v>850000</v>
      </c>
      <c r="K4270" s="5">
        <f>tblSales[[#This Row],[Qty]]*tblSales[[#This Row],[Unit Price]]</f>
        <v>20400000</v>
      </c>
      <c r="L4270" s="5">
        <f>ROUND(tblSales[[#This Row],[DPP (excl. VAT)]]*VATEff,0)</f>
        <v>2244000</v>
      </c>
      <c r="M4270" s="5">
        <f>tblSales[[#This Row],[DPP (excl. VAT)]]+tblSales[[#This Row],[Output VAT]]</f>
        <v>22644000</v>
      </c>
      <c r="N4270" s="5">
        <f>tblSales[[#This Row],[Qty]]*_xlfn.XLOOKUP(tblSales[[#This Row],[Product Code]],tblProducts[Code],tblProducts[Unit Cost],0)</f>
        <v>13440000</v>
      </c>
      <c r="O4270" s="4" t="s">
        <v>4867</v>
      </c>
      <c r="P4270" s="4" t="s">
        <v>4862</v>
      </c>
      <c r="Q4270" s="1" t="str">
        <f>_xlfn.XLOOKUP(tblSales[[#This Row],[Channel Code]],tblChannels[Channel Code],tblChannels[Channel Name],"")</f>
        <v>Website &amp; Social Media</v>
      </c>
      <c r="R4270" s="1">
        <f>MONTH(tblSales[[#This Row],[Date]])</f>
        <v>9</v>
      </c>
    </row>
    <row r="4271" spans="2:18" x14ac:dyDescent="0.35">
      <c r="B4271" s="113">
        <v>46278</v>
      </c>
      <c r="C4271" s="4" t="s">
        <v>2883</v>
      </c>
      <c r="D4271" s="4" t="s">
        <v>4568</v>
      </c>
      <c r="E4271" s="1" t="str">
        <f>_xlfn.XLOOKUP(tblSales[[#This Row],[Customer ID]],tblCustomers[Customer ID],tblCustomers[Customer Name],"⚠ Unknown")</f>
        <v>Walk-in Customer</v>
      </c>
      <c r="F4271" s="4" t="s">
        <v>8</v>
      </c>
      <c r="G4271" s="1" t="str">
        <f>_xlfn.XLOOKUP(tblSales[[#This Row],[Product Code]],tblProducts[Code],tblProducts[Product / Service Name],"⚠ Unknown")</f>
        <v>Casual Shorts</v>
      </c>
      <c r="H4271" s="1" t="str">
        <f>_xlfn.XLOOKUP(tblSales[[#This Row],[Product Code]],tblProducts[Code],tblProducts[Category],"")</f>
        <v>Accessories &amp; Basics</v>
      </c>
      <c r="I4271" s="4">
        <v>4</v>
      </c>
      <c r="J4271" s="5">
        <f>_xlfn.XLOOKUP(tblSales[[#This Row],[Product Code]],tblProducts[Code],tblProducts[Selling Price (excl. VAT)],0)</f>
        <v>85000</v>
      </c>
      <c r="K4271" s="5">
        <f>tblSales[[#This Row],[Qty]]*tblSales[[#This Row],[Unit Price]]</f>
        <v>340000</v>
      </c>
      <c r="L4271" s="5">
        <f>ROUND(tblSales[[#This Row],[DPP (excl. VAT)]]*VATEff,0)</f>
        <v>37400</v>
      </c>
      <c r="M4271" s="5">
        <f>tblSales[[#This Row],[DPP (excl. VAT)]]+tblSales[[#This Row],[Output VAT]]</f>
        <v>377400</v>
      </c>
      <c r="N4271" s="5">
        <f>tblSales[[#This Row],[Qty]]*_xlfn.XLOOKUP(tblSales[[#This Row],[Product Code]],tblProducts[Code],tblProducts[Unit Cost],0)</f>
        <v>200000</v>
      </c>
      <c r="O4271" s="4" t="s">
        <v>4865</v>
      </c>
      <c r="P4271" s="4" t="s">
        <v>4860</v>
      </c>
      <c r="Q4271" s="1" t="str">
        <f>_xlfn.XLOOKUP(tblSales[[#This Row],[Channel Code]],tblChannels[Channel Code],tblChannels[Channel Name],"")</f>
        <v>In-store</v>
      </c>
      <c r="R4271" s="1">
        <f>MONTH(tblSales[[#This Row],[Date]])</f>
        <v>9</v>
      </c>
    </row>
    <row r="4272" spans="2:18" x14ac:dyDescent="0.35">
      <c r="B4272" s="113">
        <v>46278</v>
      </c>
      <c r="C4272" s="4" t="s">
        <v>2884</v>
      </c>
      <c r="D4272" s="4" t="s">
        <v>4568</v>
      </c>
      <c r="E4272" s="1" t="str">
        <f>_xlfn.XLOOKUP(tblSales[[#This Row],[Customer ID]],tblCustomers[Customer ID],tblCustomers[Customer Name],"⚠ Unknown")</f>
        <v>Walk-in Customer</v>
      </c>
      <c r="F4272" s="4" t="s">
        <v>9</v>
      </c>
      <c r="G4272" s="1" t="str">
        <f>_xlfn.XLOOKUP(tblSales[[#This Row],[Product Code]],tblProducts[Code],tblProducts[Product / Service Name],"⚠ Unknown")</f>
        <v>Casual Shirt</v>
      </c>
      <c r="H4272" s="1" t="str">
        <f>_xlfn.XLOOKUP(tblSales[[#This Row],[Product Code]],tblProducts[Code],tblProducts[Category],"")</f>
        <v>Apparel &amp; Footwear</v>
      </c>
      <c r="I4272" s="4">
        <v>3</v>
      </c>
      <c r="J4272" s="5">
        <f>_xlfn.XLOOKUP(tblSales[[#This Row],[Product Code]],tblProducts[Code],tblProducts[Selling Price (excl. VAT)],0)</f>
        <v>120000</v>
      </c>
      <c r="K4272" s="5">
        <f>tblSales[[#This Row],[Qty]]*tblSales[[#This Row],[Unit Price]]</f>
        <v>360000</v>
      </c>
      <c r="L4272" s="5">
        <f>ROUND(tblSales[[#This Row],[DPP (excl. VAT)]]*VATEff,0)</f>
        <v>39600</v>
      </c>
      <c r="M4272" s="5">
        <f>tblSales[[#This Row],[DPP (excl. VAT)]]+tblSales[[#This Row],[Output VAT]]</f>
        <v>399600</v>
      </c>
      <c r="N4272" s="5">
        <f>tblSales[[#This Row],[Qty]]*_xlfn.XLOOKUP(tblSales[[#This Row],[Product Code]],tblProducts[Code],tblProducts[Unit Cost],0)</f>
        <v>216000</v>
      </c>
      <c r="O4272" s="4" t="s">
        <v>4865</v>
      </c>
      <c r="P4272" s="4" t="s">
        <v>4860</v>
      </c>
      <c r="Q4272" s="1" t="str">
        <f>_xlfn.XLOOKUP(tblSales[[#This Row],[Channel Code]],tblChannels[Channel Code],tblChannels[Channel Name],"")</f>
        <v>In-store</v>
      </c>
      <c r="R4272" s="1">
        <f>MONTH(tblSales[[#This Row],[Date]])</f>
        <v>9</v>
      </c>
    </row>
    <row r="4273" spans="2:18" x14ac:dyDescent="0.35">
      <c r="B4273" s="113">
        <v>46278</v>
      </c>
      <c r="C4273" s="4" t="s">
        <v>2885</v>
      </c>
      <c r="D4273" s="4" t="s">
        <v>4568</v>
      </c>
      <c r="E4273" s="1" t="str">
        <f>_xlfn.XLOOKUP(tblSales[[#This Row],[Customer ID]],tblCustomers[Customer ID],tblCustomers[Customer Name],"⚠ Unknown")</f>
        <v>Walk-in Customer</v>
      </c>
      <c r="F4273" s="4" t="s">
        <v>10</v>
      </c>
      <c r="G4273" s="1" t="str">
        <f>_xlfn.XLOOKUP(tblSales[[#This Row],[Product Code]],tblProducts[Code],tblProducts[Product / Service Name],"⚠ Unknown")</f>
        <v>Chino Pants</v>
      </c>
      <c r="H4273" s="1" t="str">
        <f>_xlfn.XLOOKUP(tblSales[[#This Row],[Product Code]],tblProducts[Code],tblProducts[Category],"")</f>
        <v>Apparel &amp; Footwear</v>
      </c>
      <c r="I4273" s="4">
        <v>8</v>
      </c>
      <c r="J4273" s="5">
        <f>_xlfn.XLOOKUP(tblSales[[#This Row],[Product Code]],tblProducts[Code],tblProducts[Selling Price (excl. VAT)],0)</f>
        <v>150000</v>
      </c>
      <c r="K4273" s="5">
        <f>tblSales[[#This Row],[Qty]]*tblSales[[#This Row],[Unit Price]]</f>
        <v>1200000</v>
      </c>
      <c r="L4273" s="5">
        <f>ROUND(tblSales[[#This Row],[DPP (excl. VAT)]]*VATEff,0)</f>
        <v>132000</v>
      </c>
      <c r="M4273" s="5">
        <f>tblSales[[#This Row],[DPP (excl. VAT)]]+tblSales[[#This Row],[Output VAT]]</f>
        <v>1332000</v>
      </c>
      <c r="N4273" s="5">
        <f>tblSales[[#This Row],[Qty]]*_xlfn.XLOOKUP(tblSales[[#This Row],[Product Code]],tblProducts[Code],tblProducts[Unit Cost],0)</f>
        <v>704000</v>
      </c>
      <c r="O4273" s="4" t="s">
        <v>4866</v>
      </c>
      <c r="P4273" s="4" t="s">
        <v>4862</v>
      </c>
      <c r="Q4273" s="1" t="str">
        <f>_xlfn.XLOOKUP(tblSales[[#This Row],[Channel Code]],tblChannels[Channel Code],tblChannels[Channel Name],"")</f>
        <v>Website &amp; Social Media</v>
      </c>
      <c r="R4273" s="1">
        <f>MONTH(tblSales[[#This Row],[Date]])</f>
        <v>9</v>
      </c>
    </row>
    <row r="4274" spans="2:18" x14ac:dyDescent="0.35">
      <c r="B4274" s="113">
        <v>46279</v>
      </c>
      <c r="C4274" s="4" t="s">
        <v>2886</v>
      </c>
      <c r="D4274" s="4" t="s">
        <v>4593</v>
      </c>
      <c r="E4274" s="1" t="str">
        <f>_xlfn.XLOOKUP(tblSales[[#This Row],[Customer ID]],tblCustomers[Customer ID],tblCustomers[Customer Name],"⚠ Unknown")</f>
        <v>PT Graha Nusa Persada</v>
      </c>
      <c r="F4274" s="4" t="s">
        <v>8</v>
      </c>
      <c r="G4274" s="1" t="str">
        <f>_xlfn.XLOOKUP(tblSales[[#This Row],[Product Code]],tblProducts[Code],tblProducts[Product / Service Name],"⚠ Unknown")</f>
        <v>Casual Shorts</v>
      </c>
      <c r="H4274" s="1" t="str">
        <f>_xlfn.XLOOKUP(tblSales[[#This Row],[Product Code]],tblProducts[Code],tblProducts[Category],"")</f>
        <v>Accessories &amp; Basics</v>
      </c>
      <c r="I4274" s="4">
        <v>48</v>
      </c>
      <c r="J4274" s="5">
        <f>_xlfn.XLOOKUP(tblSales[[#This Row],[Product Code]],tblProducts[Code],tblProducts[Selling Price (excl. VAT)],0)</f>
        <v>85000</v>
      </c>
      <c r="K4274" s="5">
        <f>tblSales[[#This Row],[Qty]]*tblSales[[#This Row],[Unit Price]]</f>
        <v>4080000</v>
      </c>
      <c r="L4274" s="5">
        <f>ROUND(tblSales[[#This Row],[DPP (excl. VAT)]]*VATEff,0)</f>
        <v>448800</v>
      </c>
      <c r="M4274" s="5">
        <f>tblSales[[#This Row],[DPP (excl. VAT)]]+tblSales[[#This Row],[Output VAT]]</f>
        <v>4528800</v>
      </c>
      <c r="N4274" s="5">
        <f>tblSales[[#This Row],[Qty]]*_xlfn.XLOOKUP(tblSales[[#This Row],[Product Code]],tblProducts[Code],tblProducts[Unit Cost],0)</f>
        <v>2400000</v>
      </c>
      <c r="O4274" s="4" t="s">
        <v>4867</v>
      </c>
      <c r="P4274" s="4" t="s">
        <v>4860</v>
      </c>
      <c r="Q4274" s="1" t="str">
        <f>_xlfn.XLOOKUP(tblSales[[#This Row],[Channel Code]],tblChannels[Channel Code],tblChannels[Channel Name],"")</f>
        <v>In-store</v>
      </c>
      <c r="R4274" s="1">
        <f>MONTH(tblSales[[#This Row],[Date]])</f>
        <v>9</v>
      </c>
    </row>
    <row r="4275" spans="2:18" x14ac:dyDescent="0.35">
      <c r="B4275" s="113">
        <v>46279</v>
      </c>
      <c r="C4275" s="4" t="s">
        <v>2886</v>
      </c>
      <c r="D4275" s="4" t="s">
        <v>4593</v>
      </c>
      <c r="E4275" s="1" t="str">
        <f>_xlfn.XLOOKUP(tblSales[[#This Row],[Customer ID]],tblCustomers[Customer ID],tblCustomers[Customer Name],"⚠ Unknown")</f>
        <v>PT Graha Nusa Persada</v>
      </c>
      <c r="F4275" s="4" t="s">
        <v>6</v>
      </c>
      <c r="G4275" s="1" t="str">
        <f>_xlfn.XLOOKUP(tblSales[[#This Row],[Product Code]],tblProducts[Code],tblProducts[Product / Service Name],"⚠ Unknown")</f>
        <v>Socks &amp; Accessories</v>
      </c>
      <c r="H4275" s="1" t="str">
        <f>_xlfn.XLOOKUP(tblSales[[#This Row],[Product Code]],tblProducts[Code],tblProducts[Category],"")</f>
        <v>Accessories &amp; Basics</v>
      </c>
      <c r="I4275" s="4">
        <v>48</v>
      </c>
      <c r="J4275" s="5">
        <f>_xlfn.XLOOKUP(tblSales[[#This Row],[Product Code]],tblProducts[Code],tblProducts[Selling Price (excl. VAT)],0)</f>
        <v>45000</v>
      </c>
      <c r="K4275" s="5">
        <f>tblSales[[#This Row],[Qty]]*tblSales[[#This Row],[Unit Price]]</f>
        <v>2160000</v>
      </c>
      <c r="L4275" s="5">
        <f>ROUND(tblSales[[#This Row],[DPP (excl. VAT)]]*VATEff,0)</f>
        <v>237600</v>
      </c>
      <c r="M4275" s="5">
        <f>tblSales[[#This Row],[DPP (excl. VAT)]]+tblSales[[#This Row],[Output VAT]]</f>
        <v>2397600</v>
      </c>
      <c r="N4275" s="5">
        <f>tblSales[[#This Row],[Qty]]*_xlfn.XLOOKUP(tblSales[[#This Row],[Product Code]],tblProducts[Code],tblProducts[Unit Cost],0)</f>
        <v>1152000</v>
      </c>
      <c r="O4275" s="4" t="s">
        <v>4867</v>
      </c>
      <c r="P4275" s="4" t="s">
        <v>4860</v>
      </c>
      <c r="Q4275" s="1" t="str">
        <f>_xlfn.XLOOKUP(tblSales[[#This Row],[Channel Code]],tblChannels[Channel Code],tblChannels[Channel Name],"")</f>
        <v>In-store</v>
      </c>
      <c r="R4275" s="1">
        <f>MONTH(tblSales[[#This Row],[Date]])</f>
        <v>9</v>
      </c>
    </row>
    <row r="4276" spans="2:18" x14ac:dyDescent="0.35">
      <c r="B4276" s="113">
        <v>46279</v>
      </c>
      <c r="C4276" s="4" t="s">
        <v>2887</v>
      </c>
      <c r="D4276" s="4" t="s">
        <v>4568</v>
      </c>
      <c r="E4276" s="1" t="str">
        <f>_xlfn.XLOOKUP(tblSales[[#This Row],[Customer ID]],tblCustomers[Customer ID],tblCustomers[Customer Name],"⚠ Unknown")</f>
        <v>Walk-in Customer</v>
      </c>
      <c r="F4276" s="4" t="s">
        <v>14</v>
      </c>
      <c r="G4276" s="1" t="str">
        <f>_xlfn.XLOOKUP(tblSales[[#This Row],[Product Code]],tblProducts[Code],tblProducts[Product / Service Name],"⚠ Unknown")</f>
        <v>Smartwatch</v>
      </c>
      <c r="H4276" s="1" t="str">
        <f>_xlfn.XLOOKUP(tblSales[[#This Row],[Product Code]],tblProducts[Code],tblProducts[Category],"")</f>
        <v>Bags &amp; Gadgets</v>
      </c>
      <c r="I4276" s="4">
        <v>3</v>
      </c>
      <c r="J4276" s="5">
        <f>_xlfn.XLOOKUP(tblSales[[#This Row],[Product Code]],tblProducts[Code],tblProducts[Selling Price (excl. VAT)],0)</f>
        <v>850000</v>
      </c>
      <c r="K4276" s="5">
        <f>tblSales[[#This Row],[Qty]]*tblSales[[#This Row],[Unit Price]]</f>
        <v>2550000</v>
      </c>
      <c r="L4276" s="5">
        <f>ROUND(tblSales[[#This Row],[DPP (excl. VAT)]]*VATEff,0)</f>
        <v>280500</v>
      </c>
      <c r="M4276" s="5">
        <f>tblSales[[#This Row],[DPP (excl. VAT)]]+tblSales[[#This Row],[Output VAT]]</f>
        <v>2830500</v>
      </c>
      <c r="N4276" s="5">
        <f>tblSales[[#This Row],[Qty]]*_xlfn.XLOOKUP(tblSales[[#This Row],[Product Code]],tblProducts[Code],tblProducts[Unit Cost],0)</f>
        <v>1680000</v>
      </c>
      <c r="O4276" s="4" t="s">
        <v>4865</v>
      </c>
      <c r="P4276" s="4" t="s">
        <v>4860</v>
      </c>
      <c r="Q4276" s="1" t="str">
        <f>_xlfn.XLOOKUP(tblSales[[#This Row],[Channel Code]],tblChannels[Channel Code],tblChannels[Channel Name],"")</f>
        <v>In-store</v>
      </c>
      <c r="R4276" s="1">
        <f>MONTH(tblSales[[#This Row],[Date]])</f>
        <v>9</v>
      </c>
    </row>
    <row r="4277" spans="2:18" x14ac:dyDescent="0.35">
      <c r="B4277" s="113">
        <v>46279</v>
      </c>
      <c r="C4277" s="4" t="s">
        <v>2888</v>
      </c>
      <c r="D4277" s="4" t="s">
        <v>4568</v>
      </c>
      <c r="E4277" s="1" t="str">
        <f>_xlfn.XLOOKUP(tblSales[[#This Row],[Customer ID]],tblCustomers[Customer ID],tblCustomers[Customer Name],"⚠ Unknown")</f>
        <v>Walk-in Customer</v>
      </c>
      <c r="F4277" s="4" t="s">
        <v>7</v>
      </c>
      <c r="G4277" s="1" t="str">
        <f>_xlfn.XLOOKUP(tblSales[[#This Row],[Product Code]],tblProducts[Code],tblProducts[Product / Service Name],"⚠ Unknown")</f>
        <v>Premium Basic T-shirt</v>
      </c>
      <c r="H4277" s="1" t="str">
        <f>_xlfn.XLOOKUP(tblSales[[#This Row],[Product Code]],tblProducts[Code],tblProducts[Category],"")</f>
        <v>Accessories &amp; Basics</v>
      </c>
      <c r="I4277" s="4">
        <v>10</v>
      </c>
      <c r="J4277" s="5">
        <f>_xlfn.XLOOKUP(tblSales[[#This Row],[Product Code]],tblProducts[Code],tblProducts[Selling Price (excl. VAT)],0)</f>
        <v>65000</v>
      </c>
      <c r="K4277" s="5">
        <f>tblSales[[#This Row],[Qty]]*tblSales[[#This Row],[Unit Price]]</f>
        <v>650000</v>
      </c>
      <c r="L4277" s="5">
        <f>ROUND(tblSales[[#This Row],[DPP (excl. VAT)]]*VATEff,0)</f>
        <v>71500</v>
      </c>
      <c r="M4277" s="5">
        <f>tblSales[[#This Row],[DPP (excl. VAT)]]+tblSales[[#This Row],[Output VAT]]</f>
        <v>721500</v>
      </c>
      <c r="N4277" s="5">
        <f>tblSales[[#This Row],[Qty]]*_xlfn.XLOOKUP(tblSales[[#This Row],[Product Code]],tblProducts[Code],tblProducts[Unit Cost],0)</f>
        <v>370000</v>
      </c>
      <c r="O4277" s="4" t="s">
        <v>4866</v>
      </c>
      <c r="P4277" s="4" t="s">
        <v>4861</v>
      </c>
      <c r="Q4277" s="1" t="str">
        <f>_xlfn.XLOOKUP(tblSales[[#This Row],[Channel Code]],tblChannels[Channel Code],tblChannels[Channel Name],"")</f>
        <v>Marketplace</v>
      </c>
      <c r="R4277" s="1">
        <f>MONTH(tblSales[[#This Row],[Date]])</f>
        <v>9</v>
      </c>
    </row>
    <row r="4278" spans="2:18" x14ac:dyDescent="0.35">
      <c r="B4278" s="113">
        <v>46279</v>
      </c>
      <c r="C4278" s="4" t="s">
        <v>2889</v>
      </c>
      <c r="D4278" s="4" t="s">
        <v>4578</v>
      </c>
      <c r="E4278" s="1" t="str">
        <f>_xlfn.XLOOKUP(tblSales[[#This Row],[Customer ID]],tblCustomers[Customer ID],tblCustomers[Customer Name],"⚠ Unknown")</f>
        <v>PT Bintang Timur Sejahtera</v>
      </c>
      <c r="F4278" s="4" t="s">
        <v>15</v>
      </c>
      <c r="G4278" s="1" t="str">
        <f>_xlfn.XLOOKUP(tblSales[[#This Row],[Product Code]],tblProducts[Code],tblProducts[Product / Service Name],"⚠ Unknown")</f>
        <v>Wireless Earbuds Pro</v>
      </c>
      <c r="H4278" s="1" t="str">
        <f>_xlfn.XLOOKUP(tblSales[[#This Row],[Product Code]],tblProducts[Code],tblProducts[Category],"")</f>
        <v>Bags &amp; Gadgets</v>
      </c>
      <c r="I4278" s="4">
        <v>8</v>
      </c>
      <c r="J4278" s="5">
        <f>_xlfn.XLOOKUP(tblSales[[#This Row],[Product Code]],tblProducts[Code],tblProducts[Selling Price (excl. VAT)],0)</f>
        <v>1250000</v>
      </c>
      <c r="K4278" s="5">
        <f>tblSales[[#This Row],[Qty]]*tblSales[[#This Row],[Unit Price]]</f>
        <v>10000000</v>
      </c>
      <c r="L4278" s="5">
        <f>ROUND(tblSales[[#This Row],[DPP (excl. VAT)]]*VATEff,0)</f>
        <v>1100000</v>
      </c>
      <c r="M4278" s="5">
        <f>tblSales[[#This Row],[DPP (excl. VAT)]]+tblSales[[#This Row],[Output VAT]]</f>
        <v>11100000</v>
      </c>
      <c r="N4278" s="5">
        <f>tblSales[[#This Row],[Qty]]*_xlfn.XLOOKUP(tblSales[[#This Row],[Product Code]],tblProducts[Code],tblProducts[Unit Cost],0)</f>
        <v>6560000</v>
      </c>
      <c r="O4278" s="4" t="s">
        <v>4867</v>
      </c>
      <c r="P4278" s="4" t="s">
        <v>4860</v>
      </c>
      <c r="Q4278" s="1" t="str">
        <f>_xlfn.XLOOKUP(tblSales[[#This Row],[Channel Code]],tblChannels[Channel Code],tblChannels[Channel Name],"")</f>
        <v>In-store</v>
      </c>
      <c r="R4278" s="1">
        <f>MONTH(tblSales[[#This Row],[Date]])</f>
        <v>9</v>
      </c>
    </row>
    <row r="4279" spans="2:18" x14ac:dyDescent="0.35">
      <c r="B4279" s="113">
        <v>46279</v>
      </c>
      <c r="C4279" s="4" t="s">
        <v>2890</v>
      </c>
      <c r="D4279" s="4" t="s">
        <v>4568</v>
      </c>
      <c r="E4279" s="1" t="str">
        <f>_xlfn.XLOOKUP(tblSales[[#This Row],[Customer ID]],tblCustomers[Customer ID],tblCustomers[Customer Name],"⚠ Unknown")</f>
        <v>Walk-in Customer</v>
      </c>
      <c r="F4279" s="4" t="s">
        <v>11</v>
      </c>
      <c r="G4279" s="1" t="str">
        <f>_xlfn.XLOOKUP(tblSales[[#This Row],[Product Code]],tblProducts[Code],tblProducts[Product / Service Name],"⚠ Unknown")</f>
        <v>Sneakers</v>
      </c>
      <c r="H4279" s="1" t="str">
        <f>_xlfn.XLOOKUP(tblSales[[#This Row],[Product Code]],tblProducts[Code],tblProducts[Category],"")</f>
        <v>Apparel &amp; Footwear</v>
      </c>
      <c r="I4279" s="4">
        <v>2</v>
      </c>
      <c r="J4279" s="5">
        <f>_xlfn.XLOOKUP(tblSales[[#This Row],[Product Code]],tblProducts[Code],tblProducts[Selling Price (excl. VAT)],0)</f>
        <v>250000</v>
      </c>
      <c r="K4279" s="5">
        <f>tblSales[[#This Row],[Qty]]*tblSales[[#This Row],[Unit Price]]</f>
        <v>500000</v>
      </c>
      <c r="L4279" s="5">
        <f>ROUND(tblSales[[#This Row],[DPP (excl. VAT)]]*VATEff,0)</f>
        <v>55000</v>
      </c>
      <c r="M4279" s="5">
        <f>tblSales[[#This Row],[DPP (excl. VAT)]]+tblSales[[#This Row],[Output VAT]]</f>
        <v>555000</v>
      </c>
      <c r="N4279" s="5">
        <f>tblSales[[#This Row],[Qty]]*_xlfn.XLOOKUP(tblSales[[#This Row],[Product Code]],tblProducts[Code],tblProducts[Unit Cost],0)</f>
        <v>310000</v>
      </c>
      <c r="O4279" s="4" t="s">
        <v>4866</v>
      </c>
      <c r="P4279" s="4" t="s">
        <v>4862</v>
      </c>
      <c r="Q4279" s="1" t="str">
        <f>_xlfn.XLOOKUP(tblSales[[#This Row],[Channel Code]],tblChannels[Channel Code],tblChannels[Channel Name],"")</f>
        <v>Website &amp; Social Media</v>
      </c>
      <c r="R4279" s="1">
        <f>MONTH(tblSales[[#This Row],[Date]])</f>
        <v>9</v>
      </c>
    </row>
    <row r="4280" spans="2:18" x14ac:dyDescent="0.35">
      <c r="B4280" s="113">
        <v>46279</v>
      </c>
      <c r="C4280" s="4" t="s">
        <v>2891</v>
      </c>
      <c r="D4280" s="4" t="s">
        <v>4568</v>
      </c>
      <c r="E4280" s="1" t="str">
        <f>_xlfn.XLOOKUP(tblSales[[#This Row],[Customer ID]],tblCustomers[Customer ID],tblCustomers[Customer Name],"⚠ Unknown")</f>
        <v>Walk-in Customer</v>
      </c>
      <c r="F4280" s="4" t="s">
        <v>10</v>
      </c>
      <c r="G4280" s="1" t="str">
        <f>_xlfn.XLOOKUP(tblSales[[#This Row],[Product Code]],tblProducts[Code],tblProducts[Product / Service Name],"⚠ Unknown")</f>
        <v>Chino Pants</v>
      </c>
      <c r="H4280" s="1" t="str">
        <f>_xlfn.XLOOKUP(tblSales[[#This Row],[Product Code]],tblProducts[Code],tblProducts[Category],"")</f>
        <v>Apparel &amp; Footwear</v>
      </c>
      <c r="I4280" s="4">
        <v>12</v>
      </c>
      <c r="J4280" s="5">
        <f>_xlfn.XLOOKUP(tblSales[[#This Row],[Product Code]],tblProducts[Code],tblProducts[Selling Price (excl. VAT)],0)</f>
        <v>150000</v>
      </c>
      <c r="K4280" s="5">
        <f>tblSales[[#This Row],[Qty]]*tblSales[[#This Row],[Unit Price]]</f>
        <v>1800000</v>
      </c>
      <c r="L4280" s="5">
        <f>ROUND(tblSales[[#This Row],[DPP (excl. VAT)]]*VATEff,0)</f>
        <v>198000</v>
      </c>
      <c r="M4280" s="5">
        <f>tblSales[[#This Row],[DPP (excl. VAT)]]+tblSales[[#This Row],[Output VAT]]</f>
        <v>1998000</v>
      </c>
      <c r="N4280" s="5">
        <f>tblSales[[#This Row],[Qty]]*_xlfn.XLOOKUP(tblSales[[#This Row],[Product Code]],tblProducts[Code],tblProducts[Unit Cost],0)</f>
        <v>1056000</v>
      </c>
      <c r="O4280" s="4" t="s">
        <v>4865</v>
      </c>
      <c r="P4280" s="4" t="s">
        <v>4860</v>
      </c>
      <c r="Q4280" s="1" t="str">
        <f>_xlfn.XLOOKUP(tblSales[[#This Row],[Channel Code]],tblChannels[Channel Code],tblChannels[Channel Name],"")</f>
        <v>In-store</v>
      </c>
      <c r="R4280" s="1">
        <f>MONTH(tblSales[[#This Row],[Date]])</f>
        <v>9</v>
      </c>
    </row>
    <row r="4281" spans="2:18" x14ac:dyDescent="0.35">
      <c r="B4281" s="113">
        <v>46279</v>
      </c>
      <c r="C4281" s="4" t="s">
        <v>2892</v>
      </c>
      <c r="D4281" s="4" t="s">
        <v>4568</v>
      </c>
      <c r="E4281" s="1" t="str">
        <f>_xlfn.XLOOKUP(tblSales[[#This Row],[Customer ID]],tblCustomers[Customer ID],tblCustomers[Customer Name],"⚠ Unknown")</f>
        <v>Walk-in Customer</v>
      </c>
      <c r="F4281" s="4" t="s">
        <v>7</v>
      </c>
      <c r="G4281" s="1" t="str">
        <f>_xlfn.XLOOKUP(tblSales[[#This Row],[Product Code]],tblProducts[Code],tblProducts[Product / Service Name],"⚠ Unknown")</f>
        <v>Premium Basic T-shirt</v>
      </c>
      <c r="H4281" s="1" t="str">
        <f>_xlfn.XLOOKUP(tblSales[[#This Row],[Product Code]],tblProducts[Code],tblProducts[Category],"")</f>
        <v>Accessories &amp; Basics</v>
      </c>
      <c r="I4281" s="4">
        <v>2</v>
      </c>
      <c r="J4281" s="5">
        <f>_xlfn.XLOOKUP(tblSales[[#This Row],[Product Code]],tblProducts[Code],tblProducts[Selling Price (excl. VAT)],0)</f>
        <v>65000</v>
      </c>
      <c r="K4281" s="5">
        <f>tblSales[[#This Row],[Qty]]*tblSales[[#This Row],[Unit Price]]</f>
        <v>130000</v>
      </c>
      <c r="L4281" s="5">
        <f>ROUND(tblSales[[#This Row],[DPP (excl. VAT)]]*VATEff,0)</f>
        <v>14300</v>
      </c>
      <c r="M4281" s="5">
        <f>tblSales[[#This Row],[DPP (excl. VAT)]]+tblSales[[#This Row],[Output VAT]]</f>
        <v>144300</v>
      </c>
      <c r="N4281" s="5">
        <f>tblSales[[#This Row],[Qty]]*_xlfn.XLOOKUP(tblSales[[#This Row],[Product Code]],tblProducts[Code],tblProducts[Unit Cost],0)</f>
        <v>74000</v>
      </c>
      <c r="O4281" s="4" t="s">
        <v>4866</v>
      </c>
      <c r="P4281" s="4" t="s">
        <v>4861</v>
      </c>
      <c r="Q4281" s="1" t="str">
        <f>_xlfn.XLOOKUP(tblSales[[#This Row],[Channel Code]],tblChannels[Channel Code],tblChannels[Channel Name],"")</f>
        <v>Marketplace</v>
      </c>
      <c r="R4281" s="1">
        <f>MONTH(tblSales[[#This Row],[Date]])</f>
        <v>9</v>
      </c>
    </row>
    <row r="4282" spans="2:18" x14ac:dyDescent="0.35">
      <c r="B4282" s="113">
        <v>46279</v>
      </c>
      <c r="C4282" s="4" t="s">
        <v>2893</v>
      </c>
      <c r="D4282" s="4" t="s">
        <v>4568</v>
      </c>
      <c r="E4282" s="1" t="str">
        <f>_xlfn.XLOOKUP(tblSales[[#This Row],[Customer ID]],tblCustomers[Customer ID],tblCustomers[Customer Name],"⚠ Unknown")</f>
        <v>Walk-in Customer</v>
      </c>
      <c r="F4282" s="4" t="s">
        <v>6</v>
      </c>
      <c r="G4282" s="1" t="str">
        <f>_xlfn.XLOOKUP(tblSales[[#This Row],[Product Code]],tblProducts[Code],tblProducts[Product / Service Name],"⚠ Unknown")</f>
        <v>Socks &amp; Accessories</v>
      </c>
      <c r="H4282" s="1" t="str">
        <f>_xlfn.XLOOKUP(tblSales[[#This Row],[Product Code]],tblProducts[Code],tblProducts[Category],"")</f>
        <v>Accessories &amp; Basics</v>
      </c>
      <c r="I4282" s="4">
        <v>1</v>
      </c>
      <c r="J4282" s="5">
        <f>_xlfn.XLOOKUP(tblSales[[#This Row],[Product Code]],tblProducts[Code],tblProducts[Selling Price (excl. VAT)],0)</f>
        <v>45000</v>
      </c>
      <c r="K4282" s="5">
        <f>tblSales[[#This Row],[Qty]]*tblSales[[#This Row],[Unit Price]]</f>
        <v>45000</v>
      </c>
      <c r="L4282" s="5">
        <f>ROUND(tblSales[[#This Row],[DPP (excl. VAT)]]*VATEff,0)</f>
        <v>4950</v>
      </c>
      <c r="M4282" s="5">
        <f>tblSales[[#This Row],[DPP (excl. VAT)]]+tblSales[[#This Row],[Output VAT]]</f>
        <v>49950</v>
      </c>
      <c r="N4282" s="5">
        <f>tblSales[[#This Row],[Qty]]*_xlfn.XLOOKUP(tblSales[[#This Row],[Product Code]],tblProducts[Code],tblProducts[Unit Cost],0)</f>
        <v>24000</v>
      </c>
      <c r="O4282" s="4" t="s">
        <v>4865</v>
      </c>
      <c r="P4282" s="4" t="s">
        <v>4860</v>
      </c>
      <c r="Q4282" s="1" t="str">
        <f>_xlfn.XLOOKUP(tblSales[[#This Row],[Channel Code]],tblChannels[Channel Code],tblChannels[Channel Name],"")</f>
        <v>In-store</v>
      </c>
      <c r="R4282" s="1">
        <f>MONTH(tblSales[[#This Row],[Date]])</f>
        <v>9</v>
      </c>
    </row>
    <row r="4283" spans="2:18" x14ac:dyDescent="0.35">
      <c r="B4283" s="113">
        <v>46279</v>
      </c>
      <c r="C4283" s="4" t="s">
        <v>2893</v>
      </c>
      <c r="D4283" s="4" t="s">
        <v>4568</v>
      </c>
      <c r="E4283" s="1" t="str">
        <f>_xlfn.XLOOKUP(tblSales[[#This Row],[Customer ID]],tblCustomers[Customer ID],tblCustomers[Customer Name],"⚠ Unknown")</f>
        <v>Walk-in Customer</v>
      </c>
      <c r="F4283" s="4" t="s">
        <v>13</v>
      </c>
      <c r="G4283" s="1" t="str">
        <f>_xlfn.XLOOKUP(tblSales[[#This Row],[Product Code]],tblProducts[Code],tblProducts[Product / Service Name],"⚠ Unknown")</f>
        <v>Backpack</v>
      </c>
      <c r="H4283" s="1" t="str">
        <f>_xlfn.XLOOKUP(tblSales[[#This Row],[Product Code]],tblProducts[Code],tblProducts[Category],"")</f>
        <v>Bags &amp; Gadgets</v>
      </c>
      <c r="I4283" s="4">
        <v>5</v>
      </c>
      <c r="J4283" s="5">
        <f>_xlfn.XLOOKUP(tblSales[[#This Row],[Product Code]],tblProducts[Code],tblProducts[Selling Price (excl. VAT)],0)</f>
        <v>500000</v>
      </c>
      <c r="K4283" s="5">
        <f>tblSales[[#This Row],[Qty]]*tblSales[[#This Row],[Unit Price]]</f>
        <v>2500000</v>
      </c>
      <c r="L4283" s="5">
        <f>ROUND(tblSales[[#This Row],[DPP (excl. VAT)]]*VATEff,0)</f>
        <v>275000</v>
      </c>
      <c r="M4283" s="5">
        <f>tblSales[[#This Row],[DPP (excl. VAT)]]+tblSales[[#This Row],[Output VAT]]</f>
        <v>2775000</v>
      </c>
      <c r="N4283" s="5">
        <f>tblSales[[#This Row],[Qty]]*_xlfn.XLOOKUP(tblSales[[#This Row],[Product Code]],tblProducts[Code],tblProducts[Unit Cost],0)</f>
        <v>1450000</v>
      </c>
      <c r="O4283" s="4" t="s">
        <v>4865</v>
      </c>
      <c r="P4283" s="4" t="s">
        <v>4860</v>
      </c>
      <c r="Q4283" s="1" t="str">
        <f>_xlfn.XLOOKUP(tblSales[[#This Row],[Channel Code]],tblChannels[Channel Code],tblChannels[Channel Name],"")</f>
        <v>In-store</v>
      </c>
      <c r="R4283" s="1">
        <f>MONTH(tblSales[[#This Row],[Date]])</f>
        <v>9</v>
      </c>
    </row>
    <row r="4284" spans="2:18" x14ac:dyDescent="0.35">
      <c r="B4284" s="113">
        <v>46279</v>
      </c>
      <c r="C4284" s="4" t="s">
        <v>2894</v>
      </c>
      <c r="D4284" s="4" t="s">
        <v>4568</v>
      </c>
      <c r="E4284" s="1" t="str">
        <f>_xlfn.XLOOKUP(tblSales[[#This Row],[Customer ID]],tblCustomers[Customer ID],tblCustomers[Customer Name],"⚠ Unknown")</f>
        <v>Walk-in Customer</v>
      </c>
      <c r="F4284" s="4" t="s">
        <v>10</v>
      </c>
      <c r="G4284" s="1" t="str">
        <f>_xlfn.XLOOKUP(tblSales[[#This Row],[Product Code]],tblProducts[Code],tblProducts[Product / Service Name],"⚠ Unknown")</f>
        <v>Chino Pants</v>
      </c>
      <c r="H4284" s="1" t="str">
        <f>_xlfn.XLOOKUP(tblSales[[#This Row],[Product Code]],tblProducts[Code],tblProducts[Category],"")</f>
        <v>Apparel &amp; Footwear</v>
      </c>
      <c r="I4284" s="4">
        <v>3</v>
      </c>
      <c r="J4284" s="5">
        <f>_xlfn.XLOOKUP(tblSales[[#This Row],[Product Code]],tblProducts[Code],tblProducts[Selling Price (excl. VAT)],0)</f>
        <v>150000</v>
      </c>
      <c r="K4284" s="5">
        <f>tblSales[[#This Row],[Qty]]*tblSales[[#This Row],[Unit Price]]</f>
        <v>450000</v>
      </c>
      <c r="L4284" s="5">
        <f>ROUND(tblSales[[#This Row],[DPP (excl. VAT)]]*VATEff,0)</f>
        <v>49500</v>
      </c>
      <c r="M4284" s="5">
        <f>tblSales[[#This Row],[DPP (excl. VAT)]]+tblSales[[#This Row],[Output VAT]]</f>
        <v>499500</v>
      </c>
      <c r="N4284" s="5">
        <f>tblSales[[#This Row],[Qty]]*_xlfn.XLOOKUP(tblSales[[#This Row],[Product Code]],tblProducts[Code],tblProducts[Unit Cost],0)</f>
        <v>264000</v>
      </c>
      <c r="O4284" s="4" t="s">
        <v>4865</v>
      </c>
      <c r="P4284" s="4" t="s">
        <v>4860</v>
      </c>
      <c r="Q4284" s="1" t="str">
        <f>_xlfn.XLOOKUP(tblSales[[#This Row],[Channel Code]],tblChannels[Channel Code],tblChannels[Channel Name],"")</f>
        <v>In-store</v>
      </c>
      <c r="R4284" s="1">
        <f>MONTH(tblSales[[#This Row],[Date]])</f>
        <v>9</v>
      </c>
    </row>
    <row r="4285" spans="2:18" x14ac:dyDescent="0.35">
      <c r="B4285" s="113">
        <v>46279</v>
      </c>
      <c r="C4285" s="4" t="s">
        <v>2895</v>
      </c>
      <c r="D4285" s="4" t="s">
        <v>4568</v>
      </c>
      <c r="E4285" s="1" t="str">
        <f>_xlfn.XLOOKUP(tblSales[[#This Row],[Customer ID]],tblCustomers[Customer ID],tblCustomers[Customer Name],"⚠ Unknown")</f>
        <v>Walk-in Customer</v>
      </c>
      <c r="F4285" s="4" t="s">
        <v>9</v>
      </c>
      <c r="G4285" s="1" t="str">
        <f>_xlfn.XLOOKUP(tblSales[[#This Row],[Product Code]],tblProducts[Code],tblProducts[Product / Service Name],"⚠ Unknown")</f>
        <v>Casual Shirt</v>
      </c>
      <c r="H4285" s="1" t="str">
        <f>_xlfn.XLOOKUP(tblSales[[#This Row],[Product Code]],tblProducts[Code],tblProducts[Category],"")</f>
        <v>Apparel &amp; Footwear</v>
      </c>
      <c r="I4285" s="4">
        <v>11</v>
      </c>
      <c r="J4285" s="5">
        <f>_xlfn.XLOOKUP(tblSales[[#This Row],[Product Code]],tblProducts[Code],tblProducts[Selling Price (excl. VAT)],0)</f>
        <v>120000</v>
      </c>
      <c r="K4285" s="5">
        <f>tblSales[[#This Row],[Qty]]*tblSales[[#This Row],[Unit Price]]</f>
        <v>1320000</v>
      </c>
      <c r="L4285" s="5">
        <f>ROUND(tblSales[[#This Row],[DPP (excl. VAT)]]*VATEff,0)</f>
        <v>145200</v>
      </c>
      <c r="M4285" s="5">
        <f>tblSales[[#This Row],[DPP (excl. VAT)]]+tblSales[[#This Row],[Output VAT]]</f>
        <v>1465200</v>
      </c>
      <c r="N4285" s="5">
        <f>tblSales[[#This Row],[Qty]]*_xlfn.XLOOKUP(tblSales[[#This Row],[Product Code]],tblProducts[Code],tblProducts[Unit Cost],0)</f>
        <v>792000</v>
      </c>
      <c r="O4285" s="4" t="s">
        <v>4866</v>
      </c>
      <c r="P4285" s="4" t="s">
        <v>4860</v>
      </c>
      <c r="Q4285" s="1" t="str">
        <f>_xlfn.XLOOKUP(tblSales[[#This Row],[Channel Code]],tblChannels[Channel Code],tblChannels[Channel Name],"")</f>
        <v>In-store</v>
      </c>
      <c r="R4285" s="1">
        <f>MONTH(tblSales[[#This Row],[Date]])</f>
        <v>9</v>
      </c>
    </row>
    <row r="4286" spans="2:18" x14ac:dyDescent="0.35">
      <c r="B4286" s="113">
        <v>46279</v>
      </c>
      <c r="C4286" s="4" t="s">
        <v>2895</v>
      </c>
      <c r="D4286" s="4" t="s">
        <v>4568</v>
      </c>
      <c r="E4286" s="1" t="str">
        <f>_xlfn.XLOOKUP(tblSales[[#This Row],[Customer ID]],tblCustomers[Customer ID],tblCustomers[Customer Name],"⚠ Unknown")</f>
        <v>Walk-in Customer</v>
      </c>
      <c r="F4286" s="4" t="s">
        <v>10</v>
      </c>
      <c r="G4286" s="1" t="str">
        <f>_xlfn.XLOOKUP(tblSales[[#This Row],[Product Code]],tblProducts[Code],tblProducts[Product / Service Name],"⚠ Unknown")</f>
        <v>Chino Pants</v>
      </c>
      <c r="H4286" s="1" t="str">
        <f>_xlfn.XLOOKUP(tblSales[[#This Row],[Product Code]],tblProducts[Code],tblProducts[Category],"")</f>
        <v>Apparel &amp; Footwear</v>
      </c>
      <c r="I4286" s="4">
        <v>6</v>
      </c>
      <c r="J4286" s="5">
        <f>_xlfn.XLOOKUP(tblSales[[#This Row],[Product Code]],tblProducts[Code],tblProducts[Selling Price (excl. VAT)],0)</f>
        <v>150000</v>
      </c>
      <c r="K4286" s="5">
        <f>tblSales[[#This Row],[Qty]]*tblSales[[#This Row],[Unit Price]]</f>
        <v>900000</v>
      </c>
      <c r="L4286" s="5">
        <f>ROUND(tblSales[[#This Row],[DPP (excl. VAT)]]*VATEff,0)</f>
        <v>99000</v>
      </c>
      <c r="M4286" s="5">
        <f>tblSales[[#This Row],[DPP (excl. VAT)]]+tblSales[[#This Row],[Output VAT]]</f>
        <v>999000</v>
      </c>
      <c r="N4286" s="5">
        <f>tblSales[[#This Row],[Qty]]*_xlfn.XLOOKUP(tblSales[[#This Row],[Product Code]],tblProducts[Code],tblProducts[Unit Cost],0)</f>
        <v>528000</v>
      </c>
      <c r="O4286" s="4" t="s">
        <v>4866</v>
      </c>
      <c r="P4286" s="4" t="s">
        <v>4860</v>
      </c>
      <c r="Q4286" s="1" t="str">
        <f>_xlfn.XLOOKUP(tblSales[[#This Row],[Channel Code]],tblChannels[Channel Code],tblChannels[Channel Name],"")</f>
        <v>In-store</v>
      </c>
      <c r="R4286" s="1">
        <f>MONTH(tblSales[[#This Row],[Date]])</f>
        <v>9</v>
      </c>
    </row>
    <row r="4287" spans="2:18" x14ac:dyDescent="0.35">
      <c r="B4287" s="113">
        <v>46279</v>
      </c>
      <c r="C4287" s="4" t="s">
        <v>2895</v>
      </c>
      <c r="D4287" s="4" t="s">
        <v>4568</v>
      </c>
      <c r="E4287" s="1" t="str">
        <f>_xlfn.XLOOKUP(tblSales[[#This Row],[Customer ID]],tblCustomers[Customer ID],tblCustomers[Customer Name],"⚠ Unknown")</f>
        <v>Walk-in Customer</v>
      </c>
      <c r="F4287" s="4" t="s">
        <v>11</v>
      </c>
      <c r="G4287" s="1" t="str">
        <f>_xlfn.XLOOKUP(tblSales[[#This Row],[Product Code]],tblProducts[Code],tblProducts[Product / Service Name],"⚠ Unknown")</f>
        <v>Sneakers</v>
      </c>
      <c r="H4287" s="1" t="str">
        <f>_xlfn.XLOOKUP(tblSales[[#This Row],[Product Code]],tblProducts[Code],tblProducts[Category],"")</f>
        <v>Apparel &amp; Footwear</v>
      </c>
      <c r="I4287" s="4">
        <v>5</v>
      </c>
      <c r="J4287" s="5">
        <f>_xlfn.XLOOKUP(tblSales[[#This Row],[Product Code]],tblProducts[Code],tblProducts[Selling Price (excl. VAT)],0)</f>
        <v>250000</v>
      </c>
      <c r="K4287" s="5">
        <f>tblSales[[#This Row],[Qty]]*tblSales[[#This Row],[Unit Price]]</f>
        <v>1250000</v>
      </c>
      <c r="L4287" s="5">
        <f>ROUND(tblSales[[#This Row],[DPP (excl. VAT)]]*VATEff,0)</f>
        <v>137500</v>
      </c>
      <c r="M4287" s="5">
        <f>tblSales[[#This Row],[DPP (excl. VAT)]]+tblSales[[#This Row],[Output VAT]]</f>
        <v>1387500</v>
      </c>
      <c r="N4287" s="5">
        <f>tblSales[[#This Row],[Qty]]*_xlfn.XLOOKUP(tblSales[[#This Row],[Product Code]],tblProducts[Code],tblProducts[Unit Cost],0)</f>
        <v>775000</v>
      </c>
      <c r="O4287" s="4" t="s">
        <v>4866</v>
      </c>
      <c r="P4287" s="4" t="s">
        <v>4860</v>
      </c>
      <c r="Q4287" s="1" t="str">
        <f>_xlfn.XLOOKUP(tblSales[[#This Row],[Channel Code]],tblChannels[Channel Code],tblChannels[Channel Name],"")</f>
        <v>In-store</v>
      </c>
      <c r="R4287" s="1">
        <f>MONTH(tblSales[[#This Row],[Date]])</f>
        <v>9</v>
      </c>
    </row>
    <row r="4288" spans="2:18" x14ac:dyDescent="0.35">
      <c r="B4288" s="113">
        <v>46279</v>
      </c>
      <c r="C4288" s="4" t="s">
        <v>2896</v>
      </c>
      <c r="D4288" s="4" t="s">
        <v>4568</v>
      </c>
      <c r="E4288" s="1" t="str">
        <f>_xlfn.XLOOKUP(tblSales[[#This Row],[Customer ID]],tblCustomers[Customer ID],tblCustomers[Customer Name],"⚠ Unknown")</f>
        <v>Walk-in Customer</v>
      </c>
      <c r="F4288" s="4" t="s">
        <v>8</v>
      </c>
      <c r="G4288" s="1" t="str">
        <f>_xlfn.XLOOKUP(tblSales[[#This Row],[Product Code]],tblProducts[Code],tblProducts[Product / Service Name],"⚠ Unknown")</f>
        <v>Casual Shorts</v>
      </c>
      <c r="H4288" s="1" t="str">
        <f>_xlfn.XLOOKUP(tblSales[[#This Row],[Product Code]],tblProducts[Code],tblProducts[Category],"")</f>
        <v>Accessories &amp; Basics</v>
      </c>
      <c r="I4288" s="4">
        <v>6</v>
      </c>
      <c r="J4288" s="5">
        <f>_xlfn.XLOOKUP(tblSales[[#This Row],[Product Code]],tblProducts[Code],tblProducts[Selling Price (excl. VAT)],0)</f>
        <v>85000</v>
      </c>
      <c r="K4288" s="5">
        <f>tblSales[[#This Row],[Qty]]*tblSales[[#This Row],[Unit Price]]</f>
        <v>510000</v>
      </c>
      <c r="L4288" s="5">
        <f>ROUND(tblSales[[#This Row],[DPP (excl. VAT)]]*VATEff,0)</f>
        <v>56100</v>
      </c>
      <c r="M4288" s="5">
        <f>tblSales[[#This Row],[DPP (excl. VAT)]]+tblSales[[#This Row],[Output VAT]]</f>
        <v>566100</v>
      </c>
      <c r="N4288" s="5">
        <f>tblSales[[#This Row],[Qty]]*_xlfn.XLOOKUP(tblSales[[#This Row],[Product Code]],tblProducts[Code],tblProducts[Unit Cost],0)</f>
        <v>300000</v>
      </c>
      <c r="O4288" s="4" t="s">
        <v>4866</v>
      </c>
      <c r="P4288" s="4" t="s">
        <v>4862</v>
      </c>
      <c r="Q4288" s="1" t="str">
        <f>_xlfn.XLOOKUP(tblSales[[#This Row],[Channel Code]],tblChannels[Channel Code],tblChannels[Channel Name],"")</f>
        <v>Website &amp; Social Media</v>
      </c>
      <c r="R4288" s="1">
        <f>MONTH(tblSales[[#This Row],[Date]])</f>
        <v>9</v>
      </c>
    </row>
    <row r="4289" spans="2:18" x14ac:dyDescent="0.35">
      <c r="B4289" s="113">
        <v>46280</v>
      </c>
      <c r="C4289" s="4" t="s">
        <v>2897</v>
      </c>
      <c r="D4289" s="4" t="s">
        <v>4568</v>
      </c>
      <c r="E4289" s="1" t="str">
        <f>_xlfn.XLOOKUP(tblSales[[#This Row],[Customer ID]],tblCustomers[Customer ID],tblCustomers[Customer Name],"⚠ Unknown")</f>
        <v>Walk-in Customer</v>
      </c>
      <c r="F4289" s="4" t="s">
        <v>6</v>
      </c>
      <c r="G4289" s="1" t="str">
        <f>_xlfn.XLOOKUP(tblSales[[#This Row],[Product Code]],tblProducts[Code],tblProducts[Product / Service Name],"⚠ Unknown")</f>
        <v>Socks &amp; Accessories</v>
      </c>
      <c r="H4289" s="1" t="str">
        <f>_xlfn.XLOOKUP(tblSales[[#This Row],[Product Code]],tblProducts[Code],tblProducts[Category],"")</f>
        <v>Accessories &amp; Basics</v>
      </c>
      <c r="I4289" s="4">
        <v>12</v>
      </c>
      <c r="J4289" s="5">
        <f>_xlfn.XLOOKUP(tblSales[[#This Row],[Product Code]],tblProducts[Code],tblProducts[Selling Price (excl. VAT)],0)</f>
        <v>45000</v>
      </c>
      <c r="K4289" s="5">
        <f>tblSales[[#This Row],[Qty]]*tblSales[[#This Row],[Unit Price]]</f>
        <v>540000</v>
      </c>
      <c r="L4289" s="5">
        <f>ROUND(tblSales[[#This Row],[DPP (excl. VAT)]]*VATEff,0)</f>
        <v>59400</v>
      </c>
      <c r="M4289" s="5">
        <f>tblSales[[#This Row],[DPP (excl. VAT)]]+tblSales[[#This Row],[Output VAT]]</f>
        <v>599400</v>
      </c>
      <c r="N4289" s="5">
        <f>tblSales[[#This Row],[Qty]]*_xlfn.XLOOKUP(tblSales[[#This Row],[Product Code]],tblProducts[Code],tblProducts[Unit Cost],0)</f>
        <v>288000</v>
      </c>
      <c r="O4289" s="4" t="s">
        <v>4865</v>
      </c>
      <c r="P4289" s="4" t="s">
        <v>4860</v>
      </c>
      <c r="Q4289" s="1" t="str">
        <f>_xlfn.XLOOKUP(tblSales[[#This Row],[Channel Code]],tblChannels[Channel Code],tblChannels[Channel Name],"")</f>
        <v>In-store</v>
      </c>
      <c r="R4289" s="1">
        <f>MONTH(tblSales[[#This Row],[Date]])</f>
        <v>9</v>
      </c>
    </row>
    <row r="4290" spans="2:18" x14ac:dyDescent="0.35">
      <c r="B4290" s="113">
        <v>46280</v>
      </c>
      <c r="C4290" s="4" t="s">
        <v>2898</v>
      </c>
      <c r="D4290" s="4" t="s">
        <v>4568</v>
      </c>
      <c r="E4290" s="1" t="str">
        <f>_xlfn.XLOOKUP(tblSales[[#This Row],[Customer ID]],tblCustomers[Customer ID],tblCustomers[Customer Name],"⚠ Unknown")</f>
        <v>Walk-in Customer</v>
      </c>
      <c r="F4290" s="4" t="s">
        <v>15</v>
      </c>
      <c r="G4290" s="1" t="str">
        <f>_xlfn.XLOOKUP(tblSales[[#This Row],[Product Code]],tblProducts[Code],tblProducts[Product / Service Name],"⚠ Unknown")</f>
        <v>Wireless Earbuds Pro</v>
      </c>
      <c r="H4290" s="1" t="str">
        <f>_xlfn.XLOOKUP(tblSales[[#This Row],[Product Code]],tblProducts[Code],tblProducts[Category],"")</f>
        <v>Bags &amp; Gadgets</v>
      </c>
      <c r="I4290" s="4">
        <v>2</v>
      </c>
      <c r="J4290" s="5">
        <f>_xlfn.XLOOKUP(tblSales[[#This Row],[Product Code]],tblProducts[Code],tblProducts[Selling Price (excl. VAT)],0)</f>
        <v>1250000</v>
      </c>
      <c r="K4290" s="5">
        <f>tblSales[[#This Row],[Qty]]*tblSales[[#This Row],[Unit Price]]</f>
        <v>2500000</v>
      </c>
      <c r="L4290" s="5">
        <f>ROUND(tblSales[[#This Row],[DPP (excl. VAT)]]*VATEff,0)</f>
        <v>275000</v>
      </c>
      <c r="M4290" s="5">
        <f>tblSales[[#This Row],[DPP (excl. VAT)]]+tblSales[[#This Row],[Output VAT]]</f>
        <v>2775000</v>
      </c>
      <c r="N4290" s="5">
        <f>tblSales[[#This Row],[Qty]]*_xlfn.XLOOKUP(tblSales[[#This Row],[Product Code]],tblProducts[Code],tblProducts[Unit Cost],0)</f>
        <v>1640000</v>
      </c>
      <c r="O4290" s="4" t="s">
        <v>4865</v>
      </c>
      <c r="P4290" s="4" t="s">
        <v>4860</v>
      </c>
      <c r="Q4290" s="1" t="str">
        <f>_xlfn.XLOOKUP(tblSales[[#This Row],[Channel Code]],tblChannels[Channel Code],tblChannels[Channel Name],"")</f>
        <v>In-store</v>
      </c>
      <c r="R4290" s="1">
        <f>MONTH(tblSales[[#This Row],[Date]])</f>
        <v>9</v>
      </c>
    </row>
    <row r="4291" spans="2:18" x14ac:dyDescent="0.35">
      <c r="B4291" s="113">
        <v>46280</v>
      </c>
      <c r="C4291" s="4" t="s">
        <v>2899</v>
      </c>
      <c r="D4291" s="4" t="s">
        <v>4648</v>
      </c>
      <c r="E4291" s="1" t="str">
        <f>_xlfn.XLOOKUP(tblSales[[#This Row],[Customer ID]],tblCustomers[Customer ID],tblCustomers[Customer Name],"⚠ Unknown")</f>
        <v>PT Lintas Benua Niaga</v>
      </c>
      <c r="F4291" s="4" t="s">
        <v>9</v>
      </c>
      <c r="G4291" s="1" t="str">
        <f>_xlfn.XLOOKUP(tblSales[[#This Row],[Product Code]],tblProducts[Code],tblProducts[Product / Service Name],"⚠ Unknown")</f>
        <v>Casual Shirt</v>
      </c>
      <c r="H4291" s="1" t="str">
        <f>_xlfn.XLOOKUP(tblSales[[#This Row],[Product Code]],tblProducts[Code],tblProducts[Category],"")</f>
        <v>Apparel &amp; Footwear</v>
      </c>
      <c r="I4291" s="4">
        <v>48</v>
      </c>
      <c r="J4291" s="5">
        <f>_xlfn.XLOOKUP(tblSales[[#This Row],[Product Code]],tblProducts[Code],tblProducts[Selling Price (excl. VAT)],0)</f>
        <v>120000</v>
      </c>
      <c r="K4291" s="5">
        <f>tblSales[[#This Row],[Qty]]*tblSales[[#This Row],[Unit Price]]</f>
        <v>5760000</v>
      </c>
      <c r="L4291" s="5">
        <f>ROUND(tblSales[[#This Row],[DPP (excl. VAT)]]*VATEff,0)</f>
        <v>633600</v>
      </c>
      <c r="M4291" s="5">
        <f>tblSales[[#This Row],[DPP (excl. VAT)]]+tblSales[[#This Row],[Output VAT]]</f>
        <v>6393600</v>
      </c>
      <c r="N4291" s="5">
        <f>tblSales[[#This Row],[Qty]]*_xlfn.XLOOKUP(tblSales[[#This Row],[Product Code]],tblProducts[Code],tblProducts[Unit Cost],0)</f>
        <v>3456000</v>
      </c>
      <c r="O4291" s="4" t="s">
        <v>4867</v>
      </c>
      <c r="P4291" s="4" t="s">
        <v>4862</v>
      </c>
      <c r="Q4291" s="1" t="str">
        <f>_xlfn.XLOOKUP(tblSales[[#This Row],[Channel Code]],tblChannels[Channel Code],tblChannels[Channel Name],"")</f>
        <v>Website &amp; Social Media</v>
      </c>
      <c r="R4291" s="1">
        <f>MONTH(tblSales[[#This Row],[Date]])</f>
        <v>9</v>
      </c>
    </row>
    <row r="4292" spans="2:18" x14ac:dyDescent="0.35">
      <c r="B4292" s="113">
        <v>46280</v>
      </c>
      <c r="C4292" s="4" t="s">
        <v>2900</v>
      </c>
      <c r="D4292" s="4" t="s">
        <v>4568</v>
      </c>
      <c r="E4292" s="1" t="str">
        <f>_xlfn.XLOOKUP(tblSales[[#This Row],[Customer ID]],tblCustomers[Customer ID],tblCustomers[Customer Name],"⚠ Unknown")</f>
        <v>Walk-in Customer</v>
      </c>
      <c r="F4292" s="4" t="s">
        <v>12</v>
      </c>
      <c r="G4292" s="1" t="str">
        <f>_xlfn.XLOOKUP(tblSales[[#This Row],[Product Code]],tblProducts[Code],tblProducts[Product / Service Name],"⚠ Unknown")</f>
        <v>Bomber Jacket</v>
      </c>
      <c r="H4292" s="1" t="str">
        <f>_xlfn.XLOOKUP(tblSales[[#This Row],[Product Code]],tblProducts[Code],tblProducts[Category],"")</f>
        <v>Apparel &amp; Footwear</v>
      </c>
      <c r="I4292" s="4">
        <v>6</v>
      </c>
      <c r="J4292" s="5">
        <f>_xlfn.XLOOKUP(tblSales[[#This Row],[Product Code]],tblProducts[Code],tblProducts[Selling Price (excl. VAT)],0)</f>
        <v>350000</v>
      </c>
      <c r="K4292" s="5">
        <f>tblSales[[#This Row],[Qty]]*tblSales[[#This Row],[Unit Price]]</f>
        <v>2100000</v>
      </c>
      <c r="L4292" s="5">
        <f>ROUND(tblSales[[#This Row],[DPP (excl. VAT)]]*VATEff,0)</f>
        <v>231000</v>
      </c>
      <c r="M4292" s="5">
        <f>tblSales[[#This Row],[DPP (excl. VAT)]]+tblSales[[#This Row],[Output VAT]]</f>
        <v>2331000</v>
      </c>
      <c r="N4292" s="5">
        <f>tblSales[[#This Row],[Qty]]*_xlfn.XLOOKUP(tblSales[[#This Row],[Product Code]],tblProducts[Code],tblProducts[Unit Cost],0)</f>
        <v>1260000</v>
      </c>
      <c r="O4292" s="4" t="s">
        <v>4865</v>
      </c>
      <c r="P4292" s="4" t="s">
        <v>4860</v>
      </c>
      <c r="Q4292" s="1" t="str">
        <f>_xlfn.XLOOKUP(tblSales[[#This Row],[Channel Code]],tblChannels[Channel Code],tblChannels[Channel Name],"")</f>
        <v>In-store</v>
      </c>
      <c r="R4292" s="1">
        <f>MONTH(tblSales[[#This Row],[Date]])</f>
        <v>9</v>
      </c>
    </row>
    <row r="4293" spans="2:18" x14ac:dyDescent="0.35">
      <c r="B4293" s="113">
        <v>46280</v>
      </c>
      <c r="C4293" s="4" t="s">
        <v>2901</v>
      </c>
      <c r="D4293" s="4" t="s">
        <v>4568</v>
      </c>
      <c r="E4293" s="1" t="str">
        <f>_xlfn.XLOOKUP(tblSales[[#This Row],[Customer ID]],tblCustomers[Customer ID],tblCustomers[Customer Name],"⚠ Unknown")</f>
        <v>Walk-in Customer</v>
      </c>
      <c r="F4293" s="4" t="s">
        <v>15</v>
      </c>
      <c r="G4293" s="1" t="str">
        <f>_xlfn.XLOOKUP(tblSales[[#This Row],[Product Code]],tblProducts[Code],tblProducts[Product / Service Name],"⚠ Unknown")</f>
        <v>Wireless Earbuds Pro</v>
      </c>
      <c r="H4293" s="1" t="str">
        <f>_xlfn.XLOOKUP(tblSales[[#This Row],[Product Code]],tblProducts[Code],tblProducts[Category],"")</f>
        <v>Bags &amp; Gadgets</v>
      </c>
      <c r="I4293" s="4">
        <v>2</v>
      </c>
      <c r="J4293" s="5">
        <f>_xlfn.XLOOKUP(tblSales[[#This Row],[Product Code]],tblProducts[Code],tblProducts[Selling Price (excl. VAT)],0)</f>
        <v>1250000</v>
      </c>
      <c r="K4293" s="5">
        <f>tblSales[[#This Row],[Qty]]*tblSales[[#This Row],[Unit Price]]</f>
        <v>2500000</v>
      </c>
      <c r="L4293" s="5">
        <f>ROUND(tblSales[[#This Row],[DPP (excl. VAT)]]*VATEff,0)</f>
        <v>275000</v>
      </c>
      <c r="M4293" s="5">
        <f>tblSales[[#This Row],[DPP (excl. VAT)]]+tblSales[[#This Row],[Output VAT]]</f>
        <v>2775000</v>
      </c>
      <c r="N4293" s="5">
        <f>tblSales[[#This Row],[Qty]]*_xlfn.XLOOKUP(tblSales[[#This Row],[Product Code]],tblProducts[Code],tblProducts[Unit Cost],0)</f>
        <v>1640000</v>
      </c>
      <c r="O4293" s="4" t="s">
        <v>4866</v>
      </c>
      <c r="P4293" s="4" t="s">
        <v>4861</v>
      </c>
      <c r="Q4293" s="1" t="str">
        <f>_xlfn.XLOOKUP(tblSales[[#This Row],[Channel Code]],tblChannels[Channel Code],tblChannels[Channel Name],"")</f>
        <v>Marketplace</v>
      </c>
      <c r="R4293" s="1">
        <f>MONTH(tblSales[[#This Row],[Date]])</f>
        <v>9</v>
      </c>
    </row>
    <row r="4294" spans="2:18" x14ac:dyDescent="0.35">
      <c r="B4294" s="113">
        <v>46280</v>
      </c>
      <c r="C4294" s="4" t="s">
        <v>2901</v>
      </c>
      <c r="D4294" s="4" t="s">
        <v>4568</v>
      </c>
      <c r="E4294" s="1" t="str">
        <f>_xlfn.XLOOKUP(tblSales[[#This Row],[Customer ID]],tblCustomers[Customer ID],tblCustomers[Customer Name],"⚠ Unknown")</f>
        <v>Walk-in Customer</v>
      </c>
      <c r="F4294" s="4" t="s">
        <v>6</v>
      </c>
      <c r="G4294" s="1" t="str">
        <f>_xlfn.XLOOKUP(tblSales[[#This Row],[Product Code]],tblProducts[Code],tblProducts[Product / Service Name],"⚠ Unknown")</f>
        <v>Socks &amp; Accessories</v>
      </c>
      <c r="H4294" s="1" t="str">
        <f>_xlfn.XLOOKUP(tblSales[[#This Row],[Product Code]],tblProducts[Code],tblProducts[Category],"")</f>
        <v>Accessories &amp; Basics</v>
      </c>
      <c r="I4294" s="4">
        <v>4</v>
      </c>
      <c r="J4294" s="5">
        <f>_xlfn.XLOOKUP(tblSales[[#This Row],[Product Code]],tblProducts[Code],tblProducts[Selling Price (excl. VAT)],0)</f>
        <v>45000</v>
      </c>
      <c r="K4294" s="5">
        <f>tblSales[[#This Row],[Qty]]*tblSales[[#This Row],[Unit Price]]</f>
        <v>180000</v>
      </c>
      <c r="L4294" s="5">
        <f>ROUND(tblSales[[#This Row],[DPP (excl. VAT)]]*VATEff,0)</f>
        <v>19800</v>
      </c>
      <c r="M4294" s="5">
        <f>tblSales[[#This Row],[DPP (excl. VAT)]]+tblSales[[#This Row],[Output VAT]]</f>
        <v>199800</v>
      </c>
      <c r="N4294" s="5">
        <f>tblSales[[#This Row],[Qty]]*_xlfn.XLOOKUP(tblSales[[#This Row],[Product Code]],tblProducts[Code],tblProducts[Unit Cost],0)</f>
        <v>96000</v>
      </c>
      <c r="O4294" s="4" t="s">
        <v>4866</v>
      </c>
      <c r="P4294" s="4" t="s">
        <v>4861</v>
      </c>
      <c r="Q4294" s="1" t="str">
        <f>_xlfn.XLOOKUP(tblSales[[#This Row],[Channel Code]],tblChannels[Channel Code],tblChannels[Channel Name],"")</f>
        <v>Marketplace</v>
      </c>
      <c r="R4294" s="1">
        <f>MONTH(tblSales[[#This Row],[Date]])</f>
        <v>9</v>
      </c>
    </row>
    <row r="4295" spans="2:18" x14ac:dyDescent="0.35">
      <c r="B4295" s="113">
        <v>46280</v>
      </c>
      <c r="C4295" s="4" t="s">
        <v>2902</v>
      </c>
      <c r="D4295" s="4" t="s">
        <v>4568</v>
      </c>
      <c r="E4295" s="1" t="str">
        <f>_xlfn.XLOOKUP(tblSales[[#This Row],[Customer ID]],tblCustomers[Customer ID],tblCustomers[Customer Name],"⚠ Unknown")</f>
        <v>Walk-in Customer</v>
      </c>
      <c r="F4295" s="4" t="s">
        <v>8</v>
      </c>
      <c r="G4295" s="1" t="str">
        <f>_xlfn.XLOOKUP(tblSales[[#This Row],[Product Code]],tblProducts[Code],tblProducts[Product / Service Name],"⚠ Unknown")</f>
        <v>Casual Shorts</v>
      </c>
      <c r="H4295" s="1" t="str">
        <f>_xlfn.XLOOKUP(tblSales[[#This Row],[Product Code]],tblProducts[Code],tblProducts[Category],"")</f>
        <v>Accessories &amp; Basics</v>
      </c>
      <c r="I4295" s="4">
        <v>11</v>
      </c>
      <c r="J4295" s="5">
        <f>_xlfn.XLOOKUP(tblSales[[#This Row],[Product Code]],tblProducts[Code],tblProducts[Selling Price (excl. VAT)],0)</f>
        <v>85000</v>
      </c>
      <c r="K4295" s="5">
        <f>tblSales[[#This Row],[Qty]]*tblSales[[#This Row],[Unit Price]]</f>
        <v>935000</v>
      </c>
      <c r="L4295" s="5">
        <f>ROUND(tblSales[[#This Row],[DPP (excl. VAT)]]*VATEff,0)</f>
        <v>102850</v>
      </c>
      <c r="M4295" s="5">
        <f>tblSales[[#This Row],[DPP (excl. VAT)]]+tblSales[[#This Row],[Output VAT]]</f>
        <v>1037850</v>
      </c>
      <c r="N4295" s="5">
        <f>tblSales[[#This Row],[Qty]]*_xlfn.XLOOKUP(tblSales[[#This Row],[Product Code]],tblProducts[Code],tblProducts[Unit Cost],0)</f>
        <v>550000</v>
      </c>
      <c r="O4295" s="4" t="s">
        <v>4866</v>
      </c>
      <c r="P4295" s="4" t="s">
        <v>4861</v>
      </c>
      <c r="Q4295" s="1" t="str">
        <f>_xlfn.XLOOKUP(tblSales[[#This Row],[Channel Code]],tblChannels[Channel Code],tblChannels[Channel Name],"")</f>
        <v>Marketplace</v>
      </c>
      <c r="R4295" s="1">
        <f>MONTH(tblSales[[#This Row],[Date]])</f>
        <v>9</v>
      </c>
    </row>
    <row r="4296" spans="2:18" x14ac:dyDescent="0.35">
      <c r="B4296" s="113">
        <v>46280</v>
      </c>
      <c r="C4296" s="4" t="s">
        <v>2902</v>
      </c>
      <c r="D4296" s="4" t="s">
        <v>4568</v>
      </c>
      <c r="E4296" s="1" t="str">
        <f>_xlfn.XLOOKUP(tblSales[[#This Row],[Customer ID]],tblCustomers[Customer ID],tblCustomers[Customer Name],"⚠ Unknown")</f>
        <v>Walk-in Customer</v>
      </c>
      <c r="F4296" s="4" t="s">
        <v>6</v>
      </c>
      <c r="G4296" s="1" t="str">
        <f>_xlfn.XLOOKUP(tblSales[[#This Row],[Product Code]],tblProducts[Code],tblProducts[Product / Service Name],"⚠ Unknown")</f>
        <v>Socks &amp; Accessories</v>
      </c>
      <c r="H4296" s="1" t="str">
        <f>_xlfn.XLOOKUP(tblSales[[#This Row],[Product Code]],tblProducts[Code],tblProducts[Category],"")</f>
        <v>Accessories &amp; Basics</v>
      </c>
      <c r="I4296" s="4">
        <v>6</v>
      </c>
      <c r="J4296" s="5">
        <f>_xlfn.XLOOKUP(tblSales[[#This Row],[Product Code]],tblProducts[Code],tblProducts[Selling Price (excl. VAT)],0)</f>
        <v>45000</v>
      </c>
      <c r="K4296" s="5">
        <f>tblSales[[#This Row],[Qty]]*tblSales[[#This Row],[Unit Price]]</f>
        <v>270000</v>
      </c>
      <c r="L4296" s="5">
        <f>ROUND(tblSales[[#This Row],[DPP (excl. VAT)]]*VATEff,0)</f>
        <v>29700</v>
      </c>
      <c r="M4296" s="5">
        <f>tblSales[[#This Row],[DPP (excl. VAT)]]+tblSales[[#This Row],[Output VAT]]</f>
        <v>299700</v>
      </c>
      <c r="N4296" s="5">
        <f>tblSales[[#This Row],[Qty]]*_xlfn.XLOOKUP(tblSales[[#This Row],[Product Code]],tblProducts[Code],tblProducts[Unit Cost],0)</f>
        <v>144000</v>
      </c>
      <c r="O4296" s="4" t="s">
        <v>4866</v>
      </c>
      <c r="P4296" s="4" t="s">
        <v>4861</v>
      </c>
      <c r="Q4296" s="1" t="str">
        <f>_xlfn.XLOOKUP(tblSales[[#This Row],[Channel Code]],tblChannels[Channel Code],tblChannels[Channel Name],"")</f>
        <v>Marketplace</v>
      </c>
      <c r="R4296" s="1">
        <f>MONTH(tblSales[[#This Row],[Date]])</f>
        <v>9</v>
      </c>
    </row>
    <row r="4297" spans="2:18" x14ac:dyDescent="0.35">
      <c r="B4297" s="113">
        <v>46280</v>
      </c>
      <c r="C4297" s="4" t="s">
        <v>2903</v>
      </c>
      <c r="D4297" s="4" t="s">
        <v>4568</v>
      </c>
      <c r="E4297" s="1" t="str">
        <f>_xlfn.XLOOKUP(tblSales[[#This Row],[Customer ID]],tblCustomers[Customer ID],tblCustomers[Customer Name],"⚠ Unknown")</f>
        <v>Walk-in Customer</v>
      </c>
      <c r="F4297" s="4" t="s">
        <v>7</v>
      </c>
      <c r="G4297" s="1" t="str">
        <f>_xlfn.XLOOKUP(tblSales[[#This Row],[Product Code]],tblProducts[Code],tblProducts[Product / Service Name],"⚠ Unknown")</f>
        <v>Premium Basic T-shirt</v>
      </c>
      <c r="H4297" s="1" t="str">
        <f>_xlfn.XLOOKUP(tblSales[[#This Row],[Product Code]],tblProducts[Code],tblProducts[Category],"")</f>
        <v>Accessories &amp; Basics</v>
      </c>
      <c r="I4297" s="4">
        <v>12</v>
      </c>
      <c r="J4297" s="5">
        <f>_xlfn.XLOOKUP(tblSales[[#This Row],[Product Code]],tblProducts[Code],tblProducts[Selling Price (excl. VAT)],0)</f>
        <v>65000</v>
      </c>
      <c r="K4297" s="5">
        <f>tblSales[[#This Row],[Qty]]*tblSales[[#This Row],[Unit Price]]</f>
        <v>780000</v>
      </c>
      <c r="L4297" s="5">
        <f>ROUND(tblSales[[#This Row],[DPP (excl. VAT)]]*VATEff,0)</f>
        <v>85800</v>
      </c>
      <c r="M4297" s="5">
        <f>tblSales[[#This Row],[DPP (excl. VAT)]]+tblSales[[#This Row],[Output VAT]]</f>
        <v>865800</v>
      </c>
      <c r="N4297" s="5">
        <f>tblSales[[#This Row],[Qty]]*_xlfn.XLOOKUP(tblSales[[#This Row],[Product Code]],tblProducts[Code],tblProducts[Unit Cost],0)</f>
        <v>444000</v>
      </c>
      <c r="O4297" s="4" t="s">
        <v>4866</v>
      </c>
      <c r="P4297" s="4" t="s">
        <v>4861</v>
      </c>
      <c r="Q4297" s="1" t="str">
        <f>_xlfn.XLOOKUP(tblSales[[#This Row],[Channel Code]],tblChannels[Channel Code],tblChannels[Channel Name],"")</f>
        <v>Marketplace</v>
      </c>
      <c r="R4297" s="1">
        <f>MONTH(tblSales[[#This Row],[Date]])</f>
        <v>9</v>
      </c>
    </row>
    <row r="4298" spans="2:18" x14ac:dyDescent="0.35">
      <c r="B4298" s="113">
        <v>46280</v>
      </c>
      <c r="C4298" s="4" t="s">
        <v>2904</v>
      </c>
      <c r="D4298" s="4" t="s">
        <v>4568</v>
      </c>
      <c r="E4298" s="1" t="str">
        <f>_xlfn.XLOOKUP(tblSales[[#This Row],[Customer ID]],tblCustomers[Customer ID],tblCustomers[Customer Name],"⚠ Unknown")</f>
        <v>Walk-in Customer</v>
      </c>
      <c r="F4298" s="4" t="s">
        <v>11</v>
      </c>
      <c r="G4298" s="1" t="str">
        <f>_xlfn.XLOOKUP(tblSales[[#This Row],[Product Code]],tblProducts[Code],tblProducts[Product / Service Name],"⚠ Unknown")</f>
        <v>Sneakers</v>
      </c>
      <c r="H4298" s="1" t="str">
        <f>_xlfn.XLOOKUP(tblSales[[#This Row],[Product Code]],tblProducts[Code],tblProducts[Category],"")</f>
        <v>Apparel &amp; Footwear</v>
      </c>
      <c r="I4298" s="4">
        <v>5</v>
      </c>
      <c r="J4298" s="5">
        <f>_xlfn.XLOOKUP(tblSales[[#This Row],[Product Code]],tblProducts[Code],tblProducts[Selling Price (excl. VAT)],0)</f>
        <v>250000</v>
      </c>
      <c r="K4298" s="5">
        <f>tblSales[[#This Row],[Qty]]*tblSales[[#This Row],[Unit Price]]</f>
        <v>1250000</v>
      </c>
      <c r="L4298" s="5">
        <f>ROUND(tblSales[[#This Row],[DPP (excl. VAT)]]*VATEff,0)</f>
        <v>137500</v>
      </c>
      <c r="M4298" s="5">
        <f>tblSales[[#This Row],[DPP (excl. VAT)]]+tblSales[[#This Row],[Output VAT]]</f>
        <v>1387500</v>
      </c>
      <c r="N4298" s="5">
        <f>tblSales[[#This Row],[Qty]]*_xlfn.XLOOKUP(tblSales[[#This Row],[Product Code]],tblProducts[Code],tblProducts[Unit Cost],0)</f>
        <v>775000</v>
      </c>
      <c r="O4298" s="4" t="s">
        <v>4866</v>
      </c>
      <c r="P4298" s="4" t="s">
        <v>4860</v>
      </c>
      <c r="Q4298" s="1" t="str">
        <f>_xlfn.XLOOKUP(tblSales[[#This Row],[Channel Code]],tblChannels[Channel Code],tblChannels[Channel Name],"")</f>
        <v>In-store</v>
      </c>
      <c r="R4298" s="1">
        <f>MONTH(tblSales[[#This Row],[Date]])</f>
        <v>9</v>
      </c>
    </row>
    <row r="4299" spans="2:18" x14ac:dyDescent="0.35">
      <c r="B4299" s="113">
        <v>46280</v>
      </c>
      <c r="C4299" s="4" t="s">
        <v>2905</v>
      </c>
      <c r="D4299" s="4" t="s">
        <v>4572</v>
      </c>
      <c r="E4299" s="1" t="str">
        <f>_xlfn.XLOOKUP(tblSales[[#This Row],[Customer ID]],tblCustomers[Customer ID],tblCustomers[Customer Name],"⚠ Unknown")</f>
        <v>PT Cahaya Abadi Makmur</v>
      </c>
      <c r="F4299" s="4" t="s">
        <v>14</v>
      </c>
      <c r="G4299" s="1" t="str">
        <f>_xlfn.XLOOKUP(tblSales[[#This Row],[Product Code]],tblProducts[Code],tblProducts[Product / Service Name],"⚠ Unknown")</f>
        <v>Smartwatch</v>
      </c>
      <c r="H4299" s="1" t="str">
        <f>_xlfn.XLOOKUP(tblSales[[#This Row],[Product Code]],tblProducts[Code],tblProducts[Category],"")</f>
        <v>Bags &amp; Gadgets</v>
      </c>
      <c r="I4299" s="4">
        <v>8</v>
      </c>
      <c r="J4299" s="5">
        <f>_xlfn.XLOOKUP(tblSales[[#This Row],[Product Code]],tblProducts[Code],tblProducts[Selling Price (excl. VAT)],0)</f>
        <v>850000</v>
      </c>
      <c r="K4299" s="5">
        <f>tblSales[[#This Row],[Qty]]*tblSales[[#This Row],[Unit Price]]</f>
        <v>6800000</v>
      </c>
      <c r="L4299" s="5">
        <f>ROUND(tblSales[[#This Row],[DPP (excl. VAT)]]*VATEff,0)</f>
        <v>748000</v>
      </c>
      <c r="M4299" s="5">
        <f>tblSales[[#This Row],[DPP (excl. VAT)]]+tblSales[[#This Row],[Output VAT]]</f>
        <v>7548000</v>
      </c>
      <c r="N4299" s="5">
        <f>tblSales[[#This Row],[Qty]]*_xlfn.XLOOKUP(tblSales[[#This Row],[Product Code]],tblProducts[Code],tblProducts[Unit Cost],0)</f>
        <v>4480000</v>
      </c>
      <c r="O4299" s="4" t="s">
        <v>4867</v>
      </c>
      <c r="P4299" s="4" t="s">
        <v>4860</v>
      </c>
      <c r="Q4299" s="1" t="str">
        <f>_xlfn.XLOOKUP(tblSales[[#This Row],[Channel Code]],tblChannels[Channel Code],tblChannels[Channel Name],"")</f>
        <v>In-store</v>
      </c>
      <c r="R4299" s="1">
        <f>MONTH(tblSales[[#This Row],[Date]])</f>
        <v>9</v>
      </c>
    </row>
    <row r="4300" spans="2:18" x14ac:dyDescent="0.35">
      <c r="B4300" s="113">
        <v>46280</v>
      </c>
      <c r="C4300" s="4" t="s">
        <v>2906</v>
      </c>
      <c r="D4300" s="4" t="s">
        <v>4568</v>
      </c>
      <c r="E4300" s="1" t="str">
        <f>_xlfn.XLOOKUP(tblSales[[#This Row],[Customer ID]],tblCustomers[Customer ID],tblCustomers[Customer Name],"⚠ Unknown")</f>
        <v>Walk-in Customer</v>
      </c>
      <c r="F4300" s="4" t="s">
        <v>15</v>
      </c>
      <c r="G4300" s="1" t="str">
        <f>_xlfn.XLOOKUP(tblSales[[#This Row],[Product Code]],tblProducts[Code],tblProducts[Product / Service Name],"⚠ Unknown")</f>
        <v>Wireless Earbuds Pro</v>
      </c>
      <c r="H4300" s="1" t="str">
        <f>_xlfn.XLOOKUP(tblSales[[#This Row],[Product Code]],tblProducts[Code],tblProducts[Category],"")</f>
        <v>Bags &amp; Gadgets</v>
      </c>
      <c r="I4300" s="4">
        <v>3</v>
      </c>
      <c r="J4300" s="5">
        <f>_xlfn.XLOOKUP(tblSales[[#This Row],[Product Code]],tblProducts[Code],tblProducts[Selling Price (excl. VAT)],0)</f>
        <v>1250000</v>
      </c>
      <c r="K4300" s="5">
        <f>tblSales[[#This Row],[Qty]]*tblSales[[#This Row],[Unit Price]]</f>
        <v>3750000</v>
      </c>
      <c r="L4300" s="5">
        <f>ROUND(tblSales[[#This Row],[DPP (excl. VAT)]]*VATEff,0)</f>
        <v>412500</v>
      </c>
      <c r="M4300" s="5">
        <f>tblSales[[#This Row],[DPP (excl. VAT)]]+tblSales[[#This Row],[Output VAT]]</f>
        <v>4162500</v>
      </c>
      <c r="N4300" s="5">
        <f>tblSales[[#This Row],[Qty]]*_xlfn.XLOOKUP(tblSales[[#This Row],[Product Code]],tblProducts[Code],tblProducts[Unit Cost],0)</f>
        <v>2460000</v>
      </c>
      <c r="O4300" s="4" t="s">
        <v>4866</v>
      </c>
      <c r="P4300" s="4" t="s">
        <v>4861</v>
      </c>
      <c r="Q4300" s="1" t="str">
        <f>_xlfn.XLOOKUP(tblSales[[#This Row],[Channel Code]],tblChannels[Channel Code],tblChannels[Channel Name],"")</f>
        <v>Marketplace</v>
      </c>
      <c r="R4300" s="1">
        <f>MONTH(tblSales[[#This Row],[Date]])</f>
        <v>9</v>
      </c>
    </row>
    <row r="4301" spans="2:18" x14ac:dyDescent="0.35">
      <c r="B4301" s="113">
        <v>46280</v>
      </c>
      <c r="C4301" s="4" t="s">
        <v>2907</v>
      </c>
      <c r="D4301" s="4" t="s">
        <v>4572</v>
      </c>
      <c r="E4301" s="1" t="str">
        <f>_xlfn.XLOOKUP(tblSales[[#This Row],[Customer ID]],tblCustomers[Customer ID],tblCustomers[Customer Name],"⚠ Unknown")</f>
        <v>PT Cahaya Abadi Makmur</v>
      </c>
      <c r="F4301" s="4" t="s">
        <v>10</v>
      </c>
      <c r="G4301" s="1" t="str">
        <f>_xlfn.XLOOKUP(tblSales[[#This Row],[Product Code]],tblProducts[Code],tblProducts[Product / Service Name],"⚠ Unknown")</f>
        <v>Chino Pants</v>
      </c>
      <c r="H4301" s="1" t="str">
        <f>_xlfn.XLOOKUP(tblSales[[#This Row],[Product Code]],tblProducts[Code],tblProducts[Category],"")</f>
        <v>Apparel &amp; Footwear</v>
      </c>
      <c r="I4301" s="4">
        <v>72</v>
      </c>
      <c r="J4301" s="5">
        <f>_xlfn.XLOOKUP(tblSales[[#This Row],[Product Code]],tblProducts[Code],tblProducts[Selling Price (excl. VAT)],0)</f>
        <v>150000</v>
      </c>
      <c r="K4301" s="5">
        <f>tblSales[[#This Row],[Qty]]*tblSales[[#This Row],[Unit Price]]</f>
        <v>10800000</v>
      </c>
      <c r="L4301" s="5">
        <f>ROUND(tblSales[[#This Row],[DPP (excl. VAT)]]*VATEff,0)</f>
        <v>1188000</v>
      </c>
      <c r="M4301" s="5">
        <f>tblSales[[#This Row],[DPP (excl. VAT)]]+tblSales[[#This Row],[Output VAT]]</f>
        <v>11988000</v>
      </c>
      <c r="N4301" s="5">
        <f>tblSales[[#This Row],[Qty]]*_xlfn.XLOOKUP(tblSales[[#This Row],[Product Code]],tblProducts[Code],tblProducts[Unit Cost],0)</f>
        <v>6336000</v>
      </c>
      <c r="O4301" s="4" t="s">
        <v>4867</v>
      </c>
      <c r="P4301" s="4" t="s">
        <v>4862</v>
      </c>
      <c r="Q4301" s="1" t="str">
        <f>_xlfn.XLOOKUP(tblSales[[#This Row],[Channel Code]],tblChannels[Channel Code],tblChannels[Channel Name],"")</f>
        <v>Website &amp; Social Media</v>
      </c>
      <c r="R4301" s="1">
        <f>MONTH(tblSales[[#This Row],[Date]])</f>
        <v>9</v>
      </c>
    </row>
    <row r="4302" spans="2:18" x14ac:dyDescent="0.35">
      <c r="B4302" s="113">
        <v>46281</v>
      </c>
      <c r="C4302" s="4" t="s">
        <v>2908</v>
      </c>
      <c r="D4302" s="4" t="s">
        <v>4568</v>
      </c>
      <c r="E4302" s="1" t="str">
        <f>_xlfn.XLOOKUP(tblSales[[#This Row],[Customer ID]],tblCustomers[Customer ID],tblCustomers[Customer Name],"⚠ Unknown")</f>
        <v>Walk-in Customer</v>
      </c>
      <c r="F4302" s="4" t="s">
        <v>7</v>
      </c>
      <c r="G4302" s="1" t="str">
        <f>_xlfn.XLOOKUP(tblSales[[#This Row],[Product Code]],tblProducts[Code],tblProducts[Product / Service Name],"⚠ Unknown")</f>
        <v>Premium Basic T-shirt</v>
      </c>
      <c r="H4302" s="1" t="str">
        <f>_xlfn.XLOOKUP(tblSales[[#This Row],[Product Code]],tblProducts[Code],tblProducts[Category],"")</f>
        <v>Accessories &amp; Basics</v>
      </c>
      <c r="I4302" s="4">
        <v>5</v>
      </c>
      <c r="J4302" s="5">
        <f>_xlfn.XLOOKUP(tblSales[[#This Row],[Product Code]],tblProducts[Code],tblProducts[Selling Price (excl. VAT)],0)</f>
        <v>65000</v>
      </c>
      <c r="K4302" s="5">
        <f>tblSales[[#This Row],[Qty]]*tblSales[[#This Row],[Unit Price]]</f>
        <v>325000</v>
      </c>
      <c r="L4302" s="5">
        <f>ROUND(tblSales[[#This Row],[DPP (excl. VAT)]]*VATEff,0)</f>
        <v>35750</v>
      </c>
      <c r="M4302" s="5">
        <f>tblSales[[#This Row],[DPP (excl. VAT)]]+tblSales[[#This Row],[Output VAT]]</f>
        <v>360750</v>
      </c>
      <c r="N4302" s="5">
        <f>tblSales[[#This Row],[Qty]]*_xlfn.XLOOKUP(tblSales[[#This Row],[Product Code]],tblProducts[Code],tblProducts[Unit Cost],0)</f>
        <v>185000</v>
      </c>
      <c r="O4302" s="4" t="s">
        <v>4865</v>
      </c>
      <c r="P4302" s="4" t="s">
        <v>4860</v>
      </c>
      <c r="Q4302" s="1" t="str">
        <f>_xlfn.XLOOKUP(tblSales[[#This Row],[Channel Code]],tblChannels[Channel Code],tblChannels[Channel Name],"")</f>
        <v>In-store</v>
      </c>
      <c r="R4302" s="1">
        <f>MONTH(tblSales[[#This Row],[Date]])</f>
        <v>9</v>
      </c>
    </row>
    <row r="4303" spans="2:18" x14ac:dyDescent="0.35">
      <c r="B4303" s="113">
        <v>46281</v>
      </c>
      <c r="C4303" s="4" t="s">
        <v>2909</v>
      </c>
      <c r="D4303" s="4" t="s">
        <v>4568</v>
      </c>
      <c r="E4303" s="1" t="str">
        <f>_xlfn.XLOOKUP(tblSales[[#This Row],[Customer ID]],tblCustomers[Customer ID],tblCustomers[Customer Name],"⚠ Unknown")</f>
        <v>Walk-in Customer</v>
      </c>
      <c r="F4303" s="4" t="s">
        <v>10</v>
      </c>
      <c r="G4303" s="1" t="str">
        <f>_xlfn.XLOOKUP(tblSales[[#This Row],[Product Code]],tblProducts[Code],tblProducts[Product / Service Name],"⚠ Unknown")</f>
        <v>Chino Pants</v>
      </c>
      <c r="H4303" s="1" t="str">
        <f>_xlfn.XLOOKUP(tblSales[[#This Row],[Product Code]],tblProducts[Code],tblProducts[Category],"")</f>
        <v>Apparel &amp; Footwear</v>
      </c>
      <c r="I4303" s="4">
        <v>12</v>
      </c>
      <c r="J4303" s="5">
        <f>_xlfn.XLOOKUP(tblSales[[#This Row],[Product Code]],tblProducts[Code],tblProducts[Selling Price (excl. VAT)],0)</f>
        <v>150000</v>
      </c>
      <c r="K4303" s="5">
        <f>tblSales[[#This Row],[Qty]]*tblSales[[#This Row],[Unit Price]]</f>
        <v>1800000</v>
      </c>
      <c r="L4303" s="5">
        <f>ROUND(tblSales[[#This Row],[DPP (excl. VAT)]]*VATEff,0)</f>
        <v>198000</v>
      </c>
      <c r="M4303" s="5">
        <f>tblSales[[#This Row],[DPP (excl. VAT)]]+tblSales[[#This Row],[Output VAT]]</f>
        <v>1998000</v>
      </c>
      <c r="N4303" s="5">
        <f>tblSales[[#This Row],[Qty]]*_xlfn.XLOOKUP(tblSales[[#This Row],[Product Code]],tblProducts[Code],tblProducts[Unit Cost],0)</f>
        <v>1056000</v>
      </c>
      <c r="O4303" s="4" t="s">
        <v>4865</v>
      </c>
      <c r="P4303" s="4" t="s">
        <v>4860</v>
      </c>
      <c r="Q4303" s="1" t="str">
        <f>_xlfn.XLOOKUP(tblSales[[#This Row],[Channel Code]],tblChannels[Channel Code],tblChannels[Channel Name],"")</f>
        <v>In-store</v>
      </c>
      <c r="R4303" s="1">
        <f>MONTH(tblSales[[#This Row],[Date]])</f>
        <v>9</v>
      </c>
    </row>
    <row r="4304" spans="2:18" x14ac:dyDescent="0.35">
      <c r="B4304" s="113">
        <v>46281</v>
      </c>
      <c r="C4304" s="4" t="s">
        <v>2909</v>
      </c>
      <c r="D4304" s="4" t="s">
        <v>4568</v>
      </c>
      <c r="E4304" s="1" t="str">
        <f>_xlfn.XLOOKUP(tblSales[[#This Row],[Customer ID]],tblCustomers[Customer ID],tblCustomers[Customer Name],"⚠ Unknown")</f>
        <v>Walk-in Customer</v>
      </c>
      <c r="F4304" s="4" t="s">
        <v>7</v>
      </c>
      <c r="G4304" s="1" t="str">
        <f>_xlfn.XLOOKUP(tblSales[[#This Row],[Product Code]],tblProducts[Code],tblProducts[Product / Service Name],"⚠ Unknown")</f>
        <v>Premium Basic T-shirt</v>
      </c>
      <c r="H4304" s="1" t="str">
        <f>_xlfn.XLOOKUP(tblSales[[#This Row],[Product Code]],tblProducts[Code],tblProducts[Category],"")</f>
        <v>Accessories &amp; Basics</v>
      </c>
      <c r="I4304" s="4">
        <v>6</v>
      </c>
      <c r="J4304" s="5">
        <f>_xlfn.XLOOKUP(tblSales[[#This Row],[Product Code]],tblProducts[Code],tblProducts[Selling Price (excl. VAT)],0)</f>
        <v>65000</v>
      </c>
      <c r="K4304" s="5">
        <f>tblSales[[#This Row],[Qty]]*tblSales[[#This Row],[Unit Price]]</f>
        <v>390000</v>
      </c>
      <c r="L4304" s="5">
        <f>ROUND(tblSales[[#This Row],[DPP (excl. VAT)]]*VATEff,0)</f>
        <v>42900</v>
      </c>
      <c r="M4304" s="5">
        <f>tblSales[[#This Row],[DPP (excl. VAT)]]+tblSales[[#This Row],[Output VAT]]</f>
        <v>432900</v>
      </c>
      <c r="N4304" s="5">
        <f>tblSales[[#This Row],[Qty]]*_xlfn.XLOOKUP(tblSales[[#This Row],[Product Code]],tblProducts[Code],tblProducts[Unit Cost],0)</f>
        <v>222000</v>
      </c>
      <c r="O4304" s="4" t="s">
        <v>4865</v>
      </c>
      <c r="P4304" s="4" t="s">
        <v>4860</v>
      </c>
      <c r="Q4304" s="1" t="str">
        <f>_xlfn.XLOOKUP(tblSales[[#This Row],[Channel Code]],tblChannels[Channel Code],tblChannels[Channel Name],"")</f>
        <v>In-store</v>
      </c>
      <c r="R4304" s="1">
        <f>MONTH(tblSales[[#This Row],[Date]])</f>
        <v>9</v>
      </c>
    </row>
    <row r="4305" spans="2:18" x14ac:dyDescent="0.35">
      <c r="B4305" s="113">
        <v>46281</v>
      </c>
      <c r="C4305" s="4" t="s">
        <v>2910</v>
      </c>
      <c r="D4305" s="4" t="s">
        <v>4568</v>
      </c>
      <c r="E4305" s="1" t="str">
        <f>_xlfn.XLOOKUP(tblSales[[#This Row],[Customer ID]],tblCustomers[Customer ID],tblCustomers[Customer Name],"⚠ Unknown")</f>
        <v>Walk-in Customer</v>
      </c>
      <c r="F4305" s="4" t="s">
        <v>11</v>
      </c>
      <c r="G4305" s="1" t="str">
        <f>_xlfn.XLOOKUP(tblSales[[#This Row],[Product Code]],tblProducts[Code],tblProducts[Product / Service Name],"⚠ Unknown")</f>
        <v>Sneakers</v>
      </c>
      <c r="H4305" s="1" t="str">
        <f>_xlfn.XLOOKUP(tblSales[[#This Row],[Product Code]],tblProducts[Code],tblProducts[Category],"")</f>
        <v>Apparel &amp; Footwear</v>
      </c>
      <c r="I4305" s="4">
        <v>1</v>
      </c>
      <c r="J4305" s="5">
        <f>_xlfn.XLOOKUP(tblSales[[#This Row],[Product Code]],tblProducts[Code],tblProducts[Selling Price (excl. VAT)],0)</f>
        <v>250000</v>
      </c>
      <c r="K4305" s="5">
        <f>tblSales[[#This Row],[Qty]]*tblSales[[#This Row],[Unit Price]]</f>
        <v>250000</v>
      </c>
      <c r="L4305" s="5">
        <f>ROUND(tblSales[[#This Row],[DPP (excl. VAT)]]*VATEff,0)</f>
        <v>27500</v>
      </c>
      <c r="M4305" s="5">
        <f>tblSales[[#This Row],[DPP (excl. VAT)]]+tblSales[[#This Row],[Output VAT]]</f>
        <v>277500</v>
      </c>
      <c r="N4305" s="5">
        <f>tblSales[[#This Row],[Qty]]*_xlfn.XLOOKUP(tblSales[[#This Row],[Product Code]],tblProducts[Code],tblProducts[Unit Cost],0)</f>
        <v>155000</v>
      </c>
      <c r="O4305" s="4" t="s">
        <v>4866</v>
      </c>
      <c r="P4305" s="4" t="s">
        <v>4860</v>
      </c>
      <c r="Q4305" s="1" t="str">
        <f>_xlfn.XLOOKUP(tblSales[[#This Row],[Channel Code]],tblChannels[Channel Code],tblChannels[Channel Name],"")</f>
        <v>In-store</v>
      </c>
      <c r="R4305" s="1">
        <f>MONTH(tblSales[[#This Row],[Date]])</f>
        <v>9</v>
      </c>
    </row>
    <row r="4306" spans="2:18" x14ac:dyDescent="0.35">
      <c r="B4306" s="113">
        <v>46281</v>
      </c>
      <c r="C4306" s="4" t="s">
        <v>2911</v>
      </c>
      <c r="D4306" s="4" t="s">
        <v>4568</v>
      </c>
      <c r="E4306" s="1" t="str">
        <f>_xlfn.XLOOKUP(tblSales[[#This Row],[Customer ID]],tblCustomers[Customer ID],tblCustomers[Customer Name],"⚠ Unknown")</f>
        <v>Walk-in Customer</v>
      </c>
      <c r="F4306" s="4" t="s">
        <v>13</v>
      </c>
      <c r="G4306" s="1" t="str">
        <f>_xlfn.XLOOKUP(tblSales[[#This Row],[Product Code]],tblProducts[Code],tblProducts[Product / Service Name],"⚠ Unknown")</f>
        <v>Backpack</v>
      </c>
      <c r="H4306" s="1" t="str">
        <f>_xlfn.XLOOKUP(tblSales[[#This Row],[Product Code]],tblProducts[Code],tblProducts[Category],"")</f>
        <v>Bags &amp; Gadgets</v>
      </c>
      <c r="I4306" s="4">
        <v>6</v>
      </c>
      <c r="J4306" s="5">
        <f>_xlfn.XLOOKUP(tblSales[[#This Row],[Product Code]],tblProducts[Code],tblProducts[Selling Price (excl. VAT)],0)</f>
        <v>500000</v>
      </c>
      <c r="K4306" s="5">
        <f>tblSales[[#This Row],[Qty]]*tblSales[[#This Row],[Unit Price]]</f>
        <v>3000000</v>
      </c>
      <c r="L4306" s="5">
        <f>ROUND(tblSales[[#This Row],[DPP (excl. VAT)]]*VATEff,0)</f>
        <v>330000</v>
      </c>
      <c r="M4306" s="5">
        <f>tblSales[[#This Row],[DPP (excl. VAT)]]+tblSales[[#This Row],[Output VAT]]</f>
        <v>3330000</v>
      </c>
      <c r="N4306" s="5">
        <f>tblSales[[#This Row],[Qty]]*_xlfn.XLOOKUP(tblSales[[#This Row],[Product Code]],tblProducts[Code],tblProducts[Unit Cost],0)</f>
        <v>1740000</v>
      </c>
      <c r="O4306" s="4" t="s">
        <v>4866</v>
      </c>
      <c r="P4306" s="4" t="s">
        <v>4862</v>
      </c>
      <c r="Q4306" s="1" t="str">
        <f>_xlfn.XLOOKUP(tblSales[[#This Row],[Channel Code]],tblChannels[Channel Code],tblChannels[Channel Name],"")</f>
        <v>Website &amp; Social Media</v>
      </c>
      <c r="R4306" s="1">
        <f>MONTH(tblSales[[#This Row],[Date]])</f>
        <v>9</v>
      </c>
    </row>
    <row r="4307" spans="2:18" x14ac:dyDescent="0.35">
      <c r="B4307" s="113">
        <v>46281</v>
      </c>
      <c r="C4307" s="4" t="s">
        <v>2912</v>
      </c>
      <c r="D4307" s="4" t="s">
        <v>4568</v>
      </c>
      <c r="E4307" s="1" t="str">
        <f>_xlfn.XLOOKUP(tblSales[[#This Row],[Customer ID]],tblCustomers[Customer ID],tblCustomers[Customer Name],"⚠ Unknown")</f>
        <v>Walk-in Customer</v>
      </c>
      <c r="F4307" s="4" t="s">
        <v>7</v>
      </c>
      <c r="G4307" s="1" t="str">
        <f>_xlfn.XLOOKUP(tblSales[[#This Row],[Product Code]],tblProducts[Code],tblProducts[Product / Service Name],"⚠ Unknown")</f>
        <v>Premium Basic T-shirt</v>
      </c>
      <c r="H4307" s="1" t="str">
        <f>_xlfn.XLOOKUP(tblSales[[#This Row],[Product Code]],tblProducts[Code],tblProducts[Category],"")</f>
        <v>Accessories &amp; Basics</v>
      </c>
      <c r="I4307" s="4">
        <v>10</v>
      </c>
      <c r="J4307" s="5">
        <f>_xlfn.XLOOKUP(tblSales[[#This Row],[Product Code]],tblProducts[Code],tblProducts[Selling Price (excl. VAT)],0)</f>
        <v>65000</v>
      </c>
      <c r="K4307" s="5">
        <f>tblSales[[#This Row],[Qty]]*tblSales[[#This Row],[Unit Price]]</f>
        <v>650000</v>
      </c>
      <c r="L4307" s="5">
        <f>ROUND(tblSales[[#This Row],[DPP (excl. VAT)]]*VATEff,0)</f>
        <v>71500</v>
      </c>
      <c r="M4307" s="5">
        <f>tblSales[[#This Row],[DPP (excl. VAT)]]+tblSales[[#This Row],[Output VAT]]</f>
        <v>721500</v>
      </c>
      <c r="N4307" s="5">
        <f>tblSales[[#This Row],[Qty]]*_xlfn.XLOOKUP(tblSales[[#This Row],[Product Code]],tblProducts[Code],tblProducts[Unit Cost],0)</f>
        <v>370000</v>
      </c>
      <c r="O4307" s="4" t="s">
        <v>4866</v>
      </c>
      <c r="P4307" s="4" t="s">
        <v>4862</v>
      </c>
      <c r="Q4307" s="1" t="str">
        <f>_xlfn.XLOOKUP(tblSales[[#This Row],[Channel Code]],tblChannels[Channel Code],tblChannels[Channel Name],"")</f>
        <v>Website &amp; Social Media</v>
      </c>
      <c r="R4307" s="1">
        <f>MONTH(tblSales[[#This Row],[Date]])</f>
        <v>9</v>
      </c>
    </row>
    <row r="4308" spans="2:18" x14ac:dyDescent="0.35">
      <c r="B4308" s="113">
        <v>46281</v>
      </c>
      <c r="C4308" s="4" t="s">
        <v>2913</v>
      </c>
      <c r="D4308" s="4" t="s">
        <v>4568</v>
      </c>
      <c r="E4308" s="1" t="str">
        <f>_xlfn.XLOOKUP(tblSales[[#This Row],[Customer ID]],tblCustomers[Customer ID],tblCustomers[Customer Name],"⚠ Unknown")</f>
        <v>Walk-in Customer</v>
      </c>
      <c r="F4308" s="4" t="s">
        <v>9</v>
      </c>
      <c r="G4308" s="1" t="str">
        <f>_xlfn.XLOOKUP(tblSales[[#This Row],[Product Code]],tblProducts[Code],tblProducts[Product / Service Name],"⚠ Unknown")</f>
        <v>Casual Shirt</v>
      </c>
      <c r="H4308" s="1" t="str">
        <f>_xlfn.XLOOKUP(tblSales[[#This Row],[Product Code]],tblProducts[Code],tblProducts[Category],"")</f>
        <v>Apparel &amp; Footwear</v>
      </c>
      <c r="I4308" s="4">
        <v>6</v>
      </c>
      <c r="J4308" s="5">
        <f>_xlfn.XLOOKUP(tblSales[[#This Row],[Product Code]],tblProducts[Code],tblProducts[Selling Price (excl. VAT)],0)</f>
        <v>120000</v>
      </c>
      <c r="K4308" s="5">
        <f>tblSales[[#This Row],[Qty]]*tblSales[[#This Row],[Unit Price]]</f>
        <v>720000</v>
      </c>
      <c r="L4308" s="5">
        <f>ROUND(tblSales[[#This Row],[DPP (excl. VAT)]]*VATEff,0)</f>
        <v>79200</v>
      </c>
      <c r="M4308" s="5">
        <f>tblSales[[#This Row],[DPP (excl. VAT)]]+tblSales[[#This Row],[Output VAT]]</f>
        <v>799200</v>
      </c>
      <c r="N4308" s="5">
        <f>tblSales[[#This Row],[Qty]]*_xlfn.XLOOKUP(tblSales[[#This Row],[Product Code]],tblProducts[Code],tblProducts[Unit Cost],0)</f>
        <v>432000</v>
      </c>
      <c r="O4308" s="4" t="s">
        <v>4865</v>
      </c>
      <c r="P4308" s="4" t="s">
        <v>4860</v>
      </c>
      <c r="Q4308" s="1" t="str">
        <f>_xlfn.XLOOKUP(tblSales[[#This Row],[Channel Code]],tblChannels[Channel Code],tblChannels[Channel Name],"")</f>
        <v>In-store</v>
      </c>
      <c r="R4308" s="1">
        <f>MONTH(tblSales[[#This Row],[Date]])</f>
        <v>9</v>
      </c>
    </row>
    <row r="4309" spans="2:18" x14ac:dyDescent="0.35">
      <c r="B4309" s="113">
        <v>46281</v>
      </c>
      <c r="C4309" s="4" t="s">
        <v>2914</v>
      </c>
      <c r="D4309" s="4" t="s">
        <v>4568</v>
      </c>
      <c r="E4309" s="1" t="str">
        <f>_xlfn.XLOOKUP(tblSales[[#This Row],[Customer ID]],tblCustomers[Customer ID],tblCustomers[Customer Name],"⚠ Unknown")</f>
        <v>Walk-in Customer</v>
      </c>
      <c r="F4309" s="4" t="s">
        <v>6</v>
      </c>
      <c r="G4309" s="1" t="str">
        <f>_xlfn.XLOOKUP(tblSales[[#This Row],[Product Code]],tblProducts[Code],tblProducts[Product / Service Name],"⚠ Unknown")</f>
        <v>Socks &amp; Accessories</v>
      </c>
      <c r="H4309" s="1" t="str">
        <f>_xlfn.XLOOKUP(tblSales[[#This Row],[Product Code]],tblProducts[Code],tblProducts[Category],"")</f>
        <v>Accessories &amp; Basics</v>
      </c>
      <c r="I4309" s="4">
        <v>6</v>
      </c>
      <c r="J4309" s="5">
        <f>_xlfn.XLOOKUP(tblSales[[#This Row],[Product Code]],tblProducts[Code],tblProducts[Selling Price (excl. VAT)],0)</f>
        <v>45000</v>
      </c>
      <c r="K4309" s="5">
        <f>tblSales[[#This Row],[Qty]]*tblSales[[#This Row],[Unit Price]]</f>
        <v>270000</v>
      </c>
      <c r="L4309" s="5">
        <f>ROUND(tblSales[[#This Row],[DPP (excl. VAT)]]*VATEff,0)</f>
        <v>29700</v>
      </c>
      <c r="M4309" s="5">
        <f>tblSales[[#This Row],[DPP (excl. VAT)]]+tblSales[[#This Row],[Output VAT]]</f>
        <v>299700</v>
      </c>
      <c r="N4309" s="5">
        <f>tblSales[[#This Row],[Qty]]*_xlfn.XLOOKUP(tblSales[[#This Row],[Product Code]],tblProducts[Code],tblProducts[Unit Cost],0)</f>
        <v>144000</v>
      </c>
      <c r="O4309" s="4" t="s">
        <v>4865</v>
      </c>
      <c r="P4309" s="4" t="s">
        <v>4860</v>
      </c>
      <c r="Q4309" s="1" t="str">
        <f>_xlfn.XLOOKUP(tblSales[[#This Row],[Channel Code]],tblChannels[Channel Code],tblChannels[Channel Name],"")</f>
        <v>In-store</v>
      </c>
      <c r="R4309" s="1">
        <f>MONTH(tblSales[[#This Row],[Date]])</f>
        <v>9</v>
      </c>
    </row>
    <row r="4310" spans="2:18" x14ac:dyDescent="0.35">
      <c r="B4310" s="113">
        <v>46281</v>
      </c>
      <c r="C4310" s="4" t="s">
        <v>2914</v>
      </c>
      <c r="D4310" s="4" t="s">
        <v>4568</v>
      </c>
      <c r="E4310" s="1" t="str">
        <f>_xlfn.XLOOKUP(tblSales[[#This Row],[Customer ID]],tblCustomers[Customer ID],tblCustomers[Customer Name],"⚠ Unknown")</f>
        <v>Walk-in Customer</v>
      </c>
      <c r="F4310" s="4" t="s">
        <v>13</v>
      </c>
      <c r="G4310" s="1" t="str">
        <f>_xlfn.XLOOKUP(tblSales[[#This Row],[Product Code]],tblProducts[Code],tblProducts[Product / Service Name],"⚠ Unknown")</f>
        <v>Backpack</v>
      </c>
      <c r="H4310" s="1" t="str">
        <f>_xlfn.XLOOKUP(tblSales[[#This Row],[Product Code]],tblProducts[Code],tblProducts[Category],"")</f>
        <v>Bags &amp; Gadgets</v>
      </c>
      <c r="I4310" s="4">
        <v>5</v>
      </c>
      <c r="J4310" s="5">
        <f>_xlfn.XLOOKUP(tblSales[[#This Row],[Product Code]],tblProducts[Code],tblProducts[Selling Price (excl. VAT)],0)</f>
        <v>500000</v>
      </c>
      <c r="K4310" s="5">
        <f>tblSales[[#This Row],[Qty]]*tblSales[[#This Row],[Unit Price]]</f>
        <v>2500000</v>
      </c>
      <c r="L4310" s="5">
        <f>ROUND(tblSales[[#This Row],[DPP (excl. VAT)]]*VATEff,0)</f>
        <v>275000</v>
      </c>
      <c r="M4310" s="5">
        <f>tblSales[[#This Row],[DPP (excl. VAT)]]+tblSales[[#This Row],[Output VAT]]</f>
        <v>2775000</v>
      </c>
      <c r="N4310" s="5">
        <f>tblSales[[#This Row],[Qty]]*_xlfn.XLOOKUP(tblSales[[#This Row],[Product Code]],tblProducts[Code],tblProducts[Unit Cost],0)</f>
        <v>1450000</v>
      </c>
      <c r="O4310" s="4" t="s">
        <v>4865</v>
      </c>
      <c r="P4310" s="4" t="s">
        <v>4860</v>
      </c>
      <c r="Q4310" s="1" t="str">
        <f>_xlfn.XLOOKUP(tblSales[[#This Row],[Channel Code]],tblChannels[Channel Code],tblChannels[Channel Name],"")</f>
        <v>In-store</v>
      </c>
      <c r="R4310" s="1">
        <f>MONTH(tblSales[[#This Row],[Date]])</f>
        <v>9</v>
      </c>
    </row>
    <row r="4311" spans="2:18" x14ac:dyDescent="0.35">
      <c r="B4311" s="113">
        <v>46281</v>
      </c>
      <c r="C4311" s="4" t="s">
        <v>2914</v>
      </c>
      <c r="D4311" s="4" t="s">
        <v>4568</v>
      </c>
      <c r="E4311" s="1" t="str">
        <f>_xlfn.XLOOKUP(tblSales[[#This Row],[Customer ID]],tblCustomers[Customer ID],tblCustomers[Customer Name],"⚠ Unknown")</f>
        <v>Walk-in Customer</v>
      </c>
      <c r="F4311" s="4" t="s">
        <v>9</v>
      </c>
      <c r="G4311" s="1" t="str">
        <f>_xlfn.XLOOKUP(tblSales[[#This Row],[Product Code]],tblProducts[Code],tblProducts[Product / Service Name],"⚠ Unknown")</f>
        <v>Casual Shirt</v>
      </c>
      <c r="H4311" s="1" t="str">
        <f>_xlfn.XLOOKUP(tblSales[[#This Row],[Product Code]],tblProducts[Code],tblProducts[Category],"")</f>
        <v>Apparel &amp; Footwear</v>
      </c>
      <c r="I4311" s="4">
        <v>8</v>
      </c>
      <c r="J4311" s="5">
        <f>_xlfn.XLOOKUP(tblSales[[#This Row],[Product Code]],tblProducts[Code],tblProducts[Selling Price (excl. VAT)],0)</f>
        <v>120000</v>
      </c>
      <c r="K4311" s="5">
        <f>tblSales[[#This Row],[Qty]]*tblSales[[#This Row],[Unit Price]]</f>
        <v>960000</v>
      </c>
      <c r="L4311" s="5">
        <f>ROUND(tblSales[[#This Row],[DPP (excl. VAT)]]*VATEff,0)</f>
        <v>105600</v>
      </c>
      <c r="M4311" s="5">
        <f>tblSales[[#This Row],[DPP (excl. VAT)]]+tblSales[[#This Row],[Output VAT]]</f>
        <v>1065600</v>
      </c>
      <c r="N4311" s="5">
        <f>tblSales[[#This Row],[Qty]]*_xlfn.XLOOKUP(tblSales[[#This Row],[Product Code]],tblProducts[Code],tblProducts[Unit Cost],0)</f>
        <v>576000</v>
      </c>
      <c r="O4311" s="4" t="s">
        <v>4865</v>
      </c>
      <c r="P4311" s="4" t="s">
        <v>4860</v>
      </c>
      <c r="Q4311" s="1" t="str">
        <f>_xlfn.XLOOKUP(tblSales[[#This Row],[Channel Code]],tblChannels[Channel Code],tblChannels[Channel Name],"")</f>
        <v>In-store</v>
      </c>
      <c r="R4311" s="1">
        <f>MONTH(tblSales[[#This Row],[Date]])</f>
        <v>9</v>
      </c>
    </row>
    <row r="4312" spans="2:18" x14ac:dyDescent="0.35">
      <c r="B4312" s="113">
        <v>46281</v>
      </c>
      <c r="C4312" s="4" t="s">
        <v>2915</v>
      </c>
      <c r="D4312" s="4" t="s">
        <v>4568</v>
      </c>
      <c r="E4312" s="1" t="str">
        <f>_xlfn.XLOOKUP(tblSales[[#This Row],[Customer ID]],tblCustomers[Customer ID],tblCustomers[Customer Name],"⚠ Unknown")</f>
        <v>Walk-in Customer</v>
      </c>
      <c r="F4312" s="4" t="s">
        <v>15</v>
      </c>
      <c r="G4312" s="1" t="str">
        <f>_xlfn.XLOOKUP(tblSales[[#This Row],[Product Code]],tblProducts[Code],tblProducts[Product / Service Name],"⚠ Unknown")</f>
        <v>Wireless Earbuds Pro</v>
      </c>
      <c r="H4312" s="1" t="str">
        <f>_xlfn.XLOOKUP(tblSales[[#This Row],[Product Code]],tblProducts[Code],tblProducts[Category],"")</f>
        <v>Bags &amp; Gadgets</v>
      </c>
      <c r="I4312" s="4">
        <v>3</v>
      </c>
      <c r="J4312" s="5">
        <f>_xlfn.XLOOKUP(tblSales[[#This Row],[Product Code]],tblProducts[Code],tblProducts[Selling Price (excl. VAT)],0)</f>
        <v>1250000</v>
      </c>
      <c r="K4312" s="5">
        <f>tblSales[[#This Row],[Qty]]*tblSales[[#This Row],[Unit Price]]</f>
        <v>3750000</v>
      </c>
      <c r="L4312" s="5">
        <f>ROUND(tblSales[[#This Row],[DPP (excl. VAT)]]*VATEff,0)</f>
        <v>412500</v>
      </c>
      <c r="M4312" s="5">
        <f>tblSales[[#This Row],[DPP (excl. VAT)]]+tblSales[[#This Row],[Output VAT]]</f>
        <v>4162500</v>
      </c>
      <c r="N4312" s="5">
        <f>tblSales[[#This Row],[Qty]]*_xlfn.XLOOKUP(tblSales[[#This Row],[Product Code]],tblProducts[Code],tblProducts[Unit Cost],0)</f>
        <v>2460000</v>
      </c>
      <c r="O4312" s="4" t="s">
        <v>4866</v>
      </c>
      <c r="P4312" s="4" t="s">
        <v>4861</v>
      </c>
      <c r="Q4312" s="1" t="str">
        <f>_xlfn.XLOOKUP(tblSales[[#This Row],[Channel Code]],tblChannels[Channel Code],tblChannels[Channel Name],"")</f>
        <v>Marketplace</v>
      </c>
      <c r="R4312" s="1">
        <f>MONTH(tblSales[[#This Row],[Date]])</f>
        <v>9</v>
      </c>
    </row>
    <row r="4313" spans="2:18" x14ac:dyDescent="0.35">
      <c r="B4313" s="113">
        <v>46282</v>
      </c>
      <c r="C4313" s="4" t="s">
        <v>2916</v>
      </c>
      <c r="D4313" s="4" t="s">
        <v>4568</v>
      </c>
      <c r="E4313" s="1" t="str">
        <f>_xlfn.XLOOKUP(tblSales[[#This Row],[Customer ID]],tblCustomers[Customer ID],tblCustomers[Customer Name],"⚠ Unknown")</f>
        <v>Walk-in Customer</v>
      </c>
      <c r="F4313" s="4" t="s">
        <v>11</v>
      </c>
      <c r="G4313" s="1" t="str">
        <f>_xlfn.XLOOKUP(tblSales[[#This Row],[Product Code]],tblProducts[Code],tblProducts[Product / Service Name],"⚠ Unknown")</f>
        <v>Sneakers</v>
      </c>
      <c r="H4313" s="1" t="str">
        <f>_xlfn.XLOOKUP(tblSales[[#This Row],[Product Code]],tblProducts[Code],tblProducts[Category],"")</f>
        <v>Apparel &amp; Footwear</v>
      </c>
      <c r="I4313" s="4">
        <v>1</v>
      </c>
      <c r="J4313" s="5">
        <f>_xlfn.XLOOKUP(tblSales[[#This Row],[Product Code]],tblProducts[Code],tblProducts[Selling Price (excl. VAT)],0)</f>
        <v>250000</v>
      </c>
      <c r="K4313" s="5">
        <f>tblSales[[#This Row],[Qty]]*tblSales[[#This Row],[Unit Price]]</f>
        <v>250000</v>
      </c>
      <c r="L4313" s="5">
        <f>ROUND(tblSales[[#This Row],[DPP (excl. VAT)]]*VATEff,0)</f>
        <v>27500</v>
      </c>
      <c r="M4313" s="5">
        <f>tblSales[[#This Row],[DPP (excl. VAT)]]+tblSales[[#This Row],[Output VAT]]</f>
        <v>277500</v>
      </c>
      <c r="N4313" s="5">
        <f>tblSales[[#This Row],[Qty]]*_xlfn.XLOOKUP(tblSales[[#This Row],[Product Code]],tblProducts[Code],tblProducts[Unit Cost],0)</f>
        <v>155000</v>
      </c>
      <c r="O4313" s="4" t="s">
        <v>4866</v>
      </c>
      <c r="P4313" s="4" t="s">
        <v>4862</v>
      </c>
      <c r="Q4313" s="1" t="str">
        <f>_xlfn.XLOOKUP(tblSales[[#This Row],[Channel Code]],tblChannels[Channel Code],tblChannels[Channel Name],"")</f>
        <v>Website &amp; Social Media</v>
      </c>
      <c r="R4313" s="1">
        <f>MONTH(tblSales[[#This Row],[Date]])</f>
        <v>9</v>
      </c>
    </row>
    <row r="4314" spans="2:18" x14ac:dyDescent="0.35">
      <c r="B4314" s="113">
        <v>46282</v>
      </c>
      <c r="C4314" s="4" t="s">
        <v>2917</v>
      </c>
      <c r="D4314" s="4" t="s">
        <v>4568</v>
      </c>
      <c r="E4314" s="1" t="str">
        <f>_xlfn.XLOOKUP(tblSales[[#This Row],[Customer ID]],tblCustomers[Customer ID],tblCustomers[Customer Name],"⚠ Unknown")</f>
        <v>Walk-in Customer</v>
      </c>
      <c r="F4314" s="4" t="s">
        <v>6</v>
      </c>
      <c r="G4314" s="1" t="str">
        <f>_xlfn.XLOOKUP(tblSales[[#This Row],[Product Code]],tblProducts[Code],tblProducts[Product / Service Name],"⚠ Unknown")</f>
        <v>Socks &amp; Accessories</v>
      </c>
      <c r="H4314" s="1" t="str">
        <f>_xlfn.XLOOKUP(tblSales[[#This Row],[Product Code]],tblProducts[Code],tblProducts[Category],"")</f>
        <v>Accessories &amp; Basics</v>
      </c>
      <c r="I4314" s="4">
        <v>5</v>
      </c>
      <c r="J4314" s="5">
        <f>_xlfn.XLOOKUP(tblSales[[#This Row],[Product Code]],tblProducts[Code],tblProducts[Selling Price (excl. VAT)],0)</f>
        <v>45000</v>
      </c>
      <c r="K4314" s="5">
        <f>tblSales[[#This Row],[Qty]]*tblSales[[#This Row],[Unit Price]]</f>
        <v>225000</v>
      </c>
      <c r="L4314" s="5">
        <f>ROUND(tblSales[[#This Row],[DPP (excl. VAT)]]*VATEff,0)</f>
        <v>24750</v>
      </c>
      <c r="M4314" s="5">
        <f>tblSales[[#This Row],[DPP (excl. VAT)]]+tblSales[[#This Row],[Output VAT]]</f>
        <v>249750</v>
      </c>
      <c r="N4314" s="5">
        <f>tblSales[[#This Row],[Qty]]*_xlfn.XLOOKUP(tblSales[[#This Row],[Product Code]],tblProducts[Code],tblProducts[Unit Cost],0)</f>
        <v>120000</v>
      </c>
      <c r="O4314" s="4" t="s">
        <v>4866</v>
      </c>
      <c r="P4314" s="4" t="s">
        <v>4862</v>
      </c>
      <c r="Q4314" s="1" t="str">
        <f>_xlfn.XLOOKUP(tblSales[[#This Row],[Channel Code]],tblChannels[Channel Code],tblChannels[Channel Name],"")</f>
        <v>Website &amp; Social Media</v>
      </c>
      <c r="R4314" s="1">
        <f>MONTH(tblSales[[#This Row],[Date]])</f>
        <v>9</v>
      </c>
    </row>
    <row r="4315" spans="2:18" x14ac:dyDescent="0.35">
      <c r="B4315" s="113">
        <v>46282</v>
      </c>
      <c r="C4315" s="4" t="s">
        <v>2917</v>
      </c>
      <c r="D4315" s="4" t="s">
        <v>4568</v>
      </c>
      <c r="E4315" s="1" t="str">
        <f>_xlfn.XLOOKUP(tblSales[[#This Row],[Customer ID]],tblCustomers[Customer ID],tblCustomers[Customer Name],"⚠ Unknown")</f>
        <v>Walk-in Customer</v>
      </c>
      <c r="F4315" s="4" t="s">
        <v>7</v>
      </c>
      <c r="G4315" s="1" t="str">
        <f>_xlfn.XLOOKUP(tblSales[[#This Row],[Product Code]],tblProducts[Code],tblProducts[Product / Service Name],"⚠ Unknown")</f>
        <v>Premium Basic T-shirt</v>
      </c>
      <c r="H4315" s="1" t="str">
        <f>_xlfn.XLOOKUP(tblSales[[#This Row],[Product Code]],tblProducts[Code],tblProducts[Category],"")</f>
        <v>Accessories &amp; Basics</v>
      </c>
      <c r="I4315" s="4">
        <v>3</v>
      </c>
      <c r="J4315" s="5">
        <f>_xlfn.XLOOKUP(tblSales[[#This Row],[Product Code]],tblProducts[Code],tblProducts[Selling Price (excl. VAT)],0)</f>
        <v>65000</v>
      </c>
      <c r="K4315" s="5">
        <f>tblSales[[#This Row],[Qty]]*tblSales[[#This Row],[Unit Price]]</f>
        <v>195000</v>
      </c>
      <c r="L4315" s="5">
        <f>ROUND(tblSales[[#This Row],[DPP (excl. VAT)]]*VATEff,0)</f>
        <v>21450</v>
      </c>
      <c r="M4315" s="5">
        <f>tblSales[[#This Row],[DPP (excl. VAT)]]+tblSales[[#This Row],[Output VAT]]</f>
        <v>216450</v>
      </c>
      <c r="N4315" s="5">
        <f>tblSales[[#This Row],[Qty]]*_xlfn.XLOOKUP(tblSales[[#This Row],[Product Code]],tblProducts[Code],tblProducts[Unit Cost],0)</f>
        <v>111000</v>
      </c>
      <c r="O4315" s="4" t="s">
        <v>4866</v>
      </c>
      <c r="P4315" s="4" t="s">
        <v>4862</v>
      </c>
      <c r="Q4315" s="1" t="str">
        <f>_xlfn.XLOOKUP(tblSales[[#This Row],[Channel Code]],tblChannels[Channel Code],tblChannels[Channel Name],"")</f>
        <v>Website &amp; Social Media</v>
      </c>
      <c r="R4315" s="1">
        <f>MONTH(tblSales[[#This Row],[Date]])</f>
        <v>9</v>
      </c>
    </row>
    <row r="4316" spans="2:18" x14ac:dyDescent="0.35">
      <c r="B4316" s="113">
        <v>46282</v>
      </c>
      <c r="C4316" s="4" t="s">
        <v>2917</v>
      </c>
      <c r="D4316" s="4" t="s">
        <v>4568</v>
      </c>
      <c r="E4316" s="1" t="str">
        <f>_xlfn.XLOOKUP(tblSales[[#This Row],[Customer ID]],tblCustomers[Customer ID],tblCustomers[Customer Name],"⚠ Unknown")</f>
        <v>Walk-in Customer</v>
      </c>
      <c r="F4316" s="4" t="s">
        <v>9</v>
      </c>
      <c r="G4316" s="1" t="str">
        <f>_xlfn.XLOOKUP(tblSales[[#This Row],[Product Code]],tblProducts[Code],tblProducts[Product / Service Name],"⚠ Unknown")</f>
        <v>Casual Shirt</v>
      </c>
      <c r="H4316" s="1" t="str">
        <f>_xlfn.XLOOKUP(tblSales[[#This Row],[Product Code]],tblProducts[Code],tblProducts[Category],"")</f>
        <v>Apparel &amp; Footwear</v>
      </c>
      <c r="I4316" s="4">
        <v>9</v>
      </c>
      <c r="J4316" s="5">
        <f>_xlfn.XLOOKUP(tblSales[[#This Row],[Product Code]],tblProducts[Code],tblProducts[Selling Price (excl. VAT)],0)</f>
        <v>120000</v>
      </c>
      <c r="K4316" s="5">
        <f>tblSales[[#This Row],[Qty]]*tblSales[[#This Row],[Unit Price]]</f>
        <v>1080000</v>
      </c>
      <c r="L4316" s="5">
        <f>ROUND(tblSales[[#This Row],[DPP (excl. VAT)]]*VATEff,0)</f>
        <v>118800</v>
      </c>
      <c r="M4316" s="5">
        <f>tblSales[[#This Row],[DPP (excl. VAT)]]+tblSales[[#This Row],[Output VAT]]</f>
        <v>1198800</v>
      </c>
      <c r="N4316" s="5">
        <f>tblSales[[#This Row],[Qty]]*_xlfn.XLOOKUP(tblSales[[#This Row],[Product Code]],tblProducts[Code],tblProducts[Unit Cost],0)</f>
        <v>648000</v>
      </c>
      <c r="O4316" s="4" t="s">
        <v>4866</v>
      </c>
      <c r="P4316" s="4" t="s">
        <v>4862</v>
      </c>
      <c r="Q4316" s="1" t="str">
        <f>_xlfn.XLOOKUP(tblSales[[#This Row],[Channel Code]],tblChannels[Channel Code],tblChannels[Channel Name],"")</f>
        <v>Website &amp; Social Media</v>
      </c>
      <c r="R4316" s="1">
        <f>MONTH(tblSales[[#This Row],[Date]])</f>
        <v>9</v>
      </c>
    </row>
    <row r="4317" spans="2:18" x14ac:dyDescent="0.35">
      <c r="B4317" s="113">
        <v>46282</v>
      </c>
      <c r="C4317" s="4" t="s">
        <v>2918</v>
      </c>
      <c r="D4317" s="4" t="s">
        <v>4572</v>
      </c>
      <c r="E4317" s="1" t="str">
        <f>_xlfn.XLOOKUP(tblSales[[#This Row],[Customer ID]],tblCustomers[Customer ID],tblCustomers[Customer Name],"⚠ Unknown")</f>
        <v>PT Cahaya Abadi Makmur</v>
      </c>
      <c r="F4317" s="4" t="s">
        <v>8</v>
      </c>
      <c r="G4317" s="1" t="str">
        <f>_xlfn.XLOOKUP(tblSales[[#This Row],[Product Code]],tblProducts[Code],tblProducts[Product / Service Name],"⚠ Unknown")</f>
        <v>Casual Shorts</v>
      </c>
      <c r="H4317" s="1" t="str">
        <f>_xlfn.XLOOKUP(tblSales[[#This Row],[Product Code]],tblProducts[Code],tblProducts[Category],"")</f>
        <v>Accessories &amp; Basics</v>
      </c>
      <c r="I4317" s="4">
        <v>48</v>
      </c>
      <c r="J4317" s="5">
        <f>_xlfn.XLOOKUP(tblSales[[#This Row],[Product Code]],tblProducts[Code],tblProducts[Selling Price (excl. VAT)],0)</f>
        <v>85000</v>
      </c>
      <c r="K4317" s="5">
        <f>tblSales[[#This Row],[Qty]]*tblSales[[#This Row],[Unit Price]]</f>
        <v>4080000</v>
      </c>
      <c r="L4317" s="5">
        <f>ROUND(tblSales[[#This Row],[DPP (excl. VAT)]]*VATEff,0)</f>
        <v>448800</v>
      </c>
      <c r="M4317" s="5">
        <f>tblSales[[#This Row],[DPP (excl. VAT)]]+tblSales[[#This Row],[Output VAT]]</f>
        <v>4528800</v>
      </c>
      <c r="N4317" s="5">
        <f>tblSales[[#This Row],[Qty]]*_xlfn.XLOOKUP(tblSales[[#This Row],[Product Code]],tblProducts[Code],tblProducts[Unit Cost],0)</f>
        <v>2400000</v>
      </c>
      <c r="O4317" s="4" t="s">
        <v>4867</v>
      </c>
      <c r="P4317" s="4" t="s">
        <v>4860</v>
      </c>
      <c r="Q4317" s="1" t="str">
        <f>_xlfn.XLOOKUP(tblSales[[#This Row],[Channel Code]],tblChannels[Channel Code],tblChannels[Channel Name],"")</f>
        <v>In-store</v>
      </c>
      <c r="R4317" s="1">
        <f>MONTH(tblSales[[#This Row],[Date]])</f>
        <v>9</v>
      </c>
    </row>
    <row r="4318" spans="2:18" x14ac:dyDescent="0.35">
      <c r="B4318" s="113">
        <v>46282</v>
      </c>
      <c r="C4318" s="4" t="s">
        <v>2919</v>
      </c>
      <c r="D4318" s="4" t="s">
        <v>4568</v>
      </c>
      <c r="E4318" s="1" t="str">
        <f>_xlfn.XLOOKUP(tblSales[[#This Row],[Customer ID]],tblCustomers[Customer ID],tblCustomers[Customer Name],"⚠ Unknown")</f>
        <v>Walk-in Customer</v>
      </c>
      <c r="F4318" s="4" t="s">
        <v>6</v>
      </c>
      <c r="G4318" s="1" t="str">
        <f>_xlfn.XLOOKUP(tblSales[[#This Row],[Product Code]],tblProducts[Code],tblProducts[Product / Service Name],"⚠ Unknown")</f>
        <v>Socks &amp; Accessories</v>
      </c>
      <c r="H4318" s="1" t="str">
        <f>_xlfn.XLOOKUP(tblSales[[#This Row],[Product Code]],tblProducts[Code],tblProducts[Category],"")</f>
        <v>Accessories &amp; Basics</v>
      </c>
      <c r="I4318" s="4">
        <v>4</v>
      </c>
      <c r="J4318" s="5">
        <f>_xlfn.XLOOKUP(tblSales[[#This Row],[Product Code]],tblProducts[Code],tblProducts[Selling Price (excl. VAT)],0)</f>
        <v>45000</v>
      </c>
      <c r="K4318" s="5">
        <f>tblSales[[#This Row],[Qty]]*tblSales[[#This Row],[Unit Price]]</f>
        <v>180000</v>
      </c>
      <c r="L4318" s="5">
        <f>ROUND(tblSales[[#This Row],[DPP (excl. VAT)]]*VATEff,0)</f>
        <v>19800</v>
      </c>
      <c r="M4318" s="5">
        <f>tblSales[[#This Row],[DPP (excl. VAT)]]+tblSales[[#This Row],[Output VAT]]</f>
        <v>199800</v>
      </c>
      <c r="N4318" s="5">
        <f>tblSales[[#This Row],[Qty]]*_xlfn.XLOOKUP(tblSales[[#This Row],[Product Code]],tblProducts[Code],tblProducts[Unit Cost],0)</f>
        <v>96000</v>
      </c>
      <c r="O4318" s="4" t="s">
        <v>4865</v>
      </c>
      <c r="P4318" s="4" t="s">
        <v>4860</v>
      </c>
      <c r="Q4318" s="1" t="str">
        <f>_xlfn.XLOOKUP(tblSales[[#This Row],[Channel Code]],tblChannels[Channel Code],tblChannels[Channel Name],"")</f>
        <v>In-store</v>
      </c>
      <c r="R4318" s="1">
        <f>MONTH(tblSales[[#This Row],[Date]])</f>
        <v>9</v>
      </c>
    </row>
    <row r="4319" spans="2:18" x14ac:dyDescent="0.35">
      <c r="B4319" s="113">
        <v>46282</v>
      </c>
      <c r="C4319" s="4" t="s">
        <v>2919</v>
      </c>
      <c r="D4319" s="4" t="s">
        <v>4568</v>
      </c>
      <c r="E4319" s="1" t="str">
        <f>_xlfn.XLOOKUP(tblSales[[#This Row],[Customer ID]],tblCustomers[Customer ID],tblCustomers[Customer Name],"⚠ Unknown")</f>
        <v>Walk-in Customer</v>
      </c>
      <c r="F4319" s="4" t="s">
        <v>13</v>
      </c>
      <c r="G4319" s="1" t="str">
        <f>_xlfn.XLOOKUP(tblSales[[#This Row],[Product Code]],tblProducts[Code],tblProducts[Product / Service Name],"⚠ Unknown")</f>
        <v>Backpack</v>
      </c>
      <c r="H4319" s="1" t="str">
        <f>_xlfn.XLOOKUP(tblSales[[#This Row],[Product Code]],tblProducts[Code],tblProducts[Category],"")</f>
        <v>Bags &amp; Gadgets</v>
      </c>
      <c r="I4319" s="4">
        <v>6</v>
      </c>
      <c r="J4319" s="5">
        <f>_xlfn.XLOOKUP(tblSales[[#This Row],[Product Code]],tblProducts[Code],tblProducts[Selling Price (excl. VAT)],0)</f>
        <v>500000</v>
      </c>
      <c r="K4319" s="5">
        <f>tblSales[[#This Row],[Qty]]*tblSales[[#This Row],[Unit Price]]</f>
        <v>3000000</v>
      </c>
      <c r="L4319" s="5">
        <f>ROUND(tblSales[[#This Row],[DPP (excl. VAT)]]*VATEff,0)</f>
        <v>330000</v>
      </c>
      <c r="M4319" s="5">
        <f>tblSales[[#This Row],[DPP (excl. VAT)]]+tblSales[[#This Row],[Output VAT]]</f>
        <v>3330000</v>
      </c>
      <c r="N4319" s="5">
        <f>tblSales[[#This Row],[Qty]]*_xlfn.XLOOKUP(tblSales[[#This Row],[Product Code]],tblProducts[Code],tblProducts[Unit Cost],0)</f>
        <v>1740000</v>
      </c>
      <c r="O4319" s="4" t="s">
        <v>4865</v>
      </c>
      <c r="P4319" s="4" t="s">
        <v>4860</v>
      </c>
      <c r="Q4319" s="1" t="str">
        <f>_xlfn.XLOOKUP(tblSales[[#This Row],[Channel Code]],tblChannels[Channel Code],tblChannels[Channel Name],"")</f>
        <v>In-store</v>
      </c>
      <c r="R4319" s="1">
        <f>MONTH(tblSales[[#This Row],[Date]])</f>
        <v>9</v>
      </c>
    </row>
    <row r="4320" spans="2:18" x14ac:dyDescent="0.35">
      <c r="B4320" s="113">
        <v>46282</v>
      </c>
      <c r="C4320" s="4" t="s">
        <v>2920</v>
      </c>
      <c r="D4320" s="4" t="s">
        <v>4606</v>
      </c>
      <c r="E4320" s="1" t="str">
        <f>_xlfn.XLOOKUP(tblSales[[#This Row],[Customer ID]],tblCustomers[Customer ID],tblCustomers[Customer Name],"⚠ Unknown")</f>
        <v>PT Arunika Digital Kreatif</v>
      </c>
      <c r="F4320" s="4" t="s">
        <v>13</v>
      </c>
      <c r="G4320" s="1" t="str">
        <f>_xlfn.XLOOKUP(tblSales[[#This Row],[Product Code]],tblProducts[Code],tblProducts[Product / Service Name],"⚠ Unknown")</f>
        <v>Backpack</v>
      </c>
      <c r="H4320" s="1" t="str">
        <f>_xlfn.XLOOKUP(tblSales[[#This Row],[Product Code]],tblProducts[Code],tblProducts[Category],"")</f>
        <v>Bags &amp; Gadgets</v>
      </c>
      <c r="I4320" s="4">
        <v>8</v>
      </c>
      <c r="J4320" s="5">
        <f>_xlfn.XLOOKUP(tblSales[[#This Row],[Product Code]],tblProducts[Code],tblProducts[Selling Price (excl. VAT)],0)</f>
        <v>500000</v>
      </c>
      <c r="K4320" s="5">
        <f>tblSales[[#This Row],[Qty]]*tblSales[[#This Row],[Unit Price]]</f>
        <v>4000000</v>
      </c>
      <c r="L4320" s="5">
        <f>ROUND(tblSales[[#This Row],[DPP (excl. VAT)]]*VATEff,0)</f>
        <v>440000</v>
      </c>
      <c r="M4320" s="5">
        <f>tblSales[[#This Row],[DPP (excl. VAT)]]+tblSales[[#This Row],[Output VAT]]</f>
        <v>4440000</v>
      </c>
      <c r="N4320" s="5">
        <f>tblSales[[#This Row],[Qty]]*_xlfn.XLOOKUP(tblSales[[#This Row],[Product Code]],tblProducts[Code],tblProducts[Unit Cost],0)</f>
        <v>2320000</v>
      </c>
      <c r="O4320" s="4" t="s">
        <v>4867</v>
      </c>
      <c r="P4320" s="4" t="s">
        <v>4860</v>
      </c>
      <c r="Q4320" s="1" t="str">
        <f>_xlfn.XLOOKUP(tblSales[[#This Row],[Channel Code]],tblChannels[Channel Code],tblChannels[Channel Name],"")</f>
        <v>In-store</v>
      </c>
      <c r="R4320" s="1">
        <f>MONTH(tblSales[[#This Row],[Date]])</f>
        <v>9</v>
      </c>
    </row>
    <row r="4321" spans="2:18" x14ac:dyDescent="0.35">
      <c r="B4321" s="113">
        <v>46282</v>
      </c>
      <c r="C4321" s="4" t="s">
        <v>2921</v>
      </c>
      <c r="D4321" s="4" t="s">
        <v>4568</v>
      </c>
      <c r="E4321" s="1" t="str">
        <f>_xlfn.XLOOKUP(tblSales[[#This Row],[Customer ID]],tblCustomers[Customer ID],tblCustomers[Customer Name],"⚠ Unknown")</f>
        <v>Walk-in Customer</v>
      </c>
      <c r="F4321" s="4" t="s">
        <v>6</v>
      </c>
      <c r="G4321" s="1" t="str">
        <f>_xlfn.XLOOKUP(tblSales[[#This Row],[Product Code]],tblProducts[Code],tblProducts[Product / Service Name],"⚠ Unknown")</f>
        <v>Socks &amp; Accessories</v>
      </c>
      <c r="H4321" s="1" t="str">
        <f>_xlfn.XLOOKUP(tblSales[[#This Row],[Product Code]],tblProducts[Code],tblProducts[Category],"")</f>
        <v>Accessories &amp; Basics</v>
      </c>
      <c r="I4321" s="4">
        <v>3</v>
      </c>
      <c r="J4321" s="5">
        <f>_xlfn.XLOOKUP(tblSales[[#This Row],[Product Code]],tblProducts[Code],tblProducts[Selling Price (excl. VAT)],0)</f>
        <v>45000</v>
      </c>
      <c r="K4321" s="5">
        <f>tblSales[[#This Row],[Qty]]*tblSales[[#This Row],[Unit Price]]</f>
        <v>135000</v>
      </c>
      <c r="L4321" s="5">
        <f>ROUND(tblSales[[#This Row],[DPP (excl. VAT)]]*VATEff,0)</f>
        <v>14850</v>
      </c>
      <c r="M4321" s="5">
        <f>tblSales[[#This Row],[DPP (excl. VAT)]]+tblSales[[#This Row],[Output VAT]]</f>
        <v>149850</v>
      </c>
      <c r="N4321" s="5">
        <f>tblSales[[#This Row],[Qty]]*_xlfn.XLOOKUP(tblSales[[#This Row],[Product Code]],tblProducts[Code],tblProducts[Unit Cost],0)</f>
        <v>72000</v>
      </c>
      <c r="O4321" s="4" t="s">
        <v>4865</v>
      </c>
      <c r="P4321" s="4" t="s">
        <v>4860</v>
      </c>
      <c r="Q4321" s="1" t="str">
        <f>_xlfn.XLOOKUP(tblSales[[#This Row],[Channel Code]],tblChannels[Channel Code],tblChannels[Channel Name],"")</f>
        <v>In-store</v>
      </c>
      <c r="R4321" s="1">
        <f>MONTH(tblSales[[#This Row],[Date]])</f>
        <v>9</v>
      </c>
    </row>
    <row r="4322" spans="2:18" x14ac:dyDescent="0.35">
      <c r="B4322" s="113">
        <v>46282</v>
      </c>
      <c r="C4322" s="4" t="s">
        <v>2922</v>
      </c>
      <c r="D4322" s="4" t="s">
        <v>4599</v>
      </c>
      <c r="E4322" s="1" t="str">
        <f>_xlfn.XLOOKUP(tblSales[[#This Row],[Customer ID]],tblCustomers[Customer ID],tblCustomers[Customer Name],"⚠ Unknown")</f>
        <v>PT Samudra Jaya Logistik</v>
      </c>
      <c r="F4322" s="4" t="s">
        <v>12</v>
      </c>
      <c r="G4322" s="1" t="str">
        <f>_xlfn.XLOOKUP(tblSales[[#This Row],[Product Code]],tblProducts[Code],tblProducts[Product / Service Name],"⚠ Unknown")</f>
        <v>Bomber Jacket</v>
      </c>
      <c r="H4322" s="1" t="str">
        <f>_xlfn.XLOOKUP(tblSales[[#This Row],[Product Code]],tblProducts[Code],tblProducts[Category],"")</f>
        <v>Apparel &amp; Footwear</v>
      </c>
      <c r="I4322" s="4">
        <v>24</v>
      </c>
      <c r="J4322" s="5">
        <f>_xlfn.XLOOKUP(tblSales[[#This Row],[Product Code]],tblProducts[Code],tblProducts[Selling Price (excl. VAT)],0)</f>
        <v>350000</v>
      </c>
      <c r="K4322" s="5">
        <f>tblSales[[#This Row],[Qty]]*tblSales[[#This Row],[Unit Price]]</f>
        <v>8400000</v>
      </c>
      <c r="L4322" s="5">
        <f>ROUND(tblSales[[#This Row],[DPP (excl. VAT)]]*VATEff,0)</f>
        <v>924000</v>
      </c>
      <c r="M4322" s="5">
        <f>tblSales[[#This Row],[DPP (excl. VAT)]]+tblSales[[#This Row],[Output VAT]]</f>
        <v>9324000</v>
      </c>
      <c r="N4322" s="5">
        <f>tblSales[[#This Row],[Qty]]*_xlfn.XLOOKUP(tblSales[[#This Row],[Product Code]],tblProducts[Code],tblProducts[Unit Cost],0)</f>
        <v>5040000</v>
      </c>
      <c r="O4322" s="4" t="s">
        <v>4867</v>
      </c>
      <c r="P4322" s="4" t="s">
        <v>4860</v>
      </c>
      <c r="Q4322" s="1" t="str">
        <f>_xlfn.XLOOKUP(tblSales[[#This Row],[Channel Code]],tblChannels[Channel Code],tblChannels[Channel Name],"")</f>
        <v>In-store</v>
      </c>
      <c r="R4322" s="1">
        <f>MONTH(tblSales[[#This Row],[Date]])</f>
        <v>9</v>
      </c>
    </row>
    <row r="4323" spans="2:18" x14ac:dyDescent="0.35">
      <c r="B4323" s="113">
        <v>46282</v>
      </c>
      <c r="C4323" s="4" t="s">
        <v>2922</v>
      </c>
      <c r="D4323" s="4" t="s">
        <v>4599</v>
      </c>
      <c r="E4323" s="1" t="str">
        <f>_xlfn.XLOOKUP(tblSales[[#This Row],[Customer ID]],tblCustomers[Customer ID],tblCustomers[Customer Name],"⚠ Unknown")</f>
        <v>PT Samudra Jaya Logistik</v>
      </c>
      <c r="F4323" s="4" t="s">
        <v>7</v>
      </c>
      <c r="G4323" s="1" t="str">
        <f>_xlfn.XLOOKUP(tblSales[[#This Row],[Product Code]],tblProducts[Code],tblProducts[Product / Service Name],"⚠ Unknown")</f>
        <v>Premium Basic T-shirt</v>
      </c>
      <c r="H4323" s="1" t="str">
        <f>_xlfn.XLOOKUP(tblSales[[#This Row],[Product Code]],tblProducts[Code],tblProducts[Category],"")</f>
        <v>Accessories &amp; Basics</v>
      </c>
      <c r="I4323" s="4">
        <v>88</v>
      </c>
      <c r="J4323" s="5">
        <f>_xlfn.XLOOKUP(tblSales[[#This Row],[Product Code]],tblProducts[Code],tblProducts[Selling Price (excl. VAT)],0)</f>
        <v>65000</v>
      </c>
      <c r="K4323" s="5">
        <f>tblSales[[#This Row],[Qty]]*tblSales[[#This Row],[Unit Price]]</f>
        <v>5720000</v>
      </c>
      <c r="L4323" s="5">
        <f>ROUND(tblSales[[#This Row],[DPP (excl. VAT)]]*VATEff,0)</f>
        <v>629200</v>
      </c>
      <c r="M4323" s="5">
        <f>tblSales[[#This Row],[DPP (excl. VAT)]]+tblSales[[#This Row],[Output VAT]]</f>
        <v>6349200</v>
      </c>
      <c r="N4323" s="5">
        <f>tblSales[[#This Row],[Qty]]*_xlfn.XLOOKUP(tblSales[[#This Row],[Product Code]],tblProducts[Code],tblProducts[Unit Cost],0)</f>
        <v>3256000</v>
      </c>
      <c r="O4323" s="4" t="s">
        <v>4867</v>
      </c>
      <c r="P4323" s="4" t="s">
        <v>4860</v>
      </c>
      <c r="Q4323" s="1" t="str">
        <f>_xlfn.XLOOKUP(tblSales[[#This Row],[Channel Code]],tblChannels[Channel Code],tblChannels[Channel Name],"")</f>
        <v>In-store</v>
      </c>
      <c r="R4323" s="1">
        <f>MONTH(tblSales[[#This Row],[Date]])</f>
        <v>9</v>
      </c>
    </row>
    <row r="4324" spans="2:18" x14ac:dyDescent="0.35">
      <c r="B4324" s="113">
        <v>46282</v>
      </c>
      <c r="C4324" s="4" t="s">
        <v>2922</v>
      </c>
      <c r="D4324" s="4" t="s">
        <v>4599</v>
      </c>
      <c r="E4324" s="1" t="str">
        <f>_xlfn.XLOOKUP(tblSales[[#This Row],[Customer ID]],tblCustomers[Customer ID],tblCustomers[Customer Name],"⚠ Unknown")</f>
        <v>PT Samudra Jaya Logistik</v>
      </c>
      <c r="F4324" s="4" t="s">
        <v>10</v>
      </c>
      <c r="G4324" s="1" t="str">
        <f>_xlfn.XLOOKUP(tblSales[[#This Row],[Product Code]],tblProducts[Code],tblProducts[Product / Service Name],"⚠ Unknown")</f>
        <v>Chino Pants</v>
      </c>
      <c r="H4324" s="1" t="str">
        <f>_xlfn.XLOOKUP(tblSales[[#This Row],[Product Code]],tblProducts[Code],tblProducts[Category],"")</f>
        <v>Apparel &amp; Footwear</v>
      </c>
      <c r="I4324" s="4">
        <v>96</v>
      </c>
      <c r="J4324" s="5">
        <f>_xlfn.XLOOKUP(tblSales[[#This Row],[Product Code]],tblProducts[Code],tblProducts[Selling Price (excl. VAT)],0)</f>
        <v>150000</v>
      </c>
      <c r="K4324" s="5">
        <f>tblSales[[#This Row],[Qty]]*tblSales[[#This Row],[Unit Price]]</f>
        <v>14400000</v>
      </c>
      <c r="L4324" s="5">
        <f>ROUND(tblSales[[#This Row],[DPP (excl. VAT)]]*VATEff,0)</f>
        <v>1584000</v>
      </c>
      <c r="M4324" s="5">
        <f>tblSales[[#This Row],[DPP (excl. VAT)]]+tblSales[[#This Row],[Output VAT]]</f>
        <v>15984000</v>
      </c>
      <c r="N4324" s="5">
        <f>tblSales[[#This Row],[Qty]]*_xlfn.XLOOKUP(tblSales[[#This Row],[Product Code]],tblProducts[Code],tblProducts[Unit Cost],0)</f>
        <v>8448000</v>
      </c>
      <c r="O4324" s="4" t="s">
        <v>4867</v>
      </c>
      <c r="P4324" s="4" t="s">
        <v>4860</v>
      </c>
      <c r="Q4324" s="1" t="str">
        <f>_xlfn.XLOOKUP(tblSales[[#This Row],[Channel Code]],tblChannels[Channel Code],tblChannels[Channel Name],"")</f>
        <v>In-store</v>
      </c>
      <c r="R4324" s="1">
        <f>MONTH(tblSales[[#This Row],[Date]])</f>
        <v>9</v>
      </c>
    </row>
    <row r="4325" spans="2:18" x14ac:dyDescent="0.35">
      <c r="B4325" s="113">
        <v>46282</v>
      </c>
      <c r="C4325" s="4" t="s">
        <v>2923</v>
      </c>
      <c r="D4325" s="4" t="s">
        <v>4568</v>
      </c>
      <c r="E4325" s="1" t="str">
        <f>_xlfn.XLOOKUP(tblSales[[#This Row],[Customer ID]],tblCustomers[Customer ID],tblCustomers[Customer Name],"⚠ Unknown")</f>
        <v>Walk-in Customer</v>
      </c>
      <c r="F4325" s="4" t="s">
        <v>10</v>
      </c>
      <c r="G4325" s="1" t="str">
        <f>_xlfn.XLOOKUP(tblSales[[#This Row],[Product Code]],tblProducts[Code],tblProducts[Product / Service Name],"⚠ Unknown")</f>
        <v>Chino Pants</v>
      </c>
      <c r="H4325" s="1" t="str">
        <f>_xlfn.XLOOKUP(tblSales[[#This Row],[Product Code]],tblProducts[Code],tblProducts[Category],"")</f>
        <v>Apparel &amp; Footwear</v>
      </c>
      <c r="I4325" s="4">
        <v>10</v>
      </c>
      <c r="J4325" s="5">
        <f>_xlfn.XLOOKUP(tblSales[[#This Row],[Product Code]],tblProducts[Code],tblProducts[Selling Price (excl. VAT)],0)</f>
        <v>150000</v>
      </c>
      <c r="K4325" s="5">
        <f>tblSales[[#This Row],[Qty]]*tblSales[[#This Row],[Unit Price]]</f>
        <v>1500000</v>
      </c>
      <c r="L4325" s="5">
        <f>ROUND(tblSales[[#This Row],[DPP (excl. VAT)]]*VATEff,0)</f>
        <v>165000</v>
      </c>
      <c r="M4325" s="5">
        <f>tblSales[[#This Row],[DPP (excl. VAT)]]+tblSales[[#This Row],[Output VAT]]</f>
        <v>1665000</v>
      </c>
      <c r="N4325" s="5">
        <f>tblSales[[#This Row],[Qty]]*_xlfn.XLOOKUP(tblSales[[#This Row],[Product Code]],tblProducts[Code],tblProducts[Unit Cost],0)</f>
        <v>880000</v>
      </c>
      <c r="O4325" s="4" t="s">
        <v>4865</v>
      </c>
      <c r="P4325" s="4" t="s">
        <v>4860</v>
      </c>
      <c r="Q4325" s="1" t="str">
        <f>_xlfn.XLOOKUP(tblSales[[#This Row],[Channel Code]],tblChannels[Channel Code],tblChannels[Channel Name],"")</f>
        <v>In-store</v>
      </c>
      <c r="R4325" s="1">
        <f>MONTH(tblSales[[#This Row],[Date]])</f>
        <v>9</v>
      </c>
    </row>
    <row r="4326" spans="2:18" x14ac:dyDescent="0.35">
      <c r="B4326" s="113">
        <v>46282</v>
      </c>
      <c r="C4326" s="4" t="s">
        <v>2924</v>
      </c>
      <c r="D4326" s="4" t="s">
        <v>4568</v>
      </c>
      <c r="E4326" s="1" t="str">
        <f>_xlfn.XLOOKUP(tblSales[[#This Row],[Customer ID]],tblCustomers[Customer ID],tblCustomers[Customer Name],"⚠ Unknown")</f>
        <v>Walk-in Customer</v>
      </c>
      <c r="F4326" s="4" t="s">
        <v>8</v>
      </c>
      <c r="G4326" s="1" t="str">
        <f>_xlfn.XLOOKUP(tblSales[[#This Row],[Product Code]],tblProducts[Code],tblProducts[Product / Service Name],"⚠ Unknown")</f>
        <v>Casual Shorts</v>
      </c>
      <c r="H4326" s="1" t="str">
        <f>_xlfn.XLOOKUP(tblSales[[#This Row],[Product Code]],tblProducts[Code],tblProducts[Category],"")</f>
        <v>Accessories &amp; Basics</v>
      </c>
      <c r="I4326" s="4">
        <v>3</v>
      </c>
      <c r="J4326" s="5">
        <f>_xlfn.XLOOKUP(tblSales[[#This Row],[Product Code]],tblProducts[Code],tblProducts[Selling Price (excl. VAT)],0)</f>
        <v>85000</v>
      </c>
      <c r="K4326" s="5">
        <f>tblSales[[#This Row],[Qty]]*tblSales[[#This Row],[Unit Price]]</f>
        <v>255000</v>
      </c>
      <c r="L4326" s="5">
        <f>ROUND(tblSales[[#This Row],[DPP (excl. VAT)]]*VATEff,0)</f>
        <v>28050</v>
      </c>
      <c r="M4326" s="5">
        <f>tblSales[[#This Row],[DPP (excl. VAT)]]+tblSales[[#This Row],[Output VAT]]</f>
        <v>283050</v>
      </c>
      <c r="N4326" s="5">
        <f>tblSales[[#This Row],[Qty]]*_xlfn.XLOOKUP(tblSales[[#This Row],[Product Code]],tblProducts[Code],tblProducts[Unit Cost],0)</f>
        <v>150000</v>
      </c>
      <c r="O4326" s="4" t="s">
        <v>4865</v>
      </c>
      <c r="P4326" s="4" t="s">
        <v>4860</v>
      </c>
      <c r="Q4326" s="1" t="str">
        <f>_xlfn.XLOOKUP(tblSales[[#This Row],[Channel Code]],tblChannels[Channel Code],tblChannels[Channel Name],"")</f>
        <v>In-store</v>
      </c>
      <c r="R4326" s="1">
        <f>MONTH(tblSales[[#This Row],[Date]])</f>
        <v>9</v>
      </c>
    </row>
    <row r="4327" spans="2:18" x14ac:dyDescent="0.35">
      <c r="B4327" s="113">
        <v>46282</v>
      </c>
      <c r="C4327" s="4" t="s">
        <v>2925</v>
      </c>
      <c r="D4327" s="4" t="s">
        <v>4568</v>
      </c>
      <c r="E4327" s="1" t="str">
        <f>_xlfn.XLOOKUP(tblSales[[#This Row],[Customer ID]],tblCustomers[Customer ID],tblCustomers[Customer Name],"⚠ Unknown")</f>
        <v>Walk-in Customer</v>
      </c>
      <c r="F4327" s="4" t="s">
        <v>8</v>
      </c>
      <c r="G4327" s="1" t="str">
        <f>_xlfn.XLOOKUP(tblSales[[#This Row],[Product Code]],tblProducts[Code],tblProducts[Product / Service Name],"⚠ Unknown")</f>
        <v>Casual Shorts</v>
      </c>
      <c r="H4327" s="1" t="str">
        <f>_xlfn.XLOOKUP(tblSales[[#This Row],[Product Code]],tblProducts[Code],tblProducts[Category],"")</f>
        <v>Accessories &amp; Basics</v>
      </c>
      <c r="I4327" s="4">
        <v>3</v>
      </c>
      <c r="J4327" s="5">
        <f>_xlfn.XLOOKUP(tblSales[[#This Row],[Product Code]],tblProducts[Code],tblProducts[Selling Price (excl. VAT)],0)</f>
        <v>85000</v>
      </c>
      <c r="K4327" s="5">
        <f>tblSales[[#This Row],[Qty]]*tblSales[[#This Row],[Unit Price]]</f>
        <v>255000</v>
      </c>
      <c r="L4327" s="5">
        <f>ROUND(tblSales[[#This Row],[DPP (excl. VAT)]]*VATEff,0)</f>
        <v>28050</v>
      </c>
      <c r="M4327" s="5">
        <f>tblSales[[#This Row],[DPP (excl. VAT)]]+tblSales[[#This Row],[Output VAT]]</f>
        <v>283050</v>
      </c>
      <c r="N4327" s="5">
        <f>tblSales[[#This Row],[Qty]]*_xlfn.XLOOKUP(tblSales[[#This Row],[Product Code]],tblProducts[Code],tblProducts[Unit Cost],0)</f>
        <v>150000</v>
      </c>
      <c r="O4327" s="4" t="s">
        <v>4866</v>
      </c>
      <c r="P4327" s="4" t="s">
        <v>4861</v>
      </c>
      <c r="Q4327" s="1" t="str">
        <f>_xlfn.XLOOKUP(tblSales[[#This Row],[Channel Code]],tblChannels[Channel Code],tblChannels[Channel Name],"")</f>
        <v>Marketplace</v>
      </c>
      <c r="R4327" s="1">
        <f>MONTH(tblSales[[#This Row],[Date]])</f>
        <v>9</v>
      </c>
    </row>
    <row r="4328" spans="2:18" x14ac:dyDescent="0.35">
      <c r="B4328" s="113">
        <v>46283</v>
      </c>
      <c r="C4328" s="4" t="s">
        <v>2926</v>
      </c>
      <c r="D4328" s="4" t="s">
        <v>4568</v>
      </c>
      <c r="E4328" s="1" t="str">
        <f>_xlfn.XLOOKUP(tblSales[[#This Row],[Customer ID]],tblCustomers[Customer ID],tblCustomers[Customer Name],"⚠ Unknown")</f>
        <v>Walk-in Customer</v>
      </c>
      <c r="F4328" s="4" t="s">
        <v>10</v>
      </c>
      <c r="G4328" s="1" t="str">
        <f>_xlfn.XLOOKUP(tblSales[[#This Row],[Product Code]],tblProducts[Code],tblProducts[Product / Service Name],"⚠ Unknown")</f>
        <v>Chino Pants</v>
      </c>
      <c r="H4328" s="1" t="str">
        <f>_xlfn.XLOOKUP(tblSales[[#This Row],[Product Code]],tblProducts[Code],tblProducts[Category],"")</f>
        <v>Apparel &amp; Footwear</v>
      </c>
      <c r="I4328" s="4">
        <v>7</v>
      </c>
      <c r="J4328" s="5">
        <f>_xlfn.XLOOKUP(tblSales[[#This Row],[Product Code]],tblProducts[Code],tblProducts[Selling Price (excl. VAT)],0)</f>
        <v>150000</v>
      </c>
      <c r="K4328" s="5">
        <f>tblSales[[#This Row],[Qty]]*tblSales[[#This Row],[Unit Price]]</f>
        <v>1050000</v>
      </c>
      <c r="L4328" s="5">
        <f>ROUND(tblSales[[#This Row],[DPP (excl. VAT)]]*VATEff,0)</f>
        <v>115500</v>
      </c>
      <c r="M4328" s="5">
        <f>tblSales[[#This Row],[DPP (excl. VAT)]]+tblSales[[#This Row],[Output VAT]]</f>
        <v>1165500</v>
      </c>
      <c r="N4328" s="5">
        <f>tblSales[[#This Row],[Qty]]*_xlfn.XLOOKUP(tblSales[[#This Row],[Product Code]],tblProducts[Code],tblProducts[Unit Cost],0)</f>
        <v>616000</v>
      </c>
      <c r="O4328" s="4" t="s">
        <v>4866</v>
      </c>
      <c r="P4328" s="4" t="s">
        <v>4861</v>
      </c>
      <c r="Q4328" s="1" t="str">
        <f>_xlfn.XLOOKUP(tblSales[[#This Row],[Channel Code]],tblChannels[Channel Code],tblChannels[Channel Name],"")</f>
        <v>Marketplace</v>
      </c>
      <c r="R4328" s="1">
        <f>MONTH(tblSales[[#This Row],[Date]])</f>
        <v>9</v>
      </c>
    </row>
    <row r="4329" spans="2:18" x14ac:dyDescent="0.35">
      <c r="B4329" s="113">
        <v>46283</v>
      </c>
      <c r="C4329" s="4" t="s">
        <v>2927</v>
      </c>
      <c r="D4329" s="4" t="s">
        <v>4578</v>
      </c>
      <c r="E4329" s="1" t="str">
        <f>_xlfn.XLOOKUP(tblSales[[#This Row],[Customer ID]],tblCustomers[Customer ID],tblCustomers[Customer Name],"⚠ Unknown")</f>
        <v>PT Bintang Timur Sejahtera</v>
      </c>
      <c r="F4329" s="4" t="s">
        <v>15</v>
      </c>
      <c r="G4329" s="1" t="str">
        <f>_xlfn.XLOOKUP(tblSales[[#This Row],[Product Code]],tblProducts[Code],tblProducts[Product / Service Name],"⚠ Unknown")</f>
        <v>Wireless Earbuds Pro</v>
      </c>
      <c r="H4329" s="1" t="str">
        <f>_xlfn.XLOOKUP(tblSales[[#This Row],[Product Code]],tblProducts[Code],tblProducts[Category],"")</f>
        <v>Bags &amp; Gadgets</v>
      </c>
      <c r="I4329" s="4">
        <v>16</v>
      </c>
      <c r="J4329" s="5">
        <f>_xlfn.XLOOKUP(tblSales[[#This Row],[Product Code]],tblProducts[Code],tblProducts[Selling Price (excl. VAT)],0)</f>
        <v>1250000</v>
      </c>
      <c r="K4329" s="5">
        <f>tblSales[[#This Row],[Qty]]*tblSales[[#This Row],[Unit Price]]</f>
        <v>20000000</v>
      </c>
      <c r="L4329" s="5">
        <f>ROUND(tblSales[[#This Row],[DPP (excl. VAT)]]*VATEff,0)</f>
        <v>2200000</v>
      </c>
      <c r="M4329" s="5">
        <f>tblSales[[#This Row],[DPP (excl. VAT)]]+tblSales[[#This Row],[Output VAT]]</f>
        <v>22200000</v>
      </c>
      <c r="N4329" s="5">
        <f>tblSales[[#This Row],[Qty]]*_xlfn.XLOOKUP(tblSales[[#This Row],[Product Code]],tblProducts[Code],tblProducts[Unit Cost],0)</f>
        <v>13120000</v>
      </c>
      <c r="O4329" s="4" t="s">
        <v>4867</v>
      </c>
      <c r="P4329" s="4" t="s">
        <v>4862</v>
      </c>
      <c r="Q4329" s="1" t="str">
        <f>_xlfn.XLOOKUP(tblSales[[#This Row],[Channel Code]],tblChannels[Channel Code],tblChannels[Channel Name],"")</f>
        <v>Website &amp; Social Media</v>
      </c>
      <c r="R4329" s="1">
        <f>MONTH(tblSales[[#This Row],[Date]])</f>
        <v>9</v>
      </c>
    </row>
    <row r="4330" spans="2:18" x14ac:dyDescent="0.35">
      <c r="B4330" s="113">
        <v>46283</v>
      </c>
      <c r="C4330" s="4" t="s">
        <v>2927</v>
      </c>
      <c r="D4330" s="4" t="s">
        <v>4578</v>
      </c>
      <c r="E4330" s="1" t="str">
        <f>_xlfn.XLOOKUP(tblSales[[#This Row],[Customer ID]],tblCustomers[Customer ID],tblCustomers[Customer Name],"⚠ Unknown")</f>
        <v>PT Bintang Timur Sejahtera</v>
      </c>
      <c r="F4330" s="4" t="s">
        <v>8</v>
      </c>
      <c r="G4330" s="1" t="str">
        <f>_xlfn.XLOOKUP(tblSales[[#This Row],[Product Code]],tblProducts[Code],tblProducts[Product / Service Name],"⚠ Unknown")</f>
        <v>Casual Shorts</v>
      </c>
      <c r="H4330" s="1" t="str">
        <f>_xlfn.XLOOKUP(tblSales[[#This Row],[Product Code]],tblProducts[Code],tblProducts[Category],"")</f>
        <v>Accessories &amp; Basics</v>
      </c>
      <c r="I4330" s="4">
        <v>64</v>
      </c>
      <c r="J4330" s="5">
        <f>_xlfn.XLOOKUP(tblSales[[#This Row],[Product Code]],tblProducts[Code],tblProducts[Selling Price (excl. VAT)],0)</f>
        <v>85000</v>
      </c>
      <c r="K4330" s="5">
        <f>tblSales[[#This Row],[Qty]]*tblSales[[#This Row],[Unit Price]]</f>
        <v>5440000</v>
      </c>
      <c r="L4330" s="5">
        <f>ROUND(tblSales[[#This Row],[DPP (excl. VAT)]]*VATEff,0)</f>
        <v>598400</v>
      </c>
      <c r="M4330" s="5">
        <f>tblSales[[#This Row],[DPP (excl. VAT)]]+tblSales[[#This Row],[Output VAT]]</f>
        <v>6038400</v>
      </c>
      <c r="N4330" s="5">
        <f>tblSales[[#This Row],[Qty]]*_xlfn.XLOOKUP(tblSales[[#This Row],[Product Code]],tblProducts[Code],tblProducts[Unit Cost],0)</f>
        <v>3200000</v>
      </c>
      <c r="O4330" s="4" t="s">
        <v>4867</v>
      </c>
      <c r="P4330" s="4" t="s">
        <v>4862</v>
      </c>
      <c r="Q4330" s="1" t="str">
        <f>_xlfn.XLOOKUP(tblSales[[#This Row],[Channel Code]],tblChannels[Channel Code],tblChannels[Channel Name],"")</f>
        <v>Website &amp; Social Media</v>
      </c>
      <c r="R4330" s="1">
        <f>MONTH(tblSales[[#This Row],[Date]])</f>
        <v>9</v>
      </c>
    </row>
    <row r="4331" spans="2:18" x14ac:dyDescent="0.35">
      <c r="B4331" s="113">
        <v>46283</v>
      </c>
      <c r="C4331" s="4" t="s">
        <v>2928</v>
      </c>
      <c r="D4331" s="4" t="s">
        <v>4568</v>
      </c>
      <c r="E4331" s="1" t="str">
        <f>_xlfn.XLOOKUP(tblSales[[#This Row],[Customer ID]],tblCustomers[Customer ID],tblCustomers[Customer Name],"⚠ Unknown")</f>
        <v>Walk-in Customer</v>
      </c>
      <c r="F4331" s="4" t="s">
        <v>6</v>
      </c>
      <c r="G4331" s="1" t="str">
        <f>_xlfn.XLOOKUP(tblSales[[#This Row],[Product Code]],tblProducts[Code],tblProducts[Product / Service Name],"⚠ Unknown")</f>
        <v>Socks &amp; Accessories</v>
      </c>
      <c r="H4331" s="1" t="str">
        <f>_xlfn.XLOOKUP(tblSales[[#This Row],[Product Code]],tblProducts[Code],tblProducts[Category],"")</f>
        <v>Accessories &amp; Basics</v>
      </c>
      <c r="I4331" s="4">
        <v>9</v>
      </c>
      <c r="J4331" s="5">
        <f>_xlfn.XLOOKUP(tblSales[[#This Row],[Product Code]],tblProducts[Code],tblProducts[Selling Price (excl. VAT)],0)</f>
        <v>45000</v>
      </c>
      <c r="K4331" s="5">
        <f>tblSales[[#This Row],[Qty]]*tblSales[[#This Row],[Unit Price]]</f>
        <v>405000</v>
      </c>
      <c r="L4331" s="5">
        <f>ROUND(tblSales[[#This Row],[DPP (excl. VAT)]]*VATEff,0)</f>
        <v>44550</v>
      </c>
      <c r="M4331" s="5">
        <f>tblSales[[#This Row],[DPP (excl. VAT)]]+tblSales[[#This Row],[Output VAT]]</f>
        <v>449550</v>
      </c>
      <c r="N4331" s="5">
        <f>tblSales[[#This Row],[Qty]]*_xlfn.XLOOKUP(tblSales[[#This Row],[Product Code]],tblProducts[Code],tblProducts[Unit Cost],0)</f>
        <v>216000</v>
      </c>
      <c r="O4331" s="4" t="s">
        <v>4866</v>
      </c>
      <c r="P4331" s="4" t="s">
        <v>4861</v>
      </c>
      <c r="Q4331" s="1" t="str">
        <f>_xlfn.XLOOKUP(tblSales[[#This Row],[Channel Code]],tblChannels[Channel Code],tblChannels[Channel Name],"")</f>
        <v>Marketplace</v>
      </c>
      <c r="R4331" s="1">
        <f>MONTH(tblSales[[#This Row],[Date]])</f>
        <v>9</v>
      </c>
    </row>
    <row r="4332" spans="2:18" x14ac:dyDescent="0.35">
      <c r="B4332" s="113">
        <v>46283</v>
      </c>
      <c r="C4332" s="4" t="s">
        <v>2929</v>
      </c>
      <c r="D4332" s="4" t="s">
        <v>4568</v>
      </c>
      <c r="E4332" s="1" t="str">
        <f>_xlfn.XLOOKUP(tblSales[[#This Row],[Customer ID]],tblCustomers[Customer ID],tblCustomers[Customer Name],"⚠ Unknown")</f>
        <v>Walk-in Customer</v>
      </c>
      <c r="F4332" s="4" t="s">
        <v>6</v>
      </c>
      <c r="G4332" s="1" t="str">
        <f>_xlfn.XLOOKUP(tblSales[[#This Row],[Product Code]],tblProducts[Code],tblProducts[Product / Service Name],"⚠ Unknown")</f>
        <v>Socks &amp; Accessories</v>
      </c>
      <c r="H4332" s="1" t="str">
        <f>_xlfn.XLOOKUP(tblSales[[#This Row],[Product Code]],tblProducts[Code],tblProducts[Category],"")</f>
        <v>Accessories &amp; Basics</v>
      </c>
      <c r="I4332" s="4">
        <v>10</v>
      </c>
      <c r="J4332" s="5">
        <f>_xlfn.XLOOKUP(tblSales[[#This Row],[Product Code]],tblProducts[Code],tblProducts[Selling Price (excl. VAT)],0)</f>
        <v>45000</v>
      </c>
      <c r="K4332" s="5">
        <f>tblSales[[#This Row],[Qty]]*tblSales[[#This Row],[Unit Price]]</f>
        <v>450000</v>
      </c>
      <c r="L4332" s="5">
        <f>ROUND(tblSales[[#This Row],[DPP (excl. VAT)]]*VATEff,0)</f>
        <v>49500</v>
      </c>
      <c r="M4332" s="5">
        <f>tblSales[[#This Row],[DPP (excl. VAT)]]+tblSales[[#This Row],[Output VAT]]</f>
        <v>499500</v>
      </c>
      <c r="N4332" s="5">
        <f>tblSales[[#This Row],[Qty]]*_xlfn.XLOOKUP(tblSales[[#This Row],[Product Code]],tblProducts[Code],tblProducts[Unit Cost],0)</f>
        <v>240000</v>
      </c>
      <c r="O4332" s="4" t="s">
        <v>4865</v>
      </c>
      <c r="P4332" s="4" t="s">
        <v>4860</v>
      </c>
      <c r="Q4332" s="1" t="str">
        <f>_xlfn.XLOOKUP(tblSales[[#This Row],[Channel Code]],tblChannels[Channel Code],tblChannels[Channel Name],"")</f>
        <v>In-store</v>
      </c>
      <c r="R4332" s="1">
        <f>MONTH(tblSales[[#This Row],[Date]])</f>
        <v>9</v>
      </c>
    </row>
    <row r="4333" spans="2:18" x14ac:dyDescent="0.35">
      <c r="B4333" s="113">
        <v>46283</v>
      </c>
      <c r="C4333" s="4" t="s">
        <v>2929</v>
      </c>
      <c r="D4333" s="4" t="s">
        <v>4568</v>
      </c>
      <c r="E4333" s="1" t="str">
        <f>_xlfn.XLOOKUP(tblSales[[#This Row],[Customer ID]],tblCustomers[Customer ID],tblCustomers[Customer Name],"⚠ Unknown")</f>
        <v>Walk-in Customer</v>
      </c>
      <c r="F4333" s="4" t="s">
        <v>7</v>
      </c>
      <c r="G4333" s="1" t="str">
        <f>_xlfn.XLOOKUP(tblSales[[#This Row],[Product Code]],tblProducts[Code],tblProducts[Product / Service Name],"⚠ Unknown")</f>
        <v>Premium Basic T-shirt</v>
      </c>
      <c r="H4333" s="1" t="str">
        <f>_xlfn.XLOOKUP(tblSales[[#This Row],[Product Code]],tblProducts[Code],tblProducts[Category],"")</f>
        <v>Accessories &amp; Basics</v>
      </c>
      <c r="I4333" s="4">
        <v>11</v>
      </c>
      <c r="J4333" s="5">
        <f>_xlfn.XLOOKUP(tblSales[[#This Row],[Product Code]],tblProducts[Code],tblProducts[Selling Price (excl. VAT)],0)</f>
        <v>65000</v>
      </c>
      <c r="K4333" s="5">
        <f>tblSales[[#This Row],[Qty]]*tblSales[[#This Row],[Unit Price]]</f>
        <v>715000</v>
      </c>
      <c r="L4333" s="5">
        <f>ROUND(tblSales[[#This Row],[DPP (excl. VAT)]]*VATEff,0)</f>
        <v>78650</v>
      </c>
      <c r="M4333" s="5">
        <f>tblSales[[#This Row],[DPP (excl. VAT)]]+tblSales[[#This Row],[Output VAT]]</f>
        <v>793650</v>
      </c>
      <c r="N4333" s="5">
        <f>tblSales[[#This Row],[Qty]]*_xlfn.XLOOKUP(tblSales[[#This Row],[Product Code]],tblProducts[Code],tblProducts[Unit Cost],0)</f>
        <v>407000</v>
      </c>
      <c r="O4333" s="4" t="s">
        <v>4865</v>
      </c>
      <c r="P4333" s="4" t="s">
        <v>4860</v>
      </c>
      <c r="Q4333" s="1" t="str">
        <f>_xlfn.XLOOKUP(tblSales[[#This Row],[Channel Code]],tblChannels[Channel Code],tblChannels[Channel Name],"")</f>
        <v>In-store</v>
      </c>
      <c r="R4333" s="1">
        <f>MONTH(tblSales[[#This Row],[Date]])</f>
        <v>9</v>
      </c>
    </row>
    <row r="4334" spans="2:18" x14ac:dyDescent="0.35">
      <c r="B4334" s="113">
        <v>46283</v>
      </c>
      <c r="C4334" s="4" t="s">
        <v>2930</v>
      </c>
      <c r="D4334" s="4" t="s">
        <v>4568</v>
      </c>
      <c r="E4334" s="1" t="str">
        <f>_xlfn.XLOOKUP(tblSales[[#This Row],[Customer ID]],tblCustomers[Customer ID],tblCustomers[Customer Name],"⚠ Unknown")</f>
        <v>Walk-in Customer</v>
      </c>
      <c r="F4334" s="4" t="s">
        <v>7</v>
      </c>
      <c r="G4334" s="1" t="str">
        <f>_xlfn.XLOOKUP(tblSales[[#This Row],[Product Code]],tblProducts[Code],tblProducts[Product / Service Name],"⚠ Unknown")</f>
        <v>Premium Basic T-shirt</v>
      </c>
      <c r="H4334" s="1" t="str">
        <f>_xlfn.XLOOKUP(tblSales[[#This Row],[Product Code]],tblProducts[Code],tblProducts[Category],"")</f>
        <v>Accessories &amp; Basics</v>
      </c>
      <c r="I4334" s="4">
        <v>12</v>
      </c>
      <c r="J4334" s="5">
        <f>_xlfn.XLOOKUP(tblSales[[#This Row],[Product Code]],tblProducts[Code],tblProducts[Selling Price (excl. VAT)],0)</f>
        <v>65000</v>
      </c>
      <c r="K4334" s="5">
        <f>tblSales[[#This Row],[Qty]]*tblSales[[#This Row],[Unit Price]]</f>
        <v>780000</v>
      </c>
      <c r="L4334" s="5">
        <f>ROUND(tblSales[[#This Row],[DPP (excl. VAT)]]*VATEff,0)</f>
        <v>85800</v>
      </c>
      <c r="M4334" s="5">
        <f>tblSales[[#This Row],[DPP (excl. VAT)]]+tblSales[[#This Row],[Output VAT]]</f>
        <v>865800</v>
      </c>
      <c r="N4334" s="5">
        <f>tblSales[[#This Row],[Qty]]*_xlfn.XLOOKUP(tblSales[[#This Row],[Product Code]],tblProducts[Code],tblProducts[Unit Cost],0)</f>
        <v>444000</v>
      </c>
      <c r="O4334" s="4" t="s">
        <v>4866</v>
      </c>
      <c r="P4334" s="4" t="s">
        <v>4862</v>
      </c>
      <c r="Q4334" s="1" t="str">
        <f>_xlfn.XLOOKUP(tblSales[[#This Row],[Channel Code]],tblChannels[Channel Code],tblChannels[Channel Name],"")</f>
        <v>Website &amp; Social Media</v>
      </c>
      <c r="R4334" s="1">
        <f>MONTH(tblSales[[#This Row],[Date]])</f>
        <v>9</v>
      </c>
    </row>
    <row r="4335" spans="2:18" x14ac:dyDescent="0.35">
      <c r="B4335" s="113">
        <v>46283</v>
      </c>
      <c r="C4335" s="4" t="s">
        <v>2931</v>
      </c>
      <c r="D4335" s="4" t="s">
        <v>4568</v>
      </c>
      <c r="E4335" s="1" t="str">
        <f>_xlfn.XLOOKUP(tblSales[[#This Row],[Customer ID]],tblCustomers[Customer ID],tblCustomers[Customer Name],"⚠ Unknown")</f>
        <v>Walk-in Customer</v>
      </c>
      <c r="F4335" s="4" t="s">
        <v>10</v>
      </c>
      <c r="G4335" s="1" t="str">
        <f>_xlfn.XLOOKUP(tblSales[[#This Row],[Product Code]],tblProducts[Code],tblProducts[Product / Service Name],"⚠ Unknown")</f>
        <v>Chino Pants</v>
      </c>
      <c r="H4335" s="1" t="str">
        <f>_xlfn.XLOOKUP(tblSales[[#This Row],[Product Code]],tblProducts[Code],tblProducts[Category],"")</f>
        <v>Apparel &amp; Footwear</v>
      </c>
      <c r="I4335" s="4">
        <v>8</v>
      </c>
      <c r="J4335" s="5">
        <f>_xlfn.XLOOKUP(tblSales[[#This Row],[Product Code]],tblProducts[Code],tblProducts[Selling Price (excl. VAT)],0)</f>
        <v>150000</v>
      </c>
      <c r="K4335" s="5">
        <f>tblSales[[#This Row],[Qty]]*tblSales[[#This Row],[Unit Price]]</f>
        <v>1200000</v>
      </c>
      <c r="L4335" s="5">
        <f>ROUND(tblSales[[#This Row],[DPP (excl. VAT)]]*VATEff,0)</f>
        <v>132000</v>
      </c>
      <c r="M4335" s="5">
        <f>tblSales[[#This Row],[DPP (excl. VAT)]]+tblSales[[#This Row],[Output VAT]]</f>
        <v>1332000</v>
      </c>
      <c r="N4335" s="5">
        <f>tblSales[[#This Row],[Qty]]*_xlfn.XLOOKUP(tblSales[[#This Row],[Product Code]],tblProducts[Code],tblProducts[Unit Cost],0)</f>
        <v>704000</v>
      </c>
      <c r="O4335" s="4" t="s">
        <v>4865</v>
      </c>
      <c r="P4335" s="4" t="s">
        <v>4860</v>
      </c>
      <c r="Q4335" s="1" t="str">
        <f>_xlfn.XLOOKUP(tblSales[[#This Row],[Channel Code]],tblChannels[Channel Code],tblChannels[Channel Name],"")</f>
        <v>In-store</v>
      </c>
      <c r="R4335" s="1">
        <f>MONTH(tblSales[[#This Row],[Date]])</f>
        <v>9</v>
      </c>
    </row>
    <row r="4336" spans="2:18" x14ac:dyDescent="0.35">
      <c r="B4336" s="113">
        <v>46283</v>
      </c>
      <c r="C4336" s="4" t="s">
        <v>2932</v>
      </c>
      <c r="D4336" s="4" t="s">
        <v>4568</v>
      </c>
      <c r="E4336" s="1" t="str">
        <f>_xlfn.XLOOKUP(tblSales[[#This Row],[Customer ID]],tblCustomers[Customer ID],tblCustomers[Customer Name],"⚠ Unknown")</f>
        <v>Walk-in Customer</v>
      </c>
      <c r="F4336" s="4" t="s">
        <v>12</v>
      </c>
      <c r="G4336" s="1" t="str">
        <f>_xlfn.XLOOKUP(tblSales[[#This Row],[Product Code]],tblProducts[Code],tblProducts[Product / Service Name],"⚠ Unknown")</f>
        <v>Bomber Jacket</v>
      </c>
      <c r="H4336" s="1" t="str">
        <f>_xlfn.XLOOKUP(tblSales[[#This Row],[Product Code]],tblProducts[Code],tblProducts[Category],"")</f>
        <v>Apparel &amp; Footwear</v>
      </c>
      <c r="I4336" s="4">
        <v>3</v>
      </c>
      <c r="J4336" s="5">
        <f>_xlfn.XLOOKUP(tblSales[[#This Row],[Product Code]],tblProducts[Code],tblProducts[Selling Price (excl. VAT)],0)</f>
        <v>350000</v>
      </c>
      <c r="K4336" s="5">
        <f>tblSales[[#This Row],[Qty]]*tblSales[[#This Row],[Unit Price]]</f>
        <v>1050000</v>
      </c>
      <c r="L4336" s="5">
        <f>ROUND(tblSales[[#This Row],[DPP (excl. VAT)]]*VATEff,0)</f>
        <v>115500</v>
      </c>
      <c r="M4336" s="5">
        <f>tblSales[[#This Row],[DPP (excl. VAT)]]+tblSales[[#This Row],[Output VAT]]</f>
        <v>1165500</v>
      </c>
      <c r="N4336" s="5">
        <f>tblSales[[#This Row],[Qty]]*_xlfn.XLOOKUP(tblSales[[#This Row],[Product Code]],tblProducts[Code],tblProducts[Unit Cost],0)</f>
        <v>630000</v>
      </c>
      <c r="O4336" s="4" t="s">
        <v>4866</v>
      </c>
      <c r="P4336" s="4" t="s">
        <v>4860</v>
      </c>
      <c r="Q4336" s="1" t="str">
        <f>_xlfn.XLOOKUP(tblSales[[#This Row],[Channel Code]],tblChannels[Channel Code],tblChannels[Channel Name],"")</f>
        <v>In-store</v>
      </c>
      <c r="R4336" s="1">
        <f>MONTH(tblSales[[#This Row],[Date]])</f>
        <v>9</v>
      </c>
    </row>
    <row r="4337" spans="2:18" x14ac:dyDescent="0.35">
      <c r="B4337" s="113">
        <v>46283</v>
      </c>
      <c r="C4337" s="4" t="s">
        <v>2933</v>
      </c>
      <c r="D4337" s="4" t="s">
        <v>4568</v>
      </c>
      <c r="E4337" s="1" t="str">
        <f>_xlfn.XLOOKUP(tblSales[[#This Row],[Customer ID]],tblCustomers[Customer ID],tblCustomers[Customer Name],"⚠ Unknown")</f>
        <v>Walk-in Customer</v>
      </c>
      <c r="F4337" s="4" t="s">
        <v>9</v>
      </c>
      <c r="G4337" s="1" t="str">
        <f>_xlfn.XLOOKUP(tblSales[[#This Row],[Product Code]],tblProducts[Code],tblProducts[Product / Service Name],"⚠ Unknown")</f>
        <v>Casual Shirt</v>
      </c>
      <c r="H4337" s="1" t="str">
        <f>_xlfn.XLOOKUP(tblSales[[#This Row],[Product Code]],tblProducts[Code],tblProducts[Category],"")</f>
        <v>Apparel &amp; Footwear</v>
      </c>
      <c r="I4337" s="4">
        <v>2</v>
      </c>
      <c r="J4337" s="5">
        <f>_xlfn.XLOOKUP(tblSales[[#This Row],[Product Code]],tblProducts[Code],tblProducts[Selling Price (excl. VAT)],0)</f>
        <v>120000</v>
      </c>
      <c r="K4337" s="5">
        <f>tblSales[[#This Row],[Qty]]*tblSales[[#This Row],[Unit Price]]</f>
        <v>240000</v>
      </c>
      <c r="L4337" s="5">
        <f>ROUND(tblSales[[#This Row],[DPP (excl. VAT)]]*VATEff,0)</f>
        <v>26400</v>
      </c>
      <c r="M4337" s="5">
        <f>tblSales[[#This Row],[DPP (excl. VAT)]]+tblSales[[#This Row],[Output VAT]]</f>
        <v>266400</v>
      </c>
      <c r="N4337" s="5">
        <f>tblSales[[#This Row],[Qty]]*_xlfn.XLOOKUP(tblSales[[#This Row],[Product Code]],tblProducts[Code],tblProducts[Unit Cost],0)</f>
        <v>144000</v>
      </c>
      <c r="O4337" s="4" t="s">
        <v>4865</v>
      </c>
      <c r="P4337" s="4" t="s">
        <v>4860</v>
      </c>
      <c r="Q4337" s="1" t="str">
        <f>_xlfn.XLOOKUP(tblSales[[#This Row],[Channel Code]],tblChannels[Channel Code],tblChannels[Channel Name],"")</f>
        <v>In-store</v>
      </c>
      <c r="R4337" s="1">
        <f>MONTH(tblSales[[#This Row],[Date]])</f>
        <v>9</v>
      </c>
    </row>
    <row r="4338" spans="2:18" x14ac:dyDescent="0.35">
      <c r="B4338" s="113">
        <v>46283</v>
      </c>
      <c r="C4338" s="4" t="s">
        <v>2934</v>
      </c>
      <c r="D4338" s="4" t="s">
        <v>4568</v>
      </c>
      <c r="E4338" s="1" t="str">
        <f>_xlfn.XLOOKUP(tblSales[[#This Row],[Customer ID]],tblCustomers[Customer ID],tblCustomers[Customer Name],"⚠ Unknown")</f>
        <v>Walk-in Customer</v>
      </c>
      <c r="F4338" s="4" t="s">
        <v>10</v>
      </c>
      <c r="G4338" s="1" t="str">
        <f>_xlfn.XLOOKUP(tblSales[[#This Row],[Product Code]],tblProducts[Code],tblProducts[Product / Service Name],"⚠ Unknown")</f>
        <v>Chino Pants</v>
      </c>
      <c r="H4338" s="1" t="str">
        <f>_xlfn.XLOOKUP(tblSales[[#This Row],[Product Code]],tblProducts[Code],tblProducts[Category],"")</f>
        <v>Apparel &amp; Footwear</v>
      </c>
      <c r="I4338" s="4">
        <v>9</v>
      </c>
      <c r="J4338" s="5">
        <f>_xlfn.XLOOKUP(tblSales[[#This Row],[Product Code]],tblProducts[Code],tblProducts[Selling Price (excl. VAT)],0)</f>
        <v>150000</v>
      </c>
      <c r="K4338" s="5">
        <f>tblSales[[#This Row],[Qty]]*tblSales[[#This Row],[Unit Price]]</f>
        <v>1350000</v>
      </c>
      <c r="L4338" s="5">
        <f>ROUND(tblSales[[#This Row],[DPP (excl. VAT)]]*VATEff,0)</f>
        <v>148500</v>
      </c>
      <c r="M4338" s="5">
        <f>tblSales[[#This Row],[DPP (excl. VAT)]]+tblSales[[#This Row],[Output VAT]]</f>
        <v>1498500</v>
      </c>
      <c r="N4338" s="5">
        <f>tblSales[[#This Row],[Qty]]*_xlfn.XLOOKUP(tblSales[[#This Row],[Product Code]],tblProducts[Code],tblProducts[Unit Cost],0)</f>
        <v>792000</v>
      </c>
      <c r="O4338" s="4" t="s">
        <v>4865</v>
      </c>
      <c r="P4338" s="4" t="s">
        <v>4860</v>
      </c>
      <c r="Q4338" s="1" t="str">
        <f>_xlfn.XLOOKUP(tblSales[[#This Row],[Channel Code]],tblChannels[Channel Code],tblChannels[Channel Name],"")</f>
        <v>In-store</v>
      </c>
      <c r="R4338" s="1">
        <f>MONTH(tblSales[[#This Row],[Date]])</f>
        <v>9</v>
      </c>
    </row>
    <row r="4339" spans="2:18" x14ac:dyDescent="0.35">
      <c r="B4339" s="113">
        <v>46283</v>
      </c>
      <c r="C4339" s="4" t="s">
        <v>2934</v>
      </c>
      <c r="D4339" s="4" t="s">
        <v>4568</v>
      </c>
      <c r="E4339" s="1" t="str">
        <f>_xlfn.XLOOKUP(tblSales[[#This Row],[Customer ID]],tblCustomers[Customer ID],tblCustomers[Customer Name],"⚠ Unknown")</f>
        <v>Walk-in Customer</v>
      </c>
      <c r="F4339" s="4" t="s">
        <v>9</v>
      </c>
      <c r="G4339" s="1" t="str">
        <f>_xlfn.XLOOKUP(tblSales[[#This Row],[Product Code]],tblProducts[Code],tblProducts[Product / Service Name],"⚠ Unknown")</f>
        <v>Casual Shirt</v>
      </c>
      <c r="H4339" s="1" t="str">
        <f>_xlfn.XLOOKUP(tblSales[[#This Row],[Product Code]],tblProducts[Code],tblProducts[Category],"")</f>
        <v>Apparel &amp; Footwear</v>
      </c>
      <c r="I4339" s="4">
        <v>12</v>
      </c>
      <c r="J4339" s="5">
        <f>_xlfn.XLOOKUP(tblSales[[#This Row],[Product Code]],tblProducts[Code],tblProducts[Selling Price (excl. VAT)],0)</f>
        <v>120000</v>
      </c>
      <c r="K4339" s="5">
        <f>tblSales[[#This Row],[Qty]]*tblSales[[#This Row],[Unit Price]]</f>
        <v>1440000</v>
      </c>
      <c r="L4339" s="5">
        <f>ROUND(tblSales[[#This Row],[DPP (excl. VAT)]]*VATEff,0)</f>
        <v>158400</v>
      </c>
      <c r="M4339" s="5">
        <f>tblSales[[#This Row],[DPP (excl. VAT)]]+tblSales[[#This Row],[Output VAT]]</f>
        <v>1598400</v>
      </c>
      <c r="N4339" s="5">
        <f>tblSales[[#This Row],[Qty]]*_xlfn.XLOOKUP(tblSales[[#This Row],[Product Code]],tblProducts[Code],tblProducts[Unit Cost],0)</f>
        <v>864000</v>
      </c>
      <c r="O4339" s="4" t="s">
        <v>4865</v>
      </c>
      <c r="P4339" s="4" t="s">
        <v>4860</v>
      </c>
      <c r="Q4339" s="1" t="str">
        <f>_xlfn.XLOOKUP(tblSales[[#This Row],[Channel Code]],tblChannels[Channel Code],tblChannels[Channel Name],"")</f>
        <v>In-store</v>
      </c>
      <c r="R4339" s="1">
        <f>MONTH(tblSales[[#This Row],[Date]])</f>
        <v>9</v>
      </c>
    </row>
    <row r="4340" spans="2:18" x14ac:dyDescent="0.35">
      <c r="B4340" s="113">
        <v>46283</v>
      </c>
      <c r="C4340" s="4" t="s">
        <v>2934</v>
      </c>
      <c r="D4340" s="4" t="s">
        <v>4568</v>
      </c>
      <c r="E4340" s="1" t="str">
        <f>_xlfn.XLOOKUP(tblSales[[#This Row],[Customer ID]],tblCustomers[Customer ID],tblCustomers[Customer Name],"⚠ Unknown")</f>
        <v>Walk-in Customer</v>
      </c>
      <c r="F4340" s="4" t="s">
        <v>6</v>
      </c>
      <c r="G4340" s="1" t="str">
        <f>_xlfn.XLOOKUP(tblSales[[#This Row],[Product Code]],tblProducts[Code],tblProducts[Product / Service Name],"⚠ Unknown")</f>
        <v>Socks &amp; Accessories</v>
      </c>
      <c r="H4340" s="1" t="str">
        <f>_xlfn.XLOOKUP(tblSales[[#This Row],[Product Code]],tblProducts[Code],tblProducts[Category],"")</f>
        <v>Accessories &amp; Basics</v>
      </c>
      <c r="I4340" s="4">
        <v>7</v>
      </c>
      <c r="J4340" s="5">
        <f>_xlfn.XLOOKUP(tblSales[[#This Row],[Product Code]],tblProducts[Code],tblProducts[Selling Price (excl. VAT)],0)</f>
        <v>45000</v>
      </c>
      <c r="K4340" s="5">
        <f>tblSales[[#This Row],[Qty]]*tblSales[[#This Row],[Unit Price]]</f>
        <v>315000</v>
      </c>
      <c r="L4340" s="5">
        <f>ROUND(tblSales[[#This Row],[DPP (excl. VAT)]]*VATEff,0)</f>
        <v>34650</v>
      </c>
      <c r="M4340" s="5">
        <f>tblSales[[#This Row],[DPP (excl. VAT)]]+tblSales[[#This Row],[Output VAT]]</f>
        <v>349650</v>
      </c>
      <c r="N4340" s="5">
        <f>tblSales[[#This Row],[Qty]]*_xlfn.XLOOKUP(tblSales[[#This Row],[Product Code]],tblProducts[Code],tblProducts[Unit Cost],0)</f>
        <v>168000</v>
      </c>
      <c r="O4340" s="4" t="s">
        <v>4865</v>
      </c>
      <c r="P4340" s="4" t="s">
        <v>4860</v>
      </c>
      <c r="Q4340" s="1" t="str">
        <f>_xlfn.XLOOKUP(tblSales[[#This Row],[Channel Code]],tblChannels[Channel Code],tblChannels[Channel Name],"")</f>
        <v>In-store</v>
      </c>
      <c r="R4340" s="1">
        <f>MONTH(tblSales[[#This Row],[Date]])</f>
        <v>9</v>
      </c>
    </row>
    <row r="4341" spans="2:18" x14ac:dyDescent="0.35">
      <c r="B4341" s="113">
        <v>46283</v>
      </c>
      <c r="C4341" s="4" t="s">
        <v>2935</v>
      </c>
      <c r="D4341" s="4" t="s">
        <v>4620</v>
      </c>
      <c r="E4341" s="1" t="str">
        <f>_xlfn.XLOOKUP(tblSales[[#This Row],[Customer ID]],tblCustomers[Customer ID],tblCustomers[Customer Name],"⚠ Unknown")</f>
        <v>CV Sumber Rejeki Utama</v>
      </c>
      <c r="F4341" s="4" t="s">
        <v>7</v>
      </c>
      <c r="G4341" s="1" t="str">
        <f>_xlfn.XLOOKUP(tblSales[[#This Row],[Product Code]],tblProducts[Code],tblProducts[Product / Service Name],"⚠ Unknown")</f>
        <v>Premium Basic T-shirt</v>
      </c>
      <c r="H4341" s="1" t="str">
        <f>_xlfn.XLOOKUP(tblSales[[#This Row],[Product Code]],tblProducts[Code],tblProducts[Category],"")</f>
        <v>Accessories &amp; Basics</v>
      </c>
      <c r="I4341" s="4">
        <v>64</v>
      </c>
      <c r="J4341" s="5">
        <f>_xlfn.XLOOKUP(tblSales[[#This Row],[Product Code]],tblProducts[Code],tblProducts[Selling Price (excl. VAT)],0)</f>
        <v>65000</v>
      </c>
      <c r="K4341" s="5">
        <f>tblSales[[#This Row],[Qty]]*tblSales[[#This Row],[Unit Price]]</f>
        <v>4160000</v>
      </c>
      <c r="L4341" s="5">
        <f>ROUND(tblSales[[#This Row],[DPP (excl. VAT)]]*VATEff,0)</f>
        <v>457600</v>
      </c>
      <c r="M4341" s="5">
        <f>tblSales[[#This Row],[DPP (excl. VAT)]]+tblSales[[#This Row],[Output VAT]]</f>
        <v>4617600</v>
      </c>
      <c r="N4341" s="5">
        <f>tblSales[[#This Row],[Qty]]*_xlfn.XLOOKUP(tblSales[[#This Row],[Product Code]],tblProducts[Code],tblProducts[Unit Cost],0)</f>
        <v>2368000</v>
      </c>
      <c r="O4341" s="4" t="s">
        <v>4867</v>
      </c>
      <c r="P4341" s="4" t="s">
        <v>4862</v>
      </c>
      <c r="Q4341" s="1" t="str">
        <f>_xlfn.XLOOKUP(tblSales[[#This Row],[Channel Code]],tblChannels[Channel Code],tblChannels[Channel Name],"")</f>
        <v>Website &amp; Social Media</v>
      </c>
      <c r="R4341" s="1">
        <f>MONTH(tblSales[[#This Row],[Date]])</f>
        <v>9</v>
      </c>
    </row>
    <row r="4342" spans="2:18" x14ac:dyDescent="0.35">
      <c r="B4342" s="113">
        <v>46283</v>
      </c>
      <c r="C4342" s="4" t="s">
        <v>2936</v>
      </c>
      <c r="D4342" s="4" t="s">
        <v>4578</v>
      </c>
      <c r="E4342" s="1" t="str">
        <f>_xlfn.XLOOKUP(tblSales[[#This Row],[Customer ID]],tblCustomers[Customer ID],tblCustomers[Customer Name],"⚠ Unknown")</f>
        <v>PT Bintang Timur Sejahtera</v>
      </c>
      <c r="F4342" s="4" t="s">
        <v>11</v>
      </c>
      <c r="G4342" s="1" t="str">
        <f>_xlfn.XLOOKUP(tblSales[[#This Row],[Product Code]],tblProducts[Code],tblProducts[Product / Service Name],"⚠ Unknown")</f>
        <v>Sneakers</v>
      </c>
      <c r="H4342" s="1" t="str">
        <f>_xlfn.XLOOKUP(tblSales[[#This Row],[Product Code]],tblProducts[Code],tblProducts[Category],"")</f>
        <v>Apparel &amp; Footwear</v>
      </c>
      <c r="I4342" s="4">
        <v>40</v>
      </c>
      <c r="J4342" s="5">
        <f>_xlfn.XLOOKUP(tblSales[[#This Row],[Product Code]],tblProducts[Code],tblProducts[Selling Price (excl. VAT)],0)</f>
        <v>250000</v>
      </c>
      <c r="K4342" s="5">
        <f>tblSales[[#This Row],[Qty]]*tblSales[[#This Row],[Unit Price]]</f>
        <v>10000000</v>
      </c>
      <c r="L4342" s="5">
        <f>ROUND(tblSales[[#This Row],[DPP (excl. VAT)]]*VATEff,0)</f>
        <v>1100000</v>
      </c>
      <c r="M4342" s="5">
        <f>tblSales[[#This Row],[DPP (excl. VAT)]]+tblSales[[#This Row],[Output VAT]]</f>
        <v>11100000</v>
      </c>
      <c r="N4342" s="5">
        <f>tblSales[[#This Row],[Qty]]*_xlfn.XLOOKUP(tblSales[[#This Row],[Product Code]],tblProducts[Code],tblProducts[Unit Cost],0)</f>
        <v>6200000</v>
      </c>
      <c r="O4342" s="4" t="s">
        <v>4867</v>
      </c>
      <c r="P4342" s="4" t="s">
        <v>4860</v>
      </c>
      <c r="Q4342" s="1" t="str">
        <f>_xlfn.XLOOKUP(tblSales[[#This Row],[Channel Code]],tblChannels[Channel Code],tblChannels[Channel Name],"")</f>
        <v>In-store</v>
      </c>
      <c r="R4342" s="1">
        <f>MONTH(tblSales[[#This Row],[Date]])</f>
        <v>9</v>
      </c>
    </row>
    <row r="4343" spans="2:18" x14ac:dyDescent="0.35">
      <c r="B4343" s="113">
        <v>46283</v>
      </c>
      <c r="C4343" s="4" t="s">
        <v>2937</v>
      </c>
      <c r="D4343" s="4" t="s">
        <v>4578</v>
      </c>
      <c r="E4343" s="1" t="str">
        <f>_xlfn.XLOOKUP(tblSales[[#This Row],[Customer ID]],tblCustomers[Customer ID],tblCustomers[Customer Name],"⚠ Unknown")</f>
        <v>PT Bintang Timur Sejahtera</v>
      </c>
      <c r="F4343" s="4" t="s">
        <v>8</v>
      </c>
      <c r="G4343" s="1" t="str">
        <f>_xlfn.XLOOKUP(tblSales[[#This Row],[Product Code]],tblProducts[Code],tblProducts[Product / Service Name],"⚠ Unknown")</f>
        <v>Casual Shorts</v>
      </c>
      <c r="H4343" s="1" t="str">
        <f>_xlfn.XLOOKUP(tblSales[[#This Row],[Product Code]],tblProducts[Code],tblProducts[Category],"")</f>
        <v>Accessories &amp; Basics</v>
      </c>
      <c r="I4343" s="4">
        <v>72</v>
      </c>
      <c r="J4343" s="5">
        <f>_xlfn.XLOOKUP(tblSales[[#This Row],[Product Code]],tblProducts[Code],tblProducts[Selling Price (excl. VAT)],0)</f>
        <v>85000</v>
      </c>
      <c r="K4343" s="5">
        <f>tblSales[[#This Row],[Qty]]*tblSales[[#This Row],[Unit Price]]</f>
        <v>6120000</v>
      </c>
      <c r="L4343" s="5">
        <f>ROUND(tblSales[[#This Row],[DPP (excl. VAT)]]*VATEff,0)</f>
        <v>673200</v>
      </c>
      <c r="M4343" s="5">
        <f>tblSales[[#This Row],[DPP (excl. VAT)]]+tblSales[[#This Row],[Output VAT]]</f>
        <v>6793200</v>
      </c>
      <c r="N4343" s="5">
        <f>tblSales[[#This Row],[Qty]]*_xlfn.XLOOKUP(tblSales[[#This Row],[Product Code]],tblProducts[Code],tblProducts[Unit Cost],0)</f>
        <v>3600000</v>
      </c>
      <c r="O4343" s="4" t="s">
        <v>4867</v>
      </c>
      <c r="P4343" s="4" t="s">
        <v>4860</v>
      </c>
      <c r="Q4343" s="1" t="str">
        <f>_xlfn.XLOOKUP(tblSales[[#This Row],[Channel Code]],tblChannels[Channel Code],tblChannels[Channel Name],"")</f>
        <v>In-store</v>
      </c>
      <c r="R4343" s="1">
        <f>MONTH(tblSales[[#This Row],[Date]])</f>
        <v>9</v>
      </c>
    </row>
    <row r="4344" spans="2:18" x14ac:dyDescent="0.35">
      <c r="B4344" s="113">
        <v>46284</v>
      </c>
      <c r="C4344" s="4" t="s">
        <v>2938</v>
      </c>
      <c r="D4344" s="4" t="s">
        <v>4568</v>
      </c>
      <c r="E4344" s="1" t="str">
        <f>_xlfn.XLOOKUP(tblSales[[#This Row],[Customer ID]],tblCustomers[Customer ID],tblCustomers[Customer Name],"⚠ Unknown")</f>
        <v>Walk-in Customer</v>
      </c>
      <c r="F4344" s="4" t="s">
        <v>7</v>
      </c>
      <c r="G4344" s="1" t="str">
        <f>_xlfn.XLOOKUP(tblSales[[#This Row],[Product Code]],tblProducts[Code],tblProducts[Product / Service Name],"⚠ Unknown")</f>
        <v>Premium Basic T-shirt</v>
      </c>
      <c r="H4344" s="1" t="str">
        <f>_xlfn.XLOOKUP(tblSales[[#This Row],[Product Code]],tblProducts[Code],tblProducts[Category],"")</f>
        <v>Accessories &amp; Basics</v>
      </c>
      <c r="I4344" s="4">
        <v>3</v>
      </c>
      <c r="J4344" s="5">
        <f>_xlfn.XLOOKUP(tblSales[[#This Row],[Product Code]],tblProducts[Code],tblProducts[Selling Price (excl. VAT)],0)</f>
        <v>65000</v>
      </c>
      <c r="K4344" s="5">
        <f>tblSales[[#This Row],[Qty]]*tblSales[[#This Row],[Unit Price]]</f>
        <v>195000</v>
      </c>
      <c r="L4344" s="5">
        <f>ROUND(tblSales[[#This Row],[DPP (excl. VAT)]]*VATEff,0)</f>
        <v>21450</v>
      </c>
      <c r="M4344" s="5">
        <f>tblSales[[#This Row],[DPP (excl. VAT)]]+tblSales[[#This Row],[Output VAT]]</f>
        <v>216450</v>
      </c>
      <c r="N4344" s="5">
        <f>tblSales[[#This Row],[Qty]]*_xlfn.XLOOKUP(tblSales[[#This Row],[Product Code]],tblProducts[Code],tblProducts[Unit Cost],0)</f>
        <v>111000</v>
      </c>
      <c r="O4344" s="4" t="s">
        <v>4866</v>
      </c>
      <c r="P4344" s="4" t="s">
        <v>4860</v>
      </c>
      <c r="Q4344" s="1" t="str">
        <f>_xlfn.XLOOKUP(tblSales[[#This Row],[Channel Code]],tblChannels[Channel Code],tblChannels[Channel Name],"")</f>
        <v>In-store</v>
      </c>
      <c r="R4344" s="1">
        <f>MONTH(tblSales[[#This Row],[Date]])</f>
        <v>9</v>
      </c>
    </row>
    <row r="4345" spans="2:18" x14ac:dyDescent="0.35">
      <c r="B4345" s="113">
        <v>46284</v>
      </c>
      <c r="C4345" s="4" t="s">
        <v>2939</v>
      </c>
      <c r="D4345" s="4" t="s">
        <v>4578</v>
      </c>
      <c r="E4345" s="1" t="str">
        <f>_xlfn.XLOOKUP(tblSales[[#This Row],[Customer ID]],tblCustomers[Customer ID],tblCustomers[Customer Name],"⚠ Unknown")</f>
        <v>PT Bintang Timur Sejahtera</v>
      </c>
      <c r="F4345" s="4" t="s">
        <v>15</v>
      </c>
      <c r="G4345" s="1" t="str">
        <f>_xlfn.XLOOKUP(tblSales[[#This Row],[Product Code]],tblProducts[Code],tblProducts[Product / Service Name],"⚠ Unknown")</f>
        <v>Wireless Earbuds Pro</v>
      </c>
      <c r="H4345" s="1" t="str">
        <f>_xlfn.XLOOKUP(tblSales[[#This Row],[Product Code]],tblProducts[Code],tblProducts[Category],"")</f>
        <v>Bags &amp; Gadgets</v>
      </c>
      <c r="I4345" s="4">
        <v>8</v>
      </c>
      <c r="J4345" s="5">
        <f>_xlfn.XLOOKUP(tblSales[[#This Row],[Product Code]],tblProducts[Code],tblProducts[Selling Price (excl. VAT)],0)</f>
        <v>1250000</v>
      </c>
      <c r="K4345" s="5">
        <f>tblSales[[#This Row],[Qty]]*tblSales[[#This Row],[Unit Price]]</f>
        <v>10000000</v>
      </c>
      <c r="L4345" s="5">
        <f>ROUND(tblSales[[#This Row],[DPP (excl. VAT)]]*VATEff,0)</f>
        <v>1100000</v>
      </c>
      <c r="M4345" s="5">
        <f>tblSales[[#This Row],[DPP (excl. VAT)]]+tblSales[[#This Row],[Output VAT]]</f>
        <v>11100000</v>
      </c>
      <c r="N4345" s="5">
        <f>tblSales[[#This Row],[Qty]]*_xlfn.XLOOKUP(tblSales[[#This Row],[Product Code]],tblProducts[Code],tblProducts[Unit Cost],0)</f>
        <v>6560000</v>
      </c>
      <c r="O4345" s="4" t="s">
        <v>4867</v>
      </c>
      <c r="P4345" s="4" t="s">
        <v>4860</v>
      </c>
      <c r="Q4345" s="1" t="str">
        <f>_xlfn.XLOOKUP(tblSales[[#This Row],[Channel Code]],tblChannels[Channel Code],tblChannels[Channel Name],"")</f>
        <v>In-store</v>
      </c>
      <c r="R4345" s="1">
        <f>MONTH(tblSales[[#This Row],[Date]])</f>
        <v>9</v>
      </c>
    </row>
    <row r="4346" spans="2:18" x14ac:dyDescent="0.35">
      <c r="B4346" s="113">
        <v>46284</v>
      </c>
      <c r="C4346" s="4" t="s">
        <v>2940</v>
      </c>
      <c r="D4346" s="4" t="s">
        <v>4568</v>
      </c>
      <c r="E4346" s="1" t="str">
        <f>_xlfn.XLOOKUP(tblSales[[#This Row],[Customer ID]],tblCustomers[Customer ID],tblCustomers[Customer Name],"⚠ Unknown")</f>
        <v>Walk-in Customer</v>
      </c>
      <c r="F4346" s="4" t="s">
        <v>13</v>
      </c>
      <c r="G4346" s="1" t="str">
        <f>_xlfn.XLOOKUP(tblSales[[#This Row],[Product Code]],tblProducts[Code],tblProducts[Product / Service Name],"⚠ Unknown")</f>
        <v>Backpack</v>
      </c>
      <c r="H4346" s="1" t="str">
        <f>_xlfn.XLOOKUP(tblSales[[#This Row],[Product Code]],tblProducts[Code],tblProducts[Category],"")</f>
        <v>Bags &amp; Gadgets</v>
      </c>
      <c r="I4346" s="4">
        <v>4</v>
      </c>
      <c r="J4346" s="5">
        <f>_xlfn.XLOOKUP(tblSales[[#This Row],[Product Code]],tblProducts[Code],tblProducts[Selling Price (excl. VAT)],0)</f>
        <v>500000</v>
      </c>
      <c r="K4346" s="5">
        <f>tblSales[[#This Row],[Qty]]*tblSales[[#This Row],[Unit Price]]</f>
        <v>2000000</v>
      </c>
      <c r="L4346" s="5">
        <f>ROUND(tblSales[[#This Row],[DPP (excl. VAT)]]*VATEff,0)</f>
        <v>220000</v>
      </c>
      <c r="M4346" s="5">
        <f>tblSales[[#This Row],[DPP (excl. VAT)]]+tblSales[[#This Row],[Output VAT]]</f>
        <v>2220000</v>
      </c>
      <c r="N4346" s="5">
        <f>tblSales[[#This Row],[Qty]]*_xlfn.XLOOKUP(tblSales[[#This Row],[Product Code]],tblProducts[Code],tblProducts[Unit Cost],0)</f>
        <v>1160000</v>
      </c>
      <c r="O4346" s="4" t="s">
        <v>4865</v>
      </c>
      <c r="P4346" s="4" t="s">
        <v>4860</v>
      </c>
      <c r="Q4346" s="1" t="str">
        <f>_xlfn.XLOOKUP(tblSales[[#This Row],[Channel Code]],tblChannels[Channel Code],tblChannels[Channel Name],"")</f>
        <v>In-store</v>
      </c>
      <c r="R4346" s="1">
        <f>MONTH(tblSales[[#This Row],[Date]])</f>
        <v>9</v>
      </c>
    </row>
    <row r="4347" spans="2:18" x14ac:dyDescent="0.35">
      <c r="B4347" s="113">
        <v>46284</v>
      </c>
      <c r="C4347" s="4" t="s">
        <v>2940</v>
      </c>
      <c r="D4347" s="4" t="s">
        <v>4568</v>
      </c>
      <c r="E4347" s="1" t="str">
        <f>_xlfn.XLOOKUP(tblSales[[#This Row],[Customer ID]],tblCustomers[Customer ID],tblCustomers[Customer Name],"⚠ Unknown")</f>
        <v>Walk-in Customer</v>
      </c>
      <c r="F4347" s="4" t="s">
        <v>11</v>
      </c>
      <c r="G4347" s="1" t="str">
        <f>_xlfn.XLOOKUP(tblSales[[#This Row],[Product Code]],tblProducts[Code],tblProducts[Product / Service Name],"⚠ Unknown")</f>
        <v>Sneakers</v>
      </c>
      <c r="H4347" s="1" t="str">
        <f>_xlfn.XLOOKUP(tblSales[[#This Row],[Product Code]],tblProducts[Code],tblProducts[Category],"")</f>
        <v>Apparel &amp; Footwear</v>
      </c>
      <c r="I4347" s="4">
        <v>1</v>
      </c>
      <c r="J4347" s="5">
        <f>_xlfn.XLOOKUP(tblSales[[#This Row],[Product Code]],tblProducts[Code],tblProducts[Selling Price (excl. VAT)],0)</f>
        <v>250000</v>
      </c>
      <c r="K4347" s="5">
        <f>tblSales[[#This Row],[Qty]]*tblSales[[#This Row],[Unit Price]]</f>
        <v>250000</v>
      </c>
      <c r="L4347" s="5">
        <f>ROUND(tblSales[[#This Row],[DPP (excl. VAT)]]*VATEff,0)</f>
        <v>27500</v>
      </c>
      <c r="M4347" s="5">
        <f>tblSales[[#This Row],[DPP (excl. VAT)]]+tblSales[[#This Row],[Output VAT]]</f>
        <v>277500</v>
      </c>
      <c r="N4347" s="5">
        <f>tblSales[[#This Row],[Qty]]*_xlfn.XLOOKUP(tblSales[[#This Row],[Product Code]],tblProducts[Code],tblProducts[Unit Cost],0)</f>
        <v>155000</v>
      </c>
      <c r="O4347" s="4" t="s">
        <v>4865</v>
      </c>
      <c r="P4347" s="4" t="s">
        <v>4860</v>
      </c>
      <c r="Q4347" s="1" t="str">
        <f>_xlfn.XLOOKUP(tblSales[[#This Row],[Channel Code]],tblChannels[Channel Code],tblChannels[Channel Name],"")</f>
        <v>In-store</v>
      </c>
      <c r="R4347" s="1">
        <f>MONTH(tblSales[[#This Row],[Date]])</f>
        <v>9</v>
      </c>
    </row>
    <row r="4348" spans="2:18" x14ac:dyDescent="0.35">
      <c r="B4348" s="113">
        <v>46284</v>
      </c>
      <c r="C4348" s="4" t="s">
        <v>2941</v>
      </c>
      <c r="D4348" s="4" t="s">
        <v>4648</v>
      </c>
      <c r="E4348" s="1" t="str">
        <f>_xlfn.XLOOKUP(tblSales[[#This Row],[Customer ID]],tblCustomers[Customer ID],tblCustomers[Customer Name],"⚠ Unknown")</f>
        <v>PT Lintas Benua Niaga</v>
      </c>
      <c r="F4348" s="4" t="s">
        <v>9</v>
      </c>
      <c r="G4348" s="1" t="str">
        <f>_xlfn.XLOOKUP(tblSales[[#This Row],[Product Code]],tblProducts[Code],tblProducts[Product / Service Name],"⚠ Unknown")</f>
        <v>Casual Shirt</v>
      </c>
      <c r="H4348" s="1" t="str">
        <f>_xlfn.XLOOKUP(tblSales[[#This Row],[Product Code]],tblProducts[Code],tblProducts[Category],"")</f>
        <v>Apparel &amp; Footwear</v>
      </c>
      <c r="I4348" s="4">
        <v>88</v>
      </c>
      <c r="J4348" s="5">
        <f>_xlfn.XLOOKUP(tblSales[[#This Row],[Product Code]],tblProducts[Code],tblProducts[Selling Price (excl. VAT)],0)</f>
        <v>120000</v>
      </c>
      <c r="K4348" s="5">
        <f>tblSales[[#This Row],[Qty]]*tblSales[[#This Row],[Unit Price]]</f>
        <v>10560000</v>
      </c>
      <c r="L4348" s="5">
        <f>ROUND(tblSales[[#This Row],[DPP (excl. VAT)]]*VATEff,0)</f>
        <v>1161600</v>
      </c>
      <c r="M4348" s="5">
        <f>tblSales[[#This Row],[DPP (excl. VAT)]]+tblSales[[#This Row],[Output VAT]]</f>
        <v>11721600</v>
      </c>
      <c r="N4348" s="5">
        <f>tblSales[[#This Row],[Qty]]*_xlfn.XLOOKUP(tblSales[[#This Row],[Product Code]],tblProducts[Code],tblProducts[Unit Cost],0)</f>
        <v>6336000</v>
      </c>
      <c r="O4348" s="4" t="s">
        <v>4867</v>
      </c>
      <c r="P4348" s="4" t="s">
        <v>4860</v>
      </c>
      <c r="Q4348" s="1" t="str">
        <f>_xlfn.XLOOKUP(tblSales[[#This Row],[Channel Code]],tblChannels[Channel Code],tblChannels[Channel Name],"")</f>
        <v>In-store</v>
      </c>
      <c r="R4348" s="1">
        <f>MONTH(tblSales[[#This Row],[Date]])</f>
        <v>9</v>
      </c>
    </row>
    <row r="4349" spans="2:18" x14ac:dyDescent="0.35">
      <c r="B4349" s="113">
        <v>46284</v>
      </c>
      <c r="C4349" s="4" t="s">
        <v>2942</v>
      </c>
      <c r="D4349" s="4" t="s">
        <v>4593</v>
      </c>
      <c r="E4349" s="1" t="str">
        <f>_xlfn.XLOOKUP(tblSales[[#This Row],[Customer ID]],tblCustomers[Customer ID],tblCustomers[Customer Name],"⚠ Unknown")</f>
        <v>PT Graha Nusa Persada</v>
      </c>
      <c r="F4349" s="4" t="s">
        <v>12</v>
      </c>
      <c r="G4349" s="1" t="str">
        <f>_xlfn.XLOOKUP(tblSales[[#This Row],[Product Code]],tblProducts[Code],tblProducts[Product / Service Name],"⚠ Unknown")</f>
        <v>Bomber Jacket</v>
      </c>
      <c r="H4349" s="1" t="str">
        <f>_xlfn.XLOOKUP(tblSales[[#This Row],[Product Code]],tblProducts[Code],tblProducts[Category],"")</f>
        <v>Apparel &amp; Footwear</v>
      </c>
      <c r="I4349" s="4">
        <v>48</v>
      </c>
      <c r="J4349" s="5">
        <f>_xlfn.XLOOKUP(tblSales[[#This Row],[Product Code]],tblProducts[Code],tblProducts[Selling Price (excl. VAT)],0)</f>
        <v>350000</v>
      </c>
      <c r="K4349" s="5">
        <f>tblSales[[#This Row],[Qty]]*tblSales[[#This Row],[Unit Price]]</f>
        <v>16800000</v>
      </c>
      <c r="L4349" s="5">
        <f>ROUND(tblSales[[#This Row],[DPP (excl. VAT)]]*VATEff,0)</f>
        <v>1848000</v>
      </c>
      <c r="M4349" s="5">
        <f>tblSales[[#This Row],[DPP (excl. VAT)]]+tblSales[[#This Row],[Output VAT]]</f>
        <v>18648000</v>
      </c>
      <c r="N4349" s="5">
        <f>tblSales[[#This Row],[Qty]]*_xlfn.XLOOKUP(tblSales[[#This Row],[Product Code]],tblProducts[Code],tblProducts[Unit Cost],0)</f>
        <v>10080000</v>
      </c>
      <c r="O4349" s="4" t="s">
        <v>4867</v>
      </c>
      <c r="P4349" s="4" t="s">
        <v>4860</v>
      </c>
      <c r="Q4349" s="1" t="str">
        <f>_xlfn.XLOOKUP(tblSales[[#This Row],[Channel Code]],tblChannels[Channel Code],tblChannels[Channel Name],"")</f>
        <v>In-store</v>
      </c>
      <c r="R4349" s="1">
        <f>MONTH(tblSales[[#This Row],[Date]])</f>
        <v>9</v>
      </c>
    </row>
    <row r="4350" spans="2:18" x14ac:dyDescent="0.35">
      <c r="B4350" s="113">
        <v>46284</v>
      </c>
      <c r="C4350" s="4" t="s">
        <v>2943</v>
      </c>
      <c r="D4350" s="4" t="s">
        <v>4568</v>
      </c>
      <c r="E4350" s="1" t="str">
        <f>_xlfn.XLOOKUP(tblSales[[#This Row],[Customer ID]],tblCustomers[Customer ID],tblCustomers[Customer Name],"⚠ Unknown")</f>
        <v>Walk-in Customer</v>
      </c>
      <c r="F4350" s="4" t="s">
        <v>9</v>
      </c>
      <c r="G4350" s="1" t="str">
        <f>_xlfn.XLOOKUP(tblSales[[#This Row],[Product Code]],tblProducts[Code],tblProducts[Product / Service Name],"⚠ Unknown")</f>
        <v>Casual Shirt</v>
      </c>
      <c r="H4350" s="1" t="str">
        <f>_xlfn.XLOOKUP(tblSales[[#This Row],[Product Code]],tblProducts[Code],tblProducts[Category],"")</f>
        <v>Apparel &amp; Footwear</v>
      </c>
      <c r="I4350" s="4">
        <v>8</v>
      </c>
      <c r="J4350" s="5">
        <f>_xlfn.XLOOKUP(tblSales[[#This Row],[Product Code]],tblProducts[Code],tblProducts[Selling Price (excl. VAT)],0)</f>
        <v>120000</v>
      </c>
      <c r="K4350" s="5">
        <f>tblSales[[#This Row],[Qty]]*tblSales[[#This Row],[Unit Price]]</f>
        <v>960000</v>
      </c>
      <c r="L4350" s="5">
        <f>ROUND(tblSales[[#This Row],[DPP (excl. VAT)]]*VATEff,0)</f>
        <v>105600</v>
      </c>
      <c r="M4350" s="5">
        <f>tblSales[[#This Row],[DPP (excl. VAT)]]+tblSales[[#This Row],[Output VAT]]</f>
        <v>1065600</v>
      </c>
      <c r="N4350" s="5">
        <f>tblSales[[#This Row],[Qty]]*_xlfn.XLOOKUP(tblSales[[#This Row],[Product Code]],tblProducts[Code],tblProducts[Unit Cost],0)</f>
        <v>576000</v>
      </c>
      <c r="O4350" s="4" t="s">
        <v>4866</v>
      </c>
      <c r="P4350" s="4" t="s">
        <v>4860</v>
      </c>
      <c r="Q4350" s="1" t="str">
        <f>_xlfn.XLOOKUP(tblSales[[#This Row],[Channel Code]],tblChannels[Channel Code],tblChannels[Channel Name],"")</f>
        <v>In-store</v>
      </c>
      <c r="R4350" s="1">
        <f>MONTH(tblSales[[#This Row],[Date]])</f>
        <v>9</v>
      </c>
    </row>
    <row r="4351" spans="2:18" x14ac:dyDescent="0.35">
      <c r="B4351" s="113">
        <v>46284</v>
      </c>
      <c r="C4351" s="4" t="s">
        <v>2944</v>
      </c>
      <c r="D4351" s="4" t="s">
        <v>4568</v>
      </c>
      <c r="E4351" s="1" t="str">
        <f>_xlfn.XLOOKUP(tblSales[[#This Row],[Customer ID]],tblCustomers[Customer ID],tblCustomers[Customer Name],"⚠ Unknown")</f>
        <v>Walk-in Customer</v>
      </c>
      <c r="F4351" s="4" t="s">
        <v>8</v>
      </c>
      <c r="G4351" s="1" t="str">
        <f>_xlfn.XLOOKUP(tblSales[[#This Row],[Product Code]],tblProducts[Code],tblProducts[Product / Service Name],"⚠ Unknown")</f>
        <v>Casual Shorts</v>
      </c>
      <c r="H4351" s="1" t="str">
        <f>_xlfn.XLOOKUP(tblSales[[#This Row],[Product Code]],tblProducts[Code],tblProducts[Category],"")</f>
        <v>Accessories &amp; Basics</v>
      </c>
      <c r="I4351" s="4">
        <v>7</v>
      </c>
      <c r="J4351" s="5">
        <f>_xlfn.XLOOKUP(tblSales[[#This Row],[Product Code]],tblProducts[Code],tblProducts[Selling Price (excl. VAT)],0)</f>
        <v>85000</v>
      </c>
      <c r="K4351" s="5">
        <f>tblSales[[#This Row],[Qty]]*tblSales[[#This Row],[Unit Price]]</f>
        <v>595000</v>
      </c>
      <c r="L4351" s="5">
        <f>ROUND(tblSales[[#This Row],[DPP (excl. VAT)]]*VATEff,0)</f>
        <v>65450</v>
      </c>
      <c r="M4351" s="5">
        <f>tblSales[[#This Row],[DPP (excl. VAT)]]+tblSales[[#This Row],[Output VAT]]</f>
        <v>660450</v>
      </c>
      <c r="N4351" s="5">
        <f>tblSales[[#This Row],[Qty]]*_xlfn.XLOOKUP(tblSales[[#This Row],[Product Code]],tblProducts[Code],tblProducts[Unit Cost],0)</f>
        <v>350000</v>
      </c>
      <c r="O4351" s="4" t="s">
        <v>4866</v>
      </c>
      <c r="P4351" s="4" t="s">
        <v>4861</v>
      </c>
      <c r="Q4351" s="1" t="str">
        <f>_xlfn.XLOOKUP(tblSales[[#This Row],[Channel Code]],tblChannels[Channel Code],tblChannels[Channel Name],"")</f>
        <v>Marketplace</v>
      </c>
      <c r="R4351" s="1">
        <f>MONTH(tblSales[[#This Row],[Date]])</f>
        <v>9</v>
      </c>
    </row>
    <row r="4352" spans="2:18" x14ac:dyDescent="0.35">
      <c r="B4352" s="113">
        <v>46284</v>
      </c>
      <c r="C4352" s="4" t="s">
        <v>2945</v>
      </c>
      <c r="D4352" s="4" t="s">
        <v>4568</v>
      </c>
      <c r="E4352" s="1" t="str">
        <f>_xlfn.XLOOKUP(tblSales[[#This Row],[Customer ID]],tblCustomers[Customer ID],tblCustomers[Customer Name],"⚠ Unknown")</f>
        <v>Walk-in Customer</v>
      </c>
      <c r="F4352" s="4" t="s">
        <v>9</v>
      </c>
      <c r="G4352" s="1" t="str">
        <f>_xlfn.XLOOKUP(tblSales[[#This Row],[Product Code]],tblProducts[Code],tblProducts[Product / Service Name],"⚠ Unknown")</f>
        <v>Casual Shirt</v>
      </c>
      <c r="H4352" s="1" t="str">
        <f>_xlfn.XLOOKUP(tblSales[[#This Row],[Product Code]],tblProducts[Code],tblProducts[Category],"")</f>
        <v>Apparel &amp; Footwear</v>
      </c>
      <c r="I4352" s="4">
        <v>4</v>
      </c>
      <c r="J4352" s="5">
        <f>_xlfn.XLOOKUP(tblSales[[#This Row],[Product Code]],tblProducts[Code],tblProducts[Selling Price (excl. VAT)],0)</f>
        <v>120000</v>
      </c>
      <c r="K4352" s="5">
        <f>tblSales[[#This Row],[Qty]]*tblSales[[#This Row],[Unit Price]]</f>
        <v>480000</v>
      </c>
      <c r="L4352" s="5">
        <f>ROUND(tblSales[[#This Row],[DPP (excl. VAT)]]*VATEff,0)</f>
        <v>52800</v>
      </c>
      <c r="M4352" s="5">
        <f>tblSales[[#This Row],[DPP (excl. VAT)]]+tblSales[[#This Row],[Output VAT]]</f>
        <v>532800</v>
      </c>
      <c r="N4352" s="5">
        <f>tblSales[[#This Row],[Qty]]*_xlfn.XLOOKUP(tblSales[[#This Row],[Product Code]],tblProducts[Code],tblProducts[Unit Cost],0)</f>
        <v>288000</v>
      </c>
      <c r="O4352" s="4" t="s">
        <v>4865</v>
      </c>
      <c r="P4352" s="4" t="s">
        <v>4860</v>
      </c>
      <c r="Q4352" s="1" t="str">
        <f>_xlfn.XLOOKUP(tblSales[[#This Row],[Channel Code]],tblChannels[Channel Code],tblChannels[Channel Name],"")</f>
        <v>In-store</v>
      </c>
      <c r="R4352" s="1">
        <f>MONTH(tblSales[[#This Row],[Date]])</f>
        <v>9</v>
      </c>
    </row>
    <row r="4353" spans="2:18" x14ac:dyDescent="0.35">
      <c r="B4353" s="113">
        <v>46284</v>
      </c>
      <c r="C4353" s="4" t="s">
        <v>2945</v>
      </c>
      <c r="D4353" s="4" t="s">
        <v>4568</v>
      </c>
      <c r="E4353" s="1" t="str">
        <f>_xlfn.XLOOKUP(tblSales[[#This Row],[Customer ID]],tblCustomers[Customer ID],tblCustomers[Customer Name],"⚠ Unknown")</f>
        <v>Walk-in Customer</v>
      </c>
      <c r="F4353" s="4" t="s">
        <v>8</v>
      </c>
      <c r="G4353" s="1" t="str">
        <f>_xlfn.XLOOKUP(tblSales[[#This Row],[Product Code]],tblProducts[Code],tblProducts[Product / Service Name],"⚠ Unknown")</f>
        <v>Casual Shorts</v>
      </c>
      <c r="H4353" s="1" t="str">
        <f>_xlfn.XLOOKUP(tblSales[[#This Row],[Product Code]],tblProducts[Code],tblProducts[Category],"")</f>
        <v>Accessories &amp; Basics</v>
      </c>
      <c r="I4353" s="4">
        <v>1</v>
      </c>
      <c r="J4353" s="5">
        <f>_xlfn.XLOOKUP(tblSales[[#This Row],[Product Code]],tblProducts[Code],tblProducts[Selling Price (excl. VAT)],0)</f>
        <v>85000</v>
      </c>
      <c r="K4353" s="5">
        <f>tblSales[[#This Row],[Qty]]*tblSales[[#This Row],[Unit Price]]</f>
        <v>85000</v>
      </c>
      <c r="L4353" s="5">
        <f>ROUND(tblSales[[#This Row],[DPP (excl. VAT)]]*VATEff,0)</f>
        <v>9350</v>
      </c>
      <c r="M4353" s="5">
        <f>tblSales[[#This Row],[DPP (excl. VAT)]]+tblSales[[#This Row],[Output VAT]]</f>
        <v>94350</v>
      </c>
      <c r="N4353" s="5">
        <f>tblSales[[#This Row],[Qty]]*_xlfn.XLOOKUP(tblSales[[#This Row],[Product Code]],tblProducts[Code],tblProducts[Unit Cost],0)</f>
        <v>50000</v>
      </c>
      <c r="O4353" s="4" t="s">
        <v>4865</v>
      </c>
      <c r="P4353" s="4" t="s">
        <v>4860</v>
      </c>
      <c r="Q4353" s="1" t="str">
        <f>_xlfn.XLOOKUP(tblSales[[#This Row],[Channel Code]],tblChannels[Channel Code],tblChannels[Channel Name],"")</f>
        <v>In-store</v>
      </c>
      <c r="R4353" s="1">
        <f>MONTH(tblSales[[#This Row],[Date]])</f>
        <v>9</v>
      </c>
    </row>
    <row r="4354" spans="2:18" x14ac:dyDescent="0.35">
      <c r="B4354" s="113">
        <v>46284</v>
      </c>
      <c r="C4354" s="4" t="s">
        <v>2945</v>
      </c>
      <c r="D4354" s="4" t="s">
        <v>4568</v>
      </c>
      <c r="E4354" s="1" t="str">
        <f>_xlfn.XLOOKUP(tblSales[[#This Row],[Customer ID]],tblCustomers[Customer ID],tblCustomers[Customer Name],"⚠ Unknown")</f>
        <v>Walk-in Customer</v>
      </c>
      <c r="F4354" s="4" t="s">
        <v>14</v>
      </c>
      <c r="G4354" s="1" t="str">
        <f>_xlfn.XLOOKUP(tblSales[[#This Row],[Product Code]],tblProducts[Code],tblProducts[Product / Service Name],"⚠ Unknown")</f>
        <v>Smartwatch</v>
      </c>
      <c r="H4354" s="1" t="str">
        <f>_xlfn.XLOOKUP(tblSales[[#This Row],[Product Code]],tblProducts[Code],tblProducts[Category],"")</f>
        <v>Bags &amp; Gadgets</v>
      </c>
      <c r="I4354" s="4">
        <v>1</v>
      </c>
      <c r="J4354" s="5">
        <f>_xlfn.XLOOKUP(tblSales[[#This Row],[Product Code]],tblProducts[Code],tblProducts[Selling Price (excl. VAT)],0)</f>
        <v>850000</v>
      </c>
      <c r="K4354" s="5">
        <f>tblSales[[#This Row],[Qty]]*tblSales[[#This Row],[Unit Price]]</f>
        <v>850000</v>
      </c>
      <c r="L4354" s="5">
        <f>ROUND(tblSales[[#This Row],[DPP (excl. VAT)]]*VATEff,0)</f>
        <v>93500</v>
      </c>
      <c r="M4354" s="5">
        <f>tblSales[[#This Row],[DPP (excl. VAT)]]+tblSales[[#This Row],[Output VAT]]</f>
        <v>943500</v>
      </c>
      <c r="N4354" s="5">
        <f>tblSales[[#This Row],[Qty]]*_xlfn.XLOOKUP(tblSales[[#This Row],[Product Code]],tblProducts[Code],tblProducts[Unit Cost],0)</f>
        <v>560000</v>
      </c>
      <c r="O4354" s="4" t="s">
        <v>4865</v>
      </c>
      <c r="P4354" s="4" t="s">
        <v>4860</v>
      </c>
      <c r="Q4354" s="1" t="str">
        <f>_xlfn.XLOOKUP(tblSales[[#This Row],[Channel Code]],tblChannels[Channel Code],tblChannels[Channel Name],"")</f>
        <v>In-store</v>
      </c>
      <c r="R4354" s="1">
        <f>MONTH(tblSales[[#This Row],[Date]])</f>
        <v>9</v>
      </c>
    </row>
    <row r="4355" spans="2:18" x14ac:dyDescent="0.35">
      <c r="B4355" s="113">
        <v>46284</v>
      </c>
      <c r="C4355" s="4" t="s">
        <v>2946</v>
      </c>
      <c r="D4355" s="4" t="s">
        <v>4613</v>
      </c>
      <c r="E4355" s="1" t="str">
        <f>_xlfn.XLOOKUP(tblSales[[#This Row],[Customer ID]],tblCustomers[Customer ID],tblCustomers[Customer Name],"⚠ Unknown")</f>
        <v>PT Mega Prima Distribusi</v>
      </c>
      <c r="F4355" s="4" t="s">
        <v>13</v>
      </c>
      <c r="G4355" s="1" t="str">
        <f>_xlfn.XLOOKUP(tblSales[[#This Row],[Product Code]],tblProducts[Code],tblProducts[Product / Service Name],"⚠ Unknown")</f>
        <v>Backpack</v>
      </c>
      <c r="H4355" s="1" t="str">
        <f>_xlfn.XLOOKUP(tblSales[[#This Row],[Product Code]],tblProducts[Code],tblProducts[Category],"")</f>
        <v>Bags &amp; Gadgets</v>
      </c>
      <c r="I4355" s="4">
        <v>16</v>
      </c>
      <c r="J4355" s="5">
        <f>_xlfn.XLOOKUP(tblSales[[#This Row],[Product Code]],tblProducts[Code],tblProducts[Selling Price (excl. VAT)],0)</f>
        <v>500000</v>
      </c>
      <c r="K4355" s="5">
        <f>tblSales[[#This Row],[Qty]]*tblSales[[#This Row],[Unit Price]]</f>
        <v>8000000</v>
      </c>
      <c r="L4355" s="5">
        <f>ROUND(tblSales[[#This Row],[DPP (excl. VAT)]]*VATEff,0)</f>
        <v>880000</v>
      </c>
      <c r="M4355" s="5">
        <f>tblSales[[#This Row],[DPP (excl. VAT)]]+tblSales[[#This Row],[Output VAT]]</f>
        <v>8880000</v>
      </c>
      <c r="N4355" s="5">
        <f>tblSales[[#This Row],[Qty]]*_xlfn.XLOOKUP(tblSales[[#This Row],[Product Code]],tblProducts[Code],tblProducts[Unit Cost],0)</f>
        <v>4640000</v>
      </c>
      <c r="O4355" s="4" t="s">
        <v>4867</v>
      </c>
      <c r="P4355" s="4" t="s">
        <v>4860</v>
      </c>
      <c r="Q4355" s="1" t="str">
        <f>_xlfn.XLOOKUP(tblSales[[#This Row],[Channel Code]],tblChannels[Channel Code],tblChannels[Channel Name],"")</f>
        <v>In-store</v>
      </c>
      <c r="R4355" s="1">
        <f>MONTH(tblSales[[#This Row],[Date]])</f>
        <v>9</v>
      </c>
    </row>
    <row r="4356" spans="2:18" x14ac:dyDescent="0.35">
      <c r="B4356" s="113">
        <v>46284</v>
      </c>
      <c r="C4356" s="4" t="s">
        <v>2947</v>
      </c>
      <c r="D4356" s="4" t="s">
        <v>4568</v>
      </c>
      <c r="E4356" s="1" t="str">
        <f>_xlfn.XLOOKUP(tblSales[[#This Row],[Customer ID]],tblCustomers[Customer ID],tblCustomers[Customer Name],"⚠ Unknown")</f>
        <v>Walk-in Customer</v>
      </c>
      <c r="F4356" s="4" t="s">
        <v>7</v>
      </c>
      <c r="G4356" s="1" t="str">
        <f>_xlfn.XLOOKUP(tblSales[[#This Row],[Product Code]],tblProducts[Code],tblProducts[Product / Service Name],"⚠ Unknown")</f>
        <v>Premium Basic T-shirt</v>
      </c>
      <c r="H4356" s="1" t="str">
        <f>_xlfn.XLOOKUP(tblSales[[#This Row],[Product Code]],tblProducts[Code],tblProducts[Category],"")</f>
        <v>Accessories &amp; Basics</v>
      </c>
      <c r="I4356" s="4">
        <v>2</v>
      </c>
      <c r="J4356" s="5">
        <f>_xlfn.XLOOKUP(tblSales[[#This Row],[Product Code]],tblProducts[Code],tblProducts[Selling Price (excl. VAT)],0)</f>
        <v>65000</v>
      </c>
      <c r="K4356" s="5">
        <f>tblSales[[#This Row],[Qty]]*tblSales[[#This Row],[Unit Price]]</f>
        <v>130000</v>
      </c>
      <c r="L4356" s="5">
        <f>ROUND(tblSales[[#This Row],[DPP (excl. VAT)]]*VATEff,0)</f>
        <v>14300</v>
      </c>
      <c r="M4356" s="5">
        <f>tblSales[[#This Row],[DPP (excl. VAT)]]+tblSales[[#This Row],[Output VAT]]</f>
        <v>144300</v>
      </c>
      <c r="N4356" s="5">
        <f>tblSales[[#This Row],[Qty]]*_xlfn.XLOOKUP(tblSales[[#This Row],[Product Code]],tblProducts[Code],tblProducts[Unit Cost],0)</f>
        <v>74000</v>
      </c>
      <c r="O4356" s="4" t="s">
        <v>4866</v>
      </c>
      <c r="P4356" s="4" t="s">
        <v>4862</v>
      </c>
      <c r="Q4356" s="1" t="str">
        <f>_xlfn.XLOOKUP(tblSales[[#This Row],[Channel Code]],tblChannels[Channel Code],tblChannels[Channel Name],"")</f>
        <v>Website &amp; Social Media</v>
      </c>
      <c r="R4356" s="1">
        <f>MONTH(tblSales[[#This Row],[Date]])</f>
        <v>9</v>
      </c>
    </row>
    <row r="4357" spans="2:18" x14ac:dyDescent="0.35">
      <c r="B4357" s="113">
        <v>46284</v>
      </c>
      <c r="C4357" s="4" t="s">
        <v>2947</v>
      </c>
      <c r="D4357" s="4" t="s">
        <v>4568</v>
      </c>
      <c r="E4357" s="1" t="str">
        <f>_xlfn.XLOOKUP(tblSales[[#This Row],[Customer ID]],tblCustomers[Customer ID],tblCustomers[Customer Name],"⚠ Unknown")</f>
        <v>Walk-in Customer</v>
      </c>
      <c r="F4357" s="4" t="s">
        <v>12</v>
      </c>
      <c r="G4357" s="1" t="str">
        <f>_xlfn.XLOOKUP(tblSales[[#This Row],[Product Code]],tblProducts[Code],tblProducts[Product / Service Name],"⚠ Unknown")</f>
        <v>Bomber Jacket</v>
      </c>
      <c r="H4357" s="1" t="str">
        <f>_xlfn.XLOOKUP(tblSales[[#This Row],[Product Code]],tblProducts[Code],tblProducts[Category],"")</f>
        <v>Apparel &amp; Footwear</v>
      </c>
      <c r="I4357" s="4">
        <v>4</v>
      </c>
      <c r="J4357" s="5">
        <f>_xlfn.XLOOKUP(tblSales[[#This Row],[Product Code]],tblProducts[Code],tblProducts[Selling Price (excl. VAT)],0)</f>
        <v>350000</v>
      </c>
      <c r="K4357" s="5">
        <f>tblSales[[#This Row],[Qty]]*tblSales[[#This Row],[Unit Price]]</f>
        <v>1400000</v>
      </c>
      <c r="L4357" s="5">
        <f>ROUND(tblSales[[#This Row],[DPP (excl. VAT)]]*VATEff,0)</f>
        <v>154000</v>
      </c>
      <c r="M4357" s="5">
        <f>tblSales[[#This Row],[DPP (excl. VAT)]]+tblSales[[#This Row],[Output VAT]]</f>
        <v>1554000</v>
      </c>
      <c r="N4357" s="5">
        <f>tblSales[[#This Row],[Qty]]*_xlfn.XLOOKUP(tblSales[[#This Row],[Product Code]],tblProducts[Code],tblProducts[Unit Cost],0)</f>
        <v>840000</v>
      </c>
      <c r="O4357" s="4" t="s">
        <v>4866</v>
      </c>
      <c r="P4357" s="4" t="s">
        <v>4862</v>
      </c>
      <c r="Q4357" s="1" t="str">
        <f>_xlfn.XLOOKUP(tblSales[[#This Row],[Channel Code]],tblChannels[Channel Code],tblChannels[Channel Name],"")</f>
        <v>Website &amp; Social Media</v>
      </c>
      <c r="R4357" s="1">
        <f>MONTH(tblSales[[#This Row],[Date]])</f>
        <v>9</v>
      </c>
    </row>
    <row r="4358" spans="2:18" x14ac:dyDescent="0.35">
      <c r="B4358" s="113">
        <v>46284</v>
      </c>
      <c r="C4358" s="4" t="s">
        <v>2947</v>
      </c>
      <c r="D4358" s="4" t="s">
        <v>4568</v>
      </c>
      <c r="E4358" s="1" t="str">
        <f>_xlfn.XLOOKUP(tblSales[[#This Row],[Customer ID]],tblCustomers[Customer ID],tblCustomers[Customer Name],"⚠ Unknown")</f>
        <v>Walk-in Customer</v>
      </c>
      <c r="F4358" s="4" t="s">
        <v>13</v>
      </c>
      <c r="G4358" s="1" t="str">
        <f>_xlfn.XLOOKUP(tblSales[[#This Row],[Product Code]],tblProducts[Code],tblProducts[Product / Service Name],"⚠ Unknown")</f>
        <v>Backpack</v>
      </c>
      <c r="H4358" s="1" t="str">
        <f>_xlfn.XLOOKUP(tblSales[[#This Row],[Product Code]],tblProducts[Code],tblProducts[Category],"")</f>
        <v>Bags &amp; Gadgets</v>
      </c>
      <c r="I4358" s="4">
        <v>3</v>
      </c>
      <c r="J4358" s="5">
        <f>_xlfn.XLOOKUP(tblSales[[#This Row],[Product Code]],tblProducts[Code],tblProducts[Selling Price (excl. VAT)],0)</f>
        <v>500000</v>
      </c>
      <c r="K4358" s="5">
        <f>tblSales[[#This Row],[Qty]]*tblSales[[#This Row],[Unit Price]]</f>
        <v>1500000</v>
      </c>
      <c r="L4358" s="5">
        <f>ROUND(tblSales[[#This Row],[DPP (excl. VAT)]]*VATEff,0)</f>
        <v>165000</v>
      </c>
      <c r="M4358" s="5">
        <f>tblSales[[#This Row],[DPP (excl. VAT)]]+tblSales[[#This Row],[Output VAT]]</f>
        <v>1665000</v>
      </c>
      <c r="N4358" s="5">
        <f>tblSales[[#This Row],[Qty]]*_xlfn.XLOOKUP(tblSales[[#This Row],[Product Code]],tblProducts[Code],tblProducts[Unit Cost],0)</f>
        <v>870000</v>
      </c>
      <c r="O4358" s="4" t="s">
        <v>4866</v>
      </c>
      <c r="P4358" s="4" t="s">
        <v>4862</v>
      </c>
      <c r="Q4358" s="1" t="str">
        <f>_xlfn.XLOOKUP(tblSales[[#This Row],[Channel Code]],tblChannels[Channel Code],tblChannels[Channel Name],"")</f>
        <v>Website &amp; Social Media</v>
      </c>
      <c r="R4358" s="1">
        <f>MONTH(tblSales[[#This Row],[Date]])</f>
        <v>9</v>
      </c>
    </row>
    <row r="4359" spans="2:18" x14ac:dyDescent="0.35">
      <c r="B4359" s="113">
        <v>46284</v>
      </c>
      <c r="C4359" s="4" t="s">
        <v>2948</v>
      </c>
      <c r="D4359" s="4" t="s">
        <v>4568</v>
      </c>
      <c r="E4359" s="1" t="str">
        <f>_xlfn.XLOOKUP(tblSales[[#This Row],[Customer ID]],tblCustomers[Customer ID],tblCustomers[Customer Name],"⚠ Unknown")</f>
        <v>Walk-in Customer</v>
      </c>
      <c r="F4359" s="4" t="s">
        <v>13</v>
      </c>
      <c r="G4359" s="1" t="str">
        <f>_xlfn.XLOOKUP(tblSales[[#This Row],[Product Code]],tblProducts[Code],tblProducts[Product / Service Name],"⚠ Unknown")</f>
        <v>Backpack</v>
      </c>
      <c r="H4359" s="1" t="str">
        <f>_xlfn.XLOOKUP(tblSales[[#This Row],[Product Code]],tblProducts[Code],tblProducts[Category],"")</f>
        <v>Bags &amp; Gadgets</v>
      </c>
      <c r="I4359" s="4">
        <v>6</v>
      </c>
      <c r="J4359" s="5">
        <f>_xlfn.XLOOKUP(tblSales[[#This Row],[Product Code]],tblProducts[Code],tblProducts[Selling Price (excl. VAT)],0)</f>
        <v>500000</v>
      </c>
      <c r="K4359" s="5">
        <f>tblSales[[#This Row],[Qty]]*tblSales[[#This Row],[Unit Price]]</f>
        <v>3000000</v>
      </c>
      <c r="L4359" s="5">
        <f>ROUND(tblSales[[#This Row],[DPP (excl. VAT)]]*VATEff,0)</f>
        <v>330000</v>
      </c>
      <c r="M4359" s="5">
        <f>tblSales[[#This Row],[DPP (excl. VAT)]]+tblSales[[#This Row],[Output VAT]]</f>
        <v>3330000</v>
      </c>
      <c r="N4359" s="5">
        <f>tblSales[[#This Row],[Qty]]*_xlfn.XLOOKUP(tblSales[[#This Row],[Product Code]],tblProducts[Code],tblProducts[Unit Cost],0)</f>
        <v>1740000</v>
      </c>
      <c r="O4359" s="4" t="s">
        <v>4866</v>
      </c>
      <c r="P4359" s="4" t="s">
        <v>4860</v>
      </c>
      <c r="Q4359" s="1" t="str">
        <f>_xlfn.XLOOKUP(tblSales[[#This Row],[Channel Code]],tblChannels[Channel Code],tblChannels[Channel Name],"")</f>
        <v>In-store</v>
      </c>
      <c r="R4359" s="1">
        <f>MONTH(tblSales[[#This Row],[Date]])</f>
        <v>9</v>
      </c>
    </row>
    <row r="4360" spans="2:18" x14ac:dyDescent="0.35">
      <c r="B4360" s="113">
        <v>46284</v>
      </c>
      <c r="C4360" s="4" t="s">
        <v>2949</v>
      </c>
      <c r="D4360" s="4" t="s">
        <v>4568</v>
      </c>
      <c r="E4360" s="1" t="str">
        <f>_xlfn.XLOOKUP(tblSales[[#This Row],[Customer ID]],tblCustomers[Customer ID],tblCustomers[Customer Name],"⚠ Unknown")</f>
        <v>Walk-in Customer</v>
      </c>
      <c r="F4360" s="4" t="s">
        <v>7</v>
      </c>
      <c r="G4360" s="1" t="str">
        <f>_xlfn.XLOOKUP(tblSales[[#This Row],[Product Code]],tblProducts[Code],tblProducts[Product / Service Name],"⚠ Unknown")</f>
        <v>Premium Basic T-shirt</v>
      </c>
      <c r="H4360" s="1" t="str">
        <f>_xlfn.XLOOKUP(tblSales[[#This Row],[Product Code]],tblProducts[Code],tblProducts[Category],"")</f>
        <v>Accessories &amp; Basics</v>
      </c>
      <c r="I4360" s="4">
        <v>12</v>
      </c>
      <c r="J4360" s="5">
        <f>_xlfn.XLOOKUP(tblSales[[#This Row],[Product Code]],tblProducts[Code],tblProducts[Selling Price (excl. VAT)],0)</f>
        <v>65000</v>
      </c>
      <c r="K4360" s="5">
        <f>tblSales[[#This Row],[Qty]]*tblSales[[#This Row],[Unit Price]]</f>
        <v>780000</v>
      </c>
      <c r="L4360" s="5">
        <f>ROUND(tblSales[[#This Row],[DPP (excl. VAT)]]*VATEff,0)</f>
        <v>85800</v>
      </c>
      <c r="M4360" s="5">
        <f>tblSales[[#This Row],[DPP (excl. VAT)]]+tblSales[[#This Row],[Output VAT]]</f>
        <v>865800</v>
      </c>
      <c r="N4360" s="5">
        <f>tblSales[[#This Row],[Qty]]*_xlfn.XLOOKUP(tblSales[[#This Row],[Product Code]],tblProducts[Code],tblProducts[Unit Cost],0)</f>
        <v>444000</v>
      </c>
      <c r="O4360" s="4" t="s">
        <v>4866</v>
      </c>
      <c r="P4360" s="4" t="s">
        <v>4861</v>
      </c>
      <c r="Q4360" s="1" t="str">
        <f>_xlfn.XLOOKUP(tblSales[[#This Row],[Channel Code]],tblChannels[Channel Code],tblChannels[Channel Name],"")</f>
        <v>Marketplace</v>
      </c>
      <c r="R4360" s="1">
        <f>MONTH(tblSales[[#This Row],[Date]])</f>
        <v>9</v>
      </c>
    </row>
    <row r="4361" spans="2:18" x14ac:dyDescent="0.35">
      <c r="B4361" s="113">
        <v>46285</v>
      </c>
      <c r="C4361" s="4" t="s">
        <v>2950</v>
      </c>
      <c r="D4361" s="4" t="s">
        <v>4568</v>
      </c>
      <c r="E4361" s="1" t="str">
        <f>_xlfn.XLOOKUP(tblSales[[#This Row],[Customer ID]],tblCustomers[Customer ID],tblCustomers[Customer Name],"⚠ Unknown")</f>
        <v>Walk-in Customer</v>
      </c>
      <c r="F4361" s="4" t="s">
        <v>6</v>
      </c>
      <c r="G4361" s="1" t="str">
        <f>_xlfn.XLOOKUP(tblSales[[#This Row],[Product Code]],tblProducts[Code],tblProducts[Product / Service Name],"⚠ Unknown")</f>
        <v>Socks &amp; Accessories</v>
      </c>
      <c r="H4361" s="1" t="str">
        <f>_xlfn.XLOOKUP(tblSales[[#This Row],[Product Code]],tblProducts[Code],tblProducts[Category],"")</f>
        <v>Accessories &amp; Basics</v>
      </c>
      <c r="I4361" s="4">
        <v>5</v>
      </c>
      <c r="J4361" s="5">
        <f>_xlfn.XLOOKUP(tblSales[[#This Row],[Product Code]],tblProducts[Code],tblProducts[Selling Price (excl. VAT)],0)</f>
        <v>45000</v>
      </c>
      <c r="K4361" s="5">
        <f>tblSales[[#This Row],[Qty]]*tblSales[[#This Row],[Unit Price]]</f>
        <v>225000</v>
      </c>
      <c r="L4361" s="5">
        <f>ROUND(tblSales[[#This Row],[DPP (excl. VAT)]]*VATEff,0)</f>
        <v>24750</v>
      </c>
      <c r="M4361" s="5">
        <f>tblSales[[#This Row],[DPP (excl. VAT)]]+tblSales[[#This Row],[Output VAT]]</f>
        <v>249750</v>
      </c>
      <c r="N4361" s="5">
        <f>tblSales[[#This Row],[Qty]]*_xlfn.XLOOKUP(tblSales[[#This Row],[Product Code]],tblProducts[Code],tblProducts[Unit Cost],0)</f>
        <v>120000</v>
      </c>
      <c r="O4361" s="4" t="s">
        <v>4865</v>
      </c>
      <c r="P4361" s="4" t="s">
        <v>4860</v>
      </c>
      <c r="Q4361" s="1" t="str">
        <f>_xlfn.XLOOKUP(tblSales[[#This Row],[Channel Code]],tblChannels[Channel Code],tblChannels[Channel Name],"")</f>
        <v>In-store</v>
      </c>
      <c r="R4361" s="1">
        <f>MONTH(tblSales[[#This Row],[Date]])</f>
        <v>9</v>
      </c>
    </row>
    <row r="4362" spans="2:18" x14ac:dyDescent="0.35">
      <c r="B4362" s="113">
        <v>46285</v>
      </c>
      <c r="C4362" s="4" t="s">
        <v>2951</v>
      </c>
      <c r="D4362" s="4" t="s">
        <v>4568</v>
      </c>
      <c r="E4362" s="1" t="str">
        <f>_xlfn.XLOOKUP(tblSales[[#This Row],[Customer ID]],tblCustomers[Customer ID],tblCustomers[Customer Name],"⚠ Unknown")</f>
        <v>Walk-in Customer</v>
      </c>
      <c r="F4362" s="4" t="s">
        <v>7</v>
      </c>
      <c r="G4362" s="1" t="str">
        <f>_xlfn.XLOOKUP(tblSales[[#This Row],[Product Code]],tblProducts[Code],tblProducts[Product / Service Name],"⚠ Unknown")</f>
        <v>Premium Basic T-shirt</v>
      </c>
      <c r="H4362" s="1" t="str">
        <f>_xlfn.XLOOKUP(tblSales[[#This Row],[Product Code]],tblProducts[Code],tblProducts[Category],"")</f>
        <v>Accessories &amp; Basics</v>
      </c>
      <c r="I4362" s="4">
        <v>3</v>
      </c>
      <c r="J4362" s="5">
        <f>_xlfn.XLOOKUP(tblSales[[#This Row],[Product Code]],tblProducts[Code],tblProducts[Selling Price (excl. VAT)],0)</f>
        <v>65000</v>
      </c>
      <c r="K4362" s="5">
        <f>tblSales[[#This Row],[Qty]]*tblSales[[#This Row],[Unit Price]]</f>
        <v>195000</v>
      </c>
      <c r="L4362" s="5">
        <f>ROUND(tblSales[[#This Row],[DPP (excl. VAT)]]*VATEff,0)</f>
        <v>21450</v>
      </c>
      <c r="M4362" s="5">
        <f>tblSales[[#This Row],[DPP (excl. VAT)]]+tblSales[[#This Row],[Output VAT]]</f>
        <v>216450</v>
      </c>
      <c r="N4362" s="5">
        <f>tblSales[[#This Row],[Qty]]*_xlfn.XLOOKUP(tblSales[[#This Row],[Product Code]],tblProducts[Code],tblProducts[Unit Cost],0)</f>
        <v>111000</v>
      </c>
      <c r="O4362" s="4" t="s">
        <v>4866</v>
      </c>
      <c r="P4362" s="4" t="s">
        <v>4860</v>
      </c>
      <c r="Q4362" s="1" t="str">
        <f>_xlfn.XLOOKUP(tblSales[[#This Row],[Channel Code]],tblChannels[Channel Code],tblChannels[Channel Name],"")</f>
        <v>In-store</v>
      </c>
      <c r="R4362" s="1">
        <f>MONTH(tblSales[[#This Row],[Date]])</f>
        <v>9</v>
      </c>
    </row>
    <row r="4363" spans="2:18" x14ac:dyDescent="0.35">
      <c r="B4363" s="113">
        <v>46285</v>
      </c>
      <c r="C4363" s="4" t="s">
        <v>2951</v>
      </c>
      <c r="D4363" s="4" t="s">
        <v>4568</v>
      </c>
      <c r="E4363" s="1" t="str">
        <f>_xlfn.XLOOKUP(tblSales[[#This Row],[Customer ID]],tblCustomers[Customer ID],tblCustomers[Customer Name],"⚠ Unknown")</f>
        <v>Walk-in Customer</v>
      </c>
      <c r="F4363" s="4" t="s">
        <v>8</v>
      </c>
      <c r="G4363" s="1" t="str">
        <f>_xlfn.XLOOKUP(tblSales[[#This Row],[Product Code]],tblProducts[Code],tblProducts[Product / Service Name],"⚠ Unknown")</f>
        <v>Casual Shorts</v>
      </c>
      <c r="H4363" s="1" t="str">
        <f>_xlfn.XLOOKUP(tblSales[[#This Row],[Product Code]],tblProducts[Code],tblProducts[Category],"")</f>
        <v>Accessories &amp; Basics</v>
      </c>
      <c r="I4363" s="4">
        <v>12</v>
      </c>
      <c r="J4363" s="5">
        <f>_xlfn.XLOOKUP(tblSales[[#This Row],[Product Code]],tblProducts[Code],tblProducts[Selling Price (excl. VAT)],0)</f>
        <v>85000</v>
      </c>
      <c r="K4363" s="5">
        <f>tblSales[[#This Row],[Qty]]*tblSales[[#This Row],[Unit Price]]</f>
        <v>1020000</v>
      </c>
      <c r="L4363" s="5">
        <f>ROUND(tblSales[[#This Row],[DPP (excl. VAT)]]*VATEff,0)</f>
        <v>112200</v>
      </c>
      <c r="M4363" s="5">
        <f>tblSales[[#This Row],[DPP (excl. VAT)]]+tblSales[[#This Row],[Output VAT]]</f>
        <v>1132200</v>
      </c>
      <c r="N4363" s="5">
        <f>tblSales[[#This Row],[Qty]]*_xlfn.XLOOKUP(tblSales[[#This Row],[Product Code]],tblProducts[Code],tblProducts[Unit Cost],0)</f>
        <v>600000</v>
      </c>
      <c r="O4363" s="4" t="s">
        <v>4866</v>
      </c>
      <c r="P4363" s="4" t="s">
        <v>4860</v>
      </c>
      <c r="Q4363" s="1" t="str">
        <f>_xlfn.XLOOKUP(tblSales[[#This Row],[Channel Code]],tblChannels[Channel Code],tblChannels[Channel Name],"")</f>
        <v>In-store</v>
      </c>
      <c r="R4363" s="1">
        <f>MONTH(tblSales[[#This Row],[Date]])</f>
        <v>9</v>
      </c>
    </row>
    <row r="4364" spans="2:18" x14ac:dyDescent="0.35">
      <c r="B4364" s="113">
        <v>46285</v>
      </c>
      <c r="C4364" s="4" t="s">
        <v>2952</v>
      </c>
      <c r="D4364" s="4" t="s">
        <v>4568</v>
      </c>
      <c r="E4364" s="1" t="str">
        <f>_xlfn.XLOOKUP(tblSales[[#This Row],[Customer ID]],tblCustomers[Customer ID],tblCustomers[Customer Name],"⚠ Unknown")</f>
        <v>Walk-in Customer</v>
      </c>
      <c r="F4364" s="4" t="s">
        <v>9</v>
      </c>
      <c r="G4364" s="1" t="str">
        <f>_xlfn.XLOOKUP(tblSales[[#This Row],[Product Code]],tblProducts[Code],tblProducts[Product / Service Name],"⚠ Unknown")</f>
        <v>Casual Shirt</v>
      </c>
      <c r="H4364" s="1" t="str">
        <f>_xlfn.XLOOKUP(tblSales[[#This Row],[Product Code]],tblProducts[Code],tblProducts[Category],"")</f>
        <v>Apparel &amp; Footwear</v>
      </c>
      <c r="I4364" s="4">
        <v>11</v>
      </c>
      <c r="J4364" s="5">
        <f>_xlfn.XLOOKUP(tblSales[[#This Row],[Product Code]],tblProducts[Code],tblProducts[Selling Price (excl. VAT)],0)</f>
        <v>120000</v>
      </c>
      <c r="K4364" s="5">
        <f>tblSales[[#This Row],[Qty]]*tblSales[[#This Row],[Unit Price]]</f>
        <v>1320000</v>
      </c>
      <c r="L4364" s="5">
        <f>ROUND(tblSales[[#This Row],[DPP (excl. VAT)]]*VATEff,0)</f>
        <v>145200</v>
      </c>
      <c r="M4364" s="5">
        <f>tblSales[[#This Row],[DPP (excl. VAT)]]+tblSales[[#This Row],[Output VAT]]</f>
        <v>1465200</v>
      </c>
      <c r="N4364" s="5">
        <f>tblSales[[#This Row],[Qty]]*_xlfn.XLOOKUP(tblSales[[#This Row],[Product Code]],tblProducts[Code],tblProducts[Unit Cost],0)</f>
        <v>792000</v>
      </c>
      <c r="O4364" s="4" t="s">
        <v>4866</v>
      </c>
      <c r="P4364" s="4" t="s">
        <v>4861</v>
      </c>
      <c r="Q4364" s="1" t="str">
        <f>_xlfn.XLOOKUP(tblSales[[#This Row],[Channel Code]],tblChannels[Channel Code],tblChannels[Channel Name],"")</f>
        <v>Marketplace</v>
      </c>
      <c r="R4364" s="1">
        <f>MONTH(tblSales[[#This Row],[Date]])</f>
        <v>9</v>
      </c>
    </row>
    <row r="4365" spans="2:18" x14ac:dyDescent="0.35">
      <c r="B4365" s="113">
        <v>46285</v>
      </c>
      <c r="C4365" s="4" t="s">
        <v>2952</v>
      </c>
      <c r="D4365" s="4" t="s">
        <v>4568</v>
      </c>
      <c r="E4365" s="1" t="str">
        <f>_xlfn.XLOOKUP(tblSales[[#This Row],[Customer ID]],tblCustomers[Customer ID],tblCustomers[Customer Name],"⚠ Unknown")</f>
        <v>Walk-in Customer</v>
      </c>
      <c r="F4365" s="4" t="s">
        <v>12</v>
      </c>
      <c r="G4365" s="1" t="str">
        <f>_xlfn.XLOOKUP(tblSales[[#This Row],[Product Code]],tblProducts[Code],tblProducts[Product / Service Name],"⚠ Unknown")</f>
        <v>Bomber Jacket</v>
      </c>
      <c r="H4365" s="1" t="str">
        <f>_xlfn.XLOOKUP(tblSales[[#This Row],[Product Code]],tblProducts[Code],tblProducts[Category],"")</f>
        <v>Apparel &amp; Footwear</v>
      </c>
      <c r="I4365" s="4">
        <v>3</v>
      </c>
      <c r="J4365" s="5">
        <f>_xlfn.XLOOKUP(tblSales[[#This Row],[Product Code]],tblProducts[Code],tblProducts[Selling Price (excl. VAT)],0)</f>
        <v>350000</v>
      </c>
      <c r="K4365" s="5">
        <f>tblSales[[#This Row],[Qty]]*tblSales[[#This Row],[Unit Price]]</f>
        <v>1050000</v>
      </c>
      <c r="L4365" s="5">
        <f>ROUND(tblSales[[#This Row],[DPP (excl. VAT)]]*VATEff,0)</f>
        <v>115500</v>
      </c>
      <c r="M4365" s="5">
        <f>tblSales[[#This Row],[DPP (excl. VAT)]]+tblSales[[#This Row],[Output VAT]]</f>
        <v>1165500</v>
      </c>
      <c r="N4365" s="5">
        <f>tblSales[[#This Row],[Qty]]*_xlfn.XLOOKUP(tblSales[[#This Row],[Product Code]],tblProducts[Code],tblProducts[Unit Cost],0)</f>
        <v>630000</v>
      </c>
      <c r="O4365" s="4" t="s">
        <v>4866</v>
      </c>
      <c r="P4365" s="4" t="s">
        <v>4861</v>
      </c>
      <c r="Q4365" s="1" t="str">
        <f>_xlfn.XLOOKUP(tblSales[[#This Row],[Channel Code]],tblChannels[Channel Code],tblChannels[Channel Name],"")</f>
        <v>Marketplace</v>
      </c>
      <c r="R4365" s="1">
        <f>MONTH(tblSales[[#This Row],[Date]])</f>
        <v>9</v>
      </c>
    </row>
    <row r="4366" spans="2:18" x14ac:dyDescent="0.35">
      <c r="B4366" s="113">
        <v>46285</v>
      </c>
      <c r="C4366" s="4" t="s">
        <v>2953</v>
      </c>
      <c r="D4366" s="4" t="s">
        <v>4593</v>
      </c>
      <c r="E4366" s="1" t="str">
        <f>_xlfn.XLOOKUP(tblSales[[#This Row],[Customer ID]],tblCustomers[Customer ID],tblCustomers[Customer Name],"⚠ Unknown")</f>
        <v>PT Graha Nusa Persada</v>
      </c>
      <c r="F4366" s="4" t="s">
        <v>6</v>
      </c>
      <c r="G4366" s="1" t="str">
        <f>_xlfn.XLOOKUP(tblSales[[#This Row],[Product Code]],tblProducts[Code],tblProducts[Product / Service Name],"⚠ Unknown")</f>
        <v>Socks &amp; Accessories</v>
      </c>
      <c r="H4366" s="1" t="str">
        <f>_xlfn.XLOOKUP(tblSales[[#This Row],[Product Code]],tblProducts[Code],tblProducts[Category],"")</f>
        <v>Accessories &amp; Basics</v>
      </c>
      <c r="I4366" s="4">
        <v>56</v>
      </c>
      <c r="J4366" s="5">
        <f>_xlfn.XLOOKUP(tblSales[[#This Row],[Product Code]],tblProducts[Code],tblProducts[Selling Price (excl. VAT)],0)</f>
        <v>45000</v>
      </c>
      <c r="K4366" s="5">
        <f>tblSales[[#This Row],[Qty]]*tblSales[[#This Row],[Unit Price]]</f>
        <v>2520000</v>
      </c>
      <c r="L4366" s="5">
        <f>ROUND(tblSales[[#This Row],[DPP (excl. VAT)]]*VATEff,0)</f>
        <v>277200</v>
      </c>
      <c r="M4366" s="5">
        <f>tblSales[[#This Row],[DPP (excl. VAT)]]+tblSales[[#This Row],[Output VAT]]</f>
        <v>2797200</v>
      </c>
      <c r="N4366" s="5">
        <f>tblSales[[#This Row],[Qty]]*_xlfn.XLOOKUP(tblSales[[#This Row],[Product Code]],tblProducts[Code],tblProducts[Unit Cost],0)</f>
        <v>1344000</v>
      </c>
      <c r="O4366" s="4" t="s">
        <v>4867</v>
      </c>
      <c r="P4366" s="4" t="s">
        <v>4860</v>
      </c>
      <c r="Q4366" s="1" t="str">
        <f>_xlfn.XLOOKUP(tblSales[[#This Row],[Channel Code]],tblChannels[Channel Code],tblChannels[Channel Name],"")</f>
        <v>In-store</v>
      </c>
      <c r="R4366" s="1">
        <f>MONTH(tblSales[[#This Row],[Date]])</f>
        <v>9</v>
      </c>
    </row>
    <row r="4367" spans="2:18" x14ac:dyDescent="0.35">
      <c r="B4367" s="113">
        <v>46285</v>
      </c>
      <c r="C4367" s="4" t="s">
        <v>2954</v>
      </c>
      <c r="D4367" s="4" t="s">
        <v>4568</v>
      </c>
      <c r="E4367" s="1" t="str">
        <f>_xlfn.XLOOKUP(tblSales[[#This Row],[Customer ID]],tblCustomers[Customer ID],tblCustomers[Customer Name],"⚠ Unknown")</f>
        <v>Walk-in Customer</v>
      </c>
      <c r="F4367" s="4" t="s">
        <v>10</v>
      </c>
      <c r="G4367" s="1" t="str">
        <f>_xlfn.XLOOKUP(tblSales[[#This Row],[Product Code]],tblProducts[Code],tblProducts[Product / Service Name],"⚠ Unknown")</f>
        <v>Chino Pants</v>
      </c>
      <c r="H4367" s="1" t="str">
        <f>_xlfn.XLOOKUP(tblSales[[#This Row],[Product Code]],tblProducts[Code],tblProducts[Category],"")</f>
        <v>Apparel &amp; Footwear</v>
      </c>
      <c r="I4367" s="4">
        <v>6</v>
      </c>
      <c r="J4367" s="5">
        <f>_xlfn.XLOOKUP(tblSales[[#This Row],[Product Code]],tblProducts[Code],tblProducts[Selling Price (excl. VAT)],0)</f>
        <v>150000</v>
      </c>
      <c r="K4367" s="5">
        <f>tblSales[[#This Row],[Qty]]*tblSales[[#This Row],[Unit Price]]</f>
        <v>900000</v>
      </c>
      <c r="L4367" s="5">
        <f>ROUND(tblSales[[#This Row],[DPP (excl. VAT)]]*VATEff,0)</f>
        <v>99000</v>
      </c>
      <c r="M4367" s="5">
        <f>tblSales[[#This Row],[DPP (excl. VAT)]]+tblSales[[#This Row],[Output VAT]]</f>
        <v>999000</v>
      </c>
      <c r="N4367" s="5">
        <f>tblSales[[#This Row],[Qty]]*_xlfn.XLOOKUP(tblSales[[#This Row],[Product Code]],tblProducts[Code],tblProducts[Unit Cost],0)</f>
        <v>528000</v>
      </c>
      <c r="O4367" s="4" t="s">
        <v>4866</v>
      </c>
      <c r="P4367" s="4" t="s">
        <v>4861</v>
      </c>
      <c r="Q4367" s="1" t="str">
        <f>_xlfn.XLOOKUP(tblSales[[#This Row],[Channel Code]],tblChannels[Channel Code],tblChannels[Channel Name],"")</f>
        <v>Marketplace</v>
      </c>
      <c r="R4367" s="1">
        <f>MONTH(tblSales[[#This Row],[Date]])</f>
        <v>9</v>
      </c>
    </row>
    <row r="4368" spans="2:18" x14ac:dyDescent="0.35">
      <c r="B4368" s="113">
        <v>46285</v>
      </c>
      <c r="C4368" s="4" t="s">
        <v>2955</v>
      </c>
      <c r="D4368" s="4" t="s">
        <v>4568</v>
      </c>
      <c r="E4368" s="1" t="str">
        <f>_xlfn.XLOOKUP(tblSales[[#This Row],[Customer ID]],tblCustomers[Customer ID],tblCustomers[Customer Name],"⚠ Unknown")</f>
        <v>Walk-in Customer</v>
      </c>
      <c r="F4368" s="4" t="s">
        <v>10</v>
      </c>
      <c r="G4368" s="1" t="str">
        <f>_xlfn.XLOOKUP(tblSales[[#This Row],[Product Code]],tblProducts[Code],tblProducts[Product / Service Name],"⚠ Unknown")</f>
        <v>Chino Pants</v>
      </c>
      <c r="H4368" s="1" t="str">
        <f>_xlfn.XLOOKUP(tblSales[[#This Row],[Product Code]],tblProducts[Code],tblProducts[Category],"")</f>
        <v>Apparel &amp; Footwear</v>
      </c>
      <c r="I4368" s="4">
        <v>5</v>
      </c>
      <c r="J4368" s="5">
        <f>_xlfn.XLOOKUP(tblSales[[#This Row],[Product Code]],tblProducts[Code],tblProducts[Selling Price (excl. VAT)],0)</f>
        <v>150000</v>
      </c>
      <c r="K4368" s="5">
        <f>tblSales[[#This Row],[Qty]]*tblSales[[#This Row],[Unit Price]]</f>
        <v>750000</v>
      </c>
      <c r="L4368" s="5">
        <f>ROUND(tblSales[[#This Row],[DPP (excl. VAT)]]*VATEff,0)</f>
        <v>82500</v>
      </c>
      <c r="M4368" s="5">
        <f>tblSales[[#This Row],[DPP (excl. VAT)]]+tblSales[[#This Row],[Output VAT]]</f>
        <v>832500</v>
      </c>
      <c r="N4368" s="5">
        <f>tblSales[[#This Row],[Qty]]*_xlfn.XLOOKUP(tblSales[[#This Row],[Product Code]],tblProducts[Code],tblProducts[Unit Cost],0)</f>
        <v>440000</v>
      </c>
      <c r="O4368" s="4" t="s">
        <v>4865</v>
      </c>
      <c r="P4368" s="4" t="s">
        <v>4860</v>
      </c>
      <c r="Q4368" s="1" t="str">
        <f>_xlfn.XLOOKUP(tblSales[[#This Row],[Channel Code]],tblChannels[Channel Code],tblChannels[Channel Name],"")</f>
        <v>In-store</v>
      </c>
      <c r="R4368" s="1">
        <f>MONTH(tblSales[[#This Row],[Date]])</f>
        <v>9</v>
      </c>
    </row>
    <row r="4369" spans="2:18" x14ac:dyDescent="0.35">
      <c r="B4369" s="113">
        <v>46285</v>
      </c>
      <c r="C4369" s="4" t="s">
        <v>2955</v>
      </c>
      <c r="D4369" s="4" t="s">
        <v>4568</v>
      </c>
      <c r="E4369" s="1" t="str">
        <f>_xlfn.XLOOKUP(tblSales[[#This Row],[Customer ID]],tblCustomers[Customer ID],tblCustomers[Customer Name],"⚠ Unknown")</f>
        <v>Walk-in Customer</v>
      </c>
      <c r="F4369" s="4" t="s">
        <v>9</v>
      </c>
      <c r="G4369" s="1" t="str">
        <f>_xlfn.XLOOKUP(tblSales[[#This Row],[Product Code]],tblProducts[Code],tblProducts[Product / Service Name],"⚠ Unknown")</f>
        <v>Casual Shirt</v>
      </c>
      <c r="H4369" s="1" t="str">
        <f>_xlfn.XLOOKUP(tblSales[[#This Row],[Product Code]],tblProducts[Code],tblProducts[Category],"")</f>
        <v>Apparel &amp; Footwear</v>
      </c>
      <c r="I4369" s="4">
        <v>6</v>
      </c>
      <c r="J4369" s="5">
        <f>_xlfn.XLOOKUP(tblSales[[#This Row],[Product Code]],tblProducts[Code],tblProducts[Selling Price (excl. VAT)],0)</f>
        <v>120000</v>
      </c>
      <c r="K4369" s="5">
        <f>tblSales[[#This Row],[Qty]]*tblSales[[#This Row],[Unit Price]]</f>
        <v>720000</v>
      </c>
      <c r="L4369" s="5">
        <f>ROUND(tblSales[[#This Row],[DPP (excl. VAT)]]*VATEff,0)</f>
        <v>79200</v>
      </c>
      <c r="M4369" s="5">
        <f>tblSales[[#This Row],[DPP (excl. VAT)]]+tblSales[[#This Row],[Output VAT]]</f>
        <v>799200</v>
      </c>
      <c r="N4369" s="5">
        <f>tblSales[[#This Row],[Qty]]*_xlfn.XLOOKUP(tblSales[[#This Row],[Product Code]],tblProducts[Code],tblProducts[Unit Cost],0)</f>
        <v>432000</v>
      </c>
      <c r="O4369" s="4" t="s">
        <v>4865</v>
      </c>
      <c r="P4369" s="4" t="s">
        <v>4860</v>
      </c>
      <c r="Q4369" s="1" t="str">
        <f>_xlfn.XLOOKUP(tblSales[[#This Row],[Channel Code]],tblChannels[Channel Code],tblChannels[Channel Name],"")</f>
        <v>In-store</v>
      </c>
      <c r="R4369" s="1">
        <f>MONTH(tblSales[[#This Row],[Date]])</f>
        <v>9</v>
      </c>
    </row>
    <row r="4370" spans="2:18" x14ac:dyDescent="0.35">
      <c r="B4370" s="113">
        <v>46285</v>
      </c>
      <c r="C4370" s="4" t="s">
        <v>2956</v>
      </c>
      <c r="D4370" s="4" t="s">
        <v>4568</v>
      </c>
      <c r="E4370" s="1" t="str">
        <f>_xlfn.XLOOKUP(tblSales[[#This Row],[Customer ID]],tblCustomers[Customer ID],tblCustomers[Customer Name],"⚠ Unknown")</f>
        <v>Walk-in Customer</v>
      </c>
      <c r="F4370" s="4" t="s">
        <v>14</v>
      </c>
      <c r="G4370" s="1" t="str">
        <f>_xlfn.XLOOKUP(tblSales[[#This Row],[Product Code]],tblProducts[Code],tblProducts[Product / Service Name],"⚠ Unknown")</f>
        <v>Smartwatch</v>
      </c>
      <c r="H4370" s="1" t="str">
        <f>_xlfn.XLOOKUP(tblSales[[#This Row],[Product Code]],tblProducts[Code],tblProducts[Category],"")</f>
        <v>Bags &amp; Gadgets</v>
      </c>
      <c r="I4370" s="4">
        <v>1</v>
      </c>
      <c r="J4370" s="5">
        <f>_xlfn.XLOOKUP(tblSales[[#This Row],[Product Code]],tblProducts[Code],tblProducts[Selling Price (excl. VAT)],0)</f>
        <v>850000</v>
      </c>
      <c r="K4370" s="5">
        <f>tblSales[[#This Row],[Qty]]*tblSales[[#This Row],[Unit Price]]</f>
        <v>850000</v>
      </c>
      <c r="L4370" s="5">
        <f>ROUND(tblSales[[#This Row],[DPP (excl. VAT)]]*VATEff,0)</f>
        <v>93500</v>
      </c>
      <c r="M4370" s="5">
        <f>tblSales[[#This Row],[DPP (excl. VAT)]]+tblSales[[#This Row],[Output VAT]]</f>
        <v>943500</v>
      </c>
      <c r="N4370" s="5">
        <f>tblSales[[#This Row],[Qty]]*_xlfn.XLOOKUP(tblSales[[#This Row],[Product Code]],tblProducts[Code],tblProducts[Unit Cost],0)</f>
        <v>560000</v>
      </c>
      <c r="O4370" s="4" t="s">
        <v>4866</v>
      </c>
      <c r="P4370" s="4" t="s">
        <v>4862</v>
      </c>
      <c r="Q4370" s="1" t="str">
        <f>_xlfn.XLOOKUP(tblSales[[#This Row],[Channel Code]],tblChannels[Channel Code],tblChannels[Channel Name],"")</f>
        <v>Website &amp; Social Media</v>
      </c>
      <c r="R4370" s="1">
        <f>MONTH(tblSales[[#This Row],[Date]])</f>
        <v>9</v>
      </c>
    </row>
    <row r="4371" spans="2:18" x14ac:dyDescent="0.35">
      <c r="B4371" s="113">
        <v>46285</v>
      </c>
      <c r="C4371" s="4" t="s">
        <v>2957</v>
      </c>
      <c r="D4371" s="4" t="s">
        <v>4568</v>
      </c>
      <c r="E4371" s="1" t="str">
        <f>_xlfn.XLOOKUP(tblSales[[#This Row],[Customer ID]],tblCustomers[Customer ID],tblCustomers[Customer Name],"⚠ Unknown")</f>
        <v>Walk-in Customer</v>
      </c>
      <c r="F4371" s="4" t="s">
        <v>7</v>
      </c>
      <c r="G4371" s="1" t="str">
        <f>_xlfn.XLOOKUP(tblSales[[#This Row],[Product Code]],tblProducts[Code],tblProducts[Product / Service Name],"⚠ Unknown")</f>
        <v>Premium Basic T-shirt</v>
      </c>
      <c r="H4371" s="1" t="str">
        <f>_xlfn.XLOOKUP(tblSales[[#This Row],[Product Code]],tblProducts[Code],tblProducts[Category],"")</f>
        <v>Accessories &amp; Basics</v>
      </c>
      <c r="I4371" s="4">
        <v>3</v>
      </c>
      <c r="J4371" s="5">
        <f>_xlfn.XLOOKUP(tblSales[[#This Row],[Product Code]],tblProducts[Code],tblProducts[Selling Price (excl. VAT)],0)</f>
        <v>65000</v>
      </c>
      <c r="K4371" s="5">
        <f>tblSales[[#This Row],[Qty]]*tblSales[[#This Row],[Unit Price]]</f>
        <v>195000</v>
      </c>
      <c r="L4371" s="5">
        <f>ROUND(tblSales[[#This Row],[DPP (excl. VAT)]]*VATEff,0)</f>
        <v>21450</v>
      </c>
      <c r="M4371" s="5">
        <f>tblSales[[#This Row],[DPP (excl. VAT)]]+tblSales[[#This Row],[Output VAT]]</f>
        <v>216450</v>
      </c>
      <c r="N4371" s="5">
        <f>tblSales[[#This Row],[Qty]]*_xlfn.XLOOKUP(tblSales[[#This Row],[Product Code]],tblProducts[Code],tblProducts[Unit Cost],0)</f>
        <v>111000</v>
      </c>
      <c r="O4371" s="4" t="s">
        <v>4865</v>
      </c>
      <c r="P4371" s="4" t="s">
        <v>4860</v>
      </c>
      <c r="Q4371" s="1" t="str">
        <f>_xlfn.XLOOKUP(tblSales[[#This Row],[Channel Code]],tblChannels[Channel Code],tblChannels[Channel Name],"")</f>
        <v>In-store</v>
      </c>
      <c r="R4371" s="1">
        <f>MONTH(tblSales[[#This Row],[Date]])</f>
        <v>9</v>
      </c>
    </row>
    <row r="4372" spans="2:18" x14ac:dyDescent="0.35">
      <c r="B4372" s="113">
        <v>46285</v>
      </c>
      <c r="C4372" s="4" t="s">
        <v>2958</v>
      </c>
      <c r="D4372" s="4" t="s">
        <v>4568</v>
      </c>
      <c r="E4372" s="1" t="str">
        <f>_xlfn.XLOOKUP(tblSales[[#This Row],[Customer ID]],tblCustomers[Customer ID],tblCustomers[Customer Name],"⚠ Unknown")</f>
        <v>Walk-in Customer</v>
      </c>
      <c r="F4372" s="4" t="s">
        <v>6</v>
      </c>
      <c r="G4372" s="1" t="str">
        <f>_xlfn.XLOOKUP(tblSales[[#This Row],[Product Code]],tblProducts[Code],tblProducts[Product / Service Name],"⚠ Unknown")</f>
        <v>Socks &amp; Accessories</v>
      </c>
      <c r="H4372" s="1" t="str">
        <f>_xlfn.XLOOKUP(tblSales[[#This Row],[Product Code]],tblProducts[Code],tblProducts[Category],"")</f>
        <v>Accessories &amp; Basics</v>
      </c>
      <c r="I4372" s="4">
        <v>10</v>
      </c>
      <c r="J4372" s="5">
        <f>_xlfn.XLOOKUP(tblSales[[#This Row],[Product Code]],tblProducts[Code],tblProducts[Selling Price (excl. VAT)],0)</f>
        <v>45000</v>
      </c>
      <c r="K4372" s="5">
        <f>tblSales[[#This Row],[Qty]]*tblSales[[#This Row],[Unit Price]]</f>
        <v>450000</v>
      </c>
      <c r="L4372" s="5">
        <f>ROUND(tblSales[[#This Row],[DPP (excl. VAT)]]*VATEff,0)</f>
        <v>49500</v>
      </c>
      <c r="M4372" s="5">
        <f>tblSales[[#This Row],[DPP (excl. VAT)]]+tblSales[[#This Row],[Output VAT]]</f>
        <v>499500</v>
      </c>
      <c r="N4372" s="5">
        <f>tblSales[[#This Row],[Qty]]*_xlfn.XLOOKUP(tblSales[[#This Row],[Product Code]],tblProducts[Code],tblProducts[Unit Cost],0)</f>
        <v>240000</v>
      </c>
      <c r="O4372" s="4" t="s">
        <v>4865</v>
      </c>
      <c r="P4372" s="4" t="s">
        <v>4860</v>
      </c>
      <c r="Q4372" s="1" t="str">
        <f>_xlfn.XLOOKUP(tblSales[[#This Row],[Channel Code]],tblChannels[Channel Code],tblChannels[Channel Name],"")</f>
        <v>In-store</v>
      </c>
      <c r="R4372" s="1">
        <f>MONTH(tblSales[[#This Row],[Date]])</f>
        <v>9</v>
      </c>
    </row>
    <row r="4373" spans="2:18" x14ac:dyDescent="0.35">
      <c r="B4373" s="113">
        <v>46285</v>
      </c>
      <c r="C4373" s="4" t="s">
        <v>2959</v>
      </c>
      <c r="D4373" s="4" t="s">
        <v>4568</v>
      </c>
      <c r="E4373" s="1" t="str">
        <f>_xlfn.XLOOKUP(tblSales[[#This Row],[Customer ID]],tblCustomers[Customer ID],tblCustomers[Customer Name],"⚠ Unknown")</f>
        <v>Walk-in Customer</v>
      </c>
      <c r="F4373" s="4" t="s">
        <v>7</v>
      </c>
      <c r="G4373" s="1" t="str">
        <f>_xlfn.XLOOKUP(tblSales[[#This Row],[Product Code]],tblProducts[Code],tblProducts[Product / Service Name],"⚠ Unknown")</f>
        <v>Premium Basic T-shirt</v>
      </c>
      <c r="H4373" s="1" t="str">
        <f>_xlfn.XLOOKUP(tblSales[[#This Row],[Product Code]],tblProducts[Code],tblProducts[Category],"")</f>
        <v>Accessories &amp; Basics</v>
      </c>
      <c r="I4373" s="4">
        <v>4</v>
      </c>
      <c r="J4373" s="5">
        <f>_xlfn.XLOOKUP(tblSales[[#This Row],[Product Code]],tblProducts[Code],tblProducts[Selling Price (excl. VAT)],0)</f>
        <v>65000</v>
      </c>
      <c r="K4373" s="5">
        <f>tblSales[[#This Row],[Qty]]*tblSales[[#This Row],[Unit Price]]</f>
        <v>260000</v>
      </c>
      <c r="L4373" s="5">
        <f>ROUND(tblSales[[#This Row],[DPP (excl. VAT)]]*VATEff,0)</f>
        <v>28600</v>
      </c>
      <c r="M4373" s="5">
        <f>tblSales[[#This Row],[DPP (excl. VAT)]]+tblSales[[#This Row],[Output VAT]]</f>
        <v>288600</v>
      </c>
      <c r="N4373" s="5">
        <f>tblSales[[#This Row],[Qty]]*_xlfn.XLOOKUP(tblSales[[#This Row],[Product Code]],tblProducts[Code],tblProducts[Unit Cost],0)</f>
        <v>148000</v>
      </c>
      <c r="O4373" s="4" t="s">
        <v>4865</v>
      </c>
      <c r="P4373" s="4" t="s">
        <v>4860</v>
      </c>
      <c r="Q4373" s="1" t="str">
        <f>_xlfn.XLOOKUP(tblSales[[#This Row],[Channel Code]],tblChannels[Channel Code],tblChannels[Channel Name],"")</f>
        <v>In-store</v>
      </c>
      <c r="R4373" s="1">
        <f>MONTH(tblSales[[#This Row],[Date]])</f>
        <v>9</v>
      </c>
    </row>
    <row r="4374" spans="2:18" x14ac:dyDescent="0.35">
      <c r="B4374" s="113">
        <v>46285</v>
      </c>
      <c r="C4374" s="4" t="s">
        <v>2959</v>
      </c>
      <c r="D4374" s="4" t="s">
        <v>4568</v>
      </c>
      <c r="E4374" s="1" t="str">
        <f>_xlfn.XLOOKUP(tblSales[[#This Row],[Customer ID]],tblCustomers[Customer ID],tblCustomers[Customer Name],"⚠ Unknown")</f>
        <v>Walk-in Customer</v>
      </c>
      <c r="F4374" s="4" t="s">
        <v>9</v>
      </c>
      <c r="G4374" s="1" t="str">
        <f>_xlfn.XLOOKUP(tblSales[[#This Row],[Product Code]],tblProducts[Code],tblProducts[Product / Service Name],"⚠ Unknown")</f>
        <v>Casual Shirt</v>
      </c>
      <c r="H4374" s="1" t="str">
        <f>_xlfn.XLOOKUP(tblSales[[#This Row],[Product Code]],tblProducts[Code],tblProducts[Category],"")</f>
        <v>Apparel &amp; Footwear</v>
      </c>
      <c r="I4374" s="4">
        <v>8</v>
      </c>
      <c r="J4374" s="5">
        <f>_xlfn.XLOOKUP(tblSales[[#This Row],[Product Code]],tblProducts[Code],tblProducts[Selling Price (excl. VAT)],0)</f>
        <v>120000</v>
      </c>
      <c r="K4374" s="5">
        <f>tblSales[[#This Row],[Qty]]*tblSales[[#This Row],[Unit Price]]</f>
        <v>960000</v>
      </c>
      <c r="L4374" s="5">
        <f>ROUND(tblSales[[#This Row],[DPP (excl. VAT)]]*VATEff,0)</f>
        <v>105600</v>
      </c>
      <c r="M4374" s="5">
        <f>tblSales[[#This Row],[DPP (excl. VAT)]]+tblSales[[#This Row],[Output VAT]]</f>
        <v>1065600</v>
      </c>
      <c r="N4374" s="5">
        <f>tblSales[[#This Row],[Qty]]*_xlfn.XLOOKUP(tblSales[[#This Row],[Product Code]],tblProducts[Code],tblProducts[Unit Cost],0)</f>
        <v>576000</v>
      </c>
      <c r="O4374" s="4" t="s">
        <v>4865</v>
      </c>
      <c r="P4374" s="4" t="s">
        <v>4860</v>
      </c>
      <c r="Q4374" s="1" t="str">
        <f>_xlfn.XLOOKUP(tblSales[[#This Row],[Channel Code]],tblChannels[Channel Code],tblChannels[Channel Name],"")</f>
        <v>In-store</v>
      </c>
      <c r="R4374" s="1">
        <f>MONTH(tblSales[[#This Row],[Date]])</f>
        <v>9</v>
      </c>
    </row>
    <row r="4375" spans="2:18" x14ac:dyDescent="0.35">
      <c r="B4375" s="113">
        <v>46285</v>
      </c>
      <c r="C4375" s="4" t="s">
        <v>2960</v>
      </c>
      <c r="D4375" s="4" t="s">
        <v>4568</v>
      </c>
      <c r="E4375" s="1" t="str">
        <f>_xlfn.XLOOKUP(tblSales[[#This Row],[Customer ID]],tblCustomers[Customer ID],tblCustomers[Customer Name],"⚠ Unknown")</f>
        <v>Walk-in Customer</v>
      </c>
      <c r="F4375" s="4" t="s">
        <v>11</v>
      </c>
      <c r="G4375" s="1" t="str">
        <f>_xlfn.XLOOKUP(tblSales[[#This Row],[Product Code]],tblProducts[Code],tblProducts[Product / Service Name],"⚠ Unknown")</f>
        <v>Sneakers</v>
      </c>
      <c r="H4375" s="1" t="str">
        <f>_xlfn.XLOOKUP(tblSales[[#This Row],[Product Code]],tblProducts[Code],tblProducts[Category],"")</f>
        <v>Apparel &amp; Footwear</v>
      </c>
      <c r="I4375" s="4">
        <v>3</v>
      </c>
      <c r="J4375" s="5">
        <f>_xlfn.XLOOKUP(tblSales[[#This Row],[Product Code]],tblProducts[Code],tblProducts[Selling Price (excl. VAT)],0)</f>
        <v>250000</v>
      </c>
      <c r="K4375" s="5">
        <f>tblSales[[#This Row],[Qty]]*tblSales[[#This Row],[Unit Price]]</f>
        <v>750000</v>
      </c>
      <c r="L4375" s="5">
        <f>ROUND(tblSales[[#This Row],[DPP (excl. VAT)]]*VATEff,0)</f>
        <v>82500</v>
      </c>
      <c r="M4375" s="5">
        <f>tblSales[[#This Row],[DPP (excl. VAT)]]+tblSales[[#This Row],[Output VAT]]</f>
        <v>832500</v>
      </c>
      <c r="N4375" s="5">
        <f>tblSales[[#This Row],[Qty]]*_xlfn.XLOOKUP(tblSales[[#This Row],[Product Code]],tblProducts[Code],tblProducts[Unit Cost],0)</f>
        <v>465000</v>
      </c>
      <c r="O4375" s="4" t="s">
        <v>4865</v>
      </c>
      <c r="P4375" s="4" t="s">
        <v>4860</v>
      </c>
      <c r="Q4375" s="1" t="str">
        <f>_xlfn.XLOOKUP(tblSales[[#This Row],[Channel Code]],tblChannels[Channel Code],tblChannels[Channel Name],"")</f>
        <v>In-store</v>
      </c>
      <c r="R4375" s="1">
        <f>MONTH(tblSales[[#This Row],[Date]])</f>
        <v>9</v>
      </c>
    </row>
    <row r="4376" spans="2:18" x14ac:dyDescent="0.35">
      <c r="B4376" s="113">
        <v>46286</v>
      </c>
      <c r="C4376" s="4" t="s">
        <v>2961</v>
      </c>
      <c r="D4376" s="4" t="s">
        <v>4568</v>
      </c>
      <c r="E4376" s="1" t="str">
        <f>_xlfn.XLOOKUP(tblSales[[#This Row],[Customer ID]],tblCustomers[Customer ID],tblCustomers[Customer Name],"⚠ Unknown")</f>
        <v>Walk-in Customer</v>
      </c>
      <c r="F4376" s="4" t="s">
        <v>7</v>
      </c>
      <c r="G4376" s="1" t="str">
        <f>_xlfn.XLOOKUP(tblSales[[#This Row],[Product Code]],tblProducts[Code],tblProducts[Product / Service Name],"⚠ Unknown")</f>
        <v>Premium Basic T-shirt</v>
      </c>
      <c r="H4376" s="1" t="str">
        <f>_xlfn.XLOOKUP(tblSales[[#This Row],[Product Code]],tblProducts[Code],tblProducts[Category],"")</f>
        <v>Accessories &amp; Basics</v>
      </c>
      <c r="I4376" s="4">
        <v>1</v>
      </c>
      <c r="J4376" s="5">
        <f>_xlfn.XLOOKUP(tblSales[[#This Row],[Product Code]],tblProducts[Code],tblProducts[Selling Price (excl. VAT)],0)</f>
        <v>65000</v>
      </c>
      <c r="K4376" s="5">
        <f>tblSales[[#This Row],[Qty]]*tblSales[[#This Row],[Unit Price]]</f>
        <v>65000</v>
      </c>
      <c r="L4376" s="5">
        <f>ROUND(tblSales[[#This Row],[DPP (excl. VAT)]]*VATEff,0)</f>
        <v>7150</v>
      </c>
      <c r="M4376" s="5">
        <f>tblSales[[#This Row],[DPP (excl. VAT)]]+tblSales[[#This Row],[Output VAT]]</f>
        <v>72150</v>
      </c>
      <c r="N4376" s="5">
        <f>tblSales[[#This Row],[Qty]]*_xlfn.XLOOKUP(tblSales[[#This Row],[Product Code]],tblProducts[Code],tblProducts[Unit Cost],0)</f>
        <v>37000</v>
      </c>
      <c r="O4376" s="4" t="s">
        <v>4865</v>
      </c>
      <c r="P4376" s="4" t="s">
        <v>4860</v>
      </c>
      <c r="Q4376" s="1" t="str">
        <f>_xlfn.XLOOKUP(tblSales[[#This Row],[Channel Code]],tblChannels[Channel Code],tblChannels[Channel Name],"")</f>
        <v>In-store</v>
      </c>
      <c r="R4376" s="1">
        <f>MONTH(tblSales[[#This Row],[Date]])</f>
        <v>9</v>
      </c>
    </row>
    <row r="4377" spans="2:18" x14ac:dyDescent="0.35">
      <c r="B4377" s="113">
        <v>46286</v>
      </c>
      <c r="C4377" s="4" t="s">
        <v>2962</v>
      </c>
      <c r="D4377" s="4" t="s">
        <v>4593</v>
      </c>
      <c r="E4377" s="1" t="str">
        <f>_xlfn.XLOOKUP(tblSales[[#This Row],[Customer ID]],tblCustomers[Customer ID],tblCustomers[Customer Name],"⚠ Unknown")</f>
        <v>PT Graha Nusa Persada</v>
      </c>
      <c r="F4377" s="4" t="s">
        <v>6</v>
      </c>
      <c r="G4377" s="1" t="str">
        <f>_xlfn.XLOOKUP(tblSales[[#This Row],[Product Code]],tblProducts[Code],tblProducts[Product / Service Name],"⚠ Unknown")</f>
        <v>Socks &amp; Accessories</v>
      </c>
      <c r="H4377" s="1" t="str">
        <f>_xlfn.XLOOKUP(tblSales[[#This Row],[Product Code]],tblProducts[Code],tblProducts[Category],"")</f>
        <v>Accessories &amp; Basics</v>
      </c>
      <c r="I4377" s="4">
        <v>48</v>
      </c>
      <c r="J4377" s="5">
        <f>_xlfn.XLOOKUP(tblSales[[#This Row],[Product Code]],tblProducts[Code],tblProducts[Selling Price (excl. VAT)],0)</f>
        <v>45000</v>
      </c>
      <c r="K4377" s="5">
        <f>tblSales[[#This Row],[Qty]]*tblSales[[#This Row],[Unit Price]]</f>
        <v>2160000</v>
      </c>
      <c r="L4377" s="5">
        <f>ROUND(tblSales[[#This Row],[DPP (excl. VAT)]]*VATEff,0)</f>
        <v>237600</v>
      </c>
      <c r="M4377" s="5">
        <f>tblSales[[#This Row],[DPP (excl. VAT)]]+tblSales[[#This Row],[Output VAT]]</f>
        <v>2397600</v>
      </c>
      <c r="N4377" s="5">
        <f>tblSales[[#This Row],[Qty]]*_xlfn.XLOOKUP(tblSales[[#This Row],[Product Code]],tblProducts[Code],tblProducts[Unit Cost],0)</f>
        <v>1152000</v>
      </c>
      <c r="O4377" s="4" t="s">
        <v>4867</v>
      </c>
      <c r="P4377" s="4" t="s">
        <v>4860</v>
      </c>
      <c r="Q4377" s="1" t="str">
        <f>_xlfn.XLOOKUP(tblSales[[#This Row],[Channel Code]],tblChannels[Channel Code],tblChannels[Channel Name],"")</f>
        <v>In-store</v>
      </c>
      <c r="R4377" s="1">
        <f>MONTH(tblSales[[#This Row],[Date]])</f>
        <v>9</v>
      </c>
    </row>
    <row r="4378" spans="2:18" x14ac:dyDescent="0.35">
      <c r="B4378" s="113">
        <v>46286</v>
      </c>
      <c r="C4378" s="4" t="s">
        <v>2962</v>
      </c>
      <c r="D4378" s="4" t="s">
        <v>4593</v>
      </c>
      <c r="E4378" s="1" t="str">
        <f>_xlfn.XLOOKUP(tblSales[[#This Row],[Customer ID]],tblCustomers[Customer ID],tblCustomers[Customer Name],"⚠ Unknown")</f>
        <v>PT Graha Nusa Persada</v>
      </c>
      <c r="F4378" s="4" t="s">
        <v>9</v>
      </c>
      <c r="G4378" s="1" t="str">
        <f>_xlfn.XLOOKUP(tblSales[[#This Row],[Product Code]],tblProducts[Code],tblProducts[Product / Service Name],"⚠ Unknown")</f>
        <v>Casual Shirt</v>
      </c>
      <c r="H4378" s="1" t="str">
        <f>_xlfn.XLOOKUP(tblSales[[#This Row],[Product Code]],tblProducts[Code],tblProducts[Category],"")</f>
        <v>Apparel &amp; Footwear</v>
      </c>
      <c r="I4378" s="4">
        <v>8</v>
      </c>
      <c r="J4378" s="5">
        <f>_xlfn.XLOOKUP(tblSales[[#This Row],[Product Code]],tblProducts[Code],tblProducts[Selling Price (excl. VAT)],0)</f>
        <v>120000</v>
      </c>
      <c r="K4378" s="5">
        <f>tblSales[[#This Row],[Qty]]*tblSales[[#This Row],[Unit Price]]</f>
        <v>960000</v>
      </c>
      <c r="L4378" s="5">
        <f>ROUND(tblSales[[#This Row],[DPP (excl. VAT)]]*VATEff,0)</f>
        <v>105600</v>
      </c>
      <c r="M4378" s="5">
        <f>tblSales[[#This Row],[DPP (excl. VAT)]]+tblSales[[#This Row],[Output VAT]]</f>
        <v>1065600</v>
      </c>
      <c r="N4378" s="5">
        <f>tblSales[[#This Row],[Qty]]*_xlfn.XLOOKUP(tblSales[[#This Row],[Product Code]],tblProducts[Code],tblProducts[Unit Cost],0)</f>
        <v>576000</v>
      </c>
      <c r="O4378" s="4" t="s">
        <v>4867</v>
      </c>
      <c r="P4378" s="4" t="s">
        <v>4860</v>
      </c>
      <c r="Q4378" s="1" t="str">
        <f>_xlfn.XLOOKUP(tblSales[[#This Row],[Channel Code]],tblChannels[Channel Code],tblChannels[Channel Name],"")</f>
        <v>In-store</v>
      </c>
      <c r="R4378" s="1">
        <f>MONTH(tblSales[[#This Row],[Date]])</f>
        <v>9</v>
      </c>
    </row>
    <row r="4379" spans="2:18" x14ac:dyDescent="0.35">
      <c r="B4379" s="113">
        <v>46286</v>
      </c>
      <c r="C4379" s="4" t="s">
        <v>2963</v>
      </c>
      <c r="D4379" s="4" t="s">
        <v>4568</v>
      </c>
      <c r="E4379" s="1" t="str">
        <f>_xlfn.XLOOKUP(tblSales[[#This Row],[Customer ID]],tblCustomers[Customer ID],tblCustomers[Customer Name],"⚠ Unknown")</f>
        <v>Walk-in Customer</v>
      </c>
      <c r="F4379" s="4" t="s">
        <v>8</v>
      </c>
      <c r="G4379" s="1" t="str">
        <f>_xlfn.XLOOKUP(tblSales[[#This Row],[Product Code]],tblProducts[Code],tblProducts[Product / Service Name],"⚠ Unknown")</f>
        <v>Casual Shorts</v>
      </c>
      <c r="H4379" s="1" t="str">
        <f>_xlfn.XLOOKUP(tblSales[[#This Row],[Product Code]],tblProducts[Code],tblProducts[Category],"")</f>
        <v>Accessories &amp; Basics</v>
      </c>
      <c r="I4379" s="4">
        <v>11</v>
      </c>
      <c r="J4379" s="5">
        <f>_xlfn.XLOOKUP(tblSales[[#This Row],[Product Code]],tblProducts[Code],tblProducts[Selling Price (excl. VAT)],0)</f>
        <v>85000</v>
      </c>
      <c r="K4379" s="5">
        <f>tblSales[[#This Row],[Qty]]*tblSales[[#This Row],[Unit Price]]</f>
        <v>935000</v>
      </c>
      <c r="L4379" s="5">
        <f>ROUND(tblSales[[#This Row],[DPP (excl. VAT)]]*VATEff,0)</f>
        <v>102850</v>
      </c>
      <c r="M4379" s="5">
        <f>tblSales[[#This Row],[DPP (excl. VAT)]]+tblSales[[#This Row],[Output VAT]]</f>
        <v>1037850</v>
      </c>
      <c r="N4379" s="5">
        <f>tblSales[[#This Row],[Qty]]*_xlfn.XLOOKUP(tblSales[[#This Row],[Product Code]],tblProducts[Code],tblProducts[Unit Cost],0)</f>
        <v>550000</v>
      </c>
      <c r="O4379" s="4" t="s">
        <v>4865</v>
      </c>
      <c r="P4379" s="4" t="s">
        <v>4860</v>
      </c>
      <c r="Q4379" s="1" t="str">
        <f>_xlfn.XLOOKUP(tblSales[[#This Row],[Channel Code]],tblChannels[Channel Code],tblChannels[Channel Name],"")</f>
        <v>In-store</v>
      </c>
      <c r="R4379" s="1">
        <f>MONTH(tblSales[[#This Row],[Date]])</f>
        <v>9</v>
      </c>
    </row>
    <row r="4380" spans="2:18" x14ac:dyDescent="0.35">
      <c r="B4380" s="113">
        <v>46286</v>
      </c>
      <c r="C4380" s="4" t="s">
        <v>2964</v>
      </c>
      <c r="D4380" s="4" t="s">
        <v>4578</v>
      </c>
      <c r="E4380" s="1" t="str">
        <f>_xlfn.XLOOKUP(tblSales[[#This Row],[Customer ID]],tblCustomers[Customer ID],tblCustomers[Customer Name],"⚠ Unknown")</f>
        <v>PT Bintang Timur Sejahtera</v>
      </c>
      <c r="F4380" s="4" t="s">
        <v>7</v>
      </c>
      <c r="G4380" s="1" t="str">
        <f>_xlfn.XLOOKUP(tblSales[[#This Row],[Product Code]],tblProducts[Code],tblProducts[Product / Service Name],"⚠ Unknown")</f>
        <v>Premium Basic T-shirt</v>
      </c>
      <c r="H4380" s="1" t="str">
        <f>_xlfn.XLOOKUP(tblSales[[#This Row],[Product Code]],tblProducts[Code],tblProducts[Category],"")</f>
        <v>Accessories &amp; Basics</v>
      </c>
      <c r="I4380" s="4">
        <v>48</v>
      </c>
      <c r="J4380" s="5">
        <f>_xlfn.XLOOKUP(tblSales[[#This Row],[Product Code]],tblProducts[Code],tblProducts[Selling Price (excl. VAT)],0)</f>
        <v>65000</v>
      </c>
      <c r="K4380" s="5">
        <f>tblSales[[#This Row],[Qty]]*tblSales[[#This Row],[Unit Price]]</f>
        <v>3120000</v>
      </c>
      <c r="L4380" s="5">
        <f>ROUND(tblSales[[#This Row],[DPP (excl. VAT)]]*VATEff,0)</f>
        <v>343200</v>
      </c>
      <c r="M4380" s="5">
        <f>tblSales[[#This Row],[DPP (excl. VAT)]]+tblSales[[#This Row],[Output VAT]]</f>
        <v>3463200</v>
      </c>
      <c r="N4380" s="5">
        <f>tblSales[[#This Row],[Qty]]*_xlfn.XLOOKUP(tblSales[[#This Row],[Product Code]],tblProducts[Code],tblProducts[Unit Cost],0)</f>
        <v>1776000</v>
      </c>
      <c r="O4380" s="4" t="s">
        <v>4867</v>
      </c>
      <c r="P4380" s="4" t="s">
        <v>4860</v>
      </c>
      <c r="Q4380" s="1" t="str">
        <f>_xlfn.XLOOKUP(tblSales[[#This Row],[Channel Code]],tblChannels[Channel Code],tblChannels[Channel Name],"")</f>
        <v>In-store</v>
      </c>
      <c r="R4380" s="1">
        <f>MONTH(tblSales[[#This Row],[Date]])</f>
        <v>9</v>
      </c>
    </row>
    <row r="4381" spans="2:18" x14ac:dyDescent="0.35">
      <c r="B4381" s="113">
        <v>46286</v>
      </c>
      <c r="C4381" s="4" t="s">
        <v>2965</v>
      </c>
      <c r="D4381" s="4" t="s">
        <v>4568</v>
      </c>
      <c r="E4381" s="1" t="str">
        <f>_xlfn.XLOOKUP(tblSales[[#This Row],[Customer ID]],tblCustomers[Customer ID],tblCustomers[Customer Name],"⚠ Unknown")</f>
        <v>Walk-in Customer</v>
      </c>
      <c r="F4381" s="4" t="s">
        <v>6</v>
      </c>
      <c r="G4381" s="1" t="str">
        <f>_xlfn.XLOOKUP(tblSales[[#This Row],[Product Code]],tblProducts[Code],tblProducts[Product / Service Name],"⚠ Unknown")</f>
        <v>Socks &amp; Accessories</v>
      </c>
      <c r="H4381" s="1" t="str">
        <f>_xlfn.XLOOKUP(tblSales[[#This Row],[Product Code]],tblProducts[Code],tblProducts[Category],"")</f>
        <v>Accessories &amp; Basics</v>
      </c>
      <c r="I4381" s="4">
        <v>12</v>
      </c>
      <c r="J4381" s="5">
        <f>_xlfn.XLOOKUP(tblSales[[#This Row],[Product Code]],tblProducts[Code],tblProducts[Selling Price (excl. VAT)],0)</f>
        <v>45000</v>
      </c>
      <c r="K4381" s="5">
        <f>tblSales[[#This Row],[Qty]]*tblSales[[#This Row],[Unit Price]]</f>
        <v>540000</v>
      </c>
      <c r="L4381" s="5">
        <f>ROUND(tblSales[[#This Row],[DPP (excl. VAT)]]*VATEff,0)</f>
        <v>59400</v>
      </c>
      <c r="M4381" s="5">
        <f>tblSales[[#This Row],[DPP (excl. VAT)]]+tblSales[[#This Row],[Output VAT]]</f>
        <v>599400</v>
      </c>
      <c r="N4381" s="5">
        <f>tblSales[[#This Row],[Qty]]*_xlfn.XLOOKUP(tblSales[[#This Row],[Product Code]],tblProducts[Code],tblProducts[Unit Cost],0)</f>
        <v>288000</v>
      </c>
      <c r="O4381" s="4" t="s">
        <v>4866</v>
      </c>
      <c r="P4381" s="4" t="s">
        <v>4862</v>
      </c>
      <c r="Q4381" s="1" t="str">
        <f>_xlfn.XLOOKUP(tblSales[[#This Row],[Channel Code]],tblChannels[Channel Code],tblChannels[Channel Name],"")</f>
        <v>Website &amp; Social Media</v>
      </c>
      <c r="R4381" s="1">
        <f>MONTH(tblSales[[#This Row],[Date]])</f>
        <v>9</v>
      </c>
    </row>
    <row r="4382" spans="2:18" x14ac:dyDescent="0.35">
      <c r="B4382" s="113">
        <v>46286</v>
      </c>
      <c r="C4382" s="4" t="s">
        <v>2966</v>
      </c>
      <c r="D4382" s="4" t="s">
        <v>4568</v>
      </c>
      <c r="E4382" s="1" t="str">
        <f>_xlfn.XLOOKUP(tblSales[[#This Row],[Customer ID]],tblCustomers[Customer ID],tblCustomers[Customer Name],"⚠ Unknown")</f>
        <v>Walk-in Customer</v>
      </c>
      <c r="F4382" s="4" t="s">
        <v>13</v>
      </c>
      <c r="G4382" s="1" t="str">
        <f>_xlfn.XLOOKUP(tblSales[[#This Row],[Product Code]],tblProducts[Code],tblProducts[Product / Service Name],"⚠ Unknown")</f>
        <v>Backpack</v>
      </c>
      <c r="H4382" s="1" t="str">
        <f>_xlfn.XLOOKUP(tblSales[[#This Row],[Product Code]],tblProducts[Code],tblProducts[Category],"")</f>
        <v>Bags &amp; Gadgets</v>
      </c>
      <c r="I4382" s="4">
        <v>4</v>
      </c>
      <c r="J4382" s="5">
        <f>_xlfn.XLOOKUP(tblSales[[#This Row],[Product Code]],tblProducts[Code],tblProducts[Selling Price (excl. VAT)],0)</f>
        <v>500000</v>
      </c>
      <c r="K4382" s="5">
        <f>tblSales[[#This Row],[Qty]]*tblSales[[#This Row],[Unit Price]]</f>
        <v>2000000</v>
      </c>
      <c r="L4382" s="5">
        <f>ROUND(tblSales[[#This Row],[DPP (excl. VAT)]]*VATEff,0)</f>
        <v>220000</v>
      </c>
      <c r="M4382" s="5">
        <f>tblSales[[#This Row],[DPP (excl. VAT)]]+tblSales[[#This Row],[Output VAT]]</f>
        <v>2220000</v>
      </c>
      <c r="N4382" s="5">
        <f>tblSales[[#This Row],[Qty]]*_xlfn.XLOOKUP(tblSales[[#This Row],[Product Code]],tblProducts[Code],tblProducts[Unit Cost],0)</f>
        <v>1160000</v>
      </c>
      <c r="O4382" s="4" t="s">
        <v>4866</v>
      </c>
      <c r="P4382" s="4" t="s">
        <v>4862</v>
      </c>
      <c r="Q4382" s="1" t="str">
        <f>_xlfn.XLOOKUP(tblSales[[#This Row],[Channel Code]],tblChannels[Channel Code],tblChannels[Channel Name],"")</f>
        <v>Website &amp; Social Media</v>
      </c>
      <c r="R4382" s="1">
        <f>MONTH(tblSales[[#This Row],[Date]])</f>
        <v>9</v>
      </c>
    </row>
    <row r="4383" spans="2:18" x14ac:dyDescent="0.35">
      <c r="B4383" s="113">
        <v>46286</v>
      </c>
      <c r="C4383" s="4" t="s">
        <v>2966</v>
      </c>
      <c r="D4383" s="4" t="s">
        <v>4568</v>
      </c>
      <c r="E4383" s="1" t="str">
        <f>_xlfn.XLOOKUP(tblSales[[#This Row],[Customer ID]],tblCustomers[Customer ID],tblCustomers[Customer Name],"⚠ Unknown")</f>
        <v>Walk-in Customer</v>
      </c>
      <c r="F4383" s="4" t="s">
        <v>12</v>
      </c>
      <c r="G4383" s="1" t="str">
        <f>_xlfn.XLOOKUP(tblSales[[#This Row],[Product Code]],tblProducts[Code],tblProducts[Product / Service Name],"⚠ Unknown")</f>
        <v>Bomber Jacket</v>
      </c>
      <c r="H4383" s="1" t="str">
        <f>_xlfn.XLOOKUP(tblSales[[#This Row],[Product Code]],tblProducts[Code],tblProducts[Category],"")</f>
        <v>Apparel &amp; Footwear</v>
      </c>
      <c r="I4383" s="4">
        <v>3</v>
      </c>
      <c r="J4383" s="5">
        <f>_xlfn.XLOOKUP(tblSales[[#This Row],[Product Code]],tblProducts[Code],tblProducts[Selling Price (excl. VAT)],0)</f>
        <v>350000</v>
      </c>
      <c r="K4383" s="5">
        <f>tblSales[[#This Row],[Qty]]*tblSales[[#This Row],[Unit Price]]</f>
        <v>1050000</v>
      </c>
      <c r="L4383" s="5">
        <f>ROUND(tblSales[[#This Row],[DPP (excl. VAT)]]*VATEff,0)</f>
        <v>115500</v>
      </c>
      <c r="M4383" s="5">
        <f>tblSales[[#This Row],[DPP (excl. VAT)]]+tblSales[[#This Row],[Output VAT]]</f>
        <v>1165500</v>
      </c>
      <c r="N4383" s="5">
        <f>tblSales[[#This Row],[Qty]]*_xlfn.XLOOKUP(tblSales[[#This Row],[Product Code]],tblProducts[Code],tblProducts[Unit Cost],0)</f>
        <v>630000</v>
      </c>
      <c r="O4383" s="4" t="s">
        <v>4866</v>
      </c>
      <c r="P4383" s="4" t="s">
        <v>4862</v>
      </c>
      <c r="Q4383" s="1" t="str">
        <f>_xlfn.XLOOKUP(tblSales[[#This Row],[Channel Code]],tblChannels[Channel Code],tblChannels[Channel Name],"")</f>
        <v>Website &amp; Social Media</v>
      </c>
      <c r="R4383" s="1">
        <f>MONTH(tblSales[[#This Row],[Date]])</f>
        <v>9</v>
      </c>
    </row>
    <row r="4384" spans="2:18" x14ac:dyDescent="0.35">
      <c r="B4384" s="113">
        <v>46286</v>
      </c>
      <c r="C4384" s="4" t="s">
        <v>2967</v>
      </c>
      <c r="D4384" s="4" t="s">
        <v>4568</v>
      </c>
      <c r="E4384" s="1" t="str">
        <f>_xlfn.XLOOKUP(tblSales[[#This Row],[Customer ID]],tblCustomers[Customer ID],tblCustomers[Customer Name],"⚠ Unknown")</f>
        <v>Walk-in Customer</v>
      </c>
      <c r="F4384" s="4" t="s">
        <v>6</v>
      </c>
      <c r="G4384" s="1" t="str">
        <f>_xlfn.XLOOKUP(tblSales[[#This Row],[Product Code]],tblProducts[Code],tblProducts[Product / Service Name],"⚠ Unknown")</f>
        <v>Socks &amp; Accessories</v>
      </c>
      <c r="H4384" s="1" t="str">
        <f>_xlfn.XLOOKUP(tblSales[[#This Row],[Product Code]],tblProducts[Code],tblProducts[Category],"")</f>
        <v>Accessories &amp; Basics</v>
      </c>
      <c r="I4384" s="4">
        <v>2</v>
      </c>
      <c r="J4384" s="5">
        <f>_xlfn.XLOOKUP(tblSales[[#This Row],[Product Code]],tblProducts[Code],tblProducts[Selling Price (excl. VAT)],0)</f>
        <v>45000</v>
      </c>
      <c r="K4384" s="5">
        <f>tblSales[[#This Row],[Qty]]*tblSales[[#This Row],[Unit Price]]</f>
        <v>90000</v>
      </c>
      <c r="L4384" s="5">
        <f>ROUND(tblSales[[#This Row],[DPP (excl. VAT)]]*VATEff,0)</f>
        <v>9900</v>
      </c>
      <c r="M4384" s="5">
        <f>tblSales[[#This Row],[DPP (excl. VAT)]]+tblSales[[#This Row],[Output VAT]]</f>
        <v>99900</v>
      </c>
      <c r="N4384" s="5">
        <f>tblSales[[#This Row],[Qty]]*_xlfn.XLOOKUP(tblSales[[#This Row],[Product Code]],tblProducts[Code],tblProducts[Unit Cost],0)</f>
        <v>48000</v>
      </c>
      <c r="O4384" s="4" t="s">
        <v>4866</v>
      </c>
      <c r="P4384" s="4" t="s">
        <v>4860</v>
      </c>
      <c r="Q4384" s="1" t="str">
        <f>_xlfn.XLOOKUP(tblSales[[#This Row],[Channel Code]],tblChannels[Channel Code],tblChannels[Channel Name],"")</f>
        <v>In-store</v>
      </c>
      <c r="R4384" s="1">
        <f>MONTH(tblSales[[#This Row],[Date]])</f>
        <v>9</v>
      </c>
    </row>
    <row r="4385" spans="2:18" x14ac:dyDescent="0.35">
      <c r="B4385" s="113">
        <v>46286</v>
      </c>
      <c r="C4385" s="4" t="s">
        <v>2968</v>
      </c>
      <c r="D4385" s="4" t="s">
        <v>4568</v>
      </c>
      <c r="E4385" s="1" t="str">
        <f>_xlfn.XLOOKUP(tblSales[[#This Row],[Customer ID]],tblCustomers[Customer ID],tblCustomers[Customer Name],"⚠ Unknown")</f>
        <v>Walk-in Customer</v>
      </c>
      <c r="F4385" s="4" t="s">
        <v>9</v>
      </c>
      <c r="G4385" s="1" t="str">
        <f>_xlfn.XLOOKUP(tblSales[[#This Row],[Product Code]],tblProducts[Code],tblProducts[Product / Service Name],"⚠ Unknown")</f>
        <v>Casual Shirt</v>
      </c>
      <c r="H4385" s="1" t="str">
        <f>_xlfn.XLOOKUP(tblSales[[#This Row],[Product Code]],tblProducts[Code],tblProducts[Category],"")</f>
        <v>Apparel &amp; Footwear</v>
      </c>
      <c r="I4385" s="4">
        <v>5</v>
      </c>
      <c r="J4385" s="5">
        <f>_xlfn.XLOOKUP(tblSales[[#This Row],[Product Code]],tblProducts[Code],tblProducts[Selling Price (excl. VAT)],0)</f>
        <v>120000</v>
      </c>
      <c r="K4385" s="5">
        <f>tblSales[[#This Row],[Qty]]*tblSales[[#This Row],[Unit Price]]</f>
        <v>600000</v>
      </c>
      <c r="L4385" s="5">
        <f>ROUND(tblSales[[#This Row],[DPP (excl. VAT)]]*VATEff,0)</f>
        <v>66000</v>
      </c>
      <c r="M4385" s="5">
        <f>tblSales[[#This Row],[DPP (excl. VAT)]]+tblSales[[#This Row],[Output VAT]]</f>
        <v>666000</v>
      </c>
      <c r="N4385" s="5">
        <f>tblSales[[#This Row],[Qty]]*_xlfn.XLOOKUP(tblSales[[#This Row],[Product Code]],tblProducts[Code],tblProducts[Unit Cost],0)</f>
        <v>360000</v>
      </c>
      <c r="O4385" s="4" t="s">
        <v>4866</v>
      </c>
      <c r="P4385" s="4" t="s">
        <v>4862</v>
      </c>
      <c r="Q4385" s="1" t="str">
        <f>_xlfn.XLOOKUP(tblSales[[#This Row],[Channel Code]],tblChannels[Channel Code],tblChannels[Channel Name],"")</f>
        <v>Website &amp; Social Media</v>
      </c>
      <c r="R4385" s="1">
        <f>MONTH(tblSales[[#This Row],[Date]])</f>
        <v>9</v>
      </c>
    </row>
    <row r="4386" spans="2:18" x14ac:dyDescent="0.35">
      <c r="B4386" s="113">
        <v>46286</v>
      </c>
      <c r="C4386" s="4" t="s">
        <v>2968</v>
      </c>
      <c r="D4386" s="4" t="s">
        <v>4568</v>
      </c>
      <c r="E4386" s="1" t="str">
        <f>_xlfn.XLOOKUP(tblSales[[#This Row],[Customer ID]],tblCustomers[Customer ID],tblCustomers[Customer Name],"⚠ Unknown")</f>
        <v>Walk-in Customer</v>
      </c>
      <c r="F4386" s="4" t="s">
        <v>14</v>
      </c>
      <c r="G4386" s="1" t="str">
        <f>_xlfn.XLOOKUP(tblSales[[#This Row],[Product Code]],tblProducts[Code],tblProducts[Product / Service Name],"⚠ Unknown")</f>
        <v>Smartwatch</v>
      </c>
      <c r="H4386" s="1" t="str">
        <f>_xlfn.XLOOKUP(tblSales[[#This Row],[Product Code]],tblProducts[Code],tblProducts[Category],"")</f>
        <v>Bags &amp; Gadgets</v>
      </c>
      <c r="I4386" s="4">
        <v>3</v>
      </c>
      <c r="J4386" s="5">
        <f>_xlfn.XLOOKUP(tblSales[[#This Row],[Product Code]],tblProducts[Code],tblProducts[Selling Price (excl. VAT)],0)</f>
        <v>850000</v>
      </c>
      <c r="K4386" s="5">
        <f>tblSales[[#This Row],[Qty]]*tblSales[[#This Row],[Unit Price]]</f>
        <v>2550000</v>
      </c>
      <c r="L4386" s="5">
        <f>ROUND(tblSales[[#This Row],[DPP (excl. VAT)]]*VATEff,0)</f>
        <v>280500</v>
      </c>
      <c r="M4386" s="5">
        <f>tblSales[[#This Row],[DPP (excl. VAT)]]+tblSales[[#This Row],[Output VAT]]</f>
        <v>2830500</v>
      </c>
      <c r="N4386" s="5">
        <f>tblSales[[#This Row],[Qty]]*_xlfn.XLOOKUP(tblSales[[#This Row],[Product Code]],tblProducts[Code],tblProducts[Unit Cost],0)</f>
        <v>1680000</v>
      </c>
      <c r="O4386" s="4" t="s">
        <v>4866</v>
      </c>
      <c r="P4386" s="4" t="s">
        <v>4862</v>
      </c>
      <c r="Q4386" s="1" t="str">
        <f>_xlfn.XLOOKUP(tblSales[[#This Row],[Channel Code]],tblChannels[Channel Code],tblChannels[Channel Name],"")</f>
        <v>Website &amp; Social Media</v>
      </c>
      <c r="R4386" s="1">
        <f>MONTH(tblSales[[#This Row],[Date]])</f>
        <v>9</v>
      </c>
    </row>
    <row r="4387" spans="2:18" x14ac:dyDescent="0.35">
      <c r="B4387" s="113">
        <v>46286</v>
      </c>
      <c r="C4387" s="4" t="s">
        <v>2968</v>
      </c>
      <c r="D4387" s="4" t="s">
        <v>4568</v>
      </c>
      <c r="E4387" s="1" t="str">
        <f>_xlfn.XLOOKUP(tblSales[[#This Row],[Customer ID]],tblCustomers[Customer ID],tblCustomers[Customer Name],"⚠ Unknown")</f>
        <v>Walk-in Customer</v>
      </c>
      <c r="F4387" s="4" t="s">
        <v>8</v>
      </c>
      <c r="G4387" s="1" t="str">
        <f>_xlfn.XLOOKUP(tblSales[[#This Row],[Product Code]],tblProducts[Code],tblProducts[Product / Service Name],"⚠ Unknown")</f>
        <v>Casual Shorts</v>
      </c>
      <c r="H4387" s="1" t="str">
        <f>_xlfn.XLOOKUP(tblSales[[#This Row],[Product Code]],tblProducts[Code],tblProducts[Category],"")</f>
        <v>Accessories &amp; Basics</v>
      </c>
      <c r="I4387" s="4">
        <v>5</v>
      </c>
      <c r="J4387" s="5">
        <f>_xlfn.XLOOKUP(tblSales[[#This Row],[Product Code]],tblProducts[Code],tblProducts[Selling Price (excl. VAT)],0)</f>
        <v>85000</v>
      </c>
      <c r="K4387" s="5">
        <f>tblSales[[#This Row],[Qty]]*tblSales[[#This Row],[Unit Price]]</f>
        <v>425000</v>
      </c>
      <c r="L4387" s="5">
        <f>ROUND(tblSales[[#This Row],[DPP (excl. VAT)]]*VATEff,0)</f>
        <v>46750</v>
      </c>
      <c r="M4387" s="5">
        <f>tblSales[[#This Row],[DPP (excl. VAT)]]+tblSales[[#This Row],[Output VAT]]</f>
        <v>471750</v>
      </c>
      <c r="N4387" s="5">
        <f>tblSales[[#This Row],[Qty]]*_xlfn.XLOOKUP(tblSales[[#This Row],[Product Code]],tblProducts[Code],tblProducts[Unit Cost],0)</f>
        <v>250000</v>
      </c>
      <c r="O4387" s="4" t="s">
        <v>4866</v>
      </c>
      <c r="P4387" s="4" t="s">
        <v>4862</v>
      </c>
      <c r="Q4387" s="1" t="str">
        <f>_xlfn.XLOOKUP(tblSales[[#This Row],[Channel Code]],tblChannels[Channel Code],tblChannels[Channel Name],"")</f>
        <v>Website &amp; Social Media</v>
      </c>
      <c r="R4387" s="1">
        <f>MONTH(tblSales[[#This Row],[Date]])</f>
        <v>9</v>
      </c>
    </row>
    <row r="4388" spans="2:18" x14ac:dyDescent="0.35">
      <c r="B4388" s="113">
        <v>46286</v>
      </c>
      <c r="C4388" s="4" t="s">
        <v>2969</v>
      </c>
      <c r="D4388" s="4" t="s">
        <v>4568</v>
      </c>
      <c r="E4388" s="1" t="str">
        <f>_xlfn.XLOOKUP(tblSales[[#This Row],[Customer ID]],tblCustomers[Customer ID],tblCustomers[Customer Name],"⚠ Unknown")</f>
        <v>Walk-in Customer</v>
      </c>
      <c r="F4388" s="4" t="s">
        <v>8</v>
      </c>
      <c r="G4388" s="1" t="str">
        <f>_xlfn.XLOOKUP(tblSales[[#This Row],[Product Code]],tblProducts[Code],tblProducts[Product / Service Name],"⚠ Unknown")</f>
        <v>Casual Shorts</v>
      </c>
      <c r="H4388" s="1" t="str">
        <f>_xlfn.XLOOKUP(tblSales[[#This Row],[Product Code]],tblProducts[Code],tblProducts[Category],"")</f>
        <v>Accessories &amp; Basics</v>
      </c>
      <c r="I4388" s="4">
        <v>7</v>
      </c>
      <c r="J4388" s="5">
        <f>_xlfn.XLOOKUP(tblSales[[#This Row],[Product Code]],tblProducts[Code],tblProducts[Selling Price (excl. VAT)],0)</f>
        <v>85000</v>
      </c>
      <c r="K4388" s="5">
        <f>tblSales[[#This Row],[Qty]]*tblSales[[#This Row],[Unit Price]]</f>
        <v>595000</v>
      </c>
      <c r="L4388" s="5">
        <f>ROUND(tblSales[[#This Row],[DPP (excl. VAT)]]*VATEff,0)</f>
        <v>65450</v>
      </c>
      <c r="M4388" s="5">
        <f>tblSales[[#This Row],[DPP (excl. VAT)]]+tblSales[[#This Row],[Output VAT]]</f>
        <v>660450</v>
      </c>
      <c r="N4388" s="5">
        <f>tblSales[[#This Row],[Qty]]*_xlfn.XLOOKUP(tblSales[[#This Row],[Product Code]],tblProducts[Code],tblProducts[Unit Cost],0)</f>
        <v>350000</v>
      </c>
      <c r="O4388" s="4" t="s">
        <v>4865</v>
      </c>
      <c r="P4388" s="4" t="s">
        <v>4860</v>
      </c>
      <c r="Q4388" s="1" t="str">
        <f>_xlfn.XLOOKUP(tblSales[[#This Row],[Channel Code]],tblChannels[Channel Code],tblChannels[Channel Name],"")</f>
        <v>In-store</v>
      </c>
      <c r="R4388" s="1">
        <f>MONTH(tblSales[[#This Row],[Date]])</f>
        <v>9</v>
      </c>
    </row>
    <row r="4389" spans="2:18" x14ac:dyDescent="0.35">
      <c r="B4389" s="113">
        <v>46287</v>
      </c>
      <c r="C4389" s="4" t="s">
        <v>2970</v>
      </c>
      <c r="D4389" s="4" t="s">
        <v>4568</v>
      </c>
      <c r="E4389" s="1" t="str">
        <f>_xlfn.XLOOKUP(tblSales[[#This Row],[Customer ID]],tblCustomers[Customer ID],tblCustomers[Customer Name],"⚠ Unknown")</f>
        <v>Walk-in Customer</v>
      </c>
      <c r="F4389" s="4" t="s">
        <v>10</v>
      </c>
      <c r="G4389" s="1" t="str">
        <f>_xlfn.XLOOKUP(tblSales[[#This Row],[Product Code]],tblProducts[Code],tblProducts[Product / Service Name],"⚠ Unknown")</f>
        <v>Chino Pants</v>
      </c>
      <c r="H4389" s="1" t="str">
        <f>_xlfn.XLOOKUP(tblSales[[#This Row],[Product Code]],tblProducts[Code],tblProducts[Category],"")</f>
        <v>Apparel &amp; Footwear</v>
      </c>
      <c r="I4389" s="4">
        <v>1</v>
      </c>
      <c r="J4389" s="5">
        <f>_xlfn.XLOOKUP(tblSales[[#This Row],[Product Code]],tblProducts[Code],tblProducts[Selling Price (excl. VAT)],0)</f>
        <v>150000</v>
      </c>
      <c r="K4389" s="5">
        <f>tblSales[[#This Row],[Qty]]*tblSales[[#This Row],[Unit Price]]</f>
        <v>150000</v>
      </c>
      <c r="L4389" s="5">
        <f>ROUND(tblSales[[#This Row],[DPP (excl. VAT)]]*VATEff,0)</f>
        <v>16500</v>
      </c>
      <c r="M4389" s="5">
        <f>tblSales[[#This Row],[DPP (excl. VAT)]]+tblSales[[#This Row],[Output VAT]]</f>
        <v>166500</v>
      </c>
      <c r="N4389" s="5">
        <f>tblSales[[#This Row],[Qty]]*_xlfn.XLOOKUP(tblSales[[#This Row],[Product Code]],tblProducts[Code],tblProducts[Unit Cost],0)</f>
        <v>88000</v>
      </c>
      <c r="O4389" s="4" t="s">
        <v>4865</v>
      </c>
      <c r="P4389" s="4" t="s">
        <v>4860</v>
      </c>
      <c r="Q4389" s="1" t="str">
        <f>_xlfn.XLOOKUP(tblSales[[#This Row],[Channel Code]],tblChannels[Channel Code],tblChannels[Channel Name],"")</f>
        <v>In-store</v>
      </c>
      <c r="R4389" s="1">
        <f>MONTH(tblSales[[#This Row],[Date]])</f>
        <v>9</v>
      </c>
    </row>
    <row r="4390" spans="2:18" x14ac:dyDescent="0.35">
      <c r="B4390" s="113">
        <v>46287</v>
      </c>
      <c r="C4390" s="4" t="s">
        <v>2970</v>
      </c>
      <c r="D4390" s="4" t="s">
        <v>4568</v>
      </c>
      <c r="E4390" s="1" t="str">
        <f>_xlfn.XLOOKUP(tblSales[[#This Row],[Customer ID]],tblCustomers[Customer ID],tblCustomers[Customer Name],"⚠ Unknown")</f>
        <v>Walk-in Customer</v>
      </c>
      <c r="F4390" s="4" t="s">
        <v>8</v>
      </c>
      <c r="G4390" s="1" t="str">
        <f>_xlfn.XLOOKUP(tblSales[[#This Row],[Product Code]],tblProducts[Code],tblProducts[Product / Service Name],"⚠ Unknown")</f>
        <v>Casual Shorts</v>
      </c>
      <c r="H4390" s="1" t="str">
        <f>_xlfn.XLOOKUP(tblSales[[#This Row],[Product Code]],tblProducts[Code],tblProducts[Category],"")</f>
        <v>Accessories &amp; Basics</v>
      </c>
      <c r="I4390" s="4">
        <v>2</v>
      </c>
      <c r="J4390" s="5">
        <f>_xlfn.XLOOKUP(tblSales[[#This Row],[Product Code]],tblProducts[Code],tblProducts[Selling Price (excl. VAT)],0)</f>
        <v>85000</v>
      </c>
      <c r="K4390" s="5">
        <f>tblSales[[#This Row],[Qty]]*tblSales[[#This Row],[Unit Price]]</f>
        <v>170000</v>
      </c>
      <c r="L4390" s="5">
        <f>ROUND(tblSales[[#This Row],[DPP (excl. VAT)]]*VATEff,0)</f>
        <v>18700</v>
      </c>
      <c r="M4390" s="5">
        <f>tblSales[[#This Row],[DPP (excl. VAT)]]+tblSales[[#This Row],[Output VAT]]</f>
        <v>188700</v>
      </c>
      <c r="N4390" s="5">
        <f>tblSales[[#This Row],[Qty]]*_xlfn.XLOOKUP(tblSales[[#This Row],[Product Code]],tblProducts[Code],tblProducts[Unit Cost],0)</f>
        <v>100000</v>
      </c>
      <c r="O4390" s="4" t="s">
        <v>4865</v>
      </c>
      <c r="P4390" s="4" t="s">
        <v>4860</v>
      </c>
      <c r="Q4390" s="1" t="str">
        <f>_xlfn.XLOOKUP(tblSales[[#This Row],[Channel Code]],tblChannels[Channel Code],tblChannels[Channel Name],"")</f>
        <v>In-store</v>
      </c>
      <c r="R4390" s="1">
        <f>MONTH(tblSales[[#This Row],[Date]])</f>
        <v>9</v>
      </c>
    </row>
    <row r="4391" spans="2:18" x14ac:dyDescent="0.35">
      <c r="B4391" s="113">
        <v>46287</v>
      </c>
      <c r="C4391" s="4" t="s">
        <v>2971</v>
      </c>
      <c r="D4391" s="4" t="s">
        <v>4568</v>
      </c>
      <c r="E4391" s="1" t="str">
        <f>_xlfn.XLOOKUP(tblSales[[#This Row],[Customer ID]],tblCustomers[Customer ID],tblCustomers[Customer Name],"⚠ Unknown")</f>
        <v>Walk-in Customer</v>
      </c>
      <c r="F4391" s="4" t="s">
        <v>6</v>
      </c>
      <c r="G4391" s="1" t="str">
        <f>_xlfn.XLOOKUP(tblSales[[#This Row],[Product Code]],tblProducts[Code],tblProducts[Product / Service Name],"⚠ Unknown")</f>
        <v>Socks &amp; Accessories</v>
      </c>
      <c r="H4391" s="1" t="str">
        <f>_xlfn.XLOOKUP(tblSales[[#This Row],[Product Code]],tblProducts[Code],tblProducts[Category],"")</f>
        <v>Accessories &amp; Basics</v>
      </c>
      <c r="I4391" s="4">
        <v>2</v>
      </c>
      <c r="J4391" s="5">
        <f>_xlfn.XLOOKUP(tblSales[[#This Row],[Product Code]],tblProducts[Code],tblProducts[Selling Price (excl. VAT)],0)</f>
        <v>45000</v>
      </c>
      <c r="K4391" s="5">
        <f>tblSales[[#This Row],[Qty]]*tblSales[[#This Row],[Unit Price]]</f>
        <v>90000</v>
      </c>
      <c r="L4391" s="5">
        <f>ROUND(tblSales[[#This Row],[DPP (excl. VAT)]]*VATEff,0)</f>
        <v>9900</v>
      </c>
      <c r="M4391" s="5">
        <f>tblSales[[#This Row],[DPP (excl. VAT)]]+tblSales[[#This Row],[Output VAT]]</f>
        <v>99900</v>
      </c>
      <c r="N4391" s="5">
        <f>tblSales[[#This Row],[Qty]]*_xlfn.XLOOKUP(tblSales[[#This Row],[Product Code]],tblProducts[Code],tblProducts[Unit Cost],0)</f>
        <v>48000</v>
      </c>
      <c r="O4391" s="4" t="s">
        <v>4866</v>
      </c>
      <c r="P4391" s="4" t="s">
        <v>4861</v>
      </c>
      <c r="Q4391" s="1" t="str">
        <f>_xlfn.XLOOKUP(tblSales[[#This Row],[Channel Code]],tblChannels[Channel Code],tblChannels[Channel Name],"")</f>
        <v>Marketplace</v>
      </c>
      <c r="R4391" s="1">
        <f>MONTH(tblSales[[#This Row],[Date]])</f>
        <v>9</v>
      </c>
    </row>
    <row r="4392" spans="2:18" x14ac:dyDescent="0.35">
      <c r="B4392" s="113">
        <v>46287</v>
      </c>
      <c r="C4392" s="4" t="s">
        <v>2972</v>
      </c>
      <c r="D4392" s="4" t="s">
        <v>4620</v>
      </c>
      <c r="E4392" s="1" t="str">
        <f>_xlfn.XLOOKUP(tblSales[[#This Row],[Customer ID]],tblCustomers[Customer ID],tblCustomers[Customer Name],"⚠ Unknown")</f>
        <v>CV Sumber Rejeki Utama</v>
      </c>
      <c r="F4392" s="4" t="s">
        <v>14</v>
      </c>
      <c r="G4392" s="1" t="str">
        <f>_xlfn.XLOOKUP(tblSales[[#This Row],[Product Code]],tblProducts[Code],tblProducts[Product / Service Name],"⚠ Unknown")</f>
        <v>Smartwatch</v>
      </c>
      <c r="H4392" s="1" t="str">
        <f>_xlfn.XLOOKUP(tblSales[[#This Row],[Product Code]],tblProducts[Code],tblProducts[Category],"")</f>
        <v>Bags &amp; Gadgets</v>
      </c>
      <c r="I4392" s="4">
        <v>8</v>
      </c>
      <c r="J4392" s="5">
        <f>_xlfn.XLOOKUP(tblSales[[#This Row],[Product Code]],tblProducts[Code],tblProducts[Selling Price (excl. VAT)],0)</f>
        <v>850000</v>
      </c>
      <c r="K4392" s="5">
        <f>tblSales[[#This Row],[Qty]]*tblSales[[#This Row],[Unit Price]]</f>
        <v>6800000</v>
      </c>
      <c r="L4392" s="5">
        <f>ROUND(tblSales[[#This Row],[DPP (excl. VAT)]]*VATEff,0)</f>
        <v>748000</v>
      </c>
      <c r="M4392" s="5">
        <f>tblSales[[#This Row],[DPP (excl. VAT)]]+tblSales[[#This Row],[Output VAT]]</f>
        <v>7548000</v>
      </c>
      <c r="N4392" s="5">
        <f>tblSales[[#This Row],[Qty]]*_xlfn.XLOOKUP(tblSales[[#This Row],[Product Code]],tblProducts[Code],tblProducts[Unit Cost],0)</f>
        <v>4480000</v>
      </c>
      <c r="O4392" s="4" t="s">
        <v>4867</v>
      </c>
      <c r="P4392" s="4" t="s">
        <v>4860</v>
      </c>
      <c r="Q4392" s="1" t="str">
        <f>_xlfn.XLOOKUP(tblSales[[#This Row],[Channel Code]],tblChannels[Channel Code],tblChannels[Channel Name],"")</f>
        <v>In-store</v>
      </c>
      <c r="R4392" s="1">
        <f>MONTH(tblSales[[#This Row],[Date]])</f>
        <v>9</v>
      </c>
    </row>
    <row r="4393" spans="2:18" x14ac:dyDescent="0.35">
      <c r="B4393" s="113">
        <v>46287</v>
      </c>
      <c r="C4393" s="4" t="s">
        <v>2973</v>
      </c>
      <c r="D4393" s="4" t="s">
        <v>4568</v>
      </c>
      <c r="E4393" s="1" t="str">
        <f>_xlfn.XLOOKUP(tblSales[[#This Row],[Customer ID]],tblCustomers[Customer ID],tblCustomers[Customer Name],"⚠ Unknown")</f>
        <v>Walk-in Customer</v>
      </c>
      <c r="F4393" s="4" t="s">
        <v>11</v>
      </c>
      <c r="G4393" s="1" t="str">
        <f>_xlfn.XLOOKUP(tblSales[[#This Row],[Product Code]],tblProducts[Code],tblProducts[Product / Service Name],"⚠ Unknown")</f>
        <v>Sneakers</v>
      </c>
      <c r="H4393" s="1" t="str">
        <f>_xlfn.XLOOKUP(tblSales[[#This Row],[Product Code]],tblProducts[Code],tblProducts[Category],"")</f>
        <v>Apparel &amp; Footwear</v>
      </c>
      <c r="I4393" s="4">
        <v>3</v>
      </c>
      <c r="J4393" s="5">
        <f>_xlfn.XLOOKUP(tblSales[[#This Row],[Product Code]],tblProducts[Code],tblProducts[Selling Price (excl. VAT)],0)</f>
        <v>250000</v>
      </c>
      <c r="K4393" s="5">
        <f>tblSales[[#This Row],[Qty]]*tblSales[[#This Row],[Unit Price]]</f>
        <v>750000</v>
      </c>
      <c r="L4393" s="5">
        <f>ROUND(tblSales[[#This Row],[DPP (excl. VAT)]]*VATEff,0)</f>
        <v>82500</v>
      </c>
      <c r="M4393" s="5">
        <f>tblSales[[#This Row],[DPP (excl. VAT)]]+tblSales[[#This Row],[Output VAT]]</f>
        <v>832500</v>
      </c>
      <c r="N4393" s="5">
        <f>tblSales[[#This Row],[Qty]]*_xlfn.XLOOKUP(tblSales[[#This Row],[Product Code]],tblProducts[Code],tblProducts[Unit Cost],0)</f>
        <v>465000</v>
      </c>
      <c r="O4393" s="4" t="s">
        <v>4865</v>
      </c>
      <c r="P4393" s="4" t="s">
        <v>4860</v>
      </c>
      <c r="Q4393" s="1" t="str">
        <f>_xlfn.XLOOKUP(tblSales[[#This Row],[Channel Code]],tblChannels[Channel Code],tblChannels[Channel Name],"")</f>
        <v>In-store</v>
      </c>
      <c r="R4393" s="1">
        <f>MONTH(tblSales[[#This Row],[Date]])</f>
        <v>9</v>
      </c>
    </row>
    <row r="4394" spans="2:18" x14ac:dyDescent="0.35">
      <c r="B4394" s="113">
        <v>46287</v>
      </c>
      <c r="C4394" s="4" t="s">
        <v>2974</v>
      </c>
      <c r="D4394" s="4" t="s">
        <v>4568</v>
      </c>
      <c r="E4394" s="1" t="str">
        <f>_xlfn.XLOOKUP(tblSales[[#This Row],[Customer ID]],tblCustomers[Customer ID],tblCustomers[Customer Name],"⚠ Unknown")</f>
        <v>Walk-in Customer</v>
      </c>
      <c r="F4394" s="4" t="s">
        <v>12</v>
      </c>
      <c r="G4394" s="1" t="str">
        <f>_xlfn.XLOOKUP(tblSales[[#This Row],[Product Code]],tblProducts[Code],tblProducts[Product / Service Name],"⚠ Unknown")</f>
        <v>Bomber Jacket</v>
      </c>
      <c r="H4394" s="1" t="str">
        <f>_xlfn.XLOOKUP(tblSales[[#This Row],[Product Code]],tblProducts[Code],tblProducts[Category],"")</f>
        <v>Apparel &amp; Footwear</v>
      </c>
      <c r="I4394" s="4">
        <v>6</v>
      </c>
      <c r="J4394" s="5">
        <f>_xlfn.XLOOKUP(tblSales[[#This Row],[Product Code]],tblProducts[Code],tblProducts[Selling Price (excl. VAT)],0)</f>
        <v>350000</v>
      </c>
      <c r="K4394" s="5">
        <f>tblSales[[#This Row],[Qty]]*tblSales[[#This Row],[Unit Price]]</f>
        <v>2100000</v>
      </c>
      <c r="L4394" s="5">
        <f>ROUND(tblSales[[#This Row],[DPP (excl. VAT)]]*VATEff,0)</f>
        <v>231000</v>
      </c>
      <c r="M4394" s="5">
        <f>tblSales[[#This Row],[DPP (excl. VAT)]]+tblSales[[#This Row],[Output VAT]]</f>
        <v>2331000</v>
      </c>
      <c r="N4394" s="5">
        <f>tblSales[[#This Row],[Qty]]*_xlfn.XLOOKUP(tblSales[[#This Row],[Product Code]],tblProducts[Code],tblProducts[Unit Cost],0)</f>
        <v>1260000</v>
      </c>
      <c r="O4394" s="4" t="s">
        <v>4866</v>
      </c>
      <c r="P4394" s="4" t="s">
        <v>4862</v>
      </c>
      <c r="Q4394" s="1" t="str">
        <f>_xlfn.XLOOKUP(tblSales[[#This Row],[Channel Code]],tblChannels[Channel Code],tblChannels[Channel Name],"")</f>
        <v>Website &amp; Social Media</v>
      </c>
      <c r="R4394" s="1">
        <f>MONTH(tblSales[[#This Row],[Date]])</f>
        <v>9</v>
      </c>
    </row>
    <row r="4395" spans="2:18" x14ac:dyDescent="0.35">
      <c r="B4395" s="113">
        <v>46287</v>
      </c>
      <c r="C4395" s="4" t="s">
        <v>2975</v>
      </c>
      <c r="D4395" s="4" t="s">
        <v>4634</v>
      </c>
      <c r="E4395" s="1" t="str">
        <f>_xlfn.XLOOKUP(tblSales[[#This Row],[Customer ID]],tblCustomers[Customer ID],tblCustomers[Customer Name],"⚠ Unknown")</f>
        <v>PT Delta Inti Selaras</v>
      </c>
      <c r="F4395" s="4" t="s">
        <v>11</v>
      </c>
      <c r="G4395" s="1" t="str">
        <f>_xlfn.XLOOKUP(tblSales[[#This Row],[Product Code]],tblProducts[Code],tblProducts[Product / Service Name],"⚠ Unknown")</f>
        <v>Sneakers</v>
      </c>
      <c r="H4395" s="1" t="str">
        <f>_xlfn.XLOOKUP(tblSales[[#This Row],[Product Code]],tblProducts[Code],tblProducts[Category],"")</f>
        <v>Apparel &amp; Footwear</v>
      </c>
      <c r="I4395" s="4">
        <v>32</v>
      </c>
      <c r="J4395" s="5">
        <f>_xlfn.XLOOKUP(tblSales[[#This Row],[Product Code]],tblProducts[Code],tblProducts[Selling Price (excl. VAT)],0)</f>
        <v>250000</v>
      </c>
      <c r="K4395" s="5">
        <f>tblSales[[#This Row],[Qty]]*tblSales[[#This Row],[Unit Price]]</f>
        <v>8000000</v>
      </c>
      <c r="L4395" s="5">
        <f>ROUND(tblSales[[#This Row],[DPP (excl. VAT)]]*VATEff,0)</f>
        <v>880000</v>
      </c>
      <c r="M4395" s="5">
        <f>tblSales[[#This Row],[DPP (excl. VAT)]]+tblSales[[#This Row],[Output VAT]]</f>
        <v>8880000</v>
      </c>
      <c r="N4395" s="5">
        <f>tblSales[[#This Row],[Qty]]*_xlfn.XLOOKUP(tblSales[[#This Row],[Product Code]],tblProducts[Code],tblProducts[Unit Cost],0)</f>
        <v>4960000</v>
      </c>
      <c r="O4395" s="4" t="s">
        <v>4867</v>
      </c>
      <c r="P4395" s="4" t="s">
        <v>4860</v>
      </c>
      <c r="Q4395" s="1" t="str">
        <f>_xlfn.XLOOKUP(tblSales[[#This Row],[Channel Code]],tblChannels[Channel Code],tblChannels[Channel Name],"")</f>
        <v>In-store</v>
      </c>
      <c r="R4395" s="1">
        <f>MONTH(tblSales[[#This Row],[Date]])</f>
        <v>9</v>
      </c>
    </row>
    <row r="4396" spans="2:18" x14ac:dyDescent="0.35">
      <c r="B4396" s="113">
        <v>46287</v>
      </c>
      <c r="C4396" s="4" t="s">
        <v>2975</v>
      </c>
      <c r="D4396" s="4" t="s">
        <v>4634</v>
      </c>
      <c r="E4396" s="1" t="str">
        <f>_xlfn.XLOOKUP(tblSales[[#This Row],[Customer ID]],tblCustomers[Customer ID],tblCustomers[Customer Name],"⚠ Unknown")</f>
        <v>PT Delta Inti Selaras</v>
      </c>
      <c r="F4396" s="4" t="s">
        <v>6</v>
      </c>
      <c r="G4396" s="1" t="str">
        <f>_xlfn.XLOOKUP(tblSales[[#This Row],[Product Code]],tblProducts[Code],tblProducts[Product / Service Name],"⚠ Unknown")</f>
        <v>Socks &amp; Accessories</v>
      </c>
      <c r="H4396" s="1" t="str">
        <f>_xlfn.XLOOKUP(tblSales[[#This Row],[Product Code]],tblProducts[Code],tblProducts[Category],"")</f>
        <v>Accessories &amp; Basics</v>
      </c>
      <c r="I4396" s="4">
        <v>88</v>
      </c>
      <c r="J4396" s="5">
        <f>_xlfn.XLOOKUP(tblSales[[#This Row],[Product Code]],tblProducts[Code],tblProducts[Selling Price (excl. VAT)],0)</f>
        <v>45000</v>
      </c>
      <c r="K4396" s="5">
        <f>tblSales[[#This Row],[Qty]]*tblSales[[#This Row],[Unit Price]]</f>
        <v>3960000</v>
      </c>
      <c r="L4396" s="5">
        <f>ROUND(tblSales[[#This Row],[DPP (excl. VAT)]]*VATEff,0)</f>
        <v>435600</v>
      </c>
      <c r="M4396" s="5">
        <f>tblSales[[#This Row],[DPP (excl. VAT)]]+tblSales[[#This Row],[Output VAT]]</f>
        <v>4395600</v>
      </c>
      <c r="N4396" s="5">
        <f>tblSales[[#This Row],[Qty]]*_xlfn.XLOOKUP(tblSales[[#This Row],[Product Code]],tblProducts[Code],tblProducts[Unit Cost],0)</f>
        <v>2112000</v>
      </c>
      <c r="O4396" s="4" t="s">
        <v>4867</v>
      </c>
      <c r="P4396" s="4" t="s">
        <v>4860</v>
      </c>
      <c r="Q4396" s="1" t="str">
        <f>_xlfn.XLOOKUP(tblSales[[#This Row],[Channel Code]],tblChannels[Channel Code],tblChannels[Channel Name],"")</f>
        <v>In-store</v>
      </c>
      <c r="R4396" s="1">
        <f>MONTH(tblSales[[#This Row],[Date]])</f>
        <v>9</v>
      </c>
    </row>
    <row r="4397" spans="2:18" x14ac:dyDescent="0.35">
      <c r="B4397" s="113">
        <v>46287</v>
      </c>
      <c r="C4397" s="4" t="s">
        <v>2976</v>
      </c>
      <c r="D4397" s="4" t="s">
        <v>4613</v>
      </c>
      <c r="E4397" s="1" t="str">
        <f>_xlfn.XLOOKUP(tblSales[[#This Row],[Customer ID]],tblCustomers[Customer ID],tblCustomers[Customer Name],"⚠ Unknown")</f>
        <v>PT Mega Prima Distribusi</v>
      </c>
      <c r="F4397" s="4" t="s">
        <v>15</v>
      </c>
      <c r="G4397" s="1" t="str">
        <f>_xlfn.XLOOKUP(tblSales[[#This Row],[Product Code]],tblProducts[Code],tblProducts[Product / Service Name],"⚠ Unknown")</f>
        <v>Wireless Earbuds Pro</v>
      </c>
      <c r="H4397" s="1" t="str">
        <f>_xlfn.XLOOKUP(tblSales[[#This Row],[Product Code]],tblProducts[Code],tblProducts[Category],"")</f>
        <v>Bags &amp; Gadgets</v>
      </c>
      <c r="I4397" s="4">
        <v>16</v>
      </c>
      <c r="J4397" s="5">
        <f>_xlfn.XLOOKUP(tblSales[[#This Row],[Product Code]],tblProducts[Code],tblProducts[Selling Price (excl. VAT)],0)</f>
        <v>1250000</v>
      </c>
      <c r="K4397" s="5">
        <f>tblSales[[#This Row],[Qty]]*tblSales[[#This Row],[Unit Price]]</f>
        <v>20000000</v>
      </c>
      <c r="L4397" s="5">
        <f>ROUND(tblSales[[#This Row],[DPP (excl. VAT)]]*VATEff,0)</f>
        <v>2200000</v>
      </c>
      <c r="M4397" s="5">
        <f>tblSales[[#This Row],[DPP (excl. VAT)]]+tblSales[[#This Row],[Output VAT]]</f>
        <v>22200000</v>
      </c>
      <c r="N4397" s="5">
        <f>tblSales[[#This Row],[Qty]]*_xlfn.XLOOKUP(tblSales[[#This Row],[Product Code]],tblProducts[Code],tblProducts[Unit Cost],0)</f>
        <v>13120000</v>
      </c>
      <c r="O4397" s="4" t="s">
        <v>4867</v>
      </c>
      <c r="P4397" s="4" t="s">
        <v>4860</v>
      </c>
      <c r="Q4397" s="1" t="str">
        <f>_xlfn.XLOOKUP(tblSales[[#This Row],[Channel Code]],tblChannels[Channel Code],tblChannels[Channel Name],"")</f>
        <v>In-store</v>
      </c>
      <c r="R4397" s="1">
        <f>MONTH(tblSales[[#This Row],[Date]])</f>
        <v>9</v>
      </c>
    </row>
    <row r="4398" spans="2:18" x14ac:dyDescent="0.35">
      <c r="B4398" s="113">
        <v>46287</v>
      </c>
      <c r="C4398" s="4" t="s">
        <v>2976</v>
      </c>
      <c r="D4398" s="4" t="s">
        <v>4613</v>
      </c>
      <c r="E4398" s="1" t="str">
        <f>_xlfn.XLOOKUP(tblSales[[#This Row],[Customer ID]],tblCustomers[Customer ID],tblCustomers[Customer Name],"⚠ Unknown")</f>
        <v>PT Mega Prima Distribusi</v>
      </c>
      <c r="F4398" s="4" t="s">
        <v>9</v>
      </c>
      <c r="G4398" s="1" t="str">
        <f>_xlfn.XLOOKUP(tblSales[[#This Row],[Product Code]],tblProducts[Code],tblProducts[Product / Service Name],"⚠ Unknown")</f>
        <v>Casual Shirt</v>
      </c>
      <c r="H4398" s="1" t="str">
        <f>_xlfn.XLOOKUP(tblSales[[#This Row],[Product Code]],tblProducts[Code],tblProducts[Category],"")</f>
        <v>Apparel &amp; Footwear</v>
      </c>
      <c r="I4398" s="4">
        <v>96</v>
      </c>
      <c r="J4398" s="5">
        <f>_xlfn.XLOOKUP(tblSales[[#This Row],[Product Code]],tblProducts[Code],tblProducts[Selling Price (excl. VAT)],0)</f>
        <v>120000</v>
      </c>
      <c r="K4398" s="5">
        <f>tblSales[[#This Row],[Qty]]*tblSales[[#This Row],[Unit Price]]</f>
        <v>11520000</v>
      </c>
      <c r="L4398" s="5">
        <f>ROUND(tblSales[[#This Row],[DPP (excl. VAT)]]*VATEff,0)</f>
        <v>1267200</v>
      </c>
      <c r="M4398" s="5">
        <f>tblSales[[#This Row],[DPP (excl. VAT)]]+tblSales[[#This Row],[Output VAT]]</f>
        <v>12787200</v>
      </c>
      <c r="N4398" s="5">
        <f>tblSales[[#This Row],[Qty]]*_xlfn.XLOOKUP(tblSales[[#This Row],[Product Code]],tblProducts[Code],tblProducts[Unit Cost],0)</f>
        <v>6912000</v>
      </c>
      <c r="O4398" s="4" t="s">
        <v>4867</v>
      </c>
      <c r="P4398" s="4" t="s">
        <v>4860</v>
      </c>
      <c r="Q4398" s="1" t="str">
        <f>_xlfn.XLOOKUP(tblSales[[#This Row],[Channel Code]],tblChannels[Channel Code],tblChannels[Channel Name],"")</f>
        <v>In-store</v>
      </c>
      <c r="R4398" s="1">
        <f>MONTH(tblSales[[#This Row],[Date]])</f>
        <v>9</v>
      </c>
    </row>
    <row r="4399" spans="2:18" x14ac:dyDescent="0.35">
      <c r="B4399" s="113">
        <v>46287</v>
      </c>
      <c r="C4399" s="4" t="s">
        <v>2976</v>
      </c>
      <c r="D4399" s="4" t="s">
        <v>4613</v>
      </c>
      <c r="E4399" s="1" t="str">
        <f>_xlfn.XLOOKUP(tblSales[[#This Row],[Customer ID]],tblCustomers[Customer ID],tblCustomers[Customer Name],"⚠ Unknown")</f>
        <v>PT Mega Prima Distribusi</v>
      </c>
      <c r="F4399" s="4" t="s">
        <v>11</v>
      </c>
      <c r="G4399" s="1" t="str">
        <f>_xlfn.XLOOKUP(tblSales[[#This Row],[Product Code]],tblProducts[Code],tblProducts[Product / Service Name],"⚠ Unknown")</f>
        <v>Sneakers</v>
      </c>
      <c r="H4399" s="1" t="str">
        <f>_xlfn.XLOOKUP(tblSales[[#This Row],[Product Code]],tblProducts[Code],tblProducts[Category],"")</f>
        <v>Apparel &amp; Footwear</v>
      </c>
      <c r="I4399" s="4">
        <v>16</v>
      </c>
      <c r="J4399" s="5">
        <f>_xlfn.XLOOKUP(tblSales[[#This Row],[Product Code]],tblProducts[Code],tblProducts[Selling Price (excl. VAT)],0)</f>
        <v>250000</v>
      </c>
      <c r="K4399" s="5">
        <f>tblSales[[#This Row],[Qty]]*tblSales[[#This Row],[Unit Price]]</f>
        <v>4000000</v>
      </c>
      <c r="L4399" s="5">
        <f>ROUND(tblSales[[#This Row],[DPP (excl. VAT)]]*VATEff,0)</f>
        <v>440000</v>
      </c>
      <c r="M4399" s="5">
        <f>tblSales[[#This Row],[DPP (excl. VAT)]]+tblSales[[#This Row],[Output VAT]]</f>
        <v>4440000</v>
      </c>
      <c r="N4399" s="5">
        <f>tblSales[[#This Row],[Qty]]*_xlfn.XLOOKUP(tblSales[[#This Row],[Product Code]],tblProducts[Code],tblProducts[Unit Cost],0)</f>
        <v>2480000</v>
      </c>
      <c r="O4399" s="4" t="s">
        <v>4867</v>
      </c>
      <c r="P4399" s="4" t="s">
        <v>4860</v>
      </c>
      <c r="Q4399" s="1" t="str">
        <f>_xlfn.XLOOKUP(tblSales[[#This Row],[Channel Code]],tblChannels[Channel Code],tblChannels[Channel Name],"")</f>
        <v>In-store</v>
      </c>
      <c r="R4399" s="1">
        <f>MONTH(tblSales[[#This Row],[Date]])</f>
        <v>9</v>
      </c>
    </row>
    <row r="4400" spans="2:18" x14ac:dyDescent="0.35">
      <c r="B4400" s="113">
        <v>46287</v>
      </c>
      <c r="C4400" s="4" t="s">
        <v>2977</v>
      </c>
      <c r="D4400" s="4" t="s">
        <v>4568</v>
      </c>
      <c r="E4400" s="1" t="str">
        <f>_xlfn.XLOOKUP(tblSales[[#This Row],[Customer ID]],tblCustomers[Customer ID],tblCustomers[Customer Name],"⚠ Unknown")</f>
        <v>Walk-in Customer</v>
      </c>
      <c r="F4400" s="4" t="s">
        <v>8</v>
      </c>
      <c r="G4400" s="1" t="str">
        <f>_xlfn.XLOOKUP(tblSales[[#This Row],[Product Code]],tblProducts[Code],tblProducts[Product / Service Name],"⚠ Unknown")</f>
        <v>Casual Shorts</v>
      </c>
      <c r="H4400" s="1" t="str">
        <f>_xlfn.XLOOKUP(tblSales[[#This Row],[Product Code]],tblProducts[Code],tblProducts[Category],"")</f>
        <v>Accessories &amp; Basics</v>
      </c>
      <c r="I4400" s="4">
        <v>9</v>
      </c>
      <c r="J4400" s="5">
        <f>_xlfn.XLOOKUP(tblSales[[#This Row],[Product Code]],tblProducts[Code],tblProducts[Selling Price (excl. VAT)],0)</f>
        <v>85000</v>
      </c>
      <c r="K4400" s="5">
        <f>tblSales[[#This Row],[Qty]]*tblSales[[#This Row],[Unit Price]]</f>
        <v>765000</v>
      </c>
      <c r="L4400" s="5">
        <f>ROUND(tblSales[[#This Row],[DPP (excl. VAT)]]*VATEff,0)</f>
        <v>84150</v>
      </c>
      <c r="M4400" s="5">
        <f>tblSales[[#This Row],[DPP (excl. VAT)]]+tblSales[[#This Row],[Output VAT]]</f>
        <v>849150</v>
      </c>
      <c r="N4400" s="5">
        <f>tblSales[[#This Row],[Qty]]*_xlfn.XLOOKUP(tblSales[[#This Row],[Product Code]],tblProducts[Code],tblProducts[Unit Cost],0)</f>
        <v>450000</v>
      </c>
      <c r="O4400" s="4" t="s">
        <v>4865</v>
      </c>
      <c r="P4400" s="4" t="s">
        <v>4860</v>
      </c>
      <c r="Q4400" s="1" t="str">
        <f>_xlfn.XLOOKUP(tblSales[[#This Row],[Channel Code]],tblChannels[Channel Code],tblChannels[Channel Name],"")</f>
        <v>In-store</v>
      </c>
      <c r="R4400" s="1">
        <f>MONTH(tblSales[[#This Row],[Date]])</f>
        <v>9</v>
      </c>
    </row>
    <row r="4401" spans="2:18" x14ac:dyDescent="0.35">
      <c r="B4401" s="113">
        <v>46287</v>
      </c>
      <c r="C4401" s="4" t="s">
        <v>2977</v>
      </c>
      <c r="D4401" s="4" t="s">
        <v>4568</v>
      </c>
      <c r="E4401" s="1" t="str">
        <f>_xlfn.XLOOKUP(tblSales[[#This Row],[Customer ID]],tblCustomers[Customer ID],tblCustomers[Customer Name],"⚠ Unknown")</f>
        <v>Walk-in Customer</v>
      </c>
      <c r="F4401" s="4" t="s">
        <v>12</v>
      </c>
      <c r="G4401" s="1" t="str">
        <f>_xlfn.XLOOKUP(tblSales[[#This Row],[Product Code]],tblProducts[Code],tblProducts[Product / Service Name],"⚠ Unknown")</f>
        <v>Bomber Jacket</v>
      </c>
      <c r="H4401" s="1" t="str">
        <f>_xlfn.XLOOKUP(tblSales[[#This Row],[Product Code]],tblProducts[Code],tblProducts[Category],"")</f>
        <v>Apparel &amp; Footwear</v>
      </c>
      <c r="I4401" s="4">
        <v>4</v>
      </c>
      <c r="J4401" s="5">
        <f>_xlfn.XLOOKUP(tblSales[[#This Row],[Product Code]],tblProducts[Code],tblProducts[Selling Price (excl. VAT)],0)</f>
        <v>350000</v>
      </c>
      <c r="K4401" s="5">
        <f>tblSales[[#This Row],[Qty]]*tblSales[[#This Row],[Unit Price]]</f>
        <v>1400000</v>
      </c>
      <c r="L4401" s="5">
        <f>ROUND(tblSales[[#This Row],[DPP (excl. VAT)]]*VATEff,0)</f>
        <v>154000</v>
      </c>
      <c r="M4401" s="5">
        <f>tblSales[[#This Row],[DPP (excl. VAT)]]+tblSales[[#This Row],[Output VAT]]</f>
        <v>1554000</v>
      </c>
      <c r="N4401" s="5">
        <f>tblSales[[#This Row],[Qty]]*_xlfn.XLOOKUP(tblSales[[#This Row],[Product Code]],tblProducts[Code],tblProducts[Unit Cost],0)</f>
        <v>840000</v>
      </c>
      <c r="O4401" s="4" t="s">
        <v>4865</v>
      </c>
      <c r="P4401" s="4" t="s">
        <v>4860</v>
      </c>
      <c r="Q4401" s="1" t="str">
        <f>_xlfn.XLOOKUP(tblSales[[#This Row],[Channel Code]],tblChannels[Channel Code],tblChannels[Channel Name],"")</f>
        <v>In-store</v>
      </c>
      <c r="R4401" s="1">
        <f>MONTH(tblSales[[#This Row],[Date]])</f>
        <v>9</v>
      </c>
    </row>
    <row r="4402" spans="2:18" x14ac:dyDescent="0.35">
      <c r="B4402" s="113">
        <v>46287</v>
      </c>
      <c r="C4402" s="4" t="s">
        <v>2978</v>
      </c>
      <c r="D4402" s="4" t="s">
        <v>4634</v>
      </c>
      <c r="E4402" s="1" t="str">
        <f>_xlfn.XLOOKUP(tblSales[[#This Row],[Customer ID]],tblCustomers[Customer ID],tblCustomers[Customer Name],"⚠ Unknown")</f>
        <v>PT Delta Inti Selaras</v>
      </c>
      <c r="F4402" s="4" t="s">
        <v>6</v>
      </c>
      <c r="G4402" s="1" t="str">
        <f>_xlfn.XLOOKUP(tblSales[[#This Row],[Product Code]],tblProducts[Code],tblProducts[Product / Service Name],"⚠ Unknown")</f>
        <v>Socks &amp; Accessories</v>
      </c>
      <c r="H4402" s="1" t="str">
        <f>_xlfn.XLOOKUP(tblSales[[#This Row],[Product Code]],tblProducts[Code],tblProducts[Category],"")</f>
        <v>Accessories &amp; Basics</v>
      </c>
      <c r="I4402" s="4">
        <v>72</v>
      </c>
      <c r="J4402" s="5">
        <f>_xlfn.XLOOKUP(tblSales[[#This Row],[Product Code]],tblProducts[Code],tblProducts[Selling Price (excl. VAT)],0)</f>
        <v>45000</v>
      </c>
      <c r="K4402" s="5">
        <f>tblSales[[#This Row],[Qty]]*tblSales[[#This Row],[Unit Price]]</f>
        <v>3240000</v>
      </c>
      <c r="L4402" s="5">
        <f>ROUND(tblSales[[#This Row],[DPP (excl. VAT)]]*VATEff,0)</f>
        <v>356400</v>
      </c>
      <c r="M4402" s="5">
        <f>tblSales[[#This Row],[DPP (excl. VAT)]]+tblSales[[#This Row],[Output VAT]]</f>
        <v>3596400</v>
      </c>
      <c r="N4402" s="5">
        <f>tblSales[[#This Row],[Qty]]*_xlfn.XLOOKUP(tblSales[[#This Row],[Product Code]],tblProducts[Code],tblProducts[Unit Cost],0)</f>
        <v>1728000</v>
      </c>
      <c r="O4402" s="4" t="s">
        <v>4867</v>
      </c>
      <c r="P4402" s="4" t="s">
        <v>4860</v>
      </c>
      <c r="Q4402" s="1" t="str">
        <f>_xlfn.XLOOKUP(tblSales[[#This Row],[Channel Code]],tblChannels[Channel Code],tblChannels[Channel Name],"")</f>
        <v>In-store</v>
      </c>
      <c r="R4402" s="1">
        <f>MONTH(tblSales[[#This Row],[Date]])</f>
        <v>9</v>
      </c>
    </row>
    <row r="4403" spans="2:18" x14ac:dyDescent="0.35">
      <c r="B4403" s="113">
        <v>46287</v>
      </c>
      <c r="C4403" s="4" t="s">
        <v>2978</v>
      </c>
      <c r="D4403" s="4" t="s">
        <v>4634</v>
      </c>
      <c r="E4403" s="1" t="str">
        <f>_xlfn.XLOOKUP(tblSales[[#This Row],[Customer ID]],tblCustomers[Customer ID],tblCustomers[Customer Name],"⚠ Unknown")</f>
        <v>PT Delta Inti Selaras</v>
      </c>
      <c r="F4403" s="4" t="s">
        <v>11</v>
      </c>
      <c r="G4403" s="1" t="str">
        <f>_xlfn.XLOOKUP(tblSales[[#This Row],[Product Code]],tblProducts[Code],tblProducts[Product / Service Name],"⚠ Unknown")</f>
        <v>Sneakers</v>
      </c>
      <c r="H4403" s="1" t="str">
        <f>_xlfn.XLOOKUP(tblSales[[#This Row],[Product Code]],tblProducts[Code],tblProducts[Category],"")</f>
        <v>Apparel &amp; Footwear</v>
      </c>
      <c r="I4403" s="4">
        <v>48</v>
      </c>
      <c r="J4403" s="5">
        <f>_xlfn.XLOOKUP(tblSales[[#This Row],[Product Code]],tblProducts[Code],tblProducts[Selling Price (excl. VAT)],0)</f>
        <v>250000</v>
      </c>
      <c r="K4403" s="5">
        <f>tblSales[[#This Row],[Qty]]*tblSales[[#This Row],[Unit Price]]</f>
        <v>12000000</v>
      </c>
      <c r="L4403" s="5">
        <f>ROUND(tblSales[[#This Row],[DPP (excl. VAT)]]*VATEff,0)</f>
        <v>1320000</v>
      </c>
      <c r="M4403" s="5">
        <f>tblSales[[#This Row],[DPP (excl. VAT)]]+tblSales[[#This Row],[Output VAT]]</f>
        <v>13320000</v>
      </c>
      <c r="N4403" s="5">
        <f>tblSales[[#This Row],[Qty]]*_xlfn.XLOOKUP(tblSales[[#This Row],[Product Code]],tblProducts[Code],tblProducts[Unit Cost],0)</f>
        <v>7440000</v>
      </c>
      <c r="O4403" s="4" t="s">
        <v>4867</v>
      </c>
      <c r="P4403" s="4" t="s">
        <v>4860</v>
      </c>
      <c r="Q4403" s="1" t="str">
        <f>_xlfn.XLOOKUP(tblSales[[#This Row],[Channel Code]],tblChannels[Channel Code],tblChannels[Channel Name],"")</f>
        <v>In-store</v>
      </c>
      <c r="R4403" s="1">
        <f>MONTH(tblSales[[#This Row],[Date]])</f>
        <v>9</v>
      </c>
    </row>
    <row r="4404" spans="2:18" x14ac:dyDescent="0.35">
      <c r="B4404" s="113">
        <v>46287</v>
      </c>
      <c r="C4404" s="4" t="s">
        <v>2978</v>
      </c>
      <c r="D4404" s="4" t="s">
        <v>4634</v>
      </c>
      <c r="E4404" s="1" t="str">
        <f>_xlfn.XLOOKUP(tblSales[[#This Row],[Customer ID]],tblCustomers[Customer ID],tblCustomers[Customer Name],"⚠ Unknown")</f>
        <v>PT Delta Inti Selaras</v>
      </c>
      <c r="F4404" s="4" t="s">
        <v>9</v>
      </c>
      <c r="G4404" s="1" t="str">
        <f>_xlfn.XLOOKUP(tblSales[[#This Row],[Product Code]],tblProducts[Code],tblProducts[Product / Service Name],"⚠ Unknown")</f>
        <v>Casual Shirt</v>
      </c>
      <c r="H4404" s="1" t="str">
        <f>_xlfn.XLOOKUP(tblSales[[#This Row],[Product Code]],tblProducts[Code],tblProducts[Category],"")</f>
        <v>Apparel &amp; Footwear</v>
      </c>
      <c r="I4404" s="4">
        <v>96</v>
      </c>
      <c r="J4404" s="5">
        <f>_xlfn.XLOOKUP(tblSales[[#This Row],[Product Code]],tblProducts[Code],tblProducts[Selling Price (excl. VAT)],0)</f>
        <v>120000</v>
      </c>
      <c r="K4404" s="5">
        <f>tblSales[[#This Row],[Qty]]*tblSales[[#This Row],[Unit Price]]</f>
        <v>11520000</v>
      </c>
      <c r="L4404" s="5">
        <f>ROUND(tblSales[[#This Row],[DPP (excl. VAT)]]*VATEff,0)</f>
        <v>1267200</v>
      </c>
      <c r="M4404" s="5">
        <f>tblSales[[#This Row],[DPP (excl. VAT)]]+tblSales[[#This Row],[Output VAT]]</f>
        <v>12787200</v>
      </c>
      <c r="N4404" s="5">
        <f>tblSales[[#This Row],[Qty]]*_xlfn.XLOOKUP(tblSales[[#This Row],[Product Code]],tblProducts[Code],tblProducts[Unit Cost],0)</f>
        <v>6912000</v>
      </c>
      <c r="O4404" s="4" t="s">
        <v>4867</v>
      </c>
      <c r="P4404" s="4" t="s">
        <v>4860</v>
      </c>
      <c r="Q4404" s="1" t="str">
        <f>_xlfn.XLOOKUP(tblSales[[#This Row],[Channel Code]],tblChannels[Channel Code],tblChannels[Channel Name],"")</f>
        <v>In-store</v>
      </c>
      <c r="R4404" s="1">
        <f>MONTH(tblSales[[#This Row],[Date]])</f>
        <v>9</v>
      </c>
    </row>
    <row r="4405" spans="2:18" x14ac:dyDescent="0.35">
      <c r="B4405" s="113">
        <v>46287</v>
      </c>
      <c r="C4405" s="4" t="s">
        <v>2979</v>
      </c>
      <c r="D4405" s="4" t="s">
        <v>4568</v>
      </c>
      <c r="E4405" s="1" t="str">
        <f>_xlfn.XLOOKUP(tblSales[[#This Row],[Customer ID]],tblCustomers[Customer ID],tblCustomers[Customer Name],"⚠ Unknown")</f>
        <v>Walk-in Customer</v>
      </c>
      <c r="F4405" s="4" t="s">
        <v>9</v>
      </c>
      <c r="G4405" s="1" t="str">
        <f>_xlfn.XLOOKUP(tblSales[[#This Row],[Product Code]],tblProducts[Code],tblProducts[Product / Service Name],"⚠ Unknown")</f>
        <v>Casual Shirt</v>
      </c>
      <c r="H4405" s="1" t="str">
        <f>_xlfn.XLOOKUP(tblSales[[#This Row],[Product Code]],tblProducts[Code],tblProducts[Category],"")</f>
        <v>Apparel &amp; Footwear</v>
      </c>
      <c r="I4405" s="4">
        <v>7</v>
      </c>
      <c r="J4405" s="5">
        <f>_xlfn.XLOOKUP(tblSales[[#This Row],[Product Code]],tblProducts[Code],tblProducts[Selling Price (excl. VAT)],0)</f>
        <v>120000</v>
      </c>
      <c r="K4405" s="5">
        <f>tblSales[[#This Row],[Qty]]*tblSales[[#This Row],[Unit Price]]</f>
        <v>840000</v>
      </c>
      <c r="L4405" s="5">
        <f>ROUND(tblSales[[#This Row],[DPP (excl. VAT)]]*VATEff,0)</f>
        <v>92400</v>
      </c>
      <c r="M4405" s="5">
        <f>tblSales[[#This Row],[DPP (excl. VAT)]]+tblSales[[#This Row],[Output VAT]]</f>
        <v>932400</v>
      </c>
      <c r="N4405" s="5">
        <f>tblSales[[#This Row],[Qty]]*_xlfn.XLOOKUP(tblSales[[#This Row],[Product Code]],tblProducts[Code],tblProducts[Unit Cost],0)</f>
        <v>504000</v>
      </c>
      <c r="O4405" s="4" t="s">
        <v>4866</v>
      </c>
      <c r="P4405" s="4" t="s">
        <v>4862</v>
      </c>
      <c r="Q4405" s="1" t="str">
        <f>_xlfn.XLOOKUP(tblSales[[#This Row],[Channel Code]],tblChannels[Channel Code],tblChannels[Channel Name],"")</f>
        <v>Website &amp; Social Media</v>
      </c>
      <c r="R4405" s="1">
        <f>MONTH(tblSales[[#This Row],[Date]])</f>
        <v>9</v>
      </c>
    </row>
    <row r="4406" spans="2:18" x14ac:dyDescent="0.35">
      <c r="B4406" s="113">
        <v>46288</v>
      </c>
      <c r="C4406" s="4" t="s">
        <v>2980</v>
      </c>
      <c r="D4406" s="4" t="s">
        <v>4568</v>
      </c>
      <c r="E4406" s="1" t="str">
        <f>_xlfn.XLOOKUP(tblSales[[#This Row],[Customer ID]],tblCustomers[Customer ID],tblCustomers[Customer Name],"⚠ Unknown")</f>
        <v>Walk-in Customer</v>
      </c>
      <c r="F4406" s="4" t="s">
        <v>7</v>
      </c>
      <c r="G4406" s="1" t="str">
        <f>_xlfn.XLOOKUP(tblSales[[#This Row],[Product Code]],tblProducts[Code],tblProducts[Product / Service Name],"⚠ Unknown")</f>
        <v>Premium Basic T-shirt</v>
      </c>
      <c r="H4406" s="1" t="str">
        <f>_xlfn.XLOOKUP(tblSales[[#This Row],[Product Code]],tblProducts[Code],tblProducts[Category],"")</f>
        <v>Accessories &amp; Basics</v>
      </c>
      <c r="I4406" s="4">
        <v>7</v>
      </c>
      <c r="J4406" s="5">
        <f>_xlfn.XLOOKUP(tblSales[[#This Row],[Product Code]],tblProducts[Code],tblProducts[Selling Price (excl. VAT)],0)</f>
        <v>65000</v>
      </c>
      <c r="K4406" s="5">
        <f>tblSales[[#This Row],[Qty]]*tblSales[[#This Row],[Unit Price]]</f>
        <v>455000</v>
      </c>
      <c r="L4406" s="5">
        <f>ROUND(tblSales[[#This Row],[DPP (excl. VAT)]]*VATEff,0)</f>
        <v>50050</v>
      </c>
      <c r="M4406" s="5">
        <f>tblSales[[#This Row],[DPP (excl. VAT)]]+tblSales[[#This Row],[Output VAT]]</f>
        <v>505050</v>
      </c>
      <c r="N4406" s="5">
        <f>tblSales[[#This Row],[Qty]]*_xlfn.XLOOKUP(tblSales[[#This Row],[Product Code]],tblProducts[Code],tblProducts[Unit Cost],0)</f>
        <v>259000</v>
      </c>
      <c r="O4406" s="4" t="s">
        <v>4866</v>
      </c>
      <c r="P4406" s="4" t="s">
        <v>4862</v>
      </c>
      <c r="Q4406" s="1" t="str">
        <f>_xlfn.XLOOKUP(tblSales[[#This Row],[Channel Code]],tblChannels[Channel Code],tblChannels[Channel Name],"")</f>
        <v>Website &amp; Social Media</v>
      </c>
      <c r="R4406" s="1">
        <f>MONTH(tblSales[[#This Row],[Date]])</f>
        <v>9</v>
      </c>
    </row>
    <row r="4407" spans="2:18" x14ac:dyDescent="0.35">
      <c r="B4407" s="113">
        <v>46288</v>
      </c>
      <c r="C4407" s="4" t="s">
        <v>2981</v>
      </c>
      <c r="D4407" s="4" t="s">
        <v>4568</v>
      </c>
      <c r="E4407" s="1" t="str">
        <f>_xlfn.XLOOKUP(tblSales[[#This Row],[Customer ID]],tblCustomers[Customer ID],tblCustomers[Customer Name],"⚠ Unknown")</f>
        <v>Walk-in Customer</v>
      </c>
      <c r="F4407" s="4" t="s">
        <v>9</v>
      </c>
      <c r="G4407" s="1" t="str">
        <f>_xlfn.XLOOKUP(tblSales[[#This Row],[Product Code]],tblProducts[Code],tblProducts[Product / Service Name],"⚠ Unknown")</f>
        <v>Casual Shirt</v>
      </c>
      <c r="H4407" s="1" t="str">
        <f>_xlfn.XLOOKUP(tblSales[[#This Row],[Product Code]],tblProducts[Code],tblProducts[Category],"")</f>
        <v>Apparel &amp; Footwear</v>
      </c>
      <c r="I4407" s="4">
        <v>3</v>
      </c>
      <c r="J4407" s="5">
        <f>_xlfn.XLOOKUP(tblSales[[#This Row],[Product Code]],tblProducts[Code],tblProducts[Selling Price (excl. VAT)],0)</f>
        <v>120000</v>
      </c>
      <c r="K4407" s="5">
        <f>tblSales[[#This Row],[Qty]]*tblSales[[#This Row],[Unit Price]]</f>
        <v>360000</v>
      </c>
      <c r="L4407" s="5">
        <f>ROUND(tblSales[[#This Row],[DPP (excl. VAT)]]*VATEff,0)</f>
        <v>39600</v>
      </c>
      <c r="M4407" s="5">
        <f>tblSales[[#This Row],[DPP (excl. VAT)]]+tblSales[[#This Row],[Output VAT]]</f>
        <v>399600</v>
      </c>
      <c r="N4407" s="5">
        <f>tblSales[[#This Row],[Qty]]*_xlfn.XLOOKUP(tblSales[[#This Row],[Product Code]],tblProducts[Code],tblProducts[Unit Cost],0)</f>
        <v>216000</v>
      </c>
      <c r="O4407" s="4" t="s">
        <v>4865</v>
      </c>
      <c r="P4407" s="4" t="s">
        <v>4860</v>
      </c>
      <c r="Q4407" s="1" t="str">
        <f>_xlfn.XLOOKUP(tblSales[[#This Row],[Channel Code]],tblChannels[Channel Code],tblChannels[Channel Name],"")</f>
        <v>In-store</v>
      </c>
      <c r="R4407" s="1">
        <f>MONTH(tblSales[[#This Row],[Date]])</f>
        <v>9</v>
      </c>
    </row>
    <row r="4408" spans="2:18" x14ac:dyDescent="0.35">
      <c r="B4408" s="113">
        <v>46288</v>
      </c>
      <c r="C4408" s="4" t="s">
        <v>2981</v>
      </c>
      <c r="D4408" s="4" t="s">
        <v>4568</v>
      </c>
      <c r="E4408" s="1" t="str">
        <f>_xlfn.XLOOKUP(tblSales[[#This Row],[Customer ID]],tblCustomers[Customer ID],tblCustomers[Customer Name],"⚠ Unknown")</f>
        <v>Walk-in Customer</v>
      </c>
      <c r="F4408" s="4" t="s">
        <v>14</v>
      </c>
      <c r="G4408" s="1" t="str">
        <f>_xlfn.XLOOKUP(tblSales[[#This Row],[Product Code]],tblProducts[Code],tblProducts[Product / Service Name],"⚠ Unknown")</f>
        <v>Smartwatch</v>
      </c>
      <c r="H4408" s="1" t="str">
        <f>_xlfn.XLOOKUP(tblSales[[#This Row],[Product Code]],tblProducts[Code],tblProducts[Category],"")</f>
        <v>Bags &amp; Gadgets</v>
      </c>
      <c r="I4408" s="4">
        <v>3</v>
      </c>
      <c r="J4408" s="5">
        <f>_xlfn.XLOOKUP(tblSales[[#This Row],[Product Code]],tblProducts[Code],tblProducts[Selling Price (excl. VAT)],0)</f>
        <v>850000</v>
      </c>
      <c r="K4408" s="5">
        <f>tblSales[[#This Row],[Qty]]*tblSales[[#This Row],[Unit Price]]</f>
        <v>2550000</v>
      </c>
      <c r="L4408" s="5">
        <f>ROUND(tblSales[[#This Row],[DPP (excl. VAT)]]*VATEff,0)</f>
        <v>280500</v>
      </c>
      <c r="M4408" s="5">
        <f>tblSales[[#This Row],[DPP (excl. VAT)]]+tblSales[[#This Row],[Output VAT]]</f>
        <v>2830500</v>
      </c>
      <c r="N4408" s="5">
        <f>tblSales[[#This Row],[Qty]]*_xlfn.XLOOKUP(tblSales[[#This Row],[Product Code]],tblProducts[Code],tblProducts[Unit Cost],0)</f>
        <v>1680000</v>
      </c>
      <c r="O4408" s="4" t="s">
        <v>4865</v>
      </c>
      <c r="P4408" s="4" t="s">
        <v>4860</v>
      </c>
      <c r="Q4408" s="1" t="str">
        <f>_xlfn.XLOOKUP(tblSales[[#This Row],[Channel Code]],tblChannels[Channel Code],tblChannels[Channel Name],"")</f>
        <v>In-store</v>
      </c>
      <c r="R4408" s="1">
        <f>MONTH(tblSales[[#This Row],[Date]])</f>
        <v>9</v>
      </c>
    </row>
    <row r="4409" spans="2:18" x14ac:dyDescent="0.35">
      <c r="B4409" s="113">
        <v>46288</v>
      </c>
      <c r="C4409" s="4" t="s">
        <v>2981</v>
      </c>
      <c r="D4409" s="4" t="s">
        <v>4568</v>
      </c>
      <c r="E4409" s="1" t="str">
        <f>_xlfn.XLOOKUP(tblSales[[#This Row],[Customer ID]],tblCustomers[Customer ID],tblCustomers[Customer Name],"⚠ Unknown")</f>
        <v>Walk-in Customer</v>
      </c>
      <c r="F4409" s="4" t="s">
        <v>13</v>
      </c>
      <c r="G4409" s="1" t="str">
        <f>_xlfn.XLOOKUP(tblSales[[#This Row],[Product Code]],tblProducts[Code],tblProducts[Product / Service Name],"⚠ Unknown")</f>
        <v>Backpack</v>
      </c>
      <c r="H4409" s="1" t="str">
        <f>_xlfn.XLOOKUP(tblSales[[#This Row],[Product Code]],tblProducts[Code],tblProducts[Category],"")</f>
        <v>Bags &amp; Gadgets</v>
      </c>
      <c r="I4409" s="4">
        <v>1</v>
      </c>
      <c r="J4409" s="5">
        <f>_xlfn.XLOOKUP(tblSales[[#This Row],[Product Code]],tblProducts[Code],tblProducts[Selling Price (excl. VAT)],0)</f>
        <v>500000</v>
      </c>
      <c r="K4409" s="5">
        <f>tblSales[[#This Row],[Qty]]*tblSales[[#This Row],[Unit Price]]</f>
        <v>500000</v>
      </c>
      <c r="L4409" s="5">
        <f>ROUND(tblSales[[#This Row],[DPP (excl. VAT)]]*VATEff,0)</f>
        <v>55000</v>
      </c>
      <c r="M4409" s="5">
        <f>tblSales[[#This Row],[DPP (excl. VAT)]]+tblSales[[#This Row],[Output VAT]]</f>
        <v>555000</v>
      </c>
      <c r="N4409" s="5">
        <f>tblSales[[#This Row],[Qty]]*_xlfn.XLOOKUP(tblSales[[#This Row],[Product Code]],tblProducts[Code],tblProducts[Unit Cost],0)</f>
        <v>290000</v>
      </c>
      <c r="O4409" s="4" t="s">
        <v>4865</v>
      </c>
      <c r="P4409" s="4" t="s">
        <v>4860</v>
      </c>
      <c r="Q4409" s="1" t="str">
        <f>_xlfn.XLOOKUP(tblSales[[#This Row],[Channel Code]],tblChannels[Channel Code],tblChannels[Channel Name],"")</f>
        <v>In-store</v>
      </c>
      <c r="R4409" s="1">
        <f>MONTH(tblSales[[#This Row],[Date]])</f>
        <v>9</v>
      </c>
    </row>
    <row r="4410" spans="2:18" x14ac:dyDescent="0.35">
      <c r="B4410" s="113">
        <v>46288</v>
      </c>
      <c r="C4410" s="4" t="s">
        <v>2982</v>
      </c>
      <c r="D4410" s="4" t="s">
        <v>4568</v>
      </c>
      <c r="E4410" s="1" t="str">
        <f>_xlfn.XLOOKUP(tblSales[[#This Row],[Customer ID]],tblCustomers[Customer ID],tblCustomers[Customer Name],"⚠ Unknown")</f>
        <v>Walk-in Customer</v>
      </c>
      <c r="F4410" s="4" t="s">
        <v>12</v>
      </c>
      <c r="G4410" s="1" t="str">
        <f>_xlfn.XLOOKUP(tblSales[[#This Row],[Product Code]],tblProducts[Code],tblProducts[Product / Service Name],"⚠ Unknown")</f>
        <v>Bomber Jacket</v>
      </c>
      <c r="H4410" s="1" t="str">
        <f>_xlfn.XLOOKUP(tblSales[[#This Row],[Product Code]],tblProducts[Code],tblProducts[Category],"")</f>
        <v>Apparel &amp; Footwear</v>
      </c>
      <c r="I4410" s="4">
        <v>5</v>
      </c>
      <c r="J4410" s="5">
        <f>_xlfn.XLOOKUP(tblSales[[#This Row],[Product Code]],tblProducts[Code],tblProducts[Selling Price (excl. VAT)],0)</f>
        <v>350000</v>
      </c>
      <c r="K4410" s="5">
        <f>tblSales[[#This Row],[Qty]]*tblSales[[#This Row],[Unit Price]]</f>
        <v>1750000</v>
      </c>
      <c r="L4410" s="5">
        <f>ROUND(tblSales[[#This Row],[DPP (excl. VAT)]]*VATEff,0)</f>
        <v>192500</v>
      </c>
      <c r="M4410" s="5">
        <f>tblSales[[#This Row],[DPP (excl. VAT)]]+tblSales[[#This Row],[Output VAT]]</f>
        <v>1942500</v>
      </c>
      <c r="N4410" s="5">
        <f>tblSales[[#This Row],[Qty]]*_xlfn.XLOOKUP(tblSales[[#This Row],[Product Code]],tblProducts[Code],tblProducts[Unit Cost],0)</f>
        <v>1050000</v>
      </c>
      <c r="O4410" s="4" t="s">
        <v>4866</v>
      </c>
      <c r="P4410" s="4" t="s">
        <v>4862</v>
      </c>
      <c r="Q4410" s="1" t="str">
        <f>_xlfn.XLOOKUP(tblSales[[#This Row],[Channel Code]],tblChannels[Channel Code],tblChannels[Channel Name],"")</f>
        <v>Website &amp; Social Media</v>
      </c>
      <c r="R4410" s="1">
        <f>MONTH(tblSales[[#This Row],[Date]])</f>
        <v>9</v>
      </c>
    </row>
    <row r="4411" spans="2:18" x14ac:dyDescent="0.35">
      <c r="B4411" s="113">
        <v>46288</v>
      </c>
      <c r="C4411" s="4" t="s">
        <v>2983</v>
      </c>
      <c r="D4411" s="4" t="s">
        <v>4634</v>
      </c>
      <c r="E4411" s="1" t="str">
        <f>_xlfn.XLOOKUP(tblSales[[#This Row],[Customer ID]],tblCustomers[Customer ID],tblCustomers[Customer Name],"⚠ Unknown")</f>
        <v>PT Delta Inti Selaras</v>
      </c>
      <c r="F4411" s="4" t="s">
        <v>12</v>
      </c>
      <c r="G4411" s="1" t="str">
        <f>_xlfn.XLOOKUP(tblSales[[#This Row],[Product Code]],tblProducts[Code],tblProducts[Product / Service Name],"⚠ Unknown")</f>
        <v>Bomber Jacket</v>
      </c>
      <c r="H4411" s="1" t="str">
        <f>_xlfn.XLOOKUP(tblSales[[#This Row],[Product Code]],tblProducts[Code],tblProducts[Category],"")</f>
        <v>Apparel &amp; Footwear</v>
      </c>
      <c r="I4411" s="4">
        <v>32</v>
      </c>
      <c r="J4411" s="5">
        <f>_xlfn.XLOOKUP(tblSales[[#This Row],[Product Code]],tblProducts[Code],tblProducts[Selling Price (excl. VAT)],0)</f>
        <v>350000</v>
      </c>
      <c r="K4411" s="5">
        <f>tblSales[[#This Row],[Qty]]*tblSales[[#This Row],[Unit Price]]</f>
        <v>11200000</v>
      </c>
      <c r="L4411" s="5">
        <f>ROUND(tblSales[[#This Row],[DPP (excl. VAT)]]*VATEff,0)</f>
        <v>1232000</v>
      </c>
      <c r="M4411" s="5">
        <f>tblSales[[#This Row],[DPP (excl. VAT)]]+tblSales[[#This Row],[Output VAT]]</f>
        <v>12432000</v>
      </c>
      <c r="N4411" s="5">
        <f>tblSales[[#This Row],[Qty]]*_xlfn.XLOOKUP(tblSales[[#This Row],[Product Code]],tblProducts[Code],tblProducts[Unit Cost],0)</f>
        <v>6720000</v>
      </c>
      <c r="O4411" s="4" t="s">
        <v>4867</v>
      </c>
      <c r="P4411" s="4" t="s">
        <v>4860</v>
      </c>
      <c r="Q4411" s="1" t="str">
        <f>_xlfn.XLOOKUP(tblSales[[#This Row],[Channel Code]],tblChannels[Channel Code],tblChannels[Channel Name],"")</f>
        <v>In-store</v>
      </c>
      <c r="R4411" s="1">
        <f>MONTH(tblSales[[#This Row],[Date]])</f>
        <v>9</v>
      </c>
    </row>
    <row r="4412" spans="2:18" x14ac:dyDescent="0.35">
      <c r="B4412" s="113">
        <v>46288</v>
      </c>
      <c r="C4412" s="4" t="s">
        <v>2983</v>
      </c>
      <c r="D4412" s="4" t="s">
        <v>4634</v>
      </c>
      <c r="E4412" s="1" t="str">
        <f>_xlfn.XLOOKUP(tblSales[[#This Row],[Customer ID]],tblCustomers[Customer ID],tblCustomers[Customer Name],"⚠ Unknown")</f>
        <v>PT Delta Inti Selaras</v>
      </c>
      <c r="F4412" s="4" t="s">
        <v>6</v>
      </c>
      <c r="G4412" s="1" t="str">
        <f>_xlfn.XLOOKUP(tblSales[[#This Row],[Product Code]],tblProducts[Code],tblProducts[Product / Service Name],"⚠ Unknown")</f>
        <v>Socks &amp; Accessories</v>
      </c>
      <c r="H4412" s="1" t="str">
        <f>_xlfn.XLOOKUP(tblSales[[#This Row],[Product Code]],tblProducts[Code],tblProducts[Category],"")</f>
        <v>Accessories &amp; Basics</v>
      </c>
      <c r="I4412" s="4">
        <v>40</v>
      </c>
      <c r="J4412" s="5">
        <f>_xlfn.XLOOKUP(tblSales[[#This Row],[Product Code]],tblProducts[Code],tblProducts[Selling Price (excl. VAT)],0)</f>
        <v>45000</v>
      </c>
      <c r="K4412" s="5">
        <f>tblSales[[#This Row],[Qty]]*tblSales[[#This Row],[Unit Price]]</f>
        <v>1800000</v>
      </c>
      <c r="L4412" s="5">
        <f>ROUND(tblSales[[#This Row],[DPP (excl. VAT)]]*VATEff,0)</f>
        <v>198000</v>
      </c>
      <c r="M4412" s="5">
        <f>tblSales[[#This Row],[DPP (excl. VAT)]]+tblSales[[#This Row],[Output VAT]]</f>
        <v>1998000</v>
      </c>
      <c r="N4412" s="5">
        <f>tblSales[[#This Row],[Qty]]*_xlfn.XLOOKUP(tblSales[[#This Row],[Product Code]],tblProducts[Code],tblProducts[Unit Cost],0)</f>
        <v>960000</v>
      </c>
      <c r="O4412" s="4" t="s">
        <v>4867</v>
      </c>
      <c r="P4412" s="4" t="s">
        <v>4860</v>
      </c>
      <c r="Q4412" s="1" t="str">
        <f>_xlfn.XLOOKUP(tblSales[[#This Row],[Channel Code]],tblChannels[Channel Code],tblChannels[Channel Name],"")</f>
        <v>In-store</v>
      </c>
      <c r="R4412" s="1">
        <f>MONTH(tblSales[[#This Row],[Date]])</f>
        <v>9</v>
      </c>
    </row>
    <row r="4413" spans="2:18" x14ac:dyDescent="0.35">
      <c r="B4413" s="113">
        <v>46288</v>
      </c>
      <c r="C4413" s="4" t="s">
        <v>2984</v>
      </c>
      <c r="D4413" s="4" t="s">
        <v>4568</v>
      </c>
      <c r="E4413" s="1" t="str">
        <f>_xlfn.XLOOKUP(tblSales[[#This Row],[Customer ID]],tblCustomers[Customer ID],tblCustomers[Customer Name],"⚠ Unknown")</f>
        <v>Walk-in Customer</v>
      </c>
      <c r="F4413" s="4" t="s">
        <v>9</v>
      </c>
      <c r="G4413" s="1" t="str">
        <f>_xlfn.XLOOKUP(tblSales[[#This Row],[Product Code]],tblProducts[Code],tblProducts[Product / Service Name],"⚠ Unknown")</f>
        <v>Casual Shirt</v>
      </c>
      <c r="H4413" s="1" t="str">
        <f>_xlfn.XLOOKUP(tblSales[[#This Row],[Product Code]],tblProducts[Code],tblProducts[Category],"")</f>
        <v>Apparel &amp; Footwear</v>
      </c>
      <c r="I4413" s="4">
        <v>7</v>
      </c>
      <c r="J4413" s="5">
        <f>_xlfn.XLOOKUP(tblSales[[#This Row],[Product Code]],tblProducts[Code],tblProducts[Selling Price (excl. VAT)],0)</f>
        <v>120000</v>
      </c>
      <c r="K4413" s="5">
        <f>tblSales[[#This Row],[Qty]]*tblSales[[#This Row],[Unit Price]]</f>
        <v>840000</v>
      </c>
      <c r="L4413" s="5">
        <f>ROUND(tblSales[[#This Row],[DPP (excl. VAT)]]*VATEff,0)</f>
        <v>92400</v>
      </c>
      <c r="M4413" s="5">
        <f>tblSales[[#This Row],[DPP (excl. VAT)]]+tblSales[[#This Row],[Output VAT]]</f>
        <v>932400</v>
      </c>
      <c r="N4413" s="5">
        <f>tblSales[[#This Row],[Qty]]*_xlfn.XLOOKUP(tblSales[[#This Row],[Product Code]],tblProducts[Code],tblProducts[Unit Cost],0)</f>
        <v>504000</v>
      </c>
      <c r="O4413" s="4" t="s">
        <v>4865</v>
      </c>
      <c r="P4413" s="4" t="s">
        <v>4860</v>
      </c>
      <c r="Q4413" s="1" t="str">
        <f>_xlfn.XLOOKUP(tblSales[[#This Row],[Channel Code]],tblChannels[Channel Code],tblChannels[Channel Name],"")</f>
        <v>In-store</v>
      </c>
      <c r="R4413" s="1">
        <f>MONTH(tblSales[[#This Row],[Date]])</f>
        <v>9</v>
      </c>
    </row>
    <row r="4414" spans="2:18" x14ac:dyDescent="0.35">
      <c r="B4414" s="113">
        <v>46288</v>
      </c>
      <c r="C4414" s="4" t="s">
        <v>2985</v>
      </c>
      <c r="D4414" s="4" t="s">
        <v>4599</v>
      </c>
      <c r="E4414" s="1" t="str">
        <f>_xlfn.XLOOKUP(tblSales[[#This Row],[Customer ID]],tblCustomers[Customer ID],tblCustomers[Customer Name],"⚠ Unknown")</f>
        <v>PT Samudra Jaya Logistik</v>
      </c>
      <c r="F4414" s="4" t="s">
        <v>6</v>
      </c>
      <c r="G4414" s="1" t="str">
        <f>_xlfn.XLOOKUP(tblSales[[#This Row],[Product Code]],tblProducts[Code],tblProducts[Product / Service Name],"⚠ Unknown")</f>
        <v>Socks &amp; Accessories</v>
      </c>
      <c r="H4414" s="1" t="str">
        <f>_xlfn.XLOOKUP(tblSales[[#This Row],[Product Code]],tblProducts[Code],tblProducts[Category],"")</f>
        <v>Accessories &amp; Basics</v>
      </c>
      <c r="I4414" s="4">
        <v>32</v>
      </c>
      <c r="J4414" s="5">
        <f>_xlfn.XLOOKUP(tblSales[[#This Row],[Product Code]],tblProducts[Code],tblProducts[Selling Price (excl. VAT)],0)</f>
        <v>45000</v>
      </c>
      <c r="K4414" s="5">
        <f>tblSales[[#This Row],[Qty]]*tblSales[[#This Row],[Unit Price]]</f>
        <v>1440000</v>
      </c>
      <c r="L4414" s="5">
        <f>ROUND(tblSales[[#This Row],[DPP (excl. VAT)]]*VATEff,0)</f>
        <v>158400</v>
      </c>
      <c r="M4414" s="5">
        <f>tblSales[[#This Row],[DPP (excl. VAT)]]+tblSales[[#This Row],[Output VAT]]</f>
        <v>1598400</v>
      </c>
      <c r="N4414" s="5">
        <f>tblSales[[#This Row],[Qty]]*_xlfn.XLOOKUP(tblSales[[#This Row],[Product Code]],tblProducts[Code],tblProducts[Unit Cost],0)</f>
        <v>768000</v>
      </c>
      <c r="O4414" s="4" t="s">
        <v>4867</v>
      </c>
      <c r="P4414" s="4" t="s">
        <v>4860</v>
      </c>
      <c r="Q4414" s="1" t="str">
        <f>_xlfn.XLOOKUP(tblSales[[#This Row],[Channel Code]],tblChannels[Channel Code],tblChannels[Channel Name],"")</f>
        <v>In-store</v>
      </c>
      <c r="R4414" s="1">
        <f>MONTH(tblSales[[#This Row],[Date]])</f>
        <v>9</v>
      </c>
    </row>
    <row r="4415" spans="2:18" x14ac:dyDescent="0.35">
      <c r="B4415" s="113">
        <v>46288</v>
      </c>
      <c r="C4415" s="4" t="s">
        <v>2986</v>
      </c>
      <c r="D4415" s="4" t="s">
        <v>4568</v>
      </c>
      <c r="E4415" s="1" t="str">
        <f>_xlfn.XLOOKUP(tblSales[[#This Row],[Customer ID]],tblCustomers[Customer ID],tblCustomers[Customer Name],"⚠ Unknown")</f>
        <v>Walk-in Customer</v>
      </c>
      <c r="F4415" s="4" t="s">
        <v>10</v>
      </c>
      <c r="G4415" s="1" t="str">
        <f>_xlfn.XLOOKUP(tblSales[[#This Row],[Product Code]],tblProducts[Code],tblProducts[Product / Service Name],"⚠ Unknown")</f>
        <v>Chino Pants</v>
      </c>
      <c r="H4415" s="1" t="str">
        <f>_xlfn.XLOOKUP(tblSales[[#This Row],[Product Code]],tblProducts[Code],tblProducts[Category],"")</f>
        <v>Apparel &amp; Footwear</v>
      </c>
      <c r="I4415" s="4">
        <v>2</v>
      </c>
      <c r="J4415" s="5">
        <f>_xlfn.XLOOKUP(tblSales[[#This Row],[Product Code]],tblProducts[Code],tblProducts[Selling Price (excl. VAT)],0)</f>
        <v>150000</v>
      </c>
      <c r="K4415" s="5">
        <f>tblSales[[#This Row],[Qty]]*tblSales[[#This Row],[Unit Price]]</f>
        <v>300000</v>
      </c>
      <c r="L4415" s="5">
        <f>ROUND(tblSales[[#This Row],[DPP (excl. VAT)]]*VATEff,0)</f>
        <v>33000</v>
      </c>
      <c r="M4415" s="5">
        <f>tblSales[[#This Row],[DPP (excl. VAT)]]+tblSales[[#This Row],[Output VAT]]</f>
        <v>333000</v>
      </c>
      <c r="N4415" s="5">
        <f>tblSales[[#This Row],[Qty]]*_xlfn.XLOOKUP(tblSales[[#This Row],[Product Code]],tblProducts[Code],tblProducts[Unit Cost],0)</f>
        <v>176000</v>
      </c>
      <c r="O4415" s="4" t="s">
        <v>4865</v>
      </c>
      <c r="P4415" s="4" t="s">
        <v>4860</v>
      </c>
      <c r="Q4415" s="1" t="str">
        <f>_xlfn.XLOOKUP(tblSales[[#This Row],[Channel Code]],tblChannels[Channel Code],tblChannels[Channel Name],"")</f>
        <v>In-store</v>
      </c>
      <c r="R4415" s="1">
        <f>MONTH(tblSales[[#This Row],[Date]])</f>
        <v>9</v>
      </c>
    </row>
    <row r="4416" spans="2:18" x14ac:dyDescent="0.35">
      <c r="B4416" s="113">
        <v>46288</v>
      </c>
      <c r="C4416" s="4" t="s">
        <v>2987</v>
      </c>
      <c r="D4416" s="4" t="s">
        <v>4568</v>
      </c>
      <c r="E4416" s="1" t="str">
        <f>_xlfn.XLOOKUP(tblSales[[#This Row],[Customer ID]],tblCustomers[Customer ID],tblCustomers[Customer Name],"⚠ Unknown")</f>
        <v>Walk-in Customer</v>
      </c>
      <c r="F4416" s="4" t="s">
        <v>9</v>
      </c>
      <c r="G4416" s="1" t="str">
        <f>_xlfn.XLOOKUP(tblSales[[#This Row],[Product Code]],tblProducts[Code],tblProducts[Product / Service Name],"⚠ Unknown")</f>
        <v>Casual Shirt</v>
      </c>
      <c r="H4416" s="1" t="str">
        <f>_xlfn.XLOOKUP(tblSales[[#This Row],[Product Code]],tblProducts[Code],tblProducts[Category],"")</f>
        <v>Apparel &amp; Footwear</v>
      </c>
      <c r="I4416" s="4">
        <v>12</v>
      </c>
      <c r="J4416" s="5">
        <f>_xlfn.XLOOKUP(tblSales[[#This Row],[Product Code]],tblProducts[Code],tblProducts[Selling Price (excl. VAT)],0)</f>
        <v>120000</v>
      </c>
      <c r="K4416" s="5">
        <f>tblSales[[#This Row],[Qty]]*tblSales[[#This Row],[Unit Price]]</f>
        <v>1440000</v>
      </c>
      <c r="L4416" s="5">
        <f>ROUND(tblSales[[#This Row],[DPP (excl. VAT)]]*VATEff,0)</f>
        <v>158400</v>
      </c>
      <c r="M4416" s="5">
        <f>tblSales[[#This Row],[DPP (excl. VAT)]]+tblSales[[#This Row],[Output VAT]]</f>
        <v>1598400</v>
      </c>
      <c r="N4416" s="5">
        <f>tblSales[[#This Row],[Qty]]*_xlfn.XLOOKUP(tblSales[[#This Row],[Product Code]],tblProducts[Code],tblProducts[Unit Cost],0)</f>
        <v>864000</v>
      </c>
      <c r="O4416" s="4" t="s">
        <v>4866</v>
      </c>
      <c r="P4416" s="4" t="s">
        <v>4861</v>
      </c>
      <c r="Q4416" s="1" t="str">
        <f>_xlfn.XLOOKUP(tblSales[[#This Row],[Channel Code]],tblChannels[Channel Code],tblChannels[Channel Name],"")</f>
        <v>Marketplace</v>
      </c>
      <c r="R4416" s="1">
        <f>MONTH(tblSales[[#This Row],[Date]])</f>
        <v>9</v>
      </c>
    </row>
    <row r="4417" spans="2:18" x14ac:dyDescent="0.35">
      <c r="B4417" s="113">
        <v>46288</v>
      </c>
      <c r="C4417" s="4" t="s">
        <v>2987</v>
      </c>
      <c r="D4417" s="4" t="s">
        <v>4568</v>
      </c>
      <c r="E4417" s="1" t="str">
        <f>_xlfn.XLOOKUP(tblSales[[#This Row],[Customer ID]],tblCustomers[Customer ID],tblCustomers[Customer Name],"⚠ Unknown")</f>
        <v>Walk-in Customer</v>
      </c>
      <c r="F4417" s="4" t="s">
        <v>14</v>
      </c>
      <c r="G4417" s="1" t="str">
        <f>_xlfn.XLOOKUP(tblSales[[#This Row],[Product Code]],tblProducts[Code],tblProducts[Product / Service Name],"⚠ Unknown")</f>
        <v>Smartwatch</v>
      </c>
      <c r="H4417" s="1" t="str">
        <f>_xlfn.XLOOKUP(tblSales[[#This Row],[Product Code]],tblProducts[Code],tblProducts[Category],"")</f>
        <v>Bags &amp; Gadgets</v>
      </c>
      <c r="I4417" s="4">
        <v>3</v>
      </c>
      <c r="J4417" s="5">
        <f>_xlfn.XLOOKUP(tblSales[[#This Row],[Product Code]],tblProducts[Code],tblProducts[Selling Price (excl. VAT)],0)</f>
        <v>850000</v>
      </c>
      <c r="K4417" s="5">
        <f>tblSales[[#This Row],[Qty]]*tblSales[[#This Row],[Unit Price]]</f>
        <v>2550000</v>
      </c>
      <c r="L4417" s="5">
        <f>ROUND(tblSales[[#This Row],[DPP (excl. VAT)]]*VATEff,0)</f>
        <v>280500</v>
      </c>
      <c r="M4417" s="5">
        <f>tblSales[[#This Row],[DPP (excl. VAT)]]+tblSales[[#This Row],[Output VAT]]</f>
        <v>2830500</v>
      </c>
      <c r="N4417" s="5">
        <f>tblSales[[#This Row],[Qty]]*_xlfn.XLOOKUP(tblSales[[#This Row],[Product Code]],tblProducts[Code],tblProducts[Unit Cost],0)</f>
        <v>1680000</v>
      </c>
      <c r="O4417" s="4" t="s">
        <v>4866</v>
      </c>
      <c r="P4417" s="4" t="s">
        <v>4861</v>
      </c>
      <c r="Q4417" s="1" t="str">
        <f>_xlfn.XLOOKUP(tblSales[[#This Row],[Channel Code]],tblChannels[Channel Code],tblChannels[Channel Name],"")</f>
        <v>Marketplace</v>
      </c>
      <c r="R4417" s="1">
        <f>MONTH(tblSales[[#This Row],[Date]])</f>
        <v>9</v>
      </c>
    </row>
    <row r="4418" spans="2:18" x14ac:dyDescent="0.35">
      <c r="B4418" s="113">
        <v>46288</v>
      </c>
      <c r="C4418" s="4" t="s">
        <v>2988</v>
      </c>
      <c r="D4418" s="4" t="s">
        <v>4568</v>
      </c>
      <c r="E4418" s="1" t="str">
        <f>_xlfn.XLOOKUP(tblSales[[#This Row],[Customer ID]],tblCustomers[Customer ID],tblCustomers[Customer Name],"⚠ Unknown")</f>
        <v>Walk-in Customer</v>
      </c>
      <c r="F4418" s="4" t="s">
        <v>6</v>
      </c>
      <c r="G4418" s="1" t="str">
        <f>_xlfn.XLOOKUP(tblSales[[#This Row],[Product Code]],tblProducts[Code],tblProducts[Product / Service Name],"⚠ Unknown")</f>
        <v>Socks &amp; Accessories</v>
      </c>
      <c r="H4418" s="1" t="str">
        <f>_xlfn.XLOOKUP(tblSales[[#This Row],[Product Code]],tblProducts[Code],tblProducts[Category],"")</f>
        <v>Accessories &amp; Basics</v>
      </c>
      <c r="I4418" s="4">
        <v>8</v>
      </c>
      <c r="J4418" s="5">
        <f>_xlfn.XLOOKUP(tblSales[[#This Row],[Product Code]],tblProducts[Code],tblProducts[Selling Price (excl. VAT)],0)</f>
        <v>45000</v>
      </c>
      <c r="K4418" s="5">
        <f>tblSales[[#This Row],[Qty]]*tblSales[[#This Row],[Unit Price]]</f>
        <v>360000</v>
      </c>
      <c r="L4418" s="5">
        <f>ROUND(tblSales[[#This Row],[DPP (excl. VAT)]]*VATEff,0)</f>
        <v>39600</v>
      </c>
      <c r="M4418" s="5">
        <f>tblSales[[#This Row],[DPP (excl. VAT)]]+tblSales[[#This Row],[Output VAT]]</f>
        <v>399600</v>
      </c>
      <c r="N4418" s="5">
        <f>tblSales[[#This Row],[Qty]]*_xlfn.XLOOKUP(tblSales[[#This Row],[Product Code]],tblProducts[Code],tblProducts[Unit Cost],0)</f>
        <v>192000</v>
      </c>
      <c r="O4418" s="4" t="s">
        <v>4865</v>
      </c>
      <c r="P4418" s="4" t="s">
        <v>4860</v>
      </c>
      <c r="Q4418" s="1" t="str">
        <f>_xlfn.XLOOKUP(tblSales[[#This Row],[Channel Code]],tblChannels[Channel Code],tblChannels[Channel Name],"")</f>
        <v>In-store</v>
      </c>
      <c r="R4418" s="1">
        <f>MONTH(tblSales[[#This Row],[Date]])</f>
        <v>9</v>
      </c>
    </row>
    <row r="4419" spans="2:18" x14ac:dyDescent="0.35">
      <c r="B4419" s="113">
        <v>46289</v>
      </c>
      <c r="C4419" s="4" t="s">
        <v>2989</v>
      </c>
      <c r="D4419" s="4" t="s">
        <v>4627</v>
      </c>
      <c r="E4419" s="1" t="str">
        <f>_xlfn.XLOOKUP(tblSales[[#This Row],[Customer ID]],tblCustomers[Customer ID],tblCustomers[Customer Name],"⚠ Unknown")</f>
        <v>PT Kencana Wira Usaha</v>
      </c>
      <c r="F4419" s="4" t="s">
        <v>11</v>
      </c>
      <c r="G4419" s="1" t="str">
        <f>_xlfn.XLOOKUP(tblSales[[#This Row],[Product Code]],tblProducts[Code],tblProducts[Product / Service Name],"⚠ Unknown")</f>
        <v>Sneakers</v>
      </c>
      <c r="H4419" s="1" t="str">
        <f>_xlfn.XLOOKUP(tblSales[[#This Row],[Product Code]],tblProducts[Code],tblProducts[Category],"")</f>
        <v>Apparel &amp; Footwear</v>
      </c>
      <c r="I4419" s="4">
        <v>24</v>
      </c>
      <c r="J4419" s="5">
        <f>_xlfn.XLOOKUP(tblSales[[#This Row],[Product Code]],tblProducts[Code],tblProducts[Selling Price (excl. VAT)],0)</f>
        <v>250000</v>
      </c>
      <c r="K4419" s="5">
        <f>tblSales[[#This Row],[Qty]]*tblSales[[#This Row],[Unit Price]]</f>
        <v>6000000</v>
      </c>
      <c r="L4419" s="5">
        <f>ROUND(tblSales[[#This Row],[DPP (excl. VAT)]]*VATEff,0)</f>
        <v>660000</v>
      </c>
      <c r="M4419" s="5">
        <f>tblSales[[#This Row],[DPP (excl. VAT)]]+tblSales[[#This Row],[Output VAT]]</f>
        <v>6660000</v>
      </c>
      <c r="N4419" s="5">
        <f>tblSales[[#This Row],[Qty]]*_xlfn.XLOOKUP(tblSales[[#This Row],[Product Code]],tblProducts[Code],tblProducts[Unit Cost],0)</f>
        <v>3720000</v>
      </c>
      <c r="O4419" s="4" t="s">
        <v>4867</v>
      </c>
      <c r="P4419" s="4" t="s">
        <v>4862</v>
      </c>
      <c r="Q4419" s="1" t="str">
        <f>_xlfn.XLOOKUP(tblSales[[#This Row],[Channel Code]],tblChannels[Channel Code],tblChannels[Channel Name],"")</f>
        <v>Website &amp; Social Media</v>
      </c>
      <c r="R4419" s="1">
        <f>MONTH(tblSales[[#This Row],[Date]])</f>
        <v>9</v>
      </c>
    </row>
    <row r="4420" spans="2:18" x14ac:dyDescent="0.35">
      <c r="B4420" s="113">
        <v>46289</v>
      </c>
      <c r="C4420" s="4" t="s">
        <v>2990</v>
      </c>
      <c r="D4420" s="4" t="s">
        <v>4568</v>
      </c>
      <c r="E4420" s="1" t="str">
        <f>_xlfn.XLOOKUP(tblSales[[#This Row],[Customer ID]],tblCustomers[Customer ID],tblCustomers[Customer Name],"⚠ Unknown")</f>
        <v>Walk-in Customer</v>
      </c>
      <c r="F4420" s="4" t="s">
        <v>7</v>
      </c>
      <c r="G4420" s="1" t="str">
        <f>_xlfn.XLOOKUP(tblSales[[#This Row],[Product Code]],tblProducts[Code],tblProducts[Product / Service Name],"⚠ Unknown")</f>
        <v>Premium Basic T-shirt</v>
      </c>
      <c r="H4420" s="1" t="str">
        <f>_xlfn.XLOOKUP(tblSales[[#This Row],[Product Code]],tblProducts[Code],tblProducts[Category],"")</f>
        <v>Accessories &amp; Basics</v>
      </c>
      <c r="I4420" s="4">
        <v>6</v>
      </c>
      <c r="J4420" s="5">
        <f>_xlfn.XLOOKUP(tblSales[[#This Row],[Product Code]],tblProducts[Code],tblProducts[Selling Price (excl. VAT)],0)</f>
        <v>65000</v>
      </c>
      <c r="K4420" s="5">
        <f>tblSales[[#This Row],[Qty]]*tblSales[[#This Row],[Unit Price]]</f>
        <v>390000</v>
      </c>
      <c r="L4420" s="5">
        <f>ROUND(tblSales[[#This Row],[DPP (excl. VAT)]]*VATEff,0)</f>
        <v>42900</v>
      </c>
      <c r="M4420" s="5">
        <f>tblSales[[#This Row],[DPP (excl. VAT)]]+tblSales[[#This Row],[Output VAT]]</f>
        <v>432900</v>
      </c>
      <c r="N4420" s="5">
        <f>tblSales[[#This Row],[Qty]]*_xlfn.XLOOKUP(tblSales[[#This Row],[Product Code]],tblProducts[Code],tblProducts[Unit Cost],0)</f>
        <v>222000</v>
      </c>
      <c r="O4420" s="4" t="s">
        <v>4865</v>
      </c>
      <c r="P4420" s="4" t="s">
        <v>4860</v>
      </c>
      <c r="Q4420" s="1" t="str">
        <f>_xlfn.XLOOKUP(tblSales[[#This Row],[Channel Code]],tblChannels[Channel Code],tblChannels[Channel Name],"")</f>
        <v>In-store</v>
      </c>
      <c r="R4420" s="1">
        <f>MONTH(tblSales[[#This Row],[Date]])</f>
        <v>9</v>
      </c>
    </row>
    <row r="4421" spans="2:18" x14ac:dyDescent="0.35">
      <c r="B4421" s="113">
        <v>46289</v>
      </c>
      <c r="C4421" s="4" t="s">
        <v>2990</v>
      </c>
      <c r="D4421" s="4" t="s">
        <v>4568</v>
      </c>
      <c r="E4421" s="1" t="str">
        <f>_xlfn.XLOOKUP(tblSales[[#This Row],[Customer ID]],tblCustomers[Customer ID],tblCustomers[Customer Name],"⚠ Unknown")</f>
        <v>Walk-in Customer</v>
      </c>
      <c r="F4421" s="4" t="s">
        <v>6</v>
      </c>
      <c r="G4421" s="1" t="str">
        <f>_xlfn.XLOOKUP(tblSales[[#This Row],[Product Code]],tblProducts[Code],tblProducts[Product / Service Name],"⚠ Unknown")</f>
        <v>Socks &amp; Accessories</v>
      </c>
      <c r="H4421" s="1" t="str">
        <f>_xlfn.XLOOKUP(tblSales[[#This Row],[Product Code]],tblProducts[Code],tblProducts[Category],"")</f>
        <v>Accessories &amp; Basics</v>
      </c>
      <c r="I4421" s="4">
        <v>12</v>
      </c>
      <c r="J4421" s="5">
        <f>_xlfn.XLOOKUP(tblSales[[#This Row],[Product Code]],tblProducts[Code],tblProducts[Selling Price (excl. VAT)],0)</f>
        <v>45000</v>
      </c>
      <c r="K4421" s="5">
        <f>tblSales[[#This Row],[Qty]]*tblSales[[#This Row],[Unit Price]]</f>
        <v>540000</v>
      </c>
      <c r="L4421" s="5">
        <f>ROUND(tblSales[[#This Row],[DPP (excl. VAT)]]*VATEff,0)</f>
        <v>59400</v>
      </c>
      <c r="M4421" s="5">
        <f>tblSales[[#This Row],[DPP (excl. VAT)]]+tblSales[[#This Row],[Output VAT]]</f>
        <v>599400</v>
      </c>
      <c r="N4421" s="5">
        <f>tblSales[[#This Row],[Qty]]*_xlfn.XLOOKUP(tblSales[[#This Row],[Product Code]],tblProducts[Code],tblProducts[Unit Cost],0)</f>
        <v>288000</v>
      </c>
      <c r="O4421" s="4" t="s">
        <v>4865</v>
      </c>
      <c r="P4421" s="4" t="s">
        <v>4860</v>
      </c>
      <c r="Q4421" s="1" t="str">
        <f>_xlfn.XLOOKUP(tblSales[[#This Row],[Channel Code]],tblChannels[Channel Code],tblChannels[Channel Name],"")</f>
        <v>In-store</v>
      </c>
      <c r="R4421" s="1">
        <f>MONTH(tblSales[[#This Row],[Date]])</f>
        <v>9</v>
      </c>
    </row>
    <row r="4422" spans="2:18" x14ac:dyDescent="0.35">
      <c r="B4422" s="113">
        <v>46289</v>
      </c>
      <c r="C4422" s="4" t="s">
        <v>2991</v>
      </c>
      <c r="D4422" s="4" t="s">
        <v>4568</v>
      </c>
      <c r="E4422" s="1" t="str">
        <f>_xlfn.XLOOKUP(tblSales[[#This Row],[Customer ID]],tblCustomers[Customer ID],tblCustomers[Customer Name],"⚠ Unknown")</f>
        <v>Walk-in Customer</v>
      </c>
      <c r="F4422" s="4" t="s">
        <v>8</v>
      </c>
      <c r="G4422" s="1" t="str">
        <f>_xlfn.XLOOKUP(tblSales[[#This Row],[Product Code]],tblProducts[Code],tblProducts[Product / Service Name],"⚠ Unknown")</f>
        <v>Casual Shorts</v>
      </c>
      <c r="H4422" s="1" t="str">
        <f>_xlfn.XLOOKUP(tblSales[[#This Row],[Product Code]],tblProducts[Code],tblProducts[Category],"")</f>
        <v>Accessories &amp; Basics</v>
      </c>
      <c r="I4422" s="4">
        <v>2</v>
      </c>
      <c r="J4422" s="5">
        <f>_xlfn.XLOOKUP(tblSales[[#This Row],[Product Code]],tblProducts[Code],tblProducts[Selling Price (excl. VAT)],0)</f>
        <v>85000</v>
      </c>
      <c r="K4422" s="5">
        <f>tblSales[[#This Row],[Qty]]*tblSales[[#This Row],[Unit Price]]</f>
        <v>170000</v>
      </c>
      <c r="L4422" s="5">
        <f>ROUND(tblSales[[#This Row],[DPP (excl. VAT)]]*VATEff,0)</f>
        <v>18700</v>
      </c>
      <c r="M4422" s="5">
        <f>tblSales[[#This Row],[DPP (excl. VAT)]]+tblSales[[#This Row],[Output VAT]]</f>
        <v>188700</v>
      </c>
      <c r="N4422" s="5">
        <f>tblSales[[#This Row],[Qty]]*_xlfn.XLOOKUP(tblSales[[#This Row],[Product Code]],tblProducts[Code],tblProducts[Unit Cost],0)</f>
        <v>100000</v>
      </c>
      <c r="O4422" s="4" t="s">
        <v>4866</v>
      </c>
      <c r="P4422" s="4" t="s">
        <v>4861</v>
      </c>
      <c r="Q4422" s="1" t="str">
        <f>_xlfn.XLOOKUP(tblSales[[#This Row],[Channel Code]],tblChannels[Channel Code],tblChannels[Channel Name],"")</f>
        <v>Marketplace</v>
      </c>
      <c r="R4422" s="1">
        <f>MONTH(tblSales[[#This Row],[Date]])</f>
        <v>9</v>
      </c>
    </row>
    <row r="4423" spans="2:18" x14ac:dyDescent="0.35">
      <c r="B4423" s="113">
        <v>46289</v>
      </c>
      <c r="C4423" s="4" t="s">
        <v>2991</v>
      </c>
      <c r="D4423" s="4" t="s">
        <v>4568</v>
      </c>
      <c r="E4423" s="1" t="str">
        <f>_xlfn.XLOOKUP(tblSales[[#This Row],[Customer ID]],tblCustomers[Customer ID],tblCustomers[Customer Name],"⚠ Unknown")</f>
        <v>Walk-in Customer</v>
      </c>
      <c r="F4423" s="4" t="s">
        <v>9</v>
      </c>
      <c r="G4423" s="1" t="str">
        <f>_xlfn.XLOOKUP(tblSales[[#This Row],[Product Code]],tblProducts[Code],tblProducts[Product / Service Name],"⚠ Unknown")</f>
        <v>Casual Shirt</v>
      </c>
      <c r="H4423" s="1" t="str">
        <f>_xlfn.XLOOKUP(tblSales[[#This Row],[Product Code]],tblProducts[Code],tblProducts[Category],"")</f>
        <v>Apparel &amp; Footwear</v>
      </c>
      <c r="I4423" s="4">
        <v>3</v>
      </c>
      <c r="J4423" s="5">
        <f>_xlfn.XLOOKUP(tblSales[[#This Row],[Product Code]],tblProducts[Code],tblProducts[Selling Price (excl. VAT)],0)</f>
        <v>120000</v>
      </c>
      <c r="K4423" s="5">
        <f>tblSales[[#This Row],[Qty]]*tblSales[[#This Row],[Unit Price]]</f>
        <v>360000</v>
      </c>
      <c r="L4423" s="5">
        <f>ROUND(tblSales[[#This Row],[DPP (excl. VAT)]]*VATEff,0)</f>
        <v>39600</v>
      </c>
      <c r="M4423" s="5">
        <f>tblSales[[#This Row],[DPP (excl. VAT)]]+tblSales[[#This Row],[Output VAT]]</f>
        <v>399600</v>
      </c>
      <c r="N4423" s="5">
        <f>tblSales[[#This Row],[Qty]]*_xlfn.XLOOKUP(tblSales[[#This Row],[Product Code]],tblProducts[Code],tblProducts[Unit Cost],0)</f>
        <v>216000</v>
      </c>
      <c r="O4423" s="4" t="s">
        <v>4866</v>
      </c>
      <c r="P4423" s="4" t="s">
        <v>4861</v>
      </c>
      <c r="Q4423" s="1" t="str">
        <f>_xlfn.XLOOKUP(tblSales[[#This Row],[Channel Code]],tblChannels[Channel Code],tblChannels[Channel Name],"")</f>
        <v>Marketplace</v>
      </c>
      <c r="R4423" s="1">
        <f>MONTH(tblSales[[#This Row],[Date]])</f>
        <v>9</v>
      </c>
    </row>
    <row r="4424" spans="2:18" x14ac:dyDescent="0.35">
      <c r="B4424" s="113">
        <v>46289</v>
      </c>
      <c r="C4424" s="4" t="s">
        <v>2992</v>
      </c>
      <c r="D4424" s="4" t="s">
        <v>4568</v>
      </c>
      <c r="E4424" s="1" t="str">
        <f>_xlfn.XLOOKUP(tblSales[[#This Row],[Customer ID]],tblCustomers[Customer ID],tblCustomers[Customer Name],"⚠ Unknown")</f>
        <v>Walk-in Customer</v>
      </c>
      <c r="F4424" s="4" t="s">
        <v>7</v>
      </c>
      <c r="G4424" s="1" t="str">
        <f>_xlfn.XLOOKUP(tblSales[[#This Row],[Product Code]],tblProducts[Code],tblProducts[Product / Service Name],"⚠ Unknown")</f>
        <v>Premium Basic T-shirt</v>
      </c>
      <c r="H4424" s="1" t="str">
        <f>_xlfn.XLOOKUP(tblSales[[#This Row],[Product Code]],tblProducts[Code],tblProducts[Category],"")</f>
        <v>Accessories &amp; Basics</v>
      </c>
      <c r="I4424" s="4">
        <v>3</v>
      </c>
      <c r="J4424" s="5">
        <f>_xlfn.XLOOKUP(tblSales[[#This Row],[Product Code]],tblProducts[Code],tblProducts[Selling Price (excl. VAT)],0)</f>
        <v>65000</v>
      </c>
      <c r="K4424" s="5">
        <f>tblSales[[#This Row],[Qty]]*tblSales[[#This Row],[Unit Price]]</f>
        <v>195000</v>
      </c>
      <c r="L4424" s="5">
        <f>ROUND(tblSales[[#This Row],[DPP (excl. VAT)]]*VATEff,0)</f>
        <v>21450</v>
      </c>
      <c r="M4424" s="5">
        <f>tblSales[[#This Row],[DPP (excl. VAT)]]+tblSales[[#This Row],[Output VAT]]</f>
        <v>216450</v>
      </c>
      <c r="N4424" s="5">
        <f>tblSales[[#This Row],[Qty]]*_xlfn.XLOOKUP(tblSales[[#This Row],[Product Code]],tblProducts[Code],tblProducts[Unit Cost],0)</f>
        <v>111000</v>
      </c>
      <c r="O4424" s="4" t="s">
        <v>4865</v>
      </c>
      <c r="P4424" s="4" t="s">
        <v>4860</v>
      </c>
      <c r="Q4424" s="1" t="str">
        <f>_xlfn.XLOOKUP(tblSales[[#This Row],[Channel Code]],tblChannels[Channel Code],tblChannels[Channel Name],"")</f>
        <v>In-store</v>
      </c>
      <c r="R4424" s="1">
        <f>MONTH(tblSales[[#This Row],[Date]])</f>
        <v>9</v>
      </c>
    </row>
    <row r="4425" spans="2:18" x14ac:dyDescent="0.35">
      <c r="B4425" s="113">
        <v>46289</v>
      </c>
      <c r="C4425" s="4" t="s">
        <v>2993</v>
      </c>
      <c r="D4425" s="4" t="s">
        <v>4568</v>
      </c>
      <c r="E4425" s="1" t="str">
        <f>_xlfn.XLOOKUP(tblSales[[#This Row],[Customer ID]],tblCustomers[Customer ID],tblCustomers[Customer Name],"⚠ Unknown")</f>
        <v>Walk-in Customer</v>
      </c>
      <c r="F4425" s="4" t="s">
        <v>8</v>
      </c>
      <c r="G4425" s="1" t="str">
        <f>_xlfn.XLOOKUP(tblSales[[#This Row],[Product Code]],tblProducts[Code],tblProducts[Product / Service Name],"⚠ Unknown")</f>
        <v>Casual Shorts</v>
      </c>
      <c r="H4425" s="1" t="str">
        <f>_xlfn.XLOOKUP(tblSales[[#This Row],[Product Code]],tblProducts[Code],tblProducts[Category],"")</f>
        <v>Accessories &amp; Basics</v>
      </c>
      <c r="I4425" s="4">
        <v>6</v>
      </c>
      <c r="J4425" s="5">
        <f>_xlfn.XLOOKUP(tblSales[[#This Row],[Product Code]],tblProducts[Code],tblProducts[Selling Price (excl. VAT)],0)</f>
        <v>85000</v>
      </c>
      <c r="K4425" s="5">
        <f>tblSales[[#This Row],[Qty]]*tblSales[[#This Row],[Unit Price]]</f>
        <v>510000</v>
      </c>
      <c r="L4425" s="5">
        <f>ROUND(tblSales[[#This Row],[DPP (excl. VAT)]]*VATEff,0)</f>
        <v>56100</v>
      </c>
      <c r="M4425" s="5">
        <f>tblSales[[#This Row],[DPP (excl. VAT)]]+tblSales[[#This Row],[Output VAT]]</f>
        <v>566100</v>
      </c>
      <c r="N4425" s="5">
        <f>tblSales[[#This Row],[Qty]]*_xlfn.XLOOKUP(tblSales[[#This Row],[Product Code]],tblProducts[Code],tblProducts[Unit Cost],0)</f>
        <v>300000</v>
      </c>
      <c r="O4425" s="4" t="s">
        <v>4865</v>
      </c>
      <c r="P4425" s="4" t="s">
        <v>4860</v>
      </c>
      <c r="Q4425" s="1" t="str">
        <f>_xlfn.XLOOKUP(tblSales[[#This Row],[Channel Code]],tblChannels[Channel Code],tblChannels[Channel Name],"")</f>
        <v>In-store</v>
      </c>
      <c r="R4425" s="1">
        <f>MONTH(tblSales[[#This Row],[Date]])</f>
        <v>9</v>
      </c>
    </row>
    <row r="4426" spans="2:18" x14ac:dyDescent="0.35">
      <c r="B4426" s="113">
        <v>46289</v>
      </c>
      <c r="C4426" s="4" t="s">
        <v>2994</v>
      </c>
      <c r="D4426" s="4" t="s">
        <v>4568</v>
      </c>
      <c r="E4426" s="1" t="str">
        <f>_xlfn.XLOOKUP(tblSales[[#This Row],[Customer ID]],tblCustomers[Customer ID],tblCustomers[Customer Name],"⚠ Unknown")</f>
        <v>Walk-in Customer</v>
      </c>
      <c r="F4426" s="4" t="s">
        <v>6</v>
      </c>
      <c r="G4426" s="1" t="str">
        <f>_xlfn.XLOOKUP(tblSales[[#This Row],[Product Code]],tblProducts[Code],tblProducts[Product / Service Name],"⚠ Unknown")</f>
        <v>Socks &amp; Accessories</v>
      </c>
      <c r="H4426" s="1" t="str">
        <f>_xlfn.XLOOKUP(tblSales[[#This Row],[Product Code]],tblProducts[Code],tblProducts[Category],"")</f>
        <v>Accessories &amp; Basics</v>
      </c>
      <c r="I4426" s="4">
        <v>1</v>
      </c>
      <c r="J4426" s="5">
        <f>_xlfn.XLOOKUP(tblSales[[#This Row],[Product Code]],tblProducts[Code],tblProducts[Selling Price (excl. VAT)],0)</f>
        <v>45000</v>
      </c>
      <c r="K4426" s="5">
        <f>tblSales[[#This Row],[Qty]]*tblSales[[#This Row],[Unit Price]]</f>
        <v>45000</v>
      </c>
      <c r="L4426" s="5">
        <f>ROUND(tblSales[[#This Row],[DPP (excl. VAT)]]*VATEff,0)</f>
        <v>4950</v>
      </c>
      <c r="M4426" s="5">
        <f>tblSales[[#This Row],[DPP (excl. VAT)]]+tblSales[[#This Row],[Output VAT]]</f>
        <v>49950</v>
      </c>
      <c r="N4426" s="5">
        <f>tblSales[[#This Row],[Qty]]*_xlfn.XLOOKUP(tblSales[[#This Row],[Product Code]],tblProducts[Code],tblProducts[Unit Cost],0)</f>
        <v>24000</v>
      </c>
      <c r="O4426" s="4" t="s">
        <v>4866</v>
      </c>
      <c r="P4426" s="4" t="s">
        <v>4862</v>
      </c>
      <c r="Q4426" s="1" t="str">
        <f>_xlfn.XLOOKUP(tblSales[[#This Row],[Channel Code]],tblChannels[Channel Code],tblChannels[Channel Name],"")</f>
        <v>Website &amp; Social Media</v>
      </c>
      <c r="R4426" s="1">
        <f>MONTH(tblSales[[#This Row],[Date]])</f>
        <v>9</v>
      </c>
    </row>
    <row r="4427" spans="2:18" x14ac:dyDescent="0.35">
      <c r="B4427" s="113">
        <v>46289</v>
      </c>
      <c r="C4427" s="4" t="s">
        <v>2994</v>
      </c>
      <c r="D4427" s="4" t="s">
        <v>4568</v>
      </c>
      <c r="E4427" s="1" t="str">
        <f>_xlfn.XLOOKUP(tblSales[[#This Row],[Customer ID]],tblCustomers[Customer ID],tblCustomers[Customer Name],"⚠ Unknown")</f>
        <v>Walk-in Customer</v>
      </c>
      <c r="F4427" s="4" t="s">
        <v>9</v>
      </c>
      <c r="G4427" s="1" t="str">
        <f>_xlfn.XLOOKUP(tblSales[[#This Row],[Product Code]],tblProducts[Code],tblProducts[Product / Service Name],"⚠ Unknown")</f>
        <v>Casual Shirt</v>
      </c>
      <c r="H4427" s="1" t="str">
        <f>_xlfn.XLOOKUP(tblSales[[#This Row],[Product Code]],tblProducts[Code],tblProducts[Category],"")</f>
        <v>Apparel &amp; Footwear</v>
      </c>
      <c r="I4427" s="4">
        <v>3</v>
      </c>
      <c r="J4427" s="5">
        <f>_xlfn.XLOOKUP(tblSales[[#This Row],[Product Code]],tblProducts[Code],tblProducts[Selling Price (excl. VAT)],0)</f>
        <v>120000</v>
      </c>
      <c r="K4427" s="5">
        <f>tblSales[[#This Row],[Qty]]*tblSales[[#This Row],[Unit Price]]</f>
        <v>360000</v>
      </c>
      <c r="L4427" s="5">
        <f>ROUND(tblSales[[#This Row],[DPP (excl. VAT)]]*VATEff,0)</f>
        <v>39600</v>
      </c>
      <c r="M4427" s="5">
        <f>tblSales[[#This Row],[DPP (excl. VAT)]]+tblSales[[#This Row],[Output VAT]]</f>
        <v>399600</v>
      </c>
      <c r="N4427" s="5">
        <f>tblSales[[#This Row],[Qty]]*_xlfn.XLOOKUP(tblSales[[#This Row],[Product Code]],tblProducts[Code],tblProducts[Unit Cost],0)</f>
        <v>216000</v>
      </c>
      <c r="O4427" s="4" t="s">
        <v>4866</v>
      </c>
      <c r="P4427" s="4" t="s">
        <v>4862</v>
      </c>
      <c r="Q4427" s="1" t="str">
        <f>_xlfn.XLOOKUP(tblSales[[#This Row],[Channel Code]],tblChannels[Channel Code],tblChannels[Channel Name],"")</f>
        <v>Website &amp; Social Media</v>
      </c>
      <c r="R4427" s="1">
        <f>MONTH(tblSales[[#This Row],[Date]])</f>
        <v>9</v>
      </c>
    </row>
    <row r="4428" spans="2:18" x14ac:dyDescent="0.35">
      <c r="B4428" s="113">
        <v>46289</v>
      </c>
      <c r="C4428" s="4" t="s">
        <v>2995</v>
      </c>
      <c r="D4428" s="4" t="s">
        <v>4568</v>
      </c>
      <c r="E4428" s="1" t="str">
        <f>_xlfn.XLOOKUP(tblSales[[#This Row],[Customer ID]],tblCustomers[Customer ID],tblCustomers[Customer Name],"⚠ Unknown")</f>
        <v>Walk-in Customer</v>
      </c>
      <c r="F4428" s="4" t="s">
        <v>8</v>
      </c>
      <c r="G4428" s="1" t="str">
        <f>_xlfn.XLOOKUP(tblSales[[#This Row],[Product Code]],tblProducts[Code],tblProducts[Product / Service Name],"⚠ Unknown")</f>
        <v>Casual Shorts</v>
      </c>
      <c r="H4428" s="1" t="str">
        <f>_xlfn.XLOOKUP(tblSales[[#This Row],[Product Code]],tblProducts[Code],tblProducts[Category],"")</f>
        <v>Accessories &amp; Basics</v>
      </c>
      <c r="I4428" s="4">
        <v>10</v>
      </c>
      <c r="J4428" s="5">
        <f>_xlfn.XLOOKUP(tblSales[[#This Row],[Product Code]],tblProducts[Code],tblProducts[Selling Price (excl. VAT)],0)</f>
        <v>85000</v>
      </c>
      <c r="K4428" s="5">
        <f>tblSales[[#This Row],[Qty]]*tblSales[[#This Row],[Unit Price]]</f>
        <v>850000</v>
      </c>
      <c r="L4428" s="5">
        <f>ROUND(tblSales[[#This Row],[DPP (excl. VAT)]]*VATEff,0)</f>
        <v>93500</v>
      </c>
      <c r="M4428" s="5">
        <f>tblSales[[#This Row],[DPP (excl. VAT)]]+tblSales[[#This Row],[Output VAT]]</f>
        <v>943500</v>
      </c>
      <c r="N4428" s="5">
        <f>tblSales[[#This Row],[Qty]]*_xlfn.XLOOKUP(tblSales[[#This Row],[Product Code]],tblProducts[Code],tblProducts[Unit Cost],0)</f>
        <v>500000</v>
      </c>
      <c r="O4428" s="4" t="s">
        <v>4866</v>
      </c>
      <c r="P4428" s="4" t="s">
        <v>4860</v>
      </c>
      <c r="Q4428" s="1" t="str">
        <f>_xlfn.XLOOKUP(tblSales[[#This Row],[Channel Code]],tblChannels[Channel Code],tblChannels[Channel Name],"")</f>
        <v>In-store</v>
      </c>
      <c r="R4428" s="1">
        <f>MONTH(tblSales[[#This Row],[Date]])</f>
        <v>9</v>
      </c>
    </row>
    <row r="4429" spans="2:18" x14ac:dyDescent="0.35">
      <c r="B4429" s="113">
        <v>46289</v>
      </c>
      <c r="C4429" s="4" t="s">
        <v>2996</v>
      </c>
      <c r="D4429" s="4" t="s">
        <v>4568</v>
      </c>
      <c r="E4429" s="1" t="str">
        <f>_xlfn.XLOOKUP(tblSales[[#This Row],[Customer ID]],tblCustomers[Customer ID],tblCustomers[Customer Name],"⚠ Unknown")</f>
        <v>Walk-in Customer</v>
      </c>
      <c r="F4429" s="4" t="s">
        <v>6</v>
      </c>
      <c r="G4429" s="1" t="str">
        <f>_xlfn.XLOOKUP(tblSales[[#This Row],[Product Code]],tblProducts[Code],tblProducts[Product / Service Name],"⚠ Unknown")</f>
        <v>Socks &amp; Accessories</v>
      </c>
      <c r="H4429" s="1" t="str">
        <f>_xlfn.XLOOKUP(tblSales[[#This Row],[Product Code]],tblProducts[Code],tblProducts[Category],"")</f>
        <v>Accessories &amp; Basics</v>
      </c>
      <c r="I4429" s="4">
        <v>4</v>
      </c>
      <c r="J4429" s="5">
        <f>_xlfn.XLOOKUP(tblSales[[#This Row],[Product Code]],tblProducts[Code],tblProducts[Selling Price (excl. VAT)],0)</f>
        <v>45000</v>
      </c>
      <c r="K4429" s="5">
        <f>tblSales[[#This Row],[Qty]]*tblSales[[#This Row],[Unit Price]]</f>
        <v>180000</v>
      </c>
      <c r="L4429" s="5">
        <f>ROUND(tblSales[[#This Row],[DPP (excl. VAT)]]*VATEff,0)</f>
        <v>19800</v>
      </c>
      <c r="M4429" s="5">
        <f>tblSales[[#This Row],[DPP (excl. VAT)]]+tblSales[[#This Row],[Output VAT]]</f>
        <v>199800</v>
      </c>
      <c r="N4429" s="5">
        <f>tblSales[[#This Row],[Qty]]*_xlfn.XLOOKUP(tblSales[[#This Row],[Product Code]],tblProducts[Code],tblProducts[Unit Cost],0)</f>
        <v>96000</v>
      </c>
      <c r="O4429" s="4" t="s">
        <v>4866</v>
      </c>
      <c r="P4429" s="4" t="s">
        <v>4860</v>
      </c>
      <c r="Q4429" s="1" t="str">
        <f>_xlfn.XLOOKUP(tblSales[[#This Row],[Channel Code]],tblChannels[Channel Code],tblChannels[Channel Name],"")</f>
        <v>In-store</v>
      </c>
      <c r="R4429" s="1">
        <f>MONTH(tblSales[[#This Row],[Date]])</f>
        <v>9</v>
      </c>
    </row>
    <row r="4430" spans="2:18" x14ac:dyDescent="0.35">
      <c r="B4430" s="113">
        <v>46289</v>
      </c>
      <c r="C4430" s="4" t="s">
        <v>2997</v>
      </c>
      <c r="D4430" s="4" t="s">
        <v>4568</v>
      </c>
      <c r="E4430" s="1" t="str">
        <f>_xlfn.XLOOKUP(tblSales[[#This Row],[Customer ID]],tblCustomers[Customer ID],tblCustomers[Customer Name],"⚠ Unknown")</f>
        <v>Walk-in Customer</v>
      </c>
      <c r="F4430" s="4" t="s">
        <v>6</v>
      </c>
      <c r="G4430" s="1" t="str">
        <f>_xlfn.XLOOKUP(tblSales[[#This Row],[Product Code]],tblProducts[Code],tblProducts[Product / Service Name],"⚠ Unknown")</f>
        <v>Socks &amp; Accessories</v>
      </c>
      <c r="H4430" s="1" t="str">
        <f>_xlfn.XLOOKUP(tblSales[[#This Row],[Product Code]],tblProducts[Code],tblProducts[Category],"")</f>
        <v>Accessories &amp; Basics</v>
      </c>
      <c r="I4430" s="4">
        <v>4</v>
      </c>
      <c r="J4430" s="5">
        <f>_xlfn.XLOOKUP(tblSales[[#This Row],[Product Code]],tblProducts[Code],tblProducts[Selling Price (excl. VAT)],0)</f>
        <v>45000</v>
      </c>
      <c r="K4430" s="5">
        <f>tblSales[[#This Row],[Qty]]*tblSales[[#This Row],[Unit Price]]</f>
        <v>180000</v>
      </c>
      <c r="L4430" s="5">
        <f>ROUND(tblSales[[#This Row],[DPP (excl. VAT)]]*VATEff,0)</f>
        <v>19800</v>
      </c>
      <c r="M4430" s="5">
        <f>tblSales[[#This Row],[DPP (excl. VAT)]]+tblSales[[#This Row],[Output VAT]]</f>
        <v>199800</v>
      </c>
      <c r="N4430" s="5">
        <f>tblSales[[#This Row],[Qty]]*_xlfn.XLOOKUP(tblSales[[#This Row],[Product Code]],tblProducts[Code],tblProducts[Unit Cost],0)</f>
        <v>96000</v>
      </c>
      <c r="O4430" s="4" t="s">
        <v>4866</v>
      </c>
      <c r="P4430" s="4" t="s">
        <v>4860</v>
      </c>
      <c r="Q4430" s="1" t="str">
        <f>_xlfn.XLOOKUP(tblSales[[#This Row],[Channel Code]],tblChannels[Channel Code],tblChannels[Channel Name],"")</f>
        <v>In-store</v>
      </c>
      <c r="R4430" s="1">
        <f>MONTH(tblSales[[#This Row],[Date]])</f>
        <v>9</v>
      </c>
    </row>
    <row r="4431" spans="2:18" x14ac:dyDescent="0.35">
      <c r="B4431" s="113">
        <v>46290</v>
      </c>
      <c r="C4431" s="4" t="s">
        <v>2998</v>
      </c>
      <c r="D4431" s="4" t="s">
        <v>4568</v>
      </c>
      <c r="E4431" s="1" t="str">
        <f>_xlfn.XLOOKUP(tblSales[[#This Row],[Customer ID]],tblCustomers[Customer ID],tblCustomers[Customer Name],"⚠ Unknown")</f>
        <v>Walk-in Customer</v>
      </c>
      <c r="F4431" s="4" t="s">
        <v>6</v>
      </c>
      <c r="G4431" s="1" t="str">
        <f>_xlfn.XLOOKUP(tblSales[[#This Row],[Product Code]],tblProducts[Code],tblProducts[Product / Service Name],"⚠ Unknown")</f>
        <v>Socks &amp; Accessories</v>
      </c>
      <c r="H4431" s="1" t="str">
        <f>_xlfn.XLOOKUP(tblSales[[#This Row],[Product Code]],tblProducts[Code],tblProducts[Category],"")</f>
        <v>Accessories &amp; Basics</v>
      </c>
      <c r="I4431" s="4">
        <v>5</v>
      </c>
      <c r="J4431" s="5">
        <f>_xlfn.XLOOKUP(tblSales[[#This Row],[Product Code]],tblProducts[Code],tblProducts[Selling Price (excl. VAT)],0)</f>
        <v>45000</v>
      </c>
      <c r="K4431" s="5">
        <f>tblSales[[#This Row],[Qty]]*tblSales[[#This Row],[Unit Price]]</f>
        <v>225000</v>
      </c>
      <c r="L4431" s="5">
        <f>ROUND(tblSales[[#This Row],[DPP (excl. VAT)]]*VATEff,0)</f>
        <v>24750</v>
      </c>
      <c r="M4431" s="5">
        <f>tblSales[[#This Row],[DPP (excl. VAT)]]+tblSales[[#This Row],[Output VAT]]</f>
        <v>249750</v>
      </c>
      <c r="N4431" s="5">
        <f>tblSales[[#This Row],[Qty]]*_xlfn.XLOOKUP(tblSales[[#This Row],[Product Code]],tblProducts[Code],tblProducts[Unit Cost],0)</f>
        <v>120000</v>
      </c>
      <c r="O4431" s="4" t="s">
        <v>4866</v>
      </c>
      <c r="P4431" s="4" t="s">
        <v>4861</v>
      </c>
      <c r="Q4431" s="1" t="str">
        <f>_xlfn.XLOOKUP(tblSales[[#This Row],[Channel Code]],tblChannels[Channel Code],tblChannels[Channel Name],"")</f>
        <v>Marketplace</v>
      </c>
      <c r="R4431" s="1">
        <f>MONTH(tblSales[[#This Row],[Date]])</f>
        <v>9</v>
      </c>
    </row>
    <row r="4432" spans="2:18" x14ac:dyDescent="0.35">
      <c r="B4432" s="113">
        <v>46290</v>
      </c>
      <c r="C4432" s="4" t="s">
        <v>2999</v>
      </c>
      <c r="D4432" s="4" t="s">
        <v>4568</v>
      </c>
      <c r="E4432" s="1" t="str">
        <f>_xlfn.XLOOKUP(tblSales[[#This Row],[Customer ID]],tblCustomers[Customer ID],tblCustomers[Customer Name],"⚠ Unknown")</f>
        <v>Walk-in Customer</v>
      </c>
      <c r="F4432" s="4" t="s">
        <v>6</v>
      </c>
      <c r="G4432" s="1" t="str">
        <f>_xlfn.XLOOKUP(tblSales[[#This Row],[Product Code]],tblProducts[Code],tblProducts[Product / Service Name],"⚠ Unknown")</f>
        <v>Socks &amp; Accessories</v>
      </c>
      <c r="H4432" s="1" t="str">
        <f>_xlfn.XLOOKUP(tblSales[[#This Row],[Product Code]],tblProducts[Code],tblProducts[Category],"")</f>
        <v>Accessories &amp; Basics</v>
      </c>
      <c r="I4432" s="4">
        <v>1</v>
      </c>
      <c r="J4432" s="5">
        <f>_xlfn.XLOOKUP(tblSales[[#This Row],[Product Code]],tblProducts[Code],tblProducts[Selling Price (excl. VAT)],0)</f>
        <v>45000</v>
      </c>
      <c r="K4432" s="5">
        <f>tblSales[[#This Row],[Qty]]*tblSales[[#This Row],[Unit Price]]</f>
        <v>45000</v>
      </c>
      <c r="L4432" s="5">
        <f>ROUND(tblSales[[#This Row],[DPP (excl. VAT)]]*VATEff,0)</f>
        <v>4950</v>
      </c>
      <c r="M4432" s="5">
        <f>tblSales[[#This Row],[DPP (excl. VAT)]]+tblSales[[#This Row],[Output VAT]]</f>
        <v>49950</v>
      </c>
      <c r="N4432" s="5">
        <f>tblSales[[#This Row],[Qty]]*_xlfn.XLOOKUP(tblSales[[#This Row],[Product Code]],tblProducts[Code],tblProducts[Unit Cost],0)</f>
        <v>24000</v>
      </c>
      <c r="O4432" s="4" t="s">
        <v>4866</v>
      </c>
      <c r="P4432" s="4" t="s">
        <v>4862</v>
      </c>
      <c r="Q4432" s="1" t="str">
        <f>_xlfn.XLOOKUP(tblSales[[#This Row],[Channel Code]],tblChannels[Channel Code],tblChannels[Channel Name],"")</f>
        <v>Website &amp; Social Media</v>
      </c>
      <c r="R4432" s="1">
        <f>MONTH(tblSales[[#This Row],[Date]])</f>
        <v>9</v>
      </c>
    </row>
    <row r="4433" spans="2:18" x14ac:dyDescent="0.35">
      <c r="B4433" s="113">
        <v>46290</v>
      </c>
      <c r="C4433" s="4" t="s">
        <v>3000</v>
      </c>
      <c r="D4433" s="4" t="s">
        <v>4568</v>
      </c>
      <c r="E4433" s="1" t="str">
        <f>_xlfn.XLOOKUP(tblSales[[#This Row],[Customer ID]],tblCustomers[Customer ID],tblCustomers[Customer Name],"⚠ Unknown")</f>
        <v>Walk-in Customer</v>
      </c>
      <c r="F4433" s="4" t="s">
        <v>11</v>
      </c>
      <c r="G4433" s="1" t="str">
        <f>_xlfn.XLOOKUP(tblSales[[#This Row],[Product Code]],tblProducts[Code],tblProducts[Product / Service Name],"⚠ Unknown")</f>
        <v>Sneakers</v>
      </c>
      <c r="H4433" s="1" t="str">
        <f>_xlfn.XLOOKUP(tblSales[[#This Row],[Product Code]],tblProducts[Code],tblProducts[Category],"")</f>
        <v>Apparel &amp; Footwear</v>
      </c>
      <c r="I4433" s="4">
        <v>6</v>
      </c>
      <c r="J4433" s="5">
        <f>_xlfn.XLOOKUP(tblSales[[#This Row],[Product Code]],tblProducts[Code],tblProducts[Selling Price (excl. VAT)],0)</f>
        <v>250000</v>
      </c>
      <c r="K4433" s="5">
        <f>tblSales[[#This Row],[Qty]]*tblSales[[#This Row],[Unit Price]]</f>
        <v>1500000</v>
      </c>
      <c r="L4433" s="5">
        <f>ROUND(tblSales[[#This Row],[DPP (excl. VAT)]]*VATEff,0)</f>
        <v>165000</v>
      </c>
      <c r="M4433" s="5">
        <f>tblSales[[#This Row],[DPP (excl. VAT)]]+tblSales[[#This Row],[Output VAT]]</f>
        <v>1665000</v>
      </c>
      <c r="N4433" s="5">
        <f>tblSales[[#This Row],[Qty]]*_xlfn.XLOOKUP(tblSales[[#This Row],[Product Code]],tblProducts[Code],tblProducts[Unit Cost],0)</f>
        <v>930000</v>
      </c>
      <c r="O4433" s="4" t="s">
        <v>4865</v>
      </c>
      <c r="P4433" s="4" t="s">
        <v>4860</v>
      </c>
      <c r="Q4433" s="1" t="str">
        <f>_xlfn.XLOOKUP(tblSales[[#This Row],[Channel Code]],tblChannels[Channel Code],tblChannels[Channel Name],"")</f>
        <v>In-store</v>
      </c>
      <c r="R4433" s="1">
        <f>MONTH(tblSales[[#This Row],[Date]])</f>
        <v>9</v>
      </c>
    </row>
    <row r="4434" spans="2:18" x14ac:dyDescent="0.35">
      <c r="B4434" s="113">
        <v>46290</v>
      </c>
      <c r="C4434" s="4" t="s">
        <v>3000</v>
      </c>
      <c r="D4434" s="4" t="s">
        <v>4568</v>
      </c>
      <c r="E4434" s="1" t="str">
        <f>_xlfn.XLOOKUP(tblSales[[#This Row],[Customer ID]],tblCustomers[Customer ID],tblCustomers[Customer Name],"⚠ Unknown")</f>
        <v>Walk-in Customer</v>
      </c>
      <c r="F4434" s="4" t="s">
        <v>9</v>
      </c>
      <c r="G4434" s="1" t="str">
        <f>_xlfn.XLOOKUP(tblSales[[#This Row],[Product Code]],tblProducts[Code],tblProducts[Product / Service Name],"⚠ Unknown")</f>
        <v>Casual Shirt</v>
      </c>
      <c r="H4434" s="1" t="str">
        <f>_xlfn.XLOOKUP(tblSales[[#This Row],[Product Code]],tblProducts[Code],tblProducts[Category],"")</f>
        <v>Apparel &amp; Footwear</v>
      </c>
      <c r="I4434" s="4">
        <v>1</v>
      </c>
      <c r="J4434" s="5">
        <f>_xlfn.XLOOKUP(tblSales[[#This Row],[Product Code]],tblProducts[Code],tblProducts[Selling Price (excl. VAT)],0)</f>
        <v>120000</v>
      </c>
      <c r="K4434" s="5">
        <f>tblSales[[#This Row],[Qty]]*tblSales[[#This Row],[Unit Price]]</f>
        <v>120000</v>
      </c>
      <c r="L4434" s="5">
        <f>ROUND(tblSales[[#This Row],[DPP (excl. VAT)]]*VATEff,0)</f>
        <v>13200</v>
      </c>
      <c r="M4434" s="5">
        <f>tblSales[[#This Row],[DPP (excl. VAT)]]+tblSales[[#This Row],[Output VAT]]</f>
        <v>133200</v>
      </c>
      <c r="N4434" s="5">
        <f>tblSales[[#This Row],[Qty]]*_xlfn.XLOOKUP(tblSales[[#This Row],[Product Code]],tblProducts[Code],tblProducts[Unit Cost],0)</f>
        <v>72000</v>
      </c>
      <c r="O4434" s="4" t="s">
        <v>4865</v>
      </c>
      <c r="P4434" s="4" t="s">
        <v>4860</v>
      </c>
      <c r="Q4434" s="1" t="str">
        <f>_xlfn.XLOOKUP(tblSales[[#This Row],[Channel Code]],tblChannels[Channel Code],tblChannels[Channel Name],"")</f>
        <v>In-store</v>
      </c>
      <c r="R4434" s="1">
        <f>MONTH(tblSales[[#This Row],[Date]])</f>
        <v>9</v>
      </c>
    </row>
    <row r="4435" spans="2:18" x14ac:dyDescent="0.35">
      <c r="B4435" s="113">
        <v>46290</v>
      </c>
      <c r="C4435" s="4" t="s">
        <v>3000</v>
      </c>
      <c r="D4435" s="4" t="s">
        <v>4568</v>
      </c>
      <c r="E4435" s="1" t="str">
        <f>_xlfn.XLOOKUP(tblSales[[#This Row],[Customer ID]],tblCustomers[Customer ID],tblCustomers[Customer Name],"⚠ Unknown")</f>
        <v>Walk-in Customer</v>
      </c>
      <c r="F4435" s="4" t="s">
        <v>7</v>
      </c>
      <c r="G4435" s="1" t="str">
        <f>_xlfn.XLOOKUP(tblSales[[#This Row],[Product Code]],tblProducts[Code],tblProducts[Product / Service Name],"⚠ Unknown")</f>
        <v>Premium Basic T-shirt</v>
      </c>
      <c r="H4435" s="1" t="str">
        <f>_xlfn.XLOOKUP(tblSales[[#This Row],[Product Code]],tblProducts[Code],tblProducts[Category],"")</f>
        <v>Accessories &amp; Basics</v>
      </c>
      <c r="I4435" s="4">
        <v>7</v>
      </c>
      <c r="J4435" s="5">
        <f>_xlfn.XLOOKUP(tblSales[[#This Row],[Product Code]],tblProducts[Code],tblProducts[Selling Price (excl. VAT)],0)</f>
        <v>65000</v>
      </c>
      <c r="K4435" s="5">
        <f>tblSales[[#This Row],[Qty]]*tblSales[[#This Row],[Unit Price]]</f>
        <v>455000</v>
      </c>
      <c r="L4435" s="5">
        <f>ROUND(tblSales[[#This Row],[DPP (excl. VAT)]]*VATEff,0)</f>
        <v>50050</v>
      </c>
      <c r="M4435" s="5">
        <f>tblSales[[#This Row],[DPP (excl. VAT)]]+tblSales[[#This Row],[Output VAT]]</f>
        <v>505050</v>
      </c>
      <c r="N4435" s="5">
        <f>tblSales[[#This Row],[Qty]]*_xlfn.XLOOKUP(tblSales[[#This Row],[Product Code]],tblProducts[Code],tblProducts[Unit Cost],0)</f>
        <v>259000</v>
      </c>
      <c r="O4435" s="4" t="s">
        <v>4865</v>
      </c>
      <c r="P4435" s="4" t="s">
        <v>4860</v>
      </c>
      <c r="Q4435" s="1" t="str">
        <f>_xlfn.XLOOKUP(tblSales[[#This Row],[Channel Code]],tblChannels[Channel Code],tblChannels[Channel Name],"")</f>
        <v>In-store</v>
      </c>
      <c r="R4435" s="1">
        <f>MONTH(tblSales[[#This Row],[Date]])</f>
        <v>9</v>
      </c>
    </row>
    <row r="4436" spans="2:18" x14ac:dyDescent="0.35">
      <c r="B4436" s="113">
        <v>46290</v>
      </c>
      <c r="C4436" s="4" t="s">
        <v>3001</v>
      </c>
      <c r="D4436" s="4" t="s">
        <v>4568</v>
      </c>
      <c r="E4436" s="1" t="str">
        <f>_xlfn.XLOOKUP(tblSales[[#This Row],[Customer ID]],tblCustomers[Customer ID],tblCustomers[Customer Name],"⚠ Unknown")</f>
        <v>Walk-in Customer</v>
      </c>
      <c r="F4436" s="4" t="s">
        <v>8</v>
      </c>
      <c r="G4436" s="1" t="str">
        <f>_xlfn.XLOOKUP(tblSales[[#This Row],[Product Code]],tblProducts[Code],tblProducts[Product / Service Name],"⚠ Unknown")</f>
        <v>Casual Shorts</v>
      </c>
      <c r="H4436" s="1" t="str">
        <f>_xlfn.XLOOKUP(tblSales[[#This Row],[Product Code]],tblProducts[Code],tblProducts[Category],"")</f>
        <v>Accessories &amp; Basics</v>
      </c>
      <c r="I4436" s="4">
        <v>2</v>
      </c>
      <c r="J4436" s="5">
        <f>_xlfn.XLOOKUP(tblSales[[#This Row],[Product Code]],tblProducts[Code],tblProducts[Selling Price (excl. VAT)],0)</f>
        <v>85000</v>
      </c>
      <c r="K4436" s="5">
        <f>tblSales[[#This Row],[Qty]]*tblSales[[#This Row],[Unit Price]]</f>
        <v>170000</v>
      </c>
      <c r="L4436" s="5">
        <f>ROUND(tblSales[[#This Row],[DPP (excl. VAT)]]*VATEff,0)</f>
        <v>18700</v>
      </c>
      <c r="M4436" s="5">
        <f>tblSales[[#This Row],[DPP (excl. VAT)]]+tblSales[[#This Row],[Output VAT]]</f>
        <v>188700</v>
      </c>
      <c r="N4436" s="5">
        <f>tblSales[[#This Row],[Qty]]*_xlfn.XLOOKUP(tblSales[[#This Row],[Product Code]],tblProducts[Code],tblProducts[Unit Cost],0)</f>
        <v>100000</v>
      </c>
      <c r="O4436" s="4" t="s">
        <v>4866</v>
      </c>
      <c r="P4436" s="4" t="s">
        <v>4861</v>
      </c>
      <c r="Q4436" s="1" t="str">
        <f>_xlfn.XLOOKUP(tblSales[[#This Row],[Channel Code]],tblChannels[Channel Code],tblChannels[Channel Name],"")</f>
        <v>Marketplace</v>
      </c>
      <c r="R4436" s="1">
        <f>MONTH(tblSales[[#This Row],[Date]])</f>
        <v>9</v>
      </c>
    </row>
    <row r="4437" spans="2:18" x14ac:dyDescent="0.35">
      <c r="B4437" s="113">
        <v>46290</v>
      </c>
      <c r="C4437" s="4" t="s">
        <v>3002</v>
      </c>
      <c r="D4437" s="4" t="s">
        <v>4568</v>
      </c>
      <c r="E4437" s="1" t="str">
        <f>_xlfn.XLOOKUP(tblSales[[#This Row],[Customer ID]],tblCustomers[Customer ID],tblCustomers[Customer Name],"⚠ Unknown")</f>
        <v>Walk-in Customer</v>
      </c>
      <c r="F4437" s="4" t="s">
        <v>11</v>
      </c>
      <c r="G4437" s="1" t="str">
        <f>_xlfn.XLOOKUP(tblSales[[#This Row],[Product Code]],tblProducts[Code],tblProducts[Product / Service Name],"⚠ Unknown")</f>
        <v>Sneakers</v>
      </c>
      <c r="H4437" s="1" t="str">
        <f>_xlfn.XLOOKUP(tblSales[[#This Row],[Product Code]],tblProducts[Code],tblProducts[Category],"")</f>
        <v>Apparel &amp; Footwear</v>
      </c>
      <c r="I4437" s="4">
        <v>6</v>
      </c>
      <c r="J4437" s="5">
        <f>_xlfn.XLOOKUP(tblSales[[#This Row],[Product Code]],tblProducts[Code],tblProducts[Selling Price (excl. VAT)],0)</f>
        <v>250000</v>
      </c>
      <c r="K4437" s="5">
        <f>tblSales[[#This Row],[Qty]]*tblSales[[#This Row],[Unit Price]]</f>
        <v>1500000</v>
      </c>
      <c r="L4437" s="5">
        <f>ROUND(tblSales[[#This Row],[DPP (excl. VAT)]]*VATEff,0)</f>
        <v>165000</v>
      </c>
      <c r="M4437" s="5">
        <f>tblSales[[#This Row],[DPP (excl. VAT)]]+tblSales[[#This Row],[Output VAT]]</f>
        <v>1665000</v>
      </c>
      <c r="N4437" s="5">
        <f>tblSales[[#This Row],[Qty]]*_xlfn.XLOOKUP(tblSales[[#This Row],[Product Code]],tblProducts[Code],tblProducts[Unit Cost],0)</f>
        <v>930000</v>
      </c>
      <c r="O4437" s="4" t="s">
        <v>4866</v>
      </c>
      <c r="P4437" s="4" t="s">
        <v>4861</v>
      </c>
      <c r="Q4437" s="1" t="str">
        <f>_xlfn.XLOOKUP(tblSales[[#This Row],[Channel Code]],tblChannels[Channel Code],tblChannels[Channel Name],"")</f>
        <v>Marketplace</v>
      </c>
      <c r="R4437" s="1">
        <f>MONTH(tblSales[[#This Row],[Date]])</f>
        <v>9</v>
      </c>
    </row>
    <row r="4438" spans="2:18" x14ac:dyDescent="0.35">
      <c r="B4438" s="113">
        <v>46290</v>
      </c>
      <c r="C4438" s="4" t="s">
        <v>3003</v>
      </c>
      <c r="D4438" s="4" t="s">
        <v>4568</v>
      </c>
      <c r="E4438" s="1" t="str">
        <f>_xlfn.XLOOKUP(tblSales[[#This Row],[Customer ID]],tblCustomers[Customer ID],tblCustomers[Customer Name],"⚠ Unknown")</f>
        <v>Walk-in Customer</v>
      </c>
      <c r="F4438" s="4" t="s">
        <v>7</v>
      </c>
      <c r="G4438" s="1" t="str">
        <f>_xlfn.XLOOKUP(tblSales[[#This Row],[Product Code]],tblProducts[Code],tblProducts[Product / Service Name],"⚠ Unknown")</f>
        <v>Premium Basic T-shirt</v>
      </c>
      <c r="H4438" s="1" t="str">
        <f>_xlfn.XLOOKUP(tblSales[[#This Row],[Product Code]],tblProducts[Code],tblProducts[Category],"")</f>
        <v>Accessories &amp; Basics</v>
      </c>
      <c r="I4438" s="4">
        <v>8</v>
      </c>
      <c r="J4438" s="5">
        <f>_xlfn.XLOOKUP(tblSales[[#This Row],[Product Code]],tblProducts[Code],tblProducts[Selling Price (excl. VAT)],0)</f>
        <v>65000</v>
      </c>
      <c r="K4438" s="5">
        <f>tblSales[[#This Row],[Qty]]*tblSales[[#This Row],[Unit Price]]</f>
        <v>520000</v>
      </c>
      <c r="L4438" s="5">
        <f>ROUND(tblSales[[#This Row],[DPP (excl. VAT)]]*VATEff,0)</f>
        <v>57200</v>
      </c>
      <c r="M4438" s="5">
        <f>tblSales[[#This Row],[DPP (excl. VAT)]]+tblSales[[#This Row],[Output VAT]]</f>
        <v>577200</v>
      </c>
      <c r="N4438" s="5">
        <f>tblSales[[#This Row],[Qty]]*_xlfn.XLOOKUP(tblSales[[#This Row],[Product Code]],tblProducts[Code],tblProducts[Unit Cost],0)</f>
        <v>296000</v>
      </c>
      <c r="O4438" s="4" t="s">
        <v>4866</v>
      </c>
      <c r="P4438" s="4" t="s">
        <v>4860</v>
      </c>
      <c r="Q4438" s="1" t="str">
        <f>_xlfn.XLOOKUP(tblSales[[#This Row],[Channel Code]],tblChannels[Channel Code],tblChannels[Channel Name],"")</f>
        <v>In-store</v>
      </c>
      <c r="R4438" s="1">
        <f>MONTH(tblSales[[#This Row],[Date]])</f>
        <v>9</v>
      </c>
    </row>
    <row r="4439" spans="2:18" x14ac:dyDescent="0.35">
      <c r="B4439" s="113">
        <v>46290</v>
      </c>
      <c r="C4439" s="4" t="s">
        <v>3004</v>
      </c>
      <c r="D4439" s="4" t="s">
        <v>4572</v>
      </c>
      <c r="E4439" s="1" t="str">
        <f>_xlfn.XLOOKUP(tblSales[[#This Row],[Customer ID]],tblCustomers[Customer ID],tblCustomers[Customer Name],"⚠ Unknown")</f>
        <v>PT Cahaya Abadi Makmur</v>
      </c>
      <c r="F4439" s="4" t="s">
        <v>9</v>
      </c>
      <c r="G4439" s="1" t="str">
        <f>_xlfn.XLOOKUP(tblSales[[#This Row],[Product Code]],tblProducts[Code],tblProducts[Product / Service Name],"⚠ Unknown")</f>
        <v>Casual Shirt</v>
      </c>
      <c r="H4439" s="1" t="str">
        <f>_xlfn.XLOOKUP(tblSales[[#This Row],[Product Code]],tblProducts[Code],tblProducts[Category],"")</f>
        <v>Apparel &amp; Footwear</v>
      </c>
      <c r="I4439" s="4">
        <v>32</v>
      </c>
      <c r="J4439" s="5">
        <f>_xlfn.XLOOKUP(tblSales[[#This Row],[Product Code]],tblProducts[Code],tblProducts[Selling Price (excl. VAT)],0)</f>
        <v>120000</v>
      </c>
      <c r="K4439" s="5">
        <f>tblSales[[#This Row],[Qty]]*tblSales[[#This Row],[Unit Price]]</f>
        <v>3840000</v>
      </c>
      <c r="L4439" s="5">
        <f>ROUND(tblSales[[#This Row],[DPP (excl. VAT)]]*VATEff,0)</f>
        <v>422400</v>
      </c>
      <c r="M4439" s="5">
        <f>tblSales[[#This Row],[DPP (excl. VAT)]]+tblSales[[#This Row],[Output VAT]]</f>
        <v>4262400</v>
      </c>
      <c r="N4439" s="5">
        <f>tblSales[[#This Row],[Qty]]*_xlfn.XLOOKUP(tblSales[[#This Row],[Product Code]],tblProducts[Code],tblProducts[Unit Cost],0)</f>
        <v>2304000</v>
      </c>
      <c r="O4439" s="4" t="s">
        <v>4867</v>
      </c>
      <c r="P4439" s="4" t="s">
        <v>4860</v>
      </c>
      <c r="Q4439" s="1" t="str">
        <f>_xlfn.XLOOKUP(tblSales[[#This Row],[Channel Code]],tblChannels[Channel Code],tblChannels[Channel Name],"")</f>
        <v>In-store</v>
      </c>
      <c r="R4439" s="1">
        <f>MONTH(tblSales[[#This Row],[Date]])</f>
        <v>9</v>
      </c>
    </row>
    <row r="4440" spans="2:18" x14ac:dyDescent="0.35">
      <c r="B4440" s="113">
        <v>46290</v>
      </c>
      <c r="C4440" s="4" t="s">
        <v>3005</v>
      </c>
      <c r="D4440" s="4" t="s">
        <v>4634</v>
      </c>
      <c r="E4440" s="1" t="str">
        <f>_xlfn.XLOOKUP(tblSales[[#This Row],[Customer ID]],tblCustomers[Customer ID],tblCustomers[Customer Name],"⚠ Unknown")</f>
        <v>PT Delta Inti Selaras</v>
      </c>
      <c r="F4440" s="4" t="s">
        <v>8</v>
      </c>
      <c r="G4440" s="1" t="str">
        <f>_xlfn.XLOOKUP(tblSales[[#This Row],[Product Code]],tblProducts[Code],tblProducts[Product / Service Name],"⚠ Unknown")</f>
        <v>Casual Shorts</v>
      </c>
      <c r="H4440" s="1" t="str">
        <f>_xlfn.XLOOKUP(tblSales[[#This Row],[Product Code]],tblProducts[Code],tblProducts[Category],"")</f>
        <v>Accessories &amp; Basics</v>
      </c>
      <c r="I4440" s="4">
        <v>48</v>
      </c>
      <c r="J4440" s="5">
        <f>_xlfn.XLOOKUP(tblSales[[#This Row],[Product Code]],tblProducts[Code],tblProducts[Selling Price (excl. VAT)],0)</f>
        <v>85000</v>
      </c>
      <c r="K4440" s="5">
        <f>tblSales[[#This Row],[Qty]]*tblSales[[#This Row],[Unit Price]]</f>
        <v>4080000</v>
      </c>
      <c r="L4440" s="5">
        <f>ROUND(tblSales[[#This Row],[DPP (excl. VAT)]]*VATEff,0)</f>
        <v>448800</v>
      </c>
      <c r="M4440" s="5">
        <f>tblSales[[#This Row],[DPP (excl. VAT)]]+tblSales[[#This Row],[Output VAT]]</f>
        <v>4528800</v>
      </c>
      <c r="N4440" s="5">
        <f>tblSales[[#This Row],[Qty]]*_xlfn.XLOOKUP(tblSales[[#This Row],[Product Code]],tblProducts[Code],tblProducts[Unit Cost],0)</f>
        <v>2400000</v>
      </c>
      <c r="O4440" s="4" t="s">
        <v>4867</v>
      </c>
      <c r="P4440" s="4" t="s">
        <v>4860</v>
      </c>
      <c r="Q4440" s="1" t="str">
        <f>_xlfn.XLOOKUP(tblSales[[#This Row],[Channel Code]],tblChannels[Channel Code],tblChannels[Channel Name],"")</f>
        <v>In-store</v>
      </c>
      <c r="R4440" s="1">
        <f>MONTH(tblSales[[#This Row],[Date]])</f>
        <v>9</v>
      </c>
    </row>
    <row r="4441" spans="2:18" x14ac:dyDescent="0.35">
      <c r="B4441" s="113">
        <v>46290</v>
      </c>
      <c r="C4441" s="4" t="s">
        <v>3005</v>
      </c>
      <c r="D4441" s="4" t="s">
        <v>4634</v>
      </c>
      <c r="E4441" s="1" t="str">
        <f>_xlfn.XLOOKUP(tblSales[[#This Row],[Customer ID]],tblCustomers[Customer ID],tblCustomers[Customer Name],"⚠ Unknown")</f>
        <v>PT Delta Inti Selaras</v>
      </c>
      <c r="F4441" s="4" t="s">
        <v>7</v>
      </c>
      <c r="G4441" s="1" t="str">
        <f>_xlfn.XLOOKUP(tblSales[[#This Row],[Product Code]],tblProducts[Code],tblProducts[Product / Service Name],"⚠ Unknown")</f>
        <v>Premium Basic T-shirt</v>
      </c>
      <c r="H4441" s="1" t="str">
        <f>_xlfn.XLOOKUP(tblSales[[#This Row],[Product Code]],tblProducts[Code],tblProducts[Category],"")</f>
        <v>Accessories &amp; Basics</v>
      </c>
      <c r="I4441" s="4">
        <v>32</v>
      </c>
      <c r="J4441" s="5">
        <f>_xlfn.XLOOKUP(tblSales[[#This Row],[Product Code]],tblProducts[Code],tblProducts[Selling Price (excl. VAT)],0)</f>
        <v>65000</v>
      </c>
      <c r="K4441" s="5">
        <f>tblSales[[#This Row],[Qty]]*tblSales[[#This Row],[Unit Price]]</f>
        <v>2080000</v>
      </c>
      <c r="L4441" s="5">
        <f>ROUND(tblSales[[#This Row],[DPP (excl. VAT)]]*VATEff,0)</f>
        <v>228800</v>
      </c>
      <c r="M4441" s="5">
        <f>tblSales[[#This Row],[DPP (excl. VAT)]]+tblSales[[#This Row],[Output VAT]]</f>
        <v>2308800</v>
      </c>
      <c r="N4441" s="5">
        <f>tblSales[[#This Row],[Qty]]*_xlfn.XLOOKUP(tblSales[[#This Row],[Product Code]],tblProducts[Code],tblProducts[Unit Cost],0)</f>
        <v>1184000</v>
      </c>
      <c r="O4441" s="4" t="s">
        <v>4867</v>
      </c>
      <c r="P4441" s="4" t="s">
        <v>4860</v>
      </c>
      <c r="Q4441" s="1" t="str">
        <f>_xlfn.XLOOKUP(tblSales[[#This Row],[Channel Code]],tblChannels[Channel Code],tblChannels[Channel Name],"")</f>
        <v>In-store</v>
      </c>
      <c r="R4441" s="1">
        <f>MONTH(tblSales[[#This Row],[Date]])</f>
        <v>9</v>
      </c>
    </row>
    <row r="4442" spans="2:18" x14ac:dyDescent="0.35">
      <c r="B4442" s="113">
        <v>46290</v>
      </c>
      <c r="C4442" s="4" t="s">
        <v>3006</v>
      </c>
      <c r="D4442" s="4" t="s">
        <v>4568</v>
      </c>
      <c r="E4442" s="1" t="str">
        <f>_xlfn.XLOOKUP(tblSales[[#This Row],[Customer ID]],tblCustomers[Customer ID],tblCustomers[Customer Name],"⚠ Unknown")</f>
        <v>Walk-in Customer</v>
      </c>
      <c r="F4442" s="4" t="s">
        <v>7</v>
      </c>
      <c r="G4442" s="1" t="str">
        <f>_xlfn.XLOOKUP(tblSales[[#This Row],[Product Code]],tblProducts[Code],tblProducts[Product / Service Name],"⚠ Unknown")</f>
        <v>Premium Basic T-shirt</v>
      </c>
      <c r="H4442" s="1" t="str">
        <f>_xlfn.XLOOKUP(tblSales[[#This Row],[Product Code]],tblProducts[Code],tblProducts[Category],"")</f>
        <v>Accessories &amp; Basics</v>
      </c>
      <c r="I4442" s="4">
        <v>8</v>
      </c>
      <c r="J4442" s="5">
        <f>_xlfn.XLOOKUP(tblSales[[#This Row],[Product Code]],tblProducts[Code],tblProducts[Selling Price (excl. VAT)],0)</f>
        <v>65000</v>
      </c>
      <c r="K4442" s="5">
        <f>tblSales[[#This Row],[Qty]]*tblSales[[#This Row],[Unit Price]]</f>
        <v>520000</v>
      </c>
      <c r="L4442" s="5">
        <f>ROUND(tblSales[[#This Row],[DPP (excl. VAT)]]*VATEff,0)</f>
        <v>57200</v>
      </c>
      <c r="M4442" s="5">
        <f>tblSales[[#This Row],[DPP (excl. VAT)]]+tblSales[[#This Row],[Output VAT]]</f>
        <v>577200</v>
      </c>
      <c r="N4442" s="5">
        <f>tblSales[[#This Row],[Qty]]*_xlfn.XLOOKUP(tblSales[[#This Row],[Product Code]],tblProducts[Code],tblProducts[Unit Cost],0)</f>
        <v>296000</v>
      </c>
      <c r="O4442" s="4" t="s">
        <v>4865</v>
      </c>
      <c r="P4442" s="4" t="s">
        <v>4860</v>
      </c>
      <c r="Q4442" s="1" t="str">
        <f>_xlfn.XLOOKUP(tblSales[[#This Row],[Channel Code]],tblChannels[Channel Code],tblChannels[Channel Name],"")</f>
        <v>In-store</v>
      </c>
      <c r="R4442" s="1">
        <f>MONTH(tblSales[[#This Row],[Date]])</f>
        <v>9</v>
      </c>
    </row>
    <row r="4443" spans="2:18" x14ac:dyDescent="0.35">
      <c r="B4443" s="113">
        <v>46290</v>
      </c>
      <c r="C4443" s="4" t="s">
        <v>3006</v>
      </c>
      <c r="D4443" s="4" t="s">
        <v>4568</v>
      </c>
      <c r="E4443" s="1" t="str">
        <f>_xlfn.XLOOKUP(tblSales[[#This Row],[Customer ID]],tblCustomers[Customer ID],tblCustomers[Customer Name],"⚠ Unknown")</f>
        <v>Walk-in Customer</v>
      </c>
      <c r="F4443" s="4" t="s">
        <v>8</v>
      </c>
      <c r="G4443" s="1" t="str">
        <f>_xlfn.XLOOKUP(tblSales[[#This Row],[Product Code]],tblProducts[Code],tblProducts[Product / Service Name],"⚠ Unknown")</f>
        <v>Casual Shorts</v>
      </c>
      <c r="H4443" s="1" t="str">
        <f>_xlfn.XLOOKUP(tblSales[[#This Row],[Product Code]],tblProducts[Code],tblProducts[Category],"")</f>
        <v>Accessories &amp; Basics</v>
      </c>
      <c r="I4443" s="4">
        <v>10</v>
      </c>
      <c r="J4443" s="5">
        <f>_xlfn.XLOOKUP(tblSales[[#This Row],[Product Code]],tblProducts[Code],tblProducts[Selling Price (excl. VAT)],0)</f>
        <v>85000</v>
      </c>
      <c r="K4443" s="5">
        <f>tblSales[[#This Row],[Qty]]*tblSales[[#This Row],[Unit Price]]</f>
        <v>850000</v>
      </c>
      <c r="L4443" s="5">
        <f>ROUND(tblSales[[#This Row],[DPP (excl. VAT)]]*VATEff,0)</f>
        <v>93500</v>
      </c>
      <c r="M4443" s="5">
        <f>tblSales[[#This Row],[DPP (excl. VAT)]]+tblSales[[#This Row],[Output VAT]]</f>
        <v>943500</v>
      </c>
      <c r="N4443" s="5">
        <f>tblSales[[#This Row],[Qty]]*_xlfn.XLOOKUP(tblSales[[#This Row],[Product Code]],tblProducts[Code],tblProducts[Unit Cost],0)</f>
        <v>500000</v>
      </c>
      <c r="O4443" s="4" t="s">
        <v>4865</v>
      </c>
      <c r="P4443" s="4" t="s">
        <v>4860</v>
      </c>
      <c r="Q4443" s="1" t="str">
        <f>_xlfn.XLOOKUP(tblSales[[#This Row],[Channel Code]],tblChannels[Channel Code],tblChannels[Channel Name],"")</f>
        <v>In-store</v>
      </c>
      <c r="R4443" s="1">
        <f>MONTH(tblSales[[#This Row],[Date]])</f>
        <v>9</v>
      </c>
    </row>
    <row r="4444" spans="2:18" x14ac:dyDescent="0.35">
      <c r="B4444" s="113">
        <v>46291</v>
      </c>
      <c r="C4444" s="4" t="s">
        <v>3007</v>
      </c>
      <c r="D4444" s="4" t="s">
        <v>4568</v>
      </c>
      <c r="E4444" s="1" t="str">
        <f>_xlfn.XLOOKUP(tblSales[[#This Row],[Customer ID]],tblCustomers[Customer ID],tblCustomers[Customer Name],"⚠ Unknown")</f>
        <v>Walk-in Customer</v>
      </c>
      <c r="F4444" s="4" t="s">
        <v>6</v>
      </c>
      <c r="G4444" s="1" t="str">
        <f>_xlfn.XLOOKUP(tblSales[[#This Row],[Product Code]],tblProducts[Code],tblProducts[Product / Service Name],"⚠ Unknown")</f>
        <v>Socks &amp; Accessories</v>
      </c>
      <c r="H4444" s="1" t="str">
        <f>_xlfn.XLOOKUP(tblSales[[#This Row],[Product Code]],tblProducts[Code],tblProducts[Category],"")</f>
        <v>Accessories &amp; Basics</v>
      </c>
      <c r="I4444" s="4">
        <v>1</v>
      </c>
      <c r="J4444" s="5">
        <f>_xlfn.XLOOKUP(tblSales[[#This Row],[Product Code]],tblProducts[Code],tblProducts[Selling Price (excl. VAT)],0)</f>
        <v>45000</v>
      </c>
      <c r="K4444" s="5">
        <f>tblSales[[#This Row],[Qty]]*tblSales[[#This Row],[Unit Price]]</f>
        <v>45000</v>
      </c>
      <c r="L4444" s="5">
        <f>ROUND(tblSales[[#This Row],[DPP (excl. VAT)]]*VATEff,0)</f>
        <v>4950</v>
      </c>
      <c r="M4444" s="5">
        <f>tblSales[[#This Row],[DPP (excl. VAT)]]+tblSales[[#This Row],[Output VAT]]</f>
        <v>49950</v>
      </c>
      <c r="N4444" s="5">
        <f>tblSales[[#This Row],[Qty]]*_xlfn.XLOOKUP(tblSales[[#This Row],[Product Code]],tblProducts[Code],tblProducts[Unit Cost],0)</f>
        <v>24000</v>
      </c>
      <c r="O4444" s="4" t="s">
        <v>4865</v>
      </c>
      <c r="P4444" s="4" t="s">
        <v>4860</v>
      </c>
      <c r="Q4444" s="1" t="str">
        <f>_xlfn.XLOOKUP(tblSales[[#This Row],[Channel Code]],tblChannels[Channel Code],tblChannels[Channel Name],"")</f>
        <v>In-store</v>
      </c>
      <c r="R4444" s="1">
        <f>MONTH(tblSales[[#This Row],[Date]])</f>
        <v>9</v>
      </c>
    </row>
    <row r="4445" spans="2:18" x14ac:dyDescent="0.35">
      <c r="B4445" s="113">
        <v>46291</v>
      </c>
      <c r="C4445" s="4" t="s">
        <v>3007</v>
      </c>
      <c r="D4445" s="4" t="s">
        <v>4568</v>
      </c>
      <c r="E4445" s="1" t="str">
        <f>_xlfn.XLOOKUP(tblSales[[#This Row],[Customer ID]],tblCustomers[Customer ID],tblCustomers[Customer Name],"⚠ Unknown")</f>
        <v>Walk-in Customer</v>
      </c>
      <c r="F4445" s="4" t="s">
        <v>10</v>
      </c>
      <c r="G4445" s="1" t="str">
        <f>_xlfn.XLOOKUP(tblSales[[#This Row],[Product Code]],tblProducts[Code],tblProducts[Product / Service Name],"⚠ Unknown")</f>
        <v>Chino Pants</v>
      </c>
      <c r="H4445" s="1" t="str">
        <f>_xlfn.XLOOKUP(tblSales[[#This Row],[Product Code]],tblProducts[Code],tblProducts[Category],"")</f>
        <v>Apparel &amp; Footwear</v>
      </c>
      <c r="I4445" s="4">
        <v>5</v>
      </c>
      <c r="J4445" s="5">
        <f>_xlfn.XLOOKUP(tblSales[[#This Row],[Product Code]],tblProducts[Code],tblProducts[Selling Price (excl. VAT)],0)</f>
        <v>150000</v>
      </c>
      <c r="K4445" s="5">
        <f>tblSales[[#This Row],[Qty]]*tblSales[[#This Row],[Unit Price]]</f>
        <v>750000</v>
      </c>
      <c r="L4445" s="5">
        <f>ROUND(tblSales[[#This Row],[DPP (excl. VAT)]]*VATEff,0)</f>
        <v>82500</v>
      </c>
      <c r="M4445" s="5">
        <f>tblSales[[#This Row],[DPP (excl. VAT)]]+tblSales[[#This Row],[Output VAT]]</f>
        <v>832500</v>
      </c>
      <c r="N4445" s="5">
        <f>tblSales[[#This Row],[Qty]]*_xlfn.XLOOKUP(tblSales[[#This Row],[Product Code]],tblProducts[Code],tblProducts[Unit Cost],0)</f>
        <v>440000</v>
      </c>
      <c r="O4445" s="4" t="s">
        <v>4865</v>
      </c>
      <c r="P4445" s="4" t="s">
        <v>4860</v>
      </c>
      <c r="Q4445" s="1" t="str">
        <f>_xlfn.XLOOKUP(tblSales[[#This Row],[Channel Code]],tblChannels[Channel Code],tblChannels[Channel Name],"")</f>
        <v>In-store</v>
      </c>
      <c r="R4445" s="1">
        <f>MONTH(tblSales[[#This Row],[Date]])</f>
        <v>9</v>
      </c>
    </row>
    <row r="4446" spans="2:18" x14ac:dyDescent="0.35">
      <c r="B4446" s="113">
        <v>46291</v>
      </c>
      <c r="C4446" s="4" t="s">
        <v>3008</v>
      </c>
      <c r="D4446" s="4" t="s">
        <v>4568</v>
      </c>
      <c r="E4446" s="1" t="str">
        <f>_xlfn.XLOOKUP(tblSales[[#This Row],[Customer ID]],tblCustomers[Customer ID],tblCustomers[Customer Name],"⚠ Unknown")</f>
        <v>Walk-in Customer</v>
      </c>
      <c r="F4446" s="4" t="s">
        <v>6</v>
      </c>
      <c r="G4446" s="1" t="str">
        <f>_xlfn.XLOOKUP(tblSales[[#This Row],[Product Code]],tblProducts[Code],tblProducts[Product / Service Name],"⚠ Unknown")</f>
        <v>Socks &amp; Accessories</v>
      </c>
      <c r="H4446" s="1" t="str">
        <f>_xlfn.XLOOKUP(tblSales[[#This Row],[Product Code]],tblProducts[Code],tblProducts[Category],"")</f>
        <v>Accessories &amp; Basics</v>
      </c>
      <c r="I4446" s="4">
        <v>3</v>
      </c>
      <c r="J4446" s="5">
        <f>_xlfn.XLOOKUP(tblSales[[#This Row],[Product Code]],tblProducts[Code],tblProducts[Selling Price (excl. VAT)],0)</f>
        <v>45000</v>
      </c>
      <c r="K4446" s="5">
        <f>tblSales[[#This Row],[Qty]]*tblSales[[#This Row],[Unit Price]]</f>
        <v>135000</v>
      </c>
      <c r="L4446" s="5">
        <f>ROUND(tblSales[[#This Row],[DPP (excl. VAT)]]*VATEff,0)</f>
        <v>14850</v>
      </c>
      <c r="M4446" s="5">
        <f>tblSales[[#This Row],[DPP (excl. VAT)]]+tblSales[[#This Row],[Output VAT]]</f>
        <v>149850</v>
      </c>
      <c r="N4446" s="5">
        <f>tblSales[[#This Row],[Qty]]*_xlfn.XLOOKUP(tblSales[[#This Row],[Product Code]],tblProducts[Code],tblProducts[Unit Cost],0)</f>
        <v>72000</v>
      </c>
      <c r="O4446" s="4" t="s">
        <v>4866</v>
      </c>
      <c r="P4446" s="4" t="s">
        <v>4861</v>
      </c>
      <c r="Q4446" s="1" t="str">
        <f>_xlfn.XLOOKUP(tblSales[[#This Row],[Channel Code]],tblChannels[Channel Code],tblChannels[Channel Name],"")</f>
        <v>Marketplace</v>
      </c>
      <c r="R4446" s="1">
        <f>MONTH(tblSales[[#This Row],[Date]])</f>
        <v>9</v>
      </c>
    </row>
    <row r="4447" spans="2:18" x14ac:dyDescent="0.35">
      <c r="B4447" s="113">
        <v>46291</v>
      </c>
      <c r="C4447" s="4" t="s">
        <v>3009</v>
      </c>
      <c r="D4447" s="4" t="s">
        <v>4568</v>
      </c>
      <c r="E4447" s="1" t="str">
        <f>_xlfn.XLOOKUP(tblSales[[#This Row],[Customer ID]],tblCustomers[Customer ID],tblCustomers[Customer Name],"⚠ Unknown")</f>
        <v>Walk-in Customer</v>
      </c>
      <c r="F4447" s="4" t="s">
        <v>6</v>
      </c>
      <c r="G4447" s="1" t="str">
        <f>_xlfn.XLOOKUP(tblSales[[#This Row],[Product Code]],tblProducts[Code],tblProducts[Product / Service Name],"⚠ Unknown")</f>
        <v>Socks &amp; Accessories</v>
      </c>
      <c r="H4447" s="1" t="str">
        <f>_xlfn.XLOOKUP(tblSales[[#This Row],[Product Code]],tblProducts[Code],tblProducts[Category],"")</f>
        <v>Accessories &amp; Basics</v>
      </c>
      <c r="I4447" s="4">
        <v>2</v>
      </c>
      <c r="J4447" s="5">
        <f>_xlfn.XLOOKUP(tblSales[[#This Row],[Product Code]],tblProducts[Code],tblProducts[Selling Price (excl. VAT)],0)</f>
        <v>45000</v>
      </c>
      <c r="K4447" s="5">
        <f>tblSales[[#This Row],[Qty]]*tblSales[[#This Row],[Unit Price]]</f>
        <v>90000</v>
      </c>
      <c r="L4447" s="5">
        <f>ROUND(tblSales[[#This Row],[DPP (excl. VAT)]]*VATEff,0)</f>
        <v>9900</v>
      </c>
      <c r="M4447" s="5">
        <f>tblSales[[#This Row],[DPP (excl. VAT)]]+tblSales[[#This Row],[Output VAT]]</f>
        <v>99900</v>
      </c>
      <c r="N4447" s="5">
        <f>tblSales[[#This Row],[Qty]]*_xlfn.XLOOKUP(tblSales[[#This Row],[Product Code]],tblProducts[Code],tblProducts[Unit Cost],0)</f>
        <v>48000</v>
      </c>
      <c r="O4447" s="4" t="s">
        <v>4866</v>
      </c>
      <c r="P4447" s="4" t="s">
        <v>4862</v>
      </c>
      <c r="Q4447" s="1" t="str">
        <f>_xlfn.XLOOKUP(tblSales[[#This Row],[Channel Code]],tblChannels[Channel Code],tblChannels[Channel Name],"")</f>
        <v>Website &amp; Social Media</v>
      </c>
      <c r="R4447" s="1">
        <f>MONTH(tblSales[[#This Row],[Date]])</f>
        <v>9</v>
      </c>
    </row>
    <row r="4448" spans="2:18" x14ac:dyDescent="0.35">
      <c r="B4448" s="113">
        <v>46291</v>
      </c>
      <c r="C4448" s="4" t="s">
        <v>3010</v>
      </c>
      <c r="D4448" s="4" t="s">
        <v>4568</v>
      </c>
      <c r="E4448" s="1" t="str">
        <f>_xlfn.XLOOKUP(tblSales[[#This Row],[Customer ID]],tblCustomers[Customer ID],tblCustomers[Customer Name],"⚠ Unknown")</f>
        <v>Walk-in Customer</v>
      </c>
      <c r="F4448" s="4" t="s">
        <v>6</v>
      </c>
      <c r="G4448" s="1" t="str">
        <f>_xlfn.XLOOKUP(tblSales[[#This Row],[Product Code]],tblProducts[Code],tblProducts[Product / Service Name],"⚠ Unknown")</f>
        <v>Socks &amp; Accessories</v>
      </c>
      <c r="H4448" s="1" t="str">
        <f>_xlfn.XLOOKUP(tblSales[[#This Row],[Product Code]],tblProducts[Code],tblProducts[Category],"")</f>
        <v>Accessories &amp; Basics</v>
      </c>
      <c r="I4448" s="4">
        <v>6</v>
      </c>
      <c r="J4448" s="5">
        <f>_xlfn.XLOOKUP(tblSales[[#This Row],[Product Code]],tblProducts[Code],tblProducts[Selling Price (excl. VAT)],0)</f>
        <v>45000</v>
      </c>
      <c r="K4448" s="5">
        <f>tblSales[[#This Row],[Qty]]*tblSales[[#This Row],[Unit Price]]</f>
        <v>270000</v>
      </c>
      <c r="L4448" s="5">
        <f>ROUND(tblSales[[#This Row],[DPP (excl. VAT)]]*VATEff,0)</f>
        <v>29700</v>
      </c>
      <c r="M4448" s="5">
        <f>tblSales[[#This Row],[DPP (excl. VAT)]]+tblSales[[#This Row],[Output VAT]]</f>
        <v>299700</v>
      </c>
      <c r="N4448" s="5">
        <f>tblSales[[#This Row],[Qty]]*_xlfn.XLOOKUP(tblSales[[#This Row],[Product Code]],tblProducts[Code],tblProducts[Unit Cost],0)</f>
        <v>144000</v>
      </c>
      <c r="O4448" s="4" t="s">
        <v>4865</v>
      </c>
      <c r="P4448" s="4" t="s">
        <v>4860</v>
      </c>
      <c r="Q4448" s="1" t="str">
        <f>_xlfn.XLOOKUP(tblSales[[#This Row],[Channel Code]],tblChannels[Channel Code],tblChannels[Channel Name],"")</f>
        <v>In-store</v>
      </c>
      <c r="R4448" s="1">
        <f>MONTH(tblSales[[#This Row],[Date]])</f>
        <v>9</v>
      </c>
    </row>
    <row r="4449" spans="2:18" x14ac:dyDescent="0.35">
      <c r="B4449" s="113">
        <v>46291</v>
      </c>
      <c r="C4449" s="4" t="s">
        <v>3011</v>
      </c>
      <c r="D4449" s="4" t="s">
        <v>4568</v>
      </c>
      <c r="E4449" s="1" t="str">
        <f>_xlfn.XLOOKUP(tblSales[[#This Row],[Customer ID]],tblCustomers[Customer ID],tblCustomers[Customer Name],"⚠ Unknown")</f>
        <v>Walk-in Customer</v>
      </c>
      <c r="F4449" s="4" t="s">
        <v>8</v>
      </c>
      <c r="G4449" s="1" t="str">
        <f>_xlfn.XLOOKUP(tblSales[[#This Row],[Product Code]],tblProducts[Code],tblProducts[Product / Service Name],"⚠ Unknown")</f>
        <v>Casual Shorts</v>
      </c>
      <c r="H4449" s="1" t="str">
        <f>_xlfn.XLOOKUP(tblSales[[#This Row],[Product Code]],tblProducts[Code],tblProducts[Category],"")</f>
        <v>Accessories &amp; Basics</v>
      </c>
      <c r="I4449" s="4">
        <v>1</v>
      </c>
      <c r="J4449" s="5">
        <f>_xlfn.XLOOKUP(tblSales[[#This Row],[Product Code]],tblProducts[Code],tblProducts[Selling Price (excl. VAT)],0)</f>
        <v>85000</v>
      </c>
      <c r="K4449" s="5">
        <f>tblSales[[#This Row],[Qty]]*tblSales[[#This Row],[Unit Price]]</f>
        <v>85000</v>
      </c>
      <c r="L4449" s="5">
        <f>ROUND(tblSales[[#This Row],[DPP (excl. VAT)]]*VATEff,0)</f>
        <v>9350</v>
      </c>
      <c r="M4449" s="5">
        <f>tblSales[[#This Row],[DPP (excl. VAT)]]+tblSales[[#This Row],[Output VAT]]</f>
        <v>94350</v>
      </c>
      <c r="N4449" s="5">
        <f>tblSales[[#This Row],[Qty]]*_xlfn.XLOOKUP(tblSales[[#This Row],[Product Code]],tblProducts[Code],tblProducts[Unit Cost],0)</f>
        <v>50000</v>
      </c>
      <c r="O4449" s="4" t="s">
        <v>4865</v>
      </c>
      <c r="P4449" s="4" t="s">
        <v>4860</v>
      </c>
      <c r="Q4449" s="1" t="str">
        <f>_xlfn.XLOOKUP(tblSales[[#This Row],[Channel Code]],tblChannels[Channel Code],tblChannels[Channel Name],"")</f>
        <v>In-store</v>
      </c>
      <c r="R4449" s="1">
        <f>MONTH(tblSales[[#This Row],[Date]])</f>
        <v>9</v>
      </c>
    </row>
    <row r="4450" spans="2:18" x14ac:dyDescent="0.35">
      <c r="B4450" s="113">
        <v>46291</v>
      </c>
      <c r="C4450" s="4" t="s">
        <v>3012</v>
      </c>
      <c r="D4450" s="4" t="s">
        <v>4568</v>
      </c>
      <c r="E4450" s="1" t="str">
        <f>_xlfn.XLOOKUP(tblSales[[#This Row],[Customer ID]],tblCustomers[Customer ID],tblCustomers[Customer Name],"⚠ Unknown")</f>
        <v>Walk-in Customer</v>
      </c>
      <c r="F4450" s="4" t="s">
        <v>8</v>
      </c>
      <c r="G4450" s="1" t="str">
        <f>_xlfn.XLOOKUP(tblSales[[#This Row],[Product Code]],tblProducts[Code],tblProducts[Product / Service Name],"⚠ Unknown")</f>
        <v>Casual Shorts</v>
      </c>
      <c r="H4450" s="1" t="str">
        <f>_xlfn.XLOOKUP(tblSales[[#This Row],[Product Code]],tblProducts[Code],tblProducts[Category],"")</f>
        <v>Accessories &amp; Basics</v>
      </c>
      <c r="I4450" s="4">
        <v>10</v>
      </c>
      <c r="J4450" s="5">
        <f>_xlfn.XLOOKUP(tblSales[[#This Row],[Product Code]],tblProducts[Code],tblProducts[Selling Price (excl. VAT)],0)</f>
        <v>85000</v>
      </c>
      <c r="K4450" s="5">
        <f>tblSales[[#This Row],[Qty]]*tblSales[[#This Row],[Unit Price]]</f>
        <v>850000</v>
      </c>
      <c r="L4450" s="5">
        <f>ROUND(tblSales[[#This Row],[DPP (excl. VAT)]]*VATEff,0)</f>
        <v>93500</v>
      </c>
      <c r="M4450" s="5">
        <f>tblSales[[#This Row],[DPP (excl. VAT)]]+tblSales[[#This Row],[Output VAT]]</f>
        <v>943500</v>
      </c>
      <c r="N4450" s="5">
        <f>tblSales[[#This Row],[Qty]]*_xlfn.XLOOKUP(tblSales[[#This Row],[Product Code]],tblProducts[Code],tblProducts[Unit Cost],0)</f>
        <v>500000</v>
      </c>
      <c r="O4450" s="4" t="s">
        <v>4866</v>
      </c>
      <c r="P4450" s="4" t="s">
        <v>4860</v>
      </c>
      <c r="Q4450" s="1" t="str">
        <f>_xlfn.XLOOKUP(tblSales[[#This Row],[Channel Code]],tblChannels[Channel Code],tblChannels[Channel Name],"")</f>
        <v>In-store</v>
      </c>
      <c r="R4450" s="1">
        <f>MONTH(tblSales[[#This Row],[Date]])</f>
        <v>9</v>
      </c>
    </row>
    <row r="4451" spans="2:18" x14ac:dyDescent="0.35">
      <c r="B4451" s="113">
        <v>46291</v>
      </c>
      <c r="C4451" s="4" t="s">
        <v>3013</v>
      </c>
      <c r="D4451" s="4" t="s">
        <v>4568</v>
      </c>
      <c r="E4451" s="1" t="str">
        <f>_xlfn.XLOOKUP(tblSales[[#This Row],[Customer ID]],tblCustomers[Customer ID],tblCustomers[Customer Name],"⚠ Unknown")</f>
        <v>Walk-in Customer</v>
      </c>
      <c r="F4451" s="4" t="s">
        <v>6</v>
      </c>
      <c r="G4451" s="1" t="str">
        <f>_xlfn.XLOOKUP(tblSales[[#This Row],[Product Code]],tblProducts[Code],tblProducts[Product / Service Name],"⚠ Unknown")</f>
        <v>Socks &amp; Accessories</v>
      </c>
      <c r="H4451" s="1" t="str">
        <f>_xlfn.XLOOKUP(tblSales[[#This Row],[Product Code]],tblProducts[Code],tblProducts[Category],"")</f>
        <v>Accessories &amp; Basics</v>
      </c>
      <c r="I4451" s="4">
        <v>1</v>
      </c>
      <c r="J4451" s="5">
        <f>_xlfn.XLOOKUP(tblSales[[#This Row],[Product Code]],tblProducts[Code],tblProducts[Selling Price (excl. VAT)],0)</f>
        <v>45000</v>
      </c>
      <c r="K4451" s="5">
        <f>tblSales[[#This Row],[Qty]]*tblSales[[#This Row],[Unit Price]]</f>
        <v>45000</v>
      </c>
      <c r="L4451" s="5">
        <f>ROUND(tblSales[[#This Row],[DPP (excl. VAT)]]*VATEff,0)</f>
        <v>4950</v>
      </c>
      <c r="M4451" s="5">
        <f>tblSales[[#This Row],[DPP (excl. VAT)]]+tblSales[[#This Row],[Output VAT]]</f>
        <v>49950</v>
      </c>
      <c r="N4451" s="5">
        <f>tblSales[[#This Row],[Qty]]*_xlfn.XLOOKUP(tblSales[[#This Row],[Product Code]],tblProducts[Code],tblProducts[Unit Cost],0)</f>
        <v>24000</v>
      </c>
      <c r="O4451" s="4" t="s">
        <v>4865</v>
      </c>
      <c r="P4451" s="4" t="s">
        <v>4860</v>
      </c>
      <c r="Q4451" s="1" t="str">
        <f>_xlfn.XLOOKUP(tblSales[[#This Row],[Channel Code]],tblChannels[Channel Code],tblChannels[Channel Name],"")</f>
        <v>In-store</v>
      </c>
      <c r="R4451" s="1">
        <f>MONTH(tblSales[[#This Row],[Date]])</f>
        <v>9</v>
      </c>
    </row>
    <row r="4452" spans="2:18" x14ac:dyDescent="0.35">
      <c r="B4452" s="113">
        <v>46291</v>
      </c>
      <c r="C4452" s="4" t="s">
        <v>3014</v>
      </c>
      <c r="D4452" s="4" t="s">
        <v>4568</v>
      </c>
      <c r="E4452" s="1" t="str">
        <f>_xlfn.XLOOKUP(tblSales[[#This Row],[Customer ID]],tblCustomers[Customer ID],tblCustomers[Customer Name],"⚠ Unknown")</f>
        <v>Walk-in Customer</v>
      </c>
      <c r="F4452" s="4" t="s">
        <v>6</v>
      </c>
      <c r="G4452" s="1" t="str">
        <f>_xlfn.XLOOKUP(tblSales[[#This Row],[Product Code]],tblProducts[Code],tblProducts[Product / Service Name],"⚠ Unknown")</f>
        <v>Socks &amp; Accessories</v>
      </c>
      <c r="H4452" s="1" t="str">
        <f>_xlfn.XLOOKUP(tblSales[[#This Row],[Product Code]],tblProducts[Code],tblProducts[Category],"")</f>
        <v>Accessories &amp; Basics</v>
      </c>
      <c r="I4452" s="4">
        <v>4</v>
      </c>
      <c r="J4452" s="5">
        <f>_xlfn.XLOOKUP(tblSales[[#This Row],[Product Code]],tblProducts[Code],tblProducts[Selling Price (excl. VAT)],0)</f>
        <v>45000</v>
      </c>
      <c r="K4452" s="5">
        <f>tblSales[[#This Row],[Qty]]*tblSales[[#This Row],[Unit Price]]</f>
        <v>180000</v>
      </c>
      <c r="L4452" s="5">
        <f>ROUND(tblSales[[#This Row],[DPP (excl. VAT)]]*VATEff,0)</f>
        <v>19800</v>
      </c>
      <c r="M4452" s="5">
        <f>tblSales[[#This Row],[DPP (excl. VAT)]]+tblSales[[#This Row],[Output VAT]]</f>
        <v>199800</v>
      </c>
      <c r="N4452" s="5">
        <f>tblSales[[#This Row],[Qty]]*_xlfn.XLOOKUP(tblSales[[#This Row],[Product Code]],tblProducts[Code],tblProducts[Unit Cost],0)</f>
        <v>96000</v>
      </c>
      <c r="O4452" s="4" t="s">
        <v>4866</v>
      </c>
      <c r="P4452" s="4" t="s">
        <v>4861</v>
      </c>
      <c r="Q4452" s="1" t="str">
        <f>_xlfn.XLOOKUP(tblSales[[#This Row],[Channel Code]],tblChannels[Channel Code],tblChannels[Channel Name],"")</f>
        <v>Marketplace</v>
      </c>
      <c r="R4452" s="1">
        <f>MONTH(tblSales[[#This Row],[Date]])</f>
        <v>9</v>
      </c>
    </row>
    <row r="4453" spans="2:18" x14ac:dyDescent="0.35">
      <c r="B4453" s="113">
        <v>46291</v>
      </c>
      <c r="C4453" s="4" t="s">
        <v>3015</v>
      </c>
      <c r="D4453" s="4" t="s">
        <v>4568</v>
      </c>
      <c r="E4453" s="1" t="str">
        <f>_xlfn.XLOOKUP(tblSales[[#This Row],[Customer ID]],tblCustomers[Customer ID],tblCustomers[Customer Name],"⚠ Unknown")</f>
        <v>Walk-in Customer</v>
      </c>
      <c r="F4453" s="4" t="s">
        <v>8</v>
      </c>
      <c r="G4453" s="1" t="str">
        <f>_xlfn.XLOOKUP(tblSales[[#This Row],[Product Code]],tblProducts[Code],tblProducts[Product / Service Name],"⚠ Unknown")</f>
        <v>Casual Shorts</v>
      </c>
      <c r="H4453" s="1" t="str">
        <f>_xlfn.XLOOKUP(tblSales[[#This Row],[Product Code]],tblProducts[Code],tblProducts[Category],"")</f>
        <v>Accessories &amp; Basics</v>
      </c>
      <c r="I4453" s="4">
        <v>6</v>
      </c>
      <c r="J4453" s="5">
        <f>_xlfn.XLOOKUP(tblSales[[#This Row],[Product Code]],tblProducts[Code],tblProducts[Selling Price (excl. VAT)],0)</f>
        <v>85000</v>
      </c>
      <c r="K4453" s="5">
        <f>tblSales[[#This Row],[Qty]]*tblSales[[#This Row],[Unit Price]]</f>
        <v>510000</v>
      </c>
      <c r="L4453" s="5">
        <f>ROUND(tblSales[[#This Row],[DPP (excl. VAT)]]*VATEff,0)</f>
        <v>56100</v>
      </c>
      <c r="M4453" s="5">
        <f>tblSales[[#This Row],[DPP (excl. VAT)]]+tblSales[[#This Row],[Output VAT]]</f>
        <v>566100</v>
      </c>
      <c r="N4453" s="5">
        <f>tblSales[[#This Row],[Qty]]*_xlfn.XLOOKUP(tblSales[[#This Row],[Product Code]],tblProducts[Code],tblProducts[Unit Cost],0)</f>
        <v>300000</v>
      </c>
      <c r="O4453" s="4" t="s">
        <v>4866</v>
      </c>
      <c r="P4453" s="4" t="s">
        <v>4862</v>
      </c>
      <c r="Q4453" s="1" t="str">
        <f>_xlfn.XLOOKUP(tblSales[[#This Row],[Channel Code]],tblChannels[Channel Code],tblChannels[Channel Name],"")</f>
        <v>Website &amp; Social Media</v>
      </c>
      <c r="R4453" s="1">
        <f>MONTH(tblSales[[#This Row],[Date]])</f>
        <v>9</v>
      </c>
    </row>
    <row r="4454" spans="2:18" x14ac:dyDescent="0.35">
      <c r="B4454" s="113">
        <v>46291</v>
      </c>
      <c r="C4454" s="4" t="s">
        <v>3015</v>
      </c>
      <c r="D4454" s="4" t="s">
        <v>4568</v>
      </c>
      <c r="E4454" s="1" t="str">
        <f>_xlfn.XLOOKUP(tblSales[[#This Row],[Customer ID]],tblCustomers[Customer ID],tblCustomers[Customer Name],"⚠ Unknown")</f>
        <v>Walk-in Customer</v>
      </c>
      <c r="F4454" s="4" t="s">
        <v>12</v>
      </c>
      <c r="G4454" s="1" t="str">
        <f>_xlfn.XLOOKUP(tblSales[[#This Row],[Product Code]],tblProducts[Code],tblProducts[Product / Service Name],"⚠ Unknown")</f>
        <v>Bomber Jacket</v>
      </c>
      <c r="H4454" s="1" t="str">
        <f>_xlfn.XLOOKUP(tblSales[[#This Row],[Product Code]],tblProducts[Code],tblProducts[Category],"")</f>
        <v>Apparel &amp; Footwear</v>
      </c>
      <c r="I4454" s="4">
        <v>5</v>
      </c>
      <c r="J4454" s="5">
        <f>_xlfn.XLOOKUP(tblSales[[#This Row],[Product Code]],tblProducts[Code],tblProducts[Selling Price (excl. VAT)],0)</f>
        <v>350000</v>
      </c>
      <c r="K4454" s="5">
        <f>tblSales[[#This Row],[Qty]]*tblSales[[#This Row],[Unit Price]]</f>
        <v>1750000</v>
      </c>
      <c r="L4454" s="5">
        <f>ROUND(tblSales[[#This Row],[DPP (excl. VAT)]]*VATEff,0)</f>
        <v>192500</v>
      </c>
      <c r="M4454" s="5">
        <f>tblSales[[#This Row],[DPP (excl. VAT)]]+tblSales[[#This Row],[Output VAT]]</f>
        <v>1942500</v>
      </c>
      <c r="N4454" s="5">
        <f>tblSales[[#This Row],[Qty]]*_xlfn.XLOOKUP(tblSales[[#This Row],[Product Code]],tblProducts[Code],tblProducts[Unit Cost],0)</f>
        <v>1050000</v>
      </c>
      <c r="O4454" s="4" t="s">
        <v>4866</v>
      </c>
      <c r="P4454" s="4" t="s">
        <v>4862</v>
      </c>
      <c r="Q4454" s="1" t="str">
        <f>_xlfn.XLOOKUP(tblSales[[#This Row],[Channel Code]],tblChannels[Channel Code],tblChannels[Channel Name],"")</f>
        <v>Website &amp; Social Media</v>
      </c>
      <c r="R4454" s="1">
        <f>MONTH(tblSales[[#This Row],[Date]])</f>
        <v>9</v>
      </c>
    </row>
    <row r="4455" spans="2:18" x14ac:dyDescent="0.35">
      <c r="B4455" s="113">
        <v>46291</v>
      </c>
      <c r="C4455" s="4" t="s">
        <v>3016</v>
      </c>
      <c r="D4455" s="4" t="s">
        <v>4599</v>
      </c>
      <c r="E4455" s="1" t="str">
        <f>_xlfn.XLOOKUP(tblSales[[#This Row],[Customer ID]],tblCustomers[Customer ID],tblCustomers[Customer Name],"⚠ Unknown")</f>
        <v>PT Samudra Jaya Logistik</v>
      </c>
      <c r="F4455" s="4" t="s">
        <v>9</v>
      </c>
      <c r="G4455" s="1" t="str">
        <f>_xlfn.XLOOKUP(tblSales[[#This Row],[Product Code]],tblProducts[Code],tblProducts[Product / Service Name],"⚠ Unknown")</f>
        <v>Casual Shirt</v>
      </c>
      <c r="H4455" s="1" t="str">
        <f>_xlfn.XLOOKUP(tblSales[[#This Row],[Product Code]],tblProducts[Code],tblProducts[Category],"")</f>
        <v>Apparel &amp; Footwear</v>
      </c>
      <c r="I4455" s="4">
        <v>32</v>
      </c>
      <c r="J4455" s="5">
        <f>_xlfn.XLOOKUP(tblSales[[#This Row],[Product Code]],tblProducts[Code],tblProducts[Selling Price (excl. VAT)],0)</f>
        <v>120000</v>
      </c>
      <c r="K4455" s="5">
        <f>tblSales[[#This Row],[Qty]]*tblSales[[#This Row],[Unit Price]]</f>
        <v>3840000</v>
      </c>
      <c r="L4455" s="5">
        <f>ROUND(tblSales[[#This Row],[DPP (excl. VAT)]]*VATEff,0)</f>
        <v>422400</v>
      </c>
      <c r="M4455" s="5">
        <f>tblSales[[#This Row],[DPP (excl. VAT)]]+tblSales[[#This Row],[Output VAT]]</f>
        <v>4262400</v>
      </c>
      <c r="N4455" s="5">
        <f>tblSales[[#This Row],[Qty]]*_xlfn.XLOOKUP(tblSales[[#This Row],[Product Code]],tblProducts[Code],tblProducts[Unit Cost],0)</f>
        <v>2304000</v>
      </c>
      <c r="O4455" s="4" t="s">
        <v>4867</v>
      </c>
      <c r="P4455" s="4" t="s">
        <v>4860</v>
      </c>
      <c r="Q4455" s="1" t="str">
        <f>_xlfn.XLOOKUP(tblSales[[#This Row],[Channel Code]],tblChannels[Channel Code],tblChannels[Channel Name],"")</f>
        <v>In-store</v>
      </c>
      <c r="R4455" s="1">
        <f>MONTH(tblSales[[#This Row],[Date]])</f>
        <v>9</v>
      </c>
    </row>
    <row r="4456" spans="2:18" x14ac:dyDescent="0.35">
      <c r="B4456" s="113">
        <v>46291</v>
      </c>
      <c r="C4456" s="4" t="s">
        <v>3016</v>
      </c>
      <c r="D4456" s="4" t="s">
        <v>4599</v>
      </c>
      <c r="E4456" s="1" t="str">
        <f>_xlfn.XLOOKUP(tblSales[[#This Row],[Customer ID]],tblCustomers[Customer ID],tblCustomers[Customer Name],"⚠ Unknown")</f>
        <v>PT Samudra Jaya Logistik</v>
      </c>
      <c r="F4456" s="4" t="s">
        <v>8</v>
      </c>
      <c r="G4456" s="1" t="str">
        <f>_xlfn.XLOOKUP(tblSales[[#This Row],[Product Code]],tblProducts[Code],tblProducts[Product / Service Name],"⚠ Unknown")</f>
        <v>Casual Shorts</v>
      </c>
      <c r="H4456" s="1" t="str">
        <f>_xlfn.XLOOKUP(tblSales[[#This Row],[Product Code]],tblProducts[Code],tblProducts[Category],"")</f>
        <v>Accessories &amp; Basics</v>
      </c>
      <c r="I4456" s="4">
        <v>64</v>
      </c>
      <c r="J4456" s="5">
        <f>_xlfn.XLOOKUP(tblSales[[#This Row],[Product Code]],tblProducts[Code],tblProducts[Selling Price (excl. VAT)],0)</f>
        <v>85000</v>
      </c>
      <c r="K4456" s="5">
        <f>tblSales[[#This Row],[Qty]]*tblSales[[#This Row],[Unit Price]]</f>
        <v>5440000</v>
      </c>
      <c r="L4456" s="5">
        <f>ROUND(tblSales[[#This Row],[DPP (excl. VAT)]]*VATEff,0)</f>
        <v>598400</v>
      </c>
      <c r="M4456" s="5">
        <f>tblSales[[#This Row],[DPP (excl. VAT)]]+tblSales[[#This Row],[Output VAT]]</f>
        <v>6038400</v>
      </c>
      <c r="N4456" s="5">
        <f>tblSales[[#This Row],[Qty]]*_xlfn.XLOOKUP(tblSales[[#This Row],[Product Code]],tblProducts[Code],tblProducts[Unit Cost],0)</f>
        <v>3200000</v>
      </c>
      <c r="O4456" s="4" t="s">
        <v>4867</v>
      </c>
      <c r="P4456" s="4" t="s">
        <v>4860</v>
      </c>
      <c r="Q4456" s="1" t="str">
        <f>_xlfn.XLOOKUP(tblSales[[#This Row],[Channel Code]],tblChannels[Channel Code],tblChannels[Channel Name],"")</f>
        <v>In-store</v>
      </c>
      <c r="R4456" s="1">
        <f>MONTH(tblSales[[#This Row],[Date]])</f>
        <v>9</v>
      </c>
    </row>
    <row r="4457" spans="2:18" x14ac:dyDescent="0.35">
      <c r="B4457" s="113">
        <v>46291</v>
      </c>
      <c r="C4457" s="4" t="s">
        <v>3017</v>
      </c>
      <c r="D4457" s="4" t="s">
        <v>4568</v>
      </c>
      <c r="E4457" s="1" t="str">
        <f>_xlfn.XLOOKUP(tblSales[[#This Row],[Customer ID]],tblCustomers[Customer ID],tblCustomers[Customer Name],"⚠ Unknown")</f>
        <v>Walk-in Customer</v>
      </c>
      <c r="F4457" s="4" t="s">
        <v>6</v>
      </c>
      <c r="G4457" s="1" t="str">
        <f>_xlfn.XLOOKUP(tblSales[[#This Row],[Product Code]],tblProducts[Code],tblProducts[Product / Service Name],"⚠ Unknown")</f>
        <v>Socks &amp; Accessories</v>
      </c>
      <c r="H4457" s="1" t="str">
        <f>_xlfn.XLOOKUP(tblSales[[#This Row],[Product Code]],tblProducts[Code],tblProducts[Category],"")</f>
        <v>Accessories &amp; Basics</v>
      </c>
      <c r="I4457" s="4">
        <v>10</v>
      </c>
      <c r="J4457" s="5">
        <f>_xlfn.XLOOKUP(tblSales[[#This Row],[Product Code]],tblProducts[Code],tblProducts[Selling Price (excl. VAT)],0)</f>
        <v>45000</v>
      </c>
      <c r="K4457" s="5">
        <f>tblSales[[#This Row],[Qty]]*tblSales[[#This Row],[Unit Price]]</f>
        <v>450000</v>
      </c>
      <c r="L4457" s="5">
        <f>ROUND(tblSales[[#This Row],[DPP (excl. VAT)]]*VATEff,0)</f>
        <v>49500</v>
      </c>
      <c r="M4457" s="5">
        <f>tblSales[[#This Row],[DPP (excl. VAT)]]+tblSales[[#This Row],[Output VAT]]</f>
        <v>499500</v>
      </c>
      <c r="N4457" s="5">
        <f>tblSales[[#This Row],[Qty]]*_xlfn.XLOOKUP(tblSales[[#This Row],[Product Code]],tblProducts[Code],tblProducts[Unit Cost],0)</f>
        <v>240000</v>
      </c>
      <c r="O4457" s="4" t="s">
        <v>4865</v>
      </c>
      <c r="P4457" s="4" t="s">
        <v>4860</v>
      </c>
      <c r="Q4457" s="1" t="str">
        <f>_xlfn.XLOOKUP(tblSales[[#This Row],[Channel Code]],tblChannels[Channel Code],tblChannels[Channel Name],"")</f>
        <v>In-store</v>
      </c>
      <c r="R4457" s="1">
        <f>MONTH(tblSales[[#This Row],[Date]])</f>
        <v>9</v>
      </c>
    </row>
    <row r="4458" spans="2:18" x14ac:dyDescent="0.35">
      <c r="B4458" s="113">
        <v>46291</v>
      </c>
      <c r="C4458" s="4" t="s">
        <v>3018</v>
      </c>
      <c r="D4458" s="4" t="s">
        <v>4648</v>
      </c>
      <c r="E4458" s="1" t="str">
        <f>_xlfn.XLOOKUP(tblSales[[#This Row],[Customer ID]],tblCustomers[Customer ID],tblCustomers[Customer Name],"⚠ Unknown")</f>
        <v>PT Lintas Benua Niaga</v>
      </c>
      <c r="F4458" s="4" t="s">
        <v>8</v>
      </c>
      <c r="G4458" s="1" t="str">
        <f>_xlfn.XLOOKUP(tblSales[[#This Row],[Product Code]],tblProducts[Code],tblProducts[Product / Service Name],"⚠ Unknown")</f>
        <v>Casual Shorts</v>
      </c>
      <c r="H4458" s="1" t="str">
        <f>_xlfn.XLOOKUP(tblSales[[#This Row],[Product Code]],tblProducts[Code],tblProducts[Category],"")</f>
        <v>Accessories &amp; Basics</v>
      </c>
      <c r="I4458" s="4">
        <v>88</v>
      </c>
      <c r="J4458" s="5">
        <f>_xlfn.XLOOKUP(tblSales[[#This Row],[Product Code]],tblProducts[Code],tblProducts[Selling Price (excl. VAT)],0)</f>
        <v>85000</v>
      </c>
      <c r="K4458" s="5">
        <f>tblSales[[#This Row],[Qty]]*tblSales[[#This Row],[Unit Price]]</f>
        <v>7480000</v>
      </c>
      <c r="L4458" s="5">
        <f>ROUND(tblSales[[#This Row],[DPP (excl. VAT)]]*VATEff,0)</f>
        <v>822800</v>
      </c>
      <c r="M4458" s="5">
        <f>tblSales[[#This Row],[DPP (excl. VAT)]]+tblSales[[#This Row],[Output VAT]]</f>
        <v>8302800</v>
      </c>
      <c r="N4458" s="5">
        <f>tblSales[[#This Row],[Qty]]*_xlfn.XLOOKUP(tblSales[[#This Row],[Product Code]],tblProducts[Code],tblProducts[Unit Cost],0)</f>
        <v>4400000</v>
      </c>
      <c r="O4458" s="4" t="s">
        <v>4867</v>
      </c>
      <c r="P4458" s="4" t="s">
        <v>4860</v>
      </c>
      <c r="Q4458" s="1" t="str">
        <f>_xlfn.XLOOKUP(tblSales[[#This Row],[Channel Code]],tblChannels[Channel Code],tblChannels[Channel Name],"")</f>
        <v>In-store</v>
      </c>
      <c r="R4458" s="1">
        <f>MONTH(tblSales[[#This Row],[Date]])</f>
        <v>9</v>
      </c>
    </row>
    <row r="4459" spans="2:18" x14ac:dyDescent="0.35">
      <c r="B4459" s="113">
        <v>46291</v>
      </c>
      <c r="C4459" s="4" t="s">
        <v>3019</v>
      </c>
      <c r="D4459" s="4" t="s">
        <v>4568</v>
      </c>
      <c r="E4459" s="1" t="str">
        <f>_xlfn.XLOOKUP(tblSales[[#This Row],[Customer ID]],tblCustomers[Customer ID],tblCustomers[Customer Name],"⚠ Unknown")</f>
        <v>Walk-in Customer</v>
      </c>
      <c r="F4459" s="4" t="s">
        <v>6</v>
      </c>
      <c r="G4459" s="1" t="str">
        <f>_xlfn.XLOOKUP(tblSales[[#This Row],[Product Code]],tblProducts[Code],tblProducts[Product / Service Name],"⚠ Unknown")</f>
        <v>Socks &amp; Accessories</v>
      </c>
      <c r="H4459" s="1" t="str">
        <f>_xlfn.XLOOKUP(tblSales[[#This Row],[Product Code]],tblProducts[Code],tblProducts[Category],"")</f>
        <v>Accessories &amp; Basics</v>
      </c>
      <c r="I4459" s="4">
        <v>10</v>
      </c>
      <c r="J4459" s="5">
        <f>_xlfn.XLOOKUP(tblSales[[#This Row],[Product Code]],tblProducts[Code],tblProducts[Selling Price (excl. VAT)],0)</f>
        <v>45000</v>
      </c>
      <c r="K4459" s="5">
        <f>tblSales[[#This Row],[Qty]]*tblSales[[#This Row],[Unit Price]]</f>
        <v>450000</v>
      </c>
      <c r="L4459" s="5">
        <f>ROUND(tblSales[[#This Row],[DPP (excl. VAT)]]*VATEff,0)</f>
        <v>49500</v>
      </c>
      <c r="M4459" s="5">
        <f>tblSales[[#This Row],[DPP (excl. VAT)]]+tblSales[[#This Row],[Output VAT]]</f>
        <v>499500</v>
      </c>
      <c r="N4459" s="5">
        <f>tblSales[[#This Row],[Qty]]*_xlfn.XLOOKUP(tblSales[[#This Row],[Product Code]],tblProducts[Code],tblProducts[Unit Cost],0)</f>
        <v>240000</v>
      </c>
      <c r="O4459" s="4" t="s">
        <v>4865</v>
      </c>
      <c r="P4459" s="4" t="s">
        <v>4860</v>
      </c>
      <c r="Q4459" s="1" t="str">
        <f>_xlfn.XLOOKUP(tblSales[[#This Row],[Channel Code]],tblChannels[Channel Code],tblChannels[Channel Name],"")</f>
        <v>In-store</v>
      </c>
      <c r="R4459" s="1">
        <f>MONTH(tblSales[[#This Row],[Date]])</f>
        <v>9</v>
      </c>
    </row>
    <row r="4460" spans="2:18" x14ac:dyDescent="0.35">
      <c r="B4460" s="113">
        <v>46291</v>
      </c>
      <c r="C4460" s="4" t="s">
        <v>3020</v>
      </c>
      <c r="D4460" s="4" t="s">
        <v>4568</v>
      </c>
      <c r="E4460" s="1" t="str">
        <f>_xlfn.XLOOKUP(tblSales[[#This Row],[Customer ID]],tblCustomers[Customer ID],tblCustomers[Customer Name],"⚠ Unknown")</f>
        <v>Walk-in Customer</v>
      </c>
      <c r="F4460" s="4" t="s">
        <v>8</v>
      </c>
      <c r="G4460" s="1" t="str">
        <f>_xlfn.XLOOKUP(tblSales[[#This Row],[Product Code]],tblProducts[Code],tblProducts[Product / Service Name],"⚠ Unknown")</f>
        <v>Casual Shorts</v>
      </c>
      <c r="H4460" s="1" t="str">
        <f>_xlfn.XLOOKUP(tblSales[[#This Row],[Product Code]],tblProducts[Code],tblProducts[Category],"")</f>
        <v>Accessories &amp; Basics</v>
      </c>
      <c r="I4460" s="4">
        <v>4</v>
      </c>
      <c r="J4460" s="5">
        <f>_xlfn.XLOOKUP(tblSales[[#This Row],[Product Code]],tblProducts[Code],tblProducts[Selling Price (excl. VAT)],0)</f>
        <v>85000</v>
      </c>
      <c r="K4460" s="5">
        <f>tblSales[[#This Row],[Qty]]*tblSales[[#This Row],[Unit Price]]</f>
        <v>340000</v>
      </c>
      <c r="L4460" s="5">
        <f>ROUND(tblSales[[#This Row],[DPP (excl. VAT)]]*VATEff,0)</f>
        <v>37400</v>
      </c>
      <c r="M4460" s="5">
        <f>tblSales[[#This Row],[DPP (excl. VAT)]]+tblSales[[#This Row],[Output VAT]]</f>
        <v>377400</v>
      </c>
      <c r="N4460" s="5">
        <f>tblSales[[#This Row],[Qty]]*_xlfn.XLOOKUP(tblSales[[#This Row],[Product Code]],tblProducts[Code],tblProducts[Unit Cost],0)</f>
        <v>200000</v>
      </c>
      <c r="O4460" s="4" t="s">
        <v>4866</v>
      </c>
      <c r="P4460" s="4" t="s">
        <v>4862</v>
      </c>
      <c r="Q4460" s="1" t="str">
        <f>_xlfn.XLOOKUP(tblSales[[#This Row],[Channel Code]],tblChannels[Channel Code],tblChannels[Channel Name],"")</f>
        <v>Website &amp; Social Media</v>
      </c>
      <c r="R4460" s="1">
        <f>MONTH(tblSales[[#This Row],[Date]])</f>
        <v>9</v>
      </c>
    </row>
    <row r="4461" spans="2:18" x14ac:dyDescent="0.35">
      <c r="B4461" s="113">
        <v>46291</v>
      </c>
      <c r="C4461" s="4" t="s">
        <v>3021</v>
      </c>
      <c r="D4461" s="4" t="s">
        <v>4568</v>
      </c>
      <c r="E4461" s="1" t="str">
        <f>_xlfn.XLOOKUP(tblSales[[#This Row],[Customer ID]],tblCustomers[Customer ID],tblCustomers[Customer Name],"⚠ Unknown")</f>
        <v>Walk-in Customer</v>
      </c>
      <c r="F4461" s="4" t="s">
        <v>8</v>
      </c>
      <c r="G4461" s="1" t="str">
        <f>_xlfn.XLOOKUP(tblSales[[#This Row],[Product Code]],tblProducts[Code],tblProducts[Product / Service Name],"⚠ Unknown")</f>
        <v>Casual Shorts</v>
      </c>
      <c r="H4461" s="1" t="str">
        <f>_xlfn.XLOOKUP(tblSales[[#This Row],[Product Code]],tblProducts[Code],tblProducts[Category],"")</f>
        <v>Accessories &amp; Basics</v>
      </c>
      <c r="I4461" s="4">
        <v>11</v>
      </c>
      <c r="J4461" s="5">
        <f>_xlfn.XLOOKUP(tblSales[[#This Row],[Product Code]],tblProducts[Code],tblProducts[Selling Price (excl. VAT)],0)</f>
        <v>85000</v>
      </c>
      <c r="K4461" s="5">
        <f>tblSales[[#This Row],[Qty]]*tblSales[[#This Row],[Unit Price]]</f>
        <v>935000</v>
      </c>
      <c r="L4461" s="5">
        <f>ROUND(tblSales[[#This Row],[DPP (excl. VAT)]]*VATEff,0)</f>
        <v>102850</v>
      </c>
      <c r="M4461" s="5">
        <f>tblSales[[#This Row],[DPP (excl. VAT)]]+tblSales[[#This Row],[Output VAT]]</f>
        <v>1037850</v>
      </c>
      <c r="N4461" s="5">
        <f>tblSales[[#This Row],[Qty]]*_xlfn.XLOOKUP(tblSales[[#This Row],[Product Code]],tblProducts[Code],tblProducts[Unit Cost],0)</f>
        <v>550000</v>
      </c>
      <c r="O4461" s="4" t="s">
        <v>4866</v>
      </c>
      <c r="P4461" s="4" t="s">
        <v>4860</v>
      </c>
      <c r="Q4461" s="1" t="str">
        <f>_xlfn.XLOOKUP(tblSales[[#This Row],[Channel Code]],tblChannels[Channel Code],tblChannels[Channel Name],"")</f>
        <v>In-store</v>
      </c>
      <c r="R4461" s="1">
        <f>MONTH(tblSales[[#This Row],[Date]])</f>
        <v>9</v>
      </c>
    </row>
    <row r="4462" spans="2:18" x14ac:dyDescent="0.35">
      <c r="B4462" s="113">
        <v>46292</v>
      </c>
      <c r="C4462" s="4" t="s">
        <v>3022</v>
      </c>
      <c r="D4462" s="4" t="s">
        <v>4578</v>
      </c>
      <c r="E4462" s="1" t="str">
        <f>_xlfn.XLOOKUP(tblSales[[#This Row],[Customer ID]],tblCustomers[Customer ID],tblCustomers[Customer Name],"⚠ Unknown")</f>
        <v>PT Bintang Timur Sejahtera</v>
      </c>
      <c r="F4462" s="4" t="s">
        <v>9</v>
      </c>
      <c r="G4462" s="1" t="str">
        <f>_xlfn.XLOOKUP(tblSales[[#This Row],[Product Code]],tblProducts[Code],tblProducts[Product / Service Name],"⚠ Unknown")</f>
        <v>Casual Shirt</v>
      </c>
      <c r="H4462" s="1" t="str">
        <f>_xlfn.XLOOKUP(tblSales[[#This Row],[Product Code]],tblProducts[Code],tblProducts[Category],"")</f>
        <v>Apparel &amp; Footwear</v>
      </c>
      <c r="I4462" s="4">
        <v>88</v>
      </c>
      <c r="J4462" s="5">
        <f>_xlfn.XLOOKUP(tblSales[[#This Row],[Product Code]],tblProducts[Code],tblProducts[Selling Price (excl. VAT)],0)</f>
        <v>120000</v>
      </c>
      <c r="K4462" s="5">
        <f>tblSales[[#This Row],[Qty]]*tblSales[[#This Row],[Unit Price]]</f>
        <v>10560000</v>
      </c>
      <c r="L4462" s="5">
        <f>ROUND(tblSales[[#This Row],[DPP (excl. VAT)]]*VATEff,0)</f>
        <v>1161600</v>
      </c>
      <c r="M4462" s="5">
        <f>tblSales[[#This Row],[DPP (excl. VAT)]]+tblSales[[#This Row],[Output VAT]]</f>
        <v>11721600</v>
      </c>
      <c r="N4462" s="5">
        <f>tblSales[[#This Row],[Qty]]*_xlfn.XLOOKUP(tblSales[[#This Row],[Product Code]],tblProducts[Code],tblProducts[Unit Cost],0)</f>
        <v>6336000</v>
      </c>
      <c r="O4462" s="4" t="s">
        <v>4867</v>
      </c>
      <c r="P4462" s="4" t="s">
        <v>4862</v>
      </c>
      <c r="Q4462" s="1" t="str">
        <f>_xlfn.XLOOKUP(tblSales[[#This Row],[Channel Code]],tblChannels[Channel Code],tblChannels[Channel Name],"")</f>
        <v>Website &amp; Social Media</v>
      </c>
      <c r="R4462" s="1">
        <f>MONTH(tblSales[[#This Row],[Date]])</f>
        <v>9</v>
      </c>
    </row>
    <row r="4463" spans="2:18" x14ac:dyDescent="0.35">
      <c r="B4463" s="113">
        <v>46292</v>
      </c>
      <c r="C4463" s="4" t="s">
        <v>3023</v>
      </c>
      <c r="D4463" s="4" t="s">
        <v>4568</v>
      </c>
      <c r="E4463" s="1" t="str">
        <f>_xlfn.XLOOKUP(tblSales[[#This Row],[Customer ID]],tblCustomers[Customer ID],tblCustomers[Customer Name],"⚠ Unknown")</f>
        <v>Walk-in Customer</v>
      </c>
      <c r="F4463" s="4" t="s">
        <v>8</v>
      </c>
      <c r="G4463" s="1" t="str">
        <f>_xlfn.XLOOKUP(tblSales[[#This Row],[Product Code]],tblProducts[Code],tblProducts[Product / Service Name],"⚠ Unknown")</f>
        <v>Casual Shorts</v>
      </c>
      <c r="H4463" s="1" t="str">
        <f>_xlfn.XLOOKUP(tblSales[[#This Row],[Product Code]],tblProducts[Code],tblProducts[Category],"")</f>
        <v>Accessories &amp; Basics</v>
      </c>
      <c r="I4463" s="4">
        <v>5</v>
      </c>
      <c r="J4463" s="5">
        <f>_xlfn.XLOOKUP(tblSales[[#This Row],[Product Code]],tblProducts[Code],tblProducts[Selling Price (excl. VAT)],0)</f>
        <v>85000</v>
      </c>
      <c r="K4463" s="5">
        <f>tblSales[[#This Row],[Qty]]*tblSales[[#This Row],[Unit Price]]</f>
        <v>425000</v>
      </c>
      <c r="L4463" s="5">
        <f>ROUND(tblSales[[#This Row],[DPP (excl. VAT)]]*VATEff,0)</f>
        <v>46750</v>
      </c>
      <c r="M4463" s="5">
        <f>tblSales[[#This Row],[DPP (excl. VAT)]]+tblSales[[#This Row],[Output VAT]]</f>
        <v>471750</v>
      </c>
      <c r="N4463" s="5">
        <f>tblSales[[#This Row],[Qty]]*_xlfn.XLOOKUP(tblSales[[#This Row],[Product Code]],tblProducts[Code],tblProducts[Unit Cost],0)</f>
        <v>250000</v>
      </c>
      <c r="O4463" s="4" t="s">
        <v>4865</v>
      </c>
      <c r="P4463" s="4" t="s">
        <v>4860</v>
      </c>
      <c r="Q4463" s="1" t="str">
        <f>_xlfn.XLOOKUP(tblSales[[#This Row],[Channel Code]],tblChannels[Channel Code],tblChannels[Channel Name],"")</f>
        <v>In-store</v>
      </c>
      <c r="R4463" s="1">
        <f>MONTH(tblSales[[#This Row],[Date]])</f>
        <v>9</v>
      </c>
    </row>
    <row r="4464" spans="2:18" x14ac:dyDescent="0.35">
      <c r="B4464" s="113">
        <v>46292</v>
      </c>
      <c r="C4464" s="4" t="s">
        <v>3024</v>
      </c>
      <c r="D4464" s="4" t="s">
        <v>4568</v>
      </c>
      <c r="E4464" s="1" t="str">
        <f>_xlfn.XLOOKUP(tblSales[[#This Row],[Customer ID]],tblCustomers[Customer ID],tblCustomers[Customer Name],"⚠ Unknown")</f>
        <v>Walk-in Customer</v>
      </c>
      <c r="F4464" s="4" t="s">
        <v>10</v>
      </c>
      <c r="G4464" s="1" t="str">
        <f>_xlfn.XLOOKUP(tblSales[[#This Row],[Product Code]],tblProducts[Code],tblProducts[Product / Service Name],"⚠ Unknown")</f>
        <v>Chino Pants</v>
      </c>
      <c r="H4464" s="1" t="str">
        <f>_xlfn.XLOOKUP(tblSales[[#This Row],[Product Code]],tblProducts[Code],tblProducts[Category],"")</f>
        <v>Apparel &amp; Footwear</v>
      </c>
      <c r="I4464" s="4">
        <v>12</v>
      </c>
      <c r="J4464" s="5">
        <f>_xlfn.XLOOKUP(tblSales[[#This Row],[Product Code]],tblProducts[Code],tblProducts[Selling Price (excl. VAT)],0)</f>
        <v>150000</v>
      </c>
      <c r="K4464" s="5">
        <f>tblSales[[#This Row],[Qty]]*tblSales[[#This Row],[Unit Price]]</f>
        <v>1800000</v>
      </c>
      <c r="L4464" s="5">
        <f>ROUND(tblSales[[#This Row],[DPP (excl. VAT)]]*VATEff,0)</f>
        <v>198000</v>
      </c>
      <c r="M4464" s="5">
        <f>tblSales[[#This Row],[DPP (excl. VAT)]]+tblSales[[#This Row],[Output VAT]]</f>
        <v>1998000</v>
      </c>
      <c r="N4464" s="5">
        <f>tblSales[[#This Row],[Qty]]*_xlfn.XLOOKUP(tblSales[[#This Row],[Product Code]],tblProducts[Code],tblProducts[Unit Cost],0)</f>
        <v>1056000</v>
      </c>
      <c r="O4464" s="4" t="s">
        <v>4865</v>
      </c>
      <c r="P4464" s="4" t="s">
        <v>4860</v>
      </c>
      <c r="Q4464" s="1" t="str">
        <f>_xlfn.XLOOKUP(tblSales[[#This Row],[Channel Code]],tblChannels[Channel Code],tblChannels[Channel Name],"")</f>
        <v>In-store</v>
      </c>
      <c r="R4464" s="1">
        <f>MONTH(tblSales[[#This Row],[Date]])</f>
        <v>9</v>
      </c>
    </row>
    <row r="4465" spans="2:18" x14ac:dyDescent="0.35">
      <c r="B4465" s="113">
        <v>46292</v>
      </c>
      <c r="C4465" s="4" t="s">
        <v>3025</v>
      </c>
      <c r="D4465" s="4" t="s">
        <v>4568</v>
      </c>
      <c r="E4465" s="1" t="str">
        <f>_xlfn.XLOOKUP(tblSales[[#This Row],[Customer ID]],tblCustomers[Customer ID],tblCustomers[Customer Name],"⚠ Unknown")</f>
        <v>Walk-in Customer</v>
      </c>
      <c r="F4465" s="4" t="s">
        <v>10</v>
      </c>
      <c r="G4465" s="1" t="str">
        <f>_xlfn.XLOOKUP(tblSales[[#This Row],[Product Code]],tblProducts[Code],tblProducts[Product / Service Name],"⚠ Unknown")</f>
        <v>Chino Pants</v>
      </c>
      <c r="H4465" s="1" t="str">
        <f>_xlfn.XLOOKUP(tblSales[[#This Row],[Product Code]],tblProducts[Code],tblProducts[Category],"")</f>
        <v>Apparel &amp; Footwear</v>
      </c>
      <c r="I4465" s="4">
        <v>3</v>
      </c>
      <c r="J4465" s="5">
        <f>_xlfn.XLOOKUP(tblSales[[#This Row],[Product Code]],tblProducts[Code],tblProducts[Selling Price (excl. VAT)],0)</f>
        <v>150000</v>
      </c>
      <c r="K4465" s="5">
        <f>tblSales[[#This Row],[Qty]]*tblSales[[#This Row],[Unit Price]]</f>
        <v>450000</v>
      </c>
      <c r="L4465" s="5">
        <f>ROUND(tblSales[[#This Row],[DPP (excl. VAT)]]*VATEff,0)</f>
        <v>49500</v>
      </c>
      <c r="M4465" s="5">
        <f>tblSales[[#This Row],[DPP (excl. VAT)]]+tblSales[[#This Row],[Output VAT]]</f>
        <v>499500</v>
      </c>
      <c r="N4465" s="5">
        <f>tblSales[[#This Row],[Qty]]*_xlfn.XLOOKUP(tblSales[[#This Row],[Product Code]],tblProducts[Code],tblProducts[Unit Cost],0)</f>
        <v>264000</v>
      </c>
      <c r="O4465" s="4" t="s">
        <v>4865</v>
      </c>
      <c r="P4465" s="4" t="s">
        <v>4860</v>
      </c>
      <c r="Q4465" s="1" t="str">
        <f>_xlfn.XLOOKUP(tblSales[[#This Row],[Channel Code]],tblChannels[Channel Code],tblChannels[Channel Name],"")</f>
        <v>In-store</v>
      </c>
      <c r="R4465" s="1">
        <f>MONTH(tblSales[[#This Row],[Date]])</f>
        <v>9</v>
      </c>
    </row>
    <row r="4466" spans="2:18" x14ac:dyDescent="0.35">
      <c r="B4466" s="113">
        <v>46292</v>
      </c>
      <c r="C4466" s="4" t="s">
        <v>3025</v>
      </c>
      <c r="D4466" s="4" t="s">
        <v>4568</v>
      </c>
      <c r="E4466" s="1" t="str">
        <f>_xlfn.XLOOKUP(tblSales[[#This Row],[Customer ID]],tblCustomers[Customer ID],tblCustomers[Customer Name],"⚠ Unknown")</f>
        <v>Walk-in Customer</v>
      </c>
      <c r="F4466" s="4" t="s">
        <v>15</v>
      </c>
      <c r="G4466" s="1" t="str">
        <f>_xlfn.XLOOKUP(tblSales[[#This Row],[Product Code]],tblProducts[Code],tblProducts[Product / Service Name],"⚠ Unknown")</f>
        <v>Wireless Earbuds Pro</v>
      </c>
      <c r="H4466" s="1" t="str">
        <f>_xlfn.XLOOKUP(tblSales[[#This Row],[Product Code]],tblProducts[Code],tblProducts[Category],"")</f>
        <v>Bags &amp; Gadgets</v>
      </c>
      <c r="I4466" s="4">
        <v>3</v>
      </c>
      <c r="J4466" s="5">
        <f>_xlfn.XLOOKUP(tblSales[[#This Row],[Product Code]],tblProducts[Code],tblProducts[Selling Price (excl. VAT)],0)</f>
        <v>1250000</v>
      </c>
      <c r="K4466" s="5">
        <f>tblSales[[#This Row],[Qty]]*tblSales[[#This Row],[Unit Price]]</f>
        <v>3750000</v>
      </c>
      <c r="L4466" s="5">
        <f>ROUND(tblSales[[#This Row],[DPP (excl. VAT)]]*VATEff,0)</f>
        <v>412500</v>
      </c>
      <c r="M4466" s="5">
        <f>tblSales[[#This Row],[DPP (excl. VAT)]]+tblSales[[#This Row],[Output VAT]]</f>
        <v>4162500</v>
      </c>
      <c r="N4466" s="5">
        <f>tblSales[[#This Row],[Qty]]*_xlfn.XLOOKUP(tblSales[[#This Row],[Product Code]],tblProducts[Code],tblProducts[Unit Cost],0)</f>
        <v>2460000</v>
      </c>
      <c r="O4466" s="4" t="s">
        <v>4865</v>
      </c>
      <c r="P4466" s="4" t="s">
        <v>4860</v>
      </c>
      <c r="Q4466" s="1" t="str">
        <f>_xlfn.XLOOKUP(tblSales[[#This Row],[Channel Code]],tblChannels[Channel Code],tblChannels[Channel Name],"")</f>
        <v>In-store</v>
      </c>
      <c r="R4466" s="1">
        <f>MONTH(tblSales[[#This Row],[Date]])</f>
        <v>9</v>
      </c>
    </row>
    <row r="4467" spans="2:18" x14ac:dyDescent="0.35">
      <c r="B4467" s="113">
        <v>46292</v>
      </c>
      <c r="C4467" s="4" t="s">
        <v>3026</v>
      </c>
      <c r="D4467" s="4" t="s">
        <v>4572</v>
      </c>
      <c r="E4467" s="1" t="str">
        <f>_xlfn.XLOOKUP(tblSales[[#This Row],[Customer ID]],tblCustomers[Customer ID],tblCustomers[Customer Name],"⚠ Unknown")</f>
        <v>PT Cahaya Abadi Makmur</v>
      </c>
      <c r="F4467" s="4" t="s">
        <v>14</v>
      </c>
      <c r="G4467" s="1" t="str">
        <f>_xlfn.XLOOKUP(tblSales[[#This Row],[Product Code]],tblProducts[Code],tblProducts[Product / Service Name],"⚠ Unknown")</f>
        <v>Smartwatch</v>
      </c>
      <c r="H4467" s="1" t="str">
        <f>_xlfn.XLOOKUP(tblSales[[#This Row],[Product Code]],tblProducts[Code],tblProducts[Category],"")</f>
        <v>Bags &amp; Gadgets</v>
      </c>
      <c r="I4467" s="4">
        <v>8</v>
      </c>
      <c r="J4467" s="5">
        <f>_xlfn.XLOOKUP(tblSales[[#This Row],[Product Code]],tblProducts[Code],tblProducts[Selling Price (excl. VAT)],0)</f>
        <v>850000</v>
      </c>
      <c r="K4467" s="5">
        <f>tblSales[[#This Row],[Qty]]*tblSales[[#This Row],[Unit Price]]</f>
        <v>6800000</v>
      </c>
      <c r="L4467" s="5">
        <f>ROUND(tblSales[[#This Row],[DPP (excl. VAT)]]*VATEff,0)</f>
        <v>748000</v>
      </c>
      <c r="M4467" s="5">
        <f>tblSales[[#This Row],[DPP (excl. VAT)]]+tblSales[[#This Row],[Output VAT]]</f>
        <v>7548000</v>
      </c>
      <c r="N4467" s="5">
        <f>tblSales[[#This Row],[Qty]]*_xlfn.XLOOKUP(tblSales[[#This Row],[Product Code]],tblProducts[Code],tblProducts[Unit Cost],0)</f>
        <v>4480000</v>
      </c>
      <c r="O4467" s="4" t="s">
        <v>4867</v>
      </c>
      <c r="P4467" s="4" t="s">
        <v>4862</v>
      </c>
      <c r="Q4467" s="1" t="str">
        <f>_xlfn.XLOOKUP(tblSales[[#This Row],[Channel Code]],tblChannels[Channel Code],tblChannels[Channel Name],"")</f>
        <v>Website &amp; Social Media</v>
      </c>
      <c r="R4467" s="1">
        <f>MONTH(tblSales[[#This Row],[Date]])</f>
        <v>9</v>
      </c>
    </row>
    <row r="4468" spans="2:18" x14ac:dyDescent="0.35">
      <c r="B4468" s="113">
        <v>46292</v>
      </c>
      <c r="C4468" s="4" t="s">
        <v>3027</v>
      </c>
      <c r="D4468" s="4" t="s">
        <v>4568</v>
      </c>
      <c r="E4468" s="1" t="str">
        <f>_xlfn.XLOOKUP(tblSales[[#This Row],[Customer ID]],tblCustomers[Customer ID],tblCustomers[Customer Name],"⚠ Unknown")</f>
        <v>Walk-in Customer</v>
      </c>
      <c r="F4468" s="4" t="s">
        <v>8</v>
      </c>
      <c r="G4468" s="1" t="str">
        <f>_xlfn.XLOOKUP(tblSales[[#This Row],[Product Code]],tblProducts[Code],tblProducts[Product / Service Name],"⚠ Unknown")</f>
        <v>Casual Shorts</v>
      </c>
      <c r="H4468" s="1" t="str">
        <f>_xlfn.XLOOKUP(tblSales[[#This Row],[Product Code]],tblProducts[Code],tblProducts[Category],"")</f>
        <v>Accessories &amp; Basics</v>
      </c>
      <c r="I4468" s="4">
        <v>9</v>
      </c>
      <c r="J4468" s="5">
        <f>_xlfn.XLOOKUP(tblSales[[#This Row],[Product Code]],tblProducts[Code],tblProducts[Selling Price (excl. VAT)],0)</f>
        <v>85000</v>
      </c>
      <c r="K4468" s="5">
        <f>tblSales[[#This Row],[Qty]]*tblSales[[#This Row],[Unit Price]]</f>
        <v>765000</v>
      </c>
      <c r="L4468" s="5">
        <f>ROUND(tblSales[[#This Row],[DPP (excl. VAT)]]*VATEff,0)</f>
        <v>84150</v>
      </c>
      <c r="M4468" s="5">
        <f>tblSales[[#This Row],[DPP (excl. VAT)]]+tblSales[[#This Row],[Output VAT]]</f>
        <v>849150</v>
      </c>
      <c r="N4468" s="5">
        <f>tblSales[[#This Row],[Qty]]*_xlfn.XLOOKUP(tblSales[[#This Row],[Product Code]],tblProducts[Code],tblProducts[Unit Cost],0)</f>
        <v>450000</v>
      </c>
      <c r="O4468" s="4" t="s">
        <v>4865</v>
      </c>
      <c r="P4468" s="4" t="s">
        <v>4860</v>
      </c>
      <c r="Q4468" s="1" t="str">
        <f>_xlfn.XLOOKUP(tblSales[[#This Row],[Channel Code]],tblChannels[Channel Code],tblChannels[Channel Name],"")</f>
        <v>In-store</v>
      </c>
      <c r="R4468" s="1">
        <f>MONTH(tblSales[[#This Row],[Date]])</f>
        <v>9</v>
      </c>
    </row>
    <row r="4469" spans="2:18" x14ac:dyDescent="0.35">
      <c r="B4469" s="113">
        <v>46292</v>
      </c>
      <c r="C4469" s="4" t="s">
        <v>3028</v>
      </c>
      <c r="D4469" s="4" t="s">
        <v>4568</v>
      </c>
      <c r="E4469" s="1" t="str">
        <f>_xlfn.XLOOKUP(tblSales[[#This Row],[Customer ID]],tblCustomers[Customer ID],tblCustomers[Customer Name],"⚠ Unknown")</f>
        <v>Walk-in Customer</v>
      </c>
      <c r="F4469" s="4" t="s">
        <v>6</v>
      </c>
      <c r="G4469" s="1" t="str">
        <f>_xlfn.XLOOKUP(tblSales[[#This Row],[Product Code]],tblProducts[Code],tblProducts[Product / Service Name],"⚠ Unknown")</f>
        <v>Socks &amp; Accessories</v>
      </c>
      <c r="H4469" s="1" t="str">
        <f>_xlfn.XLOOKUP(tblSales[[#This Row],[Product Code]],tblProducts[Code],tblProducts[Category],"")</f>
        <v>Accessories &amp; Basics</v>
      </c>
      <c r="I4469" s="4">
        <v>7</v>
      </c>
      <c r="J4469" s="5">
        <f>_xlfn.XLOOKUP(tblSales[[#This Row],[Product Code]],tblProducts[Code],tblProducts[Selling Price (excl. VAT)],0)</f>
        <v>45000</v>
      </c>
      <c r="K4469" s="5">
        <f>tblSales[[#This Row],[Qty]]*tblSales[[#This Row],[Unit Price]]</f>
        <v>315000</v>
      </c>
      <c r="L4469" s="5">
        <f>ROUND(tblSales[[#This Row],[DPP (excl. VAT)]]*VATEff,0)</f>
        <v>34650</v>
      </c>
      <c r="M4469" s="5">
        <f>tblSales[[#This Row],[DPP (excl. VAT)]]+tblSales[[#This Row],[Output VAT]]</f>
        <v>349650</v>
      </c>
      <c r="N4469" s="5">
        <f>tblSales[[#This Row],[Qty]]*_xlfn.XLOOKUP(tblSales[[#This Row],[Product Code]],tblProducts[Code],tblProducts[Unit Cost],0)</f>
        <v>168000</v>
      </c>
      <c r="O4469" s="4" t="s">
        <v>4866</v>
      </c>
      <c r="P4469" s="4" t="s">
        <v>4860</v>
      </c>
      <c r="Q4469" s="1" t="str">
        <f>_xlfn.XLOOKUP(tblSales[[#This Row],[Channel Code]],tblChannels[Channel Code],tblChannels[Channel Name],"")</f>
        <v>In-store</v>
      </c>
      <c r="R4469" s="1">
        <f>MONTH(tblSales[[#This Row],[Date]])</f>
        <v>9</v>
      </c>
    </row>
    <row r="4470" spans="2:18" x14ac:dyDescent="0.35">
      <c r="B4470" s="113">
        <v>46292</v>
      </c>
      <c r="C4470" s="4" t="s">
        <v>3029</v>
      </c>
      <c r="D4470" s="4" t="s">
        <v>4568</v>
      </c>
      <c r="E4470" s="1" t="str">
        <f>_xlfn.XLOOKUP(tblSales[[#This Row],[Customer ID]],tblCustomers[Customer ID],tblCustomers[Customer Name],"⚠ Unknown")</f>
        <v>Walk-in Customer</v>
      </c>
      <c r="F4470" s="4" t="s">
        <v>12</v>
      </c>
      <c r="G4470" s="1" t="str">
        <f>_xlfn.XLOOKUP(tblSales[[#This Row],[Product Code]],tblProducts[Code],tblProducts[Product / Service Name],"⚠ Unknown")</f>
        <v>Bomber Jacket</v>
      </c>
      <c r="H4470" s="1" t="str">
        <f>_xlfn.XLOOKUP(tblSales[[#This Row],[Product Code]],tblProducts[Code],tblProducts[Category],"")</f>
        <v>Apparel &amp; Footwear</v>
      </c>
      <c r="I4470" s="4">
        <v>4</v>
      </c>
      <c r="J4470" s="5">
        <f>_xlfn.XLOOKUP(tblSales[[#This Row],[Product Code]],tblProducts[Code],tblProducts[Selling Price (excl. VAT)],0)</f>
        <v>350000</v>
      </c>
      <c r="K4470" s="5">
        <f>tblSales[[#This Row],[Qty]]*tblSales[[#This Row],[Unit Price]]</f>
        <v>1400000</v>
      </c>
      <c r="L4470" s="5">
        <f>ROUND(tblSales[[#This Row],[DPP (excl. VAT)]]*VATEff,0)</f>
        <v>154000</v>
      </c>
      <c r="M4470" s="5">
        <f>tblSales[[#This Row],[DPP (excl. VAT)]]+tblSales[[#This Row],[Output VAT]]</f>
        <v>1554000</v>
      </c>
      <c r="N4470" s="5">
        <f>tblSales[[#This Row],[Qty]]*_xlfn.XLOOKUP(tblSales[[#This Row],[Product Code]],tblProducts[Code],tblProducts[Unit Cost],0)</f>
        <v>840000</v>
      </c>
      <c r="O4470" s="4" t="s">
        <v>4865</v>
      </c>
      <c r="P4470" s="4" t="s">
        <v>4860</v>
      </c>
      <c r="Q4470" s="1" t="str">
        <f>_xlfn.XLOOKUP(tblSales[[#This Row],[Channel Code]],tblChannels[Channel Code],tblChannels[Channel Name],"")</f>
        <v>In-store</v>
      </c>
      <c r="R4470" s="1">
        <f>MONTH(tblSales[[#This Row],[Date]])</f>
        <v>9</v>
      </c>
    </row>
    <row r="4471" spans="2:18" x14ac:dyDescent="0.35">
      <c r="B4471" s="113">
        <v>46292</v>
      </c>
      <c r="C4471" s="4" t="s">
        <v>3030</v>
      </c>
      <c r="D4471" s="4" t="s">
        <v>4568</v>
      </c>
      <c r="E4471" s="1" t="str">
        <f>_xlfn.XLOOKUP(tblSales[[#This Row],[Customer ID]],tblCustomers[Customer ID],tblCustomers[Customer Name],"⚠ Unknown")</f>
        <v>Walk-in Customer</v>
      </c>
      <c r="F4471" s="4" t="s">
        <v>9</v>
      </c>
      <c r="G4471" s="1" t="str">
        <f>_xlfn.XLOOKUP(tblSales[[#This Row],[Product Code]],tblProducts[Code],tblProducts[Product / Service Name],"⚠ Unknown")</f>
        <v>Casual Shirt</v>
      </c>
      <c r="H4471" s="1" t="str">
        <f>_xlfn.XLOOKUP(tblSales[[#This Row],[Product Code]],tblProducts[Code],tblProducts[Category],"")</f>
        <v>Apparel &amp; Footwear</v>
      </c>
      <c r="I4471" s="4">
        <v>6</v>
      </c>
      <c r="J4471" s="5">
        <f>_xlfn.XLOOKUP(tblSales[[#This Row],[Product Code]],tblProducts[Code],tblProducts[Selling Price (excl. VAT)],0)</f>
        <v>120000</v>
      </c>
      <c r="K4471" s="5">
        <f>tblSales[[#This Row],[Qty]]*tblSales[[#This Row],[Unit Price]]</f>
        <v>720000</v>
      </c>
      <c r="L4471" s="5">
        <f>ROUND(tblSales[[#This Row],[DPP (excl. VAT)]]*VATEff,0)</f>
        <v>79200</v>
      </c>
      <c r="M4471" s="5">
        <f>tblSales[[#This Row],[DPP (excl. VAT)]]+tblSales[[#This Row],[Output VAT]]</f>
        <v>799200</v>
      </c>
      <c r="N4471" s="5">
        <f>tblSales[[#This Row],[Qty]]*_xlfn.XLOOKUP(tblSales[[#This Row],[Product Code]],tblProducts[Code],tblProducts[Unit Cost],0)</f>
        <v>432000</v>
      </c>
      <c r="O4471" s="4" t="s">
        <v>4865</v>
      </c>
      <c r="P4471" s="4" t="s">
        <v>4860</v>
      </c>
      <c r="Q4471" s="1" t="str">
        <f>_xlfn.XLOOKUP(tblSales[[#This Row],[Channel Code]],tblChannels[Channel Code],tblChannels[Channel Name],"")</f>
        <v>In-store</v>
      </c>
      <c r="R4471" s="1">
        <f>MONTH(tblSales[[#This Row],[Date]])</f>
        <v>9</v>
      </c>
    </row>
    <row r="4472" spans="2:18" x14ac:dyDescent="0.35">
      <c r="B4472" s="113">
        <v>46292</v>
      </c>
      <c r="C4472" s="4" t="s">
        <v>3031</v>
      </c>
      <c r="D4472" s="4" t="s">
        <v>4568</v>
      </c>
      <c r="E4472" s="1" t="str">
        <f>_xlfn.XLOOKUP(tblSales[[#This Row],[Customer ID]],tblCustomers[Customer ID],tblCustomers[Customer Name],"⚠ Unknown")</f>
        <v>Walk-in Customer</v>
      </c>
      <c r="F4472" s="4" t="s">
        <v>10</v>
      </c>
      <c r="G4472" s="1" t="str">
        <f>_xlfn.XLOOKUP(tblSales[[#This Row],[Product Code]],tblProducts[Code],tblProducts[Product / Service Name],"⚠ Unknown")</f>
        <v>Chino Pants</v>
      </c>
      <c r="H4472" s="1" t="str">
        <f>_xlfn.XLOOKUP(tblSales[[#This Row],[Product Code]],tblProducts[Code],tblProducts[Category],"")</f>
        <v>Apparel &amp; Footwear</v>
      </c>
      <c r="I4472" s="4">
        <v>7</v>
      </c>
      <c r="J4472" s="5">
        <f>_xlfn.XLOOKUP(tblSales[[#This Row],[Product Code]],tblProducts[Code],tblProducts[Selling Price (excl. VAT)],0)</f>
        <v>150000</v>
      </c>
      <c r="K4472" s="5">
        <f>tblSales[[#This Row],[Qty]]*tblSales[[#This Row],[Unit Price]]</f>
        <v>1050000</v>
      </c>
      <c r="L4472" s="5">
        <f>ROUND(tblSales[[#This Row],[DPP (excl. VAT)]]*VATEff,0)</f>
        <v>115500</v>
      </c>
      <c r="M4472" s="5">
        <f>tblSales[[#This Row],[DPP (excl. VAT)]]+tblSales[[#This Row],[Output VAT]]</f>
        <v>1165500</v>
      </c>
      <c r="N4472" s="5">
        <f>tblSales[[#This Row],[Qty]]*_xlfn.XLOOKUP(tblSales[[#This Row],[Product Code]],tblProducts[Code],tblProducts[Unit Cost],0)</f>
        <v>616000</v>
      </c>
      <c r="O4472" s="4" t="s">
        <v>4866</v>
      </c>
      <c r="P4472" s="4" t="s">
        <v>4861</v>
      </c>
      <c r="Q4472" s="1" t="str">
        <f>_xlfn.XLOOKUP(tblSales[[#This Row],[Channel Code]],tblChannels[Channel Code],tblChannels[Channel Name],"")</f>
        <v>Marketplace</v>
      </c>
      <c r="R4472" s="1">
        <f>MONTH(tblSales[[#This Row],[Date]])</f>
        <v>9</v>
      </c>
    </row>
    <row r="4473" spans="2:18" x14ac:dyDescent="0.35">
      <c r="B4473" s="113">
        <v>46292</v>
      </c>
      <c r="C4473" s="4" t="s">
        <v>3032</v>
      </c>
      <c r="D4473" s="4" t="s">
        <v>4568</v>
      </c>
      <c r="E4473" s="1" t="str">
        <f>_xlfn.XLOOKUP(tblSales[[#This Row],[Customer ID]],tblCustomers[Customer ID],tblCustomers[Customer Name],"⚠ Unknown")</f>
        <v>Walk-in Customer</v>
      </c>
      <c r="F4473" s="4" t="s">
        <v>6</v>
      </c>
      <c r="G4473" s="1" t="str">
        <f>_xlfn.XLOOKUP(tblSales[[#This Row],[Product Code]],tblProducts[Code],tblProducts[Product / Service Name],"⚠ Unknown")</f>
        <v>Socks &amp; Accessories</v>
      </c>
      <c r="H4473" s="1" t="str">
        <f>_xlfn.XLOOKUP(tblSales[[#This Row],[Product Code]],tblProducts[Code],tblProducts[Category],"")</f>
        <v>Accessories &amp; Basics</v>
      </c>
      <c r="I4473" s="4">
        <v>4</v>
      </c>
      <c r="J4473" s="5">
        <f>_xlfn.XLOOKUP(tblSales[[#This Row],[Product Code]],tblProducts[Code],tblProducts[Selling Price (excl. VAT)],0)</f>
        <v>45000</v>
      </c>
      <c r="K4473" s="5">
        <f>tblSales[[#This Row],[Qty]]*tblSales[[#This Row],[Unit Price]]</f>
        <v>180000</v>
      </c>
      <c r="L4473" s="5">
        <f>ROUND(tblSales[[#This Row],[DPP (excl. VAT)]]*VATEff,0)</f>
        <v>19800</v>
      </c>
      <c r="M4473" s="5">
        <f>tblSales[[#This Row],[DPP (excl. VAT)]]+tblSales[[#This Row],[Output VAT]]</f>
        <v>199800</v>
      </c>
      <c r="N4473" s="5">
        <f>tblSales[[#This Row],[Qty]]*_xlfn.XLOOKUP(tblSales[[#This Row],[Product Code]],tblProducts[Code],tblProducts[Unit Cost],0)</f>
        <v>96000</v>
      </c>
      <c r="O4473" s="4" t="s">
        <v>4866</v>
      </c>
      <c r="P4473" s="4" t="s">
        <v>4861</v>
      </c>
      <c r="Q4473" s="1" t="str">
        <f>_xlfn.XLOOKUP(tblSales[[#This Row],[Channel Code]],tblChannels[Channel Code],tblChannels[Channel Name],"")</f>
        <v>Marketplace</v>
      </c>
      <c r="R4473" s="1">
        <f>MONTH(tblSales[[#This Row],[Date]])</f>
        <v>9</v>
      </c>
    </row>
    <row r="4474" spans="2:18" x14ac:dyDescent="0.35">
      <c r="B4474" s="113">
        <v>46292</v>
      </c>
      <c r="C4474" s="4" t="s">
        <v>3033</v>
      </c>
      <c r="D4474" s="4" t="s">
        <v>4568</v>
      </c>
      <c r="E4474" s="1" t="str">
        <f>_xlfn.XLOOKUP(tblSales[[#This Row],[Customer ID]],tblCustomers[Customer ID],tblCustomers[Customer Name],"⚠ Unknown")</f>
        <v>Walk-in Customer</v>
      </c>
      <c r="F4474" s="4" t="s">
        <v>8</v>
      </c>
      <c r="G4474" s="1" t="str">
        <f>_xlfn.XLOOKUP(tblSales[[#This Row],[Product Code]],tblProducts[Code],tblProducts[Product / Service Name],"⚠ Unknown")</f>
        <v>Casual Shorts</v>
      </c>
      <c r="H4474" s="1" t="str">
        <f>_xlfn.XLOOKUP(tblSales[[#This Row],[Product Code]],tblProducts[Code],tblProducts[Category],"")</f>
        <v>Accessories &amp; Basics</v>
      </c>
      <c r="I4474" s="4">
        <v>8</v>
      </c>
      <c r="J4474" s="5">
        <f>_xlfn.XLOOKUP(tblSales[[#This Row],[Product Code]],tblProducts[Code],tblProducts[Selling Price (excl. VAT)],0)</f>
        <v>85000</v>
      </c>
      <c r="K4474" s="5">
        <f>tblSales[[#This Row],[Qty]]*tblSales[[#This Row],[Unit Price]]</f>
        <v>680000</v>
      </c>
      <c r="L4474" s="5">
        <f>ROUND(tblSales[[#This Row],[DPP (excl. VAT)]]*VATEff,0)</f>
        <v>74800</v>
      </c>
      <c r="M4474" s="5">
        <f>tblSales[[#This Row],[DPP (excl. VAT)]]+tblSales[[#This Row],[Output VAT]]</f>
        <v>754800</v>
      </c>
      <c r="N4474" s="5">
        <f>tblSales[[#This Row],[Qty]]*_xlfn.XLOOKUP(tblSales[[#This Row],[Product Code]],tblProducts[Code],tblProducts[Unit Cost],0)</f>
        <v>400000</v>
      </c>
      <c r="O4474" s="4" t="s">
        <v>4865</v>
      </c>
      <c r="P4474" s="4" t="s">
        <v>4860</v>
      </c>
      <c r="Q4474" s="1" t="str">
        <f>_xlfn.XLOOKUP(tblSales[[#This Row],[Channel Code]],tblChannels[Channel Code],tblChannels[Channel Name],"")</f>
        <v>In-store</v>
      </c>
      <c r="R4474" s="1">
        <f>MONTH(tblSales[[#This Row],[Date]])</f>
        <v>9</v>
      </c>
    </row>
    <row r="4475" spans="2:18" x14ac:dyDescent="0.35">
      <c r="B4475" s="113">
        <v>46292</v>
      </c>
      <c r="C4475" s="4" t="s">
        <v>3033</v>
      </c>
      <c r="D4475" s="4" t="s">
        <v>4568</v>
      </c>
      <c r="E4475" s="1" t="str">
        <f>_xlfn.XLOOKUP(tblSales[[#This Row],[Customer ID]],tblCustomers[Customer ID],tblCustomers[Customer Name],"⚠ Unknown")</f>
        <v>Walk-in Customer</v>
      </c>
      <c r="F4475" s="4" t="s">
        <v>9</v>
      </c>
      <c r="G4475" s="1" t="str">
        <f>_xlfn.XLOOKUP(tblSales[[#This Row],[Product Code]],tblProducts[Code],tblProducts[Product / Service Name],"⚠ Unknown")</f>
        <v>Casual Shirt</v>
      </c>
      <c r="H4475" s="1" t="str">
        <f>_xlfn.XLOOKUP(tblSales[[#This Row],[Product Code]],tblProducts[Code],tblProducts[Category],"")</f>
        <v>Apparel &amp; Footwear</v>
      </c>
      <c r="I4475" s="4">
        <v>7</v>
      </c>
      <c r="J4475" s="5">
        <f>_xlfn.XLOOKUP(tblSales[[#This Row],[Product Code]],tblProducts[Code],tblProducts[Selling Price (excl. VAT)],0)</f>
        <v>120000</v>
      </c>
      <c r="K4475" s="5">
        <f>tblSales[[#This Row],[Qty]]*tblSales[[#This Row],[Unit Price]]</f>
        <v>840000</v>
      </c>
      <c r="L4475" s="5">
        <f>ROUND(tblSales[[#This Row],[DPP (excl. VAT)]]*VATEff,0)</f>
        <v>92400</v>
      </c>
      <c r="M4475" s="5">
        <f>tblSales[[#This Row],[DPP (excl. VAT)]]+tblSales[[#This Row],[Output VAT]]</f>
        <v>932400</v>
      </c>
      <c r="N4475" s="5">
        <f>tblSales[[#This Row],[Qty]]*_xlfn.XLOOKUP(tblSales[[#This Row],[Product Code]],tblProducts[Code],tblProducts[Unit Cost],0)</f>
        <v>504000</v>
      </c>
      <c r="O4475" s="4" t="s">
        <v>4865</v>
      </c>
      <c r="P4475" s="4" t="s">
        <v>4860</v>
      </c>
      <c r="Q4475" s="1" t="str">
        <f>_xlfn.XLOOKUP(tblSales[[#This Row],[Channel Code]],tblChannels[Channel Code],tblChannels[Channel Name],"")</f>
        <v>In-store</v>
      </c>
      <c r="R4475" s="1">
        <f>MONTH(tblSales[[#This Row],[Date]])</f>
        <v>9</v>
      </c>
    </row>
    <row r="4476" spans="2:18" x14ac:dyDescent="0.35">
      <c r="B4476" s="113">
        <v>46293</v>
      </c>
      <c r="C4476" s="4" t="s">
        <v>3034</v>
      </c>
      <c r="D4476" s="4" t="s">
        <v>4568</v>
      </c>
      <c r="E4476" s="1" t="str">
        <f>_xlfn.XLOOKUP(tblSales[[#This Row],[Customer ID]],tblCustomers[Customer ID],tblCustomers[Customer Name],"⚠ Unknown")</f>
        <v>Walk-in Customer</v>
      </c>
      <c r="F4476" s="4" t="s">
        <v>10</v>
      </c>
      <c r="G4476" s="1" t="str">
        <f>_xlfn.XLOOKUP(tblSales[[#This Row],[Product Code]],tblProducts[Code],tblProducts[Product / Service Name],"⚠ Unknown")</f>
        <v>Chino Pants</v>
      </c>
      <c r="H4476" s="1" t="str">
        <f>_xlfn.XLOOKUP(tblSales[[#This Row],[Product Code]],tblProducts[Code],tblProducts[Category],"")</f>
        <v>Apparel &amp; Footwear</v>
      </c>
      <c r="I4476" s="4">
        <v>10</v>
      </c>
      <c r="J4476" s="5">
        <f>_xlfn.XLOOKUP(tblSales[[#This Row],[Product Code]],tblProducts[Code],tblProducts[Selling Price (excl. VAT)],0)</f>
        <v>150000</v>
      </c>
      <c r="K4476" s="5">
        <f>tblSales[[#This Row],[Qty]]*tblSales[[#This Row],[Unit Price]]</f>
        <v>1500000</v>
      </c>
      <c r="L4476" s="5">
        <f>ROUND(tblSales[[#This Row],[DPP (excl. VAT)]]*VATEff,0)</f>
        <v>165000</v>
      </c>
      <c r="M4476" s="5">
        <f>tblSales[[#This Row],[DPP (excl. VAT)]]+tblSales[[#This Row],[Output VAT]]</f>
        <v>1665000</v>
      </c>
      <c r="N4476" s="5">
        <f>tblSales[[#This Row],[Qty]]*_xlfn.XLOOKUP(tblSales[[#This Row],[Product Code]],tblProducts[Code],tblProducts[Unit Cost],0)</f>
        <v>880000</v>
      </c>
      <c r="O4476" s="4" t="s">
        <v>4865</v>
      </c>
      <c r="P4476" s="4" t="s">
        <v>4860</v>
      </c>
      <c r="Q4476" s="1" t="str">
        <f>_xlfn.XLOOKUP(tblSales[[#This Row],[Channel Code]],tblChannels[Channel Code],tblChannels[Channel Name],"")</f>
        <v>In-store</v>
      </c>
      <c r="R4476" s="1">
        <f>MONTH(tblSales[[#This Row],[Date]])</f>
        <v>9</v>
      </c>
    </row>
    <row r="4477" spans="2:18" x14ac:dyDescent="0.35">
      <c r="B4477" s="113">
        <v>46293</v>
      </c>
      <c r="C4477" s="4" t="s">
        <v>3035</v>
      </c>
      <c r="D4477" s="4" t="s">
        <v>4568</v>
      </c>
      <c r="E4477" s="1" t="str">
        <f>_xlfn.XLOOKUP(tblSales[[#This Row],[Customer ID]],tblCustomers[Customer ID],tblCustomers[Customer Name],"⚠ Unknown")</f>
        <v>Walk-in Customer</v>
      </c>
      <c r="F4477" s="4" t="s">
        <v>12</v>
      </c>
      <c r="G4477" s="1" t="str">
        <f>_xlfn.XLOOKUP(tblSales[[#This Row],[Product Code]],tblProducts[Code],tblProducts[Product / Service Name],"⚠ Unknown")</f>
        <v>Bomber Jacket</v>
      </c>
      <c r="H4477" s="1" t="str">
        <f>_xlfn.XLOOKUP(tblSales[[#This Row],[Product Code]],tblProducts[Code],tblProducts[Category],"")</f>
        <v>Apparel &amp; Footwear</v>
      </c>
      <c r="I4477" s="4">
        <v>3</v>
      </c>
      <c r="J4477" s="5">
        <f>_xlfn.XLOOKUP(tblSales[[#This Row],[Product Code]],tblProducts[Code],tblProducts[Selling Price (excl. VAT)],0)</f>
        <v>350000</v>
      </c>
      <c r="K4477" s="5">
        <f>tblSales[[#This Row],[Qty]]*tblSales[[#This Row],[Unit Price]]</f>
        <v>1050000</v>
      </c>
      <c r="L4477" s="5">
        <f>ROUND(tblSales[[#This Row],[DPP (excl. VAT)]]*VATEff,0)</f>
        <v>115500</v>
      </c>
      <c r="M4477" s="5">
        <f>tblSales[[#This Row],[DPP (excl. VAT)]]+tblSales[[#This Row],[Output VAT]]</f>
        <v>1165500</v>
      </c>
      <c r="N4477" s="5">
        <f>tblSales[[#This Row],[Qty]]*_xlfn.XLOOKUP(tblSales[[#This Row],[Product Code]],tblProducts[Code],tblProducts[Unit Cost],0)</f>
        <v>630000</v>
      </c>
      <c r="O4477" s="4" t="s">
        <v>4866</v>
      </c>
      <c r="P4477" s="4" t="s">
        <v>4861</v>
      </c>
      <c r="Q4477" s="1" t="str">
        <f>_xlfn.XLOOKUP(tblSales[[#This Row],[Channel Code]],tblChannels[Channel Code],tblChannels[Channel Name],"")</f>
        <v>Marketplace</v>
      </c>
      <c r="R4477" s="1">
        <f>MONTH(tblSales[[#This Row],[Date]])</f>
        <v>9</v>
      </c>
    </row>
    <row r="4478" spans="2:18" x14ac:dyDescent="0.35">
      <c r="B4478" s="113">
        <v>46293</v>
      </c>
      <c r="C4478" s="4" t="s">
        <v>3036</v>
      </c>
      <c r="D4478" s="4" t="s">
        <v>4568</v>
      </c>
      <c r="E4478" s="1" t="str">
        <f>_xlfn.XLOOKUP(tblSales[[#This Row],[Customer ID]],tblCustomers[Customer ID],tblCustomers[Customer Name],"⚠ Unknown")</f>
        <v>Walk-in Customer</v>
      </c>
      <c r="F4478" s="4" t="s">
        <v>6</v>
      </c>
      <c r="G4478" s="1" t="str">
        <f>_xlfn.XLOOKUP(tblSales[[#This Row],[Product Code]],tblProducts[Code],tblProducts[Product / Service Name],"⚠ Unknown")</f>
        <v>Socks &amp; Accessories</v>
      </c>
      <c r="H4478" s="1" t="str">
        <f>_xlfn.XLOOKUP(tblSales[[#This Row],[Product Code]],tblProducts[Code],tblProducts[Category],"")</f>
        <v>Accessories &amp; Basics</v>
      </c>
      <c r="I4478" s="4">
        <v>12</v>
      </c>
      <c r="J4478" s="5">
        <f>_xlfn.XLOOKUP(tblSales[[#This Row],[Product Code]],tblProducts[Code],tblProducts[Selling Price (excl. VAT)],0)</f>
        <v>45000</v>
      </c>
      <c r="K4478" s="5">
        <f>tblSales[[#This Row],[Qty]]*tblSales[[#This Row],[Unit Price]]</f>
        <v>540000</v>
      </c>
      <c r="L4478" s="5">
        <f>ROUND(tblSales[[#This Row],[DPP (excl. VAT)]]*VATEff,0)</f>
        <v>59400</v>
      </c>
      <c r="M4478" s="5">
        <f>tblSales[[#This Row],[DPP (excl. VAT)]]+tblSales[[#This Row],[Output VAT]]</f>
        <v>599400</v>
      </c>
      <c r="N4478" s="5">
        <f>tblSales[[#This Row],[Qty]]*_xlfn.XLOOKUP(tblSales[[#This Row],[Product Code]],tblProducts[Code],tblProducts[Unit Cost],0)</f>
        <v>288000</v>
      </c>
      <c r="O4478" s="4" t="s">
        <v>4866</v>
      </c>
      <c r="P4478" s="4" t="s">
        <v>4862</v>
      </c>
      <c r="Q4478" s="1" t="str">
        <f>_xlfn.XLOOKUP(tblSales[[#This Row],[Channel Code]],tblChannels[Channel Code],tblChannels[Channel Name],"")</f>
        <v>Website &amp; Social Media</v>
      </c>
      <c r="R4478" s="1">
        <f>MONTH(tblSales[[#This Row],[Date]])</f>
        <v>9</v>
      </c>
    </row>
    <row r="4479" spans="2:18" x14ac:dyDescent="0.35">
      <c r="B4479" s="113">
        <v>46293</v>
      </c>
      <c r="C4479" s="4" t="s">
        <v>3037</v>
      </c>
      <c r="D4479" s="4" t="s">
        <v>4568</v>
      </c>
      <c r="E4479" s="1" t="str">
        <f>_xlfn.XLOOKUP(tblSales[[#This Row],[Customer ID]],tblCustomers[Customer ID],tblCustomers[Customer Name],"⚠ Unknown")</f>
        <v>Walk-in Customer</v>
      </c>
      <c r="F4479" s="4" t="s">
        <v>8</v>
      </c>
      <c r="G4479" s="1" t="str">
        <f>_xlfn.XLOOKUP(tblSales[[#This Row],[Product Code]],tblProducts[Code],tblProducts[Product / Service Name],"⚠ Unknown")</f>
        <v>Casual Shorts</v>
      </c>
      <c r="H4479" s="1" t="str">
        <f>_xlfn.XLOOKUP(tblSales[[#This Row],[Product Code]],tblProducts[Code],tblProducts[Category],"")</f>
        <v>Accessories &amp; Basics</v>
      </c>
      <c r="I4479" s="4">
        <v>4</v>
      </c>
      <c r="J4479" s="5">
        <f>_xlfn.XLOOKUP(tblSales[[#This Row],[Product Code]],tblProducts[Code],tblProducts[Selling Price (excl. VAT)],0)</f>
        <v>85000</v>
      </c>
      <c r="K4479" s="5">
        <f>tblSales[[#This Row],[Qty]]*tblSales[[#This Row],[Unit Price]]</f>
        <v>340000</v>
      </c>
      <c r="L4479" s="5">
        <f>ROUND(tblSales[[#This Row],[DPP (excl. VAT)]]*VATEff,0)</f>
        <v>37400</v>
      </c>
      <c r="M4479" s="5">
        <f>tblSales[[#This Row],[DPP (excl. VAT)]]+tblSales[[#This Row],[Output VAT]]</f>
        <v>377400</v>
      </c>
      <c r="N4479" s="5">
        <f>tblSales[[#This Row],[Qty]]*_xlfn.XLOOKUP(tblSales[[#This Row],[Product Code]],tblProducts[Code],tblProducts[Unit Cost],0)</f>
        <v>200000</v>
      </c>
      <c r="O4479" s="4" t="s">
        <v>4866</v>
      </c>
      <c r="P4479" s="4" t="s">
        <v>4860</v>
      </c>
      <c r="Q4479" s="1" t="str">
        <f>_xlfn.XLOOKUP(tblSales[[#This Row],[Channel Code]],tblChannels[Channel Code],tblChannels[Channel Name],"")</f>
        <v>In-store</v>
      </c>
      <c r="R4479" s="1">
        <f>MONTH(tblSales[[#This Row],[Date]])</f>
        <v>9</v>
      </c>
    </row>
    <row r="4480" spans="2:18" x14ac:dyDescent="0.35">
      <c r="B4480" s="113">
        <v>46293</v>
      </c>
      <c r="C4480" s="4" t="s">
        <v>3038</v>
      </c>
      <c r="D4480" s="4" t="s">
        <v>4572</v>
      </c>
      <c r="E4480" s="1" t="str">
        <f>_xlfn.XLOOKUP(tblSales[[#This Row],[Customer ID]],tblCustomers[Customer ID],tblCustomers[Customer Name],"⚠ Unknown")</f>
        <v>PT Cahaya Abadi Makmur</v>
      </c>
      <c r="F4480" s="4" t="s">
        <v>12</v>
      </c>
      <c r="G4480" s="1" t="str">
        <f>_xlfn.XLOOKUP(tblSales[[#This Row],[Product Code]],tblProducts[Code],tblProducts[Product / Service Name],"⚠ Unknown")</f>
        <v>Bomber Jacket</v>
      </c>
      <c r="H4480" s="1" t="str">
        <f>_xlfn.XLOOKUP(tblSales[[#This Row],[Product Code]],tblProducts[Code],tblProducts[Category],"")</f>
        <v>Apparel &amp; Footwear</v>
      </c>
      <c r="I4480" s="4">
        <v>32</v>
      </c>
      <c r="J4480" s="5">
        <f>_xlfn.XLOOKUP(tblSales[[#This Row],[Product Code]],tblProducts[Code],tblProducts[Selling Price (excl. VAT)],0)</f>
        <v>350000</v>
      </c>
      <c r="K4480" s="5">
        <f>tblSales[[#This Row],[Qty]]*tblSales[[#This Row],[Unit Price]]</f>
        <v>11200000</v>
      </c>
      <c r="L4480" s="5">
        <f>ROUND(tblSales[[#This Row],[DPP (excl. VAT)]]*VATEff,0)</f>
        <v>1232000</v>
      </c>
      <c r="M4480" s="5">
        <f>tblSales[[#This Row],[DPP (excl. VAT)]]+tblSales[[#This Row],[Output VAT]]</f>
        <v>12432000</v>
      </c>
      <c r="N4480" s="5">
        <f>tblSales[[#This Row],[Qty]]*_xlfn.XLOOKUP(tblSales[[#This Row],[Product Code]],tblProducts[Code],tblProducts[Unit Cost],0)</f>
        <v>6720000</v>
      </c>
      <c r="O4480" s="4" t="s">
        <v>4867</v>
      </c>
      <c r="P4480" s="4" t="s">
        <v>4860</v>
      </c>
      <c r="Q4480" s="1" t="str">
        <f>_xlfn.XLOOKUP(tblSales[[#This Row],[Channel Code]],tblChannels[Channel Code],tblChannels[Channel Name],"")</f>
        <v>In-store</v>
      </c>
      <c r="R4480" s="1">
        <f>MONTH(tblSales[[#This Row],[Date]])</f>
        <v>9</v>
      </c>
    </row>
    <row r="4481" spans="2:18" x14ac:dyDescent="0.35">
      <c r="B4481" s="113">
        <v>46293</v>
      </c>
      <c r="C4481" s="4" t="s">
        <v>3039</v>
      </c>
      <c r="D4481" s="4" t="s">
        <v>4568</v>
      </c>
      <c r="E4481" s="1" t="str">
        <f>_xlfn.XLOOKUP(tblSales[[#This Row],[Customer ID]],tblCustomers[Customer ID],tblCustomers[Customer Name],"⚠ Unknown")</f>
        <v>Walk-in Customer</v>
      </c>
      <c r="F4481" s="4" t="s">
        <v>12</v>
      </c>
      <c r="G4481" s="1" t="str">
        <f>_xlfn.XLOOKUP(tblSales[[#This Row],[Product Code]],tblProducts[Code],tblProducts[Product / Service Name],"⚠ Unknown")</f>
        <v>Bomber Jacket</v>
      </c>
      <c r="H4481" s="1" t="str">
        <f>_xlfn.XLOOKUP(tblSales[[#This Row],[Product Code]],tblProducts[Code],tblProducts[Category],"")</f>
        <v>Apparel &amp; Footwear</v>
      </c>
      <c r="I4481" s="4">
        <v>3</v>
      </c>
      <c r="J4481" s="5">
        <f>_xlfn.XLOOKUP(tblSales[[#This Row],[Product Code]],tblProducts[Code],tblProducts[Selling Price (excl. VAT)],0)</f>
        <v>350000</v>
      </c>
      <c r="K4481" s="5">
        <f>tblSales[[#This Row],[Qty]]*tblSales[[#This Row],[Unit Price]]</f>
        <v>1050000</v>
      </c>
      <c r="L4481" s="5">
        <f>ROUND(tblSales[[#This Row],[DPP (excl. VAT)]]*VATEff,0)</f>
        <v>115500</v>
      </c>
      <c r="M4481" s="5">
        <f>tblSales[[#This Row],[DPP (excl. VAT)]]+tblSales[[#This Row],[Output VAT]]</f>
        <v>1165500</v>
      </c>
      <c r="N4481" s="5">
        <f>tblSales[[#This Row],[Qty]]*_xlfn.XLOOKUP(tblSales[[#This Row],[Product Code]],tblProducts[Code],tblProducts[Unit Cost],0)</f>
        <v>630000</v>
      </c>
      <c r="O4481" s="4" t="s">
        <v>4865</v>
      </c>
      <c r="P4481" s="4" t="s">
        <v>4860</v>
      </c>
      <c r="Q4481" s="1" t="str">
        <f>_xlfn.XLOOKUP(tblSales[[#This Row],[Channel Code]],tblChannels[Channel Code],tblChannels[Channel Name],"")</f>
        <v>In-store</v>
      </c>
      <c r="R4481" s="1">
        <f>MONTH(tblSales[[#This Row],[Date]])</f>
        <v>9</v>
      </c>
    </row>
    <row r="4482" spans="2:18" x14ac:dyDescent="0.35">
      <c r="B4482" s="113">
        <v>46293</v>
      </c>
      <c r="C4482" s="4" t="s">
        <v>3040</v>
      </c>
      <c r="D4482" s="4" t="s">
        <v>4568</v>
      </c>
      <c r="E4482" s="1" t="str">
        <f>_xlfn.XLOOKUP(tblSales[[#This Row],[Customer ID]],tblCustomers[Customer ID],tblCustomers[Customer Name],"⚠ Unknown")</f>
        <v>Walk-in Customer</v>
      </c>
      <c r="F4482" s="4" t="s">
        <v>8</v>
      </c>
      <c r="G4482" s="1" t="str">
        <f>_xlfn.XLOOKUP(tblSales[[#This Row],[Product Code]],tblProducts[Code],tblProducts[Product / Service Name],"⚠ Unknown")</f>
        <v>Casual Shorts</v>
      </c>
      <c r="H4482" s="1" t="str">
        <f>_xlfn.XLOOKUP(tblSales[[#This Row],[Product Code]],tblProducts[Code],tblProducts[Category],"")</f>
        <v>Accessories &amp; Basics</v>
      </c>
      <c r="I4482" s="4">
        <v>7</v>
      </c>
      <c r="J4482" s="5">
        <f>_xlfn.XLOOKUP(tblSales[[#This Row],[Product Code]],tblProducts[Code],tblProducts[Selling Price (excl. VAT)],0)</f>
        <v>85000</v>
      </c>
      <c r="K4482" s="5">
        <f>tblSales[[#This Row],[Qty]]*tblSales[[#This Row],[Unit Price]]</f>
        <v>595000</v>
      </c>
      <c r="L4482" s="5">
        <f>ROUND(tblSales[[#This Row],[DPP (excl. VAT)]]*VATEff,0)</f>
        <v>65450</v>
      </c>
      <c r="M4482" s="5">
        <f>tblSales[[#This Row],[DPP (excl. VAT)]]+tblSales[[#This Row],[Output VAT]]</f>
        <v>660450</v>
      </c>
      <c r="N4482" s="5">
        <f>tblSales[[#This Row],[Qty]]*_xlfn.XLOOKUP(tblSales[[#This Row],[Product Code]],tblProducts[Code],tblProducts[Unit Cost],0)</f>
        <v>350000</v>
      </c>
      <c r="O4482" s="4" t="s">
        <v>4866</v>
      </c>
      <c r="P4482" s="4" t="s">
        <v>4861</v>
      </c>
      <c r="Q4482" s="1" t="str">
        <f>_xlfn.XLOOKUP(tblSales[[#This Row],[Channel Code]],tblChannels[Channel Code],tblChannels[Channel Name],"")</f>
        <v>Marketplace</v>
      </c>
      <c r="R4482" s="1">
        <f>MONTH(tblSales[[#This Row],[Date]])</f>
        <v>9</v>
      </c>
    </row>
    <row r="4483" spans="2:18" x14ac:dyDescent="0.35">
      <c r="B4483" s="113">
        <v>46293</v>
      </c>
      <c r="C4483" s="4" t="s">
        <v>3041</v>
      </c>
      <c r="D4483" s="4" t="s">
        <v>4568</v>
      </c>
      <c r="E4483" s="1" t="str">
        <f>_xlfn.XLOOKUP(tblSales[[#This Row],[Customer ID]],tblCustomers[Customer ID],tblCustomers[Customer Name],"⚠ Unknown")</f>
        <v>Walk-in Customer</v>
      </c>
      <c r="F4483" s="4" t="s">
        <v>10</v>
      </c>
      <c r="G4483" s="1" t="str">
        <f>_xlfn.XLOOKUP(tblSales[[#This Row],[Product Code]],tblProducts[Code],tblProducts[Product / Service Name],"⚠ Unknown")</f>
        <v>Chino Pants</v>
      </c>
      <c r="H4483" s="1" t="str">
        <f>_xlfn.XLOOKUP(tblSales[[#This Row],[Product Code]],tblProducts[Code],tblProducts[Category],"")</f>
        <v>Apparel &amp; Footwear</v>
      </c>
      <c r="I4483" s="4">
        <v>9</v>
      </c>
      <c r="J4483" s="5">
        <f>_xlfn.XLOOKUP(tblSales[[#This Row],[Product Code]],tblProducts[Code],tblProducts[Selling Price (excl. VAT)],0)</f>
        <v>150000</v>
      </c>
      <c r="K4483" s="5">
        <f>tblSales[[#This Row],[Qty]]*tblSales[[#This Row],[Unit Price]]</f>
        <v>1350000</v>
      </c>
      <c r="L4483" s="5">
        <f>ROUND(tblSales[[#This Row],[DPP (excl. VAT)]]*VATEff,0)</f>
        <v>148500</v>
      </c>
      <c r="M4483" s="5">
        <f>tblSales[[#This Row],[DPP (excl. VAT)]]+tblSales[[#This Row],[Output VAT]]</f>
        <v>1498500</v>
      </c>
      <c r="N4483" s="5">
        <f>tblSales[[#This Row],[Qty]]*_xlfn.XLOOKUP(tblSales[[#This Row],[Product Code]],tblProducts[Code],tblProducts[Unit Cost],0)</f>
        <v>792000</v>
      </c>
      <c r="O4483" s="4" t="s">
        <v>4866</v>
      </c>
      <c r="P4483" s="4" t="s">
        <v>4862</v>
      </c>
      <c r="Q4483" s="1" t="str">
        <f>_xlfn.XLOOKUP(tblSales[[#This Row],[Channel Code]],tblChannels[Channel Code],tblChannels[Channel Name],"")</f>
        <v>Website &amp; Social Media</v>
      </c>
      <c r="R4483" s="1">
        <f>MONTH(tblSales[[#This Row],[Date]])</f>
        <v>9</v>
      </c>
    </row>
    <row r="4484" spans="2:18" x14ac:dyDescent="0.35">
      <c r="B4484" s="113">
        <v>46293</v>
      </c>
      <c r="C4484" s="4" t="s">
        <v>3042</v>
      </c>
      <c r="D4484" s="4" t="s">
        <v>4568</v>
      </c>
      <c r="E4484" s="1" t="str">
        <f>_xlfn.XLOOKUP(tblSales[[#This Row],[Customer ID]],tblCustomers[Customer ID],tblCustomers[Customer Name],"⚠ Unknown")</f>
        <v>Walk-in Customer</v>
      </c>
      <c r="F4484" s="4" t="s">
        <v>7</v>
      </c>
      <c r="G4484" s="1" t="str">
        <f>_xlfn.XLOOKUP(tblSales[[#This Row],[Product Code]],tblProducts[Code],tblProducts[Product / Service Name],"⚠ Unknown")</f>
        <v>Premium Basic T-shirt</v>
      </c>
      <c r="H4484" s="1" t="str">
        <f>_xlfn.XLOOKUP(tblSales[[#This Row],[Product Code]],tblProducts[Code],tblProducts[Category],"")</f>
        <v>Accessories &amp; Basics</v>
      </c>
      <c r="I4484" s="4">
        <v>7</v>
      </c>
      <c r="J4484" s="5">
        <f>_xlfn.XLOOKUP(tblSales[[#This Row],[Product Code]],tblProducts[Code],tblProducts[Selling Price (excl. VAT)],0)</f>
        <v>65000</v>
      </c>
      <c r="K4484" s="5">
        <f>tblSales[[#This Row],[Qty]]*tblSales[[#This Row],[Unit Price]]</f>
        <v>455000</v>
      </c>
      <c r="L4484" s="5">
        <f>ROUND(tblSales[[#This Row],[DPP (excl. VAT)]]*VATEff,0)</f>
        <v>50050</v>
      </c>
      <c r="M4484" s="5">
        <f>tblSales[[#This Row],[DPP (excl. VAT)]]+tblSales[[#This Row],[Output VAT]]</f>
        <v>505050</v>
      </c>
      <c r="N4484" s="5">
        <f>tblSales[[#This Row],[Qty]]*_xlfn.XLOOKUP(tblSales[[#This Row],[Product Code]],tblProducts[Code],tblProducts[Unit Cost],0)</f>
        <v>259000</v>
      </c>
      <c r="O4484" s="4" t="s">
        <v>4866</v>
      </c>
      <c r="P4484" s="4" t="s">
        <v>4862</v>
      </c>
      <c r="Q4484" s="1" t="str">
        <f>_xlfn.XLOOKUP(tblSales[[#This Row],[Channel Code]],tblChannels[Channel Code],tblChannels[Channel Name],"")</f>
        <v>Website &amp; Social Media</v>
      </c>
      <c r="R4484" s="1">
        <f>MONTH(tblSales[[#This Row],[Date]])</f>
        <v>9</v>
      </c>
    </row>
    <row r="4485" spans="2:18" x14ac:dyDescent="0.35">
      <c r="B4485" s="113">
        <v>46293</v>
      </c>
      <c r="C4485" s="4" t="s">
        <v>3043</v>
      </c>
      <c r="D4485" s="4" t="s">
        <v>4593</v>
      </c>
      <c r="E4485" s="1" t="str">
        <f>_xlfn.XLOOKUP(tblSales[[#This Row],[Customer ID]],tblCustomers[Customer ID],tblCustomers[Customer Name],"⚠ Unknown")</f>
        <v>PT Graha Nusa Persada</v>
      </c>
      <c r="F4485" s="4" t="s">
        <v>7</v>
      </c>
      <c r="G4485" s="1" t="str">
        <f>_xlfn.XLOOKUP(tblSales[[#This Row],[Product Code]],tblProducts[Code],tblProducts[Product / Service Name],"⚠ Unknown")</f>
        <v>Premium Basic T-shirt</v>
      </c>
      <c r="H4485" s="1" t="str">
        <f>_xlfn.XLOOKUP(tblSales[[#This Row],[Product Code]],tblProducts[Code],tblProducts[Category],"")</f>
        <v>Accessories &amp; Basics</v>
      </c>
      <c r="I4485" s="4">
        <v>64</v>
      </c>
      <c r="J4485" s="5">
        <f>_xlfn.XLOOKUP(tblSales[[#This Row],[Product Code]],tblProducts[Code],tblProducts[Selling Price (excl. VAT)],0)</f>
        <v>65000</v>
      </c>
      <c r="K4485" s="5">
        <f>tblSales[[#This Row],[Qty]]*tblSales[[#This Row],[Unit Price]]</f>
        <v>4160000</v>
      </c>
      <c r="L4485" s="5">
        <f>ROUND(tblSales[[#This Row],[DPP (excl. VAT)]]*VATEff,0)</f>
        <v>457600</v>
      </c>
      <c r="M4485" s="5">
        <f>tblSales[[#This Row],[DPP (excl. VAT)]]+tblSales[[#This Row],[Output VAT]]</f>
        <v>4617600</v>
      </c>
      <c r="N4485" s="5">
        <f>tblSales[[#This Row],[Qty]]*_xlfn.XLOOKUP(tblSales[[#This Row],[Product Code]],tblProducts[Code],tblProducts[Unit Cost],0)</f>
        <v>2368000</v>
      </c>
      <c r="O4485" s="4" t="s">
        <v>4867</v>
      </c>
      <c r="P4485" s="4" t="s">
        <v>4860</v>
      </c>
      <c r="Q4485" s="1" t="str">
        <f>_xlfn.XLOOKUP(tblSales[[#This Row],[Channel Code]],tblChannels[Channel Code],tblChannels[Channel Name],"")</f>
        <v>In-store</v>
      </c>
      <c r="R4485" s="1">
        <f>MONTH(tblSales[[#This Row],[Date]])</f>
        <v>9</v>
      </c>
    </row>
    <row r="4486" spans="2:18" x14ac:dyDescent="0.35">
      <c r="B4486" s="113">
        <v>46293</v>
      </c>
      <c r="C4486" s="4" t="s">
        <v>3044</v>
      </c>
      <c r="D4486" s="4" t="s">
        <v>4593</v>
      </c>
      <c r="E4486" s="1" t="str">
        <f>_xlfn.XLOOKUP(tblSales[[#This Row],[Customer ID]],tblCustomers[Customer ID],tblCustomers[Customer Name],"⚠ Unknown")</f>
        <v>PT Graha Nusa Persada</v>
      </c>
      <c r="F4486" s="4" t="s">
        <v>8</v>
      </c>
      <c r="G4486" s="1" t="str">
        <f>_xlfn.XLOOKUP(tblSales[[#This Row],[Product Code]],tblProducts[Code],tblProducts[Product / Service Name],"⚠ Unknown")</f>
        <v>Casual Shorts</v>
      </c>
      <c r="H4486" s="1" t="str">
        <f>_xlfn.XLOOKUP(tblSales[[#This Row],[Product Code]],tblProducts[Code],tblProducts[Category],"")</f>
        <v>Accessories &amp; Basics</v>
      </c>
      <c r="I4486" s="4">
        <v>56</v>
      </c>
      <c r="J4486" s="5">
        <f>_xlfn.XLOOKUP(tblSales[[#This Row],[Product Code]],tblProducts[Code],tblProducts[Selling Price (excl. VAT)],0)</f>
        <v>85000</v>
      </c>
      <c r="K4486" s="5">
        <f>tblSales[[#This Row],[Qty]]*tblSales[[#This Row],[Unit Price]]</f>
        <v>4760000</v>
      </c>
      <c r="L4486" s="5">
        <f>ROUND(tblSales[[#This Row],[DPP (excl. VAT)]]*VATEff,0)</f>
        <v>523600</v>
      </c>
      <c r="M4486" s="5">
        <f>tblSales[[#This Row],[DPP (excl. VAT)]]+tblSales[[#This Row],[Output VAT]]</f>
        <v>5283600</v>
      </c>
      <c r="N4486" s="5">
        <f>tblSales[[#This Row],[Qty]]*_xlfn.XLOOKUP(tblSales[[#This Row],[Product Code]],tblProducts[Code],tblProducts[Unit Cost],0)</f>
        <v>2800000</v>
      </c>
      <c r="O4486" s="4" t="s">
        <v>4867</v>
      </c>
      <c r="P4486" s="4" t="s">
        <v>4860</v>
      </c>
      <c r="Q4486" s="1" t="str">
        <f>_xlfn.XLOOKUP(tblSales[[#This Row],[Channel Code]],tblChannels[Channel Code],tblChannels[Channel Name],"")</f>
        <v>In-store</v>
      </c>
      <c r="R4486" s="1">
        <f>MONTH(tblSales[[#This Row],[Date]])</f>
        <v>9</v>
      </c>
    </row>
    <row r="4487" spans="2:18" x14ac:dyDescent="0.35">
      <c r="B4487" s="113">
        <v>46294</v>
      </c>
      <c r="C4487" s="4" t="s">
        <v>3045</v>
      </c>
      <c r="D4487" s="4" t="s">
        <v>4568</v>
      </c>
      <c r="E4487" s="1" t="str">
        <f>_xlfn.XLOOKUP(tblSales[[#This Row],[Customer ID]],tblCustomers[Customer ID],tblCustomers[Customer Name],"⚠ Unknown")</f>
        <v>Walk-in Customer</v>
      </c>
      <c r="F4487" s="4" t="s">
        <v>6</v>
      </c>
      <c r="G4487" s="1" t="str">
        <f>_xlfn.XLOOKUP(tblSales[[#This Row],[Product Code]],tblProducts[Code],tblProducts[Product / Service Name],"⚠ Unknown")</f>
        <v>Socks &amp; Accessories</v>
      </c>
      <c r="H4487" s="1" t="str">
        <f>_xlfn.XLOOKUP(tblSales[[#This Row],[Product Code]],tblProducts[Code],tblProducts[Category],"")</f>
        <v>Accessories &amp; Basics</v>
      </c>
      <c r="I4487" s="4">
        <v>4</v>
      </c>
      <c r="J4487" s="5">
        <f>_xlfn.XLOOKUP(tblSales[[#This Row],[Product Code]],tblProducts[Code],tblProducts[Selling Price (excl. VAT)],0)</f>
        <v>45000</v>
      </c>
      <c r="K4487" s="5">
        <f>tblSales[[#This Row],[Qty]]*tblSales[[#This Row],[Unit Price]]</f>
        <v>180000</v>
      </c>
      <c r="L4487" s="5">
        <f>ROUND(tblSales[[#This Row],[DPP (excl. VAT)]]*VATEff,0)</f>
        <v>19800</v>
      </c>
      <c r="M4487" s="5">
        <f>tblSales[[#This Row],[DPP (excl. VAT)]]+tblSales[[#This Row],[Output VAT]]</f>
        <v>199800</v>
      </c>
      <c r="N4487" s="5">
        <f>tblSales[[#This Row],[Qty]]*_xlfn.XLOOKUP(tblSales[[#This Row],[Product Code]],tblProducts[Code],tblProducts[Unit Cost],0)</f>
        <v>96000</v>
      </c>
      <c r="O4487" s="4" t="s">
        <v>4866</v>
      </c>
      <c r="P4487" s="4" t="s">
        <v>4862</v>
      </c>
      <c r="Q4487" s="1" t="str">
        <f>_xlfn.XLOOKUP(tblSales[[#This Row],[Channel Code]],tblChannels[Channel Code],tblChannels[Channel Name],"")</f>
        <v>Website &amp; Social Media</v>
      </c>
      <c r="R4487" s="1">
        <f>MONTH(tblSales[[#This Row],[Date]])</f>
        <v>9</v>
      </c>
    </row>
    <row r="4488" spans="2:18" x14ac:dyDescent="0.35">
      <c r="B4488" s="113">
        <v>46294</v>
      </c>
      <c r="C4488" s="4" t="s">
        <v>3046</v>
      </c>
      <c r="D4488" s="4" t="s">
        <v>4593</v>
      </c>
      <c r="E4488" s="1" t="str">
        <f>_xlfn.XLOOKUP(tblSales[[#This Row],[Customer ID]],tblCustomers[Customer ID],tblCustomers[Customer Name],"⚠ Unknown")</f>
        <v>PT Graha Nusa Persada</v>
      </c>
      <c r="F4488" s="4" t="s">
        <v>8</v>
      </c>
      <c r="G4488" s="1" t="str">
        <f>_xlfn.XLOOKUP(tblSales[[#This Row],[Product Code]],tblProducts[Code],tblProducts[Product / Service Name],"⚠ Unknown")</f>
        <v>Casual Shorts</v>
      </c>
      <c r="H4488" s="1" t="str">
        <f>_xlfn.XLOOKUP(tblSales[[#This Row],[Product Code]],tblProducts[Code],tblProducts[Category],"")</f>
        <v>Accessories &amp; Basics</v>
      </c>
      <c r="I4488" s="4">
        <v>80</v>
      </c>
      <c r="J4488" s="5">
        <f>_xlfn.XLOOKUP(tblSales[[#This Row],[Product Code]],tblProducts[Code],tblProducts[Selling Price (excl. VAT)],0)</f>
        <v>85000</v>
      </c>
      <c r="K4488" s="5">
        <f>tblSales[[#This Row],[Qty]]*tblSales[[#This Row],[Unit Price]]</f>
        <v>6800000</v>
      </c>
      <c r="L4488" s="5">
        <f>ROUND(tblSales[[#This Row],[DPP (excl. VAT)]]*VATEff,0)</f>
        <v>748000</v>
      </c>
      <c r="M4488" s="5">
        <f>tblSales[[#This Row],[DPP (excl. VAT)]]+tblSales[[#This Row],[Output VAT]]</f>
        <v>7548000</v>
      </c>
      <c r="N4488" s="5">
        <f>tblSales[[#This Row],[Qty]]*_xlfn.XLOOKUP(tblSales[[#This Row],[Product Code]],tblProducts[Code],tblProducts[Unit Cost],0)</f>
        <v>4000000</v>
      </c>
      <c r="O4488" s="4" t="s">
        <v>4867</v>
      </c>
      <c r="P4488" s="4" t="s">
        <v>4860</v>
      </c>
      <c r="Q4488" s="1" t="str">
        <f>_xlfn.XLOOKUP(tblSales[[#This Row],[Channel Code]],tblChannels[Channel Code],tblChannels[Channel Name],"")</f>
        <v>In-store</v>
      </c>
      <c r="R4488" s="1">
        <f>MONTH(tblSales[[#This Row],[Date]])</f>
        <v>9</v>
      </c>
    </row>
    <row r="4489" spans="2:18" x14ac:dyDescent="0.35">
      <c r="B4489" s="113">
        <v>46294</v>
      </c>
      <c r="C4489" s="4" t="s">
        <v>3047</v>
      </c>
      <c r="D4489" s="4" t="s">
        <v>4568</v>
      </c>
      <c r="E4489" s="1" t="str">
        <f>_xlfn.XLOOKUP(tblSales[[#This Row],[Customer ID]],tblCustomers[Customer ID],tblCustomers[Customer Name],"⚠ Unknown")</f>
        <v>Walk-in Customer</v>
      </c>
      <c r="F4489" s="4" t="s">
        <v>11</v>
      </c>
      <c r="G4489" s="1" t="str">
        <f>_xlfn.XLOOKUP(tblSales[[#This Row],[Product Code]],tblProducts[Code],tblProducts[Product / Service Name],"⚠ Unknown")</f>
        <v>Sneakers</v>
      </c>
      <c r="H4489" s="1" t="str">
        <f>_xlfn.XLOOKUP(tblSales[[#This Row],[Product Code]],tblProducts[Code],tblProducts[Category],"")</f>
        <v>Apparel &amp; Footwear</v>
      </c>
      <c r="I4489" s="4">
        <v>1</v>
      </c>
      <c r="J4489" s="5">
        <f>_xlfn.XLOOKUP(tblSales[[#This Row],[Product Code]],tblProducts[Code],tblProducts[Selling Price (excl. VAT)],0)</f>
        <v>250000</v>
      </c>
      <c r="K4489" s="5">
        <f>tblSales[[#This Row],[Qty]]*tblSales[[#This Row],[Unit Price]]</f>
        <v>250000</v>
      </c>
      <c r="L4489" s="5">
        <f>ROUND(tblSales[[#This Row],[DPP (excl. VAT)]]*VATEff,0)</f>
        <v>27500</v>
      </c>
      <c r="M4489" s="5">
        <f>tblSales[[#This Row],[DPP (excl. VAT)]]+tblSales[[#This Row],[Output VAT]]</f>
        <v>277500</v>
      </c>
      <c r="N4489" s="5">
        <f>tblSales[[#This Row],[Qty]]*_xlfn.XLOOKUP(tblSales[[#This Row],[Product Code]],tblProducts[Code],tblProducts[Unit Cost],0)</f>
        <v>155000</v>
      </c>
      <c r="O4489" s="4" t="s">
        <v>4866</v>
      </c>
      <c r="P4489" s="4" t="s">
        <v>4860</v>
      </c>
      <c r="Q4489" s="1" t="str">
        <f>_xlfn.XLOOKUP(tblSales[[#This Row],[Channel Code]],tblChannels[Channel Code],tblChannels[Channel Name],"")</f>
        <v>In-store</v>
      </c>
      <c r="R4489" s="1">
        <f>MONTH(tblSales[[#This Row],[Date]])</f>
        <v>9</v>
      </c>
    </row>
    <row r="4490" spans="2:18" x14ac:dyDescent="0.35">
      <c r="B4490" s="113">
        <v>46294</v>
      </c>
      <c r="C4490" s="4" t="s">
        <v>3048</v>
      </c>
      <c r="D4490" s="4" t="s">
        <v>4568</v>
      </c>
      <c r="E4490" s="1" t="str">
        <f>_xlfn.XLOOKUP(tblSales[[#This Row],[Customer ID]],tblCustomers[Customer ID],tblCustomers[Customer Name],"⚠ Unknown")</f>
        <v>Walk-in Customer</v>
      </c>
      <c r="F4490" s="4" t="s">
        <v>6</v>
      </c>
      <c r="G4490" s="1" t="str">
        <f>_xlfn.XLOOKUP(tblSales[[#This Row],[Product Code]],tblProducts[Code],tblProducts[Product / Service Name],"⚠ Unknown")</f>
        <v>Socks &amp; Accessories</v>
      </c>
      <c r="H4490" s="1" t="str">
        <f>_xlfn.XLOOKUP(tblSales[[#This Row],[Product Code]],tblProducts[Code],tblProducts[Category],"")</f>
        <v>Accessories &amp; Basics</v>
      </c>
      <c r="I4490" s="4">
        <v>2</v>
      </c>
      <c r="J4490" s="5">
        <f>_xlfn.XLOOKUP(tblSales[[#This Row],[Product Code]],tblProducts[Code],tblProducts[Selling Price (excl. VAT)],0)</f>
        <v>45000</v>
      </c>
      <c r="K4490" s="5">
        <f>tblSales[[#This Row],[Qty]]*tblSales[[#This Row],[Unit Price]]</f>
        <v>90000</v>
      </c>
      <c r="L4490" s="5">
        <f>ROUND(tblSales[[#This Row],[DPP (excl. VAT)]]*VATEff,0)</f>
        <v>9900</v>
      </c>
      <c r="M4490" s="5">
        <f>tblSales[[#This Row],[DPP (excl. VAT)]]+tblSales[[#This Row],[Output VAT]]</f>
        <v>99900</v>
      </c>
      <c r="N4490" s="5">
        <f>tblSales[[#This Row],[Qty]]*_xlfn.XLOOKUP(tblSales[[#This Row],[Product Code]],tblProducts[Code],tblProducts[Unit Cost],0)</f>
        <v>48000</v>
      </c>
      <c r="O4490" s="4" t="s">
        <v>4865</v>
      </c>
      <c r="P4490" s="4" t="s">
        <v>4860</v>
      </c>
      <c r="Q4490" s="1" t="str">
        <f>_xlfn.XLOOKUP(tblSales[[#This Row],[Channel Code]],tblChannels[Channel Code],tblChannels[Channel Name],"")</f>
        <v>In-store</v>
      </c>
      <c r="R4490" s="1">
        <f>MONTH(tblSales[[#This Row],[Date]])</f>
        <v>9</v>
      </c>
    </row>
    <row r="4491" spans="2:18" x14ac:dyDescent="0.35">
      <c r="B4491" s="113">
        <v>46294</v>
      </c>
      <c r="C4491" s="4" t="s">
        <v>3049</v>
      </c>
      <c r="D4491" s="4" t="s">
        <v>4568</v>
      </c>
      <c r="E4491" s="1" t="str">
        <f>_xlfn.XLOOKUP(tblSales[[#This Row],[Customer ID]],tblCustomers[Customer ID],tblCustomers[Customer Name],"⚠ Unknown")</f>
        <v>Walk-in Customer</v>
      </c>
      <c r="F4491" s="4" t="s">
        <v>6</v>
      </c>
      <c r="G4491" s="1" t="str">
        <f>_xlfn.XLOOKUP(tblSales[[#This Row],[Product Code]],tblProducts[Code],tblProducts[Product / Service Name],"⚠ Unknown")</f>
        <v>Socks &amp; Accessories</v>
      </c>
      <c r="H4491" s="1" t="str">
        <f>_xlfn.XLOOKUP(tblSales[[#This Row],[Product Code]],tblProducts[Code],tblProducts[Category],"")</f>
        <v>Accessories &amp; Basics</v>
      </c>
      <c r="I4491" s="4">
        <v>10</v>
      </c>
      <c r="J4491" s="5">
        <f>_xlfn.XLOOKUP(tblSales[[#This Row],[Product Code]],tblProducts[Code],tblProducts[Selling Price (excl. VAT)],0)</f>
        <v>45000</v>
      </c>
      <c r="K4491" s="5">
        <f>tblSales[[#This Row],[Qty]]*tblSales[[#This Row],[Unit Price]]</f>
        <v>450000</v>
      </c>
      <c r="L4491" s="5">
        <f>ROUND(tblSales[[#This Row],[DPP (excl. VAT)]]*VATEff,0)</f>
        <v>49500</v>
      </c>
      <c r="M4491" s="5">
        <f>tblSales[[#This Row],[DPP (excl. VAT)]]+tblSales[[#This Row],[Output VAT]]</f>
        <v>499500</v>
      </c>
      <c r="N4491" s="5">
        <f>tblSales[[#This Row],[Qty]]*_xlfn.XLOOKUP(tblSales[[#This Row],[Product Code]],tblProducts[Code],tblProducts[Unit Cost],0)</f>
        <v>240000</v>
      </c>
      <c r="O4491" s="4" t="s">
        <v>4865</v>
      </c>
      <c r="P4491" s="4" t="s">
        <v>4860</v>
      </c>
      <c r="Q4491" s="1" t="str">
        <f>_xlfn.XLOOKUP(tblSales[[#This Row],[Channel Code]],tblChannels[Channel Code],tblChannels[Channel Name],"")</f>
        <v>In-store</v>
      </c>
      <c r="R4491" s="1">
        <f>MONTH(tblSales[[#This Row],[Date]])</f>
        <v>9</v>
      </c>
    </row>
    <row r="4492" spans="2:18" x14ac:dyDescent="0.35">
      <c r="B4492" s="113">
        <v>46294</v>
      </c>
      <c r="C4492" s="4" t="s">
        <v>3050</v>
      </c>
      <c r="D4492" s="4" t="s">
        <v>4568</v>
      </c>
      <c r="E4492" s="1" t="str">
        <f>_xlfn.XLOOKUP(tblSales[[#This Row],[Customer ID]],tblCustomers[Customer ID],tblCustomers[Customer Name],"⚠ Unknown")</f>
        <v>Walk-in Customer</v>
      </c>
      <c r="F4492" s="4" t="s">
        <v>8</v>
      </c>
      <c r="G4492" s="1" t="str">
        <f>_xlfn.XLOOKUP(tblSales[[#This Row],[Product Code]],tblProducts[Code],tblProducts[Product / Service Name],"⚠ Unknown")</f>
        <v>Casual Shorts</v>
      </c>
      <c r="H4492" s="1" t="str">
        <f>_xlfn.XLOOKUP(tblSales[[#This Row],[Product Code]],tblProducts[Code],tblProducts[Category],"")</f>
        <v>Accessories &amp; Basics</v>
      </c>
      <c r="I4492" s="4">
        <v>2</v>
      </c>
      <c r="J4492" s="5">
        <f>_xlfn.XLOOKUP(tblSales[[#This Row],[Product Code]],tblProducts[Code],tblProducts[Selling Price (excl. VAT)],0)</f>
        <v>85000</v>
      </c>
      <c r="K4492" s="5">
        <f>tblSales[[#This Row],[Qty]]*tblSales[[#This Row],[Unit Price]]</f>
        <v>170000</v>
      </c>
      <c r="L4492" s="5">
        <f>ROUND(tblSales[[#This Row],[DPP (excl. VAT)]]*VATEff,0)</f>
        <v>18700</v>
      </c>
      <c r="M4492" s="5">
        <f>tblSales[[#This Row],[DPP (excl. VAT)]]+tblSales[[#This Row],[Output VAT]]</f>
        <v>188700</v>
      </c>
      <c r="N4492" s="5">
        <f>tblSales[[#This Row],[Qty]]*_xlfn.XLOOKUP(tblSales[[#This Row],[Product Code]],tblProducts[Code],tblProducts[Unit Cost],0)</f>
        <v>100000</v>
      </c>
      <c r="O4492" s="4" t="s">
        <v>4866</v>
      </c>
      <c r="P4492" s="4" t="s">
        <v>4860</v>
      </c>
      <c r="Q4492" s="1" t="str">
        <f>_xlfn.XLOOKUP(tblSales[[#This Row],[Channel Code]],tblChannels[Channel Code],tblChannels[Channel Name],"")</f>
        <v>In-store</v>
      </c>
      <c r="R4492" s="1">
        <f>MONTH(tblSales[[#This Row],[Date]])</f>
        <v>9</v>
      </c>
    </row>
    <row r="4493" spans="2:18" x14ac:dyDescent="0.35">
      <c r="B4493" s="113">
        <v>46294</v>
      </c>
      <c r="C4493" s="4" t="s">
        <v>3051</v>
      </c>
      <c r="D4493" s="4" t="s">
        <v>4568</v>
      </c>
      <c r="E4493" s="1" t="str">
        <f>_xlfn.XLOOKUP(tblSales[[#This Row],[Customer ID]],tblCustomers[Customer ID],tblCustomers[Customer Name],"⚠ Unknown")</f>
        <v>Walk-in Customer</v>
      </c>
      <c r="F4493" s="4" t="s">
        <v>11</v>
      </c>
      <c r="G4493" s="1" t="str">
        <f>_xlfn.XLOOKUP(tblSales[[#This Row],[Product Code]],tblProducts[Code],tblProducts[Product / Service Name],"⚠ Unknown")</f>
        <v>Sneakers</v>
      </c>
      <c r="H4493" s="1" t="str">
        <f>_xlfn.XLOOKUP(tblSales[[#This Row],[Product Code]],tblProducts[Code],tblProducts[Category],"")</f>
        <v>Apparel &amp; Footwear</v>
      </c>
      <c r="I4493" s="4">
        <v>3</v>
      </c>
      <c r="J4493" s="5">
        <f>_xlfn.XLOOKUP(tblSales[[#This Row],[Product Code]],tblProducts[Code],tblProducts[Selling Price (excl. VAT)],0)</f>
        <v>250000</v>
      </c>
      <c r="K4493" s="5">
        <f>tblSales[[#This Row],[Qty]]*tblSales[[#This Row],[Unit Price]]</f>
        <v>750000</v>
      </c>
      <c r="L4493" s="5">
        <f>ROUND(tblSales[[#This Row],[DPP (excl. VAT)]]*VATEff,0)</f>
        <v>82500</v>
      </c>
      <c r="M4493" s="5">
        <f>tblSales[[#This Row],[DPP (excl. VAT)]]+tblSales[[#This Row],[Output VAT]]</f>
        <v>832500</v>
      </c>
      <c r="N4493" s="5">
        <f>tblSales[[#This Row],[Qty]]*_xlfn.XLOOKUP(tblSales[[#This Row],[Product Code]],tblProducts[Code],tblProducts[Unit Cost],0)</f>
        <v>465000</v>
      </c>
      <c r="O4493" s="4" t="s">
        <v>4866</v>
      </c>
      <c r="P4493" s="4" t="s">
        <v>4861</v>
      </c>
      <c r="Q4493" s="1" t="str">
        <f>_xlfn.XLOOKUP(tblSales[[#This Row],[Channel Code]],tblChannels[Channel Code],tblChannels[Channel Name],"")</f>
        <v>Marketplace</v>
      </c>
      <c r="R4493" s="1">
        <f>MONTH(tblSales[[#This Row],[Date]])</f>
        <v>9</v>
      </c>
    </row>
    <row r="4494" spans="2:18" x14ac:dyDescent="0.35">
      <c r="B4494" s="113">
        <v>46294</v>
      </c>
      <c r="C4494" s="4" t="s">
        <v>3051</v>
      </c>
      <c r="D4494" s="4" t="s">
        <v>4568</v>
      </c>
      <c r="E4494" s="1" t="str">
        <f>_xlfn.XLOOKUP(tblSales[[#This Row],[Customer ID]],tblCustomers[Customer ID],tblCustomers[Customer Name],"⚠ Unknown")</f>
        <v>Walk-in Customer</v>
      </c>
      <c r="F4494" s="4" t="s">
        <v>9</v>
      </c>
      <c r="G4494" s="1" t="str">
        <f>_xlfn.XLOOKUP(tblSales[[#This Row],[Product Code]],tblProducts[Code],tblProducts[Product / Service Name],"⚠ Unknown")</f>
        <v>Casual Shirt</v>
      </c>
      <c r="H4494" s="1" t="str">
        <f>_xlfn.XLOOKUP(tblSales[[#This Row],[Product Code]],tblProducts[Code],tblProducts[Category],"")</f>
        <v>Apparel &amp; Footwear</v>
      </c>
      <c r="I4494" s="4">
        <v>4</v>
      </c>
      <c r="J4494" s="5">
        <f>_xlfn.XLOOKUP(tblSales[[#This Row],[Product Code]],tblProducts[Code],tblProducts[Selling Price (excl. VAT)],0)</f>
        <v>120000</v>
      </c>
      <c r="K4494" s="5">
        <f>tblSales[[#This Row],[Qty]]*tblSales[[#This Row],[Unit Price]]</f>
        <v>480000</v>
      </c>
      <c r="L4494" s="5">
        <f>ROUND(tblSales[[#This Row],[DPP (excl. VAT)]]*VATEff,0)</f>
        <v>52800</v>
      </c>
      <c r="M4494" s="5">
        <f>tblSales[[#This Row],[DPP (excl. VAT)]]+tblSales[[#This Row],[Output VAT]]</f>
        <v>532800</v>
      </c>
      <c r="N4494" s="5">
        <f>tblSales[[#This Row],[Qty]]*_xlfn.XLOOKUP(tblSales[[#This Row],[Product Code]],tblProducts[Code],tblProducts[Unit Cost],0)</f>
        <v>288000</v>
      </c>
      <c r="O4494" s="4" t="s">
        <v>4866</v>
      </c>
      <c r="P4494" s="4" t="s">
        <v>4861</v>
      </c>
      <c r="Q4494" s="1" t="str">
        <f>_xlfn.XLOOKUP(tblSales[[#This Row],[Channel Code]],tblChannels[Channel Code],tblChannels[Channel Name],"")</f>
        <v>Marketplace</v>
      </c>
      <c r="R4494" s="1">
        <f>MONTH(tblSales[[#This Row],[Date]])</f>
        <v>9</v>
      </c>
    </row>
    <row r="4495" spans="2:18" x14ac:dyDescent="0.35">
      <c r="B4495" s="113">
        <v>46294</v>
      </c>
      <c r="C4495" s="4" t="s">
        <v>3052</v>
      </c>
      <c r="D4495" s="4" t="s">
        <v>4568</v>
      </c>
      <c r="E4495" s="1" t="str">
        <f>_xlfn.XLOOKUP(tblSales[[#This Row],[Customer ID]],tblCustomers[Customer ID],tblCustomers[Customer Name],"⚠ Unknown")</f>
        <v>Walk-in Customer</v>
      </c>
      <c r="F4495" s="4" t="s">
        <v>6</v>
      </c>
      <c r="G4495" s="1" t="str">
        <f>_xlfn.XLOOKUP(tblSales[[#This Row],[Product Code]],tblProducts[Code],tblProducts[Product / Service Name],"⚠ Unknown")</f>
        <v>Socks &amp; Accessories</v>
      </c>
      <c r="H4495" s="1" t="str">
        <f>_xlfn.XLOOKUP(tblSales[[#This Row],[Product Code]],tblProducts[Code],tblProducts[Category],"")</f>
        <v>Accessories &amp; Basics</v>
      </c>
      <c r="I4495" s="4">
        <v>8</v>
      </c>
      <c r="J4495" s="5">
        <f>_xlfn.XLOOKUP(tblSales[[#This Row],[Product Code]],tblProducts[Code],tblProducts[Selling Price (excl. VAT)],0)</f>
        <v>45000</v>
      </c>
      <c r="K4495" s="5">
        <f>tblSales[[#This Row],[Qty]]*tblSales[[#This Row],[Unit Price]]</f>
        <v>360000</v>
      </c>
      <c r="L4495" s="5">
        <f>ROUND(tblSales[[#This Row],[DPP (excl. VAT)]]*VATEff,0)</f>
        <v>39600</v>
      </c>
      <c r="M4495" s="5">
        <f>tblSales[[#This Row],[DPP (excl. VAT)]]+tblSales[[#This Row],[Output VAT]]</f>
        <v>399600</v>
      </c>
      <c r="N4495" s="5">
        <f>tblSales[[#This Row],[Qty]]*_xlfn.XLOOKUP(tblSales[[#This Row],[Product Code]],tblProducts[Code],tblProducts[Unit Cost],0)</f>
        <v>192000</v>
      </c>
      <c r="O4495" s="4" t="s">
        <v>4866</v>
      </c>
      <c r="P4495" s="4" t="s">
        <v>4862</v>
      </c>
      <c r="Q4495" s="1" t="str">
        <f>_xlfn.XLOOKUP(tblSales[[#This Row],[Channel Code]],tblChannels[Channel Code],tblChannels[Channel Name],"")</f>
        <v>Website &amp; Social Media</v>
      </c>
      <c r="R4495" s="1">
        <f>MONTH(tblSales[[#This Row],[Date]])</f>
        <v>9</v>
      </c>
    </row>
    <row r="4496" spans="2:18" x14ac:dyDescent="0.35">
      <c r="B4496" s="113">
        <v>46294</v>
      </c>
      <c r="C4496" s="4" t="s">
        <v>3053</v>
      </c>
      <c r="D4496" s="4" t="s">
        <v>4593</v>
      </c>
      <c r="E4496" s="1" t="str">
        <f>_xlfn.XLOOKUP(tblSales[[#This Row],[Customer ID]],tblCustomers[Customer ID],tblCustomers[Customer Name],"⚠ Unknown")</f>
        <v>PT Graha Nusa Persada</v>
      </c>
      <c r="F4496" s="4" t="s">
        <v>12</v>
      </c>
      <c r="G4496" s="1" t="str">
        <f>_xlfn.XLOOKUP(tblSales[[#This Row],[Product Code]],tblProducts[Code],tblProducts[Product / Service Name],"⚠ Unknown")</f>
        <v>Bomber Jacket</v>
      </c>
      <c r="H4496" s="1" t="str">
        <f>_xlfn.XLOOKUP(tblSales[[#This Row],[Product Code]],tblProducts[Code],tblProducts[Category],"")</f>
        <v>Apparel &amp; Footwear</v>
      </c>
      <c r="I4496" s="4">
        <v>40</v>
      </c>
      <c r="J4496" s="5">
        <f>_xlfn.XLOOKUP(tblSales[[#This Row],[Product Code]],tblProducts[Code],tblProducts[Selling Price (excl. VAT)],0)</f>
        <v>350000</v>
      </c>
      <c r="K4496" s="5">
        <f>tblSales[[#This Row],[Qty]]*tblSales[[#This Row],[Unit Price]]</f>
        <v>14000000</v>
      </c>
      <c r="L4496" s="5">
        <f>ROUND(tblSales[[#This Row],[DPP (excl. VAT)]]*VATEff,0)</f>
        <v>1540000</v>
      </c>
      <c r="M4496" s="5">
        <f>tblSales[[#This Row],[DPP (excl. VAT)]]+tblSales[[#This Row],[Output VAT]]</f>
        <v>15540000</v>
      </c>
      <c r="N4496" s="5">
        <f>tblSales[[#This Row],[Qty]]*_xlfn.XLOOKUP(tblSales[[#This Row],[Product Code]],tblProducts[Code],tblProducts[Unit Cost],0)</f>
        <v>8400000</v>
      </c>
      <c r="O4496" s="4" t="s">
        <v>4867</v>
      </c>
      <c r="P4496" s="4" t="s">
        <v>4862</v>
      </c>
      <c r="Q4496" s="1" t="str">
        <f>_xlfn.XLOOKUP(tblSales[[#This Row],[Channel Code]],tblChannels[Channel Code],tblChannels[Channel Name],"")</f>
        <v>Website &amp; Social Media</v>
      </c>
      <c r="R4496" s="1">
        <f>MONTH(tblSales[[#This Row],[Date]])</f>
        <v>9</v>
      </c>
    </row>
    <row r="4497" spans="2:18" x14ac:dyDescent="0.35">
      <c r="B4497" s="113">
        <v>46294</v>
      </c>
      <c r="C4497" s="4" t="s">
        <v>3054</v>
      </c>
      <c r="D4497" s="4" t="s">
        <v>4599</v>
      </c>
      <c r="E4497" s="1" t="str">
        <f>_xlfn.XLOOKUP(tblSales[[#This Row],[Customer ID]],tblCustomers[Customer ID],tblCustomers[Customer Name],"⚠ Unknown")</f>
        <v>PT Samudra Jaya Logistik</v>
      </c>
      <c r="F4497" s="4" t="s">
        <v>7</v>
      </c>
      <c r="G4497" s="1" t="str">
        <f>_xlfn.XLOOKUP(tblSales[[#This Row],[Product Code]],tblProducts[Code],tblProducts[Product / Service Name],"⚠ Unknown")</f>
        <v>Premium Basic T-shirt</v>
      </c>
      <c r="H4497" s="1" t="str">
        <f>_xlfn.XLOOKUP(tblSales[[#This Row],[Product Code]],tblProducts[Code],tblProducts[Category],"")</f>
        <v>Accessories &amp; Basics</v>
      </c>
      <c r="I4497" s="4">
        <v>16</v>
      </c>
      <c r="J4497" s="5">
        <f>_xlfn.XLOOKUP(tblSales[[#This Row],[Product Code]],tblProducts[Code],tblProducts[Selling Price (excl. VAT)],0)</f>
        <v>65000</v>
      </c>
      <c r="K4497" s="5">
        <f>tblSales[[#This Row],[Qty]]*tblSales[[#This Row],[Unit Price]]</f>
        <v>1040000</v>
      </c>
      <c r="L4497" s="5">
        <f>ROUND(tblSales[[#This Row],[DPP (excl. VAT)]]*VATEff,0)</f>
        <v>114400</v>
      </c>
      <c r="M4497" s="5">
        <f>tblSales[[#This Row],[DPP (excl. VAT)]]+tblSales[[#This Row],[Output VAT]]</f>
        <v>1154400</v>
      </c>
      <c r="N4497" s="5">
        <f>tblSales[[#This Row],[Qty]]*_xlfn.XLOOKUP(tblSales[[#This Row],[Product Code]],tblProducts[Code],tblProducts[Unit Cost],0)</f>
        <v>592000</v>
      </c>
      <c r="O4497" s="4" t="s">
        <v>4867</v>
      </c>
      <c r="P4497" s="4" t="s">
        <v>4862</v>
      </c>
      <c r="Q4497" s="1" t="str">
        <f>_xlfn.XLOOKUP(tblSales[[#This Row],[Channel Code]],tblChannels[Channel Code],tblChannels[Channel Name],"")</f>
        <v>Website &amp; Social Media</v>
      </c>
      <c r="R4497" s="1">
        <f>MONTH(tblSales[[#This Row],[Date]])</f>
        <v>9</v>
      </c>
    </row>
    <row r="4498" spans="2:18" x14ac:dyDescent="0.35">
      <c r="B4498" s="113">
        <v>46294</v>
      </c>
      <c r="C4498" s="4" t="s">
        <v>3054</v>
      </c>
      <c r="D4498" s="4" t="s">
        <v>4599</v>
      </c>
      <c r="E4498" s="1" t="str">
        <f>_xlfn.XLOOKUP(tblSales[[#This Row],[Customer ID]],tblCustomers[Customer ID],tblCustomers[Customer Name],"⚠ Unknown")</f>
        <v>PT Samudra Jaya Logistik</v>
      </c>
      <c r="F4498" s="4" t="s">
        <v>10</v>
      </c>
      <c r="G4498" s="1" t="str">
        <f>_xlfn.XLOOKUP(tblSales[[#This Row],[Product Code]],tblProducts[Code],tblProducts[Product / Service Name],"⚠ Unknown")</f>
        <v>Chino Pants</v>
      </c>
      <c r="H4498" s="1" t="str">
        <f>_xlfn.XLOOKUP(tblSales[[#This Row],[Product Code]],tblProducts[Code],tblProducts[Category],"")</f>
        <v>Apparel &amp; Footwear</v>
      </c>
      <c r="I4498" s="4">
        <v>96</v>
      </c>
      <c r="J4498" s="5">
        <f>_xlfn.XLOOKUP(tblSales[[#This Row],[Product Code]],tblProducts[Code],tblProducts[Selling Price (excl. VAT)],0)</f>
        <v>150000</v>
      </c>
      <c r="K4498" s="5">
        <f>tblSales[[#This Row],[Qty]]*tblSales[[#This Row],[Unit Price]]</f>
        <v>14400000</v>
      </c>
      <c r="L4498" s="5">
        <f>ROUND(tblSales[[#This Row],[DPP (excl. VAT)]]*VATEff,0)</f>
        <v>1584000</v>
      </c>
      <c r="M4498" s="5">
        <f>tblSales[[#This Row],[DPP (excl. VAT)]]+tblSales[[#This Row],[Output VAT]]</f>
        <v>15984000</v>
      </c>
      <c r="N4498" s="5">
        <f>tblSales[[#This Row],[Qty]]*_xlfn.XLOOKUP(tblSales[[#This Row],[Product Code]],tblProducts[Code],tblProducts[Unit Cost],0)</f>
        <v>8448000</v>
      </c>
      <c r="O4498" s="4" t="s">
        <v>4867</v>
      </c>
      <c r="P4498" s="4" t="s">
        <v>4862</v>
      </c>
      <c r="Q4498" s="1" t="str">
        <f>_xlfn.XLOOKUP(tblSales[[#This Row],[Channel Code]],tblChannels[Channel Code],tblChannels[Channel Name],"")</f>
        <v>Website &amp; Social Media</v>
      </c>
      <c r="R4498" s="1">
        <f>MONTH(tblSales[[#This Row],[Date]])</f>
        <v>9</v>
      </c>
    </row>
    <row r="4499" spans="2:18" x14ac:dyDescent="0.35">
      <c r="B4499" s="113">
        <v>46295</v>
      </c>
      <c r="C4499" s="4" t="s">
        <v>3055</v>
      </c>
      <c r="D4499" s="4" t="s">
        <v>4568</v>
      </c>
      <c r="E4499" s="1" t="str">
        <f>_xlfn.XLOOKUP(tblSales[[#This Row],[Customer ID]],tblCustomers[Customer ID],tblCustomers[Customer Name],"⚠ Unknown")</f>
        <v>Walk-in Customer</v>
      </c>
      <c r="F4499" s="4" t="s">
        <v>14</v>
      </c>
      <c r="G4499" s="1" t="str">
        <f>_xlfn.XLOOKUP(tblSales[[#This Row],[Product Code]],tblProducts[Code],tblProducts[Product / Service Name],"⚠ Unknown")</f>
        <v>Smartwatch</v>
      </c>
      <c r="H4499" s="1" t="str">
        <f>_xlfn.XLOOKUP(tblSales[[#This Row],[Product Code]],tblProducts[Code],tblProducts[Category],"")</f>
        <v>Bags &amp; Gadgets</v>
      </c>
      <c r="I4499" s="4">
        <v>2</v>
      </c>
      <c r="J4499" s="5">
        <f>_xlfn.XLOOKUP(tblSales[[#This Row],[Product Code]],tblProducts[Code],tblProducts[Selling Price (excl. VAT)],0)</f>
        <v>850000</v>
      </c>
      <c r="K4499" s="5">
        <f>tblSales[[#This Row],[Qty]]*tblSales[[#This Row],[Unit Price]]</f>
        <v>1700000</v>
      </c>
      <c r="L4499" s="5">
        <f>ROUND(tblSales[[#This Row],[DPP (excl. VAT)]]*VATEff,0)</f>
        <v>187000</v>
      </c>
      <c r="M4499" s="5">
        <f>tblSales[[#This Row],[DPP (excl. VAT)]]+tblSales[[#This Row],[Output VAT]]</f>
        <v>1887000</v>
      </c>
      <c r="N4499" s="5">
        <f>tblSales[[#This Row],[Qty]]*_xlfn.XLOOKUP(tblSales[[#This Row],[Product Code]],tblProducts[Code],tblProducts[Unit Cost],0)</f>
        <v>1120000</v>
      </c>
      <c r="O4499" s="4" t="s">
        <v>4866</v>
      </c>
      <c r="P4499" s="4" t="s">
        <v>4861</v>
      </c>
      <c r="Q4499" s="1" t="str">
        <f>_xlfn.XLOOKUP(tblSales[[#This Row],[Channel Code]],tblChannels[Channel Code],tblChannels[Channel Name],"")</f>
        <v>Marketplace</v>
      </c>
      <c r="R4499" s="1">
        <f>MONTH(tblSales[[#This Row],[Date]])</f>
        <v>9</v>
      </c>
    </row>
    <row r="4500" spans="2:18" x14ac:dyDescent="0.35">
      <c r="B4500" s="113">
        <v>46295</v>
      </c>
      <c r="C4500" s="4" t="s">
        <v>3056</v>
      </c>
      <c r="D4500" s="4" t="s">
        <v>4578</v>
      </c>
      <c r="E4500" s="1" t="str">
        <f>_xlfn.XLOOKUP(tblSales[[#This Row],[Customer ID]],tblCustomers[Customer ID],tblCustomers[Customer Name],"⚠ Unknown")</f>
        <v>PT Bintang Timur Sejahtera</v>
      </c>
      <c r="F4500" s="4" t="s">
        <v>9</v>
      </c>
      <c r="G4500" s="1" t="str">
        <f>_xlfn.XLOOKUP(tblSales[[#This Row],[Product Code]],tblProducts[Code],tblProducts[Product / Service Name],"⚠ Unknown")</f>
        <v>Casual Shirt</v>
      </c>
      <c r="H4500" s="1" t="str">
        <f>_xlfn.XLOOKUP(tblSales[[#This Row],[Product Code]],tblProducts[Code],tblProducts[Category],"")</f>
        <v>Apparel &amp; Footwear</v>
      </c>
      <c r="I4500" s="4">
        <v>40</v>
      </c>
      <c r="J4500" s="5">
        <f>_xlfn.XLOOKUP(tblSales[[#This Row],[Product Code]],tblProducts[Code],tblProducts[Selling Price (excl. VAT)],0)</f>
        <v>120000</v>
      </c>
      <c r="K4500" s="5">
        <f>tblSales[[#This Row],[Qty]]*tblSales[[#This Row],[Unit Price]]</f>
        <v>4800000</v>
      </c>
      <c r="L4500" s="5">
        <f>ROUND(tblSales[[#This Row],[DPP (excl. VAT)]]*VATEff,0)</f>
        <v>528000</v>
      </c>
      <c r="M4500" s="5">
        <f>tblSales[[#This Row],[DPP (excl. VAT)]]+tblSales[[#This Row],[Output VAT]]</f>
        <v>5328000</v>
      </c>
      <c r="N4500" s="5">
        <f>tblSales[[#This Row],[Qty]]*_xlfn.XLOOKUP(tblSales[[#This Row],[Product Code]],tblProducts[Code],tblProducts[Unit Cost],0)</f>
        <v>2880000</v>
      </c>
      <c r="O4500" s="4" t="s">
        <v>4867</v>
      </c>
      <c r="P4500" s="4" t="s">
        <v>4860</v>
      </c>
      <c r="Q4500" s="1" t="str">
        <f>_xlfn.XLOOKUP(tblSales[[#This Row],[Channel Code]],tblChannels[Channel Code],tblChannels[Channel Name],"")</f>
        <v>In-store</v>
      </c>
      <c r="R4500" s="1">
        <f>MONTH(tblSales[[#This Row],[Date]])</f>
        <v>9</v>
      </c>
    </row>
    <row r="4501" spans="2:18" x14ac:dyDescent="0.35">
      <c r="B4501" s="113">
        <v>46295</v>
      </c>
      <c r="C4501" s="4" t="s">
        <v>3057</v>
      </c>
      <c r="D4501" s="4" t="s">
        <v>4568</v>
      </c>
      <c r="E4501" s="1" t="str">
        <f>_xlfn.XLOOKUP(tblSales[[#This Row],[Customer ID]],tblCustomers[Customer ID],tblCustomers[Customer Name],"⚠ Unknown")</f>
        <v>Walk-in Customer</v>
      </c>
      <c r="F4501" s="4" t="s">
        <v>10</v>
      </c>
      <c r="G4501" s="1" t="str">
        <f>_xlfn.XLOOKUP(tblSales[[#This Row],[Product Code]],tblProducts[Code],tblProducts[Product / Service Name],"⚠ Unknown")</f>
        <v>Chino Pants</v>
      </c>
      <c r="H4501" s="1" t="str">
        <f>_xlfn.XLOOKUP(tblSales[[#This Row],[Product Code]],tblProducts[Code],tblProducts[Category],"")</f>
        <v>Apparel &amp; Footwear</v>
      </c>
      <c r="I4501" s="4">
        <v>8</v>
      </c>
      <c r="J4501" s="5">
        <f>_xlfn.XLOOKUP(tblSales[[#This Row],[Product Code]],tblProducts[Code],tblProducts[Selling Price (excl. VAT)],0)</f>
        <v>150000</v>
      </c>
      <c r="K4501" s="5">
        <f>tblSales[[#This Row],[Qty]]*tblSales[[#This Row],[Unit Price]]</f>
        <v>1200000</v>
      </c>
      <c r="L4501" s="5">
        <f>ROUND(tblSales[[#This Row],[DPP (excl. VAT)]]*VATEff,0)</f>
        <v>132000</v>
      </c>
      <c r="M4501" s="5">
        <f>tblSales[[#This Row],[DPP (excl. VAT)]]+tblSales[[#This Row],[Output VAT]]</f>
        <v>1332000</v>
      </c>
      <c r="N4501" s="5">
        <f>tblSales[[#This Row],[Qty]]*_xlfn.XLOOKUP(tblSales[[#This Row],[Product Code]],tblProducts[Code],tblProducts[Unit Cost],0)</f>
        <v>704000</v>
      </c>
      <c r="O4501" s="4" t="s">
        <v>4866</v>
      </c>
      <c r="P4501" s="4" t="s">
        <v>4861</v>
      </c>
      <c r="Q4501" s="1" t="str">
        <f>_xlfn.XLOOKUP(tblSales[[#This Row],[Channel Code]],tblChannels[Channel Code],tblChannels[Channel Name],"")</f>
        <v>Marketplace</v>
      </c>
      <c r="R4501" s="1">
        <f>MONTH(tblSales[[#This Row],[Date]])</f>
        <v>9</v>
      </c>
    </row>
    <row r="4502" spans="2:18" x14ac:dyDescent="0.35">
      <c r="B4502" s="113">
        <v>46295</v>
      </c>
      <c r="C4502" s="4" t="s">
        <v>3057</v>
      </c>
      <c r="D4502" s="4" t="s">
        <v>4568</v>
      </c>
      <c r="E4502" s="1" t="str">
        <f>_xlfn.XLOOKUP(tblSales[[#This Row],[Customer ID]],tblCustomers[Customer ID],tblCustomers[Customer Name],"⚠ Unknown")</f>
        <v>Walk-in Customer</v>
      </c>
      <c r="F4502" s="4" t="s">
        <v>11</v>
      </c>
      <c r="G4502" s="1" t="str">
        <f>_xlfn.XLOOKUP(tblSales[[#This Row],[Product Code]],tblProducts[Code],tblProducts[Product / Service Name],"⚠ Unknown")</f>
        <v>Sneakers</v>
      </c>
      <c r="H4502" s="1" t="str">
        <f>_xlfn.XLOOKUP(tblSales[[#This Row],[Product Code]],tblProducts[Code],tblProducts[Category],"")</f>
        <v>Apparel &amp; Footwear</v>
      </c>
      <c r="I4502" s="4">
        <v>2</v>
      </c>
      <c r="J4502" s="5">
        <f>_xlfn.XLOOKUP(tblSales[[#This Row],[Product Code]],tblProducts[Code],tblProducts[Selling Price (excl. VAT)],0)</f>
        <v>250000</v>
      </c>
      <c r="K4502" s="5">
        <f>tblSales[[#This Row],[Qty]]*tblSales[[#This Row],[Unit Price]]</f>
        <v>500000</v>
      </c>
      <c r="L4502" s="5">
        <f>ROUND(tblSales[[#This Row],[DPP (excl. VAT)]]*VATEff,0)</f>
        <v>55000</v>
      </c>
      <c r="M4502" s="5">
        <f>tblSales[[#This Row],[DPP (excl. VAT)]]+tblSales[[#This Row],[Output VAT]]</f>
        <v>555000</v>
      </c>
      <c r="N4502" s="5">
        <f>tblSales[[#This Row],[Qty]]*_xlfn.XLOOKUP(tblSales[[#This Row],[Product Code]],tblProducts[Code],tblProducts[Unit Cost],0)</f>
        <v>310000</v>
      </c>
      <c r="O4502" s="4" t="s">
        <v>4866</v>
      </c>
      <c r="P4502" s="4" t="s">
        <v>4861</v>
      </c>
      <c r="Q4502" s="1" t="str">
        <f>_xlfn.XLOOKUP(tblSales[[#This Row],[Channel Code]],tblChannels[Channel Code],tblChannels[Channel Name],"")</f>
        <v>Marketplace</v>
      </c>
      <c r="R4502" s="1">
        <f>MONTH(tblSales[[#This Row],[Date]])</f>
        <v>9</v>
      </c>
    </row>
    <row r="4503" spans="2:18" x14ac:dyDescent="0.35">
      <c r="B4503" s="113">
        <v>46295</v>
      </c>
      <c r="C4503" s="4" t="s">
        <v>3058</v>
      </c>
      <c r="D4503" s="4" t="s">
        <v>4568</v>
      </c>
      <c r="E4503" s="1" t="str">
        <f>_xlfn.XLOOKUP(tblSales[[#This Row],[Customer ID]],tblCustomers[Customer ID],tblCustomers[Customer Name],"⚠ Unknown")</f>
        <v>Walk-in Customer</v>
      </c>
      <c r="F4503" s="4" t="s">
        <v>6</v>
      </c>
      <c r="G4503" s="1" t="str">
        <f>_xlfn.XLOOKUP(tblSales[[#This Row],[Product Code]],tblProducts[Code],tblProducts[Product / Service Name],"⚠ Unknown")</f>
        <v>Socks &amp; Accessories</v>
      </c>
      <c r="H4503" s="1" t="str">
        <f>_xlfn.XLOOKUP(tblSales[[#This Row],[Product Code]],tblProducts[Code],tblProducts[Category],"")</f>
        <v>Accessories &amp; Basics</v>
      </c>
      <c r="I4503" s="4">
        <v>8</v>
      </c>
      <c r="J4503" s="5">
        <f>_xlfn.XLOOKUP(tblSales[[#This Row],[Product Code]],tblProducts[Code],tblProducts[Selling Price (excl. VAT)],0)</f>
        <v>45000</v>
      </c>
      <c r="K4503" s="5">
        <f>tblSales[[#This Row],[Qty]]*tblSales[[#This Row],[Unit Price]]</f>
        <v>360000</v>
      </c>
      <c r="L4503" s="5">
        <f>ROUND(tblSales[[#This Row],[DPP (excl. VAT)]]*VATEff,0)</f>
        <v>39600</v>
      </c>
      <c r="M4503" s="5">
        <f>tblSales[[#This Row],[DPP (excl. VAT)]]+tblSales[[#This Row],[Output VAT]]</f>
        <v>399600</v>
      </c>
      <c r="N4503" s="5">
        <f>tblSales[[#This Row],[Qty]]*_xlfn.XLOOKUP(tblSales[[#This Row],[Product Code]],tblProducts[Code],tblProducts[Unit Cost],0)</f>
        <v>192000</v>
      </c>
      <c r="O4503" s="4" t="s">
        <v>4865</v>
      </c>
      <c r="P4503" s="4" t="s">
        <v>4860</v>
      </c>
      <c r="Q4503" s="1" t="str">
        <f>_xlfn.XLOOKUP(tblSales[[#This Row],[Channel Code]],tblChannels[Channel Code],tblChannels[Channel Name],"")</f>
        <v>In-store</v>
      </c>
      <c r="R4503" s="1">
        <f>MONTH(tblSales[[#This Row],[Date]])</f>
        <v>9</v>
      </c>
    </row>
    <row r="4504" spans="2:18" x14ac:dyDescent="0.35">
      <c r="B4504" s="113">
        <v>46295</v>
      </c>
      <c r="C4504" s="4" t="s">
        <v>3058</v>
      </c>
      <c r="D4504" s="4" t="s">
        <v>4568</v>
      </c>
      <c r="E4504" s="1" t="str">
        <f>_xlfn.XLOOKUP(tblSales[[#This Row],[Customer ID]],tblCustomers[Customer ID],tblCustomers[Customer Name],"⚠ Unknown")</f>
        <v>Walk-in Customer</v>
      </c>
      <c r="F4504" s="4" t="s">
        <v>7</v>
      </c>
      <c r="G4504" s="1" t="str">
        <f>_xlfn.XLOOKUP(tblSales[[#This Row],[Product Code]],tblProducts[Code],tblProducts[Product / Service Name],"⚠ Unknown")</f>
        <v>Premium Basic T-shirt</v>
      </c>
      <c r="H4504" s="1" t="str">
        <f>_xlfn.XLOOKUP(tblSales[[#This Row],[Product Code]],tblProducts[Code],tblProducts[Category],"")</f>
        <v>Accessories &amp; Basics</v>
      </c>
      <c r="I4504" s="4">
        <v>10</v>
      </c>
      <c r="J4504" s="5">
        <f>_xlfn.XLOOKUP(tblSales[[#This Row],[Product Code]],tblProducts[Code],tblProducts[Selling Price (excl. VAT)],0)</f>
        <v>65000</v>
      </c>
      <c r="K4504" s="5">
        <f>tblSales[[#This Row],[Qty]]*tblSales[[#This Row],[Unit Price]]</f>
        <v>650000</v>
      </c>
      <c r="L4504" s="5">
        <f>ROUND(tblSales[[#This Row],[DPP (excl. VAT)]]*VATEff,0)</f>
        <v>71500</v>
      </c>
      <c r="M4504" s="5">
        <f>tblSales[[#This Row],[DPP (excl. VAT)]]+tblSales[[#This Row],[Output VAT]]</f>
        <v>721500</v>
      </c>
      <c r="N4504" s="5">
        <f>tblSales[[#This Row],[Qty]]*_xlfn.XLOOKUP(tblSales[[#This Row],[Product Code]],tblProducts[Code],tblProducts[Unit Cost],0)</f>
        <v>370000</v>
      </c>
      <c r="O4504" s="4" t="s">
        <v>4865</v>
      </c>
      <c r="P4504" s="4" t="s">
        <v>4860</v>
      </c>
      <c r="Q4504" s="1" t="str">
        <f>_xlfn.XLOOKUP(tblSales[[#This Row],[Channel Code]],tblChannels[Channel Code],tblChannels[Channel Name],"")</f>
        <v>In-store</v>
      </c>
      <c r="R4504" s="1">
        <f>MONTH(tblSales[[#This Row],[Date]])</f>
        <v>9</v>
      </c>
    </row>
    <row r="4505" spans="2:18" x14ac:dyDescent="0.35">
      <c r="B4505" s="113">
        <v>46295</v>
      </c>
      <c r="C4505" s="4" t="s">
        <v>3059</v>
      </c>
      <c r="D4505" s="4" t="s">
        <v>4568</v>
      </c>
      <c r="E4505" s="1" t="str">
        <f>_xlfn.XLOOKUP(tblSales[[#This Row],[Customer ID]],tblCustomers[Customer ID],tblCustomers[Customer Name],"⚠ Unknown")</f>
        <v>Walk-in Customer</v>
      </c>
      <c r="F4505" s="4" t="s">
        <v>6</v>
      </c>
      <c r="G4505" s="1" t="str">
        <f>_xlfn.XLOOKUP(tblSales[[#This Row],[Product Code]],tblProducts[Code],tblProducts[Product / Service Name],"⚠ Unknown")</f>
        <v>Socks &amp; Accessories</v>
      </c>
      <c r="H4505" s="1" t="str">
        <f>_xlfn.XLOOKUP(tblSales[[#This Row],[Product Code]],tblProducts[Code],tblProducts[Category],"")</f>
        <v>Accessories &amp; Basics</v>
      </c>
      <c r="I4505" s="4">
        <v>6</v>
      </c>
      <c r="J4505" s="5">
        <f>_xlfn.XLOOKUP(tblSales[[#This Row],[Product Code]],tblProducts[Code],tblProducts[Selling Price (excl. VAT)],0)</f>
        <v>45000</v>
      </c>
      <c r="K4505" s="5">
        <f>tblSales[[#This Row],[Qty]]*tblSales[[#This Row],[Unit Price]]</f>
        <v>270000</v>
      </c>
      <c r="L4505" s="5">
        <f>ROUND(tblSales[[#This Row],[DPP (excl. VAT)]]*VATEff,0)</f>
        <v>29700</v>
      </c>
      <c r="M4505" s="5">
        <f>tblSales[[#This Row],[DPP (excl. VAT)]]+tblSales[[#This Row],[Output VAT]]</f>
        <v>299700</v>
      </c>
      <c r="N4505" s="5">
        <f>tblSales[[#This Row],[Qty]]*_xlfn.XLOOKUP(tblSales[[#This Row],[Product Code]],tblProducts[Code],tblProducts[Unit Cost],0)</f>
        <v>144000</v>
      </c>
      <c r="O4505" s="4" t="s">
        <v>4866</v>
      </c>
      <c r="P4505" s="4" t="s">
        <v>4862</v>
      </c>
      <c r="Q4505" s="1" t="str">
        <f>_xlfn.XLOOKUP(tblSales[[#This Row],[Channel Code]],tblChannels[Channel Code],tblChannels[Channel Name],"")</f>
        <v>Website &amp; Social Media</v>
      </c>
      <c r="R4505" s="1">
        <f>MONTH(tblSales[[#This Row],[Date]])</f>
        <v>9</v>
      </c>
    </row>
    <row r="4506" spans="2:18" x14ac:dyDescent="0.35">
      <c r="B4506" s="113">
        <v>46295</v>
      </c>
      <c r="C4506" s="4" t="s">
        <v>3059</v>
      </c>
      <c r="D4506" s="4" t="s">
        <v>4568</v>
      </c>
      <c r="E4506" s="1" t="str">
        <f>_xlfn.XLOOKUP(tblSales[[#This Row],[Customer ID]],tblCustomers[Customer ID],tblCustomers[Customer Name],"⚠ Unknown")</f>
        <v>Walk-in Customer</v>
      </c>
      <c r="F4506" s="4" t="s">
        <v>11</v>
      </c>
      <c r="G4506" s="1" t="str">
        <f>_xlfn.XLOOKUP(tblSales[[#This Row],[Product Code]],tblProducts[Code],tblProducts[Product / Service Name],"⚠ Unknown")</f>
        <v>Sneakers</v>
      </c>
      <c r="H4506" s="1" t="str">
        <f>_xlfn.XLOOKUP(tblSales[[#This Row],[Product Code]],tblProducts[Code],tblProducts[Category],"")</f>
        <v>Apparel &amp; Footwear</v>
      </c>
      <c r="I4506" s="4">
        <v>1</v>
      </c>
      <c r="J4506" s="5">
        <f>_xlfn.XLOOKUP(tblSales[[#This Row],[Product Code]],tblProducts[Code],tblProducts[Selling Price (excl. VAT)],0)</f>
        <v>250000</v>
      </c>
      <c r="K4506" s="5">
        <f>tblSales[[#This Row],[Qty]]*tblSales[[#This Row],[Unit Price]]</f>
        <v>250000</v>
      </c>
      <c r="L4506" s="5">
        <f>ROUND(tblSales[[#This Row],[DPP (excl. VAT)]]*VATEff,0)</f>
        <v>27500</v>
      </c>
      <c r="M4506" s="5">
        <f>tblSales[[#This Row],[DPP (excl. VAT)]]+tblSales[[#This Row],[Output VAT]]</f>
        <v>277500</v>
      </c>
      <c r="N4506" s="5">
        <f>tblSales[[#This Row],[Qty]]*_xlfn.XLOOKUP(tblSales[[#This Row],[Product Code]],tblProducts[Code],tblProducts[Unit Cost],0)</f>
        <v>155000</v>
      </c>
      <c r="O4506" s="4" t="s">
        <v>4866</v>
      </c>
      <c r="P4506" s="4" t="s">
        <v>4862</v>
      </c>
      <c r="Q4506" s="1" t="str">
        <f>_xlfn.XLOOKUP(tblSales[[#This Row],[Channel Code]],tblChannels[Channel Code],tblChannels[Channel Name],"")</f>
        <v>Website &amp; Social Media</v>
      </c>
      <c r="R4506" s="1">
        <f>MONTH(tblSales[[#This Row],[Date]])</f>
        <v>9</v>
      </c>
    </row>
    <row r="4507" spans="2:18" x14ac:dyDescent="0.35">
      <c r="B4507" s="113">
        <v>46295</v>
      </c>
      <c r="C4507" s="4" t="s">
        <v>3060</v>
      </c>
      <c r="D4507" s="4" t="s">
        <v>4568</v>
      </c>
      <c r="E4507" s="1" t="str">
        <f>_xlfn.XLOOKUP(tblSales[[#This Row],[Customer ID]],tblCustomers[Customer ID],tblCustomers[Customer Name],"⚠ Unknown")</f>
        <v>Walk-in Customer</v>
      </c>
      <c r="F4507" s="4" t="s">
        <v>8</v>
      </c>
      <c r="G4507" s="1" t="str">
        <f>_xlfn.XLOOKUP(tblSales[[#This Row],[Product Code]],tblProducts[Code],tblProducts[Product / Service Name],"⚠ Unknown")</f>
        <v>Casual Shorts</v>
      </c>
      <c r="H4507" s="1" t="str">
        <f>_xlfn.XLOOKUP(tblSales[[#This Row],[Product Code]],tblProducts[Code],tblProducts[Category],"")</f>
        <v>Accessories &amp; Basics</v>
      </c>
      <c r="I4507" s="4">
        <v>7</v>
      </c>
      <c r="J4507" s="5">
        <f>_xlfn.XLOOKUP(tblSales[[#This Row],[Product Code]],tblProducts[Code],tblProducts[Selling Price (excl. VAT)],0)</f>
        <v>85000</v>
      </c>
      <c r="K4507" s="5">
        <f>tblSales[[#This Row],[Qty]]*tblSales[[#This Row],[Unit Price]]</f>
        <v>595000</v>
      </c>
      <c r="L4507" s="5">
        <f>ROUND(tblSales[[#This Row],[DPP (excl. VAT)]]*VATEff,0)</f>
        <v>65450</v>
      </c>
      <c r="M4507" s="5">
        <f>tblSales[[#This Row],[DPP (excl. VAT)]]+tblSales[[#This Row],[Output VAT]]</f>
        <v>660450</v>
      </c>
      <c r="N4507" s="5">
        <f>tblSales[[#This Row],[Qty]]*_xlfn.XLOOKUP(tblSales[[#This Row],[Product Code]],tblProducts[Code],tblProducts[Unit Cost],0)</f>
        <v>350000</v>
      </c>
      <c r="O4507" s="4" t="s">
        <v>4866</v>
      </c>
      <c r="P4507" s="4" t="s">
        <v>4861</v>
      </c>
      <c r="Q4507" s="1" t="str">
        <f>_xlfn.XLOOKUP(tblSales[[#This Row],[Channel Code]],tblChannels[Channel Code],tblChannels[Channel Name],"")</f>
        <v>Marketplace</v>
      </c>
      <c r="R4507" s="1">
        <f>MONTH(tblSales[[#This Row],[Date]])</f>
        <v>9</v>
      </c>
    </row>
    <row r="4508" spans="2:18" x14ac:dyDescent="0.35">
      <c r="B4508" s="113">
        <v>46295</v>
      </c>
      <c r="C4508" s="4" t="s">
        <v>3061</v>
      </c>
      <c r="D4508" s="4" t="s">
        <v>4568</v>
      </c>
      <c r="E4508" s="1" t="str">
        <f>_xlfn.XLOOKUP(tblSales[[#This Row],[Customer ID]],tblCustomers[Customer ID],tblCustomers[Customer Name],"⚠ Unknown")</f>
        <v>Walk-in Customer</v>
      </c>
      <c r="F4508" s="4" t="s">
        <v>6</v>
      </c>
      <c r="G4508" s="1" t="str">
        <f>_xlfn.XLOOKUP(tblSales[[#This Row],[Product Code]],tblProducts[Code],tblProducts[Product / Service Name],"⚠ Unknown")</f>
        <v>Socks &amp; Accessories</v>
      </c>
      <c r="H4508" s="1" t="str">
        <f>_xlfn.XLOOKUP(tblSales[[#This Row],[Product Code]],tblProducts[Code],tblProducts[Category],"")</f>
        <v>Accessories &amp; Basics</v>
      </c>
      <c r="I4508" s="4">
        <v>1</v>
      </c>
      <c r="J4508" s="5">
        <f>_xlfn.XLOOKUP(tblSales[[#This Row],[Product Code]],tblProducts[Code],tblProducts[Selling Price (excl. VAT)],0)</f>
        <v>45000</v>
      </c>
      <c r="K4508" s="5">
        <f>tblSales[[#This Row],[Qty]]*tblSales[[#This Row],[Unit Price]]</f>
        <v>45000</v>
      </c>
      <c r="L4508" s="5">
        <f>ROUND(tblSales[[#This Row],[DPP (excl. VAT)]]*VATEff,0)</f>
        <v>4950</v>
      </c>
      <c r="M4508" s="5">
        <f>tblSales[[#This Row],[DPP (excl. VAT)]]+tblSales[[#This Row],[Output VAT]]</f>
        <v>49950</v>
      </c>
      <c r="N4508" s="5">
        <f>tblSales[[#This Row],[Qty]]*_xlfn.XLOOKUP(tblSales[[#This Row],[Product Code]],tblProducts[Code],tblProducts[Unit Cost],0)</f>
        <v>24000</v>
      </c>
      <c r="O4508" s="4" t="s">
        <v>4865</v>
      </c>
      <c r="P4508" s="4" t="s">
        <v>4860</v>
      </c>
      <c r="Q4508" s="1" t="str">
        <f>_xlfn.XLOOKUP(tblSales[[#This Row],[Channel Code]],tblChannels[Channel Code],tblChannels[Channel Name],"")</f>
        <v>In-store</v>
      </c>
      <c r="R4508" s="1">
        <f>MONTH(tblSales[[#This Row],[Date]])</f>
        <v>9</v>
      </c>
    </row>
    <row r="4509" spans="2:18" x14ac:dyDescent="0.35">
      <c r="B4509" s="113">
        <v>46295</v>
      </c>
      <c r="C4509" s="4" t="s">
        <v>3062</v>
      </c>
      <c r="D4509" s="4" t="s">
        <v>4568</v>
      </c>
      <c r="E4509" s="1" t="str">
        <f>_xlfn.XLOOKUP(tblSales[[#This Row],[Customer ID]],tblCustomers[Customer ID],tblCustomers[Customer Name],"⚠ Unknown")</f>
        <v>Walk-in Customer</v>
      </c>
      <c r="F4509" s="4" t="s">
        <v>10</v>
      </c>
      <c r="G4509" s="1" t="str">
        <f>_xlfn.XLOOKUP(tblSales[[#This Row],[Product Code]],tblProducts[Code],tblProducts[Product / Service Name],"⚠ Unknown")</f>
        <v>Chino Pants</v>
      </c>
      <c r="H4509" s="1" t="str">
        <f>_xlfn.XLOOKUP(tblSales[[#This Row],[Product Code]],tblProducts[Code],tblProducts[Category],"")</f>
        <v>Apparel &amp; Footwear</v>
      </c>
      <c r="I4509" s="4">
        <v>1</v>
      </c>
      <c r="J4509" s="5">
        <f>_xlfn.XLOOKUP(tblSales[[#This Row],[Product Code]],tblProducts[Code],tblProducts[Selling Price (excl. VAT)],0)</f>
        <v>150000</v>
      </c>
      <c r="K4509" s="5">
        <f>tblSales[[#This Row],[Qty]]*tblSales[[#This Row],[Unit Price]]</f>
        <v>150000</v>
      </c>
      <c r="L4509" s="5">
        <f>ROUND(tblSales[[#This Row],[DPP (excl. VAT)]]*VATEff,0)</f>
        <v>16500</v>
      </c>
      <c r="M4509" s="5">
        <f>tblSales[[#This Row],[DPP (excl. VAT)]]+tblSales[[#This Row],[Output VAT]]</f>
        <v>166500</v>
      </c>
      <c r="N4509" s="5">
        <f>tblSales[[#This Row],[Qty]]*_xlfn.XLOOKUP(tblSales[[#This Row],[Product Code]],tblProducts[Code],tblProducts[Unit Cost],0)</f>
        <v>88000</v>
      </c>
      <c r="O4509" s="4" t="s">
        <v>4866</v>
      </c>
      <c r="P4509" s="4" t="s">
        <v>4861</v>
      </c>
      <c r="Q4509" s="1" t="str">
        <f>_xlfn.XLOOKUP(tblSales[[#This Row],[Channel Code]],tblChannels[Channel Code],tblChannels[Channel Name],"")</f>
        <v>Marketplace</v>
      </c>
      <c r="R4509" s="1">
        <f>MONTH(tblSales[[#This Row],[Date]])</f>
        <v>9</v>
      </c>
    </row>
    <row r="4510" spans="2:18" x14ac:dyDescent="0.35">
      <c r="B4510" s="113">
        <v>46295</v>
      </c>
      <c r="C4510" s="4" t="s">
        <v>3062</v>
      </c>
      <c r="D4510" s="4" t="s">
        <v>4568</v>
      </c>
      <c r="E4510" s="1" t="str">
        <f>_xlfn.XLOOKUP(tblSales[[#This Row],[Customer ID]],tblCustomers[Customer ID],tblCustomers[Customer Name],"⚠ Unknown")</f>
        <v>Walk-in Customer</v>
      </c>
      <c r="F4510" s="4" t="s">
        <v>9</v>
      </c>
      <c r="G4510" s="1" t="str">
        <f>_xlfn.XLOOKUP(tblSales[[#This Row],[Product Code]],tblProducts[Code],tblProducts[Product / Service Name],"⚠ Unknown")</f>
        <v>Casual Shirt</v>
      </c>
      <c r="H4510" s="1" t="str">
        <f>_xlfn.XLOOKUP(tblSales[[#This Row],[Product Code]],tblProducts[Code],tblProducts[Category],"")</f>
        <v>Apparel &amp; Footwear</v>
      </c>
      <c r="I4510" s="4">
        <v>6</v>
      </c>
      <c r="J4510" s="5">
        <f>_xlfn.XLOOKUP(tblSales[[#This Row],[Product Code]],tblProducts[Code],tblProducts[Selling Price (excl. VAT)],0)</f>
        <v>120000</v>
      </c>
      <c r="K4510" s="5">
        <f>tblSales[[#This Row],[Qty]]*tblSales[[#This Row],[Unit Price]]</f>
        <v>720000</v>
      </c>
      <c r="L4510" s="5">
        <f>ROUND(tblSales[[#This Row],[DPP (excl. VAT)]]*VATEff,0)</f>
        <v>79200</v>
      </c>
      <c r="M4510" s="5">
        <f>tblSales[[#This Row],[DPP (excl. VAT)]]+tblSales[[#This Row],[Output VAT]]</f>
        <v>799200</v>
      </c>
      <c r="N4510" s="5">
        <f>tblSales[[#This Row],[Qty]]*_xlfn.XLOOKUP(tblSales[[#This Row],[Product Code]],tblProducts[Code],tblProducts[Unit Cost],0)</f>
        <v>432000</v>
      </c>
      <c r="O4510" s="4" t="s">
        <v>4866</v>
      </c>
      <c r="P4510" s="4" t="s">
        <v>4861</v>
      </c>
      <c r="Q4510" s="1" t="str">
        <f>_xlfn.XLOOKUP(tblSales[[#This Row],[Channel Code]],tblChannels[Channel Code],tblChannels[Channel Name],"")</f>
        <v>Marketplace</v>
      </c>
      <c r="R4510" s="1">
        <f>MONTH(tblSales[[#This Row],[Date]])</f>
        <v>9</v>
      </c>
    </row>
    <row r="4511" spans="2:18" x14ac:dyDescent="0.35">
      <c r="B4511" s="113">
        <v>46295</v>
      </c>
      <c r="C4511" s="4" t="s">
        <v>3063</v>
      </c>
      <c r="D4511" s="4" t="s">
        <v>4568</v>
      </c>
      <c r="E4511" s="1" t="str">
        <f>_xlfn.XLOOKUP(tblSales[[#This Row],[Customer ID]],tblCustomers[Customer ID],tblCustomers[Customer Name],"⚠ Unknown")</f>
        <v>Walk-in Customer</v>
      </c>
      <c r="F4511" s="4" t="s">
        <v>6</v>
      </c>
      <c r="G4511" s="1" t="str">
        <f>_xlfn.XLOOKUP(tblSales[[#This Row],[Product Code]],tblProducts[Code],tblProducts[Product / Service Name],"⚠ Unknown")</f>
        <v>Socks &amp; Accessories</v>
      </c>
      <c r="H4511" s="1" t="str">
        <f>_xlfn.XLOOKUP(tblSales[[#This Row],[Product Code]],tblProducts[Code],tblProducts[Category],"")</f>
        <v>Accessories &amp; Basics</v>
      </c>
      <c r="I4511" s="4">
        <v>12</v>
      </c>
      <c r="J4511" s="5">
        <f>_xlfn.XLOOKUP(tblSales[[#This Row],[Product Code]],tblProducts[Code],tblProducts[Selling Price (excl. VAT)],0)</f>
        <v>45000</v>
      </c>
      <c r="K4511" s="5">
        <f>tblSales[[#This Row],[Qty]]*tblSales[[#This Row],[Unit Price]]</f>
        <v>540000</v>
      </c>
      <c r="L4511" s="5">
        <f>ROUND(tblSales[[#This Row],[DPP (excl. VAT)]]*VATEff,0)</f>
        <v>59400</v>
      </c>
      <c r="M4511" s="5">
        <f>tblSales[[#This Row],[DPP (excl. VAT)]]+tblSales[[#This Row],[Output VAT]]</f>
        <v>599400</v>
      </c>
      <c r="N4511" s="5">
        <f>tblSales[[#This Row],[Qty]]*_xlfn.XLOOKUP(tblSales[[#This Row],[Product Code]],tblProducts[Code],tblProducts[Unit Cost],0)</f>
        <v>288000</v>
      </c>
      <c r="O4511" s="4" t="s">
        <v>4865</v>
      </c>
      <c r="P4511" s="4" t="s">
        <v>4860</v>
      </c>
      <c r="Q4511" s="1" t="str">
        <f>_xlfn.XLOOKUP(tblSales[[#This Row],[Channel Code]],tblChannels[Channel Code],tblChannels[Channel Name],"")</f>
        <v>In-store</v>
      </c>
      <c r="R4511" s="1">
        <f>MONTH(tblSales[[#This Row],[Date]])</f>
        <v>9</v>
      </c>
    </row>
    <row r="4512" spans="2:18" x14ac:dyDescent="0.35">
      <c r="B4512" s="113">
        <v>46295</v>
      </c>
      <c r="C4512" s="4" t="s">
        <v>3064</v>
      </c>
      <c r="D4512" s="4" t="s">
        <v>4568</v>
      </c>
      <c r="E4512" s="1" t="str">
        <f>_xlfn.XLOOKUP(tblSales[[#This Row],[Customer ID]],tblCustomers[Customer ID],tblCustomers[Customer Name],"⚠ Unknown")</f>
        <v>Walk-in Customer</v>
      </c>
      <c r="F4512" s="4" t="s">
        <v>6</v>
      </c>
      <c r="G4512" s="1" t="str">
        <f>_xlfn.XLOOKUP(tblSales[[#This Row],[Product Code]],tblProducts[Code],tblProducts[Product / Service Name],"⚠ Unknown")</f>
        <v>Socks &amp; Accessories</v>
      </c>
      <c r="H4512" s="1" t="str">
        <f>_xlfn.XLOOKUP(tblSales[[#This Row],[Product Code]],tblProducts[Code],tblProducts[Category],"")</f>
        <v>Accessories &amp; Basics</v>
      </c>
      <c r="I4512" s="4">
        <v>5</v>
      </c>
      <c r="J4512" s="5">
        <f>_xlfn.XLOOKUP(tblSales[[#This Row],[Product Code]],tblProducts[Code],tblProducts[Selling Price (excl. VAT)],0)</f>
        <v>45000</v>
      </c>
      <c r="K4512" s="5">
        <f>tblSales[[#This Row],[Qty]]*tblSales[[#This Row],[Unit Price]]</f>
        <v>225000</v>
      </c>
      <c r="L4512" s="5">
        <f>ROUND(tblSales[[#This Row],[DPP (excl. VAT)]]*VATEff,0)</f>
        <v>24750</v>
      </c>
      <c r="M4512" s="5">
        <f>tblSales[[#This Row],[DPP (excl. VAT)]]+tblSales[[#This Row],[Output VAT]]</f>
        <v>249750</v>
      </c>
      <c r="N4512" s="5">
        <f>tblSales[[#This Row],[Qty]]*_xlfn.XLOOKUP(tblSales[[#This Row],[Product Code]],tblProducts[Code],tblProducts[Unit Cost],0)</f>
        <v>120000</v>
      </c>
      <c r="O4512" s="4" t="s">
        <v>4865</v>
      </c>
      <c r="P4512" s="4" t="s">
        <v>4860</v>
      </c>
      <c r="Q4512" s="1" t="str">
        <f>_xlfn.XLOOKUP(tblSales[[#This Row],[Channel Code]],tblChannels[Channel Code],tblChannels[Channel Name],"")</f>
        <v>In-store</v>
      </c>
      <c r="R4512" s="1">
        <f>MONTH(tblSales[[#This Row],[Date]])</f>
        <v>9</v>
      </c>
    </row>
    <row r="4513" spans="2:18" x14ac:dyDescent="0.35">
      <c r="B4513" s="113">
        <v>46295</v>
      </c>
      <c r="C4513" s="4" t="s">
        <v>3065</v>
      </c>
      <c r="D4513" s="4" t="s">
        <v>4613</v>
      </c>
      <c r="E4513" s="1" t="str">
        <f>_xlfn.XLOOKUP(tblSales[[#This Row],[Customer ID]],tblCustomers[Customer ID],tblCustomers[Customer Name],"⚠ Unknown")</f>
        <v>PT Mega Prima Distribusi</v>
      </c>
      <c r="F4513" s="4" t="s">
        <v>12</v>
      </c>
      <c r="G4513" s="1" t="str">
        <f>_xlfn.XLOOKUP(tblSales[[#This Row],[Product Code]],tblProducts[Code],tblProducts[Product / Service Name],"⚠ Unknown")</f>
        <v>Bomber Jacket</v>
      </c>
      <c r="H4513" s="1" t="str">
        <f>_xlfn.XLOOKUP(tblSales[[#This Row],[Product Code]],tblProducts[Code],tblProducts[Category],"")</f>
        <v>Apparel &amp; Footwear</v>
      </c>
      <c r="I4513" s="4">
        <v>32</v>
      </c>
      <c r="J4513" s="5">
        <f>_xlfn.XLOOKUP(tblSales[[#This Row],[Product Code]],tblProducts[Code],tblProducts[Selling Price (excl. VAT)],0)</f>
        <v>350000</v>
      </c>
      <c r="K4513" s="5">
        <f>tblSales[[#This Row],[Qty]]*tblSales[[#This Row],[Unit Price]]</f>
        <v>11200000</v>
      </c>
      <c r="L4513" s="5">
        <f>ROUND(tblSales[[#This Row],[DPP (excl. VAT)]]*VATEff,0)</f>
        <v>1232000</v>
      </c>
      <c r="M4513" s="5">
        <f>tblSales[[#This Row],[DPP (excl. VAT)]]+tblSales[[#This Row],[Output VAT]]</f>
        <v>12432000</v>
      </c>
      <c r="N4513" s="5">
        <f>tblSales[[#This Row],[Qty]]*_xlfn.XLOOKUP(tblSales[[#This Row],[Product Code]],tblProducts[Code],tblProducts[Unit Cost],0)</f>
        <v>6720000</v>
      </c>
      <c r="O4513" s="4" t="s">
        <v>4867</v>
      </c>
      <c r="P4513" s="4" t="s">
        <v>4860</v>
      </c>
      <c r="Q4513" s="1" t="str">
        <f>_xlfn.XLOOKUP(tblSales[[#This Row],[Channel Code]],tblChannels[Channel Code],tblChannels[Channel Name],"")</f>
        <v>In-store</v>
      </c>
      <c r="R4513" s="1">
        <f>MONTH(tblSales[[#This Row],[Date]])</f>
        <v>9</v>
      </c>
    </row>
    <row r="4514" spans="2:18" x14ac:dyDescent="0.35">
      <c r="B4514" s="113">
        <v>46296</v>
      </c>
      <c r="C4514" s="4" t="s">
        <v>3066</v>
      </c>
      <c r="D4514" s="4" t="s">
        <v>4613</v>
      </c>
      <c r="E4514" s="1" t="str">
        <f>_xlfn.XLOOKUP(tblSales[[#This Row],[Customer ID]],tblCustomers[Customer ID],tblCustomers[Customer Name],"⚠ Unknown")</f>
        <v>PT Mega Prima Distribusi</v>
      </c>
      <c r="F4514" s="4" t="s">
        <v>7</v>
      </c>
      <c r="G4514" s="1" t="str">
        <f>_xlfn.XLOOKUP(tblSales[[#This Row],[Product Code]],tblProducts[Code],tblProducts[Product / Service Name],"⚠ Unknown")</f>
        <v>Premium Basic T-shirt</v>
      </c>
      <c r="H4514" s="1" t="str">
        <f>_xlfn.XLOOKUP(tblSales[[#This Row],[Product Code]],tblProducts[Code],tblProducts[Category],"")</f>
        <v>Accessories &amp; Basics</v>
      </c>
      <c r="I4514" s="4">
        <v>32</v>
      </c>
      <c r="J4514" s="5">
        <f>_xlfn.XLOOKUP(tblSales[[#This Row],[Product Code]],tblProducts[Code],tblProducts[Selling Price (excl. VAT)],0)</f>
        <v>65000</v>
      </c>
      <c r="K4514" s="5">
        <f>tblSales[[#This Row],[Qty]]*tblSales[[#This Row],[Unit Price]]</f>
        <v>2080000</v>
      </c>
      <c r="L4514" s="5">
        <f>ROUND(tblSales[[#This Row],[DPP (excl. VAT)]]*VATEff,0)</f>
        <v>228800</v>
      </c>
      <c r="M4514" s="5">
        <f>tblSales[[#This Row],[DPP (excl. VAT)]]+tblSales[[#This Row],[Output VAT]]</f>
        <v>2308800</v>
      </c>
      <c r="N4514" s="5">
        <f>tblSales[[#This Row],[Qty]]*_xlfn.XLOOKUP(tblSales[[#This Row],[Product Code]],tblProducts[Code],tblProducts[Unit Cost],0)</f>
        <v>1184000</v>
      </c>
      <c r="O4514" s="4" t="s">
        <v>4867</v>
      </c>
      <c r="P4514" s="4" t="s">
        <v>4860</v>
      </c>
      <c r="Q4514" s="1" t="str">
        <f>_xlfn.XLOOKUP(tblSales[[#This Row],[Channel Code]],tblChannels[Channel Code],tblChannels[Channel Name],"")</f>
        <v>In-store</v>
      </c>
      <c r="R4514" s="1">
        <f>MONTH(tblSales[[#This Row],[Date]])</f>
        <v>10</v>
      </c>
    </row>
    <row r="4515" spans="2:18" x14ac:dyDescent="0.35">
      <c r="B4515" s="113">
        <v>46296</v>
      </c>
      <c r="C4515" s="4" t="s">
        <v>3066</v>
      </c>
      <c r="D4515" s="4" t="s">
        <v>4613</v>
      </c>
      <c r="E4515" s="1" t="str">
        <f>_xlfn.XLOOKUP(tblSales[[#This Row],[Customer ID]],tblCustomers[Customer ID],tblCustomers[Customer Name],"⚠ Unknown")</f>
        <v>PT Mega Prima Distribusi</v>
      </c>
      <c r="F4515" s="4" t="s">
        <v>13</v>
      </c>
      <c r="G4515" s="1" t="str">
        <f>_xlfn.XLOOKUP(tblSales[[#This Row],[Product Code]],tblProducts[Code],tblProducts[Product / Service Name],"⚠ Unknown")</f>
        <v>Backpack</v>
      </c>
      <c r="H4515" s="1" t="str">
        <f>_xlfn.XLOOKUP(tblSales[[#This Row],[Product Code]],tblProducts[Code],tblProducts[Category],"")</f>
        <v>Bags &amp; Gadgets</v>
      </c>
      <c r="I4515" s="4">
        <v>8</v>
      </c>
      <c r="J4515" s="5">
        <f>_xlfn.XLOOKUP(tblSales[[#This Row],[Product Code]],tblProducts[Code],tblProducts[Selling Price (excl. VAT)],0)</f>
        <v>500000</v>
      </c>
      <c r="K4515" s="5">
        <f>tblSales[[#This Row],[Qty]]*tblSales[[#This Row],[Unit Price]]</f>
        <v>4000000</v>
      </c>
      <c r="L4515" s="5">
        <f>ROUND(tblSales[[#This Row],[DPP (excl. VAT)]]*VATEff,0)</f>
        <v>440000</v>
      </c>
      <c r="M4515" s="5">
        <f>tblSales[[#This Row],[DPP (excl. VAT)]]+tblSales[[#This Row],[Output VAT]]</f>
        <v>4440000</v>
      </c>
      <c r="N4515" s="5">
        <f>tblSales[[#This Row],[Qty]]*_xlfn.XLOOKUP(tblSales[[#This Row],[Product Code]],tblProducts[Code],tblProducts[Unit Cost],0)</f>
        <v>2320000</v>
      </c>
      <c r="O4515" s="4" t="s">
        <v>4867</v>
      </c>
      <c r="P4515" s="4" t="s">
        <v>4860</v>
      </c>
      <c r="Q4515" s="1" t="str">
        <f>_xlfn.XLOOKUP(tblSales[[#This Row],[Channel Code]],tblChannels[Channel Code],tblChannels[Channel Name],"")</f>
        <v>In-store</v>
      </c>
      <c r="R4515" s="1">
        <f>MONTH(tblSales[[#This Row],[Date]])</f>
        <v>10</v>
      </c>
    </row>
    <row r="4516" spans="2:18" x14ac:dyDescent="0.35">
      <c r="B4516" s="113">
        <v>46296</v>
      </c>
      <c r="C4516" s="4" t="s">
        <v>3066</v>
      </c>
      <c r="D4516" s="4" t="s">
        <v>4613</v>
      </c>
      <c r="E4516" s="1" t="str">
        <f>_xlfn.XLOOKUP(tblSales[[#This Row],[Customer ID]],tblCustomers[Customer ID],tblCustomers[Customer Name],"⚠ Unknown")</f>
        <v>PT Mega Prima Distribusi</v>
      </c>
      <c r="F4516" s="4" t="s">
        <v>10</v>
      </c>
      <c r="G4516" s="1" t="str">
        <f>_xlfn.XLOOKUP(tblSales[[#This Row],[Product Code]],tblProducts[Code],tblProducts[Product / Service Name],"⚠ Unknown")</f>
        <v>Chino Pants</v>
      </c>
      <c r="H4516" s="1" t="str">
        <f>_xlfn.XLOOKUP(tblSales[[#This Row],[Product Code]],tblProducts[Code],tblProducts[Category],"")</f>
        <v>Apparel &amp; Footwear</v>
      </c>
      <c r="I4516" s="4">
        <v>24</v>
      </c>
      <c r="J4516" s="5">
        <f>_xlfn.XLOOKUP(tblSales[[#This Row],[Product Code]],tblProducts[Code],tblProducts[Selling Price (excl. VAT)],0)</f>
        <v>150000</v>
      </c>
      <c r="K4516" s="5">
        <f>tblSales[[#This Row],[Qty]]*tblSales[[#This Row],[Unit Price]]</f>
        <v>3600000</v>
      </c>
      <c r="L4516" s="5">
        <f>ROUND(tblSales[[#This Row],[DPP (excl. VAT)]]*VATEff,0)</f>
        <v>396000</v>
      </c>
      <c r="M4516" s="5">
        <f>tblSales[[#This Row],[DPP (excl. VAT)]]+tblSales[[#This Row],[Output VAT]]</f>
        <v>3996000</v>
      </c>
      <c r="N4516" s="5">
        <f>tblSales[[#This Row],[Qty]]*_xlfn.XLOOKUP(tblSales[[#This Row],[Product Code]],tblProducts[Code],tblProducts[Unit Cost],0)</f>
        <v>2112000</v>
      </c>
      <c r="O4516" s="4" t="s">
        <v>4867</v>
      </c>
      <c r="P4516" s="4" t="s">
        <v>4860</v>
      </c>
      <c r="Q4516" s="1" t="str">
        <f>_xlfn.XLOOKUP(tblSales[[#This Row],[Channel Code]],tblChannels[Channel Code],tblChannels[Channel Name],"")</f>
        <v>In-store</v>
      </c>
      <c r="R4516" s="1">
        <f>MONTH(tblSales[[#This Row],[Date]])</f>
        <v>10</v>
      </c>
    </row>
    <row r="4517" spans="2:18" x14ac:dyDescent="0.35">
      <c r="B4517" s="113">
        <v>46296</v>
      </c>
      <c r="C4517" s="4" t="s">
        <v>3067</v>
      </c>
      <c r="D4517" s="4" t="s">
        <v>4627</v>
      </c>
      <c r="E4517" s="1" t="str">
        <f>_xlfn.XLOOKUP(tblSales[[#This Row],[Customer ID]],tblCustomers[Customer ID],tblCustomers[Customer Name],"⚠ Unknown")</f>
        <v>PT Kencana Wira Usaha</v>
      </c>
      <c r="F4517" s="4" t="s">
        <v>7</v>
      </c>
      <c r="G4517" s="1" t="str">
        <f>_xlfn.XLOOKUP(tblSales[[#This Row],[Product Code]],tblProducts[Code],tblProducts[Product / Service Name],"⚠ Unknown")</f>
        <v>Premium Basic T-shirt</v>
      </c>
      <c r="H4517" s="1" t="str">
        <f>_xlfn.XLOOKUP(tblSales[[#This Row],[Product Code]],tblProducts[Code],tblProducts[Category],"")</f>
        <v>Accessories &amp; Basics</v>
      </c>
      <c r="I4517" s="4">
        <v>88</v>
      </c>
      <c r="J4517" s="5">
        <f>_xlfn.XLOOKUP(tblSales[[#This Row],[Product Code]],tblProducts[Code],tblProducts[Selling Price (excl. VAT)],0)</f>
        <v>65000</v>
      </c>
      <c r="K4517" s="5">
        <f>tblSales[[#This Row],[Qty]]*tblSales[[#This Row],[Unit Price]]</f>
        <v>5720000</v>
      </c>
      <c r="L4517" s="5">
        <f>ROUND(tblSales[[#This Row],[DPP (excl. VAT)]]*VATEff,0)</f>
        <v>629200</v>
      </c>
      <c r="M4517" s="5">
        <f>tblSales[[#This Row],[DPP (excl. VAT)]]+tblSales[[#This Row],[Output VAT]]</f>
        <v>6349200</v>
      </c>
      <c r="N4517" s="5">
        <f>tblSales[[#This Row],[Qty]]*_xlfn.XLOOKUP(tblSales[[#This Row],[Product Code]],tblProducts[Code],tblProducts[Unit Cost],0)</f>
        <v>3256000</v>
      </c>
      <c r="O4517" s="4" t="s">
        <v>4867</v>
      </c>
      <c r="P4517" s="4" t="s">
        <v>4860</v>
      </c>
      <c r="Q4517" s="1" t="str">
        <f>_xlfn.XLOOKUP(tblSales[[#This Row],[Channel Code]],tblChannels[Channel Code],tblChannels[Channel Name],"")</f>
        <v>In-store</v>
      </c>
      <c r="R4517" s="1">
        <f>MONTH(tblSales[[#This Row],[Date]])</f>
        <v>10</v>
      </c>
    </row>
    <row r="4518" spans="2:18" x14ac:dyDescent="0.35">
      <c r="B4518" s="113">
        <v>46296</v>
      </c>
      <c r="C4518" s="4" t="s">
        <v>3067</v>
      </c>
      <c r="D4518" s="4" t="s">
        <v>4627</v>
      </c>
      <c r="E4518" s="1" t="str">
        <f>_xlfn.XLOOKUP(tblSales[[#This Row],[Customer ID]],tblCustomers[Customer ID],tblCustomers[Customer Name],"⚠ Unknown")</f>
        <v>PT Kencana Wira Usaha</v>
      </c>
      <c r="F4518" s="4" t="s">
        <v>10</v>
      </c>
      <c r="G4518" s="1" t="str">
        <f>_xlfn.XLOOKUP(tblSales[[#This Row],[Product Code]],tblProducts[Code],tblProducts[Product / Service Name],"⚠ Unknown")</f>
        <v>Chino Pants</v>
      </c>
      <c r="H4518" s="1" t="str">
        <f>_xlfn.XLOOKUP(tblSales[[#This Row],[Product Code]],tblProducts[Code],tblProducts[Category],"")</f>
        <v>Apparel &amp; Footwear</v>
      </c>
      <c r="I4518" s="4">
        <v>64</v>
      </c>
      <c r="J4518" s="5">
        <f>_xlfn.XLOOKUP(tblSales[[#This Row],[Product Code]],tblProducts[Code],tblProducts[Selling Price (excl. VAT)],0)</f>
        <v>150000</v>
      </c>
      <c r="K4518" s="5">
        <f>tblSales[[#This Row],[Qty]]*tblSales[[#This Row],[Unit Price]]</f>
        <v>9600000</v>
      </c>
      <c r="L4518" s="5">
        <f>ROUND(tblSales[[#This Row],[DPP (excl. VAT)]]*VATEff,0)</f>
        <v>1056000</v>
      </c>
      <c r="M4518" s="5">
        <f>tblSales[[#This Row],[DPP (excl. VAT)]]+tblSales[[#This Row],[Output VAT]]</f>
        <v>10656000</v>
      </c>
      <c r="N4518" s="5">
        <f>tblSales[[#This Row],[Qty]]*_xlfn.XLOOKUP(tblSales[[#This Row],[Product Code]],tblProducts[Code],tblProducts[Unit Cost],0)</f>
        <v>5632000</v>
      </c>
      <c r="O4518" s="4" t="s">
        <v>4867</v>
      </c>
      <c r="P4518" s="4" t="s">
        <v>4860</v>
      </c>
      <c r="Q4518" s="1" t="str">
        <f>_xlfn.XLOOKUP(tblSales[[#This Row],[Channel Code]],tblChannels[Channel Code],tblChannels[Channel Name],"")</f>
        <v>In-store</v>
      </c>
      <c r="R4518" s="1">
        <f>MONTH(tblSales[[#This Row],[Date]])</f>
        <v>10</v>
      </c>
    </row>
    <row r="4519" spans="2:18" x14ac:dyDescent="0.35">
      <c r="B4519" s="113">
        <v>46296</v>
      </c>
      <c r="C4519" s="4" t="s">
        <v>3068</v>
      </c>
      <c r="D4519" s="4" t="s">
        <v>4568</v>
      </c>
      <c r="E4519" s="1" t="str">
        <f>_xlfn.XLOOKUP(tblSales[[#This Row],[Customer ID]],tblCustomers[Customer ID],tblCustomers[Customer Name],"⚠ Unknown")</f>
        <v>Walk-in Customer</v>
      </c>
      <c r="F4519" s="4" t="s">
        <v>8</v>
      </c>
      <c r="G4519" s="1" t="str">
        <f>_xlfn.XLOOKUP(tblSales[[#This Row],[Product Code]],tblProducts[Code],tblProducts[Product / Service Name],"⚠ Unknown")</f>
        <v>Casual Shorts</v>
      </c>
      <c r="H4519" s="1" t="str">
        <f>_xlfn.XLOOKUP(tblSales[[#This Row],[Product Code]],tblProducts[Code],tblProducts[Category],"")</f>
        <v>Accessories &amp; Basics</v>
      </c>
      <c r="I4519" s="4">
        <v>8</v>
      </c>
      <c r="J4519" s="5">
        <f>_xlfn.XLOOKUP(tblSales[[#This Row],[Product Code]],tblProducts[Code],tblProducts[Selling Price (excl. VAT)],0)</f>
        <v>85000</v>
      </c>
      <c r="K4519" s="5">
        <f>tblSales[[#This Row],[Qty]]*tblSales[[#This Row],[Unit Price]]</f>
        <v>680000</v>
      </c>
      <c r="L4519" s="5">
        <f>ROUND(tblSales[[#This Row],[DPP (excl. VAT)]]*VATEff,0)</f>
        <v>74800</v>
      </c>
      <c r="M4519" s="5">
        <f>tblSales[[#This Row],[DPP (excl. VAT)]]+tblSales[[#This Row],[Output VAT]]</f>
        <v>754800</v>
      </c>
      <c r="N4519" s="5">
        <f>tblSales[[#This Row],[Qty]]*_xlfn.XLOOKUP(tblSales[[#This Row],[Product Code]],tblProducts[Code],tblProducts[Unit Cost],0)</f>
        <v>400000</v>
      </c>
      <c r="O4519" s="4" t="s">
        <v>4865</v>
      </c>
      <c r="P4519" s="4" t="s">
        <v>4860</v>
      </c>
      <c r="Q4519" s="1" t="str">
        <f>_xlfn.XLOOKUP(tblSales[[#This Row],[Channel Code]],tblChannels[Channel Code],tblChannels[Channel Name],"")</f>
        <v>In-store</v>
      </c>
      <c r="R4519" s="1">
        <f>MONTH(tblSales[[#This Row],[Date]])</f>
        <v>10</v>
      </c>
    </row>
    <row r="4520" spans="2:18" x14ac:dyDescent="0.35">
      <c r="B4520" s="113">
        <v>46296</v>
      </c>
      <c r="C4520" s="4" t="s">
        <v>3068</v>
      </c>
      <c r="D4520" s="4" t="s">
        <v>4568</v>
      </c>
      <c r="E4520" s="1" t="str">
        <f>_xlfn.XLOOKUP(tblSales[[#This Row],[Customer ID]],tblCustomers[Customer ID],tblCustomers[Customer Name],"⚠ Unknown")</f>
        <v>Walk-in Customer</v>
      </c>
      <c r="F4520" s="4" t="s">
        <v>14</v>
      </c>
      <c r="G4520" s="1" t="str">
        <f>_xlfn.XLOOKUP(tblSales[[#This Row],[Product Code]],tblProducts[Code],tblProducts[Product / Service Name],"⚠ Unknown")</f>
        <v>Smartwatch</v>
      </c>
      <c r="H4520" s="1" t="str">
        <f>_xlfn.XLOOKUP(tblSales[[#This Row],[Product Code]],tblProducts[Code],tblProducts[Category],"")</f>
        <v>Bags &amp; Gadgets</v>
      </c>
      <c r="I4520" s="4">
        <v>2</v>
      </c>
      <c r="J4520" s="5">
        <f>_xlfn.XLOOKUP(tblSales[[#This Row],[Product Code]],tblProducts[Code],tblProducts[Selling Price (excl. VAT)],0)</f>
        <v>850000</v>
      </c>
      <c r="K4520" s="5">
        <f>tblSales[[#This Row],[Qty]]*tblSales[[#This Row],[Unit Price]]</f>
        <v>1700000</v>
      </c>
      <c r="L4520" s="5">
        <f>ROUND(tblSales[[#This Row],[DPP (excl. VAT)]]*VATEff,0)</f>
        <v>187000</v>
      </c>
      <c r="M4520" s="5">
        <f>tblSales[[#This Row],[DPP (excl. VAT)]]+tblSales[[#This Row],[Output VAT]]</f>
        <v>1887000</v>
      </c>
      <c r="N4520" s="5">
        <f>tblSales[[#This Row],[Qty]]*_xlfn.XLOOKUP(tblSales[[#This Row],[Product Code]],tblProducts[Code],tblProducts[Unit Cost],0)</f>
        <v>1120000</v>
      </c>
      <c r="O4520" s="4" t="s">
        <v>4865</v>
      </c>
      <c r="P4520" s="4" t="s">
        <v>4860</v>
      </c>
      <c r="Q4520" s="1" t="str">
        <f>_xlfn.XLOOKUP(tblSales[[#This Row],[Channel Code]],tblChannels[Channel Code],tblChannels[Channel Name],"")</f>
        <v>In-store</v>
      </c>
      <c r="R4520" s="1">
        <f>MONTH(tblSales[[#This Row],[Date]])</f>
        <v>10</v>
      </c>
    </row>
    <row r="4521" spans="2:18" x14ac:dyDescent="0.35">
      <c r="B4521" s="113">
        <v>46296</v>
      </c>
      <c r="C4521" s="4" t="s">
        <v>3068</v>
      </c>
      <c r="D4521" s="4" t="s">
        <v>4568</v>
      </c>
      <c r="E4521" s="1" t="str">
        <f>_xlfn.XLOOKUP(tblSales[[#This Row],[Customer ID]],tblCustomers[Customer ID],tblCustomers[Customer Name],"⚠ Unknown")</f>
        <v>Walk-in Customer</v>
      </c>
      <c r="F4521" s="4" t="s">
        <v>9</v>
      </c>
      <c r="G4521" s="1" t="str">
        <f>_xlfn.XLOOKUP(tblSales[[#This Row],[Product Code]],tblProducts[Code],tblProducts[Product / Service Name],"⚠ Unknown")</f>
        <v>Casual Shirt</v>
      </c>
      <c r="H4521" s="1" t="str">
        <f>_xlfn.XLOOKUP(tblSales[[#This Row],[Product Code]],tblProducts[Code],tblProducts[Category],"")</f>
        <v>Apparel &amp; Footwear</v>
      </c>
      <c r="I4521" s="4">
        <v>5</v>
      </c>
      <c r="J4521" s="5">
        <f>_xlfn.XLOOKUP(tblSales[[#This Row],[Product Code]],tblProducts[Code],tblProducts[Selling Price (excl. VAT)],0)</f>
        <v>120000</v>
      </c>
      <c r="K4521" s="5">
        <f>tblSales[[#This Row],[Qty]]*tblSales[[#This Row],[Unit Price]]</f>
        <v>600000</v>
      </c>
      <c r="L4521" s="5">
        <f>ROUND(tblSales[[#This Row],[DPP (excl. VAT)]]*VATEff,0)</f>
        <v>66000</v>
      </c>
      <c r="M4521" s="5">
        <f>tblSales[[#This Row],[DPP (excl. VAT)]]+tblSales[[#This Row],[Output VAT]]</f>
        <v>666000</v>
      </c>
      <c r="N4521" s="5">
        <f>tblSales[[#This Row],[Qty]]*_xlfn.XLOOKUP(tblSales[[#This Row],[Product Code]],tblProducts[Code],tblProducts[Unit Cost],0)</f>
        <v>360000</v>
      </c>
      <c r="O4521" s="4" t="s">
        <v>4865</v>
      </c>
      <c r="P4521" s="4" t="s">
        <v>4860</v>
      </c>
      <c r="Q4521" s="1" t="str">
        <f>_xlfn.XLOOKUP(tblSales[[#This Row],[Channel Code]],tblChannels[Channel Code],tblChannels[Channel Name],"")</f>
        <v>In-store</v>
      </c>
      <c r="R4521" s="1">
        <f>MONTH(tblSales[[#This Row],[Date]])</f>
        <v>10</v>
      </c>
    </row>
    <row r="4522" spans="2:18" x14ac:dyDescent="0.35">
      <c r="B4522" s="113">
        <v>46296</v>
      </c>
      <c r="C4522" s="4" t="s">
        <v>3069</v>
      </c>
      <c r="D4522" s="4" t="s">
        <v>4568</v>
      </c>
      <c r="E4522" s="1" t="str">
        <f>_xlfn.XLOOKUP(tblSales[[#This Row],[Customer ID]],tblCustomers[Customer ID],tblCustomers[Customer Name],"⚠ Unknown")</f>
        <v>Walk-in Customer</v>
      </c>
      <c r="F4522" s="4" t="s">
        <v>10</v>
      </c>
      <c r="G4522" s="1" t="str">
        <f>_xlfn.XLOOKUP(tblSales[[#This Row],[Product Code]],tblProducts[Code],tblProducts[Product / Service Name],"⚠ Unknown")</f>
        <v>Chino Pants</v>
      </c>
      <c r="H4522" s="1" t="str">
        <f>_xlfn.XLOOKUP(tblSales[[#This Row],[Product Code]],tblProducts[Code],tblProducts[Category],"")</f>
        <v>Apparel &amp; Footwear</v>
      </c>
      <c r="I4522" s="4">
        <v>11</v>
      </c>
      <c r="J4522" s="5">
        <f>_xlfn.XLOOKUP(tblSales[[#This Row],[Product Code]],tblProducts[Code],tblProducts[Selling Price (excl. VAT)],0)</f>
        <v>150000</v>
      </c>
      <c r="K4522" s="5">
        <f>tblSales[[#This Row],[Qty]]*tblSales[[#This Row],[Unit Price]]</f>
        <v>1650000</v>
      </c>
      <c r="L4522" s="5">
        <f>ROUND(tblSales[[#This Row],[DPP (excl. VAT)]]*VATEff,0)</f>
        <v>181500</v>
      </c>
      <c r="M4522" s="5">
        <f>tblSales[[#This Row],[DPP (excl. VAT)]]+tblSales[[#This Row],[Output VAT]]</f>
        <v>1831500</v>
      </c>
      <c r="N4522" s="5">
        <f>tblSales[[#This Row],[Qty]]*_xlfn.XLOOKUP(tblSales[[#This Row],[Product Code]],tblProducts[Code],tblProducts[Unit Cost],0)</f>
        <v>968000</v>
      </c>
      <c r="O4522" s="4" t="s">
        <v>4866</v>
      </c>
      <c r="P4522" s="4" t="s">
        <v>4862</v>
      </c>
      <c r="Q4522" s="1" t="str">
        <f>_xlfn.XLOOKUP(tblSales[[#This Row],[Channel Code]],tblChannels[Channel Code],tblChannels[Channel Name],"")</f>
        <v>Website &amp; Social Media</v>
      </c>
      <c r="R4522" s="1">
        <f>MONTH(tblSales[[#This Row],[Date]])</f>
        <v>10</v>
      </c>
    </row>
    <row r="4523" spans="2:18" x14ac:dyDescent="0.35">
      <c r="B4523" s="113">
        <v>46296</v>
      </c>
      <c r="C4523" s="4" t="s">
        <v>3070</v>
      </c>
      <c r="D4523" s="4" t="s">
        <v>4634</v>
      </c>
      <c r="E4523" s="1" t="str">
        <f>_xlfn.XLOOKUP(tblSales[[#This Row],[Customer ID]],tblCustomers[Customer ID],tblCustomers[Customer Name],"⚠ Unknown")</f>
        <v>PT Delta Inti Selaras</v>
      </c>
      <c r="F4523" s="4" t="s">
        <v>7</v>
      </c>
      <c r="G4523" s="1" t="str">
        <f>_xlfn.XLOOKUP(tblSales[[#This Row],[Product Code]],tblProducts[Code],tblProducts[Product / Service Name],"⚠ Unknown")</f>
        <v>Premium Basic T-shirt</v>
      </c>
      <c r="H4523" s="1" t="str">
        <f>_xlfn.XLOOKUP(tblSales[[#This Row],[Product Code]],tblProducts[Code],tblProducts[Category],"")</f>
        <v>Accessories &amp; Basics</v>
      </c>
      <c r="I4523" s="4">
        <v>96</v>
      </c>
      <c r="J4523" s="5">
        <f>_xlfn.XLOOKUP(tblSales[[#This Row],[Product Code]],tblProducts[Code],tblProducts[Selling Price (excl. VAT)],0)</f>
        <v>65000</v>
      </c>
      <c r="K4523" s="5">
        <f>tblSales[[#This Row],[Qty]]*tblSales[[#This Row],[Unit Price]]</f>
        <v>6240000</v>
      </c>
      <c r="L4523" s="5">
        <f>ROUND(tblSales[[#This Row],[DPP (excl. VAT)]]*VATEff,0)</f>
        <v>686400</v>
      </c>
      <c r="M4523" s="5">
        <f>tblSales[[#This Row],[DPP (excl. VAT)]]+tblSales[[#This Row],[Output VAT]]</f>
        <v>6926400</v>
      </c>
      <c r="N4523" s="5">
        <f>tblSales[[#This Row],[Qty]]*_xlfn.XLOOKUP(tblSales[[#This Row],[Product Code]],tblProducts[Code],tblProducts[Unit Cost],0)</f>
        <v>3552000</v>
      </c>
      <c r="O4523" s="4" t="s">
        <v>4867</v>
      </c>
      <c r="P4523" s="4" t="s">
        <v>4860</v>
      </c>
      <c r="Q4523" s="1" t="str">
        <f>_xlfn.XLOOKUP(tblSales[[#This Row],[Channel Code]],tblChannels[Channel Code],tblChannels[Channel Name],"")</f>
        <v>In-store</v>
      </c>
      <c r="R4523" s="1">
        <f>MONTH(tblSales[[#This Row],[Date]])</f>
        <v>10</v>
      </c>
    </row>
    <row r="4524" spans="2:18" x14ac:dyDescent="0.35">
      <c r="B4524" s="113">
        <v>46296</v>
      </c>
      <c r="C4524" s="4" t="s">
        <v>3071</v>
      </c>
      <c r="D4524" s="4" t="s">
        <v>4620</v>
      </c>
      <c r="E4524" s="1" t="str">
        <f>_xlfn.XLOOKUP(tblSales[[#This Row],[Customer ID]],tblCustomers[Customer ID],tblCustomers[Customer Name],"⚠ Unknown")</f>
        <v>CV Sumber Rejeki Utama</v>
      </c>
      <c r="F4524" s="4" t="s">
        <v>8</v>
      </c>
      <c r="G4524" s="1" t="str">
        <f>_xlfn.XLOOKUP(tblSales[[#This Row],[Product Code]],tblProducts[Code],tblProducts[Product / Service Name],"⚠ Unknown")</f>
        <v>Casual Shorts</v>
      </c>
      <c r="H4524" s="1" t="str">
        <f>_xlfn.XLOOKUP(tblSales[[#This Row],[Product Code]],tblProducts[Code],tblProducts[Category],"")</f>
        <v>Accessories &amp; Basics</v>
      </c>
      <c r="I4524" s="4">
        <v>40</v>
      </c>
      <c r="J4524" s="5">
        <f>_xlfn.XLOOKUP(tblSales[[#This Row],[Product Code]],tblProducts[Code],tblProducts[Selling Price (excl. VAT)],0)</f>
        <v>85000</v>
      </c>
      <c r="K4524" s="5">
        <f>tblSales[[#This Row],[Qty]]*tblSales[[#This Row],[Unit Price]]</f>
        <v>3400000</v>
      </c>
      <c r="L4524" s="5">
        <f>ROUND(tblSales[[#This Row],[DPP (excl. VAT)]]*VATEff,0)</f>
        <v>374000</v>
      </c>
      <c r="M4524" s="5">
        <f>tblSales[[#This Row],[DPP (excl. VAT)]]+tblSales[[#This Row],[Output VAT]]</f>
        <v>3774000</v>
      </c>
      <c r="N4524" s="5">
        <f>tblSales[[#This Row],[Qty]]*_xlfn.XLOOKUP(tblSales[[#This Row],[Product Code]],tblProducts[Code],tblProducts[Unit Cost],0)</f>
        <v>2000000</v>
      </c>
      <c r="O4524" s="4" t="s">
        <v>4867</v>
      </c>
      <c r="P4524" s="4" t="s">
        <v>4860</v>
      </c>
      <c r="Q4524" s="1" t="str">
        <f>_xlfn.XLOOKUP(tblSales[[#This Row],[Channel Code]],tblChannels[Channel Code],tblChannels[Channel Name],"")</f>
        <v>In-store</v>
      </c>
      <c r="R4524" s="1">
        <f>MONTH(tblSales[[#This Row],[Date]])</f>
        <v>10</v>
      </c>
    </row>
    <row r="4525" spans="2:18" x14ac:dyDescent="0.35">
      <c r="B4525" s="113">
        <v>46296</v>
      </c>
      <c r="C4525" s="4" t="s">
        <v>3072</v>
      </c>
      <c r="D4525" s="4" t="s">
        <v>4568</v>
      </c>
      <c r="E4525" s="1" t="str">
        <f>_xlfn.XLOOKUP(tblSales[[#This Row],[Customer ID]],tblCustomers[Customer ID],tblCustomers[Customer Name],"⚠ Unknown")</f>
        <v>Walk-in Customer</v>
      </c>
      <c r="F4525" s="4" t="s">
        <v>11</v>
      </c>
      <c r="G4525" s="1" t="str">
        <f>_xlfn.XLOOKUP(tblSales[[#This Row],[Product Code]],tblProducts[Code],tblProducts[Product / Service Name],"⚠ Unknown")</f>
        <v>Sneakers</v>
      </c>
      <c r="H4525" s="1" t="str">
        <f>_xlfn.XLOOKUP(tblSales[[#This Row],[Product Code]],tblProducts[Code],tblProducts[Category],"")</f>
        <v>Apparel &amp; Footwear</v>
      </c>
      <c r="I4525" s="4">
        <v>1</v>
      </c>
      <c r="J4525" s="5">
        <f>_xlfn.XLOOKUP(tblSales[[#This Row],[Product Code]],tblProducts[Code],tblProducts[Selling Price (excl. VAT)],0)</f>
        <v>250000</v>
      </c>
      <c r="K4525" s="5">
        <f>tblSales[[#This Row],[Qty]]*tblSales[[#This Row],[Unit Price]]</f>
        <v>250000</v>
      </c>
      <c r="L4525" s="5">
        <f>ROUND(tblSales[[#This Row],[DPP (excl. VAT)]]*VATEff,0)</f>
        <v>27500</v>
      </c>
      <c r="M4525" s="5">
        <f>tblSales[[#This Row],[DPP (excl. VAT)]]+tblSales[[#This Row],[Output VAT]]</f>
        <v>277500</v>
      </c>
      <c r="N4525" s="5">
        <f>tblSales[[#This Row],[Qty]]*_xlfn.XLOOKUP(tblSales[[#This Row],[Product Code]],tblProducts[Code],tblProducts[Unit Cost],0)</f>
        <v>155000</v>
      </c>
      <c r="O4525" s="4" t="s">
        <v>4865</v>
      </c>
      <c r="P4525" s="4" t="s">
        <v>4860</v>
      </c>
      <c r="Q4525" s="1" t="str">
        <f>_xlfn.XLOOKUP(tblSales[[#This Row],[Channel Code]],tblChannels[Channel Code],tblChannels[Channel Name],"")</f>
        <v>In-store</v>
      </c>
      <c r="R4525" s="1">
        <f>MONTH(tblSales[[#This Row],[Date]])</f>
        <v>10</v>
      </c>
    </row>
    <row r="4526" spans="2:18" x14ac:dyDescent="0.35">
      <c r="B4526" s="113">
        <v>46296</v>
      </c>
      <c r="C4526" s="4" t="s">
        <v>3073</v>
      </c>
      <c r="D4526" s="4" t="s">
        <v>4568</v>
      </c>
      <c r="E4526" s="1" t="str">
        <f>_xlfn.XLOOKUP(tblSales[[#This Row],[Customer ID]],tblCustomers[Customer ID],tblCustomers[Customer Name],"⚠ Unknown")</f>
        <v>Walk-in Customer</v>
      </c>
      <c r="F4526" s="4" t="s">
        <v>14</v>
      </c>
      <c r="G4526" s="1" t="str">
        <f>_xlfn.XLOOKUP(tblSales[[#This Row],[Product Code]],tblProducts[Code],tblProducts[Product / Service Name],"⚠ Unknown")</f>
        <v>Smartwatch</v>
      </c>
      <c r="H4526" s="1" t="str">
        <f>_xlfn.XLOOKUP(tblSales[[#This Row],[Product Code]],tblProducts[Code],tblProducts[Category],"")</f>
        <v>Bags &amp; Gadgets</v>
      </c>
      <c r="I4526" s="4">
        <v>3</v>
      </c>
      <c r="J4526" s="5">
        <f>_xlfn.XLOOKUP(tblSales[[#This Row],[Product Code]],tblProducts[Code],tblProducts[Selling Price (excl. VAT)],0)</f>
        <v>850000</v>
      </c>
      <c r="K4526" s="5">
        <f>tblSales[[#This Row],[Qty]]*tblSales[[#This Row],[Unit Price]]</f>
        <v>2550000</v>
      </c>
      <c r="L4526" s="5">
        <f>ROUND(tblSales[[#This Row],[DPP (excl. VAT)]]*VATEff,0)</f>
        <v>280500</v>
      </c>
      <c r="M4526" s="5">
        <f>tblSales[[#This Row],[DPP (excl. VAT)]]+tblSales[[#This Row],[Output VAT]]</f>
        <v>2830500</v>
      </c>
      <c r="N4526" s="5">
        <f>tblSales[[#This Row],[Qty]]*_xlfn.XLOOKUP(tblSales[[#This Row],[Product Code]],tblProducts[Code],tblProducts[Unit Cost],0)</f>
        <v>1680000</v>
      </c>
      <c r="O4526" s="4" t="s">
        <v>4866</v>
      </c>
      <c r="P4526" s="4" t="s">
        <v>4861</v>
      </c>
      <c r="Q4526" s="1" t="str">
        <f>_xlfn.XLOOKUP(tblSales[[#This Row],[Channel Code]],tblChannels[Channel Code],tblChannels[Channel Name],"")</f>
        <v>Marketplace</v>
      </c>
      <c r="R4526" s="1">
        <f>MONTH(tblSales[[#This Row],[Date]])</f>
        <v>10</v>
      </c>
    </row>
    <row r="4527" spans="2:18" x14ac:dyDescent="0.35">
      <c r="B4527" s="113">
        <v>46296</v>
      </c>
      <c r="C4527" s="4" t="s">
        <v>3073</v>
      </c>
      <c r="D4527" s="4" t="s">
        <v>4568</v>
      </c>
      <c r="E4527" s="1" t="str">
        <f>_xlfn.XLOOKUP(tblSales[[#This Row],[Customer ID]],tblCustomers[Customer ID],tblCustomers[Customer Name],"⚠ Unknown")</f>
        <v>Walk-in Customer</v>
      </c>
      <c r="F4527" s="4" t="s">
        <v>7</v>
      </c>
      <c r="G4527" s="1" t="str">
        <f>_xlfn.XLOOKUP(tblSales[[#This Row],[Product Code]],tblProducts[Code],tblProducts[Product / Service Name],"⚠ Unknown")</f>
        <v>Premium Basic T-shirt</v>
      </c>
      <c r="H4527" s="1" t="str">
        <f>_xlfn.XLOOKUP(tblSales[[#This Row],[Product Code]],tblProducts[Code],tblProducts[Category],"")</f>
        <v>Accessories &amp; Basics</v>
      </c>
      <c r="I4527" s="4">
        <v>3</v>
      </c>
      <c r="J4527" s="5">
        <f>_xlfn.XLOOKUP(tblSales[[#This Row],[Product Code]],tblProducts[Code],tblProducts[Selling Price (excl. VAT)],0)</f>
        <v>65000</v>
      </c>
      <c r="K4527" s="5">
        <f>tblSales[[#This Row],[Qty]]*tblSales[[#This Row],[Unit Price]]</f>
        <v>195000</v>
      </c>
      <c r="L4527" s="5">
        <f>ROUND(tblSales[[#This Row],[DPP (excl. VAT)]]*VATEff,0)</f>
        <v>21450</v>
      </c>
      <c r="M4527" s="5">
        <f>tblSales[[#This Row],[DPP (excl. VAT)]]+tblSales[[#This Row],[Output VAT]]</f>
        <v>216450</v>
      </c>
      <c r="N4527" s="5">
        <f>tblSales[[#This Row],[Qty]]*_xlfn.XLOOKUP(tblSales[[#This Row],[Product Code]],tblProducts[Code],tblProducts[Unit Cost],0)</f>
        <v>111000</v>
      </c>
      <c r="O4527" s="4" t="s">
        <v>4866</v>
      </c>
      <c r="P4527" s="4" t="s">
        <v>4861</v>
      </c>
      <c r="Q4527" s="1" t="str">
        <f>_xlfn.XLOOKUP(tblSales[[#This Row],[Channel Code]],tblChannels[Channel Code],tblChannels[Channel Name],"")</f>
        <v>Marketplace</v>
      </c>
      <c r="R4527" s="1">
        <f>MONTH(tblSales[[#This Row],[Date]])</f>
        <v>10</v>
      </c>
    </row>
    <row r="4528" spans="2:18" x14ac:dyDescent="0.35">
      <c r="B4528" s="113">
        <v>46296</v>
      </c>
      <c r="C4528" s="4" t="s">
        <v>3073</v>
      </c>
      <c r="D4528" s="4" t="s">
        <v>4568</v>
      </c>
      <c r="E4528" s="1" t="str">
        <f>_xlfn.XLOOKUP(tblSales[[#This Row],[Customer ID]],tblCustomers[Customer ID],tblCustomers[Customer Name],"⚠ Unknown")</f>
        <v>Walk-in Customer</v>
      </c>
      <c r="F4528" s="4" t="s">
        <v>13</v>
      </c>
      <c r="G4528" s="1" t="str">
        <f>_xlfn.XLOOKUP(tblSales[[#This Row],[Product Code]],tblProducts[Code],tblProducts[Product / Service Name],"⚠ Unknown")</f>
        <v>Backpack</v>
      </c>
      <c r="H4528" s="1" t="str">
        <f>_xlfn.XLOOKUP(tblSales[[#This Row],[Product Code]],tblProducts[Code],tblProducts[Category],"")</f>
        <v>Bags &amp; Gadgets</v>
      </c>
      <c r="I4528" s="4">
        <v>2</v>
      </c>
      <c r="J4528" s="5">
        <f>_xlfn.XLOOKUP(tblSales[[#This Row],[Product Code]],tblProducts[Code],tblProducts[Selling Price (excl. VAT)],0)</f>
        <v>500000</v>
      </c>
      <c r="K4528" s="5">
        <f>tblSales[[#This Row],[Qty]]*tblSales[[#This Row],[Unit Price]]</f>
        <v>1000000</v>
      </c>
      <c r="L4528" s="5">
        <f>ROUND(tblSales[[#This Row],[DPP (excl. VAT)]]*VATEff,0)</f>
        <v>110000</v>
      </c>
      <c r="M4528" s="5">
        <f>tblSales[[#This Row],[DPP (excl. VAT)]]+tblSales[[#This Row],[Output VAT]]</f>
        <v>1110000</v>
      </c>
      <c r="N4528" s="5">
        <f>tblSales[[#This Row],[Qty]]*_xlfn.XLOOKUP(tblSales[[#This Row],[Product Code]],tblProducts[Code],tblProducts[Unit Cost],0)</f>
        <v>580000</v>
      </c>
      <c r="O4528" s="4" t="s">
        <v>4866</v>
      </c>
      <c r="P4528" s="4" t="s">
        <v>4861</v>
      </c>
      <c r="Q4528" s="1" t="str">
        <f>_xlfn.XLOOKUP(tblSales[[#This Row],[Channel Code]],tblChannels[Channel Code],tblChannels[Channel Name],"")</f>
        <v>Marketplace</v>
      </c>
      <c r="R4528" s="1">
        <f>MONTH(tblSales[[#This Row],[Date]])</f>
        <v>10</v>
      </c>
    </row>
    <row r="4529" spans="2:18" x14ac:dyDescent="0.35">
      <c r="B4529" s="113">
        <v>46296</v>
      </c>
      <c r="C4529" s="4" t="s">
        <v>3074</v>
      </c>
      <c r="D4529" s="4" t="s">
        <v>4568</v>
      </c>
      <c r="E4529" s="1" t="str">
        <f>_xlfn.XLOOKUP(tblSales[[#This Row],[Customer ID]],tblCustomers[Customer ID],tblCustomers[Customer Name],"⚠ Unknown")</f>
        <v>Walk-in Customer</v>
      </c>
      <c r="F4529" s="4" t="s">
        <v>7</v>
      </c>
      <c r="G4529" s="1" t="str">
        <f>_xlfn.XLOOKUP(tblSales[[#This Row],[Product Code]],tblProducts[Code],tblProducts[Product / Service Name],"⚠ Unknown")</f>
        <v>Premium Basic T-shirt</v>
      </c>
      <c r="H4529" s="1" t="str">
        <f>_xlfn.XLOOKUP(tblSales[[#This Row],[Product Code]],tblProducts[Code],tblProducts[Category],"")</f>
        <v>Accessories &amp; Basics</v>
      </c>
      <c r="I4529" s="4">
        <v>9</v>
      </c>
      <c r="J4529" s="5">
        <f>_xlfn.XLOOKUP(tblSales[[#This Row],[Product Code]],tblProducts[Code],tblProducts[Selling Price (excl. VAT)],0)</f>
        <v>65000</v>
      </c>
      <c r="K4529" s="5">
        <f>tblSales[[#This Row],[Qty]]*tblSales[[#This Row],[Unit Price]]</f>
        <v>585000</v>
      </c>
      <c r="L4529" s="5">
        <f>ROUND(tblSales[[#This Row],[DPP (excl. VAT)]]*VATEff,0)</f>
        <v>64350</v>
      </c>
      <c r="M4529" s="5">
        <f>tblSales[[#This Row],[DPP (excl. VAT)]]+tblSales[[#This Row],[Output VAT]]</f>
        <v>649350</v>
      </c>
      <c r="N4529" s="5">
        <f>tblSales[[#This Row],[Qty]]*_xlfn.XLOOKUP(tblSales[[#This Row],[Product Code]],tblProducts[Code],tblProducts[Unit Cost],0)</f>
        <v>333000</v>
      </c>
      <c r="O4529" s="4" t="s">
        <v>4866</v>
      </c>
      <c r="P4529" s="4" t="s">
        <v>4860</v>
      </c>
      <c r="Q4529" s="1" t="str">
        <f>_xlfn.XLOOKUP(tblSales[[#This Row],[Channel Code]],tblChannels[Channel Code],tblChannels[Channel Name],"")</f>
        <v>In-store</v>
      </c>
      <c r="R4529" s="1">
        <f>MONTH(tblSales[[#This Row],[Date]])</f>
        <v>10</v>
      </c>
    </row>
    <row r="4530" spans="2:18" x14ac:dyDescent="0.35">
      <c r="B4530" s="113">
        <v>46296</v>
      </c>
      <c r="C4530" s="4" t="s">
        <v>3075</v>
      </c>
      <c r="D4530" s="4" t="s">
        <v>4568</v>
      </c>
      <c r="E4530" s="1" t="str">
        <f>_xlfn.XLOOKUP(tblSales[[#This Row],[Customer ID]],tblCustomers[Customer ID],tblCustomers[Customer Name],"⚠ Unknown")</f>
        <v>Walk-in Customer</v>
      </c>
      <c r="F4530" s="4" t="s">
        <v>7</v>
      </c>
      <c r="G4530" s="1" t="str">
        <f>_xlfn.XLOOKUP(tblSales[[#This Row],[Product Code]],tblProducts[Code],tblProducts[Product / Service Name],"⚠ Unknown")</f>
        <v>Premium Basic T-shirt</v>
      </c>
      <c r="H4530" s="1" t="str">
        <f>_xlfn.XLOOKUP(tblSales[[#This Row],[Product Code]],tblProducts[Code],tblProducts[Category],"")</f>
        <v>Accessories &amp; Basics</v>
      </c>
      <c r="I4530" s="4">
        <v>6</v>
      </c>
      <c r="J4530" s="5">
        <f>_xlfn.XLOOKUP(tblSales[[#This Row],[Product Code]],tblProducts[Code],tblProducts[Selling Price (excl. VAT)],0)</f>
        <v>65000</v>
      </c>
      <c r="K4530" s="5">
        <f>tblSales[[#This Row],[Qty]]*tblSales[[#This Row],[Unit Price]]</f>
        <v>390000</v>
      </c>
      <c r="L4530" s="5">
        <f>ROUND(tblSales[[#This Row],[DPP (excl. VAT)]]*VATEff,0)</f>
        <v>42900</v>
      </c>
      <c r="M4530" s="5">
        <f>tblSales[[#This Row],[DPP (excl. VAT)]]+tblSales[[#This Row],[Output VAT]]</f>
        <v>432900</v>
      </c>
      <c r="N4530" s="5">
        <f>tblSales[[#This Row],[Qty]]*_xlfn.XLOOKUP(tblSales[[#This Row],[Product Code]],tblProducts[Code],tblProducts[Unit Cost],0)</f>
        <v>222000</v>
      </c>
      <c r="O4530" s="4" t="s">
        <v>4865</v>
      </c>
      <c r="P4530" s="4" t="s">
        <v>4860</v>
      </c>
      <c r="Q4530" s="1" t="str">
        <f>_xlfn.XLOOKUP(tblSales[[#This Row],[Channel Code]],tblChannels[Channel Code],tblChannels[Channel Name],"")</f>
        <v>In-store</v>
      </c>
      <c r="R4530" s="1">
        <f>MONTH(tblSales[[#This Row],[Date]])</f>
        <v>10</v>
      </c>
    </row>
    <row r="4531" spans="2:18" x14ac:dyDescent="0.35">
      <c r="B4531" s="113">
        <v>46296</v>
      </c>
      <c r="C4531" s="4" t="s">
        <v>3076</v>
      </c>
      <c r="D4531" s="4" t="s">
        <v>4568</v>
      </c>
      <c r="E4531" s="1" t="str">
        <f>_xlfn.XLOOKUP(tblSales[[#This Row],[Customer ID]],tblCustomers[Customer ID],tblCustomers[Customer Name],"⚠ Unknown")</f>
        <v>Walk-in Customer</v>
      </c>
      <c r="F4531" s="4" t="s">
        <v>9</v>
      </c>
      <c r="G4531" s="1" t="str">
        <f>_xlfn.XLOOKUP(tblSales[[#This Row],[Product Code]],tblProducts[Code],tblProducts[Product / Service Name],"⚠ Unknown")</f>
        <v>Casual Shirt</v>
      </c>
      <c r="H4531" s="1" t="str">
        <f>_xlfn.XLOOKUP(tblSales[[#This Row],[Product Code]],tblProducts[Code],tblProducts[Category],"")</f>
        <v>Apparel &amp; Footwear</v>
      </c>
      <c r="I4531" s="4">
        <v>10</v>
      </c>
      <c r="J4531" s="5">
        <f>_xlfn.XLOOKUP(tblSales[[#This Row],[Product Code]],tblProducts[Code],tblProducts[Selling Price (excl. VAT)],0)</f>
        <v>120000</v>
      </c>
      <c r="K4531" s="5">
        <f>tblSales[[#This Row],[Qty]]*tblSales[[#This Row],[Unit Price]]</f>
        <v>1200000</v>
      </c>
      <c r="L4531" s="5">
        <f>ROUND(tblSales[[#This Row],[DPP (excl. VAT)]]*VATEff,0)</f>
        <v>132000</v>
      </c>
      <c r="M4531" s="5">
        <f>tblSales[[#This Row],[DPP (excl. VAT)]]+tblSales[[#This Row],[Output VAT]]</f>
        <v>1332000</v>
      </c>
      <c r="N4531" s="5">
        <f>tblSales[[#This Row],[Qty]]*_xlfn.XLOOKUP(tblSales[[#This Row],[Product Code]],tblProducts[Code],tblProducts[Unit Cost],0)</f>
        <v>720000</v>
      </c>
      <c r="O4531" s="4" t="s">
        <v>4866</v>
      </c>
      <c r="P4531" s="4" t="s">
        <v>4860</v>
      </c>
      <c r="Q4531" s="1" t="str">
        <f>_xlfn.XLOOKUP(tblSales[[#This Row],[Channel Code]],tblChannels[Channel Code],tblChannels[Channel Name],"")</f>
        <v>In-store</v>
      </c>
      <c r="R4531" s="1">
        <f>MONTH(tblSales[[#This Row],[Date]])</f>
        <v>10</v>
      </c>
    </row>
    <row r="4532" spans="2:18" x14ac:dyDescent="0.35">
      <c r="B4532" s="113">
        <v>46296</v>
      </c>
      <c r="C4532" s="4" t="s">
        <v>3077</v>
      </c>
      <c r="D4532" s="4" t="s">
        <v>4568</v>
      </c>
      <c r="E4532" s="1" t="str">
        <f>_xlfn.XLOOKUP(tblSales[[#This Row],[Customer ID]],tblCustomers[Customer ID],tblCustomers[Customer Name],"⚠ Unknown")</f>
        <v>Walk-in Customer</v>
      </c>
      <c r="F4532" s="4" t="s">
        <v>6</v>
      </c>
      <c r="G4532" s="1" t="str">
        <f>_xlfn.XLOOKUP(tblSales[[#This Row],[Product Code]],tblProducts[Code],tblProducts[Product / Service Name],"⚠ Unknown")</f>
        <v>Socks &amp; Accessories</v>
      </c>
      <c r="H4532" s="1" t="str">
        <f>_xlfn.XLOOKUP(tblSales[[#This Row],[Product Code]],tblProducts[Code],tblProducts[Category],"")</f>
        <v>Accessories &amp; Basics</v>
      </c>
      <c r="I4532" s="4">
        <v>9</v>
      </c>
      <c r="J4532" s="5">
        <f>_xlfn.XLOOKUP(tblSales[[#This Row],[Product Code]],tblProducts[Code],tblProducts[Selling Price (excl. VAT)],0)</f>
        <v>45000</v>
      </c>
      <c r="K4532" s="5">
        <f>tblSales[[#This Row],[Qty]]*tblSales[[#This Row],[Unit Price]]</f>
        <v>405000</v>
      </c>
      <c r="L4532" s="5">
        <f>ROUND(tblSales[[#This Row],[DPP (excl. VAT)]]*VATEff,0)</f>
        <v>44550</v>
      </c>
      <c r="M4532" s="5">
        <f>tblSales[[#This Row],[DPP (excl. VAT)]]+tblSales[[#This Row],[Output VAT]]</f>
        <v>449550</v>
      </c>
      <c r="N4532" s="5">
        <f>tblSales[[#This Row],[Qty]]*_xlfn.XLOOKUP(tblSales[[#This Row],[Product Code]],tblProducts[Code],tblProducts[Unit Cost],0)</f>
        <v>216000</v>
      </c>
      <c r="O4532" s="4" t="s">
        <v>4866</v>
      </c>
      <c r="P4532" s="4" t="s">
        <v>4861</v>
      </c>
      <c r="Q4532" s="1" t="str">
        <f>_xlfn.XLOOKUP(tblSales[[#This Row],[Channel Code]],tblChannels[Channel Code],tblChannels[Channel Name],"")</f>
        <v>Marketplace</v>
      </c>
      <c r="R4532" s="1">
        <f>MONTH(tblSales[[#This Row],[Date]])</f>
        <v>10</v>
      </c>
    </row>
    <row r="4533" spans="2:18" x14ac:dyDescent="0.35">
      <c r="B4533" s="113">
        <v>46297</v>
      </c>
      <c r="C4533" s="4" t="s">
        <v>3078</v>
      </c>
      <c r="D4533" s="4" t="s">
        <v>4568</v>
      </c>
      <c r="E4533" s="1" t="str">
        <f>_xlfn.XLOOKUP(tblSales[[#This Row],[Customer ID]],tblCustomers[Customer ID],tblCustomers[Customer Name],"⚠ Unknown")</f>
        <v>Walk-in Customer</v>
      </c>
      <c r="F4533" s="4" t="s">
        <v>13</v>
      </c>
      <c r="G4533" s="1" t="str">
        <f>_xlfn.XLOOKUP(tblSales[[#This Row],[Product Code]],tblProducts[Code],tblProducts[Product / Service Name],"⚠ Unknown")</f>
        <v>Backpack</v>
      </c>
      <c r="H4533" s="1" t="str">
        <f>_xlfn.XLOOKUP(tblSales[[#This Row],[Product Code]],tblProducts[Code],tblProducts[Category],"")</f>
        <v>Bags &amp; Gadgets</v>
      </c>
      <c r="I4533" s="4">
        <v>5</v>
      </c>
      <c r="J4533" s="5">
        <f>_xlfn.XLOOKUP(tblSales[[#This Row],[Product Code]],tblProducts[Code],tblProducts[Selling Price (excl. VAT)],0)</f>
        <v>500000</v>
      </c>
      <c r="K4533" s="5">
        <f>tblSales[[#This Row],[Qty]]*tblSales[[#This Row],[Unit Price]]</f>
        <v>2500000</v>
      </c>
      <c r="L4533" s="5">
        <f>ROUND(tblSales[[#This Row],[DPP (excl. VAT)]]*VATEff,0)</f>
        <v>275000</v>
      </c>
      <c r="M4533" s="5">
        <f>tblSales[[#This Row],[DPP (excl. VAT)]]+tblSales[[#This Row],[Output VAT]]</f>
        <v>2775000</v>
      </c>
      <c r="N4533" s="5">
        <f>tblSales[[#This Row],[Qty]]*_xlfn.XLOOKUP(tblSales[[#This Row],[Product Code]],tblProducts[Code],tblProducts[Unit Cost],0)</f>
        <v>1450000</v>
      </c>
      <c r="O4533" s="4" t="s">
        <v>4865</v>
      </c>
      <c r="P4533" s="4" t="s">
        <v>4860</v>
      </c>
      <c r="Q4533" s="1" t="str">
        <f>_xlfn.XLOOKUP(tblSales[[#This Row],[Channel Code]],tblChannels[Channel Code],tblChannels[Channel Name],"")</f>
        <v>In-store</v>
      </c>
      <c r="R4533" s="1">
        <f>MONTH(tblSales[[#This Row],[Date]])</f>
        <v>10</v>
      </c>
    </row>
    <row r="4534" spans="2:18" x14ac:dyDescent="0.35">
      <c r="B4534" s="113">
        <v>46297</v>
      </c>
      <c r="C4534" s="4" t="s">
        <v>3078</v>
      </c>
      <c r="D4534" s="4" t="s">
        <v>4568</v>
      </c>
      <c r="E4534" s="1" t="str">
        <f>_xlfn.XLOOKUP(tblSales[[#This Row],[Customer ID]],tblCustomers[Customer ID],tblCustomers[Customer Name],"⚠ Unknown")</f>
        <v>Walk-in Customer</v>
      </c>
      <c r="F4534" s="4" t="s">
        <v>6</v>
      </c>
      <c r="G4534" s="1" t="str">
        <f>_xlfn.XLOOKUP(tblSales[[#This Row],[Product Code]],tblProducts[Code],tblProducts[Product / Service Name],"⚠ Unknown")</f>
        <v>Socks &amp; Accessories</v>
      </c>
      <c r="H4534" s="1" t="str">
        <f>_xlfn.XLOOKUP(tblSales[[#This Row],[Product Code]],tblProducts[Code],tblProducts[Category],"")</f>
        <v>Accessories &amp; Basics</v>
      </c>
      <c r="I4534" s="4">
        <v>11</v>
      </c>
      <c r="J4534" s="5">
        <f>_xlfn.XLOOKUP(tblSales[[#This Row],[Product Code]],tblProducts[Code],tblProducts[Selling Price (excl. VAT)],0)</f>
        <v>45000</v>
      </c>
      <c r="K4534" s="5">
        <f>tblSales[[#This Row],[Qty]]*tblSales[[#This Row],[Unit Price]]</f>
        <v>495000</v>
      </c>
      <c r="L4534" s="5">
        <f>ROUND(tblSales[[#This Row],[DPP (excl. VAT)]]*VATEff,0)</f>
        <v>54450</v>
      </c>
      <c r="M4534" s="5">
        <f>tblSales[[#This Row],[DPP (excl. VAT)]]+tblSales[[#This Row],[Output VAT]]</f>
        <v>549450</v>
      </c>
      <c r="N4534" s="5">
        <f>tblSales[[#This Row],[Qty]]*_xlfn.XLOOKUP(tblSales[[#This Row],[Product Code]],tblProducts[Code],tblProducts[Unit Cost],0)</f>
        <v>264000</v>
      </c>
      <c r="O4534" s="4" t="s">
        <v>4865</v>
      </c>
      <c r="P4534" s="4" t="s">
        <v>4860</v>
      </c>
      <c r="Q4534" s="1" t="str">
        <f>_xlfn.XLOOKUP(tblSales[[#This Row],[Channel Code]],tblChannels[Channel Code],tblChannels[Channel Name],"")</f>
        <v>In-store</v>
      </c>
      <c r="R4534" s="1">
        <f>MONTH(tblSales[[#This Row],[Date]])</f>
        <v>10</v>
      </c>
    </row>
    <row r="4535" spans="2:18" x14ac:dyDescent="0.35">
      <c r="B4535" s="113">
        <v>46297</v>
      </c>
      <c r="C4535" s="4" t="s">
        <v>3079</v>
      </c>
      <c r="D4535" s="4" t="s">
        <v>4568</v>
      </c>
      <c r="E4535" s="1" t="str">
        <f>_xlfn.XLOOKUP(tblSales[[#This Row],[Customer ID]],tblCustomers[Customer ID],tblCustomers[Customer Name],"⚠ Unknown")</f>
        <v>Walk-in Customer</v>
      </c>
      <c r="F4535" s="4" t="s">
        <v>9</v>
      </c>
      <c r="G4535" s="1" t="str">
        <f>_xlfn.XLOOKUP(tblSales[[#This Row],[Product Code]],tblProducts[Code],tblProducts[Product / Service Name],"⚠ Unknown")</f>
        <v>Casual Shirt</v>
      </c>
      <c r="H4535" s="1" t="str">
        <f>_xlfn.XLOOKUP(tblSales[[#This Row],[Product Code]],tblProducts[Code],tblProducts[Category],"")</f>
        <v>Apparel &amp; Footwear</v>
      </c>
      <c r="I4535" s="4">
        <v>6</v>
      </c>
      <c r="J4535" s="5">
        <f>_xlfn.XLOOKUP(tblSales[[#This Row],[Product Code]],tblProducts[Code],tblProducts[Selling Price (excl. VAT)],0)</f>
        <v>120000</v>
      </c>
      <c r="K4535" s="5">
        <f>tblSales[[#This Row],[Qty]]*tblSales[[#This Row],[Unit Price]]</f>
        <v>720000</v>
      </c>
      <c r="L4535" s="5">
        <f>ROUND(tblSales[[#This Row],[DPP (excl. VAT)]]*VATEff,0)</f>
        <v>79200</v>
      </c>
      <c r="M4535" s="5">
        <f>tblSales[[#This Row],[DPP (excl. VAT)]]+tblSales[[#This Row],[Output VAT]]</f>
        <v>799200</v>
      </c>
      <c r="N4535" s="5">
        <f>tblSales[[#This Row],[Qty]]*_xlfn.XLOOKUP(tblSales[[#This Row],[Product Code]],tblProducts[Code],tblProducts[Unit Cost],0)</f>
        <v>432000</v>
      </c>
      <c r="O4535" s="4" t="s">
        <v>4866</v>
      </c>
      <c r="P4535" s="4" t="s">
        <v>4860</v>
      </c>
      <c r="Q4535" s="1" t="str">
        <f>_xlfn.XLOOKUP(tblSales[[#This Row],[Channel Code]],tblChannels[Channel Code],tblChannels[Channel Name],"")</f>
        <v>In-store</v>
      </c>
      <c r="R4535" s="1">
        <f>MONTH(tblSales[[#This Row],[Date]])</f>
        <v>10</v>
      </c>
    </row>
    <row r="4536" spans="2:18" x14ac:dyDescent="0.35">
      <c r="B4536" s="113">
        <v>46297</v>
      </c>
      <c r="C4536" s="4" t="s">
        <v>3079</v>
      </c>
      <c r="D4536" s="4" t="s">
        <v>4568</v>
      </c>
      <c r="E4536" s="1" t="str">
        <f>_xlfn.XLOOKUP(tblSales[[#This Row],[Customer ID]],tblCustomers[Customer ID],tblCustomers[Customer Name],"⚠ Unknown")</f>
        <v>Walk-in Customer</v>
      </c>
      <c r="F4536" s="4" t="s">
        <v>7</v>
      </c>
      <c r="G4536" s="1" t="str">
        <f>_xlfn.XLOOKUP(tblSales[[#This Row],[Product Code]],tblProducts[Code],tblProducts[Product / Service Name],"⚠ Unknown")</f>
        <v>Premium Basic T-shirt</v>
      </c>
      <c r="H4536" s="1" t="str">
        <f>_xlfn.XLOOKUP(tblSales[[#This Row],[Product Code]],tblProducts[Code],tblProducts[Category],"")</f>
        <v>Accessories &amp; Basics</v>
      </c>
      <c r="I4536" s="4">
        <v>7</v>
      </c>
      <c r="J4536" s="5">
        <f>_xlfn.XLOOKUP(tblSales[[#This Row],[Product Code]],tblProducts[Code],tblProducts[Selling Price (excl. VAT)],0)</f>
        <v>65000</v>
      </c>
      <c r="K4536" s="5">
        <f>tblSales[[#This Row],[Qty]]*tblSales[[#This Row],[Unit Price]]</f>
        <v>455000</v>
      </c>
      <c r="L4536" s="5">
        <f>ROUND(tblSales[[#This Row],[DPP (excl. VAT)]]*VATEff,0)</f>
        <v>50050</v>
      </c>
      <c r="M4536" s="5">
        <f>tblSales[[#This Row],[DPP (excl. VAT)]]+tblSales[[#This Row],[Output VAT]]</f>
        <v>505050</v>
      </c>
      <c r="N4536" s="5">
        <f>tblSales[[#This Row],[Qty]]*_xlfn.XLOOKUP(tblSales[[#This Row],[Product Code]],tblProducts[Code],tblProducts[Unit Cost],0)</f>
        <v>259000</v>
      </c>
      <c r="O4536" s="4" t="s">
        <v>4866</v>
      </c>
      <c r="P4536" s="4" t="s">
        <v>4860</v>
      </c>
      <c r="Q4536" s="1" t="str">
        <f>_xlfn.XLOOKUP(tblSales[[#This Row],[Channel Code]],tblChannels[Channel Code],tblChannels[Channel Name],"")</f>
        <v>In-store</v>
      </c>
      <c r="R4536" s="1">
        <f>MONTH(tblSales[[#This Row],[Date]])</f>
        <v>10</v>
      </c>
    </row>
    <row r="4537" spans="2:18" x14ac:dyDescent="0.35">
      <c r="B4537" s="113">
        <v>46297</v>
      </c>
      <c r="C4537" s="4" t="s">
        <v>3080</v>
      </c>
      <c r="D4537" s="4" t="s">
        <v>4568</v>
      </c>
      <c r="E4537" s="1" t="str">
        <f>_xlfn.XLOOKUP(tblSales[[#This Row],[Customer ID]],tblCustomers[Customer ID],tblCustomers[Customer Name],"⚠ Unknown")</f>
        <v>Walk-in Customer</v>
      </c>
      <c r="F4537" s="4" t="s">
        <v>9</v>
      </c>
      <c r="G4537" s="1" t="str">
        <f>_xlfn.XLOOKUP(tblSales[[#This Row],[Product Code]],tblProducts[Code],tblProducts[Product / Service Name],"⚠ Unknown")</f>
        <v>Casual Shirt</v>
      </c>
      <c r="H4537" s="1" t="str">
        <f>_xlfn.XLOOKUP(tblSales[[#This Row],[Product Code]],tblProducts[Code],tblProducts[Category],"")</f>
        <v>Apparel &amp; Footwear</v>
      </c>
      <c r="I4537" s="4">
        <v>3</v>
      </c>
      <c r="J4537" s="5">
        <f>_xlfn.XLOOKUP(tblSales[[#This Row],[Product Code]],tblProducts[Code],tblProducts[Selling Price (excl. VAT)],0)</f>
        <v>120000</v>
      </c>
      <c r="K4537" s="5">
        <f>tblSales[[#This Row],[Qty]]*tblSales[[#This Row],[Unit Price]]</f>
        <v>360000</v>
      </c>
      <c r="L4537" s="5">
        <f>ROUND(tblSales[[#This Row],[DPP (excl. VAT)]]*VATEff,0)</f>
        <v>39600</v>
      </c>
      <c r="M4537" s="5">
        <f>tblSales[[#This Row],[DPP (excl. VAT)]]+tblSales[[#This Row],[Output VAT]]</f>
        <v>399600</v>
      </c>
      <c r="N4537" s="5">
        <f>tblSales[[#This Row],[Qty]]*_xlfn.XLOOKUP(tblSales[[#This Row],[Product Code]],tblProducts[Code],tblProducts[Unit Cost],0)</f>
        <v>216000</v>
      </c>
      <c r="O4537" s="4" t="s">
        <v>4866</v>
      </c>
      <c r="P4537" s="4" t="s">
        <v>4860</v>
      </c>
      <c r="Q4537" s="1" t="str">
        <f>_xlfn.XLOOKUP(tblSales[[#This Row],[Channel Code]],tblChannels[Channel Code],tblChannels[Channel Name],"")</f>
        <v>In-store</v>
      </c>
      <c r="R4537" s="1">
        <f>MONTH(tblSales[[#This Row],[Date]])</f>
        <v>10</v>
      </c>
    </row>
    <row r="4538" spans="2:18" x14ac:dyDescent="0.35">
      <c r="B4538" s="113">
        <v>46297</v>
      </c>
      <c r="C4538" s="4" t="s">
        <v>3081</v>
      </c>
      <c r="D4538" s="4" t="s">
        <v>4568</v>
      </c>
      <c r="E4538" s="1" t="str">
        <f>_xlfn.XLOOKUP(tblSales[[#This Row],[Customer ID]],tblCustomers[Customer ID],tblCustomers[Customer Name],"⚠ Unknown")</f>
        <v>Walk-in Customer</v>
      </c>
      <c r="F4538" s="4" t="s">
        <v>9</v>
      </c>
      <c r="G4538" s="1" t="str">
        <f>_xlfn.XLOOKUP(tblSales[[#This Row],[Product Code]],tblProducts[Code],tblProducts[Product / Service Name],"⚠ Unknown")</f>
        <v>Casual Shirt</v>
      </c>
      <c r="H4538" s="1" t="str">
        <f>_xlfn.XLOOKUP(tblSales[[#This Row],[Product Code]],tblProducts[Code],tblProducts[Category],"")</f>
        <v>Apparel &amp; Footwear</v>
      </c>
      <c r="I4538" s="4">
        <v>2</v>
      </c>
      <c r="J4538" s="5">
        <f>_xlfn.XLOOKUP(tblSales[[#This Row],[Product Code]],tblProducts[Code],tblProducts[Selling Price (excl. VAT)],0)</f>
        <v>120000</v>
      </c>
      <c r="K4538" s="5">
        <f>tblSales[[#This Row],[Qty]]*tblSales[[#This Row],[Unit Price]]</f>
        <v>240000</v>
      </c>
      <c r="L4538" s="5">
        <f>ROUND(tblSales[[#This Row],[DPP (excl. VAT)]]*VATEff,0)</f>
        <v>26400</v>
      </c>
      <c r="M4538" s="5">
        <f>tblSales[[#This Row],[DPP (excl. VAT)]]+tblSales[[#This Row],[Output VAT]]</f>
        <v>266400</v>
      </c>
      <c r="N4538" s="5">
        <f>tblSales[[#This Row],[Qty]]*_xlfn.XLOOKUP(tblSales[[#This Row],[Product Code]],tblProducts[Code],tblProducts[Unit Cost],0)</f>
        <v>144000</v>
      </c>
      <c r="O4538" s="4" t="s">
        <v>4866</v>
      </c>
      <c r="P4538" s="4" t="s">
        <v>4861</v>
      </c>
      <c r="Q4538" s="1" t="str">
        <f>_xlfn.XLOOKUP(tblSales[[#This Row],[Channel Code]],tblChannels[Channel Code],tblChannels[Channel Name],"")</f>
        <v>Marketplace</v>
      </c>
      <c r="R4538" s="1">
        <f>MONTH(tblSales[[#This Row],[Date]])</f>
        <v>10</v>
      </c>
    </row>
    <row r="4539" spans="2:18" x14ac:dyDescent="0.35">
      <c r="B4539" s="113">
        <v>46297</v>
      </c>
      <c r="C4539" s="4" t="s">
        <v>3082</v>
      </c>
      <c r="D4539" s="4" t="s">
        <v>4568</v>
      </c>
      <c r="E4539" s="1" t="str">
        <f>_xlfn.XLOOKUP(tblSales[[#This Row],[Customer ID]],tblCustomers[Customer ID],tblCustomers[Customer Name],"⚠ Unknown")</f>
        <v>Walk-in Customer</v>
      </c>
      <c r="F4539" s="4" t="s">
        <v>6</v>
      </c>
      <c r="G4539" s="1" t="str">
        <f>_xlfn.XLOOKUP(tblSales[[#This Row],[Product Code]],tblProducts[Code],tblProducts[Product / Service Name],"⚠ Unknown")</f>
        <v>Socks &amp; Accessories</v>
      </c>
      <c r="H4539" s="1" t="str">
        <f>_xlfn.XLOOKUP(tblSales[[#This Row],[Product Code]],tblProducts[Code],tblProducts[Category],"")</f>
        <v>Accessories &amp; Basics</v>
      </c>
      <c r="I4539" s="4">
        <v>10</v>
      </c>
      <c r="J4539" s="5">
        <f>_xlfn.XLOOKUP(tblSales[[#This Row],[Product Code]],tblProducts[Code],tblProducts[Selling Price (excl. VAT)],0)</f>
        <v>45000</v>
      </c>
      <c r="K4539" s="5">
        <f>tblSales[[#This Row],[Qty]]*tblSales[[#This Row],[Unit Price]]</f>
        <v>450000</v>
      </c>
      <c r="L4539" s="5">
        <f>ROUND(tblSales[[#This Row],[DPP (excl. VAT)]]*VATEff,0)</f>
        <v>49500</v>
      </c>
      <c r="M4539" s="5">
        <f>tblSales[[#This Row],[DPP (excl. VAT)]]+tblSales[[#This Row],[Output VAT]]</f>
        <v>499500</v>
      </c>
      <c r="N4539" s="5">
        <f>tblSales[[#This Row],[Qty]]*_xlfn.XLOOKUP(tblSales[[#This Row],[Product Code]],tblProducts[Code],tblProducts[Unit Cost],0)</f>
        <v>240000</v>
      </c>
      <c r="O4539" s="4" t="s">
        <v>4866</v>
      </c>
      <c r="P4539" s="4" t="s">
        <v>4861</v>
      </c>
      <c r="Q4539" s="1" t="str">
        <f>_xlfn.XLOOKUP(tblSales[[#This Row],[Channel Code]],tblChannels[Channel Code],tblChannels[Channel Name],"")</f>
        <v>Marketplace</v>
      </c>
      <c r="R4539" s="1">
        <f>MONTH(tblSales[[#This Row],[Date]])</f>
        <v>10</v>
      </c>
    </row>
    <row r="4540" spans="2:18" x14ac:dyDescent="0.35">
      <c r="B4540" s="113">
        <v>46297</v>
      </c>
      <c r="C4540" s="4" t="s">
        <v>3082</v>
      </c>
      <c r="D4540" s="4" t="s">
        <v>4568</v>
      </c>
      <c r="E4540" s="1" t="str">
        <f>_xlfn.XLOOKUP(tblSales[[#This Row],[Customer ID]],tblCustomers[Customer ID],tblCustomers[Customer Name],"⚠ Unknown")</f>
        <v>Walk-in Customer</v>
      </c>
      <c r="F4540" s="4" t="s">
        <v>9</v>
      </c>
      <c r="G4540" s="1" t="str">
        <f>_xlfn.XLOOKUP(tblSales[[#This Row],[Product Code]],tblProducts[Code],tblProducts[Product / Service Name],"⚠ Unknown")</f>
        <v>Casual Shirt</v>
      </c>
      <c r="H4540" s="1" t="str">
        <f>_xlfn.XLOOKUP(tblSales[[#This Row],[Product Code]],tblProducts[Code],tblProducts[Category],"")</f>
        <v>Apparel &amp; Footwear</v>
      </c>
      <c r="I4540" s="4">
        <v>7</v>
      </c>
      <c r="J4540" s="5">
        <f>_xlfn.XLOOKUP(tblSales[[#This Row],[Product Code]],tblProducts[Code],tblProducts[Selling Price (excl. VAT)],0)</f>
        <v>120000</v>
      </c>
      <c r="K4540" s="5">
        <f>tblSales[[#This Row],[Qty]]*tblSales[[#This Row],[Unit Price]]</f>
        <v>840000</v>
      </c>
      <c r="L4540" s="5">
        <f>ROUND(tblSales[[#This Row],[DPP (excl. VAT)]]*VATEff,0)</f>
        <v>92400</v>
      </c>
      <c r="M4540" s="5">
        <f>tblSales[[#This Row],[DPP (excl. VAT)]]+tblSales[[#This Row],[Output VAT]]</f>
        <v>932400</v>
      </c>
      <c r="N4540" s="5">
        <f>tblSales[[#This Row],[Qty]]*_xlfn.XLOOKUP(tblSales[[#This Row],[Product Code]],tblProducts[Code],tblProducts[Unit Cost],0)</f>
        <v>504000</v>
      </c>
      <c r="O4540" s="4" t="s">
        <v>4866</v>
      </c>
      <c r="P4540" s="4" t="s">
        <v>4861</v>
      </c>
      <c r="Q4540" s="1" t="str">
        <f>_xlfn.XLOOKUP(tblSales[[#This Row],[Channel Code]],tblChannels[Channel Code],tblChannels[Channel Name],"")</f>
        <v>Marketplace</v>
      </c>
      <c r="R4540" s="1">
        <f>MONTH(tblSales[[#This Row],[Date]])</f>
        <v>10</v>
      </c>
    </row>
    <row r="4541" spans="2:18" x14ac:dyDescent="0.35">
      <c r="B4541" s="113">
        <v>46297</v>
      </c>
      <c r="C4541" s="4" t="s">
        <v>3083</v>
      </c>
      <c r="D4541" s="4" t="s">
        <v>4568</v>
      </c>
      <c r="E4541" s="1" t="str">
        <f>_xlfn.XLOOKUP(tblSales[[#This Row],[Customer ID]],tblCustomers[Customer ID],tblCustomers[Customer Name],"⚠ Unknown")</f>
        <v>Walk-in Customer</v>
      </c>
      <c r="F4541" s="4" t="s">
        <v>11</v>
      </c>
      <c r="G4541" s="1" t="str">
        <f>_xlfn.XLOOKUP(tblSales[[#This Row],[Product Code]],tblProducts[Code],tblProducts[Product / Service Name],"⚠ Unknown")</f>
        <v>Sneakers</v>
      </c>
      <c r="H4541" s="1" t="str">
        <f>_xlfn.XLOOKUP(tblSales[[#This Row],[Product Code]],tblProducts[Code],tblProducts[Category],"")</f>
        <v>Apparel &amp; Footwear</v>
      </c>
      <c r="I4541" s="4">
        <v>5</v>
      </c>
      <c r="J4541" s="5">
        <f>_xlfn.XLOOKUP(tblSales[[#This Row],[Product Code]],tblProducts[Code],tblProducts[Selling Price (excl. VAT)],0)</f>
        <v>250000</v>
      </c>
      <c r="K4541" s="5">
        <f>tblSales[[#This Row],[Qty]]*tblSales[[#This Row],[Unit Price]]</f>
        <v>1250000</v>
      </c>
      <c r="L4541" s="5">
        <f>ROUND(tblSales[[#This Row],[DPP (excl. VAT)]]*VATEff,0)</f>
        <v>137500</v>
      </c>
      <c r="M4541" s="5">
        <f>tblSales[[#This Row],[DPP (excl. VAT)]]+tblSales[[#This Row],[Output VAT]]</f>
        <v>1387500</v>
      </c>
      <c r="N4541" s="5">
        <f>tblSales[[#This Row],[Qty]]*_xlfn.XLOOKUP(tblSales[[#This Row],[Product Code]],tblProducts[Code],tblProducts[Unit Cost],0)</f>
        <v>775000</v>
      </c>
      <c r="O4541" s="4" t="s">
        <v>4866</v>
      </c>
      <c r="P4541" s="4" t="s">
        <v>4860</v>
      </c>
      <c r="Q4541" s="1" t="str">
        <f>_xlfn.XLOOKUP(tblSales[[#This Row],[Channel Code]],tblChannels[Channel Code],tblChannels[Channel Name],"")</f>
        <v>In-store</v>
      </c>
      <c r="R4541" s="1">
        <f>MONTH(tblSales[[#This Row],[Date]])</f>
        <v>10</v>
      </c>
    </row>
    <row r="4542" spans="2:18" x14ac:dyDescent="0.35">
      <c r="B4542" s="113">
        <v>46297</v>
      </c>
      <c r="C4542" s="4" t="s">
        <v>3084</v>
      </c>
      <c r="D4542" s="4" t="s">
        <v>4568</v>
      </c>
      <c r="E4542" s="1" t="str">
        <f>_xlfn.XLOOKUP(tblSales[[#This Row],[Customer ID]],tblCustomers[Customer ID],tblCustomers[Customer Name],"⚠ Unknown")</f>
        <v>Walk-in Customer</v>
      </c>
      <c r="F4542" s="4" t="s">
        <v>6</v>
      </c>
      <c r="G4542" s="1" t="str">
        <f>_xlfn.XLOOKUP(tblSales[[#This Row],[Product Code]],tblProducts[Code],tblProducts[Product / Service Name],"⚠ Unknown")</f>
        <v>Socks &amp; Accessories</v>
      </c>
      <c r="H4542" s="1" t="str">
        <f>_xlfn.XLOOKUP(tblSales[[#This Row],[Product Code]],tblProducts[Code],tblProducts[Category],"")</f>
        <v>Accessories &amp; Basics</v>
      </c>
      <c r="I4542" s="4">
        <v>9</v>
      </c>
      <c r="J4542" s="5">
        <f>_xlfn.XLOOKUP(tblSales[[#This Row],[Product Code]],tblProducts[Code],tblProducts[Selling Price (excl. VAT)],0)</f>
        <v>45000</v>
      </c>
      <c r="K4542" s="5">
        <f>tblSales[[#This Row],[Qty]]*tblSales[[#This Row],[Unit Price]]</f>
        <v>405000</v>
      </c>
      <c r="L4542" s="5">
        <f>ROUND(tblSales[[#This Row],[DPP (excl. VAT)]]*VATEff,0)</f>
        <v>44550</v>
      </c>
      <c r="M4542" s="5">
        <f>tblSales[[#This Row],[DPP (excl. VAT)]]+tblSales[[#This Row],[Output VAT]]</f>
        <v>449550</v>
      </c>
      <c r="N4542" s="5">
        <f>tblSales[[#This Row],[Qty]]*_xlfn.XLOOKUP(tblSales[[#This Row],[Product Code]],tblProducts[Code],tblProducts[Unit Cost],0)</f>
        <v>216000</v>
      </c>
      <c r="O4542" s="4" t="s">
        <v>4866</v>
      </c>
      <c r="P4542" s="4" t="s">
        <v>4860</v>
      </c>
      <c r="Q4542" s="1" t="str">
        <f>_xlfn.XLOOKUP(tblSales[[#This Row],[Channel Code]],tblChannels[Channel Code],tblChannels[Channel Name],"")</f>
        <v>In-store</v>
      </c>
      <c r="R4542" s="1">
        <f>MONTH(tblSales[[#This Row],[Date]])</f>
        <v>10</v>
      </c>
    </row>
    <row r="4543" spans="2:18" x14ac:dyDescent="0.35">
      <c r="B4543" s="113">
        <v>46297</v>
      </c>
      <c r="C4543" s="4" t="s">
        <v>3085</v>
      </c>
      <c r="D4543" s="4" t="s">
        <v>4599</v>
      </c>
      <c r="E4543" s="1" t="str">
        <f>_xlfn.XLOOKUP(tblSales[[#This Row],[Customer ID]],tblCustomers[Customer ID],tblCustomers[Customer Name],"⚠ Unknown")</f>
        <v>PT Samudra Jaya Logistik</v>
      </c>
      <c r="F4543" s="4" t="s">
        <v>6</v>
      </c>
      <c r="G4543" s="1" t="str">
        <f>_xlfn.XLOOKUP(tblSales[[#This Row],[Product Code]],tblProducts[Code],tblProducts[Product / Service Name],"⚠ Unknown")</f>
        <v>Socks &amp; Accessories</v>
      </c>
      <c r="H4543" s="1" t="str">
        <f>_xlfn.XLOOKUP(tblSales[[#This Row],[Product Code]],tblProducts[Code],tblProducts[Category],"")</f>
        <v>Accessories &amp; Basics</v>
      </c>
      <c r="I4543" s="4">
        <v>16</v>
      </c>
      <c r="J4543" s="5">
        <f>_xlfn.XLOOKUP(tblSales[[#This Row],[Product Code]],tblProducts[Code],tblProducts[Selling Price (excl. VAT)],0)</f>
        <v>45000</v>
      </c>
      <c r="K4543" s="5">
        <f>tblSales[[#This Row],[Qty]]*tblSales[[#This Row],[Unit Price]]</f>
        <v>720000</v>
      </c>
      <c r="L4543" s="5">
        <f>ROUND(tblSales[[#This Row],[DPP (excl. VAT)]]*VATEff,0)</f>
        <v>79200</v>
      </c>
      <c r="M4543" s="5">
        <f>tblSales[[#This Row],[DPP (excl. VAT)]]+tblSales[[#This Row],[Output VAT]]</f>
        <v>799200</v>
      </c>
      <c r="N4543" s="5">
        <f>tblSales[[#This Row],[Qty]]*_xlfn.XLOOKUP(tblSales[[#This Row],[Product Code]],tblProducts[Code],tblProducts[Unit Cost],0)</f>
        <v>384000</v>
      </c>
      <c r="O4543" s="4" t="s">
        <v>4867</v>
      </c>
      <c r="P4543" s="4" t="s">
        <v>4862</v>
      </c>
      <c r="Q4543" s="1" t="str">
        <f>_xlfn.XLOOKUP(tblSales[[#This Row],[Channel Code]],tblChannels[Channel Code],tblChannels[Channel Name],"")</f>
        <v>Website &amp; Social Media</v>
      </c>
      <c r="R4543" s="1">
        <f>MONTH(tblSales[[#This Row],[Date]])</f>
        <v>10</v>
      </c>
    </row>
    <row r="4544" spans="2:18" x14ac:dyDescent="0.35">
      <c r="B4544" s="113">
        <v>46297</v>
      </c>
      <c r="C4544" s="4" t="s">
        <v>3086</v>
      </c>
      <c r="D4544" s="4" t="s">
        <v>4568</v>
      </c>
      <c r="E4544" s="1" t="str">
        <f>_xlfn.XLOOKUP(tblSales[[#This Row],[Customer ID]],tblCustomers[Customer ID],tblCustomers[Customer Name],"⚠ Unknown")</f>
        <v>Walk-in Customer</v>
      </c>
      <c r="F4544" s="4" t="s">
        <v>11</v>
      </c>
      <c r="G4544" s="1" t="str">
        <f>_xlfn.XLOOKUP(tblSales[[#This Row],[Product Code]],tblProducts[Code],tblProducts[Product / Service Name],"⚠ Unknown")</f>
        <v>Sneakers</v>
      </c>
      <c r="H4544" s="1" t="str">
        <f>_xlfn.XLOOKUP(tblSales[[#This Row],[Product Code]],tblProducts[Code],tblProducts[Category],"")</f>
        <v>Apparel &amp; Footwear</v>
      </c>
      <c r="I4544" s="4">
        <v>2</v>
      </c>
      <c r="J4544" s="5">
        <f>_xlfn.XLOOKUP(tblSales[[#This Row],[Product Code]],tblProducts[Code],tblProducts[Selling Price (excl. VAT)],0)</f>
        <v>250000</v>
      </c>
      <c r="K4544" s="5">
        <f>tblSales[[#This Row],[Qty]]*tblSales[[#This Row],[Unit Price]]</f>
        <v>500000</v>
      </c>
      <c r="L4544" s="5">
        <f>ROUND(tblSales[[#This Row],[DPP (excl. VAT)]]*VATEff,0)</f>
        <v>55000</v>
      </c>
      <c r="M4544" s="5">
        <f>tblSales[[#This Row],[DPP (excl. VAT)]]+tblSales[[#This Row],[Output VAT]]</f>
        <v>555000</v>
      </c>
      <c r="N4544" s="5">
        <f>tblSales[[#This Row],[Qty]]*_xlfn.XLOOKUP(tblSales[[#This Row],[Product Code]],tblProducts[Code],tblProducts[Unit Cost],0)</f>
        <v>310000</v>
      </c>
      <c r="O4544" s="4" t="s">
        <v>4866</v>
      </c>
      <c r="P4544" s="4" t="s">
        <v>4861</v>
      </c>
      <c r="Q4544" s="1" t="str">
        <f>_xlfn.XLOOKUP(tblSales[[#This Row],[Channel Code]],tblChannels[Channel Code],tblChannels[Channel Name],"")</f>
        <v>Marketplace</v>
      </c>
      <c r="R4544" s="1">
        <f>MONTH(tblSales[[#This Row],[Date]])</f>
        <v>10</v>
      </c>
    </row>
    <row r="4545" spans="2:18" x14ac:dyDescent="0.35">
      <c r="B4545" s="113">
        <v>46297</v>
      </c>
      <c r="C4545" s="4" t="s">
        <v>3087</v>
      </c>
      <c r="D4545" s="4" t="s">
        <v>4585</v>
      </c>
      <c r="E4545" s="1" t="str">
        <f>_xlfn.XLOOKUP(tblSales[[#This Row],[Customer ID]],tblCustomers[Customer ID],tblCustomers[Customer Name],"⚠ Unknown")</f>
        <v>CV Mitra Karya Mandiri</v>
      </c>
      <c r="F4545" s="4" t="s">
        <v>15</v>
      </c>
      <c r="G4545" s="1" t="str">
        <f>_xlfn.XLOOKUP(tblSales[[#This Row],[Product Code]],tblProducts[Code],tblProducts[Product / Service Name],"⚠ Unknown")</f>
        <v>Wireless Earbuds Pro</v>
      </c>
      <c r="H4545" s="1" t="str">
        <f>_xlfn.XLOOKUP(tblSales[[#This Row],[Product Code]],tblProducts[Code],tblProducts[Category],"")</f>
        <v>Bags &amp; Gadgets</v>
      </c>
      <c r="I4545" s="4">
        <v>24</v>
      </c>
      <c r="J4545" s="5">
        <f>_xlfn.XLOOKUP(tblSales[[#This Row],[Product Code]],tblProducts[Code],tblProducts[Selling Price (excl. VAT)],0)</f>
        <v>1250000</v>
      </c>
      <c r="K4545" s="5">
        <f>tblSales[[#This Row],[Qty]]*tblSales[[#This Row],[Unit Price]]</f>
        <v>30000000</v>
      </c>
      <c r="L4545" s="5">
        <f>ROUND(tblSales[[#This Row],[DPP (excl. VAT)]]*VATEff,0)</f>
        <v>3300000</v>
      </c>
      <c r="M4545" s="5">
        <f>tblSales[[#This Row],[DPP (excl. VAT)]]+tblSales[[#This Row],[Output VAT]]</f>
        <v>33300000</v>
      </c>
      <c r="N4545" s="5">
        <f>tblSales[[#This Row],[Qty]]*_xlfn.XLOOKUP(tblSales[[#This Row],[Product Code]],tblProducts[Code],tblProducts[Unit Cost],0)</f>
        <v>19680000</v>
      </c>
      <c r="O4545" s="4" t="s">
        <v>4867</v>
      </c>
      <c r="P4545" s="4" t="s">
        <v>4862</v>
      </c>
      <c r="Q4545" s="1" t="str">
        <f>_xlfn.XLOOKUP(tblSales[[#This Row],[Channel Code]],tblChannels[Channel Code],tblChannels[Channel Name],"")</f>
        <v>Website &amp; Social Media</v>
      </c>
      <c r="R4545" s="1">
        <f>MONTH(tblSales[[#This Row],[Date]])</f>
        <v>10</v>
      </c>
    </row>
    <row r="4546" spans="2:18" x14ac:dyDescent="0.35">
      <c r="B4546" s="113">
        <v>46297</v>
      </c>
      <c r="C4546" s="4" t="s">
        <v>3087</v>
      </c>
      <c r="D4546" s="4" t="s">
        <v>4585</v>
      </c>
      <c r="E4546" s="1" t="str">
        <f>_xlfn.XLOOKUP(tblSales[[#This Row],[Customer ID]],tblCustomers[Customer ID],tblCustomers[Customer Name],"⚠ Unknown")</f>
        <v>CV Mitra Karya Mandiri</v>
      </c>
      <c r="F4546" s="4" t="s">
        <v>6</v>
      </c>
      <c r="G4546" s="1" t="str">
        <f>_xlfn.XLOOKUP(tblSales[[#This Row],[Product Code]],tblProducts[Code],tblProducts[Product / Service Name],"⚠ Unknown")</f>
        <v>Socks &amp; Accessories</v>
      </c>
      <c r="H4546" s="1" t="str">
        <f>_xlfn.XLOOKUP(tblSales[[#This Row],[Product Code]],tblProducts[Code],tblProducts[Category],"")</f>
        <v>Accessories &amp; Basics</v>
      </c>
      <c r="I4546" s="4">
        <v>96</v>
      </c>
      <c r="J4546" s="5">
        <f>_xlfn.XLOOKUP(tblSales[[#This Row],[Product Code]],tblProducts[Code],tblProducts[Selling Price (excl. VAT)],0)</f>
        <v>45000</v>
      </c>
      <c r="K4546" s="5">
        <f>tblSales[[#This Row],[Qty]]*tblSales[[#This Row],[Unit Price]]</f>
        <v>4320000</v>
      </c>
      <c r="L4546" s="5">
        <f>ROUND(tblSales[[#This Row],[DPP (excl. VAT)]]*VATEff,0)</f>
        <v>475200</v>
      </c>
      <c r="M4546" s="5">
        <f>tblSales[[#This Row],[DPP (excl. VAT)]]+tblSales[[#This Row],[Output VAT]]</f>
        <v>4795200</v>
      </c>
      <c r="N4546" s="5">
        <f>tblSales[[#This Row],[Qty]]*_xlfn.XLOOKUP(tblSales[[#This Row],[Product Code]],tblProducts[Code],tblProducts[Unit Cost],0)</f>
        <v>2304000</v>
      </c>
      <c r="O4546" s="4" t="s">
        <v>4867</v>
      </c>
      <c r="P4546" s="4" t="s">
        <v>4862</v>
      </c>
      <c r="Q4546" s="1" t="str">
        <f>_xlfn.XLOOKUP(tblSales[[#This Row],[Channel Code]],tblChannels[Channel Code],tblChannels[Channel Name],"")</f>
        <v>Website &amp; Social Media</v>
      </c>
      <c r="R4546" s="1">
        <f>MONTH(tblSales[[#This Row],[Date]])</f>
        <v>10</v>
      </c>
    </row>
    <row r="4547" spans="2:18" x14ac:dyDescent="0.35">
      <c r="B4547" s="113">
        <v>46297</v>
      </c>
      <c r="C4547" s="4" t="s">
        <v>3087</v>
      </c>
      <c r="D4547" s="4" t="s">
        <v>4585</v>
      </c>
      <c r="E4547" s="1" t="str">
        <f>_xlfn.XLOOKUP(tblSales[[#This Row],[Customer ID]],tblCustomers[Customer ID],tblCustomers[Customer Name],"⚠ Unknown")</f>
        <v>CV Mitra Karya Mandiri</v>
      </c>
      <c r="F4547" s="4" t="s">
        <v>14</v>
      </c>
      <c r="G4547" s="1" t="str">
        <f>_xlfn.XLOOKUP(tblSales[[#This Row],[Product Code]],tblProducts[Code],tblProducts[Product / Service Name],"⚠ Unknown")</f>
        <v>Smartwatch</v>
      </c>
      <c r="H4547" s="1" t="str">
        <f>_xlfn.XLOOKUP(tblSales[[#This Row],[Product Code]],tblProducts[Code],tblProducts[Category],"")</f>
        <v>Bags &amp; Gadgets</v>
      </c>
      <c r="I4547" s="4">
        <v>16</v>
      </c>
      <c r="J4547" s="5">
        <f>_xlfn.XLOOKUP(tblSales[[#This Row],[Product Code]],tblProducts[Code],tblProducts[Selling Price (excl. VAT)],0)</f>
        <v>850000</v>
      </c>
      <c r="K4547" s="5">
        <f>tblSales[[#This Row],[Qty]]*tblSales[[#This Row],[Unit Price]]</f>
        <v>13600000</v>
      </c>
      <c r="L4547" s="5">
        <f>ROUND(tblSales[[#This Row],[DPP (excl. VAT)]]*VATEff,0)</f>
        <v>1496000</v>
      </c>
      <c r="M4547" s="5">
        <f>tblSales[[#This Row],[DPP (excl. VAT)]]+tblSales[[#This Row],[Output VAT]]</f>
        <v>15096000</v>
      </c>
      <c r="N4547" s="5">
        <f>tblSales[[#This Row],[Qty]]*_xlfn.XLOOKUP(tblSales[[#This Row],[Product Code]],tblProducts[Code],tblProducts[Unit Cost],0)</f>
        <v>8960000</v>
      </c>
      <c r="O4547" s="4" t="s">
        <v>4867</v>
      </c>
      <c r="P4547" s="4" t="s">
        <v>4862</v>
      </c>
      <c r="Q4547" s="1" t="str">
        <f>_xlfn.XLOOKUP(tblSales[[#This Row],[Channel Code]],tblChannels[Channel Code],tblChannels[Channel Name],"")</f>
        <v>Website &amp; Social Media</v>
      </c>
      <c r="R4547" s="1">
        <f>MONTH(tblSales[[#This Row],[Date]])</f>
        <v>10</v>
      </c>
    </row>
    <row r="4548" spans="2:18" x14ac:dyDescent="0.35">
      <c r="B4548" s="113">
        <v>46297</v>
      </c>
      <c r="C4548" s="4" t="s">
        <v>3088</v>
      </c>
      <c r="D4548" s="4" t="s">
        <v>4568</v>
      </c>
      <c r="E4548" s="1" t="str">
        <f>_xlfn.XLOOKUP(tblSales[[#This Row],[Customer ID]],tblCustomers[Customer ID],tblCustomers[Customer Name],"⚠ Unknown")</f>
        <v>Walk-in Customer</v>
      </c>
      <c r="F4548" s="4" t="s">
        <v>8</v>
      </c>
      <c r="G4548" s="1" t="str">
        <f>_xlfn.XLOOKUP(tblSales[[#This Row],[Product Code]],tblProducts[Code],tblProducts[Product / Service Name],"⚠ Unknown")</f>
        <v>Casual Shorts</v>
      </c>
      <c r="H4548" s="1" t="str">
        <f>_xlfn.XLOOKUP(tblSales[[#This Row],[Product Code]],tblProducts[Code],tblProducts[Category],"")</f>
        <v>Accessories &amp; Basics</v>
      </c>
      <c r="I4548" s="4">
        <v>7</v>
      </c>
      <c r="J4548" s="5">
        <f>_xlfn.XLOOKUP(tblSales[[#This Row],[Product Code]],tblProducts[Code],tblProducts[Selling Price (excl. VAT)],0)</f>
        <v>85000</v>
      </c>
      <c r="K4548" s="5">
        <f>tblSales[[#This Row],[Qty]]*tblSales[[#This Row],[Unit Price]]</f>
        <v>595000</v>
      </c>
      <c r="L4548" s="5">
        <f>ROUND(tblSales[[#This Row],[DPP (excl. VAT)]]*VATEff,0)</f>
        <v>65450</v>
      </c>
      <c r="M4548" s="5">
        <f>tblSales[[#This Row],[DPP (excl. VAT)]]+tblSales[[#This Row],[Output VAT]]</f>
        <v>660450</v>
      </c>
      <c r="N4548" s="5">
        <f>tblSales[[#This Row],[Qty]]*_xlfn.XLOOKUP(tblSales[[#This Row],[Product Code]],tblProducts[Code],tblProducts[Unit Cost],0)</f>
        <v>350000</v>
      </c>
      <c r="O4548" s="4" t="s">
        <v>4866</v>
      </c>
      <c r="P4548" s="4" t="s">
        <v>4862</v>
      </c>
      <c r="Q4548" s="1" t="str">
        <f>_xlfn.XLOOKUP(tblSales[[#This Row],[Channel Code]],tblChannels[Channel Code],tblChannels[Channel Name],"")</f>
        <v>Website &amp; Social Media</v>
      </c>
      <c r="R4548" s="1">
        <f>MONTH(tblSales[[#This Row],[Date]])</f>
        <v>10</v>
      </c>
    </row>
    <row r="4549" spans="2:18" x14ac:dyDescent="0.35">
      <c r="B4549" s="113">
        <v>46297</v>
      </c>
      <c r="C4549" s="4" t="s">
        <v>3088</v>
      </c>
      <c r="D4549" s="4" t="s">
        <v>4568</v>
      </c>
      <c r="E4549" s="1" t="str">
        <f>_xlfn.XLOOKUP(tblSales[[#This Row],[Customer ID]],tblCustomers[Customer ID],tblCustomers[Customer Name],"⚠ Unknown")</f>
        <v>Walk-in Customer</v>
      </c>
      <c r="F4549" s="4" t="s">
        <v>6</v>
      </c>
      <c r="G4549" s="1" t="str">
        <f>_xlfn.XLOOKUP(tblSales[[#This Row],[Product Code]],tblProducts[Code],tblProducts[Product / Service Name],"⚠ Unknown")</f>
        <v>Socks &amp; Accessories</v>
      </c>
      <c r="H4549" s="1" t="str">
        <f>_xlfn.XLOOKUP(tblSales[[#This Row],[Product Code]],tblProducts[Code],tblProducts[Category],"")</f>
        <v>Accessories &amp; Basics</v>
      </c>
      <c r="I4549" s="4">
        <v>4</v>
      </c>
      <c r="J4549" s="5">
        <f>_xlfn.XLOOKUP(tblSales[[#This Row],[Product Code]],tblProducts[Code],tblProducts[Selling Price (excl. VAT)],0)</f>
        <v>45000</v>
      </c>
      <c r="K4549" s="5">
        <f>tblSales[[#This Row],[Qty]]*tblSales[[#This Row],[Unit Price]]</f>
        <v>180000</v>
      </c>
      <c r="L4549" s="5">
        <f>ROUND(tblSales[[#This Row],[DPP (excl. VAT)]]*VATEff,0)</f>
        <v>19800</v>
      </c>
      <c r="M4549" s="5">
        <f>tblSales[[#This Row],[DPP (excl. VAT)]]+tblSales[[#This Row],[Output VAT]]</f>
        <v>199800</v>
      </c>
      <c r="N4549" s="5">
        <f>tblSales[[#This Row],[Qty]]*_xlfn.XLOOKUP(tblSales[[#This Row],[Product Code]],tblProducts[Code],tblProducts[Unit Cost],0)</f>
        <v>96000</v>
      </c>
      <c r="O4549" s="4" t="s">
        <v>4866</v>
      </c>
      <c r="P4549" s="4" t="s">
        <v>4862</v>
      </c>
      <c r="Q4549" s="1" t="str">
        <f>_xlfn.XLOOKUP(tblSales[[#This Row],[Channel Code]],tblChannels[Channel Code],tblChannels[Channel Name],"")</f>
        <v>Website &amp; Social Media</v>
      </c>
      <c r="R4549" s="1">
        <f>MONTH(tblSales[[#This Row],[Date]])</f>
        <v>10</v>
      </c>
    </row>
    <row r="4550" spans="2:18" x14ac:dyDescent="0.35">
      <c r="B4550" s="113">
        <v>46297</v>
      </c>
      <c r="C4550" s="4" t="s">
        <v>3088</v>
      </c>
      <c r="D4550" s="4" t="s">
        <v>4568</v>
      </c>
      <c r="E4550" s="1" t="str">
        <f>_xlfn.XLOOKUP(tblSales[[#This Row],[Customer ID]],tblCustomers[Customer ID],tblCustomers[Customer Name],"⚠ Unknown")</f>
        <v>Walk-in Customer</v>
      </c>
      <c r="F4550" s="4" t="s">
        <v>7</v>
      </c>
      <c r="G4550" s="1" t="str">
        <f>_xlfn.XLOOKUP(tblSales[[#This Row],[Product Code]],tblProducts[Code],tblProducts[Product / Service Name],"⚠ Unknown")</f>
        <v>Premium Basic T-shirt</v>
      </c>
      <c r="H4550" s="1" t="str">
        <f>_xlfn.XLOOKUP(tblSales[[#This Row],[Product Code]],tblProducts[Code],tblProducts[Category],"")</f>
        <v>Accessories &amp; Basics</v>
      </c>
      <c r="I4550" s="4">
        <v>4</v>
      </c>
      <c r="J4550" s="5">
        <f>_xlfn.XLOOKUP(tblSales[[#This Row],[Product Code]],tblProducts[Code],tblProducts[Selling Price (excl. VAT)],0)</f>
        <v>65000</v>
      </c>
      <c r="K4550" s="5">
        <f>tblSales[[#This Row],[Qty]]*tblSales[[#This Row],[Unit Price]]</f>
        <v>260000</v>
      </c>
      <c r="L4550" s="5">
        <f>ROUND(tblSales[[#This Row],[DPP (excl. VAT)]]*VATEff,0)</f>
        <v>28600</v>
      </c>
      <c r="M4550" s="5">
        <f>tblSales[[#This Row],[DPP (excl. VAT)]]+tblSales[[#This Row],[Output VAT]]</f>
        <v>288600</v>
      </c>
      <c r="N4550" s="5">
        <f>tblSales[[#This Row],[Qty]]*_xlfn.XLOOKUP(tblSales[[#This Row],[Product Code]],tblProducts[Code],tblProducts[Unit Cost],0)</f>
        <v>148000</v>
      </c>
      <c r="O4550" s="4" t="s">
        <v>4866</v>
      </c>
      <c r="P4550" s="4" t="s">
        <v>4862</v>
      </c>
      <c r="Q4550" s="1" t="str">
        <f>_xlfn.XLOOKUP(tblSales[[#This Row],[Channel Code]],tblChannels[Channel Code],tblChannels[Channel Name],"")</f>
        <v>Website &amp; Social Media</v>
      </c>
      <c r="R4550" s="1">
        <f>MONTH(tblSales[[#This Row],[Date]])</f>
        <v>10</v>
      </c>
    </row>
    <row r="4551" spans="2:18" x14ac:dyDescent="0.35">
      <c r="B4551" s="113">
        <v>46298</v>
      </c>
      <c r="C4551" s="4" t="s">
        <v>3089</v>
      </c>
      <c r="D4551" s="4" t="s">
        <v>4568</v>
      </c>
      <c r="E4551" s="1" t="str">
        <f>_xlfn.XLOOKUP(tblSales[[#This Row],[Customer ID]],tblCustomers[Customer ID],tblCustomers[Customer Name],"⚠ Unknown")</f>
        <v>Walk-in Customer</v>
      </c>
      <c r="F4551" s="4" t="s">
        <v>14</v>
      </c>
      <c r="G4551" s="1" t="str">
        <f>_xlfn.XLOOKUP(tblSales[[#This Row],[Product Code]],tblProducts[Code],tblProducts[Product / Service Name],"⚠ Unknown")</f>
        <v>Smartwatch</v>
      </c>
      <c r="H4551" s="1" t="str">
        <f>_xlfn.XLOOKUP(tblSales[[#This Row],[Product Code]],tblProducts[Code],tblProducts[Category],"")</f>
        <v>Bags &amp; Gadgets</v>
      </c>
      <c r="I4551" s="4">
        <v>3</v>
      </c>
      <c r="J4551" s="5">
        <f>_xlfn.XLOOKUP(tblSales[[#This Row],[Product Code]],tblProducts[Code],tblProducts[Selling Price (excl. VAT)],0)</f>
        <v>850000</v>
      </c>
      <c r="K4551" s="5">
        <f>tblSales[[#This Row],[Qty]]*tblSales[[#This Row],[Unit Price]]</f>
        <v>2550000</v>
      </c>
      <c r="L4551" s="5">
        <f>ROUND(tblSales[[#This Row],[DPP (excl. VAT)]]*VATEff,0)</f>
        <v>280500</v>
      </c>
      <c r="M4551" s="5">
        <f>tblSales[[#This Row],[DPP (excl. VAT)]]+tblSales[[#This Row],[Output VAT]]</f>
        <v>2830500</v>
      </c>
      <c r="N4551" s="5">
        <f>tblSales[[#This Row],[Qty]]*_xlfn.XLOOKUP(tblSales[[#This Row],[Product Code]],tblProducts[Code],tblProducts[Unit Cost],0)</f>
        <v>1680000</v>
      </c>
      <c r="O4551" s="4" t="s">
        <v>4866</v>
      </c>
      <c r="P4551" s="4" t="s">
        <v>4861</v>
      </c>
      <c r="Q4551" s="1" t="str">
        <f>_xlfn.XLOOKUP(tblSales[[#This Row],[Channel Code]],tblChannels[Channel Code],tblChannels[Channel Name],"")</f>
        <v>Marketplace</v>
      </c>
      <c r="R4551" s="1">
        <f>MONTH(tblSales[[#This Row],[Date]])</f>
        <v>10</v>
      </c>
    </row>
    <row r="4552" spans="2:18" x14ac:dyDescent="0.35">
      <c r="B4552" s="113">
        <v>46298</v>
      </c>
      <c r="C4552" s="4" t="s">
        <v>3089</v>
      </c>
      <c r="D4552" s="4" t="s">
        <v>4568</v>
      </c>
      <c r="E4552" s="1" t="str">
        <f>_xlfn.XLOOKUP(tblSales[[#This Row],[Customer ID]],tblCustomers[Customer ID],tblCustomers[Customer Name],"⚠ Unknown")</f>
        <v>Walk-in Customer</v>
      </c>
      <c r="F4552" s="4" t="s">
        <v>11</v>
      </c>
      <c r="G4552" s="1" t="str">
        <f>_xlfn.XLOOKUP(tblSales[[#This Row],[Product Code]],tblProducts[Code],tblProducts[Product / Service Name],"⚠ Unknown")</f>
        <v>Sneakers</v>
      </c>
      <c r="H4552" s="1" t="str">
        <f>_xlfn.XLOOKUP(tblSales[[#This Row],[Product Code]],tblProducts[Code],tblProducts[Category],"")</f>
        <v>Apparel &amp; Footwear</v>
      </c>
      <c r="I4552" s="4">
        <v>6</v>
      </c>
      <c r="J4552" s="5">
        <f>_xlfn.XLOOKUP(tblSales[[#This Row],[Product Code]],tblProducts[Code],tblProducts[Selling Price (excl. VAT)],0)</f>
        <v>250000</v>
      </c>
      <c r="K4552" s="5">
        <f>tblSales[[#This Row],[Qty]]*tblSales[[#This Row],[Unit Price]]</f>
        <v>1500000</v>
      </c>
      <c r="L4552" s="5">
        <f>ROUND(tblSales[[#This Row],[DPP (excl. VAT)]]*VATEff,0)</f>
        <v>165000</v>
      </c>
      <c r="M4552" s="5">
        <f>tblSales[[#This Row],[DPP (excl. VAT)]]+tblSales[[#This Row],[Output VAT]]</f>
        <v>1665000</v>
      </c>
      <c r="N4552" s="5">
        <f>tblSales[[#This Row],[Qty]]*_xlfn.XLOOKUP(tblSales[[#This Row],[Product Code]],tblProducts[Code],tblProducts[Unit Cost],0)</f>
        <v>930000</v>
      </c>
      <c r="O4552" s="4" t="s">
        <v>4866</v>
      </c>
      <c r="P4552" s="4" t="s">
        <v>4861</v>
      </c>
      <c r="Q4552" s="1" t="str">
        <f>_xlfn.XLOOKUP(tblSales[[#This Row],[Channel Code]],tblChannels[Channel Code],tblChannels[Channel Name],"")</f>
        <v>Marketplace</v>
      </c>
      <c r="R4552" s="1">
        <f>MONTH(tblSales[[#This Row],[Date]])</f>
        <v>10</v>
      </c>
    </row>
    <row r="4553" spans="2:18" x14ac:dyDescent="0.35">
      <c r="B4553" s="113">
        <v>46298</v>
      </c>
      <c r="C4553" s="4" t="s">
        <v>3090</v>
      </c>
      <c r="D4553" s="4" t="s">
        <v>4568</v>
      </c>
      <c r="E4553" s="1" t="str">
        <f>_xlfn.XLOOKUP(tblSales[[#This Row],[Customer ID]],tblCustomers[Customer ID],tblCustomers[Customer Name],"⚠ Unknown")</f>
        <v>Walk-in Customer</v>
      </c>
      <c r="F4553" s="4" t="s">
        <v>11</v>
      </c>
      <c r="G4553" s="1" t="str">
        <f>_xlfn.XLOOKUP(tblSales[[#This Row],[Product Code]],tblProducts[Code],tblProducts[Product / Service Name],"⚠ Unknown")</f>
        <v>Sneakers</v>
      </c>
      <c r="H4553" s="1" t="str">
        <f>_xlfn.XLOOKUP(tblSales[[#This Row],[Product Code]],tblProducts[Code],tblProducts[Category],"")</f>
        <v>Apparel &amp; Footwear</v>
      </c>
      <c r="I4553" s="4">
        <v>1</v>
      </c>
      <c r="J4553" s="5">
        <f>_xlfn.XLOOKUP(tblSales[[#This Row],[Product Code]],tblProducts[Code],tblProducts[Selling Price (excl. VAT)],0)</f>
        <v>250000</v>
      </c>
      <c r="K4553" s="5">
        <f>tblSales[[#This Row],[Qty]]*tblSales[[#This Row],[Unit Price]]</f>
        <v>250000</v>
      </c>
      <c r="L4553" s="5">
        <f>ROUND(tblSales[[#This Row],[DPP (excl. VAT)]]*VATEff,0)</f>
        <v>27500</v>
      </c>
      <c r="M4553" s="5">
        <f>tblSales[[#This Row],[DPP (excl. VAT)]]+tblSales[[#This Row],[Output VAT]]</f>
        <v>277500</v>
      </c>
      <c r="N4553" s="5">
        <f>tblSales[[#This Row],[Qty]]*_xlfn.XLOOKUP(tblSales[[#This Row],[Product Code]],tblProducts[Code],tblProducts[Unit Cost],0)</f>
        <v>155000</v>
      </c>
      <c r="O4553" s="4" t="s">
        <v>4866</v>
      </c>
      <c r="P4553" s="4" t="s">
        <v>4860</v>
      </c>
      <c r="Q4553" s="1" t="str">
        <f>_xlfn.XLOOKUP(tblSales[[#This Row],[Channel Code]],tblChannels[Channel Code],tblChannels[Channel Name],"")</f>
        <v>In-store</v>
      </c>
      <c r="R4553" s="1">
        <f>MONTH(tblSales[[#This Row],[Date]])</f>
        <v>10</v>
      </c>
    </row>
    <row r="4554" spans="2:18" x14ac:dyDescent="0.35">
      <c r="B4554" s="113">
        <v>46298</v>
      </c>
      <c r="C4554" s="4" t="s">
        <v>3091</v>
      </c>
      <c r="D4554" s="4" t="s">
        <v>4568</v>
      </c>
      <c r="E4554" s="1" t="str">
        <f>_xlfn.XLOOKUP(tblSales[[#This Row],[Customer ID]],tblCustomers[Customer ID],tblCustomers[Customer Name],"⚠ Unknown")</f>
        <v>Walk-in Customer</v>
      </c>
      <c r="F4554" s="4" t="s">
        <v>10</v>
      </c>
      <c r="G4554" s="1" t="str">
        <f>_xlfn.XLOOKUP(tblSales[[#This Row],[Product Code]],tblProducts[Code],tblProducts[Product / Service Name],"⚠ Unknown")</f>
        <v>Chino Pants</v>
      </c>
      <c r="H4554" s="1" t="str">
        <f>_xlfn.XLOOKUP(tblSales[[#This Row],[Product Code]],tblProducts[Code],tblProducts[Category],"")</f>
        <v>Apparel &amp; Footwear</v>
      </c>
      <c r="I4554" s="4">
        <v>2</v>
      </c>
      <c r="J4554" s="5">
        <f>_xlfn.XLOOKUP(tblSales[[#This Row],[Product Code]],tblProducts[Code],tblProducts[Selling Price (excl. VAT)],0)</f>
        <v>150000</v>
      </c>
      <c r="K4554" s="5">
        <f>tblSales[[#This Row],[Qty]]*tblSales[[#This Row],[Unit Price]]</f>
        <v>300000</v>
      </c>
      <c r="L4554" s="5">
        <f>ROUND(tblSales[[#This Row],[DPP (excl. VAT)]]*VATEff,0)</f>
        <v>33000</v>
      </c>
      <c r="M4554" s="5">
        <f>tblSales[[#This Row],[DPP (excl. VAT)]]+tblSales[[#This Row],[Output VAT]]</f>
        <v>333000</v>
      </c>
      <c r="N4554" s="5">
        <f>tblSales[[#This Row],[Qty]]*_xlfn.XLOOKUP(tblSales[[#This Row],[Product Code]],tblProducts[Code],tblProducts[Unit Cost],0)</f>
        <v>176000</v>
      </c>
      <c r="O4554" s="4" t="s">
        <v>4866</v>
      </c>
      <c r="P4554" s="4" t="s">
        <v>4861</v>
      </c>
      <c r="Q4554" s="1" t="str">
        <f>_xlfn.XLOOKUP(tblSales[[#This Row],[Channel Code]],tblChannels[Channel Code],tblChannels[Channel Name],"")</f>
        <v>Marketplace</v>
      </c>
      <c r="R4554" s="1">
        <f>MONTH(tblSales[[#This Row],[Date]])</f>
        <v>10</v>
      </c>
    </row>
    <row r="4555" spans="2:18" x14ac:dyDescent="0.35">
      <c r="B4555" s="113">
        <v>46298</v>
      </c>
      <c r="C4555" s="4" t="s">
        <v>3092</v>
      </c>
      <c r="D4555" s="4" t="s">
        <v>4568</v>
      </c>
      <c r="E4555" s="1" t="str">
        <f>_xlfn.XLOOKUP(tblSales[[#This Row],[Customer ID]],tblCustomers[Customer ID],tblCustomers[Customer Name],"⚠ Unknown")</f>
        <v>Walk-in Customer</v>
      </c>
      <c r="F4555" s="4" t="s">
        <v>12</v>
      </c>
      <c r="G4555" s="1" t="str">
        <f>_xlfn.XLOOKUP(tblSales[[#This Row],[Product Code]],tblProducts[Code],tblProducts[Product / Service Name],"⚠ Unknown")</f>
        <v>Bomber Jacket</v>
      </c>
      <c r="H4555" s="1" t="str">
        <f>_xlfn.XLOOKUP(tblSales[[#This Row],[Product Code]],tblProducts[Code],tblProducts[Category],"")</f>
        <v>Apparel &amp; Footwear</v>
      </c>
      <c r="I4555" s="4">
        <v>4</v>
      </c>
      <c r="J4555" s="5">
        <f>_xlfn.XLOOKUP(tblSales[[#This Row],[Product Code]],tblProducts[Code],tblProducts[Selling Price (excl. VAT)],0)</f>
        <v>350000</v>
      </c>
      <c r="K4555" s="5">
        <f>tblSales[[#This Row],[Qty]]*tblSales[[#This Row],[Unit Price]]</f>
        <v>1400000</v>
      </c>
      <c r="L4555" s="5">
        <f>ROUND(tblSales[[#This Row],[DPP (excl. VAT)]]*VATEff,0)</f>
        <v>154000</v>
      </c>
      <c r="M4555" s="5">
        <f>tblSales[[#This Row],[DPP (excl. VAT)]]+tblSales[[#This Row],[Output VAT]]</f>
        <v>1554000</v>
      </c>
      <c r="N4555" s="5">
        <f>tblSales[[#This Row],[Qty]]*_xlfn.XLOOKUP(tblSales[[#This Row],[Product Code]],tblProducts[Code],tblProducts[Unit Cost],0)</f>
        <v>840000</v>
      </c>
      <c r="O4555" s="4" t="s">
        <v>4865</v>
      </c>
      <c r="P4555" s="4" t="s">
        <v>4860</v>
      </c>
      <c r="Q4555" s="1" t="str">
        <f>_xlfn.XLOOKUP(tblSales[[#This Row],[Channel Code]],tblChannels[Channel Code],tblChannels[Channel Name],"")</f>
        <v>In-store</v>
      </c>
      <c r="R4555" s="1">
        <f>MONTH(tblSales[[#This Row],[Date]])</f>
        <v>10</v>
      </c>
    </row>
    <row r="4556" spans="2:18" x14ac:dyDescent="0.35">
      <c r="B4556" s="113">
        <v>46298</v>
      </c>
      <c r="C4556" s="4" t="s">
        <v>3093</v>
      </c>
      <c r="D4556" s="4" t="s">
        <v>4568</v>
      </c>
      <c r="E4556" s="1" t="str">
        <f>_xlfn.XLOOKUP(tblSales[[#This Row],[Customer ID]],tblCustomers[Customer ID],tblCustomers[Customer Name],"⚠ Unknown")</f>
        <v>Walk-in Customer</v>
      </c>
      <c r="F4556" s="4" t="s">
        <v>8</v>
      </c>
      <c r="G4556" s="1" t="str">
        <f>_xlfn.XLOOKUP(tblSales[[#This Row],[Product Code]],tblProducts[Code],tblProducts[Product / Service Name],"⚠ Unknown")</f>
        <v>Casual Shorts</v>
      </c>
      <c r="H4556" s="1" t="str">
        <f>_xlfn.XLOOKUP(tblSales[[#This Row],[Product Code]],tblProducts[Code],tblProducts[Category],"")</f>
        <v>Accessories &amp; Basics</v>
      </c>
      <c r="I4556" s="4">
        <v>8</v>
      </c>
      <c r="J4556" s="5">
        <f>_xlfn.XLOOKUP(tblSales[[#This Row],[Product Code]],tblProducts[Code],tblProducts[Selling Price (excl. VAT)],0)</f>
        <v>85000</v>
      </c>
      <c r="K4556" s="5">
        <f>tblSales[[#This Row],[Qty]]*tblSales[[#This Row],[Unit Price]]</f>
        <v>680000</v>
      </c>
      <c r="L4556" s="5">
        <f>ROUND(tblSales[[#This Row],[DPP (excl. VAT)]]*VATEff,0)</f>
        <v>74800</v>
      </c>
      <c r="M4556" s="5">
        <f>tblSales[[#This Row],[DPP (excl. VAT)]]+tblSales[[#This Row],[Output VAT]]</f>
        <v>754800</v>
      </c>
      <c r="N4556" s="5">
        <f>tblSales[[#This Row],[Qty]]*_xlfn.XLOOKUP(tblSales[[#This Row],[Product Code]],tblProducts[Code],tblProducts[Unit Cost],0)</f>
        <v>400000</v>
      </c>
      <c r="O4556" s="4" t="s">
        <v>4865</v>
      </c>
      <c r="P4556" s="4" t="s">
        <v>4860</v>
      </c>
      <c r="Q4556" s="1" t="str">
        <f>_xlfn.XLOOKUP(tblSales[[#This Row],[Channel Code]],tblChannels[Channel Code],tblChannels[Channel Name],"")</f>
        <v>In-store</v>
      </c>
      <c r="R4556" s="1">
        <f>MONTH(tblSales[[#This Row],[Date]])</f>
        <v>10</v>
      </c>
    </row>
    <row r="4557" spans="2:18" x14ac:dyDescent="0.35">
      <c r="B4557" s="113">
        <v>46298</v>
      </c>
      <c r="C4557" s="4" t="s">
        <v>3093</v>
      </c>
      <c r="D4557" s="4" t="s">
        <v>4568</v>
      </c>
      <c r="E4557" s="1" t="str">
        <f>_xlfn.XLOOKUP(tblSales[[#This Row],[Customer ID]],tblCustomers[Customer ID],tblCustomers[Customer Name],"⚠ Unknown")</f>
        <v>Walk-in Customer</v>
      </c>
      <c r="F4557" s="4" t="s">
        <v>6</v>
      </c>
      <c r="G4557" s="1" t="str">
        <f>_xlfn.XLOOKUP(tblSales[[#This Row],[Product Code]],tblProducts[Code],tblProducts[Product / Service Name],"⚠ Unknown")</f>
        <v>Socks &amp; Accessories</v>
      </c>
      <c r="H4557" s="1" t="str">
        <f>_xlfn.XLOOKUP(tblSales[[#This Row],[Product Code]],tblProducts[Code],tblProducts[Category],"")</f>
        <v>Accessories &amp; Basics</v>
      </c>
      <c r="I4557" s="4">
        <v>4</v>
      </c>
      <c r="J4557" s="5">
        <f>_xlfn.XLOOKUP(tblSales[[#This Row],[Product Code]],tblProducts[Code],tblProducts[Selling Price (excl. VAT)],0)</f>
        <v>45000</v>
      </c>
      <c r="K4557" s="5">
        <f>tblSales[[#This Row],[Qty]]*tblSales[[#This Row],[Unit Price]]</f>
        <v>180000</v>
      </c>
      <c r="L4557" s="5">
        <f>ROUND(tblSales[[#This Row],[DPP (excl. VAT)]]*VATEff,0)</f>
        <v>19800</v>
      </c>
      <c r="M4557" s="5">
        <f>tblSales[[#This Row],[DPP (excl. VAT)]]+tblSales[[#This Row],[Output VAT]]</f>
        <v>199800</v>
      </c>
      <c r="N4557" s="5">
        <f>tblSales[[#This Row],[Qty]]*_xlfn.XLOOKUP(tblSales[[#This Row],[Product Code]],tblProducts[Code],tblProducts[Unit Cost],0)</f>
        <v>96000</v>
      </c>
      <c r="O4557" s="4" t="s">
        <v>4865</v>
      </c>
      <c r="P4557" s="4" t="s">
        <v>4860</v>
      </c>
      <c r="Q4557" s="1" t="str">
        <f>_xlfn.XLOOKUP(tblSales[[#This Row],[Channel Code]],tblChannels[Channel Code],tblChannels[Channel Name],"")</f>
        <v>In-store</v>
      </c>
      <c r="R4557" s="1">
        <f>MONTH(tblSales[[#This Row],[Date]])</f>
        <v>10</v>
      </c>
    </row>
    <row r="4558" spans="2:18" x14ac:dyDescent="0.35">
      <c r="B4558" s="113">
        <v>46298</v>
      </c>
      <c r="C4558" s="4" t="s">
        <v>3094</v>
      </c>
      <c r="D4558" s="4" t="s">
        <v>4568</v>
      </c>
      <c r="E4558" s="1" t="str">
        <f>_xlfn.XLOOKUP(tblSales[[#This Row],[Customer ID]],tblCustomers[Customer ID],tblCustomers[Customer Name],"⚠ Unknown")</f>
        <v>Walk-in Customer</v>
      </c>
      <c r="F4558" s="4" t="s">
        <v>7</v>
      </c>
      <c r="G4558" s="1" t="str">
        <f>_xlfn.XLOOKUP(tblSales[[#This Row],[Product Code]],tblProducts[Code],tblProducts[Product / Service Name],"⚠ Unknown")</f>
        <v>Premium Basic T-shirt</v>
      </c>
      <c r="H4558" s="1" t="str">
        <f>_xlfn.XLOOKUP(tblSales[[#This Row],[Product Code]],tblProducts[Code],tblProducts[Category],"")</f>
        <v>Accessories &amp; Basics</v>
      </c>
      <c r="I4558" s="4">
        <v>4</v>
      </c>
      <c r="J4558" s="5">
        <f>_xlfn.XLOOKUP(tblSales[[#This Row],[Product Code]],tblProducts[Code],tblProducts[Selling Price (excl. VAT)],0)</f>
        <v>65000</v>
      </c>
      <c r="K4558" s="5">
        <f>tblSales[[#This Row],[Qty]]*tblSales[[#This Row],[Unit Price]]</f>
        <v>260000</v>
      </c>
      <c r="L4558" s="5">
        <f>ROUND(tblSales[[#This Row],[DPP (excl. VAT)]]*VATEff,0)</f>
        <v>28600</v>
      </c>
      <c r="M4558" s="5">
        <f>tblSales[[#This Row],[DPP (excl. VAT)]]+tblSales[[#This Row],[Output VAT]]</f>
        <v>288600</v>
      </c>
      <c r="N4558" s="5">
        <f>tblSales[[#This Row],[Qty]]*_xlfn.XLOOKUP(tblSales[[#This Row],[Product Code]],tblProducts[Code],tblProducts[Unit Cost],0)</f>
        <v>148000</v>
      </c>
      <c r="O4558" s="4" t="s">
        <v>4866</v>
      </c>
      <c r="P4558" s="4" t="s">
        <v>4862</v>
      </c>
      <c r="Q4558" s="1" t="str">
        <f>_xlfn.XLOOKUP(tblSales[[#This Row],[Channel Code]],tblChannels[Channel Code],tblChannels[Channel Name],"")</f>
        <v>Website &amp; Social Media</v>
      </c>
      <c r="R4558" s="1">
        <f>MONTH(tblSales[[#This Row],[Date]])</f>
        <v>10</v>
      </c>
    </row>
    <row r="4559" spans="2:18" x14ac:dyDescent="0.35">
      <c r="B4559" s="113">
        <v>46298</v>
      </c>
      <c r="C4559" s="4" t="s">
        <v>3095</v>
      </c>
      <c r="D4559" s="4" t="s">
        <v>4568</v>
      </c>
      <c r="E4559" s="1" t="str">
        <f>_xlfn.XLOOKUP(tblSales[[#This Row],[Customer ID]],tblCustomers[Customer ID],tblCustomers[Customer Name],"⚠ Unknown")</f>
        <v>Walk-in Customer</v>
      </c>
      <c r="F4559" s="4" t="s">
        <v>14</v>
      </c>
      <c r="G4559" s="1" t="str">
        <f>_xlfn.XLOOKUP(tblSales[[#This Row],[Product Code]],tblProducts[Code],tblProducts[Product / Service Name],"⚠ Unknown")</f>
        <v>Smartwatch</v>
      </c>
      <c r="H4559" s="1" t="str">
        <f>_xlfn.XLOOKUP(tblSales[[#This Row],[Product Code]],tblProducts[Code],tblProducts[Category],"")</f>
        <v>Bags &amp; Gadgets</v>
      </c>
      <c r="I4559" s="4">
        <v>2</v>
      </c>
      <c r="J4559" s="5">
        <f>_xlfn.XLOOKUP(tblSales[[#This Row],[Product Code]],tblProducts[Code],tblProducts[Selling Price (excl. VAT)],0)</f>
        <v>850000</v>
      </c>
      <c r="K4559" s="5">
        <f>tblSales[[#This Row],[Qty]]*tblSales[[#This Row],[Unit Price]]</f>
        <v>1700000</v>
      </c>
      <c r="L4559" s="5">
        <f>ROUND(tblSales[[#This Row],[DPP (excl. VAT)]]*VATEff,0)</f>
        <v>187000</v>
      </c>
      <c r="M4559" s="5">
        <f>tblSales[[#This Row],[DPP (excl. VAT)]]+tblSales[[#This Row],[Output VAT]]</f>
        <v>1887000</v>
      </c>
      <c r="N4559" s="5">
        <f>tblSales[[#This Row],[Qty]]*_xlfn.XLOOKUP(tblSales[[#This Row],[Product Code]],tblProducts[Code],tblProducts[Unit Cost],0)</f>
        <v>1120000</v>
      </c>
      <c r="O4559" s="4" t="s">
        <v>4866</v>
      </c>
      <c r="P4559" s="4" t="s">
        <v>4860</v>
      </c>
      <c r="Q4559" s="1" t="str">
        <f>_xlfn.XLOOKUP(tblSales[[#This Row],[Channel Code]],tblChannels[Channel Code],tblChannels[Channel Name],"")</f>
        <v>In-store</v>
      </c>
      <c r="R4559" s="1">
        <f>MONTH(tblSales[[#This Row],[Date]])</f>
        <v>10</v>
      </c>
    </row>
    <row r="4560" spans="2:18" x14ac:dyDescent="0.35">
      <c r="B4560" s="113">
        <v>46298</v>
      </c>
      <c r="C4560" s="4" t="s">
        <v>3096</v>
      </c>
      <c r="D4560" s="4" t="s">
        <v>4568</v>
      </c>
      <c r="E4560" s="1" t="str">
        <f>_xlfn.XLOOKUP(tblSales[[#This Row],[Customer ID]],tblCustomers[Customer ID],tblCustomers[Customer Name],"⚠ Unknown")</f>
        <v>Walk-in Customer</v>
      </c>
      <c r="F4560" s="4" t="s">
        <v>14</v>
      </c>
      <c r="G4560" s="1" t="str">
        <f>_xlfn.XLOOKUP(tblSales[[#This Row],[Product Code]],tblProducts[Code],tblProducts[Product / Service Name],"⚠ Unknown")</f>
        <v>Smartwatch</v>
      </c>
      <c r="H4560" s="1" t="str">
        <f>_xlfn.XLOOKUP(tblSales[[#This Row],[Product Code]],tblProducts[Code],tblProducts[Category],"")</f>
        <v>Bags &amp; Gadgets</v>
      </c>
      <c r="I4560" s="4">
        <v>3</v>
      </c>
      <c r="J4560" s="5">
        <f>_xlfn.XLOOKUP(tblSales[[#This Row],[Product Code]],tblProducts[Code],tblProducts[Selling Price (excl. VAT)],0)</f>
        <v>850000</v>
      </c>
      <c r="K4560" s="5">
        <f>tblSales[[#This Row],[Qty]]*tblSales[[#This Row],[Unit Price]]</f>
        <v>2550000</v>
      </c>
      <c r="L4560" s="5">
        <f>ROUND(tblSales[[#This Row],[DPP (excl. VAT)]]*VATEff,0)</f>
        <v>280500</v>
      </c>
      <c r="M4560" s="5">
        <f>tblSales[[#This Row],[DPP (excl. VAT)]]+tblSales[[#This Row],[Output VAT]]</f>
        <v>2830500</v>
      </c>
      <c r="N4560" s="5">
        <f>tblSales[[#This Row],[Qty]]*_xlfn.XLOOKUP(tblSales[[#This Row],[Product Code]],tblProducts[Code],tblProducts[Unit Cost],0)</f>
        <v>1680000</v>
      </c>
      <c r="O4560" s="4" t="s">
        <v>4866</v>
      </c>
      <c r="P4560" s="4" t="s">
        <v>4860</v>
      </c>
      <c r="Q4560" s="1" t="str">
        <f>_xlfn.XLOOKUP(tblSales[[#This Row],[Channel Code]],tblChannels[Channel Code],tblChannels[Channel Name],"")</f>
        <v>In-store</v>
      </c>
      <c r="R4560" s="1">
        <f>MONTH(tblSales[[#This Row],[Date]])</f>
        <v>10</v>
      </c>
    </row>
    <row r="4561" spans="2:18" x14ac:dyDescent="0.35">
      <c r="B4561" s="113">
        <v>46298</v>
      </c>
      <c r="C4561" s="4" t="s">
        <v>3096</v>
      </c>
      <c r="D4561" s="4" t="s">
        <v>4568</v>
      </c>
      <c r="E4561" s="1" t="str">
        <f>_xlfn.XLOOKUP(tblSales[[#This Row],[Customer ID]],tblCustomers[Customer ID],tblCustomers[Customer Name],"⚠ Unknown")</f>
        <v>Walk-in Customer</v>
      </c>
      <c r="F4561" s="4" t="s">
        <v>8</v>
      </c>
      <c r="G4561" s="1" t="str">
        <f>_xlfn.XLOOKUP(tblSales[[#This Row],[Product Code]],tblProducts[Code],tblProducts[Product / Service Name],"⚠ Unknown")</f>
        <v>Casual Shorts</v>
      </c>
      <c r="H4561" s="1" t="str">
        <f>_xlfn.XLOOKUP(tblSales[[#This Row],[Product Code]],tblProducts[Code],tblProducts[Category],"")</f>
        <v>Accessories &amp; Basics</v>
      </c>
      <c r="I4561" s="4">
        <v>10</v>
      </c>
      <c r="J4561" s="5">
        <f>_xlfn.XLOOKUP(tblSales[[#This Row],[Product Code]],tblProducts[Code],tblProducts[Selling Price (excl. VAT)],0)</f>
        <v>85000</v>
      </c>
      <c r="K4561" s="5">
        <f>tblSales[[#This Row],[Qty]]*tblSales[[#This Row],[Unit Price]]</f>
        <v>850000</v>
      </c>
      <c r="L4561" s="5">
        <f>ROUND(tblSales[[#This Row],[DPP (excl. VAT)]]*VATEff,0)</f>
        <v>93500</v>
      </c>
      <c r="M4561" s="5">
        <f>tblSales[[#This Row],[DPP (excl. VAT)]]+tblSales[[#This Row],[Output VAT]]</f>
        <v>943500</v>
      </c>
      <c r="N4561" s="5">
        <f>tblSales[[#This Row],[Qty]]*_xlfn.XLOOKUP(tblSales[[#This Row],[Product Code]],tblProducts[Code],tblProducts[Unit Cost],0)</f>
        <v>500000</v>
      </c>
      <c r="O4561" s="4" t="s">
        <v>4866</v>
      </c>
      <c r="P4561" s="4" t="s">
        <v>4860</v>
      </c>
      <c r="Q4561" s="1" t="str">
        <f>_xlfn.XLOOKUP(tblSales[[#This Row],[Channel Code]],tblChannels[Channel Code],tblChannels[Channel Name],"")</f>
        <v>In-store</v>
      </c>
      <c r="R4561" s="1">
        <f>MONTH(tblSales[[#This Row],[Date]])</f>
        <v>10</v>
      </c>
    </row>
    <row r="4562" spans="2:18" x14ac:dyDescent="0.35">
      <c r="B4562" s="113">
        <v>46298</v>
      </c>
      <c r="C4562" s="4" t="s">
        <v>3097</v>
      </c>
      <c r="D4562" s="4" t="s">
        <v>4568</v>
      </c>
      <c r="E4562" s="1" t="str">
        <f>_xlfn.XLOOKUP(tblSales[[#This Row],[Customer ID]],tblCustomers[Customer ID],tblCustomers[Customer Name],"⚠ Unknown")</f>
        <v>Walk-in Customer</v>
      </c>
      <c r="F4562" s="4" t="s">
        <v>8</v>
      </c>
      <c r="G4562" s="1" t="str">
        <f>_xlfn.XLOOKUP(tblSales[[#This Row],[Product Code]],tblProducts[Code],tblProducts[Product / Service Name],"⚠ Unknown")</f>
        <v>Casual Shorts</v>
      </c>
      <c r="H4562" s="1" t="str">
        <f>_xlfn.XLOOKUP(tblSales[[#This Row],[Product Code]],tblProducts[Code],tblProducts[Category],"")</f>
        <v>Accessories &amp; Basics</v>
      </c>
      <c r="I4562" s="4">
        <v>8</v>
      </c>
      <c r="J4562" s="5">
        <f>_xlfn.XLOOKUP(tblSales[[#This Row],[Product Code]],tblProducts[Code],tblProducts[Selling Price (excl. VAT)],0)</f>
        <v>85000</v>
      </c>
      <c r="K4562" s="5">
        <f>tblSales[[#This Row],[Qty]]*tblSales[[#This Row],[Unit Price]]</f>
        <v>680000</v>
      </c>
      <c r="L4562" s="5">
        <f>ROUND(tblSales[[#This Row],[DPP (excl. VAT)]]*VATEff,0)</f>
        <v>74800</v>
      </c>
      <c r="M4562" s="5">
        <f>tblSales[[#This Row],[DPP (excl. VAT)]]+tblSales[[#This Row],[Output VAT]]</f>
        <v>754800</v>
      </c>
      <c r="N4562" s="5">
        <f>tblSales[[#This Row],[Qty]]*_xlfn.XLOOKUP(tblSales[[#This Row],[Product Code]],tblProducts[Code],tblProducts[Unit Cost],0)</f>
        <v>400000</v>
      </c>
      <c r="O4562" s="4" t="s">
        <v>4866</v>
      </c>
      <c r="P4562" s="4" t="s">
        <v>4861</v>
      </c>
      <c r="Q4562" s="1" t="str">
        <f>_xlfn.XLOOKUP(tblSales[[#This Row],[Channel Code]],tblChannels[Channel Code],tblChannels[Channel Name],"")</f>
        <v>Marketplace</v>
      </c>
      <c r="R4562" s="1">
        <f>MONTH(tblSales[[#This Row],[Date]])</f>
        <v>10</v>
      </c>
    </row>
    <row r="4563" spans="2:18" x14ac:dyDescent="0.35">
      <c r="B4563" s="113">
        <v>46298</v>
      </c>
      <c r="C4563" s="4" t="s">
        <v>3098</v>
      </c>
      <c r="D4563" s="4" t="s">
        <v>4568</v>
      </c>
      <c r="E4563" s="1" t="str">
        <f>_xlfn.XLOOKUP(tblSales[[#This Row],[Customer ID]],tblCustomers[Customer ID],tblCustomers[Customer Name],"⚠ Unknown")</f>
        <v>Walk-in Customer</v>
      </c>
      <c r="F4563" s="4" t="s">
        <v>7</v>
      </c>
      <c r="G4563" s="1" t="str">
        <f>_xlfn.XLOOKUP(tblSales[[#This Row],[Product Code]],tblProducts[Code],tblProducts[Product / Service Name],"⚠ Unknown")</f>
        <v>Premium Basic T-shirt</v>
      </c>
      <c r="H4563" s="1" t="str">
        <f>_xlfn.XLOOKUP(tblSales[[#This Row],[Product Code]],tblProducts[Code],tblProducts[Category],"")</f>
        <v>Accessories &amp; Basics</v>
      </c>
      <c r="I4563" s="4">
        <v>4</v>
      </c>
      <c r="J4563" s="5">
        <f>_xlfn.XLOOKUP(tblSales[[#This Row],[Product Code]],tblProducts[Code],tblProducts[Selling Price (excl. VAT)],0)</f>
        <v>65000</v>
      </c>
      <c r="K4563" s="5">
        <f>tblSales[[#This Row],[Qty]]*tblSales[[#This Row],[Unit Price]]</f>
        <v>260000</v>
      </c>
      <c r="L4563" s="5">
        <f>ROUND(tblSales[[#This Row],[DPP (excl. VAT)]]*VATEff,0)</f>
        <v>28600</v>
      </c>
      <c r="M4563" s="5">
        <f>tblSales[[#This Row],[DPP (excl. VAT)]]+tblSales[[#This Row],[Output VAT]]</f>
        <v>288600</v>
      </c>
      <c r="N4563" s="5">
        <f>tblSales[[#This Row],[Qty]]*_xlfn.XLOOKUP(tblSales[[#This Row],[Product Code]],tblProducts[Code],tblProducts[Unit Cost],0)</f>
        <v>148000</v>
      </c>
      <c r="O4563" s="4" t="s">
        <v>4866</v>
      </c>
      <c r="P4563" s="4" t="s">
        <v>4861</v>
      </c>
      <c r="Q4563" s="1" t="str">
        <f>_xlfn.XLOOKUP(tblSales[[#This Row],[Channel Code]],tblChannels[Channel Code],tblChannels[Channel Name],"")</f>
        <v>Marketplace</v>
      </c>
      <c r="R4563" s="1">
        <f>MONTH(tblSales[[#This Row],[Date]])</f>
        <v>10</v>
      </c>
    </row>
    <row r="4564" spans="2:18" x14ac:dyDescent="0.35">
      <c r="B4564" s="113">
        <v>46298</v>
      </c>
      <c r="C4564" s="4" t="s">
        <v>3099</v>
      </c>
      <c r="D4564" s="4" t="s">
        <v>4568</v>
      </c>
      <c r="E4564" s="1" t="str">
        <f>_xlfn.XLOOKUP(tblSales[[#This Row],[Customer ID]],tblCustomers[Customer ID],tblCustomers[Customer Name],"⚠ Unknown")</f>
        <v>Walk-in Customer</v>
      </c>
      <c r="F4564" s="4" t="s">
        <v>10</v>
      </c>
      <c r="G4564" s="1" t="str">
        <f>_xlfn.XLOOKUP(tblSales[[#This Row],[Product Code]],tblProducts[Code],tblProducts[Product / Service Name],"⚠ Unknown")</f>
        <v>Chino Pants</v>
      </c>
      <c r="H4564" s="1" t="str">
        <f>_xlfn.XLOOKUP(tblSales[[#This Row],[Product Code]],tblProducts[Code],tblProducts[Category],"")</f>
        <v>Apparel &amp; Footwear</v>
      </c>
      <c r="I4564" s="4">
        <v>12</v>
      </c>
      <c r="J4564" s="5">
        <f>_xlfn.XLOOKUP(tblSales[[#This Row],[Product Code]],tblProducts[Code],tblProducts[Selling Price (excl. VAT)],0)</f>
        <v>150000</v>
      </c>
      <c r="K4564" s="5">
        <f>tblSales[[#This Row],[Qty]]*tblSales[[#This Row],[Unit Price]]</f>
        <v>1800000</v>
      </c>
      <c r="L4564" s="5">
        <f>ROUND(tblSales[[#This Row],[DPP (excl. VAT)]]*VATEff,0)</f>
        <v>198000</v>
      </c>
      <c r="M4564" s="5">
        <f>tblSales[[#This Row],[DPP (excl. VAT)]]+tblSales[[#This Row],[Output VAT]]</f>
        <v>1998000</v>
      </c>
      <c r="N4564" s="5">
        <f>tblSales[[#This Row],[Qty]]*_xlfn.XLOOKUP(tblSales[[#This Row],[Product Code]],tblProducts[Code],tblProducts[Unit Cost],0)</f>
        <v>1056000</v>
      </c>
      <c r="O4564" s="4" t="s">
        <v>4866</v>
      </c>
      <c r="P4564" s="4" t="s">
        <v>4861</v>
      </c>
      <c r="Q4564" s="1" t="str">
        <f>_xlfn.XLOOKUP(tblSales[[#This Row],[Channel Code]],tblChannels[Channel Code],tblChannels[Channel Name],"")</f>
        <v>Marketplace</v>
      </c>
      <c r="R4564" s="1">
        <f>MONTH(tblSales[[#This Row],[Date]])</f>
        <v>10</v>
      </c>
    </row>
    <row r="4565" spans="2:18" x14ac:dyDescent="0.35">
      <c r="B4565" s="113">
        <v>46299</v>
      </c>
      <c r="C4565" s="4" t="s">
        <v>3100</v>
      </c>
      <c r="D4565" s="4" t="s">
        <v>4568</v>
      </c>
      <c r="E4565" s="1" t="str">
        <f>_xlfn.XLOOKUP(tblSales[[#This Row],[Customer ID]],tblCustomers[Customer ID],tblCustomers[Customer Name],"⚠ Unknown")</f>
        <v>Walk-in Customer</v>
      </c>
      <c r="F4565" s="4" t="s">
        <v>11</v>
      </c>
      <c r="G4565" s="1" t="str">
        <f>_xlfn.XLOOKUP(tblSales[[#This Row],[Product Code]],tblProducts[Code],tblProducts[Product / Service Name],"⚠ Unknown")</f>
        <v>Sneakers</v>
      </c>
      <c r="H4565" s="1" t="str">
        <f>_xlfn.XLOOKUP(tblSales[[#This Row],[Product Code]],tblProducts[Code],tblProducts[Category],"")</f>
        <v>Apparel &amp; Footwear</v>
      </c>
      <c r="I4565" s="4">
        <v>3</v>
      </c>
      <c r="J4565" s="5">
        <f>_xlfn.XLOOKUP(tblSales[[#This Row],[Product Code]],tblProducts[Code],tblProducts[Selling Price (excl. VAT)],0)</f>
        <v>250000</v>
      </c>
      <c r="K4565" s="5">
        <f>tblSales[[#This Row],[Qty]]*tblSales[[#This Row],[Unit Price]]</f>
        <v>750000</v>
      </c>
      <c r="L4565" s="5">
        <f>ROUND(tblSales[[#This Row],[DPP (excl. VAT)]]*VATEff,0)</f>
        <v>82500</v>
      </c>
      <c r="M4565" s="5">
        <f>tblSales[[#This Row],[DPP (excl. VAT)]]+tblSales[[#This Row],[Output VAT]]</f>
        <v>832500</v>
      </c>
      <c r="N4565" s="5">
        <f>tblSales[[#This Row],[Qty]]*_xlfn.XLOOKUP(tblSales[[#This Row],[Product Code]],tblProducts[Code],tblProducts[Unit Cost],0)</f>
        <v>465000</v>
      </c>
      <c r="O4565" s="4" t="s">
        <v>4866</v>
      </c>
      <c r="P4565" s="4" t="s">
        <v>4860</v>
      </c>
      <c r="Q4565" s="1" t="str">
        <f>_xlfn.XLOOKUP(tblSales[[#This Row],[Channel Code]],tblChannels[Channel Code],tblChannels[Channel Name],"")</f>
        <v>In-store</v>
      </c>
      <c r="R4565" s="1">
        <f>MONTH(tblSales[[#This Row],[Date]])</f>
        <v>10</v>
      </c>
    </row>
    <row r="4566" spans="2:18" x14ac:dyDescent="0.35">
      <c r="B4566" s="113">
        <v>46299</v>
      </c>
      <c r="C4566" s="4" t="s">
        <v>3101</v>
      </c>
      <c r="D4566" s="4" t="s">
        <v>4568</v>
      </c>
      <c r="E4566" s="1" t="str">
        <f>_xlfn.XLOOKUP(tblSales[[#This Row],[Customer ID]],tblCustomers[Customer ID],tblCustomers[Customer Name],"⚠ Unknown")</f>
        <v>Walk-in Customer</v>
      </c>
      <c r="F4566" s="4" t="s">
        <v>9</v>
      </c>
      <c r="G4566" s="1" t="str">
        <f>_xlfn.XLOOKUP(tblSales[[#This Row],[Product Code]],tblProducts[Code],tblProducts[Product / Service Name],"⚠ Unknown")</f>
        <v>Casual Shirt</v>
      </c>
      <c r="H4566" s="1" t="str">
        <f>_xlfn.XLOOKUP(tblSales[[#This Row],[Product Code]],tblProducts[Code],tblProducts[Category],"")</f>
        <v>Apparel &amp; Footwear</v>
      </c>
      <c r="I4566" s="4">
        <v>4</v>
      </c>
      <c r="J4566" s="5">
        <f>_xlfn.XLOOKUP(tblSales[[#This Row],[Product Code]],tblProducts[Code],tblProducts[Selling Price (excl. VAT)],0)</f>
        <v>120000</v>
      </c>
      <c r="K4566" s="5">
        <f>tblSales[[#This Row],[Qty]]*tblSales[[#This Row],[Unit Price]]</f>
        <v>480000</v>
      </c>
      <c r="L4566" s="5">
        <f>ROUND(tblSales[[#This Row],[DPP (excl. VAT)]]*VATEff,0)</f>
        <v>52800</v>
      </c>
      <c r="M4566" s="5">
        <f>tblSales[[#This Row],[DPP (excl. VAT)]]+tblSales[[#This Row],[Output VAT]]</f>
        <v>532800</v>
      </c>
      <c r="N4566" s="5">
        <f>tblSales[[#This Row],[Qty]]*_xlfn.XLOOKUP(tblSales[[#This Row],[Product Code]],tblProducts[Code],tblProducts[Unit Cost],0)</f>
        <v>288000</v>
      </c>
      <c r="O4566" s="4" t="s">
        <v>4866</v>
      </c>
      <c r="P4566" s="4" t="s">
        <v>4862</v>
      </c>
      <c r="Q4566" s="1" t="str">
        <f>_xlfn.XLOOKUP(tblSales[[#This Row],[Channel Code]],tblChannels[Channel Code],tblChannels[Channel Name],"")</f>
        <v>Website &amp; Social Media</v>
      </c>
      <c r="R4566" s="1">
        <f>MONTH(tblSales[[#This Row],[Date]])</f>
        <v>10</v>
      </c>
    </row>
    <row r="4567" spans="2:18" x14ac:dyDescent="0.35">
      <c r="B4567" s="113">
        <v>46299</v>
      </c>
      <c r="C4567" s="4" t="s">
        <v>3102</v>
      </c>
      <c r="D4567" s="4" t="s">
        <v>4568</v>
      </c>
      <c r="E4567" s="1" t="str">
        <f>_xlfn.XLOOKUP(tblSales[[#This Row],[Customer ID]],tblCustomers[Customer ID],tblCustomers[Customer Name],"⚠ Unknown")</f>
        <v>Walk-in Customer</v>
      </c>
      <c r="F4567" s="4" t="s">
        <v>8</v>
      </c>
      <c r="G4567" s="1" t="str">
        <f>_xlfn.XLOOKUP(tblSales[[#This Row],[Product Code]],tblProducts[Code],tblProducts[Product / Service Name],"⚠ Unknown")</f>
        <v>Casual Shorts</v>
      </c>
      <c r="H4567" s="1" t="str">
        <f>_xlfn.XLOOKUP(tblSales[[#This Row],[Product Code]],tblProducts[Code],tblProducts[Category],"")</f>
        <v>Accessories &amp; Basics</v>
      </c>
      <c r="I4567" s="4">
        <v>6</v>
      </c>
      <c r="J4567" s="5">
        <f>_xlfn.XLOOKUP(tblSales[[#This Row],[Product Code]],tblProducts[Code],tblProducts[Selling Price (excl. VAT)],0)</f>
        <v>85000</v>
      </c>
      <c r="K4567" s="5">
        <f>tblSales[[#This Row],[Qty]]*tblSales[[#This Row],[Unit Price]]</f>
        <v>510000</v>
      </c>
      <c r="L4567" s="5">
        <f>ROUND(tblSales[[#This Row],[DPP (excl. VAT)]]*VATEff,0)</f>
        <v>56100</v>
      </c>
      <c r="M4567" s="5">
        <f>tblSales[[#This Row],[DPP (excl. VAT)]]+tblSales[[#This Row],[Output VAT]]</f>
        <v>566100</v>
      </c>
      <c r="N4567" s="5">
        <f>tblSales[[#This Row],[Qty]]*_xlfn.XLOOKUP(tblSales[[#This Row],[Product Code]],tblProducts[Code],tblProducts[Unit Cost],0)</f>
        <v>300000</v>
      </c>
      <c r="O4567" s="4" t="s">
        <v>4866</v>
      </c>
      <c r="P4567" s="4" t="s">
        <v>4860</v>
      </c>
      <c r="Q4567" s="1" t="str">
        <f>_xlfn.XLOOKUP(tblSales[[#This Row],[Channel Code]],tblChannels[Channel Code],tblChannels[Channel Name],"")</f>
        <v>In-store</v>
      </c>
      <c r="R4567" s="1">
        <f>MONTH(tblSales[[#This Row],[Date]])</f>
        <v>10</v>
      </c>
    </row>
    <row r="4568" spans="2:18" x14ac:dyDescent="0.35">
      <c r="B4568" s="113">
        <v>46299</v>
      </c>
      <c r="C4568" s="4" t="s">
        <v>3103</v>
      </c>
      <c r="D4568" s="4" t="s">
        <v>4568</v>
      </c>
      <c r="E4568" s="1" t="str">
        <f>_xlfn.XLOOKUP(tblSales[[#This Row],[Customer ID]],tblCustomers[Customer ID],tblCustomers[Customer Name],"⚠ Unknown")</f>
        <v>Walk-in Customer</v>
      </c>
      <c r="F4568" s="4" t="s">
        <v>12</v>
      </c>
      <c r="G4568" s="1" t="str">
        <f>_xlfn.XLOOKUP(tblSales[[#This Row],[Product Code]],tblProducts[Code],tblProducts[Product / Service Name],"⚠ Unknown")</f>
        <v>Bomber Jacket</v>
      </c>
      <c r="H4568" s="1" t="str">
        <f>_xlfn.XLOOKUP(tblSales[[#This Row],[Product Code]],tblProducts[Code],tblProducts[Category],"")</f>
        <v>Apparel &amp; Footwear</v>
      </c>
      <c r="I4568" s="4">
        <v>6</v>
      </c>
      <c r="J4568" s="5">
        <f>_xlfn.XLOOKUP(tblSales[[#This Row],[Product Code]],tblProducts[Code],tblProducts[Selling Price (excl. VAT)],0)</f>
        <v>350000</v>
      </c>
      <c r="K4568" s="5">
        <f>tblSales[[#This Row],[Qty]]*tblSales[[#This Row],[Unit Price]]</f>
        <v>2100000</v>
      </c>
      <c r="L4568" s="5">
        <f>ROUND(tblSales[[#This Row],[DPP (excl. VAT)]]*VATEff,0)</f>
        <v>231000</v>
      </c>
      <c r="M4568" s="5">
        <f>tblSales[[#This Row],[DPP (excl. VAT)]]+tblSales[[#This Row],[Output VAT]]</f>
        <v>2331000</v>
      </c>
      <c r="N4568" s="5">
        <f>tblSales[[#This Row],[Qty]]*_xlfn.XLOOKUP(tblSales[[#This Row],[Product Code]],tblProducts[Code],tblProducts[Unit Cost],0)</f>
        <v>1260000</v>
      </c>
      <c r="O4568" s="4" t="s">
        <v>4866</v>
      </c>
      <c r="P4568" s="4" t="s">
        <v>4862</v>
      </c>
      <c r="Q4568" s="1" t="str">
        <f>_xlfn.XLOOKUP(tblSales[[#This Row],[Channel Code]],tblChannels[Channel Code],tblChannels[Channel Name],"")</f>
        <v>Website &amp; Social Media</v>
      </c>
      <c r="R4568" s="1">
        <f>MONTH(tblSales[[#This Row],[Date]])</f>
        <v>10</v>
      </c>
    </row>
    <row r="4569" spans="2:18" x14ac:dyDescent="0.35">
      <c r="B4569" s="113">
        <v>46299</v>
      </c>
      <c r="C4569" s="4" t="s">
        <v>3104</v>
      </c>
      <c r="D4569" s="4" t="s">
        <v>4568</v>
      </c>
      <c r="E4569" s="1" t="str">
        <f>_xlfn.XLOOKUP(tblSales[[#This Row],[Customer ID]],tblCustomers[Customer ID],tblCustomers[Customer Name],"⚠ Unknown")</f>
        <v>Walk-in Customer</v>
      </c>
      <c r="F4569" s="4" t="s">
        <v>9</v>
      </c>
      <c r="G4569" s="1" t="str">
        <f>_xlfn.XLOOKUP(tblSales[[#This Row],[Product Code]],tblProducts[Code],tblProducts[Product / Service Name],"⚠ Unknown")</f>
        <v>Casual Shirt</v>
      </c>
      <c r="H4569" s="1" t="str">
        <f>_xlfn.XLOOKUP(tblSales[[#This Row],[Product Code]],tblProducts[Code],tblProducts[Category],"")</f>
        <v>Apparel &amp; Footwear</v>
      </c>
      <c r="I4569" s="4">
        <v>7</v>
      </c>
      <c r="J4569" s="5">
        <f>_xlfn.XLOOKUP(tblSales[[#This Row],[Product Code]],tblProducts[Code],tblProducts[Selling Price (excl. VAT)],0)</f>
        <v>120000</v>
      </c>
      <c r="K4569" s="5">
        <f>tblSales[[#This Row],[Qty]]*tblSales[[#This Row],[Unit Price]]</f>
        <v>840000</v>
      </c>
      <c r="L4569" s="5">
        <f>ROUND(tblSales[[#This Row],[DPP (excl. VAT)]]*VATEff,0)</f>
        <v>92400</v>
      </c>
      <c r="M4569" s="5">
        <f>tblSales[[#This Row],[DPP (excl. VAT)]]+tblSales[[#This Row],[Output VAT]]</f>
        <v>932400</v>
      </c>
      <c r="N4569" s="5">
        <f>tblSales[[#This Row],[Qty]]*_xlfn.XLOOKUP(tblSales[[#This Row],[Product Code]],tblProducts[Code],tblProducts[Unit Cost],0)</f>
        <v>504000</v>
      </c>
      <c r="O4569" s="4" t="s">
        <v>4865</v>
      </c>
      <c r="P4569" s="4" t="s">
        <v>4860</v>
      </c>
      <c r="Q4569" s="1" t="str">
        <f>_xlfn.XLOOKUP(tblSales[[#This Row],[Channel Code]],tblChannels[Channel Code],tblChannels[Channel Name],"")</f>
        <v>In-store</v>
      </c>
      <c r="R4569" s="1">
        <f>MONTH(tblSales[[#This Row],[Date]])</f>
        <v>10</v>
      </c>
    </row>
    <row r="4570" spans="2:18" x14ac:dyDescent="0.35">
      <c r="B4570" s="113">
        <v>46299</v>
      </c>
      <c r="C4570" s="4" t="s">
        <v>3105</v>
      </c>
      <c r="D4570" s="4" t="s">
        <v>4568</v>
      </c>
      <c r="E4570" s="1" t="str">
        <f>_xlfn.XLOOKUP(tblSales[[#This Row],[Customer ID]],tblCustomers[Customer ID],tblCustomers[Customer Name],"⚠ Unknown")</f>
        <v>Walk-in Customer</v>
      </c>
      <c r="F4570" s="4" t="s">
        <v>15</v>
      </c>
      <c r="G4570" s="1" t="str">
        <f>_xlfn.XLOOKUP(tblSales[[#This Row],[Product Code]],tblProducts[Code],tblProducts[Product / Service Name],"⚠ Unknown")</f>
        <v>Wireless Earbuds Pro</v>
      </c>
      <c r="H4570" s="1" t="str">
        <f>_xlfn.XLOOKUP(tblSales[[#This Row],[Product Code]],tblProducts[Code],tblProducts[Category],"")</f>
        <v>Bags &amp; Gadgets</v>
      </c>
      <c r="I4570" s="4">
        <v>1</v>
      </c>
      <c r="J4570" s="5">
        <f>_xlfn.XLOOKUP(tblSales[[#This Row],[Product Code]],tblProducts[Code],tblProducts[Selling Price (excl. VAT)],0)</f>
        <v>1250000</v>
      </c>
      <c r="K4570" s="5">
        <f>tblSales[[#This Row],[Qty]]*tblSales[[#This Row],[Unit Price]]</f>
        <v>1250000</v>
      </c>
      <c r="L4570" s="5">
        <f>ROUND(tblSales[[#This Row],[DPP (excl. VAT)]]*VATEff,0)</f>
        <v>137500</v>
      </c>
      <c r="M4570" s="5">
        <f>tblSales[[#This Row],[DPP (excl. VAT)]]+tblSales[[#This Row],[Output VAT]]</f>
        <v>1387500</v>
      </c>
      <c r="N4570" s="5">
        <f>tblSales[[#This Row],[Qty]]*_xlfn.XLOOKUP(tblSales[[#This Row],[Product Code]],tblProducts[Code],tblProducts[Unit Cost],0)</f>
        <v>820000</v>
      </c>
      <c r="O4570" s="4" t="s">
        <v>4865</v>
      </c>
      <c r="P4570" s="4" t="s">
        <v>4860</v>
      </c>
      <c r="Q4570" s="1" t="str">
        <f>_xlfn.XLOOKUP(tblSales[[#This Row],[Channel Code]],tblChannels[Channel Code],tblChannels[Channel Name],"")</f>
        <v>In-store</v>
      </c>
      <c r="R4570" s="1">
        <f>MONTH(tblSales[[#This Row],[Date]])</f>
        <v>10</v>
      </c>
    </row>
    <row r="4571" spans="2:18" x14ac:dyDescent="0.35">
      <c r="B4571" s="113">
        <v>46299</v>
      </c>
      <c r="C4571" s="4" t="s">
        <v>3105</v>
      </c>
      <c r="D4571" s="4" t="s">
        <v>4568</v>
      </c>
      <c r="E4571" s="1" t="str">
        <f>_xlfn.XLOOKUP(tblSales[[#This Row],[Customer ID]],tblCustomers[Customer ID],tblCustomers[Customer Name],"⚠ Unknown")</f>
        <v>Walk-in Customer</v>
      </c>
      <c r="F4571" s="4" t="s">
        <v>7</v>
      </c>
      <c r="G4571" s="1" t="str">
        <f>_xlfn.XLOOKUP(tblSales[[#This Row],[Product Code]],tblProducts[Code],tblProducts[Product / Service Name],"⚠ Unknown")</f>
        <v>Premium Basic T-shirt</v>
      </c>
      <c r="H4571" s="1" t="str">
        <f>_xlfn.XLOOKUP(tblSales[[#This Row],[Product Code]],tblProducts[Code],tblProducts[Category],"")</f>
        <v>Accessories &amp; Basics</v>
      </c>
      <c r="I4571" s="4">
        <v>1</v>
      </c>
      <c r="J4571" s="5">
        <f>_xlfn.XLOOKUP(tblSales[[#This Row],[Product Code]],tblProducts[Code],tblProducts[Selling Price (excl. VAT)],0)</f>
        <v>65000</v>
      </c>
      <c r="K4571" s="5">
        <f>tblSales[[#This Row],[Qty]]*tblSales[[#This Row],[Unit Price]]</f>
        <v>65000</v>
      </c>
      <c r="L4571" s="5">
        <f>ROUND(tblSales[[#This Row],[DPP (excl. VAT)]]*VATEff,0)</f>
        <v>7150</v>
      </c>
      <c r="M4571" s="5">
        <f>tblSales[[#This Row],[DPP (excl. VAT)]]+tblSales[[#This Row],[Output VAT]]</f>
        <v>72150</v>
      </c>
      <c r="N4571" s="5">
        <f>tblSales[[#This Row],[Qty]]*_xlfn.XLOOKUP(tblSales[[#This Row],[Product Code]],tblProducts[Code],tblProducts[Unit Cost],0)</f>
        <v>37000</v>
      </c>
      <c r="O4571" s="4" t="s">
        <v>4865</v>
      </c>
      <c r="P4571" s="4" t="s">
        <v>4860</v>
      </c>
      <c r="Q4571" s="1" t="str">
        <f>_xlfn.XLOOKUP(tblSales[[#This Row],[Channel Code]],tblChannels[Channel Code],tblChannels[Channel Name],"")</f>
        <v>In-store</v>
      </c>
      <c r="R4571" s="1">
        <f>MONTH(tblSales[[#This Row],[Date]])</f>
        <v>10</v>
      </c>
    </row>
    <row r="4572" spans="2:18" x14ac:dyDescent="0.35">
      <c r="B4572" s="113">
        <v>46299</v>
      </c>
      <c r="C4572" s="4" t="s">
        <v>3105</v>
      </c>
      <c r="D4572" s="4" t="s">
        <v>4568</v>
      </c>
      <c r="E4572" s="1" t="str">
        <f>_xlfn.XLOOKUP(tblSales[[#This Row],[Customer ID]],tblCustomers[Customer ID],tblCustomers[Customer Name],"⚠ Unknown")</f>
        <v>Walk-in Customer</v>
      </c>
      <c r="F4572" s="4" t="s">
        <v>10</v>
      </c>
      <c r="G4572" s="1" t="str">
        <f>_xlfn.XLOOKUP(tblSales[[#This Row],[Product Code]],tblProducts[Code],tblProducts[Product / Service Name],"⚠ Unknown")</f>
        <v>Chino Pants</v>
      </c>
      <c r="H4572" s="1" t="str">
        <f>_xlfn.XLOOKUP(tblSales[[#This Row],[Product Code]],tblProducts[Code],tblProducts[Category],"")</f>
        <v>Apparel &amp; Footwear</v>
      </c>
      <c r="I4572" s="4">
        <v>7</v>
      </c>
      <c r="J4572" s="5">
        <f>_xlfn.XLOOKUP(tblSales[[#This Row],[Product Code]],tblProducts[Code],tblProducts[Selling Price (excl. VAT)],0)</f>
        <v>150000</v>
      </c>
      <c r="K4572" s="5">
        <f>tblSales[[#This Row],[Qty]]*tblSales[[#This Row],[Unit Price]]</f>
        <v>1050000</v>
      </c>
      <c r="L4572" s="5">
        <f>ROUND(tblSales[[#This Row],[DPP (excl. VAT)]]*VATEff,0)</f>
        <v>115500</v>
      </c>
      <c r="M4572" s="5">
        <f>tblSales[[#This Row],[DPP (excl. VAT)]]+tblSales[[#This Row],[Output VAT]]</f>
        <v>1165500</v>
      </c>
      <c r="N4572" s="5">
        <f>tblSales[[#This Row],[Qty]]*_xlfn.XLOOKUP(tblSales[[#This Row],[Product Code]],tblProducts[Code],tblProducts[Unit Cost],0)</f>
        <v>616000</v>
      </c>
      <c r="O4572" s="4" t="s">
        <v>4865</v>
      </c>
      <c r="P4572" s="4" t="s">
        <v>4860</v>
      </c>
      <c r="Q4572" s="1" t="str">
        <f>_xlfn.XLOOKUP(tblSales[[#This Row],[Channel Code]],tblChannels[Channel Code],tblChannels[Channel Name],"")</f>
        <v>In-store</v>
      </c>
      <c r="R4572" s="1">
        <f>MONTH(tblSales[[#This Row],[Date]])</f>
        <v>10</v>
      </c>
    </row>
    <row r="4573" spans="2:18" x14ac:dyDescent="0.35">
      <c r="B4573" s="113">
        <v>46299</v>
      </c>
      <c r="C4573" s="4" t="s">
        <v>3106</v>
      </c>
      <c r="D4573" s="4" t="s">
        <v>4634</v>
      </c>
      <c r="E4573" s="1" t="str">
        <f>_xlfn.XLOOKUP(tblSales[[#This Row],[Customer ID]],tblCustomers[Customer ID],tblCustomers[Customer Name],"⚠ Unknown")</f>
        <v>PT Delta Inti Selaras</v>
      </c>
      <c r="F4573" s="4" t="s">
        <v>11</v>
      </c>
      <c r="G4573" s="1" t="str">
        <f>_xlfn.XLOOKUP(tblSales[[#This Row],[Product Code]],tblProducts[Code],tblProducts[Product / Service Name],"⚠ Unknown")</f>
        <v>Sneakers</v>
      </c>
      <c r="H4573" s="1" t="str">
        <f>_xlfn.XLOOKUP(tblSales[[#This Row],[Product Code]],tblProducts[Code],tblProducts[Category],"")</f>
        <v>Apparel &amp; Footwear</v>
      </c>
      <c r="I4573" s="4">
        <v>16</v>
      </c>
      <c r="J4573" s="5">
        <f>_xlfn.XLOOKUP(tblSales[[#This Row],[Product Code]],tblProducts[Code],tblProducts[Selling Price (excl. VAT)],0)</f>
        <v>250000</v>
      </c>
      <c r="K4573" s="5">
        <f>tblSales[[#This Row],[Qty]]*tblSales[[#This Row],[Unit Price]]</f>
        <v>4000000</v>
      </c>
      <c r="L4573" s="5">
        <f>ROUND(tblSales[[#This Row],[DPP (excl. VAT)]]*VATEff,0)</f>
        <v>440000</v>
      </c>
      <c r="M4573" s="5">
        <f>tblSales[[#This Row],[DPP (excl. VAT)]]+tblSales[[#This Row],[Output VAT]]</f>
        <v>4440000</v>
      </c>
      <c r="N4573" s="5">
        <f>tblSales[[#This Row],[Qty]]*_xlfn.XLOOKUP(tblSales[[#This Row],[Product Code]],tblProducts[Code],tblProducts[Unit Cost],0)</f>
        <v>2480000</v>
      </c>
      <c r="O4573" s="4" t="s">
        <v>4867</v>
      </c>
      <c r="P4573" s="4" t="s">
        <v>4860</v>
      </c>
      <c r="Q4573" s="1" t="str">
        <f>_xlfn.XLOOKUP(tblSales[[#This Row],[Channel Code]],tblChannels[Channel Code],tblChannels[Channel Name],"")</f>
        <v>In-store</v>
      </c>
      <c r="R4573" s="1">
        <f>MONTH(tblSales[[#This Row],[Date]])</f>
        <v>10</v>
      </c>
    </row>
    <row r="4574" spans="2:18" x14ac:dyDescent="0.35">
      <c r="B4574" s="113">
        <v>46299</v>
      </c>
      <c r="C4574" s="4" t="s">
        <v>3107</v>
      </c>
      <c r="D4574" s="4" t="s">
        <v>4599</v>
      </c>
      <c r="E4574" s="1" t="str">
        <f>_xlfn.XLOOKUP(tblSales[[#This Row],[Customer ID]],tblCustomers[Customer ID],tblCustomers[Customer Name],"⚠ Unknown")</f>
        <v>PT Samudra Jaya Logistik</v>
      </c>
      <c r="F4574" s="4" t="s">
        <v>13</v>
      </c>
      <c r="G4574" s="1" t="str">
        <f>_xlfn.XLOOKUP(tblSales[[#This Row],[Product Code]],tblProducts[Code],tblProducts[Product / Service Name],"⚠ Unknown")</f>
        <v>Backpack</v>
      </c>
      <c r="H4574" s="1" t="str">
        <f>_xlfn.XLOOKUP(tblSales[[#This Row],[Product Code]],tblProducts[Code],tblProducts[Category],"")</f>
        <v>Bags &amp; Gadgets</v>
      </c>
      <c r="I4574" s="4">
        <v>24</v>
      </c>
      <c r="J4574" s="5">
        <f>_xlfn.XLOOKUP(tblSales[[#This Row],[Product Code]],tblProducts[Code],tblProducts[Selling Price (excl. VAT)],0)</f>
        <v>500000</v>
      </c>
      <c r="K4574" s="5">
        <f>tblSales[[#This Row],[Qty]]*tblSales[[#This Row],[Unit Price]]</f>
        <v>12000000</v>
      </c>
      <c r="L4574" s="5">
        <f>ROUND(tblSales[[#This Row],[DPP (excl. VAT)]]*VATEff,0)</f>
        <v>1320000</v>
      </c>
      <c r="M4574" s="5">
        <f>tblSales[[#This Row],[DPP (excl. VAT)]]+tblSales[[#This Row],[Output VAT]]</f>
        <v>13320000</v>
      </c>
      <c r="N4574" s="5">
        <f>tblSales[[#This Row],[Qty]]*_xlfn.XLOOKUP(tblSales[[#This Row],[Product Code]],tblProducts[Code],tblProducts[Unit Cost],0)</f>
        <v>6960000</v>
      </c>
      <c r="O4574" s="4" t="s">
        <v>4867</v>
      </c>
      <c r="P4574" s="4" t="s">
        <v>4860</v>
      </c>
      <c r="Q4574" s="1" t="str">
        <f>_xlfn.XLOOKUP(tblSales[[#This Row],[Channel Code]],tblChannels[Channel Code],tblChannels[Channel Name],"")</f>
        <v>In-store</v>
      </c>
      <c r="R4574" s="1">
        <f>MONTH(tblSales[[#This Row],[Date]])</f>
        <v>10</v>
      </c>
    </row>
    <row r="4575" spans="2:18" x14ac:dyDescent="0.35">
      <c r="B4575" s="113">
        <v>46299</v>
      </c>
      <c r="C4575" s="4" t="s">
        <v>3108</v>
      </c>
      <c r="D4575" s="4" t="s">
        <v>4648</v>
      </c>
      <c r="E4575" s="1" t="str">
        <f>_xlfn.XLOOKUP(tblSales[[#This Row],[Customer ID]],tblCustomers[Customer ID],tblCustomers[Customer Name],"⚠ Unknown")</f>
        <v>PT Lintas Benua Niaga</v>
      </c>
      <c r="F4575" s="4" t="s">
        <v>6</v>
      </c>
      <c r="G4575" s="1" t="str">
        <f>_xlfn.XLOOKUP(tblSales[[#This Row],[Product Code]],tblProducts[Code],tblProducts[Product / Service Name],"⚠ Unknown")</f>
        <v>Socks &amp; Accessories</v>
      </c>
      <c r="H4575" s="1" t="str">
        <f>_xlfn.XLOOKUP(tblSales[[#This Row],[Product Code]],tblProducts[Code],tblProducts[Category],"")</f>
        <v>Accessories &amp; Basics</v>
      </c>
      <c r="I4575" s="4">
        <v>96</v>
      </c>
      <c r="J4575" s="5">
        <f>_xlfn.XLOOKUP(tblSales[[#This Row],[Product Code]],tblProducts[Code],tblProducts[Selling Price (excl. VAT)],0)</f>
        <v>45000</v>
      </c>
      <c r="K4575" s="5">
        <f>tblSales[[#This Row],[Qty]]*tblSales[[#This Row],[Unit Price]]</f>
        <v>4320000</v>
      </c>
      <c r="L4575" s="5">
        <f>ROUND(tblSales[[#This Row],[DPP (excl. VAT)]]*VATEff,0)</f>
        <v>475200</v>
      </c>
      <c r="M4575" s="5">
        <f>tblSales[[#This Row],[DPP (excl. VAT)]]+tblSales[[#This Row],[Output VAT]]</f>
        <v>4795200</v>
      </c>
      <c r="N4575" s="5">
        <f>tblSales[[#This Row],[Qty]]*_xlfn.XLOOKUP(tblSales[[#This Row],[Product Code]],tblProducts[Code],tblProducts[Unit Cost],0)</f>
        <v>2304000</v>
      </c>
      <c r="O4575" s="4" t="s">
        <v>4867</v>
      </c>
      <c r="P4575" s="4" t="s">
        <v>4860</v>
      </c>
      <c r="Q4575" s="1" t="str">
        <f>_xlfn.XLOOKUP(tblSales[[#This Row],[Channel Code]],tblChannels[Channel Code],tblChannels[Channel Name],"")</f>
        <v>In-store</v>
      </c>
      <c r="R4575" s="1">
        <f>MONTH(tblSales[[#This Row],[Date]])</f>
        <v>10</v>
      </c>
    </row>
    <row r="4576" spans="2:18" x14ac:dyDescent="0.35">
      <c r="B4576" s="113">
        <v>46299</v>
      </c>
      <c r="C4576" s="4" t="s">
        <v>3109</v>
      </c>
      <c r="D4576" s="4" t="s">
        <v>4568</v>
      </c>
      <c r="E4576" s="1" t="str">
        <f>_xlfn.XLOOKUP(tblSales[[#This Row],[Customer ID]],tblCustomers[Customer ID],tblCustomers[Customer Name],"⚠ Unknown")</f>
        <v>Walk-in Customer</v>
      </c>
      <c r="F4576" s="4" t="s">
        <v>6</v>
      </c>
      <c r="G4576" s="1" t="str">
        <f>_xlfn.XLOOKUP(tblSales[[#This Row],[Product Code]],tblProducts[Code],tblProducts[Product / Service Name],"⚠ Unknown")</f>
        <v>Socks &amp; Accessories</v>
      </c>
      <c r="H4576" s="1" t="str">
        <f>_xlfn.XLOOKUP(tblSales[[#This Row],[Product Code]],tblProducts[Code],tblProducts[Category],"")</f>
        <v>Accessories &amp; Basics</v>
      </c>
      <c r="I4576" s="4">
        <v>1</v>
      </c>
      <c r="J4576" s="5">
        <f>_xlfn.XLOOKUP(tblSales[[#This Row],[Product Code]],tblProducts[Code],tblProducts[Selling Price (excl. VAT)],0)</f>
        <v>45000</v>
      </c>
      <c r="K4576" s="5">
        <f>tblSales[[#This Row],[Qty]]*tblSales[[#This Row],[Unit Price]]</f>
        <v>45000</v>
      </c>
      <c r="L4576" s="5">
        <f>ROUND(tblSales[[#This Row],[DPP (excl. VAT)]]*VATEff,0)</f>
        <v>4950</v>
      </c>
      <c r="M4576" s="5">
        <f>tblSales[[#This Row],[DPP (excl. VAT)]]+tblSales[[#This Row],[Output VAT]]</f>
        <v>49950</v>
      </c>
      <c r="N4576" s="5">
        <f>tblSales[[#This Row],[Qty]]*_xlfn.XLOOKUP(tblSales[[#This Row],[Product Code]],tblProducts[Code],tblProducts[Unit Cost],0)</f>
        <v>24000</v>
      </c>
      <c r="O4576" s="4" t="s">
        <v>4866</v>
      </c>
      <c r="P4576" s="4" t="s">
        <v>4861</v>
      </c>
      <c r="Q4576" s="1" t="str">
        <f>_xlfn.XLOOKUP(tblSales[[#This Row],[Channel Code]],tblChannels[Channel Code],tblChannels[Channel Name],"")</f>
        <v>Marketplace</v>
      </c>
      <c r="R4576" s="1">
        <f>MONTH(tblSales[[#This Row],[Date]])</f>
        <v>10</v>
      </c>
    </row>
    <row r="4577" spans="2:18" x14ac:dyDescent="0.35">
      <c r="B4577" s="113">
        <v>46299</v>
      </c>
      <c r="C4577" s="4" t="s">
        <v>3110</v>
      </c>
      <c r="D4577" s="4" t="s">
        <v>4568</v>
      </c>
      <c r="E4577" s="1" t="str">
        <f>_xlfn.XLOOKUP(tblSales[[#This Row],[Customer ID]],tblCustomers[Customer ID],tblCustomers[Customer Name],"⚠ Unknown")</f>
        <v>Walk-in Customer</v>
      </c>
      <c r="F4577" s="4" t="s">
        <v>12</v>
      </c>
      <c r="G4577" s="1" t="str">
        <f>_xlfn.XLOOKUP(tblSales[[#This Row],[Product Code]],tblProducts[Code],tblProducts[Product / Service Name],"⚠ Unknown")</f>
        <v>Bomber Jacket</v>
      </c>
      <c r="H4577" s="1" t="str">
        <f>_xlfn.XLOOKUP(tblSales[[#This Row],[Product Code]],tblProducts[Code],tblProducts[Category],"")</f>
        <v>Apparel &amp; Footwear</v>
      </c>
      <c r="I4577" s="4">
        <v>6</v>
      </c>
      <c r="J4577" s="5">
        <f>_xlfn.XLOOKUP(tblSales[[#This Row],[Product Code]],tblProducts[Code],tblProducts[Selling Price (excl. VAT)],0)</f>
        <v>350000</v>
      </c>
      <c r="K4577" s="5">
        <f>tblSales[[#This Row],[Qty]]*tblSales[[#This Row],[Unit Price]]</f>
        <v>2100000</v>
      </c>
      <c r="L4577" s="5">
        <f>ROUND(tblSales[[#This Row],[DPP (excl. VAT)]]*VATEff,0)</f>
        <v>231000</v>
      </c>
      <c r="M4577" s="5">
        <f>tblSales[[#This Row],[DPP (excl. VAT)]]+tblSales[[#This Row],[Output VAT]]</f>
        <v>2331000</v>
      </c>
      <c r="N4577" s="5">
        <f>tblSales[[#This Row],[Qty]]*_xlfn.XLOOKUP(tblSales[[#This Row],[Product Code]],tblProducts[Code],tblProducts[Unit Cost],0)</f>
        <v>1260000</v>
      </c>
      <c r="O4577" s="4" t="s">
        <v>4865</v>
      </c>
      <c r="P4577" s="4" t="s">
        <v>4860</v>
      </c>
      <c r="Q4577" s="1" t="str">
        <f>_xlfn.XLOOKUP(tblSales[[#This Row],[Channel Code]],tblChannels[Channel Code],tblChannels[Channel Name],"")</f>
        <v>In-store</v>
      </c>
      <c r="R4577" s="1">
        <f>MONTH(tblSales[[#This Row],[Date]])</f>
        <v>10</v>
      </c>
    </row>
    <row r="4578" spans="2:18" x14ac:dyDescent="0.35">
      <c r="B4578" s="113">
        <v>46299</v>
      </c>
      <c r="C4578" s="4" t="s">
        <v>3110</v>
      </c>
      <c r="D4578" s="4" t="s">
        <v>4568</v>
      </c>
      <c r="E4578" s="1" t="str">
        <f>_xlfn.XLOOKUP(tblSales[[#This Row],[Customer ID]],tblCustomers[Customer ID],tblCustomers[Customer Name],"⚠ Unknown")</f>
        <v>Walk-in Customer</v>
      </c>
      <c r="F4578" s="4" t="s">
        <v>9</v>
      </c>
      <c r="G4578" s="1" t="str">
        <f>_xlfn.XLOOKUP(tblSales[[#This Row],[Product Code]],tblProducts[Code],tblProducts[Product / Service Name],"⚠ Unknown")</f>
        <v>Casual Shirt</v>
      </c>
      <c r="H4578" s="1" t="str">
        <f>_xlfn.XLOOKUP(tblSales[[#This Row],[Product Code]],tblProducts[Code],tblProducts[Category],"")</f>
        <v>Apparel &amp; Footwear</v>
      </c>
      <c r="I4578" s="4">
        <v>3</v>
      </c>
      <c r="J4578" s="5">
        <f>_xlfn.XLOOKUP(tblSales[[#This Row],[Product Code]],tblProducts[Code],tblProducts[Selling Price (excl. VAT)],0)</f>
        <v>120000</v>
      </c>
      <c r="K4578" s="5">
        <f>tblSales[[#This Row],[Qty]]*tblSales[[#This Row],[Unit Price]]</f>
        <v>360000</v>
      </c>
      <c r="L4578" s="5">
        <f>ROUND(tblSales[[#This Row],[DPP (excl. VAT)]]*VATEff,0)</f>
        <v>39600</v>
      </c>
      <c r="M4578" s="5">
        <f>tblSales[[#This Row],[DPP (excl. VAT)]]+tblSales[[#This Row],[Output VAT]]</f>
        <v>399600</v>
      </c>
      <c r="N4578" s="5">
        <f>tblSales[[#This Row],[Qty]]*_xlfn.XLOOKUP(tblSales[[#This Row],[Product Code]],tblProducts[Code],tblProducts[Unit Cost],0)</f>
        <v>216000</v>
      </c>
      <c r="O4578" s="4" t="s">
        <v>4865</v>
      </c>
      <c r="P4578" s="4" t="s">
        <v>4860</v>
      </c>
      <c r="Q4578" s="1" t="str">
        <f>_xlfn.XLOOKUP(tblSales[[#This Row],[Channel Code]],tblChannels[Channel Code],tblChannels[Channel Name],"")</f>
        <v>In-store</v>
      </c>
      <c r="R4578" s="1">
        <f>MONTH(tblSales[[#This Row],[Date]])</f>
        <v>10</v>
      </c>
    </row>
    <row r="4579" spans="2:18" x14ac:dyDescent="0.35">
      <c r="B4579" s="113">
        <v>46300</v>
      </c>
      <c r="C4579" s="4" t="s">
        <v>3111</v>
      </c>
      <c r="D4579" s="4" t="s">
        <v>4613</v>
      </c>
      <c r="E4579" s="1" t="str">
        <f>_xlfn.XLOOKUP(tblSales[[#This Row],[Customer ID]],tblCustomers[Customer ID],tblCustomers[Customer Name],"⚠ Unknown")</f>
        <v>PT Mega Prima Distribusi</v>
      </c>
      <c r="F4579" s="4" t="s">
        <v>11</v>
      </c>
      <c r="G4579" s="1" t="str">
        <f>_xlfn.XLOOKUP(tblSales[[#This Row],[Product Code]],tblProducts[Code],tblProducts[Product / Service Name],"⚠ Unknown")</f>
        <v>Sneakers</v>
      </c>
      <c r="H4579" s="1" t="str">
        <f>_xlfn.XLOOKUP(tblSales[[#This Row],[Product Code]],tblProducts[Code],tblProducts[Category],"")</f>
        <v>Apparel &amp; Footwear</v>
      </c>
      <c r="I4579" s="4">
        <v>48</v>
      </c>
      <c r="J4579" s="5">
        <f>_xlfn.XLOOKUP(tblSales[[#This Row],[Product Code]],tblProducts[Code],tblProducts[Selling Price (excl. VAT)],0)</f>
        <v>250000</v>
      </c>
      <c r="K4579" s="5">
        <f>tblSales[[#This Row],[Qty]]*tblSales[[#This Row],[Unit Price]]</f>
        <v>12000000</v>
      </c>
      <c r="L4579" s="5">
        <f>ROUND(tblSales[[#This Row],[DPP (excl. VAT)]]*VATEff,0)</f>
        <v>1320000</v>
      </c>
      <c r="M4579" s="5">
        <f>tblSales[[#This Row],[DPP (excl. VAT)]]+tblSales[[#This Row],[Output VAT]]</f>
        <v>13320000</v>
      </c>
      <c r="N4579" s="5">
        <f>tblSales[[#This Row],[Qty]]*_xlfn.XLOOKUP(tblSales[[#This Row],[Product Code]],tblProducts[Code],tblProducts[Unit Cost],0)</f>
        <v>7440000</v>
      </c>
      <c r="O4579" s="4" t="s">
        <v>4867</v>
      </c>
      <c r="P4579" s="4" t="s">
        <v>4860</v>
      </c>
      <c r="Q4579" s="1" t="str">
        <f>_xlfn.XLOOKUP(tblSales[[#This Row],[Channel Code]],tblChannels[Channel Code],tblChannels[Channel Name],"")</f>
        <v>In-store</v>
      </c>
      <c r="R4579" s="1">
        <f>MONTH(tblSales[[#This Row],[Date]])</f>
        <v>10</v>
      </c>
    </row>
    <row r="4580" spans="2:18" x14ac:dyDescent="0.35">
      <c r="B4580" s="113">
        <v>46300</v>
      </c>
      <c r="C4580" s="4" t="s">
        <v>3112</v>
      </c>
      <c r="D4580" s="4" t="s">
        <v>4568</v>
      </c>
      <c r="E4580" s="1" t="str">
        <f>_xlfn.XLOOKUP(tblSales[[#This Row],[Customer ID]],tblCustomers[Customer ID],tblCustomers[Customer Name],"⚠ Unknown")</f>
        <v>Walk-in Customer</v>
      </c>
      <c r="F4580" s="4" t="s">
        <v>10</v>
      </c>
      <c r="G4580" s="1" t="str">
        <f>_xlfn.XLOOKUP(tblSales[[#This Row],[Product Code]],tblProducts[Code],tblProducts[Product / Service Name],"⚠ Unknown")</f>
        <v>Chino Pants</v>
      </c>
      <c r="H4580" s="1" t="str">
        <f>_xlfn.XLOOKUP(tblSales[[#This Row],[Product Code]],tblProducts[Code],tblProducts[Category],"")</f>
        <v>Apparel &amp; Footwear</v>
      </c>
      <c r="I4580" s="4">
        <v>2</v>
      </c>
      <c r="J4580" s="5">
        <f>_xlfn.XLOOKUP(tblSales[[#This Row],[Product Code]],tblProducts[Code],tblProducts[Selling Price (excl. VAT)],0)</f>
        <v>150000</v>
      </c>
      <c r="K4580" s="5">
        <f>tblSales[[#This Row],[Qty]]*tblSales[[#This Row],[Unit Price]]</f>
        <v>300000</v>
      </c>
      <c r="L4580" s="5">
        <f>ROUND(tblSales[[#This Row],[DPP (excl. VAT)]]*VATEff,0)</f>
        <v>33000</v>
      </c>
      <c r="M4580" s="5">
        <f>tblSales[[#This Row],[DPP (excl. VAT)]]+tblSales[[#This Row],[Output VAT]]</f>
        <v>333000</v>
      </c>
      <c r="N4580" s="5">
        <f>tblSales[[#This Row],[Qty]]*_xlfn.XLOOKUP(tblSales[[#This Row],[Product Code]],tblProducts[Code],tblProducts[Unit Cost],0)</f>
        <v>176000</v>
      </c>
      <c r="O4580" s="4" t="s">
        <v>4865</v>
      </c>
      <c r="P4580" s="4" t="s">
        <v>4860</v>
      </c>
      <c r="Q4580" s="1" t="str">
        <f>_xlfn.XLOOKUP(tblSales[[#This Row],[Channel Code]],tblChannels[Channel Code],tblChannels[Channel Name],"")</f>
        <v>In-store</v>
      </c>
      <c r="R4580" s="1">
        <f>MONTH(tblSales[[#This Row],[Date]])</f>
        <v>10</v>
      </c>
    </row>
    <row r="4581" spans="2:18" x14ac:dyDescent="0.35">
      <c r="B4581" s="113">
        <v>46300</v>
      </c>
      <c r="C4581" s="4" t="s">
        <v>3113</v>
      </c>
      <c r="D4581" s="4" t="s">
        <v>4568</v>
      </c>
      <c r="E4581" s="1" t="str">
        <f>_xlfn.XLOOKUP(tblSales[[#This Row],[Customer ID]],tblCustomers[Customer ID],tblCustomers[Customer Name],"⚠ Unknown")</f>
        <v>Walk-in Customer</v>
      </c>
      <c r="F4581" s="4" t="s">
        <v>9</v>
      </c>
      <c r="G4581" s="1" t="str">
        <f>_xlfn.XLOOKUP(tblSales[[#This Row],[Product Code]],tblProducts[Code],tblProducts[Product / Service Name],"⚠ Unknown")</f>
        <v>Casual Shirt</v>
      </c>
      <c r="H4581" s="1" t="str">
        <f>_xlfn.XLOOKUP(tblSales[[#This Row],[Product Code]],tblProducts[Code],tblProducts[Category],"")</f>
        <v>Apparel &amp; Footwear</v>
      </c>
      <c r="I4581" s="4">
        <v>7</v>
      </c>
      <c r="J4581" s="5">
        <f>_xlfn.XLOOKUP(tblSales[[#This Row],[Product Code]],tblProducts[Code],tblProducts[Selling Price (excl. VAT)],0)</f>
        <v>120000</v>
      </c>
      <c r="K4581" s="5">
        <f>tblSales[[#This Row],[Qty]]*tblSales[[#This Row],[Unit Price]]</f>
        <v>840000</v>
      </c>
      <c r="L4581" s="5">
        <f>ROUND(tblSales[[#This Row],[DPP (excl. VAT)]]*VATEff,0)</f>
        <v>92400</v>
      </c>
      <c r="M4581" s="5">
        <f>tblSales[[#This Row],[DPP (excl. VAT)]]+tblSales[[#This Row],[Output VAT]]</f>
        <v>932400</v>
      </c>
      <c r="N4581" s="5">
        <f>tblSales[[#This Row],[Qty]]*_xlfn.XLOOKUP(tblSales[[#This Row],[Product Code]],tblProducts[Code],tblProducts[Unit Cost],0)</f>
        <v>504000</v>
      </c>
      <c r="O4581" s="4" t="s">
        <v>4866</v>
      </c>
      <c r="P4581" s="4" t="s">
        <v>4862</v>
      </c>
      <c r="Q4581" s="1" t="str">
        <f>_xlfn.XLOOKUP(tblSales[[#This Row],[Channel Code]],tblChannels[Channel Code],tblChannels[Channel Name],"")</f>
        <v>Website &amp; Social Media</v>
      </c>
      <c r="R4581" s="1">
        <f>MONTH(tblSales[[#This Row],[Date]])</f>
        <v>10</v>
      </c>
    </row>
    <row r="4582" spans="2:18" x14ac:dyDescent="0.35">
      <c r="B4582" s="113">
        <v>46300</v>
      </c>
      <c r="C4582" s="4" t="s">
        <v>3114</v>
      </c>
      <c r="D4582" s="4" t="s">
        <v>4606</v>
      </c>
      <c r="E4582" s="1" t="str">
        <f>_xlfn.XLOOKUP(tblSales[[#This Row],[Customer ID]],tblCustomers[Customer ID],tblCustomers[Customer Name],"⚠ Unknown")</f>
        <v>PT Arunika Digital Kreatif</v>
      </c>
      <c r="F4582" s="4" t="s">
        <v>6</v>
      </c>
      <c r="G4582" s="1" t="str">
        <f>_xlfn.XLOOKUP(tblSales[[#This Row],[Product Code]],tblProducts[Code],tblProducts[Product / Service Name],"⚠ Unknown")</f>
        <v>Socks &amp; Accessories</v>
      </c>
      <c r="H4582" s="1" t="str">
        <f>_xlfn.XLOOKUP(tblSales[[#This Row],[Product Code]],tblProducts[Code],tblProducts[Category],"")</f>
        <v>Accessories &amp; Basics</v>
      </c>
      <c r="I4582" s="4">
        <v>40</v>
      </c>
      <c r="J4582" s="5">
        <f>_xlfn.XLOOKUP(tblSales[[#This Row],[Product Code]],tblProducts[Code],tblProducts[Selling Price (excl. VAT)],0)</f>
        <v>45000</v>
      </c>
      <c r="K4582" s="5">
        <f>tblSales[[#This Row],[Qty]]*tblSales[[#This Row],[Unit Price]]</f>
        <v>1800000</v>
      </c>
      <c r="L4582" s="5">
        <f>ROUND(tblSales[[#This Row],[DPP (excl. VAT)]]*VATEff,0)</f>
        <v>198000</v>
      </c>
      <c r="M4582" s="5">
        <f>tblSales[[#This Row],[DPP (excl. VAT)]]+tblSales[[#This Row],[Output VAT]]</f>
        <v>1998000</v>
      </c>
      <c r="N4582" s="5">
        <f>tblSales[[#This Row],[Qty]]*_xlfn.XLOOKUP(tblSales[[#This Row],[Product Code]],tblProducts[Code],tblProducts[Unit Cost],0)</f>
        <v>960000</v>
      </c>
      <c r="O4582" s="4" t="s">
        <v>4867</v>
      </c>
      <c r="P4582" s="4" t="s">
        <v>4860</v>
      </c>
      <c r="Q4582" s="1" t="str">
        <f>_xlfn.XLOOKUP(tblSales[[#This Row],[Channel Code]],tblChannels[Channel Code],tblChannels[Channel Name],"")</f>
        <v>In-store</v>
      </c>
      <c r="R4582" s="1">
        <f>MONTH(tblSales[[#This Row],[Date]])</f>
        <v>10</v>
      </c>
    </row>
    <row r="4583" spans="2:18" x14ac:dyDescent="0.35">
      <c r="B4583" s="113">
        <v>46300</v>
      </c>
      <c r="C4583" s="4" t="s">
        <v>3114</v>
      </c>
      <c r="D4583" s="4" t="s">
        <v>4606</v>
      </c>
      <c r="E4583" s="1" t="str">
        <f>_xlfn.XLOOKUP(tblSales[[#This Row],[Customer ID]],tblCustomers[Customer ID],tblCustomers[Customer Name],"⚠ Unknown")</f>
        <v>PT Arunika Digital Kreatif</v>
      </c>
      <c r="F4583" s="4" t="s">
        <v>10</v>
      </c>
      <c r="G4583" s="1" t="str">
        <f>_xlfn.XLOOKUP(tblSales[[#This Row],[Product Code]],tblProducts[Code],tblProducts[Product / Service Name],"⚠ Unknown")</f>
        <v>Chino Pants</v>
      </c>
      <c r="H4583" s="1" t="str">
        <f>_xlfn.XLOOKUP(tblSales[[#This Row],[Product Code]],tblProducts[Code],tblProducts[Category],"")</f>
        <v>Apparel &amp; Footwear</v>
      </c>
      <c r="I4583" s="4">
        <v>88</v>
      </c>
      <c r="J4583" s="5">
        <f>_xlfn.XLOOKUP(tblSales[[#This Row],[Product Code]],tblProducts[Code],tblProducts[Selling Price (excl. VAT)],0)</f>
        <v>150000</v>
      </c>
      <c r="K4583" s="5">
        <f>tblSales[[#This Row],[Qty]]*tblSales[[#This Row],[Unit Price]]</f>
        <v>13200000</v>
      </c>
      <c r="L4583" s="5">
        <f>ROUND(tblSales[[#This Row],[DPP (excl. VAT)]]*VATEff,0)</f>
        <v>1452000</v>
      </c>
      <c r="M4583" s="5">
        <f>tblSales[[#This Row],[DPP (excl. VAT)]]+tblSales[[#This Row],[Output VAT]]</f>
        <v>14652000</v>
      </c>
      <c r="N4583" s="5">
        <f>tblSales[[#This Row],[Qty]]*_xlfn.XLOOKUP(tblSales[[#This Row],[Product Code]],tblProducts[Code],tblProducts[Unit Cost],0)</f>
        <v>7744000</v>
      </c>
      <c r="O4583" s="4" t="s">
        <v>4867</v>
      </c>
      <c r="P4583" s="4" t="s">
        <v>4860</v>
      </c>
      <c r="Q4583" s="1" t="str">
        <f>_xlfn.XLOOKUP(tblSales[[#This Row],[Channel Code]],tblChannels[Channel Code],tblChannels[Channel Name],"")</f>
        <v>In-store</v>
      </c>
      <c r="R4583" s="1">
        <f>MONTH(tblSales[[#This Row],[Date]])</f>
        <v>10</v>
      </c>
    </row>
    <row r="4584" spans="2:18" x14ac:dyDescent="0.35">
      <c r="B4584" s="113">
        <v>46300</v>
      </c>
      <c r="C4584" s="4" t="s">
        <v>3115</v>
      </c>
      <c r="D4584" s="4" t="s">
        <v>4568</v>
      </c>
      <c r="E4584" s="1" t="str">
        <f>_xlfn.XLOOKUP(tblSales[[#This Row],[Customer ID]],tblCustomers[Customer ID],tblCustomers[Customer Name],"⚠ Unknown")</f>
        <v>Walk-in Customer</v>
      </c>
      <c r="F4584" s="4" t="s">
        <v>9</v>
      </c>
      <c r="G4584" s="1" t="str">
        <f>_xlfn.XLOOKUP(tblSales[[#This Row],[Product Code]],tblProducts[Code],tblProducts[Product / Service Name],"⚠ Unknown")</f>
        <v>Casual Shirt</v>
      </c>
      <c r="H4584" s="1" t="str">
        <f>_xlfn.XLOOKUP(tblSales[[#This Row],[Product Code]],tblProducts[Code],tblProducts[Category],"")</f>
        <v>Apparel &amp; Footwear</v>
      </c>
      <c r="I4584" s="4">
        <v>12</v>
      </c>
      <c r="J4584" s="5">
        <f>_xlfn.XLOOKUP(tblSales[[#This Row],[Product Code]],tblProducts[Code],tblProducts[Selling Price (excl. VAT)],0)</f>
        <v>120000</v>
      </c>
      <c r="K4584" s="5">
        <f>tblSales[[#This Row],[Qty]]*tblSales[[#This Row],[Unit Price]]</f>
        <v>1440000</v>
      </c>
      <c r="L4584" s="5">
        <f>ROUND(tblSales[[#This Row],[DPP (excl. VAT)]]*VATEff,0)</f>
        <v>158400</v>
      </c>
      <c r="M4584" s="5">
        <f>tblSales[[#This Row],[DPP (excl. VAT)]]+tblSales[[#This Row],[Output VAT]]</f>
        <v>1598400</v>
      </c>
      <c r="N4584" s="5">
        <f>tblSales[[#This Row],[Qty]]*_xlfn.XLOOKUP(tblSales[[#This Row],[Product Code]],tblProducts[Code],tblProducts[Unit Cost],0)</f>
        <v>864000</v>
      </c>
      <c r="O4584" s="4" t="s">
        <v>4866</v>
      </c>
      <c r="P4584" s="4" t="s">
        <v>4862</v>
      </c>
      <c r="Q4584" s="1" t="str">
        <f>_xlfn.XLOOKUP(tblSales[[#This Row],[Channel Code]],tblChannels[Channel Code],tblChannels[Channel Name],"")</f>
        <v>Website &amp; Social Media</v>
      </c>
      <c r="R4584" s="1">
        <f>MONTH(tblSales[[#This Row],[Date]])</f>
        <v>10</v>
      </c>
    </row>
    <row r="4585" spans="2:18" x14ac:dyDescent="0.35">
      <c r="B4585" s="113">
        <v>46300</v>
      </c>
      <c r="C4585" s="4" t="s">
        <v>3116</v>
      </c>
      <c r="D4585" s="4" t="s">
        <v>4568</v>
      </c>
      <c r="E4585" s="1" t="str">
        <f>_xlfn.XLOOKUP(tblSales[[#This Row],[Customer ID]],tblCustomers[Customer ID],tblCustomers[Customer Name],"⚠ Unknown")</f>
        <v>Walk-in Customer</v>
      </c>
      <c r="F4585" s="4" t="s">
        <v>13</v>
      </c>
      <c r="G4585" s="1" t="str">
        <f>_xlfn.XLOOKUP(tblSales[[#This Row],[Product Code]],tblProducts[Code],tblProducts[Product / Service Name],"⚠ Unknown")</f>
        <v>Backpack</v>
      </c>
      <c r="H4585" s="1" t="str">
        <f>_xlfn.XLOOKUP(tblSales[[#This Row],[Product Code]],tblProducts[Code],tblProducts[Category],"")</f>
        <v>Bags &amp; Gadgets</v>
      </c>
      <c r="I4585" s="4">
        <v>6</v>
      </c>
      <c r="J4585" s="5">
        <f>_xlfn.XLOOKUP(tblSales[[#This Row],[Product Code]],tblProducts[Code],tblProducts[Selling Price (excl. VAT)],0)</f>
        <v>500000</v>
      </c>
      <c r="K4585" s="5">
        <f>tblSales[[#This Row],[Qty]]*tblSales[[#This Row],[Unit Price]]</f>
        <v>3000000</v>
      </c>
      <c r="L4585" s="5">
        <f>ROUND(tblSales[[#This Row],[DPP (excl. VAT)]]*VATEff,0)</f>
        <v>330000</v>
      </c>
      <c r="M4585" s="5">
        <f>tblSales[[#This Row],[DPP (excl. VAT)]]+tblSales[[#This Row],[Output VAT]]</f>
        <v>3330000</v>
      </c>
      <c r="N4585" s="5">
        <f>tblSales[[#This Row],[Qty]]*_xlfn.XLOOKUP(tblSales[[#This Row],[Product Code]],tblProducts[Code],tblProducts[Unit Cost],0)</f>
        <v>1740000</v>
      </c>
      <c r="O4585" s="4" t="s">
        <v>4866</v>
      </c>
      <c r="P4585" s="4" t="s">
        <v>4861</v>
      </c>
      <c r="Q4585" s="1" t="str">
        <f>_xlfn.XLOOKUP(tblSales[[#This Row],[Channel Code]],tblChannels[Channel Code],tblChannels[Channel Name],"")</f>
        <v>Marketplace</v>
      </c>
      <c r="R4585" s="1">
        <f>MONTH(tblSales[[#This Row],[Date]])</f>
        <v>10</v>
      </c>
    </row>
    <row r="4586" spans="2:18" x14ac:dyDescent="0.35">
      <c r="B4586" s="113">
        <v>46300</v>
      </c>
      <c r="C4586" s="4" t="s">
        <v>3116</v>
      </c>
      <c r="D4586" s="4" t="s">
        <v>4568</v>
      </c>
      <c r="E4586" s="1" t="str">
        <f>_xlfn.XLOOKUP(tblSales[[#This Row],[Customer ID]],tblCustomers[Customer ID],tblCustomers[Customer Name],"⚠ Unknown")</f>
        <v>Walk-in Customer</v>
      </c>
      <c r="F4586" s="4" t="s">
        <v>14</v>
      </c>
      <c r="G4586" s="1" t="str">
        <f>_xlfn.XLOOKUP(tblSales[[#This Row],[Product Code]],tblProducts[Code],tblProducts[Product / Service Name],"⚠ Unknown")</f>
        <v>Smartwatch</v>
      </c>
      <c r="H4586" s="1" t="str">
        <f>_xlfn.XLOOKUP(tblSales[[#This Row],[Product Code]],tblProducts[Code],tblProducts[Category],"")</f>
        <v>Bags &amp; Gadgets</v>
      </c>
      <c r="I4586" s="4">
        <v>2</v>
      </c>
      <c r="J4586" s="5">
        <f>_xlfn.XLOOKUP(tblSales[[#This Row],[Product Code]],tblProducts[Code],tblProducts[Selling Price (excl. VAT)],0)</f>
        <v>850000</v>
      </c>
      <c r="K4586" s="5">
        <f>tblSales[[#This Row],[Qty]]*tblSales[[#This Row],[Unit Price]]</f>
        <v>1700000</v>
      </c>
      <c r="L4586" s="5">
        <f>ROUND(tblSales[[#This Row],[DPP (excl. VAT)]]*VATEff,0)</f>
        <v>187000</v>
      </c>
      <c r="M4586" s="5">
        <f>tblSales[[#This Row],[DPP (excl. VAT)]]+tblSales[[#This Row],[Output VAT]]</f>
        <v>1887000</v>
      </c>
      <c r="N4586" s="5">
        <f>tblSales[[#This Row],[Qty]]*_xlfn.XLOOKUP(tblSales[[#This Row],[Product Code]],tblProducts[Code],tblProducts[Unit Cost],0)</f>
        <v>1120000</v>
      </c>
      <c r="O4586" s="4" t="s">
        <v>4866</v>
      </c>
      <c r="P4586" s="4" t="s">
        <v>4861</v>
      </c>
      <c r="Q4586" s="1" t="str">
        <f>_xlfn.XLOOKUP(tblSales[[#This Row],[Channel Code]],tblChannels[Channel Code],tblChannels[Channel Name],"")</f>
        <v>Marketplace</v>
      </c>
      <c r="R4586" s="1">
        <f>MONTH(tblSales[[#This Row],[Date]])</f>
        <v>10</v>
      </c>
    </row>
    <row r="4587" spans="2:18" x14ac:dyDescent="0.35">
      <c r="B4587" s="113">
        <v>46300</v>
      </c>
      <c r="C4587" s="4" t="s">
        <v>3116</v>
      </c>
      <c r="D4587" s="4" t="s">
        <v>4568</v>
      </c>
      <c r="E4587" s="1" t="str">
        <f>_xlfn.XLOOKUP(tblSales[[#This Row],[Customer ID]],tblCustomers[Customer ID],tblCustomers[Customer Name],"⚠ Unknown")</f>
        <v>Walk-in Customer</v>
      </c>
      <c r="F4587" s="4" t="s">
        <v>8</v>
      </c>
      <c r="G4587" s="1" t="str">
        <f>_xlfn.XLOOKUP(tblSales[[#This Row],[Product Code]],tblProducts[Code],tblProducts[Product / Service Name],"⚠ Unknown")</f>
        <v>Casual Shorts</v>
      </c>
      <c r="H4587" s="1" t="str">
        <f>_xlfn.XLOOKUP(tblSales[[#This Row],[Product Code]],tblProducts[Code],tblProducts[Category],"")</f>
        <v>Accessories &amp; Basics</v>
      </c>
      <c r="I4587" s="4">
        <v>6</v>
      </c>
      <c r="J4587" s="5">
        <f>_xlfn.XLOOKUP(tblSales[[#This Row],[Product Code]],tblProducts[Code],tblProducts[Selling Price (excl. VAT)],0)</f>
        <v>85000</v>
      </c>
      <c r="K4587" s="5">
        <f>tblSales[[#This Row],[Qty]]*tblSales[[#This Row],[Unit Price]]</f>
        <v>510000</v>
      </c>
      <c r="L4587" s="5">
        <f>ROUND(tblSales[[#This Row],[DPP (excl. VAT)]]*VATEff,0)</f>
        <v>56100</v>
      </c>
      <c r="M4587" s="5">
        <f>tblSales[[#This Row],[DPP (excl. VAT)]]+tblSales[[#This Row],[Output VAT]]</f>
        <v>566100</v>
      </c>
      <c r="N4587" s="5">
        <f>tblSales[[#This Row],[Qty]]*_xlfn.XLOOKUP(tblSales[[#This Row],[Product Code]],tblProducts[Code],tblProducts[Unit Cost],0)</f>
        <v>300000</v>
      </c>
      <c r="O4587" s="4" t="s">
        <v>4866</v>
      </c>
      <c r="P4587" s="4" t="s">
        <v>4861</v>
      </c>
      <c r="Q4587" s="1" t="str">
        <f>_xlfn.XLOOKUP(tblSales[[#This Row],[Channel Code]],tblChannels[Channel Code],tblChannels[Channel Name],"")</f>
        <v>Marketplace</v>
      </c>
      <c r="R4587" s="1">
        <f>MONTH(tblSales[[#This Row],[Date]])</f>
        <v>10</v>
      </c>
    </row>
    <row r="4588" spans="2:18" x14ac:dyDescent="0.35">
      <c r="B4588" s="113">
        <v>46300</v>
      </c>
      <c r="C4588" s="4" t="s">
        <v>3117</v>
      </c>
      <c r="D4588" s="4" t="s">
        <v>4578</v>
      </c>
      <c r="E4588" s="1" t="str">
        <f>_xlfn.XLOOKUP(tblSales[[#This Row],[Customer ID]],tblCustomers[Customer ID],tblCustomers[Customer Name],"⚠ Unknown")</f>
        <v>PT Bintang Timur Sejahtera</v>
      </c>
      <c r="F4588" s="4" t="s">
        <v>15</v>
      </c>
      <c r="G4588" s="1" t="str">
        <f>_xlfn.XLOOKUP(tblSales[[#This Row],[Product Code]],tblProducts[Code],tblProducts[Product / Service Name],"⚠ Unknown")</f>
        <v>Wireless Earbuds Pro</v>
      </c>
      <c r="H4588" s="1" t="str">
        <f>_xlfn.XLOOKUP(tblSales[[#This Row],[Product Code]],tblProducts[Code],tblProducts[Category],"")</f>
        <v>Bags &amp; Gadgets</v>
      </c>
      <c r="I4588" s="4">
        <v>8</v>
      </c>
      <c r="J4588" s="5">
        <f>_xlfn.XLOOKUP(tblSales[[#This Row],[Product Code]],tblProducts[Code],tblProducts[Selling Price (excl. VAT)],0)</f>
        <v>1250000</v>
      </c>
      <c r="K4588" s="5">
        <f>tblSales[[#This Row],[Qty]]*tblSales[[#This Row],[Unit Price]]</f>
        <v>10000000</v>
      </c>
      <c r="L4588" s="5">
        <f>ROUND(tblSales[[#This Row],[DPP (excl. VAT)]]*VATEff,0)</f>
        <v>1100000</v>
      </c>
      <c r="M4588" s="5">
        <f>tblSales[[#This Row],[DPP (excl. VAT)]]+tblSales[[#This Row],[Output VAT]]</f>
        <v>11100000</v>
      </c>
      <c r="N4588" s="5">
        <f>tblSales[[#This Row],[Qty]]*_xlfn.XLOOKUP(tblSales[[#This Row],[Product Code]],tblProducts[Code],tblProducts[Unit Cost],0)</f>
        <v>6560000</v>
      </c>
      <c r="O4588" s="4" t="s">
        <v>4867</v>
      </c>
      <c r="P4588" s="4" t="s">
        <v>4862</v>
      </c>
      <c r="Q4588" s="1" t="str">
        <f>_xlfn.XLOOKUP(tblSales[[#This Row],[Channel Code]],tblChannels[Channel Code],tblChannels[Channel Name],"")</f>
        <v>Website &amp; Social Media</v>
      </c>
      <c r="R4588" s="1">
        <f>MONTH(tblSales[[#This Row],[Date]])</f>
        <v>10</v>
      </c>
    </row>
    <row r="4589" spans="2:18" x14ac:dyDescent="0.35">
      <c r="B4589" s="113">
        <v>46300</v>
      </c>
      <c r="C4589" s="4" t="s">
        <v>3117</v>
      </c>
      <c r="D4589" s="4" t="s">
        <v>4578</v>
      </c>
      <c r="E4589" s="1" t="str">
        <f>_xlfn.XLOOKUP(tblSales[[#This Row],[Customer ID]],tblCustomers[Customer ID],tblCustomers[Customer Name],"⚠ Unknown")</f>
        <v>PT Bintang Timur Sejahtera</v>
      </c>
      <c r="F4589" s="4" t="s">
        <v>9</v>
      </c>
      <c r="G4589" s="1" t="str">
        <f>_xlfn.XLOOKUP(tblSales[[#This Row],[Product Code]],tblProducts[Code],tblProducts[Product / Service Name],"⚠ Unknown")</f>
        <v>Casual Shirt</v>
      </c>
      <c r="H4589" s="1" t="str">
        <f>_xlfn.XLOOKUP(tblSales[[#This Row],[Product Code]],tblProducts[Code],tblProducts[Category],"")</f>
        <v>Apparel &amp; Footwear</v>
      </c>
      <c r="I4589" s="4">
        <v>64</v>
      </c>
      <c r="J4589" s="5">
        <f>_xlfn.XLOOKUP(tblSales[[#This Row],[Product Code]],tblProducts[Code],tblProducts[Selling Price (excl. VAT)],0)</f>
        <v>120000</v>
      </c>
      <c r="K4589" s="5">
        <f>tblSales[[#This Row],[Qty]]*tblSales[[#This Row],[Unit Price]]</f>
        <v>7680000</v>
      </c>
      <c r="L4589" s="5">
        <f>ROUND(tblSales[[#This Row],[DPP (excl. VAT)]]*VATEff,0)</f>
        <v>844800</v>
      </c>
      <c r="M4589" s="5">
        <f>tblSales[[#This Row],[DPP (excl. VAT)]]+tblSales[[#This Row],[Output VAT]]</f>
        <v>8524800</v>
      </c>
      <c r="N4589" s="5">
        <f>tblSales[[#This Row],[Qty]]*_xlfn.XLOOKUP(tblSales[[#This Row],[Product Code]],tblProducts[Code],tblProducts[Unit Cost],0)</f>
        <v>4608000</v>
      </c>
      <c r="O4589" s="4" t="s">
        <v>4867</v>
      </c>
      <c r="P4589" s="4" t="s">
        <v>4862</v>
      </c>
      <c r="Q4589" s="1" t="str">
        <f>_xlfn.XLOOKUP(tblSales[[#This Row],[Channel Code]],tblChannels[Channel Code],tblChannels[Channel Name],"")</f>
        <v>Website &amp; Social Media</v>
      </c>
      <c r="R4589" s="1">
        <f>MONTH(tblSales[[#This Row],[Date]])</f>
        <v>10</v>
      </c>
    </row>
    <row r="4590" spans="2:18" x14ac:dyDescent="0.35">
      <c r="B4590" s="113">
        <v>46300</v>
      </c>
      <c r="C4590" s="4" t="s">
        <v>3117</v>
      </c>
      <c r="D4590" s="4" t="s">
        <v>4578</v>
      </c>
      <c r="E4590" s="1" t="str">
        <f>_xlfn.XLOOKUP(tblSales[[#This Row],[Customer ID]],tblCustomers[Customer ID],tblCustomers[Customer Name],"⚠ Unknown")</f>
        <v>PT Bintang Timur Sejahtera</v>
      </c>
      <c r="F4590" s="4" t="s">
        <v>7</v>
      </c>
      <c r="G4590" s="1" t="str">
        <f>_xlfn.XLOOKUP(tblSales[[#This Row],[Product Code]],tblProducts[Code],tblProducts[Product / Service Name],"⚠ Unknown")</f>
        <v>Premium Basic T-shirt</v>
      </c>
      <c r="H4590" s="1" t="str">
        <f>_xlfn.XLOOKUP(tblSales[[#This Row],[Product Code]],tblProducts[Code],tblProducts[Category],"")</f>
        <v>Accessories &amp; Basics</v>
      </c>
      <c r="I4590" s="4">
        <v>56</v>
      </c>
      <c r="J4590" s="5">
        <f>_xlfn.XLOOKUP(tblSales[[#This Row],[Product Code]],tblProducts[Code],tblProducts[Selling Price (excl. VAT)],0)</f>
        <v>65000</v>
      </c>
      <c r="K4590" s="5">
        <f>tblSales[[#This Row],[Qty]]*tblSales[[#This Row],[Unit Price]]</f>
        <v>3640000</v>
      </c>
      <c r="L4590" s="5">
        <f>ROUND(tblSales[[#This Row],[DPP (excl. VAT)]]*VATEff,0)</f>
        <v>400400</v>
      </c>
      <c r="M4590" s="5">
        <f>tblSales[[#This Row],[DPP (excl. VAT)]]+tblSales[[#This Row],[Output VAT]]</f>
        <v>4040400</v>
      </c>
      <c r="N4590" s="5">
        <f>tblSales[[#This Row],[Qty]]*_xlfn.XLOOKUP(tblSales[[#This Row],[Product Code]],tblProducts[Code],tblProducts[Unit Cost],0)</f>
        <v>2072000</v>
      </c>
      <c r="O4590" s="4" t="s">
        <v>4867</v>
      </c>
      <c r="P4590" s="4" t="s">
        <v>4862</v>
      </c>
      <c r="Q4590" s="1" t="str">
        <f>_xlfn.XLOOKUP(tblSales[[#This Row],[Channel Code]],tblChannels[Channel Code],tblChannels[Channel Name],"")</f>
        <v>Website &amp; Social Media</v>
      </c>
      <c r="R4590" s="1">
        <f>MONTH(tblSales[[#This Row],[Date]])</f>
        <v>10</v>
      </c>
    </row>
    <row r="4591" spans="2:18" x14ac:dyDescent="0.35">
      <c r="B4591" s="113">
        <v>46300</v>
      </c>
      <c r="C4591" s="4" t="s">
        <v>3118</v>
      </c>
      <c r="D4591" s="4" t="s">
        <v>4568</v>
      </c>
      <c r="E4591" s="1" t="str">
        <f>_xlfn.XLOOKUP(tblSales[[#This Row],[Customer ID]],tblCustomers[Customer ID],tblCustomers[Customer Name],"⚠ Unknown")</f>
        <v>Walk-in Customer</v>
      </c>
      <c r="F4591" s="4" t="s">
        <v>12</v>
      </c>
      <c r="G4591" s="1" t="str">
        <f>_xlfn.XLOOKUP(tblSales[[#This Row],[Product Code]],tblProducts[Code],tblProducts[Product / Service Name],"⚠ Unknown")</f>
        <v>Bomber Jacket</v>
      </c>
      <c r="H4591" s="1" t="str">
        <f>_xlfn.XLOOKUP(tblSales[[#This Row],[Product Code]],tblProducts[Code],tblProducts[Category],"")</f>
        <v>Apparel &amp; Footwear</v>
      </c>
      <c r="I4591" s="4">
        <v>3</v>
      </c>
      <c r="J4591" s="5">
        <f>_xlfn.XLOOKUP(tblSales[[#This Row],[Product Code]],tblProducts[Code],tblProducts[Selling Price (excl. VAT)],0)</f>
        <v>350000</v>
      </c>
      <c r="K4591" s="5">
        <f>tblSales[[#This Row],[Qty]]*tblSales[[#This Row],[Unit Price]]</f>
        <v>1050000</v>
      </c>
      <c r="L4591" s="5">
        <f>ROUND(tblSales[[#This Row],[DPP (excl. VAT)]]*VATEff,0)</f>
        <v>115500</v>
      </c>
      <c r="M4591" s="5">
        <f>tblSales[[#This Row],[DPP (excl. VAT)]]+tblSales[[#This Row],[Output VAT]]</f>
        <v>1165500</v>
      </c>
      <c r="N4591" s="5">
        <f>tblSales[[#This Row],[Qty]]*_xlfn.XLOOKUP(tblSales[[#This Row],[Product Code]],tblProducts[Code],tblProducts[Unit Cost],0)</f>
        <v>630000</v>
      </c>
      <c r="O4591" s="4" t="s">
        <v>4866</v>
      </c>
      <c r="P4591" s="4" t="s">
        <v>4860</v>
      </c>
      <c r="Q4591" s="1" t="str">
        <f>_xlfn.XLOOKUP(tblSales[[#This Row],[Channel Code]],tblChannels[Channel Code],tblChannels[Channel Name],"")</f>
        <v>In-store</v>
      </c>
      <c r="R4591" s="1">
        <f>MONTH(tblSales[[#This Row],[Date]])</f>
        <v>10</v>
      </c>
    </row>
    <row r="4592" spans="2:18" x14ac:dyDescent="0.35">
      <c r="B4592" s="113">
        <v>46300</v>
      </c>
      <c r="C4592" s="4" t="s">
        <v>3119</v>
      </c>
      <c r="D4592" s="4" t="s">
        <v>4568</v>
      </c>
      <c r="E4592" s="1" t="str">
        <f>_xlfn.XLOOKUP(tblSales[[#This Row],[Customer ID]],tblCustomers[Customer ID],tblCustomers[Customer Name],"⚠ Unknown")</f>
        <v>Walk-in Customer</v>
      </c>
      <c r="F4592" s="4" t="s">
        <v>7</v>
      </c>
      <c r="G4592" s="1" t="str">
        <f>_xlfn.XLOOKUP(tblSales[[#This Row],[Product Code]],tblProducts[Code],tblProducts[Product / Service Name],"⚠ Unknown")</f>
        <v>Premium Basic T-shirt</v>
      </c>
      <c r="H4592" s="1" t="str">
        <f>_xlfn.XLOOKUP(tblSales[[#This Row],[Product Code]],tblProducts[Code],tblProducts[Category],"")</f>
        <v>Accessories &amp; Basics</v>
      </c>
      <c r="I4592" s="4">
        <v>5</v>
      </c>
      <c r="J4592" s="5">
        <f>_xlfn.XLOOKUP(tblSales[[#This Row],[Product Code]],tblProducts[Code],tblProducts[Selling Price (excl. VAT)],0)</f>
        <v>65000</v>
      </c>
      <c r="K4592" s="5">
        <f>tblSales[[#This Row],[Qty]]*tblSales[[#This Row],[Unit Price]]</f>
        <v>325000</v>
      </c>
      <c r="L4592" s="5">
        <f>ROUND(tblSales[[#This Row],[DPP (excl. VAT)]]*VATEff,0)</f>
        <v>35750</v>
      </c>
      <c r="M4592" s="5">
        <f>tblSales[[#This Row],[DPP (excl. VAT)]]+tblSales[[#This Row],[Output VAT]]</f>
        <v>360750</v>
      </c>
      <c r="N4592" s="5">
        <f>tblSales[[#This Row],[Qty]]*_xlfn.XLOOKUP(tblSales[[#This Row],[Product Code]],tblProducts[Code],tblProducts[Unit Cost],0)</f>
        <v>185000</v>
      </c>
      <c r="O4592" s="4" t="s">
        <v>4866</v>
      </c>
      <c r="P4592" s="4" t="s">
        <v>4862</v>
      </c>
      <c r="Q4592" s="1" t="str">
        <f>_xlfn.XLOOKUP(tblSales[[#This Row],[Channel Code]],tblChannels[Channel Code],tblChannels[Channel Name],"")</f>
        <v>Website &amp; Social Media</v>
      </c>
      <c r="R4592" s="1">
        <f>MONTH(tblSales[[#This Row],[Date]])</f>
        <v>10</v>
      </c>
    </row>
    <row r="4593" spans="2:18" x14ac:dyDescent="0.35">
      <c r="B4593" s="113">
        <v>46300</v>
      </c>
      <c r="C4593" s="4" t="s">
        <v>3120</v>
      </c>
      <c r="D4593" s="4" t="s">
        <v>4620</v>
      </c>
      <c r="E4593" s="1" t="str">
        <f>_xlfn.XLOOKUP(tblSales[[#This Row],[Customer ID]],tblCustomers[Customer ID],tblCustomers[Customer Name],"⚠ Unknown")</f>
        <v>CV Sumber Rejeki Utama</v>
      </c>
      <c r="F4593" s="4" t="s">
        <v>10</v>
      </c>
      <c r="G4593" s="1" t="str">
        <f>_xlfn.XLOOKUP(tblSales[[#This Row],[Product Code]],tblProducts[Code],tblProducts[Product / Service Name],"⚠ Unknown")</f>
        <v>Chino Pants</v>
      </c>
      <c r="H4593" s="1" t="str">
        <f>_xlfn.XLOOKUP(tblSales[[#This Row],[Product Code]],tblProducts[Code],tblProducts[Category],"")</f>
        <v>Apparel &amp; Footwear</v>
      </c>
      <c r="I4593" s="4">
        <v>48</v>
      </c>
      <c r="J4593" s="5">
        <f>_xlfn.XLOOKUP(tblSales[[#This Row],[Product Code]],tblProducts[Code],tblProducts[Selling Price (excl. VAT)],0)</f>
        <v>150000</v>
      </c>
      <c r="K4593" s="5">
        <f>tblSales[[#This Row],[Qty]]*tblSales[[#This Row],[Unit Price]]</f>
        <v>7200000</v>
      </c>
      <c r="L4593" s="5">
        <f>ROUND(tblSales[[#This Row],[DPP (excl. VAT)]]*VATEff,0)</f>
        <v>792000</v>
      </c>
      <c r="M4593" s="5">
        <f>tblSales[[#This Row],[DPP (excl. VAT)]]+tblSales[[#This Row],[Output VAT]]</f>
        <v>7992000</v>
      </c>
      <c r="N4593" s="5">
        <f>tblSales[[#This Row],[Qty]]*_xlfn.XLOOKUP(tblSales[[#This Row],[Product Code]],tblProducts[Code],tblProducts[Unit Cost],0)</f>
        <v>4224000</v>
      </c>
      <c r="O4593" s="4" t="s">
        <v>4867</v>
      </c>
      <c r="P4593" s="4" t="s">
        <v>4860</v>
      </c>
      <c r="Q4593" s="1" t="str">
        <f>_xlfn.XLOOKUP(tblSales[[#This Row],[Channel Code]],tblChannels[Channel Code],tblChannels[Channel Name],"")</f>
        <v>In-store</v>
      </c>
      <c r="R4593" s="1">
        <f>MONTH(tblSales[[#This Row],[Date]])</f>
        <v>10</v>
      </c>
    </row>
    <row r="4594" spans="2:18" x14ac:dyDescent="0.35">
      <c r="B4594" s="113">
        <v>46300</v>
      </c>
      <c r="C4594" s="4" t="s">
        <v>3121</v>
      </c>
      <c r="D4594" s="4" t="s">
        <v>4568</v>
      </c>
      <c r="E4594" s="1" t="str">
        <f>_xlfn.XLOOKUP(tblSales[[#This Row],[Customer ID]],tblCustomers[Customer ID],tblCustomers[Customer Name],"⚠ Unknown")</f>
        <v>Walk-in Customer</v>
      </c>
      <c r="F4594" s="4" t="s">
        <v>11</v>
      </c>
      <c r="G4594" s="1" t="str">
        <f>_xlfn.XLOOKUP(tblSales[[#This Row],[Product Code]],tblProducts[Code],tblProducts[Product / Service Name],"⚠ Unknown")</f>
        <v>Sneakers</v>
      </c>
      <c r="H4594" s="1" t="str">
        <f>_xlfn.XLOOKUP(tblSales[[#This Row],[Product Code]],tblProducts[Code],tblProducts[Category],"")</f>
        <v>Apparel &amp; Footwear</v>
      </c>
      <c r="I4594" s="4">
        <v>6</v>
      </c>
      <c r="J4594" s="5">
        <f>_xlfn.XLOOKUP(tblSales[[#This Row],[Product Code]],tblProducts[Code],tblProducts[Selling Price (excl. VAT)],0)</f>
        <v>250000</v>
      </c>
      <c r="K4594" s="5">
        <f>tblSales[[#This Row],[Qty]]*tblSales[[#This Row],[Unit Price]]</f>
        <v>1500000</v>
      </c>
      <c r="L4594" s="5">
        <f>ROUND(tblSales[[#This Row],[DPP (excl. VAT)]]*VATEff,0)</f>
        <v>165000</v>
      </c>
      <c r="M4594" s="5">
        <f>tblSales[[#This Row],[DPP (excl. VAT)]]+tblSales[[#This Row],[Output VAT]]</f>
        <v>1665000</v>
      </c>
      <c r="N4594" s="5">
        <f>tblSales[[#This Row],[Qty]]*_xlfn.XLOOKUP(tblSales[[#This Row],[Product Code]],tblProducts[Code],tblProducts[Unit Cost],0)</f>
        <v>930000</v>
      </c>
      <c r="O4594" s="4" t="s">
        <v>4865</v>
      </c>
      <c r="P4594" s="4" t="s">
        <v>4860</v>
      </c>
      <c r="Q4594" s="1" t="str">
        <f>_xlfn.XLOOKUP(tblSales[[#This Row],[Channel Code]],tblChannels[Channel Code],tblChannels[Channel Name],"")</f>
        <v>In-store</v>
      </c>
      <c r="R4594" s="1">
        <f>MONTH(tblSales[[#This Row],[Date]])</f>
        <v>10</v>
      </c>
    </row>
    <row r="4595" spans="2:18" x14ac:dyDescent="0.35">
      <c r="B4595" s="113">
        <v>46301</v>
      </c>
      <c r="C4595" s="4" t="s">
        <v>3122</v>
      </c>
      <c r="D4595" s="4" t="s">
        <v>4578</v>
      </c>
      <c r="E4595" s="1" t="str">
        <f>_xlfn.XLOOKUP(tblSales[[#This Row],[Customer ID]],tblCustomers[Customer ID],tblCustomers[Customer Name],"⚠ Unknown")</f>
        <v>PT Bintang Timur Sejahtera</v>
      </c>
      <c r="F4595" s="4" t="s">
        <v>9</v>
      </c>
      <c r="G4595" s="1" t="str">
        <f>_xlfn.XLOOKUP(tblSales[[#This Row],[Product Code]],tblProducts[Code],tblProducts[Product / Service Name],"⚠ Unknown")</f>
        <v>Casual Shirt</v>
      </c>
      <c r="H4595" s="1" t="str">
        <f>_xlfn.XLOOKUP(tblSales[[#This Row],[Product Code]],tblProducts[Code],tblProducts[Category],"")</f>
        <v>Apparel &amp; Footwear</v>
      </c>
      <c r="I4595" s="4">
        <v>48</v>
      </c>
      <c r="J4595" s="5">
        <f>_xlfn.XLOOKUP(tblSales[[#This Row],[Product Code]],tblProducts[Code],tblProducts[Selling Price (excl. VAT)],0)</f>
        <v>120000</v>
      </c>
      <c r="K4595" s="5">
        <f>tblSales[[#This Row],[Qty]]*tblSales[[#This Row],[Unit Price]]</f>
        <v>5760000</v>
      </c>
      <c r="L4595" s="5">
        <f>ROUND(tblSales[[#This Row],[DPP (excl. VAT)]]*VATEff,0)</f>
        <v>633600</v>
      </c>
      <c r="M4595" s="5">
        <f>tblSales[[#This Row],[DPP (excl. VAT)]]+tblSales[[#This Row],[Output VAT]]</f>
        <v>6393600</v>
      </c>
      <c r="N4595" s="5">
        <f>tblSales[[#This Row],[Qty]]*_xlfn.XLOOKUP(tblSales[[#This Row],[Product Code]],tblProducts[Code],tblProducts[Unit Cost],0)</f>
        <v>3456000</v>
      </c>
      <c r="O4595" s="4" t="s">
        <v>4867</v>
      </c>
      <c r="P4595" s="4" t="s">
        <v>4860</v>
      </c>
      <c r="Q4595" s="1" t="str">
        <f>_xlfn.XLOOKUP(tblSales[[#This Row],[Channel Code]],tblChannels[Channel Code],tblChannels[Channel Name],"")</f>
        <v>In-store</v>
      </c>
      <c r="R4595" s="1">
        <f>MONTH(tblSales[[#This Row],[Date]])</f>
        <v>10</v>
      </c>
    </row>
    <row r="4596" spans="2:18" x14ac:dyDescent="0.35">
      <c r="B4596" s="113">
        <v>46301</v>
      </c>
      <c r="C4596" s="4" t="s">
        <v>3123</v>
      </c>
      <c r="D4596" s="4" t="s">
        <v>4568</v>
      </c>
      <c r="E4596" s="1" t="str">
        <f>_xlfn.XLOOKUP(tblSales[[#This Row],[Customer ID]],tblCustomers[Customer ID],tblCustomers[Customer Name],"⚠ Unknown")</f>
        <v>Walk-in Customer</v>
      </c>
      <c r="F4596" s="4" t="s">
        <v>12</v>
      </c>
      <c r="G4596" s="1" t="str">
        <f>_xlfn.XLOOKUP(tblSales[[#This Row],[Product Code]],tblProducts[Code],tblProducts[Product / Service Name],"⚠ Unknown")</f>
        <v>Bomber Jacket</v>
      </c>
      <c r="H4596" s="1" t="str">
        <f>_xlfn.XLOOKUP(tblSales[[#This Row],[Product Code]],tblProducts[Code],tblProducts[Category],"")</f>
        <v>Apparel &amp; Footwear</v>
      </c>
      <c r="I4596" s="4">
        <v>4</v>
      </c>
      <c r="J4596" s="5">
        <f>_xlfn.XLOOKUP(tblSales[[#This Row],[Product Code]],tblProducts[Code],tblProducts[Selling Price (excl. VAT)],0)</f>
        <v>350000</v>
      </c>
      <c r="K4596" s="5">
        <f>tblSales[[#This Row],[Qty]]*tblSales[[#This Row],[Unit Price]]</f>
        <v>1400000</v>
      </c>
      <c r="L4596" s="5">
        <f>ROUND(tblSales[[#This Row],[DPP (excl. VAT)]]*VATEff,0)</f>
        <v>154000</v>
      </c>
      <c r="M4596" s="5">
        <f>tblSales[[#This Row],[DPP (excl. VAT)]]+tblSales[[#This Row],[Output VAT]]</f>
        <v>1554000</v>
      </c>
      <c r="N4596" s="5">
        <f>tblSales[[#This Row],[Qty]]*_xlfn.XLOOKUP(tblSales[[#This Row],[Product Code]],tblProducts[Code],tblProducts[Unit Cost],0)</f>
        <v>840000</v>
      </c>
      <c r="O4596" s="4" t="s">
        <v>4866</v>
      </c>
      <c r="P4596" s="4" t="s">
        <v>4860</v>
      </c>
      <c r="Q4596" s="1" t="str">
        <f>_xlfn.XLOOKUP(tblSales[[#This Row],[Channel Code]],tblChannels[Channel Code],tblChannels[Channel Name],"")</f>
        <v>In-store</v>
      </c>
      <c r="R4596" s="1">
        <f>MONTH(tblSales[[#This Row],[Date]])</f>
        <v>10</v>
      </c>
    </row>
    <row r="4597" spans="2:18" x14ac:dyDescent="0.35">
      <c r="B4597" s="113">
        <v>46301</v>
      </c>
      <c r="C4597" s="4" t="s">
        <v>3123</v>
      </c>
      <c r="D4597" s="4" t="s">
        <v>4568</v>
      </c>
      <c r="E4597" s="1" t="str">
        <f>_xlfn.XLOOKUP(tblSales[[#This Row],[Customer ID]],tblCustomers[Customer ID],tblCustomers[Customer Name],"⚠ Unknown")</f>
        <v>Walk-in Customer</v>
      </c>
      <c r="F4597" s="4" t="s">
        <v>11</v>
      </c>
      <c r="G4597" s="1" t="str">
        <f>_xlfn.XLOOKUP(tblSales[[#This Row],[Product Code]],tblProducts[Code],tblProducts[Product / Service Name],"⚠ Unknown")</f>
        <v>Sneakers</v>
      </c>
      <c r="H4597" s="1" t="str">
        <f>_xlfn.XLOOKUP(tblSales[[#This Row],[Product Code]],tblProducts[Code],tblProducts[Category],"")</f>
        <v>Apparel &amp; Footwear</v>
      </c>
      <c r="I4597" s="4">
        <v>5</v>
      </c>
      <c r="J4597" s="5">
        <f>_xlfn.XLOOKUP(tblSales[[#This Row],[Product Code]],tblProducts[Code],tblProducts[Selling Price (excl. VAT)],0)</f>
        <v>250000</v>
      </c>
      <c r="K4597" s="5">
        <f>tblSales[[#This Row],[Qty]]*tblSales[[#This Row],[Unit Price]]</f>
        <v>1250000</v>
      </c>
      <c r="L4597" s="5">
        <f>ROUND(tblSales[[#This Row],[DPP (excl. VAT)]]*VATEff,0)</f>
        <v>137500</v>
      </c>
      <c r="M4597" s="5">
        <f>tblSales[[#This Row],[DPP (excl. VAT)]]+tblSales[[#This Row],[Output VAT]]</f>
        <v>1387500</v>
      </c>
      <c r="N4597" s="5">
        <f>tblSales[[#This Row],[Qty]]*_xlfn.XLOOKUP(tblSales[[#This Row],[Product Code]],tblProducts[Code],tblProducts[Unit Cost],0)</f>
        <v>775000</v>
      </c>
      <c r="O4597" s="4" t="s">
        <v>4866</v>
      </c>
      <c r="P4597" s="4" t="s">
        <v>4860</v>
      </c>
      <c r="Q4597" s="1" t="str">
        <f>_xlfn.XLOOKUP(tblSales[[#This Row],[Channel Code]],tblChannels[Channel Code],tblChannels[Channel Name],"")</f>
        <v>In-store</v>
      </c>
      <c r="R4597" s="1">
        <f>MONTH(tblSales[[#This Row],[Date]])</f>
        <v>10</v>
      </c>
    </row>
    <row r="4598" spans="2:18" x14ac:dyDescent="0.35">
      <c r="B4598" s="113">
        <v>46301</v>
      </c>
      <c r="C4598" s="4" t="s">
        <v>3124</v>
      </c>
      <c r="D4598" s="4" t="s">
        <v>4606</v>
      </c>
      <c r="E4598" s="1" t="str">
        <f>_xlfn.XLOOKUP(tblSales[[#This Row],[Customer ID]],tblCustomers[Customer ID],tblCustomers[Customer Name],"⚠ Unknown")</f>
        <v>PT Arunika Digital Kreatif</v>
      </c>
      <c r="F4598" s="4" t="s">
        <v>15</v>
      </c>
      <c r="G4598" s="1" t="str">
        <f>_xlfn.XLOOKUP(tblSales[[#This Row],[Product Code]],tblProducts[Code],tblProducts[Product / Service Name],"⚠ Unknown")</f>
        <v>Wireless Earbuds Pro</v>
      </c>
      <c r="H4598" s="1" t="str">
        <f>_xlfn.XLOOKUP(tblSales[[#This Row],[Product Code]],tblProducts[Code],tblProducts[Category],"")</f>
        <v>Bags &amp; Gadgets</v>
      </c>
      <c r="I4598" s="4">
        <v>24</v>
      </c>
      <c r="J4598" s="5">
        <f>_xlfn.XLOOKUP(tblSales[[#This Row],[Product Code]],tblProducts[Code],tblProducts[Selling Price (excl. VAT)],0)</f>
        <v>1250000</v>
      </c>
      <c r="K4598" s="5">
        <f>tblSales[[#This Row],[Qty]]*tblSales[[#This Row],[Unit Price]]</f>
        <v>30000000</v>
      </c>
      <c r="L4598" s="5">
        <f>ROUND(tblSales[[#This Row],[DPP (excl. VAT)]]*VATEff,0)</f>
        <v>3300000</v>
      </c>
      <c r="M4598" s="5">
        <f>tblSales[[#This Row],[DPP (excl. VAT)]]+tblSales[[#This Row],[Output VAT]]</f>
        <v>33300000</v>
      </c>
      <c r="N4598" s="5">
        <f>tblSales[[#This Row],[Qty]]*_xlfn.XLOOKUP(tblSales[[#This Row],[Product Code]],tblProducts[Code],tblProducts[Unit Cost],0)</f>
        <v>19680000</v>
      </c>
      <c r="O4598" s="4" t="s">
        <v>4867</v>
      </c>
      <c r="P4598" s="4" t="s">
        <v>4862</v>
      </c>
      <c r="Q4598" s="1" t="str">
        <f>_xlfn.XLOOKUP(tblSales[[#This Row],[Channel Code]],tblChannels[Channel Code],tblChannels[Channel Name],"")</f>
        <v>Website &amp; Social Media</v>
      </c>
      <c r="R4598" s="1">
        <f>MONTH(tblSales[[#This Row],[Date]])</f>
        <v>10</v>
      </c>
    </row>
    <row r="4599" spans="2:18" x14ac:dyDescent="0.35">
      <c r="B4599" s="113">
        <v>46301</v>
      </c>
      <c r="C4599" s="4" t="s">
        <v>3124</v>
      </c>
      <c r="D4599" s="4" t="s">
        <v>4606</v>
      </c>
      <c r="E4599" s="1" t="str">
        <f>_xlfn.XLOOKUP(tblSales[[#This Row],[Customer ID]],tblCustomers[Customer ID],tblCustomers[Customer Name],"⚠ Unknown")</f>
        <v>PT Arunika Digital Kreatif</v>
      </c>
      <c r="F4599" s="4" t="s">
        <v>6</v>
      </c>
      <c r="G4599" s="1" t="str">
        <f>_xlfn.XLOOKUP(tblSales[[#This Row],[Product Code]],tblProducts[Code],tblProducts[Product / Service Name],"⚠ Unknown")</f>
        <v>Socks &amp; Accessories</v>
      </c>
      <c r="H4599" s="1" t="str">
        <f>_xlfn.XLOOKUP(tblSales[[#This Row],[Product Code]],tblProducts[Code],tblProducts[Category],"")</f>
        <v>Accessories &amp; Basics</v>
      </c>
      <c r="I4599" s="4">
        <v>64</v>
      </c>
      <c r="J4599" s="5">
        <f>_xlfn.XLOOKUP(tblSales[[#This Row],[Product Code]],tblProducts[Code],tblProducts[Selling Price (excl. VAT)],0)</f>
        <v>45000</v>
      </c>
      <c r="K4599" s="5">
        <f>tblSales[[#This Row],[Qty]]*tblSales[[#This Row],[Unit Price]]</f>
        <v>2880000</v>
      </c>
      <c r="L4599" s="5">
        <f>ROUND(tblSales[[#This Row],[DPP (excl. VAT)]]*VATEff,0)</f>
        <v>316800</v>
      </c>
      <c r="M4599" s="5">
        <f>tblSales[[#This Row],[DPP (excl. VAT)]]+tblSales[[#This Row],[Output VAT]]</f>
        <v>3196800</v>
      </c>
      <c r="N4599" s="5">
        <f>tblSales[[#This Row],[Qty]]*_xlfn.XLOOKUP(tblSales[[#This Row],[Product Code]],tblProducts[Code],tblProducts[Unit Cost],0)</f>
        <v>1536000</v>
      </c>
      <c r="O4599" s="4" t="s">
        <v>4867</v>
      </c>
      <c r="P4599" s="4" t="s">
        <v>4862</v>
      </c>
      <c r="Q4599" s="1" t="str">
        <f>_xlfn.XLOOKUP(tblSales[[#This Row],[Channel Code]],tblChannels[Channel Code],tblChannels[Channel Name],"")</f>
        <v>Website &amp; Social Media</v>
      </c>
      <c r="R4599" s="1">
        <f>MONTH(tblSales[[#This Row],[Date]])</f>
        <v>10</v>
      </c>
    </row>
    <row r="4600" spans="2:18" x14ac:dyDescent="0.35">
      <c r="B4600" s="113">
        <v>46301</v>
      </c>
      <c r="C4600" s="4" t="s">
        <v>3125</v>
      </c>
      <c r="D4600" s="4" t="s">
        <v>4572</v>
      </c>
      <c r="E4600" s="1" t="str">
        <f>_xlfn.XLOOKUP(tblSales[[#This Row],[Customer ID]],tblCustomers[Customer ID],tblCustomers[Customer Name],"⚠ Unknown")</f>
        <v>PT Cahaya Abadi Makmur</v>
      </c>
      <c r="F4600" s="4" t="s">
        <v>9</v>
      </c>
      <c r="G4600" s="1" t="str">
        <f>_xlfn.XLOOKUP(tblSales[[#This Row],[Product Code]],tblProducts[Code],tblProducts[Product / Service Name],"⚠ Unknown")</f>
        <v>Casual Shirt</v>
      </c>
      <c r="H4600" s="1" t="str">
        <f>_xlfn.XLOOKUP(tblSales[[#This Row],[Product Code]],tblProducts[Code],tblProducts[Category],"")</f>
        <v>Apparel &amp; Footwear</v>
      </c>
      <c r="I4600" s="4">
        <v>32</v>
      </c>
      <c r="J4600" s="5">
        <f>_xlfn.XLOOKUP(tblSales[[#This Row],[Product Code]],tblProducts[Code],tblProducts[Selling Price (excl. VAT)],0)</f>
        <v>120000</v>
      </c>
      <c r="K4600" s="5">
        <f>tblSales[[#This Row],[Qty]]*tblSales[[#This Row],[Unit Price]]</f>
        <v>3840000</v>
      </c>
      <c r="L4600" s="5">
        <f>ROUND(tblSales[[#This Row],[DPP (excl. VAT)]]*VATEff,0)</f>
        <v>422400</v>
      </c>
      <c r="M4600" s="5">
        <f>tblSales[[#This Row],[DPP (excl. VAT)]]+tblSales[[#This Row],[Output VAT]]</f>
        <v>4262400</v>
      </c>
      <c r="N4600" s="5">
        <f>tblSales[[#This Row],[Qty]]*_xlfn.XLOOKUP(tblSales[[#This Row],[Product Code]],tblProducts[Code],tblProducts[Unit Cost],0)</f>
        <v>2304000</v>
      </c>
      <c r="O4600" s="4" t="s">
        <v>4867</v>
      </c>
      <c r="P4600" s="4" t="s">
        <v>4860</v>
      </c>
      <c r="Q4600" s="1" t="str">
        <f>_xlfn.XLOOKUP(tblSales[[#This Row],[Channel Code]],tblChannels[Channel Code],tblChannels[Channel Name],"")</f>
        <v>In-store</v>
      </c>
      <c r="R4600" s="1">
        <f>MONTH(tblSales[[#This Row],[Date]])</f>
        <v>10</v>
      </c>
    </row>
    <row r="4601" spans="2:18" x14ac:dyDescent="0.35">
      <c r="B4601" s="113">
        <v>46301</v>
      </c>
      <c r="C4601" s="4" t="s">
        <v>3126</v>
      </c>
      <c r="D4601" s="4" t="s">
        <v>4568</v>
      </c>
      <c r="E4601" s="1" t="str">
        <f>_xlfn.XLOOKUP(tblSales[[#This Row],[Customer ID]],tblCustomers[Customer ID],tblCustomers[Customer Name],"⚠ Unknown")</f>
        <v>Walk-in Customer</v>
      </c>
      <c r="F4601" s="4" t="s">
        <v>8</v>
      </c>
      <c r="G4601" s="1" t="str">
        <f>_xlfn.XLOOKUP(tblSales[[#This Row],[Product Code]],tblProducts[Code],tblProducts[Product / Service Name],"⚠ Unknown")</f>
        <v>Casual Shorts</v>
      </c>
      <c r="H4601" s="1" t="str">
        <f>_xlfn.XLOOKUP(tblSales[[#This Row],[Product Code]],tblProducts[Code],tblProducts[Category],"")</f>
        <v>Accessories &amp; Basics</v>
      </c>
      <c r="I4601" s="4">
        <v>6</v>
      </c>
      <c r="J4601" s="5">
        <f>_xlfn.XLOOKUP(tblSales[[#This Row],[Product Code]],tblProducts[Code],tblProducts[Selling Price (excl. VAT)],0)</f>
        <v>85000</v>
      </c>
      <c r="K4601" s="5">
        <f>tblSales[[#This Row],[Qty]]*tblSales[[#This Row],[Unit Price]]</f>
        <v>510000</v>
      </c>
      <c r="L4601" s="5">
        <f>ROUND(tblSales[[#This Row],[DPP (excl. VAT)]]*VATEff,0)</f>
        <v>56100</v>
      </c>
      <c r="M4601" s="5">
        <f>tblSales[[#This Row],[DPP (excl. VAT)]]+tblSales[[#This Row],[Output VAT]]</f>
        <v>566100</v>
      </c>
      <c r="N4601" s="5">
        <f>tblSales[[#This Row],[Qty]]*_xlfn.XLOOKUP(tblSales[[#This Row],[Product Code]],tblProducts[Code],tblProducts[Unit Cost],0)</f>
        <v>300000</v>
      </c>
      <c r="O4601" s="4" t="s">
        <v>4866</v>
      </c>
      <c r="P4601" s="4" t="s">
        <v>4862</v>
      </c>
      <c r="Q4601" s="1" t="str">
        <f>_xlfn.XLOOKUP(tblSales[[#This Row],[Channel Code]],tblChannels[Channel Code],tblChannels[Channel Name],"")</f>
        <v>Website &amp; Social Media</v>
      </c>
      <c r="R4601" s="1">
        <f>MONTH(tblSales[[#This Row],[Date]])</f>
        <v>10</v>
      </c>
    </row>
    <row r="4602" spans="2:18" x14ac:dyDescent="0.35">
      <c r="B4602" s="113">
        <v>46301</v>
      </c>
      <c r="C4602" s="4" t="s">
        <v>3127</v>
      </c>
      <c r="D4602" s="4" t="s">
        <v>4613</v>
      </c>
      <c r="E4602" s="1" t="str">
        <f>_xlfn.XLOOKUP(tblSales[[#This Row],[Customer ID]],tblCustomers[Customer ID],tblCustomers[Customer Name],"⚠ Unknown")</f>
        <v>PT Mega Prima Distribusi</v>
      </c>
      <c r="F4602" s="4" t="s">
        <v>8</v>
      </c>
      <c r="G4602" s="1" t="str">
        <f>_xlfn.XLOOKUP(tblSales[[#This Row],[Product Code]],tblProducts[Code],tblProducts[Product / Service Name],"⚠ Unknown")</f>
        <v>Casual Shorts</v>
      </c>
      <c r="H4602" s="1" t="str">
        <f>_xlfn.XLOOKUP(tblSales[[#This Row],[Product Code]],tblProducts[Code],tblProducts[Category],"")</f>
        <v>Accessories &amp; Basics</v>
      </c>
      <c r="I4602" s="4">
        <v>32</v>
      </c>
      <c r="J4602" s="5">
        <f>_xlfn.XLOOKUP(tblSales[[#This Row],[Product Code]],tblProducts[Code],tblProducts[Selling Price (excl. VAT)],0)</f>
        <v>85000</v>
      </c>
      <c r="K4602" s="5">
        <f>tblSales[[#This Row],[Qty]]*tblSales[[#This Row],[Unit Price]]</f>
        <v>2720000</v>
      </c>
      <c r="L4602" s="5">
        <f>ROUND(tblSales[[#This Row],[DPP (excl. VAT)]]*VATEff,0)</f>
        <v>299200</v>
      </c>
      <c r="M4602" s="5">
        <f>tblSales[[#This Row],[DPP (excl. VAT)]]+tblSales[[#This Row],[Output VAT]]</f>
        <v>3019200</v>
      </c>
      <c r="N4602" s="5">
        <f>tblSales[[#This Row],[Qty]]*_xlfn.XLOOKUP(tblSales[[#This Row],[Product Code]],tblProducts[Code],tblProducts[Unit Cost],0)</f>
        <v>1600000</v>
      </c>
      <c r="O4602" s="4" t="s">
        <v>4867</v>
      </c>
      <c r="P4602" s="4" t="s">
        <v>4860</v>
      </c>
      <c r="Q4602" s="1" t="str">
        <f>_xlfn.XLOOKUP(tblSales[[#This Row],[Channel Code]],tblChannels[Channel Code],tblChannels[Channel Name],"")</f>
        <v>In-store</v>
      </c>
      <c r="R4602" s="1">
        <f>MONTH(tblSales[[#This Row],[Date]])</f>
        <v>10</v>
      </c>
    </row>
    <row r="4603" spans="2:18" x14ac:dyDescent="0.35">
      <c r="B4603" s="113">
        <v>46301</v>
      </c>
      <c r="C4603" s="4" t="s">
        <v>3128</v>
      </c>
      <c r="D4603" s="4" t="s">
        <v>4568</v>
      </c>
      <c r="E4603" s="1" t="str">
        <f>_xlfn.XLOOKUP(tblSales[[#This Row],[Customer ID]],tblCustomers[Customer ID],tblCustomers[Customer Name],"⚠ Unknown")</f>
        <v>Walk-in Customer</v>
      </c>
      <c r="F4603" s="4" t="s">
        <v>9</v>
      </c>
      <c r="G4603" s="1" t="str">
        <f>_xlfn.XLOOKUP(tblSales[[#This Row],[Product Code]],tblProducts[Code],tblProducts[Product / Service Name],"⚠ Unknown")</f>
        <v>Casual Shirt</v>
      </c>
      <c r="H4603" s="1" t="str">
        <f>_xlfn.XLOOKUP(tblSales[[#This Row],[Product Code]],tblProducts[Code],tblProducts[Category],"")</f>
        <v>Apparel &amp; Footwear</v>
      </c>
      <c r="I4603" s="4">
        <v>5</v>
      </c>
      <c r="J4603" s="5">
        <f>_xlfn.XLOOKUP(tblSales[[#This Row],[Product Code]],tblProducts[Code],tblProducts[Selling Price (excl. VAT)],0)</f>
        <v>120000</v>
      </c>
      <c r="K4603" s="5">
        <f>tblSales[[#This Row],[Qty]]*tblSales[[#This Row],[Unit Price]]</f>
        <v>600000</v>
      </c>
      <c r="L4603" s="5">
        <f>ROUND(tblSales[[#This Row],[DPP (excl. VAT)]]*VATEff,0)</f>
        <v>66000</v>
      </c>
      <c r="M4603" s="5">
        <f>tblSales[[#This Row],[DPP (excl. VAT)]]+tblSales[[#This Row],[Output VAT]]</f>
        <v>666000</v>
      </c>
      <c r="N4603" s="5">
        <f>tblSales[[#This Row],[Qty]]*_xlfn.XLOOKUP(tblSales[[#This Row],[Product Code]],tblProducts[Code],tblProducts[Unit Cost],0)</f>
        <v>360000</v>
      </c>
      <c r="O4603" s="4" t="s">
        <v>4866</v>
      </c>
      <c r="P4603" s="4" t="s">
        <v>4860</v>
      </c>
      <c r="Q4603" s="1" t="str">
        <f>_xlfn.XLOOKUP(tblSales[[#This Row],[Channel Code]],tblChannels[Channel Code],tblChannels[Channel Name],"")</f>
        <v>In-store</v>
      </c>
      <c r="R4603" s="1">
        <f>MONTH(tblSales[[#This Row],[Date]])</f>
        <v>10</v>
      </c>
    </row>
    <row r="4604" spans="2:18" x14ac:dyDescent="0.35">
      <c r="B4604" s="113">
        <v>46301</v>
      </c>
      <c r="C4604" s="4" t="s">
        <v>3129</v>
      </c>
      <c r="D4604" s="4" t="s">
        <v>4634</v>
      </c>
      <c r="E4604" s="1" t="str">
        <f>_xlfn.XLOOKUP(tblSales[[#This Row],[Customer ID]],tblCustomers[Customer ID],tblCustomers[Customer Name],"⚠ Unknown")</f>
        <v>PT Delta Inti Selaras</v>
      </c>
      <c r="F4604" s="4" t="s">
        <v>8</v>
      </c>
      <c r="G4604" s="1" t="str">
        <f>_xlfn.XLOOKUP(tblSales[[#This Row],[Product Code]],tblProducts[Code],tblProducts[Product / Service Name],"⚠ Unknown")</f>
        <v>Casual Shorts</v>
      </c>
      <c r="H4604" s="1" t="str">
        <f>_xlfn.XLOOKUP(tblSales[[#This Row],[Product Code]],tblProducts[Code],tblProducts[Category],"")</f>
        <v>Accessories &amp; Basics</v>
      </c>
      <c r="I4604" s="4">
        <v>16</v>
      </c>
      <c r="J4604" s="5">
        <f>_xlfn.XLOOKUP(tblSales[[#This Row],[Product Code]],tblProducts[Code],tblProducts[Selling Price (excl. VAT)],0)</f>
        <v>85000</v>
      </c>
      <c r="K4604" s="5">
        <f>tblSales[[#This Row],[Qty]]*tblSales[[#This Row],[Unit Price]]</f>
        <v>1360000</v>
      </c>
      <c r="L4604" s="5">
        <f>ROUND(tblSales[[#This Row],[DPP (excl. VAT)]]*VATEff,0)</f>
        <v>149600</v>
      </c>
      <c r="M4604" s="5">
        <f>tblSales[[#This Row],[DPP (excl. VAT)]]+tblSales[[#This Row],[Output VAT]]</f>
        <v>1509600</v>
      </c>
      <c r="N4604" s="5">
        <f>tblSales[[#This Row],[Qty]]*_xlfn.XLOOKUP(tblSales[[#This Row],[Product Code]],tblProducts[Code],tblProducts[Unit Cost],0)</f>
        <v>800000</v>
      </c>
      <c r="O4604" s="4" t="s">
        <v>4867</v>
      </c>
      <c r="P4604" s="4" t="s">
        <v>4860</v>
      </c>
      <c r="Q4604" s="1" t="str">
        <f>_xlfn.XLOOKUP(tblSales[[#This Row],[Channel Code]],tblChannels[Channel Code],tblChannels[Channel Name],"")</f>
        <v>In-store</v>
      </c>
      <c r="R4604" s="1">
        <f>MONTH(tblSales[[#This Row],[Date]])</f>
        <v>10</v>
      </c>
    </row>
    <row r="4605" spans="2:18" x14ac:dyDescent="0.35">
      <c r="B4605" s="113">
        <v>46301</v>
      </c>
      <c r="C4605" s="4" t="s">
        <v>3130</v>
      </c>
      <c r="D4605" s="4" t="s">
        <v>4568</v>
      </c>
      <c r="E4605" s="1" t="str">
        <f>_xlfn.XLOOKUP(tblSales[[#This Row],[Customer ID]],tblCustomers[Customer ID],tblCustomers[Customer Name],"⚠ Unknown")</f>
        <v>Walk-in Customer</v>
      </c>
      <c r="F4605" s="4" t="s">
        <v>11</v>
      </c>
      <c r="G4605" s="1" t="str">
        <f>_xlfn.XLOOKUP(tblSales[[#This Row],[Product Code]],tblProducts[Code],tblProducts[Product / Service Name],"⚠ Unknown")</f>
        <v>Sneakers</v>
      </c>
      <c r="H4605" s="1" t="str">
        <f>_xlfn.XLOOKUP(tblSales[[#This Row],[Product Code]],tblProducts[Code],tblProducts[Category],"")</f>
        <v>Apparel &amp; Footwear</v>
      </c>
      <c r="I4605" s="4">
        <v>2</v>
      </c>
      <c r="J4605" s="5">
        <f>_xlfn.XLOOKUP(tblSales[[#This Row],[Product Code]],tblProducts[Code],tblProducts[Selling Price (excl. VAT)],0)</f>
        <v>250000</v>
      </c>
      <c r="K4605" s="5">
        <f>tblSales[[#This Row],[Qty]]*tblSales[[#This Row],[Unit Price]]</f>
        <v>500000</v>
      </c>
      <c r="L4605" s="5">
        <f>ROUND(tblSales[[#This Row],[DPP (excl. VAT)]]*VATEff,0)</f>
        <v>55000</v>
      </c>
      <c r="M4605" s="5">
        <f>tblSales[[#This Row],[DPP (excl. VAT)]]+tblSales[[#This Row],[Output VAT]]</f>
        <v>555000</v>
      </c>
      <c r="N4605" s="5">
        <f>tblSales[[#This Row],[Qty]]*_xlfn.XLOOKUP(tblSales[[#This Row],[Product Code]],tblProducts[Code],tblProducts[Unit Cost],0)</f>
        <v>310000</v>
      </c>
      <c r="O4605" s="4" t="s">
        <v>4866</v>
      </c>
      <c r="P4605" s="4" t="s">
        <v>4860</v>
      </c>
      <c r="Q4605" s="1" t="str">
        <f>_xlfn.XLOOKUP(tblSales[[#This Row],[Channel Code]],tblChannels[Channel Code],tblChannels[Channel Name],"")</f>
        <v>In-store</v>
      </c>
      <c r="R4605" s="1">
        <f>MONTH(tblSales[[#This Row],[Date]])</f>
        <v>10</v>
      </c>
    </row>
    <row r="4606" spans="2:18" x14ac:dyDescent="0.35">
      <c r="B4606" s="113">
        <v>46302</v>
      </c>
      <c r="C4606" s="4" t="s">
        <v>3131</v>
      </c>
      <c r="D4606" s="4" t="s">
        <v>4641</v>
      </c>
      <c r="E4606" s="1" t="str">
        <f>_xlfn.XLOOKUP(tblSales[[#This Row],[Customer ID]],tblCustomers[Customer ID],tblCustomers[Customer Name],"⚠ Unknown")</f>
        <v>PT Harmoni Pangan Lestari</v>
      </c>
      <c r="F4606" s="4" t="s">
        <v>7</v>
      </c>
      <c r="G4606" s="1" t="str">
        <f>_xlfn.XLOOKUP(tblSales[[#This Row],[Product Code]],tblProducts[Code],tblProducts[Product / Service Name],"⚠ Unknown")</f>
        <v>Premium Basic T-shirt</v>
      </c>
      <c r="H4606" s="1" t="str">
        <f>_xlfn.XLOOKUP(tblSales[[#This Row],[Product Code]],tblProducts[Code],tblProducts[Category],"")</f>
        <v>Accessories &amp; Basics</v>
      </c>
      <c r="I4606" s="4">
        <v>24</v>
      </c>
      <c r="J4606" s="5">
        <f>_xlfn.XLOOKUP(tblSales[[#This Row],[Product Code]],tblProducts[Code],tblProducts[Selling Price (excl. VAT)],0)</f>
        <v>65000</v>
      </c>
      <c r="K4606" s="5">
        <f>tblSales[[#This Row],[Qty]]*tblSales[[#This Row],[Unit Price]]</f>
        <v>1560000</v>
      </c>
      <c r="L4606" s="5">
        <f>ROUND(tblSales[[#This Row],[DPP (excl. VAT)]]*VATEff,0)</f>
        <v>171600</v>
      </c>
      <c r="M4606" s="5">
        <f>tblSales[[#This Row],[DPP (excl. VAT)]]+tblSales[[#This Row],[Output VAT]]</f>
        <v>1731600</v>
      </c>
      <c r="N4606" s="5">
        <f>tblSales[[#This Row],[Qty]]*_xlfn.XLOOKUP(tblSales[[#This Row],[Product Code]],tblProducts[Code],tblProducts[Unit Cost],0)</f>
        <v>888000</v>
      </c>
      <c r="O4606" s="4" t="s">
        <v>4867</v>
      </c>
      <c r="P4606" s="4" t="s">
        <v>4860</v>
      </c>
      <c r="Q4606" s="1" t="str">
        <f>_xlfn.XLOOKUP(tblSales[[#This Row],[Channel Code]],tblChannels[Channel Code],tblChannels[Channel Name],"")</f>
        <v>In-store</v>
      </c>
      <c r="R4606" s="1">
        <f>MONTH(tblSales[[#This Row],[Date]])</f>
        <v>10</v>
      </c>
    </row>
    <row r="4607" spans="2:18" x14ac:dyDescent="0.35">
      <c r="B4607" s="113">
        <v>46302</v>
      </c>
      <c r="C4607" s="4" t="s">
        <v>3132</v>
      </c>
      <c r="D4607" s="4" t="s">
        <v>4568</v>
      </c>
      <c r="E4607" s="1" t="str">
        <f>_xlfn.XLOOKUP(tblSales[[#This Row],[Customer ID]],tblCustomers[Customer ID],tblCustomers[Customer Name],"⚠ Unknown")</f>
        <v>Walk-in Customer</v>
      </c>
      <c r="F4607" s="4" t="s">
        <v>7</v>
      </c>
      <c r="G4607" s="1" t="str">
        <f>_xlfn.XLOOKUP(tblSales[[#This Row],[Product Code]],tblProducts[Code],tblProducts[Product / Service Name],"⚠ Unknown")</f>
        <v>Premium Basic T-shirt</v>
      </c>
      <c r="H4607" s="1" t="str">
        <f>_xlfn.XLOOKUP(tblSales[[#This Row],[Product Code]],tblProducts[Code],tblProducts[Category],"")</f>
        <v>Accessories &amp; Basics</v>
      </c>
      <c r="I4607" s="4">
        <v>4</v>
      </c>
      <c r="J4607" s="5">
        <f>_xlfn.XLOOKUP(tblSales[[#This Row],[Product Code]],tblProducts[Code],tblProducts[Selling Price (excl. VAT)],0)</f>
        <v>65000</v>
      </c>
      <c r="K4607" s="5">
        <f>tblSales[[#This Row],[Qty]]*tblSales[[#This Row],[Unit Price]]</f>
        <v>260000</v>
      </c>
      <c r="L4607" s="5">
        <f>ROUND(tblSales[[#This Row],[DPP (excl. VAT)]]*VATEff,0)</f>
        <v>28600</v>
      </c>
      <c r="M4607" s="5">
        <f>tblSales[[#This Row],[DPP (excl. VAT)]]+tblSales[[#This Row],[Output VAT]]</f>
        <v>288600</v>
      </c>
      <c r="N4607" s="5">
        <f>tblSales[[#This Row],[Qty]]*_xlfn.XLOOKUP(tblSales[[#This Row],[Product Code]],tblProducts[Code],tblProducts[Unit Cost],0)</f>
        <v>148000</v>
      </c>
      <c r="O4607" s="4" t="s">
        <v>4866</v>
      </c>
      <c r="P4607" s="4" t="s">
        <v>4861</v>
      </c>
      <c r="Q4607" s="1" t="str">
        <f>_xlfn.XLOOKUP(tblSales[[#This Row],[Channel Code]],tblChannels[Channel Code],tblChannels[Channel Name],"")</f>
        <v>Marketplace</v>
      </c>
      <c r="R4607" s="1">
        <f>MONTH(tblSales[[#This Row],[Date]])</f>
        <v>10</v>
      </c>
    </row>
    <row r="4608" spans="2:18" x14ac:dyDescent="0.35">
      <c r="B4608" s="113">
        <v>46302</v>
      </c>
      <c r="C4608" s="4" t="s">
        <v>3133</v>
      </c>
      <c r="D4608" s="4" t="s">
        <v>4568</v>
      </c>
      <c r="E4608" s="1" t="str">
        <f>_xlfn.XLOOKUP(tblSales[[#This Row],[Customer ID]],tblCustomers[Customer ID],tblCustomers[Customer Name],"⚠ Unknown")</f>
        <v>Walk-in Customer</v>
      </c>
      <c r="F4608" s="4" t="s">
        <v>8</v>
      </c>
      <c r="G4608" s="1" t="str">
        <f>_xlfn.XLOOKUP(tblSales[[#This Row],[Product Code]],tblProducts[Code],tblProducts[Product / Service Name],"⚠ Unknown")</f>
        <v>Casual Shorts</v>
      </c>
      <c r="H4608" s="1" t="str">
        <f>_xlfn.XLOOKUP(tblSales[[#This Row],[Product Code]],tblProducts[Code],tblProducts[Category],"")</f>
        <v>Accessories &amp; Basics</v>
      </c>
      <c r="I4608" s="4">
        <v>1</v>
      </c>
      <c r="J4608" s="5">
        <f>_xlfn.XLOOKUP(tblSales[[#This Row],[Product Code]],tblProducts[Code],tblProducts[Selling Price (excl. VAT)],0)</f>
        <v>85000</v>
      </c>
      <c r="K4608" s="5">
        <f>tblSales[[#This Row],[Qty]]*tblSales[[#This Row],[Unit Price]]</f>
        <v>85000</v>
      </c>
      <c r="L4608" s="5">
        <f>ROUND(tblSales[[#This Row],[DPP (excl. VAT)]]*VATEff,0)</f>
        <v>9350</v>
      </c>
      <c r="M4608" s="5">
        <f>tblSales[[#This Row],[DPP (excl. VAT)]]+tblSales[[#This Row],[Output VAT]]</f>
        <v>94350</v>
      </c>
      <c r="N4608" s="5">
        <f>tblSales[[#This Row],[Qty]]*_xlfn.XLOOKUP(tblSales[[#This Row],[Product Code]],tblProducts[Code],tblProducts[Unit Cost],0)</f>
        <v>50000</v>
      </c>
      <c r="O4608" s="4" t="s">
        <v>4866</v>
      </c>
      <c r="P4608" s="4" t="s">
        <v>4861</v>
      </c>
      <c r="Q4608" s="1" t="str">
        <f>_xlfn.XLOOKUP(tblSales[[#This Row],[Channel Code]],tblChannels[Channel Code],tblChannels[Channel Name],"")</f>
        <v>Marketplace</v>
      </c>
      <c r="R4608" s="1">
        <f>MONTH(tblSales[[#This Row],[Date]])</f>
        <v>10</v>
      </c>
    </row>
    <row r="4609" spans="2:18" x14ac:dyDescent="0.35">
      <c r="B4609" s="113">
        <v>46302</v>
      </c>
      <c r="C4609" s="4" t="s">
        <v>3134</v>
      </c>
      <c r="D4609" s="4" t="s">
        <v>4568</v>
      </c>
      <c r="E4609" s="1" t="str">
        <f>_xlfn.XLOOKUP(tblSales[[#This Row],[Customer ID]],tblCustomers[Customer ID],tblCustomers[Customer Name],"⚠ Unknown")</f>
        <v>Walk-in Customer</v>
      </c>
      <c r="F4609" s="4" t="s">
        <v>10</v>
      </c>
      <c r="G4609" s="1" t="str">
        <f>_xlfn.XLOOKUP(tblSales[[#This Row],[Product Code]],tblProducts[Code],tblProducts[Product / Service Name],"⚠ Unknown")</f>
        <v>Chino Pants</v>
      </c>
      <c r="H4609" s="1" t="str">
        <f>_xlfn.XLOOKUP(tblSales[[#This Row],[Product Code]],tblProducts[Code],tblProducts[Category],"")</f>
        <v>Apparel &amp; Footwear</v>
      </c>
      <c r="I4609" s="4">
        <v>12</v>
      </c>
      <c r="J4609" s="5">
        <f>_xlfn.XLOOKUP(tblSales[[#This Row],[Product Code]],tblProducts[Code],tblProducts[Selling Price (excl. VAT)],0)</f>
        <v>150000</v>
      </c>
      <c r="K4609" s="5">
        <f>tblSales[[#This Row],[Qty]]*tblSales[[#This Row],[Unit Price]]</f>
        <v>1800000</v>
      </c>
      <c r="L4609" s="5">
        <f>ROUND(tblSales[[#This Row],[DPP (excl. VAT)]]*VATEff,0)</f>
        <v>198000</v>
      </c>
      <c r="M4609" s="5">
        <f>tblSales[[#This Row],[DPP (excl. VAT)]]+tblSales[[#This Row],[Output VAT]]</f>
        <v>1998000</v>
      </c>
      <c r="N4609" s="5">
        <f>tblSales[[#This Row],[Qty]]*_xlfn.XLOOKUP(tblSales[[#This Row],[Product Code]],tblProducts[Code],tblProducts[Unit Cost],0)</f>
        <v>1056000</v>
      </c>
      <c r="O4609" s="4" t="s">
        <v>4866</v>
      </c>
      <c r="P4609" s="4" t="s">
        <v>4861</v>
      </c>
      <c r="Q4609" s="1" t="str">
        <f>_xlfn.XLOOKUP(tblSales[[#This Row],[Channel Code]],tblChannels[Channel Code],tblChannels[Channel Name],"")</f>
        <v>Marketplace</v>
      </c>
      <c r="R4609" s="1">
        <f>MONTH(tblSales[[#This Row],[Date]])</f>
        <v>10</v>
      </c>
    </row>
    <row r="4610" spans="2:18" x14ac:dyDescent="0.35">
      <c r="B4610" s="113">
        <v>46302</v>
      </c>
      <c r="C4610" s="4" t="s">
        <v>3135</v>
      </c>
      <c r="D4610" s="4" t="s">
        <v>4568</v>
      </c>
      <c r="E4610" s="1" t="str">
        <f>_xlfn.XLOOKUP(tblSales[[#This Row],[Customer ID]],tblCustomers[Customer ID],tblCustomers[Customer Name],"⚠ Unknown")</f>
        <v>Walk-in Customer</v>
      </c>
      <c r="F4610" s="4" t="s">
        <v>12</v>
      </c>
      <c r="G4610" s="1" t="str">
        <f>_xlfn.XLOOKUP(tblSales[[#This Row],[Product Code]],tblProducts[Code],tblProducts[Product / Service Name],"⚠ Unknown")</f>
        <v>Bomber Jacket</v>
      </c>
      <c r="H4610" s="1" t="str">
        <f>_xlfn.XLOOKUP(tblSales[[#This Row],[Product Code]],tblProducts[Code],tblProducts[Category],"")</f>
        <v>Apparel &amp; Footwear</v>
      </c>
      <c r="I4610" s="4">
        <v>4</v>
      </c>
      <c r="J4610" s="5">
        <f>_xlfn.XLOOKUP(tblSales[[#This Row],[Product Code]],tblProducts[Code],tblProducts[Selling Price (excl. VAT)],0)</f>
        <v>350000</v>
      </c>
      <c r="K4610" s="5">
        <f>tblSales[[#This Row],[Qty]]*tblSales[[#This Row],[Unit Price]]</f>
        <v>1400000</v>
      </c>
      <c r="L4610" s="5">
        <f>ROUND(tblSales[[#This Row],[DPP (excl. VAT)]]*VATEff,0)</f>
        <v>154000</v>
      </c>
      <c r="M4610" s="5">
        <f>tblSales[[#This Row],[DPP (excl. VAT)]]+tblSales[[#This Row],[Output VAT]]</f>
        <v>1554000</v>
      </c>
      <c r="N4610" s="5">
        <f>tblSales[[#This Row],[Qty]]*_xlfn.XLOOKUP(tblSales[[#This Row],[Product Code]],tblProducts[Code],tblProducts[Unit Cost],0)</f>
        <v>840000</v>
      </c>
      <c r="O4610" s="4" t="s">
        <v>4866</v>
      </c>
      <c r="P4610" s="4" t="s">
        <v>4860</v>
      </c>
      <c r="Q4610" s="1" t="str">
        <f>_xlfn.XLOOKUP(tblSales[[#This Row],[Channel Code]],tblChannels[Channel Code],tblChannels[Channel Name],"")</f>
        <v>In-store</v>
      </c>
      <c r="R4610" s="1">
        <f>MONTH(tblSales[[#This Row],[Date]])</f>
        <v>10</v>
      </c>
    </row>
    <row r="4611" spans="2:18" x14ac:dyDescent="0.35">
      <c r="B4611" s="113">
        <v>46302</v>
      </c>
      <c r="C4611" s="4" t="s">
        <v>3135</v>
      </c>
      <c r="D4611" s="4" t="s">
        <v>4568</v>
      </c>
      <c r="E4611" s="1" t="str">
        <f>_xlfn.XLOOKUP(tblSales[[#This Row],[Customer ID]],tblCustomers[Customer ID],tblCustomers[Customer Name],"⚠ Unknown")</f>
        <v>Walk-in Customer</v>
      </c>
      <c r="F4611" s="4" t="s">
        <v>10</v>
      </c>
      <c r="G4611" s="1" t="str">
        <f>_xlfn.XLOOKUP(tblSales[[#This Row],[Product Code]],tblProducts[Code],tblProducts[Product / Service Name],"⚠ Unknown")</f>
        <v>Chino Pants</v>
      </c>
      <c r="H4611" s="1" t="str">
        <f>_xlfn.XLOOKUP(tblSales[[#This Row],[Product Code]],tblProducts[Code],tblProducts[Category],"")</f>
        <v>Apparel &amp; Footwear</v>
      </c>
      <c r="I4611" s="4">
        <v>4</v>
      </c>
      <c r="J4611" s="5">
        <f>_xlfn.XLOOKUP(tblSales[[#This Row],[Product Code]],tblProducts[Code],tblProducts[Selling Price (excl. VAT)],0)</f>
        <v>150000</v>
      </c>
      <c r="K4611" s="5">
        <f>tblSales[[#This Row],[Qty]]*tblSales[[#This Row],[Unit Price]]</f>
        <v>600000</v>
      </c>
      <c r="L4611" s="5">
        <f>ROUND(tblSales[[#This Row],[DPP (excl. VAT)]]*VATEff,0)</f>
        <v>66000</v>
      </c>
      <c r="M4611" s="5">
        <f>tblSales[[#This Row],[DPP (excl. VAT)]]+tblSales[[#This Row],[Output VAT]]</f>
        <v>666000</v>
      </c>
      <c r="N4611" s="5">
        <f>tblSales[[#This Row],[Qty]]*_xlfn.XLOOKUP(tblSales[[#This Row],[Product Code]],tblProducts[Code],tblProducts[Unit Cost],0)</f>
        <v>352000</v>
      </c>
      <c r="O4611" s="4" t="s">
        <v>4866</v>
      </c>
      <c r="P4611" s="4" t="s">
        <v>4860</v>
      </c>
      <c r="Q4611" s="1" t="str">
        <f>_xlfn.XLOOKUP(tblSales[[#This Row],[Channel Code]],tblChannels[Channel Code],tblChannels[Channel Name],"")</f>
        <v>In-store</v>
      </c>
      <c r="R4611" s="1">
        <f>MONTH(tblSales[[#This Row],[Date]])</f>
        <v>10</v>
      </c>
    </row>
    <row r="4612" spans="2:18" x14ac:dyDescent="0.35">
      <c r="B4612" s="113">
        <v>46302</v>
      </c>
      <c r="C4612" s="4" t="s">
        <v>3136</v>
      </c>
      <c r="D4612" s="4" t="s">
        <v>4568</v>
      </c>
      <c r="E4612" s="1" t="str">
        <f>_xlfn.XLOOKUP(tblSales[[#This Row],[Customer ID]],tblCustomers[Customer ID],tblCustomers[Customer Name],"⚠ Unknown")</f>
        <v>Walk-in Customer</v>
      </c>
      <c r="F4612" s="4" t="s">
        <v>7</v>
      </c>
      <c r="G4612" s="1" t="str">
        <f>_xlfn.XLOOKUP(tblSales[[#This Row],[Product Code]],tblProducts[Code],tblProducts[Product / Service Name],"⚠ Unknown")</f>
        <v>Premium Basic T-shirt</v>
      </c>
      <c r="H4612" s="1" t="str">
        <f>_xlfn.XLOOKUP(tblSales[[#This Row],[Product Code]],tblProducts[Code],tblProducts[Category],"")</f>
        <v>Accessories &amp; Basics</v>
      </c>
      <c r="I4612" s="4">
        <v>9</v>
      </c>
      <c r="J4612" s="5">
        <f>_xlfn.XLOOKUP(tblSales[[#This Row],[Product Code]],tblProducts[Code],tblProducts[Selling Price (excl. VAT)],0)</f>
        <v>65000</v>
      </c>
      <c r="K4612" s="5">
        <f>tblSales[[#This Row],[Qty]]*tblSales[[#This Row],[Unit Price]]</f>
        <v>585000</v>
      </c>
      <c r="L4612" s="5">
        <f>ROUND(tblSales[[#This Row],[DPP (excl. VAT)]]*VATEff,0)</f>
        <v>64350</v>
      </c>
      <c r="M4612" s="5">
        <f>tblSales[[#This Row],[DPP (excl. VAT)]]+tblSales[[#This Row],[Output VAT]]</f>
        <v>649350</v>
      </c>
      <c r="N4612" s="5">
        <f>tblSales[[#This Row],[Qty]]*_xlfn.XLOOKUP(tblSales[[#This Row],[Product Code]],tblProducts[Code],tblProducts[Unit Cost],0)</f>
        <v>333000</v>
      </c>
      <c r="O4612" s="4" t="s">
        <v>4865</v>
      </c>
      <c r="P4612" s="4" t="s">
        <v>4860</v>
      </c>
      <c r="Q4612" s="1" t="str">
        <f>_xlfn.XLOOKUP(tblSales[[#This Row],[Channel Code]],tblChannels[Channel Code],tblChannels[Channel Name],"")</f>
        <v>In-store</v>
      </c>
      <c r="R4612" s="1">
        <f>MONTH(tblSales[[#This Row],[Date]])</f>
        <v>10</v>
      </c>
    </row>
    <row r="4613" spans="2:18" x14ac:dyDescent="0.35">
      <c r="B4613" s="113">
        <v>46302</v>
      </c>
      <c r="C4613" s="4" t="s">
        <v>3137</v>
      </c>
      <c r="D4613" s="4" t="s">
        <v>4568</v>
      </c>
      <c r="E4613" s="1" t="str">
        <f>_xlfn.XLOOKUP(tblSales[[#This Row],[Customer ID]],tblCustomers[Customer ID],tblCustomers[Customer Name],"⚠ Unknown")</f>
        <v>Walk-in Customer</v>
      </c>
      <c r="F4613" s="4" t="s">
        <v>15</v>
      </c>
      <c r="G4613" s="1" t="str">
        <f>_xlfn.XLOOKUP(tblSales[[#This Row],[Product Code]],tblProducts[Code],tblProducts[Product / Service Name],"⚠ Unknown")</f>
        <v>Wireless Earbuds Pro</v>
      </c>
      <c r="H4613" s="1" t="str">
        <f>_xlfn.XLOOKUP(tblSales[[#This Row],[Product Code]],tblProducts[Code],tblProducts[Category],"")</f>
        <v>Bags &amp; Gadgets</v>
      </c>
      <c r="I4613" s="4">
        <v>1</v>
      </c>
      <c r="J4613" s="5">
        <f>_xlfn.XLOOKUP(tblSales[[#This Row],[Product Code]],tblProducts[Code],tblProducts[Selling Price (excl. VAT)],0)</f>
        <v>1250000</v>
      </c>
      <c r="K4613" s="5">
        <f>tblSales[[#This Row],[Qty]]*tblSales[[#This Row],[Unit Price]]</f>
        <v>1250000</v>
      </c>
      <c r="L4613" s="5">
        <f>ROUND(tblSales[[#This Row],[DPP (excl. VAT)]]*VATEff,0)</f>
        <v>137500</v>
      </c>
      <c r="M4613" s="5">
        <f>tblSales[[#This Row],[DPP (excl. VAT)]]+tblSales[[#This Row],[Output VAT]]</f>
        <v>1387500</v>
      </c>
      <c r="N4613" s="5">
        <f>tblSales[[#This Row],[Qty]]*_xlfn.XLOOKUP(tblSales[[#This Row],[Product Code]],tblProducts[Code],tblProducts[Unit Cost],0)</f>
        <v>820000</v>
      </c>
      <c r="O4613" s="4" t="s">
        <v>4866</v>
      </c>
      <c r="P4613" s="4" t="s">
        <v>4860</v>
      </c>
      <c r="Q4613" s="1" t="str">
        <f>_xlfn.XLOOKUP(tblSales[[#This Row],[Channel Code]],tblChannels[Channel Code],tblChannels[Channel Name],"")</f>
        <v>In-store</v>
      </c>
      <c r="R4613" s="1">
        <f>MONTH(tblSales[[#This Row],[Date]])</f>
        <v>10</v>
      </c>
    </row>
    <row r="4614" spans="2:18" x14ac:dyDescent="0.35">
      <c r="B4614" s="113">
        <v>46302</v>
      </c>
      <c r="C4614" s="4" t="s">
        <v>3138</v>
      </c>
      <c r="D4614" s="4" t="s">
        <v>4648</v>
      </c>
      <c r="E4614" s="1" t="str">
        <f>_xlfn.XLOOKUP(tblSales[[#This Row],[Customer ID]],tblCustomers[Customer ID],tblCustomers[Customer Name],"⚠ Unknown")</f>
        <v>PT Lintas Benua Niaga</v>
      </c>
      <c r="F4614" s="4" t="s">
        <v>9</v>
      </c>
      <c r="G4614" s="1" t="str">
        <f>_xlfn.XLOOKUP(tblSales[[#This Row],[Product Code]],tblProducts[Code],tblProducts[Product / Service Name],"⚠ Unknown")</f>
        <v>Casual Shirt</v>
      </c>
      <c r="H4614" s="1" t="str">
        <f>_xlfn.XLOOKUP(tblSales[[#This Row],[Product Code]],tblProducts[Code],tblProducts[Category],"")</f>
        <v>Apparel &amp; Footwear</v>
      </c>
      <c r="I4614" s="4">
        <v>72</v>
      </c>
      <c r="J4614" s="5">
        <f>_xlfn.XLOOKUP(tblSales[[#This Row],[Product Code]],tblProducts[Code],tblProducts[Selling Price (excl. VAT)],0)</f>
        <v>120000</v>
      </c>
      <c r="K4614" s="5">
        <f>tblSales[[#This Row],[Qty]]*tblSales[[#This Row],[Unit Price]]</f>
        <v>8640000</v>
      </c>
      <c r="L4614" s="5">
        <f>ROUND(tblSales[[#This Row],[DPP (excl. VAT)]]*VATEff,0)</f>
        <v>950400</v>
      </c>
      <c r="M4614" s="5">
        <f>tblSales[[#This Row],[DPP (excl. VAT)]]+tblSales[[#This Row],[Output VAT]]</f>
        <v>9590400</v>
      </c>
      <c r="N4614" s="5">
        <f>tblSales[[#This Row],[Qty]]*_xlfn.XLOOKUP(tblSales[[#This Row],[Product Code]],tblProducts[Code],tblProducts[Unit Cost],0)</f>
        <v>5184000</v>
      </c>
      <c r="O4614" s="4" t="s">
        <v>4867</v>
      </c>
      <c r="P4614" s="4" t="s">
        <v>4860</v>
      </c>
      <c r="Q4614" s="1" t="str">
        <f>_xlfn.XLOOKUP(tblSales[[#This Row],[Channel Code]],tblChannels[Channel Code],tblChannels[Channel Name],"")</f>
        <v>In-store</v>
      </c>
      <c r="R4614" s="1">
        <f>MONTH(tblSales[[#This Row],[Date]])</f>
        <v>10</v>
      </c>
    </row>
    <row r="4615" spans="2:18" x14ac:dyDescent="0.35">
      <c r="B4615" s="113">
        <v>46302</v>
      </c>
      <c r="C4615" s="4" t="s">
        <v>3138</v>
      </c>
      <c r="D4615" s="4" t="s">
        <v>4648</v>
      </c>
      <c r="E4615" s="1" t="str">
        <f>_xlfn.XLOOKUP(tblSales[[#This Row],[Customer ID]],tblCustomers[Customer ID],tblCustomers[Customer Name],"⚠ Unknown")</f>
        <v>PT Lintas Benua Niaga</v>
      </c>
      <c r="F4615" s="4" t="s">
        <v>8</v>
      </c>
      <c r="G4615" s="1" t="str">
        <f>_xlfn.XLOOKUP(tblSales[[#This Row],[Product Code]],tblProducts[Code],tblProducts[Product / Service Name],"⚠ Unknown")</f>
        <v>Casual Shorts</v>
      </c>
      <c r="H4615" s="1" t="str">
        <f>_xlfn.XLOOKUP(tblSales[[#This Row],[Product Code]],tblProducts[Code],tblProducts[Category],"")</f>
        <v>Accessories &amp; Basics</v>
      </c>
      <c r="I4615" s="4">
        <v>96</v>
      </c>
      <c r="J4615" s="5">
        <f>_xlfn.XLOOKUP(tblSales[[#This Row],[Product Code]],tblProducts[Code],tblProducts[Selling Price (excl. VAT)],0)</f>
        <v>85000</v>
      </c>
      <c r="K4615" s="5">
        <f>tblSales[[#This Row],[Qty]]*tblSales[[#This Row],[Unit Price]]</f>
        <v>8160000</v>
      </c>
      <c r="L4615" s="5">
        <f>ROUND(tblSales[[#This Row],[DPP (excl. VAT)]]*VATEff,0)</f>
        <v>897600</v>
      </c>
      <c r="M4615" s="5">
        <f>tblSales[[#This Row],[DPP (excl. VAT)]]+tblSales[[#This Row],[Output VAT]]</f>
        <v>9057600</v>
      </c>
      <c r="N4615" s="5">
        <f>tblSales[[#This Row],[Qty]]*_xlfn.XLOOKUP(tblSales[[#This Row],[Product Code]],tblProducts[Code],tblProducts[Unit Cost],0)</f>
        <v>4800000</v>
      </c>
      <c r="O4615" s="4" t="s">
        <v>4867</v>
      </c>
      <c r="P4615" s="4" t="s">
        <v>4860</v>
      </c>
      <c r="Q4615" s="1" t="str">
        <f>_xlfn.XLOOKUP(tblSales[[#This Row],[Channel Code]],tblChannels[Channel Code],tblChannels[Channel Name],"")</f>
        <v>In-store</v>
      </c>
      <c r="R4615" s="1">
        <f>MONTH(tblSales[[#This Row],[Date]])</f>
        <v>10</v>
      </c>
    </row>
    <row r="4616" spans="2:18" x14ac:dyDescent="0.35">
      <c r="B4616" s="113">
        <v>46302</v>
      </c>
      <c r="C4616" s="4" t="s">
        <v>3138</v>
      </c>
      <c r="D4616" s="4" t="s">
        <v>4648</v>
      </c>
      <c r="E4616" s="1" t="str">
        <f>_xlfn.XLOOKUP(tblSales[[#This Row],[Customer ID]],tblCustomers[Customer ID],tblCustomers[Customer Name],"⚠ Unknown")</f>
        <v>PT Lintas Benua Niaga</v>
      </c>
      <c r="F4616" s="4" t="s">
        <v>12</v>
      </c>
      <c r="G4616" s="1" t="str">
        <f>_xlfn.XLOOKUP(tblSales[[#This Row],[Product Code]],tblProducts[Code],tblProducts[Product / Service Name],"⚠ Unknown")</f>
        <v>Bomber Jacket</v>
      </c>
      <c r="H4616" s="1" t="str">
        <f>_xlfn.XLOOKUP(tblSales[[#This Row],[Product Code]],tblProducts[Code],tblProducts[Category],"")</f>
        <v>Apparel &amp; Footwear</v>
      </c>
      <c r="I4616" s="4">
        <v>40</v>
      </c>
      <c r="J4616" s="5">
        <f>_xlfn.XLOOKUP(tblSales[[#This Row],[Product Code]],tblProducts[Code],tblProducts[Selling Price (excl. VAT)],0)</f>
        <v>350000</v>
      </c>
      <c r="K4616" s="5">
        <f>tblSales[[#This Row],[Qty]]*tblSales[[#This Row],[Unit Price]]</f>
        <v>14000000</v>
      </c>
      <c r="L4616" s="5">
        <f>ROUND(tblSales[[#This Row],[DPP (excl. VAT)]]*VATEff,0)</f>
        <v>1540000</v>
      </c>
      <c r="M4616" s="5">
        <f>tblSales[[#This Row],[DPP (excl. VAT)]]+tblSales[[#This Row],[Output VAT]]</f>
        <v>15540000</v>
      </c>
      <c r="N4616" s="5">
        <f>tblSales[[#This Row],[Qty]]*_xlfn.XLOOKUP(tblSales[[#This Row],[Product Code]],tblProducts[Code],tblProducts[Unit Cost],0)</f>
        <v>8400000</v>
      </c>
      <c r="O4616" s="4" t="s">
        <v>4867</v>
      </c>
      <c r="P4616" s="4" t="s">
        <v>4860</v>
      </c>
      <c r="Q4616" s="1" t="str">
        <f>_xlfn.XLOOKUP(tblSales[[#This Row],[Channel Code]],tblChannels[Channel Code],tblChannels[Channel Name],"")</f>
        <v>In-store</v>
      </c>
      <c r="R4616" s="1">
        <f>MONTH(tblSales[[#This Row],[Date]])</f>
        <v>10</v>
      </c>
    </row>
    <row r="4617" spans="2:18" x14ac:dyDescent="0.35">
      <c r="B4617" s="113">
        <v>46303</v>
      </c>
      <c r="C4617" s="4" t="s">
        <v>3139</v>
      </c>
      <c r="D4617" s="4" t="s">
        <v>4593</v>
      </c>
      <c r="E4617" s="1" t="str">
        <f>_xlfn.XLOOKUP(tblSales[[#This Row],[Customer ID]],tblCustomers[Customer ID],tblCustomers[Customer Name],"⚠ Unknown")</f>
        <v>PT Graha Nusa Persada</v>
      </c>
      <c r="F4617" s="4" t="s">
        <v>9</v>
      </c>
      <c r="G4617" s="1" t="str">
        <f>_xlfn.XLOOKUP(tblSales[[#This Row],[Product Code]],tblProducts[Code],tblProducts[Product / Service Name],"⚠ Unknown")</f>
        <v>Casual Shirt</v>
      </c>
      <c r="H4617" s="1" t="str">
        <f>_xlfn.XLOOKUP(tblSales[[#This Row],[Product Code]],tblProducts[Code],tblProducts[Category],"")</f>
        <v>Apparel &amp; Footwear</v>
      </c>
      <c r="I4617" s="4">
        <v>32</v>
      </c>
      <c r="J4617" s="5">
        <f>_xlfn.XLOOKUP(tblSales[[#This Row],[Product Code]],tblProducts[Code],tblProducts[Selling Price (excl. VAT)],0)</f>
        <v>120000</v>
      </c>
      <c r="K4617" s="5">
        <f>tblSales[[#This Row],[Qty]]*tblSales[[#This Row],[Unit Price]]</f>
        <v>3840000</v>
      </c>
      <c r="L4617" s="5">
        <f>ROUND(tblSales[[#This Row],[DPP (excl. VAT)]]*VATEff,0)</f>
        <v>422400</v>
      </c>
      <c r="M4617" s="5">
        <f>tblSales[[#This Row],[DPP (excl. VAT)]]+tblSales[[#This Row],[Output VAT]]</f>
        <v>4262400</v>
      </c>
      <c r="N4617" s="5">
        <f>tblSales[[#This Row],[Qty]]*_xlfn.XLOOKUP(tblSales[[#This Row],[Product Code]],tblProducts[Code],tblProducts[Unit Cost],0)</f>
        <v>2304000</v>
      </c>
      <c r="O4617" s="4" t="s">
        <v>4867</v>
      </c>
      <c r="P4617" s="4" t="s">
        <v>4860</v>
      </c>
      <c r="Q4617" s="1" t="str">
        <f>_xlfn.XLOOKUP(tblSales[[#This Row],[Channel Code]],tblChannels[Channel Code],tblChannels[Channel Name],"")</f>
        <v>In-store</v>
      </c>
      <c r="R4617" s="1">
        <f>MONTH(tblSales[[#This Row],[Date]])</f>
        <v>10</v>
      </c>
    </row>
    <row r="4618" spans="2:18" x14ac:dyDescent="0.35">
      <c r="B4618" s="113">
        <v>46303</v>
      </c>
      <c r="C4618" s="4" t="s">
        <v>3140</v>
      </c>
      <c r="D4618" s="4" t="s">
        <v>4568</v>
      </c>
      <c r="E4618" s="1" t="str">
        <f>_xlfn.XLOOKUP(tblSales[[#This Row],[Customer ID]],tblCustomers[Customer ID],tblCustomers[Customer Name],"⚠ Unknown")</f>
        <v>Walk-in Customer</v>
      </c>
      <c r="F4618" s="4" t="s">
        <v>10</v>
      </c>
      <c r="G4618" s="1" t="str">
        <f>_xlfn.XLOOKUP(tblSales[[#This Row],[Product Code]],tblProducts[Code],tblProducts[Product / Service Name],"⚠ Unknown")</f>
        <v>Chino Pants</v>
      </c>
      <c r="H4618" s="1" t="str">
        <f>_xlfn.XLOOKUP(tblSales[[#This Row],[Product Code]],tblProducts[Code],tblProducts[Category],"")</f>
        <v>Apparel &amp; Footwear</v>
      </c>
      <c r="I4618" s="4">
        <v>3</v>
      </c>
      <c r="J4618" s="5">
        <f>_xlfn.XLOOKUP(tblSales[[#This Row],[Product Code]],tblProducts[Code],tblProducts[Selling Price (excl. VAT)],0)</f>
        <v>150000</v>
      </c>
      <c r="K4618" s="5">
        <f>tblSales[[#This Row],[Qty]]*tblSales[[#This Row],[Unit Price]]</f>
        <v>450000</v>
      </c>
      <c r="L4618" s="5">
        <f>ROUND(tblSales[[#This Row],[DPP (excl. VAT)]]*VATEff,0)</f>
        <v>49500</v>
      </c>
      <c r="M4618" s="5">
        <f>tblSales[[#This Row],[DPP (excl. VAT)]]+tblSales[[#This Row],[Output VAT]]</f>
        <v>499500</v>
      </c>
      <c r="N4618" s="5">
        <f>tblSales[[#This Row],[Qty]]*_xlfn.XLOOKUP(tblSales[[#This Row],[Product Code]],tblProducts[Code],tblProducts[Unit Cost],0)</f>
        <v>264000</v>
      </c>
      <c r="O4618" s="4" t="s">
        <v>4865</v>
      </c>
      <c r="P4618" s="4" t="s">
        <v>4860</v>
      </c>
      <c r="Q4618" s="1" t="str">
        <f>_xlfn.XLOOKUP(tblSales[[#This Row],[Channel Code]],tblChannels[Channel Code],tblChannels[Channel Name],"")</f>
        <v>In-store</v>
      </c>
      <c r="R4618" s="1">
        <f>MONTH(tblSales[[#This Row],[Date]])</f>
        <v>10</v>
      </c>
    </row>
    <row r="4619" spans="2:18" x14ac:dyDescent="0.35">
      <c r="B4619" s="113">
        <v>46303</v>
      </c>
      <c r="C4619" s="4" t="s">
        <v>3141</v>
      </c>
      <c r="D4619" s="4" t="s">
        <v>4568</v>
      </c>
      <c r="E4619" s="1" t="str">
        <f>_xlfn.XLOOKUP(tblSales[[#This Row],[Customer ID]],tblCustomers[Customer ID],tblCustomers[Customer Name],"⚠ Unknown")</f>
        <v>Walk-in Customer</v>
      </c>
      <c r="F4619" s="4" t="s">
        <v>13</v>
      </c>
      <c r="G4619" s="1" t="str">
        <f>_xlfn.XLOOKUP(tblSales[[#This Row],[Product Code]],tblProducts[Code],tblProducts[Product / Service Name],"⚠ Unknown")</f>
        <v>Backpack</v>
      </c>
      <c r="H4619" s="1" t="str">
        <f>_xlfn.XLOOKUP(tblSales[[#This Row],[Product Code]],tblProducts[Code],tblProducts[Category],"")</f>
        <v>Bags &amp; Gadgets</v>
      </c>
      <c r="I4619" s="4">
        <v>5</v>
      </c>
      <c r="J4619" s="5">
        <f>_xlfn.XLOOKUP(tblSales[[#This Row],[Product Code]],tblProducts[Code],tblProducts[Selling Price (excl. VAT)],0)</f>
        <v>500000</v>
      </c>
      <c r="K4619" s="5">
        <f>tblSales[[#This Row],[Qty]]*tblSales[[#This Row],[Unit Price]]</f>
        <v>2500000</v>
      </c>
      <c r="L4619" s="5">
        <f>ROUND(tblSales[[#This Row],[DPP (excl. VAT)]]*VATEff,0)</f>
        <v>275000</v>
      </c>
      <c r="M4619" s="5">
        <f>tblSales[[#This Row],[DPP (excl. VAT)]]+tblSales[[#This Row],[Output VAT]]</f>
        <v>2775000</v>
      </c>
      <c r="N4619" s="5">
        <f>tblSales[[#This Row],[Qty]]*_xlfn.XLOOKUP(tblSales[[#This Row],[Product Code]],tblProducts[Code],tblProducts[Unit Cost],0)</f>
        <v>1450000</v>
      </c>
      <c r="O4619" s="4" t="s">
        <v>4865</v>
      </c>
      <c r="P4619" s="4" t="s">
        <v>4860</v>
      </c>
      <c r="Q4619" s="1" t="str">
        <f>_xlfn.XLOOKUP(tblSales[[#This Row],[Channel Code]],tblChannels[Channel Code],tblChannels[Channel Name],"")</f>
        <v>In-store</v>
      </c>
      <c r="R4619" s="1">
        <f>MONTH(tblSales[[#This Row],[Date]])</f>
        <v>10</v>
      </c>
    </row>
    <row r="4620" spans="2:18" x14ac:dyDescent="0.35">
      <c r="B4620" s="113">
        <v>46303</v>
      </c>
      <c r="C4620" s="4" t="s">
        <v>3141</v>
      </c>
      <c r="D4620" s="4" t="s">
        <v>4568</v>
      </c>
      <c r="E4620" s="1" t="str">
        <f>_xlfn.XLOOKUP(tblSales[[#This Row],[Customer ID]],tblCustomers[Customer ID],tblCustomers[Customer Name],"⚠ Unknown")</f>
        <v>Walk-in Customer</v>
      </c>
      <c r="F4620" s="4" t="s">
        <v>9</v>
      </c>
      <c r="G4620" s="1" t="str">
        <f>_xlfn.XLOOKUP(tblSales[[#This Row],[Product Code]],tblProducts[Code],tblProducts[Product / Service Name],"⚠ Unknown")</f>
        <v>Casual Shirt</v>
      </c>
      <c r="H4620" s="1" t="str">
        <f>_xlfn.XLOOKUP(tblSales[[#This Row],[Product Code]],tblProducts[Code],tblProducts[Category],"")</f>
        <v>Apparel &amp; Footwear</v>
      </c>
      <c r="I4620" s="4">
        <v>11</v>
      </c>
      <c r="J4620" s="5">
        <f>_xlfn.XLOOKUP(tblSales[[#This Row],[Product Code]],tblProducts[Code],tblProducts[Selling Price (excl. VAT)],0)</f>
        <v>120000</v>
      </c>
      <c r="K4620" s="5">
        <f>tblSales[[#This Row],[Qty]]*tblSales[[#This Row],[Unit Price]]</f>
        <v>1320000</v>
      </c>
      <c r="L4620" s="5">
        <f>ROUND(tblSales[[#This Row],[DPP (excl. VAT)]]*VATEff,0)</f>
        <v>145200</v>
      </c>
      <c r="M4620" s="5">
        <f>tblSales[[#This Row],[DPP (excl. VAT)]]+tblSales[[#This Row],[Output VAT]]</f>
        <v>1465200</v>
      </c>
      <c r="N4620" s="5">
        <f>tblSales[[#This Row],[Qty]]*_xlfn.XLOOKUP(tblSales[[#This Row],[Product Code]],tblProducts[Code],tblProducts[Unit Cost],0)</f>
        <v>792000</v>
      </c>
      <c r="O4620" s="4" t="s">
        <v>4865</v>
      </c>
      <c r="P4620" s="4" t="s">
        <v>4860</v>
      </c>
      <c r="Q4620" s="1" t="str">
        <f>_xlfn.XLOOKUP(tblSales[[#This Row],[Channel Code]],tblChannels[Channel Code],tblChannels[Channel Name],"")</f>
        <v>In-store</v>
      </c>
      <c r="R4620" s="1">
        <f>MONTH(tblSales[[#This Row],[Date]])</f>
        <v>10</v>
      </c>
    </row>
    <row r="4621" spans="2:18" x14ac:dyDescent="0.35">
      <c r="B4621" s="113">
        <v>46303</v>
      </c>
      <c r="C4621" s="4" t="s">
        <v>3141</v>
      </c>
      <c r="D4621" s="4" t="s">
        <v>4568</v>
      </c>
      <c r="E4621" s="1" t="str">
        <f>_xlfn.XLOOKUP(tblSales[[#This Row],[Customer ID]],tblCustomers[Customer ID],tblCustomers[Customer Name],"⚠ Unknown")</f>
        <v>Walk-in Customer</v>
      </c>
      <c r="F4621" s="4" t="s">
        <v>7</v>
      </c>
      <c r="G4621" s="1" t="str">
        <f>_xlfn.XLOOKUP(tblSales[[#This Row],[Product Code]],tblProducts[Code],tblProducts[Product / Service Name],"⚠ Unknown")</f>
        <v>Premium Basic T-shirt</v>
      </c>
      <c r="H4621" s="1" t="str">
        <f>_xlfn.XLOOKUP(tblSales[[#This Row],[Product Code]],tblProducts[Code],tblProducts[Category],"")</f>
        <v>Accessories &amp; Basics</v>
      </c>
      <c r="I4621" s="4">
        <v>8</v>
      </c>
      <c r="J4621" s="5">
        <f>_xlfn.XLOOKUP(tblSales[[#This Row],[Product Code]],tblProducts[Code],tblProducts[Selling Price (excl. VAT)],0)</f>
        <v>65000</v>
      </c>
      <c r="K4621" s="5">
        <f>tblSales[[#This Row],[Qty]]*tblSales[[#This Row],[Unit Price]]</f>
        <v>520000</v>
      </c>
      <c r="L4621" s="5">
        <f>ROUND(tblSales[[#This Row],[DPP (excl. VAT)]]*VATEff,0)</f>
        <v>57200</v>
      </c>
      <c r="M4621" s="5">
        <f>tblSales[[#This Row],[DPP (excl. VAT)]]+tblSales[[#This Row],[Output VAT]]</f>
        <v>577200</v>
      </c>
      <c r="N4621" s="5">
        <f>tblSales[[#This Row],[Qty]]*_xlfn.XLOOKUP(tblSales[[#This Row],[Product Code]],tblProducts[Code],tblProducts[Unit Cost],0)</f>
        <v>296000</v>
      </c>
      <c r="O4621" s="4" t="s">
        <v>4865</v>
      </c>
      <c r="P4621" s="4" t="s">
        <v>4860</v>
      </c>
      <c r="Q4621" s="1" t="str">
        <f>_xlfn.XLOOKUP(tblSales[[#This Row],[Channel Code]],tblChannels[Channel Code],tblChannels[Channel Name],"")</f>
        <v>In-store</v>
      </c>
      <c r="R4621" s="1">
        <f>MONTH(tblSales[[#This Row],[Date]])</f>
        <v>10</v>
      </c>
    </row>
    <row r="4622" spans="2:18" x14ac:dyDescent="0.35">
      <c r="B4622" s="113">
        <v>46303</v>
      </c>
      <c r="C4622" s="4" t="s">
        <v>3142</v>
      </c>
      <c r="D4622" s="4" t="s">
        <v>4593</v>
      </c>
      <c r="E4622" s="1" t="str">
        <f>_xlfn.XLOOKUP(tblSales[[#This Row],[Customer ID]],tblCustomers[Customer ID],tblCustomers[Customer Name],"⚠ Unknown")</f>
        <v>PT Graha Nusa Persada</v>
      </c>
      <c r="F4622" s="4" t="s">
        <v>7</v>
      </c>
      <c r="G4622" s="1" t="str">
        <f>_xlfn.XLOOKUP(tblSales[[#This Row],[Product Code]],tblProducts[Code],tblProducts[Product / Service Name],"⚠ Unknown")</f>
        <v>Premium Basic T-shirt</v>
      </c>
      <c r="H4622" s="1" t="str">
        <f>_xlfn.XLOOKUP(tblSales[[#This Row],[Product Code]],tblProducts[Code],tblProducts[Category],"")</f>
        <v>Accessories &amp; Basics</v>
      </c>
      <c r="I4622" s="4">
        <v>40</v>
      </c>
      <c r="J4622" s="5">
        <f>_xlfn.XLOOKUP(tblSales[[#This Row],[Product Code]],tblProducts[Code],tblProducts[Selling Price (excl. VAT)],0)</f>
        <v>65000</v>
      </c>
      <c r="K4622" s="5">
        <f>tblSales[[#This Row],[Qty]]*tblSales[[#This Row],[Unit Price]]</f>
        <v>2600000</v>
      </c>
      <c r="L4622" s="5">
        <f>ROUND(tblSales[[#This Row],[DPP (excl. VAT)]]*VATEff,0)</f>
        <v>286000</v>
      </c>
      <c r="M4622" s="5">
        <f>tblSales[[#This Row],[DPP (excl. VAT)]]+tblSales[[#This Row],[Output VAT]]</f>
        <v>2886000</v>
      </c>
      <c r="N4622" s="5">
        <f>tblSales[[#This Row],[Qty]]*_xlfn.XLOOKUP(tblSales[[#This Row],[Product Code]],tblProducts[Code],tblProducts[Unit Cost],0)</f>
        <v>1480000</v>
      </c>
      <c r="O4622" s="4" t="s">
        <v>4867</v>
      </c>
      <c r="P4622" s="4" t="s">
        <v>4860</v>
      </c>
      <c r="Q4622" s="1" t="str">
        <f>_xlfn.XLOOKUP(tblSales[[#This Row],[Channel Code]],tblChannels[Channel Code],tblChannels[Channel Name],"")</f>
        <v>In-store</v>
      </c>
      <c r="R4622" s="1">
        <f>MONTH(tblSales[[#This Row],[Date]])</f>
        <v>10</v>
      </c>
    </row>
    <row r="4623" spans="2:18" x14ac:dyDescent="0.35">
      <c r="B4623" s="113">
        <v>46303</v>
      </c>
      <c r="C4623" s="4" t="s">
        <v>3142</v>
      </c>
      <c r="D4623" s="4" t="s">
        <v>4593</v>
      </c>
      <c r="E4623" s="1" t="str">
        <f>_xlfn.XLOOKUP(tblSales[[#This Row],[Customer ID]],tblCustomers[Customer ID],tblCustomers[Customer Name],"⚠ Unknown")</f>
        <v>PT Graha Nusa Persada</v>
      </c>
      <c r="F4623" s="4" t="s">
        <v>8</v>
      </c>
      <c r="G4623" s="1" t="str">
        <f>_xlfn.XLOOKUP(tblSales[[#This Row],[Product Code]],tblProducts[Code],tblProducts[Product / Service Name],"⚠ Unknown")</f>
        <v>Casual Shorts</v>
      </c>
      <c r="H4623" s="1" t="str">
        <f>_xlfn.XLOOKUP(tblSales[[#This Row],[Product Code]],tblProducts[Code],tblProducts[Category],"")</f>
        <v>Accessories &amp; Basics</v>
      </c>
      <c r="I4623" s="4">
        <v>88</v>
      </c>
      <c r="J4623" s="5">
        <f>_xlfn.XLOOKUP(tblSales[[#This Row],[Product Code]],tblProducts[Code],tblProducts[Selling Price (excl. VAT)],0)</f>
        <v>85000</v>
      </c>
      <c r="K4623" s="5">
        <f>tblSales[[#This Row],[Qty]]*tblSales[[#This Row],[Unit Price]]</f>
        <v>7480000</v>
      </c>
      <c r="L4623" s="5">
        <f>ROUND(tblSales[[#This Row],[DPP (excl. VAT)]]*VATEff,0)</f>
        <v>822800</v>
      </c>
      <c r="M4623" s="5">
        <f>tblSales[[#This Row],[DPP (excl. VAT)]]+tblSales[[#This Row],[Output VAT]]</f>
        <v>8302800</v>
      </c>
      <c r="N4623" s="5">
        <f>tblSales[[#This Row],[Qty]]*_xlfn.XLOOKUP(tblSales[[#This Row],[Product Code]],tblProducts[Code],tblProducts[Unit Cost],0)</f>
        <v>4400000</v>
      </c>
      <c r="O4623" s="4" t="s">
        <v>4867</v>
      </c>
      <c r="P4623" s="4" t="s">
        <v>4860</v>
      </c>
      <c r="Q4623" s="1" t="str">
        <f>_xlfn.XLOOKUP(tblSales[[#This Row],[Channel Code]],tblChannels[Channel Code],tblChannels[Channel Name],"")</f>
        <v>In-store</v>
      </c>
      <c r="R4623" s="1">
        <f>MONTH(tblSales[[#This Row],[Date]])</f>
        <v>10</v>
      </c>
    </row>
    <row r="4624" spans="2:18" x14ac:dyDescent="0.35">
      <c r="B4624" s="113">
        <v>46303</v>
      </c>
      <c r="C4624" s="4" t="s">
        <v>3142</v>
      </c>
      <c r="D4624" s="4" t="s">
        <v>4593</v>
      </c>
      <c r="E4624" s="1" t="str">
        <f>_xlfn.XLOOKUP(tblSales[[#This Row],[Customer ID]],tblCustomers[Customer ID],tblCustomers[Customer Name],"⚠ Unknown")</f>
        <v>PT Graha Nusa Persada</v>
      </c>
      <c r="F4624" s="4" t="s">
        <v>9</v>
      </c>
      <c r="G4624" s="1" t="str">
        <f>_xlfn.XLOOKUP(tblSales[[#This Row],[Product Code]],tblProducts[Code],tblProducts[Product / Service Name],"⚠ Unknown")</f>
        <v>Casual Shirt</v>
      </c>
      <c r="H4624" s="1" t="str">
        <f>_xlfn.XLOOKUP(tblSales[[#This Row],[Product Code]],tblProducts[Code],tblProducts[Category],"")</f>
        <v>Apparel &amp; Footwear</v>
      </c>
      <c r="I4624" s="4">
        <v>80</v>
      </c>
      <c r="J4624" s="5">
        <f>_xlfn.XLOOKUP(tblSales[[#This Row],[Product Code]],tblProducts[Code],tblProducts[Selling Price (excl. VAT)],0)</f>
        <v>120000</v>
      </c>
      <c r="K4624" s="5">
        <f>tblSales[[#This Row],[Qty]]*tblSales[[#This Row],[Unit Price]]</f>
        <v>9600000</v>
      </c>
      <c r="L4624" s="5">
        <f>ROUND(tblSales[[#This Row],[DPP (excl. VAT)]]*VATEff,0)</f>
        <v>1056000</v>
      </c>
      <c r="M4624" s="5">
        <f>tblSales[[#This Row],[DPP (excl. VAT)]]+tblSales[[#This Row],[Output VAT]]</f>
        <v>10656000</v>
      </c>
      <c r="N4624" s="5">
        <f>tblSales[[#This Row],[Qty]]*_xlfn.XLOOKUP(tblSales[[#This Row],[Product Code]],tblProducts[Code],tblProducts[Unit Cost],0)</f>
        <v>5760000</v>
      </c>
      <c r="O4624" s="4" t="s">
        <v>4867</v>
      </c>
      <c r="P4624" s="4" t="s">
        <v>4860</v>
      </c>
      <c r="Q4624" s="1" t="str">
        <f>_xlfn.XLOOKUP(tblSales[[#This Row],[Channel Code]],tblChannels[Channel Code],tblChannels[Channel Name],"")</f>
        <v>In-store</v>
      </c>
      <c r="R4624" s="1">
        <f>MONTH(tblSales[[#This Row],[Date]])</f>
        <v>10</v>
      </c>
    </row>
    <row r="4625" spans="2:18" x14ac:dyDescent="0.35">
      <c r="B4625" s="113">
        <v>46303</v>
      </c>
      <c r="C4625" s="4" t="s">
        <v>3143</v>
      </c>
      <c r="D4625" s="4" t="s">
        <v>4572</v>
      </c>
      <c r="E4625" s="1" t="str">
        <f>_xlfn.XLOOKUP(tblSales[[#This Row],[Customer ID]],tblCustomers[Customer ID],tblCustomers[Customer Name],"⚠ Unknown")</f>
        <v>PT Cahaya Abadi Makmur</v>
      </c>
      <c r="F4625" s="4" t="s">
        <v>7</v>
      </c>
      <c r="G4625" s="1" t="str">
        <f>_xlfn.XLOOKUP(tblSales[[#This Row],[Product Code]],tblProducts[Code],tblProducts[Product / Service Name],"⚠ Unknown")</f>
        <v>Premium Basic T-shirt</v>
      </c>
      <c r="H4625" s="1" t="str">
        <f>_xlfn.XLOOKUP(tblSales[[#This Row],[Product Code]],tblProducts[Code],tblProducts[Category],"")</f>
        <v>Accessories &amp; Basics</v>
      </c>
      <c r="I4625" s="4">
        <v>32</v>
      </c>
      <c r="J4625" s="5">
        <f>_xlfn.XLOOKUP(tblSales[[#This Row],[Product Code]],tblProducts[Code],tblProducts[Selling Price (excl. VAT)],0)</f>
        <v>65000</v>
      </c>
      <c r="K4625" s="5">
        <f>tblSales[[#This Row],[Qty]]*tblSales[[#This Row],[Unit Price]]</f>
        <v>2080000</v>
      </c>
      <c r="L4625" s="5">
        <f>ROUND(tblSales[[#This Row],[DPP (excl. VAT)]]*VATEff,0)</f>
        <v>228800</v>
      </c>
      <c r="M4625" s="5">
        <f>tblSales[[#This Row],[DPP (excl. VAT)]]+tblSales[[#This Row],[Output VAT]]</f>
        <v>2308800</v>
      </c>
      <c r="N4625" s="5">
        <f>tblSales[[#This Row],[Qty]]*_xlfn.XLOOKUP(tblSales[[#This Row],[Product Code]],tblProducts[Code],tblProducts[Unit Cost],0)</f>
        <v>1184000</v>
      </c>
      <c r="O4625" s="4" t="s">
        <v>4867</v>
      </c>
      <c r="P4625" s="4" t="s">
        <v>4862</v>
      </c>
      <c r="Q4625" s="1" t="str">
        <f>_xlfn.XLOOKUP(tblSales[[#This Row],[Channel Code]],tblChannels[Channel Code],tblChannels[Channel Name],"")</f>
        <v>Website &amp; Social Media</v>
      </c>
      <c r="R4625" s="1">
        <f>MONTH(tblSales[[#This Row],[Date]])</f>
        <v>10</v>
      </c>
    </row>
    <row r="4626" spans="2:18" x14ac:dyDescent="0.35">
      <c r="B4626" s="113">
        <v>46303</v>
      </c>
      <c r="C4626" s="4" t="s">
        <v>3143</v>
      </c>
      <c r="D4626" s="4" t="s">
        <v>4572</v>
      </c>
      <c r="E4626" s="1" t="str">
        <f>_xlfn.XLOOKUP(tblSales[[#This Row],[Customer ID]],tblCustomers[Customer ID],tblCustomers[Customer Name],"⚠ Unknown")</f>
        <v>PT Cahaya Abadi Makmur</v>
      </c>
      <c r="F4626" s="4" t="s">
        <v>11</v>
      </c>
      <c r="G4626" s="1" t="str">
        <f>_xlfn.XLOOKUP(tblSales[[#This Row],[Product Code]],tblProducts[Code],tblProducts[Product / Service Name],"⚠ Unknown")</f>
        <v>Sneakers</v>
      </c>
      <c r="H4626" s="1" t="str">
        <f>_xlfn.XLOOKUP(tblSales[[#This Row],[Product Code]],tblProducts[Code],tblProducts[Category],"")</f>
        <v>Apparel &amp; Footwear</v>
      </c>
      <c r="I4626" s="4">
        <v>24</v>
      </c>
      <c r="J4626" s="5">
        <f>_xlfn.XLOOKUP(tblSales[[#This Row],[Product Code]],tblProducts[Code],tblProducts[Selling Price (excl. VAT)],0)</f>
        <v>250000</v>
      </c>
      <c r="K4626" s="5">
        <f>tblSales[[#This Row],[Qty]]*tblSales[[#This Row],[Unit Price]]</f>
        <v>6000000</v>
      </c>
      <c r="L4626" s="5">
        <f>ROUND(tblSales[[#This Row],[DPP (excl. VAT)]]*VATEff,0)</f>
        <v>660000</v>
      </c>
      <c r="M4626" s="5">
        <f>tblSales[[#This Row],[DPP (excl. VAT)]]+tblSales[[#This Row],[Output VAT]]</f>
        <v>6660000</v>
      </c>
      <c r="N4626" s="5">
        <f>tblSales[[#This Row],[Qty]]*_xlfn.XLOOKUP(tblSales[[#This Row],[Product Code]],tblProducts[Code],tblProducts[Unit Cost],0)</f>
        <v>3720000</v>
      </c>
      <c r="O4626" s="4" t="s">
        <v>4867</v>
      </c>
      <c r="P4626" s="4" t="s">
        <v>4862</v>
      </c>
      <c r="Q4626" s="1" t="str">
        <f>_xlfn.XLOOKUP(tblSales[[#This Row],[Channel Code]],tblChannels[Channel Code],tblChannels[Channel Name],"")</f>
        <v>Website &amp; Social Media</v>
      </c>
      <c r="R4626" s="1">
        <f>MONTH(tblSales[[#This Row],[Date]])</f>
        <v>10</v>
      </c>
    </row>
    <row r="4627" spans="2:18" x14ac:dyDescent="0.35">
      <c r="B4627" s="113">
        <v>46303</v>
      </c>
      <c r="C4627" s="4" t="s">
        <v>3143</v>
      </c>
      <c r="D4627" s="4" t="s">
        <v>4572</v>
      </c>
      <c r="E4627" s="1" t="str">
        <f>_xlfn.XLOOKUP(tblSales[[#This Row],[Customer ID]],tblCustomers[Customer ID],tblCustomers[Customer Name],"⚠ Unknown")</f>
        <v>PT Cahaya Abadi Makmur</v>
      </c>
      <c r="F4627" s="4" t="s">
        <v>12</v>
      </c>
      <c r="G4627" s="1" t="str">
        <f>_xlfn.XLOOKUP(tblSales[[#This Row],[Product Code]],tblProducts[Code],tblProducts[Product / Service Name],"⚠ Unknown")</f>
        <v>Bomber Jacket</v>
      </c>
      <c r="H4627" s="1" t="str">
        <f>_xlfn.XLOOKUP(tblSales[[#This Row],[Product Code]],tblProducts[Code],tblProducts[Category],"")</f>
        <v>Apparel &amp; Footwear</v>
      </c>
      <c r="I4627" s="4">
        <v>16</v>
      </c>
      <c r="J4627" s="5">
        <f>_xlfn.XLOOKUP(tblSales[[#This Row],[Product Code]],tblProducts[Code],tblProducts[Selling Price (excl. VAT)],0)</f>
        <v>350000</v>
      </c>
      <c r="K4627" s="5">
        <f>tblSales[[#This Row],[Qty]]*tblSales[[#This Row],[Unit Price]]</f>
        <v>5600000</v>
      </c>
      <c r="L4627" s="5">
        <f>ROUND(tblSales[[#This Row],[DPP (excl. VAT)]]*VATEff,0)</f>
        <v>616000</v>
      </c>
      <c r="M4627" s="5">
        <f>tblSales[[#This Row],[DPP (excl. VAT)]]+tblSales[[#This Row],[Output VAT]]</f>
        <v>6216000</v>
      </c>
      <c r="N4627" s="5">
        <f>tblSales[[#This Row],[Qty]]*_xlfn.XLOOKUP(tblSales[[#This Row],[Product Code]],tblProducts[Code],tblProducts[Unit Cost],0)</f>
        <v>3360000</v>
      </c>
      <c r="O4627" s="4" t="s">
        <v>4867</v>
      </c>
      <c r="P4627" s="4" t="s">
        <v>4862</v>
      </c>
      <c r="Q4627" s="1" t="str">
        <f>_xlfn.XLOOKUP(tblSales[[#This Row],[Channel Code]],tblChannels[Channel Code],tblChannels[Channel Name],"")</f>
        <v>Website &amp; Social Media</v>
      </c>
      <c r="R4627" s="1">
        <f>MONTH(tblSales[[#This Row],[Date]])</f>
        <v>10</v>
      </c>
    </row>
    <row r="4628" spans="2:18" x14ac:dyDescent="0.35">
      <c r="B4628" s="113">
        <v>46303</v>
      </c>
      <c r="C4628" s="4" t="s">
        <v>3144</v>
      </c>
      <c r="D4628" s="4" t="s">
        <v>4585</v>
      </c>
      <c r="E4628" s="1" t="str">
        <f>_xlfn.XLOOKUP(tblSales[[#This Row],[Customer ID]],tblCustomers[Customer ID],tblCustomers[Customer Name],"⚠ Unknown")</f>
        <v>CV Mitra Karya Mandiri</v>
      </c>
      <c r="F4628" s="4" t="s">
        <v>8</v>
      </c>
      <c r="G4628" s="1" t="str">
        <f>_xlfn.XLOOKUP(tblSales[[#This Row],[Product Code]],tblProducts[Code],tblProducts[Product / Service Name],"⚠ Unknown")</f>
        <v>Casual Shorts</v>
      </c>
      <c r="H4628" s="1" t="str">
        <f>_xlfn.XLOOKUP(tblSales[[#This Row],[Product Code]],tblProducts[Code],tblProducts[Category],"")</f>
        <v>Accessories &amp; Basics</v>
      </c>
      <c r="I4628" s="4">
        <v>16</v>
      </c>
      <c r="J4628" s="5">
        <f>_xlfn.XLOOKUP(tblSales[[#This Row],[Product Code]],tblProducts[Code],tblProducts[Selling Price (excl. VAT)],0)</f>
        <v>85000</v>
      </c>
      <c r="K4628" s="5">
        <f>tblSales[[#This Row],[Qty]]*tblSales[[#This Row],[Unit Price]]</f>
        <v>1360000</v>
      </c>
      <c r="L4628" s="5">
        <f>ROUND(tblSales[[#This Row],[DPP (excl. VAT)]]*VATEff,0)</f>
        <v>149600</v>
      </c>
      <c r="M4628" s="5">
        <f>tblSales[[#This Row],[DPP (excl. VAT)]]+tblSales[[#This Row],[Output VAT]]</f>
        <v>1509600</v>
      </c>
      <c r="N4628" s="5">
        <f>tblSales[[#This Row],[Qty]]*_xlfn.XLOOKUP(tblSales[[#This Row],[Product Code]],tblProducts[Code],tblProducts[Unit Cost],0)</f>
        <v>800000</v>
      </c>
      <c r="O4628" s="4" t="s">
        <v>4867</v>
      </c>
      <c r="P4628" s="4" t="s">
        <v>4860</v>
      </c>
      <c r="Q4628" s="1" t="str">
        <f>_xlfn.XLOOKUP(tblSales[[#This Row],[Channel Code]],tblChannels[Channel Code],tblChannels[Channel Name],"")</f>
        <v>In-store</v>
      </c>
      <c r="R4628" s="1">
        <f>MONTH(tblSales[[#This Row],[Date]])</f>
        <v>10</v>
      </c>
    </row>
    <row r="4629" spans="2:18" x14ac:dyDescent="0.35">
      <c r="B4629" s="113">
        <v>46303</v>
      </c>
      <c r="C4629" s="4" t="s">
        <v>3145</v>
      </c>
      <c r="D4629" s="4" t="s">
        <v>4568</v>
      </c>
      <c r="E4629" s="1" t="str">
        <f>_xlfn.XLOOKUP(tblSales[[#This Row],[Customer ID]],tblCustomers[Customer ID],tblCustomers[Customer Name],"⚠ Unknown")</f>
        <v>Walk-in Customer</v>
      </c>
      <c r="F4629" s="4" t="s">
        <v>6</v>
      </c>
      <c r="G4629" s="1" t="str">
        <f>_xlfn.XLOOKUP(tblSales[[#This Row],[Product Code]],tblProducts[Code],tblProducts[Product / Service Name],"⚠ Unknown")</f>
        <v>Socks &amp; Accessories</v>
      </c>
      <c r="H4629" s="1" t="str">
        <f>_xlfn.XLOOKUP(tblSales[[#This Row],[Product Code]],tblProducts[Code],tblProducts[Category],"")</f>
        <v>Accessories &amp; Basics</v>
      </c>
      <c r="I4629" s="4">
        <v>10</v>
      </c>
      <c r="J4629" s="5">
        <f>_xlfn.XLOOKUP(tblSales[[#This Row],[Product Code]],tblProducts[Code],tblProducts[Selling Price (excl. VAT)],0)</f>
        <v>45000</v>
      </c>
      <c r="K4629" s="5">
        <f>tblSales[[#This Row],[Qty]]*tblSales[[#This Row],[Unit Price]]</f>
        <v>450000</v>
      </c>
      <c r="L4629" s="5">
        <f>ROUND(tblSales[[#This Row],[DPP (excl. VAT)]]*VATEff,0)</f>
        <v>49500</v>
      </c>
      <c r="M4629" s="5">
        <f>tblSales[[#This Row],[DPP (excl. VAT)]]+tblSales[[#This Row],[Output VAT]]</f>
        <v>499500</v>
      </c>
      <c r="N4629" s="5">
        <f>tblSales[[#This Row],[Qty]]*_xlfn.XLOOKUP(tblSales[[#This Row],[Product Code]],tblProducts[Code],tblProducts[Unit Cost],0)</f>
        <v>240000</v>
      </c>
      <c r="O4629" s="4" t="s">
        <v>4866</v>
      </c>
      <c r="P4629" s="4" t="s">
        <v>4861</v>
      </c>
      <c r="Q4629" s="1" t="str">
        <f>_xlfn.XLOOKUP(tblSales[[#This Row],[Channel Code]],tblChannels[Channel Code],tblChannels[Channel Name],"")</f>
        <v>Marketplace</v>
      </c>
      <c r="R4629" s="1">
        <f>MONTH(tblSales[[#This Row],[Date]])</f>
        <v>10</v>
      </c>
    </row>
    <row r="4630" spans="2:18" x14ac:dyDescent="0.35">
      <c r="B4630" s="113">
        <v>46303</v>
      </c>
      <c r="C4630" s="4" t="s">
        <v>3145</v>
      </c>
      <c r="D4630" s="4" t="s">
        <v>4568</v>
      </c>
      <c r="E4630" s="1" t="str">
        <f>_xlfn.XLOOKUP(tblSales[[#This Row],[Customer ID]],tblCustomers[Customer ID],tblCustomers[Customer Name],"⚠ Unknown")</f>
        <v>Walk-in Customer</v>
      </c>
      <c r="F4630" s="4" t="s">
        <v>13</v>
      </c>
      <c r="G4630" s="1" t="str">
        <f>_xlfn.XLOOKUP(tblSales[[#This Row],[Product Code]],tblProducts[Code],tblProducts[Product / Service Name],"⚠ Unknown")</f>
        <v>Backpack</v>
      </c>
      <c r="H4630" s="1" t="str">
        <f>_xlfn.XLOOKUP(tblSales[[#This Row],[Product Code]],tblProducts[Code],tblProducts[Category],"")</f>
        <v>Bags &amp; Gadgets</v>
      </c>
      <c r="I4630" s="4">
        <v>5</v>
      </c>
      <c r="J4630" s="5">
        <f>_xlfn.XLOOKUP(tblSales[[#This Row],[Product Code]],tblProducts[Code],tblProducts[Selling Price (excl. VAT)],0)</f>
        <v>500000</v>
      </c>
      <c r="K4630" s="5">
        <f>tblSales[[#This Row],[Qty]]*tblSales[[#This Row],[Unit Price]]</f>
        <v>2500000</v>
      </c>
      <c r="L4630" s="5">
        <f>ROUND(tblSales[[#This Row],[DPP (excl. VAT)]]*VATEff,0)</f>
        <v>275000</v>
      </c>
      <c r="M4630" s="5">
        <f>tblSales[[#This Row],[DPP (excl. VAT)]]+tblSales[[#This Row],[Output VAT]]</f>
        <v>2775000</v>
      </c>
      <c r="N4630" s="5">
        <f>tblSales[[#This Row],[Qty]]*_xlfn.XLOOKUP(tblSales[[#This Row],[Product Code]],tblProducts[Code],tblProducts[Unit Cost],0)</f>
        <v>1450000</v>
      </c>
      <c r="O4630" s="4" t="s">
        <v>4866</v>
      </c>
      <c r="P4630" s="4" t="s">
        <v>4861</v>
      </c>
      <c r="Q4630" s="1" t="str">
        <f>_xlfn.XLOOKUP(tblSales[[#This Row],[Channel Code]],tblChannels[Channel Code],tblChannels[Channel Name],"")</f>
        <v>Marketplace</v>
      </c>
      <c r="R4630" s="1">
        <f>MONTH(tblSales[[#This Row],[Date]])</f>
        <v>10</v>
      </c>
    </row>
    <row r="4631" spans="2:18" x14ac:dyDescent="0.35">
      <c r="B4631" s="113">
        <v>46303</v>
      </c>
      <c r="C4631" s="4" t="s">
        <v>3145</v>
      </c>
      <c r="D4631" s="4" t="s">
        <v>4568</v>
      </c>
      <c r="E4631" s="1" t="str">
        <f>_xlfn.XLOOKUP(tblSales[[#This Row],[Customer ID]],tblCustomers[Customer ID],tblCustomers[Customer Name],"⚠ Unknown")</f>
        <v>Walk-in Customer</v>
      </c>
      <c r="F4631" s="4" t="s">
        <v>8</v>
      </c>
      <c r="G4631" s="1" t="str">
        <f>_xlfn.XLOOKUP(tblSales[[#This Row],[Product Code]],tblProducts[Code],tblProducts[Product / Service Name],"⚠ Unknown")</f>
        <v>Casual Shorts</v>
      </c>
      <c r="H4631" s="1" t="str">
        <f>_xlfn.XLOOKUP(tblSales[[#This Row],[Product Code]],tblProducts[Code],tblProducts[Category],"")</f>
        <v>Accessories &amp; Basics</v>
      </c>
      <c r="I4631" s="4">
        <v>11</v>
      </c>
      <c r="J4631" s="5">
        <f>_xlfn.XLOOKUP(tblSales[[#This Row],[Product Code]],tblProducts[Code],tblProducts[Selling Price (excl. VAT)],0)</f>
        <v>85000</v>
      </c>
      <c r="K4631" s="5">
        <f>tblSales[[#This Row],[Qty]]*tblSales[[#This Row],[Unit Price]]</f>
        <v>935000</v>
      </c>
      <c r="L4631" s="5">
        <f>ROUND(tblSales[[#This Row],[DPP (excl. VAT)]]*VATEff,0)</f>
        <v>102850</v>
      </c>
      <c r="M4631" s="5">
        <f>tblSales[[#This Row],[DPP (excl. VAT)]]+tblSales[[#This Row],[Output VAT]]</f>
        <v>1037850</v>
      </c>
      <c r="N4631" s="5">
        <f>tblSales[[#This Row],[Qty]]*_xlfn.XLOOKUP(tblSales[[#This Row],[Product Code]],tblProducts[Code],tblProducts[Unit Cost],0)</f>
        <v>550000</v>
      </c>
      <c r="O4631" s="4" t="s">
        <v>4866</v>
      </c>
      <c r="P4631" s="4" t="s">
        <v>4861</v>
      </c>
      <c r="Q4631" s="1" t="str">
        <f>_xlfn.XLOOKUP(tblSales[[#This Row],[Channel Code]],tblChannels[Channel Code],tblChannels[Channel Name],"")</f>
        <v>Marketplace</v>
      </c>
      <c r="R4631" s="1">
        <f>MONTH(tblSales[[#This Row],[Date]])</f>
        <v>10</v>
      </c>
    </row>
    <row r="4632" spans="2:18" x14ac:dyDescent="0.35">
      <c r="B4632" s="113">
        <v>46303</v>
      </c>
      <c r="C4632" s="4" t="s">
        <v>3146</v>
      </c>
      <c r="D4632" s="4" t="s">
        <v>4568</v>
      </c>
      <c r="E4632" s="1" t="str">
        <f>_xlfn.XLOOKUP(tblSales[[#This Row],[Customer ID]],tblCustomers[Customer ID],tblCustomers[Customer Name],"⚠ Unknown")</f>
        <v>Walk-in Customer</v>
      </c>
      <c r="F4632" s="4" t="s">
        <v>9</v>
      </c>
      <c r="G4632" s="1" t="str">
        <f>_xlfn.XLOOKUP(tblSales[[#This Row],[Product Code]],tblProducts[Code],tblProducts[Product / Service Name],"⚠ Unknown")</f>
        <v>Casual Shirt</v>
      </c>
      <c r="H4632" s="1" t="str">
        <f>_xlfn.XLOOKUP(tblSales[[#This Row],[Product Code]],tblProducts[Code],tblProducts[Category],"")</f>
        <v>Apparel &amp; Footwear</v>
      </c>
      <c r="I4632" s="4">
        <v>4</v>
      </c>
      <c r="J4632" s="5">
        <f>_xlfn.XLOOKUP(tblSales[[#This Row],[Product Code]],tblProducts[Code],tblProducts[Selling Price (excl. VAT)],0)</f>
        <v>120000</v>
      </c>
      <c r="K4632" s="5">
        <f>tblSales[[#This Row],[Qty]]*tblSales[[#This Row],[Unit Price]]</f>
        <v>480000</v>
      </c>
      <c r="L4632" s="5">
        <f>ROUND(tblSales[[#This Row],[DPP (excl. VAT)]]*VATEff,0)</f>
        <v>52800</v>
      </c>
      <c r="M4632" s="5">
        <f>tblSales[[#This Row],[DPP (excl. VAT)]]+tblSales[[#This Row],[Output VAT]]</f>
        <v>532800</v>
      </c>
      <c r="N4632" s="5">
        <f>tblSales[[#This Row],[Qty]]*_xlfn.XLOOKUP(tblSales[[#This Row],[Product Code]],tblProducts[Code],tblProducts[Unit Cost],0)</f>
        <v>288000</v>
      </c>
      <c r="O4632" s="4" t="s">
        <v>4865</v>
      </c>
      <c r="P4632" s="4" t="s">
        <v>4860</v>
      </c>
      <c r="Q4632" s="1" t="str">
        <f>_xlfn.XLOOKUP(tblSales[[#This Row],[Channel Code]],tblChannels[Channel Code],tblChannels[Channel Name],"")</f>
        <v>In-store</v>
      </c>
      <c r="R4632" s="1">
        <f>MONTH(tblSales[[#This Row],[Date]])</f>
        <v>10</v>
      </c>
    </row>
    <row r="4633" spans="2:18" x14ac:dyDescent="0.35">
      <c r="B4633" s="113">
        <v>46303</v>
      </c>
      <c r="C4633" s="4" t="s">
        <v>3147</v>
      </c>
      <c r="D4633" s="4" t="s">
        <v>4568</v>
      </c>
      <c r="E4633" s="1" t="str">
        <f>_xlfn.XLOOKUP(tblSales[[#This Row],[Customer ID]],tblCustomers[Customer ID],tblCustomers[Customer Name],"⚠ Unknown")</f>
        <v>Walk-in Customer</v>
      </c>
      <c r="F4633" s="4" t="s">
        <v>8</v>
      </c>
      <c r="G4633" s="1" t="str">
        <f>_xlfn.XLOOKUP(tblSales[[#This Row],[Product Code]],tblProducts[Code],tblProducts[Product / Service Name],"⚠ Unknown")</f>
        <v>Casual Shorts</v>
      </c>
      <c r="H4633" s="1" t="str">
        <f>_xlfn.XLOOKUP(tblSales[[#This Row],[Product Code]],tblProducts[Code],tblProducts[Category],"")</f>
        <v>Accessories &amp; Basics</v>
      </c>
      <c r="I4633" s="4">
        <v>9</v>
      </c>
      <c r="J4633" s="5">
        <f>_xlfn.XLOOKUP(tblSales[[#This Row],[Product Code]],tblProducts[Code],tblProducts[Selling Price (excl. VAT)],0)</f>
        <v>85000</v>
      </c>
      <c r="K4633" s="5">
        <f>tblSales[[#This Row],[Qty]]*tblSales[[#This Row],[Unit Price]]</f>
        <v>765000</v>
      </c>
      <c r="L4633" s="5">
        <f>ROUND(tblSales[[#This Row],[DPP (excl. VAT)]]*VATEff,0)</f>
        <v>84150</v>
      </c>
      <c r="M4633" s="5">
        <f>tblSales[[#This Row],[DPP (excl. VAT)]]+tblSales[[#This Row],[Output VAT]]</f>
        <v>849150</v>
      </c>
      <c r="N4633" s="5">
        <f>tblSales[[#This Row],[Qty]]*_xlfn.XLOOKUP(tblSales[[#This Row],[Product Code]],tblProducts[Code],tblProducts[Unit Cost],0)</f>
        <v>450000</v>
      </c>
      <c r="O4633" s="4" t="s">
        <v>4866</v>
      </c>
      <c r="P4633" s="4" t="s">
        <v>4860</v>
      </c>
      <c r="Q4633" s="1" t="str">
        <f>_xlfn.XLOOKUP(tblSales[[#This Row],[Channel Code]],tblChannels[Channel Code],tblChannels[Channel Name],"")</f>
        <v>In-store</v>
      </c>
      <c r="R4633" s="1">
        <f>MONTH(tblSales[[#This Row],[Date]])</f>
        <v>10</v>
      </c>
    </row>
    <row r="4634" spans="2:18" x14ac:dyDescent="0.35">
      <c r="B4634" s="113">
        <v>46304</v>
      </c>
      <c r="C4634" s="4" t="s">
        <v>3148</v>
      </c>
      <c r="D4634" s="4" t="s">
        <v>4568</v>
      </c>
      <c r="E4634" s="1" t="str">
        <f>_xlfn.XLOOKUP(tblSales[[#This Row],[Customer ID]],tblCustomers[Customer ID],tblCustomers[Customer Name],"⚠ Unknown")</f>
        <v>Walk-in Customer</v>
      </c>
      <c r="F4634" s="4" t="s">
        <v>12</v>
      </c>
      <c r="G4634" s="1" t="str">
        <f>_xlfn.XLOOKUP(tblSales[[#This Row],[Product Code]],tblProducts[Code],tblProducts[Product / Service Name],"⚠ Unknown")</f>
        <v>Bomber Jacket</v>
      </c>
      <c r="H4634" s="1" t="str">
        <f>_xlfn.XLOOKUP(tblSales[[#This Row],[Product Code]],tblProducts[Code],tblProducts[Category],"")</f>
        <v>Apparel &amp; Footwear</v>
      </c>
      <c r="I4634" s="4">
        <v>2</v>
      </c>
      <c r="J4634" s="5">
        <f>_xlfn.XLOOKUP(tblSales[[#This Row],[Product Code]],tblProducts[Code],tblProducts[Selling Price (excl. VAT)],0)</f>
        <v>350000</v>
      </c>
      <c r="K4634" s="5">
        <f>tblSales[[#This Row],[Qty]]*tblSales[[#This Row],[Unit Price]]</f>
        <v>700000</v>
      </c>
      <c r="L4634" s="5">
        <f>ROUND(tblSales[[#This Row],[DPP (excl. VAT)]]*VATEff,0)</f>
        <v>77000</v>
      </c>
      <c r="M4634" s="5">
        <f>tblSales[[#This Row],[DPP (excl. VAT)]]+tblSales[[#This Row],[Output VAT]]</f>
        <v>777000</v>
      </c>
      <c r="N4634" s="5">
        <f>tblSales[[#This Row],[Qty]]*_xlfn.XLOOKUP(tblSales[[#This Row],[Product Code]],tblProducts[Code],tblProducts[Unit Cost],0)</f>
        <v>420000</v>
      </c>
      <c r="O4634" s="4" t="s">
        <v>4866</v>
      </c>
      <c r="P4634" s="4" t="s">
        <v>4860</v>
      </c>
      <c r="Q4634" s="1" t="str">
        <f>_xlfn.XLOOKUP(tblSales[[#This Row],[Channel Code]],tblChannels[Channel Code],tblChannels[Channel Name],"")</f>
        <v>In-store</v>
      </c>
      <c r="R4634" s="1">
        <f>MONTH(tblSales[[#This Row],[Date]])</f>
        <v>10</v>
      </c>
    </row>
    <row r="4635" spans="2:18" x14ac:dyDescent="0.35">
      <c r="B4635" s="113">
        <v>46304</v>
      </c>
      <c r="C4635" s="4" t="s">
        <v>3148</v>
      </c>
      <c r="D4635" s="4" t="s">
        <v>4568</v>
      </c>
      <c r="E4635" s="1" t="str">
        <f>_xlfn.XLOOKUP(tblSales[[#This Row],[Customer ID]],tblCustomers[Customer ID],tblCustomers[Customer Name],"⚠ Unknown")</f>
        <v>Walk-in Customer</v>
      </c>
      <c r="F4635" s="4" t="s">
        <v>10</v>
      </c>
      <c r="G4635" s="1" t="str">
        <f>_xlfn.XLOOKUP(tblSales[[#This Row],[Product Code]],tblProducts[Code],tblProducts[Product / Service Name],"⚠ Unknown")</f>
        <v>Chino Pants</v>
      </c>
      <c r="H4635" s="1" t="str">
        <f>_xlfn.XLOOKUP(tblSales[[#This Row],[Product Code]],tblProducts[Code],tblProducts[Category],"")</f>
        <v>Apparel &amp; Footwear</v>
      </c>
      <c r="I4635" s="4">
        <v>10</v>
      </c>
      <c r="J4635" s="5">
        <f>_xlfn.XLOOKUP(tblSales[[#This Row],[Product Code]],tblProducts[Code],tblProducts[Selling Price (excl. VAT)],0)</f>
        <v>150000</v>
      </c>
      <c r="K4635" s="5">
        <f>tblSales[[#This Row],[Qty]]*tblSales[[#This Row],[Unit Price]]</f>
        <v>1500000</v>
      </c>
      <c r="L4635" s="5">
        <f>ROUND(tblSales[[#This Row],[DPP (excl. VAT)]]*VATEff,0)</f>
        <v>165000</v>
      </c>
      <c r="M4635" s="5">
        <f>tblSales[[#This Row],[DPP (excl. VAT)]]+tblSales[[#This Row],[Output VAT]]</f>
        <v>1665000</v>
      </c>
      <c r="N4635" s="5">
        <f>tblSales[[#This Row],[Qty]]*_xlfn.XLOOKUP(tblSales[[#This Row],[Product Code]],tblProducts[Code],tblProducts[Unit Cost],0)</f>
        <v>880000</v>
      </c>
      <c r="O4635" s="4" t="s">
        <v>4866</v>
      </c>
      <c r="P4635" s="4" t="s">
        <v>4860</v>
      </c>
      <c r="Q4635" s="1" t="str">
        <f>_xlfn.XLOOKUP(tblSales[[#This Row],[Channel Code]],tblChannels[Channel Code],tblChannels[Channel Name],"")</f>
        <v>In-store</v>
      </c>
      <c r="R4635" s="1">
        <f>MONTH(tblSales[[#This Row],[Date]])</f>
        <v>10</v>
      </c>
    </row>
    <row r="4636" spans="2:18" x14ac:dyDescent="0.35">
      <c r="B4636" s="113">
        <v>46304</v>
      </c>
      <c r="C4636" s="4" t="s">
        <v>3149</v>
      </c>
      <c r="D4636" s="4" t="s">
        <v>4572</v>
      </c>
      <c r="E4636" s="1" t="str">
        <f>_xlfn.XLOOKUP(tblSales[[#This Row],[Customer ID]],tblCustomers[Customer ID],tblCustomers[Customer Name],"⚠ Unknown")</f>
        <v>PT Cahaya Abadi Makmur</v>
      </c>
      <c r="F4636" s="4" t="s">
        <v>11</v>
      </c>
      <c r="G4636" s="1" t="str">
        <f>_xlfn.XLOOKUP(tblSales[[#This Row],[Product Code]],tblProducts[Code],tblProducts[Product / Service Name],"⚠ Unknown")</f>
        <v>Sneakers</v>
      </c>
      <c r="H4636" s="1" t="str">
        <f>_xlfn.XLOOKUP(tblSales[[#This Row],[Product Code]],tblProducts[Code],tblProducts[Category],"")</f>
        <v>Apparel &amp; Footwear</v>
      </c>
      <c r="I4636" s="4">
        <v>40</v>
      </c>
      <c r="J4636" s="5">
        <f>_xlfn.XLOOKUP(tblSales[[#This Row],[Product Code]],tblProducts[Code],tblProducts[Selling Price (excl. VAT)],0)</f>
        <v>250000</v>
      </c>
      <c r="K4636" s="5">
        <f>tblSales[[#This Row],[Qty]]*tblSales[[#This Row],[Unit Price]]</f>
        <v>10000000</v>
      </c>
      <c r="L4636" s="5">
        <f>ROUND(tblSales[[#This Row],[DPP (excl. VAT)]]*VATEff,0)</f>
        <v>1100000</v>
      </c>
      <c r="M4636" s="5">
        <f>tblSales[[#This Row],[DPP (excl. VAT)]]+tblSales[[#This Row],[Output VAT]]</f>
        <v>11100000</v>
      </c>
      <c r="N4636" s="5">
        <f>tblSales[[#This Row],[Qty]]*_xlfn.XLOOKUP(tblSales[[#This Row],[Product Code]],tblProducts[Code],tblProducts[Unit Cost],0)</f>
        <v>6200000</v>
      </c>
      <c r="O4636" s="4" t="s">
        <v>4867</v>
      </c>
      <c r="P4636" s="4" t="s">
        <v>4860</v>
      </c>
      <c r="Q4636" s="1" t="str">
        <f>_xlfn.XLOOKUP(tblSales[[#This Row],[Channel Code]],tblChannels[Channel Code],tblChannels[Channel Name],"")</f>
        <v>In-store</v>
      </c>
      <c r="R4636" s="1">
        <f>MONTH(tblSales[[#This Row],[Date]])</f>
        <v>10</v>
      </c>
    </row>
    <row r="4637" spans="2:18" x14ac:dyDescent="0.35">
      <c r="B4637" s="113">
        <v>46304</v>
      </c>
      <c r="C4637" s="4" t="s">
        <v>3149</v>
      </c>
      <c r="D4637" s="4" t="s">
        <v>4572</v>
      </c>
      <c r="E4637" s="1" t="str">
        <f>_xlfn.XLOOKUP(tblSales[[#This Row],[Customer ID]],tblCustomers[Customer ID],tblCustomers[Customer Name],"⚠ Unknown")</f>
        <v>PT Cahaya Abadi Makmur</v>
      </c>
      <c r="F4637" s="4" t="s">
        <v>6</v>
      </c>
      <c r="G4637" s="1" t="str">
        <f>_xlfn.XLOOKUP(tblSales[[#This Row],[Product Code]],tblProducts[Code],tblProducts[Product / Service Name],"⚠ Unknown")</f>
        <v>Socks &amp; Accessories</v>
      </c>
      <c r="H4637" s="1" t="str">
        <f>_xlfn.XLOOKUP(tblSales[[#This Row],[Product Code]],tblProducts[Code],tblProducts[Category],"")</f>
        <v>Accessories &amp; Basics</v>
      </c>
      <c r="I4637" s="4">
        <v>56</v>
      </c>
      <c r="J4637" s="5">
        <f>_xlfn.XLOOKUP(tblSales[[#This Row],[Product Code]],tblProducts[Code],tblProducts[Selling Price (excl. VAT)],0)</f>
        <v>45000</v>
      </c>
      <c r="K4637" s="5">
        <f>tblSales[[#This Row],[Qty]]*tblSales[[#This Row],[Unit Price]]</f>
        <v>2520000</v>
      </c>
      <c r="L4637" s="5">
        <f>ROUND(tblSales[[#This Row],[DPP (excl. VAT)]]*VATEff,0)</f>
        <v>277200</v>
      </c>
      <c r="M4637" s="5">
        <f>tblSales[[#This Row],[DPP (excl. VAT)]]+tblSales[[#This Row],[Output VAT]]</f>
        <v>2797200</v>
      </c>
      <c r="N4637" s="5">
        <f>tblSales[[#This Row],[Qty]]*_xlfn.XLOOKUP(tblSales[[#This Row],[Product Code]],tblProducts[Code],tblProducts[Unit Cost],0)</f>
        <v>1344000</v>
      </c>
      <c r="O4637" s="4" t="s">
        <v>4867</v>
      </c>
      <c r="P4637" s="4" t="s">
        <v>4860</v>
      </c>
      <c r="Q4637" s="1" t="str">
        <f>_xlfn.XLOOKUP(tblSales[[#This Row],[Channel Code]],tblChannels[Channel Code],tblChannels[Channel Name],"")</f>
        <v>In-store</v>
      </c>
      <c r="R4637" s="1">
        <f>MONTH(tblSales[[#This Row],[Date]])</f>
        <v>10</v>
      </c>
    </row>
    <row r="4638" spans="2:18" x14ac:dyDescent="0.35">
      <c r="B4638" s="113">
        <v>46304</v>
      </c>
      <c r="C4638" s="4" t="s">
        <v>3150</v>
      </c>
      <c r="D4638" s="4" t="s">
        <v>4568</v>
      </c>
      <c r="E4638" s="1" t="str">
        <f>_xlfn.XLOOKUP(tblSales[[#This Row],[Customer ID]],tblCustomers[Customer ID],tblCustomers[Customer Name],"⚠ Unknown")</f>
        <v>Walk-in Customer</v>
      </c>
      <c r="F4638" s="4" t="s">
        <v>10</v>
      </c>
      <c r="G4638" s="1" t="str">
        <f>_xlfn.XLOOKUP(tblSales[[#This Row],[Product Code]],tblProducts[Code],tblProducts[Product / Service Name],"⚠ Unknown")</f>
        <v>Chino Pants</v>
      </c>
      <c r="H4638" s="1" t="str">
        <f>_xlfn.XLOOKUP(tblSales[[#This Row],[Product Code]],tblProducts[Code],tblProducts[Category],"")</f>
        <v>Apparel &amp; Footwear</v>
      </c>
      <c r="I4638" s="4">
        <v>11</v>
      </c>
      <c r="J4638" s="5">
        <f>_xlfn.XLOOKUP(tblSales[[#This Row],[Product Code]],tblProducts[Code],tblProducts[Selling Price (excl. VAT)],0)</f>
        <v>150000</v>
      </c>
      <c r="K4638" s="5">
        <f>tblSales[[#This Row],[Qty]]*tblSales[[#This Row],[Unit Price]]</f>
        <v>1650000</v>
      </c>
      <c r="L4638" s="5">
        <f>ROUND(tblSales[[#This Row],[DPP (excl. VAT)]]*VATEff,0)</f>
        <v>181500</v>
      </c>
      <c r="M4638" s="5">
        <f>tblSales[[#This Row],[DPP (excl. VAT)]]+tblSales[[#This Row],[Output VAT]]</f>
        <v>1831500</v>
      </c>
      <c r="N4638" s="5">
        <f>tblSales[[#This Row],[Qty]]*_xlfn.XLOOKUP(tblSales[[#This Row],[Product Code]],tblProducts[Code],tblProducts[Unit Cost],0)</f>
        <v>968000</v>
      </c>
      <c r="O4638" s="4" t="s">
        <v>4866</v>
      </c>
      <c r="P4638" s="4" t="s">
        <v>4860</v>
      </c>
      <c r="Q4638" s="1" t="str">
        <f>_xlfn.XLOOKUP(tblSales[[#This Row],[Channel Code]],tblChannels[Channel Code],tblChannels[Channel Name],"")</f>
        <v>In-store</v>
      </c>
      <c r="R4638" s="1">
        <f>MONTH(tblSales[[#This Row],[Date]])</f>
        <v>10</v>
      </c>
    </row>
    <row r="4639" spans="2:18" x14ac:dyDescent="0.35">
      <c r="B4639" s="113">
        <v>46304</v>
      </c>
      <c r="C4639" s="4" t="s">
        <v>3150</v>
      </c>
      <c r="D4639" s="4" t="s">
        <v>4568</v>
      </c>
      <c r="E4639" s="1" t="str">
        <f>_xlfn.XLOOKUP(tblSales[[#This Row],[Customer ID]],tblCustomers[Customer ID],tblCustomers[Customer Name],"⚠ Unknown")</f>
        <v>Walk-in Customer</v>
      </c>
      <c r="F4639" s="4" t="s">
        <v>7</v>
      </c>
      <c r="G4639" s="1" t="str">
        <f>_xlfn.XLOOKUP(tblSales[[#This Row],[Product Code]],tblProducts[Code],tblProducts[Product / Service Name],"⚠ Unknown")</f>
        <v>Premium Basic T-shirt</v>
      </c>
      <c r="H4639" s="1" t="str">
        <f>_xlfn.XLOOKUP(tblSales[[#This Row],[Product Code]],tblProducts[Code],tblProducts[Category],"")</f>
        <v>Accessories &amp; Basics</v>
      </c>
      <c r="I4639" s="4">
        <v>4</v>
      </c>
      <c r="J4639" s="5">
        <f>_xlfn.XLOOKUP(tblSales[[#This Row],[Product Code]],tblProducts[Code],tblProducts[Selling Price (excl. VAT)],0)</f>
        <v>65000</v>
      </c>
      <c r="K4639" s="5">
        <f>tblSales[[#This Row],[Qty]]*tblSales[[#This Row],[Unit Price]]</f>
        <v>260000</v>
      </c>
      <c r="L4639" s="5">
        <f>ROUND(tblSales[[#This Row],[DPP (excl. VAT)]]*VATEff,0)</f>
        <v>28600</v>
      </c>
      <c r="M4639" s="5">
        <f>tblSales[[#This Row],[DPP (excl. VAT)]]+tblSales[[#This Row],[Output VAT]]</f>
        <v>288600</v>
      </c>
      <c r="N4639" s="5">
        <f>tblSales[[#This Row],[Qty]]*_xlfn.XLOOKUP(tblSales[[#This Row],[Product Code]],tblProducts[Code],tblProducts[Unit Cost],0)</f>
        <v>148000</v>
      </c>
      <c r="O4639" s="4" t="s">
        <v>4866</v>
      </c>
      <c r="P4639" s="4" t="s">
        <v>4860</v>
      </c>
      <c r="Q4639" s="1" t="str">
        <f>_xlfn.XLOOKUP(tblSales[[#This Row],[Channel Code]],tblChannels[Channel Code],tblChannels[Channel Name],"")</f>
        <v>In-store</v>
      </c>
      <c r="R4639" s="1">
        <f>MONTH(tblSales[[#This Row],[Date]])</f>
        <v>10</v>
      </c>
    </row>
    <row r="4640" spans="2:18" x14ac:dyDescent="0.35">
      <c r="B4640" s="113">
        <v>46304</v>
      </c>
      <c r="C4640" s="4" t="s">
        <v>3150</v>
      </c>
      <c r="D4640" s="4" t="s">
        <v>4568</v>
      </c>
      <c r="E4640" s="1" t="str">
        <f>_xlfn.XLOOKUP(tblSales[[#This Row],[Customer ID]],tblCustomers[Customer ID],tblCustomers[Customer Name],"⚠ Unknown")</f>
        <v>Walk-in Customer</v>
      </c>
      <c r="F4640" s="4" t="s">
        <v>6</v>
      </c>
      <c r="G4640" s="1" t="str">
        <f>_xlfn.XLOOKUP(tblSales[[#This Row],[Product Code]],tblProducts[Code],tblProducts[Product / Service Name],"⚠ Unknown")</f>
        <v>Socks &amp; Accessories</v>
      </c>
      <c r="H4640" s="1" t="str">
        <f>_xlfn.XLOOKUP(tblSales[[#This Row],[Product Code]],tblProducts[Code],tblProducts[Category],"")</f>
        <v>Accessories &amp; Basics</v>
      </c>
      <c r="I4640" s="4">
        <v>10</v>
      </c>
      <c r="J4640" s="5">
        <f>_xlfn.XLOOKUP(tblSales[[#This Row],[Product Code]],tblProducts[Code],tblProducts[Selling Price (excl. VAT)],0)</f>
        <v>45000</v>
      </c>
      <c r="K4640" s="5">
        <f>tblSales[[#This Row],[Qty]]*tblSales[[#This Row],[Unit Price]]</f>
        <v>450000</v>
      </c>
      <c r="L4640" s="5">
        <f>ROUND(tblSales[[#This Row],[DPP (excl. VAT)]]*VATEff,0)</f>
        <v>49500</v>
      </c>
      <c r="M4640" s="5">
        <f>tblSales[[#This Row],[DPP (excl. VAT)]]+tblSales[[#This Row],[Output VAT]]</f>
        <v>499500</v>
      </c>
      <c r="N4640" s="5">
        <f>tblSales[[#This Row],[Qty]]*_xlfn.XLOOKUP(tblSales[[#This Row],[Product Code]],tblProducts[Code],tblProducts[Unit Cost],0)</f>
        <v>240000</v>
      </c>
      <c r="O4640" s="4" t="s">
        <v>4866</v>
      </c>
      <c r="P4640" s="4" t="s">
        <v>4860</v>
      </c>
      <c r="Q4640" s="1" t="str">
        <f>_xlfn.XLOOKUP(tblSales[[#This Row],[Channel Code]],tblChannels[Channel Code],tblChannels[Channel Name],"")</f>
        <v>In-store</v>
      </c>
      <c r="R4640" s="1">
        <f>MONTH(tblSales[[#This Row],[Date]])</f>
        <v>10</v>
      </c>
    </row>
    <row r="4641" spans="2:18" x14ac:dyDescent="0.35">
      <c r="B4641" s="113">
        <v>46304</v>
      </c>
      <c r="C4641" s="4" t="s">
        <v>3151</v>
      </c>
      <c r="D4641" s="4" t="s">
        <v>4593</v>
      </c>
      <c r="E4641" s="1" t="str">
        <f>_xlfn.XLOOKUP(tblSales[[#This Row],[Customer ID]],tblCustomers[Customer ID],tblCustomers[Customer Name],"⚠ Unknown")</f>
        <v>PT Graha Nusa Persada</v>
      </c>
      <c r="F4641" s="4" t="s">
        <v>12</v>
      </c>
      <c r="G4641" s="1" t="str">
        <f>_xlfn.XLOOKUP(tblSales[[#This Row],[Product Code]],tblProducts[Code],tblProducts[Product / Service Name],"⚠ Unknown")</f>
        <v>Bomber Jacket</v>
      </c>
      <c r="H4641" s="1" t="str">
        <f>_xlfn.XLOOKUP(tblSales[[#This Row],[Product Code]],tblProducts[Code],tblProducts[Category],"")</f>
        <v>Apparel &amp; Footwear</v>
      </c>
      <c r="I4641" s="4">
        <v>32</v>
      </c>
      <c r="J4641" s="5">
        <f>_xlfn.XLOOKUP(tblSales[[#This Row],[Product Code]],tblProducts[Code],tblProducts[Selling Price (excl. VAT)],0)</f>
        <v>350000</v>
      </c>
      <c r="K4641" s="5">
        <f>tblSales[[#This Row],[Qty]]*tblSales[[#This Row],[Unit Price]]</f>
        <v>11200000</v>
      </c>
      <c r="L4641" s="5">
        <f>ROUND(tblSales[[#This Row],[DPP (excl. VAT)]]*VATEff,0)</f>
        <v>1232000</v>
      </c>
      <c r="M4641" s="5">
        <f>tblSales[[#This Row],[DPP (excl. VAT)]]+tblSales[[#This Row],[Output VAT]]</f>
        <v>12432000</v>
      </c>
      <c r="N4641" s="5">
        <f>tblSales[[#This Row],[Qty]]*_xlfn.XLOOKUP(tblSales[[#This Row],[Product Code]],tblProducts[Code],tblProducts[Unit Cost],0)</f>
        <v>6720000</v>
      </c>
      <c r="O4641" s="4" t="s">
        <v>4867</v>
      </c>
      <c r="P4641" s="4" t="s">
        <v>4860</v>
      </c>
      <c r="Q4641" s="1" t="str">
        <f>_xlfn.XLOOKUP(tblSales[[#This Row],[Channel Code]],tblChannels[Channel Code],tblChannels[Channel Name],"")</f>
        <v>In-store</v>
      </c>
      <c r="R4641" s="1">
        <f>MONTH(tblSales[[#This Row],[Date]])</f>
        <v>10</v>
      </c>
    </row>
    <row r="4642" spans="2:18" x14ac:dyDescent="0.35">
      <c r="B4642" s="113">
        <v>46304</v>
      </c>
      <c r="C4642" s="4" t="s">
        <v>3152</v>
      </c>
      <c r="D4642" s="4" t="s">
        <v>4572</v>
      </c>
      <c r="E4642" s="1" t="str">
        <f>_xlfn.XLOOKUP(tblSales[[#This Row],[Customer ID]],tblCustomers[Customer ID],tblCustomers[Customer Name],"⚠ Unknown")</f>
        <v>PT Cahaya Abadi Makmur</v>
      </c>
      <c r="F4642" s="4" t="s">
        <v>15</v>
      </c>
      <c r="G4642" s="1" t="str">
        <f>_xlfn.XLOOKUP(tblSales[[#This Row],[Product Code]],tblProducts[Code],tblProducts[Product / Service Name],"⚠ Unknown")</f>
        <v>Wireless Earbuds Pro</v>
      </c>
      <c r="H4642" s="1" t="str">
        <f>_xlfn.XLOOKUP(tblSales[[#This Row],[Product Code]],tblProducts[Code],tblProducts[Category],"")</f>
        <v>Bags &amp; Gadgets</v>
      </c>
      <c r="I4642" s="4">
        <v>8</v>
      </c>
      <c r="J4642" s="5">
        <f>_xlfn.XLOOKUP(tblSales[[#This Row],[Product Code]],tblProducts[Code],tblProducts[Selling Price (excl. VAT)],0)</f>
        <v>1250000</v>
      </c>
      <c r="K4642" s="5">
        <f>tblSales[[#This Row],[Qty]]*tblSales[[#This Row],[Unit Price]]</f>
        <v>10000000</v>
      </c>
      <c r="L4642" s="5">
        <f>ROUND(tblSales[[#This Row],[DPP (excl. VAT)]]*VATEff,0)</f>
        <v>1100000</v>
      </c>
      <c r="M4642" s="5">
        <f>tblSales[[#This Row],[DPP (excl. VAT)]]+tblSales[[#This Row],[Output VAT]]</f>
        <v>11100000</v>
      </c>
      <c r="N4642" s="5">
        <f>tblSales[[#This Row],[Qty]]*_xlfn.XLOOKUP(tblSales[[#This Row],[Product Code]],tblProducts[Code],tblProducts[Unit Cost],0)</f>
        <v>6560000</v>
      </c>
      <c r="O4642" s="4" t="s">
        <v>4867</v>
      </c>
      <c r="P4642" s="4" t="s">
        <v>4860</v>
      </c>
      <c r="Q4642" s="1" t="str">
        <f>_xlfn.XLOOKUP(tblSales[[#This Row],[Channel Code]],tblChannels[Channel Code],tblChannels[Channel Name],"")</f>
        <v>In-store</v>
      </c>
      <c r="R4642" s="1">
        <f>MONTH(tblSales[[#This Row],[Date]])</f>
        <v>10</v>
      </c>
    </row>
    <row r="4643" spans="2:18" x14ac:dyDescent="0.35">
      <c r="B4643" s="113">
        <v>46304</v>
      </c>
      <c r="C4643" s="4" t="s">
        <v>3153</v>
      </c>
      <c r="D4643" s="4" t="s">
        <v>4593</v>
      </c>
      <c r="E4643" s="1" t="str">
        <f>_xlfn.XLOOKUP(tblSales[[#This Row],[Customer ID]],tblCustomers[Customer ID],tblCustomers[Customer Name],"⚠ Unknown")</f>
        <v>PT Graha Nusa Persada</v>
      </c>
      <c r="F4643" s="4" t="s">
        <v>12</v>
      </c>
      <c r="G4643" s="1" t="str">
        <f>_xlfn.XLOOKUP(tblSales[[#This Row],[Product Code]],tblProducts[Code],tblProducts[Product / Service Name],"⚠ Unknown")</f>
        <v>Bomber Jacket</v>
      </c>
      <c r="H4643" s="1" t="str">
        <f>_xlfn.XLOOKUP(tblSales[[#This Row],[Product Code]],tblProducts[Code],tblProducts[Category],"")</f>
        <v>Apparel &amp; Footwear</v>
      </c>
      <c r="I4643" s="4">
        <v>16</v>
      </c>
      <c r="J4643" s="5">
        <f>_xlfn.XLOOKUP(tblSales[[#This Row],[Product Code]],tblProducts[Code],tblProducts[Selling Price (excl. VAT)],0)</f>
        <v>350000</v>
      </c>
      <c r="K4643" s="5">
        <f>tblSales[[#This Row],[Qty]]*tblSales[[#This Row],[Unit Price]]</f>
        <v>5600000</v>
      </c>
      <c r="L4643" s="5">
        <f>ROUND(tblSales[[#This Row],[DPP (excl. VAT)]]*VATEff,0)</f>
        <v>616000</v>
      </c>
      <c r="M4643" s="5">
        <f>tblSales[[#This Row],[DPP (excl. VAT)]]+tblSales[[#This Row],[Output VAT]]</f>
        <v>6216000</v>
      </c>
      <c r="N4643" s="5">
        <f>tblSales[[#This Row],[Qty]]*_xlfn.XLOOKUP(tblSales[[#This Row],[Product Code]],tblProducts[Code],tblProducts[Unit Cost],0)</f>
        <v>3360000</v>
      </c>
      <c r="O4643" s="4" t="s">
        <v>4867</v>
      </c>
      <c r="P4643" s="4" t="s">
        <v>4860</v>
      </c>
      <c r="Q4643" s="1" t="str">
        <f>_xlfn.XLOOKUP(tblSales[[#This Row],[Channel Code]],tblChannels[Channel Code],tblChannels[Channel Name],"")</f>
        <v>In-store</v>
      </c>
      <c r="R4643" s="1">
        <f>MONTH(tblSales[[#This Row],[Date]])</f>
        <v>10</v>
      </c>
    </row>
    <row r="4644" spans="2:18" x14ac:dyDescent="0.35">
      <c r="B4644" s="113">
        <v>46304</v>
      </c>
      <c r="C4644" s="4" t="s">
        <v>3154</v>
      </c>
      <c r="D4644" s="4" t="s">
        <v>4568</v>
      </c>
      <c r="E4644" s="1" t="str">
        <f>_xlfn.XLOOKUP(tblSales[[#This Row],[Customer ID]],tblCustomers[Customer ID],tblCustomers[Customer Name],"⚠ Unknown")</f>
        <v>Walk-in Customer</v>
      </c>
      <c r="F4644" s="4" t="s">
        <v>11</v>
      </c>
      <c r="G4644" s="1" t="str">
        <f>_xlfn.XLOOKUP(tblSales[[#This Row],[Product Code]],tblProducts[Code],tblProducts[Product / Service Name],"⚠ Unknown")</f>
        <v>Sneakers</v>
      </c>
      <c r="H4644" s="1" t="str">
        <f>_xlfn.XLOOKUP(tblSales[[#This Row],[Product Code]],tblProducts[Code],tblProducts[Category],"")</f>
        <v>Apparel &amp; Footwear</v>
      </c>
      <c r="I4644" s="4">
        <v>3</v>
      </c>
      <c r="J4644" s="5">
        <f>_xlfn.XLOOKUP(tblSales[[#This Row],[Product Code]],tblProducts[Code],tblProducts[Selling Price (excl. VAT)],0)</f>
        <v>250000</v>
      </c>
      <c r="K4644" s="5">
        <f>tblSales[[#This Row],[Qty]]*tblSales[[#This Row],[Unit Price]]</f>
        <v>750000</v>
      </c>
      <c r="L4644" s="5">
        <f>ROUND(tblSales[[#This Row],[DPP (excl. VAT)]]*VATEff,0)</f>
        <v>82500</v>
      </c>
      <c r="M4644" s="5">
        <f>tblSales[[#This Row],[DPP (excl. VAT)]]+tblSales[[#This Row],[Output VAT]]</f>
        <v>832500</v>
      </c>
      <c r="N4644" s="5">
        <f>tblSales[[#This Row],[Qty]]*_xlfn.XLOOKUP(tblSales[[#This Row],[Product Code]],tblProducts[Code],tblProducts[Unit Cost],0)</f>
        <v>465000</v>
      </c>
      <c r="O4644" s="4" t="s">
        <v>4865</v>
      </c>
      <c r="P4644" s="4" t="s">
        <v>4860</v>
      </c>
      <c r="Q4644" s="1" t="str">
        <f>_xlfn.XLOOKUP(tblSales[[#This Row],[Channel Code]],tblChannels[Channel Code],tblChannels[Channel Name],"")</f>
        <v>In-store</v>
      </c>
      <c r="R4644" s="1">
        <f>MONTH(tblSales[[#This Row],[Date]])</f>
        <v>10</v>
      </c>
    </row>
    <row r="4645" spans="2:18" x14ac:dyDescent="0.35">
      <c r="B4645" s="113">
        <v>46304</v>
      </c>
      <c r="C4645" s="4" t="s">
        <v>3155</v>
      </c>
      <c r="D4645" s="4" t="s">
        <v>4593</v>
      </c>
      <c r="E4645" s="1" t="str">
        <f>_xlfn.XLOOKUP(tblSales[[#This Row],[Customer ID]],tblCustomers[Customer ID],tblCustomers[Customer Name],"⚠ Unknown")</f>
        <v>PT Graha Nusa Persada</v>
      </c>
      <c r="F4645" s="4" t="s">
        <v>10</v>
      </c>
      <c r="G4645" s="1" t="str">
        <f>_xlfn.XLOOKUP(tblSales[[#This Row],[Product Code]],tblProducts[Code],tblProducts[Product / Service Name],"⚠ Unknown")</f>
        <v>Chino Pants</v>
      </c>
      <c r="H4645" s="1" t="str">
        <f>_xlfn.XLOOKUP(tblSales[[#This Row],[Product Code]],tblProducts[Code],tblProducts[Category],"")</f>
        <v>Apparel &amp; Footwear</v>
      </c>
      <c r="I4645" s="4">
        <v>48</v>
      </c>
      <c r="J4645" s="5">
        <f>_xlfn.XLOOKUP(tblSales[[#This Row],[Product Code]],tblProducts[Code],tblProducts[Selling Price (excl. VAT)],0)</f>
        <v>150000</v>
      </c>
      <c r="K4645" s="5">
        <f>tblSales[[#This Row],[Qty]]*tblSales[[#This Row],[Unit Price]]</f>
        <v>7200000</v>
      </c>
      <c r="L4645" s="5">
        <f>ROUND(tblSales[[#This Row],[DPP (excl. VAT)]]*VATEff,0)</f>
        <v>792000</v>
      </c>
      <c r="M4645" s="5">
        <f>tblSales[[#This Row],[DPP (excl. VAT)]]+tblSales[[#This Row],[Output VAT]]</f>
        <v>7992000</v>
      </c>
      <c r="N4645" s="5">
        <f>tblSales[[#This Row],[Qty]]*_xlfn.XLOOKUP(tblSales[[#This Row],[Product Code]],tblProducts[Code],tblProducts[Unit Cost],0)</f>
        <v>4224000</v>
      </c>
      <c r="O4645" s="4" t="s">
        <v>4867</v>
      </c>
      <c r="P4645" s="4" t="s">
        <v>4860</v>
      </c>
      <c r="Q4645" s="1" t="str">
        <f>_xlfn.XLOOKUP(tblSales[[#This Row],[Channel Code]],tblChannels[Channel Code],tblChannels[Channel Name],"")</f>
        <v>In-store</v>
      </c>
      <c r="R4645" s="1">
        <f>MONTH(tblSales[[#This Row],[Date]])</f>
        <v>10</v>
      </c>
    </row>
    <row r="4646" spans="2:18" x14ac:dyDescent="0.35">
      <c r="B4646" s="113">
        <v>46304</v>
      </c>
      <c r="C4646" s="4" t="s">
        <v>3155</v>
      </c>
      <c r="D4646" s="4" t="s">
        <v>4593</v>
      </c>
      <c r="E4646" s="1" t="str">
        <f>_xlfn.XLOOKUP(tblSales[[#This Row],[Customer ID]],tblCustomers[Customer ID],tblCustomers[Customer Name],"⚠ Unknown")</f>
        <v>PT Graha Nusa Persada</v>
      </c>
      <c r="F4646" s="4" t="s">
        <v>7</v>
      </c>
      <c r="G4646" s="1" t="str">
        <f>_xlfn.XLOOKUP(tblSales[[#This Row],[Product Code]],tblProducts[Code],tblProducts[Product / Service Name],"⚠ Unknown")</f>
        <v>Premium Basic T-shirt</v>
      </c>
      <c r="H4646" s="1" t="str">
        <f>_xlfn.XLOOKUP(tblSales[[#This Row],[Product Code]],tblProducts[Code],tblProducts[Category],"")</f>
        <v>Accessories &amp; Basics</v>
      </c>
      <c r="I4646" s="4">
        <v>24</v>
      </c>
      <c r="J4646" s="5">
        <f>_xlfn.XLOOKUP(tblSales[[#This Row],[Product Code]],tblProducts[Code],tblProducts[Selling Price (excl. VAT)],0)</f>
        <v>65000</v>
      </c>
      <c r="K4646" s="5">
        <f>tblSales[[#This Row],[Qty]]*tblSales[[#This Row],[Unit Price]]</f>
        <v>1560000</v>
      </c>
      <c r="L4646" s="5">
        <f>ROUND(tblSales[[#This Row],[DPP (excl. VAT)]]*VATEff,0)</f>
        <v>171600</v>
      </c>
      <c r="M4646" s="5">
        <f>tblSales[[#This Row],[DPP (excl. VAT)]]+tblSales[[#This Row],[Output VAT]]</f>
        <v>1731600</v>
      </c>
      <c r="N4646" s="5">
        <f>tblSales[[#This Row],[Qty]]*_xlfn.XLOOKUP(tblSales[[#This Row],[Product Code]],tblProducts[Code],tblProducts[Unit Cost],0)</f>
        <v>888000</v>
      </c>
      <c r="O4646" s="4" t="s">
        <v>4867</v>
      </c>
      <c r="P4646" s="4" t="s">
        <v>4860</v>
      </c>
      <c r="Q4646" s="1" t="str">
        <f>_xlfn.XLOOKUP(tblSales[[#This Row],[Channel Code]],tblChannels[Channel Code],tblChannels[Channel Name],"")</f>
        <v>In-store</v>
      </c>
      <c r="R4646" s="1">
        <f>MONTH(tblSales[[#This Row],[Date]])</f>
        <v>10</v>
      </c>
    </row>
    <row r="4647" spans="2:18" x14ac:dyDescent="0.35">
      <c r="B4647" s="113">
        <v>46304</v>
      </c>
      <c r="C4647" s="4" t="s">
        <v>3156</v>
      </c>
      <c r="D4647" s="4" t="s">
        <v>4568</v>
      </c>
      <c r="E4647" s="1" t="str">
        <f>_xlfn.XLOOKUP(tblSales[[#This Row],[Customer ID]],tblCustomers[Customer ID],tblCustomers[Customer Name],"⚠ Unknown")</f>
        <v>Walk-in Customer</v>
      </c>
      <c r="F4647" s="4" t="s">
        <v>9</v>
      </c>
      <c r="G4647" s="1" t="str">
        <f>_xlfn.XLOOKUP(tblSales[[#This Row],[Product Code]],tblProducts[Code],tblProducts[Product / Service Name],"⚠ Unknown")</f>
        <v>Casual Shirt</v>
      </c>
      <c r="H4647" s="1" t="str">
        <f>_xlfn.XLOOKUP(tblSales[[#This Row],[Product Code]],tblProducts[Code],tblProducts[Category],"")</f>
        <v>Apparel &amp; Footwear</v>
      </c>
      <c r="I4647" s="4">
        <v>2</v>
      </c>
      <c r="J4647" s="5">
        <f>_xlfn.XLOOKUP(tblSales[[#This Row],[Product Code]],tblProducts[Code],tblProducts[Selling Price (excl. VAT)],0)</f>
        <v>120000</v>
      </c>
      <c r="K4647" s="5">
        <f>tblSales[[#This Row],[Qty]]*tblSales[[#This Row],[Unit Price]]</f>
        <v>240000</v>
      </c>
      <c r="L4647" s="5">
        <f>ROUND(tblSales[[#This Row],[DPP (excl. VAT)]]*VATEff,0)</f>
        <v>26400</v>
      </c>
      <c r="M4647" s="5">
        <f>tblSales[[#This Row],[DPP (excl. VAT)]]+tblSales[[#This Row],[Output VAT]]</f>
        <v>266400</v>
      </c>
      <c r="N4647" s="5">
        <f>tblSales[[#This Row],[Qty]]*_xlfn.XLOOKUP(tblSales[[#This Row],[Product Code]],tblProducts[Code],tblProducts[Unit Cost],0)</f>
        <v>144000</v>
      </c>
      <c r="O4647" s="4" t="s">
        <v>4866</v>
      </c>
      <c r="P4647" s="4" t="s">
        <v>4860</v>
      </c>
      <c r="Q4647" s="1" t="str">
        <f>_xlfn.XLOOKUP(tblSales[[#This Row],[Channel Code]],tblChannels[Channel Code],tblChannels[Channel Name],"")</f>
        <v>In-store</v>
      </c>
      <c r="R4647" s="1">
        <f>MONTH(tblSales[[#This Row],[Date]])</f>
        <v>10</v>
      </c>
    </row>
    <row r="4648" spans="2:18" x14ac:dyDescent="0.35">
      <c r="B4648" s="113">
        <v>46304</v>
      </c>
      <c r="C4648" s="4" t="s">
        <v>3157</v>
      </c>
      <c r="D4648" s="4" t="s">
        <v>4568</v>
      </c>
      <c r="E4648" s="1" t="str">
        <f>_xlfn.XLOOKUP(tblSales[[#This Row],[Customer ID]],tblCustomers[Customer ID],tblCustomers[Customer Name],"⚠ Unknown")</f>
        <v>Walk-in Customer</v>
      </c>
      <c r="F4648" s="4" t="s">
        <v>6</v>
      </c>
      <c r="G4648" s="1" t="str">
        <f>_xlfn.XLOOKUP(tblSales[[#This Row],[Product Code]],tblProducts[Code],tblProducts[Product / Service Name],"⚠ Unknown")</f>
        <v>Socks &amp; Accessories</v>
      </c>
      <c r="H4648" s="1" t="str">
        <f>_xlfn.XLOOKUP(tblSales[[#This Row],[Product Code]],tblProducts[Code],tblProducts[Category],"")</f>
        <v>Accessories &amp; Basics</v>
      </c>
      <c r="I4648" s="4">
        <v>6</v>
      </c>
      <c r="J4648" s="5">
        <f>_xlfn.XLOOKUP(tblSales[[#This Row],[Product Code]],tblProducts[Code],tblProducts[Selling Price (excl. VAT)],0)</f>
        <v>45000</v>
      </c>
      <c r="K4648" s="5">
        <f>tblSales[[#This Row],[Qty]]*tblSales[[#This Row],[Unit Price]]</f>
        <v>270000</v>
      </c>
      <c r="L4648" s="5">
        <f>ROUND(tblSales[[#This Row],[DPP (excl. VAT)]]*VATEff,0)</f>
        <v>29700</v>
      </c>
      <c r="M4648" s="5">
        <f>tblSales[[#This Row],[DPP (excl. VAT)]]+tblSales[[#This Row],[Output VAT]]</f>
        <v>299700</v>
      </c>
      <c r="N4648" s="5">
        <f>tblSales[[#This Row],[Qty]]*_xlfn.XLOOKUP(tblSales[[#This Row],[Product Code]],tblProducts[Code],tblProducts[Unit Cost],0)</f>
        <v>144000</v>
      </c>
      <c r="O4648" s="4" t="s">
        <v>4866</v>
      </c>
      <c r="P4648" s="4" t="s">
        <v>4861</v>
      </c>
      <c r="Q4648" s="1" t="str">
        <f>_xlfn.XLOOKUP(tblSales[[#This Row],[Channel Code]],tblChannels[Channel Code],tblChannels[Channel Name],"")</f>
        <v>Marketplace</v>
      </c>
      <c r="R4648" s="1">
        <f>MONTH(tblSales[[#This Row],[Date]])</f>
        <v>10</v>
      </c>
    </row>
    <row r="4649" spans="2:18" x14ac:dyDescent="0.35">
      <c r="B4649" s="113">
        <v>46304</v>
      </c>
      <c r="C4649" s="4" t="s">
        <v>3158</v>
      </c>
      <c r="D4649" s="4" t="s">
        <v>4568</v>
      </c>
      <c r="E4649" s="1" t="str">
        <f>_xlfn.XLOOKUP(tblSales[[#This Row],[Customer ID]],tblCustomers[Customer ID],tblCustomers[Customer Name],"⚠ Unknown")</f>
        <v>Walk-in Customer</v>
      </c>
      <c r="F4649" s="4" t="s">
        <v>6</v>
      </c>
      <c r="G4649" s="1" t="str">
        <f>_xlfn.XLOOKUP(tblSales[[#This Row],[Product Code]],tblProducts[Code],tblProducts[Product / Service Name],"⚠ Unknown")</f>
        <v>Socks &amp; Accessories</v>
      </c>
      <c r="H4649" s="1" t="str">
        <f>_xlfn.XLOOKUP(tblSales[[#This Row],[Product Code]],tblProducts[Code],tblProducts[Category],"")</f>
        <v>Accessories &amp; Basics</v>
      </c>
      <c r="I4649" s="4">
        <v>7</v>
      </c>
      <c r="J4649" s="5">
        <f>_xlfn.XLOOKUP(tblSales[[#This Row],[Product Code]],tblProducts[Code],tblProducts[Selling Price (excl. VAT)],0)</f>
        <v>45000</v>
      </c>
      <c r="K4649" s="5">
        <f>tblSales[[#This Row],[Qty]]*tblSales[[#This Row],[Unit Price]]</f>
        <v>315000</v>
      </c>
      <c r="L4649" s="5">
        <f>ROUND(tblSales[[#This Row],[DPP (excl. VAT)]]*VATEff,0)</f>
        <v>34650</v>
      </c>
      <c r="M4649" s="5">
        <f>tblSales[[#This Row],[DPP (excl. VAT)]]+tblSales[[#This Row],[Output VAT]]</f>
        <v>349650</v>
      </c>
      <c r="N4649" s="5">
        <f>tblSales[[#This Row],[Qty]]*_xlfn.XLOOKUP(tblSales[[#This Row],[Product Code]],tblProducts[Code],tblProducts[Unit Cost],0)</f>
        <v>168000</v>
      </c>
      <c r="O4649" s="4" t="s">
        <v>4865</v>
      </c>
      <c r="P4649" s="4" t="s">
        <v>4860</v>
      </c>
      <c r="Q4649" s="1" t="str">
        <f>_xlfn.XLOOKUP(tblSales[[#This Row],[Channel Code]],tblChannels[Channel Code],tblChannels[Channel Name],"")</f>
        <v>In-store</v>
      </c>
      <c r="R4649" s="1">
        <f>MONTH(tblSales[[#This Row],[Date]])</f>
        <v>10</v>
      </c>
    </row>
    <row r="4650" spans="2:18" x14ac:dyDescent="0.35">
      <c r="B4650" s="113">
        <v>46304</v>
      </c>
      <c r="C4650" s="4" t="s">
        <v>3158</v>
      </c>
      <c r="D4650" s="4" t="s">
        <v>4568</v>
      </c>
      <c r="E4650" s="1" t="str">
        <f>_xlfn.XLOOKUP(tblSales[[#This Row],[Customer ID]],tblCustomers[Customer ID],tblCustomers[Customer Name],"⚠ Unknown")</f>
        <v>Walk-in Customer</v>
      </c>
      <c r="F4650" s="4" t="s">
        <v>7</v>
      </c>
      <c r="G4650" s="1" t="str">
        <f>_xlfn.XLOOKUP(tblSales[[#This Row],[Product Code]],tblProducts[Code],tblProducts[Product / Service Name],"⚠ Unknown")</f>
        <v>Premium Basic T-shirt</v>
      </c>
      <c r="H4650" s="1" t="str">
        <f>_xlfn.XLOOKUP(tblSales[[#This Row],[Product Code]],tblProducts[Code],tblProducts[Category],"")</f>
        <v>Accessories &amp; Basics</v>
      </c>
      <c r="I4650" s="4">
        <v>9</v>
      </c>
      <c r="J4650" s="5">
        <f>_xlfn.XLOOKUP(tblSales[[#This Row],[Product Code]],tblProducts[Code],tblProducts[Selling Price (excl. VAT)],0)</f>
        <v>65000</v>
      </c>
      <c r="K4650" s="5">
        <f>tblSales[[#This Row],[Qty]]*tblSales[[#This Row],[Unit Price]]</f>
        <v>585000</v>
      </c>
      <c r="L4650" s="5">
        <f>ROUND(tblSales[[#This Row],[DPP (excl. VAT)]]*VATEff,0)</f>
        <v>64350</v>
      </c>
      <c r="M4650" s="5">
        <f>tblSales[[#This Row],[DPP (excl. VAT)]]+tblSales[[#This Row],[Output VAT]]</f>
        <v>649350</v>
      </c>
      <c r="N4650" s="5">
        <f>tblSales[[#This Row],[Qty]]*_xlfn.XLOOKUP(tblSales[[#This Row],[Product Code]],tblProducts[Code],tblProducts[Unit Cost],0)</f>
        <v>333000</v>
      </c>
      <c r="O4650" s="4" t="s">
        <v>4865</v>
      </c>
      <c r="P4650" s="4" t="s">
        <v>4860</v>
      </c>
      <c r="Q4650" s="1" t="str">
        <f>_xlfn.XLOOKUP(tblSales[[#This Row],[Channel Code]],tblChannels[Channel Code],tblChannels[Channel Name],"")</f>
        <v>In-store</v>
      </c>
      <c r="R4650" s="1">
        <f>MONTH(tblSales[[#This Row],[Date]])</f>
        <v>10</v>
      </c>
    </row>
    <row r="4651" spans="2:18" x14ac:dyDescent="0.35">
      <c r="B4651" s="113">
        <v>46305</v>
      </c>
      <c r="C4651" s="4" t="s">
        <v>3159</v>
      </c>
      <c r="D4651" s="4" t="s">
        <v>4568</v>
      </c>
      <c r="E4651" s="1" t="str">
        <f>_xlfn.XLOOKUP(tblSales[[#This Row],[Customer ID]],tblCustomers[Customer ID],tblCustomers[Customer Name],"⚠ Unknown")</f>
        <v>Walk-in Customer</v>
      </c>
      <c r="F4651" s="4" t="s">
        <v>9</v>
      </c>
      <c r="G4651" s="1" t="str">
        <f>_xlfn.XLOOKUP(tblSales[[#This Row],[Product Code]],tblProducts[Code],tblProducts[Product / Service Name],"⚠ Unknown")</f>
        <v>Casual Shirt</v>
      </c>
      <c r="H4651" s="1" t="str">
        <f>_xlfn.XLOOKUP(tblSales[[#This Row],[Product Code]],tblProducts[Code],tblProducts[Category],"")</f>
        <v>Apparel &amp; Footwear</v>
      </c>
      <c r="I4651" s="4">
        <v>4</v>
      </c>
      <c r="J4651" s="5">
        <f>_xlfn.XLOOKUP(tblSales[[#This Row],[Product Code]],tblProducts[Code],tblProducts[Selling Price (excl. VAT)],0)</f>
        <v>120000</v>
      </c>
      <c r="K4651" s="5">
        <f>tblSales[[#This Row],[Qty]]*tblSales[[#This Row],[Unit Price]]</f>
        <v>480000</v>
      </c>
      <c r="L4651" s="5">
        <f>ROUND(tblSales[[#This Row],[DPP (excl. VAT)]]*VATEff,0)</f>
        <v>52800</v>
      </c>
      <c r="M4651" s="5">
        <f>tblSales[[#This Row],[DPP (excl. VAT)]]+tblSales[[#This Row],[Output VAT]]</f>
        <v>532800</v>
      </c>
      <c r="N4651" s="5">
        <f>tblSales[[#This Row],[Qty]]*_xlfn.XLOOKUP(tblSales[[#This Row],[Product Code]],tblProducts[Code],tblProducts[Unit Cost],0)</f>
        <v>288000</v>
      </c>
      <c r="O4651" s="4" t="s">
        <v>4866</v>
      </c>
      <c r="P4651" s="4" t="s">
        <v>4861</v>
      </c>
      <c r="Q4651" s="1" t="str">
        <f>_xlfn.XLOOKUP(tblSales[[#This Row],[Channel Code]],tblChannels[Channel Code],tblChannels[Channel Name],"")</f>
        <v>Marketplace</v>
      </c>
      <c r="R4651" s="1">
        <f>MONTH(tblSales[[#This Row],[Date]])</f>
        <v>10</v>
      </c>
    </row>
    <row r="4652" spans="2:18" x14ac:dyDescent="0.35">
      <c r="B4652" s="113">
        <v>46305</v>
      </c>
      <c r="C4652" s="4" t="s">
        <v>3160</v>
      </c>
      <c r="D4652" s="4" t="s">
        <v>4568</v>
      </c>
      <c r="E4652" s="1" t="str">
        <f>_xlfn.XLOOKUP(tblSales[[#This Row],[Customer ID]],tblCustomers[Customer ID],tblCustomers[Customer Name],"⚠ Unknown")</f>
        <v>Walk-in Customer</v>
      </c>
      <c r="F4652" s="4" t="s">
        <v>8</v>
      </c>
      <c r="G4652" s="1" t="str">
        <f>_xlfn.XLOOKUP(tblSales[[#This Row],[Product Code]],tblProducts[Code],tblProducts[Product / Service Name],"⚠ Unknown")</f>
        <v>Casual Shorts</v>
      </c>
      <c r="H4652" s="1" t="str">
        <f>_xlfn.XLOOKUP(tblSales[[#This Row],[Product Code]],tblProducts[Code],tblProducts[Category],"")</f>
        <v>Accessories &amp; Basics</v>
      </c>
      <c r="I4652" s="4">
        <v>12</v>
      </c>
      <c r="J4652" s="5">
        <f>_xlfn.XLOOKUP(tblSales[[#This Row],[Product Code]],tblProducts[Code],tblProducts[Selling Price (excl. VAT)],0)</f>
        <v>85000</v>
      </c>
      <c r="K4652" s="5">
        <f>tblSales[[#This Row],[Qty]]*tblSales[[#This Row],[Unit Price]]</f>
        <v>1020000</v>
      </c>
      <c r="L4652" s="5">
        <f>ROUND(tblSales[[#This Row],[DPP (excl. VAT)]]*VATEff,0)</f>
        <v>112200</v>
      </c>
      <c r="M4652" s="5">
        <f>tblSales[[#This Row],[DPP (excl. VAT)]]+tblSales[[#This Row],[Output VAT]]</f>
        <v>1132200</v>
      </c>
      <c r="N4652" s="5">
        <f>tblSales[[#This Row],[Qty]]*_xlfn.XLOOKUP(tblSales[[#This Row],[Product Code]],tblProducts[Code],tblProducts[Unit Cost],0)</f>
        <v>600000</v>
      </c>
      <c r="O4652" s="4" t="s">
        <v>4866</v>
      </c>
      <c r="P4652" s="4" t="s">
        <v>4862</v>
      </c>
      <c r="Q4652" s="1" t="str">
        <f>_xlfn.XLOOKUP(tblSales[[#This Row],[Channel Code]],tblChannels[Channel Code],tblChannels[Channel Name],"")</f>
        <v>Website &amp; Social Media</v>
      </c>
      <c r="R4652" s="1">
        <f>MONTH(tblSales[[#This Row],[Date]])</f>
        <v>10</v>
      </c>
    </row>
    <row r="4653" spans="2:18" x14ac:dyDescent="0.35">
      <c r="B4653" s="113">
        <v>46305</v>
      </c>
      <c r="C4653" s="4" t="s">
        <v>3160</v>
      </c>
      <c r="D4653" s="4" t="s">
        <v>4568</v>
      </c>
      <c r="E4653" s="1" t="str">
        <f>_xlfn.XLOOKUP(tblSales[[#This Row],[Customer ID]],tblCustomers[Customer ID],tblCustomers[Customer Name],"⚠ Unknown")</f>
        <v>Walk-in Customer</v>
      </c>
      <c r="F4653" s="4" t="s">
        <v>6</v>
      </c>
      <c r="G4653" s="1" t="str">
        <f>_xlfn.XLOOKUP(tblSales[[#This Row],[Product Code]],tblProducts[Code],tblProducts[Product / Service Name],"⚠ Unknown")</f>
        <v>Socks &amp; Accessories</v>
      </c>
      <c r="H4653" s="1" t="str">
        <f>_xlfn.XLOOKUP(tblSales[[#This Row],[Product Code]],tblProducts[Code],tblProducts[Category],"")</f>
        <v>Accessories &amp; Basics</v>
      </c>
      <c r="I4653" s="4">
        <v>9</v>
      </c>
      <c r="J4653" s="5">
        <f>_xlfn.XLOOKUP(tblSales[[#This Row],[Product Code]],tblProducts[Code],tblProducts[Selling Price (excl. VAT)],0)</f>
        <v>45000</v>
      </c>
      <c r="K4653" s="5">
        <f>tblSales[[#This Row],[Qty]]*tblSales[[#This Row],[Unit Price]]</f>
        <v>405000</v>
      </c>
      <c r="L4653" s="5">
        <f>ROUND(tblSales[[#This Row],[DPP (excl. VAT)]]*VATEff,0)</f>
        <v>44550</v>
      </c>
      <c r="M4653" s="5">
        <f>tblSales[[#This Row],[DPP (excl. VAT)]]+tblSales[[#This Row],[Output VAT]]</f>
        <v>449550</v>
      </c>
      <c r="N4653" s="5">
        <f>tblSales[[#This Row],[Qty]]*_xlfn.XLOOKUP(tblSales[[#This Row],[Product Code]],tblProducts[Code],tblProducts[Unit Cost],0)</f>
        <v>216000</v>
      </c>
      <c r="O4653" s="4" t="s">
        <v>4866</v>
      </c>
      <c r="P4653" s="4" t="s">
        <v>4862</v>
      </c>
      <c r="Q4653" s="1" t="str">
        <f>_xlfn.XLOOKUP(tblSales[[#This Row],[Channel Code]],tblChannels[Channel Code],tblChannels[Channel Name],"")</f>
        <v>Website &amp; Social Media</v>
      </c>
      <c r="R4653" s="1">
        <f>MONTH(tblSales[[#This Row],[Date]])</f>
        <v>10</v>
      </c>
    </row>
    <row r="4654" spans="2:18" x14ac:dyDescent="0.35">
      <c r="B4654" s="113">
        <v>46305</v>
      </c>
      <c r="C4654" s="4" t="s">
        <v>3160</v>
      </c>
      <c r="D4654" s="4" t="s">
        <v>4568</v>
      </c>
      <c r="E4654" s="1" t="str">
        <f>_xlfn.XLOOKUP(tblSales[[#This Row],[Customer ID]],tblCustomers[Customer ID],tblCustomers[Customer Name],"⚠ Unknown")</f>
        <v>Walk-in Customer</v>
      </c>
      <c r="F4654" s="4" t="s">
        <v>15</v>
      </c>
      <c r="G4654" s="1" t="str">
        <f>_xlfn.XLOOKUP(tblSales[[#This Row],[Product Code]],tblProducts[Code],tblProducts[Product / Service Name],"⚠ Unknown")</f>
        <v>Wireless Earbuds Pro</v>
      </c>
      <c r="H4654" s="1" t="str">
        <f>_xlfn.XLOOKUP(tblSales[[#This Row],[Product Code]],tblProducts[Code],tblProducts[Category],"")</f>
        <v>Bags &amp; Gadgets</v>
      </c>
      <c r="I4654" s="4">
        <v>1</v>
      </c>
      <c r="J4654" s="5">
        <f>_xlfn.XLOOKUP(tblSales[[#This Row],[Product Code]],tblProducts[Code],tblProducts[Selling Price (excl. VAT)],0)</f>
        <v>1250000</v>
      </c>
      <c r="K4654" s="5">
        <f>tblSales[[#This Row],[Qty]]*tblSales[[#This Row],[Unit Price]]</f>
        <v>1250000</v>
      </c>
      <c r="L4654" s="5">
        <f>ROUND(tblSales[[#This Row],[DPP (excl. VAT)]]*VATEff,0)</f>
        <v>137500</v>
      </c>
      <c r="M4654" s="5">
        <f>tblSales[[#This Row],[DPP (excl. VAT)]]+tblSales[[#This Row],[Output VAT]]</f>
        <v>1387500</v>
      </c>
      <c r="N4654" s="5">
        <f>tblSales[[#This Row],[Qty]]*_xlfn.XLOOKUP(tblSales[[#This Row],[Product Code]],tblProducts[Code],tblProducts[Unit Cost],0)</f>
        <v>820000</v>
      </c>
      <c r="O4654" s="4" t="s">
        <v>4866</v>
      </c>
      <c r="P4654" s="4" t="s">
        <v>4862</v>
      </c>
      <c r="Q4654" s="1" t="str">
        <f>_xlfn.XLOOKUP(tblSales[[#This Row],[Channel Code]],tblChannels[Channel Code],tblChannels[Channel Name],"")</f>
        <v>Website &amp; Social Media</v>
      </c>
      <c r="R4654" s="1">
        <f>MONTH(tblSales[[#This Row],[Date]])</f>
        <v>10</v>
      </c>
    </row>
    <row r="4655" spans="2:18" x14ac:dyDescent="0.35">
      <c r="B4655" s="113">
        <v>46305</v>
      </c>
      <c r="C4655" s="4" t="s">
        <v>3161</v>
      </c>
      <c r="D4655" s="4" t="s">
        <v>4568</v>
      </c>
      <c r="E4655" s="1" t="str">
        <f>_xlfn.XLOOKUP(tblSales[[#This Row],[Customer ID]],tblCustomers[Customer ID],tblCustomers[Customer Name],"⚠ Unknown")</f>
        <v>Walk-in Customer</v>
      </c>
      <c r="F4655" s="4" t="s">
        <v>10</v>
      </c>
      <c r="G4655" s="1" t="str">
        <f>_xlfn.XLOOKUP(tblSales[[#This Row],[Product Code]],tblProducts[Code],tblProducts[Product / Service Name],"⚠ Unknown")</f>
        <v>Chino Pants</v>
      </c>
      <c r="H4655" s="1" t="str">
        <f>_xlfn.XLOOKUP(tblSales[[#This Row],[Product Code]],tblProducts[Code],tblProducts[Category],"")</f>
        <v>Apparel &amp; Footwear</v>
      </c>
      <c r="I4655" s="4">
        <v>4</v>
      </c>
      <c r="J4655" s="5">
        <f>_xlfn.XLOOKUP(tblSales[[#This Row],[Product Code]],tblProducts[Code],tblProducts[Selling Price (excl. VAT)],0)</f>
        <v>150000</v>
      </c>
      <c r="K4655" s="5">
        <f>tblSales[[#This Row],[Qty]]*tblSales[[#This Row],[Unit Price]]</f>
        <v>600000</v>
      </c>
      <c r="L4655" s="5">
        <f>ROUND(tblSales[[#This Row],[DPP (excl. VAT)]]*VATEff,0)</f>
        <v>66000</v>
      </c>
      <c r="M4655" s="5">
        <f>tblSales[[#This Row],[DPP (excl. VAT)]]+tblSales[[#This Row],[Output VAT]]</f>
        <v>666000</v>
      </c>
      <c r="N4655" s="5">
        <f>tblSales[[#This Row],[Qty]]*_xlfn.XLOOKUP(tblSales[[#This Row],[Product Code]],tblProducts[Code],tblProducts[Unit Cost],0)</f>
        <v>352000</v>
      </c>
      <c r="O4655" s="4" t="s">
        <v>4865</v>
      </c>
      <c r="P4655" s="4" t="s">
        <v>4860</v>
      </c>
      <c r="Q4655" s="1" t="str">
        <f>_xlfn.XLOOKUP(tblSales[[#This Row],[Channel Code]],tblChannels[Channel Code],tblChannels[Channel Name],"")</f>
        <v>In-store</v>
      </c>
      <c r="R4655" s="1">
        <f>MONTH(tblSales[[#This Row],[Date]])</f>
        <v>10</v>
      </c>
    </row>
    <row r="4656" spans="2:18" x14ac:dyDescent="0.35">
      <c r="B4656" s="113">
        <v>46305</v>
      </c>
      <c r="C4656" s="4" t="s">
        <v>3162</v>
      </c>
      <c r="D4656" s="4" t="s">
        <v>4578</v>
      </c>
      <c r="E4656" s="1" t="str">
        <f>_xlfn.XLOOKUP(tblSales[[#This Row],[Customer ID]],tblCustomers[Customer ID],tblCustomers[Customer Name],"⚠ Unknown")</f>
        <v>PT Bintang Timur Sejahtera</v>
      </c>
      <c r="F4656" s="4" t="s">
        <v>7</v>
      </c>
      <c r="G4656" s="1" t="str">
        <f>_xlfn.XLOOKUP(tblSales[[#This Row],[Product Code]],tblProducts[Code],tblProducts[Product / Service Name],"⚠ Unknown")</f>
        <v>Premium Basic T-shirt</v>
      </c>
      <c r="H4656" s="1" t="str">
        <f>_xlfn.XLOOKUP(tblSales[[#This Row],[Product Code]],tblProducts[Code],tblProducts[Category],"")</f>
        <v>Accessories &amp; Basics</v>
      </c>
      <c r="I4656" s="4">
        <v>64</v>
      </c>
      <c r="J4656" s="5">
        <f>_xlfn.XLOOKUP(tblSales[[#This Row],[Product Code]],tblProducts[Code],tblProducts[Selling Price (excl. VAT)],0)</f>
        <v>65000</v>
      </c>
      <c r="K4656" s="5">
        <f>tblSales[[#This Row],[Qty]]*tblSales[[#This Row],[Unit Price]]</f>
        <v>4160000</v>
      </c>
      <c r="L4656" s="5">
        <f>ROUND(tblSales[[#This Row],[DPP (excl. VAT)]]*VATEff,0)</f>
        <v>457600</v>
      </c>
      <c r="M4656" s="5">
        <f>tblSales[[#This Row],[DPP (excl. VAT)]]+tblSales[[#This Row],[Output VAT]]</f>
        <v>4617600</v>
      </c>
      <c r="N4656" s="5">
        <f>tblSales[[#This Row],[Qty]]*_xlfn.XLOOKUP(tblSales[[#This Row],[Product Code]],tblProducts[Code],tblProducts[Unit Cost],0)</f>
        <v>2368000</v>
      </c>
      <c r="O4656" s="4" t="s">
        <v>4867</v>
      </c>
      <c r="P4656" s="4" t="s">
        <v>4860</v>
      </c>
      <c r="Q4656" s="1" t="str">
        <f>_xlfn.XLOOKUP(tblSales[[#This Row],[Channel Code]],tblChannels[Channel Code],tblChannels[Channel Name],"")</f>
        <v>In-store</v>
      </c>
      <c r="R4656" s="1">
        <f>MONTH(tblSales[[#This Row],[Date]])</f>
        <v>10</v>
      </c>
    </row>
    <row r="4657" spans="2:18" x14ac:dyDescent="0.35">
      <c r="B4657" s="113">
        <v>46305</v>
      </c>
      <c r="C4657" s="4" t="s">
        <v>3163</v>
      </c>
      <c r="D4657" s="4" t="s">
        <v>4568</v>
      </c>
      <c r="E4657" s="1" t="str">
        <f>_xlfn.XLOOKUP(tblSales[[#This Row],[Customer ID]],tblCustomers[Customer ID],tblCustomers[Customer Name],"⚠ Unknown")</f>
        <v>Walk-in Customer</v>
      </c>
      <c r="F4657" s="4" t="s">
        <v>12</v>
      </c>
      <c r="G4657" s="1" t="str">
        <f>_xlfn.XLOOKUP(tblSales[[#This Row],[Product Code]],tblProducts[Code],tblProducts[Product / Service Name],"⚠ Unknown")</f>
        <v>Bomber Jacket</v>
      </c>
      <c r="H4657" s="1" t="str">
        <f>_xlfn.XLOOKUP(tblSales[[#This Row],[Product Code]],tblProducts[Code],tblProducts[Category],"")</f>
        <v>Apparel &amp; Footwear</v>
      </c>
      <c r="I4657" s="4">
        <v>6</v>
      </c>
      <c r="J4657" s="5">
        <f>_xlfn.XLOOKUP(tblSales[[#This Row],[Product Code]],tblProducts[Code],tblProducts[Selling Price (excl. VAT)],0)</f>
        <v>350000</v>
      </c>
      <c r="K4657" s="5">
        <f>tblSales[[#This Row],[Qty]]*tblSales[[#This Row],[Unit Price]]</f>
        <v>2100000</v>
      </c>
      <c r="L4657" s="5">
        <f>ROUND(tblSales[[#This Row],[DPP (excl. VAT)]]*VATEff,0)</f>
        <v>231000</v>
      </c>
      <c r="M4657" s="5">
        <f>tblSales[[#This Row],[DPP (excl. VAT)]]+tblSales[[#This Row],[Output VAT]]</f>
        <v>2331000</v>
      </c>
      <c r="N4657" s="5">
        <f>tblSales[[#This Row],[Qty]]*_xlfn.XLOOKUP(tblSales[[#This Row],[Product Code]],tblProducts[Code],tblProducts[Unit Cost],0)</f>
        <v>1260000</v>
      </c>
      <c r="O4657" s="4" t="s">
        <v>4865</v>
      </c>
      <c r="P4657" s="4" t="s">
        <v>4860</v>
      </c>
      <c r="Q4657" s="1" t="str">
        <f>_xlfn.XLOOKUP(tblSales[[#This Row],[Channel Code]],tblChannels[Channel Code],tblChannels[Channel Name],"")</f>
        <v>In-store</v>
      </c>
      <c r="R4657" s="1">
        <f>MONTH(tblSales[[#This Row],[Date]])</f>
        <v>10</v>
      </c>
    </row>
    <row r="4658" spans="2:18" x14ac:dyDescent="0.35">
      <c r="B4658" s="113">
        <v>46305</v>
      </c>
      <c r="C4658" s="4" t="s">
        <v>3163</v>
      </c>
      <c r="D4658" s="4" t="s">
        <v>4568</v>
      </c>
      <c r="E4658" s="1" t="str">
        <f>_xlfn.XLOOKUP(tblSales[[#This Row],[Customer ID]],tblCustomers[Customer ID],tblCustomers[Customer Name],"⚠ Unknown")</f>
        <v>Walk-in Customer</v>
      </c>
      <c r="F4658" s="4" t="s">
        <v>7</v>
      </c>
      <c r="G4658" s="1" t="str">
        <f>_xlfn.XLOOKUP(tblSales[[#This Row],[Product Code]],tblProducts[Code],tblProducts[Product / Service Name],"⚠ Unknown")</f>
        <v>Premium Basic T-shirt</v>
      </c>
      <c r="H4658" s="1" t="str">
        <f>_xlfn.XLOOKUP(tblSales[[#This Row],[Product Code]],tblProducts[Code],tblProducts[Category],"")</f>
        <v>Accessories &amp; Basics</v>
      </c>
      <c r="I4658" s="4">
        <v>6</v>
      </c>
      <c r="J4658" s="5">
        <f>_xlfn.XLOOKUP(tblSales[[#This Row],[Product Code]],tblProducts[Code],tblProducts[Selling Price (excl. VAT)],0)</f>
        <v>65000</v>
      </c>
      <c r="K4658" s="5">
        <f>tblSales[[#This Row],[Qty]]*tblSales[[#This Row],[Unit Price]]</f>
        <v>390000</v>
      </c>
      <c r="L4658" s="5">
        <f>ROUND(tblSales[[#This Row],[DPP (excl. VAT)]]*VATEff,0)</f>
        <v>42900</v>
      </c>
      <c r="M4658" s="5">
        <f>tblSales[[#This Row],[DPP (excl. VAT)]]+tblSales[[#This Row],[Output VAT]]</f>
        <v>432900</v>
      </c>
      <c r="N4658" s="5">
        <f>tblSales[[#This Row],[Qty]]*_xlfn.XLOOKUP(tblSales[[#This Row],[Product Code]],tblProducts[Code],tblProducts[Unit Cost],0)</f>
        <v>222000</v>
      </c>
      <c r="O4658" s="4" t="s">
        <v>4865</v>
      </c>
      <c r="P4658" s="4" t="s">
        <v>4860</v>
      </c>
      <c r="Q4658" s="1" t="str">
        <f>_xlfn.XLOOKUP(tblSales[[#This Row],[Channel Code]],tblChannels[Channel Code],tblChannels[Channel Name],"")</f>
        <v>In-store</v>
      </c>
      <c r="R4658" s="1">
        <f>MONTH(tblSales[[#This Row],[Date]])</f>
        <v>10</v>
      </c>
    </row>
    <row r="4659" spans="2:18" x14ac:dyDescent="0.35">
      <c r="B4659" s="113">
        <v>46305</v>
      </c>
      <c r="C4659" s="4" t="s">
        <v>3164</v>
      </c>
      <c r="D4659" s="4" t="s">
        <v>4606</v>
      </c>
      <c r="E4659" s="1" t="str">
        <f>_xlfn.XLOOKUP(tblSales[[#This Row],[Customer ID]],tblCustomers[Customer ID],tblCustomers[Customer Name],"⚠ Unknown")</f>
        <v>PT Arunika Digital Kreatif</v>
      </c>
      <c r="F4659" s="4" t="s">
        <v>13</v>
      </c>
      <c r="G4659" s="1" t="str">
        <f>_xlfn.XLOOKUP(tblSales[[#This Row],[Product Code]],tblProducts[Code],tblProducts[Product / Service Name],"⚠ Unknown")</f>
        <v>Backpack</v>
      </c>
      <c r="H4659" s="1" t="str">
        <f>_xlfn.XLOOKUP(tblSales[[#This Row],[Product Code]],tblProducts[Code],tblProducts[Category],"")</f>
        <v>Bags &amp; Gadgets</v>
      </c>
      <c r="I4659" s="4">
        <v>24</v>
      </c>
      <c r="J4659" s="5">
        <f>_xlfn.XLOOKUP(tblSales[[#This Row],[Product Code]],tblProducts[Code],tblProducts[Selling Price (excl. VAT)],0)</f>
        <v>500000</v>
      </c>
      <c r="K4659" s="5">
        <f>tblSales[[#This Row],[Qty]]*tblSales[[#This Row],[Unit Price]]</f>
        <v>12000000</v>
      </c>
      <c r="L4659" s="5">
        <f>ROUND(tblSales[[#This Row],[DPP (excl. VAT)]]*VATEff,0)</f>
        <v>1320000</v>
      </c>
      <c r="M4659" s="5">
        <f>tblSales[[#This Row],[DPP (excl. VAT)]]+tblSales[[#This Row],[Output VAT]]</f>
        <v>13320000</v>
      </c>
      <c r="N4659" s="5">
        <f>tblSales[[#This Row],[Qty]]*_xlfn.XLOOKUP(tblSales[[#This Row],[Product Code]],tblProducts[Code],tblProducts[Unit Cost],0)</f>
        <v>6960000</v>
      </c>
      <c r="O4659" s="4" t="s">
        <v>4867</v>
      </c>
      <c r="P4659" s="4" t="s">
        <v>4862</v>
      </c>
      <c r="Q4659" s="1" t="str">
        <f>_xlfn.XLOOKUP(tblSales[[#This Row],[Channel Code]],tblChannels[Channel Code],tblChannels[Channel Name],"")</f>
        <v>Website &amp; Social Media</v>
      </c>
      <c r="R4659" s="1">
        <f>MONTH(tblSales[[#This Row],[Date]])</f>
        <v>10</v>
      </c>
    </row>
    <row r="4660" spans="2:18" x14ac:dyDescent="0.35">
      <c r="B4660" s="113">
        <v>46305</v>
      </c>
      <c r="C4660" s="4" t="s">
        <v>3165</v>
      </c>
      <c r="D4660" s="4" t="s">
        <v>4593</v>
      </c>
      <c r="E4660" s="1" t="str">
        <f>_xlfn.XLOOKUP(tblSales[[#This Row],[Customer ID]],tblCustomers[Customer ID],tblCustomers[Customer Name],"⚠ Unknown")</f>
        <v>PT Graha Nusa Persada</v>
      </c>
      <c r="F4660" s="4" t="s">
        <v>9</v>
      </c>
      <c r="G4660" s="1" t="str">
        <f>_xlfn.XLOOKUP(tblSales[[#This Row],[Product Code]],tblProducts[Code],tblProducts[Product / Service Name],"⚠ Unknown")</f>
        <v>Casual Shirt</v>
      </c>
      <c r="H4660" s="1" t="str">
        <f>_xlfn.XLOOKUP(tblSales[[#This Row],[Product Code]],tblProducts[Code],tblProducts[Category],"")</f>
        <v>Apparel &amp; Footwear</v>
      </c>
      <c r="I4660" s="4">
        <v>80</v>
      </c>
      <c r="J4660" s="5">
        <f>_xlfn.XLOOKUP(tblSales[[#This Row],[Product Code]],tblProducts[Code],tblProducts[Selling Price (excl. VAT)],0)</f>
        <v>120000</v>
      </c>
      <c r="K4660" s="5">
        <f>tblSales[[#This Row],[Qty]]*tblSales[[#This Row],[Unit Price]]</f>
        <v>9600000</v>
      </c>
      <c r="L4660" s="5">
        <f>ROUND(tblSales[[#This Row],[DPP (excl. VAT)]]*VATEff,0)</f>
        <v>1056000</v>
      </c>
      <c r="M4660" s="5">
        <f>tblSales[[#This Row],[DPP (excl. VAT)]]+tblSales[[#This Row],[Output VAT]]</f>
        <v>10656000</v>
      </c>
      <c r="N4660" s="5">
        <f>tblSales[[#This Row],[Qty]]*_xlfn.XLOOKUP(tblSales[[#This Row],[Product Code]],tblProducts[Code],tblProducts[Unit Cost],0)</f>
        <v>5760000</v>
      </c>
      <c r="O4660" s="4" t="s">
        <v>4867</v>
      </c>
      <c r="P4660" s="4" t="s">
        <v>4860</v>
      </c>
      <c r="Q4660" s="1" t="str">
        <f>_xlfn.XLOOKUP(tblSales[[#This Row],[Channel Code]],tblChannels[Channel Code],tblChannels[Channel Name],"")</f>
        <v>In-store</v>
      </c>
      <c r="R4660" s="1">
        <f>MONTH(tblSales[[#This Row],[Date]])</f>
        <v>10</v>
      </c>
    </row>
    <row r="4661" spans="2:18" x14ac:dyDescent="0.35">
      <c r="B4661" s="113">
        <v>46305</v>
      </c>
      <c r="C4661" s="4" t="s">
        <v>3166</v>
      </c>
      <c r="D4661" s="4" t="s">
        <v>4568</v>
      </c>
      <c r="E4661" s="1" t="str">
        <f>_xlfn.XLOOKUP(tblSales[[#This Row],[Customer ID]],tblCustomers[Customer ID],tblCustomers[Customer Name],"⚠ Unknown")</f>
        <v>Walk-in Customer</v>
      </c>
      <c r="F4661" s="4" t="s">
        <v>7</v>
      </c>
      <c r="G4661" s="1" t="str">
        <f>_xlfn.XLOOKUP(tblSales[[#This Row],[Product Code]],tblProducts[Code],tblProducts[Product / Service Name],"⚠ Unknown")</f>
        <v>Premium Basic T-shirt</v>
      </c>
      <c r="H4661" s="1" t="str">
        <f>_xlfn.XLOOKUP(tblSales[[#This Row],[Product Code]],tblProducts[Code],tblProducts[Category],"")</f>
        <v>Accessories &amp; Basics</v>
      </c>
      <c r="I4661" s="4">
        <v>6</v>
      </c>
      <c r="J4661" s="5">
        <f>_xlfn.XLOOKUP(tblSales[[#This Row],[Product Code]],tblProducts[Code],tblProducts[Selling Price (excl. VAT)],0)</f>
        <v>65000</v>
      </c>
      <c r="K4661" s="5">
        <f>tblSales[[#This Row],[Qty]]*tblSales[[#This Row],[Unit Price]]</f>
        <v>390000</v>
      </c>
      <c r="L4661" s="5">
        <f>ROUND(tblSales[[#This Row],[DPP (excl. VAT)]]*VATEff,0)</f>
        <v>42900</v>
      </c>
      <c r="M4661" s="5">
        <f>tblSales[[#This Row],[DPP (excl. VAT)]]+tblSales[[#This Row],[Output VAT]]</f>
        <v>432900</v>
      </c>
      <c r="N4661" s="5">
        <f>tblSales[[#This Row],[Qty]]*_xlfn.XLOOKUP(tblSales[[#This Row],[Product Code]],tblProducts[Code],tblProducts[Unit Cost],0)</f>
        <v>222000</v>
      </c>
      <c r="O4661" s="4" t="s">
        <v>4865</v>
      </c>
      <c r="P4661" s="4" t="s">
        <v>4860</v>
      </c>
      <c r="Q4661" s="1" t="str">
        <f>_xlfn.XLOOKUP(tblSales[[#This Row],[Channel Code]],tblChannels[Channel Code],tblChannels[Channel Name],"")</f>
        <v>In-store</v>
      </c>
      <c r="R4661" s="1">
        <f>MONTH(tblSales[[#This Row],[Date]])</f>
        <v>10</v>
      </c>
    </row>
    <row r="4662" spans="2:18" x14ac:dyDescent="0.35">
      <c r="B4662" s="113">
        <v>46305</v>
      </c>
      <c r="C4662" s="4" t="s">
        <v>3167</v>
      </c>
      <c r="D4662" s="4" t="s">
        <v>4593</v>
      </c>
      <c r="E4662" s="1" t="str">
        <f>_xlfn.XLOOKUP(tblSales[[#This Row],[Customer ID]],tblCustomers[Customer ID],tblCustomers[Customer Name],"⚠ Unknown")</f>
        <v>PT Graha Nusa Persada</v>
      </c>
      <c r="F4662" s="4" t="s">
        <v>6</v>
      </c>
      <c r="G4662" s="1" t="str">
        <f>_xlfn.XLOOKUP(tblSales[[#This Row],[Product Code]],tblProducts[Code],tblProducts[Product / Service Name],"⚠ Unknown")</f>
        <v>Socks &amp; Accessories</v>
      </c>
      <c r="H4662" s="1" t="str">
        <f>_xlfn.XLOOKUP(tblSales[[#This Row],[Product Code]],tblProducts[Code],tblProducts[Category],"")</f>
        <v>Accessories &amp; Basics</v>
      </c>
      <c r="I4662" s="4">
        <v>24</v>
      </c>
      <c r="J4662" s="5">
        <f>_xlfn.XLOOKUP(tblSales[[#This Row],[Product Code]],tblProducts[Code],tblProducts[Selling Price (excl. VAT)],0)</f>
        <v>45000</v>
      </c>
      <c r="K4662" s="5">
        <f>tblSales[[#This Row],[Qty]]*tblSales[[#This Row],[Unit Price]]</f>
        <v>1080000</v>
      </c>
      <c r="L4662" s="5">
        <f>ROUND(tblSales[[#This Row],[DPP (excl. VAT)]]*VATEff,0)</f>
        <v>118800</v>
      </c>
      <c r="M4662" s="5">
        <f>tblSales[[#This Row],[DPP (excl. VAT)]]+tblSales[[#This Row],[Output VAT]]</f>
        <v>1198800</v>
      </c>
      <c r="N4662" s="5">
        <f>tblSales[[#This Row],[Qty]]*_xlfn.XLOOKUP(tblSales[[#This Row],[Product Code]],tblProducts[Code],tblProducts[Unit Cost],0)</f>
        <v>576000</v>
      </c>
      <c r="O4662" s="4" t="s">
        <v>4867</v>
      </c>
      <c r="P4662" s="4" t="s">
        <v>4860</v>
      </c>
      <c r="Q4662" s="1" t="str">
        <f>_xlfn.XLOOKUP(tblSales[[#This Row],[Channel Code]],tblChannels[Channel Code],tblChannels[Channel Name],"")</f>
        <v>In-store</v>
      </c>
      <c r="R4662" s="1">
        <f>MONTH(tblSales[[#This Row],[Date]])</f>
        <v>10</v>
      </c>
    </row>
    <row r="4663" spans="2:18" x14ac:dyDescent="0.35">
      <c r="B4663" s="113">
        <v>46305</v>
      </c>
      <c r="C4663" s="4" t="s">
        <v>3168</v>
      </c>
      <c r="D4663" s="4" t="s">
        <v>4568</v>
      </c>
      <c r="E4663" s="1" t="str">
        <f>_xlfn.XLOOKUP(tblSales[[#This Row],[Customer ID]],tblCustomers[Customer ID],tblCustomers[Customer Name],"⚠ Unknown")</f>
        <v>Walk-in Customer</v>
      </c>
      <c r="F4663" s="4" t="s">
        <v>12</v>
      </c>
      <c r="G4663" s="1" t="str">
        <f>_xlfn.XLOOKUP(tblSales[[#This Row],[Product Code]],tblProducts[Code],tblProducts[Product / Service Name],"⚠ Unknown")</f>
        <v>Bomber Jacket</v>
      </c>
      <c r="H4663" s="1" t="str">
        <f>_xlfn.XLOOKUP(tblSales[[#This Row],[Product Code]],tblProducts[Code],tblProducts[Category],"")</f>
        <v>Apparel &amp; Footwear</v>
      </c>
      <c r="I4663" s="4">
        <v>4</v>
      </c>
      <c r="J4663" s="5">
        <f>_xlfn.XLOOKUP(tblSales[[#This Row],[Product Code]],tblProducts[Code],tblProducts[Selling Price (excl. VAT)],0)</f>
        <v>350000</v>
      </c>
      <c r="K4663" s="5">
        <f>tblSales[[#This Row],[Qty]]*tblSales[[#This Row],[Unit Price]]</f>
        <v>1400000</v>
      </c>
      <c r="L4663" s="5">
        <f>ROUND(tblSales[[#This Row],[DPP (excl. VAT)]]*VATEff,0)</f>
        <v>154000</v>
      </c>
      <c r="M4663" s="5">
        <f>tblSales[[#This Row],[DPP (excl. VAT)]]+tblSales[[#This Row],[Output VAT]]</f>
        <v>1554000</v>
      </c>
      <c r="N4663" s="5">
        <f>tblSales[[#This Row],[Qty]]*_xlfn.XLOOKUP(tblSales[[#This Row],[Product Code]],tblProducts[Code],tblProducts[Unit Cost],0)</f>
        <v>840000</v>
      </c>
      <c r="O4663" s="4" t="s">
        <v>4866</v>
      </c>
      <c r="P4663" s="4" t="s">
        <v>4861</v>
      </c>
      <c r="Q4663" s="1" t="str">
        <f>_xlfn.XLOOKUP(tblSales[[#This Row],[Channel Code]],tblChannels[Channel Code],tblChannels[Channel Name],"")</f>
        <v>Marketplace</v>
      </c>
      <c r="R4663" s="1">
        <f>MONTH(tblSales[[#This Row],[Date]])</f>
        <v>10</v>
      </c>
    </row>
    <row r="4664" spans="2:18" x14ac:dyDescent="0.35">
      <c r="B4664" s="113">
        <v>46305</v>
      </c>
      <c r="C4664" s="4" t="s">
        <v>3169</v>
      </c>
      <c r="D4664" s="4" t="s">
        <v>4568</v>
      </c>
      <c r="E4664" s="1" t="str">
        <f>_xlfn.XLOOKUP(tblSales[[#This Row],[Customer ID]],tblCustomers[Customer ID],tblCustomers[Customer Name],"⚠ Unknown")</f>
        <v>Walk-in Customer</v>
      </c>
      <c r="F4664" s="4" t="s">
        <v>6</v>
      </c>
      <c r="G4664" s="1" t="str">
        <f>_xlfn.XLOOKUP(tblSales[[#This Row],[Product Code]],tblProducts[Code],tblProducts[Product / Service Name],"⚠ Unknown")</f>
        <v>Socks &amp; Accessories</v>
      </c>
      <c r="H4664" s="1" t="str">
        <f>_xlfn.XLOOKUP(tblSales[[#This Row],[Product Code]],tblProducts[Code],tblProducts[Category],"")</f>
        <v>Accessories &amp; Basics</v>
      </c>
      <c r="I4664" s="4">
        <v>6</v>
      </c>
      <c r="J4664" s="5">
        <f>_xlfn.XLOOKUP(tblSales[[#This Row],[Product Code]],tblProducts[Code],tblProducts[Selling Price (excl. VAT)],0)</f>
        <v>45000</v>
      </c>
      <c r="K4664" s="5">
        <f>tblSales[[#This Row],[Qty]]*tblSales[[#This Row],[Unit Price]]</f>
        <v>270000</v>
      </c>
      <c r="L4664" s="5">
        <f>ROUND(tblSales[[#This Row],[DPP (excl. VAT)]]*VATEff,0)</f>
        <v>29700</v>
      </c>
      <c r="M4664" s="5">
        <f>tblSales[[#This Row],[DPP (excl. VAT)]]+tblSales[[#This Row],[Output VAT]]</f>
        <v>299700</v>
      </c>
      <c r="N4664" s="5">
        <f>tblSales[[#This Row],[Qty]]*_xlfn.XLOOKUP(tblSales[[#This Row],[Product Code]],tblProducts[Code],tblProducts[Unit Cost],0)</f>
        <v>144000</v>
      </c>
      <c r="O4664" s="4" t="s">
        <v>4865</v>
      </c>
      <c r="P4664" s="4" t="s">
        <v>4860</v>
      </c>
      <c r="Q4664" s="1" t="str">
        <f>_xlfn.XLOOKUP(tblSales[[#This Row],[Channel Code]],tblChannels[Channel Code],tblChannels[Channel Name],"")</f>
        <v>In-store</v>
      </c>
      <c r="R4664" s="1">
        <f>MONTH(tblSales[[#This Row],[Date]])</f>
        <v>10</v>
      </c>
    </row>
    <row r="4665" spans="2:18" x14ac:dyDescent="0.35">
      <c r="B4665" s="113">
        <v>46305</v>
      </c>
      <c r="C4665" s="4" t="s">
        <v>3170</v>
      </c>
      <c r="D4665" s="4" t="s">
        <v>4634</v>
      </c>
      <c r="E4665" s="1" t="str">
        <f>_xlfn.XLOOKUP(tblSales[[#This Row],[Customer ID]],tblCustomers[Customer ID],tblCustomers[Customer Name],"⚠ Unknown")</f>
        <v>PT Delta Inti Selaras</v>
      </c>
      <c r="F4665" s="4" t="s">
        <v>8</v>
      </c>
      <c r="G4665" s="1" t="str">
        <f>_xlfn.XLOOKUP(tblSales[[#This Row],[Product Code]],tblProducts[Code],tblProducts[Product / Service Name],"⚠ Unknown")</f>
        <v>Casual Shorts</v>
      </c>
      <c r="H4665" s="1" t="str">
        <f>_xlfn.XLOOKUP(tblSales[[#This Row],[Product Code]],tblProducts[Code],tblProducts[Category],"")</f>
        <v>Accessories &amp; Basics</v>
      </c>
      <c r="I4665" s="4">
        <v>96</v>
      </c>
      <c r="J4665" s="5">
        <f>_xlfn.XLOOKUP(tblSales[[#This Row],[Product Code]],tblProducts[Code],tblProducts[Selling Price (excl. VAT)],0)</f>
        <v>85000</v>
      </c>
      <c r="K4665" s="5">
        <f>tblSales[[#This Row],[Qty]]*tblSales[[#This Row],[Unit Price]]</f>
        <v>8160000</v>
      </c>
      <c r="L4665" s="5">
        <f>ROUND(tblSales[[#This Row],[DPP (excl. VAT)]]*VATEff,0)</f>
        <v>897600</v>
      </c>
      <c r="M4665" s="5">
        <f>tblSales[[#This Row],[DPP (excl. VAT)]]+tblSales[[#This Row],[Output VAT]]</f>
        <v>9057600</v>
      </c>
      <c r="N4665" s="5">
        <f>tblSales[[#This Row],[Qty]]*_xlfn.XLOOKUP(tblSales[[#This Row],[Product Code]],tblProducts[Code],tblProducts[Unit Cost],0)</f>
        <v>4800000</v>
      </c>
      <c r="O4665" s="4" t="s">
        <v>4867</v>
      </c>
      <c r="P4665" s="4" t="s">
        <v>4860</v>
      </c>
      <c r="Q4665" s="1" t="str">
        <f>_xlfn.XLOOKUP(tblSales[[#This Row],[Channel Code]],tblChannels[Channel Code],tblChannels[Channel Name],"")</f>
        <v>In-store</v>
      </c>
      <c r="R4665" s="1">
        <f>MONTH(tblSales[[#This Row],[Date]])</f>
        <v>10</v>
      </c>
    </row>
    <row r="4666" spans="2:18" x14ac:dyDescent="0.35">
      <c r="B4666" s="113">
        <v>46305</v>
      </c>
      <c r="C4666" s="4" t="s">
        <v>3171</v>
      </c>
      <c r="D4666" s="4" t="s">
        <v>4568</v>
      </c>
      <c r="E4666" s="1" t="str">
        <f>_xlfn.XLOOKUP(tblSales[[#This Row],[Customer ID]],tblCustomers[Customer ID],tblCustomers[Customer Name],"⚠ Unknown")</f>
        <v>Walk-in Customer</v>
      </c>
      <c r="F4666" s="4" t="s">
        <v>8</v>
      </c>
      <c r="G4666" s="1" t="str">
        <f>_xlfn.XLOOKUP(tblSales[[#This Row],[Product Code]],tblProducts[Code],tblProducts[Product / Service Name],"⚠ Unknown")</f>
        <v>Casual Shorts</v>
      </c>
      <c r="H4666" s="1" t="str">
        <f>_xlfn.XLOOKUP(tblSales[[#This Row],[Product Code]],tblProducts[Code],tblProducts[Category],"")</f>
        <v>Accessories &amp; Basics</v>
      </c>
      <c r="I4666" s="4">
        <v>1</v>
      </c>
      <c r="J4666" s="5">
        <f>_xlfn.XLOOKUP(tblSales[[#This Row],[Product Code]],tblProducts[Code],tblProducts[Selling Price (excl. VAT)],0)</f>
        <v>85000</v>
      </c>
      <c r="K4666" s="5">
        <f>tblSales[[#This Row],[Qty]]*tblSales[[#This Row],[Unit Price]]</f>
        <v>85000</v>
      </c>
      <c r="L4666" s="5">
        <f>ROUND(tblSales[[#This Row],[DPP (excl. VAT)]]*VATEff,0)</f>
        <v>9350</v>
      </c>
      <c r="M4666" s="5">
        <f>tblSales[[#This Row],[DPP (excl. VAT)]]+tblSales[[#This Row],[Output VAT]]</f>
        <v>94350</v>
      </c>
      <c r="N4666" s="5">
        <f>tblSales[[#This Row],[Qty]]*_xlfn.XLOOKUP(tblSales[[#This Row],[Product Code]],tblProducts[Code],tblProducts[Unit Cost],0)</f>
        <v>50000</v>
      </c>
      <c r="O4666" s="4" t="s">
        <v>4865</v>
      </c>
      <c r="P4666" s="4" t="s">
        <v>4860</v>
      </c>
      <c r="Q4666" s="1" t="str">
        <f>_xlfn.XLOOKUP(tblSales[[#This Row],[Channel Code]],tblChannels[Channel Code],tblChannels[Channel Name],"")</f>
        <v>In-store</v>
      </c>
      <c r="R4666" s="1">
        <f>MONTH(tblSales[[#This Row],[Date]])</f>
        <v>10</v>
      </c>
    </row>
    <row r="4667" spans="2:18" x14ac:dyDescent="0.35">
      <c r="B4667" s="113">
        <v>46305</v>
      </c>
      <c r="C4667" s="4" t="s">
        <v>3172</v>
      </c>
      <c r="D4667" s="4" t="s">
        <v>4568</v>
      </c>
      <c r="E4667" s="1" t="str">
        <f>_xlfn.XLOOKUP(tblSales[[#This Row],[Customer ID]],tblCustomers[Customer ID],tblCustomers[Customer Name],"⚠ Unknown")</f>
        <v>Walk-in Customer</v>
      </c>
      <c r="F4667" s="4" t="s">
        <v>12</v>
      </c>
      <c r="G4667" s="1" t="str">
        <f>_xlfn.XLOOKUP(tblSales[[#This Row],[Product Code]],tblProducts[Code],tblProducts[Product / Service Name],"⚠ Unknown")</f>
        <v>Bomber Jacket</v>
      </c>
      <c r="H4667" s="1" t="str">
        <f>_xlfn.XLOOKUP(tblSales[[#This Row],[Product Code]],tblProducts[Code],tblProducts[Category],"")</f>
        <v>Apparel &amp; Footwear</v>
      </c>
      <c r="I4667" s="4">
        <v>6</v>
      </c>
      <c r="J4667" s="5">
        <f>_xlfn.XLOOKUP(tblSales[[#This Row],[Product Code]],tblProducts[Code],tblProducts[Selling Price (excl. VAT)],0)</f>
        <v>350000</v>
      </c>
      <c r="K4667" s="5">
        <f>tblSales[[#This Row],[Qty]]*tblSales[[#This Row],[Unit Price]]</f>
        <v>2100000</v>
      </c>
      <c r="L4667" s="5">
        <f>ROUND(tblSales[[#This Row],[DPP (excl. VAT)]]*VATEff,0)</f>
        <v>231000</v>
      </c>
      <c r="M4667" s="5">
        <f>tblSales[[#This Row],[DPP (excl. VAT)]]+tblSales[[#This Row],[Output VAT]]</f>
        <v>2331000</v>
      </c>
      <c r="N4667" s="5">
        <f>tblSales[[#This Row],[Qty]]*_xlfn.XLOOKUP(tblSales[[#This Row],[Product Code]],tblProducts[Code],tblProducts[Unit Cost],0)</f>
        <v>1260000</v>
      </c>
      <c r="O4667" s="4" t="s">
        <v>4865</v>
      </c>
      <c r="P4667" s="4" t="s">
        <v>4860</v>
      </c>
      <c r="Q4667" s="1" t="str">
        <f>_xlfn.XLOOKUP(tblSales[[#This Row],[Channel Code]],tblChannels[Channel Code],tblChannels[Channel Name],"")</f>
        <v>In-store</v>
      </c>
      <c r="R4667" s="1">
        <f>MONTH(tblSales[[#This Row],[Date]])</f>
        <v>10</v>
      </c>
    </row>
    <row r="4668" spans="2:18" x14ac:dyDescent="0.35">
      <c r="B4668" s="113">
        <v>46305</v>
      </c>
      <c r="C4668" s="4" t="s">
        <v>3173</v>
      </c>
      <c r="D4668" s="4" t="s">
        <v>4568</v>
      </c>
      <c r="E4668" s="1" t="str">
        <f>_xlfn.XLOOKUP(tblSales[[#This Row],[Customer ID]],tblCustomers[Customer ID],tblCustomers[Customer Name],"⚠ Unknown")</f>
        <v>Walk-in Customer</v>
      </c>
      <c r="F4668" s="4" t="s">
        <v>9</v>
      </c>
      <c r="G4668" s="1" t="str">
        <f>_xlfn.XLOOKUP(tblSales[[#This Row],[Product Code]],tblProducts[Code],tblProducts[Product / Service Name],"⚠ Unknown")</f>
        <v>Casual Shirt</v>
      </c>
      <c r="H4668" s="1" t="str">
        <f>_xlfn.XLOOKUP(tblSales[[#This Row],[Product Code]],tblProducts[Code],tblProducts[Category],"")</f>
        <v>Apparel &amp; Footwear</v>
      </c>
      <c r="I4668" s="4">
        <v>12</v>
      </c>
      <c r="J4668" s="5">
        <f>_xlfn.XLOOKUP(tblSales[[#This Row],[Product Code]],tblProducts[Code],tblProducts[Selling Price (excl. VAT)],0)</f>
        <v>120000</v>
      </c>
      <c r="K4668" s="5">
        <f>tblSales[[#This Row],[Qty]]*tblSales[[#This Row],[Unit Price]]</f>
        <v>1440000</v>
      </c>
      <c r="L4668" s="5">
        <f>ROUND(tblSales[[#This Row],[DPP (excl. VAT)]]*VATEff,0)</f>
        <v>158400</v>
      </c>
      <c r="M4668" s="5">
        <f>tblSales[[#This Row],[DPP (excl. VAT)]]+tblSales[[#This Row],[Output VAT]]</f>
        <v>1598400</v>
      </c>
      <c r="N4668" s="5">
        <f>tblSales[[#This Row],[Qty]]*_xlfn.XLOOKUP(tblSales[[#This Row],[Product Code]],tblProducts[Code],tblProducts[Unit Cost],0)</f>
        <v>864000</v>
      </c>
      <c r="O4668" s="4" t="s">
        <v>4866</v>
      </c>
      <c r="P4668" s="4" t="s">
        <v>4861</v>
      </c>
      <c r="Q4668" s="1" t="str">
        <f>_xlfn.XLOOKUP(tblSales[[#This Row],[Channel Code]],tblChannels[Channel Code],tblChannels[Channel Name],"")</f>
        <v>Marketplace</v>
      </c>
      <c r="R4668" s="1">
        <f>MONTH(tblSales[[#This Row],[Date]])</f>
        <v>10</v>
      </c>
    </row>
    <row r="4669" spans="2:18" x14ac:dyDescent="0.35">
      <c r="B4669" s="113">
        <v>46305</v>
      </c>
      <c r="C4669" s="4" t="s">
        <v>3174</v>
      </c>
      <c r="D4669" s="4" t="s">
        <v>4568</v>
      </c>
      <c r="E4669" s="1" t="str">
        <f>_xlfn.XLOOKUP(tblSales[[#This Row],[Customer ID]],tblCustomers[Customer ID],tblCustomers[Customer Name],"⚠ Unknown")</f>
        <v>Walk-in Customer</v>
      </c>
      <c r="F4669" s="4" t="s">
        <v>10</v>
      </c>
      <c r="G4669" s="1" t="str">
        <f>_xlfn.XLOOKUP(tblSales[[#This Row],[Product Code]],tblProducts[Code],tblProducts[Product / Service Name],"⚠ Unknown")</f>
        <v>Chino Pants</v>
      </c>
      <c r="H4669" s="1" t="str">
        <f>_xlfn.XLOOKUP(tblSales[[#This Row],[Product Code]],tblProducts[Code],tblProducts[Category],"")</f>
        <v>Apparel &amp; Footwear</v>
      </c>
      <c r="I4669" s="4">
        <v>4</v>
      </c>
      <c r="J4669" s="5">
        <f>_xlfn.XLOOKUP(tblSales[[#This Row],[Product Code]],tblProducts[Code],tblProducts[Selling Price (excl. VAT)],0)</f>
        <v>150000</v>
      </c>
      <c r="K4669" s="5">
        <f>tblSales[[#This Row],[Qty]]*tblSales[[#This Row],[Unit Price]]</f>
        <v>600000</v>
      </c>
      <c r="L4669" s="5">
        <f>ROUND(tblSales[[#This Row],[DPP (excl. VAT)]]*VATEff,0)</f>
        <v>66000</v>
      </c>
      <c r="M4669" s="5">
        <f>tblSales[[#This Row],[DPP (excl. VAT)]]+tblSales[[#This Row],[Output VAT]]</f>
        <v>666000</v>
      </c>
      <c r="N4669" s="5">
        <f>tblSales[[#This Row],[Qty]]*_xlfn.XLOOKUP(tblSales[[#This Row],[Product Code]],tblProducts[Code],tblProducts[Unit Cost],0)</f>
        <v>352000</v>
      </c>
      <c r="O4669" s="4" t="s">
        <v>4866</v>
      </c>
      <c r="P4669" s="4" t="s">
        <v>4860</v>
      </c>
      <c r="Q4669" s="1" t="str">
        <f>_xlfn.XLOOKUP(tblSales[[#This Row],[Channel Code]],tblChannels[Channel Code],tblChannels[Channel Name],"")</f>
        <v>In-store</v>
      </c>
      <c r="R4669" s="1">
        <f>MONTH(tblSales[[#This Row],[Date]])</f>
        <v>10</v>
      </c>
    </row>
    <row r="4670" spans="2:18" x14ac:dyDescent="0.35">
      <c r="B4670" s="113">
        <v>46305</v>
      </c>
      <c r="C4670" s="4" t="s">
        <v>3174</v>
      </c>
      <c r="D4670" s="4" t="s">
        <v>4568</v>
      </c>
      <c r="E4670" s="1" t="str">
        <f>_xlfn.XLOOKUP(tblSales[[#This Row],[Customer ID]],tblCustomers[Customer ID],tblCustomers[Customer Name],"⚠ Unknown")</f>
        <v>Walk-in Customer</v>
      </c>
      <c r="F4670" s="4" t="s">
        <v>14</v>
      </c>
      <c r="G4670" s="1" t="str">
        <f>_xlfn.XLOOKUP(tblSales[[#This Row],[Product Code]],tblProducts[Code],tblProducts[Product / Service Name],"⚠ Unknown")</f>
        <v>Smartwatch</v>
      </c>
      <c r="H4670" s="1" t="str">
        <f>_xlfn.XLOOKUP(tblSales[[#This Row],[Product Code]],tblProducts[Code],tblProducts[Category],"")</f>
        <v>Bags &amp; Gadgets</v>
      </c>
      <c r="I4670" s="4">
        <v>2</v>
      </c>
      <c r="J4670" s="5">
        <f>_xlfn.XLOOKUP(tblSales[[#This Row],[Product Code]],tblProducts[Code],tblProducts[Selling Price (excl. VAT)],0)</f>
        <v>850000</v>
      </c>
      <c r="K4670" s="5">
        <f>tblSales[[#This Row],[Qty]]*tblSales[[#This Row],[Unit Price]]</f>
        <v>1700000</v>
      </c>
      <c r="L4670" s="5">
        <f>ROUND(tblSales[[#This Row],[DPP (excl. VAT)]]*VATEff,0)</f>
        <v>187000</v>
      </c>
      <c r="M4670" s="5">
        <f>tblSales[[#This Row],[DPP (excl. VAT)]]+tblSales[[#This Row],[Output VAT]]</f>
        <v>1887000</v>
      </c>
      <c r="N4670" s="5">
        <f>tblSales[[#This Row],[Qty]]*_xlfn.XLOOKUP(tblSales[[#This Row],[Product Code]],tblProducts[Code],tblProducts[Unit Cost],0)</f>
        <v>1120000</v>
      </c>
      <c r="O4670" s="4" t="s">
        <v>4866</v>
      </c>
      <c r="P4670" s="4" t="s">
        <v>4860</v>
      </c>
      <c r="Q4670" s="1" t="str">
        <f>_xlfn.XLOOKUP(tblSales[[#This Row],[Channel Code]],tblChannels[Channel Code],tblChannels[Channel Name],"")</f>
        <v>In-store</v>
      </c>
      <c r="R4670" s="1">
        <f>MONTH(tblSales[[#This Row],[Date]])</f>
        <v>10</v>
      </c>
    </row>
    <row r="4671" spans="2:18" x14ac:dyDescent="0.35">
      <c r="B4671" s="113">
        <v>46306</v>
      </c>
      <c r="C4671" s="4" t="s">
        <v>3175</v>
      </c>
      <c r="D4671" s="4" t="s">
        <v>4568</v>
      </c>
      <c r="E4671" s="1" t="str">
        <f>_xlfn.XLOOKUP(tblSales[[#This Row],[Customer ID]],tblCustomers[Customer ID],tblCustomers[Customer Name],"⚠ Unknown")</f>
        <v>Walk-in Customer</v>
      </c>
      <c r="F4671" s="4" t="s">
        <v>14</v>
      </c>
      <c r="G4671" s="1" t="str">
        <f>_xlfn.XLOOKUP(tblSales[[#This Row],[Product Code]],tblProducts[Code],tblProducts[Product / Service Name],"⚠ Unknown")</f>
        <v>Smartwatch</v>
      </c>
      <c r="H4671" s="1" t="str">
        <f>_xlfn.XLOOKUP(tblSales[[#This Row],[Product Code]],tblProducts[Code],tblProducts[Category],"")</f>
        <v>Bags &amp; Gadgets</v>
      </c>
      <c r="I4671" s="4">
        <v>2</v>
      </c>
      <c r="J4671" s="5">
        <f>_xlfn.XLOOKUP(tblSales[[#This Row],[Product Code]],tblProducts[Code],tblProducts[Selling Price (excl. VAT)],0)</f>
        <v>850000</v>
      </c>
      <c r="K4671" s="5">
        <f>tblSales[[#This Row],[Qty]]*tblSales[[#This Row],[Unit Price]]</f>
        <v>1700000</v>
      </c>
      <c r="L4671" s="5">
        <f>ROUND(tblSales[[#This Row],[DPP (excl. VAT)]]*VATEff,0)</f>
        <v>187000</v>
      </c>
      <c r="M4671" s="5">
        <f>tblSales[[#This Row],[DPP (excl. VAT)]]+tblSales[[#This Row],[Output VAT]]</f>
        <v>1887000</v>
      </c>
      <c r="N4671" s="5">
        <f>tblSales[[#This Row],[Qty]]*_xlfn.XLOOKUP(tblSales[[#This Row],[Product Code]],tblProducts[Code],tblProducts[Unit Cost],0)</f>
        <v>1120000</v>
      </c>
      <c r="O4671" s="4" t="s">
        <v>4866</v>
      </c>
      <c r="P4671" s="4" t="s">
        <v>4861</v>
      </c>
      <c r="Q4671" s="1" t="str">
        <f>_xlfn.XLOOKUP(tblSales[[#This Row],[Channel Code]],tblChannels[Channel Code],tblChannels[Channel Name],"")</f>
        <v>Marketplace</v>
      </c>
      <c r="R4671" s="1">
        <f>MONTH(tblSales[[#This Row],[Date]])</f>
        <v>10</v>
      </c>
    </row>
    <row r="4672" spans="2:18" x14ac:dyDescent="0.35">
      <c r="B4672" s="113">
        <v>46306</v>
      </c>
      <c r="C4672" s="4" t="s">
        <v>3176</v>
      </c>
      <c r="D4672" s="4" t="s">
        <v>4620</v>
      </c>
      <c r="E4672" s="1" t="str">
        <f>_xlfn.XLOOKUP(tblSales[[#This Row],[Customer ID]],tblCustomers[Customer ID],tblCustomers[Customer Name],"⚠ Unknown")</f>
        <v>CV Sumber Rejeki Utama</v>
      </c>
      <c r="F4672" s="4" t="s">
        <v>8</v>
      </c>
      <c r="G4672" s="1" t="str">
        <f>_xlfn.XLOOKUP(tblSales[[#This Row],[Product Code]],tblProducts[Code],tblProducts[Product / Service Name],"⚠ Unknown")</f>
        <v>Casual Shorts</v>
      </c>
      <c r="H4672" s="1" t="str">
        <f>_xlfn.XLOOKUP(tblSales[[#This Row],[Product Code]],tblProducts[Code],tblProducts[Category],"")</f>
        <v>Accessories &amp; Basics</v>
      </c>
      <c r="I4672" s="4">
        <v>16</v>
      </c>
      <c r="J4672" s="5">
        <f>_xlfn.XLOOKUP(tblSales[[#This Row],[Product Code]],tblProducts[Code],tblProducts[Selling Price (excl. VAT)],0)</f>
        <v>85000</v>
      </c>
      <c r="K4672" s="5">
        <f>tblSales[[#This Row],[Qty]]*tblSales[[#This Row],[Unit Price]]</f>
        <v>1360000</v>
      </c>
      <c r="L4672" s="5">
        <f>ROUND(tblSales[[#This Row],[DPP (excl. VAT)]]*VATEff,0)</f>
        <v>149600</v>
      </c>
      <c r="M4672" s="5">
        <f>tblSales[[#This Row],[DPP (excl. VAT)]]+tblSales[[#This Row],[Output VAT]]</f>
        <v>1509600</v>
      </c>
      <c r="N4672" s="5">
        <f>tblSales[[#This Row],[Qty]]*_xlfn.XLOOKUP(tblSales[[#This Row],[Product Code]],tblProducts[Code],tblProducts[Unit Cost],0)</f>
        <v>800000</v>
      </c>
      <c r="O4672" s="4" t="s">
        <v>4867</v>
      </c>
      <c r="P4672" s="4" t="s">
        <v>4860</v>
      </c>
      <c r="Q4672" s="1" t="str">
        <f>_xlfn.XLOOKUP(tblSales[[#This Row],[Channel Code]],tblChannels[Channel Code],tblChannels[Channel Name],"")</f>
        <v>In-store</v>
      </c>
      <c r="R4672" s="1">
        <f>MONTH(tblSales[[#This Row],[Date]])</f>
        <v>10</v>
      </c>
    </row>
    <row r="4673" spans="2:18" x14ac:dyDescent="0.35">
      <c r="B4673" s="113">
        <v>46306</v>
      </c>
      <c r="C4673" s="4" t="s">
        <v>3177</v>
      </c>
      <c r="D4673" s="4" t="s">
        <v>4568</v>
      </c>
      <c r="E4673" s="1" t="str">
        <f>_xlfn.XLOOKUP(tblSales[[#This Row],[Customer ID]],tblCustomers[Customer ID],tblCustomers[Customer Name],"⚠ Unknown")</f>
        <v>Walk-in Customer</v>
      </c>
      <c r="F4673" s="4" t="s">
        <v>6</v>
      </c>
      <c r="G4673" s="1" t="str">
        <f>_xlfn.XLOOKUP(tblSales[[#This Row],[Product Code]],tblProducts[Code],tblProducts[Product / Service Name],"⚠ Unknown")</f>
        <v>Socks &amp; Accessories</v>
      </c>
      <c r="H4673" s="1" t="str">
        <f>_xlfn.XLOOKUP(tblSales[[#This Row],[Product Code]],tblProducts[Code],tblProducts[Category],"")</f>
        <v>Accessories &amp; Basics</v>
      </c>
      <c r="I4673" s="4">
        <v>10</v>
      </c>
      <c r="J4673" s="5">
        <f>_xlfn.XLOOKUP(tblSales[[#This Row],[Product Code]],tblProducts[Code],tblProducts[Selling Price (excl. VAT)],0)</f>
        <v>45000</v>
      </c>
      <c r="K4673" s="5">
        <f>tblSales[[#This Row],[Qty]]*tblSales[[#This Row],[Unit Price]]</f>
        <v>450000</v>
      </c>
      <c r="L4673" s="5">
        <f>ROUND(tblSales[[#This Row],[DPP (excl. VAT)]]*VATEff,0)</f>
        <v>49500</v>
      </c>
      <c r="M4673" s="5">
        <f>tblSales[[#This Row],[DPP (excl. VAT)]]+tblSales[[#This Row],[Output VAT]]</f>
        <v>499500</v>
      </c>
      <c r="N4673" s="5">
        <f>tblSales[[#This Row],[Qty]]*_xlfn.XLOOKUP(tblSales[[#This Row],[Product Code]],tblProducts[Code],tblProducts[Unit Cost],0)</f>
        <v>240000</v>
      </c>
      <c r="O4673" s="4" t="s">
        <v>4866</v>
      </c>
      <c r="P4673" s="4" t="s">
        <v>4860</v>
      </c>
      <c r="Q4673" s="1" t="str">
        <f>_xlfn.XLOOKUP(tblSales[[#This Row],[Channel Code]],tblChannels[Channel Code],tblChannels[Channel Name],"")</f>
        <v>In-store</v>
      </c>
      <c r="R4673" s="1">
        <f>MONTH(tblSales[[#This Row],[Date]])</f>
        <v>10</v>
      </c>
    </row>
    <row r="4674" spans="2:18" x14ac:dyDescent="0.35">
      <c r="B4674" s="113">
        <v>46306</v>
      </c>
      <c r="C4674" s="4" t="s">
        <v>3178</v>
      </c>
      <c r="D4674" s="4" t="s">
        <v>4568</v>
      </c>
      <c r="E4674" s="1" t="str">
        <f>_xlfn.XLOOKUP(tblSales[[#This Row],[Customer ID]],tblCustomers[Customer ID],tblCustomers[Customer Name],"⚠ Unknown")</f>
        <v>Walk-in Customer</v>
      </c>
      <c r="F4674" s="4" t="s">
        <v>7</v>
      </c>
      <c r="G4674" s="1" t="str">
        <f>_xlfn.XLOOKUP(tblSales[[#This Row],[Product Code]],tblProducts[Code],tblProducts[Product / Service Name],"⚠ Unknown")</f>
        <v>Premium Basic T-shirt</v>
      </c>
      <c r="H4674" s="1" t="str">
        <f>_xlfn.XLOOKUP(tblSales[[#This Row],[Product Code]],tblProducts[Code],tblProducts[Category],"")</f>
        <v>Accessories &amp; Basics</v>
      </c>
      <c r="I4674" s="4">
        <v>9</v>
      </c>
      <c r="J4674" s="5">
        <f>_xlfn.XLOOKUP(tblSales[[#This Row],[Product Code]],tblProducts[Code],tblProducts[Selling Price (excl. VAT)],0)</f>
        <v>65000</v>
      </c>
      <c r="K4674" s="5">
        <f>tblSales[[#This Row],[Qty]]*tblSales[[#This Row],[Unit Price]]</f>
        <v>585000</v>
      </c>
      <c r="L4674" s="5">
        <f>ROUND(tblSales[[#This Row],[DPP (excl. VAT)]]*VATEff,0)</f>
        <v>64350</v>
      </c>
      <c r="M4674" s="5">
        <f>tblSales[[#This Row],[DPP (excl. VAT)]]+tblSales[[#This Row],[Output VAT]]</f>
        <v>649350</v>
      </c>
      <c r="N4674" s="5">
        <f>tblSales[[#This Row],[Qty]]*_xlfn.XLOOKUP(tblSales[[#This Row],[Product Code]],tblProducts[Code],tblProducts[Unit Cost],0)</f>
        <v>333000</v>
      </c>
      <c r="O4674" s="4" t="s">
        <v>4865</v>
      </c>
      <c r="P4674" s="4" t="s">
        <v>4860</v>
      </c>
      <c r="Q4674" s="1" t="str">
        <f>_xlfn.XLOOKUP(tblSales[[#This Row],[Channel Code]],tblChannels[Channel Code],tblChannels[Channel Name],"")</f>
        <v>In-store</v>
      </c>
      <c r="R4674" s="1">
        <f>MONTH(tblSales[[#This Row],[Date]])</f>
        <v>10</v>
      </c>
    </row>
    <row r="4675" spans="2:18" x14ac:dyDescent="0.35">
      <c r="B4675" s="113">
        <v>46306</v>
      </c>
      <c r="C4675" s="4" t="s">
        <v>3179</v>
      </c>
      <c r="D4675" s="4" t="s">
        <v>4568</v>
      </c>
      <c r="E4675" s="1" t="str">
        <f>_xlfn.XLOOKUP(tblSales[[#This Row],[Customer ID]],tblCustomers[Customer ID],tblCustomers[Customer Name],"⚠ Unknown")</f>
        <v>Walk-in Customer</v>
      </c>
      <c r="F4675" s="4" t="s">
        <v>10</v>
      </c>
      <c r="G4675" s="1" t="str">
        <f>_xlfn.XLOOKUP(tblSales[[#This Row],[Product Code]],tblProducts[Code],tblProducts[Product / Service Name],"⚠ Unknown")</f>
        <v>Chino Pants</v>
      </c>
      <c r="H4675" s="1" t="str">
        <f>_xlfn.XLOOKUP(tblSales[[#This Row],[Product Code]],tblProducts[Code],tblProducts[Category],"")</f>
        <v>Apparel &amp; Footwear</v>
      </c>
      <c r="I4675" s="4">
        <v>10</v>
      </c>
      <c r="J4675" s="5">
        <f>_xlfn.XLOOKUP(tblSales[[#This Row],[Product Code]],tblProducts[Code],tblProducts[Selling Price (excl. VAT)],0)</f>
        <v>150000</v>
      </c>
      <c r="K4675" s="5">
        <f>tblSales[[#This Row],[Qty]]*tblSales[[#This Row],[Unit Price]]</f>
        <v>1500000</v>
      </c>
      <c r="L4675" s="5">
        <f>ROUND(tblSales[[#This Row],[DPP (excl. VAT)]]*VATEff,0)</f>
        <v>165000</v>
      </c>
      <c r="M4675" s="5">
        <f>tblSales[[#This Row],[DPP (excl. VAT)]]+tblSales[[#This Row],[Output VAT]]</f>
        <v>1665000</v>
      </c>
      <c r="N4675" s="5">
        <f>tblSales[[#This Row],[Qty]]*_xlfn.XLOOKUP(tblSales[[#This Row],[Product Code]],tblProducts[Code],tblProducts[Unit Cost],0)</f>
        <v>880000</v>
      </c>
      <c r="O4675" s="4" t="s">
        <v>4866</v>
      </c>
      <c r="P4675" s="4" t="s">
        <v>4862</v>
      </c>
      <c r="Q4675" s="1" t="str">
        <f>_xlfn.XLOOKUP(tblSales[[#This Row],[Channel Code]],tblChannels[Channel Code],tblChannels[Channel Name],"")</f>
        <v>Website &amp; Social Media</v>
      </c>
      <c r="R4675" s="1">
        <f>MONTH(tblSales[[#This Row],[Date]])</f>
        <v>10</v>
      </c>
    </row>
    <row r="4676" spans="2:18" x14ac:dyDescent="0.35">
      <c r="B4676" s="113">
        <v>46306</v>
      </c>
      <c r="C4676" s="4" t="s">
        <v>3180</v>
      </c>
      <c r="D4676" s="4" t="s">
        <v>4641</v>
      </c>
      <c r="E4676" s="1" t="str">
        <f>_xlfn.XLOOKUP(tblSales[[#This Row],[Customer ID]],tblCustomers[Customer ID],tblCustomers[Customer Name],"⚠ Unknown")</f>
        <v>PT Harmoni Pangan Lestari</v>
      </c>
      <c r="F4676" s="4" t="s">
        <v>13</v>
      </c>
      <c r="G4676" s="1" t="str">
        <f>_xlfn.XLOOKUP(tblSales[[#This Row],[Product Code]],tblProducts[Code],tblProducts[Product / Service Name],"⚠ Unknown")</f>
        <v>Backpack</v>
      </c>
      <c r="H4676" s="1" t="str">
        <f>_xlfn.XLOOKUP(tblSales[[#This Row],[Product Code]],tblProducts[Code],tblProducts[Category],"")</f>
        <v>Bags &amp; Gadgets</v>
      </c>
      <c r="I4676" s="4">
        <v>24</v>
      </c>
      <c r="J4676" s="5">
        <f>_xlfn.XLOOKUP(tblSales[[#This Row],[Product Code]],tblProducts[Code],tblProducts[Selling Price (excl. VAT)],0)</f>
        <v>500000</v>
      </c>
      <c r="K4676" s="5">
        <f>tblSales[[#This Row],[Qty]]*tblSales[[#This Row],[Unit Price]]</f>
        <v>12000000</v>
      </c>
      <c r="L4676" s="5">
        <f>ROUND(tblSales[[#This Row],[DPP (excl. VAT)]]*VATEff,0)</f>
        <v>1320000</v>
      </c>
      <c r="M4676" s="5">
        <f>tblSales[[#This Row],[DPP (excl. VAT)]]+tblSales[[#This Row],[Output VAT]]</f>
        <v>13320000</v>
      </c>
      <c r="N4676" s="5">
        <f>tblSales[[#This Row],[Qty]]*_xlfn.XLOOKUP(tblSales[[#This Row],[Product Code]],tblProducts[Code],tblProducts[Unit Cost],0)</f>
        <v>6960000</v>
      </c>
      <c r="O4676" s="4" t="s">
        <v>4867</v>
      </c>
      <c r="P4676" s="4" t="s">
        <v>4860</v>
      </c>
      <c r="Q4676" s="1" t="str">
        <f>_xlfn.XLOOKUP(tblSales[[#This Row],[Channel Code]],tblChannels[Channel Code],tblChannels[Channel Name],"")</f>
        <v>In-store</v>
      </c>
      <c r="R4676" s="1">
        <f>MONTH(tblSales[[#This Row],[Date]])</f>
        <v>10</v>
      </c>
    </row>
    <row r="4677" spans="2:18" x14ac:dyDescent="0.35">
      <c r="B4677" s="113">
        <v>46306</v>
      </c>
      <c r="C4677" s="4" t="s">
        <v>3181</v>
      </c>
      <c r="D4677" s="4" t="s">
        <v>4613</v>
      </c>
      <c r="E4677" s="1" t="str">
        <f>_xlfn.XLOOKUP(tblSales[[#This Row],[Customer ID]],tblCustomers[Customer ID],tblCustomers[Customer Name],"⚠ Unknown")</f>
        <v>PT Mega Prima Distribusi</v>
      </c>
      <c r="F4677" s="4" t="s">
        <v>9</v>
      </c>
      <c r="G4677" s="1" t="str">
        <f>_xlfn.XLOOKUP(tblSales[[#This Row],[Product Code]],tblProducts[Code],tblProducts[Product / Service Name],"⚠ Unknown")</f>
        <v>Casual Shirt</v>
      </c>
      <c r="H4677" s="1" t="str">
        <f>_xlfn.XLOOKUP(tblSales[[#This Row],[Product Code]],tblProducts[Code],tblProducts[Category],"")</f>
        <v>Apparel &amp; Footwear</v>
      </c>
      <c r="I4677" s="4">
        <v>24</v>
      </c>
      <c r="J4677" s="5">
        <f>_xlfn.XLOOKUP(tblSales[[#This Row],[Product Code]],tblProducts[Code],tblProducts[Selling Price (excl. VAT)],0)</f>
        <v>120000</v>
      </c>
      <c r="K4677" s="5">
        <f>tblSales[[#This Row],[Qty]]*tblSales[[#This Row],[Unit Price]]</f>
        <v>2880000</v>
      </c>
      <c r="L4677" s="5">
        <f>ROUND(tblSales[[#This Row],[DPP (excl. VAT)]]*VATEff,0)</f>
        <v>316800</v>
      </c>
      <c r="M4677" s="5">
        <f>tblSales[[#This Row],[DPP (excl. VAT)]]+tblSales[[#This Row],[Output VAT]]</f>
        <v>3196800</v>
      </c>
      <c r="N4677" s="5">
        <f>tblSales[[#This Row],[Qty]]*_xlfn.XLOOKUP(tblSales[[#This Row],[Product Code]],tblProducts[Code],tblProducts[Unit Cost],0)</f>
        <v>1728000</v>
      </c>
      <c r="O4677" s="4" t="s">
        <v>4867</v>
      </c>
      <c r="P4677" s="4" t="s">
        <v>4860</v>
      </c>
      <c r="Q4677" s="1" t="str">
        <f>_xlfn.XLOOKUP(tblSales[[#This Row],[Channel Code]],tblChannels[Channel Code],tblChannels[Channel Name],"")</f>
        <v>In-store</v>
      </c>
      <c r="R4677" s="1">
        <f>MONTH(tblSales[[#This Row],[Date]])</f>
        <v>10</v>
      </c>
    </row>
    <row r="4678" spans="2:18" x14ac:dyDescent="0.35">
      <c r="B4678" s="113">
        <v>46306</v>
      </c>
      <c r="C4678" s="4" t="s">
        <v>3182</v>
      </c>
      <c r="D4678" s="4" t="s">
        <v>4578</v>
      </c>
      <c r="E4678" s="1" t="str">
        <f>_xlfn.XLOOKUP(tblSales[[#This Row],[Customer ID]],tblCustomers[Customer ID],tblCustomers[Customer Name],"⚠ Unknown")</f>
        <v>PT Bintang Timur Sejahtera</v>
      </c>
      <c r="F4678" s="4" t="s">
        <v>10</v>
      </c>
      <c r="G4678" s="1" t="str">
        <f>_xlfn.XLOOKUP(tblSales[[#This Row],[Product Code]],tblProducts[Code],tblProducts[Product / Service Name],"⚠ Unknown")</f>
        <v>Chino Pants</v>
      </c>
      <c r="H4678" s="1" t="str">
        <f>_xlfn.XLOOKUP(tblSales[[#This Row],[Product Code]],tblProducts[Code],tblProducts[Category],"")</f>
        <v>Apparel &amp; Footwear</v>
      </c>
      <c r="I4678" s="4">
        <v>24</v>
      </c>
      <c r="J4678" s="5">
        <f>_xlfn.XLOOKUP(tblSales[[#This Row],[Product Code]],tblProducts[Code],tblProducts[Selling Price (excl. VAT)],0)</f>
        <v>150000</v>
      </c>
      <c r="K4678" s="5">
        <f>tblSales[[#This Row],[Qty]]*tblSales[[#This Row],[Unit Price]]</f>
        <v>3600000</v>
      </c>
      <c r="L4678" s="5">
        <f>ROUND(tblSales[[#This Row],[DPP (excl. VAT)]]*VATEff,0)</f>
        <v>396000</v>
      </c>
      <c r="M4678" s="5">
        <f>tblSales[[#This Row],[DPP (excl. VAT)]]+tblSales[[#This Row],[Output VAT]]</f>
        <v>3996000</v>
      </c>
      <c r="N4678" s="5">
        <f>tblSales[[#This Row],[Qty]]*_xlfn.XLOOKUP(tblSales[[#This Row],[Product Code]],tblProducts[Code],tblProducts[Unit Cost],0)</f>
        <v>2112000</v>
      </c>
      <c r="O4678" s="4" t="s">
        <v>4867</v>
      </c>
      <c r="P4678" s="4" t="s">
        <v>4860</v>
      </c>
      <c r="Q4678" s="1" t="str">
        <f>_xlfn.XLOOKUP(tblSales[[#This Row],[Channel Code]],tblChannels[Channel Code],tblChannels[Channel Name],"")</f>
        <v>In-store</v>
      </c>
      <c r="R4678" s="1">
        <f>MONTH(tblSales[[#This Row],[Date]])</f>
        <v>10</v>
      </c>
    </row>
    <row r="4679" spans="2:18" x14ac:dyDescent="0.35">
      <c r="B4679" s="113">
        <v>46306</v>
      </c>
      <c r="C4679" s="4" t="s">
        <v>3183</v>
      </c>
      <c r="D4679" s="4" t="s">
        <v>4568</v>
      </c>
      <c r="E4679" s="1" t="str">
        <f>_xlfn.XLOOKUP(tblSales[[#This Row],[Customer ID]],tblCustomers[Customer ID],tblCustomers[Customer Name],"⚠ Unknown")</f>
        <v>Walk-in Customer</v>
      </c>
      <c r="F4679" s="4" t="s">
        <v>9</v>
      </c>
      <c r="G4679" s="1" t="str">
        <f>_xlfn.XLOOKUP(tblSales[[#This Row],[Product Code]],tblProducts[Code],tblProducts[Product / Service Name],"⚠ Unknown")</f>
        <v>Casual Shirt</v>
      </c>
      <c r="H4679" s="1" t="str">
        <f>_xlfn.XLOOKUP(tblSales[[#This Row],[Product Code]],tblProducts[Code],tblProducts[Category],"")</f>
        <v>Apparel &amp; Footwear</v>
      </c>
      <c r="I4679" s="4">
        <v>10</v>
      </c>
      <c r="J4679" s="5">
        <f>_xlfn.XLOOKUP(tblSales[[#This Row],[Product Code]],tblProducts[Code],tblProducts[Selling Price (excl. VAT)],0)</f>
        <v>120000</v>
      </c>
      <c r="K4679" s="5">
        <f>tblSales[[#This Row],[Qty]]*tblSales[[#This Row],[Unit Price]]</f>
        <v>1200000</v>
      </c>
      <c r="L4679" s="5">
        <f>ROUND(tblSales[[#This Row],[DPP (excl. VAT)]]*VATEff,0)</f>
        <v>132000</v>
      </c>
      <c r="M4679" s="5">
        <f>tblSales[[#This Row],[DPP (excl. VAT)]]+tblSales[[#This Row],[Output VAT]]</f>
        <v>1332000</v>
      </c>
      <c r="N4679" s="5">
        <f>tblSales[[#This Row],[Qty]]*_xlfn.XLOOKUP(tblSales[[#This Row],[Product Code]],tblProducts[Code],tblProducts[Unit Cost],0)</f>
        <v>720000</v>
      </c>
      <c r="O4679" s="4" t="s">
        <v>4866</v>
      </c>
      <c r="P4679" s="4" t="s">
        <v>4860</v>
      </c>
      <c r="Q4679" s="1" t="str">
        <f>_xlfn.XLOOKUP(tblSales[[#This Row],[Channel Code]],tblChannels[Channel Code],tblChannels[Channel Name],"")</f>
        <v>In-store</v>
      </c>
      <c r="R4679" s="1">
        <f>MONTH(tblSales[[#This Row],[Date]])</f>
        <v>10</v>
      </c>
    </row>
    <row r="4680" spans="2:18" x14ac:dyDescent="0.35">
      <c r="B4680" s="113">
        <v>46306</v>
      </c>
      <c r="C4680" s="4" t="s">
        <v>3184</v>
      </c>
      <c r="D4680" s="4" t="s">
        <v>4568</v>
      </c>
      <c r="E4680" s="1" t="str">
        <f>_xlfn.XLOOKUP(tblSales[[#This Row],[Customer ID]],tblCustomers[Customer ID],tblCustomers[Customer Name],"⚠ Unknown")</f>
        <v>Walk-in Customer</v>
      </c>
      <c r="F4680" s="4" t="s">
        <v>13</v>
      </c>
      <c r="G4680" s="1" t="str">
        <f>_xlfn.XLOOKUP(tblSales[[#This Row],[Product Code]],tblProducts[Code],tblProducts[Product / Service Name],"⚠ Unknown")</f>
        <v>Backpack</v>
      </c>
      <c r="H4680" s="1" t="str">
        <f>_xlfn.XLOOKUP(tblSales[[#This Row],[Product Code]],tblProducts[Code],tblProducts[Category],"")</f>
        <v>Bags &amp; Gadgets</v>
      </c>
      <c r="I4680" s="4">
        <v>5</v>
      </c>
      <c r="J4680" s="5">
        <f>_xlfn.XLOOKUP(tblSales[[#This Row],[Product Code]],tblProducts[Code],tblProducts[Selling Price (excl. VAT)],0)</f>
        <v>500000</v>
      </c>
      <c r="K4680" s="5">
        <f>tblSales[[#This Row],[Qty]]*tblSales[[#This Row],[Unit Price]]</f>
        <v>2500000</v>
      </c>
      <c r="L4680" s="5">
        <f>ROUND(tblSales[[#This Row],[DPP (excl. VAT)]]*VATEff,0)</f>
        <v>275000</v>
      </c>
      <c r="M4680" s="5">
        <f>tblSales[[#This Row],[DPP (excl. VAT)]]+tblSales[[#This Row],[Output VAT]]</f>
        <v>2775000</v>
      </c>
      <c r="N4680" s="5">
        <f>tblSales[[#This Row],[Qty]]*_xlfn.XLOOKUP(tblSales[[#This Row],[Product Code]],tblProducts[Code],tblProducts[Unit Cost],0)</f>
        <v>1450000</v>
      </c>
      <c r="O4680" s="4" t="s">
        <v>4866</v>
      </c>
      <c r="P4680" s="4" t="s">
        <v>4861</v>
      </c>
      <c r="Q4680" s="1" t="str">
        <f>_xlfn.XLOOKUP(tblSales[[#This Row],[Channel Code]],tblChannels[Channel Code],tblChannels[Channel Name],"")</f>
        <v>Marketplace</v>
      </c>
      <c r="R4680" s="1">
        <f>MONTH(tblSales[[#This Row],[Date]])</f>
        <v>10</v>
      </c>
    </row>
    <row r="4681" spans="2:18" x14ac:dyDescent="0.35">
      <c r="B4681" s="113">
        <v>46306</v>
      </c>
      <c r="C4681" s="4" t="s">
        <v>3185</v>
      </c>
      <c r="D4681" s="4" t="s">
        <v>4613</v>
      </c>
      <c r="E4681" s="1" t="str">
        <f>_xlfn.XLOOKUP(tblSales[[#This Row],[Customer ID]],tblCustomers[Customer ID],tblCustomers[Customer Name],"⚠ Unknown")</f>
        <v>PT Mega Prima Distribusi</v>
      </c>
      <c r="F4681" s="4" t="s">
        <v>6</v>
      </c>
      <c r="G4681" s="1" t="str">
        <f>_xlfn.XLOOKUP(tblSales[[#This Row],[Product Code]],tblProducts[Code],tblProducts[Product / Service Name],"⚠ Unknown")</f>
        <v>Socks &amp; Accessories</v>
      </c>
      <c r="H4681" s="1" t="str">
        <f>_xlfn.XLOOKUP(tblSales[[#This Row],[Product Code]],tblProducts[Code],tblProducts[Category],"")</f>
        <v>Accessories &amp; Basics</v>
      </c>
      <c r="I4681" s="4">
        <v>64</v>
      </c>
      <c r="J4681" s="5">
        <f>_xlfn.XLOOKUP(tblSales[[#This Row],[Product Code]],tblProducts[Code],tblProducts[Selling Price (excl. VAT)],0)</f>
        <v>45000</v>
      </c>
      <c r="K4681" s="5">
        <f>tblSales[[#This Row],[Qty]]*tblSales[[#This Row],[Unit Price]]</f>
        <v>2880000</v>
      </c>
      <c r="L4681" s="5">
        <f>ROUND(tblSales[[#This Row],[DPP (excl. VAT)]]*VATEff,0)</f>
        <v>316800</v>
      </c>
      <c r="M4681" s="5">
        <f>tblSales[[#This Row],[DPP (excl. VAT)]]+tblSales[[#This Row],[Output VAT]]</f>
        <v>3196800</v>
      </c>
      <c r="N4681" s="5">
        <f>tblSales[[#This Row],[Qty]]*_xlfn.XLOOKUP(tblSales[[#This Row],[Product Code]],tblProducts[Code],tblProducts[Unit Cost],0)</f>
        <v>1536000</v>
      </c>
      <c r="O4681" s="4" t="s">
        <v>4867</v>
      </c>
      <c r="P4681" s="4" t="s">
        <v>4862</v>
      </c>
      <c r="Q4681" s="1" t="str">
        <f>_xlfn.XLOOKUP(tblSales[[#This Row],[Channel Code]],tblChannels[Channel Code],tblChannels[Channel Name],"")</f>
        <v>Website &amp; Social Media</v>
      </c>
      <c r="R4681" s="1">
        <f>MONTH(tblSales[[#This Row],[Date]])</f>
        <v>10</v>
      </c>
    </row>
    <row r="4682" spans="2:18" x14ac:dyDescent="0.35">
      <c r="B4682" s="113">
        <v>46306</v>
      </c>
      <c r="C4682" s="4" t="s">
        <v>3186</v>
      </c>
      <c r="D4682" s="4" t="s">
        <v>4568</v>
      </c>
      <c r="E4682" s="1" t="str">
        <f>_xlfn.XLOOKUP(tblSales[[#This Row],[Customer ID]],tblCustomers[Customer ID],tblCustomers[Customer Name],"⚠ Unknown")</f>
        <v>Walk-in Customer</v>
      </c>
      <c r="F4682" s="4" t="s">
        <v>10</v>
      </c>
      <c r="G4682" s="1" t="str">
        <f>_xlfn.XLOOKUP(tblSales[[#This Row],[Product Code]],tblProducts[Code],tblProducts[Product / Service Name],"⚠ Unknown")</f>
        <v>Chino Pants</v>
      </c>
      <c r="H4682" s="1" t="str">
        <f>_xlfn.XLOOKUP(tblSales[[#This Row],[Product Code]],tblProducts[Code],tblProducts[Category],"")</f>
        <v>Apparel &amp; Footwear</v>
      </c>
      <c r="I4682" s="4">
        <v>7</v>
      </c>
      <c r="J4682" s="5">
        <f>_xlfn.XLOOKUP(tblSales[[#This Row],[Product Code]],tblProducts[Code],tblProducts[Selling Price (excl. VAT)],0)</f>
        <v>150000</v>
      </c>
      <c r="K4682" s="5">
        <f>tblSales[[#This Row],[Qty]]*tblSales[[#This Row],[Unit Price]]</f>
        <v>1050000</v>
      </c>
      <c r="L4682" s="5">
        <f>ROUND(tblSales[[#This Row],[DPP (excl. VAT)]]*VATEff,0)</f>
        <v>115500</v>
      </c>
      <c r="M4682" s="5">
        <f>tblSales[[#This Row],[DPP (excl. VAT)]]+tblSales[[#This Row],[Output VAT]]</f>
        <v>1165500</v>
      </c>
      <c r="N4682" s="5">
        <f>tblSales[[#This Row],[Qty]]*_xlfn.XLOOKUP(tblSales[[#This Row],[Product Code]],tblProducts[Code],tblProducts[Unit Cost],0)</f>
        <v>616000</v>
      </c>
      <c r="O4682" s="4" t="s">
        <v>4866</v>
      </c>
      <c r="P4682" s="4" t="s">
        <v>4861</v>
      </c>
      <c r="Q4682" s="1" t="str">
        <f>_xlfn.XLOOKUP(tblSales[[#This Row],[Channel Code]],tblChannels[Channel Code],tblChannels[Channel Name],"")</f>
        <v>Marketplace</v>
      </c>
      <c r="R4682" s="1">
        <f>MONTH(tblSales[[#This Row],[Date]])</f>
        <v>10</v>
      </c>
    </row>
    <row r="4683" spans="2:18" x14ac:dyDescent="0.35">
      <c r="B4683" s="113">
        <v>46306</v>
      </c>
      <c r="C4683" s="4" t="s">
        <v>3187</v>
      </c>
      <c r="D4683" s="4" t="s">
        <v>4568</v>
      </c>
      <c r="E4683" s="1" t="str">
        <f>_xlfn.XLOOKUP(tblSales[[#This Row],[Customer ID]],tblCustomers[Customer ID],tblCustomers[Customer Name],"⚠ Unknown")</f>
        <v>Walk-in Customer</v>
      </c>
      <c r="F4683" s="4" t="s">
        <v>9</v>
      </c>
      <c r="G4683" s="1" t="str">
        <f>_xlfn.XLOOKUP(tblSales[[#This Row],[Product Code]],tblProducts[Code],tblProducts[Product / Service Name],"⚠ Unknown")</f>
        <v>Casual Shirt</v>
      </c>
      <c r="H4683" s="1" t="str">
        <f>_xlfn.XLOOKUP(tblSales[[#This Row],[Product Code]],tblProducts[Code],tblProducts[Category],"")</f>
        <v>Apparel &amp; Footwear</v>
      </c>
      <c r="I4683" s="4">
        <v>4</v>
      </c>
      <c r="J4683" s="5">
        <f>_xlfn.XLOOKUP(tblSales[[#This Row],[Product Code]],tblProducts[Code],tblProducts[Selling Price (excl. VAT)],0)</f>
        <v>120000</v>
      </c>
      <c r="K4683" s="5">
        <f>tblSales[[#This Row],[Qty]]*tblSales[[#This Row],[Unit Price]]</f>
        <v>480000</v>
      </c>
      <c r="L4683" s="5">
        <f>ROUND(tblSales[[#This Row],[DPP (excl. VAT)]]*VATEff,0)</f>
        <v>52800</v>
      </c>
      <c r="M4683" s="5">
        <f>tblSales[[#This Row],[DPP (excl. VAT)]]+tblSales[[#This Row],[Output VAT]]</f>
        <v>532800</v>
      </c>
      <c r="N4683" s="5">
        <f>tblSales[[#This Row],[Qty]]*_xlfn.XLOOKUP(tblSales[[#This Row],[Product Code]],tblProducts[Code],tblProducts[Unit Cost],0)</f>
        <v>288000</v>
      </c>
      <c r="O4683" s="4" t="s">
        <v>4866</v>
      </c>
      <c r="P4683" s="4" t="s">
        <v>4860</v>
      </c>
      <c r="Q4683" s="1" t="str">
        <f>_xlfn.XLOOKUP(tblSales[[#This Row],[Channel Code]],tblChannels[Channel Code],tblChannels[Channel Name],"")</f>
        <v>In-store</v>
      </c>
      <c r="R4683" s="1">
        <f>MONTH(tblSales[[#This Row],[Date]])</f>
        <v>10</v>
      </c>
    </row>
    <row r="4684" spans="2:18" x14ac:dyDescent="0.35">
      <c r="B4684" s="113">
        <v>46306</v>
      </c>
      <c r="C4684" s="4" t="s">
        <v>3187</v>
      </c>
      <c r="D4684" s="4" t="s">
        <v>4568</v>
      </c>
      <c r="E4684" s="1" t="str">
        <f>_xlfn.XLOOKUP(tblSales[[#This Row],[Customer ID]],tblCustomers[Customer ID],tblCustomers[Customer Name],"⚠ Unknown")</f>
        <v>Walk-in Customer</v>
      </c>
      <c r="F4684" s="4" t="s">
        <v>15</v>
      </c>
      <c r="G4684" s="1" t="str">
        <f>_xlfn.XLOOKUP(tblSales[[#This Row],[Product Code]],tblProducts[Code],tblProducts[Product / Service Name],"⚠ Unknown")</f>
        <v>Wireless Earbuds Pro</v>
      </c>
      <c r="H4684" s="1" t="str">
        <f>_xlfn.XLOOKUP(tblSales[[#This Row],[Product Code]],tblProducts[Code],tblProducts[Category],"")</f>
        <v>Bags &amp; Gadgets</v>
      </c>
      <c r="I4684" s="4">
        <v>2</v>
      </c>
      <c r="J4684" s="5">
        <f>_xlfn.XLOOKUP(tblSales[[#This Row],[Product Code]],tblProducts[Code],tblProducts[Selling Price (excl. VAT)],0)</f>
        <v>1250000</v>
      </c>
      <c r="K4684" s="5">
        <f>tblSales[[#This Row],[Qty]]*tblSales[[#This Row],[Unit Price]]</f>
        <v>2500000</v>
      </c>
      <c r="L4684" s="5">
        <f>ROUND(tblSales[[#This Row],[DPP (excl. VAT)]]*VATEff,0)</f>
        <v>275000</v>
      </c>
      <c r="M4684" s="5">
        <f>tblSales[[#This Row],[DPP (excl. VAT)]]+tblSales[[#This Row],[Output VAT]]</f>
        <v>2775000</v>
      </c>
      <c r="N4684" s="5">
        <f>tblSales[[#This Row],[Qty]]*_xlfn.XLOOKUP(tblSales[[#This Row],[Product Code]],tblProducts[Code],tblProducts[Unit Cost],0)</f>
        <v>1640000</v>
      </c>
      <c r="O4684" s="4" t="s">
        <v>4866</v>
      </c>
      <c r="P4684" s="4" t="s">
        <v>4860</v>
      </c>
      <c r="Q4684" s="1" t="str">
        <f>_xlfn.XLOOKUP(tblSales[[#This Row],[Channel Code]],tblChannels[Channel Code],tblChannels[Channel Name],"")</f>
        <v>In-store</v>
      </c>
      <c r="R4684" s="1">
        <f>MONTH(tblSales[[#This Row],[Date]])</f>
        <v>10</v>
      </c>
    </row>
    <row r="4685" spans="2:18" x14ac:dyDescent="0.35">
      <c r="B4685" s="113">
        <v>46306</v>
      </c>
      <c r="C4685" s="4" t="s">
        <v>3188</v>
      </c>
      <c r="D4685" s="4" t="s">
        <v>4568</v>
      </c>
      <c r="E4685" s="1" t="str">
        <f>_xlfn.XLOOKUP(tblSales[[#This Row],[Customer ID]],tblCustomers[Customer ID],tblCustomers[Customer Name],"⚠ Unknown")</f>
        <v>Walk-in Customer</v>
      </c>
      <c r="F4685" s="4" t="s">
        <v>7</v>
      </c>
      <c r="G4685" s="1" t="str">
        <f>_xlfn.XLOOKUP(tblSales[[#This Row],[Product Code]],tblProducts[Code],tblProducts[Product / Service Name],"⚠ Unknown")</f>
        <v>Premium Basic T-shirt</v>
      </c>
      <c r="H4685" s="1" t="str">
        <f>_xlfn.XLOOKUP(tblSales[[#This Row],[Product Code]],tblProducts[Code],tblProducts[Category],"")</f>
        <v>Accessories &amp; Basics</v>
      </c>
      <c r="I4685" s="4">
        <v>1</v>
      </c>
      <c r="J4685" s="5">
        <f>_xlfn.XLOOKUP(tblSales[[#This Row],[Product Code]],tblProducts[Code],tblProducts[Selling Price (excl. VAT)],0)</f>
        <v>65000</v>
      </c>
      <c r="K4685" s="5">
        <f>tblSales[[#This Row],[Qty]]*tblSales[[#This Row],[Unit Price]]</f>
        <v>65000</v>
      </c>
      <c r="L4685" s="5">
        <f>ROUND(tblSales[[#This Row],[DPP (excl. VAT)]]*VATEff,0)</f>
        <v>7150</v>
      </c>
      <c r="M4685" s="5">
        <f>tblSales[[#This Row],[DPP (excl. VAT)]]+tblSales[[#This Row],[Output VAT]]</f>
        <v>72150</v>
      </c>
      <c r="N4685" s="5">
        <f>tblSales[[#This Row],[Qty]]*_xlfn.XLOOKUP(tblSales[[#This Row],[Product Code]],tblProducts[Code],tblProducts[Unit Cost],0)</f>
        <v>37000</v>
      </c>
      <c r="O4685" s="4" t="s">
        <v>4865</v>
      </c>
      <c r="P4685" s="4" t="s">
        <v>4860</v>
      </c>
      <c r="Q4685" s="1" t="str">
        <f>_xlfn.XLOOKUP(tblSales[[#This Row],[Channel Code]],tblChannels[Channel Code],tblChannels[Channel Name],"")</f>
        <v>In-store</v>
      </c>
      <c r="R4685" s="1">
        <f>MONTH(tblSales[[#This Row],[Date]])</f>
        <v>10</v>
      </c>
    </row>
    <row r="4686" spans="2:18" x14ac:dyDescent="0.35">
      <c r="B4686" s="113">
        <v>46306</v>
      </c>
      <c r="C4686" s="4" t="s">
        <v>3189</v>
      </c>
      <c r="D4686" s="4" t="s">
        <v>4568</v>
      </c>
      <c r="E4686" s="1" t="str">
        <f>_xlfn.XLOOKUP(tblSales[[#This Row],[Customer ID]],tblCustomers[Customer ID],tblCustomers[Customer Name],"⚠ Unknown")</f>
        <v>Walk-in Customer</v>
      </c>
      <c r="F4686" s="4" t="s">
        <v>14</v>
      </c>
      <c r="G4686" s="1" t="str">
        <f>_xlfn.XLOOKUP(tblSales[[#This Row],[Product Code]],tblProducts[Code],tblProducts[Product / Service Name],"⚠ Unknown")</f>
        <v>Smartwatch</v>
      </c>
      <c r="H4686" s="1" t="str">
        <f>_xlfn.XLOOKUP(tblSales[[#This Row],[Product Code]],tblProducts[Code],tblProducts[Category],"")</f>
        <v>Bags &amp; Gadgets</v>
      </c>
      <c r="I4686" s="4">
        <v>1</v>
      </c>
      <c r="J4686" s="5">
        <f>_xlfn.XLOOKUP(tblSales[[#This Row],[Product Code]],tblProducts[Code],tblProducts[Selling Price (excl. VAT)],0)</f>
        <v>850000</v>
      </c>
      <c r="K4686" s="5">
        <f>tblSales[[#This Row],[Qty]]*tblSales[[#This Row],[Unit Price]]</f>
        <v>850000</v>
      </c>
      <c r="L4686" s="5">
        <f>ROUND(tblSales[[#This Row],[DPP (excl. VAT)]]*VATEff,0)</f>
        <v>93500</v>
      </c>
      <c r="M4686" s="5">
        <f>tblSales[[#This Row],[DPP (excl. VAT)]]+tblSales[[#This Row],[Output VAT]]</f>
        <v>943500</v>
      </c>
      <c r="N4686" s="5">
        <f>tblSales[[#This Row],[Qty]]*_xlfn.XLOOKUP(tblSales[[#This Row],[Product Code]],tblProducts[Code],tblProducts[Unit Cost],0)</f>
        <v>560000</v>
      </c>
      <c r="O4686" s="4" t="s">
        <v>4865</v>
      </c>
      <c r="P4686" s="4" t="s">
        <v>4860</v>
      </c>
      <c r="Q4686" s="1" t="str">
        <f>_xlfn.XLOOKUP(tblSales[[#This Row],[Channel Code]],tblChannels[Channel Code],tblChannels[Channel Name],"")</f>
        <v>In-store</v>
      </c>
      <c r="R4686" s="1">
        <f>MONTH(tblSales[[#This Row],[Date]])</f>
        <v>10</v>
      </c>
    </row>
    <row r="4687" spans="2:18" x14ac:dyDescent="0.35">
      <c r="B4687" s="113">
        <v>46306</v>
      </c>
      <c r="C4687" s="4" t="s">
        <v>3189</v>
      </c>
      <c r="D4687" s="4" t="s">
        <v>4568</v>
      </c>
      <c r="E4687" s="1" t="str">
        <f>_xlfn.XLOOKUP(tblSales[[#This Row],[Customer ID]],tblCustomers[Customer ID],tblCustomers[Customer Name],"⚠ Unknown")</f>
        <v>Walk-in Customer</v>
      </c>
      <c r="F4687" s="4" t="s">
        <v>9</v>
      </c>
      <c r="G4687" s="1" t="str">
        <f>_xlfn.XLOOKUP(tblSales[[#This Row],[Product Code]],tblProducts[Code],tblProducts[Product / Service Name],"⚠ Unknown")</f>
        <v>Casual Shirt</v>
      </c>
      <c r="H4687" s="1" t="str">
        <f>_xlfn.XLOOKUP(tblSales[[#This Row],[Product Code]],tblProducts[Code],tblProducts[Category],"")</f>
        <v>Apparel &amp; Footwear</v>
      </c>
      <c r="I4687" s="4">
        <v>6</v>
      </c>
      <c r="J4687" s="5">
        <f>_xlfn.XLOOKUP(tblSales[[#This Row],[Product Code]],tblProducts[Code],tblProducts[Selling Price (excl. VAT)],0)</f>
        <v>120000</v>
      </c>
      <c r="K4687" s="5">
        <f>tblSales[[#This Row],[Qty]]*tblSales[[#This Row],[Unit Price]]</f>
        <v>720000</v>
      </c>
      <c r="L4687" s="5">
        <f>ROUND(tblSales[[#This Row],[DPP (excl. VAT)]]*VATEff,0)</f>
        <v>79200</v>
      </c>
      <c r="M4687" s="5">
        <f>tblSales[[#This Row],[DPP (excl. VAT)]]+tblSales[[#This Row],[Output VAT]]</f>
        <v>799200</v>
      </c>
      <c r="N4687" s="5">
        <f>tblSales[[#This Row],[Qty]]*_xlfn.XLOOKUP(tblSales[[#This Row],[Product Code]],tblProducts[Code],tblProducts[Unit Cost],0)</f>
        <v>432000</v>
      </c>
      <c r="O4687" s="4" t="s">
        <v>4865</v>
      </c>
      <c r="P4687" s="4" t="s">
        <v>4860</v>
      </c>
      <c r="Q4687" s="1" t="str">
        <f>_xlfn.XLOOKUP(tblSales[[#This Row],[Channel Code]],tblChannels[Channel Code],tblChannels[Channel Name],"")</f>
        <v>In-store</v>
      </c>
      <c r="R4687" s="1">
        <f>MONTH(tblSales[[#This Row],[Date]])</f>
        <v>10</v>
      </c>
    </row>
    <row r="4688" spans="2:18" x14ac:dyDescent="0.35">
      <c r="B4688" s="113">
        <v>46307</v>
      </c>
      <c r="C4688" s="4" t="s">
        <v>3190</v>
      </c>
      <c r="D4688" s="4" t="s">
        <v>4634</v>
      </c>
      <c r="E4688" s="1" t="str">
        <f>_xlfn.XLOOKUP(tblSales[[#This Row],[Customer ID]],tblCustomers[Customer ID],tblCustomers[Customer Name],"⚠ Unknown")</f>
        <v>PT Delta Inti Selaras</v>
      </c>
      <c r="F4688" s="4" t="s">
        <v>8</v>
      </c>
      <c r="G4688" s="1" t="str">
        <f>_xlfn.XLOOKUP(tblSales[[#This Row],[Product Code]],tblProducts[Code],tblProducts[Product / Service Name],"⚠ Unknown")</f>
        <v>Casual Shorts</v>
      </c>
      <c r="H4688" s="1" t="str">
        <f>_xlfn.XLOOKUP(tblSales[[#This Row],[Product Code]],tblProducts[Code],tblProducts[Category],"")</f>
        <v>Accessories &amp; Basics</v>
      </c>
      <c r="I4688" s="4">
        <v>64</v>
      </c>
      <c r="J4688" s="5">
        <f>_xlfn.XLOOKUP(tblSales[[#This Row],[Product Code]],tblProducts[Code],tblProducts[Selling Price (excl. VAT)],0)</f>
        <v>85000</v>
      </c>
      <c r="K4688" s="5">
        <f>tblSales[[#This Row],[Qty]]*tblSales[[#This Row],[Unit Price]]</f>
        <v>5440000</v>
      </c>
      <c r="L4688" s="5">
        <f>ROUND(tblSales[[#This Row],[DPP (excl. VAT)]]*VATEff,0)</f>
        <v>598400</v>
      </c>
      <c r="M4688" s="5">
        <f>tblSales[[#This Row],[DPP (excl. VAT)]]+tblSales[[#This Row],[Output VAT]]</f>
        <v>6038400</v>
      </c>
      <c r="N4688" s="5">
        <f>tblSales[[#This Row],[Qty]]*_xlfn.XLOOKUP(tblSales[[#This Row],[Product Code]],tblProducts[Code],tblProducts[Unit Cost],0)</f>
        <v>3200000</v>
      </c>
      <c r="O4688" s="4" t="s">
        <v>4867</v>
      </c>
      <c r="P4688" s="4" t="s">
        <v>4860</v>
      </c>
      <c r="Q4688" s="1" t="str">
        <f>_xlfn.XLOOKUP(tblSales[[#This Row],[Channel Code]],tblChannels[Channel Code],tblChannels[Channel Name],"")</f>
        <v>In-store</v>
      </c>
      <c r="R4688" s="1">
        <f>MONTH(tblSales[[#This Row],[Date]])</f>
        <v>10</v>
      </c>
    </row>
    <row r="4689" spans="2:18" x14ac:dyDescent="0.35">
      <c r="B4689" s="113">
        <v>46307</v>
      </c>
      <c r="C4689" s="4" t="s">
        <v>3191</v>
      </c>
      <c r="D4689" s="4" t="s">
        <v>4568</v>
      </c>
      <c r="E4689" s="1" t="str">
        <f>_xlfn.XLOOKUP(tblSales[[#This Row],[Customer ID]],tblCustomers[Customer ID],tblCustomers[Customer Name],"⚠ Unknown")</f>
        <v>Walk-in Customer</v>
      </c>
      <c r="F4689" s="4" t="s">
        <v>6</v>
      </c>
      <c r="G4689" s="1" t="str">
        <f>_xlfn.XLOOKUP(tblSales[[#This Row],[Product Code]],tblProducts[Code],tblProducts[Product / Service Name],"⚠ Unknown")</f>
        <v>Socks &amp; Accessories</v>
      </c>
      <c r="H4689" s="1" t="str">
        <f>_xlfn.XLOOKUP(tblSales[[#This Row],[Product Code]],tblProducts[Code],tblProducts[Category],"")</f>
        <v>Accessories &amp; Basics</v>
      </c>
      <c r="I4689" s="4">
        <v>10</v>
      </c>
      <c r="J4689" s="5">
        <f>_xlfn.XLOOKUP(tblSales[[#This Row],[Product Code]],tblProducts[Code],tblProducts[Selling Price (excl. VAT)],0)</f>
        <v>45000</v>
      </c>
      <c r="K4689" s="5">
        <f>tblSales[[#This Row],[Qty]]*tblSales[[#This Row],[Unit Price]]</f>
        <v>450000</v>
      </c>
      <c r="L4689" s="5">
        <f>ROUND(tblSales[[#This Row],[DPP (excl. VAT)]]*VATEff,0)</f>
        <v>49500</v>
      </c>
      <c r="M4689" s="5">
        <f>tblSales[[#This Row],[DPP (excl. VAT)]]+tblSales[[#This Row],[Output VAT]]</f>
        <v>499500</v>
      </c>
      <c r="N4689" s="5">
        <f>tblSales[[#This Row],[Qty]]*_xlfn.XLOOKUP(tblSales[[#This Row],[Product Code]],tblProducts[Code],tblProducts[Unit Cost],0)</f>
        <v>240000</v>
      </c>
      <c r="O4689" s="4" t="s">
        <v>4865</v>
      </c>
      <c r="P4689" s="4" t="s">
        <v>4860</v>
      </c>
      <c r="Q4689" s="1" t="str">
        <f>_xlfn.XLOOKUP(tblSales[[#This Row],[Channel Code]],tblChannels[Channel Code],tblChannels[Channel Name],"")</f>
        <v>In-store</v>
      </c>
      <c r="R4689" s="1">
        <f>MONTH(tblSales[[#This Row],[Date]])</f>
        <v>10</v>
      </c>
    </row>
    <row r="4690" spans="2:18" x14ac:dyDescent="0.35">
      <c r="B4690" s="113">
        <v>46307</v>
      </c>
      <c r="C4690" s="4" t="s">
        <v>3192</v>
      </c>
      <c r="D4690" s="4" t="s">
        <v>4568</v>
      </c>
      <c r="E4690" s="1" t="str">
        <f>_xlfn.XLOOKUP(tblSales[[#This Row],[Customer ID]],tblCustomers[Customer ID],tblCustomers[Customer Name],"⚠ Unknown")</f>
        <v>Walk-in Customer</v>
      </c>
      <c r="F4690" s="4" t="s">
        <v>10</v>
      </c>
      <c r="G4690" s="1" t="str">
        <f>_xlfn.XLOOKUP(tblSales[[#This Row],[Product Code]],tblProducts[Code],tblProducts[Product / Service Name],"⚠ Unknown")</f>
        <v>Chino Pants</v>
      </c>
      <c r="H4690" s="1" t="str">
        <f>_xlfn.XLOOKUP(tblSales[[#This Row],[Product Code]],tblProducts[Code],tblProducts[Category],"")</f>
        <v>Apparel &amp; Footwear</v>
      </c>
      <c r="I4690" s="4">
        <v>12</v>
      </c>
      <c r="J4690" s="5">
        <f>_xlfn.XLOOKUP(tblSales[[#This Row],[Product Code]],tblProducts[Code],tblProducts[Selling Price (excl. VAT)],0)</f>
        <v>150000</v>
      </c>
      <c r="K4690" s="5">
        <f>tblSales[[#This Row],[Qty]]*tblSales[[#This Row],[Unit Price]]</f>
        <v>1800000</v>
      </c>
      <c r="L4690" s="5">
        <f>ROUND(tblSales[[#This Row],[DPP (excl. VAT)]]*VATEff,0)</f>
        <v>198000</v>
      </c>
      <c r="M4690" s="5">
        <f>tblSales[[#This Row],[DPP (excl. VAT)]]+tblSales[[#This Row],[Output VAT]]</f>
        <v>1998000</v>
      </c>
      <c r="N4690" s="5">
        <f>tblSales[[#This Row],[Qty]]*_xlfn.XLOOKUP(tblSales[[#This Row],[Product Code]],tblProducts[Code],tblProducts[Unit Cost],0)</f>
        <v>1056000</v>
      </c>
      <c r="O4690" s="4" t="s">
        <v>4866</v>
      </c>
      <c r="P4690" s="4" t="s">
        <v>4861</v>
      </c>
      <c r="Q4690" s="1" t="str">
        <f>_xlfn.XLOOKUP(tblSales[[#This Row],[Channel Code]],tblChannels[Channel Code],tblChannels[Channel Name],"")</f>
        <v>Marketplace</v>
      </c>
      <c r="R4690" s="1">
        <f>MONTH(tblSales[[#This Row],[Date]])</f>
        <v>10</v>
      </c>
    </row>
    <row r="4691" spans="2:18" x14ac:dyDescent="0.35">
      <c r="B4691" s="113">
        <v>46307</v>
      </c>
      <c r="C4691" s="4" t="s">
        <v>3193</v>
      </c>
      <c r="D4691" s="4" t="s">
        <v>4568</v>
      </c>
      <c r="E4691" s="1" t="str">
        <f>_xlfn.XLOOKUP(tblSales[[#This Row],[Customer ID]],tblCustomers[Customer ID],tblCustomers[Customer Name],"⚠ Unknown")</f>
        <v>Walk-in Customer</v>
      </c>
      <c r="F4691" s="4" t="s">
        <v>12</v>
      </c>
      <c r="G4691" s="1" t="str">
        <f>_xlfn.XLOOKUP(tblSales[[#This Row],[Product Code]],tblProducts[Code],tblProducts[Product / Service Name],"⚠ Unknown")</f>
        <v>Bomber Jacket</v>
      </c>
      <c r="H4691" s="1" t="str">
        <f>_xlfn.XLOOKUP(tblSales[[#This Row],[Product Code]],tblProducts[Code],tblProducts[Category],"")</f>
        <v>Apparel &amp; Footwear</v>
      </c>
      <c r="I4691" s="4">
        <v>1</v>
      </c>
      <c r="J4691" s="5">
        <f>_xlfn.XLOOKUP(tblSales[[#This Row],[Product Code]],tblProducts[Code],tblProducts[Selling Price (excl. VAT)],0)</f>
        <v>350000</v>
      </c>
      <c r="K4691" s="5">
        <f>tblSales[[#This Row],[Qty]]*tblSales[[#This Row],[Unit Price]]</f>
        <v>350000</v>
      </c>
      <c r="L4691" s="5">
        <f>ROUND(tblSales[[#This Row],[DPP (excl. VAT)]]*VATEff,0)</f>
        <v>38500</v>
      </c>
      <c r="M4691" s="5">
        <f>tblSales[[#This Row],[DPP (excl. VAT)]]+tblSales[[#This Row],[Output VAT]]</f>
        <v>388500</v>
      </c>
      <c r="N4691" s="5">
        <f>tblSales[[#This Row],[Qty]]*_xlfn.XLOOKUP(tblSales[[#This Row],[Product Code]],tblProducts[Code],tblProducts[Unit Cost],0)</f>
        <v>210000</v>
      </c>
      <c r="O4691" s="4" t="s">
        <v>4865</v>
      </c>
      <c r="P4691" s="4" t="s">
        <v>4860</v>
      </c>
      <c r="Q4691" s="1" t="str">
        <f>_xlfn.XLOOKUP(tblSales[[#This Row],[Channel Code]],tblChannels[Channel Code],tblChannels[Channel Name],"")</f>
        <v>In-store</v>
      </c>
      <c r="R4691" s="1">
        <f>MONTH(tblSales[[#This Row],[Date]])</f>
        <v>10</v>
      </c>
    </row>
    <row r="4692" spans="2:18" x14ac:dyDescent="0.35">
      <c r="B4692" s="113">
        <v>46307</v>
      </c>
      <c r="C4692" s="4" t="s">
        <v>3194</v>
      </c>
      <c r="D4692" s="4" t="s">
        <v>4568</v>
      </c>
      <c r="E4692" s="1" t="str">
        <f>_xlfn.XLOOKUP(tblSales[[#This Row],[Customer ID]],tblCustomers[Customer ID],tblCustomers[Customer Name],"⚠ Unknown")</f>
        <v>Walk-in Customer</v>
      </c>
      <c r="F4692" s="4" t="s">
        <v>12</v>
      </c>
      <c r="G4692" s="1" t="str">
        <f>_xlfn.XLOOKUP(tblSales[[#This Row],[Product Code]],tblProducts[Code],tblProducts[Product / Service Name],"⚠ Unknown")</f>
        <v>Bomber Jacket</v>
      </c>
      <c r="H4692" s="1" t="str">
        <f>_xlfn.XLOOKUP(tblSales[[#This Row],[Product Code]],tblProducts[Code],tblProducts[Category],"")</f>
        <v>Apparel &amp; Footwear</v>
      </c>
      <c r="I4692" s="4">
        <v>4</v>
      </c>
      <c r="J4692" s="5">
        <f>_xlfn.XLOOKUP(tblSales[[#This Row],[Product Code]],tblProducts[Code],tblProducts[Selling Price (excl. VAT)],0)</f>
        <v>350000</v>
      </c>
      <c r="K4692" s="5">
        <f>tblSales[[#This Row],[Qty]]*tblSales[[#This Row],[Unit Price]]</f>
        <v>1400000</v>
      </c>
      <c r="L4692" s="5">
        <f>ROUND(tblSales[[#This Row],[DPP (excl. VAT)]]*VATEff,0)</f>
        <v>154000</v>
      </c>
      <c r="M4692" s="5">
        <f>tblSales[[#This Row],[DPP (excl. VAT)]]+tblSales[[#This Row],[Output VAT]]</f>
        <v>1554000</v>
      </c>
      <c r="N4692" s="5">
        <f>tblSales[[#This Row],[Qty]]*_xlfn.XLOOKUP(tblSales[[#This Row],[Product Code]],tblProducts[Code],tblProducts[Unit Cost],0)</f>
        <v>840000</v>
      </c>
      <c r="O4692" s="4" t="s">
        <v>4865</v>
      </c>
      <c r="P4692" s="4" t="s">
        <v>4860</v>
      </c>
      <c r="Q4692" s="1" t="str">
        <f>_xlfn.XLOOKUP(tblSales[[#This Row],[Channel Code]],tblChannels[Channel Code],tblChannels[Channel Name],"")</f>
        <v>In-store</v>
      </c>
      <c r="R4692" s="1">
        <f>MONTH(tblSales[[#This Row],[Date]])</f>
        <v>10</v>
      </c>
    </row>
    <row r="4693" spans="2:18" x14ac:dyDescent="0.35">
      <c r="B4693" s="113">
        <v>46307</v>
      </c>
      <c r="C4693" s="4" t="s">
        <v>3195</v>
      </c>
      <c r="D4693" s="4" t="s">
        <v>4568</v>
      </c>
      <c r="E4693" s="1" t="str">
        <f>_xlfn.XLOOKUP(tblSales[[#This Row],[Customer ID]],tblCustomers[Customer ID],tblCustomers[Customer Name],"⚠ Unknown")</f>
        <v>Walk-in Customer</v>
      </c>
      <c r="F4693" s="4" t="s">
        <v>7</v>
      </c>
      <c r="G4693" s="1" t="str">
        <f>_xlfn.XLOOKUP(tblSales[[#This Row],[Product Code]],tblProducts[Code],tblProducts[Product / Service Name],"⚠ Unknown")</f>
        <v>Premium Basic T-shirt</v>
      </c>
      <c r="H4693" s="1" t="str">
        <f>_xlfn.XLOOKUP(tblSales[[#This Row],[Product Code]],tblProducts[Code],tblProducts[Category],"")</f>
        <v>Accessories &amp; Basics</v>
      </c>
      <c r="I4693" s="4">
        <v>11</v>
      </c>
      <c r="J4693" s="5">
        <f>_xlfn.XLOOKUP(tblSales[[#This Row],[Product Code]],tblProducts[Code],tblProducts[Selling Price (excl. VAT)],0)</f>
        <v>65000</v>
      </c>
      <c r="K4693" s="5">
        <f>tblSales[[#This Row],[Qty]]*tblSales[[#This Row],[Unit Price]]</f>
        <v>715000</v>
      </c>
      <c r="L4693" s="5">
        <f>ROUND(tblSales[[#This Row],[DPP (excl. VAT)]]*VATEff,0)</f>
        <v>78650</v>
      </c>
      <c r="M4693" s="5">
        <f>tblSales[[#This Row],[DPP (excl. VAT)]]+tblSales[[#This Row],[Output VAT]]</f>
        <v>793650</v>
      </c>
      <c r="N4693" s="5">
        <f>tblSales[[#This Row],[Qty]]*_xlfn.XLOOKUP(tblSales[[#This Row],[Product Code]],tblProducts[Code],tblProducts[Unit Cost],0)</f>
        <v>407000</v>
      </c>
      <c r="O4693" s="4" t="s">
        <v>4866</v>
      </c>
      <c r="P4693" s="4" t="s">
        <v>4861</v>
      </c>
      <c r="Q4693" s="1" t="str">
        <f>_xlfn.XLOOKUP(tblSales[[#This Row],[Channel Code]],tblChannels[Channel Code],tblChannels[Channel Name],"")</f>
        <v>Marketplace</v>
      </c>
      <c r="R4693" s="1">
        <f>MONTH(tblSales[[#This Row],[Date]])</f>
        <v>10</v>
      </c>
    </row>
    <row r="4694" spans="2:18" x14ac:dyDescent="0.35">
      <c r="B4694" s="113">
        <v>46307</v>
      </c>
      <c r="C4694" s="4" t="s">
        <v>3196</v>
      </c>
      <c r="D4694" s="4" t="s">
        <v>4568</v>
      </c>
      <c r="E4694" s="1" t="str">
        <f>_xlfn.XLOOKUP(tblSales[[#This Row],[Customer ID]],tblCustomers[Customer ID],tblCustomers[Customer Name],"⚠ Unknown")</f>
        <v>Walk-in Customer</v>
      </c>
      <c r="F4694" s="4" t="s">
        <v>7</v>
      </c>
      <c r="G4694" s="1" t="str">
        <f>_xlfn.XLOOKUP(tblSales[[#This Row],[Product Code]],tblProducts[Code],tblProducts[Product / Service Name],"⚠ Unknown")</f>
        <v>Premium Basic T-shirt</v>
      </c>
      <c r="H4694" s="1" t="str">
        <f>_xlfn.XLOOKUP(tblSales[[#This Row],[Product Code]],tblProducts[Code],tblProducts[Category],"")</f>
        <v>Accessories &amp; Basics</v>
      </c>
      <c r="I4694" s="4">
        <v>2</v>
      </c>
      <c r="J4694" s="5">
        <f>_xlfn.XLOOKUP(tblSales[[#This Row],[Product Code]],tblProducts[Code],tblProducts[Selling Price (excl. VAT)],0)</f>
        <v>65000</v>
      </c>
      <c r="K4694" s="5">
        <f>tblSales[[#This Row],[Qty]]*tblSales[[#This Row],[Unit Price]]</f>
        <v>130000</v>
      </c>
      <c r="L4694" s="5">
        <f>ROUND(tblSales[[#This Row],[DPP (excl. VAT)]]*VATEff,0)</f>
        <v>14300</v>
      </c>
      <c r="M4694" s="5">
        <f>tblSales[[#This Row],[DPP (excl. VAT)]]+tblSales[[#This Row],[Output VAT]]</f>
        <v>144300</v>
      </c>
      <c r="N4694" s="5">
        <f>tblSales[[#This Row],[Qty]]*_xlfn.XLOOKUP(tblSales[[#This Row],[Product Code]],tblProducts[Code],tblProducts[Unit Cost],0)</f>
        <v>74000</v>
      </c>
      <c r="O4694" s="4" t="s">
        <v>4866</v>
      </c>
      <c r="P4694" s="4" t="s">
        <v>4861</v>
      </c>
      <c r="Q4694" s="1" t="str">
        <f>_xlfn.XLOOKUP(tblSales[[#This Row],[Channel Code]],tblChannels[Channel Code],tblChannels[Channel Name],"")</f>
        <v>Marketplace</v>
      </c>
      <c r="R4694" s="1">
        <f>MONTH(tblSales[[#This Row],[Date]])</f>
        <v>10</v>
      </c>
    </row>
    <row r="4695" spans="2:18" x14ac:dyDescent="0.35">
      <c r="B4695" s="113">
        <v>46307</v>
      </c>
      <c r="C4695" s="4" t="s">
        <v>3197</v>
      </c>
      <c r="D4695" s="4" t="s">
        <v>4568</v>
      </c>
      <c r="E4695" s="1" t="str">
        <f>_xlfn.XLOOKUP(tblSales[[#This Row],[Customer ID]],tblCustomers[Customer ID],tblCustomers[Customer Name],"⚠ Unknown")</f>
        <v>Walk-in Customer</v>
      </c>
      <c r="F4695" s="4" t="s">
        <v>7</v>
      </c>
      <c r="G4695" s="1" t="str">
        <f>_xlfn.XLOOKUP(tblSales[[#This Row],[Product Code]],tblProducts[Code],tblProducts[Product / Service Name],"⚠ Unknown")</f>
        <v>Premium Basic T-shirt</v>
      </c>
      <c r="H4695" s="1" t="str">
        <f>_xlfn.XLOOKUP(tblSales[[#This Row],[Product Code]],tblProducts[Code],tblProducts[Category],"")</f>
        <v>Accessories &amp; Basics</v>
      </c>
      <c r="I4695" s="4">
        <v>12</v>
      </c>
      <c r="J4695" s="5">
        <f>_xlfn.XLOOKUP(tblSales[[#This Row],[Product Code]],tblProducts[Code],tblProducts[Selling Price (excl. VAT)],0)</f>
        <v>65000</v>
      </c>
      <c r="K4695" s="5">
        <f>tblSales[[#This Row],[Qty]]*tblSales[[#This Row],[Unit Price]]</f>
        <v>780000</v>
      </c>
      <c r="L4695" s="5">
        <f>ROUND(tblSales[[#This Row],[DPP (excl. VAT)]]*VATEff,0)</f>
        <v>85800</v>
      </c>
      <c r="M4695" s="5">
        <f>tblSales[[#This Row],[DPP (excl. VAT)]]+tblSales[[#This Row],[Output VAT]]</f>
        <v>865800</v>
      </c>
      <c r="N4695" s="5">
        <f>tblSales[[#This Row],[Qty]]*_xlfn.XLOOKUP(tblSales[[#This Row],[Product Code]],tblProducts[Code],tblProducts[Unit Cost],0)</f>
        <v>444000</v>
      </c>
      <c r="O4695" s="4" t="s">
        <v>4865</v>
      </c>
      <c r="P4695" s="4" t="s">
        <v>4860</v>
      </c>
      <c r="Q4695" s="1" t="str">
        <f>_xlfn.XLOOKUP(tblSales[[#This Row],[Channel Code]],tblChannels[Channel Code],tblChannels[Channel Name],"")</f>
        <v>In-store</v>
      </c>
      <c r="R4695" s="1">
        <f>MONTH(tblSales[[#This Row],[Date]])</f>
        <v>10</v>
      </c>
    </row>
    <row r="4696" spans="2:18" x14ac:dyDescent="0.35">
      <c r="B4696" s="113">
        <v>46307</v>
      </c>
      <c r="C4696" s="4" t="s">
        <v>3198</v>
      </c>
      <c r="D4696" s="4" t="s">
        <v>4568</v>
      </c>
      <c r="E4696" s="1" t="str">
        <f>_xlfn.XLOOKUP(tblSales[[#This Row],[Customer ID]],tblCustomers[Customer ID],tblCustomers[Customer Name],"⚠ Unknown")</f>
        <v>Walk-in Customer</v>
      </c>
      <c r="F4696" s="4" t="s">
        <v>12</v>
      </c>
      <c r="G4696" s="1" t="str">
        <f>_xlfn.XLOOKUP(tblSales[[#This Row],[Product Code]],tblProducts[Code],tblProducts[Product / Service Name],"⚠ Unknown")</f>
        <v>Bomber Jacket</v>
      </c>
      <c r="H4696" s="1" t="str">
        <f>_xlfn.XLOOKUP(tblSales[[#This Row],[Product Code]],tblProducts[Code],tblProducts[Category],"")</f>
        <v>Apparel &amp; Footwear</v>
      </c>
      <c r="I4696" s="4">
        <v>3</v>
      </c>
      <c r="J4696" s="5">
        <f>_xlfn.XLOOKUP(tblSales[[#This Row],[Product Code]],tblProducts[Code],tblProducts[Selling Price (excl. VAT)],0)</f>
        <v>350000</v>
      </c>
      <c r="K4696" s="5">
        <f>tblSales[[#This Row],[Qty]]*tblSales[[#This Row],[Unit Price]]</f>
        <v>1050000</v>
      </c>
      <c r="L4696" s="5">
        <f>ROUND(tblSales[[#This Row],[DPP (excl. VAT)]]*VATEff,0)</f>
        <v>115500</v>
      </c>
      <c r="M4696" s="5">
        <f>tblSales[[#This Row],[DPP (excl. VAT)]]+tblSales[[#This Row],[Output VAT]]</f>
        <v>1165500</v>
      </c>
      <c r="N4696" s="5">
        <f>tblSales[[#This Row],[Qty]]*_xlfn.XLOOKUP(tblSales[[#This Row],[Product Code]],tblProducts[Code],tblProducts[Unit Cost],0)</f>
        <v>630000</v>
      </c>
      <c r="O4696" s="4" t="s">
        <v>4866</v>
      </c>
      <c r="P4696" s="4" t="s">
        <v>4861</v>
      </c>
      <c r="Q4696" s="1" t="str">
        <f>_xlfn.XLOOKUP(tblSales[[#This Row],[Channel Code]],tblChannels[Channel Code],tblChannels[Channel Name],"")</f>
        <v>Marketplace</v>
      </c>
      <c r="R4696" s="1">
        <f>MONTH(tblSales[[#This Row],[Date]])</f>
        <v>10</v>
      </c>
    </row>
    <row r="4697" spans="2:18" x14ac:dyDescent="0.35">
      <c r="B4697" s="113">
        <v>46307</v>
      </c>
      <c r="C4697" s="4" t="s">
        <v>3199</v>
      </c>
      <c r="D4697" s="4" t="s">
        <v>4568</v>
      </c>
      <c r="E4697" s="1" t="str">
        <f>_xlfn.XLOOKUP(tblSales[[#This Row],[Customer ID]],tblCustomers[Customer ID],tblCustomers[Customer Name],"⚠ Unknown")</f>
        <v>Walk-in Customer</v>
      </c>
      <c r="F4697" s="4" t="s">
        <v>8</v>
      </c>
      <c r="G4697" s="1" t="str">
        <f>_xlfn.XLOOKUP(tblSales[[#This Row],[Product Code]],tblProducts[Code],tblProducts[Product / Service Name],"⚠ Unknown")</f>
        <v>Casual Shorts</v>
      </c>
      <c r="H4697" s="1" t="str">
        <f>_xlfn.XLOOKUP(tblSales[[#This Row],[Product Code]],tblProducts[Code],tblProducts[Category],"")</f>
        <v>Accessories &amp; Basics</v>
      </c>
      <c r="I4697" s="4">
        <v>2</v>
      </c>
      <c r="J4697" s="5">
        <f>_xlfn.XLOOKUP(tblSales[[#This Row],[Product Code]],tblProducts[Code],tblProducts[Selling Price (excl. VAT)],0)</f>
        <v>85000</v>
      </c>
      <c r="K4697" s="5">
        <f>tblSales[[#This Row],[Qty]]*tblSales[[#This Row],[Unit Price]]</f>
        <v>170000</v>
      </c>
      <c r="L4697" s="5">
        <f>ROUND(tblSales[[#This Row],[DPP (excl. VAT)]]*VATEff,0)</f>
        <v>18700</v>
      </c>
      <c r="M4697" s="5">
        <f>tblSales[[#This Row],[DPP (excl. VAT)]]+tblSales[[#This Row],[Output VAT]]</f>
        <v>188700</v>
      </c>
      <c r="N4697" s="5">
        <f>tblSales[[#This Row],[Qty]]*_xlfn.XLOOKUP(tblSales[[#This Row],[Product Code]],tblProducts[Code],tblProducts[Unit Cost],0)</f>
        <v>100000</v>
      </c>
      <c r="O4697" s="4" t="s">
        <v>4865</v>
      </c>
      <c r="P4697" s="4" t="s">
        <v>4860</v>
      </c>
      <c r="Q4697" s="1" t="str">
        <f>_xlfn.XLOOKUP(tblSales[[#This Row],[Channel Code]],tblChannels[Channel Code],tblChannels[Channel Name],"")</f>
        <v>In-store</v>
      </c>
      <c r="R4697" s="1">
        <f>MONTH(tblSales[[#This Row],[Date]])</f>
        <v>10</v>
      </c>
    </row>
    <row r="4698" spans="2:18" x14ac:dyDescent="0.35">
      <c r="B4698" s="113">
        <v>46308</v>
      </c>
      <c r="C4698" s="4" t="s">
        <v>3200</v>
      </c>
      <c r="D4698" s="4" t="s">
        <v>4568</v>
      </c>
      <c r="E4698" s="1" t="str">
        <f>_xlfn.XLOOKUP(tblSales[[#This Row],[Customer ID]],tblCustomers[Customer ID],tblCustomers[Customer Name],"⚠ Unknown")</f>
        <v>Walk-in Customer</v>
      </c>
      <c r="F4698" s="4" t="s">
        <v>7</v>
      </c>
      <c r="G4698" s="1" t="str">
        <f>_xlfn.XLOOKUP(tblSales[[#This Row],[Product Code]],tblProducts[Code],tblProducts[Product / Service Name],"⚠ Unknown")</f>
        <v>Premium Basic T-shirt</v>
      </c>
      <c r="H4698" s="1" t="str">
        <f>_xlfn.XLOOKUP(tblSales[[#This Row],[Product Code]],tblProducts[Code],tblProducts[Category],"")</f>
        <v>Accessories &amp; Basics</v>
      </c>
      <c r="I4698" s="4">
        <v>3</v>
      </c>
      <c r="J4698" s="5">
        <f>_xlfn.XLOOKUP(tblSales[[#This Row],[Product Code]],tblProducts[Code],tblProducts[Selling Price (excl. VAT)],0)</f>
        <v>65000</v>
      </c>
      <c r="K4698" s="5">
        <f>tblSales[[#This Row],[Qty]]*tblSales[[#This Row],[Unit Price]]</f>
        <v>195000</v>
      </c>
      <c r="L4698" s="5">
        <f>ROUND(tblSales[[#This Row],[DPP (excl. VAT)]]*VATEff,0)</f>
        <v>21450</v>
      </c>
      <c r="M4698" s="5">
        <f>tblSales[[#This Row],[DPP (excl. VAT)]]+tblSales[[#This Row],[Output VAT]]</f>
        <v>216450</v>
      </c>
      <c r="N4698" s="5">
        <f>tblSales[[#This Row],[Qty]]*_xlfn.XLOOKUP(tblSales[[#This Row],[Product Code]],tblProducts[Code],tblProducts[Unit Cost],0)</f>
        <v>111000</v>
      </c>
      <c r="O4698" s="4" t="s">
        <v>4865</v>
      </c>
      <c r="P4698" s="4" t="s">
        <v>4860</v>
      </c>
      <c r="Q4698" s="1" t="str">
        <f>_xlfn.XLOOKUP(tblSales[[#This Row],[Channel Code]],tblChannels[Channel Code],tblChannels[Channel Name],"")</f>
        <v>In-store</v>
      </c>
      <c r="R4698" s="1">
        <f>MONTH(tblSales[[#This Row],[Date]])</f>
        <v>10</v>
      </c>
    </row>
    <row r="4699" spans="2:18" x14ac:dyDescent="0.35">
      <c r="B4699" s="113">
        <v>46308</v>
      </c>
      <c r="C4699" s="4" t="s">
        <v>3200</v>
      </c>
      <c r="D4699" s="4" t="s">
        <v>4568</v>
      </c>
      <c r="E4699" s="1" t="str">
        <f>_xlfn.XLOOKUP(tblSales[[#This Row],[Customer ID]],tblCustomers[Customer ID],tblCustomers[Customer Name],"⚠ Unknown")</f>
        <v>Walk-in Customer</v>
      </c>
      <c r="F4699" s="4" t="s">
        <v>6</v>
      </c>
      <c r="G4699" s="1" t="str">
        <f>_xlfn.XLOOKUP(tblSales[[#This Row],[Product Code]],tblProducts[Code],tblProducts[Product / Service Name],"⚠ Unknown")</f>
        <v>Socks &amp; Accessories</v>
      </c>
      <c r="H4699" s="1" t="str">
        <f>_xlfn.XLOOKUP(tblSales[[#This Row],[Product Code]],tblProducts[Code],tblProducts[Category],"")</f>
        <v>Accessories &amp; Basics</v>
      </c>
      <c r="I4699" s="4">
        <v>6</v>
      </c>
      <c r="J4699" s="5">
        <f>_xlfn.XLOOKUP(tblSales[[#This Row],[Product Code]],tblProducts[Code],tblProducts[Selling Price (excl. VAT)],0)</f>
        <v>45000</v>
      </c>
      <c r="K4699" s="5">
        <f>tblSales[[#This Row],[Qty]]*tblSales[[#This Row],[Unit Price]]</f>
        <v>270000</v>
      </c>
      <c r="L4699" s="5">
        <f>ROUND(tblSales[[#This Row],[DPP (excl. VAT)]]*VATEff,0)</f>
        <v>29700</v>
      </c>
      <c r="M4699" s="5">
        <f>tblSales[[#This Row],[DPP (excl. VAT)]]+tblSales[[#This Row],[Output VAT]]</f>
        <v>299700</v>
      </c>
      <c r="N4699" s="5">
        <f>tblSales[[#This Row],[Qty]]*_xlfn.XLOOKUP(tblSales[[#This Row],[Product Code]],tblProducts[Code],tblProducts[Unit Cost],0)</f>
        <v>144000</v>
      </c>
      <c r="O4699" s="4" t="s">
        <v>4865</v>
      </c>
      <c r="P4699" s="4" t="s">
        <v>4860</v>
      </c>
      <c r="Q4699" s="1" t="str">
        <f>_xlfn.XLOOKUP(tblSales[[#This Row],[Channel Code]],tblChannels[Channel Code],tblChannels[Channel Name],"")</f>
        <v>In-store</v>
      </c>
      <c r="R4699" s="1">
        <f>MONTH(tblSales[[#This Row],[Date]])</f>
        <v>10</v>
      </c>
    </row>
    <row r="4700" spans="2:18" x14ac:dyDescent="0.35">
      <c r="B4700" s="113">
        <v>46308</v>
      </c>
      <c r="C4700" s="4" t="s">
        <v>3200</v>
      </c>
      <c r="D4700" s="4" t="s">
        <v>4568</v>
      </c>
      <c r="E4700" s="1" t="str">
        <f>_xlfn.XLOOKUP(tblSales[[#This Row],[Customer ID]],tblCustomers[Customer ID],tblCustomers[Customer Name],"⚠ Unknown")</f>
        <v>Walk-in Customer</v>
      </c>
      <c r="F4700" s="4" t="s">
        <v>10</v>
      </c>
      <c r="G4700" s="1" t="str">
        <f>_xlfn.XLOOKUP(tblSales[[#This Row],[Product Code]],tblProducts[Code],tblProducts[Product / Service Name],"⚠ Unknown")</f>
        <v>Chino Pants</v>
      </c>
      <c r="H4700" s="1" t="str">
        <f>_xlfn.XLOOKUP(tblSales[[#This Row],[Product Code]],tblProducts[Code],tblProducts[Category],"")</f>
        <v>Apparel &amp; Footwear</v>
      </c>
      <c r="I4700" s="4">
        <v>7</v>
      </c>
      <c r="J4700" s="5">
        <f>_xlfn.XLOOKUP(tblSales[[#This Row],[Product Code]],tblProducts[Code],tblProducts[Selling Price (excl. VAT)],0)</f>
        <v>150000</v>
      </c>
      <c r="K4700" s="5">
        <f>tblSales[[#This Row],[Qty]]*tblSales[[#This Row],[Unit Price]]</f>
        <v>1050000</v>
      </c>
      <c r="L4700" s="5">
        <f>ROUND(tblSales[[#This Row],[DPP (excl. VAT)]]*VATEff,0)</f>
        <v>115500</v>
      </c>
      <c r="M4700" s="5">
        <f>tblSales[[#This Row],[DPP (excl. VAT)]]+tblSales[[#This Row],[Output VAT]]</f>
        <v>1165500</v>
      </c>
      <c r="N4700" s="5">
        <f>tblSales[[#This Row],[Qty]]*_xlfn.XLOOKUP(tblSales[[#This Row],[Product Code]],tblProducts[Code],tblProducts[Unit Cost],0)</f>
        <v>616000</v>
      </c>
      <c r="O4700" s="4" t="s">
        <v>4865</v>
      </c>
      <c r="P4700" s="4" t="s">
        <v>4860</v>
      </c>
      <c r="Q4700" s="1" t="str">
        <f>_xlfn.XLOOKUP(tblSales[[#This Row],[Channel Code]],tblChannels[Channel Code],tblChannels[Channel Name],"")</f>
        <v>In-store</v>
      </c>
      <c r="R4700" s="1">
        <f>MONTH(tblSales[[#This Row],[Date]])</f>
        <v>10</v>
      </c>
    </row>
    <row r="4701" spans="2:18" x14ac:dyDescent="0.35">
      <c r="B4701" s="113">
        <v>46308</v>
      </c>
      <c r="C4701" s="4" t="s">
        <v>3201</v>
      </c>
      <c r="D4701" s="4" t="s">
        <v>4568</v>
      </c>
      <c r="E4701" s="1" t="str">
        <f>_xlfn.XLOOKUP(tblSales[[#This Row],[Customer ID]],tblCustomers[Customer ID],tblCustomers[Customer Name],"⚠ Unknown")</f>
        <v>Walk-in Customer</v>
      </c>
      <c r="F4701" s="4" t="s">
        <v>9</v>
      </c>
      <c r="G4701" s="1" t="str">
        <f>_xlfn.XLOOKUP(tblSales[[#This Row],[Product Code]],tblProducts[Code],tblProducts[Product / Service Name],"⚠ Unknown")</f>
        <v>Casual Shirt</v>
      </c>
      <c r="H4701" s="1" t="str">
        <f>_xlfn.XLOOKUP(tblSales[[#This Row],[Product Code]],tblProducts[Code],tblProducts[Category],"")</f>
        <v>Apparel &amp; Footwear</v>
      </c>
      <c r="I4701" s="4">
        <v>8</v>
      </c>
      <c r="J4701" s="5">
        <f>_xlfn.XLOOKUP(tblSales[[#This Row],[Product Code]],tblProducts[Code],tblProducts[Selling Price (excl. VAT)],0)</f>
        <v>120000</v>
      </c>
      <c r="K4701" s="5">
        <f>tblSales[[#This Row],[Qty]]*tblSales[[#This Row],[Unit Price]]</f>
        <v>960000</v>
      </c>
      <c r="L4701" s="5">
        <f>ROUND(tblSales[[#This Row],[DPP (excl. VAT)]]*VATEff,0)</f>
        <v>105600</v>
      </c>
      <c r="M4701" s="5">
        <f>tblSales[[#This Row],[DPP (excl. VAT)]]+tblSales[[#This Row],[Output VAT]]</f>
        <v>1065600</v>
      </c>
      <c r="N4701" s="5">
        <f>tblSales[[#This Row],[Qty]]*_xlfn.XLOOKUP(tblSales[[#This Row],[Product Code]],tblProducts[Code],tblProducts[Unit Cost],0)</f>
        <v>576000</v>
      </c>
      <c r="O4701" s="4" t="s">
        <v>4865</v>
      </c>
      <c r="P4701" s="4" t="s">
        <v>4860</v>
      </c>
      <c r="Q4701" s="1" t="str">
        <f>_xlfn.XLOOKUP(tblSales[[#This Row],[Channel Code]],tblChannels[Channel Code],tblChannels[Channel Name],"")</f>
        <v>In-store</v>
      </c>
      <c r="R4701" s="1">
        <f>MONTH(tblSales[[#This Row],[Date]])</f>
        <v>10</v>
      </c>
    </row>
    <row r="4702" spans="2:18" x14ac:dyDescent="0.35">
      <c r="B4702" s="113">
        <v>46308</v>
      </c>
      <c r="C4702" s="4" t="s">
        <v>3201</v>
      </c>
      <c r="D4702" s="4" t="s">
        <v>4568</v>
      </c>
      <c r="E4702" s="1" t="str">
        <f>_xlfn.XLOOKUP(tblSales[[#This Row],[Customer ID]],tblCustomers[Customer ID],tblCustomers[Customer Name],"⚠ Unknown")</f>
        <v>Walk-in Customer</v>
      </c>
      <c r="F4702" s="4" t="s">
        <v>11</v>
      </c>
      <c r="G4702" s="1" t="str">
        <f>_xlfn.XLOOKUP(tblSales[[#This Row],[Product Code]],tblProducts[Code],tblProducts[Product / Service Name],"⚠ Unknown")</f>
        <v>Sneakers</v>
      </c>
      <c r="H4702" s="1" t="str">
        <f>_xlfn.XLOOKUP(tblSales[[#This Row],[Product Code]],tblProducts[Code],tblProducts[Category],"")</f>
        <v>Apparel &amp; Footwear</v>
      </c>
      <c r="I4702" s="4">
        <v>1</v>
      </c>
      <c r="J4702" s="5">
        <f>_xlfn.XLOOKUP(tblSales[[#This Row],[Product Code]],tblProducts[Code],tblProducts[Selling Price (excl. VAT)],0)</f>
        <v>250000</v>
      </c>
      <c r="K4702" s="5">
        <f>tblSales[[#This Row],[Qty]]*tblSales[[#This Row],[Unit Price]]</f>
        <v>250000</v>
      </c>
      <c r="L4702" s="5">
        <f>ROUND(tblSales[[#This Row],[DPP (excl. VAT)]]*VATEff,0)</f>
        <v>27500</v>
      </c>
      <c r="M4702" s="5">
        <f>tblSales[[#This Row],[DPP (excl. VAT)]]+tblSales[[#This Row],[Output VAT]]</f>
        <v>277500</v>
      </c>
      <c r="N4702" s="5">
        <f>tblSales[[#This Row],[Qty]]*_xlfn.XLOOKUP(tblSales[[#This Row],[Product Code]],tblProducts[Code],tblProducts[Unit Cost],0)</f>
        <v>155000</v>
      </c>
      <c r="O4702" s="4" t="s">
        <v>4865</v>
      </c>
      <c r="P4702" s="4" t="s">
        <v>4860</v>
      </c>
      <c r="Q4702" s="1" t="str">
        <f>_xlfn.XLOOKUP(tblSales[[#This Row],[Channel Code]],tblChannels[Channel Code],tblChannels[Channel Name],"")</f>
        <v>In-store</v>
      </c>
      <c r="R4702" s="1">
        <f>MONTH(tblSales[[#This Row],[Date]])</f>
        <v>10</v>
      </c>
    </row>
    <row r="4703" spans="2:18" x14ac:dyDescent="0.35">
      <c r="B4703" s="113">
        <v>46308</v>
      </c>
      <c r="C4703" s="4" t="s">
        <v>3202</v>
      </c>
      <c r="D4703" s="4" t="s">
        <v>4568</v>
      </c>
      <c r="E4703" s="1" t="str">
        <f>_xlfn.XLOOKUP(tblSales[[#This Row],[Customer ID]],tblCustomers[Customer ID],tblCustomers[Customer Name],"⚠ Unknown")</f>
        <v>Walk-in Customer</v>
      </c>
      <c r="F4703" s="4" t="s">
        <v>6</v>
      </c>
      <c r="G4703" s="1" t="str">
        <f>_xlfn.XLOOKUP(tblSales[[#This Row],[Product Code]],tblProducts[Code],tblProducts[Product / Service Name],"⚠ Unknown")</f>
        <v>Socks &amp; Accessories</v>
      </c>
      <c r="H4703" s="1" t="str">
        <f>_xlfn.XLOOKUP(tblSales[[#This Row],[Product Code]],tblProducts[Code],tblProducts[Category],"")</f>
        <v>Accessories &amp; Basics</v>
      </c>
      <c r="I4703" s="4">
        <v>9</v>
      </c>
      <c r="J4703" s="5">
        <f>_xlfn.XLOOKUP(tblSales[[#This Row],[Product Code]],tblProducts[Code],tblProducts[Selling Price (excl. VAT)],0)</f>
        <v>45000</v>
      </c>
      <c r="K4703" s="5">
        <f>tblSales[[#This Row],[Qty]]*tblSales[[#This Row],[Unit Price]]</f>
        <v>405000</v>
      </c>
      <c r="L4703" s="5">
        <f>ROUND(tblSales[[#This Row],[DPP (excl. VAT)]]*VATEff,0)</f>
        <v>44550</v>
      </c>
      <c r="M4703" s="5">
        <f>tblSales[[#This Row],[DPP (excl. VAT)]]+tblSales[[#This Row],[Output VAT]]</f>
        <v>449550</v>
      </c>
      <c r="N4703" s="5">
        <f>tblSales[[#This Row],[Qty]]*_xlfn.XLOOKUP(tblSales[[#This Row],[Product Code]],tblProducts[Code],tblProducts[Unit Cost],0)</f>
        <v>216000</v>
      </c>
      <c r="O4703" s="4" t="s">
        <v>4866</v>
      </c>
      <c r="P4703" s="4" t="s">
        <v>4861</v>
      </c>
      <c r="Q4703" s="1" t="str">
        <f>_xlfn.XLOOKUP(tblSales[[#This Row],[Channel Code]],tblChannels[Channel Code],tblChannels[Channel Name],"")</f>
        <v>Marketplace</v>
      </c>
      <c r="R4703" s="1">
        <f>MONTH(tblSales[[#This Row],[Date]])</f>
        <v>10</v>
      </c>
    </row>
    <row r="4704" spans="2:18" x14ac:dyDescent="0.35">
      <c r="B4704" s="113">
        <v>46308</v>
      </c>
      <c r="C4704" s="4" t="s">
        <v>3203</v>
      </c>
      <c r="D4704" s="4" t="s">
        <v>4568</v>
      </c>
      <c r="E4704" s="1" t="str">
        <f>_xlfn.XLOOKUP(tblSales[[#This Row],[Customer ID]],tblCustomers[Customer ID],tblCustomers[Customer Name],"⚠ Unknown")</f>
        <v>Walk-in Customer</v>
      </c>
      <c r="F4704" s="4" t="s">
        <v>11</v>
      </c>
      <c r="G4704" s="1" t="str">
        <f>_xlfn.XLOOKUP(tblSales[[#This Row],[Product Code]],tblProducts[Code],tblProducts[Product / Service Name],"⚠ Unknown")</f>
        <v>Sneakers</v>
      </c>
      <c r="H4704" s="1" t="str">
        <f>_xlfn.XLOOKUP(tblSales[[#This Row],[Product Code]],tblProducts[Code],tblProducts[Category],"")</f>
        <v>Apparel &amp; Footwear</v>
      </c>
      <c r="I4704" s="4">
        <v>4</v>
      </c>
      <c r="J4704" s="5">
        <f>_xlfn.XLOOKUP(tblSales[[#This Row],[Product Code]],tblProducts[Code],tblProducts[Selling Price (excl. VAT)],0)</f>
        <v>250000</v>
      </c>
      <c r="K4704" s="5">
        <f>tblSales[[#This Row],[Qty]]*tblSales[[#This Row],[Unit Price]]</f>
        <v>1000000</v>
      </c>
      <c r="L4704" s="5">
        <f>ROUND(tblSales[[#This Row],[DPP (excl. VAT)]]*VATEff,0)</f>
        <v>110000</v>
      </c>
      <c r="M4704" s="5">
        <f>tblSales[[#This Row],[DPP (excl. VAT)]]+tblSales[[#This Row],[Output VAT]]</f>
        <v>1110000</v>
      </c>
      <c r="N4704" s="5">
        <f>tblSales[[#This Row],[Qty]]*_xlfn.XLOOKUP(tblSales[[#This Row],[Product Code]],tblProducts[Code],tblProducts[Unit Cost],0)</f>
        <v>620000</v>
      </c>
      <c r="O4704" s="4" t="s">
        <v>4866</v>
      </c>
      <c r="P4704" s="4" t="s">
        <v>4861</v>
      </c>
      <c r="Q4704" s="1" t="str">
        <f>_xlfn.XLOOKUP(tblSales[[#This Row],[Channel Code]],tblChannels[Channel Code],tblChannels[Channel Name],"")</f>
        <v>Marketplace</v>
      </c>
      <c r="R4704" s="1">
        <f>MONTH(tblSales[[#This Row],[Date]])</f>
        <v>10</v>
      </c>
    </row>
    <row r="4705" spans="2:18" x14ac:dyDescent="0.35">
      <c r="B4705" s="113">
        <v>46308</v>
      </c>
      <c r="C4705" s="4" t="s">
        <v>3203</v>
      </c>
      <c r="D4705" s="4" t="s">
        <v>4568</v>
      </c>
      <c r="E4705" s="1" t="str">
        <f>_xlfn.XLOOKUP(tblSales[[#This Row],[Customer ID]],tblCustomers[Customer ID],tblCustomers[Customer Name],"⚠ Unknown")</f>
        <v>Walk-in Customer</v>
      </c>
      <c r="F4705" s="4" t="s">
        <v>7</v>
      </c>
      <c r="G4705" s="1" t="str">
        <f>_xlfn.XLOOKUP(tblSales[[#This Row],[Product Code]],tblProducts[Code],tblProducts[Product / Service Name],"⚠ Unknown")</f>
        <v>Premium Basic T-shirt</v>
      </c>
      <c r="H4705" s="1" t="str">
        <f>_xlfn.XLOOKUP(tblSales[[#This Row],[Product Code]],tblProducts[Code],tblProducts[Category],"")</f>
        <v>Accessories &amp; Basics</v>
      </c>
      <c r="I4705" s="4">
        <v>11</v>
      </c>
      <c r="J4705" s="5">
        <f>_xlfn.XLOOKUP(tblSales[[#This Row],[Product Code]],tblProducts[Code],tblProducts[Selling Price (excl. VAT)],0)</f>
        <v>65000</v>
      </c>
      <c r="K4705" s="5">
        <f>tblSales[[#This Row],[Qty]]*tblSales[[#This Row],[Unit Price]]</f>
        <v>715000</v>
      </c>
      <c r="L4705" s="5">
        <f>ROUND(tblSales[[#This Row],[DPP (excl. VAT)]]*VATEff,0)</f>
        <v>78650</v>
      </c>
      <c r="M4705" s="5">
        <f>tblSales[[#This Row],[DPP (excl. VAT)]]+tblSales[[#This Row],[Output VAT]]</f>
        <v>793650</v>
      </c>
      <c r="N4705" s="5">
        <f>tblSales[[#This Row],[Qty]]*_xlfn.XLOOKUP(tblSales[[#This Row],[Product Code]],tblProducts[Code],tblProducts[Unit Cost],0)</f>
        <v>407000</v>
      </c>
      <c r="O4705" s="4" t="s">
        <v>4866</v>
      </c>
      <c r="P4705" s="4" t="s">
        <v>4861</v>
      </c>
      <c r="Q4705" s="1" t="str">
        <f>_xlfn.XLOOKUP(tblSales[[#This Row],[Channel Code]],tblChannels[Channel Code],tblChannels[Channel Name],"")</f>
        <v>Marketplace</v>
      </c>
      <c r="R4705" s="1">
        <f>MONTH(tblSales[[#This Row],[Date]])</f>
        <v>10</v>
      </c>
    </row>
    <row r="4706" spans="2:18" x14ac:dyDescent="0.35">
      <c r="B4706" s="113">
        <v>46308</v>
      </c>
      <c r="C4706" s="4" t="s">
        <v>3204</v>
      </c>
      <c r="D4706" s="4" t="s">
        <v>4568</v>
      </c>
      <c r="E4706" s="1" t="str">
        <f>_xlfn.XLOOKUP(tblSales[[#This Row],[Customer ID]],tblCustomers[Customer ID],tblCustomers[Customer Name],"⚠ Unknown")</f>
        <v>Walk-in Customer</v>
      </c>
      <c r="F4706" s="4" t="s">
        <v>14</v>
      </c>
      <c r="G4706" s="1" t="str">
        <f>_xlfn.XLOOKUP(tblSales[[#This Row],[Product Code]],tblProducts[Code],tblProducts[Product / Service Name],"⚠ Unknown")</f>
        <v>Smartwatch</v>
      </c>
      <c r="H4706" s="1" t="str">
        <f>_xlfn.XLOOKUP(tblSales[[#This Row],[Product Code]],tblProducts[Code],tblProducts[Category],"")</f>
        <v>Bags &amp; Gadgets</v>
      </c>
      <c r="I4706" s="4">
        <v>2</v>
      </c>
      <c r="J4706" s="5">
        <f>_xlfn.XLOOKUP(tblSales[[#This Row],[Product Code]],tblProducts[Code],tblProducts[Selling Price (excl. VAT)],0)</f>
        <v>850000</v>
      </c>
      <c r="K4706" s="5">
        <f>tblSales[[#This Row],[Qty]]*tblSales[[#This Row],[Unit Price]]</f>
        <v>1700000</v>
      </c>
      <c r="L4706" s="5">
        <f>ROUND(tblSales[[#This Row],[DPP (excl. VAT)]]*VATEff,0)</f>
        <v>187000</v>
      </c>
      <c r="M4706" s="5">
        <f>tblSales[[#This Row],[DPP (excl. VAT)]]+tblSales[[#This Row],[Output VAT]]</f>
        <v>1887000</v>
      </c>
      <c r="N4706" s="5">
        <f>tblSales[[#This Row],[Qty]]*_xlfn.XLOOKUP(tblSales[[#This Row],[Product Code]],tblProducts[Code],tblProducts[Unit Cost],0)</f>
        <v>1120000</v>
      </c>
      <c r="O4706" s="4" t="s">
        <v>4866</v>
      </c>
      <c r="P4706" s="4" t="s">
        <v>4861</v>
      </c>
      <c r="Q4706" s="1" t="str">
        <f>_xlfn.XLOOKUP(tblSales[[#This Row],[Channel Code]],tblChannels[Channel Code],tblChannels[Channel Name],"")</f>
        <v>Marketplace</v>
      </c>
      <c r="R4706" s="1">
        <f>MONTH(tblSales[[#This Row],[Date]])</f>
        <v>10</v>
      </c>
    </row>
    <row r="4707" spans="2:18" x14ac:dyDescent="0.35">
      <c r="B4707" s="113">
        <v>46308</v>
      </c>
      <c r="C4707" s="4" t="s">
        <v>3205</v>
      </c>
      <c r="D4707" s="4" t="s">
        <v>4634</v>
      </c>
      <c r="E4707" s="1" t="str">
        <f>_xlfn.XLOOKUP(tblSales[[#This Row],[Customer ID]],tblCustomers[Customer ID],tblCustomers[Customer Name],"⚠ Unknown")</f>
        <v>PT Delta Inti Selaras</v>
      </c>
      <c r="F4707" s="4" t="s">
        <v>10</v>
      </c>
      <c r="G4707" s="1" t="str">
        <f>_xlfn.XLOOKUP(tblSales[[#This Row],[Product Code]],tblProducts[Code],tblProducts[Product / Service Name],"⚠ Unknown")</f>
        <v>Chino Pants</v>
      </c>
      <c r="H4707" s="1" t="str">
        <f>_xlfn.XLOOKUP(tblSales[[#This Row],[Product Code]],tblProducts[Code],tblProducts[Category],"")</f>
        <v>Apparel &amp; Footwear</v>
      </c>
      <c r="I4707" s="4">
        <v>16</v>
      </c>
      <c r="J4707" s="5">
        <f>_xlfn.XLOOKUP(tblSales[[#This Row],[Product Code]],tblProducts[Code],tblProducts[Selling Price (excl. VAT)],0)</f>
        <v>150000</v>
      </c>
      <c r="K4707" s="5">
        <f>tblSales[[#This Row],[Qty]]*tblSales[[#This Row],[Unit Price]]</f>
        <v>2400000</v>
      </c>
      <c r="L4707" s="5">
        <f>ROUND(tblSales[[#This Row],[DPP (excl. VAT)]]*VATEff,0)</f>
        <v>264000</v>
      </c>
      <c r="M4707" s="5">
        <f>tblSales[[#This Row],[DPP (excl. VAT)]]+tblSales[[#This Row],[Output VAT]]</f>
        <v>2664000</v>
      </c>
      <c r="N4707" s="5">
        <f>tblSales[[#This Row],[Qty]]*_xlfn.XLOOKUP(tblSales[[#This Row],[Product Code]],tblProducts[Code],tblProducts[Unit Cost],0)</f>
        <v>1408000</v>
      </c>
      <c r="O4707" s="4" t="s">
        <v>4867</v>
      </c>
      <c r="P4707" s="4" t="s">
        <v>4860</v>
      </c>
      <c r="Q4707" s="1" t="str">
        <f>_xlfn.XLOOKUP(tblSales[[#This Row],[Channel Code]],tblChannels[Channel Code],tblChannels[Channel Name],"")</f>
        <v>In-store</v>
      </c>
      <c r="R4707" s="1">
        <f>MONTH(tblSales[[#This Row],[Date]])</f>
        <v>10</v>
      </c>
    </row>
    <row r="4708" spans="2:18" x14ac:dyDescent="0.35">
      <c r="B4708" s="113">
        <v>46308</v>
      </c>
      <c r="C4708" s="4" t="s">
        <v>3205</v>
      </c>
      <c r="D4708" s="4" t="s">
        <v>4634</v>
      </c>
      <c r="E4708" s="1" t="str">
        <f>_xlfn.XLOOKUP(tblSales[[#This Row],[Customer ID]],tblCustomers[Customer ID],tblCustomers[Customer Name],"⚠ Unknown")</f>
        <v>PT Delta Inti Selaras</v>
      </c>
      <c r="F4708" s="4" t="s">
        <v>6</v>
      </c>
      <c r="G4708" s="1" t="str">
        <f>_xlfn.XLOOKUP(tblSales[[#This Row],[Product Code]],tblProducts[Code],tblProducts[Product / Service Name],"⚠ Unknown")</f>
        <v>Socks &amp; Accessories</v>
      </c>
      <c r="H4708" s="1" t="str">
        <f>_xlfn.XLOOKUP(tblSales[[#This Row],[Product Code]],tblProducts[Code],tblProducts[Category],"")</f>
        <v>Accessories &amp; Basics</v>
      </c>
      <c r="I4708" s="4">
        <v>8</v>
      </c>
      <c r="J4708" s="5">
        <f>_xlfn.XLOOKUP(tblSales[[#This Row],[Product Code]],tblProducts[Code],tblProducts[Selling Price (excl. VAT)],0)</f>
        <v>45000</v>
      </c>
      <c r="K4708" s="5">
        <f>tblSales[[#This Row],[Qty]]*tblSales[[#This Row],[Unit Price]]</f>
        <v>360000</v>
      </c>
      <c r="L4708" s="5">
        <f>ROUND(tblSales[[#This Row],[DPP (excl. VAT)]]*VATEff,0)</f>
        <v>39600</v>
      </c>
      <c r="M4708" s="5">
        <f>tblSales[[#This Row],[DPP (excl. VAT)]]+tblSales[[#This Row],[Output VAT]]</f>
        <v>399600</v>
      </c>
      <c r="N4708" s="5">
        <f>tblSales[[#This Row],[Qty]]*_xlfn.XLOOKUP(tblSales[[#This Row],[Product Code]],tblProducts[Code],tblProducts[Unit Cost],0)</f>
        <v>192000</v>
      </c>
      <c r="O4708" s="4" t="s">
        <v>4867</v>
      </c>
      <c r="P4708" s="4" t="s">
        <v>4860</v>
      </c>
      <c r="Q4708" s="1" t="str">
        <f>_xlfn.XLOOKUP(tblSales[[#This Row],[Channel Code]],tblChannels[Channel Code],tblChannels[Channel Name],"")</f>
        <v>In-store</v>
      </c>
      <c r="R4708" s="1">
        <f>MONTH(tblSales[[#This Row],[Date]])</f>
        <v>10</v>
      </c>
    </row>
    <row r="4709" spans="2:18" x14ac:dyDescent="0.35">
      <c r="B4709" s="113">
        <v>46308</v>
      </c>
      <c r="C4709" s="4" t="s">
        <v>3206</v>
      </c>
      <c r="D4709" s="4" t="s">
        <v>4606</v>
      </c>
      <c r="E4709" s="1" t="str">
        <f>_xlfn.XLOOKUP(tblSales[[#This Row],[Customer ID]],tblCustomers[Customer ID],tblCustomers[Customer Name],"⚠ Unknown")</f>
        <v>PT Arunika Digital Kreatif</v>
      </c>
      <c r="F4709" s="4" t="s">
        <v>6</v>
      </c>
      <c r="G4709" s="1" t="str">
        <f>_xlfn.XLOOKUP(tblSales[[#This Row],[Product Code]],tblProducts[Code],tblProducts[Product / Service Name],"⚠ Unknown")</f>
        <v>Socks &amp; Accessories</v>
      </c>
      <c r="H4709" s="1" t="str">
        <f>_xlfn.XLOOKUP(tblSales[[#This Row],[Product Code]],tblProducts[Code],tblProducts[Category],"")</f>
        <v>Accessories &amp; Basics</v>
      </c>
      <c r="I4709" s="4">
        <v>40</v>
      </c>
      <c r="J4709" s="5">
        <f>_xlfn.XLOOKUP(tblSales[[#This Row],[Product Code]],tblProducts[Code],tblProducts[Selling Price (excl. VAT)],0)</f>
        <v>45000</v>
      </c>
      <c r="K4709" s="5">
        <f>tblSales[[#This Row],[Qty]]*tblSales[[#This Row],[Unit Price]]</f>
        <v>1800000</v>
      </c>
      <c r="L4709" s="5">
        <f>ROUND(tblSales[[#This Row],[DPP (excl. VAT)]]*VATEff,0)</f>
        <v>198000</v>
      </c>
      <c r="M4709" s="5">
        <f>tblSales[[#This Row],[DPP (excl. VAT)]]+tblSales[[#This Row],[Output VAT]]</f>
        <v>1998000</v>
      </c>
      <c r="N4709" s="5">
        <f>tblSales[[#This Row],[Qty]]*_xlfn.XLOOKUP(tblSales[[#This Row],[Product Code]],tblProducts[Code],tblProducts[Unit Cost],0)</f>
        <v>960000</v>
      </c>
      <c r="O4709" s="4" t="s">
        <v>4867</v>
      </c>
      <c r="P4709" s="4" t="s">
        <v>4860</v>
      </c>
      <c r="Q4709" s="1" t="str">
        <f>_xlfn.XLOOKUP(tblSales[[#This Row],[Channel Code]],tblChannels[Channel Code],tblChannels[Channel Name],"")</f>
        <v>In-store</v>
      </c>
      <c r="R4709" s="1">
        <f>MONTH(tblSales[[#This Row],[Date]])</f>
        <v>10</v>
      </c>
    </row>
    <row r="4710" spans="2:18" x14ac:dyDescent="0.35">
      <c r="B4710" s="113">
        <v>46308</v>
      </c>
      <c r="C4710" s="4" t="s">
        <v>3207</v>
      </c>
      <c r="D4710" s="4" t="s">
        <v>4613</v>
      </c>
      <c r="E4710" s="1" t="str">
        <f>_xlfn.XLOOKUP(tblSales[[#This Row],[Customer ID]],tblCustomers[Customer ID],tblCustomers[Customer Name],"⚠ Unknown")</f>
        <v>PT Mega Prima Distribusi</v>
      </c>
      <c r="F4710" s="4" t="s">
        <v>6</v>
      </c>
      <c r="G4710" s="1" t="str">
        <f>_xlfn.XLOOKUP(tblSales[[#This Row],[Product Code]],tblProducts[Code],tblProducts[Product / Service Name],"⚠ Unknown")</f>
        <v>Socks &amp; Accessories</v>
      </c>
      <c r="H4710" s="1" t="str">
        <f>_xlfn.XLOOKUP(tblSales[[#This Row],[Product Code]],tblProducts[Code],tblProducts[Category],"")</f>
        <v>Accessories &amp; Basics</v>
      </c>
      <c r="I4710" s="4">
        <v>56</v>
      </c>
      <c r="J4710" s="5">
        <f>_xlfn.XLOOKUP(tblSales[[#This Row],[Product Code]],tblProducts[Code],tblProducts[Selling Price (excl. VAT)],0)</f>
        <v>45000</v>
      </c>
      <c r="K4710" s="5">
        <f>tblSales[[#This Row],[Qty]]*tblSales[[#This Row],[Unit Price]]</f>
        <v>2520000</v>
      </c>
      <c r="L4710" s="5">
        <f>ROUND(tblSales[[#This Row],[DPP (excl. VAT)]]*VATEff,0)</f>
        <v>277200</v>
      </c>
      <c r="M4710" s="5">
        <f>tblSales[[#This Row],[DPP (excl. VAT)]]+tblSales[[#This Row],[Output VAT]]</f>
        <v>2797200</v>
      </c>
      <c r="N4710" s="5">
        <f>tblSales[[#This Row],[Qty]]*_xlfn.XLOOKUP(tblSales[[#This Row],[Product Code]],tblProducts[Code],tblProducts[Unit Cost],0)</f>
        <v>1344000</v>
      </c>
      <c r="O4710" s="4" t="s">
        <v>4867</v>
      </c>
      <c r="P4710" s="4" t="s">
        <v>4860</v>
      </c>
      <c r="Q4710" s="1" t="str">
        <f>_xlfn.XLOOKUP(tblSales[[#This Row],[Channel Code]],tblChannels[Channel Code],tblChannels[Channel Name],"")</f>
        <v>In-store</v>
      </c>
      <c r="R4710" s="1">
        <f>MONTH(tblSales[[#This Row],[Date]])</f>
        <v>10</v>
      </c>
    </row>
    <row r="4711" spans="2:18" x14ac:dyDescent="0.35">
      <c r="B4711" s="113">
        <v>46309</v>
      </c>
      <c r="C4711" s="4" t="s">
        <v>3208</v>
      </c>
      <c r="D4711" s="4" t="s">
        <v>4568</v>
      </c>
      <c r="E4711" s="1" t="str">
        <f>_xlfn.XLOOKUP(tblSales[[#This Row],[Customer ID]],tblCustomers[Customer ID],tblCustomers[Customer Name],"⚠ Unknown")</f>
        <v>Walk-in Customer</v>
      </c>
      <c r="F4711" s="4" t="s">
        <v>11</v>
      </c>
      <c r="G4711" s="1" t="str">
        <f>_xlfn.XLOOKUP(tblSales[[#This Row],[Product Code]],tblProducts[Code],tblProducts[Product / Service Name],"⚠ Unknown")</f>
        <v>Sneakers</v>
      </c>
      <c r="H4711" s="1" t="str">
        <f>_xlfn.XLOOKUP(tblSales[[#This Row],[Product Code]],tblProducts[Code],tblProducts[Category],"")</f>
        <v>Apparel &amp; Footwear</v>
      </c>
      <c r="I4711" s="4">
        <v>2</v>
      </c>
      <c r="J4711" s="5">
        <f>_xlfn.XLOOKUP(tblSales[[#This Row],[Product Code]],tblProducts[Code],tblProducts[Selling Price (excl. VAT)],0)</f>
        <v>250000</v>
      </c>
      <c r="K4711" s="5">
        <f>tblSales[[#This Row],[Qty]]*tblSales[[#This Row],[Unit Price]]</f>
        <v>500000</v>
      </c>
      <c r="L4711" s="5">
        <f>ROUND(tblSales[[#This Row],[DPP (excl. VAT)]]*VATEff,0)</f>
        <v>55000</v>
      </c>
      <c r="M4711" s="5">
        <f>tblSales[[#This Row],[DPP (excl. VAT)]]+tblSales[[#This Row],[Output VAT]]</f>
        <v>555000</v>
      </c>
      <c r="N4711" s="5">
        <f>tblSales[[#This Row],[Qty]]*_xlfn.XLOOKUP(tblSales[[#This Row],[Product Code]],tblProducts[Code],tblProducts[Unit Cost],0)</f>
        <v>310000</v>
      </c>
      <c r="O4711" s="4" t="s">
        <v>4866</v>
      </c>
      <c r="P4711" s="4" t="s">
        <v>4862</v>
      </c>
      <c r="Q4711" s="1" t="str">
        <f>_xlfn.XLOOKUP(tblSales[[#This Row],[Channel Code]],tblChannels[Channel Code],tblChannels[Channel Name],"")</f>
        <v>Website &amp; Social Media</v>
      </c>
      <c r="R4711" s="1">
        <f>MONTH(tblSales[[#This Row],[Date]])</f>
        <v>10</v>
      </c>
    </row>
    <row r="4712" spans="2:18" x14ac:dyDescent="0.35">
      <c r="B4712" s="113">
        <v>46309</v>
      </c>
      <c r="C4712" s="4" t="s">
        <v>3209</v>
      </c>
      <c r="D4712" s="4" t="s">
        <v>4568</v>
      </c>
      <c r="E4712" s="1" t="str">
        <f>_xlfn.XLOOKUP(tblSales[[#This Row],[Customer ID]],tblCustomers[Customer ID],tblCustomers[Customer Name],"⚠ Unknown")</f>
        <v>Walk-in Customer</v>
      </c>
      <c r="F4712" s="4" t="s">
        <v>10</v>
      </c>
      <c r="G4712" s="1" t="str">
        <f>_xlfn.XLOOKUP(tblSales[[#This Row],[Product Code]],tblProducts[Code],tblProducts[Product / Service Name],"⚠ Unknown")</f>
        <v>Chino Pants</v>
      </c>
      <c r="H4712" s="1" t="str">
        <f>_xlfn.XLOOKUP(tblSales[[#This Row],[Product Code]],tblProducts[Code],tblProducts[Category],"")</f>
        <v>Apparel &amp; Footwear</v>
      </c>
      <c r="I4712" s="4">
        <v>1</v>
      </c>
      <c r="J4712" s="5">
        <f>_xlfn.XLOOKUP(tblSales[[#This Row],[Product Code]],tblProducts[Code],tblProducts[Selling Price (excl. VAT)],0)</f>
        <v>150000</v>
      </c>
      <c r="K4712" s="5">
        <f>tblSales[[#This Row],[Qty]]*tblSales[[#This Row],[Unit Price]]</f>
        <v>150000</v>
      </c>
      <c r="L4712" s="5">
        <f>ROUND(tblSales[[#This Row],[DPP (excl. VAT)]]*VATEff,0)</f>
        <v>16500</v>
      </c>
      <c r="M4712" s="5">
        <f>tblSales[[#This Row],[DPP (excl. VAT)]]+tblSales[[#This Row],[Output VAT]]</f>
        <v>166500</v>
      </c>
      <c r="N4712" s="5">
        <f>tblSales[[#This Row],[Qty]]*_xlfn.XLOOKUP(tblSales[[#This Row],[Product Code]],tblProducts[Code],tblProducts[Unit Cost],0)</f>
        <v>88000</v>
      </c>
      <c r="O4712" s="4" t="s">
        <v>4866</v>
      </c>
      <c r="P4712" s="4" t="s">
        <v>4861</v>
      </c>
      <c r="Q4712" s="1" t="str">
        <f>_xlfn.XLOOKUP(tblSales[[#This Row],[Channel Code]],tblChannels[Channel Code],tblChannels[Channel Name],"")</f>
        <v>Marketplace</v>
      </c>
      <c r="R4712" s="1">
        <f>MONTH(tblSales[[#This Row],[Date]])</f>
        <v>10</v>
      </c>
    </row>
    <row r="4713" spans="2:18" x14ac:dyDescent="0.35">
      <c r="B4713" s="113">
        <v>46309</v>
      </c>
      <c r="C4713" s="4" t="s">
        <v>3209</v>
      </c>
      <c r="D4713" s="4" t="s">
        <v>4568</v>
      </c>
      <c r="E4713" s="1" t="str">
        <f>_xlfn.XLOOKUP(tblSales[[#This Row],[Customer ID]],tblCustomers[Customer ID],tblCustomers[Customer Name],"⚠ Unknown")</f>
        <v>Walk-in Customer</v>
      </c>
      <c r="F4713" s="4" t="s">
        <v>11</v>
      </c>
      <c r="G4713" s="1" t="str">
        <f>_xlfn.XLOOKUP(tblSales[[#This Row],[Product Code]],tblProducts[Code],tblProducts[Product / Service Name],"⚠ Unknown")</f>
        <v>Sneakers</v>
      </c>
      <c r="H4713" s="1" t="str">
        <f>_xlfn.XLOOKUP(tblSales[[#This Row],[Product Code]],tblProducts[Code],tblProducts[Category],"")</f>
        <v>Apparel &amp; Footwear</v>
      </c>
      <c r="I4713" s="4">
        <v>3</v>
      </c>
      <c r="J4713" s="5">
        <f>_xlfn.XLOOKUP(tblSales[[#This Row],[Product Code]],tblProducts[Code],tblProducts[Selling Price (excl. VAT)],0)</f>
        <v>250000</v>
      </c>
      <c r="K4713" s="5">
        <f>tblSales[[#This Row],[Qty]]*tblSales[[#This Row],[Unit Price]]</f>
        <v>750000</v>
      </c>
      <c r="L4713" s="5">
        <f>ROUND(tblSales[[#This Row],[DPP (excl. VAT)]]*VATEff,0)</f>
        <v>82500</v>
      </c>
      <c r="M4713" s="5">
        <f>tblSales[[#This Row],[DPP (excl. VAT)]]+tblSales[[#This Row],[Output VAT]]</f>
        <v>832500</v>
      </c>
      <c r="N4713" s="5">
        <f>tblSales[[#This Row],[Qty]]*_xlfn.XLOOKUP(tblSales[[#This Row],[Product Code]],tblProducts[Code],tblProducts[Unit Cost],0)</f>
        <v>465000</v>
      </c>
      <c r="O4713" s="4" t="s">
        <v>4866</v>
      </c>
      <c r="P4713" s="4" t="s">
        <v>4861</v>
      </c>
      <c r="Q4713" s="1" t="str">
        <f>_xlfn.XLOOKUP(tblSales[[#This Row],[Channel Code]],tblChannels[Channel Code],tblChannels[Channel Name],"")</f>
        <v>Marketplace</v>
      </c>
      <c r="R4713" s="1">
        <f>MONTH(tblSales[[#This Row],[Date]])</f>
        <v>10</v>
      </c>
    </row>
    <row r="4714" spans="2:18" x14ac:dyDescent="0.35">
      <c r="B4714" s="113">
        <v>46309</v>
      </c>
      <c r="C4714" s="4" t="s">
        <v>3210</v>
      </c>
      <c r="D4714" s="4" t="s">
        <v>4568</v>
      </c>
      <c r="E4714" s="1" t="str">
        <f>_xlfn.XLOOKUP(tblSales[[#This Row],[Customer ID]],tblCustomers[Customer ID],tblCustomers[Customer Name],"⚠ Unknown")</f>
        <v>Walk-in Customer</v>
      </c>
      <c r="F4714" s="4" t="s">
        <v>10</v>
      </c>
      <c r="G4714" s="1" t="str">
        <f>_xlfn.XLOOKUP(tblSales[[#This Row],[Product Code]],tblProducts[Code],tblProducts[Product / Service Name],"⚠ Unknown")</f>
        <v>Chino Pants</v>
      </c>
      <c r="H4714" s="1" t="str">
        <f>_xlfn.XLOOKUP(tblSales[[#This Row],[Product Code]],tblProducts[Code],tblProducts[Category],"")</f>
        <v>Apparel &amp; Footwear</v>
      </c>
      <c r="I4714" s="4">
        <v>1</v>
      </c>
      <c r="J4714" s="5">
        <f>_xlfn.XLOOKUP(tblSales[[#This Row],[Product Code]],tblProducts[Code],tblProducts[Selling Price (excl. VAT)],0)</f>
        <v>150000</v>
      </c>
      <c r="K4714" s="5">
        <f>tblSales[[#This Row],[Qty]]*tblSales[[#This Row],[Unit Price]]</f>
        <v>150000</v>
      </c>
      <c r="L4714" s="5">
        <f>ROUND(tblSales[[#This Row],[DPP (excl. VAT)]]*VATEff,0)</f>
        <v>16500</v>
      </c>
      <c r="M4714" s="5">
        <f>tblSales[[#This Row],[DPP (excl. VAT)]]+tblSales[[#This Row],[Output VAT]]</f>
        <v>166500</v>
      </c>
      <c r="N4714" s="5">
        <f>tblSales[[#This Row],[Qty]]*_xlfn.XLOOKUP(tblSales[[#This Row],[Product Code]],tblProducts[Code],tblProducts[Unit Cost],0)</f>
        <v>88000</v>
      </c>
      <c r="O4714" s="4" t="s">
        <v>4865</v>
      </c>
      <c r="P4714" s="4" t="s">
        <v>4860</v>
      </c>
      <c r="Q4714" s="1" t="str">
        <f>_xlfn.XLOOKUP(tblSales[[#This Row],[Channel Code]],tblChannels[Channel Code],tblChannels[Channel Name],"")</f>
        <v>In-store</v>
      </c>
      <c r="R4714" s="1">
        <f>MONTH(tblSales[[#This Row],[Date]])</f>
        <v>10</v>
      </c>
    </row>
    <row r="4715" spans="2:18" x14ac:dyDescent="0.35">
      <c r="B4715" s="113">
        <v>46309</v>
      </c>
      <c r="C4715" s="4" t="s">
        <v>3211</v>
      </c>
      <c r="D4715" s="4" t="s">
        <v>4568</v>
      </c>
      <c r="E4715" s="1" t="str">
        <f>_xlfn.XLOOKUP(tblSales[[#This Row],[Customer ID]],tblCustomers[Customer ID],tblCustomers[Customer Name],"⚠ Unknown")</f>
        <v>Walk-in Customer</v>
      </c>
      <c r="F4715" s="4" t="s">
        <v>7</v>
      </c>
      <c r="G4715" s="1" t="str">
        <f>_xlfn.XLOOKUP(tblSales[[#This Row],[Product Code]],tblProducts[Code],tblProducts[Product / Service Name],"⚠ Unknown")</f>
        <v>Premium Basic T-shirt</v>
      </c>
      <c r="H4715" s="1" t="str">
        <f>_xlfn.XLOOKUP(tblSales[[#This Row],[Product Code]],tblProducts[Code],tblProducts[Category],"")</f>
        <v>Accessories &amp; Basics</v>
      </c>
      <c r="I4715" s="4">
        <v>9</v>
      </c>
      <c r="J4715" s="5">
        <f>_xlfn.XLOOKUP(tblSales[[#This Row],[Product Code]],tblProducts[Code],tblProducts[Selling Price (excl. VAT)],0)</f>
        <v>65000</v>
      </c>
      <c r="K4715" s="5">
        <f>tblSales[[#This Row],[Qty]]*tblSales[[#This Row],[Unit Price]]</f>
        <v>585000</v>
      </c>
      <c r="L4715" s="5">
        <f>ROUND(tblSales[[#This Row],[DPP (excl. VAT)]]*VATEff,0)</f>
        <v>64350</v>
      </c>
      <c r="M4715" s="5">
        <f>tblSales[[#This Row],[DPP (excl. VAT)]]+tblSales[[#This Row],[Output VAT]]</f>
        <v>649350</v>
      </c>
      <c r="N4715" s="5">
        <f>tblSales[[#This Row],[Qty]]*_xlfn.XLOOKUP(tblSales[[#This Row],[Product Code]],tblProducts[Code],tblProducts[Unit Cost],0)</f>
        <v>333000</v>
      </c>
      <c r="O4715" s="4" t="s">
        <v>4865</v>
      </c>
      <c r="P4715" s="4" t="s">
        <v>4860</v>
      </c>
      <c r="Q4715" s="1" t="str">
        <f>_xlfn.XLOOKUP(tblSales[[#This Row],[Channel Code]],tblChannels[Channel Code],tblChannels[Channel Name],"")</f>
        <v>In-store</v>
      </c>
      <c r="R4715" s="1">
        <f>MONTH(tblSales[[#This Row],[Date]])</f>
        <v>10</v>
      </c>
    </row>
    <row r="4716" spans="2:18" x14ac:dyDescent="0.35">
      <c r="B4716" s="113">
        <v>46309</v>
      </c>
      <c r="C4716" s="4" t="s">
        <v>3212</v>
      </c>
      <c r="D4716" s="4" t="s">
        <v>4568</v>
      </c>
      <c r="E4716" s="1" t="str">
        <f>_xlfn.XLOOKUP(tblSales[[#This Row],[Customer ID]],tblCustomers[Customer ID],tblCustomers[Customer Name],"⚠ Unknown")</f>
        <v>Walk-in Customer</v>
      </c>
      <c r="F4716" s="4" t="s">
        <v>13</v>
      </c>
      <c r="G4716" s="1" t="str">
        <f>_xlfn.XLOOKUP(tblSales[[#This Row],[Product Code]],tblProducts[Code],tblProducts[Product / Service Name],"⚠ Unknown")</f>
        <v>Backpack</v>
      </c>
      <c r="H4716" s="1" t="str">
        <f>_xlfn.XLOOKUP(tblSales[[#This Row],[Product Code]],tblProducts[Code],tblProducts[Category],"")</f>
        <v>Bags &amp; Gadgets</v>
      </c>
      <c r="I4716" s="4">
        <v>2</v>
      </c>
      <c r="J4716" s="5">
        <f>_xlfn.XLOOKUP(tblSales[[#This Row],[Product Code]],tblProducts[Code],tblProducts[Selling Price (excl. VAT)],0)</f>
        <v>500000</v>
      </c>
      <c r="K4716" s="5">
        <f>tblSales[[#This Row],[Qty]]*tblSales[[#This Row],[Unit Price]]</f>
        <v>1000000</v>
      </c>
      <c r="L4716" s="5">
        <f>ROUND(tblSales[[#This Row],[DPP (excl. VAT)]]*VATEff,0)</f>
        <v>110000</v>
      </c>
      <c r="M4716" s="5">
        <f>tblSales[[#This Row],[DPP (excl. VAT)]]+tblSales[[#This Row],[Output VAT]]</f>
        <v>1110000</v>
      </c>
      <c r="N4716" s="5">
        <f>tblSales[[#This Row],[Qty]]*_xlfn.XLOOKUP(tblSales[[#This Row],[Product Code]],tblProducts[Code],tblProducts[Unit Cost],0)</f>
        <v>580000</v>
      </c>
      <c r="O4716" s="4" t="s">
        <v>4866</v>
      </c>
      <c r="P4716" s="4" t="s">
        <v>4861</v>
      </c>
      <c r="Q4716" s="1" t="str">
        <f>_xlfn.XLOOKUP(tblSales[[#This Row],[Channel Code]],tblChannels[Channel Code],tblChannels[Channel Name],"")</f>
        <v>Marketplace</v>
      </c>
      <c r="R4716" s="1">
        <f>MONTH(tblSales[[#This Row],[Date]])</f>
        <v>10</v>
      </c>
    </row>
    <row r="4717" spans="2:18" x14ac:dyDescent="0.35">
      <c r="B4717" s="113">
        <v>46309</v>
      </c>
      <c r="C4717" s="4" t="s">
        <v>3213</v>
      </c>
      <c r="D4717" s="4" t="s">
        <v>4568</v>
      </c>
      <c r="E4717" s="1" t="str">
        <f>_xlfn.XLOOKUP(tblSales[[#This Row],[Customer ID]],tblCustomers[Customer ID],tblCustomers[Customer Name],"⚠ Unknown")</f>
        <v>Walk-in Customer</v>
      </c>
      <c r="F4717" s="4" t="s">
        <v>8</v>
      </c>
      <c r="G4717" s="1" t="str">
        <f>_xlfn.XLOOKUP(tblSales[[#This Row],[Product Code]],tblProducts[Code],tblProducts[Product / Service Name],"⚠ Unknown")</f>
        <v>Casual Shorts</v>
      </c>
      <c r="H4717" s="1" t="str">
        <f>_xlfn.XLOOKUP(tblSales[[#This Row],[Product Code]],tblProducts[Code],tblProducts[Category],"")</f>
        <v>Accessories &amp; Basics</v>
      </c>
      <c r="I4717" s="4">
        <v>11</v>
      </c>
      <c r="J4717" s="5">
        <f>_xlfn.XLOOKUP(tblSales[[#This Row],[Product Code]],tblProducts[Code],tblProducts[Selling Price (excl. VAT)],0)</f>
        <v>85000</v>
      </c>
      <c r="K4717" s="5">
        <f>tblSales[[#This Row],[Qty]]*tblSales[[#This Row],[Unit Price]]</f>
        <v>935000</v>
      </c>
      <c r="L4717" s="5">
        <f>ROUND(tblSales[[#This Row],[DPP (excl. VAT)]]*VATEff,0)</f>
        <v>102850</v>
      </c>
      <c r="M4717" s="5">
        <f>tblSales[[#This Row],[DPP (excl. VAT)]]+tblSales[[#This Row],[Output VAT]]</f>
        <v>1037850</v>
      </c>
      <c r="N4717" s="5">
        <f>tblSales[[#This Row],[Qty]]*_xlfn.XLOOKUP(tblSales[[#This Row],[Product Code]],tblProducts[Code],tblProducts[Unit Cost],0)</f>
        <v>550000</v>
      </c>
      <c r="O4717" s="4" t="s">
        <v>4866</v>
      </c>
      <c r="P4717" s="4" t="s">
        <v>4862</v>
      </c>
      <c r="Q4717" s="1" t="str">
        <f>_xlfn.XLOOKUP(tblSales[[#This Row],[Channel Code]],tblChannels[Channel Code],tblChannels[Channel Name],"")</f>
        <v>Website &amp; Social Media</v>
      </c>
      <c r="R4717" s="1">
        <f>MONTH(tblSales[[#This Row],[Date]])</f>
        <v>10</v>
      </c>
    </row>
    <row r="4718" spans="2:18" x14ac:dyDescent="0.35">
      <c r="B4718" s="113">
        <v>46309</v>
      </c>
      <c r="C4718" s="4" t="s">
        <v>3213</v>
      </c>
      <c r="D4718" s="4" t="s">
        <v>4568</v>
      </c>
      <c r="E4718" s="1" t="str">
        <f>_xlfn.XLOOKUP(tblSales[[#This Row],[Customer ID]],tblCustomers[Customer ID],tblCustomers[Customer Name],"⚠ Unknown")</f>
        <v>Walk-in Customer</v>
      </c>
      <c r="F4718" s="4" t="s">
        <v>10</v>
      </c>
      <c r="G4718" s="1" t="str">
        <f>_xlfn.XLOOKUP(tblSales[[#This Row],[Product Code]],tblProducts[Code],tblProducts[Product / Service Name],"⚠ Unknown")</f>
        <v>Chino Pants</v>
      </c>
      <c r="H4718" s="1" t="str">
        <f>_xlfn.XLOOKUP(tblSales[[#This Row],[Product Code]],tblProducts[Code],tblProducts[Category],"")</f>
        <v>Apparel &amp; Footwear</v>
      </c>
      <c r="I4718" s="4">
        <v>3</v>
      </c>
      <c r="J4718" s="5">
        <f>_xlfn.XLOOKUP(tblSales[[#This Row],[Product Code]],tblProducts[Code],tblProducts[Selling Price (excl. VAT)],0)</f>
        <v>150000</v>
      </c>
      <c r="K4718" s="5">
        <f>tblSales[[#This Row],[Qty]]*tblSales[[#This Row],[Unit Price]]</f>
        <v>450000</v>
      </c>
      <c r="L4718" s="5">
        <f>ROUND(tblSales[[#This Row],[DPP (excl. VAT)]]*VATEff,0)</f>
        <v>49500</v>
      </c>
      <c r="M4718" s="5">
        <f>tblSales[[#This Row],[DPP (excl. VAT)]]+tblSales[[#This Row],[Output VAT]]</f>
        <v>499500</v>
      </c>
      <c r="N4718" s="5">
        <f>tblSales[[#This Row],[Qty]]*_xlfn.XLOOKUP(tblSales[[#This Row],[Product Code]],tblProducts[Code],tblProducts[Unit Cost],0)</f>
        <v>264000</v>
      </c>
      <c r="O4718" s="4" t="s">
        <v>4866</v>
      </c>
      <c r="P4718" s="4" t="s">
        <v>4862</v>
      </c>
      <c r="Q4718" s="1" t="str">
        <f>_xlfn.XLOOKUP(tblSales[[#This Row],[Channel Code]],tblChannels[Channel Code],tblChannels[Channel Name],"")</f>
        <v>Website &amp; Social Media</v>
      </c>
      <c r="R4718" s="1">
        <f>MONTH(tblSales[[#This Row],[Date]])</f>
        <v>10</v>
      </c>
    </row>
    <row r="4719" spans="2:18" x14ac:dyDescent="0.35">
      <c r="B4719" s="113">
        <v>46309</v>
      </c>
      <c r="C4719" s="4" t="s">
        <v>3213</v>
      </c>
      <c r="D4719" s="4" t="s">
        <v>4568</v>
      </c>
      <c r="E4719" s="1" t="str">
        <f>_xlfn.XLOOKUP(tblSales[[#This Row],[Customer ID]],tblCustomers[Customer ID],tblCustomers[Customer Name],"⚠ Unknown")</f>
        <v>Walk-in Customer</v>
      </c>
      <c r="F4719" s="4" t="s">
        <v>6</v>
      </c>
      <c r="G4719" s="1" t="str">
        <f>_xlfn.XLOOKUP(tblSales[[#This Row],[Product Code]],tblProducts[Code],tblProducts[Product / Service Name],"⚠ Unknown")</f>
        <v>Socks &amp; Accessories</v>
      </c>
      <c r="H4719" s="1" t="str">
        <f>_xlfn.XLOOKUP(tblSales[[#This Row],[Product Code]],tblProducts[Code],tblProducts[Category],"")</f>
        <v>Accessories &amp; Basics</v>
      </c>
      <c r="I4719" s="4">
        <v>10</v>
      </c>
      <c r="J4719" s="5">
        <f>_xlfn.XLOOKUP(tblSales[[#This Row],[Product Code]],tblProducts[Code],tblProducts[Selling Price (excl. VAT)],0)</f>
        <v>45000</v>
      </c>
      <c r="K4719" s="5">
        <f>tblSales[[#This Row],[Qty]]*tblSales[[#This Row],[Unit Price]]</f>
        <v>450000</v>
      </c>
      <c r="L4719" s="5">
        <f>ROUND(tblSales[[#This Row],[DPP (excl. VAT)]]*VATEff,0)</f>
        <v>49500</v>
      </c>
      <c r="M4719" s="5">
        <f>tblSales[[#This Row],[DPP (excl. VAT)]]+tblSales[[#This Row],[Output VAT]]</f>
        <v>499500</v>
      </c>
      <c r="N4719" s="5">
        <f>tblSales[[#This Row],[Qty]]*_xlfn.XLOOKUP(tblSales[[#This Row],[Product Code]],tblProducts[Code],tblProducts[Unit Cost],0)</f>
        <v>240000</v>
      </c>
      <c r="O4719" s="4" t="s">
        <v>4866</v>
      </c>
      <c r="P4719" s="4" t="s">
        <v>4862</v>
      </c>
      <c r="Q4719" s="1" t="str">
        <f>_xlfn.XLOOKUP(tblSales[[#This Row],[Channel Code]],tblChannels[Channel Code],tblChannels[Channel Name],"")</f>
        <v>Website &amp; Social Media</v>
      </c>
      <c r="R4719" s="1">
        <f>MONTH(tblSales[[#This Row],[Date]])</f>
        <v>10</v>
      </c>
    </row>
    <row r="4720" spans="2:18" x14ac:dyDescent="0.35">
      <c r="B4720" s="113">
        <v>46309</v>
      </c>
      <c r="C4720" s="4" t="s">
        <v>3214</v>
      </c>
      <c r="D4720" s="4" t="s">
        <v>4568</v>
      </c>
      <c r="E4720" s="1" t="str">
        <f>_xlfn.XLOOKUP(tblSales[[#This Row],[Customer ID]],tblCustomers[Customer ID],tblCustomers[Customer Name],"⚠ Unknown")</f>
        <v>Walk-in Customer</v>
      </c>
      <c r="F4720" s="4" t="s">
        <v>8</v>
      </c>
      <c r="G4720" s="1" t="str">
        <f>_xlfn.XLOOKUP(tblSales[[#This Row],[Product Code]],tblProducts[Code],tblProducts[Product / Service Name],"⚠ Unknown")</f>
        <v>Casual Shorts</v>
      </c>
      <c r="H4720" s="1" t="str">
        <f>_xlfn.XLOOKUP(tblSales[[#This Row],[Product Code]],tblProducts[Code],tblProducts[Category],"")</f>
        <v>Accessories &amp; Basics</v>
      </c>
      <c r="I4720" s="4">
        <v>5</v>
      </c>
      <c r="J4720" s="5">
        <f>_xlfn.XLOOKUP(tblSales[[#This Row],[Product Code]],tblProducts[Code],tblProducts[Selling Price (excl. VAT)],0)</f>
        <v>85000</v>
      </c>
      <c r="K4720" s="5">
        <f>tblSales[[#This Row],[Qty]]*tblSales[[#This Row],[Unit Price]]</f>
        <v>425000</v>
      </c>
      <c r="L4720" s="5">
        <f>ROUND(tblSales[[#This Row],[DPP (excl. VAT)]]*VATEff,0)</f>
        <v>46750</v>
      </c>
      <c r="M4720" s="5">
        <f>tblSales[[#This Row],[DPP (excl. VAT)]]+tblSales[[#This Row],[Output VAT]]</f>
        <v>471750</v>
      </c>
      <c r="N4720" s="5">
        <f>tblSales[[#This Row],[Qty]]*_xlfn.XLOOKUP(tblSales[[#This Row],[Product Code]],tblProducts[Code],tblProducts[Unit Cost],0)</f>
        <v>250000</v>
      </c>
      <c r="O4720" s="4" t="s">
        <v>4866</v>
      </c>
      <c r="P4720" s="4" t="s">
        <v>4861</v>
      </c>
      <c r="Q4720" s="1" t="str">
        <f>_xlfn.XLOOKUP(tblSales[[#This Row],[Channel Code]],tblChannels[Channel Code],tblChannels[Channel Name],"")</f>
        <v>Marketplace</v>
      </c>
      <c r="R4720" s="1">
        <f>MONTH(tblSales[[#This Row],[Date]])</f>
        <v>10</v>
      </c>
    </row>
    <row r="4721" spans="2:18" x14ac:dyDescent="0.35">
      <c r="B4721" s="113">
        <v>46309</v>
      </c>
      <c r="C4721" s="4" t="s">
        <v>3215</v>
      </c>
      <c r="D4721" s="4" t="s">
        <v>4593</v>
      </c>
      <c r="E4721" s="1" t="str">
        <f>_xlfn.XLOOKUP(tblSales[[#This Row],[Customer ID]],tblCustomers[Customer ID],tblCustomers[Customer Name],"⚠ Unknown")</f>
        <v>PT Graha Nusa Persada</v>
      </c>
      <c r="F4721" s="4" t="s">
        <v>7</v>
      </c>
      <c r="G4721" s="1" t="str">
        <f>_xlfn.XLOOKUP(tblSales[[#This Row],[Product Code]],tblProducts[Code],tblProducts[Product / Service Name],"⚠ Unknown")</f>
        <v>Premium Basic T-shirt</v>
      </c>
      <c r="H4721" s="1" t="str">
        <f>_xlfn.XLOOKUP(tblSales[[#This Row],[Product Code]],tblProducts[Code],tblProducts[Category],"")</f>
        <v>Accessories &amp; Basics</v>
      </c>
      <c r="I4721" s="4">
        <v>48</v>
      </c>
      <c r="J4721" s="5">
        <f>_xlfn.XLOOKUP(tblSales[[#This Row],[Product Code]],tblProducts[Code],tblProducts[Selling Price (excl. VAT)],0)</f>
        <v>65000</v>
      </c>
      <c r="K4721" s="5">
        <f>tblSales[[#This Row],[Qty]]*tblSales[[#This Row],[Unit Price]]</f>
        <v>3120000</v>
      </c>
      <c r="L4721" s="5">
        <f>ROUND(tblSales[[#This Row],[DPP (excl. VAT)]]*VATEff,0)</f>
        <v>343200</v>
      </c>
      <c r="M4721" s="5">
        <f>tblSales[[#This Row],[DPP (excl. VAT)]]+tblSales[[#This Row],[Output VAT]]</f>
        <v>3463200</v>
      </c>
      <c r="N4721" s="5">
        <f>tblSales[[#This Row],[Qty]]*_xlfn.XLOOKUP(tblSales[[#This Row],[Product Code]],tblProducts[Code],tblProducts[Unit Cost],0)</f>
        <v>1776000</v>
      </c>
      <c r="O4721" s="4" t="s">
        <v>4867</v>
      </c>
      <c r="P4721" s="4" t="s">
        <v>4860</v>
      </c>
      <c r="Q4721" s="1" t="str">
        <f>_xlfn.XLOOKUP(tblSales[[#This Row],[Channel Code]],tblChannels[Channel Code],tblChannels[Channel Name],"")</f>
        <v>In-store</v>
      </c>
      <c r="R4721" s="1">
        <f>MONTH(tblSales[[#This Row],[Date]])</f>
        <v>10</v>
      </c>
    </row>
    <row r="4722" spans="2:18" x14ac:dyDescent="0.35">
      <c r="B4722" s="113">
        <v>46310</v>
      </c>
      <c r="C4722" s="4" t="s">
        <v>3216</v>
      </c>
      <c r="D4722" s="4" t="s">
        <v>4593</v>
      </c>
      <c r="E4722" s="1" t="str">
        <f>_xlfn.XLOOKUP(tblSales[[#This Row],[Customer ID]],tblCustomers[Customer ID],tblCustomers[Customer Name],"⚠ Unknown")</f>
        <v>PT Graha Nusa Persada</v>
      </c>
      <c r="F4722" s="4" t="s">
        <v>6</v>
      </c>
      <c r="G4722" s="1" t="str">
        <f>_xlfn.XLOOKUP(tblSales[[#This Row],[Product Code]],tblProducts[Code],tblProducts[Product / Service Name],"⚠ Unknown")</f>
        <v>Socks &amp; Accessories</v>
      </c>
      <c r="H4722" s="1" t="str">
        <f>_xlfn.XLOOKUP(tblSales[[#This Row],[Product Code]],tblProducts[Code],tblProducts[Category],"")</f>
        <v>Accessories &amp; Basics</v>
      </c>
      <c r="I4722" s="4">
        <v>8</v>
      </c>
      <c r="J4722" s="5">
        <f>_xlfn.XLOOKUP(tblSales[[#This Row],[Product Code]],tblProducts[Code],tblProducts[Selling Price (excl. VAT)],0)</f>
        <v>45000</v>
      </c>
      <c r="K4722" s="5">
        <f>tblSales[[#This Row],[Qty]]*tblSales[[#This Row],[Unit Price]]</f>
        <v>360000</v>
      </c>
      <c r="L4722" s="5">
        <f>ROUND(tblSales[[#This Row],[DPP (excl. VAT)]]*VATEff,0)</f>
        <v>39600</v>
      </c>
      <c r="M4722" s="5">
        <f>tblSales[[#This Row],[DPP (excl. VAT)]]+tblSales[[#This Row],[Output VAT]]</f>
        <v>399600</v>
      </c>
      <c r="N4722" s="5">
        <f>tblSales[[#This Row],[Qty]]*_xlfn.XLOOKUP(tblSales[[#This Row],[Product Code]],tblProducts[Code],tblProducts[Unit Cost],0)</f>
        <v>192000</v>
      </c>
      <c r="O4722" s="4" t="s">
        <v>4867</v>
      </c>
      <c r="P4722" s="4" t="s">
        <v>4860</v>
      </c>
      <c r="Q4722" s="1" t="str">
        <f>_xlfn.XLOOKUP(tblSales[[#This Row],[Channel Code]],tblChannels[Channel Code],tblChannels[Channel Name],"")</f>
        <v>In-store</v>
      </c>
      <c r="R4722" s="1">
        <f>MONTH(tblSales[[#This Row],[Date]])</f>
        <v>10</v>
      </c>
    </row>
    <row r="4723" spans="2:18" x14ac:dyDescent="0.35">
      <c r="B4723" s="113">
        <v>46310</v>
      </c>
      <c r="C4723" s="4" t="s">
        <v>3217</v>
      </c>
      <c r="D4723" s="4" t="s">
        <v>4613</v>
      </c>
      <c r="E4723" s="1" t="str">
        <f>_xlfn.XLOOKUP(tblSales[[#This Row],[Customer ID]],tblCustomers[Customer ID],tblCustomers[Customer Name],"⚠ Unknown")</f>
        <v>PT Mega Prima Distribusi</v>
      </c>
      <c r="F4723" s="4" t="s">
        <v>11</v>
      </c>
      <c r="G4723" s="1" t="str">
        <f>_xlfn.XLOOKUP(tblSales[[#This Row],[Product Code]],tblProducts[Code],tblProducts[Product / Service Name],"⚠ Unknown")</f>
        <v>Sneakers</v>
      </c>
      <c r="H4723" s="1" t="str">
        <f>_xlfn.XLOOKUP(tblSales[[#This Row],[Product Code]],tblProducts[Code],tblProducts[Category],"")</f>
        <v>Apparel &amp; Footwear</v>
      </c>
      <c r="I4723" s="4">
        <v>8</v>
      </c>
      <c r="J4723" s="5">
        <f>_xlfn.XLOOKUP(tblSales[[#This Row],[Product Code]],tblProducts[Code],tblProducts[Selling Price (excl. VAT)],0)</f>
        <v>250000</v>
      </c>
      <c r="K4723" s="5">
        <f>tblSales[[#This Row],[Qty]]*tblSales[[#This Row],[Unit Price]]</f>
        <v>2000000</v>
      </c>
      <c r="L4723" s="5">
        <f>ROUND(tblSales[[#This Row],[DPP (excl. VAT)]]*VATEff,0)</f>
        <v>220000</v>
      </c>
      <c r="M4723" s="5">
        <f>tblSales[[#This Row],[DPP (excl. VAT)]]+tblSales[[#This Row],[Output VAT]]</f>
        <v>2220000</v>
      </c>
      <c r="N4723" s="5">
        <f>tblSales[[#This Row],[Qty]]*_xlfn.XLOOKUP(tblSales[[#This Row],[Product Code]],tblProducts[Code],tblProducts[Unit Cost],0)</f>
        <v>1240000</v>
      </c>
      <c r="O4723" s="4" t="s">
        <v>4867</v>
      </c>
      <c r="P4723" s="4" t="s">
        <v>4860</v>
      </c>
      <c r="Q4723" s="1" t="str">
        <f>_xlfn.XLOOKUP(tblSales[[#This Row],[Channel Code]],tblChannels[Channel Code],tblChannels[Channel Name],"")</f>
        <v>In-store</v>
      </c>
      <c r="R4723" s="1">
        <f>MONTH(tblSales[[#This Row],[Date]])</f>
        <v>10</v>
      </c>
    </row>
    <row r="4724" spans="2:18" x14ac:dyDescent="0.35">
      <c r="B4724" s="113">
        <v>46310</v>
      </c>
      <c r="C4724" s="4" t="s">
        <v>3218</v>
      </c>
      <c r="D4724" s="4" t="s">
        <v>4568</v>
      </c>
      <c r="E4724" s="1" t="str">
        <f>_xlfn.XLOOKUP(tblSales[[#This Row],[Customer ID]],tblCustomers[Customer ID],tblCustomers[Customer Name],"⚠ Unknown")</f>
        <v>Walk-in Customer</v>
      </c>
      <c r="F4724" s="4" t="s">
        <v>10</v>
      </c>
      <c r="G4724" s="1" t="str">
        <f>_xlfn.XLOOKUP(tblSales[[#This Row],[Product Code]],tblProducts[Code],tblProducts[Product / Service Name],"⚠ Unknown")</f>
        <v>Chino Pants</v>
      </c>
      <c r="H4724" s="1" t="str">
        <f>_xlfn.XLOOKUP(tblSales[[#This Row],[Product Code]],tblProducts[Code],tblProducts[Category],"")</f>
        <v>Apparel &amp; Footwear</v>
      </c>
      <c r="I4724" s="4">
        <v>9</v>
      </c>
      <c r="J4724" s="5">
        <f>_xlfn.XLOOKUP(tblSales[[#This Row],[Product Code]],tblProducts[Code],tblProducts[Selling Price (excl. VAT)],0)</f>
        <v>150000</v>
      </c>
      <c r="K4724" s="5">
        <f>tblSales[[#This Row],[Qty]]*tblSales[[#This Row],[Unit Price]]</f>
        <v>1350000</v>
      </c>
      <c r="L4724" s="5">
        <f>ROUND(tblSales[[#This Row],[DPP (excl. VAT)]]*VATEff,0)</f>
        <v>148500</v>
      </c>
      <c r="M4724" s="5">
        <f>tblSales[[#This Row],[DPP (excl. VAT)]]+tblSales[[#This Row],[Output VAT]]</f>
        <v>1498500</v>
      </c>
      <c r="N4724" s="5">
        <f>tblSales[[#This Row],[Qty]]*_xlfn.XLOOKUP(tblSales[[#This Row],[Product Code]],tblProducts[Code],tblProducts[Unit Cost],0)</f>
        <v>792000</v>
      </c>
      <c r="O4724" s="4" t="s">
        <v>4866</v>
      </c>
      <c r="P4724" s="4" t="s">
        <v>4860</v>
      </c>
      <c r="Q4724" s="1" t="str">
        <f>_xlfn.XLOOKUP(tblSales[[#This Row],[Channel Code]],tblChannels[Channel Code],tblChannels[Channel Name],"")</f>
        <v>In-store</v>
      </c>
      <c r="R4724" s="1">
        <f>MONTH(tblSales[[#This Row],[Date]])</f>
        <v>10</v>
      </c>
    </row>
    <row r="4725" spans="2:18" x14ac:dyDescent="0.35">
      <c r="B4725" s="113">
        <v>46310</v>
      </c>
      <c r="C4725" s="4" t="s">
        <v>3218</v>
      </c>
      <c r="D4725" s="4" t="s">
        <v>4568</v>
      </c>
      <c r="E4725" s="1" t="str">
        <f>_xlfn.XLOOKUP(tblSales[[#This Row],[Customer ID]],tblCustomers[Customer ID],tblCustomers[Customer Name],"⚠ Unknown")</f>
        <v>Walk-in Customer</v>
      </c>
      <c r="F4725" s="4" t="s">
        <v>12</v>
      </c>
      <c r="G4725" s="1" t="str">
        <f>_xlfn.XLOOKUP(tblSales[[#This Row],[Product Code]],tblProducts[Code],tblProducts[Product / Service Name],"⚠ Unknown")</f>
        <v>Bomber Jacket</v>
      </c>
      <c r="H4725" s="1" t="str">
        <f>_xlfn.XLOOKUP(tblSales[[#This Row],[Product Code]],tblProducts[Code],tblProducts[Category],"")</f>
        <v>Apparel &amp; Footwear</v>
      </c>
      <c r="I4725" s="4">
        <v>4</v>
      </c>
      <c r="J4725" s="5">
        <f>_xlfn.XLOOKUP(tblSales[[#This Row],[Product Code]],tblProducts[Code],tblProducts[Selling Price (excl. VAT)],0)</f>
        <v>350000</v>
      </c>
      <c r="K4725" s="5">
        <f>tblSales[[#This Row],[Qty]]*tblSales[[#This Row],[Unit Price]]</f>
        <v>1400000</v>
      </c>
      <c r="L4725" s="5">
        <f>ROUND(tblSales[[#This Row],[DPP (excl. VAT)]]*VATEff,0)</f>
        <v>154000</v>
      </c>
      <c r="M4725" s="5">
        <f>tblSales[[#This Row],[DPP (excl. VAT)]]+tblSales[[#This Row],[Output VAT]]</f>
        <v>1554000</v>
      </c>
      <c r="N4725" s="5">
        <f>tblSales[[#This Row],[Qty]]*_xlfn.XLOOKUP(tblSales[[#This Row],[Product Code]],tblProducts[Code],tblProducts[Unit Cost],0)</f>
        <v>840000</v>
      </c>
      <c r="O4725" s="4" t="s">
        <v>4866</v>
      </c>
      <c r="P4725" s="4" t="s">
        <v>4860</v>
      </c>
      <c r="Q4725" s="1" t="str">
        <f>_xlfn.XLOOKUP(tblSales[[#This Row],[Channel Code]],tblChannels[Channel Code],tblChannels[Channel Name],"")</f>
        <v>In-store</v>
      </c>
      <c r="R4725" s="1">
        <f>MONTH(tblSales[[#This Row],[Date]])</f>
        <v>10</v>
      </c>
    </row>
    <row r="4726" spans="2:18" x14ac:dyDescent="0.35">
      <c r="B4726" s="113">
        <v>46310</v>
      </c>
      <c r="C4726" s="4" t="s">
        <v>3219</v>
      </c>
      <c r="D4726" s="4" t="s">
        <v>4568</v>
      </c>
      <c r="E4726" s="1" t="str">
        <f>_xlfn.XLOOKUP(tblSales[[#This Row],[Customer ID]],tblCustomers[Customer ID],tblCustomers[Customer Name],"⚠ Unknown")</f>
        <v>Walk-in Customer</v>
      </c>
      <c r="F4726" s="4" t="s">
        <v>9</v>
      </c>
      <c r="G4726" s="1" t="str">
        <f>_xlfn.XLOOKUP(tblSales[[#This Row],[Product Code]],tblProducts[Code],tblProducts[Product / Service Name],"⚠ Unknown")</f>
        <v>Casual Shirt</v>
      </c>
      <c r="H4726" s="1" t="str">
        <f>_xlfn.XLOOKUP(tblSales[[#This Row],[Product Code]],tblProducts[Code],tblProducts[Category],"")</f>
        <v>Apparel &amp; Footwear</v>
      </c>
      <c r="I4726" s="4">
        <v>3</v>
      </c>
      <c r="J4726" s="5">
        <f>_xlfn.XLOOKUP(tblSales[[#This Row],[Product Code]],tblProducts[Code],tblProducts[Selling Price (excl. VAT)],0)</f>
        <v>120000</v>
      </c>
      <c r="K4726" s="5">
        <f>tblSales[[#This Row],[Qty]]*tblSales[[#This Row],[Unit Price]]</f>
        <v>360000</v>
      </c>
      <c r="L4726" s="5">
        <f>ROUND(tblSales[[#This Row],[DPP (excl. VAT)]]*VATEff,0)</f>
        <v>39600</v>
      </c>
      <c r="M4726" s="5">
        <f>tblSales[[#This Row],[DPP (excl. VAT)]]+tblSales[[#This Row],[Output VAT]]</f>
        <v>399600</v>
      </c>
      <c r="N4726" s="5">
        <f>tblSales[[#This Row],[Qty]]*_xlfn.XLOOKUP(tblSales[[#This Row],[Product Code]],tblProducts[Code],tblProducts[Unit Cost],0)</f>
        <v>216000</v>
      </c>
      <c r="O4726" s="4" t="s">
        <v>4865</v>
      </c>
      <c r="P4726" s="4" t="s">
        <v>4860</v>
      </c>
      <c r="Q4726" s="1" t="str">
        <f>_xlfn.XLOOKUP(tblSales[[#This Row],[Channel Code]],tblChannels[Channel Code],tblChannels[Channel Name],"")</f>
        <v>In-store</v>
      </c>
      <c r="R4726" s="1">
        <f>MONTH(tblSales[[#This Row],[Date]])</f>
        <v>10</v>
      </c>
    </row>
    <row r="4727" spans="2:18" x14ac:dyDescent="0.35">
      <c r="B4727" s="113">
        <v>46310</v>
      </c>
      <c r="C4727" s="4" t="s">
        <v>3219</v>
      </c>
      <c r="D4727" s="4" t="s">
        <v>4568</v>
      </c>
      <c r="E4727" s="1" t="str">
        <f>_xlfn.XLOOKUP(tblSales[[#This Row],[Customer ID]],tblCustomers[Customer ID],tblCustomers[Customer Name],"⚠ Unknown")</f>
        <v>Walk-in Customer</v>
      </c>
      <c r="F4727" s="4" t="s">
        <v>14</v>
      </c>
      <c r="G4727" s="1" t="str">
        <f>_xlfn.XLOOKUP(tblSales[[#This Row],[Product Code]],tblProducts[Code],tblProducts[Product / Service Name],"⚠ Unknown")</f>
        <v>Smartwatch</v>
      </c>
      <c r="H4727" s="1" t="str">
        <f>_xlfn.XLOOKUP(tblSales[[#This Row],[Product Code]],tblProducts[Code],tblProducts[Category],"")</f>
        <v>Bags &amp; Gadgets</v>
      </c>
      <c r="I4727" s="4">
        <v>3</v>
      </c>
      <c r="J4727" s="5">
        <f>_xlfn.XLOOKUP(tblSales[[#This Row],[Product Code]],tblProducts[Code],tblProducts[Selling Price (excl. VAT)],0)</f>
        <v>850000</v>
      </c>
      <c r="K4727" s="5">
        <f>tblSales[[#This Row],[Qty]]*tblSales[[#This Row],[Unit Price]]</f>
        <v>2550000</v>
      </c>
      <c r="L4727" s="5">
        <f>ROUND(tblSales[[#This Row],[DPP (excl. VAT)]]*VATEff,0)</f>
        <v>280500</v>
      </c>
      <c r="M4727" s="5">
        <f>tblSales[[#This Row],[DPP (excl. VAT)]]+tblSales[[#This Row],[Output VAT]]</f>
        <v>2830500</v>
      </c>
      <c r="N4727" s="5">
        <f>tblSales[[#This Row],[Qty]]*_xlfn.XLOOKUP(tblSales[[#This Row],[Product Code]],tblProducts[Code],tblProducts[Unit Cost],0)</f>
        <v>1680000</v>
      </c>
      <c r="O4727" s="4" t="s">
        <v>4865</v>
      </c>
      <c r="P4727" s="4" t="s">
        <v>4860</v>
      </c>
      <c r="Q4727" s="1" t="str">
        <f>_xlfn.XLOOKUP(tblSales[[#This Row],[Channel Code]],tblChannels[Channel Code],tblChannels[Channel Name],"")</f>
        <v>In-store</v>
      </c>
      <c r="R4727" s="1">
        <f>MONTH(tblSales[[#This Row],[Date]])</f>
        <v>10</v>
      </c>
    </row>
    <row r="4728" spans="2:18" x14ac:dyDescent="0.35">
      <c r="B4728" s="113">
        <v>46310</v>
      </c>
      <c r="C4728" s="4" t="s">
        <v>3220</v>
      </c>
      <c r="D4728" s="4" t="s">
        <v>4578</v>
      </c>
      <c r="E4728" s="1" t="str">
        <f>_xlfn.XLOOKUP(tblSales[[#This Row],[Customer ID]],tblCustomers[Customer ID],tblCustomers[Customer Name],"⚠ Unknown")</f>
        <v>PT Bintang Timur Sejahtera</v>
      </c>
      <c r="F4728" s="4" t="s">
        <v>6</v>
      </c>
      <c r="G4728" s="1" t="str">
        <f>_xlfn.XLOOKUP(tblSales[[#This Row],[Product Code]],tblProducts[Code],tblProducts[Product / Service Name],"⚠ Unknown")</f>
        <v>Socks &amp; Accessories</v>
      </c>
      <c r="H4728" s="1" t="str">
        <f>_xlfn.XLOOKUP(tblSales[[#This Row],[Product Code]],tblProducts[Code],tblProducts[Category],"")</f>
        <v>Accessories &amp; Basics</v>
      </c>
      <c r="I4728" s="4">
        <v>8</v>
      </c>
      <c r="J4728" s="5">
        <f>_xlfn.XLOOKUP(tblSales[[#This Row],[Product Code]],tblProducts[Code],tblProducts[Selling Price (excl. VAT)],0)</f>
        <v>45000</v>
      </c>
      <c r="K4728" s="5">
        <f>tblSales[[#This Row],[Qty]]*tblSales[[#This Row],[Unit Price]]</f>
        <v>360000</v>
      </c>
      <c r="L4728" s="5">
        <f>ROUND(tblSales[[#This Row],[DPP (excl. VAT)]]*VATEff,0)</f>
        <v>39600</v>
      </c>
      <c r="M4728" s="5">
        <f>tblSales[[#This Row],[DPP (excl. VAT)]]+tblSales[[#This Row],[Output VAT]]</f>
        <v>399600</v>
      </c>
      <c r="N4728" s="5">
        <f>tblSales[[#This Row],[Qty]]*_xlfn.XLOOKUP(tblSales[[#This Row],[Product Code]],tblProducts[Code],tblProducts[Unit Cost],0)</f>
        <v>192000</v>
      </c>
      <c r="O4728" s="4" t="s">
        <v>4867</v>
      </c>
      <c r="P4728" s="4" t="s">
        <v>4860</v>
      </c>
      <c r="Q4728" s="1" t="str">
        <f>_xlfn.XLOOKUP(tblSales[[#This Row],[Channel Code]],tblChannels[Channel Code],tblChannels[Channel Name],"")</f>
        <v>In-store</v>
      </c>
      <c r="R4728" s="1">
        <f>MONTH(tblSales[[#This Row],[Date]])</f>
        <v>10</v>
      </c>
    </row>
    <row r="4729" spans="2:18" x14ac:dyDescent="0.35">
      <c r="B4729" s="113">
        <v>46310</v>
      </c>
      <c r="C4729" s="4" t="s">
        <v>3220</v>
      </c>
      <c r="D4729" s="4" t="s">
        <v>4578</v>
      </c>
      <c r="E4729" s="1" t="str">
        <f>_xlfn.XLOOKUP(tblSales[[#This Row],[Customer ID]],tblCustomers[Customer ID],tblCustomers[Customer Name],"⚠ Unknown")</f>
        <v>PT Bintang Timur Sejahtera</v>
      </c>
      <c r="F4729" s="4" t="s">
        <v>8</v>
      </c>
      <c r="G4729" s="1" t="str">
        <f>_xlfn.XLOOKUP(tblSales[[#This Row],[Product Code]],tblProducts[Code],tblProducts[Product / Service Name],"⚠ Unknown")</f>
        <v>Casual Shorts</v>
      </c>
      <c r="H4729" s="1" t="str">
        <f>_xlfn.XLOOKUP(tblSales[[#This Row],[Product Code]],tblProducts[Code],tblProducts[Category],"")</f>
        <v>Accessories &amp; Basics</v>
      </c>
      <c r="I4729" s="4">
        <v>72</v>
      </c>
      <c r="J4729" s="5">
        <f>_xlfn.XLOOKUP(tblSales[[#This Row],[Product Code]],tblProducts[Code],tblProducts[Selling Price (excl. VAT)],0)</f>
        <v>85000</v>
      </c>
      <c r="K4729" s="5">
        <f>tblSales[[#This Row],[Qty]]*tblSales[[#This Row],[Unit Price]]</f>
        <v>6120000</v>
      </c>
      <c r="L4729" s="5">
        <f>ROUND(tblSales[[#This Row],[DPP (excl. VAT)]]*VATEff,0)</f>
        <v>673200</v>
      </c>
      <c r="M4729" s="5">
        <f>tblSales[[#This Row],[DPP (excl. VAT)]]+tblSales[[#This Row],[Output VAT]]</f>
        <v>6793200</v>
      </c>
      <c r="N4729" s="5">
        <f>tblSales[[#This Row],[Qty]]*_xlfn.XLOOKUP(tblSales[[#This Row],[Product Code]],tblProducts[Code],tblProducts[Unit Cost],0)</f>
        <v>3600000</v>
      </c>
      <c r="O4729" s="4" t="s">
        <v>4867</v>
      </c>
      <c r="P4729" s="4" t="s">
        <v>4860</v>
      </c>
      <c r="Q4729" s="1" t="str">
        <f>_xlfn.XLOOKUP(tblSales[[#This Row],[Channel Code]],tblChannels[Channel Code],tblChannels[Channel Name],"")</f>
        <v>In-store</v>
      </c>
      <c r="R4729" s="1">
        <f>MONTH(tblSales[[#This Row],[Date]])</f>
        <v>10</v>
      </c>
    </row>
    <row r="4730" spans="2:18" x14ac:dyDescent="0.35">
      <c r="B4730" s="113">
        <v>46310</v>
      </c>
      <c r="C4730" s="4" t="s">
        <v>3220</v>
      </c>
      <c r="D4730" s="4" t="s">
        <v>4578</v>
      </c>
      <c r="E4730" s="1" t="str">
        <f>_xlfn.XLOOKUP(tblSales[[#This Row],[Customer ID]],tblCustomers[Customer ID],tblCustomers[Customer Name],"⚠ Unknown")</f>
        <v>PT Bintang Timur Sejahtera</v>
      </c>
      <c r="F4730" s="4" t="s">
        <v>9</v>
      </c>
      <c r="G4730" s="1" t="str">
        <f>_xlfn.XLOOKUP(tblSales[[#This Row],[Product Code]],tblProducts[Code],tblProducts[Product / Service Name],"⚠ Unknown")</f>
        <v>Casual Shirt</v>
      </c>
      <c r="H4730" s="1" t="str">
        <f>_xlfn.XLOOKUP(tblSales[[#This Row],[Product Code]],tblProducts[Code],tblProducts[Category],"")</f>
        <v>Apparel &amp; Footwear</v>
      </c>
      <c r="I4730" s="4">
        <v>96</v>
      </c>
      <c r="J4730" s="5">
        <f>_xlfn.XLOOKUP(tblSales[[#This Row],[Product Code]],tblProducts[Code],tblProducts[Selling Price (excl. VAT)],0)</f>
        <v>120000</v>
      </c>
      <c r="K4730" s="5">
        <f>tblSales[[#This Row],[Qty]]*tblSales[[#This Row],[Unit Price]]</f>
        <v>11520000</v>
      </c>
      <c r="L4730" s="5">
        <f>ROUND(tblSales[[#This Row],[DPP (excl. VAT)]]*VATEff,0)</f>
        <v>1267200</v>
      </c>
      <c r="M4730" s="5">
        <f>tblSales[[#This Row],[DPP (excl. VAT)]]+tblSales[[#This Row],[Output VAT]]</f>
        <v>12787200</v>
      </c>
      <c r="N4730" s="5">
        <f>tblSales[[#This Row],[Qty]]*_xlfn.XLOOKUP(tblSales[[#This Row],[Product Code]],tblProducts[Code],tblProducts[Unit Cost],0)</f>
        <v>6912000</v>
      </c>
      <c r="O4730" s="4" t="s">
        <v>4867</v>
      </c>
      <c r="P4730" s="4" t="s">
        <v>4860</v>
      </c>
      <c r="Q4730" s="1" t="str">
        <f>_xlfn.XLOOKUP(tblSales[[#This Row],[Channel Code]],tblChannels[Channel Code],tblChannels[Channel Name],"")</f>
        <v>In-store</v>
      </c>
      <c r="R4730" s="1">
        <f>MONTH(tblSales[[#This Row],[Date]])</f>
        <v>10</v>
      </c>
    </row>
    <row r="4731" spans="2:18" x14ac:dyDescent="0.35">
      <c r="B4731" s="113">
        <v>46310</v>
      </c>
      <c r="C4731" s="4" t="s">
        <v>3221</v>
      </c>
      <c r="D4731" s="4" t="s">
        <v>4568</v>
      </c>
      <c r="E4731" s="1" t="str">
        <f>_xlfn.XLOOKUP(tblSales[[#This Row],[Customer ID]],tblCustomers[Customer ID],tblCustomers[Customer Name],"⚠ Unknown")</f>
        <v>Walk-in Customer</v>
      </c>
      <c r="F4731" s="4" t="s">
        <v>12</v>
      </c>
      <c r="G4731" s="1" t="str">
        <f>_xlfn.XLOOKUP(tblSales[[#This Row],[Product Code]],tblProducts[Code],tblProducts[Product / Service Name],"⚠ Unknown")</f>
        <v>Bomber Jacket</v>
      </c>
      <c r="H4731" s="1" t="str">
        <f>_xlfn.XLOOKUP(tblSales[[#This Row],[Product Code]],tblProducts[Code],tblProducts[Category],"")</f>
        <v>Apparel &amp; Footwear</v>
      </c>
      <c r="I4731" s="4">
        <v>5</v>
      </c>
      <c r="J4731" s="5">
        <f>_xlfn.XLOOKUP(tblSales[[#This Row],[Product Code]],tblProducts[Code],tblProducts[Selling Price (excl. VAT)],0)</f>
        <v>350000</v>
      </c>
      <c r="K4731" s="5">
        <f>tblSales[[#This Row],[Qty]]*tblSales[[#This Row],[Unit Price]]</f>
        <v>1750000</v>
      </c>
      <c r="L4731" s="5">
        <f>ROUND(tblSales[[#This Row],[DPP (excl. VAT)]]*VATEff,0)</f>
        <v>192500</v>
      </c>
      <c r="M4731" s="5">
        <f>tblSales[[#This Row],[DPP (excl. VAT)]]+tblSales[[#This Row],[Output VAT]]</f>
        <v>1942500</v>
      </c>
      <c r="N4731" s="5">
        <f>tblSales[[#This Row],[Qty]]*_xlfn.XLOOKUP(tblSales[[#This Row],[Product Code]],tblProducts[Code],tblProducts[Unit Cost],0)</f>
        <v>1050000</v>
      </c>
      <c r="O4731" s="4" t="s">
        <v>4865</v>
      </c>
      <c r="P4731" s="4" t="s">
        <v>4860</v>
      </c>
      <c r="Q4731" s="1" t="str">
        <f>_xlfn.XLOOKUP(tblSales[[#This Row],[Channel Code]],tblChannels[Channel Code],tblChannels[Channel Name],"")</f>
        <v>In-store</v>
      </c>
      <c r="R4731" s="1">
        <f>MONTH(tblSales[[#This Row],[Date]])</f>
        <v>10</v>
      </c>
    </row>
    <row r="4732" spans="2:18" x14ac:dyDescent="0.35">
      <c r="B4732" s="113">
        <v>46310</v>
      </c>
      <c r="C4732" s="4" t="s">
        <v>3221</v>
      </c>
      <c r="D4732" s="4" t="s">
        <v>4568</v>
      </c>
      <c r="E4732" s="1" t="str">
        <f>_xlfn.XLOOKUP(tblSales[[#This Row],[Customer ID]],tblCustomers[Customer ID],tblCustomers[Customer Name],"⚠ Unknown")</f>
        <v>Walk-in Customer</v>
      </c>
      <c r="F4732" s="4" t="s">
        <v>6</v>
      </c>
      <c r="G4732" s="1" t="str">
        <f>_xlfn.XLOOKUP(tblSales[[#This Row],[Product Code]],tblProducts[Code],tblProducts[Product / Service Name],"⚠ Unknown")</f>
        <v>Socks &amp; Accessories</v>
      </c>
      <c r="H4732" s="1" t="str">
        <f>_xlfn.XLOOKUP(tblSales[[#This Row],[Product Code]],tblProducts[Code],tblProducts[Category],"")</f>
        <v>Accessories &amp; Basics</v>
      </c>
      <c r="I4732" s="4">
        <v>6</v>
      </c>
      <c r="J4732" s="5">
        <f>_xlfn.XLOOKUP(tblSales[[#This Row],[Product Code]],tblProducts[Code],tblProducts[Selling Price (excl. VAT)],0)</f>
        <v>45000</v>
      </c>
      <c r="K4732" s="5">
        <f>tblSales[[#This Row],[Qty]]*tblSales[[#This Row],[Unit Price]]</f>
        <v>270000</v>
      </c>
      <c r="L4732" s="5">
        <f>ROUND(tblSales[[#This Row],[DPP (excl. VAT)]]*VATEff,0)</f>
        <v>29700</v>
      </c>
      <c r="M4732" s="5">
        <f>tblSales[[#This Row],[DPP (excl. VAT)]]+tblSales[[#This Row],[Output VAT]]</f>
        <v>299700</v>
      </c>
      <c r="N4732" s="5">
        <f>tblSales[[#This Row],[Qty]]*_xlfn.XLOOKUP(tblSales[[#This Row],[Product Code]],tblProducts[Code],tblProducts[Unit Cost],0)</f>
        <v>144000</v>
      </c>
      <c r="O4732" s="4" t="s">
        <v>4865</v>
      </c>
      <c r="P4732" s="4" t="s">
        <v>4860</v>
      </c>
      <c r="Q4732" s="1" t="str">
        <f>_xlfn.XLOOKUP(tblSales[[#This Row],[Channel Code]],tblChannels[Channel Code],tblChannels[Channel Name],"")</f>
        <v>In-store</v>
      </c>
      <c r="R4732" s="1">
        <f>MONTH(tblSales[[#This Row],[Date]])</f>
        <v>10</v>
      </c>
    </row>
    <row r="4733" spans="2:18" x14ac:dyDescent="0.35">
      <c r="B4733" s="113">
        <v>46310</v>
      </c>
      <c r="C4733" s="4" t="s">
        <v>3222</v>
      </c>
      <c r="D4733" s="4" t="s">
        <v>4585</v>
      </c>
      <c r="E4733" s="1" t="str">
        <f>_xlfn.XLOOKUP(tblSales[[#This Row],[Customer ID]],tblCustomers[Customer ID],tblCustomers[Customer Name],"⚠ Unknown")</f>
        <v>CV Mitra Karya Mandiri</v>
      </c>
      <c r="F4733" s="4" t="s">
        <v>10</v>
      </c>
      <c r="G4733" s="1" t="str">
        <f>_xlfn.XLOOKUP(tblSales[[#This Row],[Product Code]],tblProducts[Code],tblProducts[Product / Service Name],"⚠ Unknown")</f>
        <v>Chino Pants</v>
      </c>
      <c r="H4733" s="1" t="str">
        <f>_xlfn.XLOOKUP(tblSales[[#This Row],[Product Code]],tblProducts[Code],tblProducts[Category],"")</f>
        <v>Apparel &amp; Footwear</v>
      </c>
      <c r="I4733" s="4">
        <v>72</v>
      </c>
      <c r="J4733" s="5">
        <f>_xlfn.XLOOKUP(tblSales[[#This Row],[Product Code]],tblProducts[Code],tblProducts[Selling Price (excl. VAT)],0)</f>
        <v>150000</v>
      </c>
      <c r="K4733" s="5">
        <f>tblSales[[#This Row],[Qty]]*tblSales[[#This Row],[Unit Price]]</f>
        <v>10800000</v>
      </c>
      <c r="L4733" s="5">
        <f>ROUND(tblSales[[#This Row],[DPP (excl. VAT)]]*VATEff,0)</f>
        <v>1188000</v>
      </c>
      <c r="M4733" s="5">
        <f>tblSales[[#This Row],[DPP (excl. VAT)]]+tblSales[[#This Row],[Output VAT]]</f>
        <v>11988000</v>
      </c>
      <c r="N4733" s="5">
        <f>tblSales[[#This Row],[Qty]]*_xlfn.XLOOKUP(tblSales[[#This Row],[Product Code]],tblProducts[Code],tblProducts[Unit Cost],0)</f>
        <v>6336000</v>
      </c>
      <c r="O4733" s="4" t="s">
        <v>4867</v>
      </c>
      <c r="P4733" s="4" t="s">
        <v>4860</v>
      </c>
      <c r="Q4733" s="1" t="str">
        <f>_xlfn.XLOOKUP(tblSales[[#This Row],[Channel Code]],tblChannels[Channel Code],tblChannels[Channel Name],"")</f>
        <v>In-store</v>
      </c>
      <c r="R4733" s="1">
        <f>MONTH(tblSales[[#This Row],[Date]])</f>
        <v>10</v>
      </c>
    </row>
    <row r="4734" spans="2:18" x14ac:dyDescent="0.35">
      <c r="B4734" s="113">
        <v>46310</v>
      </c>
      <c r="C4734" s="4" t="s">
        <v>3222</v>
      </c>
      <c r="D4734" s="4" t="s">
        <v>4585</v>
      </c>
      <c r="E4734" s="1" t="str">
        <f>_xlfn.XLOOKUP(tblSales[[#This Row],[Customer ID]],tblCustomers[Customer ID],tblCustomers[Customer Name],"⚠ Unknown")</f>
        <v>CV Mitra Karya Mandiri</v>
      </c>
      <c r="F4734" s="4" t="s">
        <v>7</v>
      </c>
      <c r="G4734" s="1" t="str">
        <f>_xlfn.XLOOKUP(tblSales[[#This Row],[Product Code]],tblProducts[Code],tblProducts[Product / Service Name],"⚠ Unknown")</f>
        <v>Premium Basic T-shirt</v>
      </c>
      <c r="H4734" s="1" t="str">
        <f>_xlfn.XLOOKUP(tblSales[[#This Row],[Product Code]],tblProducts[Code],tblProducts[Category],"")</f>
        <v>Accessories &amp; Basics</v>
      </c>
      <c r="I4734" s="4">
        <v>80</v>
      </c>
      <c r="J4734" s="5">
        <f>_xlfn.XLOOKUP(tblSales[[#This Row],[Product Code]],tblProducts[Code],tblProducts[Selling Price (excl. VAT)],0)</f>
        <v>65000</v>
      </c>
      <c r="K4734" s="5">
        <f>tblSales[[#This Row],[Qty]]*tblSales[[#This Row],[Unit Price]]</f>
        <v>5200000</v>
      </c>
      <c r="L4734" s="5">
        <f>ROUND(tblSales[[#This Row],[DPP (excl. VAT)]]*VATEff,0)</f>
        <v>572000</v>
      </c>
      <c r="M4734" s="5">
        <f>tblSales[[#This Row],[DPP (excl. VAT)]]+tblSales[[#This Row],[Output VAT]]</f>
        <v>5772000</v>
      </c>
      <c r="N4734" s="5">
        <f>tblSales[[#This Row],[Qty]]*_xlfn.XLOOKUP(tblSales[[#This Row],[Product Code]],tblProducts[Code],tblProducts[Unit Cost],0)</f>
        <v>2960000</v>
      </c>
      <c r="O4734" s="4" t="s">
        <v>4867</v>
      </c>
      <c r="P4734" s="4" t="s">
        <v>4860</v>
      </c>
      <c r="Q4734" s="1" t="str">
        <f>_xlfn.XLOOKUP(tblSales[[#This Row],[Channel Code]],tblChannels[Channel Code],tblChannels[Channel Name],"")</f>
        <v>In-store</v>
      </c>
      <c r="R4734" s="1">
        <f>MONTH(tblSales[[#This Row],[Date]])</f>
        <v>10</v>
      </c>
    </row>
    <row r="4735" spans="2:18" x14ac:dyDescent="0.35">
      <c r="B4735" s="113">
        <v>46310</v>
      </c>
      <c r="C4735" s="4" t="s">
        <v>3223</v>
      </c>
      <c r="D4735" s="4" t="s">
        <v>4568</v>
      </c>
      <c r="E4735" s="1" t="str">
        <f>_xlfn.XLOOKUP(tblSales[[#This Row],[Customer ID]],tblCustomers[Customer ID],tblCustomers[Customer Name],"⚠ Unknown")</f>
        <v>Walk-in Customer</v>
      </c>
      <c r="F4735" s="4" t="s">
        <v>6</v>
      </c>
      <c r="G4735" s="1" t="str">
        <f>_xlfn.XLOOKUP(tblSales[[#This Row],[Product Code]],tblProducts[Code],tblProducts[Product / Service Name],"⚠ Unknown")</f>
        <v>Socks &amp; Accessories</v>
      </c>
      <c r="H4735" s="1" t="str">
        <f>_xlfn.XLOOKUP(tblSales[[#This Row],[Product Code]],tblProducts[Code],tblProducts[Category],"")</f>
        <v>Accessories &amp; Basics</v>
      </c>
      <c r="I4735" s="4">
        <v>9</v>
      </c>
      <c r="J4735" s="5">
        <f>_xlfn.XLOOKUP(tblSales[[#This Row],[Product Code]],tblProducts[Code],tblProducts[Selling Price (excl. VAT)],0)</f>
        <v>45000</v>
      </c>
      <c r="K4735" s="5">
        <f>tblSales[[#This Row],[Qty]]*tblSales[[#This Row],[Unit Price]]</f>
        <v>405000</v>
      </c>
      <c r="L4735" s="5">
        <f>ROUND(tblSales[[#This Row],[DPP (excl. VAT)]]*VATEff,0)</f>
        <v>44550</v>
      </c>
      <c r="M4735" s="5">
        <f>tblSales[[#This Row],[DPP (excl. VAT)]]+tblSales[[#This Row],[Output VAT]]</f>
        <v>449550</v>
      </c>
      <c r="N4735" s="5">
        <f>tblSales[[#This Row],[Qty]]*_xlfn.XLOOKUP(tblSales[[#This Row],[Product Code]],tblProducts[Code],tblProducts[Unit Cost],0)</f>
        <v>216000</v>
      </c>
      <c r="O4735" s="4" t="s">
        <v>4865</v>
      </c>
      <c r="P4735" s="4" t="s">
        <v>4860</v>
      </c>
      <c r="Q4735" s="1" t="str">
        <f>_xlfn.XLOOKUP(tblSales[[#This Row],[Channel Code]],tblChannels[Channel Code],tblChannels[Channel Name],"")</f>
        <v>In-store</v>
      </c>
      <c r="R4735" s="1">
        <f>MONTH(tblSales[[#This Row],[Date]])</f>
        <v>10</v>
      </c>
    </row>
    <row r="4736" spans="2:18" x14ac:dyDescent="0.35">
      <c r="B4736" s="113">
        <v>46311</v>
      </c>
      <c r="C4736" s="4" t="s">
        <v>3224</v>
      </c>
      <c r="D4736" s="4" t="s">
        <v>4634</v>
      </c>
      <c r="E4736" s="1" t="str">
        <f>_xlfn.XLOOKUP(tblSales[[#This Row],[Customer ID]],tblCustomers[Customer ID],tblCustomers[Customer Name],"⚠ Unknown")</f>
        <v>PT Delta Inti Selaras</v>
      </c>
      <c r="F4736" s="4" t="s">
        <v>8</v>
      </c>
      <c r="G4736" s="1" t="str">
        <f>_xlfn.XLOOKUP(tblSales[[#This Row],[Product Code]],tblProducts[Code],tblProducts[Product / Service Name],"⚠ Unknown")</f>
        <v>Casual Shorts</v>
      </c>
      <c r="H4736" s="1" t="str">
        <f>_xlfn.XLOOKUP(tblSales[[#This Row],[Product Code]],tblProducts[Code],tblProducts[Category],"")</f>
        <v>Accessories &amp; Basics</v>
      </c>
      <c r="I4736" s="4">
        <v>64</v>
      </c>
      <c r="J4736" s="5">
        <f>_xlfn.XLOOKUP(tblSales[[#This Row],[Product Code]],tblProducts[Code],tblProducts[Selling Price (excl. VAT)],0)</f>
        <v>85000</v>
      </c>
      <c r="K4736" s="5">
        <f>tblSales[[#This Row],[Qty]]*tblSales[[#This Row],[Unit Price]]</f>
        <v>5440000</v>
      </c>
      <c r="L4736" s="5">
        <f>ROUND(tblSales[[#This Row],[DPP (excl. VAT)]]*VATEff,0)</f>
        <v>598400</v>
      </c>
      <c r="M4736" s="5">
        <f>tblSales[[#This Row],[DPP (excl. VAT)]]+tblSales[[#This Row],[Output VAT]]</f>
        <v>6038400</v>
      </c>
      <c r="N4736" s="5">
        <f>tblSales[[#This Row],[Qty]]*_xlfn.XLOOKUP(tblSales[[#This Row],[Product Code]],tblProducts[Code],tblProducts[Unit Cost],0)</f>
        <v>3200000</v>
      </c>
      <c r="O4736" s="4" t="s">
        <v>4867</v>
      </c>
      <c r="P4736" s="4" t="s">
        <v>4860</v>
      </c>
      <c r="Q4736" s="1" t="str">
        <f>_xlfn.XLOOKUP(tblSales[[#This Row],[Channel Code]],tblChannels[Channel Code],tblChannels[Channel Name],"")</f>
        <v>In-store</v>
      </c>
      <c r="R4736" s="1">
        <f>MONTH(tblSales[[#This Row],[Date]])</f>
        <v>10</v>
      </c>
    </row>
    <row r="4737" spans="2:18" x14ac:dyDescent="0.35">
      <c r="B4737" s="113">
        <v>46311</v>
      </c>
      <c r="C4737" s="4" t="s">
        <v>3225</v>
      </c>
      <c r="D4737" s="4" t="s">
        <v>4568</v>
      </c>
      <c r="E4737" s="1" t="str">
        <f>_xlfn.XLOOKUP(tblSales[[#This Row],[Customer ID]],tblCustomers[Customer ID],tblCustomers[Customer Name],"⚠ Unknown")</f>
        <v>Walk-in Customer</v>
      </c>
      <c r="F4737" s="4" t="s">
        <v>7</v>
      </c>
      <c r="G4737" s="1" t="str">
        <f>_xlfn.XLOOKUP(tblSales[[#This Row],[Product Code]],tblProducts[Code],tblProducts[Product / Service Name],"⚠ Unknown")</f>
        <v>Premium Basic T-shirt</v>
      </c>
      <c r="H4737" s="1" t="str">
        <f>_xlfn.XLOOKUP(tblSales[[#This Row],[Product Code]],tblProducts[Code],tblProducts[Category],"")</f>
        <v>Accessories &amp; Basics</v>
      </c>
      <c r="I4737" s="4">
        <v>11</v>
      </c>
      <c r="J4737" s="5">
        <f>_xlfn.XLOOKUP(tblSales[[#This Row],[Product Code]],tblProducts[Code],tblProducts[Selling Price (excl. VAT)],0)</f>
        <v>65000</v>
      </c>
      <c r="K4737" s="5">
        <f>tblSales[[#This Row],[Qty]]*tblSales[[#This Row],[Unit Price]]</f>
        <v>715000</v>
      </c>
      <c r="L4737" s="5">
        <f>ROUND(tblSales[[#This Row],[DPP (excl. VAT)]]*VATEff,0)</f>
        <v>78650</v>
      </c>
      <c r="M4737" s="5">
        <f>tblSales[[#This Row],[DPP (excl. VAT)]]+tblSales[[#This Row],[Output VAT]]</f>
        <v>793650</v>
      </c>
      <c r="N4737" s="5">
        <f>tblSales[[#This Row],[Qty]]*_xlfn.XLOOKUP(tblSales[[#This Row],[Product Code]],tblProducts[Code],tblProducts[Unit Cost],0)</f>
        <v>407000</v>
      </c>
      <c r="O4737" s="4" t="s">
        <v>4866</v>
      </c>
      <c r="P4737" s="4" t="s">
        <v>4860</v>
      </c>
      <c r="Q4737" s="1" t="str">
        <f>_xlfn.XLOOKUP(tblSales[[#This Row],[Channel Code]],tblChannels[Channel Code],tblChannels[Channel Name],"")</f>
        <v>In-store</v>
      </c>
      <c r="R4737" s="1">
        <f>MONTH(tblSales[[#This Row],[Date]])</f>
        <v>10</v>
      </c>
    </row>
    <row r="4738" spans="2:18" x14ac:dyDescent="0.35">
      <c r="B4738" s="113">
        <v>46311</v>
      </c>
      <c r="C4738" s="4" t="s">
        <v>3226</v>
      </c>
      <c r="D4738" s="4" t="s">
        <v>4568</v>
      </c>
      <c r="E4738" s="1" t="str">
        <f>_xlfn.XLOOKUP(tblSales[[#This Row],[Customer ID]],tblCustomers[Customer ID],tblCustomers[Customer Name],"⚠ Unknown")</f>
        <v>Walk-in Customer</v>
      </c>
      <c r="F4738" s="4" t="s">
        <v>6</v>
      </c>
      <c r="G4738" s="1" t="str">
        <f>_xlfn.XLOOKUP(tblSales[[#This Row],[Product Code]],tblProducts[Code],tblProducts[Product / Service Name],"⚠ Unknown")</f>
        <v>Socks &amp; Accessories</v>
      </c>
      <c r="H4738" s="1" t="str">
        <f>_xlfn.XLOOKUP(tblSales[[#This Row],[Product Code]],tblProducts[Code],tblProducts[Category],"")</f>
        <v>Accessories &amp; Basics</v>
      </c>
      <c r="I4738" s="4">
        <v>9</v>
      </c>
      <c r="J4738" s="5">
        <f>_xlfn.XLOOKUP(tblSales[[#This Row],[Product Code]],tblProducts[Code],tblProducts[Selling Price (excl. VAT)],0)</f>
        <v>45000</v>
      </c>
      <c r="K4738" s="5">
        <f>tblSales[[#This Row],[Qty]]*tblSales[[#This Row],[Unit Price]]</f>
        <v>405000</v>
      </c>
      <c r="L4738" s="5">
        <f>ROUND(tblSales[[#This Row],[DPP (excl. VAT)]]*VATEff,0)</f>
        <v>44550</v>
      </c>
      <c r="M4738" s="5">
        <f>tblSales[[#This Row],[DPP (excl. VAT)]]+tblSales[[#This Row],[Output VAT]]</f>
        <v>449550</v>
      </c>
      <c r="N4738" s="5">
        <f>tblSales[[#This Row],[Qty]]*_xlfn.XLOOKUP(tblSales[[#This Row],[Product Code]],tblProducts[Code],tblProducts[Unit Cost],0)</f>
        <v>216000</v>
      </c>
      <c r="O4738" s="4" t="s">
        <v>4865</v>
      </c>
      <c r="P4738" s="4" t="s">
        <v>4860</v>
      </c>
      <c r="Q4738" s="1" t="str">
        <f>_xlfn.XLOOKUP(tblSales[[#This Row],[Channel Code]],tblChannels[Channel Code],tblChannels[Channel Name],"")</f>
        <v>In-store</v>
      </c>
      <c r="R4738" s="1">
        <f>MONTH(tblSales[[#This Row],[Date]])</f>
        <v>10</v>
      </c>
    </row>
    <row r="4739" spans="2:18" x14ac:dyDescent="0.35">
      <c r="B4739" s="113">
        <v>46311</v>
      </c>
      <c r="C4739" s="4" t="s">
        <v>3227</v>
      </c>
      <c r="D4739" s="4" t="s">
        <v>4568</v>
      </c>
      <c r="E4739" s="1" t="str">
        <f>_xlfn.XLOOKUP(tblSales[[#This Row],[Customer ID]],tblCustomers[Customer ID],tblCustomers[Customer Name],"⚠ Unknown")</f>
        <v>Walk-in Customer</v>
      </c>
      <c r="F4739" s="4" t="s">
        <v>10</v>
      </c>
      <c r="G4739" s="1" t="str">
        <f>_xlfn.XLOOKUP(tblSales[[#This Row],[Product Code]],tblProducts[Code],tblProducts[Product / Service Name],"⚠ Unknown")</f>
        <v>Chino Pants</v>
      </c>
      <c r="H4739" s="1" t="str">
        <f>_xlfn.XLOOKUP(tblSales[[#This Row],[Product Code]],tblProducts[Code],tblProducts[Category],"")</f>
        <v>Apparel &amp; Footwear</v>
      </c>
      <c r="I4739" s="4">
        <v>8</v>
      </c>
      <c r="J4739" s="5">
        <f>_xlfn.XLOOKUP(tblSales[[#This Row],[Product Code]],tblProducts[Code],tblProducts[Selling Price (excl. VAT)],0)</f>
        <v>150000</v>
      </c>
      <c r="K4739" s="5">
        <f>tblSales[[#This Row],[Qty]]*tblSales[[#This Row],[Unit Price]]</f>
        <v>1200000</v>
      </c>
      <c r="L4739" s="5">
        <f>ROUND(tblSales[[#This Row],[DPP (excl. VAT)]]*VATEff,0)</f>
        <v>132000</v>
      </c>
      <c r="M4739" s="5">
        <f>tblSales[[#This Row],[DPP (excl. VAT)]]+tblSales[[#This Row],[Output VAT]]</f>
        <v>1332000</v>
      </c>
      <c r="N4739" s="5">
        <f>tblSales[[#This Row],[Qty]]*_xlfn.XLOOKUP(tblSales[[#This Row],[Product Code]],tblProducts[Code],tblProducts[Unit Cost],0)</f>
        <v>704000</v>
      </c>
      <c r="O4739" s="4" t="s">
        <v>4866</v>
      </c>
      <c r="P4739" s="4" t="s">
        <v>4861</v>
      </c>
      <c r="Q4739" s="1" t="str">
        <f>_xlfn.XLOOKUP(tblSales[[#This Row],[Channel Code]],tblChannels[Channel Code],tblChannels[Channel Name],"")</f>
        <v>Marketplace</v>
      </c>
      <c r="R4739" s="1">
        <f>MONTH(tblSales[[#This Row],[Date]])</f>
        <v>10</v>
      </c>
    </row>
    <row r="4740" spans="2:18" x14ac:dyDescent="0.35">
      <c r="B4740" s="113">
        <v>46311</v>
      </c>
      <c r="C4740" s="4" t="s">
        <v>3228</v>
      </c>
      <c r="D4740" s="4" t="s">
        <v>4613</v>
      </c>
      <c r="E4740" s="1" t="str">
        <f>_xlfn.XLOOKUP(tblSales[[#This Row],[Customer ID]],tblCustomers[Customer ID],tblCustomers[Customer Name],"⚠ Unknown")</f>
        <v>PT Mega Prima Distribusi</v>
      </c>
      <c r="F4740" s="4" t="s">
        <v>8</v>
      </c>
      <c r="G4740" s="1" t="str">
        <f>_xlfn.XLOOKUP(tblSales[[#This Row],[Product Code]],tblProducts[Code],tblProducts[Product / Service Name],"⚠ Unknown")</f>
        <v>Casual Shorts</v>
      </c>
      <c r="H4740" s="1" t="str">
        <f>_xlfn.XLOOKUP(tblSales[[#This Row],[Product Code]],tblProducts[Code],tblProducts[Category],"")</f>
        <v>Accessories &amp; Basics</v>
      </c>
      <c r="I4740" s="4">
        <v>48</v>
      </c>
      <c r="J4740" s="5">
        <f>_xlfn.XLOOKUP(tblSales[[#This Row],[Product Code]],tblProducts[Code],tblProducts[Selling Price (excl. VAT)],0)</f>
        <v>85000</v>
      </c>
      <c r="K4740" s="5">
        <f>tblSales[[#This Row],[Qty]]*tblSales[[#This Row],[Unit Price]]</f>
        <v>4080000</v>
      </c>
      <c r="L4740" s="5">
        <f>ROUND(tblSales[[#This Row],[DPP (excl. VAT)]]*VATEff,0)</f>
        <v>448800</v>
      </c>
      <c r="M4740" s="5">
        <f>tblSales[[#This Row],[DPP (excl. VAT)]]+tblSales[[#This Row],[Output VAT]]</f>
        <v>4528800</v>
      </c>
      <c r="N4740" s="5">
        <f>tblSales[[#This Row],[Qty]]*_xlfn.XLOOKUP(tblSales[[#This Row],[Product Code]],tblProducts[Code],tblProducts[Unit Cost],0)</f>
        <v>2400000</v>
      </c>
      <c r="O4740" s="4" t="s">
        <v>4867</v>
      </c>
      <c r="P4740" s="4" t="s">
        <v>4860</v>
      </c>
      <c r="Q4740" s="1" t="str">
        <f>_xlfn.XLOOKUP(tblSales[[#This Row],[Channel Code]],tblChannels[Channel Code],tblChannels[Channel Name],"")</f>
        <v>In-store</v>
      </c>
      <c r="R4740" s="1">
        <f>MONTH(tblSales[[#This Row],[Date]])</f>
        <v>10</v>
      </c>
    </row>
    <row r="4741" spans="2:18" x14ac:dyDescent="0.35">
      <c r="B4741" s="113">
        <v>46311</v>
      </c>
      <c r="C4741" s="4" t="s">
        <v>3229</v>
      </c>
      <c r="D4741" s="4" t="s">
        <v>4568</v>
      </c>
      <c r="E4741" s="1" t="str">
        <f>_xlfn.XLOOKUP(tblSales[[#This Row],[Customer ID]],tblCustomers[Customer ID],tblCustomers[Customer Name],"⚠ Unknown")</f>
        <v>Walk-in Customer</v>
      </c>
      <c r="F4741" s="4" t="s">
        <v>10</v>
      </c>
      <c r="G4741" s="1" t="str">
        <f>_xlfn.XLOOKUP(tblSales[[#This Row],[Product Code]],tblProducts[Code],tblProducts[Product / Service Name],"⚠ Unknown")</f>
        <v>Chino Pants</v>
      </c>
      <c r="H4741" s="1" t="str">
        <f>_xlfn.XLOOKUP(tblSales[[#This Row],[Product Code]],tblProducts[Code],tblProducts[Category],"")</f>
        <v>Apparel &amp; Footwear</v>
      </c>
      <c r="I4741" s="4">
        <v>1</v>
      </c>
      <c r="J4741" s="5">
        <f>_xlfn.XLOOKUP(tblSales[[#This Row],[Product Code]],tblProducts[Code],tblProducts[Selling Price (excl. VAT)],0)</f>
        <v>150000</v>
      </c>
      <c r="K4741" s="5">
        <f>tblSales[[#This Row],[Qty]]*tblSales[[#This Row],[Unit Price]]</f>
        <v>150000</v>
      </c>
      <c r="L4741" s="5">
        <f>ROUND(tblSales[[#This Row],[DPP (excl. VAT)]]*VATEff,0)</f>
        <v>16500</v>
      </c>
      <c r="M4741" s="5">
        <f>tblSales[[#This Row],[DPP (excl. VAT)]]+tblSales[[#This Row],[Output VAT]]</f>
        <v>166500</v>
      </c>
      <c r="N4741" s="5">
        <f>tblSales[[#This Row],[Qty]]*_xlfn.XLOOKUP(tblSales[[#This Row],[Product Code]],tblProducts[Code],tblProducts[Unit Cost],0)</f>
        <v>88000</v>
      </c>
      <c r="O4741" s="4" t="s">
        <v>4866</v>
      </c>
      <c r="P4741" s="4" t="s">
        <v>4861</v>
      </c>
      <c r="Q4741" s="1" t="str">
        <f>_xlfn.XLOOKUP(tblSales[[#This Row],[Channel Code]],tblChannels[Channel Code],tblChannels[Channel Name],"")</f>
        <v>Marketplace</v>
      </c>
      <c r="R4741" s="1">
        <f>MONTH(tblSales[[#This Row],[Date]])</f>
        <v>10</v>
      </c>
    </row>
    <row r="4742" spans="2:18" x14ac:dyDescent="0.35">
      <c r="B4742" s="113">
        <v>46311</v>
      </c>
      <c r="C4742" s="4" t="s">
        <v>3229</v>
      </c>
      <c r="D4742" s="4" t="s">
        <v>4568</v>
      </c>
      <c r="E4742" s="1" t="str">
        <f>_xlfn.XLOOKUP(tblSales[[#This Row],[Customer ID]],tblCustomers[Customer ID],tblCustomers[Customer Name],"⚠ Unknown")</f>
        <v>Walk-in Customer</v>
      </c>
      <c r="F4742" s="4" t="s">
        <v>8</v>
      </c>
      <c r="G4742" s="1" t="str">
        <f>_xlfn.XLOOKUP(tblSales[[#This Row],[Product Code]],tblProducts[Code],tblProducts[Product / Service Name],"⚠ Unknown")</f>
        <v>Casual Shorts</v>
      </c>
      <c r="H4742" s="1" t="str">
        <f>_xlfn.XLOOKUP(tblSales[[#This Row],[Product Code]],tblProducts[Code],tblProducts[Category],"")</f>
        <v>Accessories &amp; Basics</v>
      </c>
      <c r="I4742" s="4">
        <v>9</v>
      </c>
      <c r="J4742" s="5">
        <f>_xlfn.XLOOKUP(tblSales[[#This Row],[Product Code]],tblProducts[Code],tblProducts[Selling Price (excl. VAT)],0)</f>
        <v>85000</v>
      </c>
      <c r="K4742" s="5">
        <f>tblSales[[#This Row],[Qty]]*tblSales[[#This Row],[Unit Price]]</f>
        <v>765000</v>
      </c>
      <c r="L4742" s="5">
        <f>ROUND(tblSales[[#This Row],[DPP (excl. VAT)]]*VATEff,0)</f>
        <v>84150</v>
      </c>
      <c r="M4742" s="5">
        <f>tblSales[[#This Row],[DPP (excl. VAT)]]+tblSales[[#This Row],[Output VAT]]</f>
        <v>849150</v>
      </c>
      <c r="N4742" s="5">
        <f>tblSales[[#This Row],[Qty]]*_xlfn.XLOOKUP(tblSales[[#This Row],[Product Code]],tblProducts[Code],tblProducts[Unit Cost],0)</f>
        <v>450000</v>
      </c>
      <c r="O4742" s="4" t="s">
        <v>4866</v>
      </c>
      <c r="P4742" s="4" t="s">
        <v>4861</v>
      </c>
      <c r="Q4742" s="1" t="str">
        <f>_xlfn.XLOOKUP(tblSales[[#This Row],[Channel Code]],tblChannels[Channel Code],tblChannels[Channel Name],"")</f>
        <v>Marketplace</v>
      </c>
      <c r="R4742" s="1">
        <f>MONTH(tblSales[[#This Row],[Date]])</f>
        <v>10</v>
      </c>
    </row>
    <row r="4743" spans="2:18" x14ac:dyDescent="0.35">
      <c r="B4743" s="113">
        <v>46311</v>
      </c>
      <c r="C4743" s="4" t="s">
        <v>3230</v>
      </c>
      <c r="D4743" s="4" t="s">
        <v>4568</v>
      </c>
      <c r="E4743" s="1" t="str">
        <f>_xlfn.XLOOKUP(tblSales[[#This Row],[Customer ID]],tblCustomers[Customer ID],tblCustomers[Customer Name],"⚠ Unknown")</f>
        <v>Walk-in Customer</v>
      </c>
      <c r="F4743" s="4" t="s">
        <v>6</v>
      </c>
      <c r="G4743" s="1" t="str">
        <f>_xlfn.XLOOKUP(tblSales[[#This Row],[Product Code]],tblProducts[Code],tblProducts[Product / Service Name],"⚠ Unknown")</f>
        <v>Socks &amp; Accessories</v>
      </c>
      <c r="H4743" s="1" t="str">
        <f>_xlfn.XLOOKUP(tblSales[[#This Row],[Product Code]],tblProducts[Code],tblProducts[Category],"")</f>
        <v>Accessories &amp; Basics</v>
      </c>
      <c r="I4743" s="4">
        <v>3</v>
      </c>
      <c r="J4743" s="5">
        <f>_xlfn.XLOOKUP(tblSales[[#This Row],[Product Code]],tblProducts[Code],tblProducts[Selling Price (excl. VAT)],0)</f>
        <v>45000</v>
      </c>
      <c r="K4743" s="5">
        <f>tblSales[[#This Row],[Qty]]*tblSales[[#This Row],[Unit Price]]</f>
        <v>135000</v>
      </c>
      <c r="L4743" s="5">
        <f>ROUND(tblSales[[#This Row],[DPP (excl. VAT)]]*VATEff,0)</f>
        <v>14850</v>
      </c>
      <c r="M4743" s="5">
        <f>tblSales[[#This Row],[DPP (excl. VAT)]]+tblSales[[#This Row],[Output VAT]]</f>
        <v>149850</v>
      </c>
      <c r="N4743" s="5">
        <f>tblSales[[#This Row],[Qty]]*_xlfn.XLOOKUP(tblSales[[#This Row],[Product Code]],tblProducts[Code],tblProducts[Unit Cost],0)</f>
        <v>72000</v>
      </c>
      <c r="O4743" s="4" t="s">
        <v>4866</v>
      </c>
      <c r="P4743" s="4" t="s">
        <v>4860</v>
      </c>
      <c r="Q4743" s="1" t="str">
        <f>_xlfn.XLOOKUP(tblSales[[#This Row],[Channel Code]],tblChannels[Channel Code],tblChannels[Channel Name],"")</f>
        <v>In-store</v>
      </c>
      <c r="R4743" s="1">
        <f>MONTH(tblSales[[#This Row],[Date]])</f>
        <v>10</v>
      </c>
    </row>
    <row r="4744" spans="2:18" x14ac:dyDescent="0.35">
      <c r="B4744" s="113">
        <v>46311</v>
      </c>
      <c r="C4744" s="4" t="s">
        <v>3231</v>
      </c>
      <c r="D4744" s="4" t="s">
        <v>4568</v>
      </c>
      <c r="E4744" s="1" t="str">
        <f>_xlfn.XLOOKUP(tblSales[[#This Row],[Customer ID]],tblCustomers[Customer ID],tblCustomers[Customer Name],"⚠ Unknown")</f>
        <v>Walk-in Customer</v>
      </c>
      <c r="F4744" s="4" t="s">
        <v>9</v>
      </c>
      <c r="G4744" s="1" t="str">
        <f>_xlfn.XLOOKUP(tblSales[[#This Row],[Product Code]],tblProducts[Code],tblProducts[Product / Service Name],"⚠ Unknown")</f>
        <v>Casual Shirt</v>
      </c>
      <c r="H4744" s="1" t="str">
        <f>_xlfn.XLOOKUP(tblSales[[#This Row],[Product Code]],tblProducts[Code],tblProducts[Category],"")</f>
        <v>Apparel &amp; Footwear</v>
      </c>
      <c r="I4744" s="4">
        <v>11</v>
      </c>
      <c r="J4744" s="5">
        <f>_xlfn.XLOOKUP(tblSales[[#This Row],[Product Code]],tblProducts[Code],tblProducts[Selling Price (excl. VAT)],0)</f>
        <v>120000</v>
      </c>
      <c r="K4744" s="5">
        <f>tblSales[[#This Row],[Qty]]*tblSales[[#This Row],[Unit Price]]</f>
        <v>1320000</v>
      </c>
      <c r="L4744" s="5">
        <f>ROUND(tblSales[[#This Row],[DPP (excl. VAT)]]*VATEff,0)</f>
        <v>145200</v>
      </c>
      <c r="M4744" s="5">
        <f>tblSales[[#This Row],[DPP (excl. VAT)]]+tblSales[[#This Row],[Output VAT]]</f>
        <v>1465200</v>
      </c>
      <c r="N4744" s="5">
        <f>tblSales[[#This Row],[Qty]]*_xlfn.XLOOKUP(tblSales[[#This Row],[Product Code]],tblProducts[Code],tblProducts[Unit Cost],0)</f>
        <v>792000</v>
      </c>
      <c r="O4744" s="4" t="s">
        <v>4866</v>
      </c>
      <c r="P4744" s="4" t="s">
        <v>4861</v>
      </c>
      <c r="Q4744" s="1" t="str">
        <f>_xlfn.XLOOKUP(tblSales[[#This Row],[Channel Code]],tblChannels[Channel Code],tblChannels[Channel Name],"")</f>
        <v>Marketplace</v>
      </c>
      <c r="R4744" s="1">
        <f>MONTH(tblSales[[#This Row],[Date]])</f>
        <v>10</v>
      </c>
    </row>
    <row r="4745" spans="2:18" x14ac:dyDescent="0.35">
      <c r="B4745" s="113">
        <v>46311</v>
      </c>
      <c r="C4745" s="4" t="s">
        <v>3232</v>
      </c>
      <c r="D4745" s="4" t="s">
        <v>4568</v>
      </c>
      <c r="E4745" s="1" t="str">
        <f>_xlfn.XLOOKUP(tblSales[[#This Row],[Customer ID]],tblCustomers[Customer ID],tblCustomers[Customer Name],"⚠ Unknown")</f>
        <v>Walk-in Customer</v>
      </c>
      <c r="F4745" s="4" t="s">
        <v>8</v>
      </c>
      <c r="G4745" s="1" t="str">
        <f>_xlfn.XLOOKUP(tblSales[[#This Row],[Product Code]],tblProducts[Code],tblProducts[Product / Service Name],"⚠ Unknown")</f>
        <v>Casual Shorts</v>
      </c>
      <c r="H4745" s="1" t="str">
        <f>_xlfn.XLOOKUP(tblSales[[#This Row],[Product Code]],tblProducts[Code],tblProducts[Category],"")</f>
        <v>Accessories &amp; Basics</v>
      </c>
      <c r="I4745" s="4">
        <v>8</v>
      </c>
      <c r="J4745" s="5">
        <f>_xlfn.XLOOKUP(tblSales[[#This Row],[Product Code]],tblProducts[Code],tblProducts[Selling Price (excl. VAT)],0)</f>
        <v>85000</v>
      </c>
      <c r="K4745" s="5">
        <f>tblSales[[#This Row],[Qty]]*tblSales[[#This Row],[Unit Price]]</f>
        <v>680000</v>
      </c>
      <c r="L4745" s="5">
        <f>ROUND(tblSales[[#This Row],[DPP (excl. VAT)]]*VATEff,0)</f>
        <v>74800</v>
      </c>
      <c r="M4745" s="5">
        <f>tblSales[[#This Row],[DPP (excl. VAT)]]+tblSales[[#This Row],[Output VAT]]</f>
        <v>754800</v>
      </c>
      <c r="N4745" s="5">
        <f>tblSales[[#This Row],[Qty]]*_xlfn.XLOOKUP(tblSales[[#This Row],[Product Code]],tblProducts[Code],tblProducts[Unit Cost],0)</f>
        <v>400000</v>
      </c>
      <c r="O4745" s="4" t="s">
        <v>4865</v>
      </c>
      <c r="P4745" s="4" t="s">
        <v>4860</v>
      </c>
      <c r="Q4745" s="1" t="str">
        <f>_xlfn.XLOOKUP(tblSales[[#This Row],[Channel Code]],tblChannels[Channel Code],tblChannels[Channel Name],"")</f>
        <v>In-store</v>
      </c>
      <c r="R4745" s="1">
        <f>MONTH(tblSales[[#This Row],[Date]])</f>
        <v>10</v>
      </c>
    </row>
    <row r="4746" spans="2:18" x14ac:dyDescent="0.35">
      <c r="B4746" s="113">
        <v>46311</v>
      </c>
      <c r="C4746" s="4" t="s">
        <v>3233</v>
      </c>
      <c r="D4746" s="4" t="s">
        <v>4620</v>
      </c>
      <c r="E4746" s="1" t="str">
        <f>_xlfn.XLOOKUP(tblSales[[#This Row],[Customer ID]],tblCustomers[Customer ID],tblCustomers[Customer Name],"⚠ Unknown")</f>
        <v>CV Sumber Rejeki Utama</v>
      </c>
      <c r="F4746" s="4" t="s">
        <v>7</v>
      </c>
      <c r="G4746" s="1" t="str">
        <f>_xlfn.XLOOKUP(tblSales[[#This Row],[Product Code]],tblProducts[Code],tblProducts[Product / Service Name],"⚠ Unknown")</f>
        <v>Premium Basic T-shirt</v>
      </c>
      <c r="H4746" s="1" t="str">
        <f>_xlfn.XLOOKUP(tblSales[[#This Row],[Product Code]],tblProducts[Code],tblProducts[Category],"")</f>
        <v>Accessories &amp; Basics</v>
      </c>
      <c r="I4746" s="4">
        <v>64</v>
      </c>
      <c r="J4746" s="5">
        <f>_xlfn.XLOOKUP(tblSales[[#This Row],[Product Code]],tblProducts[Code],tblProducts[Selling Price (excl. VAT)],0)</f>
        <v>65000</v>
      </c>
      <c r="K4746" s="5">
        <f>tblSales[[#This Row],[Qty]]*tblSales[[#This Row],[Unit Price]]</f>
        <v>4160000</v>
      </c>
      <c r="L4746" s="5">
        <f>ROUND(tblSales[[#This Row],[DPP (excl. VAT)]]*VATEff,0)</f>
        <v>457600</v>
      </c>
      <c r="M4746" s="5">
        <f>tblSales[[#This Row],[DPP (excl. VAT)]]+tblSales[[#This Row],[Output VAT]]</f>
        <v>4617600</v>
      </c>
      <c r="N4746" s="5">
        <f>tblSales[[#This Row],[Qty]]*_xlfn.XLOOKUP(tblSales[[#This Row],[Product Code]],tblProducts[Code],tblProducts[Unit Cost],0)</f>
        <v>2368000</v>
      </c>
      <c r="O4746" s="4" t="s">
        <v>4867</v>
      </c>
      <c r="P4746" s="4" t="s">
        <v>4860</v>
      </c>
      <c r="Q4746" s="1" t="str">
        <f>_xlfn.XLOOKUP(tblSales[[#This Row],[Channel Code]],tblChannels[Channel Code],tblChannels[Channel Name],"")</f>
        <v>In-store</v>
      </c>
      <c r="R4746" s="1">
        <f>MONTH(tblSales[[#This Row],[Date]])</f>
        <v>10</v>
      </c>
    </row>
    <row r="4747" spans="2:18" x14ac:dyDescent="0.35">
      <c r="B4747" s="113">
        <v>46311</v>
      </c>
      <c r="C4747" s="4" t="s">
        <v>3234</v>
      </c>
      <c r="D4747" s="4" t="s">
        <v>4568</v>
      </c>
      <c r="E4747" s="1" t="str">
        <f>_xlfn.XLOOKUP(tblSales[[#This Row],[Customer ID]],tblCustomers[Customer ID],tblCustomers[Customer Name],"⚠ Unknown")</f>
        <v>Walk-in Customer</v>
      </c>
      <c r="F4747" s="4" t="s">
        <v>11</v>
      </c>
      <c r="G4747" s="1" t="str">
        <f>_xlfn.XLOOKUP(tblSales[[#This Row],[Product Code]],tblProducts[Code],tblProducts[Product / Service Name],"⚠ Unknown")</f>
        <v>Sneakers</v>
      </c>
      <c r="H4747" s="1" t="str">
        <f>_xlfn.XLOOKUP(tblSales[[#This Row],[Product Code]],tblProducts[Code],tblProducts[Category],"")</f>
        <v>Apparel &amp; Footwear</v>
      </c>
      <c r="I4747" s="4">
        <v>4</v>
      </c>
      <c r="J4747" s="5">
        <f>_xlfn.XLOOKUP(tblSales[[#This Row],[Product Code]],tblProducts[Code],tblProducts[Selling Price (excl. VAT)],0)</f>
        <v>250000</v>
      </c>
      <c r="K4747" s="5">
        <f>tblSales[[#This Row],[Qty]]*tblSales[[#This Row],[Unit Price]]</f>
        <v>1000000</v>
      </c>
      <c r="L4747" s="5">
        <f>ROUND(tblSales[[#This Row],[DPP (excl. VAT)]]*VATEff,0)</f>
        <v>110000</v>
      </c>
      <c r="M4747" s="5">
        <f>tblSales[[#This Row],[DPP (excl. VAT)]]+tblSales[[#This Row],[Output VAT]]</f>
        <v>1110000</v>
      </c>
      <c r="N4747" s="5">
        <f>tblSales[[#This Row],[Qty]]*_xlfn.XLOOKUP(tblSales[[#This Row],[Product Code]],tblProducts[Code],tblProducts[Unit Cost],0)</f>
        <v>620000</v>
      </c>
      <c r="O4747" s="4" t="s">
        <v>4866</v>
      </c>
      <c r="P4747" s="4" t="s">
        <v>4860</v>
      </c>
      <c r="Q4747" s="1" t="str">
        <f>_xlfn.XLOOKUP(tblSales[[#This Row],[Channel Code]],tblChannels[Channel Code],tblChannels[Channel Name],"")</f>
        <v>In-store</v>
      </c>
      <c r="R4747" s="1">
        <f>MONTH(tblSales[[#This Row],[Date]])</f>
        <v>10</v>
      </c>
    </row>
    <row r="4748" spans="2:18" x14ac:dyDescent="0.35">
      <c r="B4748" s="113">
        <v>46311</v>
      </c>
      <c r="C4748" s="4" t="s">
        <v>3235</v>
      </c>
      <c r="D4748" s="4" t="s">
        <v>4568</v>
      </c>
      <c r="E4748" s="1" t="str">
        <f>_xlfn.XLOOKUP(tblSales[[#This Row],[Customer ID]],tblCustomers[Customer ID],tblCustomers[Customer Name],"⚠ Unknown")</f>
        <v>Walk-in Customer</v>
      </c>
      <c r="F4748" s="4" t="s">
        <v>7</v>
      </c>
      <c r="G4748" s="1" t="str">
        <f>_xlfn.XLOOKUP(tblSales[[#This Row],[Product Code]],tblProducts[Code],tblProducts[Product / Service Name],"⚠ Unknown")</f>
        <v>Premium Basic T-shirt</v>
      </c>
      <c r="H4748" s="1" t="str">
        <f>_xlfn.XLOOKUP(tblSales[[#This Row],[Product Code]],tblProducts[Code],tblProducts[Category],"")</f>
        <v>Accessories &amp; Basics</v>
      </c>
      <c r="I4748" s="4">
        <v>7</v>
      </c>
      <c r="J4748" s="5">
        <f>_xlfn.XLOOKUP(tblSales[[#This Row],[Product Code]],tblProducts[Code],tblProducts[Selling Price (excl. VAT)],0)</f>
        <v>65000</v>
      </c>
      <c r="K4748" s="5">
        <f>tblSales[[#This Row],[Qty]]*tblSales[[#This Row],[Unit Price]]</f>
        <v>455000</v>
      </c>
      <c r="L4748" s="5">
        <f>ROUND(tblSales[[#This Row],[DPP (excl. VAT)]]*VATEff,0)</f>
        <v>50050</v>
      </c>
      <c r="M4748" s="5">
        <f>tblSales[[#This Row],[DPP (excl. VAT)]]+tblSales[[#This Row],[Output VAT]]</f>
        <v>505050</v>
      </c>
      <c r="N4748" s="5">
        <f>tblSales[[#This Row],[Qty]]*_xlfn.XLOOKUP(tblSales[[#This Row],[Product Code]],tblProducts[Code],tblProducts[Unit Cost],0)</f>
        <v>259000</v>
      </c>
      <c r="O4748" s="4" t="s">
        <v>4866</v>
      </c>
      <c r="P4748" s="4" t="s">
        <v>4861</v>
      </c>
      <c r="Q4748" s="1" t="str">
        <f>_xlfn.XLOOKUP(tblSales[[#This Row],[Channel Code]],tblChannels[Channel Code],tblChannels[Channel Name],"")</f>
        <v>Marketplace</v>
      </c>
      <c r="R4748" s="1">
        <f>MONTH(tblSales[[#This Row],[Date]])</f>
        <v>10</v>
      </c>
    </row>
    <row r="4749" spans="2:18" x14ac:dyDescent="0.35">
      <c r="B4749" s="113">
        <v>46311</v>
      </c>
      <c r="C4749" s="4" t="s">
        <v>3235</v>
      </c>
      <c r="D4749" s="4" t="s">
        <v>4568</v>
      </c>
      <c r="E4749" s="1" t="str">
        <f>_xlfn.XLOOKUP(tblSales[[#This Row],[Customer ID]],tblCustomers[Customer ID],tblCustomers[Customer Name],"⚠ Unknown")</f>
        <v>Walk-in Customer</v>
      </c>
      <c r="F4749" s="4" t="s">
        <v>6</v>
      </c>
      <c r="G4749" s="1" t="str">
        <f>_xlfn.XLOOKUP(tblSales[[#This Row],[Product Code]],tblProducts[Code],tblProducts[Product / Service Name],"⚠ Unknown")</f>
        <v>Socks &amp; Accessories</v>
      </c>
      <c r="H4749" s="1" t="str">
        <f>_xlfn.XLOOKUP(tblSales[[#This Row],[Product Code]],tblProducts[Code],tblProducts[Category],"")</f>
        <v>Accessories &amp; Basics</v>
      </c>
      <c r="I4749" s="4">
        <v>3</v>
      </c>
      <c r="J4749" s="5">
        <f>_xlfn.XLOOKUP(tblSales[[#This Row],[Product Code]],tblProducts[Code],tblProducts[Selling Price (excl. VAT)],0)</f>
        <v>45000</v>
      </c>
      <c r="K4749" s="5">
        <f>tblSales[[#This Row],[Qty]]*tblSales[[#This Row],[Unit Price]]</f>
        <v>135000</v>
      </c>
      <c r="L4749" s="5">
        <f>ROUND(tblSales[[#This Row],[DPP (excl. VAT)]]*VATEff,0)</f>
        <v>14850</v>
      </c>
      <c r="M4749" s="5">
        <f>tblSales[[#This Row],[DPP (excl. VAT)]]+tblSales[[#This Row],[Output VAT]]</f>
        <v>149850</v>
      </c>
      <c r="N4749" s="5">
        <f>tblSales[[#This Row],[Qty]]*_xlfn.XLOOKUP(tblSales[[#This Row],[Product Code]],tblProducts[Code],tblProducts[Unit Cost],0)</f>
        <v>72000</v>
      </c>
      <c r="O4749" s="4" t="s">
        <v>4866</v>
      </c>
      <c r="P4749" s="4" t="s">
        <v>4861</v>
      </c>
      <c r="Q4749" s="1" t="str">
        <f>_xlfn.XLOOKUP(tblSales[[#This Row],[Channel Code]],tblChannels[Channel Code],tblChannels[Channel Name],"")</f>
        <v>Marketplace</v>
      </c>
      <c r="R4749" s="1">
        <f>MONTH(tblSales[[#This Row],[Date]])</f>
        <v>10</v>
      </c>
    </row>
    <row r="4750" spans="2:18" x14ac:dyDescent="0.35">
      <c r="B4750" s="113">
        <v>46311</v>
      </c>
      <c r="C4750" s="4" t="s">
        <v>3235</v>
      </c>
      <c r="D4750" s="4" t="s">
        <v>4568</v>
      </c>
      <c r="E4750" s="1" t="str">
        <f>_xlfn.XLOOKUP(tblSales[[#This Row],[Customer ID]],tblCustomers[Customer ID],tblCustomers[Customer Name],"⚠ Unknown")</f>
        <v>Walk-in Customer</v>
      </c>
      <c r="F4750" s="4" t="s">
        <v>14</v>
      </c>
      <c r="G4750" s="1" t="str">
        <f>_xlfn.XLOOKUP(tblSales[[#This Row],[Product Code]],tblProducts[Code],tblProducts[Product / Service Name],"⚠ Unknown")</f>
        <v>Smartwatch</v>
      </c>
      <c r="H4750" s="1" t="str">
        <f>_xlfn.XLOOKUP(tblSales[[#This Row],[Product Code]],tblProducts[Code],tblProducts[Category],"")</f>
        <v>Bags &amp; Gadgets</v>
      </c>
      <c r="I4750" s="4">
        <v>3</v>
      </c>
      <c r="J4750" s="5">
        <f>_xlfn.XLOOKUP(tblSales[[#This Row],[Product Code]],tblProducts[Code],tblProducts[Selling Price (excl. VAT)],0)</f>
        <v>850000</v>
      </c>
      <c r="K4750" s="5">
        <f>tblSales[[#This Row],[Qty]]*tblSales[[#This Row],[Unit Price]]</f>
        <v>2550000</v>
      </c>
      <c r="L4750" s="5">
        <f>ROUND(tblSales[[#This Row],[DPP (excl. VAT)]]*VATEff,0)</f>
        <v>280500</v>
      </c>
      <c r="M4750" s="5">
        <f>tblSales[[#This Row],[DPP (excl. VAT)]]+tblSales[[#This Row],[Output VAT]]</f>
        <v>2830500</v>
      </c>
      <c r="N4750" s="5">
        <f>tblSales[[#This Row],[Qty]]*_xlfn.XLOOKUP(tblSales[[#This Row],[Product Code]],tblProducts[Code],tblProducts[Unit Cost],0)</f>
        <v>1680000</v>
      </c>
      <c r="O4750" s="4" t="s">
        <v>4866</v>
      </c>
      <c r="P4750" s="4" t="s">
        <v>4861</v>
      </c>
      <c r="Q4750" s="1" t="str">
        <f>_xlfn.XLOOKUP(tblSales[[#This Row],[Channel Code]],tblChannels[Channel Code],tblChannels[Channel Name],"")</f>
        <v>Marketplace</v>
      </c>
      <c r="R4750" s="1">
        <f>MONTH(tblSales[[#This Row],[Date]])</f>
        <v>10</v>
      </c>
    </row>
    <row r="4751" spans="2:18" x14ac:dyDescent="0.35">
      <c r="B4751" s="113">
        <v>46311</v>
      </c>
      <c r="C4751" s="4" t="s">
        <v>3236</v>
      </c>
      <c r="D4751" s="4" t="s">
        <v>4568</v>
      </c>
      <c r="E4751" s="1" t="str">
        <f>_xlfn.XLOOKUP(tblSales[[#This Row],[Customer ID]],tblCustomers[Customer ID],tblCustomers[Customer Name],"⚠ Unknown")</f>
        <v>Walk-in Customer</v>
      </c>
      <c r="F4751" s="4" t="s">
        <v>8</v>
      </c>
      <c r="G4751" s="1" t="str">
        <f>_xlfn.XLOOKUP(tblSales[[#This Row],[Product Code]],tblProducts[Code],tblProducts[Product / Service Name],"⚠ Unknown")</f>
        <v>Casual Shorts</v>
      </c>
      <c r="H4751" s="1" t="str">
        <f>_xlfn.XLOOKUP(tblSales[[#This Row],[Product Code]],tblProducts[Code],tblProducts[Category],"")</f>
        <v>Accessories &amp; Basics</v>
      </c>
      <c r="I4751" s="4">
        <v>2</v>
      </c>
      <c r="J4751" s="5">
        <f>_xlfn.XLOOKUP(tblSales[[#This Row],[Product Code]],tblProducts[Code],tblProducts[Selling Price (excl. VAT)],0)</f>
        <v>85000</v>
      </c>
      <c r="K4751" s="5">
        <f>tblSales[[#This Row],[Qty]]*tblSales[[#This Row],[Unit Price]]</f>
        <v>170000</v>
      </c>
      <c r="L4751" s="5">
        <f>ROUND(tblSales[[#This Row],[DPP (excl. VAT)]]*VATEff,0)</f>
        <v>18700</v>
      </c>
      <c r="M4751" s="5">
        <f>tblSales[[#This Row],[DPP (excl. VAT)]]+tblSales[[#This Row],[Output VAT]]</f>
        <v>188700</v>
      </c>
      <c r="N4751" s="5">
        <f>tblSales[[#This Row],[Qty]]*_xlfn.XLOOKUP(tblSales[[#This Row],[Product Code]],tblProducts[Code],tblProducts[Unit Cost],0)</f>
        <v>100000</v>
      </c>
      <c r="O4751" s="4" t="s">
        <v>4865</v>
      </c>
      <c r="P4751" s="4" t="s">
        <v>4860</v>
      </c>
      <c r="Q4751" s="1" t="str">
        <f>_xlfn.XLOOKUP(tblSales[[#This Row],[Channel Code]],tblChannels[Channel Code],tblChannels[Channel Name],"")</f>
        <v>In-store</v>
      </c>
      <c r="R4751" s="1">
        <f>MONTH(tblSales[[#This Row],[Date]])</f>
        <v>10</v>
      </c>
    </row>
    <row r="4752" spans="2:18" x14ac:dyDescent="0.35">
      <c r="B4752" s="113">
        <v>46312</v>
      </c>
      <c r="C4752" s="4" t="s">
        <v>3237</v>
      </c>
      <c r="D4752" s="4" t="s">
        <v>4568</v>
      </c>
      <c r="E4752" s="1" t="str">
        <f>_xlfn.XLOOKUP(tblSales[[#This Row],[Customer ID]],tblCustomers[Customer ID],tblCustomers[Customer Name],"⚠ Unknown")</f>
        <v>Walk-in Customer</v>
      </c>
      <c r="F4752" s="4" t="s">
        <v>13</v>
      </c>
      <c r="G4752" s="1" t="str">
        <f>_xlfn.XLOOKUP(tblSales[[#This Row],[Product Code]],tblProducts[Code],tblProducts[Product / Service Name],"⚠ Unknown")</f>
        <v>Backpack</v>
      </c>
      <c r="H4752" s="1" t="str">
        <f>_xlfn.XLOOKUP(tblSales[[#This Row],[Product Code]],tblProducts[Code],tblProducts[Category],"")</f>
        <v>Bags &amp; Gadgets</v>
      </c>
      <c r="I4752" s="4">
        <v>3</v>
      </c>
      <c r="J4752" s="5">
        <f>_xlfn.XLOOKUP(tblSales[[#This Row],[Product Code]],tblProducts[Code],tblProducts[Selling Price (excl. VAT)],0)</f>
        <v>500000</v>
      </c>
      <c r="K4752" s="5">
        <f>tblSales[[#This Row],[Qty]]*tblSales[[#This Row],[Unit Price]]</f>
        <v>1500000</v>
      </c>
      <c r="L4752" s="5">
        <f>ROUND(tblSales[[#This Row],[DPP (excl. VAT)]]*VATEff,0)</f>
        <v>165000</v>
      </c>
      <c r="M4752" s="5">
        <f>tblSales[[#This Row],[DPP (excl. VAT)]]+tblSales[[#This Row],[Output VAT]]</f>
        <v>1665000</v>
      </c>
      <c r="N4752" s="5">
        <f>tblSales[[#This Row],[Qty]]*_xlfn.XLOOKUP(tblSales[[#This Row],[Product Code]],tblProducts[Code],tblProducts[Unit Cost],0)</f>
        <v>870000</v>
      </c>
      <c r="O4752" s="4" t="s">
        <v>4865</v>
      </c>
      <c r="P4752" s="4" t="s">
        <v>4860</v>
      </c>
      <c r="Q4752" s="1" t="str">
        <f>_xlfn.XLOOKUP(tblSales[[#This Row],[Channel Code]],tblChannels[Channel Code],tblChannels[Channel Name],"")</f>
        <v>In-store</v>
      </c>
      <c r="R4752" s="1">
        <f>MONTH(tblSales[[#This Row],[Date]])</f>
        <v>10</v>
      </c>
    </row>
    <row r="4753" spans="2:18" x14ac:dyDescent="0.35">
      <c r="B4753" s="113">
        <v>46312</v>
      </c>
      <c r="C4753" s="4" t="s">
        <v>3238</v>
      </c>
      <c r="D4753" s="4" t="s">
        <v>4568</v>
      </c>
      <c r="E4753" s="1" t="str">
        <f>_xlfn.XLOOKUP(tblSales[[#This Row],[Customer ID]],tblCustomers[Customer ID],tblCustomers[Customer Name],"⚠ Unknown")</f>
        <v>Walk-in Customer</v>
      </c>
      <c r="F4753" s="4" t="s">
        <v>12</v>
      </c>
      <c r="G4753" s="1" t="str">
        <f>_xlfn.XLOOKUP(tblSales[[#This Row],[Product Code]],tblProducts[Code],tblProducts[Product / Service Name],"⚠ Unknown")</f>
        <v>Bomber Jacket</v>
      </c>
      <c r="H4753" s="1" t="str">
        <f>_xlfn.XLOOKUP(tblSales[[#This Row],[Product Code]],tblProducts[Code],tblProducts[Category],"")</f>
        <v>Apparel &amp; Footwear</v>
      </c>
      <c r="I4753" s="4">
        <v>4</v>
      </c>
      <c r="J4753" s="5">
        <f>_xlfn.XLOOKUP(tblSales[[#This Row],[Product Code]],tblProducts[Code],tblProducts[Selling Price (excl. VAT)],0)</f>
        <v>350000</v>
      </c>
      <c r="K4753" s="5">
        <f>tblSales[[#This Row],[Qty]]*tblSales[[#This Row],[Unit Price]]</f>
        <v>1400000</v>
      </c>
      <c r="L4753" s="5">
        <f>ROUND(tblSales[[#This Row],[DPP (excl. VAT)]]*VATEff,0)</f>
        <v>154000</v>
      </c>
      <c r="M4753" s="5">
        <f>tblSales[[#This Row],[DPP (excl. VAT)]]+tblSales[[#This Row],[Output VAT]]</f>
        <v>1554000</v>
      </c>
      <c r="N4753" s="5">
        <f>tblSales[[#This Row],[Qty]]*_xlfn.XLOOKUP(tblSales[[#This Row],[Product Code]],tblProducts[Code],tblProducts[Unit Cost],0)</f>
        <v>840000</v>
      </c>
      <c r="O4753" s="4" t="s">
        <v>4865</v>
      </c>
      <c r="P4753" s="4" t="s">
        <v>4860</v>
      </c>
      <c r="Q4753" s="1" t="str">
        <f>_xlfn.XLOOKUP(tblSales[[#This Row],[Channel Code]],tblChannels[Channel Code],tblChannels[Channel Name],"")</f>
        <v>In-store</v>
      </c>
      <c r="R4753" s="1">
        <f>MONTH(tblSales[[#This Row],[Date]])</f>
        <v>10</v>
      </c>
    </row>
    <row r="4754" spans="2:18" x14ac:dyDescent="0.35">
      <c r="B4754" s="113">
        <v>46312</v>
      </c>
      <c r="C4754" s="4" t="s">
        <v>3239</v>
      </c>
      <c r="D4754" s="4" t="s">
        <v>4568</v>
      </c>
      <c r="E4754" s="1" t="str">
        <f>_xlfn.XLOOKUP(tblSales[[#This Row],[Customer ID]],tblCustomers[Customer ID],tblCustomers[Customer Name],"⚠ Unknown")</f>
        <v>Walk-in Customer</v>
      </c>
      <c r="F4754" s="4" t="s">
        <v>6</v>
      </c>
      <c r="G4754" s="1" t="str">
        <f>_xlfn.XLOOKUP(tblSales[[#This Row],[Product Code]],tblProducts[Code],tblProducts[Product / Service Name],"⚠ Unknown")</f>
        <v>Socks &amp; Accessories</v>
      </c>
      <c r="H4754" s="1" t="str">
        <f>_xlfn.XLOOKUP(tblSales[[#This Row],[Product Code]],tblProducts[Code],tblProducts[Category],"")</f>
        <v>Accessories &amp; Basics</v>
      </c>
      <c r="I4754" s="4">
        <v>4</v>
      </c>
      <c r="J4754" s="5">
        <f>_xlfn.XLOOKUP(tblSales[[#This Row],[Product Code]],tblProducts[Code],tblProducts[Selling Price (excl. VAT)],0)</f>
        <v>45000</v>
      </c>
      <c r="K4754" s="5">
        <f>tblSales[[#This Row],[Qty]]*tblSales[[#This Row],[Unit Price]]</f>
        <v>180000</v>
      </c>
      <c r="L4754" s="5">
        <f>ROUND(tblSales[[#This Row],[DPP (excl. VAT)]]*VATEff,0)</f>
        <v>19800</v>
      </c>
      <c r="M4754" s="5">
        <f>tblSales[[#This Row],[DPP (excl. VAT)]]+tblSales[[#This Row],[Output VAT]]</f>
        <v>199800</v>
      </c>
      <c r="N4754" s="5">
        <f>tblSales[[#This Row],[Qty]]*_xlfn.XLOOKUP(tblSales[[#This Row],[Product Code]],tblProducts[Code],tblProducts[Unit Cost],0)</f>
        <v>96000</v>
      </c>
      <c r="O4754" s="4" t="s">
        <v>4865</v>
      </c>
      <c r="P4754" s="4" t="s">
        <v>4860</v>
      </c>
      <c r="Q4754" s="1" t="str">
        <f>_xlfn.XLOOKUP(tblSales[[#This Row],[Channel Code]],tblChannels[Channel Code],tblChannels[Channel Name],"")</f>
        <v>In-store</v>
      </c>
      <c r="R4754" s="1">
        <f>MONTH(tblSales[[#This Row],[Date]])</f>
        <v>10</v>
      </c>
    </row>
    <row r="4755" spans="2:18" x14ac:dyDescent="0.35">
      <c r="B4755" s="113">
        <v>46312</v>
      </c>
      <c r="C4755" s="4" t="s">
        <v>3240</v>
      </c>
      <c r="D4755" s="4" t="s">
        <v>4572</v>
      </c>
      <c r="E4755" s="1" t="str">
        <f>_xlfn.XLOOKUP(tblSales[[#This Row],[Customer ID]],tblCustomers[Customer ID],tblCustomers[Customer Name],"⚠ Unknown")</f>
        <v>PT Cahaya Abadi Makmur</v>
      </c>
      <c r="F4755" s="4" t="s">
        <v>14</v>
      </c>
      <c r="G4755" s="1" t="str">
        <f>_xlfn.XLOOKUP(tblSales[[#This Row],[Product Code]],tblProducts[Code],tblProducts[Product / Service Name],"⚠ Unknown")</f>
        <v>Smartwatch</v>
      </c>
      <c r="H4755" s="1" t="str">
        <f>_xlfn.XLOOKUP(tblSales[[#This Row],[Product Code]],tblProducts[Code],tblProducts[Category],"")</f>
        <v>Bags &amp; Gadgets</v>
      </c>
      <c r="I4755" s="4">
        <v>24</v>
      </c>
      <c r="J4755" s="5">
        <f>_xlfn.XLOOKUP(tblSales[[#This Row],[Product Code]],tblProducts[Code],tblProducts[Selling Price (excl. VAT)],0)</f>
        <v>850000</v>
      </c>
      <c r="K4755" s="5">
        <f>tblSales[[#This Row],[Qty]]*tblSales[[#This Row],[Unit Price]]</f>
        <v>20400000</v>
      </c>
      <c r="L4755" s="5">
        <f>ROUND(tblSales[[#This Row],[DPP (excl. VAT)]]*VATEff,0)</f>
        <v>2244000</v>
      </c>
      <c r="M4755" s="5">
        <f>tblSales[[#This Row],[DPP (excl. VAT)]]+tblSales[[#This Row],[Output VAT]]</f>
        <v>22644000</v>
      </c>
      <c r="N4755" s="5">
        <f>tblSales[[#This Row],[Qty]]*_xlfn.XLOOKUP(tblSales[[#This Row],[Product Code]],tblProducts[Code],tblProducts[Unit Cost],0)</f>
        <v>13440000</v>
      </c>
      <c r="O4755" s="4" t="s">
        <v>4867</v>
      </c>
      <c r="P4755" s="4" t="s">
        <v>4860</v>
      </c>
      <c r="Q4755" s="1" t="str">
        <f>_xlfn.XLOOKUP(tblSales[[#This Row],[Channel Code]],tblChannels[Channel Code],tblChannels[Channel Name],"")</f>
        <v>In-store</v>
      </c>
      <c r="R4755" s="1">
        <f>MONTH(tblSales[[#This Row],[Date]])</f>
        <v>10</v>
      </c>
    </row>
    <row r="4756" spans="2:18" x14ac:dyDescent="0.35">
      <c r="B4756" s="113">
        <v>46312</v>
      </c>
      <c r="C4756" s="4" t="s">
        <v>3240</v>
      </c>
      <c r="D4756" s="4" t="s">
        <v>4572</v>
      </c>
      <c r="E4756" s="1" t="str">
        <f>_xlfn.XLOOKUP(tblSales[[#This Row],[Customer ID]],tblCustomers[Customer ID],tblCustomers[Customer Name],"⚠ Unknown")</f>
        <v>PT Cahaya Abadi Makmur</v>
      </c>
      <c r="F4756" s="4" t="s">
        <v>8</v>
      </c>
      <c r="G4756" s="1" t="str">
        <f>_xlfn.XLOOKUP(tblSales[[#This Row],[Product Code]],tblProducts[Code],tblProducts[Product / Service Name],"⚠ Unknown")</f>
        <v>Casual Shorts</v>
      </c>
      <c r="H4756" s="1" t="str">
        <f>_xlfn.XLOOKUP(tblSales[[#This Row],[Product Code]],tblProducts[Code],tblProducts[Category],"")</f>
        <v>Accessories &amp; Basics</v>
      </c>
      <c r="I4756" s="4">
        <v>80</v>
      </c>
      <c r="J4756" s="5">
        <f>_xlfn.XLOOKUP(tblSales[[#This Row],[Product Code]],tblProducts[Code],tblProducts[Selling Price (excl. VAT)],0)</f>
        <v>85000</v>
      </c>
      <c r="K4756" s="5">
        <f>tblSales[[#This Row],[Qty]]*tblSales[[#This Row],[Unit Price]]</f>
        <v>6800000</v>
      </c>
      <c r="L4756" s="5">
        <f>ROUND(tblSales[[#This Row],[DPP (excl. VAT)]]*VATEff,0)</f>
        <v>748000</v>
      </c>
      <c r="M4756" s="5">
        <f>tblSales[[#This Row],[DPP (excl. VAT)]]+tblSales[[#This Row],[Output VAT]]</f>
        <v>7548000</v>
      </c>
      <c r="N4756" s="5">
        <f>tblSales[[#This Row],[Qty]]*_xlfn.XLOOKUP(tblSales[[#This Row],[Product Code]],tblProducts[Code],tblProducts[Unit Cost],0)</f>
        <v>4000000</v>
      </c>
      <c r="O4756" s="4" t="s">
        <v>4867</v>
      </c>
      <c r="P4756" s="4" t="s">
        <v>4860</v>
      </c>
      <c r="Q4756" s="1" t="str">
        <f>_xlfn.XLOOKUP(tblSales[[#This Row],[Channel Code]],tblChannels[Channel Code],tblChannels[Channel Name],"")</f>
        <v>In-store</v>
      </c>
      <c r="R4756" s="1">
        <f>MONTH(tblSales[[#This Row],[Date]])</f>
        <v>10</v>
      </c>
    </row>
    <row r="4757" spans="2:18" x14ac:dyDescent="0.35">
      <c r="B4757" s="113">
        <v>46312</v>
      </c>
      <c r="C4757" s="4" t="s">
        <v>3241</v>
      </c>
      <c r="D4757" s="4" t="s">
        <v>4568</v>
      </c>
      <c r="E4757" s="1" t="str">
        <f>_xlfn.XLOOKUP(tblSales[[#This Row],[Customer ID]],tblCustomers[Customer ID],tblCustomers[Customer Name],"⚠ Unknown")</f>
        <v>Walk-in Customer</v>
      </c>
      <c r="F4757" s="4" t="s">
        <v>10</v>
      </c>
      <c r="G4757" s="1" t="str">
        <f>_xlfn.XLOOKUP(tblSales[[#This Row],[Product Code]],tblProducts[Code],tblProducts[Product / Service Name],"⚠ Unknown")</f>
        <v>Chino Pants</v>
      </c>
      <c r="H4757" s="1" t="str">
        <f>_xlfn.XLOOKUP(tblSales[[#This Row],[Product Code]],tblProducts[Code],tblProducts[Category],"")</f>
        <v>Apparel &amp; Footwear</v>
      </c>
      <c r="I4757" s="4">
        <v>9</v>
      </c>
      <c r="J4757" s="5">
        <f>_xlfn.XLOOKUP(tblSales[[#This Row],[Product Code]],tblProducts[Code],tblProducts[Selling Price (excl. VAT)],0)</f>
        <v>150000</v>
      </c>
      <c r="K4757" s="5">
        <f>tblSales[[#This Row],[Qty]]*tblSales[[#This Row],[Unit Price]]</f>
        <v>1350000</v>
      </c>
      <c r="L4757" s="5">
        <f>ROUND(tblSales[[#This Row],[DPP (excl. VAT)]]*VATEff,0)</f>
        <v>148500</v>
      </c>
      <c r="M4757" s="5">
        <f>tblSales[[#This Row],[DPP (excl. VAT)]]+tblSales[[#This Row],[Output VAT]]</f>
        <v>1498500</v>
      </c>
      <c r="N4757" s="5">
        <f>tblSales[[#This Row],[Qty]]*_xlfn.XLOOKUP(tblSales[[#This Row],[Product Code]],tblProducts[Code],tblProducts[Unit Cost],0)</f>
        <v>792000</v>
      </c>
      <c r="O4757" s="4" t="s">
        <v>4865</v>
      </c>
      <c r="P4757" s="4" t="s">
        <v>4860</v>
      </c>
      <c r="Q4757" s="1" t="str">
        <f>_xlfn.XLOOKUP(tblSales[[#This Row],[Channel Code]],tblChannels[Channel Code],tblChannels[Channel Name],"")</f>
        <v>In-store</v>
      </c>
      <c r="R4757" s="1">
        <f>MONTH(tblSales[[#This Row],[Date]])</f>
        <v>10</v>
      </c>
    </row>
    <row r="4758" spans="2:18" x14ac:dyDescent="0.35">
      <c r="B4758" s="113">
        <v>46312</v>
      </c>
      <c r="C4758" s="4" t="s">
        <v>3242</v>
      </c>
      <c r="D4758" s="4" t="s">
        <v>4568</v>
      </c>
      <c r="E4758" s="1" t="str">
        <f>_xlfn.XLOOKUP(tblSales[[#This Row],[Customer ID]],tblCustomers[Customer ID],tblCustomers[Customer Name],"⚠ Unknown")</f>
        <v>Walk-in Customer</v>
      </c>
      <c r="F4758" s="4" t="s">
        <v>10</v>
      </c>
      <c r="G4758" s="1" t="str">
        <f>_xlfn.XLOOKUP(tblSales[[#This Row],[Product Code]],tblProducts[Code],tblProducts[Product / Service Name],"⚠ Unknown")</f>
        <v>Chino Pants</v>
      </c>
      <c r="H4758" s="1" t="str">
        <f>_xlfn.XLOOKUP(tblSales[[#This Row],[Product Code]],tblProducts[Code],tblProducts[Category],"")</f>
        <v>Apparel &amp; Footwear</v>
      </c>
      <c r="I4758" s="4">
        <v>10</v>
      </c>
      <c r="J4758" s="5">
        <f>_xlfn.XLOOKUP(tblSales[[#This Row],[Product Code]],tblProducts[Code],tblProducts[Selling Price (excl. VAT)],0)</f>
        <v>150000</v>
      </c>
      <c r="K4758" s="5">
        <f>tblSales[[#This Row],[Qty]]*tblSales[[#This Row],[Unit Price]]</f>
        <v>1500000</v>
      </c>
      <c r="L4758" s="5">
        <f>ROUND(tblSales[[#This Row],[DPP (excl. VAT)]]*VATEff,0)</f>
        <v>165000</v>
      </c>
      <c r="M4758" s="5">
        <f>tblSales[[#This Row],[DPP (excl. VAT)]]+tblSales[[#This Row],[Output VAT]]</f>
        <v>1665000</v>
      </c>
      <c r="N4758" s="5">
        <f>tblSales[[#This Row],[Qty]]*_xlfn.XLOOKUP(tblSales[[#This Row],[Product Code]],tblProducts[Code],tblProducts[Unit Cost],0)</f>
        <v>880000</v>
      </c>
      <c r="O4758" s="4" t="s">
        <v>4866</v>
      </c>
      <c r="P4758" s="4" t="s">
        <v>4861</v>
      </c>
      <c r="Q4758" s="1" t="str">
        <f>_xlfn.XLOOKUP(tblSales[[#This Row],[Channel Code]],tblChannels[Channel Code],tblChannels[Channel Name],"")</f>
        <v>Marketplace</v>
      </c>
      <c r="R4758" s="1">
        <f>MONTH(tblSales[[#This Row],[Date]])</f>
        <v>10</v>
      </c>
    </row>
    <row r="4759" spans="2:18" x14ac:dyDescent="0.35">
      <c r="B4759" s="113">
        <v>46312</v>
      </c>
      <c r="C4759" s="4" t="s">
        <v>3243</v>
      </c>
      <c r="D4759" s="4" t="s">
        <v>4568</v>
      </c>
      <c r="E4759" s="1" t="str">
        <f>_xlfn.XLOOKUP(tblSales[[#This Row],[Customer ID]],tblCustomers[Customer ID],tblCustomers[Customer Name],"⚠ Unknown")</f>
        <v>Walk-in Customer</v>
      </c>
      <c r="F4759" s="4" t="s">
        <v>6</v>
      </c>
      <c r="G4759" s="1" t="str">
        <f>_xlfn.XLOOKUP(tblSales[[#This Row],[Product Code]],tblProducts[Code],tblProducts[Product / Service Name],"⚠ Unknown")</f>
        <v>Socks &amp; Accessories</v>
      </c>
      <c r="H4759" s="1" t="str">
        <f>_xlfn.XLOOKUP(tblSales[[#This Row],[Product Code]],tblProducts[Code],tblProducts[Category],"")</f>
        <v>Accessories &amp; Basics</v>
      </c>
      <c r="I4759" s="4">
        <v>3</v>
      </c>
      <c r="J4759" s="5">
        <f>_xlfn.XLOOKUP(tblSales[[#This Row],[Product Code]],tblProducts[Code],tblProducts[Selling Price (excl. VAT)],0)</f>
        <v>45000</v>
      </c>
      <c r="K4759" s="5">
        <f>tblSales[[#This Row],[Qty]]*tblSales[[#This Row],[Unit Price]]</f>
        <v>135000</v>
      </c>
      <c r="L4759" s="5">
        <f>ROUND(tblSales[[#This Row],[DPP (excl. VAT)]]*VATEff,0)</f>
        <v>14850</v>
      </c>
      <c r="M4759" s="5">
        <f>tblSales[[#This Row],[DPP (excl. VAT)]]+tblSales[[#This Row],[Output VAT]]</f>
        <v>149850</v>
      </c>
      <c r="N4759" s="5">
        <f>tblSales[[#This Row],[Qty]]*_xlfn.XLOOKUP(tblSales[[#This Row],[Product Code]],tblProducts[Code],tblProducts[Unit Cost],0)</f>
        <v>72000</v>
      </c>
      <c r="O4759" s="4" t="s">
        <v>4865</v>
      </c>
      <c r="P4759" s="4" t="s">
        <v>4860</v>
      </c>
      <c r="Q4759" s="1" t="str">
        <f>_xlfn.XLOOKUP(tblSales[[#This Row],[Channel Code]],tblChannels[Channel Code],tblChannels[Channel Name],"")</f>
        <v>In-store</v>
      </c>
      <c r="R4759" s="1">
        <f>MONTH(tblSales[[#This Row],[Date]])</f>
        <v>10</v>
      </c>
    </row>
    <row r="4760" spans="2:18" x14ac:dyDescent="0.35">
      <c r="B4760" s="113">
        <v>46312</v>
      </c>
      <c r="C4760" s="4" t="s">
        <v>3244</v>
      </c>
      <c r="D4760" s="4" t="s">
        <v>4568</v>
      </c>
      <c r="E4760" s="1" t="str">
        <f>_xlfn.XLOOKUP(tblSales[[#This Row],[Customer ID]],tblCustomers[Customer ID],tblCustomers[Customer Name],"⚠ Unknown")</f>
        <v>Walk-in Customer</v>
      </c>
      <c r="F4760" s="4" t="s">
        <v>6</v>
      </c>
      <c r="G4760" s="1" t="str">
        <f>_xlfn.XLOOKUP(tblSales[[#This Row],[Product Code]],tblProducts[Code],tblProducts[Product / Service Name],"⚠ Unknown")</f>
        <v>Socks &amp; Accessories</v>
      </c>
      <c r="H4760" s="1" t="str">
        <f>_xlfn.XLOOKUP(tblSales[[#This Row],[Product Code]],tblProducts[Code],tblProducts[Category],"")</f>
        <v>Accessories &amp; Basics</v>
      </c>
      <c r="I4760" s="4">
        <v>4</v>
      </c>
      <c r="J4760" s="5">
        <f>_xlfn.XLOOKUP(tblSales[[#This Row],[Product Code]],tblProducts[Code],tblProducts[Selling Price (excl. VAT)],0)</f>
        <v>45000</v>
      </c>
      <c r="K4760" s="5">
        <f>tblSales[[#This Row],[Qty]]*tblSales[[#This Row],[Unit Price]]</f>
        <v>180000</v>
      </c>
      <c r="L4760" s="5">
        <f>ROUND(tblSales[[#This Row],[DPP (excl. VAT)]]*VATEff,0)</f>
        <v>19800</v>
      </c>
      <c r="M4760" s="5">
        <f>tblSales[[#This Row],[DPP (excl. VAT)]]+tblSales[[#This Row],[Output VAT]]</f>
        <v>199800</v>
      </c>
      <c r="N4760" s="5">
        <f>tblSales[[#This Row],[Qty]]*_xlfn.XLOOKUP(tblSales[[#This Row],[Product Code]],tblProducts[Code],tblProducts[Unit Cost],0)</f>
        <v>96000</v>
      </c>
      <c r="O4760" s="4" t="s">
        <v>4866</v>
      </c>
      <c r="P4760" s="4" t="s">
        <v>4860</v>
      </c>
      <c r="Q4760" s="1" t="str">
        <f>_xlfn.XLOOKUP(tblSales[[#This Row],[Channel Code]],tblChannels[Channel Code],tblChannels[Channel Name],"")</f>
        <v>In-store</v>
      </c>
      <c r="R4760" s="1">
        <f>MONTH(tblSales[[#This Row],[Date]])</f>
        <v>10</v>
      </c>
    </row>
    <row r="4761" spans="2:18" x14ac:dyDescent="0.35">
      <c r="B4761" s="113">
        <v>46312</v>
      </c>
      <c r="C4761" s="4" t="s">
        <v>3245</v>
      </c>
      <c r="D4761" s="4" t="s">
        <v>4568</v>
      </c>
      <c r="E4761" s="1" t="str">
        <f>_xlfn.XLOOKUP(tblSales[[#This Row],[Customer ID]],tblCustomers[Customer ID],tblCustomers[Customer Name],"⚠ Unknown")</f>
        <v>Walk-in Customer</v>
      </c>
      <c r="F4761" s="4" t="s">
        <v>6</v>
      </c>
      <c r="G4761" s="1" t="str">
        <f>_xlfn.XLOOKUP(tblSales[[#This Row],[Product Code]],tblProducts[Code],tblProducts[Product / Service Name],"⚠ Unknown")</f>
        <v>Socks &amp; Accessories</v>
      </c>
      <c r="H4761" s="1" t="str">
        <f>_xlfn.XLOOKUP(tblSales[[#This Row],[Product Code]],tblProducts[Code],tblProducts[Category],"")</f>
        <v>Accessories &amp; Basics</v>
      </c>
      <c r="I4761" s="4">
        <v>12</v>
      </c>
      <c r="J4761" s="5">
        <f>_xlfn.XLOOKUP(tblSales[[#This Row],[Product Code]],tblProducts[Code],tblProducts[Selling Price (excl. VAT)],0)</f>
        <v>45000</v>
      </c>
      <c r="K4761" s="5">
        <f>tblSales[[#This Row],[Qty]]*tblSales[[#This Row],[Unit Price]]</f>
        <v>540000</v>
      </c>
      <c r="L4761" s="5">
        <f>ROUND(tblSales[[#This Row],[DPP (excl. VAT)]]*VATEff,0)</f>
        <v>59400</v>
      </c>
      <c r="M4761" s="5">
        <f>tblSales[[#This Row],[DPP (excl. VAT)]]+tblSales[[#This Row],[Output VAT]]</f>
        <v>599400</v>
      </c>
      <c r="N4761" s="5">
        <f>tblSales[[#This Row],[Qty]]*_xlfn.XLOOKUP(tblSales[[#This Row],[Product Code]],tblProducts[Code],tblProducts[Unit Cost],0)</f>
        <v>288000</v>
      </c>
      <c r="O4761" s="4" t="s">
        <v>4866</v>
      </c>
      <c r="P4761" s="4" t="s">
        <v>4861</v>
      </c>
      <c r="Q4761" s="1" t="str">
        <f>_xlfn.XLOOKUP(tblSales[[#This Row],[Channel Code]],tblChannels[Channel Code],tblChannels[Channel Name],"")</f>
        <v>Marketplace</v>
      </c>
      <c r="R4761" s="1">
        <f>MONTH(tblSales[[#This Row],[Date]])</f>
        <v>10</v>
      </c>
    </row>
    <row r="4762" spans="2:18" x14ac:dyDescent="0.35">
      <c r="B4762" s="113">
        <v>46312</v>
      </c>
      <c r="C4762" s="4" t="s">
        <v>3246</v>
      </c>
      <c r="D4762" s="4" t="s">
        <v>4568</v>
      </c>
      <c r="E4762" s="1" t="str">
        <f>_xlfn.XLOOKUP(tblSales[[#This Row],[Customer ID]],tblCustomers[Customer ID],tblCustomers[Customer Name],"⚠ Unknown")</f>
        <v>Walk-in Customer</v>
      </c>
      <c r="F4762" s="4" t="s">
        <v>7</v>
      </c>
      <c r="G4762" s="1" t="str">
        <f>_xlfn.XLOOKUP(tblSales[[#This Row],[Product Code]],tblProducts[Code],tblProducts[Product / Service Name],"⚠ Unknown")</f>
        <v>Premium Basic T-shirt</v>
      </c>
      <c r="H4762" s="1" t="str">
        <f>_xlfn.XLOOKUP(tblSales[[#This Row],[Product Code]],tblProducts[Code],tblProducts[Category],"")</f>
        <v>Accessories &amp; Basics</v>
      </c>
      <c r="I4762" s="4">
        <v>1</v>
      </c>
      <c r="J4762" s="5">
        <f>_xlfn.XLOOKUP(tblSales[[#This Row],[Product Code]],tblProducts[Code],tblProducts[Selling Price (excl. VAT)],0)</f>
        <v>65000</v>
      </c>
      <c r="K4762" s="5">
        <f>tblSales[[#This Row],[Qty]]*tblSales[[#This Row],[Unit Price]]</f>
        <v>65000</v>
      </c>
      <c r="L4762" s="5">
        <f>ROUND(tblSales[[#This Row],[DPP (excl. VAT)]]*VATEff,0)</f>
        <v>7150</v>
      </c>
      <c r="M4762" s="5">
        <f>tblSales[[#This Row],[DPP (excl. VAT)]]+tblSales[[#This Row],[Output VAT]]</f>
        <v>72150</v>
      </c>
      <c r="N4762" s="5">
        <f>tblSales[[#This Row],[Qty]]*_xlfn.XLOOKUP(tblSales[[#This Row],[Product Code]],tblProducts[Code],tblProducts[Unit Cost],0)</f>
        <v>37000</v>
      </c>
      <c r="O4762" s="4" t="s">
        <v>4866</v>
      </c>
      <c r="P4762" s="4" t="s">
        <v>4862</v>
      </c>
      <c r="Q4762" s="1" t="str">
        <f>_xlfn.XLOOKUP(tblSales[[#This Row],[Channel Code]],tblChannels[Channel Code],tblChannels[Channel Name],"")</f>
        <v>Website &amp; Social Media</v>
      </c>
      <c r="R4762" s="1">
        <f>MONTH(tblSales[[#This Row],[Date]])</f>
        <v>10</v>
      </c>
    </row>
    <row r="4763" spans="2:18" x14ac:dyDescent="0.35">
      <c r="B4763" s="113">
        <v>46312</v>
      </c>
      <c r="C4763" s="4" t="s">
        <v>3246</v>
      </c>
      <c r="D4763" s="4" t="s">
        <v>4568</v>
      </c>
      <c r="E4763" s="1" t="str">
        <f>_xlfn.XLOOKUP(tblSales[[#This Row],[Customer ID]],tblCustomers[Customer ID],tblCustomers[Customer Name],"⚠ Unknown")</f>
        <v>Walk-in Customer</v>
      </c>
      <c r="F4763" s="4" t="s">
        <v>10</v>
      </c>
      <c r="G4763" s="1" t="str">
        <f>_xlfn.XLOOKUP(tblSales[[#This Row],[Product Code]],tblProducts[Code],tblProducts[Product / Service Name],"⚠ Unknown")</f>
        <v>Chino Pants</v>
      </c>
      <c r="H4763" s="1" t="str">
        <f>_xlfn.XLOOKUP(tblSales[[#This Row],[Product Code]],tblProducts[Code],tblProducts[Category],"")</f>
        <v>Apparel &amp; Footwear</v>
      </c>
      <c r="I4763" s="4">
        <v>12</v>
      </c>
      <c r="J4763" s="5">
        <f>_xlfn.XLOOKUP(tblSales[[#This Row],[Product Code]],tblProducts[Code],tblProducts[Selling Price (excl. VAT)],0)</f>
        <v>150000</v>
      </c>
      <c r="K4763" s="5">
        <f>tblSales[[#This Row],[Qty]]*tblSales[[#This Row],[Unit Price]]</f>
        <v>1800000</v>
      </c>
      <c r="L4763" s="5">
        <f>ROUND(tblSales[[#This Row],[DPP (excl. VAT)]]*VATEff,0)</f>
        <v>198000</v>
      </c>
      <c r="M4763" s="5">
        <f>tblSales[[#This Row],[DPP (excl. VAT)]]+tblSales[[#This Row],[Output VAT]]</f>
        <v>1998000</v>
      </c>
      <c r="N4763" s="5">
        <f>tblSales[[#This Row],[Qty]]*_xlfn.XLOOKUP(tblSales[[#This Row],[Product Code]],tblProducts[Code],tblProducts[Unit Cost],0)</f>
        <v>1056000</v>
      </c>
      <c r="O4763" s="4" t="s">
        <v>4866</v>
      </c>
      <c r="P4763" s="4" t="s">
        <v>4862</v>
      </c>
      <c r="Q4763" s="1" t="str">
        <f>_xlfn.XLOOKUP(tblSales[[#This Row],[Channel Code]],tblChannels[Channel Code],tblChannels[Channel Name],"")</f>
        <v>Website &amp; Social Media</v>
      </c>
      <c r="R4763" s="1">
        <f>MONTH(tblSales[[#This Row],[Date]])</f>
        <v>10</v>
      </c>
    </row>
    <row r="4764" spans="2:18" x14ac:dyDescent="0.35">
      <c r="B4764" s="113">
        <v>46312</v>
      </c>
      <c r="C4764" s="4" t="s">
        <v>3246</v>
      </c>
      <c r="D4764" s="4" t="s">
        <v>4568</v>
      </c>
      <c r="E4764" s="1" t="str">
        <f>_xlfn.XLOOKUP(tblSales[[#This Row],[Customer ID]],tblCustomers[Customer ID],tblCustomers[Customer Name],"⚠ Unknown")</f>
        <v>Walk-in Customer</v>
      </c>
      <c r="F4764" s="4" t="s">
        <v>12</v>
      </c>
      <c r="G4764" s="1" t="str">
        <f>_xlfn.XLOOKUP(tblSales[[#This Row],[Product Code]],tblProducts[Code],tblProducts[Product / Service Name],"⚠ Unknown")</f>
        <v>Bomber Jacket</v>
      </c>
      <c r="H4764" s="1" t="str">
        <f>_xlfn.XLOOKUP(tblSales[[#This Row],[Product Code]],tblProducts[Code],tblProducts[Category],"")</f>
        <v>Apparel &amp; Footwear</v>
      </c>
      <c r="I4764" s="4">
        <v>1</v>
      </c>
      <c r="J4764" s="5">
        <f>_xlfn.XLOOKUP(tblSales[[#This Row],[Product Code]],tblProducts[Code],tblProducts[Selling Price (excl. VAT)],0)</f>
        <v>350000</v>
      </c>
      <c r="K4764" s="5">
        <f>tblSales[[#This Row],[Qty]]*tblSales[[#This Row],[Unit Price]]</f>
        <v>350000</v>
      </c>
      <c r="L4764" s="5">
        <f>ROUND(tblSales[[#This Row],[DPP (excl. VAT)]]*VATEff,0)</f>
        <v>38500</v>
      </c>
      <c r="M4764" s="5">
        <f>tblSales[[#This Row],[DPP (excl. VAT)]]+tblSales[[#This Row],[Output VAT]]</f>
        <v>388500</v>
      </c>
      <c r="N4764" s="5">
        <f>tblSales[[#This Row],[Qty]]*_xlfn.XLOOKUP(tblSales[[#This Row],[Product Code]],tblProducts[Code],tblProducts[Unit Cost],0)</f>
        <v>210000</v>
      </c>
      <c r="O4764" s="4" t="s">
        <v>4866</v>
      </c>
      <c r="P4764" s="4" t="s">
        <v>4862</v>
      </c>
      <c r="Q4764" s="1" t="str">
        <f>_xlfn.XLOOKUP(tblSales[[#This Row],[Channel Code]],tblChannels[Channel Code],tblChannels[Channel Name],"")</f>
        <v>Website &amp; Social Media</v>
      </c>
      <c r="R4764" s="1">
        <f>MONTH(tblSales[[#This Row],[Date]])</f>
        <v>10</v>
      </c>
    </row>
    <row r="4765" spans="2:18" x14ac:dyDescent="0.35">
      <c r="B4765" s="113">
        <v>46312</v>
      </c>
      <c r="C4765" s="4" t="s">
        <v>3247</v>
      </c>
      <c r="D4765" s="4" t="s">
        <v>4627</v>
      </c>
      <c r="E4765" s="1" t="str">
        <f>_xlfn.XLOOKUP(tblSales[[#This Row],[Customer ID]],tblCustomers[Customer ID],tblCustomers[Customer Name],"⚠ Unknown")</f>
        <v>PT Kencana Wira Usaha</v>
      </c>
      <c r="F4765" s="4" t="s">
        <v>8</v>
      </c>
      <c r="G4765" s="1" t="str">
        <f>_xlfn.XLOOKUP(tblSales[[#This Row],[Product Code]],tblProducts[Code],tblProducts[Product / Service Name],"⚠ Unknown")</f>
        <v>Casual Shorts</v>
      </c>
      <c r="H4765" s="1" t="str">
        <f>_xlfn.XLOOKUP(tblSales[[#This Row],[Product Code]],tblProducts[Code],tblProducts[Category],"")</f>
        <v>Accessories &amp; Basics</v>
      </c>
      <c r="I4765" s="4">
        <v>80</v>
      </c>
      <c r="J4765" s="5">
        <f>_xlfn.XLOOKUP(tblSales[[#This Row],[Product Code]],tblProducts[Code],tblProducts[Selling Price (excl. VAT)],0)</f>
        <v>85000</v>
      </c>
      <c r="K4765" s="5">
        <f>tblSales[[#This Row],[Qty]]*tblSales[[#This Row],[Unit Price]]</f>
        <v>6800000</v>
      </c>
      <c r="L4765" s="5">
        <f>ROUND(tblSales[[#This Row],[DPP (excl. VAT)]]*VATEff,0)</f>
        <v>748000</v>
      </c>
      <c r="M4765" s="5">
        <f>tblSales[[#This Row],[DPP (excl. VAT)]]+tblSales[[#This Row],[Output VAT]]</f>
        <v>7548000</v>
      </c>
      <c r="N4765" s="5">
        <f>tblSales[[#This Row],[Qty]]*_xlfn.XLOOKUP(tblSales[[#This Row],[Product Code]],tblProducts[Code],tblProducts[Unit Cost],0)</f>
        <v>4000000</v>
      </c>
      <c r="O4765" s="4" t="s">
        <v>4867</v>
      </c>
      <c r="P4765" s="4" t="s">
        <v>4860</v>
      </c>
      <c r="Q4765" s="1" t="str">
        <f>_xlfn.XLOOKUP(tblSales[[#This Row],[Channel Code]],tblChannels[Channel Code],tblChannels[Channel Name],"")</f>
        <v>In-store</v>
      </c>
      <c r="R4765" s="1">
        <f>MONTH(tblSales[[#This Row],[Date]])</f>
        <v>10</v>
      </c>
    </row>
    <row r="4766" spans="2:18" x14ac:dyDescent="0.35">
      <c r="B4766" s="113">
        <v>46312</v>
      </c>
      <c r="C4766" s="4" t="s">
        <v>3248</v>
      </c>
      <c r="D4766" s="4" t="s">
        <v>4568</v>
      </c>
      <c r="E4766" s="1" t="str">
        <f>_xlfn.XLOOKUP(tblSales[[#This Row],[Customer ID]],tblCustomers[Customer ID],tblCustomers[Customer Name],"⚠ Unknown")</f>
        <v>Walk-in Customer</v>
      </c>
      <c r="F4766" s="4" t="s">
        <v>6</v>
      </c>
      <c r="G4766" s="1" t="str">
        <f>_xlfn.XLOOKUP(tblSales[[#This Row],[Product Code]],tblProducts[Code],tblProducts[Product / Service Name],"⚠ Unknown")</f>
        <v>Socks &amp; Accessories</v>
      </c>
      <c r="H4766" s="1" t="str">
        <f>_xlfn.XLOOKUP(tblSales[[#This Row],[Product Code]],tblProducts[Code],tblProducts[Category],"")</f>
        <v>Accessories &amp; Basics</v>
      </c>
      <c r="I4766" s="4">
        <v>7</v>
      </c>
      <c r="J4766" s="5">
        <f>_xlfn.XLOOKUP(tblSales[[#This Row],[Product Code]],tblProducts[Code],tblProducts[Selling Price (excl. VAT)],0)</f>
        <v>45000</v>
      </c>
      <c r="K4766" s="5">
        <f>tblSales[[#This Row],[Qty]]*tblSales[[#This Row],[Unit Price]]</f>
        <v>315000</v>
      </c>
      <c r="L4766" s="5">
        <f>ROUND(tblSales[[#This Row],[DPP (excl. VAT)]]*VATEff,0)</f>
        <v>34650</v>
      </c>
      <c r="M4766" s="5">
        <f>tblSales[[#This Row],[DPP (excl. VAT)]]+tblSales[[#This Row],[Output VAT]]</f>
        <v>349650</v>
      </c>
      <c r="N4766" s="5">
        <f>tblSales[[#This Row],[Qty]]*_xlfn.XLOOKUP(tblSales[[#This Row],[Product Code]],tblProducts[Code],tblProducts[Unit Cost],0)</f>
        <v>168000</v>
      </c>
      <c r="O4766" s="4" t="s">
        <v>4866</v>
      </c>
      <c r="P4766" s="4" t="s">
        <v>4860</v>
      </c>
      <c r="Q4766" s="1" t="str">
        <f>_xlfn.XLOOKUP(tblSales[[#This Row],[Channel Code]],tblChannels[Channel Code],tblChannels[Channel Name],"")</f>
        <v>In-store</v>
      </c>
      <c r="R4766" s="1">
        <f>MONTH(tblSales[[#This Row],[Date]])</f>
        <v>10</v>
      </c>
    </row>
    <row r="4767" spans="2:18" x14ac:dyDescent="0.35">
      <c r="B4767" s="113">
        <v>46312</v>
      </c>
      <c r="C4767" s="4" t="s">
        <v>3248</v>
      </c>
      <c r="D4767" s="4" t="s">
        <v>4568</v>
      </c>
      <c r="E4767" s="1" t="str">
        <f>_xlfn.XLOOKUP(tblSales[[#This Row],[Customer ID]],tblCustomers[Customer ID],tblCustomers[Customer Name],"⚠ Unknown")</f>
        <v>Walk-in Customer</v>
      </c>
      <c r="F4767" s="4" t="s">
        <v>7</v>
      </c>
      <c r="G4767" s="1" t="str">
        <f>_xlfn.XLOOKUP(tblSales[[#This Row],[Product Code]],tblProducts[Code],tblProducts[Product / Service Name],"⚠ Unknown")</f>
        <v>Premium Basic T-shirt</v>
      </c>
      <c r="H4767" s="1" t="str">
        <f>_xlfn.XLOOKUP(tblSales[[#This Row],[Product Code]],tblProducts[Code],tblProducts[Category],"")</f>
        <v>Accessories &amp; Basics</v>
      </c>
      <c r="I4767" s="4">
        <v>2</v>
      </c>
      <c r="J4767" s="5">
        <f>_xlfn.XLOOKUP(tblSales[[#This Row],[Product Code]],tblProducts[Code],tblProducts[Selling Price (excl. VAT)],0)</f>
        <v>65000</v>
      </c>
      <c r="K4767" s="5">
        <f>tblSales[[#This Row],[Qty]]*tblSales[[#This Row],[Unit Price]]</f>
        <v>130000</v>
      </c>
      <c r="L4767" s="5">
        <f>ROUND(tblSales[[#This Row],[DPP (excl. VAT)]]*VATEff,0)</f>
        <v>14300</v>
      </c>
      <c r="M4767" s="5">
        <f>tblSales[[#This Row],[DPP (excl. VAT)]]+tblSales[[#This Row],[Output VAT]]</f>
        <v>144300</v>
      </c>
      <c r="N4767" s="5">
        <f>tblSales[[#This Row],[Qty]]*_xlfn.XLOOKUP(tblSales[[#This Row],[Product Code]],tblProducts[Code],tblProducts[Unit Cost],0)</f>
        <v>74000</v>
      </c>
      <c r="O4767" s="4" t="s">
        <v>4866</v>
      </c>
      <c r="P4767" s="4" t="s">
        <v>4860</v>
      </c>
      <c r="Q4767" s="1" t="str">
        <f>_xlfn.XLOOKUP(tblSales[[#This Row],[Channel Code]],tblChannels[Channel Code],tblChannels[Channel Name],"")</f>
        <v>In-store</v>
      </c>
      <c r="R4767" s="1">
        <f>MONTH(tblSales[[#This Row],[Date]])</f>
        <v>10</v>
      </c>
    </row>
    <row r="4768" spans="2:18" x14ac:dyDescent="0.35">
      <c r="B4768" s="113">
        <v>46312</v>
      </c>
      <c r="C4768" s="4" t="s">
        <v>3249</v>
      </c>
      <c r="D4768" s="4" t="s">
        <v>4568</v>
      </c>
      <c r="E4768" s="1" t="str">
        <f>_xlfn.XLOOKUP(tblSales[[#This Row],[Customer ID]],tblCustomers[Customer ID],tblCustomers[Customer Name],"⚠ Unknown")</f>
        <v>Walk-in Customer</v>
      </c>
      <c r="F4768" s="4" t="s">
        <v>9</v>
      </c>
      <c r="G4768" s="1" t="str">
        <f>_xlfn.XLOOKUP(tblSales[[#This Row],[Product Code]],tblProducts[Code],tblProducts[Product / Service Name],"⚠ Unknown")</f>
        <v>Casual Shirt</v>
      </c>
      <c r="H4768" s="1" t="str">
        <f>_xlfn.XLOOKUP(tblSales[[#This Row],[Product Code]],tblProducts[Code],tblProducts[Category],"")</f>
        <v>Apparel &amp; Footwear</v>
      </c>
      <c r="I4768" s="4">
        <v>7</v>
      </c>
      <c r="J4768" s="5">
        <f>_xlfn.XLOOKUP(tblSales[[#This Row],[Product Code]],tblProducts[Code],tblProducts[Selling Price (excl. VAT)],0)</f>
        <v>120000</v>
      </c>
      <c r="K4768" s="5">
        <f>tblSales[[#This Row],[Qty]]*tblSales[[#This Row],[Unit Price]]</f>
        <v>840000</v>
      </c>
      <c r="L4768" s="5">
        <f>ROUND(tblSales[[#This Row],[DPP (excl. VAT)]]*VATEff,0)</f>
        <v>92400</v>
      </c>
      <c r="M4768" s="5">
        <f>tblSales[[#This Row],[DPP (excl. VAT)]]+tblSales[[#This Row],[Output VAT]]</f>
        <v>932400</v>
      </c>
      <c r="N4768" s="5">
        <f>tblSales[[#This Row],[Qty]]*_xlfn.XLOOKUP(tblSales[[#This Row],[Product Code]],tblProducts[Code],tblProducts[Unit Cost],0)</f>
        <v>504000</v>
      </c>
      <c r="O4768" s="4" t="s">
        <v>4865</v>
      </c>
      <c r="P4768" s="4" t="s">
        <v>4860</v>
      </c>
      <c r="Q4768" s="1" t="str">
        <f>_xlfn.XLOOKUP(tblSales[[#This Row],[Channel Code]],tblChannels[Channel Code],tblChannels[Channel Name],"")</f>
        <v>In-store</v>
      </c>
      <c r="R4768" s="1">
        <f>MONTH(tblSales[[#This Row],[Date]])</f>
        <v>10</v>
      </c>
    </row>
    <row r="4769" spans="2:18" x14ac:dyDescent="0.35">
      <c r="B4769" s="113">
        <v>46312</v>
      </c>
      <c r="C4769" s="4" t="s">
        <v>3250</v>
      </c>
      <c r="D4769" s="4" t="s">
        <v>4620</v>
      </c>
      <c r="E4769" s="1" t="str">
        <f>_xlfn.XLOOKUP(tblSales[[#This Row],[Customer ID]],tblCustomers[Customer ID],tblCustomers[Customer Name],"⚠ Unknown")</f>
        <v>CV Sumber Rejeki Utama</v>
      </c>
      <c r="F4769" s="4" t="s">
        <v>9</v>
      </c>
      <c r="G4769" s="1" t="str">
        <f>_xlfn.XLOOKUP(tblSales[[#This Row],[Product Code]],tblProducts[Code],tblProducts[Product / Service Name],"⚠ Unknown")</f>
        <v>Casual Shirt</v>
      </c>
      <c r="H4769" s="1" t="str">
        <f>_xlfn.XLOOKUP(tblSales[[#This Row],[Product Code]],tblProducts[Code],tblProducts[Category],"")</f>
        <v>Apparel &amp; Footwear</v>
      </c>
      <c r="I4769" s="4">
        <v>32</v>
      </c>
      <c r="J4769" s="5">
        <f>_xlfn.XLOOKUP(tblSales[[#This Row],[Product Code]],tblProducts[Code],tblProducts[Selling Price (excl. VAT)],0)</f>
        <v>120000</v>
      </c>
      <c r="K4769" s="5">
        <f>tblSales[[#This Row],[Qty]]*tblSales[[#This Row],[Unit Price]]</f>
        <v>3840000</v>
      </c>
      <c r="L4769" s="5">
        <f>ROUND(tblSales[[#This Row],[DPP (excl. VAT)]]*VATEff,0)</f>
        <v>422400</v>
      </c>
      <c r="M4769" s="5">
        <f>tblSales[[#This Row],[DPP (excl. VAT)]]+tblSales[[#This Row],[Output VAT]]</f>
        <v>4262400</v>
      </c>
      <c r="N4769" s="5">
        <f>tblSales[[#This Row],[Qty]]*_xlfn.XLOOKUP(tblSales[[#This Row],[Product Code]],tblProducts[Code],tblProducts[Unit Cost],0)</f>
        <v>2304000</v>
      </c>
      <c r="O4769" s="4" t="s">
        <v>4867</v>
      </c>
      <c r="P4769" s="4" t="s">
        <v>4860</v>
      </c>
      <c r="Q4769" s="1" t="str">
        <f>_xlfn.XLOOKUP(tblSales[[#This Row],[Channel Code]],tblChannels[Channel Code],tblChannels[Channel Name],"")</f>
        <v>In-store</v>
      </c>
      <c r="R4769" s="1">
        <f>MONTH(tblSales[[#This Row],[Date]])</f>
        <v>10</v>
      </c>
    </row>
    <row r="4770" spans="2:18" x14ac:dyDescent="0.35">
      <c r="B4770" s="113">
        <v>46312</v>
      </c>
      <c r="C4770" s="4" t="s">
        <v>3250</v>
      </c>
      <c r="D4770" s="4" t="s">
        <v>4620</v>
      </c>
      <c r="E4770" s="1" t="str">
        <f>_xlfn.XLOOKUP(tblSales[[#This Row],[Customer ID]],tblCustomers[Customer ID],tblCustomers[Customer Name],"⚠ Unknown")</f>
        <v>CV Sumber Rejeki Utama</v>
      </c>
      <c r="F4770" s="4" t="s">
        <v>6</v>
      </c>
      <c r="G4770" s="1" t="str">
        <f>_xlfn.XLOOKUP(tblSales[[#This Row],[Product Code]],tblProducts[Code],tblProducts[Product / Service Name],"⚠ Unknown")</f>
        <v>Socks &amp; Accessories</v>
      </c>
      <c r="H4770" s="1" t="str">
        <f>_xlfn.XLOOKUP(tblSales[[#This Row],[Product Code]],tblProducts[Code],tblProducts[Category],"")</f>
        <v>Accessories &amp; Basics</v>
      </c>
      <c r="I4770" s="4">
        <v>80</v>
      </c>
      <c r="J4770" s="5">
        <f>_xlfn.XLOOKUP(tblSales[[#This Row],[Product Code]],tblProducts[Code],tblProducts[Selling Price (excl. VAT)],0)</f>
        <v>45000</v>
      </c>
      <c r="K4770" s="5">
        <f>tblSales[[#This Row],[Qty]]*tblSales[[#This Row],[Unit Price]]</f>
        <v>3600000</v>
      </c>
      <c r="L4770" s="5">
        <f>ROUND(tblSales[[#This Row],[DPP (excl. VAT)]]*VATEff,0)</f>
        <v>396000</v>
      </c>
      <c r="M4770" s="5">
        <f>tblSales[[#This Row],[DPP (excl. VAT)]]+tblSales[[#This Row],[Output VAT]]</f>
        <v>3996000</v>
      </c>
      <c r="N4770" s="5">
        <f>tblSales[[#This Row],[Qty]]*_xlfn.XLOOKUP(tblSales[[#This Row],[Product Code]],tblProducts[Code],tblProducts[Unit Cost],0)</f>
        <v>1920000</v>
      </c>
      <c r="O4770" s="4" t="s">
        <v>4867</v>
      </c>
      <c r="P4770" s="4" t="s">
        <v>4860</v>
      </c>
      <c r="Q4770" s="1" t="str">
        <f>_xlfn.XLOOKUP(tblSales[[#This Row],[Channel Code]],tblChannels[Channel Code],tblChannels[Channel Name],"")</f>
        <v>In-store</v>
      </c>
      <c r="R4770" s="1">
        <f>MONTH(tblSales[[#This Row],[Date]])</f>
        <v>10</v>
      </c>
    </row>
    <row r="4771" spans="2:18" x14ac:dyDescent="0.35">
      <c r="B4771" s="113">
        <v>46312</v>
      </c>
      <c r="C4771" s="4" t="s">
        <v>3251</v>
      </c>
      <c r="D4771" s="4" t="s">
        <v>4568</v>
      </c>
      <c r="E4771" s="1" t="str">
        <f>_xlfn.XLOOKUP(tblSales[[#This Row],[Customer ID]],tblCustomers[Customer ID],tblCustomers[Customer Name],"⚠ Unknown")</f>
        <v>Walk-in Customer</v>
      </c>
      <c r="F4771" s="4" t="s">
        <v>13</v>
      </c>
      <c r="G4771" s="1" t="str">
        <f>_xlfn.XLOOKUP(tblSales[[#This Row],[Product Code]],tblProducts[Code],tblProducts[Product / Service Name],"⚠ Unknown")</f>
        <v>Backpack</v>
      </c>
      <c r="H4771" s="1" t="str">
        <f>_xlfn.XLOOKUP(tblSales[[#This Row],[Product Code]],tblProducts[Code],tblProducts[Category],"")</f>
        <v>Bags &amp; Gadgets</v>
      </c>
      <c r="I4771" s="4">
        <v>5</v>
      </c>
      <c r="J4771" s="5">
        <f>_xlfn.XLOOKUP(tblSales[[#This Row],[Product Code]],tblProducts[Code],tblProducts[Selling Price (excl. VAT)],0)</f>
        <v>500000</v>
      </c>
      <c r="K4771" s="5">
        <f>tblSales[[#This Row],[Qty]]*tblSales[[#This Row],[Unit Price]]</f>
        <v>2500000</v>
      </c>
      <c r="L4771" s="5">
        <f>ROUND(tblSales[[#This Row],[DPP (excl. VAT)]]*VATEff,0)</f>
        <v>275000</v>
      </c>
      <c r="M4771" s="5">
        <f>tblSales[[#This Row],[DPP (excl. VAT)]]+tblSales[[#This Row],[Output VAT]]</f>
        <v>2775000</v>
      </c>
      <c r="N4771" s="5">
        <f>tblSales[[#This Row],[Qty]]*_xlfn.XLOOKUP(tblSales[[#This Row],[Product Code]],tblProducts[Code],tblProducts[Unit Cost],0)</f>
        <v>1450000</v>
      </c>
      <c r="O4771" s="4" t="s">
        <v>4866</v>
      </c>
      <c r="P4771" s="4" t="s">
        <v>4861</v>
      </c>
      <c r="Q4771" s="1" t="str">
        <f>_xlfn.XLOOKUP(tblSales[[#This Row],[Channel Code]],tblChannels[Channel Code],tblChannels[Channel Name],"")</f>
        <v>Marketplace</v>
      </c>
      <c r="R4771" s="1">
        <f>MONTH(tblSales[[#This Row],[Date]])</f>
        <v>10</v>
      </c>
    </row>
    <row r="4772" spans="2:18" x14ac:dyDescent="0.35">
      <c r="B4772" s="113">
        <v>46312</v>
      </c>
      <c r="C4772" s="4" t="s">
        <v>3252</v>
      </c>
      <c r="D4772" s="4" t="s">
        <v>4568</v>
      </c>
      <c r="E4772" s="1" t="str">
        <f>_xlfn.XLOOKUP(tblSales[[#This Row],[Customer ID]],tblCustomers[Customer ID],tblCustomers[Customer Name],"⚠ Unknown")</f>
        <v>Walk-in Customer</v>
      </c>
      <c r="F4772" s="4" t="s">
        <v>8</v>
      </c>
      <c r="G4772" s="1" t="str">
        <f>_xlfn.XLOOKUP(tblSales[[#This Row],[Product Code]],tblProducts[Code],tblProducts[Product / Service Name],"⚠ Unknown")</f>
        <v>Casual Shorts</v>
      </c>
      <c r="H4772" s="1" t="str">
        <f>_xlfn.XLOOKUP(tblSales[[#This Row],[Product Code]],tblProducts[Code],tblProducts[Category],"")</f>
        <v>Accessories &amp; Basics</v>
      </c>
      <c r="I4772" s="4">
        <v>2</v>
      </c>
      <c r="J4772" s="5">
        <f>_xlfn.XLOOKUP(tblSales[[#This Row],[Product Code]],tblProducts[Code],tblProducts[Selling Price (excl. VAT)],0)</f>
        <v>85000</v>
      </c>
      <c r="K4772" s="5">
        <f>tblSales[[#This Row],[Qty]]*tblSales[[#This Row],[Unit Price]]</f>
        <v>170000</v>
      </c>
      <c r="L4772" s="5">
        <f>ROUND(tblSales[[#This Row],[DPP (excl. VAT)]]*VATEff,0)</f>
        <v>18700</v>
      </c>
      <c r="M4772" s="5">
        <f>tblSales[[#This Row],[DPP (excl. VAT)]]+tblSales[[#This Row],[Output VAT]]</f>
        <v>188700</v>
      </c>
      <c r="N4772" s="5">
        <f>tblSales[[#This Row],[Qty]]*_xlfn.XLOOKUP(tblSales[[#This Row],[Product Code]],tblProducts[Code],tblProducts[Unit Cost],0)</f>
        <v>100000</v>
      </c>
      <c r="O4772" s="4" t="s">
        <v>4866</v>
      </c>
      <c r="P4772" s="4" t="s">
        <v>4860</v>
      </c>
      <c r="Q4772" s="1" t="str">
        <f>_xlfn.XLOOKUP(tblSales[[#This Row],[Channel Code]],tblChannels[Channel Code],tblChannels[Channel Name],"")</f>
        <v>In-store</v>
      </c>
      <c r="R4772" s="1">
        <f>MONTH(tblSales[[#This Row],[Date]])</f>
        <v>10</v>
      </c>
    </row>
    <row r="4773" spans="2:18" x14ac:dyDescent="0.35">
      <c r="B4773" s="113">
        <v>46312</v>
      </c>
      <c r="C4773" s="4" t="s">
        <v>3253</v>
      </c>
      <c r="D4773" s="4" t="s">
        <v>4568</v>
      </c>
      <c r="E4773" s="1" t="str">
        <f>_xlfn.XLOOKUP(tblSales[[#This Row],[Customer ID]],tblCustomers[Customer ID],tblCustomers[Customer Name],"⚠ Unknown")</f>
        <v>Walk-in Customer</v>
      </c>
      <c r="F4773" s="4" t="s">
        <v>13</v>
      </c>
      <c r="G4773" s="1" t="str">
        <f>_xlfn.XLOOKUP(tblSales[[#This Row],[Product Code]],tblProducts[Code],tblProducts[Product / Service Name],"⚠ Unknown")</f>
        <v>Backpack</v>
      </c>
      <c r="H4773" s="1" t="str">
        <f>_xlfn.XLOOKUP(tblSales[[#This Row],[Product Code]],tblProducts[Code],tblProducts[Category],"")</f>
        <v>Bags &amp; Gadgets</v>
      </c>
      <c r="I4773" s="4">
        <v>5</v>
      </c>
      <c r="J4773" s="5">
        <f>_xlfn.XLOOKUP(tblSales[[#This Row],[Product Code]],tblProducts[Code],tblProducts[Selling Price (excl. VAT)],0)</f>
        <v>500000</v>
      </c>
      <c r="K4773" s="5">
        <f>tblSales[[#This Row],[Qty]]*tblSales[[#This Row],[Unit Price]]</f>
        <v>2500000</v>
      </c>
      <c r="L4773" s="5">
        <f>ROUND(tblSales[[#This Row],[DPP (excl. VAT)]]*VATEff,0)</f>
        <v>275000</v>
      </c>
      <c r="M4773" s="5">
        <f>tblSales[[#This Row],[DPP (excl. VAT)]]+tblSales[[#This Row],[Output VAT]]</f>
        <v>2775000</v>
      </c>
      <c r="N4773" s="5">
        <f>tblSales[[#This Row],[Qty]]*_xlfn.XLOOKUP(tblSales[[#This Row],[Product Code]],tblProducts[Code],tblProducts[Unit Cost],0)</f>
        <v>1450000</v>
      </c>
      <c r="O4773" s="4" t="s">
        <v>4865</v>
      </c>
      <c r="P4773" s="4" t="s">
        <v>4860</v>
      </c>
      <c r="Q4773" s="1" t="str">
        <f>_xlfn.XLOOKUP(tblSales[[#This Row],[Channel Code]],tblChannels[Channel Code],tblChannels[Channel Name],"")</f>
        <v>In-store</v>
      </c>
      <c r="R4773" s="1">
        <f>MONTH(tblSales[[#This Row],[Date]])</f>
        <v>10</v>
      </c>
    </row>
    <row r="4774" spans="2:18" x14ac:dyDescent="0.35">
      <c r="B4774" s="113">
        <v>46313</v>
      </c>
      <c r="C4774" s="4" t="s">
        <v>3254</v>
      </c>
      <c r="D4774" s="4" t="s">
        <v>4568</v>
      </c>
      <c r="E4774" s="1" t="str">
        <f>_xlfn.XLOOKUP(tblSales[[#This Row],[Customer ID]],tblCustomers[Customer ID],tblCustomers[Customer Name],"⚠ Unknown")</f>
        <v>Walk-in Customer</v>
      </c>
      <c r="F4774" s="4" t="s">
        <v>10</v>
      </c>
      <c r="G4774" s="1" t="str">
        <f>_xlfn.XLOOKUP(tblSales[[#This Row],[Product Code]],tblProducts[Code],tblProducts[Product / Service Name],"⚠ Unknown")</f>
        <v>Chino Pants</v>
      </c>
      <c r="H4774" s="1" t="str">
        <f>_xlfn.XLOOKUP(tblSales[[#This Row],[Product Code]],tblProducts[Code],tblProducts[Category],"")</f>
        <v>Apparel &amp; Footwear</v>
      </c>
      <c r="I4774" s="4">
        <v>4</v>
      </c>
      <c r="J4774" s="5">
        <f>_xlfn.XLOOKUP(tblSales[[#This Row],[Product Code]],tblProducts[Code],tblProducts[Selling Price (excl. VAT)],0)</f>
        <v>150000</v>
      </c>
      <c r="K4774" s="5">
        <f>tblSales[[#This Row],[Qty]]*tblSales[[#This Row],[Unit Price]]</f>
        <v>600000</v>
      </c>
      <c r="L4774" s="5">
        <f>ROUND(tblSales[[#This Row],[DPP (excl. VAT)]]*VATEff,0)</f>
        <v>66000</v>
      </c>
      <c r="M4774" s="5">
        <f>tblSales[[#This Row],[DPP (excl. VAT)]]+tblSales[[#This Row],[Output VAT]]</f>
        <v>666000</v>
      </c>
      <c r="N4774" s="5">
        <f>tblSales[[#This Row],[Qty]]*_xlfn.XLOOKUP(tblSales[[#This Row],[Product Code]],tblProducts[Code],tblProducts[Unit Cost],0)</f>
        <v>352000</v>
      </c>
      <c r="O4774" s="4" t="s">
        <v>4865</v>
      </c>
      <c r="P4774" s="4" t="s">
        <v>4860</v>
      </c>
      <c r="Q4774" s="1" t="str">
        <f>_xlfn.XLOOKUP(tblSales[[#This Row],[Channel Code]],tblChannels[Channel Code],tblChannels[Channel Name],"")</f>
        <v>In-store</v>
      </c>
      <c r="R4774" s="1">
        <f>MONTH(tblSales[[#This Row],[Date]])</f>
        <v>10</v>
      </c>
    </row>
    <row r="4775" spans="2:18" x14ac:dyDescent="0.35">
      <c r="B4775" s="113">
        <v>46313</v>
      </c>
      <c r="C4775" s="4" t="s">
        <v>3255</v>
      </c>
      <c r="D4775" s="4" t="s">
        <v>4568</v>
      </c>
      <c r="E4775" s="1" t="str">
        <f>_xlfn.XLOOKUP(tblSales[[#This Row],[Customer ID]],tblCustomers[Customer ID],tblCustomers[Customer Name],"⚠ Unknown")</f>
        <v>Walk-in Customer</v>
      </c>
      <c r="F4775" s="4" t="s">
        <v>6</v>
      </c>
      <c r="G4775" s="1" t="str">
        <f>_xlfn.XLOOKUP(tblSales[[#This Row],[Product Code]],tblProducts[Code],tblProducts[Product / Service Name],"⚠ Unknown")</f>
        <v>Socks &amp; Accessories</v>
      </c>
      <c r="H4775" s="1" t="str">
        <f>_xlfn.XLOOKUP(tblSales[[#This Row],[Product Code]],tblProducts[Code],tblProducts[Category],"")</f>
        <v>Accessories &amp; Basics</v>
      </c>
      <c r="I4775" s="4">
        <v>12</v>
      </c>
      <c r="J4775" s="5">
        <f>_xlfn.XLOOKUP(tblSales[[#This Row],[Product Code]],tblProducts[Code],tblProducts[Selling Price (excl. VAT)],0)</f>
        <v>45000</v>
      </c>
      <c r="K4775" s="5">
        <f>tblSales[[#This Row],[Qty]]*tblSales[[#This Row],[Unit Price]]</f>
        <v>540000</v>
      </c>
      <c r="L4775" s="5">
        <f>ROUND(tblSales[[#This Row],[DPP (excl. VAT)]]*VATEff,0)</f>
        <v>59400</v>
      </c>
      <c r="M4775" s="5">
        <f>tblSales[[#This Row],[DPP (excl. VAT)]]+tblSales[[#This Row],[Output VAT]]</f>
        <v>599400</v>
      </c>
      <c r="N4775" s="5">
        <f>tblSales[[#This Row],[Qty]]*_xlfn.XLOOKUP(tblSales[[#This Row],[Product Code]],tblProducts[Code],tblProducts[Unit Cost],0)</f>
        <v>288000</v>
      </c>
      <c r="O4775" s="4" t="s">
        <v>4865</v>
      </c>
      <c r="P4775" s="4" t="s">
        <v>4860</v>
      </c>
      <c r="Q4775" s="1" t="str">
        <f>_xlfn.XLOOKUP(tblSales[[#This Row],[Channel Code]],tblChannels[Channel Code],tblChannels[Channel Name],"")</f>
        <v>In-store</v>
      </c>
      <c r="R4775" s="1">
        <f>MONTH(tblSales[[#This Row],[Date]])</f>
        <v>10</v>
      </c>
    </row>
    <row r="4776" spans="2:18" x14ac:dyDescent="0.35">
      <c r="B4776" s="113">
        <v>46313</v>
      </c>
      <c r="C4776" s="4" t="s">
        <v>3256</v>
      </c>
      <c r="D4776" s="4" t="s">
        <v>4568</v>
      </c>
      <c r="E4776" s="1" t="str">
        <f>_xlfn.XLOOKUP(tblSales[[#This Row],[Customer ID]],tblCustomers[Customer ID],tblCustomers[Customer Name],"⚠ Unknown")</f>
        <v>Walk-in Customer</v>
      </c>
      <c r="F4776" s="4" t="s">
        <v>10</v>
      </c>
      <c r="G4776" s="1" t="str">
        <f>_xlfn.XLOOKUP(tblSales[[#This Row],[Product Code]],tblProducts[Code],tblProducts[Product / Service Name],"⚠ Unknown")</f>
        <v>Chino Pants</v>
      </c>
      <c r="H4776" s="1" t="str">
        <f>_xlfn.XLOOKUP(tblSales[[#This Row],[Product Code]],tblProducts[Code],tblProducts[Category],"")</f>
        <v>Apparel &amp; Footwear</v>
      </c>
      <c r="I4776" s="4">
        <v>6</v>
      </c>
      <c r="J4776" s="5">
        <f>_xlfn.XLOOKUP(tblSales[[#This Row],[Product Code]],tblProducts[Code],tblProducts[Selling Price (excl. VAT)],0)</f>
        <v>150000</v>
      </c>
      <c r="K4776" s="5">
        <f>tblSales[[#This Row],[Qty]]*tblSales[[#This Row],[Unit Price]]</f>
        <v>900000</v>
      </c>
      <c r="L4776" s="5">
        <f>ROUND(tblSales[[#This Row],[DPP (excl. VAT)]]*VATEff,0)</f>
        <v>99000</v>
      </c>
      <c r="M4776" s="5">
        <f>tblSales[[#This Row],[DPP (excl. VAT)]]+tblSales[[#This Row],[Output VAT]]</f>
        <v>999000</v>
      </c>
      <c r="N4776" s="5">
        <f>tblSales[[#This Row],[Qty]]*_xlfn.XLOOKUP(tblSales[[#This Row],[Product Code]],tblProducts[Code],tblProducts[Unit Cost],0)</f>
        <v>528000</v>
      </c>
      <c r="O4776" s="4" t="s">
        <v>4866</v>
      </c>
      <c r="P4776" s="4" t="s">
        <v>4860</v>
      </c>
      <c r="Q4776" s="1" t="str">
        <f>_xlfn.XLOOKUP(tblSales[[#This Row],[Channel Code]],tblChannels[Channel Code],tblChannels[Channel Name],"")</f>
        <v>In-store</v>
      </c>
      <c r="R4776" s="1">
        <f>MONTH(tblSales[[#This Row],[Date]])</f>
        <v>10</v>
      </c>
    </row>
    <row r="4777" spans="2:18" x14ac:dyDescent="0.35">
      <c r="B4777" s="113">
        <v>46313</v>
      </c>
      <c r="C4777" s="4" t="s">
        <v>3256</v>
      </c>
      <c r="D4777" s="4" t="s">
        <v>4568</v>
      </c>
      <c r="E4777" s="1" t="str">
        <f>_xlfn.XLOOKUP(tblSales[[#This Row],[Customer ID]],tblCustomers[Customer ID],tblCustomers[Customer Name],"⚠ Unknown")</f>
        <v>Walk-in Customer</v>
      </c>
      <c r="F4777" s="4" t="s">
        <v>14</v>
      </c>
      <c r="G4777" s="1" t="str">
        <f>_xlfn.XLOOKUP(tblSales[[#This Row],[Product Code]],tblProducts[Code],tblProducts[Product / Service Name],"⚠ Unknown")</f>
        <v>Smartwatch</v>
      </c>
      <c r="H4777" s="1" t="str">
        <f>_xlfn.XLOOKUP(tblSales[[#This Row],[Product Code]],tblProducts[Code],tblProducts[Category],"")</f>
        <v>Bags &amp; Gadgets</v>
      </c>
      <c r="I4777" s="4">
        <v>1</v>
      </c>
      <c r="J4777" s="5">
        <f>_xlfn.XLOOKUP(tblSales[[#This Row],[Product Code]],tblProducts[Code],tblProducts[Selling Price (excl. VAT)],0)</f>
        <v>850000</v>
      </c>
      <c r="K4777" s="5">
        <f>tblSales[[#This Row],[Qty]]*tblSales[[#This Row],[Unit Price]]</f>
        <v>850000</v>
      </c>
      <c r="L4777" s="5">
        <f>ROUND(tblSales[[#This Row],[DPP (excl. VAT)]]*VATEff,0)</f>
        <v>93500</v>
      </c>
      <c r="M4777" s="5">
        <f>tblSales[[#This Row],[DPP (excl. VAT)]]+tblSales[[#This Row],[Output VAT]]</f>
        <v>943500</v>
      </c>
      <c r="N4777" s="5">
        <f>tblSales[[#This Row],[Qty]]*_xlfn.XLOOKUP(tblSales[[#This Row],[Product Code]],tblProducts[Code],tblProducts[Unit Cost],0)</f>
        <v>560000</v>
      </c>
      <c r="O4777" s="4" t="s">
        <v>4866</v>
      </c>
      <c r="P4777" s="4" t="s">
        <v>4860</v>
      </c>
      <c r="Q4777" s="1" t="str">
        <f>_xlfn.XLOOKUP(tblSales[[#This Row],[Channel Code]],tblChannels[Channel Code],tblChannels[Channel Name],"")</f>
        <v>In-store</v>
      </c>
      <c r="R4777" s="1">
        <f>MONTH(tblSales[[#This Row],[Date]])</f>
        <v>10</v>
      </c>
    </row>
    <row r="4778" spans="2:18" x14ac:dyDescent="0.35">
      <c r="B4778" s="113">
        <v>46313</v>
      </c>
      <c r="C4778" s="4" t="s">
        <v>3257</v>
      </c>
      <c r="D4778" s="4" t="s">
        <v>4568</v>
      </c>
      <c r="E4778" s="1" t="str">
        <f>_xlfn.XLOOKUP(tblSales[[#This Row],[Customer ID]],tblCustomers[Customer ID],tblCustomers[Customer Name],"⚠ Unknown")</f>
        <v>Walk-in Customer</v>
      </c>
      <c r="F4778" s="4" t="s">
        <v>12</v>
      </c>
      <c r="G4778" s="1" t="str">
        <f>_xlfn.XLOOKUP(tblSales[[#This Row],[Product Code]],tblProducts[Code],tblProducts[Product / Service Name],"⚠ Unknown")</f>
        <v>Bomber Jacket</v>
      </c>
      <c r="H4778" s="1" t="str">
        <f>_xlfn.XLOOKUP(tblSales[[#This Row],[Product Code]],tblProducts[Code],tblProducts[Category],"")</f>
        <v>Apparel &amp; Footwear</v>
      </c>
      <c r="I4778" s="4">
        <v>6</v>
      </c>
      <c r="J4778" s="5">
        <f>_xlfn.XLOOKUP(tblSales[[#This Row],[Product Code]],tblProducts[Code],tblProducts[Selling Price (excl. VAT)],0)</f>
        <v>350000</v>
      </c>
      <c r="K4778" s="5">
        <f>tblSales[[#This Row],[Qty]]*tblSales[[#This Row],[Unit Price]]</f>
        <v>2100000</v>
      </c>
      <c r="L4778" s="5">
        <f>ROUND(tblSales[[#This Row],[DPP (excl. VAT)]]*VATEff,0)</f>
        <v>231000</v>
      </c>
      <c r="M4778" s="5">
        <f>tblSales[[#This Row],[DPP (excl. VAT)]]+tblSales[[#This Row],[Output VAT]]</f>
        <v>2331000</v>
      </c>
      <c r="N4778" s="5">
        <f>tblSales[[#This Row],[Qty]]*_xlfn.XLOOKUP(tblSales[[#This Row],[Product Code]],tblProducts[Code],tblProducts[Unit Cost],0)</f>
        <v>1260000</v>
      </c>
      <c r="O4778" s="4" t="s">
        <v>4865</v>
      </c>
      <c r="P4778" s="4" t="s">
        <v>4860</v>
      </c>
      <c r="Q4778" s="1" t="str">
        <f>_xlfn.XLOOKUP(tblSales[[#This Row],[Channel Code]],tblChannels[Channel Code],tblChannels[Channel Name],"")</f>
        <v>In-store</v>
      </c>
      <c r="R4778" s="1">
        <f>MONTH(tblSales[[#This Row],[Date]])</f>
        <v>10</v>
      </c>
    </row>
    <row r="4779" spans="2:18" x14ac:dyDescent="0.35">
      <c r="B4779" s="113">
        <v>46313</v>
      </c>
      <c r="C4779" s="4" t="s">
        <v>3257</v>
      </c>
      <c r="D4779" s="4" t="s">
        <v>4568</v>
      </c>
      <c r="E4779" s="1" t="str">
        <f>_xlfn.XLOOKUP(tblSales[[#This Row],[Customer ID]],tblCustomers[Customer ID],tblCustomers[Customer Name],"⚠ Unknown")</f>
        <v>Walk-in Customer</v>
      </c>
      <c r="F4779" s="4" t="s">
        <v>14</v>
      </c>
      <c r="G4779" s="1" t="str">
        <f>_xlfn.XLOOKUP(tblSales[[#This Row],[Product Code]],tblProducts[Code],tblProducts[Product / Service Name],"⚠ Unknown")</f>
        <v>Smartwatch</v>
      </c>
      <c r="H4779" s="1" t="str">
        <f>_xlfn.XLOOKUP(tblSales[[#This Row],[Product Code]],tblProducts[Code],tblProducts[Category],"")</f>
        <v>Bags &amp; Gadgets</v>
      </c>
      <c r="I4779" s="4">
        <v>1</v>
      </c>
      <c r="J4779" s="5">
        <f>_xlfn.XLOOKUP(tblSales[[#This Row],[Product Code]],tblProducts[Code],tblProducts[Selling Price (excl. VAT)],0)</f>
        <v>850000</v>
      </c>
      <c r="K4779" s="5">
        <f>tblSales[[#This Row],[Qty]]*tblSales[[#This Row],[Unit Price]]</f>
        <v>850000</v>
      </c>
      <c r="L4779" s="5">
        <f>ROUND(tblSales[[#This Row],[DPP (excl. VAT)]]*VATEff,0)</f>
        <v>93500</v>
      </c>
      <c r="M4779" s="5">
        <f>tblSales[[#This Row],[DPP (excl. VAT)]]+tblSales[[#This Row],[Output VAT]]</f>
        <v>943500</v>
      </c>
      <c r="N4779" s="5">
        <f>tblSales[[#This Row],[Qty]]*_xlfn.XLOOKUP(tblSales[[#This Row],[Product Code]],tblProducts[Code],tblProducts[Unit Cost],0)</f>
        <v>560000</v>
      </c>
      <c r="O4779" s="4" t="s">
        <v>4865</v>
      </c>
      <c r="P4779" s="4" t="s">
        <v>4860</v>
      </c>
      <c r="Q4779" s="1" t="str">
        <f>_xlfn.XLOOKUP(tblSales[[#This Row],[Channel Code]],tblChannels[Channel Code],tblChannels[Channel Name],"")</f>
        <v>In-store</v>
      </c>
      <c r="R4779" s="1">
        <f>MONTH(tblSales[[#This Row],[Date]])</f>
        <v>10</v>
      </c>
    </row>
    <row r="4780" spans="2:18" x14ac:dyDescent="0.35">
      <c r="B4780" s="113">
        <v>46313</v>
      </c>
      <c r="C4780" s="4" t="s">
        <v>3257</v>
      </c>
      <c r="D4780" s="4" t="s">
        <v>4568</v>
      </c>
      <c r="E4780" s="1" t="str">
        <f>_xlfn.XLOOKUP(tblSales[[#This Row],[Customer ID]],tblCustomers[Customer ID],tblCustomers[Customer Name],"⚠ Unknown")</f>
        <v>Walk-in Customer</v>
      </c>
      <c r="F4780" s="4" t="s">
        <v>6</v>
      </c>
      <c r="G4780" s="1" t="str">
        <f>_xlfn.XLOOKUP(tblSales[[#This Row],[Product Code]],tblProducts[Code],tblProducts[Product / Service Name],"⚠ Unknown")</f>
        <v>Socks &amp; Accessories</v>
      </c>
      <c r="H4780" s="1" t="str">
        <f>_xlfn.XLOOKUP(tblSales[[#This Row],[Product Code]],tblProducts[Code],tblProducts[Category],"")</f>
        <v>Accessories &amp; Basics</v>
      </c>
      <c r="I4780" s="4">
        <v>1</v>
      </c>
      <c r="J4780" s="5">
        <f>_xlfn.XLOOKUP(tblSales[[#This Row],[Product Code]],tblProducts[Code],tblProducts[Selling Price (excl. VAT)],0)</f>
        <v>45000</v>
      </c>
      <c r="K4780" s="5">
        <f>tblSales[[#This Row],[Qty]]*tblSales[[#This Row],[Unit Price]]</f>
        <v>45000</v>
      </c>
      <c r="L4780" s="5">
        <f>ROUND(tblSales[[#This Row],[DPP (excl. VAT)]]*VATEff,0)</f>
        <v>4950</v>
      </c>
      <c r="M4780" s="5">
        <f>tblSales[[#This Row],[DPP (excl. VAT)]]+tblSales[[#This Row],[Output VAT]]</f>
        <v>49950</v>
      </c>
      <c r="N4780" s="5">
        <f>tblSales[[#This Row],[Qty]]*_xlfn.XLOOKUP(tblSales[[#This Row],[Product Code]],tblProducts[Code],tblProducts[Unit Cost],0)</f>
        <v>24000</v>
      </c>
      <c r="O4780" s="4" t="s">
        <v>4865</v>
      </c>
      <c r="P4780" s="4" t="s">
        <v>4860</v>
      </c>
      <c r="Q4780" s="1" t="str">
        <f>_xlfn.XLOOKUP(tblSales[[#This Row],[Channel Code]],tblChannels[Channel Code],tblChannels[Channel Name],"")</f>
        <v>In-store</v>
      </c>
      <c r="R4780" s="1">
        <f>MONTH(tblSales[[#This Row],[Date]])</f>
        <v>10</v>
      </c>
    </row>
    <row r="4781" spans="2:18" x14ac:dyDescent="0.35">
      <c r="B4781" s="113">
        <v>46313</v>
      </c>
      <c r="C4781" s="4" t="s">
        <v>3258</v>
      </c>
      <c r="D4781" s="4" t="s">
        <v>4593</v>
      </c>
      <c r="E4781" s="1" t="str">
        <f>_xlfn.XLOOKUP(tblSales[[#This Row],[Customer ID]],tblCustomers[Customer ID],tblCustomers[Customer Name],"⚠ Unknown")</f>
        <v>PT Graha Nusa Persada</v>
      </c>
      <c r="F4781" s="4" t="s">
        <v>6</v>
      </c>
      <c r="G4781" s="1" t="str">
        <f>_xlfn.XLOOKUP(tblSales[[#This Row],[Product Code]],tblProducts[Code],tblProducts[Product / Service Name],"⚠ Unknown")</f>
        <v>Socks &amp; Accessories</v>
      </c>
      <c r="H4781" s="1" t="str">
        <f>_xlfn.XLOOKUP(tblSales[[#This Row],[Product Code]],tblProducts[Code],tblProducts[Category],"")</f>
        <v>Accessories &amp; Basics</v>
      </c>
      <c r="I4781" s="4">
        <v>56</v>
      </c>
      <c r="J4781" s="5">
        <f>_xlfn.XLOOKUP(tblSales[[#This Row],[Product Code]],tblProducts[Code],tblProducts[Selling Price (excl. VAT)],0)</f>
        <v>45000</v>
      </c>
      <c r="K4781" s="5">
        <f>tblSales[[#This Row],[Qty]]*tblSales[[#This Row],[Unit Price]]</f>
        <v>2520000</v>
      </c>
      <c r="L4781" s="5">
        <f>ROUND(tblSales[[#This Row],[DPP (excl. VAT)]]*VATEff,0)</f>
        <v>277200</v>
      </c>
      <c r="M4781" s="5">
        <f>tblSales[[#This Row],[DPP (excl. VAT)]]+tblSales[[#This Row],[Output VAT]]</f>
        <v>2797200</v>
      </c>
      <c r="N4781" s="5">
        <f>tblSales[[#This Row],[Qty]]*_xlfn.XLOOKUP(tblSales[[#This Row],[Product Code]],tblProducts[Code],tblProducts[Unit Cost],0)</f>
        <v>1344000</v>
      </c>
      <c r="O4781" s="4" t="s">
        <v>4867</v>
      </c>
      <c r="P4781" s="4" t="s">
        <v>4860</v>
      </c>
      <c r="Q4781" s="1" t="str">
        <f>_xlfn.XLOOKUP(tblSales[[#This Row],[Channel Code]],tblChannels[Channel Code],tblChannels[Channel Name],"")</f>
        <v>In-store</v>
      </c>
      <c r="R4781" s="1">
        <f>MONTH(tblSales[[#This Row],[Date]])</f>
        <v>10</v>
      </c>
    </row>
    <row r="4782" spans="2:18" x14ac:dyDescent="0.35">
      <c r="B4782" s="113">
        <v>46313</v>
      </c>
      <c r="C4782" s="4" t="s">
        <v>3259</v>
      </c>
      <c r="D4782" s="4" t="s">
        <v>4568</v>
      </c>
      <c r="E4782" s="1" t="str">
        <f>_xlfn.XLOOKUP(tblSales[[#This Row],[Customer ID]],tblCustomers[Customer ID],tblCustomers[Customer Name],"⚠ Unknown")</f>
        <v>Walk-in Customer</v>
      </c>
      <c r="F4782" s="4" t="s">
        <v>15</v>
      </c>
      <c r="G4782" s="1" t="str">
        <f>_xlfn.XLOOKUP(tblSales[[#This Row],[Product Code]],tblProducts[Code],tblProducts[Product / Service Name],"⚠ Unknown")</f>
        <v>Wireless Earbuds Pro</v>
      </c>
      <c r="H4782" s="1" t="str">
        <f>_xlfn.XLOOKUP(tblSales[[#This Row],[Product Code]],tblProducts[Code],tblProducts[Category],"")</f>
        <v>Bags &amp; Gadgets</v>
      </c>
      <c r="I4782" s="4">
        <v>3</v>
      </c>
      <c r="J4782" s="5">
        <f>_xlfn.XLOOKUP(tblSales[[#This Row],[Product Code]],tblProducts[Code],tblProducts[Selling Price (excl. VAT)],0)</f>
        <v>1250000</v>
      </c>
      <c r="K4782" s="5">
        <f>tblSales[[#This Row],[Qty]]*tblSales[[#This Row],[Unit Price]]</f>
        <v>3750000</v>
      </c>
      <c r="L4782" s="5">
        <f>ROUND(tblSales[[#This Row],[DPP (excl. VAT)]]*VATEff,0)</f>
        <v>412500</v>
      </c>
      <c r="M4782" s="5">
        <f>tblSales[[#This Row],[DPP (excl. VAT)]]+tblSales[[#This Row],[Output VAT]]</f>
        <v>4162500</v>
      </c>
      <c r="N4782" s="5">
        <f>tblSales[[#This Row],[Qty]]*_xlfn.XLOOKUP(tblSales[[#This Row],[Product Code]],tblProducts[Code],tblProducts[Unit Cost],0)</f>
        <v>2460000</v>
      </c>
      <c r="O4782" s="4" t="s">
        <v>4866</v>
      </c>
      <c r="P4782" s="4" t="s">
        <v>4860</v>
      </c>
      <c r="Q4782" s="1" t="str">
        <f>_xlfn.XLOOKUP(tblSales[[#This Row],[Channel Code]],tblChannels[Channel Code],tblChannels[Channel Name],"")</f>
        <v>In-store</v>
      </c>
      <c r="R4782" s="1">
        <f>MONTH(tblSales[[#This Row],[Date]])</f>
        <v>10</v>
      </c>
    </row>
    <row r="4783" spans="2:18" x14ac:dyDescent="0.35">
      <c r="B4783" s="113">
        <v>46313</v>
      </c>
      <c r="C4783" s="4" t="s">
        <v>3260</v>
      </c>
      <c r="D4783" s="4" t="s">
        <v>4568</v>
      </c>
      <c r="E4783" s="1" t="str">
        <f>_xlfn.XLOOKUP(tblSales[[#This Row],[Customer ID]],tblCustomers[Customer ID],tblCustomers[Customer Name],"⚠ Unknown")</f>
        <v>Walk-in Customer</v>
      </c>
      <c r="F4783" s="4" t="s">
        <v>12</v>
      </c>
      <c r="G4783" s="1" t="str">
        <f>_xlfn.XLOOKUP(tblSales[[#This Row],[Product Code]],tblProducts[Code],tblProducts[Product / Service Name],"⚠ Unknown")</f>
        <v>Bomber Jacket</v>
      </c>
      <c r="H4783" s="1" t="str">
        <f>_xlfn.XLOOKUP(tblSales[[#This Row],[Product Code]],tblProducts[Code],tblProducts[Category],"")</f>
        <v>Apparel &amp; Footwear</v>
      </c>
      <c r="I4783" s="4">
        <v>5</v>
      </c>
      <c r="J4783" s="5">
        <f>_xlfn.XLOOKUP(tblSales[[#This Row],[Product Code]],tblProducts[Code],tblProducts[Selling Price (excl. VAT)],0)</f>
        <v>350000</v>
      </c>
      <c r="K4783" s="5">
        <f>tblSales[[#This Row],[Qty]]*tblSales[[#This Row],[Unit Price]]</f>
        <v>1750000</v>
      </c>
      <c r="L4783" s="5">
        <f>ROUND(tblSales[[#This Row],[DPP (excl. VAT)]]*VATEff,0)</f>
        <v>192500</v>
      </c>
      <c r="M4783" s="5">
        <f>tblSales[[#This Row],[DPP (excl. VAT)]]+tblSales[[#This Row],[Output VAT]]</f>
        <v>1942500</v>
      </c>
      <c r="N4783" s="5">
        <f>tblSales[[#This Row],[Qty]]*_xlfn.XLOOKUP(tblSales[[#This Row],[Product Code]],tblProducts[Code],tblProducts[Unit Cost],0)</f>
        <v>1050000</v>
      </c>
      <c r="O4783" s="4" t="s">
        <v>4866</v>
      </c>
      <c r="P4783" s="4" t="s">
        <v>4860</v>
      </c>
      <c r="Q4783" s="1" t="str">
        <f>_xlfn.XLOOKUP(tblSales[[#This Row],[Channel Code]],tblChannels[Channel Code],tblChannels[Channel Name],"")</f>
        <v>In-store</v>
      </c>
      <c r="R4783" s="1">
        <f>MONTH(tblSales[[#This Row],[Date]])</f>
        <v>10</v>
      </c>
    </row>
    <row r="4784" spans="2:18" x14ac:dyDescent="0.35">
      <c r="B4784" s="113">
        <v>46313</v>
      </c>
      <c r="C4784" s="4" t="s">
        <v>3261</v>
      </c>
      <c r="D4784" s="4" t="s">
        <v>4568</v>
      </c>
      <c r="E4784" s="1" t="str">
        <f>_xlfn.XLOOKUP(tblSales[[#This Row],[Customer ID]],tblCustomers[Customer ID],tblCustomers[Customer Name],"⚠ Unknown")</f>
        <v>Walk-in Customer</v>
      </c>
      <c r="F4784" s="4" t="s">
        <v>7</v>
      </c>
      <c r="G4784" s="1" t="str">
        <f>_xlfn.XLOOKUP(tblSales[[#This Row],[Product Code]],tblProducts[Code],tblProducts[Product / Service Name],"⚠ Unknown")</f>
        <v>Premium Basic T-shirt</v>
      </c>
      <c r="H4784" s="1" t="str">
        <f>_xlfn.XLOOKUP(tblSales[[#This Row],[Product Code]],tblProducts[Code],tblProducts[Category],"")</f>
        <v>Accessories &amp; Basics</v>
      </c>
      <c r="I4784" s="4">
        <v>6</v>
      </c>
      <c r="J4784" s="5">
        <f>_xlfn.XLOOKUP(tblSales[[#This Row],[Product Code]],tblProducts[Code],tblProducts[Selling Price (excl. VAT)],0)</f>
        <v>65000</v>
      </c>
      <c r="K4784" s="5">
        <f>tblSales[[#This Row],[Qty]]*tblSales[[#This Row],[Unit Price]]</f>
        <v>390000</v>
      </c>
      <c r="L4784" s="5">
        <f>ROUND(tblSales[[#This Row],[DPP (excl. VAT)]]*VATEff,0)</f>
        <v>42900</v>
      </c>
      <c r="M4784" s="5">
        <f>tblSales[[#This Row],[DPP (excl. VAT)]]+tblSales[[#This Row],[Output VAT]]</f>
        <v>432900</v>
      </c>
      <c r="N4784" s="5">
        <f>tblSales[[#This Row],[Qty]]*_xlfn.XLOOKUP(tblSales[[#This Row],[Product Code]],tblProducts[Code],tblProducts[Unit Cost],0)</f>
        <v>222000</v>
      </c>
      <c r="O4784" s="4" t="s">
        <v>4866</v>
      </c>
      <c r="P4784" s="4" t="s">
        <v>4861</v>
      </c>
      <c r="Q4784" s="1" t="str">
        <f>_xlfn.XLOOKUP(tblSales[[#This Row],[Channel Code]],tblChannels[Channel Code],tblChannels[Channel Name],"")</f>
        <v>Marketplace</v>
      </c>
      <c r="R4784" s="1">
        <f>MONTH(tblSales[[#This Row],[Date]])</f>
        <v>10</v>
      </c>
    </row>
    <row r="4785" spans="2:18" x14ac:dyDescent="0.35">
      <c r="B4785" s="113">
        <v>46313</v>
      </c>
      <c r="C4785" s="4" t="s">
        <v>3261</v>
      </c>
      <c r="D4785" s="4" t="s">
        <v>4568</v>
      </c>
      <c r="E4785" s="1" t="str">
        <f>_xlfn.XLOOKUP(tblSales[[#This Row],[Customer ID]],tblCustomers[Customer ID],tblCustomers[Customer Name],"⚠ Unknown")</f>
        <v>Walk-in Customer</v>
      </c>
      <c r="F4785" s="4" t="s">
        <v>10</v>
      </c>
      <c r="G4785" s="1" t="str">
        <f>_xlfn.XLOOKUP(tblSales[[#This Row],[Product Code]],tblProducts[Code],tblProducts[Product / Service Name],"⚠ Unknown")</f>
        <v>Chino Pants</v>
      </c>
      <c r="H4785" s="1" t="str">
        <f>_xlfn.XLOOKUP(tblSales[[#This Row],[Product Code]],tblProducts[Code],tblProducts[Category],"")</f>
        <v>Apparel &amp; Footwear</v>
      </c>
      <c r="I4785" s="4">
        <v>12</v>
      </c>
      <c r="J4785" s="5">
        <f>_xlfn.XLOOKUP(tblSales[[#This Row],[Product Code]],tblProducts[Code],tblProducts[Selling Price (excl. VAT)],0)</f>
        <v>150000</v>
      </c>
      <c r="K4785" s="5">
        <f>tblSales[[#This Row],[Qty]]*tblSales[[#This Row],[Unit Price]]</f>
        <v>1800000</v>
      </c>
      <c r="L4785" s="5">
        <f>ROUND(tblSales[[#This Row],[DPP (excl. VAT)]]*VATEff,0)</f>
        <v>198000</v>
      </c>
      <c r="M4785" s="5">
        <f>tblSales[[#This Row],[DPP (excl. VAT)]]+tblSales[[#This Row],[Output VAT]]</f>
        <v>1998000</v>
      </c>
      <c r="N4785" s="5">
        <f>tblSales[[#This Row],[Qty]]*_xlfn.XLOOKUP(tblSales[[#This Row],[Product Code]],tblProducts[Code],tblProducts[Unit Cost],0)</f>
        <v>1056000</v>
      </c>
      <c r="O4785" s="4" t="s">
        <v>4866</v>
      </c>
      <c r="P4785" s="4" t="s">
        <v>4861</v>
      </c>
      <c r="Q4785" s="1" t="str">
        <f>_xlfn.XLOOKUP(tblSales[[#This Row],[Channel Code]],tblChannels[Channel Code],tblChannels[Channel Name],"")</f>
        <v>Marketplace</v>
      </c>
      <c r="R4785" s="1">
        <f>MONTH(tblSales[[#This Row],[Date]])</f>
        <v>10</v>
      </c>
    </row>
    <row r="4786" spans="2:18" x14ac:dyDescent="0.35">
      <c r="B4786" s="113">
        <v>46313</v>
      </c>
      <c r="C4786" s="4" t="s">
        <v>3262</v>
      </c>
      <c r="D4786" s="4" t="s">
        <v>4578</v>
      </c>
      <c r="E4786" s="1" t="str">
        <f>_xlfn.XLOOKUP(tblSales[[#This Row],[Customer ID]],tblCustomers[Customer ID],tblCustomers[Customer Name],"⚠ Unknown")</f>
        <v>PT Bintang Timur Sejahtera</v>
      </c>
      <c r="F4786" s="4" t="s">
        <v>12</v>
      </c>
      <c r="G4786" s="1" t="str">
        <f>_xlfn.XLOOKUP(tblSales[[#This Row],[Product Code]],tblProducts[Code],tblProducts[Product / Service Name],"⚠ Unknown")</f>
        <v>Bomber Jacket</v>
      </c>
      <c r="H4786" s="1" t="str">
        <f>_xlfn.XLOOKUP(tblSales[[#This Row],[Product Code]],tblProducts[Code],tblProducts[Category],"")</f>
        <v>Apparel &amp; Footwear</v>
      </c>
      <c r="I4786" s="4">
        <v>8</v>
      </c>
      <c r="J4786" s="5">
        <f>_xlfn.XLOOKUP(tblSales[[#This Row],[Product Code]],tblProducts[Code],tblProducts[Selling Price (excl. VAT)],0)</f>
        <v>350000</v>
      </c>
      <c r="K4786" s="5">
        <f>tblSales[[#This Row],[Qty]]*tblSales[[#This Row],[Unit Price]]</f>
        <v>2800000</v>
      </c>
      <c r="L4786" s="5">
        <f>ROUND(tblSales[[#This Row],[DPP (excl. VAT)]]*VATEff,0)</f>
        <v>308000</v>
      </c>
      <c r="M4786" s="5">
        <f>tblSales[[#This Row],[DPP (excl. VAT)]]+tblSales[[#This Row],[Output VAT]]</f>
        <v>3108000</v>
      </c>
      <c r="N4786" s="5">
        <f>tblSales[[#This Row],[Qty]]*_xlfn.XLOOKUP(tblSales[[#This Row],[Product Code]],tblProducts[Code],tblProducts[Unit Cost],0)</f>
        <v>1680000</v>
      </c>
      <c r="O4786" s="4" t="s">
        <v>4867</v>
      </c>
      <c r="P4786" s="4" t="s">
        <v>4860</v>
      </c>
      <c r="Q4786" s="1" t="str">
        <f>_xlfn.XLOOKUP(tblSales[[#This Row],[Channel Code]],tblChannels[Channel Code],tblChannels[Channel Name],"")</f>
        <v>In-store</v>
      </c>
      <c r="R4786" s="1">
        <f>MONTH(tblSales[[#This Row],[Date]])</f>
        <v>10</v>
      </c>
    </row>
    <row r="4787" spans="2:18" x14ac:dyDescent="0.35">
      <c r="B4787" s="113">
        <v>46313</v>
      </c>
      <c r="C4787" s="4" t="s">
        <v>3263</v>
      </c>
      <c r="D4787" s="4" t="s">
        <v>4620</v>
      </c>
      <c r="E4787" s="1" t="str">
        <f>_xlfn.XLOOKUP(tblSales[[#This Row],[Customer ID]],tblCustomers[Customer ID],tblCustomers[Customer Name],"⚠ Unknown")</f>
        <v>CV Sumber Rejeki Utama</v>
      </c>
      <c r="F4787" s="4" t="s">
        <v>7</v>
      </c>
      <c r="G4787" s="1" t="str">
        <f>_xlfn.XLOOKUP(tblSales[[#This Row],[Product Code]],tblProducts[Code],tblProducts[Product / Service Name],"⚠ Unknown")</f>
        <v>Premium Basic T-shirt</v>
      </c>
      <c r="H4787" s="1" t="str">
        <f>_xlfn.XLOOKUP(tblSales[[#This Row],[Product Code]],tblProducts[Code],tblProducts[Category],"")</f>
        <v>Accessories &amp; Basics</v>
      </c>
      <c r="I4787" s="4">
        <v>80</v>
      </c>
      <c r="J4787" s="5">
        <f>_xlfn.XLOOKUP(tblSales[[#This Row],[Product Code]],tblProducts[Code],tblProducts[Selling Price (excl. VAT)],0)</f>
        <v>65000</v>
      </c>
      <c r="K4787" s="5">
        <f>tblSales[[#This Row],[Qty]]*tblSales[[#This Row],[Unit Price]]</f>
        <v>5200000</v>
      </c>
      <c r="L4787" s="5">
        <f>ROUND(tblSales[[#This Row],[DPP (excl. VAT)]]*VATEff,0)</f>
        <v>572000</v>
      </c>
      <c r="M4787" s="5">
        <f>tblSales[[#This Row],[DPP (excl. VAT)]]+tblSales[[#This Row],[Output VAT]]</f>
        <v>5772000</v>
      </c>
      <c r="N4787" s="5">
        <f>tblSales[[#This Row],[Qty]]*_xlfn.XLOOKUP(tblSales[[#This Row],[Product Code]],tblProducts[Code],tblProducts[Unit Cost],0)</f>
        <v>2960000</v>
      </c>
      <c r="O4787" s="4" t="s">
        <v>4867</v>
      </c>
      <c r="P4787" s="4" t="s">
        <v>4860</v>
      </c>
      <c r="Q4787" s="1" t="str">
        <f>_xlfn.XLOOKUP(tblSales[[#This Row],[Channel Code]],tblChannels[Channel Code],tblChannels[Channel Name],"")</f>
        <v>In-store</v>
      </c>
      <c r="R4787" s="1">
        <f>MONTH(tblSales[[#This Row],[Date]])</f>
        <v>10</v>
      </c>
    </row>
    <row r="4788" spans="2:18" x14ac:dyDescent="0.35">
      <c r="B4788" s="113">
        <v>46313</v>
      </c>
      <c r="C4788" s="4" t="s">
        <v>3264</v>
      </c>
      <c r="D4788" s="4" t="s">
        <v>4568</v>
      </c>
      <c r="E4788" s="1" t="str">
        <f>_xlfn.XLOOKUP(tblSales[[#This Row],[Customer ID]],tblCustomers[Customer ID],tblCustomers[Customer Name],"⚠ Unknown")</f>
        <v>Walk-in Customer</v>
      </c>
      <c r="F4788" s="4" t="s">
        <v>9</v>
      </c>
      <c r="G4788" s="1" t="str">
        <f>_xlfn.XLOOKUP(tblSales[[#This Row],[Product Code]],tblProducts[Code],tblProducts[Product / Service Name],"⚠ Unknown")</f>
        <v>Casual Shirt</v>
      </c>
      <c r="H4788" s="1" t="str">
        <f>_xlfn.XLOOKUP(tblSales[[#This Row],[Product Code]],tblProducts[Code],tblProducts[Category],"")</f>
        <v>Apparel &amp; Footwear</v>
      </c>
      <c r="I4788" s="4">
        <v>7</v>
      </c>
      <c r="J4788" s="5">
        <f>_xlfn.XLOOKUP(tblSales[[#This Row],[Product Code]],tblProducts[Code],tblProducts[Selling Price (excl. VAT)],0)</f>
        <v>120000</v>
      </c>
      <c r="K4788" s="5">
        <f>tblSales[[#This Row],[Qty]]*tblSales[[#This Row],[Unit Price]]</f>
        <v>840000</v>
      </c>
      <c r="L4788" s="5">
        <f>ROUND(tblSales[[#This Row],[DPP (excl. VAT)]]*VATEff,0)</f>
        <v>92400</v>
      </c>
      <c r="M4788" s="5">
        <f>tblSales[[#This Row],[DPP (excl. VAT)]]+tblSales[[#This Row],[Output VAT]]</f>
        <v>932400</v>
      </c>
      <c r="N4788" s="5">
        <f>tblSales[[#This Row],[Qty]]*_xlfn.XLOOKUP(tblSales[[#This Row],[Product Code]],tblProducts[Code],tblProducts[Unit Cost],0)</f>
        <v>504000</v>
      </c>
      <c r="O4788" s="4" t="s">
        <v>4866</v>
      </c>
      <c r="P4788" s="4" t="s">
        <v>4861</v>
      </c>
      <c r="Q4788" s="1" t="str">
        <f>_xlfn.XLOOKUP(tblSales[[#This Row],[Channel Code]],tblChannels[Channel Code],tblChannels[Channel Name],"")</f>
        <v>Marketplace</v>
      </c>
      <c r="R4788" s="1">
        <f>MONTH(tblSales[[#This Row],[Date]])</f>
        <v>10</v>
      </c>
    </row>
    <row r="4789" spans="2:18" x14ac:dyDescent="0.35">
      <c r="B4789" s="113">
        <v>46313</v>
      </c>
      <c r="C4789" s="4" t="s">
        <v>3265</v>
      </c>
      <c r="D4789" s="4" t="s">
        <v>4585</v>
      </c>
      <c r="E4789" s="1" t="str">
        <f>_xlfn.XLOOKUP(tblSales[[#This Row],[Customer ID]],tblCustomers[Customer ID],tblCustomers[Customer Name],"⚠ Unknown")</f>
        <v>CV Mitra Karya Mandiri</v>
      </c>
      <c r="F4789" s="4" t="s">
        <v>7</v>
      </c>
      <c r="G4789" s="1" t="str">
        <f>_xlfn.XLOOKUP(tblSales[[#This Row],[Product Code]],tblProducts[Code],tblProducts[Product / Service Name],"⚠ Unknown")</f>
        <v>Premium Basic T-shirt</v>
      </c>
      <c r="H4789" s="1" t="str">
        <f>_xlfn.XLOOKUP(tblSales[[#This Row],[Product Code]],tblProducts[Code],tblProducts[Category],"")</f>
        <v>Accessories &amp; Basics</v>
      </c>
      <c r="I4789" s="4">
        <v>56</v>
      </c>
      <c r="J4789" s="5">
        <f>_xlfn.XLOOKUP(tblSales[[#This Row],[Product Code]],tblProducts[Code],tblProducts[Selling Price (excl. VAT)],0)</f>
        <v>65000</v>
      </c>
      <c r="K4789" s="5">
        <f>tblSales[[#This Row],[Qty]]*tblSales[[#This Row],[Unit Price]]</f>
        <v>3640000</v>
      </c>
      <c r="L4789" s="5">
        <f>ROUND(tblSales[[#This Row],[DPP (excl. VAT)]]*VATEff,0)</f>
        <v>400400</v>
      </c>
      <c r="M4789" s="5">
        <f>tblSales[[#This Row],[DPP (excl. VAT)]]+tblSales[[#This Row],[Output VAT]]</f>
        <v>4040400</v>
      </c>
      <c r="N4789" s="5">
        <f>tblSales[[#This Row],[Qty]]*_xlfn.XLOOKUP(tblSales[[#This Row],[Product Code]],tblProducts[Code],tblProducts[Unit Cost],0)</f>
        <v>2072000</v>
      </c>
      <c r="O4789" s="4" t="s">
        <v>4867</v>
      </c>
      <c r="P4789" s="4" t="s">
        <v>4860</v>
      </c>
      <c r="Q4789" s="1" t="str">
        <f>_xlfn.XLOOKUP(tblSales[[#This Row],[Channel Code]],tblChannels[Channel Code],tblChannels[Channel Name],"")</f>
        <v>In-store</v>
      </c>
      <c r="R4789" s="1">
        <f>MONTH(tblSales[[#This Row],[Date]])</f>
        <v>10</v>
      </c>
    </row>
    <row r="4790" spans="2:18" x14ac:dyDescent="0.35">
      <c r="B4790" s="113">
        <v>46313</v>
      </c>
      <c r="C4790" s="4" t="s">
        <v>3266</v>
      </c>
      <c r="D4790" s="4" t="s">
        <v>4568</v>
      </c>
      <c r="E4790" s="1" t="str">
        <f>_xlfn.XLOOKUP(tblSales[[#This Row],[Customer ID]],tblCustomers[Customer ID],tblCustomers[Customer Name],"⚠ Unknown")</f>
        <v>Walk-in Customer</v>
      </c>
      <c r="F4790" s="4" t="s">
        <v>11</v>
      </c>
      <c r="G4790" s="1" t="str">
        <f>_xlfn.XLOOKUP(tblSales[[#This Row],[Product Code]],tblProducts[Code],tblProducts[Product / Service Name],"⚠ Unknown")</f>
        <v>Sneakers</v>
      </c>
      <c r="H4790" s="1" t="str">
        <f>_xlfn.XLOOKUP(tblSales[[#This Row],[Product Code]],tblProducts[Code],tblProducts[Category],"")</f>
        <v>Apparel &amp; Footwear</v>
      </c>
      <c r="I4790" s="4">
        <v>3</v>
      </c>
      <c r="J4790" s="5">
        <f>_xlfn.XLOOKUP(tblSales[[#This Row],[Product Code]],tblProducts[Code],tblProducts[Selling Price (excl. VAT)],0)</f>
        <v>250000</v>
      </c>
      <c r="K4790" s="5">
        <f>tblSales[[#This Row],[Qty]]*tblSales[[#This Row],[Unit Price]]</f>
        <v>750000</v>
      </c>
      <c r="L4790" s="5">
        <f>ROUND(tblSales[[#This Row],[DPP (excl. VAT)]]*VATEff,0)</f>
        <v>82500</v>
      </c>
      <c r="M4790" s="5">
        <f>tblSales[[#This Row],[DPP (excl. VAT)]]+tblSales[[#This Row],[Output VAT]]</f>
        <v>832500</v>
      </c>
      <c r="N4790" s="5">
        <f>tblSales[[#This Row],[Qty]]*_xlfn.XLOOKUP(tblSales[[#This Row],[Product Code]],tblProducts[Code],tblProducts[Unit Cost],0)</f>
        <v>465000</v>
      </c>
      <c r="O4790" s="4" t="s">
        <v>4865</v>
      </c>
      <c r="P4790" s="4" t="s">
        <v>4860</v>
      </c>
      <c r="Q4790" s="1" t="str">
        <f>_xlfn.XLOOKUP(tblSales[[#This Row],[Channel Code]],tblChannels[Channel Code],tblChannels[Channel Name],"")</f>
        <v>In-store</v>
      </c>
      <c r="R4790" s="1">
        <f>MONTH(tblSales[[#This Row],[Date]])</f>
        <v>10</v>
      </c>
    </row>
    <row r="4791" spans="2:18" x14ac:dyDescent="0.35">
      <c r="B4791" s="113">
        <v>46313</v>
      </c>
      <c r="C4791" s="4" t="s">
        <v>3266</v>
      </c>
      <c r="D4791" s="4" t="s">
        <v>4568</v>
      </c>
      <c r="E4791" s="1" t="str">
        <f>_xlfn.XLOOKUP(tblSales[[#This Row],[Customer ID]],tblCustomers[Customer ID],tblCustomers[Customer Name],"⚠ Unknown")</f>
        <v>Walk-in Customer</v>
      </c>
      <c r="F4791" s="4" t="s">
        <v>10</v>
      </c>
      <c r="G4791" s="1" t="str">
        <f>_xlfn.XLOOKUP(tblSales[[#This Row],[Product Code]],tblProducts[Code],tblProducts[Product / Service Name],"⚠ Unknown")</f>
        <v>Chino Pants</v>
      </c>
      <c r="H4791" s="1" t="str">
        <f>_xlfn.XLOOKUP(tblSales[[#This Row],[Product Code]],tblProducts[Code],tblProducts[Category],"")</f>
        <v>Apparel &amp; Footwear</v>
      </c>
      <c r="I4791" s="4">
        <v>5</v>
      </c>
      <c r="J4791" s="5">
        <f>_xlfn.XLOOKUP(tblSales[[#This Row],[Product Code]],tblProducts[Code],tblProducts[Selling Price (excl. VAT)],0)</f>
        <v>150000</v>
      </c>
      <c r="K4791" s="5">
        <f>tblSales[[#This Row],[Qty]]*tblSales[[#This Row],[Unit Price]]</f>
        <v>750000</v>
      </c>
      <c r="L4791" s="5">
        <f>ROUND(tblSales[[#This Row],[DPP (excl. VAT)]]*VATEff,0)</f>
        <v>82500</v>
      </c>
      <c r="M4791" s="5">
        <f>tblSales[[#This Row],[DPP (excl. VAT)]]+tblSales[[#This Row],[Output VAT]]</f>
        <v>832500</v>
      </c>
      <c r="N4791" s="5">
        <f>tblSales[[#This Row],[Qty]]*_xlfn.XLOOKUP(tblSales[[#This Row],[Product Code]],tblProducts[Code],tblProducts[Unit Cost],0)</f>
        <v>440000</v>
      </c>
      <c r="O4791" s="4" t="s">
        <v>4865</v>
      </c>
      <c r="P4791" s="4" t="s">
        <v>4860</v>
      </c>
      <c r="Q4791" s="1" t="str">
        <f>_xlfn.XLOOKUP(tblSales[[#This Row],[Channel Code]],tblChannels[Channel Code],tblChannels[Channel Name],"")</f>
        <v>In-store</v>
      </c>
      <c r="R4791" s="1">
        <f>MONTH(tblSales[[#This Row],[Date]])</f>
        <v>10</v>
      </c>
    </row>
    <row r="4792" spans="2:18" x14ac:dyDescent="0.35">
      <c r="B4792" s="113">
        <v>46313</v>
      </c>
      <c r="C4792" s="4" t="s">
        <v>3267</v>
      </c>
      <c r="D4792" s="4" t="s">
        <v>4578</v>
      </c>
      <c r="E4792" s="1" t="str">
        <f>_xlfn.XLOOKUP(tblSales[[#This Row],[Customer ID]],tblCustomers[Customer ID],tblCustomers[Customer Name],"⚠ Unknown")</f>
        <v>PT Bintang Timur Sejahtera</v>
      </c>
      <c r="F4792" s="4" t="s">
        <v>7</v>
      </c>
      <c r="G4792" s="1" t="str">
        <f>_xlfn.XLOOKUP(tblSales[[#This Row],[Product Code]],tblProducts[Code],tblProducts[Product / Service Name],"⚠ Unknown")</f>
        <v>Premium Basic T-shirt</v>
      </c>
      <c r="H4792" s="1" t="str">
        <f>_xlfn.XLOOKUP(tblSales[[#This Row],[Product Code]],tblProducts[Code],tblProducts[Category],"")</f>
        <v>Accessories &amp; Basics</v>
      </c>
      <c r="I4792" s="4">
        <v>32</v>
      </c>
      <c r="J4792" s="5">
        <f>_xlfn.XLOOKUP(tblSales[[#This Row],[Product Code]],tblProducts[Code],tblProducts[Selling Price (excl. VAT)],0)</f>
        <v>65000</v>
      </c>
      <c r="K4792" s="5">
        <f>tblSales[[#This Row],[Qty]]*tblSales[[#This Row],[Unit Price]]</f>
        <v>2080000</v>
      </c>
      <c r="L4792" s="5">
        <f>ROUND(tblSales[[#This Row],[DPP (excl. VAT)]]*VATEff,0)</f>
        <v>228800</v>
      </c>
      <c r="M4792" s="5">
        <f>tblSales[[#This Row],[DPP (excl. VAT)]]+tblSales[[#This Row],[Output VAT]]</f>
        <v>2308800</v>
      </c>
      <c r="N4792" s="5">
        <f>tblSales[[#This Row],[Qty]]*_xlfn.XLOOKUP(tblSales[[#This Row],[Product Code]],tblProducts[Code],tblProducts[Unit Cost],0)</f>
        <v>1184000</v>
      </c>
      <c r="O4792" s="4" t="s">
        <v>4867</v>
      </c>
      <c r="P4792" s="4" t="s">
        <v>4860</v>
      </c>
      <c r="Q4792" s="1" t="str">
        <f>_xlfn.XLOOKUP(tblSales[[#This Row],[Channel Code]],tblChannels[Channel Code],tblChannels[Channel Name],"")</f>
        <v>In-store</v>
      </c>
      <c r="R4792" s="1">
        <f>MONTH(tblSales[[#This Row],[Date]])</f>
        <v>10</v>
      </c>
    </row>
    <row r="4793" spans="2:18" x14ac:dyDescent="0.35">
      <c r="B4793" s="113">
        <v>46313</v>
      </c>
      <c r="C4793" s="4" t="s">
        <v>3267</v>
      </c>
      <c r="D4793" s="4" t="s">
        <v>4578</v>
      </c>
      <c r="E4793" s="1" t="str">
        <f>_xlfn.XLOOKUP(tblSales[[#This Row],[Customer ID]],tblCustomers[Customer ID],tblCustomers[Customer Name],"⚠ Unknown")</f>
        <v>PT Bintang Timur Sejahtera</v>
      </c>
      <c r="F4793" s="4" t="s">
        <v>6</v>
      </c>
      <c r="G4793" s="1" t="str">
        <f>_xlfn.XLOOKUP(tblSales[[#This Row],[Product Code]],tblProducts[Code],tblProducts[Product / Service Name],"⚠ Unknown")</f>
        <v>Socks &amp; Accessories</v>
      </c>
      <c r="H4793" s="1" t="str">
        <f>_xlfn.XLOOKUP(tblSales[[#This Row],[Product Code]],tblProducts[Code],tblProducts[Category],"")</f>
        <v>Accessories &amp; Basics</v>
      </c>
      <c r="I4793" s="4">
        <v>16</v>
      </c>
      <c r="J4793" s="5">
        <f>_xlfn.XLOOKUP(tblSales[[#This Row],[Product Code]],tblProducts[Code],tblProducts[Selling Price (excl. VAT)],0)</f>
        <v>45000</v>
      </c>
      <c r="K4793" s="5">
        <f>tblSales[[#This Row],[Qty]]*tblSales[[#This Row],[Unit Price]]</f>
        <v>720000</v>
      </c>
      <c r="L4793" s="5">
        <f>ROUND(tblSales[[#This Row],[DPP (excl. VAT)]]*VATEff,0)</f>
        <v>79200</v>
      </c>
      <c r="M4793" s="5">
        <f>tblSales[[#This Row],[DPP (excl. VAT)]]+tblSales[[#This Row],[Output VAT]]</f>
        <v>799200</v>
      </c>
      <c r="N4793" s="5">
        <f>tblSales[[#This Row],[Qty]]*_xlfn.XLOOKUP(tblSales[[#This Row],[Product Code]],tblProducts[Code],tblProducts[Unit Cost],0)</f>
        <v>384000</v>
      </c>
      <c r="O4793" s="4" t="s">
        <v>4867</v>
      </c>
      <c r="P4793" s="4" t="s">
        <v>4860</v>
      </c>
      <c r="Q4793" s="1" t="str">
        <f>_xlfn.XLOOKUP(tblSales[[#This Row],[Channel Code]],tblChannels[Channel Code],tblChannels[Channel Name],"")</f>
        <v>In-store</v>
      </c>
      <c r="R4793" s="1">
        <f>MONTH(tblSales[[#This Row],[Date]])</f>
        <v>10</v>
      </c>
    </row>
    <row r="4794" spans="2:18" x14ac:dyDescent="0.35">
      <c r="B4794" s="113">
        <v>46313</v>
      </c>
      <c r="C4794" s="4" t="s">
        <v>3268</v>
      </c>
      <c r="D4794" s="4" t="s">
        <v>4568</v>
      </c>
      <c r="E4794" s="1" t="str">
        <f>_xlfn.XLOOKUP(tblSales[[#This Row],[Customer ID]],tblCustomers[Customer ID],tblCustomers[Customer Name],"⚠ Unknown")</f>
        <v>Walk-in Customer</v>
      </c>
      <c r="F4794" s="4" t="s">
        <v>7</v>
      </c>
      <c r="G4794" s="1" t="str">
        <f>_xlfn.XLOOKUP(tblSales[[#This Row],[Product Code]],tblProducts[Code],tblProducts[Product / Service Name],"⚠ Unknown")</f>
        <v>Premium Basic T-shirt</v>
      </c>
      <c r="H4794" s="1" t="str">
        <f>_xlfn.XLOOKUP(tblSales[[#This Row],[Product Code]],tblProducts[Code],tblProducts[Category],"")</f>
        <v>Accessories &amp; Basics</v>
      </c>
      <c r="I4794" s="4">
        <v>1</v>
      </c>
      <c r="J4794" s="5">
        <f>_xlfn.XLOOKUP(tblSales[[#This Row],[Product Code]],tblProducts[Code],tblProducts[Selling Price (excl. VAT)],0)</f>
        <v>65000</v>
      </c>
      <c r="K4794" s="5">
        <f>tblSales[[#This Row],[Qty]]*tblSales[[#This Row],[Unit Price]]</f>
        <v>65000</v>
      </c>
      <c r="L4794" s="5">
        <f>ROUND(tblSales[[#This Row],[DPP (excl. VAT)]]*VATEff,0)</f>
        <v>7150</v>
      </c>
      <c r="M4794" s="5">
        <f>tblSales[[#This Row],[DPP (excl. VAT)]]+tblSales[[#This Row],[Output VAT]]</f>
        <v>72150</v>
      </c>
      <c r="N4794" s="5">
        <f>tblSales[[#This Row],[Qty]]*_xlfn.XLOOKUP(tblSales[[#This Row],[Product Code]],tblProducts[Code],tblProducts[Unit Cost],0)</f>
        <v>37000</v>
      </c>
      <c r="O4794" s="4" t="s">
        <v>4866</v>
      </c>
      <c r="P4794" s="4" t="s">
        <v>4861</v>
      </c>
      <c r="Q4794" s="1" t="str">
        <f>_xlfn.XLOOKUP(tblSales[[#This Row],[Channel Code]],tblChannels[Channel Code],tblChannels[Channel Name],"")</f>
        <v>Marketplace</v>
      </c>
      <c r="R4794" s="1">
        <f>MONTH(tblSales[[#This Row],[Date]])</f>
        <v>10</v>
      </c>
    </row>
    <row r="4795" spans="2:18" x14ac:dyDescent="0.35">
      <c r="B4795" s="113">
        <v>46314</v>
      </c>
      <c r="C4795" s="4" t="s">
        <v>3269</v>
      </c>
      <c r="D4795" s="4" t="s">
        <v>4568</v>
      </c>
      <c r="E4795" s="1" t="str">
        <f>_xlfn.XLOOKUP(tblSales[[#This Row],[Customer ID]],tblCustomers[Customer ID],tblCustomers[Customer Name],"⚠ Unknown")</f>
        <v>Walk-in Customer</v>
      </c>
      <c r="F4795" s="4" t="s">
        <v>12</v>
      </c>
      <c r="G4795" s="1" t="str">
        <f>_xlfn.XLOOKUP(tblSales[[#This Row],[Product Code]],tblProducts[Code],tblProducts[Product / Service Name],"⚠ Unknown")</f>
        <v>Bomber Jacket</v>
      </c>
      <c r="H4795" s="1" t="str">
        <f>_xlfn.XLOOKUP(tblSales[[#This Row],[Product Code]],tblProducts[Code],tblProducts[Category],"")</f>
        <v>Apparel &amp; Footwear</v>
      </c>
      <c r="I4795" s="4">
        <v>5</v>
      </c>
      <c r="J4795" s="5">
        <f>_xlfn.XLOOKUP(tblSales[[#This Row],[Product Code]],tblProducts[Code],tblProducts[Selling Price (excl. VAT)],0)</f>
        <v>350000</v>
      </c>
      <c r="K4795" s="5">
        <f>tblSales[[#This Row],[Qty]]*tblSales[[#This Row],[Unit Price]]</f>
        <v>1750000</v>
      </c>
      <c r="L4795" s="5">
        <f>ROUND(tblSales[[#This Row],[DPP (excl. VAT)]]*VATEff,0)</f>
        <v>192500</v>
      </c>
      <c r="M4795" s="5">
        <f>tblSales[[#This Row],[DPP (excl. VAT)]]+tblSales[[#This Row],[Output VAT]]</f>
        <v>1942500</v>
      </c>
      <c r="N4795" s="5">
        <f>tblSales[[#This Row],[Qty]]*_xlfn.XLOOKUP(tblSales[[#This Row],[Product Code]],tblProducts[Code],tblProducts[Unit Cost],0)</f>
        <v>1050000</v>
      </c>
      <c r="O4795" s="4" t="s">
        <v>4865</v>
      </c>
      <c r="P4795" s="4" t="s">
        <v>4860</v>
      </c>
      <c r="Q4795" s="1" t="str">
        <f>_xlfn.XLOOKUP(tblSales[[#This Row],[Channel Code]],tblChannels[Channel Code],tblChannels[Channel Name],"")</f>
        <v>In-store</v>
      </c>
      <c r="R4795" s="1">
        <f>MONTH(tblSales[[#This Row],[Date]])</f>
        <v>10</v>
      </c>
    </row>
    <row r="4796" spans="2:18" x14ac:dyDescent="0.35">
      <c r="B4796" s="113">
        <v>46314</v>
      </c>
      <c r="C4796" s="4" t="s">
        <v>3270</v>
      </c>
      <c r="D4796" s="4" t="s">
        <v>4568</v>
      </c>
      <c r="E4796" s="1" t="str">
        <f>_xlfn.XLOOKUP(tblSales[[#This Row],[Customer ID]],tblCustomers[Customer ID],tblCustomers[Customer Name],"⚠ Unknown")</f>
        <v>Walk-in Customer</v>
      </c>
      <c r="F4796" s="4" t="s">
        <v>6</v>
      </c>
      <c r="G4796" s="1" t="str">
        <f>_xlfn.XLOOKUP(tblSales[[#This Row],[Product Code]],tblProducts[Code],tblProducts[Product / Service Name],"⚠ Unknown")</f>
        <v>Socks &amp; Accessories</v>
      </c>
      <c r="H4796" s="1" t="str">
        <f>_xlfn.XLOOKUP(tblSales[[#This Row],[Product Code]],tblProducts[Code],tblProducts[Category],"")</f>
        <v>Accessories &amp; Basics</v>
      </c>
      <c r="I4796" s="4">
        <v>10</v>
      </c>
      <c r="J4796" s="5">
        <f>_xlfn.XLOOKUP(tblSales[[#This Row],[Product Code]],tblProducts[Code],tblProducts[Selling Price (excl. VAT)],0)</f>
        <v>45000</v>
      </c>
      <c r="K4796" s="5">
        <f>tblSales[[#This Row],[Qty]]*tblSales[[#This Row],[Unit Price]]</f>
        <v>450000</v>
      </c>
      <c r="L4796" s="5">
        <f>ROUND(tblSales[[#This Row],[DPP (excl. VAT)]]*VATEff,0)</f>
        <v>49500</v>
      </c>
      <c r="M4796" s="5">
        <f>tblSales[[#This Row],[DPP (excl. VAT)]]+tblSales[[#This Row],[Output VAT]]</f>
        <v>499500</v>
      </c>
      <c r="N4796" s="5">
        <f>tblSales[[#This Row],[Qty]]*_xlfn.XLOOKUP(tblSales[[#This Row],[Product Code]],tblProducts[Code],tblProducts[Unit Cost],0)</f>
        <v>240000</v>
      </c>
      <c r="O4796" s="4" t="s">
        <v>4865</v>
      </c>
      <c r="P4796" s="4" t="s">
        <v>4860</v>
      </c>
      <c r="Q4796" s="1" t="str">
        <f>_xlfn.XLOOKUP(tblSales[[#This Row],[Channel Code]],tblChannels[Channel Code],tblChannels[Channel Name],"")</f>
        <v>In-store</v>
      </c>
      <c r="R4796" s="1">
        <f>MONTH(tblSales[[#This Row],[Date]])</f>
        <v>10</v>
      </c>
    </row>
    <row r="4797" spans="2:18" x14ac:dyDescent="0.35">
      <c r="B4797" s="113">
        <v>46314</v>
      </c>
      <c r="C4797" s="4" t="s">
        <v>3270</v>
      </c>
      <c r="D4797" s="4" t="s">
        <v>4568</v>
      </c>
      <c r="E4797" s="1" t="str">
        <f>_xlfn.XLOOKUP(tblSales[[#This Row],[Customer ID]],tblCustomers[Customer ID],tblCustomers[Customer Name],"⚠ Unknown")</f>
        <v>Walk-in Customer</v>
      </c>
      <c r="F4797" s="4" t="s">
        <v>14</v>
      </c>
      <c r="G4797" s="1" t="str">
        <f>_xlfn.XLOOKUP(tblSales[[#This Row],[Product Code]],tblProducts[Code],tblProducts[Product / Service Name],"⚠ Unknown")</f>
        <v>Smartwatch</v>
      </c>
      <c r="H4797" s="1" t="str">
        <f>_xlfn.XLOOKUP(tblSales[[#This Row],[Product Code]],tblProducts[Code],tblProducts[Category],"")</f>
        <v>Bags &amp; Gadgets</v>
      </c>
      <c r="I4797" s="4">
        <v>2</v>
      </c>
      <c r="J4797" s="5">
        <f>_xlfn.XLOOKUP(tblSales[[#This Row],[Product Code]],tblProducts[Code],tblProducts[Selling Price (excl. VAT)],0)</f>
        <v>850000</v>
      </c>
      <c r="K4797" s="5">
        <f>tblSales[[#This Row],[Qty]]*tblSales[[#This Row],[Unit Price]]</f>
        <v>1700000</v>
      </c>
      <c r="L4797" s="5">
        <f>ROUND(tblSales[[#This Row],[DPP (excl. VAT)]]*VATEff,0)</f>
        <v>187000</v>
      </c>
      <c r="M4797" s="5">
        <f>tblSales[[#This Row],[DPP (excl. VAT)]]+tblSales[[#This Row],[Output VAT]]</f>
        <v>1887000</v>
      </c>
      <c r="N4797" s="5">
        <f>tblSales[[#This Row],[Qty]]*_xlfn.XLOOKUP(tblSales[[#This Row],[Product Code]],tblProducts[Code],tblProducts[Unit Cost],0)</f>
        <v>1120000</v>
      </c>
      <c r="O4797" s="4" t="s">
        <v>4865</v>
      </c>
      <c r="P4797" s="4" t="s">
        <v>4860</v>
      </c>
      <c r="Q4797" s="1" t="str">
        <f>_xlfn.XLOOKUP(tblSales[[#This Row],[Channel Code]],tblChannels[Channel Code],tblChannels[Channel Name],"")</f>
        <v>In-store</v>
      </c>
      <c r="R4797" s="1">
        <f>MONTH(tblSales[[#This Row],[Date]])</f>
        <v>10</v>
      </c>
    </row>
    <row r="4798" spans="2:18" x14ac:dyDescent="0.35">
      <c r="B4798" s="113">
        <v>46314</v>
      </c>
      <c r="C4798" s="4" t="s">
        <v>3271</v>
      </c>
      <c r="D4798" s="4" t="s">
        <v>4568</v>
      </c>
      <c r="E4798" s="1" t="str">
        <f>_xlfn.XLOOKUP(tblSales[[#This Row],[Customer ID]],tblCustomers[Customer ID],tblCustomers[Customer Name],"⚠ Unknown")</f>
        <v>Walk-in Customer</v>
      </c>
      <c r="F4798" s="4" t="s">
        <v>11</v>
      </c>
      <c r="G4798" s="1" t="str">
        <f>_xlfn.XLOOKUP(tblSales[[#This Row],[Product Code]],tblProducts[Code],tblProducts[Product / Service Name],"⚠ Unknown")</f>
        <v>Sneakers</v>
      </c>
      <c r="H4798" s="1" t="str">
        <f>_xlfn.XLOOKUP(tblSales[[#This Row],[Product Code]],tblProducts[Code],tblProducts[Category],"")</f>
        <v>Apparel &amp; Footwear</v>
      </c>
      <c r="I4798" s="4">
        <v>3</v>
      </c>
      <c r="J4798" s="5">
        <f>_xlfn.XLOOKUP(tblSales[[#This Row],[Product Code]],tblProducts[Code],tblProducts[Selling Price (excl. VAT)],0)</f>
        <v>250000</v>
      </c>
      <c r="K4798" s="5">
        <f>tblSales[[#This Row],[Qty]]*tblSales[[#This Row],[Unit Price]]</f>
        <v>750000</v>
      </c>
      <c r="L4798" s="5">
        <f>ROUND(tblSales[[#This Row],[DPP (excl. VAT)]]*VATEff,0)</f>
        <v>82500</v>
      </c>
      <c r="M4798" s="5">
        <f>tblSales[[#This Row],[DPP (excl. VAT)]]+tblSales[[#This Row],[Output VAT]]</f>
        <v>832500</v>
      </c>
      <c r="N4798" s="5">
        <f>tblSales[[#This Row],[Qty]]*_xlfn.XLOOKUP(tblSales[[#This Row],[Product Code]],tblProducts[Code],tblProducts[Unit Cost],0)</f>
        <v>465000</v>
      </c>
      <c r="O4798" s="4" t="s">
        <v>4866</v>
      </c>
      <c r="P4798" s="4" t="s">
        <v>4861</v>
      </c>
      <c r="Q4798" s="1" t="str">
        <f>_xlfn.XLOOKUP(tblSales[[#This Row],[Channel Code]],tblChannels[Channel Code],tblChannels[Channel Name],"")</f>
        <v>Marketplace</v>
      </c>
      <c r="R4798" s="1">
        <f>MONTH(tblSales[[#This Row],[Date]])</f>
        <v>10</v>
      </c>
    </row>
    <row r="4799" spans="2:18" x14ac:dyDescent="0.35">
      <c r="B4799" s="113">
        <v>46314</v>
      </c>
      <c r="C4799" s="4" t="s">
        <v>3272</v>
      </c>
      <c r="D4799" s="4" t="s">
        <v>4568</v>
      </c>
      <c r="E4799" s="1" t="str">
        <f>_xlfn.XLOOKUP(tblSales[[#This Row],[Customer ID]],tblCustomers[Customer ID],tblCustomers[Customer Name],"⚠ Unknown")</f>
        <v>Walk-in Customer</v>
      </c>
      <c r="F4799" s="4" t="s">
        <v>8</v>
      </c>
      <c r="G4799" s="1" t="str">
        <f>_xlfn.XLOOKUP(tblSales[[#This Row],[Product Code]],tblProducts[Code],tblProducts[Product / Service Name],"⚠ Unknown")</f>
        <v>Casual Shorts</v>
      </c>
      <c r="H4799" s="1" t="str">
        <f>_xlfn.XLOOKUP(tblSales[[#This Row],[Product Code]],tblProducts[Code],tblProducts[Category],"")</f>
        <v>Accessories &amp; Basics</v>
      </c>
      <c r="I4799" s="4">
        <v>10</v>
      </c>
      <c r="J4799" s="5">
        <f>_xlfn.XLOOKUP(tblSales[[#This Row],[Product Code]],tblProducts[Code],tblProducts[Selling Price (excl. VAT)],0)</f>
        <v>85000</v>
      </c>
      <c r="K4799" s="5">
        <f>tblSales[[#This Row],[Qty]]*tblSales[[#This Row],[Unit Price]]</f>
        <v>850000</v>
      </c>
      <c r="L4799" s="5">
        <f>ROUND(tblSales[[#This Row],[DPP (excl. VAT)]]*VATEff,0)</f>
        <v>93500</v>
      </c>
      <c r="M4799" s="5">
        <f>tblSales[[#This Row],[DPP (excl. VAT)]]+tblSales[[#This Row],[Output VAT]]</f>
        <v>943500</v>
      </c>
      <c r="N4799" s="5">
        <f>tblSales[[#This Row],[Qty]]*_xlfn.XLOOKUP(tblSales[[#This Row],[Product Code]],tblProducts[Code],tblProducts[Unit Cost],0)</f>
        <v>500000</v>
      </c>
      <c r="O4799" s="4" t="s">
        <v>4865</v>
      </c>
      <c r="P4799" s="4" t="s">
        <v>4860</v>
      </c>
      <c r="Q4799" s="1" t="str">
        <f>_xlfn.XLOOKUP(tblSales[[#This Row],[Channel Code]],tblChannels[Channel Code],tblChannels[Channel Name],"")</f>
        <v>In-store</v>
      </c>
      <c r="R4799" s="1">
        <f>MONTH(tblSales[[#This Row],[Date]])</f>
        <v>10</v>
      </c>
    </row>
    <row r="4800" spans="2:18" x14ac:dyDescent="0.35">
      <c r="B4800" s="113">
        <v>46314</v>
      </c>
      <c r="C4800" s="4" t="s">
        <v>3273</v>
      </c>
      <c r="D4800" s="4" t="s">
        <v>4568</v>
      </c>
      <c r="E4800" s="1" t="str">
        <f>_xlfn.XLOOKUP(tblSales[[#This Row],[Customer ID]],tblCustomers[Customer ID],tblCustomers[Customer Name],"⚠ Unknown")</f>
        <v>Walk-in Customer</v>
      </c>
      <c r="F4800" s="4" t="s">
        <v>7</v>
      </c>
      <c r="G4800" s="1" t="str">
        <f>_xlfn.XLOOKUP(tblSales[[#This Row],[Product Code]],tblProducts[Code],tblProducts[Product / Service Name],"⚠ Unknown")</f>
        <v>Premium Basic T-shirt</v>
      </c>
      <c r="H4800" s="1" t="str">
        <f>_xlfn.XLOOKUP(tblSales[[#This Row],[Product Code]],tblProducts[Code],tblProducts[Category],"")</f>
        <v>Accessories &amp; Basics</v>
      </c>
      <c r="I4800" s="4">
        <v>6</v>
      </c>
      <c r="J4800" s="5">
        <f>_xlfn.XLOOKUP(tblSales[[#This Row],[Product Code]],tblProducts[Code],tblProducts[Selling Price (excl. VAT)],0)</f>
        <v>65000</v>
      </c>
      <c r="K4800" s="5">
        <f>tblSales[[#This Row],[Qty]]*tblSales[[#This Row],[Unit Price]]</f>
        <v>390000</v>
      </c>
      <c r="L4800" s="5">
        <f>ROUND(tblSales[[#This Row],[DPP (excl. VAT)]]*VATEff,0)</f>
        <v>42900</v>
      </c>
      <c r="M4800" s="5">
        <f>tblSales[[#This Row],[DPP (excl. VAT)]]+tblSales[[#This Row],[Output VAT]]</f>
        <v>432900</v>
      </c>
      <c r="N4800" s="5">
        <f>tblSales[[#This Row],[Qty]]*_xlfn.XLOOKUP(tblSales[[#This Row],[Product Code]],tblProducts[Code],tblProducts[Unit Cost],0)</f>
        <v>222000</v>
      </c>
      <c r="O4800" s="4" t="s">
        <v>4866</v>
      </c>
      <c r="P4800" s="4" t="s">
        <v>4860</v>
      </c>
      <c r="Q4800" s="1" t="str">
        <f>_xlfn.XLOOKUP(tblSales[[#This Row],[Channel Code]],tblChannels[Channel Code],tblChannels[Channel Name],"")</f>
        <v>In-store</v>
      </c>
      <c r="R4800" s="1">
        <f>MONTH(tblSales[[#This Row],[Date]])</f>
        <v>10</v>
      </c>
    </row>
    <row r="4801" spans="2:18" x14ac:dyDescent="0.35">
      <c r="B4801" s="113">
        <v>46314</v>
      </c>
      <c r="C4801" s="4" t="s">
        <v>3273</v>
      </c>
      <c r="D4801" s="4" t="s">
        <v>4568</v>
      </c>
      <c r="E4801" s="1" t="str">
        <f>_xlfn.XLOOKUP(tblSales[[#This Row],[Customer ID]],tblCustomers[Customer ID],tblCustomers[Customer Name],"⚠ Unknown")</f>
        <v>Walk-in Customer</v>
      </c>
      <c r="F4801" s="4" t="s">
        <v>13</v>
      </c>
      <c r="G4801" s="1" t="str">
        <f>_xlfn.XLOOKUP(tblSales[[#This Row],[Product Code]],tblProducts[Code],tblProducts[Product / Service Name],"⚠ Unknown")</f>
        <v>Backpack</v>
      </c>
      <c r="H4801" s="1" t="str">
        <f>_xlfn.XLOOKUP(tblSales[[#This Row],[Product Code]],tblProducts[Code],tblProducts[Category],"")</f>
        <v>Bags &amp; Gadgets</v>
      </c>
      <c r="I4801" s="4">
        <v>2</v>
      </c>
      <c r="J4801" s="5">
        <f>_xlfn.XLOOKUP(tblSales[[#This Row],[Product Code]],tblProducts[Code],tblProducts[Selling Price (excl. VAT)],0)</f>
        <v>500000</v>
      </c>
      <c r="K4801" s="5">
        <f>tblSales[[#This Row],[Qty]]*tblSales[[#This Row],[Unit Price]]</f>
        <v>1000000</v>
      </c>
      <c r="L4801" s="5">
        <f>ROUND(tblSales[[#This Row],[DPP (excl. VAT)]]*VATEff,0)</f>
        <v>110000</v>
      </c>
      <c r="M4801" s="5">
        <f>tblSales[[#This Row],[DPP (excl. VAT)]]+tblSales[[#This Row],[Output VAT]]</f>
        <v>1110000</v>
      </c>
      <c r="N4801" s="5">
        <f>tblSales[[#This Row],[Qty]]*_xlfn.XLOOKUP(tblSales[[#This Row],[Product Code]],tblProducts[Code],tblProducts[Unit Cost],0)</f>
        <v>580000</v>
      </c>
      <c r="O4801" s="4" t="s">
        <v>4866</v>
      </c>
      <c r="P4801" s="4" t="s">
        <v>4860</v>
      </c>
      <c r="Q4801" s="1" t="str">
        <f>_xlfn.XLOOKUP(tblSales[[#This Row],[Channel Code]],tblChannels[Channel Code],tblChannels[Channel Name],"")</f>
        <v>In-store</v>
      </c>
      <c r="R4801" s="1">
        <f>MONTH(tblSales[[#This Row],[Date]])</f>
        <v>10</v>
      </c>
    </row>
    <row r="4802" spans="2:18" x14ac:dyDescent="0.35">
      <c r="B4802" s="113">
        <v>46314</v>
      </c>
      <c r="C4802" s="4" t="s">
        <v>3274</v>
      </c>
      <c r="D4802" s="4" t="s">
        <v>4568</v>
      </c>
      <c r="E4802" s="1" t="str">
        <f>_xlfn.XLOOKUP(tblSales[[#This Row],[Customer ID]],tblCustomers[Customer ID],tblCustomers[Customer Name],"⚠ Unknown")</f>
        <v>Walk-in Customer</v>
      </c>
      <c r="F4802" s="4" t="s">
        <v>11</v>
      </c>
      <c r="G4802" s="1" t="str">
        <f>_xlfn.XLOOKUP(tblSales[[#This Row],[Product Code]],tblProducts[Code],tblProducts[Product / Service Name],"⚠ Unknown")</f>
        <v>Sneakers</v>
      </c>
      <c r="H4802" s="1" t="str">
        <f>_xlfn.XLOOKUP(tblSales[[#This Row],[Product Code]],tblProducts[Code],tblProducts[Category],"")</f>
        <v>Apparel &amp; Footwear</v>
      </c>
      <c r="I4802" s="4">
        <v>6</v>
      </c>
      <c r="J4802" s="5">
        <f>_xlfn.XLOOKUP(tblSales[[#This Row],[Product Code]],tblProducts[Code],tblProducts[Selling Price (excl. VAT)],0)</f>
        <v>250000</v>
      </c>
      <c r="K4802" s="5">
        <f>tblSales[[#This Row],[Qty]]*tblSales[[#This Row],[Unit Price]]</f>
        <v>1500000</v>
      </c>
      <c r="L4802" s="5">
        <f>ROUND(tblSales[[#This Row],[DPP (excl. VAT)]]*VATEff,0)</f>
        <v>165000</v>
      </c>
      <c r="M4802" s="5">
        <f>tblSales[[#This Row],[DPP (excl. VAT)]]+tblSales[[#This Row],[Output VAT]]</f>
        <v>1665000</v>
      </c>
      <c r="N4802" s="5">
        <f>tblSales[[#This Row],[Qty]]*_xlfn.XLOOKUP(tblSales[[#This Row],[Product Code]],tblProducts[Code],tblProducts[Unit Cost],0)</f>
        <v>930000</v>
      </c>
      <c r="O4802" s="4" t="s">
        <v>4866</v>
      </c>
      <c r="P4802" s="4" t="s">
        <v>4861</v>
      </c>
      <c r="Q4802" s="1" t="str">
        <f>_xlfn.XLOOKUP(tblSales[[#This Row],[Channel Code]],tblChannels[Channel Code],tblChannels[Channel Name],"")</f>
        <v>Marketplace</v>
      </c>
      <c r="R4802" s="1">
        <f>MONTH(tblSales[[#This Row],[Date]])</f>
        <v>10</v>
      </c>
    </row>
    <row r="4803" spans="2:18" x14ac:dyDescent="0.35">
      <c r="B4803" s="113">
        <v>46314</v>
      </c>
      <c r="C4803" s="4" t="s">
        <v>3275</v>
      </c>
      <c r="D4803" s="4" t="s">
        <v>4568</v>
      </c>
      <c r="E4803" s="1" t="str">
        <f>_xlfn.XLOOKUP(tblSales[[#This Row],[Customer ID]],tblCustomers[Customer ID],tblCustomers[Customer Name],"⚠ Unknown")</f>
        <v>Walk-in Customer</v>
      </c>
      <c r="F4803" s="4" t="s">
        <v>9</v>
      </c>
      <c r="G4803" s="1" t="str">
        <f>_xlfn.XLOOKUP(tblSales[[#This Row],[Product Code]],tblProducts[Code],tblProducts[Product / Service Name],"⚠ Unknown")</f>
        <v>Casual Shirt</v>
      </c>
      <c r="H4803" s="1" t="str">
        <f>_xlfn.XLOOKUP(tblSales[[#This Row],[Product Code]],tblProducts[Code],tblProducts[Category],"")</f>
        <v>Apparel &amp; Footwear</v>
      </c>
      <c r="I4803" s="4">
        <v>11</v>
      </c>
      <c r="J4803" s="5">
        <f>_xlfn.XLOOKUP(tblSales[[#This Row],[Product Code]],tblProducts[Code],tblProducts[Selling Price (excl. VAT)],0)</f>
        <v>120000</v>
      </c>
      <c r="K4803" s="5">
        <f>tblSales[[#This Row],[Qty]]*tblSales[[#This Row],[Unit Price]]</f>
        <v>1320000</v>
      </c>
      <c r="L4803" s="5">
        <f>ROUND(tblSales[[#This Row],[DPP (excl. VAT)]]*VATEff,0)</f>
        <v>145200</v>
      </c>
      <c r="M4803" s="5">
        <f>tblSales[[#This Row],[DPP (excl. VAT)]]+tblSales[[#This Row],[Output VAT]]</f>
        <v>1465200</v>
      </c>
      <c r="N4803" s="5">
        <f>tblSales[[#This Row],[Qty]]*_xlfn.XLOOKUP(tblSales[[#This Row],[Product Code]],tblProducts[Code],tblProducts[Unit Cost],0)</f>
        <v>792000</v>
      </c>
      <c r="O4803" s="4" t="s">
        <v>4865</v>
      </c>
      <c r="P4803" s="4" t="s">
        <v>4860</v>
      </c>
      <c r="Q4803" s="1" t="str">
        <f>_xlfn.XLOOKUP(tblSales[[#This Row],[Channel Code]],tblChannels[Channel Code],tblChannels[Channel Name],"")</f>
        <v>In-store</v>
      </c>
      <c r="R4803" s="1">
        <f>MONTH(tblSales[[#This Row],[Date]])</f>
        <v>10</v>
      </c>
    </row>
    <row r="4804" spans="2:18" x14ac:dyDescent="0.35">
      <c r="B4804" s="113">
        <v>46314</v>
      </c>
      <c r="C4804" s="4" t="s">
        <v>3275</v>
      </c>
      <c r="D4804" s="4" t="s">
        <v>4568</v>
      </c>
      <c r="E4804" s="1" t="str">
        <f>_xlfn.XLOOKUP(tblSales[[#This Row],[Customer ID]],tblCustomers[Customer ID],tblCustomers[Customer Name],"⚠ Unknown")</f>
        <v>Walk-in Customer</v>
      </c>
      <c r="F4804" s="4" t="s">
        <v>12</v>
      </c>
      <c r="G4804" s="1" t="str">
        <f>_xlfn.XLOOKUP(tblSales[[#This Row],[Product Code]],tblProducts[Code],tblProducts[Product / Service Name],"⚠ Unknown")</f>
        <v>Bomber Jacket</v>
      </c>
      <c r="H4804" s="1" t="str">
        <f>_xlfn.XLOOKUP(tblSales[[#This Row],[Product Code]],tblProducts[Code],tblProducts[Category],"")</f>
        <v>Apparel &amp; Footwear</v>
      </c>
      <c r="I4804" s="4">
        <v>3</v>
      </c>
      <c r="J4804" s="5">
        <f>_xlfn.XLOOKUP(tblSales[[#This Row],[Product Code]],tblProducts[Code],tblProducts[Selling Price (excl. VAT)],0)</f>
        <v>350000</v>
      </c>
      <c r="K4804" s="5">
        <f>tblSales[[#This Row],[Qty]]*tblSales[[#This Row],[Unit Price]]</f>
        <v>1050000</v>
      </c>
      <c r="L4804" s="5">
        <f>ROUND(tblSales[[#This Row],[DPP (excl. VAT)]]*VATEff,0)</f>
        <v>115500</v>
      </c>
      <c r="M4804" s="5">
        <f>tblSales[[#This Row],[DPP (excl. VAT)]]+tblSales[[#This Row],[Output VAT]]</f>
        <v>1165500</v>
      </c>
      <c r="N4804" s="5">
        <f>tblSales[[#This Row],[Qty]]*_xlfn.XLOOKUP(tblSales[[#This Row],[Product Code]],tblProducts[Code],tblProducts[Unit Cost],0)</f>
        <v>630000</v>
      </c>
      <c r="O4804" s="4" t="s">
        <v>4865</v>
      </c>
      <c r="P4804" s="4" t="s">
        <v>4860</v>
      </c>
      <c r="Q4804" s="1" t="str">
        <f>_xlfn.XLOOKUP(tblSales[[#This Row],[Channel Code]],tblChannels[Channel Code],tblChannels[Channel Name],"")</f>
        <v>In-store</v>
      </c>
      <c r="R4804" s="1">
        <f>MONTH(tblSales[[#This Row],[Date]])</f>
        <v>10</v>
      </c>
    </row>
    <row r="4805" spans="2:18" x14ac:dyDescent="0.35">
      <c r="B4805" s="113">
        <v>46314</v>
      </c>
      <c r="C4805" s="4" t="s">
        <v>3275</v>
      </c>
      <c r="D4805" s="4" t="s">
        <v>4568</v>
      </c>
      <c r="E4805" s="1" t="str">
        <f>_xlfn.XLOOKUP(tblSales[[#This Row],[Customer ID]],tblCustomers[Customer ID],tblCustomers[Customer Name],"⚠ Unknown")</f>
        <v>Walk-in Customer</v>
      </c>
      <c r="F4805" s="4" t="s">
        <v>11</v>
      </c>
      <c r="G4805" s="1" t="str">
        <f>_xlfn.XLOOKUP(tblSales[[#This Row],[Product Code]],tblProducts[Code],tblProducts[Product / Service Name],"⚠ Unknown")</f>
        <v>Sneakers</v>
      </c>
      <c r="H4805" s="1" t="str">
        <f>_xlfn.XLOOKUP(tblSales[[#This Row],[Product Code]],tblProducts[Code],tblProducts[Category],"")</f>
        <v>Apparel &amp; Footwear</v>
      </c>
      <c r="I4805" s="4">
        <v>5</v>
      </c>
      <c r="J4805" s="5">
        <f>_xlfn.XLOOKUP(tblSales[[#This Row],[Product Code]],tblProducts[Code],tblProducts[Selling Price (excl. VAT)],0)</f>
        <v>250000</v>
      </c>
      <c r="K4805" s="5">
        <f>tblSales[[#This Row],[Qty]]*tblSales[[#This Row],[Unit Price]]</f>
        <v>1250000</v>
      </c>
      <c r="L4805" s="5">
        <f>ROUND(tblSales[[#This Row],[DPP (excl. VAT)]]*VATEff,0)</f>
        <v>137500</v>
      </c>
      <c r="M4805" s="5">
        <f>tblSales[[#This Row],[DPP (excl. VAT)]]+tblSales[[#This Row],[Output VAT]]</f>
        <v>1387500</v>
      </c>
      <c r="N4805" s="5">
        <f>tblSales[[#This Row],[Qty]]*_xlfn.XLOOKUP(tblSales[[#This Row],[Product Code]],tblProducts[Code],tblProducts[Unit Cost],0)</f>
        <v>775000</v>
      </c>
      <c r="O4805" s="4" t="s">
        <v>4865</v>
      </c>
      <c r="P4805" s="4" t="s">
        <v>4860</v>
      </c>
      <c r="Q4805" s="1" t="str">
        <f>_xlfn.XLOOKUP(tblSales[[#This Row],[Channel Code]],tblChannels[Channel Code],tblChannels[Channel Name],"")</f>
        <v>In-store</v>
      </c>
      <c r="R4805" s="1">
        <f>MONTH(tblSales[[#This Row],[Date]])</f>
        <v>10</v>
      </c>
    </row>
    <row r="4806" spans="2:18" x14ac:dyDescent="0.35">
      <c r="B4806" s="113">
        <v>46314</v>
      </c>
      <c r="C4806" s="4" t="s">
        <v>3276</v>
      </c>
      <c r="D4806" s="4" t="s">
        <v>4568</v>
      </c>
      <c r="E4806" s="1" t="str">
        <f>_xlfn.XLOOKUP(tblSales[[#This Row],[Customer ID]],tblCustomers[Customer ID],tblCustomers[Customer Name],"⚠ Unknown")</f>
        <v>Walk-in Customer</v>
      </c>
      <c r="F4806" s="4" t="s">
        <v>7</v>
      </c>
      <c r="G4806" s="1" t="str">
        <f>_xlfn.XLOOKUP(tblSales[[#This Row],[Product Code]],tblProducts[Code],tblProducts[Product / Service Name],"⚠ Unknown")</f>
        <v>Premium Basic T-shirt</v>
      </c>
      <c r="H4806" s="1" t="str">
        <f>_xlfn.XLOOKUP(tblSales[[#This Row],[Product Code]],tblProducts[Code],tblProducts[Category],"")</f>
        <v>Accessories &amp; Basics</v>
      </c>
      <c r="I4806" s="4">
        <v>5</v>
      </c>
      <c r="J4806" s="5">
        <f>_xlfn.XLOOKUP(tblSales[[#This Row],[Product Code]],tblProducts[Code],tblProducts[Selling Price (excl. VAT)],0)</f>
        <v>65000</v>
      </c>
      <c r="K4806" s="5">
        <f>tblSales[[#This Row],[Qty]]*tblSales[[#This Row],[Unit Price]]</f>
        <v>325000</v>
      </c>
      <c r="L4806" s="5">
        <f>ROUND(tblSales[[#This Row],[DPP (excl. VAT)]]*VATEff,0)</f>
        <v>35750</v>
      </c>
      <c r="M4806" s="5">
        <f>tblSales[[#This Row],[DPP (excl. VAT)]]+tblSales[[#This Row],[Output VAT]]</f>
        <v>360750</v>
      </c>
      <c r="N4806" s="5">
        <f>tblSales[[#This Row],[Qty]]*_xlfn.XLOOKUP(tblSales[[#This Row],[Product Code]],tblProducts[Code],tblProducts[Unit Cost],0)</f>
        <v>185000</v>
      </c>
      <c r="O4806" s="4" t="s">
        <v>4866</v>
      </c>
      <c r="P4806" s="4" t="s">
        <v>4861</v>
      </c>
      <c r="Q4806" s="1" t="str">
        <f>_xlfn.XLOOKUP(tblSales[[#This Row],[Channel Code]],tblChannels[Channel Code],tblChannels[Channel Name],"")</f>
        <v>Marketplace</v>
      </c>
      <c r="R4806" s="1">
        <f>MONTH(tblSales[[#This Row],[Date]])</f>
        <v>10</v>
      </c>
    </row>
    <row r="4807" spans="2:18" x14ac:dyDescent="0.35">
      <c r="B4807" s="113">
        <v>46314</v>
      </c>
      <c r="C4807" s="4" t="s">
        <v>3277</v>
      </c>
      <c r="D4807" s="4" t="s">
        <v>4568</v>
      </c>
      <c r="E4807" s="1" t="str">
        <f>_xlfn.XLOOKUP(tblSales[[#This Row],[Customer ID]],tblCustomers[Customer ID],tblCustomers[Customer Name],"⚠ Unknown")</f>
        <v>Walk-in Customer</v>
      </c>
      <c r="F4807" s="4" t="s">
        <v>14</v>
      </c>
      <c r="G4807" s="1" t="str">
        <f>_xlfn.XLOOKUP(tblSales[[#This Row],[Product Code]],tblProducts[Code],tblProducts[Product / Service Name],"⚠ Unknown")</f>
        <v>Smartwatch</v>
      </c>
      <c r="H4807" s="1" t="str">
        <f>_xlfn.XLOOKUP(tblSales[[#This Row],[Product Code]],tblProducts[Code],tblProducts[Category],"")</f>
        <v>Bags &amp; Gadgets</v>
      </c>
      <c r="I4807" s="4">
        <v>1</v>
      </c>
      <c r="J4807" s="5">
        <f>_xlfn.XLOOKUP(tblSales[[#This Row],[Product Code]],tblProducts[Code],tblProducts[Selling Price (excl. VAT)],0)</f>
        <v>850000</v>
      </c>
      <c r="K4807" s="5">
        <f>tblSales[[#This Row],[Qty]]*tblSales[[#This Row],[Unit Price]]</f>
        <v>850000</v>
      </c>
      <c r="L4807" s="5">
        <f>ROUND(tblSales[[#This Row],[DPP (excl. VAT)]]*VATEff,0)</f>
        <v>93500</v>
      </c>
      <c r="M4807" s="5">
        <f>tblSales[[#This Row],[DPP (excl. VAT)]]+tblSales[[#This Row],[Output VAT]]</f>
        <v>943500</v>
      </c>
      <c r="N4807" s="5">
        <f>tblSales[[#This Row],[Qty]]*_xlfn.XLOOKUP(tblSales[[#This Row],[Product Code]],tblProducts[Code],tblProducts[Unit Cost],0)</f>
        <v>560000</v>
      </c>
      <c r="O4807" s="4" t="s">
        <v>4866</v>
      </c>
      <c r="P4807" s="4" t="s">
        <v>4861</v>
      </c>
      <c r="Q4807" s="1" t="str">
        <f>_xlfn.XLOOKUP(tblSales[[#This Row],[Channel Code]],tblChannels[Channel Code],tblChannels[Channel Name],"")</f>
        <v>Marketplace</v>
      </c>
      <c r="R4807" s="1">
        <f>MONTH(tblSales[[#This Row],[Date]])</f>
        <v>10</v>
      </c>
    </row>
    <row r="4808" spans="2:18" x14ac:dyDescent="0.35">
      <c r="B4808" s="113">
        <v>46314</v>
      </c>
      <c r="C4808" s="4" t="s">
        <v>3278</v>
      </c>
      <c r="D4808" s="4" t="s">
        <v>4568</v>
      </c>
      <c r="E4808" s="1" t="str">
        <f>_xlfn.XLOOKUP(tblSales[[#This Row],[Customer ID]],tblCustomers[Customer ID],tblCustomers[Customer Name],"⚠ Unknown")</f>
        <v>Walk-in Customer</v>
      </c>
      <c r="F4808" s="4" t="s">
        <v>11</v>
      </c>
      <c r="G4808" s="1" t="str">
        <f>_xlfn.XLOOKUP(tblSales[[#This Row],[Product Code]],tblProducts[Code],tblProducts[Product / Service Name],"⚠ Unknown")</f>
        <v>Sneakers</v>
      </c>
      <c r="H4808" s="1" t="str">
        <f>_xlfn.XLOOKUP(tblSales[[#This Row],[Product Code]],tblProducts[Code],tblProducts[Category],"")</f>
        <v>Apparel &amp; Footwear</v>
      </c>
      <c r="I4808" s="4">
        <v>2</v>
      </c>
      <c r="J4808" s="5">
        <f>_xlfn.XLOOKUP(tblSales[[#This Row],[Product Code]],tblProducts[Code],tblProducts[Selling Price (excl. VAT)],0)</f>
        <v>250000</v>
      </c>
      <c r="K4808" s="5">
        <f>tblSales[[#This Row],[Qty]]*tblSales[[#This Row],[Unit Price]]</f>
        <v>500000</v>
      </c>
      <c r="L4808" s="5">
        <f>ROUND(tblSales[[#This Row],[DPP (excl. VAT)]]*VATEff,0)</f>
        <v>55000</v>
      </c>
      <c r="M4808" s="5">
        <f>tblSales[[#This Row],[DPP (excl. VAT)]]+tblSales[[#This Row],[Output VAT]]</f>
        <v>555000</v>
      </c>
      <c r="N4808" s="5">
        <f>tblSales[[#This Row],[Qty]]*_xlfn.XLOOKUP(tblSales[[#This Row],[Product Code]],tblProducts[Code],tblProducts[Unit Cost],0)</f>
        <v>310000</v>
      </c>
      <c r="O4808" s="4" t="s">
        <v>4865</v>
      </c>
      <c r="P4808" s="4" t="s">
        <v>4860</v>
      </c>
      <c r="Q4808" s="1" t="str">
        <f>_xlfn.XLOOKUP(tblSales[[#This Row],[Channel Code]],tblChannels[Channel Code],tblChannels[Channel Name],"")</f>
        <v>In-store</v>
      </c>
      <c r="R4808" s="1">
        <f>MONTH(tblSales[[#This Row],[Date]])</f>
        <v>10</v>
      </c>
    </row>
    <row r="4809" spans="2:18" x14ac:dyDescent="0.35">
      <c r="B4809" s="113">
        <v>46314</v>
      </c>
      <c r="C4809" s="4" t="s">
        <v>3279</v>
      </c>
      <c r="D4809" s="4" t="s">
        <v>4568</v>
      </c>
      <c r="E4809" s="1" t="str">
        <f>_xlfn.XLOOKUP(tblSales[[#This Row],[Customer ID]],tblCustomers[Customer ID],tblCustomers[Customer Name],"⚠ Unknown")</f>
        <v>Walk-in Customer</v>
      </c>
      <c r="F4809" s="4" t="s">
        <v>8</v>
      </c>
      <c r="G4809" s="1" t="str">
        <f>_xlfn.XLOOKUP(tblSales[[#This Row],[Product Code]],tblProducts[Code],tblProducts[Product / Service Name],"⚠ Unknown")</f>
        <v>Casual Shorts</v>
      </c>
      <c r="H4809" s="1" t="str">
        <f>_xlfn.XLOOKUP(tblSales[[#This Row],[Product Code]],tblProducts[Code],tblProducts[Category],"")</f>
        <v>Accessories &amp; Basics</v>
      </c>
      <c r="I4809" s="4">
        <v>12</v>
      </c>
      <c r="J4809" s="5">
        <f>_xlfn.XLOOKUP(tblSales[[#This Row],[Product Code]],tblProducts[Code],tblProducts[Selling Price (excl. VAT)],0)</f>
        <v>85000</v>
      </c>
      <c r="K4809" s="5">
        <f>tblSales[[#This Row],[Qty]]*tblSales[[#This Row],[Unit Price]]</f>
        <v>1020000</v>
      </c>
      <c r="L4809" s="5">
        <f>ROUND(tblSales[[#This Row],[DPP (excl. VAT)]]*VATEff,0)</f>
        <v>112200</v>
      </c>
      <c r="M4809" s="5">
        <f>tblSales[[#This Row],[DPP (excl. VAT)]]+tblSales[[#This Row],[Output VAT]]</f>
        <v>1132200</v>
      </c>
      <c r="N4809" s="5">
        <f>tblSales[[#This Row],[Qty]]*_xlfn.XLOOKUP(tblSales[[#This Row],[Product Code]],tblProducts[Code],tblProducts[Unit Cost],0)</f>
        <v>600000</v>
      </c>
      <c r="O4809" s="4" t="s">
        <v>4865</v>
      </c>
      <c r="P4809" s="4" t="s">
        <v>4860</v>
      </c>
      <c r="Q4809" s="1" t="str">
        <f>_xlfn.XLOOKUP(tblSales[[#This Row],[Channel Code]],tblChannels[Channel Code],tblChannels[Channel Name],"")</f>
        <v>In-store</v>
      </c>
      <c r="R4809" s="1">
        <f>MONTH(tblSales[[#This Row],[Date]])</f>
        <v>10</v>
      </c>
    </row>
    <row r="4810" spans="2:18" x14ac:dyDescent="0.35">
      <c r="B4810" s="113">
        <v>46314</v>
      </c>
      <c r="C4810" s="4" t="s">
        <v>3279</v>
      </c>
      <c r="D4810" s="4" t="s">
        <v>4568</v>
      </c>
      <c r="E4810" s="1" t="str">
        <f>_xlfn.XLOOKUP(tblSales[[#This Row],[Customer ID]],tblCustomers[Customer ID],tblCustomers[Customer Name],"⚠ Unknown")</f>
        <v>Walk-in Customer</v>
      </c>
      <c r="F4810" s="4" t="s">
        <v>7</v>
      </c>
      <c r="G4810" s="1" t="str">
        <f>_xlfn.XLOOKUP(tblSales[[#This Row],[Product Code]],tblProducts[Code],tblProducts[Product / Service Name],"⚠ Unknown")</f>
        <v>Premium Basic T-shirt</v>
      </c>
      <c r="H4810" s="1" t="str">
        <f>_xlfn.XLOOKUP(tblSales[[#This Row],[Product Code]],tblProducts[Code],tblProducts[Category],"")</f>
        <v>Accessories &amp; Basics</v>
      </c>
      <c r="I4810" s="4">
        <v>12</v>
      </c>
      <c r="J4810" s="5">
        <f>_xlfn.XLOOKUP(tblSales[[#This Row],[Product Code]],tblProducts[Code],tblProducts[Selling Price (excl. VAT)],0)</f>
        <v>65000</v>
      </c>
      <c r="K4810" s="5">
        <f>tblSales[[#This Row],[Qty]]*tblSales[[#This Row],[Unit Price]]</f>
        <v>780000</v>
      </c>
      <c r="L4810" s="5">
        <f>ROUND(tblSales[[#This Row],[DPP (excl. VAT)]]*VATEff,0)</f>
        <v>85800</v>
      </c>
      <c r="M4810" s="5">
        <f>tblSales[[#This Row],[DPP (excl. VAT)]]+tblSales[[#This Row],[Output VAT]]</f>
        <v>865800</v>
      </c>
      <c r="N4810" s="5">
        <f>tblSales[[#This Row],[Qty]]*_xlfn.XLOOKUP(tblSales[[#This Row],[Product Code]],tblProducts[Code],tblProducts[Unit Cost],0)</f>
        <v>444000</v>
      </c>
      <c r="O4810" s="4" t="s">
        <v>4865</v>
      </c>
      <c r="P4810" s="4" t="s">
        <v>4860</v>
      </c>
      <c r="Q4810" s="1" t="str">
        <f>_xlfn.XLOOKUP(tblSales[[#This Row],[Channel Code]],tblChannels[Channel Code],tblChannels[Channel Name],"")</f>
        <v>In-store</v>
      </c>
      <c r="R4810" s="1">
        <f>MONTH(tblSales[[#This Row],[Date]])</f>
        <v>10</v>
      </c>
    </row>
    <row r="4811" spans="2:18" x14ac:dyDescent="0.35">
      <c r="B4811" s="113">
        <v>46314</v>
      </c>
      <c r="C4811" s="4" t="s">
        <v>3280</v>
      </c>
      <c r="D4811" s="4" t="s">
        <v>4568</v>
      </c>
      <c r="E4811" s="1" t="str">
        <f>_xlfn.XLOOKUP(tblSales[[#This Row],[Customer ID]],tblCustomers[Customer ID],tblCustomers[Customer Name],"⚠ Unknown")</f>
        <v>Walk-in Customer</v>
      </c>
      <c r="F4811" s="4" t="s">
        <v>10</v>
      </c>
      <c r="G4811" s="1" t="str">
        <f>_xlfn.XLOOKUP(tblSales[[#This Row],[Product Code]],tblProducts[Code],tblProducts[Product / Service Name],"⚠ Unknown")</f>
        <v>Chino Pants</v>
      </c>
      <c r="H4811" s="1" t="str">
        <f>_xlfn.XLOOKUP(tblSales[[#This Row],[Product Code]],tblProducts[Code],tblProducts[Category],"")</f>
        <v>Apparel &amp; Footwear</v>
      </c>
      <c r="I4811" s="4">
        <v>2</v>
      </c>
      <c r="J4811" s="5">
        <f>_xlfn.XLOOKUP(tblSales[[#This Row],[Product Code]],tblProducts[Code],tblProducts[Selling Price (excl. VAT)],0)</f>
        <v>150000</v>
      </c>
      <c r="K4811" s="5">
        <f>tblSales[[#This Row],[Qty]]*tblSales[[#This Row],[Unit Price]]</f>
        <v>300000</v>
      </c>
      <c r="L4811" s="5">
        <f>ROUND(tblSales[[#This Row],[DPP (excl. VAT)]]*VATEff,0)</f>
        <v>33000</v>
      </c>
      <c r="M4811" s="5">
        <f>tblSales[[#This Row],[DPP (excl. VAT)]]+tblSales[[#This Row],[Output VAT]]</f>
        <v>333000</v>
      </c>
      <c r="N4811" s="5">
        <f>tblSales[[#This Row],[Qty]]*_xlfn.XLOOKUP(tblSales[[#This Row],[Product Code]],tblProducts[Code],tblProducts[Unit Cost],0)</f>
        <v>176000</v>
      </c>
      <c r="O4811" s="4" t="s">
        <v>4865</v>
      </c>
      <c r="P4811" s="4" t="s">
        <v>4860</v>
      </c>
      <c r="Q4811" s="1" t="str">
        <f>_xlfn.XLOOKUP(tblSales[[#This Row],[Channel Code]],tblChannels[Channel Code],tblChannels[Channel Name],"")</f>
        <v>In-store</v>
      </c>
      <c r="R4811" s="1">
        <f>MONTH(tblSales[[#This Row],[Date]])</f>
        <v>10</v>
      </c>
    </row>
    <row r="4812" spans="2:18" x14ac:dyDescent="0.35">
      <c r="B4812" s="113">
        <v>46315</v>
      </c>
      <c r="C4812" s="4" t="s">
        <v>3281</v>
      </c>
      <c r="D4812" s="4" t="s">
        <v>4568</v>
      </c>
      <c r="E4812" s="1" t="str">
        <f>_xlfn.XLOOKUP(tblSales[[#This Row],[Customer ID]],tblCustomers[Customer ID],tblCustomers[Customer Name],"⚠ Unknown")</f>
        <v>Walk-in Customer</v>
      </c>
      <c r="F4812" s="4" t="s">
        <v>6</v>
      </c>
      <c r="G4812" s="1" t="str">
        <f>_xlfn.XLOOKUP(tblSales[[#This Row],[Product Code]],tblProducts[Code],tblProducts[Product / Service Name],"⚠ Unknown")</f>
        <v>Socks &amp; Accessories</v>
      </c>
      <c r="H4812" s="1" t="str">
        <f>_xlfn.XLOOKUP(tblSales[[#This Row],[Product Code]],tblProducts[Code],tblProducts[Category],"")</f>
        <v>Accessories &amp; Basics</v>
      </c>
      <c r="I4812" s="4">
        <v>10</v>
      </c>
      <c r="J4812" s="5">
        <f>_xlfn.XLOOKUP(tblSales[[#This Row],[Product Code]],tblProducts[Code],tblProducts[Selling Price (excl. VAT)],0)</f>
        <v>45000</v>
      </c>
      <c r="K4812" s="5">
        <f>tblSales[[#This Row],[Qty]]*tblSales[[#This Row],[Unit Price]]</f>
        <v>450000</v>
      </c>
      <c r="L4812" s="5">
        <f>ROUND(tblSales[[#This Row],[DPP (excl. VAT)]]*VATEff,0)</f>
        <v>49500</v>
      </c>
      <c r="M4812" s="5">
        <f>tblSales[[#This Row],[DPP (excl. VAT)]]+tblSales[[#This Row],[Output VAT]]</f>
        <v>499500</v>
      </c>
      <c r="N4812" s="5">
        <f>tblSales[[#This Row],[Qty]]*_xlfn.XLOOKUP(tblSales[[#This Row],[Product Code]],tblProducts[Code],tblProducts[Unit Cost],0)</f>
        <v>240000</v>
      </c>
      <c r="O4812" s="4" t="s">
        <v>4865</v>
      </c>
      <c r="P4812" s="4" t="s">
        <v>4860</v>
      </c>
      <c r="Q4812" s="1" t="str">
        <f>_xlfn.XLOOKUP(tblSales[[#This Row],[Channel Code]],tblChannels[Channel Code],tblChannels[Channel Name],"")</f>
        <v>In-store</v>
      </c>
      <c r="R4812" s="1">
        <f>MONTH(tblSales[[#This Row],[Date]])</f>
        <v>10</v>
      </c>
    </row>
    <row r="4813" spans="2:18" x14ac:dyDescent="0.35">
      <c r="B4813" s="113">
        <v>46315</v>
      </c>
      <c r="C4813" s="4" t="s">
        <v>3282</v>
      </c>
      <c r="D4813" s="4" t="s">
        <v>4568</v>
      </c>
      <c r="E4813" s="1" t="str">
        <f>_xlfn.XLOOKUP(tblSales[[#This Row],[Customer ID]],tblCustomers[Customer ID],tblCustomers[Customer Name],"⚠ Unknown")</f>
        <v>Walk-in Customer</v>
      </c>
      <c r="F4813" s="4" t="s">
        <v>11</v>
      </c>
      <c r="G4813" s="1" t="str">
        <f>_xlfn.XLOOKUP(tblSales[[#This Row],[Product Code]],tblProducts[Code],tblProducts[Product / Service Name],"⚠ Unknown")</f>
        <v>Sneakers</v>
      </c>
      <c r="H4813" s="1" t="str">
        <f>_xlfn.XLOOKUP(tblSales[[#This Row],[Product Code]],tblProducts[Code],tblProducts[Category],"")</f>
        <v>Apparel &amp; Footwear</v>
      </c>
      <c r="I4813" s="4">
        <v>2</v>
      </c>
      <c r="J4813" s="5">
        <f>_xlfn.XLOOKUP(tblSales[[#This Row],[Product Code]],tblProducts[Code],tblProducts[Selling Price (excl. VAT)],0)</f>
        <v>250000</v>
      </c>
      <c r="K4813" s="5">
        <f>tblSales[[#This Row],[Qty]]*tblSales[[#This Row],[Unit Price]]</f>
        <v>500000</v>
      </c>
      <c r="L4813" s="5">
        <f>ROUND(tblSales[[#This Row],[DPP (excl. VAT)]]*VATEff,0)</f>
        <v>55000</v>
      </c>
      <c r="M4813" s="5">
        <f>tblSales[[#This Row],[DPP (excl. VAT)]]+tblSales[[#This Row],[Output VAT]]</f>
        <v>555000</v>
      </c>
      <c r="N4813" s="5">
        <f>tblSales[[#This Row],[Qty]]*_xlfn.XLOOKUP(tblSales[[#This Row],[Product Code]],tblProducts[Code],tblProducts[Unit Cost],0)</f>
        <v>310000</v>
      </c>
      <c r="O4813" s="4" t="s">
        <v>4866</v>
      </c>
      <c r="P4813" s="4" t="s">
        <v>4861</v>
      </c>
      <c r="Q4813" s="1" t="str">
        <f>_xlfn.XLOOKUP(tblSales[[#This Row],[Channel Code]],tblChannels[Channel Code],tblChannels[Channel Name],"")</f>
        <v>Marketplace</v>
      </c>
      <c r="R4813" s="1">
        <f>MONTH(tblSales[[#This Row],[Date]])</f>
        <v>10</v>
      </c>
    </row>
    <row r="4814" spans="2:18" x14ac:dyDescent="0.35">
      <c r="B4814" s="113">
        <v>46315</v>
      </c>
      <c r="C4814" s="4" t="s">
        <v>3283</v>
      </c>
      <c r="D4814" s="4" t="s">
        <v>4568</v>
      </c>
      <c r="E4814" s="1" t="str">
        <f>_xlfn.XLOOKUP(tblSales[[#This Row],[Customer ID]],tblCustomers[Customer ID],tblCustomers[Customer Name],"⚠ Unknown")</f>
        <v>Walk-in Customer</v>
      </c>
      <c r="F4814" s="4" t="s">
        <v>6</v>
      </c>
      <c r="G4814" s="1" t="str">
        <f>_xlfn.XLOOKUP(tblSales[[#This Row],[Product Code]],tblProducts[Code],tblProducts[Product / Service Name],"⚠ Unknown")</f>
        <v>Socks &amp; Accessories</v>
      </c>
      <c r="H4814" s="1" t="str">
        <f>_xlfn.XLOOKUP(tblSales[[#This Row],[Product Code]],tblProducts[Code],tblProducts[Category],"")</f>
        <v>Accessories &amp; Basics</v>
      </c>
      <c r="I4814" s="4">
        <v>6</v>
      </c>
      <c r="J4814" s="5">
        <f>_xlfn.XLOOKUP(tblSales[[#This Row],[Product Code]],tblProducts[Code],tblProducts[Selling Price (excl. VAT)],0)</f>
        <v>45000</v>
      </c>
      <c r="K4814" s="5">
        <f>tblSales[[#This Row],[Qty]]*tblSales[[#This Row],[Unit Price]]</f>
        <v>270000</v>
      </c>
      <c r="L4814" s="5">
        <f>ROUND(tblSales[[#This Row],[DPP (excl. VAT)]]*VATEff,0)</f>
        <v>29700</v>
      </c>
      <c r="M4814" s="5">
        <f>tblSales[[#This Row],[DPP (excl. VAT)]]+tblSales[[#This Row],[Output VAT]]</f>
        <v>299700</v>
      </c>
      <c r="N4814" s="5">
        <f>tblSales[[#This Row],[Qty]]*_xlfn.XLOOKUP(tblSales[[#This Row],[Product Code]],tblProducts[Code],tblProducts[Unit Cost],0)</f>
        <v>144000</v>
      </c>
      <c r="O4814" s="4" t="s">
        <v>4865</v>
      </c>
      <c r="P4814" s="4" t="s">
        <v>4860</v>
      </c>
      <c r="Q4814" s="1" t="str">
        <f>_xlfn.XLOOKUP(tblSales[[#This Row],[Channel Code]],tblChannels[Channel Code],tblChannels[Channel Name],"")</f>
        <v>In-store</v>
      </c>
      <c r="R4814" s="1">
        <f>MONTH(tblSales[[#This Row],[Date]])</f>
        <v>10</v>
      </c>
    </row>
    <row r="4815" spans="2:18" x14ac:dyDescent="0.35">
      <c r="B4815" s="113">
        <v>46315</v>
      </c>
      <c r="C4815" s="4" t="s">
        <v>3284</v>
      </c>
      <c r="D4815" s="4" t="s">
        <v>4578</v>
      </c>
      <c r="E4815" s="1" t="str">
        <f>_xlfn.XLOOKUP(tblSales[[#This Row],[Customer ID]],tblCustomers[Customer ID],tblCustomers[Customer Name],"⚠ Unknown")</f>
        <v>PT Bintang Timur Sejahtera</v>
      </c>
      <c r="F4815" s="4" t="s">
        <v>12</v>
      </c>
      <c r="G4815" s="1" t="str">
        <f>_xlfn.XLOOKUP(tblSales[[#This Row],[Product Code]],tblProducts[Code],tblProducts[Product / Service Name],"⚠ Unknown")</f>
        <v>Bomber Jacket</v>
      </c>
      <c r="H4815" s="1" t="str">
        <f>_xlfn.XLOOKUP(tblSales[[#This Row],[Product Code]],tblProducts[Code],tblProducts[Category],"")</f>
        <v>Apparel &amp; Footwear</v>
      </c>
      <c r="I4815" s="4">
        <v>24</v>
      </c>
      <c r="J4815" s="5">
        <f>_xlfn.XLOOKUP(tblSales[[#This Row],[Product Code]],tblProducts[Code],tblProducts[Selling Price (excl. VAT)],0)</f>
        <v>350000</v>
      </c>
      <c r="K4815" s="5">
        <f>tblSales[[#This Row],[Qty]]*tblSales[[#This Row],[Unit Price]]</f>
        <v>8400000</v>
      </c>
      <c r="L4815" s="5">
        <f>ROUND(tblSales[[#This Row],[DPP (excl. VAT)]]*VATEff,0)</f>
        <v>924000</v>
      </c>
      <c r="M4815" s="5">
        <f>tblSales[[#This Row],[DPP (excl. VAT)]]+tblSales[[#This Row],[Output VAT]]</f>
        <v>9324000</v>
      </c>
      <c r="N4815" s="5">
        <f>tblSales[[#This Row],[Qty]]*_xlfn.XLOOKUP(tblSales[[#This Row],[Product Code]],tblProducts[Code],tblProducts[Unit Cost],0)</f>
        <v>5040000</v>
      </c>
      <c r="O4815" s="4" t="s">
        <v>4867</v>
      </c>
      <c r="P4815" s="4" t="s">
        <v>4860</v>
      </c>
      <c r="Q4815" s="1" t="str">
        <f>_xlfn.XLOOKUP(tblSales[[#This Row],[Channel Code]],tblChannels[Channel Code],tblChannels[Channel Name],"")</f>
        <v>In-store</v>
      </c>
      <c r="R4815" s="1">
        <f>MONTH(tblSales[[#This Row],[Date]])</f>
        <v>10</v>
      </c>
    </row>
    <row r="4816" spans="2:18" x14ac:dyDescent="0.35">
      <c r="B4816" s="113">
        <v>46315</v>
      </c>
      <c r="C4816" s="4" t="s">
        <v>3284</v>
      </c>
      <c r="D4816" s="4" t="s">
        <v>4578</v>
      </c>
      <c r="E4816" s="1" t="str">
        <f>_xlfn.XLOOKUP(tblSales[[#This Row],[Customer ID]],tblCustomers[Customer ID],tblCustomers[Customer Name],"⚠ Unknown")</f>
        <v>PT Bintang Timur Sejahtera</v>
      </c>
      <c r="F4816" s="4" t="s">
        <v>15</v>
      </c>
      <c r="G4816" s="1" t="str">
        <f>_xlfn.XLOOKUP(tblSales[[#This Row],[Product Code]],tblProducts[Code],tblProducts[Product / Service Name],"⚠ Unknown")</f>
        <v>Wireless Earbuds Pro</v>
      </c>
      <c r="H4816" s="1" t="str">
        <f>_xlfn.XLOOKUP(tblSales[[#This Row],[Product Code]],tblProducts[Code],tblProducts[Category],"")</f>
        <v>Bags &amp; Gadgets</v>
      </c>
      <c r="I4816" s="4">
        <v>16</v>
      </c>
      <c r="J4816" s="5">
        <f>_xlfn.XLOOKUP(tblSales[[#This Row],[Product Code]],tblProducts[Code],tblProducts[Selling Price (excl. VAT)],0)</f>
        <v>1250000</v>
      </c>
      <c r="K4816" s="5">
        <f>tblSales[[#This Row],[Qty]]*tblSales[[#This Row],[Unit Price]]</f>
        <v>20000000</v>
      </c>
      <c r="L4816" s="5">
        <f>ROUND(tblSales[[#This Row],[DPP (excl. VAT)]]*VATEff,0)</f>
        <v>2200000</v>
      </c>
      <c r="M4816" s="5">
        <f>tblSales[[#This Row],[DPP (excl. VAT)]]+tblSales[[#This Row],[Output VAT]]</f>
        <v>22200000</v>
      </c>
      <c r="N4816" s="5">
        <f>tblSales[[#This Row],[Qty]]*_xlfn.XLOOKUP(tblSales[[#This Row],[Product Code]],tblProducts[Code],tblProducts[Unit Cost],0)</f>
        <v>13120000</v>
      </c>
      <c r="O4816" s="4" t="s">
        <v>4867</v>
      </c>
      <c r="P4816" s="4" t="s">
        <v>4860</v>
      </c>
      <c r="Q4816" s="1" t="str">
        <f>_xlfn.XLOOKUP(tblSales[[#This Row],[Channel Code]],tblChannels[Channel Code],tblChannels[Channel Name],"")</f>
        <v>In-store</v>
      </c>
      <c r="R4816" s="1">
        <f>MONTH(tblSales[[#This Row],[Date]])</f>
        <v>10</v>
      </c>
    </row>
    <row r="4817" spans="2:18" x14ac:dyDescent="0.35">
      <c r="B4817" s="113">
        <v>46315</v>
      </c>
      <c r="C4817" s="4" t="s">
        <v>3285</v>
      </c>
      <c r="D4817" s="4" t="s">
        <v>4568</v>
      </c>
      <c r="E4817" s="1" t="str">
        <f>_xlfn.XLOOKUP(tblSales[[#This Row],[Customer ID]],tblCustomers[Customer ID],tblCustomers[Customer Name],"⚠ Unknown")</f>
        <v>Walk-in Customer</v>
      </c>
      <c r="F4817" s="4" t="s">
        <v>8</v>
      </c>
      <c r="G4817" s="1" t="str">
        <f>_xlfn.XLOOKUP(tblSales[[#This Row],[Product Code]],tblProducts[Code],tblProducts[Product / Service Name],"⚠ Unknown")</f>
        <v>Casual Shorts</v>
      </c>
      <c r="H4817" s="1" t="str">
        <f>_xlfn.XLOOKUP(tblSales[[#This Row],[Product Code]],tblProducts[Code],tblProducts[Category],"")</f>
        <v>Accessories &amp; Basics</v>
      </c>
      <c r="I4817" s="4">
        <v>2</v>
      </c>
      <c r="J4817" s="5">
        <f>_xlfn.XLOOKUP(tblSales[[#This Row],[Product Code]],tblProducts[Code],tblProducts[Selling Price (excl. VAT)],0)</f>
        <v>85000</v>
      </c>
      <c r="K4817" s="5">
        <f>tblSales[[#This Row],[Qty]]*tblSales[[#This Row],[Unit Price]]</f>
        <v>170000</v>
      </c>
      <c r="L4817" s="5">
        <f>ROUND(tblSales[[#This Row],[DPP (excl. VAT)]]*VATEff,0)</f>
        <v>18700</v>
      </c>
      <c r="M4817" s="5">
        <f>tblSales[[#This Row],[DPP (excl. VAT)]]+tblSales[[#This Row],[Output VAT]]</f>
        <v>188700</v>
      </c>
      <c r="N4817" s="5">
        <f>tblSales[[#This Row],[Qty]]*_xlfn.XLOOKUP(tblSales[[#This Row],[Product Code]],tblProducts[Code],tblProducts[Unit Cost],0)</f>
        <v>100000</v>
      </c>
      <c r="O4817" s="4" t="s">
        <v>4866</v>
      </c>
      <c r="P4817" s="4" t="s">
        <v>4861</v>
      </c>
      <c r="Q4817" s="1" t="str">
        <f>_xlfn.XLOOKUP(tblSales[[#This Row],[Channel Code]],tblChannels[Channel Code],tblChannels[Channel Name],"")</f>
        <v>Marketplace</v>
      </c>
      <c r="R4817" s="1">
        <f>MONTH(tblSales[[#This Row],[Date]])</f>
        <v>10</v>
      </c>
    </row>
    <row r="4818" spans="2:18" x14ac:dyDescent="0.35">
      <c r="B4818" s="113">
        <v>46315</v>
      </c>
      <c r="C4818" s="4" t="s">
        <v>3285</v>
      </c>
      <c r="D4818" s="4" t="s">
        <v>4568</v>
      </c>
      <c r="E4818" s="1" t="str">
        <f>_xlfn.XLOOKUP(tblSales[[#This Row],[Customer ID]],tblCustomers[Customer ID],tblCustomers[Customer Name],"⚠ Unknown")</f>
        <v>Walk-in Customer</v>
      </c>
      <c r="F4818" s="4" t="s">
        <v>10</v>
      </c>
      <c r="G4818" s="1" t="str">
        <f>_xlfn.XLOOKUP(tblSales[[#This Row],[Product Code]],tblProducts[Code],tblProducts[Product / Service Name],"⚠ Unknown")</f>
        <v>Chino Pants</v>
      </c>
      <c r="H4818" s="1" t="str">
        <f>_xlfn.XLOOKUP(tblSales[[#This Row],[Product Code]],tblProducts[Code],tblProducts[Category],"")</f>
        <v>Apparel &amp; Footwear</v>
      </c>
      <c r="I4818" s="4">
        <v>5</v>
      </c>
      <c r="J4818" s="5">
        <f>_xlfn.XLOOKUP(tblSales[[#This Row],[Product Code]],tblProducts[Code],tblProducts[Selling Price (excl. VAT)],0)</f>
        <v>150000</v>
      </c>
      <c r="K4818" s="5">
        <f>tblSales[[#This Row],[Qty]]*tblSales[[#This Row],[Unit Price]]</f>
        <v>750000</v>
      </c>
      <c r="L4818" s="5">
        <f>ROUND(tblSales[[#This Row],[DPP (excl. VAT)]]*VATEff,0)</f>
        <v>82500</v>
      </c>
      <c r="M4818" s="5">
        <f>tblSales[[#This Row],[DPP (excl. VAT)]]+tblSales[[#This Row],[Output VAT]]</f>
        <v>832500</v>
      </c>
      <c r="N4818" s="5">
        <f>tblSales[[#This Row],[Qty]]*_xlfn.XLOOKUP(tblSales[[#This Row],[Product Code]],tblProducts[Code],tblProducts[Unit Cost],0)</f>
        <v>440000</v>
      </c>
      <c r="O4818" s="4" t="s">
        <v>4866</v>
      </c>
      <c r="P4818" s="4" t="s">
        <v>4861</v>
      </c>
      <c r="Q4818" s="1" t="str">
        <f>_xlfn.XLOOKUP(tblSales[[#This Row],[Channel Code]],tblChannels[Channel Code],tblChannels[Channel Name],"")</f>
        <v>Marketplace</v>
      </c>
      <c r="R4818" s="1">
        <f>MONTH(tblSales[[#This Row],[Date]])</f>
        <v>10</v>
      </c>
    </row>
    <row r="4819" spans="2:18" x14ac:dyDescent="0.35">
      <c r="B4819" s="113">
        <v>46315</v>
      </c>
      <c r="C4819" s="4" t="s">
        <v>3286</v>
      </c>
      <c r="D4819" s="4" t="s">
        <v>4568</v>
      </c>
      <c r="E4819" s="1" t="str">
        <f>_xlfn.XLOOKUP(tblSales[[#This Row],[Customer ID]],tblCustomers[Customer ID],tblCustomers[Customer Name],"⚠ Unknown")</f>
        <v>Walk-in Customer</v>
      </c>
      <c r="F4819" s="4" t="s">
        <v>9</v>
      </c>
      <c r="G4819" s="1" t="str">
        <f>_xlfn.XLOOKUP(tblSales[[#This Row],[Product Code]],tblProducts[Code],tblProducts[Product / Service Name],"⚠ Unknown")</f>
        <v>Casual Shirt</v>
      </c>
      <c r="H4819" s="1" t="str">
        <f>_xlfn.XLOOKUP(tblSales[[#This Row],[Product Code]],tblProducts[Code],tblProducts[Category],"")</f>
        <v>Apparel &amp; Footwear</v>
      </c>
      <c r="I4819" s="4">
        <v>3</v>
      </c>
      <c r="J4819" s="5">
        <f>_xlfn.XLOOKUP(tblSales[[#This Row],[Product Code]],tblProducts[Code],tblProducts[Selling Price (excl. VAT)],0)</f>
        <v>120000</v>
      </c>
      <c r="K4819" s="5">
        <f>tblSales[[#This Row],[Qty]]*tblSales[[#This Row],[Unit Price]]</f>
        <v>360000</v>
      </c>
      <c r="L4819" s="5">
        <f>ROUND(tblSales[[#This Row],[DPP (excl. VAT)]]*VATEff,0)</f>
        <v>39600</v>
      </c>
      <c r="M4819" s="5">
        <f>tblSales[[#This Row],[DPP (excl. VAT)]]+tblSales[[#This Row],[Output VAT]]</f>
        <v>399600</v>
      </c>
      <c r="N4819" s="5">
        <f>tblSales[[#This Row],[Qty]]*_xlfn.XLOOKUP(tblSales[[#This Row],[Product Code]],tblProducts[Code],tblProducts[Unit Cost],0)</f>
        <v>216000</v>
      </c>
      <c r="O4819" s="4" t="s">
        <v>4866</v>
      </c>
      <c r="P4819" s="4" t="s">
        <v>4861</v>
      </c>
      <c r="Q4819" s="1" t="str">
        <f>_xlfn.XLOOKUP(tblSales[[#This Row],[Channel Code]],tblChannels[Channel Code],tblChannels[Channel Name],"")</f>
        <v>Marketplace</v>
      </c>
      <c r="R4819" s="1">
        <f>MONTH(tblSales[[#This Row],[Date]])</f>
        <v>10</v>
      </c>
    </row>
    <row r="4820" spans="2:18" x14ac:dyDescent="0.35">
      <c r="B4820" s="113">
        <v>46315</v>
      </c>
      <c r="C4820" s="4" t="s">
        <v>3286</v>
      </c>
      <c r="D4820" s="4" t="s">
        <v>4568</v>
      </c>
      <c r="E4820" s="1" t="str">
        <f>_xlfn.XLOOKUP(tblSales[[#This Row],[Customer ID]],tblCustomers[Customer ID],tblCustomers[Customer Name],"⚠ Unknown")</f>
        <v>Walk-in Customer</v>
      </c>
      <c r="F4820" s="4" t="s">
        <v>12</v>
      </c>
      <c r="G4820" s="1" t="str">
        <f>_xlfn.XLOOKUP(tblSales[[#This Row],[Product Code]],tblProducts[Code],tblProducts[Product / Service Name],"⚠ Unknown")</f>
        <v>Bomber Jacket</v>
      </c>
      <c r="H4820" s="1" t="str">
        <f>_xlfn.XLOOKUP(tblSales[[#This Row],[Product Code]],tblProducts[Code],tblProducts[Category],"")</f>
        <v>Apparel &amp; Footwear</v>
      </c>
      <c r="I4820" s="4">
        <v>5</v>
      </c>
      <c r="J4820" s="5">
        <f>_xlfn.XLOOKUP(tblSales[[#This Row],[Product Code]],tblProducts[Code],tblProducts[Selling Price (excl. VAT)],0)</f>
        <v>350000</v>
      </c>
      <c r="K4820" s="5">
        <f>tblSales[[#This Row],[Qty]]*tblSales[[#This Row],[Unit Price]]</f>
        <v>1750000</v>
      </c>
      <c r="L4820" s="5">
        <f>ROUND(tblSales[[#This Row],[DPP (excl. VAT)]]*VATEff,0)</f>
        <v>192500</v>
      </c>
      <c r="M4820" s="5">
        <f>tblSales[[#This Row],[DPP (excl. VAT)]]+tblSales[[#This Row],[Output VAT]]</f>
        <v>1942500</v>
      </c>
      <c r="N4820" s="5">
        <f>tblSales[[#This Row],[Qty]]*_xlfn.XLOOKUP(tblSales[[#This Row],[Product Code]],tblProducts[Code],tblProducts[Unit Cost],0)</f>
        <v>1050000</v>
      </c>
      <c r="O4820" s="4" t="s">
        <v>4866</v>
      </c>
      <c r="P4820" s="4" t="s">
        <v>4861</v>
      </c>
      <c r="Q4820" s="1" t="str">
        <f>_xlfn.XLOOKUP(tblSales[[#This Row],[Channel Code]],tblChannels[Channel Code],tblChannels[Channel Name],"")</f>
        <v>Marketplace</v>
      </c>
      <c r="R4820" s="1">
        <f>MONTH(tblSales[[#This Row],[Date]])</f>
        <v>10</v>
      </c>
    </row>
    <row r="4821" spans="2:18" x14ac:dyDescent="0.35">
      <c r="B4821" s="113">
        <v>46315</v>
      </c>
      <c r="C4821" s="4" t="s">
        <v>3287</v>
      </c>
      <c r="D4821" s="4" t="s">
        <v>4568</v>
      </c>
      <c r="E4821" s="1" t="str">
        <f>_xlfn.XLOOKUP(tblSales[[#This Row],[Customer ID]],tblCustomers[Customer ID],tblCustomers[Customer Name],"⚠ Unknown")</f>
        <v>Walk-in Customer</v>
      </c>
      <c r="F4821" s="4" t="s">
        <v>6</v>
      </c>
      <c r="G4821" s="1" t="str">
        <f>_xlfn.XLOOKUP(tblSales[[#This Row],[Product Code]],tblProducts[Code],tblProducts[Product / Service Name],"⚠ Unknown")</f>
        <v>Socks &amp; Accessories</v>
      </c>
      <c r="H4821" s="1" t="str">
        <f>_xlfn.XLOOKUP(tblSales[[#This Row],[Product Code]],tblProducts[Code],tblProducts[Category],"")</f>
        <v>Accessories &amp; Basics</v>
      </c>
      <c r="I4821" s="4">
        <v>1</v>
      </c>
      <c r="J4821" s="5">
        <f>_xlfn.XLOOKUP(tblSales[[#This Row],[Product Code]],tblProducts[Code],tblProducts[Selling Price (excl. VAT)],0)</f>
        <v>45000</v>
      </c>
      <c r="K4821" s="5">
        <f>tblSales[[#This Row],[Qty]]*tblSales[[#This Row],[Unit Price]]</f>
        <v>45000</v>
      </c>
      <c r="L4821" s="5">
        <f>ROUND(tblSales[[#This Row],[DPP (excl. VAT)]]*VATEff,0)</f>
        <v>4950</v>
      </c>
      <c r="M4821" s="5">
        <f>tblSales[[#This Row],[DPP (excl. VAT)]]+tblSales[[#This Row],[Output VAT]]</f>
        <v>49950</v>
      </c>
      <c r="N4821" s="5">
        <f>tblSales[[#This Row],[Qty]]*_xlfn.XLOOKUP(tblSales[[#This Row],[Product Code]],tblProducts[Code],tblProducts[Unit Cost],0)</f>
        <v>24000</v>
      </c>
      <c r="O4821" s="4" t="s">
        <v>4866</v>
      </c>
      <c r="P4821" s="4" t="s">
        <v>4860</v>
      </c>
      <c r="Q4821" s="1" t="str">
        <f>_xlfn.XLOOKUP(tblSales[[#This Row],[Channel Code]],tblChannels[Channel Code],tblChannels[Channel Name],"")</f>
        <v>In-store</v>
      </c>
      <c r="R4821" s="1">
        <f>MONTH(tblSales[[#This Row],[Date]])</f>
        <v>10</v>
      </c>
    </row>
    <row r="4822" spans="2:18" x14ac:dyDescent="0.35">
      <c r="B4822" s="113">
        <v>46315</v>
      </c>
      <c r="C4822" s="4" t="s">
        <v>3287</v>
      </c>
      <c r="D4822" s="4" t="s">
        <v>4568</v>
      </c>
      <c r="E4822" s="1" t="str">
        <f>_xlfn.XLOOKUP(tblSales[[#This Row],[Customer ID]],tblCustomers[Customer ID],tblCustomers[Customer Name],"⚠ Unknown")</f>
        <v>Walk-in Customer</v>
      </c>
      <c r="F4822" s="4" t="s">
        <v>11</v>
      </c>
      <c r="G4822" s="1" t="str">
        <f>_xlfn.XLOOKUP(tblSales[[#This Row],[Product Code]],tblProducts[Code],tblProducts[Product / Service Name],"⚠ Unknown")</f>
        <v>Sneakers</v>
      </c>
      <c r="H4822" s="1" t="str">
        <f>_xlfn.XLOOKUP(tblSales[[#This Row],[Product Code]],tblProducts[Code],tblProducts[Category],"")</f>
        <v>Apparel &amp; Footwear</v>
      </c>
      <c r="I4822" s="4">
        <v>2</v>
      </c>
      <c r="J4822" s="5">
        <f>_xlfn.XLOOKUP(tblSales[[#This Row],[Product Code]],tblProducts[Code],tblProducts[Selling Price (excl. VAT)],0)</f>
        <v>250000</v>
      </c>
      <c r="K4822" s="5">
        <f>tblSales[[#This Row],[Qty]]*tblSales[[#This Row],[Unit Price]]</f>
        <v>500000</v>
      </c>
      <c r="L4822" s="5">
        <f>ROUND(tblSales[[#This Row],[DPP (excl. VAT)]]*VATEff,0)</f>
        <v>55000</v>
      </c>
      <c r="M4822" s="5">
        <f>tblSales[[#This Row],[DPP (excl. VAT)]]+tblSales[[#This Row],[Output VAT]]</f>
        <v>555000</v>
      </c>
      <c r="N4822" s="5">
        <f>tblSales[[#This Row],[Qty]]*_xlfn.XLOOKUP(tblSales[[#This Row],[Product Code]],tblProducts[Code],tblProducts[Unit Cost],0)</f>
        <v>310000</v>
      </c>
      <c r="O4822" s="4" t="s">
        <v>4866</v>
      </c>
      <c r="P4822" s="4" t="s">
        <v>4860</v>
      </c>
      <c r="Q4822" s="1" t="str">
        <f>_xlfn.XLOOKUP(tblSales[[#This Row],[Channel Code]],tblChannels[Channel Code],tblChannels[Channel Name],"")</f>
        <v>In-store</v>
      </c>
      <c r="R4822" s="1">
        <f>MONTH(tblSales[[#This Row],[Date]])</f>
        <v>10</v>
      </c>
    </row>
    <row r="4823" spans="2:18" x14ac:dyDescent="0.35">
      <c r="B4823" s="113">
        <v>46315</v>
      </c>
      <c r="C4823" s="4" t="s">
        <v>3288</v>
      </c>
      <c r="D4823" s="4" t="s">
        <v>4627</v>
      </c>
      <c r="E4823" s="1" t="str">
        <f>_xlfn.XLOOKUP(tblSales[[#This Row],[Customer ID]],tblCustomers[Customer ID],tblCustomers[Customer Name],"⚠ Unknown")</f>
        <v>PT Kencana Wira Usaha</v>
      </c>
      <c r="F4823" s="4" t="s">
        <v>7</v>
      </c>
      <c r="G4823" s="1" t="str">
        <f>_xlfn.XLOOKUP(tblSales[[#This Row],[Product Code]],tblProducts[Code],tblProducts[Product / Service Name],"⚠ Unknown")</f>
        <v>Premium Basic T-shirt</v>
      </c>
      <c r="H4823" s="1" t="str">
        <f>_xlfn.XLOOKUP(tblSales[[#This Row],[Product Code]],tblProducts[Code],tblProducts[Category],"")</f>
        <v>Accessories &amp; Basics</v>
      </c>
      <c r="I4823" s="4">
        <v>48</v>
      </c>
      <c r="J4823" s="5">
        <f>_xlfn.XLOOKUP(tblSales[[#This Row],[Product Code]],tblProducts[Code],tblProducts[Selling Price (excl. VAT)],0)</f>
        <v>65000</v>
      </c>
      <c r="K4823" s="5">
        <f>tblSales[[#This Row],[Qty]]*tblSales[[#This Row],[Unit Price]]</f>
        <v>3120000</v>
      </c>
      <c r="L4823" s="5">
        <f>ROUND(tblSales[[#This Row],[DPP (excl. VAT)]]*VATEff,0)</f>
        <v>343200</v>
      </c>
      <c r="M4823" s="5">
        <f>tblSales[[#This Row],[DPP (excl. VAT)]]+tblSales[[#This Row],[Output VAT]]</f>
        <v>3463200</v>
      </c>
      <c r="N4823" s="5">
        <f>tblSales[[#This Row],[Qty]]*_xlfn.XLOOKUP(tblSales[[#This Row],[Product Code]],tblProducts[Code],tblProducts[Unit Cost],0)</f>
        <v>1776000</v>
      </c>
      <c r="O4823" s="4" t="s">
        <v>4867</v>
      </c>
      <c r="P4823" s="4" t="s">
        <v>4860</v>
      </c>
      <c r="Q4823" s="1" t="str">
        <f>_xlfn.XLOOKUP(tblSales[[#This Row],[Channel Code]],tblChannels[Channel Code],tblChannels[Channel Name],"")</f>
        <v>In-store</v>
      </c>
      <c r="R4823" s="1">
        <f>MONTH(tblSales[[#This Row],[Date]])</f>
        <v>10</v>
      </c>
    </row>
    <row r="4824" spans="2:18" x14ac:dyDescent="0.35">
      <c r="B4824" s="113">
        <v>46315</v>
      </c>
      <c r="C4824" s="4" t="s">
        <v>3289</v>
      </c>
      <c r="D4824" s="4" t="s">
        <v>4568</v>
      </c>
      <c r="E4824" s="1" t="str">
        <f>_xlfn.XLOOKUP(tblSales[[#This Row],[Customer ID]],tblCustomers[Customer ID],tblCustomers[Customer Name],"⚠ Unknown")</f>
        <v>Walk-in Customer</v>
      </c>
      <c r="F4824" s="4" t="s">
        <v>14</v>
      </c>
      <c r="G4824" s="1" t="str">
        <f>_xlfn.XLOOKUP(tblSales[[#This Row],[Product Code]],tblProducts[Code],tblProducts[Product / Service Name],"⚠ Unknown")</f>
        <v>Smartwatch</v>
      </c>
      <c r="H4824" s="1" t="str">
        <f>_xlfn.XLOOKUP(tblSales[[#This Row],[Product Code]],tblProducts[Code],tblProducts[Category],"")</f>
        <v>Bags &amp; Gadgets</v>
      </c>
      <c r="I4824" s="4">
        <v>3</v>
      </c>
      <c r="J4824" s="5">
        <f>_xlfn.XLOOKUP(tblSales[[#This Row],[Product Code]],tblProducts[Code],tblProducts[Selling Price (excl. VAT)],0)</f>
        <v>850000</v>
      </c>
      <c r="K4824" s="5">
        <f>tblSales[[#This Row],[Qty]]*tblSales[[#This Row],[Unit Price]]</f>
        <v>2550000</v>
      </c>
      <c r="L4824" s="5">
        <f>ROUND(tblSales[[#This Row],[DPP (excl. VAT)]]*VATEff,0)</f>
        <v>280500</v>
      </c>
      <c r="M4824" s="5">
        <f>tblSales[[#This Row],[DPP (excl. VAT)]]+tblSales[[#This Row],[Output VAT]]</f>
        <v>2830500</v>
      </c>
      <c r="N4824" s="5">
        <f>tblSales[[#This Row],[Qty]]*_xlfn.XLOOKUP(tblSales[[#This Row],[Product Code]],tblProducts[Code],tblProducts[Unit Cost],0)</f>
        <v>1680000</v>
      </c>
      <c r="O4824" s="4" t="s">
        <v>4866</v>
      </c>
      <c r="P4824" s="4" t="s">
        <v>4861</v>
      </c>
      <c r="Q4824" s="1" t="str">
        <f>_xlfn.XLOOKUP(tblSales[[#This Row],[Channel Code]],tblChannels[Channel Code],tblChannels[Channel Name],"")</f>
        <v>Marketplace</v>
      </c>
      <c r="R4824" s="1">
        <f>MONTH(tblSales[[#This Row],[Date]])</f>
        <v>10</v>
      </c>
    </row>
    <row r="4825" spans="2:18" x14ac:dyDescent="0.35">
      <c r="B4825" s="113">
        <v>46316</v>
      </c>
      <c r="C4825" s="4" t="s">
        <v>3290</v>
      </c>
      <c r="D4825" s="4" t="s">
        <v>4568</v>
      </c>
      <c r="E4825" s="1" t="str">
        <f>_xlfn.XLOOKUP(tblSales[[#This Row],[Customer ID]],tblCustomers[Customer ID],tblCustomers[Customer Name],"⚠ Unknown")</f>
        <v>Walk-in Customer</v>
      </c>
      <c r="F4825" s="4" t="s">
        <v>11</v>
      </c>
      <c r="G4825" s="1" t="str">
        <f>_xlfn.XLOOKUP(tblSales[[#This Row],[Product Code]],tblProducts[Code],tblProducts[Product / Service Name],"⚠ Unknown")</f>
        <v>Sneakers</v>
      </c>
      <c r="H4825" s="1" t="str">
        <f>_xlfn.XLOOKUP(tblSales[[#This Row],[Product Code]],tblProducts[Code],tblProducts[Category],"")</f>
        <v>Apparel &amp; Footwear</v>
      </c>
      <c r="I4825" s="4">
        <v>5</v>
      </c>
      <c r="J4825" s="5">
        <f>_xlfn.XLOOKUP(tblSales[[#This Row],[Product Code]],tblProducts[Code],tblProducts[Selling Price (excl. VAT)],0)</f>
        <v>250000</v>
      </c>
      <c r="K4825" s="5">
        <f>tblSales[[#This Row],[Qty]]*tblSales[[#This Row],[Unit Price]]</f>
        <v>1250000</v>
      </c>
      <c r="L4825" s="5">
        <f>ROUND(tblSales[[#This Row],[DPP (excl. VAT)]]*VATEff,0)</f>
        <v>137500</v>
      </c>
      <c r="M4825" s="5">
        <f>tblSales[[#This Row],[DPP (excl. VAT)]]+tblSales[[#This Row],[Output VAT]]</f>
        <v>1387500</v>
      </c>
      <c r="N4825" s="5">
        <f>tblSales[[#This Row],[Qty]]*_xlfn.XLOOKUP(tblSales[[#This Row],[Product Code]],tblProducts[Code],tblProducts[Unit Cost],0)</f>
        <v>775000</v>
      </c>
      <c r="O4825" s="4" t="s">
        <v>4866</v>
      </c>
      <c r="P4825" s="4" t="s">
        <v>4861</v>
      </c>
      <c r="Q4825" s="1" t="str">
        <f>_xlfn.XLOOKUP(tblSales[[#This Row],[Channel Code]],tblChannels[Channel Code],tblChannels[Channel Name],"")</f>
        <v>Marketplace</v>
      </c>
      <c r="R4825" s="1">
        <f>MONTH(tblSales[[#This Row],[Date]])</f>
        <v>10</v>
      </c>
    </row>
    <row r="4826" spans="2:18" x14ac:dyDescent="0.35">
      <c r="B4826" s="113">
        <v>46316</v>
      </c>
      <c r="C4826" s="4" t="s">
        <v>3291</v>
      </c>
      <c r="D4826" s="4" t="s">
        <v>4620</v>
      </c>
      <c r="E4826" s="1" t="str">
        <f>_xlfn.XLOOKUP(tblSales[[#This Row],[Customer ID]],tblCustomers[Customer ID],tblCustomers[Customer Name],"⚠ Unknown")</f>
        <v>CV Sumber Rejeki Utama</v>
      </c>
      <c r="F4826" s="4" t="s">
        <v>10</v>
      </c>
      <c r="G4826" s="1" t="str">
        <f>_xlfn.XLOOKUP(tblSales[[#This Row],[Product Code]],tblProducts[Code],tblProducts[Product / Service Name],"⚠ Unknown")</f>
        <v>Chino Pants</v>
      </c>
      <c r="H4826" s="1" t="str">
        <f>_xlfn.XLOOKUP(tblSales[[#This Row],[Product Code]],tblProducts[Code],tblProducts[Category],"")</f>
        <v>Apparel &amp; Footwear</v>
      </c>
      <c r="I4826" s="4">
        <v>40</v>
      </c>
      <c r="J4826" s="5">
        <f>_xlfn.XLOOKUP(tblSales[[#This Row],[Product Code]],tblProducts[Code],tblProducts[Selling Price (excl. VAT)],0)</f>
        <v>150000</v>
      </c>
      <c r="K4826" s="5">
        <f>tblSales[[#This Row],[Qty]]*tblSales[[#This Row],[Unit Price]]</f>
        <v>6000000</v>
      </c>
      <c r="L4826" s="5">
        <f>ROUND(tblSales[[#This Row],[DPP (excl. VAT)]]*VATEff,0)</f>
        <v>660000</v>
      </c>
      <c r="M4826" s="5">
        <f>tblSales[[#This Row],[DPP (excl. VAT)]]+tblSales[[#This Row],[Output VAT]]</f>
        <v>6660000</v>
      </c>
      <c r="N4826" s="5">
        <f>tblSales[[#This Row],[Qty]]*_xlfn.XLOOKUP(tblSales[[#This Row],[Product Code]],tblProducts[Code],tblProducts[Unit Cost],0)</f>
        <v>3520000</v>
      </c>
      <c r="O4826" s="4" t="s">
        <v>4867</v>
      </c>
      <c r="P4826" s="4" t="s">
        <v>4862</v>
      </c>
      <c r="Q4826" s="1" t="str">
        <f>_xlfn.XLOOKUP(tblSales[[#This Row],[Channel Code]],tblChannels[Channel Code],tblChannels[Channel Name],"")</f>
        <v>Website &amp; Social Media</v>
      </c>
      <c r="R4826" s="1">
        <f>MONTH(tblSales[[#This Row],[Date]])</f>
        <v>10</v>
      </c>
    </row>
    <row r="4827" spans="2:18" x14ac:dyDescent="0.35">
      <c r="B4827" s="113">
        <v>46316</v>
      </c>
      <c r="C4827" s="4" t="s">
        <v>3292</v>
      </c>
      <c r="D4827" s="4" t="s">
        <v>4568</v>
      </c>
      <c r="E4827" s="1" t="str">
        <f>_xlfn.XLOOKUP(tblSales[[#This Row],[Customer ID]],tblCustomers[Customer ID],tblCustomers[Customer Name],"⚠ Unknown")</f>
        <v>Walk-in Customer</v>
      </c>
      <c r="F4827" s="4" t="s">
        <v>10</v>
      </c>
      <c r="G4827" s="1" t="str">
        <f>_xlfn.XLOOKUP(tblSales[[#This Row],[Product Code]],tblProducts[Code],tblProducts[Product / Service Name],"⚠ Unknown")</f>
        <v>Chino Pants</v>
      </c>
      <c r="H4827" s="1" t="str">
        <f>_xlfn.XLOOKUP(tblSales[[#This Row],[Product Code]],tblProducts[Code],tblProducts[Category],"")</f>
        <v>Apparel &amp; Footwear</v>
      </c>
      <c r="I4827" s="4">
        <v>10</v>
      </c>
      <c r="J4827" s="5">
        <f>_xlfn.XLOOKUP(tblSales[[#This Row],[Product Code]],tblProducts[Code],tblProducts[Selling Price (excl. VAT)],0)</f>
        <v>150000</v>
      </c>
      <c r="K4827" s="5">
        <f>tblSales[[#This Row],[Qty]]*tblSales[[#This Row],[Unit Price]]</f>
        <v>1500000</v>
      </c>
      <c r="L4827" s="5">
        <f>ROUND(tblSales[[#This Row],[DPP (excl. VAT)]]*VATEff,0)</f>
        <v>165000</v>
      </c>
      <c r="M4827" s="5">
        <f>tblSales[[#This Row],[DPP (excl. VAT)]]+tblSales[[#This Row],[Output VAT]]</f>
        <v>1665000</v>
      </c>
      <c r="N4827" s="5">
        <f>tblSales[[#This Row],[Qty]]*_xlfn.XLOOKUP(tblSales[[#This Row],[Product Code]],tblProducts[Code],tblProducts[Unit Cost],0)</f>
        <v>880000</v>
      </c>
      <c r="O4827" s="4" t="s">
        <v>4865</v>
      </c>
      <c r="P4827" s="4" t="s">
        <v>4860</v>
      </c>
      <c r="Q4827" s="1" t="str">
        <f>_xlfn.XLOOKUP(tblSales[[#This Row],[Channel Code]],tblChannels[Channel Code],tblChannels[Channel Name],"")</f>
        <v>In-store</v>
      </c>
      <c r="R4827" s="1">
        <f>MONTH(tblSales[[#This Row],[Date]])</f>
        <v>10</v>
      </c>
    </row>
    <row r="4828" spans="2:18" x14ac:dyDescent="0.35">
      <c r="B4828" s="113">
        <v>46316</v>
      </c>
      <c r="C4828" s="4" t="s">
        <v>3292</v>
      </c>
      <c r="D4828" s="4" t="s">
        <v>4568</v>
      </c>
      <c r="E4828" s="1" t="str">
        <f>_xlfn.XLOOKUP(tblSales[[#This Row],[Customer ID]],tblCustomers[Customer ID],tblCustomers[Customer Name],"⚠ Unknown")</f>
        <v>Walk-in Customer</v>
      </c>
      <c r="F4828" s="4" t="s">
        <v>8</v>
      </c>
      <c r="G4828" s="1" t="str">
        <f>_xlfn.XLOOKUP(tblSales[[#This Row],[Product Code]],tblProducts[Code],tblProducts[Product / Service Name],"⚠ Unknown")</f>
        <v>Casual Shorts</v>
      </c>
      <c r="H4828" s="1" t="str">
        <f>_xlfn.XLOOKUP(tblSales[[#This Row],[Product Code]],tblProducts[Code],tblProducts[Category],"")</f>
        <v>Accessories &amp; Basics</v>
      </c>
      <c r="I4828" s="4">
        <v>9</v>
      </c>
      <c r="J4828" s="5">
        <f>_xlfn.XLOOKUP(tblSales[[#This Row],[Product Code]],tblProducts[Code],tblProducts[Selling Price (excl. VAT)],0)</f>
        <v>85000</v>
      </c>
      <c r="K4828" s="5">
        <f>tblSales[[#This Row],[Qty]]*tblSales[[#This Row],[Unit Price]]</f>
        <v>765000</v>
      </c>
      <c r="L4828" s="5">
        <f>ROUND(tblSales[[#This Row],[DPP (excl. VAT)]]*VATEff,0)</f>
        <v>84150</v>
      </c>
      <c r="M4828" s="5">
        <f>tblSales[[#This Row],[DPP (excl. VAT)]]+tblSales[[#This Row],[Output VAT]]</f>
        <v>849150</v>
      </c>
      <c r="N4828" s="5">
        <f>tblSales[[#This Row],[Qty]]*_xlfn.XLOOKUP(tblSales[[#This Row],[Product Code]],tblProducts[Code],tblProducts[Unit Cost],0)</f>
        <v>450000</v>
      </c>
      <c r="O4828" s="4" t="s">
        <v>4865</v>
      </c>
      <c r="P4828" s="4" t="s">
        <v>4860</v>
      </c>
      <c r="Q4828" s="1" t="str">
        <f>_xlfn.XLOOKUP(tblSales[[#This Row],[Channel Code]],tblChannels[Channel Code],tblChannels[Channel Name],"")</f>
        <v>In-store</v>
      </c>
      <c r="R4828" s="1">
        <f>MONTH(tblSales[[#This Row],[Date]])</f>
        <v>10</v>
      </c>
    </row>
    <row r="4829" spans="2:18" x14ac:dyDescent="0.35">
      <c r="B4829" s="113">
        <v>46316</v>
      </c>
      <c r="C4829" s="4" t="s">
        <v>3293</v>
      </c>
      <c r="D4829" s="4" t="s">
        <v>4568</v>
      </c>
      <c r="E4829" s="1" t="str">
        <f>_xlfn.XLOOKUP(tblSales[[#This Row],[Customer ID]],tblCustomers[Customer ID],tblCustomers[Customer Name],"⚠ Unknown")</f>
        <v>Walk-in Customer</v>
      </c>
      <c r="F4829" s="4" t="s">
        <v>12</v>
      </c>
      <c r="G4829" s="1" t="str">
        <f>_xlfn.XLOOKUP(tblSales[[#This Row],[Product Code]],tblProducts[Code],tblProducts[Product / Service Name],"⚠ Unknown")</f>
        <v>Bomber Jacket</v>
      </c>
      <c r="H4829" s="1" t="str">
        <f>_xlfn.XLOOKUP(tblSales[[#This Row],[Product Code]],tblProducts[Code],tblProducts[Category],"")</f>
        <v>Apparel &amp; Footwear</v>
      </c>
      <c r="I4829" s="4">
        <v>1</v>
      </c>
      <c r="J4829" s="5">
        <f>_xlfn.XLOOKUP(tblSales[[#This Row],[Product Code]],tblProducts[Code],tblProducts[Selling Price (excl. VAT)],0)</f>
        <v>350000</v>
      </c>
      <c r="K4829" s="5">
        <f>tblSales[[#This Row],[Qty]]*tblSales[[#This Row],[Unit Price]]</f>
        <v>350000</v>
      </c>
      <c r="L4829" s="5">
        <f>ROUND(tblSales[[#This Row],[DPP (excl. VAT)]]*VATEff,0)</f>
        <v>38500</v>
      </c>
      <c r="M4829" s="5">
        <f>tblSales[[#This Row],[DPP (excl. VAT)]]+tblSales[[#This Row],[Output VAT]]</f>
        <v>388500</v>
      </c>
      <c r="N4829" s="5">
        <f>tblSales[[#This Row],[Qty]]*_xlfn.XLOOKUP(tblSales[[#This Row],[Product Code]],tblProducts[Code],tblProducts[Unit Cost],0)</f>
        <v>210000</v>
      </c>
      <c r="O4829" s="4" t="s">
        <v>4865</v>
      </c>
      <c r="P4829" s="4" t="s">
        <v>4860</v>
      </c>
      <c r="Q4829" s="1" t="str">
        <f>_xlfn.XLOOKUP(tblSales[[#This Row],[Channel Code]],tblChannels[Channel Code],tblChannels[Channel Name],"")</f>
        <v>In-store</v>
      </c>
      <c r="R4829" s="1">
        <f>MONTH(tblSales[[#This Row],[Date]])</f>
        <v>10</v>
      </c>
    </row>
    <row r="4830" spans="2:18" x14ac:dyDescent="0.35">
      <c r="B4830" s="113">
        <v>46316</v>
      </c>
      <c r="C4830" s="4" t="s">
        <v>3293</v>
      </c>
      <c r="D4830" s="4" t="s">
        <v>4568</v>
      </c>
      <c r="E4830" s="1" t="str">
        <f>_xlfn.XLOOKUP(tblSales[[#This Row],[Customer ID]],tblCustomers[Customer ID],tblCustomers[Customer Name],"⚠ Unknown")</f>
        <v>Walk-in Customer</v>
      </c>
      <c r="F4830" s="4" t="s">
        <v>6</v>
      </c>
      <c r="G4830" s="1" t="str">
        <f>_xlfn.XLOOKUP(tblSales[[#This Row],[Product Code]],tblProducts[Code],tblProducts[Product / Service Name],"⚠ Unknown")</f>
        <v>Socks &amp; Accessories</v>
      </c>
      <c r="H4830" s="1" t="str">
        <f>_xlfn.XLOOKUP(tblSales[[#This Row],[Product Code]],tblProducts[Code],tblProducts[Category],"")</f>
        <v>Accessories &amp; Basics</v>
      </c>
      <c r="I4830" s="4">
        <v>2</v>
      </c>
      <c r="J4830" s="5">
        <f>_xlfn.XLOOKUP(tblSales[[#This Row],[Product Code]],tblProducts[Code],tblProducts[Selling Price (excl. VAT)],0)</f>
        <v>45000</v>
      </c>
      <c r="K4830" s="5">
        <f>tblSales[[#This Row],[Qty]]*tblSales[[#This Row],[Unit Price]]</f>
        <v>90000</v>
      </c>
      <c r="L4830" s="5">
        <f>ROUND(tblSales[[#This Row],[DPP (excl. VAT)]]*VATEff,0)</f>
        <v>9900</v>
      </c>
      <c r="M4830" s="5">
        <f>tblSales[[#This Row],[DPP (excl. VAT)]]+tblSales[[#This Row],[Output VAT]]</f>
        <v>99900</v>
      </c>
      <c r="N4830" s="5">
        <f>tblSales[[#This Row],[Qty]]*_xlfn.XLOOKUP(tblSales[[#This Row],[Product Code]],tblProducts[Code],tblProducts[Unit Cost],0)</f>
        <v>48000</v>
      </c>
      <c r="O4830" s="4" t="s">
        <v>4865</v>
      </c>
      <c r="P4830" s="4" t="s">
        <v>4860</v>
      </c>
      <c r="Q4830" s="1" t="str">
        <f>_xlfn.XLOOKUP(tblSales[[#This Row],[Channel Code]],tblChannels[Channel Code],tblChannels[Channel Name],"")</f>
        <v>In-store</v>
      </c>
      <c r="R4830" s="1">
        <f>MONTH(tblSales[[#This Row],[Date]])</f>
        <v>10</v>
      </c>
    </row>
    <row r="4831" spans="2:18" x14ac:dyDescent="0.35">
      <c r="B4831" s="113">
        <v>46316</v>
      </c>
      <c r="C4831" s="4" t="s">
        <v>3294</v>
      </c>
      <c r="D4831" s="4" t="s">
        <v>4568</v>
      </c>
      <c r="E4831" s="1" t="str">
        <f>_xlfn.XLOOKUP(tblSales[[#This Row],[Customer ID]],tblCustomers[Customer ID],tblCustomers[Customer Name],"⚠ Unknown")</f>
        <v>Walk-in Customer</v>
      </c>
      <c r="F4831" s="4" t="s">
        <v>7</v>
      </c>
      <c r="G4831" s="1" t="str">
        <f>_xlfn.XLOOKUP(tblSales[[#This Row],[Product Code]],tblProducts[Code],tblProducts[Product / Service Name],"⚠ Unknown")</f>
        <v>Premium Basic T-shirt</v>
      </c>
      <c r="H4831" s="1" t="str">
        <f>_xlfn.XLOOKUP(tblSales[[#This Row],[Product Code]],tblProducts[Code],tblProducts[Category],"")</f>
        <v>Accessories &amp; Basics</v>
      </c>
      <c r="I4831" s="4">
        <v>5</v>
      </c>
      <c r="J4831" s="5">
        <f>_xlfn.XLOOKUP(tblSales[[#This Row],[Product Code]],tblProducts[Code],tblProducts[Selling Price (excl. VAT)],0)</f>
        <v>65000</v>
      </c>
      <c r="K4831" s="5">
        <f>tblSales[[#This Row],[Qty]]*tblSales[[#This Row],[Unit Price]]</f>
        <v>325000</v>
      </c>
      <c r="L4831" s="5">
        <f>ROUND(tblSales[[#This Row],[DPP (excl. VAT)]]*VATEff,0)</f>
        <v>35750</v>
      </c>
      <c r="M4831" s="5">
        <f>tblSales[[#This Row],[DPP (excl. VAT)]]+tblSales[[#This Row],[Output VAT]]</f>
        <v>360750</v>
      </c>
      <c r="N4831" s="5">
        <f>tblSales[[#This Row],[Qty]]*_xlfn.XLOOKUP(tblSales[[#This Row],[Product Code]],tblProducts[Code],tblProducts[Unit Cost],0)</f>
        <v>185000</v>
      </c>
      <c r="O4831" s="4" t="s">
        <v>4866</v>
      </c>
      <c r="P4831" s="4" t="s">
        <v>4862</v>
      </c>
      <c r="Q4831" s="1" t="str">
        <f>_xlfn.XLOOKUP(tblSales[[#This Row],[Channel Code]],tblChannels[Channel Code],tblChannels[Channel Name],"")</f>
        <v>Website &amp; Social Media</v>
      </c>
      <c r="R4831" s="1">
        <f>MONTH(tblSales[[#This Row],[Date]])</f>
        <v>10</v>
      </c>
    </row>
    <row r="4832" spans="2:18" x14ac:dyDescent="0.35">
      <c r="B4832" s="113">
        <v>46316</v>
      </c>
      <c r="C4832" s="4" t="s">
        <v>3294</v>
      </c>
      <c r="D4832" s="4" t="s">
        <v>4568</v>
      </c>
      <c r="E4832" s="1" t="str">
        <f>_xlfn.XLOOKUP(tblSales[[#This Row],[Customer ID]],tblCustomers[Customer ID],tblCustomers[Customer Name],"⚠ Unknown")</f>
        <v>Walk-in Customer</v>
      </c>
      <c r="F4832" s="4" t="s">
        <v>6</v>
      </c>
      <c r="G4832" s="1" t="str">
        <f>_xlfn.XLOOKUP(tblSales[[#This Row],[Product Code]],tblProducts[Code],tblProducts[Product / Service Name],"⚠ Unknown")</f>
        <v>Socks &amp; Accessories</v>
      </c>
      <c r="H4832" s="1" t="str">
        <f>_xlfn.XLOOKUP(tblSales[[#This Row],[Product Code]],tblProducts[Code],tblProducts[Category],"")</f>
        <v>Accessories &amp; Basics</v>
      </c>
      <c r="I4832" s="4">
        <v>2</v>
      </c>
      <c r="J4832" s="5">
        <f>_xlfn.XLOOKUP(tblSales[[#This Row],[Product Code]],tblProducts[Code],tblProducts[Selling Price (excl. VAT)],0)</f>
        <v>45000</v>
      </c>
      <c r="K4832" s="5">
        <f>tblSales[[#This Row],[Qty]]*tblSales[[#This Row],[Unit Price]]</f>
        <v>90000</v>
      </c>
      <c r="L4832" s="5">
        <f>ROUND(tblSales[[#This Row],[DPP (excl. VAT)]]*VATEff,0)</f>
        <v>9900</v>
      </c>
      <c r="M4832" s="5">
        <f>tblSales[[#This Row],[DPP (excl. VAT)]]+tblSales[[#This Row],[Output VAT]]</f>
        <v>99900</v>
      </c>
      <c r="N4832" s="5">
        <f>tblSales[[#This Row],[Qty]]*_xlfn.XLOOKUP(tblSales[[#This Row],[Product Code]],tblProducts[Code],tblProducts[Unit Cost],0)</f>
        <v>48000</v>
      </c>
      <c r="O4832" s="4" t="s">
        <v>4866</v>
      </c>
      <c r="P4832" s="4" t="s">
        <v>4862</v>
      </c>
      <c r="Q4832" s="1" t="str">
        <f>_xlfn.XLOOKUP(tblSales[[#This Row],[Channel Code]],tblChannels[Channel Code],tblChannels[Channel Name],"")</f>
        <v>Website &amp; Social Media</v>
      </c>
      <c r="R4832" s="1">
        <f>MONTH(tblSales[[#This Row],[Date]])</f>
        <v>10</v>
      </c>
    </row>
    <row r="4833" spans="2:18" x14ac:dyDescent="0.35">
      <c r="B4833" s="113">
        <v>46316</v>
      </c>
      <c r="C4833" s="4" t="s">
        <v>3295</v>
      </c>
      <c r="D4833" s="4" t="s">
        <v>4568</v>
      </c>
      <c r="E4833" s="1" t="str">
        <f>_xlfn.XLOOKUP(tblSales[[#This Row],[Customer ID]],tblCustomers[Customer ID],tblCustomers[Customer Name],"⚠ Unknown")</f>
        <v>Walk-in Customer</v>
      </c>
      <c r="F4833" s="4" t="s">
        <v>7</v>
      </c>
      <c r="G4833" s="1" t="str">
        <f>_xlfn.XLOOKUP(tblSales[[#This Row],[Product Code]],tblProducts[Code],tblProducts[Product / Service Name],"⚠ Unknown")</f>
        <v>Premium Basic T-shirt</v>
      </c>
      <c r="H4833" s="1" t="str">
        <f>_xlfn.XLOOKUP(tblSales[[#This Row],[Product Code]],tblProducts[Code],tblProducts[Category],"")</f>
        <v>Accessories &amp; Basics</v>
      </c>
      <c r="I4833" s="4">
        <v>10</v>
      </c>
      <c r="J4833" s="5">
        <f>_xlfn.XLOOKUP(tblSales[[#This Row],[Product Code]],tblProducts[Code],tblProducts[Selling Price (excl. VAT)],0)</f>
        <v>65000</v>
      </c>
      <c r="K4833" s="5">
        <f>tblSales[[#This Row],[Qty]]*tblSales[[#This Row],[Unit Price]]</f>
        <v>650000</v>
      </c>
      <c r="L4833" s="5">
        <f>ROUND(tblSales[[#This Row],[DPP (excl. VAT)]]*VATEff,0)</f>
        <v>71500</v>
      </c>
      <c r="M4833" s="5">
        <f>tblSales[[#This Row],[DPP (excl. VAT)]]+tblSales[[#This Row],[Output VAT]]</f>
        <v>721500</v>
      </c>
      <c r="N4833" s="5">
        <f>tblSales[[#This Row],[Qty]]*_xlfn.XLOOKUP(tblSales[[#This Row],[Product Code]],tblProducts[Code],tblProducts[Unit Cost],0)</f>
        <v>370000</v>
      </c>
      <c r="O4833" s="4" t="s">
        <v>4866</v>
      </c>
      <c r="P4833" s="4" t="s">
        <v>4861</v>
      </c>
      <c r="Q4833" s="1" t="str">
        <f>_xlfn.XLOOKUP(tblSales[[#This Row],[Channel Code]],tblChannels[Channel Code],tblChannels[Channel Name],"")</f>
        <v>Marketplace</v>
      </c>
      <c r="R4833" s="1">
        <f>MONTH(tblSales[[#This Row],[Date]])</f>
        <v>10</v>
      </c>
    </row>
    <row r="4834" spans="2:18" x14ac:dyDescent="0.35">
      <c r="B4834" s="113">
        <v>46316</v>
      </c>
      <c r="C4834" s="4" t="s">
        <v>3296</v>
      </c>
      <c r="D4834" s="4" t="s">
        <v>4568</v>
      </c>
      <c r="E4834" s="1" t="str">
        <f>_xlfn.XLOOKUP(tblSales[[#This Row],[Customer ID]],tblCustomers[Customer ID],tblCustomers[Customer Name],"⚠ Unknown")</f>
        <v>Walk-in Customer</v>
      </c>
      <c r="F4834" s="4" t="s">
        <v>10</v>
      </c>
      <c r="G4834" s="1" t="str">
        <f>_xlfn.XLOOKUP(tblSales[[#This Row],[Product Code]],tblProducts[Code],tblProducts[Product / Service Name],"⚠ Unknown")</f>
        <v>Chino Pants</v>
      </c>
      <c r="H4834" s="1" t="str">
        <f>_xlfn.XLOOKUP(tblSales[[#This Row],[Product Code]],tblProducts[Code],tblProducts[Category],"")</f>
        <v>Apparel &amp; Footwear</v>
      </c>
      <c r="I4834" s="4">
        <v>10</v>
      </c>
      <c r="J4834" s="5">
        <f>_xlfn.XLOOKUP(tblSales[[#This Row],[Product Code]],tblProducts[Code],tblProducts[Selling Price (excl. VAT)],0)</f>
        <v>150000</v>
      </c>
      <c r="K4834" s="5">
        <f>tblSales[[#This Row],[Qty]]*tblSales[[#This Row],[Unit Price]]</f>
        <v>1500000</v>
      </c>
      <c r="L4834" s="5">
        <f>ROUND(tblSales[[#This Row],[DPP (excl. VAT)]]*VATEff,0)</f>
        <v>165000</v>
      </c>
      <c r="M4834" s="5">
        <f>tblSales[[#This Row],[DPP (excl. VAT)]]+tblSales[[#This Row],[Output VAT]]</f>
        <v>1665000</v>
      </c>
      <c r="N4834" s="5">
        <f>tblSales[[#This Row],[Qty]]*_xlfn.XLOOKUP(tblSales[[#This Row],[Product Code]],tblProducts[Code],tblProducts[Unit Cost],0)</f>
        <v>880000</v>
      </c>
      <c r="O4834" s="4" t="s">
        <v>4865</v>
      </c>
      <c r="P4834" s="4" t="s">
        <v>4860</v>
      </c>
      <c r="Q4834" s="1" t="str">
        <f>_xlfn.XLOOKUP(tblSales[[#This Row],[Channel Code]],tblChannels[Channel Code],tblChannels[Channel Name],"")</f>
        <v>In-store</v>
      </c>
      <c r="R4834" s="1">
        <f>MONTH(tblSales[[#This Row],[Date]])</f>
        <v>10</v>
      </c>
    </row>
    <row r="4835" spans="2:18" x14ac:dyDescent="0.35">
      <c r="B4835" s="113">
        <v>46316</v>
      </c>
      <c r="C4835" s="4" t="s">
        <v>3297</v>
      </c>
      <c r="D4835" s="4" t="s">
        <v>4568</v>
      </c>
      <c r="E4835" s="1" t="str">
        <f>_xlfn.XLOOKUP(tblSales[[#This Row],[Customer ID]],tblCustomers[Customer ID],tblCustomers[Customer Name],"⚠ Unknown")</f>
        <v>Walk-in Customer</v>
      </c>
      <c r="F4835" s="4" t="s">
        <v>10</v>
      </c>
      <c r="G4835" s="1" t="str">
        <f>_xlfn.XLOOKUP(tblSales[[#This Row],[Product Code]],tblProducts[Code],tblProducts[Product / Service Name],"⚠ Unknown")</f>
        <v>Chino Pants</v>
      </c>
      <c r="H4835" s="1" t="str">
        <f>_xlfn.XLOOKUP(tblSales[[#This Row],[Product Code]],tblProducts[Code],tblProducts[Category],"")</f>
        <v>Apparel &amp; Footwear</v>
      </c>
      <c r="I4835" s="4">
        <v>3</v>
      </c>
      <c r="J4835" s="5">
        <f>_xlfn.XLOOKUP(tblSales[[#This Row],[Product Code]],tblProducts[Code],tblProducts[Selling Price (excl. VAT)],0)</f>
        <v>150000</v>
      </c>
      <c r="K4835" s="5">
        <f>tblSales[[#This Row],[Qty]]*tblSales[[#This Row],[Unit Price]]</f>
        <v>450000</v>
      </c>
      <c r="L4835" s="5">
        <f>ROUND(tblSales[[#This Row],[DPP (excl. VAT)]]*VATEff,0)</f>
        <v>49500</v>
      </c>
      <c r="M4835" s="5">
        <f>tblSales[[#This Row],[DPP (excl. VAT)]]+tblSales[[#This Row],[Output VAT]]</f>
        <v>499500</v>
      </c>
      <c r="N4835" s="5">
        <f>tblSales[[#This Row],[Qty]]*_xlfn.XLOOKUP(tblSales[[#This Row],[Product Code]],tblProducts[Code],tblProducts[Unit Cost],0)</f>
        <v>264000</v>
      </c>
      <c r="O4835" s="4" t="s">
        <v>4865</v>
      </c>
      <c r="P4835" s="4" t="s">
        <v>4860</v>
      </c>
      <c r="Q4835" s="1" t="str">
        <f>_xlfn.XLOOKUP(tblSales[[#This Row],[Channel Code]],tblChannels[Channel Code],tblChannels[Channel Name],"")</f>
        <v>In-store</v>
      </c>
      <c r="R4835" s="1">
        <f>MONTH(tblSales[[#This Row],[Date]])</f>
        <v>10</v>
      </c>
    </row>
    <row r="4836" spans="2:18" x14ac:dyDescent="0.35">
      <c r="B4836" s="113">
        <v>46316</v>
      </c>
      <c r="C4836" s="4" t="s">
        <v>3298</v>
      </c>
      <c r="D4836" s="4" t="s">
        <v>4568</v>
      </c>
      <c r="E4836" s="1" t="str">
        <f>_xlfn.XLOOKUP(tblSales[[#This Row],[Customer ID]],tblCustomers[Customer ID],tblCustomers[Customer Name],"⚠ Unknown")</f>
        <v>Walk-in Customer</v>
      </c>
      <c r="F4836" s="4" t="s">
        <v>13</v>
      </c>
      <c r="G4836" s="1" t="str">
        <f>_xlfn.XLOOKUP(tblSales[[#This Row],[Product Code]],tblProducts[Code],tblProducts[Product / Service Name],"⚠ Unknown")</f>
        <v>Backpack</v>
      </c>
      <c r="H4836" s="1" t="str">
        <f>_xlfn.XLOOKUP(tblSales[[#This Row],[Product Code]],tblProducts[Code],tblProducts[Category],"")</f>
        <v>Bags &amp; Gadgets</v>
      </c>
      <c r="I4836" s="4">
        <v>3</v>
      </c>
      <c r="J4836" s="5">
        <f>_xlfn.XLOOKUP(tblSales[[#This Row],[Product Code]],tblProducts[Code],tblProducts[Selling Price (excl. VAT)],0)</f>
        <v>500000</v>
      </c>
      <c r="K4836" s="5">
        <f>tblSales[[#This Row],[Qty]]*tblSales[[#This Row],[Unit Price]]</f>
        <v>1500000</v>
      </c>
      <c r="L4836" s="5">
        <f>ROUND(tblSales[[#This Row],[DPP (excl. VAT)]]*VATEff,0)</f>
        <v>165000</v>
      </c>
      <c r="M4836" s="5">
        <f>tblSales[[#This Row],[DPP (excl. VAT)]]+tblSales[[#This Row],[Output VAT]]</f>
        <v>1665000</v>
      </c>
      <c r="N4836" s="5">
        <f>tblSales[[#This Row],[Qty]]*_xlfn.XLOOKUP(tblSales[[#This Row],[Product Code]],tblProducts[Code],tblProducts[Unit Cost],0)</f>
        <v>870000</v>
      </c>
      <c r="O4836" s="4" t="s">
        <v>4866</v>
      </c>
      <c r="P4836" s="4" t="s">
        <v>4861</v>
      </c>
      <c r="Q4836" s="1" t="str">
        <f>_xlfn.XLOOKUP(tblSales[[#This Row],[Channel Code]],tblChannels[Channel Code],tblChannels[Channel Name],"")</f>
        <v>Marketplace</v>
      </c>
      <c r="R4836" s="1">
        <f>MONTH(tblSales[[#This Row],[Date]])</f>
        <v>10</v>
      </c>
    </row>
    <row r="4837" spans="2:18" x14ac:dyDescent="0.35">
      <c r="B4837" s="113">
        <v>46316</v>
      </c>
      <c r="C4837" s="4" t="s">
        <v>3299</v>
      </c>
      <c r="D4837" s="4" t="s">
        <v>4568</v>
      </c>
      <c r="E4837" s="1" t="str">
        <f>_xlfn.XLOOKUP(tblSales[[#This Row],[Customer ID]],tblCustomers[Customer ID],tblCustomers[Customer Name],"⚠ Unknown")</f>
        <v>Walk-in Customer</v>
      </c>
      <c r="F4837" s="4" t="s">
        <v>14</v>
      </c>
      <c r="G4837" s="1" t="str">
        <f>_xlfn.XLOOKUP(tblSales[[#This Row],[Product Code]],tblProducts[Code],tblProducts[Product / Service Name],"⚠ Unknown")</f>
        <v>Smartwatch</v>
      </c>
      <c r="H4837" s="1" t="str">
        <f>_xlfn.XLOOKUP(tblSales[[#This Row],[Product Code]],tblProducts[Code],tblProducts[Category],"")</f>
        <v>Bags &amp; Gadgets</v>
      </c>
      <c r="I4837" s="4">
        <v>1</v>
      </c>
      <c r="J4837" s="5">
        <f>_xlfn.XLOOKUP(tblSales[[#This Row],[Product Code]],tblProducts[Code],tblProducts[Selling Price (excl. VAT)],0)</f>
        <v>850000</v>
      </c>
      <c r="K4837" s="5">
        <f>tblSales[[#This Row],[Qty]]*tblSales[[#This Row],[Unit Price]]</f>
        <v>850000</v>
      </c>
      <c r="L4837" s="5">
        <f>ROUND(tblSales[[#This Row],[DPP (excl. VAT)]]*VATEff,0)</f>
        <v>93500</v>
      </c>
      <c r="M4837" s="5">
        <f>tblSales[[#This Row],[DPP (excl. VAT)]]+tblSales[[#This Row],[Output VAT]]</f>
        <v>943500</v>
      </c>
      <c r="N4837" s="5">
        <f>tblSales[[#This Row],[Qty]]*_xlfn.XLOOKUP(tblSales[[#This Row],[Product Code]],tblProducts[Code],tblProducts[Unit Cost],0)</f>
        <v>560000</v>
      </c>
      <c r="O4837" s="4" t="s">
        <v>4865</v>
      </c>
      <c r="P4837" s="4" t="s">
        <v>4860</v>
      </c>
      <c r="Q4837" s="1" t="str">
        <f>_xlfn.XLOOKUP(tblSales[[#This Row],[Channel Code]],tblChannels[Channel Code],tblChannels[Channel Name],"")</f>
        <v>In-store</v>
      </c>
      <c r="R4837" s="1">
        <f>MONTH(tblSales[[#This Row],[Date]])</f>
        <v>10</v>
      </c>
    </row>
    <row r="4838" spans="2:18" x14ac:dyDescent="0.35">
      <c r="B4838" s="113">
        <v>46316</v>
      </c>
      <c r="C4838" s="4" t="s">
        <v>3299</v>
      </c>
      <c r="D4838" s="4" t="s">
        <v>4568</v>
      </c>
      <c r="E4838" s="1" t="str">
        <f>_xlfn.XLOOKUP(tblSales[[#This Row],[Customer ID]],tblCustomers[Customer ID],tblCustomers[Customer Name],"⚠ Unknown")</f>
        <v>Walk-in Customer</v>
      </c>
      <c r="F4838" s="4" t="s">
        <v>13</v>
      </c>
      <c r="G4838" s="1" t="str">
        <f>_xlfn.XLOOKUP(tblSales[[#This Row],[Product Code]],tblProducts[Code],tblProducts[Product / Service Name],"⚠ Unknown")</f>
        <v>Backpack</v>
      </c>
      <c r="H4838" s="1" t="str">
        <f>_xlfn.XLOOKUP(tblSales[[#This Row],[Product Code]],tblProducts[Code],tblProducts[Category],"")</f>
        <v>Bags &amp; Gadgets</v>
      </c>
      <c r="I4838" s="4">
        <v>3</v>
      </c>
      <c r="J4838" s="5">
        <f>_xlfn.XLOOKUP(tblSales[[#This Row],[Product Code]],tblProducts[Code],tblProducts[Selling Price (excl. VAT)],0)</f>
        <v>500000</v>
      </c>
      <c r="K4838" s="5">
        <f>tblSales[[#This Row],[Qty]]*tblSales[[#This Row],[Unit Price]]</f>
        <v>1500000</v>
      </c>
      <c r="L4838" s="5">
        <f>ROUND(tblSales[[#This Row],[DPP (excl. VAT)]]*VATEff,0)</f>
        <v>165000</v>
      </c>
      <c r="M4838" s="5">
        <f>tblSales[[#This Row],[DPP (excl. VAT)]]+tblSales[[#This Row],[Output VAT]]</f>
        <v>1665000</v>
      </c>
      <c r="N4838" s="5">
        <f>tblSales[[#This Row],[Qty]]*_xlfn.XLOOKUP(tblSales[[#This Row],[Product Code]],tblProducts[Code],tblProducts[Unit Cost],0)</f>
        <v>870000</v>
      </c>
      <c r="O4838" s="4" t="s">
        <v>4865</v>
      </c>
      <c r="P4838" s="4" t="s">
        <v>4860</v>
      </c>
      <c r="Q4838" s="1" t="str">
        <f>_xlfn.XLOOKUP(tblSales[[#This Row],[Channel Code]],tblChannels[Channel Code],tblChannels[Channel Name],"")</f>
        <v>In-store</v>
      </c>
      <c r="R4838" s="1">
        <f>MONTH(tblSales[[#This Row],[Date]])</f>
        <v>10</v>
      </c>
    </row>
    <row r="4839" spans="2:18" x14ac:dyDescent="0.35">
      <c r="B4839" s="113">
        <v>46316</v>
      </c>
      <c r="C4839" s="4" t="s">
        <v>3300</v>
      </c>
      <c r="D4839" s="4" t="s">
        <v>4634</v>
      </c>
      <c r="E4839" s="1" t="str">
        <f>_xlfn.XLOOKUP(tblSales[[#This Row],[Customer ID]],tblCustomers[Customer ID],tblCustomers[Customer Name],"⚠ Unknown")</f>
        <v>PT Delta Inti Selaras</v>
      </c>
      <c r="F4839" s="4" t="s">
        <v>6</v>
      </c>
      <c r="G4839" s="1" t="str">
        <f>_xlfn.XLOOKUP(tblSales[[#This Row],[Product Code]],tblProducts[Code],tblProducts[Product / Service Name],"⚠ Unknown")</f>
        <v>Socks &amp; Accessories</v>
      </c>
      <c r="H4839" s="1" t="str">
        <f>_xlfn.XLOOKUP(tblSales[[#This Row],[Product Code]],tblProducts[Code],tblProducts[Category],"")</f>
        <v>Accessories &amp; Basics</v>
      </c>
      <c r="I4839" s="4">
        <v>56</v>
      </c>
      <c r="J4839" s="5">
        <f>_xlfn.XLOOKUP(tblSales[[#This Row],[Product Code]],tblProducts[Code],tblProducts[Selling Price (excl. VAT)],0)</f>
        <v>45000</v>
      </c>
      <c r="K4839" s="5">
        <f>tblSales[[#This Row],[Qty]]*tblSales[[#This Row],[Unit Price]]</f>
        <v>2520000</v>
      </c>
      <c r="L4839" s="5">
        <f>ROUND(tblSales[[#This Row],[DPP (excl. VAT)]]*VATEff,0)</f>
        <v>277200</v>
      </c>
      <c r="M4839" s="5">
        <f>tblSales[[#This Row],[DPP (excl. VAT)]]+tblSales[[#This Row],[Output VAT]]</f>
        <v>2797200</v>
      </c>
      <c r="N4839" s="5">
        <f>tblSales[[#This Row],[Qty]]*_xlfn.XLOOKUP(tblSales[[#This Row],[Product Code]],tblProducts[Code],tblProducts[Unit Cost],0)</f>
        <v>1344000</v>
      </c>
      <c r="O4839" s="4" t="s">
        <v>4867</v>
      </c>
      <c r="P4839" s="4" t="s">
        <v>4860</v>
      </c>
      <c r="Q4839" s="1" t="str">
        <f>_xlfn.XLOOKUP(tblSales[[#This Row],[Channel Code]],tblChannels[Channel Code],tblChannels[Channel Name],"")</f>
        <v>In-store</v>
      </c>
      <c r="R4839" s="1">
        <f>MONTH(tblSales[[#This Row],[Date]])</f>
        <v>10</v>
      </c>
    </row>
    <row r="4840" spans="2:18" x14ac:dyDescent="0.35">
      <c r="B4840" s="113">
        <v>46317</v>
      </c>
      <c r="C4840" s="4" t="s">
        <v>3301</v>
      </c>
      <c r="D4840" s="4" t="s">
        <v>4648</v>
      </c>
      <c r="E4840" s="1" t="str">
        <f>_xlfn.XLOOKUP(tblSales[[#This Row],[Customer ID]],tblCustomers[Customer ID],tblCustomers[Customer Name],"⚠ Unknown")</f>
        <v>PT Lintas Benua Niaga</v>
      </c>
      <c r="F4840" s="4" t="s">
        <v>12</v>
      </c>
      <c r="G4840" s="1" t="str">
        <f>_xlfn.XLOOKUP(tblSales[[#This Row],[Product Code]],tblProducts[Code],tblProducts[Product / Service Name],"⚠ Unknown")</f>
        <v>Bomber Jacket</v>
      </c>
      <c r="H4840" s="1" t="str">
        <f>_xlfn.XLOOKUP(tblSales[[#This Row],[Product Code]],tblProducts[Code],tblProducts[Category],"")</f>
        <v>Apparel &amp; Footwear</v>
      </c>
      <c r="I4840" s="4">
        <v>48</v>
      </c>
      <c r="J4840" s="5">
        <f>_xlfn.XLOOKUP(tblSales[[#This Row],[Product Code]],tblProducts[Code],tblProducts[Selling Price (excl. VAT)],0)</f>
        <v>350000</v>
      </c>
      <c r="K4840" s="5">
        <f>tblSales[[#This Row],[Qty]]*tblSales[[#This Row],[Unit Price]]</f>
        <v>16800000</v>
      </c>
      <c r="L4840" s="5">
        <f>ROUND(tblSales[[#This Row],[DPP (excl. VAT)]]*VATEff,0)</f>
        <v>1848000</v>
      </c>
      <c r="M4840" s="5">
        <f>tblSales[[#This Row],[DPP (excl. VAT)]]+tblSales[[#This Row],[Output VAT]]</f>
        <v>18648000</v>
      </c>
      <c r="N4840" s="5">
        <f>tblSales[[#This Row],[Qty]]*_xlfn.XLOOKUP(tblSales[[#This Row],[Product Code]],tblProducts[Code],tblProducts[Unit Cost],0)</f>
        <v>10080000</v>
      </c>
      <c r="O4840" s="4" t="s">
        <v>4867</v>
      </c>
      <c r="P4840" s="4" t="s">
        <v>4860</v>
      </c>
      <c r="Q4840" s="1" t="str">
        <f>_xlfn.XLOOKUP(tblSales[[#This Row],[Channel Code]],tblChannels[Channel Code],tblChannels[Channel Name],"")</f>
        <v>In-store</v>
      </c>
      <c r="R4840" s="1">
        <f>MONTH(tblSales[[#This Row],[Date]])</f>
        <v>10</v>
      </c>
    </row>
    <row r="4841" spans="2:18" x14ac:dyDescent="0.35">
      <c r="B4841" s="113">
        <v>46317</v>
      </c>
      <c r="C4841" s="4" t="s">
        <v>3302</v>
      </c>
      <c r="D4841" s="4" t="s">
        <v>4572</v>
      </c>
      <c r="E4841" s="1" t="str">
        <f>_xlfn.XLOOKUP(tblSales[[#This Row],[Customer ID]],tblCustomers[Customer ID],tblCustomers[Customer Name],"⚠ Unknown")</f>
        <v>PT Cahaya Abadi Makmur</v>
      </c>
      <c r="F4841" s="4" t="s">
        <v>10</v>
      </c>
      <c r="G4841" s="1" t="str">
        <f>_xlfn.XLOOKUP(tblSales[[#This Row],[Product Code]],tblProducts[Code],tblProducts[Product / Service Name],"⚠ Unknown")</f>
        <v>Chino Pants</v>
      </c>
      <c r="H4841" s="1" t="str">
        <f>_xlfn.XLOOKUP(tblSales[[#This Row],[Product Code]],tblProducts[Code],tblProducts[Category],"")</f>
        <v>Apparel &amp; Footwear</v>
      </c>
      <c r="I4841" s="4">
        <v>80</v>
      </c>
      <c r="J4841" s="5">
        <f>_xlfn.XLOOKUP(tblSales[[#This Row],[Product Code]],tblProducts[Code],tblProducts[Selling Price (excl. VAT)],0)</f>
        <v>150000</v>
      </c>
      <c r="K4841" s="5">
        <f>tblSales[[#This Row],[Qty]]*tblSales[[#This Row],[Unit Price]]</f>
        <v>12000000</v>
      </c>
      <c r="L4841" s="5">
        <f>ROUND(tblSales[[#This Row],[DPP (excl. VAT)]]*VATEff,0)</f>
        <v>1320000</v>
      </c>
      <c r="M4841" s="5">
        <f>tblSales[[#This Row],[DPP (excl. VAT)]]+tblSales[[#This Row],[Output VAT]]</f>
        <v>13320000</v>
      </c>
      <c r="N4841" s="5">
        <f>tblSales[[#This Row],[Qty]]*_xlfn.XLOOKUP(tblSales[[#This Row],[Product Code]],tblProducts[Code],tblProducts[Unit Cost],0)</f>
        <v>7040000</v>
      </c>
      <c r="O4841" s="4" t="s">
        <v>4867</v>
      </c>
      <c r="P4841" s="4" t="s">
        <v>4860</v>
      </c>
      <c r="Q4841" s="1" t="str">
        <f>_xlfn.XLOOKUP(tblSales[[#This Row],[Channel Code]],tblChannels[Channel Code],tblChannels[Channel Name],"")</f>
        <v>In-store</v>
      </c>
      <c r="R4841" s="1">
        <f>MONTH(tblSales[[#This Row],[Date]])</f>
        <v>10</v>
      </c>
    </row>
    <row r="4842" spans="2:18" x14ac:dyDescent="0.35">
      <c r="B4842" s="113">
        <v>46317</v>
      </c>
      <c r="C4842" s="4" t="s">
        <v>3303</v>
      </c>
      <c r="D4842" s="4" t="s">
        <v>4620</v>
      </c>
      <c r="E4842" s="1" t="str">
        <f>_xlfn.XLOOKUP(tblSales[[#This Row],[Customer ID]],tblCustomers[Customer ID],tblCustomers[Customer Name],"⚠ Unknown")</f>
        <v>CV Sumber Rejeki Utama</v>
      </c>
      <c r="F4842" s="4" t="s">
        <v>13</v>
      </c>
      <c r="G4842" s="1" t="str">
        <f>_xlfn.XLOOKUP(tblSales[[#This Row],[Product Code]],tblProducts[Code],tblProducts[Product / Service Name],"⚠ Unknown")</f>
        <v>Backpack</v>
      </c>
      <c r="H4842" s="1" t="str">
        <f>_xlfn.XLOOKUP(tblSales[[#This Row],[Product Code]],tblProducts[Code],tblProducts[Category],"")</f>
        <v>Bags &amp; Gadgets</v>
      </c>
      <c r="I4842" s="4">
        <v>24</v>
      </c>
      <c r="J4842" s="5">
        <f>_xlfn.XLOOKUP(tblSales[[#This Row],[Product Code]],tblProducts[Code],tblProducts[Selling Price (excl. VAT)],0)</f>
        <v>500000</v>
      </c>
      <c r="K4842" s="5">
        <f>tblSales[[#This Row],[Qty]]*tblSales[[#This Row],[Unit Price]]</f>
        <v>12000000</v>
      </c>
      <c r="L4842" s="5">
        <f>ROUND(tblSales[[#This Row],[DPP (excl. VAT)]]*VATEff,0)</f>
        <v>1320000</v>
      </c>
      <c r="M4842" s="5">
        <f>tblSales[[#This Row],[DPP (excl. VAT)]]+tblSales[[#This Row],[Output VAT]]</f>
        <v>13320000</v>
      </c>
      <c r="N4842" s="5">
        <f>tblSales[[#This Row],[Qty]]*_xlfn.XLOOKUP(tblSales[[#This Row],[Product Code]],tblProducts[Code],tblProducts[Unit Cost],0)</f>
        <v>6960000</v>
      </c>
      <c r="O4842" s="4" t="s">
        <v>4867</v>
      </c>
      <c r="P4842" s="4" t="s">
        <v>4862</v>
      </c>
      <c r="Q4842" s="1" t="str">
        <f>_xlfn.XLOOKUP(tblSales[[#This Row],[Channel Code]],tblChannels[Channel Code],tblChannels[Channel Name],"")</f>
        <v>Website &amp; Social Media</v>
      </c>
      <c r="R4842" s="1">
        <f>MONTH(tblSales[[#This Row],[Date]])</f>
        <v>10</v>
      </c>
    </row>
    <row r="4843" spans="2:18" x14ac:dyDescent="0.35">
      <c r="B4843" s="113">
        <v>46317</v>
      </c>
      <c r="C4843" s="4" t="s">
        <v>3303</v>
      </c>
      <c r="D4843" s="4" t="s">
        <v>4620</v>
      </c>
      <c r="E4843" s="1" t="str">
        <f>_xlfn.XLOOKUP(tblSales[[#This Row],[Customer ID]],tblCustomers[Customer ID],tblCustomers[Customer Name],"⚠ Unknown")</f>
        <v>CV Sumber Rejeki Utama</v>
      </c>
      <c r="F4843" s="4" t="s">
        <v>11</v>
      </c>
      <c r="G4843" s="1" t="str">
        <f>_xlfn.XLOOKUP(tblSales[[#This Row],[Product Code]],tblProducts[Code],tblProducts[Product / Service Name],"⚠ Unknown")</f>
        <v>Sneakers</v>
      </c>
      <c r="H4843" s="1" t="str">
        <f>_xlfn.XLOOKUP(tblSales[[#This Row],[Product Code]],tblProducts[Code],tblProducts[Category],"")</f>
        <v>Apparel &amp; Footwear</v>
      </c>
      <c r="I4843" s="4">
        <v>24</v>
      </c>
      <c r="J4843" s="5">
        <f>_xlfn.XLOOKUP(tblSales[[#This Row],[Product Code]],tblProducts[Code],tblProducts[Selling Price (excl. VAT)],0)</f>
        <v>250000</v>
      </c>
      <c r="K4843" s="5">
        <f>tblSales[[#This Row],[Qty]]*tblSales[[#This Row],[Unit Price]]</f>
        <v>6000000</v>
      </c>
      <c r="L4843" s="5">
        <f>ROUND(tblSales[[#This Row],[DPP (excl. VAT)]]*VATEff,0)</f>
        <v>660000</v>
      </c>
      <c r="M4843" s="5">
        <f>tblSales[[#This Row],[DPP (excl. VAT)]]+tblSales[[#This Row],[Output VAT]]</f>
        <v>6660000</v>
      </c>
      <c r="N4843" s="5">
        <f>tblSales[[#This Row],[Qty]]*_xlfn.XLOOKUP(tblSales[[#This Row],[Product Code]],tblProducts[Code],tblProducts[Unit Cost],0)</f>
        <v>3720000</v>
      </c>
      <c r="O4843" s="4" t="s">
        <v>4867</v>
      </c>
      <c r="P4843" s="4" t="s">
        <v>4862</v>
      </c>
      <c r="Q4843" s="1" t="str">
        <f>_xlfn.XLOOKUP(tblSales[[#This Row],[Channel Code]],tblChannels[Channel Code],tblChannels[Channel Name],"")</f>
        <v>Website &amp; Social Media</v>
      </c>
      <c r="R4843" s="1">
        <f>MONTH(tblSales[[#This Row],[Date]])</f>
        <v>10</v>
      </c>
    </row>
    <row r="4844" spans="2:18" x14ac:dyDescent="0.35">
      <c r="B4844" s="113">
        <v>46317</v>
      </c>
      <c r="C4844" s="4" t="s">
        <v>3304</v>
      </c>
      <c r="D4844" s="4" t="s">
        <v>4568</v>
      </c>
      <c r="E4844" s="1" t="str">
        <f>_xlfn.XLOOKUP(tblSales[[#This Row],[Customer ID]],tblCustomers[Customer ID],tblCustomers[Customer Name],"⚠ Unknown")</f>
        <v>Walk-in Customer</v>
      </c>
      <c r="F4844" s="4" t="s">
        <v>7</v>
      </c>
      <c r="G4844" s="1" t="str">
        <f>_xlfn.XLOOKUP(tblSales[[#This Row],[Product Code]],tblProducts[Code],tblProducts[Product / Service Name],"⚠ Unknown")</f>
        <v>Premium Basic T-shirt</v>
      </c>
      <c r="H4844" s="1" t="str">
        <f>_xlfn.XLOOKUP(tblSales[[#This Row],[Product Code]],tblProducts[Code],tblProducts[Category],"")</f>
        <v>Accessories &amp; Basics</v>
      </c>
      <c r="I4844" s="4">
        <v>8</v>
      </c>
      <c r="J4844" s="5">
        <f>_xlfn.XLOOKUP(tblSales[[#This Row],[Product Code]],tblProducts[Code],tblProducts[Selling Price (excl. VAT)],0)</f>
        <v>65000</v>
      </c>
      <c r="K4844" s="5">
        <f>tblSales[[#This Row],[Qty]]*tblSales[[#This Row],[Unit Price]]</f>
        <v>520000</v>
      </c>
      <c r="L4844" s="5">
        <f>ROUND(tblSales[[#This Row],[DPP (excl. VAT)]]*VATEff,0)</f>
        <v>57200</v>
      </c>
      <c r="M4844" s="5">
        <f>tblSales[[#This Row],[DPP (excl. VAT)]]+tblSales[[#This Row],[Output VAT]]</f>
        <v>577200</v>
      </c>
      <c r="N4844" s="5">
        <f>tblSales[[#This Row],[Qty]]*_xlfn.XLOOKUP(tblSales[[#This Row],[Product Code]],tblProducts[Code],tblProducts[Unit Cost],0)</f>
        <v>296000</v>
      </c>
      <c r="O4844" s="4" t="s">
        <v>4866</v>
      </c>
      <c r="P4844" s="4" t="s">
        <v>4862</v>
      </c>
      <c r="Q4844" s="1" t="str">
        <f>_xlfn.XLOOKUP(tblSales[[#This Row],[Channel Code]],tblChannels[Channel Code],tblChannels[Channel Name],"")</f>
        <v>Website &amp; Social Media</v>
      </c>
      <c r="R4844" s="1">
        <f>MONTH(tblSales[[#This Row],[Date]])</f>
        <v>10</v>
      </c>
    </row>
    <row r="4845" spans="2:18" x14ac:dyDescent="0.35">
      <c r="B4845" s="113">
        <v>46317</v>
      </c>
      <c r="C4845" s="4" t="s">
        <v>3305</v>
      </c>
      <c r="D4845" s="4" t="s">
        <v>4648</v>
      </c>
      <c r="E4845" s="1" t="str">
        <f>_xlfn.XLOOKUP(tblSales[[#This Row],[Customer ID]],tblCustomers[Customer ID],tblCustomers[Customer Name],"⚠ Unknown")</f>
        <v>PT Lintas Benua Niaga</v>
      </c>
      <c r="F4845" s="4" t="s">
        <v>7</v>
      </c>
      <c r="G4845" s="1" t="str">
        <f>_xlfn.XLOOKUP(tblSales[[#This Row],[Product Code]],tblProducts[Code],tblProducts[Product / Service Name],"⚠ Unknown")</f>
        <v>Premium Basic T-shirt</v>
      </c>
      <c r="H4845" s="1" t="str">
        <f>_xlfn.XLOOKUP(tblSales[[#This Row],[Product Code]],tblProducts[Code],tblProducts[Category],"")</f>
        <v>Accessories &amp; Basics</v>
      </c>
      <c r="I4845" s="4">
        <v>32</v>
      </c>
      <c r="J4845" s="5">
        <f>_xlfn.XLOOKUP(tblSales[[#This Row],[Product Code]],tblProducts[Code],tblProducts[Selling Price (excl. VAT)],0)</f>
        <v>65000</v>
      </c>
      <c r="K4845" s="5">
        <f>tblSales[[#This Row],[Qty]]*tblSales[[#This Row],[Unit Price]]</f>
        <v>2080000</v>
      </c>
      <c r="L4845" s="5">
        <f>ROUND(tblSales[[#This Row],[DPP (excl. VAT)]]*VATEff,0)</f>
        <v>228800</v>
      </c>
      <c r="M4845" s="5">
        <f>tblSales[[#This Row],[DPP (excl. VAT)]]+tblSales[[#This Row],[Output VAT]]</f>
        <v>2308800</v>
      </c>
      <c r="N4845" s="5">
        <f>tblSales[[#This Row],[Qty]]*_xlfn.XLOOKUP(tblSales[[#This Row],[Product Code]],tblProducts[Code],tblProducts[Unit Cost],0)</f>
        <v>1184000</v>
      </c>
      <c r="O4845" s="4" t="s">
        <v>4867</v>
      </c>
      <c r="P4845" s="4" t="s">
        <v>4860</v>
      </c>
      <c r="Q4845" s="1" t="str">
        <f>_xlfn.XLOOKUP(tblSales[[#This Row],[Channel Code]],tblChannels[Channel Code],tblChannels[Channel Name],"")</f>
        <v>In-store</v>
      </c>
      <c r="R4845" s="1">
        <f>MONTH(tblSales[[#This Row],[Date]])</f>
        <v>10</v>
      </c>
    </row>
    <row r="4846" spans="2:18" x14ac:dyDescent="0.35">
      <c r="B4846" s="113">
        <v>46317</v>
      </c>
      <c r="C4846" s="4" t="s">
        <v>3306</v>
      </c>
      <c r="D4846" s="4" t="s">
        <v>4578</v>
      </c>
      <c r="E4846" s="1" t="str">
        <f>_xlfn.XLOOKUP(tblSales[[#This Row],[Customer ID]],tblCustomers[Customer ID],tblCustomers[Customer Name],"⚠ Unknown")</f>
        <v>PT Bintang Timur Sejahtera</v>
      </c>
      <c r="F4846" s="4" t="s">
        <v>8</v>
      </c>
      <c r="G4846" s="1" t="str">
        <f>_xlfn.XLOOKUP(tblSales[[#This Row],[Product Code]],tblProducts[Code],tblProducts[Product / Service Name],"⚠ Unknown")</f>
        <v>Casual Shorts</v>
      </c>
      <c r="H4846" s="1" t="str">
        <f>_xlfn.XLOOKUP(tblSales[[#This Row],[Product Code]],tblProducts[Code],tblProducts[Category],"")</f>
        <v>Accessories &amp; Basics</v>
      </c>
      <c r="I4846" s="4">
        <v>8</v>
      </c>
      <c r="J4846" s="5">
        <f>_xlfn.XLOOKUP(tblSales[[#This Row],[Product Code]],tblProducts[Code],tblProducts[Selling Price (excl. VAT)],0)</f>
        <v>85000</v>
      </c>
      <c r="K4846" s="5">
        <f>tblSales[[#This Row],[Qty]]*tblSales[[#This Row],[Unit Price]]</f>
        <v>680000</v>
      </c>
      <c r="L4846" s="5">
        <f>ROUND(tblSales[[#This Row],[DPP (excl. VAT)]]*VATEff,0)</f>
        <v>74800</v>
      </c>
      <c r="M4846" s="5">
        <f>tblSales[[#This Row],[DPP (excl. VAT)]]+tblSales[[#This Row],[Output VAT]]</f>
        <v>754800</v>
      </c>
      <c r="N4846" s="5">
        <f>tblSales[[#This Row],[Qty]]*_xlfn.XLOOKUP(tblSales[[#This Row],[Product Code]],tblProducts[Code],tblProducts[Unit Cost],0)</f>
        <v>400000</v>
      </c>
      <c r="O4846" s="4" t="s">
        <v>4867</v>
      </c>
      <c r="P4846" s="4" t="s">
        <v>4860</v>
      </c>
      <c r="Q4846" s="1" t="str">
        <f>_xlfn.XLOOKUP(tblSales[[#This Row],[Channel Code]],tblChannels[Channel Code],tblChannels[Channel Name],"")</f>
        <v>In-store</v>
      </c>
      <c r="R4846" s="1">
        <f>MONTH(tblSales[[#This Row],[Date]])</f>
        <v>10</v>
      </c>
    </row>
    <row r="4847" spans="2:18" x14ac:dyDescent="0.35">
      <c r="B4847" s="113">
        <v>46317</v>
      </c>
      <c r="C4847" s="4" t="s">
        <v>3307</v>
      </c>
      <c r="D4847" s="4" t="s">
        <v>4568</v>
      </c>
      <c r="E4847" s="1" t="str">
        <f>_xlfn.XLOOKUP(tblSales[[#This Row],[Customer ID]],tblCustomers[Customer ID],tblCustomers[Customer Name],"⚠ Unknown")</f>
        <v>Walk-in Customer</v>
      </c>
      <c r="F4847" s="4" t="s">
        <v>8</v>
      </c>
      <c r="G4847" s="1" t="str">
        <f>_xlfn.XLOOKUP(tblSales[[#This Row],[Product Code]],tblProducts[Code],tblProducts[Product / Service Name],"⚠ Unknown")</f>
        <v>Casual Shorts</v>
      </c>
      <c r="H4847" s="1" t="str">
        <f>_xlfn.XLOOKUP(tblSales[[#This Row],[Product Code]],tblProducts[Code],tblProducts[Category],"")</f>
        <v>Accessories &amp; Basics</v>
      </c>
      <c r="I4847" s="4">
        <v>1</v>
      </c>
      <c r="J4847" s="5">
        <f>_xlfn.XLOOKUP(tblSales[[#This Row],[Product Code]],tblProducts[Code],tblProducts[Selling Price (excl. VAT)],0)</f>
        <v>85000</v>
      </c>
      <c r="K4847" s="5">
        <f>tblSales[[#This Row],[Qty]]*tblSales[[#This Row],[Unit Price]]</f>
        <v>85000</v>
      </c>
      <c r="L4847" s="5">
        <f>ROUND(tblSales[[#This Row],[DPP (excl. VAT)]]*VATEff,0)</f>
        <v>9350</v>
      </c>
      <c r="M4847" s="5">
        <f>tblSales[[#This Row],[DPP (excl. VAT)]]+tblSales[[#This Row],[Output VAT]]</f>
        <v>94350</v>
      </c>
      <c r="N4847" s="5">
        <f>tblSales[[#This Row],[Qty]]*_xlfn.XLOOKUP(tblSales[[#This Row],[Product Code]],tblProducts[Code],tblProducts[Unit Cost],0)</f>
        <v>50000</v>
      </c>
      <c r="O4847" s="4" t="s">
        <v>4866</v>
      </c>
      <c r="P4847" s="4" t="s">
        <v>4861</v>
      </c>
      <c r="Q4847" s="1" t="str">
        <f>_xlfn.XLOOKUP(tblSales[[#This Row],[Channel Code]],tblChannels[Channel Code],tblChannels[Channel Name],"")</f>
        <v>Marketplace</v>
      </c>
      <c r="R4847" s="1">
        <f>MONTH(tblSales[[#This Row],[Date]])</f>
        <v>10</v>
      </c>
    </row>
    <row r="4848" spans="2:18" x14ac:dyDescent="0.35">
      <c r="B4848" s="113">
        <v>46317</v>
      </c>
      <c r="C4848" s="4" t="s">
        <v>3307</v>
      </c>
      <c r="D4848" s="4" t="s">
        <v>4568</v>
      </c>
      <c r="E4848" s="1" t="str">
        <f>_xlfn.XLOOKUP(tblSales[[#This Row],[Customer ID]],tblCustomers[Customer ID],tblCustomers[Customer Name],"⚠ Unknown")</f>
        <v>Walk-in Customer</v>
      </c>
      <c r="F4848" s="4" t="s">
        <v>7</v>
      </c>
      <c r="G4848" s="1" t="str">
        <f>_xlfn.XLOOKUP(tblSales[[#This Row],[Product Code]],tblProducts[Code],tblProducts[Product / Service Name],"⚠ Unknown")</f>
        <v>Premium Basic T-shirt</v>
      </c>
      <c r="H4848" s="1" t="str">
        <f>_xlfn.XLOOKUP(tblSales[[#This Row],[Product Code]],tblProducts[Code],tblProducts[Category],"")</f>
        <v>Accessories &amp; Basics</v>
      </c>
      <c r="I4848" s="4">
        <v>4</v>
      </c>
      <c r="J4848" s="5">
        <f>_xlfn.XLOOKUP(tblSales[[#This Row],[Product Code]],tblProducts[Code],tblProducts[Selling Price (excl. VAT)],0)</f>
        <v>65000</v>
      </c>
      <c r="K4848" s="5">
        <f>tblSales[[#This Row],[Qty]]*tblSales[[#This Row],[Unit Price]]</f>
        <v>260000</v>
      </c>
      <c r="L4848" s="5">
        <f>ROUND(tblSales[[#This Row],[DPP (excl. VAT)]]*VATEff,0)</f>
        <v>28600</v>
      </c>
      <c r="M4848" s="5">
        <f>tblSales[[#This Row],[DPP (excl. VAT)]]+tblSales[[#This Row],[Output VAT]]</f>
        <v>288600</v>
      </c>
      <c r="N4848" s="5">
        <f>tblSales[[#This Row],[Qty]]*_xlfn.XLOOKUP(tblSales[[#This Row],[Product Code]],tblProducts[Code],tblProducts[Unit Cost],0)</f>
        <v>148000</v>
      </c>
      <c r="O4848" s="4" t="s">
        <v>4866</v>
      </c>
      <c r="P4848" s="4" t="s">
        <v>4861</v>
      </c>
      <c r="Q4848" s="1" t="str">
        <f>_xlfn.XLOOKUP(tblSales[[#This Row],[Channel Code]],tblChannels[Channel Code],tblChannels[Channel Name],"")</f>
        <v>Marketplace</v>
      </c>
      <c r="R4848" s="1">
        <f>MONTH(tblSales[[#This Row],[Date]])</f>
        <v>10</v>
      </c>
    </row>
    <row r="4849" spans="2:18" x14ac:dyDescent="0.35">
      <c r="B4849" s="113">
        <v>46317</v>
      </c>
      <c r="C4849" s="4" t="s">
        <v>3308</v>
      </c>
      <c r="D4849" s="4" t="s">
        <v>4599</v>
      </c>
      <c r="E4849" s="1" t="str">
        <f>_xlfn.XLOOKUP(tblSales[[#This Row],[Customer ID]],tblCustomers[Customer ID],tblCustomers[Customer Name],"⚠ Unknown")</f>
        <v>PT Samudra Jaya Logistik</v>
      </c>
      <c r="F4849" s="4" t="s">
        <v>14</v>
      </c>
      <c r="G4849" s="1" t="str">
        <f>_xlfn.XLOOKUP(tblSales[[#This Row],[Product Code]],tblProducts[Code],tblProducts[Product / Service Name],"⚠ Unknown")</f>
        <v>Smartwatch</v>
      </c>
      <c r="H4849" s="1" t="str">
        <f>_xlfn.XLOOKUP(tblSales[[#This Row],[Product Code]],tblProducts[Code],tblProducts[Category],"")</f>
        <v>Bags &amp; Gadgets</v>
      </c>
      <c r="I4849" s="4">
        <v>24</v>
      </c>
      <c r="J4849" s="5">
        <f>_xlfn.XLOOKUP(tblSales[[#This Row],[Product Code]],tblProducts[Code],tblProducts[Selling Price (excl. VAT)],0)</f>
        <v>850000</v>
      </c>
      <c r="K4849" s="5">
        <f>tblSales[[#This Row],[Qty]]*tblSales[[#This Row],[Unit Price]]</f>
        <v>20400000</v>
      </c>
      <c r="L4849" s="5">
        <f>ROUND(tblSales[[#This Row],[DPP (excl. VAT)]]*VATEff,0)</f>
        <v>2244000</v>
      </c>
      <c r="M4849" s="5">
        <f>tblSales[[#This Row],[DPP (excl. VAT)]]+tblSales[[#This Row],[Output VAT]]</f>
        <v>22644000</v>
      </c>
      <c r="N4849" s="5">
        <f>tblSales[[#This Row],[Qty]]*_xlfn.XLOOKUP(tblSales[[#This Row],[Product Code]],tblProducts[Code],tblProducts[Unit Cost],0)</f>
        <v>13440000</v>
      </c>
      <c r="O4849" s="4" t="s">
        <v>4867</v>
      </c>
      <c r="P4849" s="4" t="s">
        <v>4860</v>
      </c>
      <c r="Q4849" s="1" t="str">
        <f>_xlfn.XLOOKUP(tblSales[[#This Row],[Channel Code]],tblChannels[Channel Code],tblChannels[Channel Name],"")</f>
        <v>In-store</v>
      </c>
      <c r="R4849" s="1">
        <f>MONTH(tblSales[[#This Row],[Date]])</f>
        <v>10</v>
      </c>
    </row>
    <row r="4850" spans="2:18" x14ac:dyDescent="0.35">
      <c r="B4850" s="113">
        <v>46317</v>
      </c>
      <c r="C4850" s="4" t="s">
        <v>3309</v>
      </c>
      <c r="D4850" s="4" t="s">
        <v>4578</v>
      </c>
      <c r="E4850" s="1" t="str">
        <f>_xlfn.XLOOKUP(tblSales[[#This Row],[Customer ID]],tblCustomers[Customer ID],tblCustomers[Customer Name],"⚠ Unknown")</f>
        <v>PT Bintang Timur Sejahtera</v>
      </c>
      <c r="F4850" s="4" t="s">
        <v>6</v>
      </c>
      <c r="G4850" s="1" t="str">
        <f>_xlfn.XLOOKUP(tblSales[[#This Row],[Product Code]],tblProducts[Code],tblProducts[Product / Service Name],"⚠ Unknown")</f>
        <v>Socks &amp; Accessories</v>
      </c>
      <c r="H4850" s="1" t="str">
        <f>_xlfn.XLOOKUP(tblSales[[#This Row],[Product Code]],tblProducts[Code],tblProducts[Category],"")</f>
        <v>Accessories &amp; Basics</v>
      </c>
      <c r="I4850" s="4">
        <v>8</v>
      </c>
      <c r="J4850" s="5">
        <f>_xlfn.XLOOKUP(tblSales[[#This Row],[Product Code]],tblProducts[Code],tblProducts[Selling Price (excl. VAT)],0)</f>
        <v>45000</v>
      </c>
      <c r="K4850" s="5">
        <f>tblSales[[#This Row],[Qty]]*tblSales[[#This Row],[Unit Price]]</f>
        <v>360000</v>
      </c>
      <c r="L4850" s="5">
        <f>ROUND(tblSales[[#This Row],[DPP (excl. VAT)]]*VATEff,0)</f>
        <v>39600</v>
      </c>
      <c r="M4850" s="5">
        <f>tblSales[[#This Row],[DPP (excl. VAT)]]+tblSales[[#This Row],[Output VAT]]</f>
        <v>399600</v>
      </c>
      <c r="N4850" s="5">
        <f>tblSales[[#This Row],[Qty]]*_xlfn.XLOOKUP(tblSales[[#This Row],[Product Code]],tblProducts[Code],tblProducts[Unit Cost],0)</f>
        <v>192000</v>
      </c>
      <c r="O4850" s="4" t="s">
        <v>4867</v>
      </c>
      <c r="P4850" s="4" t="s">
        <v>4860</v>
      </c>
      <c r="Q4850" s="1" t="str">
        <f>_xlfn.XLOOKUP(tblSales[[#This Row],[Channel Code]],tblChannels[Channel Code],tblChannels[Channel Name],"")</f>
        <v>In-store</v>
      </c>
      <c r="R4850" s="1">
        <f>MONTH(tblSales[[#This Row],[Date]])</f>
        <v>10</v>
      </c>
    </row>
    <row r="4851" spans="2:18" x14ac:dyDescent="0.35">
      <c r="B4851" s="113">
        <v>46317</v>
      </c>
      <c r="C4851" s="4" t="s">
        <v>3309</v>
      </c>
      <c r="D4851" s="4" t="s">
        <v>4578</v>
      </c>
      <c r="E4851" s="1" t="str">
        <f>_xlfn.XLOOKUP(tblSales[[#This Row],[Customer ID]],tblCustomers[Customer ID],tblCustomers[Customer Name],"⚠ Unknown")</f>
        <v>PT Bintang Timur Sejahtera</v>
      </c>
      <c r="F4851" s="4" t="s">
        <v>7</v>
      </c>
      <c r="G4851" s="1" t="str">
        <f>_xlfn.XLOOKUP(tblSales[[#This Row],[Product Code]],tblProducts[Code],tblProducts[Product / Service Name],"⚠ Unknown")</f>
        <v>Premium Basic T-shirt</v>
      </c>
      <c r="H4851" s="1" t="str">
        <f>_xlfn.XLOOKUP(tblSales[[#This Row],[Product Code]],tblProducts[Code],tblProducts[Category],"")</f>
        <v>Accessories &amp; Basics</v>
      </c>
      <c r="I4851" s="4">
        <v>72</v>
      </c>
      <c r="J4851" s="5">
        <f>_xlfn.XLOOKUP(tblSales[[#This Row],[Product Code]],tblProducts[Code],tblProducts[Selling Price (excl. VAT)],0)</f>
        <v>65000</v>
      </c>
      <c r="K4851" s="5">
        <f>tblSales[[#This Row],[Qty]]*tblSales[[#This Row],[Unit Price]]</f>
        <v>4680000</v>
      </c>
      <c r="L4851" s="5">
        <f>ROUND(tblSales[[#This Row],[DPP (excl. VAT)]]*VATEff,0)</f>
        <v>514800</v>
      </c>
      <c r="M4851" s="5">
        <f>tblSales[[#This Row],[DPP (excl. VAT)]]+tblSales[[#This Row],[Output VAT]]</f>
        <v>5194800</v>
      </c>
      <c r="N4851" s="5">
        <f>tblSales[[#This Row],[Qty]]*_xlfn.XLOOKUP(tblSales[[#This Row],[Product Code]],tblProducts[Code],tblProducts[Unit Cost],0)</f>
        <v>2664000</v>
      </c>
      <c r="O4851" s="4" t="s">
        <v>4867</v>
      </c>
      <c r="P4851" s="4" t="s">
        <v>4860</v>
      </c>
      <c r="Q4851" s="1" t="str">
        <f>_xlfn.XLOOKUP(tblSales[[#This Row],[Channel Code]],tblChannels[Channel Code],tblChannels[Channel Name],"")</f>
        <v>In-store</v>
      </c>
      <c r="R4851" s="1">
        <f>MONTH(tblSales[[#This Row],[Date]])</f>
        <v>10</v>
      </c>
    </row>
    <row r="4852" spans="2:18" x14ac:dyDescent="0.35">
      <c r="B4852" s="113">
        <v>46317</v>
      </c>
      <c r="C4852" s="4" t="s">
        <v>3309</v>
      </c>
      <c r="D4852" s="4" t="s">
        <v>4578</v>
      </c>
      <c r="E4852" s="1" t="str">
        <f>_xlfn.XLOOKUP(tblSales[[#This Row],[Customer ID]],tblCustomers[Customer ID],tblCustomers[Customer Name],"⚠ Unknown")</f>
        <v>PT Bintang Timur Sejahtera</v>
      </c>
      <c r="F4852" s="4" t="s">
        <v>8</v>
      </c>
      <c r="G4852" s="1" t="str">
        <f>_xlfn.XLOOKUP(tblSales[[#This Row],[Product Code]],tblProducts[Code],tblProducts[Product / Service Name],"⚠ Unknown")</f>
        <v>Casual Shorts</v>
      </c>
      <c r="H4852" s="1" t="str">
        <f>_xlfn.XLOOKUP(tblSales[[#This Row],[Product Code]],tblProducts[Code],tblProducts[Category],"")</f>
        <v>Accessories &amp; Basics</v>
      </c>
      <c r="I4852" s="4">
        <v>56</v>
      </c>
      <c r="J4852" s="5">
        <f>_xlfn.XLOOKUP(tblSales[[#This Row],[Product Code]],tblProducts[Code],tblProducts[Selling Price (excl. VAT)],0)</f>
        <v>85000</v>
      </c>
      <c r="K4852" s="5">
        <f>tblSales[[#This Row],[Qty]]*tblSales[[#This Row],[Unit Price]]</f>
        <v>4760000</v>
      </c>
      <c r="L4852" s="5">
        <f>ROUND(tblSales[[#This Row],[DPP (excl. VAT)]]*VATEff,0)</f>
        <v>523600</v>
      </c>
      <c r="M4852" s="5">
        <f>tblSales[[#This Row],[DPP (excl. VAT)]]+tblSales[[#This Row],[Output VAT]]</f>
        <v>5283600</v>
      </c>
      <c r="N4852" s="5">
        <f>tblSales[[#This Row],[Qty]]*_xlfn.XLOOKUP(tblSales[[#This Row],[Product Code]],tblProducts[Code],tblProducts[Unit Cost],0)</f>
        <v>2800000</v>
      </c>
      <c r="O4852" s="4" t="s">
        <v>4867</v>
      </c>
      <c r="P4852" s="4" t="s">
        <v>4860</v>
      </c>
      <c r="Q4852" s="1" t="str">
        <f>_xlfn.XLOOKUP(tblSales[[#This Row],[Channel Code]],tblChannels[Channel Code],tblChannels[Channel Name],"")</f>
        <v>In-store</v>
      </c>
      <c r="R4852" s="1">
        <f>MONTH(tblSales[[#This Row],[Date]])</f>
        <v>10</v>
      </c>
    </row>
    <row r="4853" spans="2:18" x14ac:dyDescent="0.35">
      <c r="B4853" s="113">
        <v>46318</v>
      </c>
      <c r="C4853" s="4" t="s">
        <v>3310</v>
      </c>
      <c r="D4853" s="4" t="s">
        <v>4568</v>
      </c>
      <c r="E4853" s="1" t="str">
        <f>_xlfn.XLOOKUP(tblSales[[#This Row],[Customer ID]],tblCustomers[Customer ID],tblCustomers[Customer Name],"⚠ Unknown")</f>
        <v>Walk-in Customer</v>
      </c>
      <c r="F4853" s="4" t="s">
        <v>9</v>
      </c>
      <c r="G4853" s="1" t="str">
        <f>_xlfn.XLOOKUP(tblSales[[#This Row],[Product Code]],tblProducts[Code],tblProducts[Product / Service Name],"⚠ Unknown")</f>
        <v>Casual Shirt</v>
      </c>
      <c r="H4853" s="1" t="str">
        <f>_xlfn.XLOOKUP(tblSales[[#This Row],[Product Code]],tblProducts[Code],tblProducts[Category],"")</f>
        <v>Apparel &amp; Footwear</v>
      </c>
      <c r="I4853" s="4">
        <v>9</v>
      </c>
      <c r="J4853" s="5">
        <f>_xlfn.XLOOKUP(tblSales[[#This Row],[Product Code]],tblProducts[Code],tblProducts[Selling Price (excl. VAT)],0)</f>
        <v>120000</v>
      </c>
      <c r="K4853" s="5">
        <f>tblSales[[#This Row],[Qty]]*tblSales[[#This Row],[Unit Price]]</f>
        <v>1080000</v>
      </c>
      <c r="L4853" s="5">
        <f>ROUND(tblSales[[#This Row],[DPP (excl. VAT)]]*VATEff,0)</f>
        <v>118800</v>
      </c>
      <c r="M4853" s="5">
        <f>tblSales[[#This Row],[DPP (excl. VAT)]]+tblSales[[#This Row],[Output VAT]]</f>
        <v>1198800</v>
      </c>
      <c r="N4853" s="5">
        <f>tblSales[[#This Row],[Qty]]*_xlfn.XLOOKUP(tblSales[[#This Row],[Product Code]],tblProducts[Code],tblProducts[Unit Cost],0)</f>
        <v>648000</v>
      </c>
      <c r="O4853" s="4" t="s">
        <v>4866</v>
      </c>
      <c r="P4853" s="4" t="s">
        <v>4862</v>
      </c>
      <c r="Q4853" s="1" t="str">
        <f>_xlfn.XLOOKUP(tblSales[[#This Row],[Channel Code]],tblChannels[Channel Code],tblChannels[Channel Name],"")</f>
        <v>Website &amp; Social Media</v>
      </c>
      <c r="R4853" s="1">
        <f>MONTH(tblSales[[#This Row],[Date]])</f>
        <v>10</v>
      </c>
    </row>
    <row r="4854" spans="2:18" x14ac:dyDescent="0.35">
      <c r="B4854" s="113">
        <v>46318</v>
      </c>
      <c r="C4854" s="4" t="s">
        <v>3310</v>
      </c>
      <c r="D4854" s="4" t="s">
        <v>4568</v>
      </c>
      <c r="E4854" s="1" t="str">
        <f>_xlfn.XLOOKUP(tblSales[[#This Row],[Customer ID]],tblCustomers[Customer ID],tblCustomers[Customer Name],"⚠ Unknown")</f>
        <v>Walk-in Customer</v>
      </c>
      <c r="F4854" s="4" t="s">
        <v>12</v>
      </c>
      <c r="G4854" s="1" t="str">
        <f>_xlfn.XLOOKUP(tblSales[[#This Row],[Product Code]],tblProducts[Code],tblProducts[Product / Service Name],"⚠ Unknown")</f>
        <v>Bomber Jacket</v>
      </c>
      <c r="H4854" s="1" t="str">
        <f>_xlfn.XLOOKUP(tblSales[[#This Row],[Product Code]],tblProducts[Code],tblProducts[Category],"")</f>
        <v>Apparel &amp; Footwear</v>
      </c>
      <c r="I4854" s="4">
        <v>5</v>
      </c>
      <c r="J4854" s="5">
        <f>_xlfn.XLOOKUP(tblSales[[#This Row],[Product Code]],tblProducts[Code],tblProducts[Selling Price (excl. VAT)],0)</f>
        <v>350000</v>
      </c>
      <c r="K4854" s="5">
        <f>tblSales[[#This Row],[Qty]]*tblSales[[#This Row],[Unit Price]]</f>
        <v>1750000</v>
      </c>
      <c r="L4854" s="5">
        <f>ROUND(tblSales[[#This Row],[DPP (excl. VAT)]]*VATEff,0)</f>
        <v>192500</v>
      </c>
      <c r="M4854" s="5">
        <f>tblSales[[#This Row],[DPP (excl. VAT)]]+tblSales[[#This Row],[Output VAT]]</f>
        <v>1942500</v>
      </c>
      <c r="N4854" s="5">
        <f>tblSales[[#This Row],[Qty]]*_xlfn.XLOOKUP(tblSales[[#This Row],[Product Code]],tblProducts[Code],tblProducts[Unit Cost],0)</f>
        <v>1050000</v>
      </c>
      <c r="O4854" s="4" t="s">
        <v>4866</v>
      </c>
      <c r="P4854" s="4" t="s">
        <v>4862</v>
      </c>
      <c r="Q4854" s="1" t="str">
        <f>_xlfn.XLOOKUP(tblSales[[#This Row],[Channel Code]],tblChannels[Channel Code],tblChannels[Channel Name],"")</f>
        <v>Website &amp; Social Media</v>
      </c>
      <c r="R4854" s="1">
        <f>MONTH(tblSales[[#This Row],[Date]])</f>
        <v>10</v>
      </c>
    </row>
    <row r="4855" spans="2:18" x14ac:dyDescent="0.35">
      <c r="B4855" s="113">
        <v>46318</v>
      </c>
      <c r="C4855" s="4" t="s">
        <v>3310</v>
      </c>
      <c r="D4855" s="4" t="s">
        <v>4568</v>
      </c>
      <c r="E4855" s="1" t="str">
        <f>_xlfn.XLOOKUP(tblSales[[#This Row],[Customer ID]],tblCustomers[Customer ID],tblCustomers[Customer Name],"⚠ Unknown")</f>
        <v>Walk-in Customer</v>
      </c>
      <c r="F4855" s="4" t="s">
        <v>10</v>
      </c>
      <c r="G4855" s="1" t="str">
        <f>_xlfn.XLOOKUP(tblSales[[#This Row],[Product Code]],tblProducts[Code],tblProducts[Product / Service Name],"⚠ Unknown")</f>
        <v>Chino Pants</v>
      </c>
      <c r="H4855" s="1" t="str">
        <f>_xlfn.XLOOKUP(tblSales[[#This Row],[Product Code]],tblProducts[Code],tblProducts[Category],"")</f>
        <v>Apparel &amp; Footwear</v>
      </c>
      <c r="I4855" s="4">
        <v>8</v>
      </c>
      <c r="J4855" s="5">
        <f>_xlfn.XLOOKUP(tblSales[[#This Row],[Product Code]],tblProducts[Code],tblProducts[Selling Price (excl. VAT)],0)</f>
        <v>150000</v>
      </c>
      <c r="K4855" s="5">
        <f>tblSales[[#This Row],[Qty]]*tblSales[[#This Row],[Unit Price]]</f>
        <v>1200000</v>
      </c>
      <c r="L4855" s="5">
        <f>ROUND(tblSales[[#This Row],[DPP (excl. VAT)]]*VATEff,0)</f>
        <v>132000</v>
      </c>
      <c r="M4855" s="5">
        <f>tblSales[[#This Row],[DPP (excl. VAT)]]+tblSales[[#This Row],[Output VAT]]</f>
        <v>1332000</v>
      </c>
      <c r="N4855" s="5">
        <f>tblSales[[#This Row],[Qty]]*_xlfn.XLOOKUP(tblSales[[#This Row],[Product Code]],tblProducts[Code],tblProducts[Unit Cost],0)</f>
        <v>704000</v>
      </c>
      <c r="O4855" s="4" t="s">
        <v>4866</v>
      </c>
      <c r="P4855" s="4" t="s">
        <v>4862</v>
      </c>
      <c r="Q4855" s="1" t="str">
        <f>_xlfn.XLOOKUP(tblSales[[#This Row],[Channel Code]],tblChannels[Channel Code],tblChannels[Channel Name],"")</f>
        <v>Website &amp; Social Media</v>
      </c>
      <c r="R4855" s="1">
        <f>MONTH(tblSales[[#This Row],[Date]])</f>
        <v>10</v>
      </c>
    </row>
    <row r="4856" spans="2:18" x14ac:dyDescent="0.35">
      <c r="B4856" s="113">
        <v>46318</v>
      </c>
      <c r="C4856" s="4" t="s">
        <v>3311</v>
      </c>
      <c r="D4856" s="4" t="s">
        <v>4568</v>
      </c>
      <c r="E4856" s="1" t="str">
        <f>_xlfn.XLOOKUP(tblSales[[#This Row],[Customer ID]],tblCustomers[Customer ID],tblCustomers[Customer Name],"⚠ Unknown")</f>
        <v>Walk-in Customer</v>
      </c>
      <c r="F4856" s="4" t="s">
        <v>14</v>
      </c>
      <c r="G4856" s="1" t="str">
        <f>_xlfn.XLOOKUP(tblSales[[#This Row],[Product Code]],tblProducts[Code],tblProducts[Product / Service Name],"⚠ Unknown")</f>
        <v>Smartwatch</v>
      </c>
      <c r="H4856" s="1" t="str">
        <f>_xlfn.XLOOKUP(tblSales[[#This Row],[Product Code]],tblProducts[Code],tblProducts[Category],"")</f>
        <v>Bags &amp; Gadgets</v>
      </c>
      <c r="I4856" s="4">
        <v>1</v>
      </c>
      <c r="J4856" s="5">
        <f>_xlfn.XLOOKUP(tblSales[[#This Row],[Product Code]],tblProducts[Code],tblProducts[Selling Price (excl. VAT)],0)</f>
        <v>850000</v>
      </c>
      <c r="K4856" s="5">
        <f>tblSales[[#This Row],[Qty]]*tblSales[[#This Row],[Unit Price]]</f>
        <v>850000</v>
      </c>
      <c r="L4856" s="5">
        <f>ROUND(tblSales[[#This Row],[DPP (excl. VAT)]]*VATEff,0)</f>
        <v>93500</v>
      </c>
      <c r="M4856" s="5">
        <f>tblSales[[#This Row],[DPP (excl. VAT)]]+tblSales[[#This Row],[Output VAT]]</f>
        <v>943500</v>
      </c>
      <c r="N4856" s="5">
        <f>tblSales[[#This Row],[Qty]]*_xlfn.XLOOKUP(tblSales[[#This Row],[Product Code]],tblProducts[Code],tblProducts[Unit Cost],0)</f>
        <v>560000</v>
      </c>
      <c r="O4856" s="4" t="s">
        <v>4866</v>
      </c>
      <c r="P4856" s="4" t="s">
        <v>4861</v>
      </c>
      <c r="Q4856" s="1" t="str">
        <f>_xlfn.XLOOKUP(tblSales[[#This Row],[Channel Code]],tblChannels[Channel Code],tblChannels[Channel Name],"")</f>
        <v>Marketplace</v>
      </c>
      <c r="R4856" s="1">
        <f>MONTH(tblSales[[#This Row],[Date]])</f>
        <v>10</v>
      </c>
    </row>
    <row r="4857" spans="2:18" x14ac:dyDescent="0.35">
      <c r="B4857" s="113">
        <v>46318</v>
      </c>
      <c r="C4857" s="4" t="s">
        <v>3312</v>
      </c>
      <c r="D4857" s="4" t="s">
        <v>4568</v>
      </c>
      <c r="E4857" s="1" t="str">
        <f>_xlfn.XLOOKUP(tblSales[[#This Row],[Customer ID]],tblCustomers[Customer ID],tblCustomers[Customer Name],"⚠ Unknown")</f>
        <v>Walk-in Customer</v>
      </c>
      <c r="F4857" s="4" t="s">
        <v>7</v>
      </c>
      <c r="G4857" s="1" t="str">
        <f>_xlfn.XLOOKUP(tblSales[[#This Row],[Product Code]],tblProducts[Code],tblProducts[Product / Service Name],"⚠ Unknown")</f>
        <v>Premium Basic T-shirt</v>
      </c>
      <c r="H4857" s="1" t="str">
        <f>_xlfn.XLOOKUP(tblSales[[#This Row],[Product Code]],tblProducts[Code],tblProducts[Category],"")</f>
        <v>Accessories &amp; Basics</v>
      </c>
      <c r="I4857" s="4">
        <v>3</v>
      </c>
      <c r="J4857" s="5">
        <f>_xlfn.XLOOKUP(tblSales[[#This Row],[Product Code]],tblProducts[Code],tblProducts[Selling Price (excl. VAT)],0)</f>
        <v>65000</v>
      </c>
      <c r="K4857" s="5">
        <f>tblSales[[#This Row],[Qty]]*tblSales[[#This Row],[Unit Price]]</f>
        <v>195000</v>
      </c>
      <c r="L4857" s="5">
        <f>ROUND(tblSales[[#This Row],[DPP (excl. VAT)]]*VATEff,0)</f>
        <v>21450</v>
      </c>
      <c r="M4857" s="5">
        <f>tblSales[[#This Row],[DPP (excl. VAT)]]+tblSales[[#This Row],[Output VAT]]</f>
        <v>216450</v>
      </c>
      <c r="N4857" s="5">
        <f>tblSales[[#This Row],[Qty]]*_xlfn.XLOOKUP(tblSales[[#This Row],[Product Code]],tblProducts[Code],tblProducts[Unit Cost],0)</f>
        <v>111000</v>
      </c>
      <c r="O4857" s="4" t="s">
        <v>4865</v>
      </c>
      <c r="P4857" s="4" t="s">
        <v>4860</v>
      </c>
      <c r="Q4857" s="1" t="str">
        <f>_xlfn.XLOOKUP(tblSales[[#This Row],[Channel Code]],tblChannels[Channel Code],tblChannels[Channel Name],"")</f>
        <v>In-store</v>
      </c>
      <c r="R4857" s="1">
        <f>MONTH(tblSales[[#This Row],[Date]])</f>
        <v>10</v>
      </c>
    </row>
    <row r="4858" spans="2:18" x14ac:dyDescent="0.35">
      <c r="B4858" s="113">
        <v>46318</v>
      </c>
      <c r="C4858" s="4" t="s">
        <v>3312</v>
      </c>
      <c r="D4858" s="4" t="s">
        <v>4568</v>
      </c>
      <c r="E4858" s="1" t="str">
        <f>_xlfn.XLOOKUP(tblSales[[#This Row],[Customer ID]],tblCustomers[Customer ID],tblCustomers[Customer Name],"⚠ Unknown")</f>
        <v>Walk-in Customer</v>
      </c>
      <c r="F4858" s="4" t="s">
        <v>12</v>
      </c>
      <c r="G4858" s="1" t="str">
        <f>_xlfn.XLOOKUP(tblSales[[#This Row],[Product Code]],tblProducts[Code],tblProducts[Product / Service Name],"⚠ Unknown")</f>
        <v>Bomber Jacket</v>
      </c>
      <c r="H4858" s="1" t="str">
        <f>_xlfn.XLOOKUP(tblSales[[#This Row],[Product Code]],tblProducts[Code],tblProducts[Category],"")</f>
        <v>Apparel &amp; Footwear</v>
      </c>
      <c r="I4858" s="4">
        <v>3</v>
      </c>
      <c r="J4858" s="5">
        <f>_xlfn.XLOOKUP(tblSales[[#This Row],[Product Code]],tblProducts[Code],tblProducts[Selling Price (excl. VAT)],0)</f>
        <v>350000</v>
      </c>
      <c r="K4858" s="5">
        <f>tblSales[[#This Row],[Qty]]*tblSales[[#This Row],[Unit Price]]</f>
        <v>1050000</v>
      </c>
      <c r="L4858" s="5">
        <f>ROUND(tblSales[[#This Row],[DPP (excl. VAT)]]*VATEff,0)</f>
        <v>115500</v>
      </c>
      <c r="M4858" s="5">
        <f>tblSales[[#This Row],[DPP (excl. VAT)]]+tblSales[[#This Row],[Output VAT]]</f>
        <v>1165500</v>
      </c>
      <c r="N4858" s="5">
        <f>tblSales[[#This Row],[Qty]]*_xlfn.XLOOKUP(tblSales[[#This Row],[Product Code]],tblProducts[Code],tblProducts[Unit Cost],0)</f>
        <v>630000</v>
      </c>
      <c r="O4858" s="4" t="s">
        <v>4865</v>
      </c>
      <c r="P4858" s="4" t="s">
        <v>4860</v>
      </c>
      <c r="Q4858" s="1" t="str">
        <f>_xlfn.XLOOKUP(tblSales[[#This Row],[Channel Code]],tblChannels[Channel Code],tblChannels[Channel Name],"")</f>
        <v>In-store</v>
      </c>
      <c r="R4858" s="1">
        <f>MONTH(tblSales[[#This Row],[Date]])</f>
        <v>10</v>
      </c>
    </row>
    <row r="4859" spans="2:18" x14ac:dyDescent="0.35">
      <c r="B4859" s="113">
        <v>46318</v>
      </c>
      <c r="C4859" s="4" t="s">
        <v>3313</v>
      </c>
      <c r="D4859" s="4" t="s">
        <v>4568</v>
      </c>
      <c r="E4859" s="1" t="str">
        <f>_xlfn.XLOOKUP(tblSales[[#This Row],[Customer ID]],tblCustomers[Customer ID],tblCustomers[Customer Name],"⚠ Unknown")</f>
        <v>Walk-in Customer</v>
      </c>
      <c r="F4859" s="4" t="s">
        <v>10</v>
      </c>
      <c r="G4859" s="1" t="str">
        <f>_xlfn.XLOOKUP(tblSales[[#This Row],[Product Code]],tblProducts[Code],tblProducts[Product / Service Name],"⚠ Unknown")</f>
        <v>Chino Pants</v>
      </c>
      <c r="H4859" s="1" t="str">
        <f>_xlfn.XLOOKUP(tblSales[[#This Row],[Product Code]],tblProducts[Code],tblProducts[Category],"")</f>
        <v>Apparel &amp; Footwear</v>
      </c>
      <c r="I4859" s="4">
        <v>12</v>
      </c>
      <c r="J4859" s="5">
        <f>_xlfn.XLOOKUP(tblSales[[#This Row],[Product Code]],tblProducts[Code],tblProducts[Selling Price (excl. VAT)],0)</f>
        <v>150000</v>
      </c>
      <c r="K4859" s="5">
        <f>tblSales[[#This Row],[Qty]]*tblSales[[#This Row],[Unit Price]]</f>
        <v>1800000</v>
      </c>
      <c r="L4859" s="5">
        <f>ROUND(tblSales[[#This Row],[DPP (excl. VAT)]]*VATEff,0)</f>
        <v>198000</v>
      </c>
      <c r="M4859" s="5">
        <f>tblSales[[#This Row],[DPP (excl. VAT)]]+tblSales[[#This Row],[Output VAT]]</f>
        <v>1998000</v>
      </c>
      <c r="N4859" s="5">
        <f>tblSales[[#This Row],[Qty]]*_xlfn.XLOOKUP(tblSales[[#This Row],[Product Code]],tblProducts[Code],tblProducts[Unit Cost],0)</f>
        <v>1056000</v>
      </c>
      <c r="O4859" s="4" t="s">
        <v>4865</v>
      </c>
      <c r="P4859" s="4" t="s">
        <v>4860</v>
      </c>
      <c r="Q4859" s="1" t="str">
        <f>_xlfn.XLOOKUP(tblSales[[#This Row],[Channel Code]],tblChannels[Channel Code],tblChannels[Channel Name],"")</f>
        <v>In-store</v>
      </c>
      <c r="R4859" s="1">
        <f>MONTH(tblSales[[#This Row],[Date]])</f>
        <v>10</v>
      </c>
    </row>
    <row r="4860" spans="2:18" x14ac:dyDescent="0.35">
      <c r="B4860" s="113">
        <v>46318</v>
      </c>
      <c r="C4860" s="4" t="s">
        <v>3314</v>
      </c>
      <c r="D4860" s="4" t="s">
        <v>4568</v>
      </c>
      <c r="E4860" s="1" t="str">
        <f>_xlfn.XLOOKUP(tblSales[[#This Row],[Customer ID]],tblCustomers[Customer ID],tblCustomers[Customer Name],"⚠ Unknown")</f>
        <v>Walk-in Customer</v>
      </c>
      <c r="F4860" s="4" t="s">
        <v>6</v>
      </c>
      <c r="G4860" s="1" t="str">
        <f>_xlfn.XLOOKUP(tblSales[[#This Row],[Product Code]],tblProducts[Code],tblProducts[Product / Service Name],"⚠ Unknown")</f>
        <v>Socks &amp; Accessories</v>
      </c>
      <c r="H4860" s="1" t="str">
        <f>_xlfn.XLOOKUP(tblSales[[#This Row],[Product Code]],tblProducts[Code],tblProducts[Category],"")</f>
        <v>Accessories &amp; Basics</v>
      </c>
      <c r="I4860" s="4">
        <v>4</v>
      </c>
      <c r="J4860" s="5">
        <f>_xlfn.XLOOKUP(tblSales[[#This Row],[Product Code]],tblProducts[Code],tblProducts[Selling Price (excl. VAT)],0)</f>
        <v>45000</v>
      </c>
      <c r="K4860" s="5">
        <f>tblSales[[#This Row],[Qty]]*tblSales[[#This Row],[Unit Price]]</f>
        <v>180000</v>
      </c>
      <c r="L4860" s="5">
        <f>ROUND(tblSales[[#This Row],[DPP (excl. VAT)]]*VATEff,0)</f>
        <v>19800</v>
      </c>
      <c r="M4860" s="5">
        <f>tblSales[[#This Row],[DPP (excl. VAT)]]+tblSales[[#This Row],[Output VAT]]</f>
        <v>199800</v>
      </c>
      <c r="N4860" s="5">
        <f>tblSales[[#This Row],[Qty]]*_xlfn.XLOOKUP(tblSales[[#This Row],[Product Code]],tblProducts[Code],tblProducts[Unit Cost],0)</f>
        <v>96000</v>
      </c>
      <c r="O4860" s="4" t="s">
        <v>4866</v>
      </c>
      <c r="P4860" s="4" t="s">
        <v>4862</v>
      </c>
      <c r="Q4860" s="1" t="str">
        <f>_xlfn.XLOOKUP(tblSales[[#This Row],[Channel Code]],tblChannels[Channel Code],tblChannels[Channel Name],"")</f>
        <v>Website &amp; Social Media</v>
      </c>
      <c r="R4860" s="1">
        <f>MONTH(tblSales[[#This Row],[Date]])</f>
        <v>10</v>
      </c>
    </row>
    <row r="4861" spans="2:18" x14ac:dyDescent="0.35">
      <c r="B4861" s="113">
        <v>46318</v>
      </c>
      <c r="C4861" s="4" t="s">
        <v>3314</v>
      </c>
      <c r="D4861" s="4" t="s">
        <v>4568</v>
      </c>
      <c r="E4861" s="1" t="str">
        <f>_xlfn.XLOOKUP(tblSales[[#This Row],[Customer ID]],tblCustomers[Customer ID],tblCustomers[Customer Name],"⚠ Unknown")</f>
        <v>Walk-in Customer</v>
      </c>
      <c r="F4861" s="4" t="s">
        <v>14</v>
      </c>
      <c r="G4861" s="1" t="str">
        <f>_xlfn.XLOOKUP(tblSales[[#This Row],[Product Code]],tblProducts[Code],tblProducts[Product / Service Name],"⚠ Unknown")</f>
        <v>Smartwatch</v>
      </c>
      <c r="H4861" s="1" t="str">
        <f>_xlfn.XLOOKUP(tblSales[[#This Row],[Product Code]],tblProducts[Code],tblProducts[Category],"")</f>
        <v>Bags &amp; Gadgets</v>
      </c>
      <c r="I4861" s="4">
        <v>2</v>
      </c>
      <c r="J4861" s="5">
        <f>_xlfn.XLOOKUP(tblSales[[#This Row],[Product Code]],tblProducts[Code],tblProducts[Selling Price (excl. VAT)],0)</f>
        <v>850000</v>
      </c>
      <c r="K4861" s="5">
        <f>tblSales[[#This Row],[Qty]]*tblSales[[#This Row],[Unit Price]]</f>
        <v>1700000</v>
      </c>
      <c r="L4861" s="5">
        <f>ROUND(tblSales[[#This Row],[DPP (excl. VAT)]]*VATEff,0)</f>
        <v>187000</v>
      </c>
      <c r="M4861" s="5">
        <f>tblSales[[#This Row],[DPP (excl. VAT)]]+tblSales[[#This Row],[Output VAT]]</f>
        <v>1887000</v>
      </c>
      <c r="N4861" s="5">
        <f>tblSales[[#This Row],[Qty]]*_xlfn.XLOOKUP(tblSales[[#This Row],[Product Code]],tblProducts[Code],tblProducts[Unit Cost],0)</f>
        <v>1120000</v>
      </c>
      <c r="O4861" s="4" t="s">
        <v>4866</v>
      </c>
      <c r="P4861" s="4" t="s">
        <v>4862</v>
      </c>
      <c r="Q4861" s="1" t="str">
        <f>_xlfn.XLOOKUP(tblSales[[#This Row],[Channel Code]],tblChannels[Channel Code],tblChannels[Channel Name],"")</f>
        <v>Website &amp; Social Media</v>
      </c>
      <c r="R4861" s="1">
        <f>MONTH(tblSales[[#This Row],[Date]])</f>
        <v>10</v>
      </c>
    </row>
    <row r="4862" spans="2:18" x14ac:dyDescent="0.35">
      <c r="B4862" s="113">
        <v>46318</v>
      </c>
      <c r="C4862" s="4" t="s">
        <v>3315</v>
      </c>
      <c r="D4862" s="4" t="s">
        <v>4568</v>
      </c>
      <c r="E4862" s="1" t="str">
        <f>_xlfn.XLOOKUP(tblSales[[#This Row],[Customer ID]],tblCustomers[Customer ID],tblCustomers[Customer Name],"⚠ Unknown")</f>
        <v>Walk-in Customer</v>
      </c>
      <c r="F4862" s="4" t="s">
        <v>8</v>
      </c>
      <c r="G4862" s="1" t="str">
        <f>_xlfn.XLOOKUP(tblSales[[#This Row],[Product Code]],tblProducts[Code],tblProducts[Product / Service Name],"⚠ Unknown")</f>
        <v>Casual Shorts</v>
      </c>
      <c r="H4862" s="1" t="str">
        <f>_xlfn.XLOOKUP(tblSales[[#This Row],[Product Code]],tblProducts[Code],tblProducts[Category],"")</f>
        <v>Accessories &amp; Basics</v>
      </c>
      <c r="I4862" s="4">
        <v>1</v>
      </c>
      <c r="J4862" s="5">
        <f>_xlfn.XLOOKUP(tblSales[[#This Row],[Product Code]],tblProducts[Code],tblProducts[Selling Price (excl. VAT)],0)</f>
        <v>85000</v>
      </c>
      <c r="K4862" s="5">
        <f>tblSales[[#This Row],[Qty]]*tblSales[[#This Row],[Unit Price]]</f>
        <v>85000</v>
      </c>
      <c r="L4862" s="5">
        <f>ROUND(tblSales[[#This Row],[DPP (excl. VAT)]]*VATEff,0)</f>
        <v>9350</v>
      </c>
      <c r="M4862" s="5">
        <f>tblSales[[#This Row],[DPP (excl. VAT)]]+tblSales[[#This Row],[Output VAT]]</f>
        <v>94350</v>
      </c>
      <c r="N4862" s="5">
        <f>tblSales[[#This Row],[Qty]]*_xlfn.XLOOKUP(tblSales[[#This Row],[Product Code]],tblProducts[Code],tblProducts[Unit Cost],0)</f>
        <v>50000</v>
      </c>
      <c r="O4862" s="4" t="s">
        <v>4866</v>
      </c>
      <c r="P4862" s="4" t="s">
        <v>4861</v>
      </c>
      <c r="Q4862" s="1" t="str">
        <f>_xlfn.XLOOKUP(tblSales[[#This Row],[Channel Code]],tblChannels[Channel Code],tblChannels[Channel Name],"")</f>
        <v>Marketplace</v>
      </c>
      <c r="R4862" s="1">
        <f>MONTH(tblSales[[#This Row],[Date]])</f>
        <v>10</v>
      </c>
    </row>
    <row r="4863" spans="2:18" x14ac:dyDescent="0.35">
      <c r="B4863" s="113">
        <v>46318</v>
      </c>
      <c r="C4863" s="4" t="s">
        <v>3316</v>
      </c>
      <c r="D4863" s="4" t="s">
        <v>4568</v>
      </c>
      <c r="E4863" s="1" t="str">
        <f>_xlfn.XLOOKUP(tblSales[[#This Row],[Customer ID]],tblCustomers[Customer ID],tblCustomers[Customer Name],"⚠ Unknown")</f>
        <v>Walk-in Customer</v>
      </c>
      <c r="F4863" s="4" t="s">
        <v>10</v>
      </c>
      <c r="G4863" s="1" t="str">
        <f>_xlfn.XLOOKUP(tblSales[[#This Row],[Product Code]],tblProducts[Code],tblProducts[Product / Service Name],"⚠ Unknown")</f>
        <v>Chino Pants</v>
      </c>
      <c r="H4863" s="1" t="str">
        <f>_xlfn.XLOOKUP(tblSales[[#This Row],[Product Code]],tblProducts[Code],tblProducts[Category],"")</f>
        <v>Apparel &amp; Footwear</v>
      </c>
      <c r="I4863" s="4">
        <v>7</v>
      </c>
      <c r="J4863" s="5">
        <f>_xlfn.XLOOKUP(tblSales[[#This Row],[Product Code]],tblProducts[Code],tblProducts[Selling Price (excl. VAT)],0)</f>
        <v>150000</v>
      </c>
      <c r="K4863" s="5">
        <f>tblSales[[#This Row],[Qty]]*tblSales[[#This Row],[Unit Price]]</f>
        <v>1050000</v>
      </c>
      <c r="L4863" s="5">
        <f>ROUND(tblSales[[#This Row],[DPP (excl. VAT)]]*VATEff,0)</f>
        <v>115500</v>
      </c>
      <c r="M4863" s="5">
        <f>tblSales[[#This Row],[DPP (excl. VAT)]]+tblSales[[#This Row],[Output VAT]]</f>
        <v>1165500</v>
      </c>
      <c r="N4863" s="5">
        <f>tblSales[[#This Row],[Qty]]*_xlfn.XLOOKUP(tblSales[[#This Row],[Product Code]],tblProducts[Code],tblProducts[Unit Cost],0)</f>
        <v>616000</v>
      </c>
      <c r="O4863" s="4" t="s">
        <v>4866</v>
      </c>
      <c r="P4863" s="4" t="s">
        <v>4861</v>
      </c>
      <c r="Q4863" s="1" t="str">
        <f>_xlfn.XLOOKUP(tblSales[[#This Row],[Channel Code]],tblChannels[Channel Code],tblChannels[Channel Name],"")</f>
        <v>Marketplace</v>
      </c>
      <c r="R4863" s="1">
        <f>MONTH(tblSales[[#This Row],[Date]])</f>
        <v>10</v>
      </c>
    </row>
    <row r="4864" spans="2:18" x14ac:dyDescent="0.35">
      <c r="B4864" s="113">
        <v>46318</v>
      </c>
      <c r="C4864" s="4" t="s">
        <v>3317</v>
      </c>
      <c r="D4864" s="4" t="s">
        <v>4568</v>
      </c>
      <c r="E4864" s="1" t="str">
        <f>_xlfn.XLOOKUP(tblSales[[#This Row],[Customer ID]],tblCustomers[Customer ID],tblCustomers[Customer Name],"⚠ Unknown")</f>
        <v>Walk-in Customer</v>
      </c>
      <c r="F4864" s="4" t="s">
        <v>8</v>
      </c>
      <c r="G4864" s="1" t="str">
        <f>_xlfn.XLOOKUP(tblSales[[#This Row],[Product Code]],tblProducts[Code],tblProducts[Product / Service Name],"⚠ Unknown")</f>
        <v>Casual Shorts</v>
      </c>
      <c r="H4864" s="1" t="str">
        <f>_xlfn.XLOOKUP(tblSales[[#This Row],[Product Code]],tblProducts[Code],tblProducts[Category],"")</f>
        <v>Accessories &amp; Basics</v>
      </c>
      <c r="I4864" s="4">
        <v>8</v>
      </c>
      <c r="J4864" s="5">
        <f>_xlfn.XLOOKUP(tblSales[[#This Row],[Product Code]],tblProducts[Code],tblProducts[Selling Price (excl. VAT)],0)</f>
        <v>85000</v>
      </c>
      <c r="K4864" s="5">
        <f>tblSales[[#This Row],[Qty]]*tblSales[[#This Row],[Unit Price]]</f>
        <v>680000</v>
      </c>
      <c r="L4864" s="5">
        <f>ROUND(tblSales[[#This Row],[DPP (excl. VAT)]]*VATEff,0)</f>
        <v>74800</v>
      </c>
      <c r="M4864" s="5">
        <f>tblSales[[#This Row],[DPP (excl. VAT)]]+tblSales[[#This Row],[Output VAT]]</f>
        <v>754800</v>
      </c>
      <c r="N4864" s="5">
        <f>tblSales[[#This Row],[Qty]]*_xlfn.XLOOKUP(tblSales[[#This Row],[Product Code]],tblProducts[Code],tblProducts[Unit Cost],0)</f>
        <v>400000</v>
      </c>
      <c r="O4864" s="4" t="s">
        <v>4865</v>
      </c>
      <c r="P4864" s="4" t="s">
        <v>4860</v>
      </c>
      <c r="Q4864" s="1" t="str">
        <f>_xlfn.XLOOKUP(tblSales[[#This Row],[Channel Code]],tblChannels[Channel Code],tblChannels[Channel Name],"")</f>
        <v>In-store</v>
      </c>
      <c r="R4864" s="1">
        <f>MONTH(tblSales[[#This Row],[Date]])</f>
        <v>10</v>
      </c>
    </row>
    <row r="4865" spans="2:18" x14ac:dyDescent="0.35">
      <c r="B4865" s="113">
        <v>46318</v>
      </c>
      <c r="C4865" s="4" t="s">
        <v>3317</v>
      </c>
      <c r="D4865" s="4" t="s">
        <v>4568</v>
      </c>
      <c r="E4865" s="1" t="str">
        <f>_xlfn.XLOOKUP(tblSales[[#This Row],[Customer ID]],tblCustomers[Customer ID],tblCustomers[Customer Name],"⚠ Unknown")</f>
        <v>Walk-in Customer</v>
      </c>
      <c r="F4865" s="4" t="s">
        <v>9</v>
      </c>
      <c r="G4865" s="1" t="str">
        <f>_xlfn.XLOOKUP(tblSales[[#This Row],[Product Code]],tblProducts[Code],tblProducts[Product / Service Name],"⚠ Unknown")</f>
        <v>Casual Shirt</v>
      </c>
      <c r="H4865" s="1" t="str">
        <f>_xlfn.XLOOKUP(tblSales[[#This Row],[Product Code]],tblProducts[Code],tblProducts[Category],"")</f>
        <v>Apparel &amp; Footwear</v>
      </c>
      <c r="I4865" s="4">
        <v>4</v>
      </c>
      <c r="J4865" s="5">
        <f>_xlfn.XLOOKUP(tblSales[[#This Row],[Product Code]],tblProducts[Code],tblProducts[Selling Price (excl. VAT)],0)</f>
        <v>120000</v>
      </c>
      <c r="K4865" s="5">
        <f>tblSales[[#This Row],[Qty]]*tblSales[[#This Row],[Unit Price]]</f>
        <v>480000</v>
      </c>
      <c r="L4865" s="5">
        <f>ROUND(tblSales[[#This Row],[DPP (excl. VAT)]]*VATEff,0)</f>
        <v>52800</v>
      </c>
      <c r="M4865" s="5">
        <f>tblSales[[#This Row],[DPP (excl. VAT)]]+tblSales[[#This Row],[Output VAT]]</f>
        <v>532800</v>
      </c>
      <c r="N4865" s="5">
        <f>tblSales[[#This Row],[Qty]]*_xlfn.XLOOKUP(tblSales[[#This Row],[Product Code]],tblProducts[Code],tblProducts[Unit Cost],0)</f>
        <v>288000</v>
      </c>
      <c r="O4865" s="4" t="s">
        <v>4865</v>
      </c>
      <c r="P4865" s="4" t="s">
        <v>4860</v>
      </c>
      <c r="Q4865" s="1" t="str">
        <f>_xlfn.XLOOKUP(tblSales[[#This Row],[Channel Code]],tblChannels[Channel Code],tblChannels[Channel Name],"")</f>
        <v>In-store</v>
      </c>
      <c r="R4865" s="1">
        <f>MONTH(tblSales[[#This Row],[Date]])</f>
        <v>10</v>
      </c>
    </row>
    <row r="4866" spans="2:18" x14ac:dyDescent="0.35">
      <c r="B4866" s="113">
        <v>46318</v>
      </c>
      <c r="C4866" s="4" t="s">
        <v>3318</v>
      </c>
      <c r="D4866" s="4" t="s">
        <v>4568</v>
      </c>
      <c r="E4866" s="1" t="str">
        <f>_xlfn.XLOOKUP(tblSales[[#This Row],[Customer ID]],tblCustomers[Customer ID],tblCustomers[Customer Name],"⚠ Unknown")</f>
        <v>Walk-in Customer</v>
      </c>
      <c r="F4866" s="4" t="s">
        <v>11</v>
      </c>
      <c r="G4866" s="1" t="str">
        <f>_xlfn.XLOOKUP(tblSales[[#This Row],[Product Code]],tblProducts[Code],tblProducts[Product / Service Name],"⚠ Unknown")</f>
        <v>Sneakers</v>
      </c>
      <c r="H4866" s="1" t="str">
        <f>_xlfn.XLOOKUP(tblSales[[#This Row],[Product Code]],tblProducts[Code],tblProducts[Category],"")</f>
        <v>Apparel &amp; Footwear</v>
      </c>
      <c r="I4866" s="4">
        <v>2</v>
      </c>
      <c r="J4866" s="5">
        <f>_xlfn.XLOOKUP(tblSales[[#This Row],[Product Code]],tblProducts[Code],tblProducts[Selling Price (excl. VAT)],0)</f>
        <v>250000</v>
      </c>
      <c r="K4866" s="5">
        <f>tblSales[[#This Row],[Qty]]*tblSales[[#This Row],[Unit Price]]</f>
        <v>500000</v>
      </c>
      <c r="L4866" s="5">
        <f>ROUND(tblSales[[#This Row],[DPP (excl. VAT)]]*VATEff,0)</f>
        <v>55000</v>
      </c>
      <c r="M4866" s="5">
        <f>tblSales[[#This Row],[DPP (excl. VAT)]]+tblSales[[#This Row],[Output VAT]]</f>
        <v>555000</v>
      </c>
      <c r="N4866" s="5">
        <f>tblSales[[#This Row],[Qty]]*_xlfn.XLOOKUP(tblSales[[#This Row],[Product Code]],tblProducts[Code],tblProducts[Unit Cost],0)</f>
        <v>310000</v>
      </c>
      <c r="O4866" s="4" t="s">
        <v>4865</v>
      </c>
      <c r="P4866" s="4" t="s">
        <v>4860</v>
      </c>
      <c r="Q4866" s="1" t="str">
        <f>_xlfn.XLOOKUP(tblSales[[#This Row],[Channel Code]],tblChannels[Channel Code],tblChannels[Channel Name],"")</f>
        <v>In-store</v>
      </c>
      <c r="R4866" s="1">
        <f>MONTH(tblSales[[#This Row],[Date]])</f>
        <v>10</v>
      </c>
    </row>
    <row r="4867" spans="2:18" x14ac:dyDescent="0.35">
      <c r="B4867" s="113">
        <v>46318</v>
      </c>
      <c r="C4867" s="4" t="s">
        <v>3319</v>
      </c>
      <c r="D4867" s="4" t="s">
        <v>4568</v>
      </c>
      <c r="E4867" s="1" t="str">
        <f>_xlfn.XLOOKUP(tblSales[[#This Row],[Customer ID]],tblCustomers[Customer ID],tblCustomers[Customer Name],"⚠ Unknown")</f>
        <v>Walk-in Customer</v>
      </c>
      <c r="F4867" s="4" t="s">
        <v>8</v>
      </c>
      <c r="G4867" s="1" t="str">
        <f>_xlfn.XLOOKUP(tblSales[[#This Row],[Product Code]],tblProducts[Code],tblProducts[Product / Service Name],"⚠ Unknown")</f>
        <v>Casual Shorts</v>
      </c>
      <c r="H4867" s="1" t="str">
        <f>_xlfn.XLOOKUP(tblSales[[#This Row],[Product Code]],tblProducts[Code],tblProducts[Category],"")</f>
        <v>Accessories &amp; Basics</v>
      </c>
      <c r="I4867" s="4">
        <v>7</v>
      </c>
      <c r="J4867" s="5">
        <f>_xlfn.XLOOKUP(tblSales[[#This Row],[Product Code]],tblProducts[Code],tblProducts[Selling Price (excl. VAT)],0)</f>
        <v>85000</v>
      </c>
      <c r="K4867" s="5">
        <f>tblSales[[#This Row],[Qty]]*tblSales[[#This Row],[Unit Price]]</f>
        <v>595000</v>
      </c>
      <c r="L4867" s="5">
        <f>ROUND(tblSales[[#This Row],[DPP (excl. VAT)]]*VATEff,0)</f>
        <v>65450</v>
      </c>
      <c r="M4867" s="5">
        <f>tblSales[[#This Row],[DPP (excl. VAT)]]+tblSales[[#This Row],[Output VAT]]</f>
        <v>660450</v>
      </c>
      <c r="N4867" s="5">
        <f>tblSales[[#This Row],[Qty]]*_xlfn.XLOOKUP(tblSales[[#This Row],[Product Code]],tblProducts[Code],tblProducts[Unit Cost],0)</f>
        <v>350000</v>
      </c>
      <c r="O4867" s="4" t="s">
        <v>4865</v>
      </c>
      <c r="P4867" s="4" t="s">
        <v>4860</v>
      </c>
      <c r="Q4867" s="1" t="str">
        <f>_xlfn.XLOOKUP(tblSales[[#This Row],[Channel Code]],tblChannels[Channel Code],tblChannels[Channel Name],"")</f>
        <v>In-store</v>
      </c>
      <c r="R4867" s="1">
        <f>MONTH(tblSales[[#This Row],[Date]])</f>
        <v>10</v>
      </c>
    </row>
    <row r="4868" spans="2:18" x14ac:dyDescent="0.35">
      <c r="B4868" s="113">
        <v>46318</v>
      </c>
      <c r="C4868" s="4" t="s">
        <v>3319</v>
      </c>
      <c r="D4868" s="4" t="s">
        <v>4568</v>
      </c>
      <c r="E4868" s="1" t="str">
        <f>_xlfn.XLOOKUP(tblSales[[#This Row],[Customer ID]],tblCustomers[Customer ID],tblCustomers[Customer Name],"⚠ Unknown")</f>
        <v>Walk-in Customer</v>
      </c>
      <c r="F4868" s="4" t="s">
        <v>9</v>
      </c>
      <c r="G4868" s="1" t="str">
        <f>_xlfn.XLOOKUP(tblSales[[#This Row],[Product Code]],tblProducts[Code],tblProducts[Product / Service Name],"⚠ Unknown")</f>
        <v>Casual Shirt</v>
      </c>
      <c r="H4868" s="1" t="str">
        <f>_xlfn.XLOOKUP(tblSales[[#This Row],[Product Code]],tblProducts[Code],tblProducts[Category],"")</f>
        <v>Apparel &amp; Footwear</v>
      </c>
      <c r="I4868" s="4">
        <v>4</v>
      </c>
      <c r="J4868" s="5">
        <f>_xlfn.XLOOKUP(tblSales[[#This Row],[Product Code]],tblProducts[Code],tblProducts[Selling Price (excl. VAT)],0)</f>
        <v>120000</v>
      </c>
      <c r="K4868" s="5">
        <f>tblSales[[#This Row],[Qty]]*tblSales[[#This Row],[Unit Price]]</f>
        <v>480000</v>
      </c>
      <c r="L4868" s="5">
        <f>ROUND(tblSales[[#This Row],[DPP (excl. VAT)]]*VATEff,0)</f>
        <v>52800</v>
      </c>
      <c r="M4868" s="5">
        <f>tblSales[[#This Row],[DPP (excl. VAT)]]+tblSales[[#This Row],[Output VAT]]</f>
        <v>532800</v>
      </c>
      <c r="N4868" s="5">
        <f>tblSales[[#This Row],[Qty]]*_xlfn.XLOOKUP(tblSales[[#This Row],[Product Code]],tblProducts[Code],tblProducts[Unit Cost],0)</f>
        <v>288000</v>
      </c>
      <c r="O4868" s="4" t="s">
        <v>4865</v>
      </c>
      <c r="P4868" s="4" t="s">
        <v>4860</v>
      </c>
      <c r="Q4868" s="1" t="str">
        <f>_xlfn.XLOOKUP(tblSales[[#This Row],[Channel Code]],tblChannels[Channel Code],tblChannels[Channel Name],"")</f>
        <v>In-store</v>
      </c>
      <c r="R4868" s="1">
        <f>MONTH(tblSales[[#This Row],[Date]])</f>
        <v>10</v>
      </c>
    </row>
    <row r="4869" spans="2:18" x14ac:dyDescent="0.35">
      <c r="B4869" s="113">
        <v>46319</v>
      </c>
      <c r="C4869" s="4" t="s">
        <v>3320</v>
      </c>
      <c r="D4869" s="4" t="s">
        <v>4568</v>
      </c>
      <c r="E4869" s="1" t="str">
        <f>_xlfn.XLOOKUP(tblSales[[#This Row],[Customer ID]],tblCustomers[Customer ID],tblCustomers[Customer Name],"⚠ Unknown")</f>
        <v>Walk-in Customer</v>
      </c>
      <c r="F4869" s="4" t="s">
        <v>14</v>
      </c>
      <c r="G4869" s="1" t="str">
        <f>_xlfn.XLOOKUP(tblSales[[#This Row],[Product Code]],tblProducts[Code],tblProducts[Product / Service Name],"⚠ Unknown")</f>
        <v>Smartwatch</v>
      </c>
      <c r="H4869" s="1" t="str">
        <f>_xlfn.XLOOKUP(tblSales[[#This Row],[Product Code]],tblProducts[Code],tblProducts[Category],"")</f>
        <v>Bags &amp; Gadgets</v>
      </c>
      <c r="I4869" s="4">
        <v>3</v>
      </c>
      <c r="J4869" s="5">
        <f>_xlfn.XLOOKUP(tblSales[[#This Row],[Product Code]],tblProducts[Code],tblProducts[Selling Price (excl. VAT)],0)</f>
        <v>850000</v>
      </c>
      <c r="K4869" s="5">
        <f>tblSales[[#This Row],[Qty]]*tblSales[[#This Row],[Unit Price]]</f>
        <v>2550000</v>
      </c>
      <c r="L4869" s="5">
        <f>ROUND(tblSales[[#This Row],[DPP (excl. VAT)]]*VATEff,0)</f>
        <v>280500</v>
      </c>
      <c r="M4869" s="5">
        <f>tblSales[[#This Row],[DPP (excl. VAT)]]+tblSales[[#This Row],[Output VAT]]</f>
        <v>2830500</v>
      </c>
      <c r="N4869" s="5">
        <f>tblSales[[#This Row],[Qty]]*_xlfn.XLOOKUP(tblSales[[#This Row],[Product Code]],tblProducts[Code],tblProducts[Unit Cost],0)</f>
        <v>1680000</v>
      </c>
      <c r="O4869" s="4" t="s">
        <v>4866</v>
      </c>
      <c r="P4869" s="4" t="s">
        <v>4861</v>
      </c>
      <c r="Q4869" s="1" t="str">
        <f>_xlfn.XLOOKUP(tblSales[[#This Row],[Channel Code]],tblChannels[Channel Code],tblChannels[Channel Name],"")</f>
        <v>Marketplace</v>
      </c>
      <c r="R4869" s="1">
        <f>MONTH(tblSales[[#This Row],[Date]])</f>
        <v>10</v>
      </c>
    </row>
    <row r="4870" spans="2:18" x14ac:dyDescent="0.35">
      <c r="B4870" s="113">
        <v>46319</v>
      </c>
      <c r="C4870" s="4" t="s">
        <v>3321</v>
      </c>
      <c r="D4870" s="4" t="s">
        <v>4613</v>
      </c>
      <c r="E4870" s="1" t="str">
        <f>_xlfn.XLOOKUP(tblSales[[#This Row],[Customer ID]],tblCustomers[Customer ID],tblCustomers[Customer Name],"⚠ Unknown")</f>
        <v>PT Mega Prima Distribusi</v>
      </c>
      <c r="F4870" s="4" t="s">
        <v>9</v>
      </c>
      <c r="G4870" s="1" t="str">
        <f>_xlfn.XLOOKUP(tblSales[[#This Row],[Product Code]],tblProducts[Code],tblProducts[Product / Service Name],"⚠ Unknown")</f>
        <v>Casual Shirt</v>
      </c>
      <c r="H4870" s="1" t="str">
        <f>_xlfn.XLOOKUP(tblSales[[#This Row],[Product Code]],tblProducts[Code],tblProducts[Category],"")</f>
        <v>Apparel &amp; Footwear</v>
      </c>
      <c r="I4870" s="4">
        <v>64</v>
      </c>
      <c r="J4870" s="5">
        <f>_xlfn.XLOOKUP(tblSales[[#This Row],[Product Code]],tblProducts[Code],tblProducts[Selling Price (excl. VAT)],0)</f>
        <v>120000</v>
      </c>
      <c r="K4870" s="5">
        <f>tblSales[[#This Row],[Qty]]*tblSales[[#This Row],[Unit Price]]</f>
        <v>7680000</v>
      </c>
      <c r="L4870" s="5">
        <f>ROUND(tblSales[[#This Row],[DPP (excl. VAT)]]*VATEff,0)</f>
        <v>844800</v>
      </c>
      <c r="M4870" s="5">
        <f>tblSales[[#This Row],[DPP (excl. VAT)]]+tblSales[[#This Row],[Output VAT]]</f>
        <v>8524800</v>
      </c>
      <c r="N4870" s="5">
        <f>tblSales[[#This Row],[Qty]]*_xlfn.XLOOKUP(tblSales[[#This Row],[Product Code]],tblProducts[Code],tblProducts[Unit Cost],0)</f>
        <v>4608000</v>
      </c>
      <c r="O4870" s="4" t="s">
        <v>4867</v>
      </c>
      <c r="P4870" s="4" t="s">
        <v>4860</v>
      </c>
      <c r="Q4870" s="1" t="str">
        <f>_xlfn.XLOOKUP(tblSales[[#This Row],[Channel Code]],tblChannels[Channel Code],tblChannels[Channel Name],"")</f>
        <v>In-store</v>
      </c>
      <c r="R4870" s="1">
        <f>MONTH(tblSales[[#This Row],[Date]])</f>
        <v>10</v>
      </c>
    </row>
    <row r="4871" spans="2:18" x14ac:dyDescent="0.35">
      <c r="B4871" s="113">
        <v>46319</v>
      </c>
      <c r="C4871" s="4" t="s">
        <v>3322</v>
      </c>
      <c r="D4871" s="4" t="s">
        <v>4568</v>
      </c>
      <c r="E4871" s="1" t="str">
        <f>_xlfn.XLOOKUP(tblSales[[#This Row],[Customer ID]],tblCustomers[Customer ID],tblCustomers[Customer Name],"⚠ Unknown")</f>
        <v>Walk-in Customer</v>
      </c>
      <c r="F4871" s="4" t="s">
        <v>10</v>
      </c>
      <c r="G4871" s="1" t="str">
        <f>_xlfn.XLOOKUP(tblSales[[#This Row],[Product Code]],tblProducts[Code],tblProducts[Product / Service Name],"⚠ Unknown")</f>
        <v>Chino Pants</v>
      </c>
      <c r="H4871" s="1" t="str">
        <f>_xlfn.XLOOKUP(tblSales[[#This Row],[Product Code]],tblProducts[Code],tblProducts[Category],"")</f>
        <v>Apparel &amp; Footwear</v>
      </c>
      <c r="I4871" s="4">
        <v>12</v>
      </c>
      <c r="J4871" s="5">
        <f>_xlfn.XLOOKUP(tblSales[[#This Row],[Product Code]],tblProducts[Code],tblProducts[Selling Price (excl. VAT)],0)</f>
        <v>150000</v>
      </c>
      <c r="K4871" s="5">
        <f>tblSales[[#This Row],[Qty]]*tblSales[[#This Row],[Unit Price]]</f>
        <v>1800000</v>
      </c>
      <c r="L4871" s="5">
        <f>ROUND(tblSales[[#This Row],[DPP (excl. VAT)]]*VATEff,0)</f>
        <v>198000</v>
      </c>
      <c r="M4871" s="5">
        <f>tblSales[[#This Row],[DPP (excl. VAT)]]+tblSales[[#This Row],[Output VAT]]</f>
        <v>1998000</v>
      </c>
      <c r="N4871" s="5">
        <f>tblSales[[#This Row],[Qty]]*_xlfn.XLOOKUP(tblSales[[#This Row],[Product Code]],tblProducts[Code],tblProducts[Unit Cost],0)</f>
        <v>1056000</v>
      </c>
      <c r="O4871" s="4" t="s">
        <v>4865</v>
      </c>
      <c r="P4871" s="4" t="s">
        <v>4860</v>
      </c>
      <c r="Q4871" s="1" t="str">
        <f>_xlfn.XLOOKUP(tblSales[[#This Row],[Channel Code]],tblChannels[Channel Code],tblChannels[Channel Name],"")</f>
        <v>In-store</v>
      </c>
      <c r="R4871" s="1">
        <f>MONTH(tblSales[[#This Row],[Date]])</f>
        <v>10</v>
      </c>
    </row>
    <row r="4872" spans="2:18" x14ac:dyDescent="0.35">
      <c r="B4872" s="113">
        <v>46319</v>
      </c>
      <c r="C4872" s="4" t="s">
        <v>3323</v>
      </c>
      <c r="D4872" s="4" t="s">
        <v>4634</v>
      </c>
      <c r="E4872" s="1" t="str">
        <f>_xlfn.XLOOKUP(tblSales[[#This Row],[Customer ID]],tblCustomers[Customer ID],tblCustomers[Customer Name],"⚠ Unknown")</f>
        <v>PT Delta Inti Selaras</v>
      </c>
      <c r="F4872" s="4" t="s">
        <v>6</v>
      </c>
      <c r="G4872" s="1" t="str">
        <f>_xlfn.XLOOKUP(tblSales[[#This Row],[Product Code]],tblProducts[Code],tblProducts[Product / Service Name],"⚠ Unknown")</f>
        <v>Socks &amp; Accessories</v>
      </c>
      <c r="H4872" s="1" t="str">
        <f>_xlfn.XLOOKUP(tblSales[[#This Row],[Product Code]],tblProducts[Code],tblProducts[Category],"")</f>
        <v>Accessories &amp; Basics</v>
      </c>
      <c r="I4872" s="4">
        <v>32</v>
      </c>
      <c r="J4872" s="5">
        <f>_xlfn.XLOOKUP(tblSales[[#This Row],[Product Code]],tblProducts[Code],tblProducts[Selling Price (excl. VAT)],0)</f>
        <v>45000</v>
      </c>
      <c r="K4872" s="5">
        <f>tblSales[[#This Row],[Qty]]*tblSales[[#This Row],[Unit Price]]</f>
        <v>1440000</v>
      </c>
      <c r="L4872" s="5">
        <f>ROUND(tblSales[[#This Row],[DPP (excl. VAT)]]*VATEff,0)</f>
        <v>158400</v>
      </c>
      <c r="M4872" s="5">
        <f>tblSales[[#This Row],[DPP (excl. VAT)]]+tblSales[[#This Row],[Output VAT]]</f>
        <v>1598400</v>
      </c>
      <c r="N4872" s="5">
        <f>tblSales[[#This Row],[Qty]]*_xlfn.XLOOKUP(tblSales[[#This Row],[Product Code]],tblProducts[Code],tblProducts[Unit Cost],0)</f>
        <v>768000</v>
      </c>
      <c r="O4872" s="4" t="s">
        <v>4867</v>
      </c>
      <c r="P4872" s="4" t="s">
        <v>4862</v>
      </c>
      <c r="Q4872" s="1" t="str">
        <f>_xlfn.XLOOKUP(tblSales[[#This Row],[Channel Code]],tblChannels[Channel Code],tblChannels[Channel Name],"")</f>
        <v>Website &amp; Social Media</v>
      </c>
      <c r="R4872" s="1">
        <f>MONTH(tblSales[[#This Row],[Date]])</f>
        <v>10</v>
      </c>
    </row>
    <row r="4873" spans="2:18" x14ac:dyDescent="0.35">
      <c r="B4873" s="113">
        <v>46319</v>
      </c>
      <c r="C4873" s="4" t="s">
        <v>3324</v>
      </c>
      <c r="D4873" s="4" t="s">
        <v>4593</v>
      </c>
      <c r="E4873" s="1" t="str">
        <f>_xlfn.XLOOKUP(tblSales[[#This Row],[Customer ID]],tblCustomers[Customer ID],tblCustomers[Customer Name],"⚠ Unknown")</f>
        <v>PT Graha Nusa Persada</v>
      </c>
      <c r="F4873" s="4" t="s">
        <v>6</v>
      </c>
      <c r="G4873" s="1" t="str">
        <f>_xlfn.XLOOKUP(tblSales[[#This Row],[Product Code]],tblProducts[Code],tblProducts[Product / Service Name],"⚠ Unknown")</f>
        <v>Socks &amp; Accessories</v>
      </c>
      <c r="H4873" s="1" t="str">
        <f>_xlfn.XLOOKUP(tblSales[[#This Row],[Product Code]],tblProducts[Code],tblProducts[Category],"")</f>
        <v>Accessories &amp; Basics</v>
      </c>
      <c r="I4873" s="4">
        <v>72</v>
      </c>
      <c r="J4873" s="5">
        <f>_xlfn.XLOOKUP(tblSales[[#This Row],[Product Code]],tblProducts[Code],tblProducts[Selling Price (excl. VAT)],0)</f>
        <v>45000</v>
      </c>
      <c r="K4873" s="5">
        <f>tblSales[[#This Row],[Qty]]*tblSales[[#This Row],[Unit Price]]</f>
        <v>3240000</v>
      </c>
      <c r="L4873" s="5">
        <f>ROUND(tblSales[[#This Row],[DPP (excl. VAT)]]*VATEff,0)</f>
        <v>356400</v>
      </c>
      <c r="M4873" s="5">
        <f>tblSales[[#This Row],[DPP (excl. VAT)]]+tblSales[[#This Row],[Output VAT]]</f>
        <v>3596400</v>
      </c>
      <c r="N4873" s="5">
        <f>tblSales[[#This Row],[Qty]]*_xlfn.XLOOKUP(tblSales[[#This Row],[Product Code]],tblProducts[Code],tblProducts[Unit Cost],0)</f>
        <v>1728000</v>
      </c>
      <c r="O4873" s="4" t="s">
        <v>4867</v>
      </c>
      <c r="P4873" s="4" t="s">
        <v>4862</v>
      </c>
      <c r="Q4873" s="1" t="str">
        <f>_xlfn.XLOOKUP(tblSales[[#This Row],[Channel Code]],tblChannels[Channel Code],tblChannels[Channel Name],"")</f>
        <v>Website &amp; Social Media</v>
      </c>
      <c r="R4873" s="1">
        <f>MONTH(tblSales[[#This Row],[Date]])</f>
        <v>10</v>
      </c>
    </row>
    <row r="4874" spans="2:18" x14ac:dyDescent="0.35">
      <c r="B4874" s="113">
        <v>46319</v>
      </c>
      <c r="C4874" s="4" t="s">
        <v>3325</v>
      </c>
      <c r="D4874" s="4" t="s">
        <v>4568</v>
      </c>
      <c r="E4874" s="1" t="str">
        <f>_xlfn.XLOOKUP(tblSales[[#This Row],[Customer ID]],tblCustomers[Customer ID],tblCustomers[Customer Name],"⚠ Unknown")</f>
        <v>Walk-in Customer</v>
      </c>
      <c r="F4874" s="4" t="s">
        <v>9</v>
      </c>
      <c r="G4874" s="1" t="str">
        <f>_xlfn.XLOOKUP(tblSales[[#This Row],[Product Code]],tblProducts[Code],tblProducts[Product / Service Name],"⚠ Unknown")</f>
        <v>Casual Shirt</v>
      </c>
      <c r="H4874" s="1" t="str">
        <f>_xlfn.XLOOKUP(tblSales[[#This Row],[Product Code]],tblProducts[Code],tblProducts[Category],"")</f>
        <v>Apparel &amp; Footwear</v>
      </c>
      <c r="I4874" s="4">
        <v>8</v>
      </c>
      <c r="J4874" s="5">
        <f>_xlfn.XLOOKUP(tblSales[[#This Row],[Product Code]],tblProducts[Code],tblProducts[Selling Price (excl. VAT)],0)</f>
        <v>120000</v>
      </c>
      <c r="K4874" s="5">
        <f>tblSales[[#This Row],[Qty]]*tblSales[[#This Row],[Unit Price]]</f>
        <v>960000</v>
      </c>
      <c r="L4874" s="5">
        <f>ROUND(tblSales[[#This Row],[DPP (excl. VAT)]]*VATEff,0)</f>
        <v>105600</v>
      </c>
      <c r="M4874" s="5">
        <f>tblSales[[#This Row],[DPP (excl. VAT)]]+tblSales[[#This Row],[Output VAT]]</f>
        <v>1065600</v>
      </c>
      <c r="N4874" s="5">
        <f>tblSales[[#This Row],[Qty]]*_xlfn.XLOOKUP(tblSales[[#This Row],[Product Code]],tblProducts[Code],tblProducts[Unit Cost],0)</f>
        <v>576000</v>
      </c>
      <c r="O4874" s="4" t="s">
        <v>4866</v>
      </c>
      <c r="P4874" s="4" t="s">
        <v>4861</v>
      </c>
      <c r="Q4874" s="1" t="str">
        <f>_xlfn.XLOOKUP(tblSales[[#This Row],[Channel Code]],tblChannels[Channel Code],tblChannels[Channel Name],"")</f>
        <v>Marketplace</v>
      </c>
      <c r="R4874" s="1">
        <f>MONTH(tblSales[[#This Row],[Date]])</f>
        <v>10</v>
      </c>
    </row>
    <row r="4875" spans="2:18" x14ac:dyDescent="0.35">
      <c r="B4875" s="113">
        <v>46319</v>
      </c>
      <c r="C4875" s="4" t="s">
        <v>3326</v>
      </c>
      <c r="D4875" s="4" t="s">
        <v>4568</v>
      </c>
      <c r="E4875" s="1" t="str">
        <f>_xlfn.XLOOKUP(tblSales[[#This Row],[Customer ID]],tblCustomers[Customer ID],tblCustomers[Customer Name],"⚠ Unknown")</f>
        <v>Walk-in Customer</v>
      </c>
      <c r="F4875" s="4" t="s">
        <v>7</v>
      </c>
      <c r="G4875" s="1" t="str">
        <f>_xlfn.XLOOKUP(tblSales[[#This Row],[Product Code]],tblProducts[Code],tblProducts[Product / Service Name],"⚠ Unknown")</f>
        <v>Premium Basic T-shirt</v>
      </c>
      <c r="H4875" s="1" t="str">
        <f>_xlfn.XLOOKUP(tblSales[[#This Row],[Product Code]],tblProducts[Code],tblProducts[Category],"")</f>
        <v>Accessories &amp; Basics</v>
      </c>
      <c r="I4875" s="4">
        <v>4</v>
      </c>
      <c r="J4875" s="5">
        <f>_xlfn.XLOOKUP(tblSales[[#This Row],[Product Code]],tblProducts[Code],tblProducts[Selling Price (excl. VAT)],0)</f>
        <v>65000</v>
      </c>
      <c r="K4875" s="5">
        <f>tblSales[[#This Row],[Qty]]*tblSales[[#This Row],[Unit Price]]</f>
        <v>260000</v>
      </c>
      <c r="L4875" s="5">
        <f>ROUND(tblSales[[#This Row],[DPP (excl. VAT)]]*VATEff,0)</f>
        <v>28600</v>
      </c>
      <c r="M4875" s="5">
        <f>tblSales[[#This Row],[DPP (excl. VAT)]]+tblSales[[#This Row],[Output VAT]]</f>
        <v>288600</v>
      </c>
      <c r="N4875" s="5">
        <f>tblSales[[#This Row],[Qty]]*_xlfn.XLOOKUP(tblSales[[#This Row],[Product Code]],tblProducts[Code],tblProducts[Unit Cost],0)</f>
        <v>148000</v>
      </c>
      <c r="O4875" s="4" t="s">
        <v>4866</v>
      </c>
      <c r="P4875" s="4" t="s">
        <v>4860</v>
      </c>
      <c r="Q4875" s="1" t="str">
        <f>_xlfn.XLOOKUP(tblSales[[#This Row],[Channel Code]],tblChannels[Channel Code],tblChannels[Channel Name],"")</f>
        <v>In-store</v>
      </c>
      <c r="R4875" s="1">
        <f>MONTH(tblSales[[#This Row],[Date]])</f>
        <v>10</v>
      </c>
    </row>
    <row r="4876" spans="2:18" x14ac:dyDescent="0.35">
      <c r="B4876" s="113">
        <v>46319</v>
      </c>
      <c r="C4876" s="4" t="s">
        <v>3326</v>
      </c>
      <c r="D4876" s="4" t="s">
        <v>4568</v>
      </c>
      <c r="E4876" s="1" t="str">
        <f>_xlfn.XLOOKUP(tblSales[[#This Row],[Customer ID]],tblCustomers[Customer ID],tblCustomers[Customer Name],"⚠ Unknown")</f>
        <v>Walk-in Customer</v>
      </c>
      <c r="F4876" s="4" t="s">
        <v>9</v>
      </c>
      <c r="G4876" s="1" t="str">
        <f>_xlfn.XLOOKUP(tblSales[[#This Row],[Product Code]],tblProducts[Code],tblProducts[Product / Service Name],"⚠ Unknown")</f>
        <v>Casual Shirt</v>
      </c>
      <c r="H4876" s="1" t="str">
        <f>_xlfn.XLOOKUP(tblSales[[#This Row],[Product Code]],tblProducts[Code],tblProducts[Category],"")</f>
        <v>Apparel &amp; Footwear</v>
      </c>
      <c r="I4876" s="4">
        <v>3</v>
      </c>
      <c r="J4876" s="5">
        <f>_xlfn.XLOOKUP(tblSales[[#This Row],[Product Code]],tblProducts[Code],tblProducts[Selling Price (excl. VAT)],0)</f>
        <v>120000</v>
      </c>
      <c r="K4876" s="5">
        <f>tblSales[[#This Row],[Qty]]*tblSales[[#This Row],[Unit Price]]</f>
        <v>360000</v>
      </c>
      <c r="L4876" s="5">
        <f>ROUND(tblSales[[#This Row],[DPP (excl. VAT)]]*VATEff,0)</f>
        <v>39600</v>
      </c>
      <c r="M4876" s="5">
        <f>tblSales[[#This Row],[DPP (excl. VAT)]]+tblSales[[#This Row],[Output VAT]]</f>
        <v>399600</v>
      </c>
      <c r="N4876" s="5">
        <f>tblSales[[#This Row],[Qty]]*_xlfn.XLOOKUP(tblSales[[#This Row],[Product Code]],tblProducts[Code],tblProducts[Unit Cost],0)</f>
        <v>216000</v>
      </c>
      <c r="O4876" s="4" t="s">
        <v>4866</v>
      </c>
      <c r="P4876" s="4" t="s">
        <v>4860</v>
      </c>
      <c r="Q4876" s="1" t="str">
        <f>_xlfn.XLOOKUP(tblSales[[#This Row],[Channel Code]],tblChannels[Channel Code],tblChannels[Channel Name],"")</f>
        <v>In-store</v>
      </c>
      <c r="R4876" s="1">
        <f>MONTH(tblSales[[#This Row],[Date]])</f>
        <v>10</v>
      </c>
    </row>
    <row r="4877" spans="2:18" x14ac:dyDescent="0.35">
      <c r="B4877" s="113">
        <v>46319</v>
      </c>
      <c r="C4877" s="4" t="s">
        <v>3327</v>
      </c>
      <c r="D4877" s="4" t="s">
        <v>4641</v>
      </c>
      <c r="E4877" s="1" t="str">
        <f>_xlfn.XLOOKUP(tblSales[[#This Row],[Customer ID]],tblCustomers[Customer ID],tblCustomers[Customer Name],"⚠ Unknown")</f>
        <v>PT Harmoni Pangan Lestari</v>
      </c>
      <c r="F4877" s="4" t="s">
        <v>11</v>
      </c>
      <c r="G4877" s="1" t="str">
        <f>_xlfn.XLOOKUP(tblSales[[#This Row],[Product Code]],tblProducts[Code],tblProducts[Product / Service Name],"⚠ Unknown")</f>
        <v>Sneakers</v>
      </c>
      <c r="H4877" s="1" t="str">
        <f>_xlfn.XLOOKUP(tblSales[[#This Row],[Product Code]],tblProducts[Code],tblProducts[Category],"")</f>
        <v>Apparel &amp; Footwear</v>
      </c>
      <c r="I4877" s="4">
        <v>16</v>
      </c>
      <c r="J4877" s="5">
        <f>_xlfn.XLOOKUP(tblSales[[#This Row],[Product Code]],tblProducts[Code],tblProducts[Selling Price (excl. VAT)],0)</f>
        <v>250000</v>
      </c>
      <c r="K4877" s="5">
        <f>tblSales[[#This Row],[Qty]]*tblSales[[#This Row],[Unit Price]]</f>
        <v>4000000</v>
      </c>
      <c r="L4877" s="5">
        <f>ROUND(tblSales[[#This Row],[DPP (excl. VAT)]]*VATEff,0)</f>
        <v>440000</v>
      </c>
      <c r="M4877" s="5">
        <f>tblSales[[#This Row],[DPP (excl. VAT)]]+tblSales[[#This Row],[Output VAT]]</f>
        <v>4440000</v>
      </c>
      <c r="N4877" s="5">
        <f>tblSales[[#This Row],[Qty]]*_xlfn.XLOOKUP(tblSales[[#This Row],[Product Code]],tblProducts[Code],tblProducts[Unit Cost],0)</f>
        <v>2480000</v>
      </c>
      <c r="O4877" s="4" t="s">
        <v>4867</v>
      </c>
      <c r="P4877" s="4" t="s">
        <v>4860</v>
      </c>
      <c r="Q4877" s="1" t="str">
        <f>_xlfn.XLOOKUP(tblSales[[#This Row],[Channel Code]],tblChannels[Channel Code],tblChannels[Channel Name],"")</f>
        <v>In-store</v>
      </c>
      <c r="R4877" s="1">
        <f>MONTH(tblSales[[#This Row],[Date]])</f>
        <v>10</v>
      </c>
    </row>
    <row r="4878" spans="2:18" x14ac:dyDescent="0.35">
      <c r="B4878" s="113">
        <v>46319</v>
      </c>
      <c r="C4878" s="4" t="s">
        <v>3328</v>
      </c>
      <c r="D4878" s="4" t="s">
        <v>4568</v>
      </c>
      <c r="E4878" s="1" t="str">
        <f>_xlfn.XLOOKUP(tblSales[[#This Row],[Customer ID]],tblCustomers[Customer ID],tblCustomers[Customer Name],"⚠ Unknown")</f>
        <v>Walk-in Customer</v>
      </c>
      <c r="F4878" s="4" t="s">
        <v>8</v>
      </c>
      <c r="G4878" s="1" t="str">
        <f>_xlfn.XLOOKUP(tblSales[[#This Row],[Product Code]],tblProducts[Code],tblProducts[Product / Service Name],"⚠ Unknown")</f>
        <v>Casual Shorts</v>
      </c>
      <c r="H4878" s="1" t="str">
        <f>_xlfn.XLOOKUP(tblSales[[#This Row],[Product Code]],tblProducts[Code],tblProducts[Category],"")</f>
        <v>Accessories &amp; Basics</v>
      </c>
      <c r="I4878" s="4">
        <v>11</v>
      </c>
      <c r="J4878" s="5">
        <f>_xlfn.XLOOKUP(tblSales[[#This Row],[Product Code]],tblProducts[Code],tblProducts[Selling Price (excl. VAT)],0)</f>
        <v>85000</v>
      </c>
      <c r="K4878" s="5">
        <f>tblSales[[#This Row],[Qty]]*tblSales[[#This Row],[Unit Price]]</f>
        <v>935000</v>
      </c>
      <c r="L4878" s="5">
        <f>ROUND(tblSales[[#This Row],[DPP (excl. VAT)]]*VATEff,0)</f>
        <v>102850</v>
      </c>
      <c r="M4878" s="5">
        <f>tblSales[[#This Row],[DPP (excl. VAT)]]+tblSales[[#This Row],[Output VAT]]</f>
        <v>1037850</v>
      </c>
      <c r="N4878" s="5">
        <f>tblSales[[#This Row],[Qty]]*_xlfn.XLOOKUP(tblSales[[#This Row],[Product Code]],tblProducts[Code],tblProducts[Unit Cost],0)</f>
        <v>550000</v>
      </c>
      <c r="O4878" s="4" t="s">
        <v>4866</v>
      </c>
      <c r="P4878" s="4" t="s">
        <v>4860</v>
      </c>
      <c r="Q4878" s="1" t="str">
        <f>_xlfn.XLOOKUP(tblSales[[#This Row],[Channel Code]],tblChannels[Channel Code],tblChannels[Channel Name],"")</f>
        <v>In-store</v>
      </c>
      <c r="R4878" s="1">
        <f>MONTH(tblSales[[#This Row],[Date]])</f>
        <v>10</v>
      </c>
    </row>
    <row r="4879" spans="2:18" x14ac:dyDescent="0.35">
      <c r="B4879" s="113">
        <v>46319</v>
      </c>
      <c r="C4879" s="4" t="s">
        <v>3329</v>
      </c>
      <c r="D4879" s="4" t="s">
        <v>4568</v>
      </c>
      <c r="E4879" s="1" t="str">
        <f>_xlfn.XLOOKUP(tblSales[[#This Row],[Customer ID]],tblCustomers[Customer ID],tblCustomers[Customer Name],"⚠ Unknown")</f>
        <v>Walk-in Customer</v>
      </c>
      <c r="F4879" s="4" t="s">
        <v>12</v>
      </c>
      <c r="G4879" s="1" t="str">
        <f>_xlfn.XLOOKUP(tblSales[[#This Row],[Product Code]],tblProducts[Code],tblProducts[Product / Service Name],"⚠ Unknown")</f>
        <v>Bomber Jacket</v>
      </c>
      <c r="H4879" s="1" t="str">
        <f>_xlfn.XLOOKUP(tblSales[[#This Row],[Product Code]],tblProducts[Code],tblProducts[Category],"")</f>
        <v>Apparel &amp; Footwear</v>
      </c>
      <c r="I4879" s="4">
        <v>5</v>
      </c>
      <c r="J4879" s="5">
        <f>_xlfn.XLOOKUP(tblSales[[#This Row],[Product Code]],tblProducts[Code],tblProducts[Selling Price (excl. VAT)],0)</f>
        <v>350000</v>
      </c>
      <c r="K4879" s="5">
        <f>tblSales[[#This Row],[Qty]]*tblSales[[#This Row],[Unit Price]]</f>
        <v>1750000</v>
      </c>
      <c r="L4879" s="5">
        <f>ROUND(tblSales[[#This Row],[DPP (excl. VAT)]]*VATEff,0)</f>
        <v>192500</v>
      </c>
      <c r="M4879" s="5">
        <f>tblSales[[#This Row],[DPP (excl. VAT)]]+tblSales[[#This Row],[Output VAT]]</f>
        <v>1942500</v>
      </c>
      <c r="N4879" s="5">
        <f>tblSales[[#This Row],[Qty]]*_xlfn.XLOOKUP(tblSales[[#This Row],[Product Code]],tblProducts[Code],tblProducts[Unit Cost],0)</f>
        <v>1050000</v>
      </c>
      <c r="O4879" s="4" t="s">
        <v>4866</v>
      </c>
      <c r="P4879" s="4" t="s">
        <v>4862</v>
      </c>
      <c r="Q4879" s="1" t="str">
        <f>_xlfn.XLOOKUP(tblSales[[#This Row],[Channel Code]],tblChannels[Channel Code],tblChannels[Channel Name],"")</f>
        <v>Website &amp; Social Media</v>
      </c>
      <c r="R4879" s="1">
        <f>MONTH(tblSales[[#This Row],[Date]])</f>
        <v>10</v>
      </c>
    </row>
    <row r="4880" spans="2:18" x14ac:dyDescent="0.35">
      <c r="B4880" s="113">
        <v>46319</v>
      </c>
      <c r="C4880" s="4" t="s">
        <v>3330</v>
      </c>
      <c r="D4880" s="4" t="s">
        <v>4568</v>
      </c>
      <c r="E4880" s="1" t="str">
        <f>_xlfn.XLOOKUP(tblSales[[#This Row],[Customer ID]],tblCustomers[Customer ID],tblCustomers[Customer Name],"⚠ Unknown")</f>
        <v>Walk-in Customer</v>
      </c>
      <c r="F4880" s="4" t="s">
        <v>6</v>
      </c>
      <c r="G4880" s="1" t="str">
        <f>_xlfn.XLOOKUP(tblSales[[#This Row],[Product Code]],tblProducts[Code],tblProducts[Product / Service Name],"⚠ Unknown")</f>
        <v>Socks &amp; Accessories</v>
      </c>
      <c r="H4880" s="1" t="str">
        <f>_xlfn.XLOOKUP(tblSales[[#This Row],[Product Code]],tblProducts[Code],tblProducts[Category],"")</f>
        <v>Accessories &amp; Basics</v>
      </c>
      <c r="I4880" s="4">
        <v>11</v>
      </c>
      <c r="J4880" s="5">
        <f>_xlfn.XLOOKUP(tblSales[[#This Row],[Product Code]],tblProducts[Code],tblProducts[Selling Price (excl. VAT)],0)</f>
        <v>45000</v>
      </c>
      <c r="K4880" s="5">
        <f>tblSales[[#This Row],[Qty]]*tblSales[[#This Row],[Unit Price]]</f>
        <v>495000</v>
      </c>
      <c r="L4880" s="5">
        <f>ROUND(tblSales[[#This Row],[DPP (excl. VAT)]]*VATEff,0)</f>
        <v>54450</v>
      </c>
      <c r="M4880" s="5">
        <f>tblSales[[#This Row],[DPP (excl. VAT)]]+tblSales[[#This Row],[Output VAT]]</f>
        <v>549450</v>
      </c>
      <c r="N4880" s="5">
        <f>tblSales[[#This Row],[Qty]]*_xlfn.XLOOKUP(tblSales[[#This Row],[Product Code]],tblProducts[Code],tblProducts[Unit Cost],0)</f>
        <v>264000</v>
      </c>
      <c r="O4880" s="4" t="s">
        <v>4865</v>
      </c>
      <c r="P4880" s="4" t="s">
        <v>4860</v>
      </c>
      <c r="Q4880" s="1" t="str">
        <f>_xlfn.XLOOKUP(tblSales[[#This Row],[Channel Code]],tblChannels[Channel Code],tblChannels[Channel Name],"")</f>
        <v>In-store</v>
      </c>
      <c r="R4880" s="1">
        <f>MONTH(tblSales[[#This Row],[Date]])</f>
        <v>10</v>
      </c>
    </row>
    <row r="4881" spans="2:18" x14ac:dyDescent="0.35">
      <c r="B4881" s="113">
        <v>46319</v>
      </c>
      <c r="C4881" s="4" t="s">
        <v>3330</v>
      </c>
      <c r="D4881" s="4" t="s">
        <v>4568</v>
      </c>
      <c r="E4881" s="1" t="str">
        <f>_xlfn.XLOOKUP(tblSales[[#This Row],[Customer ID]],tblCustomers[Customer ID],tblCustomers[Customer Name],"⚠ Unknown")</f>
        <v>Walk-in Customer</v>
      </c>
      <c r="F4881" s="4" t="s">
        <v>11</v>
      </c>
      <c r="G4881" s="1" t="str">
        <f>_xlfn.XLOOKUP(tblSales[[#This Row],[Product Code]],tblProducts[Code],tblProducts[Product / Service Name],"⚠ Unknown")</f>
        <v>Sneakers</v>
      </c>
      <c r="H4881" s="1" t="str">
        <f>_xlfn.XLOOKUP(tblSales[[#This Row],[Product Code]],tblProducts[Code],tblProducts[Category],"")</f>
        <v>Apparel &amp; Footwear</v>
      </c>
      <c r="I4881" s="4">
        <v>1</v>
      </c>
      <c r="J4881" s="5">
        <f>_xlfn.XLOOKUP(tblSales[[#This Row],[Product Code]],tblProducts[Code],tblProducts[Selling Price (excl. VAT)],0)</f>
        <v>250000</v>
      </c>
      <c r="K4881" s="5">
        <f>tblSales[[#This Row],[Qty]]*tblSales[[#This Row],[Unit Price]]</f>
        <v>250000</v>
      </c>
      <c r="L4881" s="5">
        <f>ROUND(tblSales[[#This Row],[DPP (excl. VAT)]]*VATEff,0)</f>
        <v>27500</v>
      </c>
      <c r="M4881" s="5">
        <f>tblSales[[#This Row],[DPP (excl. VAT)]]+tblSales[[#This Row],[Output VAT]]</f>
        <v>277500</v>
      </c>
      <c r="N4881" s="5">
        <f>tblSales[[#This Row],[Qty]]*_xlfn.XLOOKUP(tblSales[[#This Row],[Product Code]],tblProducts[Code],tblProducts[Unit Cost],0)</f>
        <v>155000</v>
      </c>
      <c r="O4881" s="4" t="s">
        <v>4865</v>
      </c>
      <c r="P4881" s="4" t="s">
        <v>4860</v>
      </c>
      <c r="Q4881" s="1" t="str">
        <f>_xlfn.XLOOKUP(tblSales[[#This Row],[Channel Code]],tblChannels[Channel Code],tblChannels[Channel Name],"")</f>
        <v>In-store</v>
      </c>
      <c r="R4881" s="1">
        <f>MONTH(tblSales[[#This Row],[Date]])</f>
        <v>10</v>
      </c>
    </row>
    <row r="4882" spans="2:18" x14ac:dyDescent="0.35">
      <c r="B4882" s="113">
        <v>46319</v>
      </c>
      <c r="C4882" s="4" t="s">
        <v>3331</v>
      </c>
      <c r="D4882" s="4" t="s">
        <v>4634</v>
      </c>
      <c r="E4882" s="1" t="str">
        <f>_xlfn.XLOOKUP(tblSales[[#This Row],[Customer ID]],tblCustomers[Customer ID],tblCustomers[Customer Name],"⚠ Unknown")</f>
        <v>PT Delta Inti Selaras</v>
      </c>
      <c r="F4882" s="4" t="s">
        <v>8</v>
      </c>
      <c r="G4882" s="1" t="str">
        <f>_xlfn.XLOOKUP(tblSales[[#This Row],[Product Code]],tblProducts[Code],tblProducts[Product / Service Name],"⚠ Unknown")</f>
        <v>Casual Shorts</v>
      </c>
      <c r="H4882" s="1" t="str">
        <f>_xlfn.XLOOKUP(tblSales[[#This Row],[Product Code]],tblProducts[Code],tblProducts[Category],"")</f>
        <v>Accessories &amp; Basics</v>
      </c>
      <c r="I4882" s="4">
        <v>48</v>
      </c>
      <c r="J4882" s="5">
        <f>_xlfn.XLOOKUP(tblSales[[#This Row],[Product Code]],tblProducts[Code],tblProducts[Selling Price (excl. VAT)],0)</f>
        <v>85000</v>
      </c>
      <c r="K4882" s="5">
        <f>tblSales[[#This Row],[Qty]]*tblSales[[#This Row],[Unit Price]]</f>
        <v>4080000</v>
      </c>
      <c r="L4882" s="5">
        <f>ROUND(tblSales[[#This Row],[DPP (excl. VAT)]]*VATEff,0)</f>
        <v>448800</v>
      </c>
      <c r="M4882" s="5">
        <f>tblSales[[#This Row],[DPP (excl. VAT)]]+tblSales[[#This Row],[Output VAT]]</f>
        <v>4528800</v>
      </c>
      <c r="N4882" s="5">
        <f>tblSales[[#This Row],[Qty]]*_xlfn.XLOOKUP(tblSales[[#This Row],[Product Code]],tblProducts[Code],tblProducts[Unit Cost],0)</f>
        <v>2400000</v>
      </c>
      <c r="O4882" s="4" t="s">
        <v>4867</v>
      </c>
      <c r="P4882" s="4" t="s">
        <v>4860</v>
      </c>
      <c r="Q4882" s="1" t="str">
        <f>_xlfn.XLOOKUP(tblSales[[#This Row],[Channel Code]],tblChannels[Channel Code],tblChannels[Channel Name],"")</f>
        <v>In-store</v>
      </c>
      <c r="R4882" s="1">
        <f>MONTH(tblSales[[#This Row],[Date]])</f>
        <v>10</v>
      </c>
    </row>
    <row r="4883" spans="2:18" x14ac:dyDescent="0.35">
      <c r="B4883" s="113">
        <v>46320</v>
      </c>
      <c r="C4883" s="4" t="s">
        <v>3332</v>
      </c>
      <c r="D4883" s="4" t="s">
        <v>4572</v>
      </c>
      <c r="E4883" s="1" t="str">
        <f>_xlfn.XLOOKUP(tblSales[[#This Row],[Customer ID]],tblCustomers[Customer ID],tblCustomers[Customer Name],"⚠ Unknown")</f>
        <v>PT Cahaya Abadi Makmur</v>
      </c>
      <c r="F4883" s="4" t="s">
        <v>8</v>
      </c>
      <c r="G4883" s="1" t="str">
        <f>_xlfn.XLOOKUP(tblSales[[#This Row],[Product Code]],tblProducts[Code],tblProducts[Product / Service Name],"⚠ Unknown")</f>
        <v>Casual Shorts</v>
      </c>
      <c r="H4883" s="1" t="str">
        <f>_xlfn.XLOOKUP(tblSales[[#This Row],[Product Code]],tblProducts[Code],tblProducts[Category],"")</f>
        <v>Accessories &amp; Basics</v>
      </c>
      <c r="I4883" s="4">
        <v>40</v>
      </c>
      <c r="J4883" s="5">
        <f>_xlfn.XLOOKUP(tblSales[[#This Row],[Product Code]],tblProducts[Code],tblProducts[Selling Price (excl. VAT)],0)</f>
        <v>85000</v>
      </c>
      <c r="K4883" s="5">
        <f>tblSales[[#This Row],[Qty]]*tblSales[[#This Row],[Unit Price]]</f>
        <v>3400000</v>
      </c>
      <c r="L4883" s="5">
        <f>ROUND(tblSales[[#This Row],[DPP (excl. VAT)]]*VATEff,0)</f>
        <v>374000</v>
      </c>
      <c r="M4883" s="5">
        <f>tblSales[[#This Row],[DPP (excl. VAT)]]+tblSales[[#This Row],[Output VAT]]</f>
        <v>3774000</v>
      </c>
      <c r="N4883" s="5">
        <f>tblSales[[#This Row],[Qty]]*_xlfn.XLOOKUP(tblSales[[#This Row],[Product Code]],tblProducts[Code],tblProducts[Unit Cost],0)</f>
        <v>2000000</v>
      </c>
      <c r="O4883" s="4" t="s">
        <v>4867</v>
      </c>
      <c r="P4883" s="4" t="s">
        <v>4860</v>
      </c>
      <c r="Q4883" s="1" t="str">
        <f>_xlfn.XLOOKUP(tblSales[[#This Row],[Channel Code]],tblChannels[Channel Code],tblChannels[Channel Name],"")</f>
        <v>In-store</v>
      </c>
      <c r="R4883" s="1">
        <f>MONTH(tblSales[[#This Row],[Date]])</f>
        <v>10</v>
      </c>
    </row>
    <row r="4884" spans="2:18" x14ac:dyDescent="0.35">
      <c r="B4884" s="113">
        <v>46320</v>
      </c>
      <c r="C4884" s="4" t="s">
        <v>3332</v>
      </c>
      <c r="D4884" s="4" t="s">
        <v>4572</v>
      </c>
      <c r="E4884" s="1" t="str">
        <f>_xlfn.XLOOKUP(tblSales[[#This Row],[Customer ID]],tblCustomers[Customer ID],tblCustomers[Customer Name],"⚠ Unknown")</f>
        <v>PT Cahaya Abadi Makmur</v>
      </c>
      <c r="F4884" s="4" t="s">
        <v>6</v>
      </c>
      <c r="G4884" s="1" t="str">
        <f>_xlfn.XLOOKUP(tblSales[[#This Row],[Product Code]],tblProducts[Code],tblProducts[Product / Service Name],"⚠ Unknown")</f>
        <v>Socks &amp; Accessories</v>
      </c>
      <c r="H4884" s="1" t="str">
        <f>_xlfn.XLOOKUP(tblSales[[#This Row],[Product Code]],tblProducts[Code],tblProducts[Category],"")</f>
        <v>Accessories &amp; Basics</v>
      </c>
      <c r="I4884" s="4">
        <v>32</v>
      </c>
      <c r="J4884" s="5">
        <f>_xlfn.XLOOKUP(tblSales[[#This Row],[Product Code]],tblProducts[Code],tblProducts[Selling Price (excl. VAT)],0)</f>
        <v>45000</v>
      </c>
      <c r="K4884" s="5">
        <f>tblSales[[#This Row],[Qty]]*tblSales[[#This Row],[Unit Price]]</f>
        <v>1440000</v>
      </c>
      <c r="L4884" s="5">
        <f>ROUND(tblSales[[#This Row],[DPP (excl. VAT)]]*VATEff,0)</f>
        <v>158400</v>
      </c>
      <c r="M4884" s="5">
        <f>tblSales[[#This Row],[DPP (excl. VAT)]]+tblSales[[#This Row],[Output VAT]]</f>
        <v>1598400</v>
      </c>
      <c r="N4884" s="5">
        <f>tblSales[[#This Row],[Qty]]*_xlfn.XLOOKUP(tblSales[[#This Row],[Product Code]],tblProducts[Code],tblProducts[Unit Cost],0)</f>
        <v>768000</v>
      </c>
      <c r="O4884" s="4" t="s">
        <v>4867</v>
      </c>
      <c r="P4884" s="4" t="s">
        <v>4860</v>
      </c>
      <c r="Q4884" s="1" t="str">
        <f>_xlfn.XLOOKUP(tblSales[[#This Row],[Channel Code]],tblChannels[Channel Code],tblChannels[Channel Name],"")</f>
        <v>In-store</v>
      </c>
      <c r="R4884" s="1">
        <f>MONTH(tblSales[[#This Row],[Date]])</f>
        <v>10</v>
      </c>
    </row>
    <row r="4885" spans="2:18" x14ac:dyDescent="0.35">
      <c r="B4885" s="113">
        <v>46320</v>
      </c>
      <c r="C4885" s="4" t="s">
        <v>3333</v>
      </c>
      <c r="D4885" s="4" t="s">
        <v>4568</v>
      </c>
      <c r="E4885" s="1" t="str">
        <f>_xlfn.XLOOKUP(tblSales[[#This Row],[Customer ID]],tblCustomers[Customer ID],tblCustomers[Customer Name],"⚠ Unknown")</f>
        <v>Walk-in Customer</v>
      </c>
      <c r="F4885" s="4" t="s">
        <v>11</v>
      </c>
      <c r="G4885" s="1" t="str">
        <f>_xlfn.XLOOKUP(tblSales[[#This Row],[Product Code]],tblProducts[Code],tblProducts[Product / Service Name],"⚠ Unknown")</f>
        <v>Sneakers</v>
      </c>
      <c r="H4885" s="1" t="str">
        <f>_xlfn.XLOOKUP(tblSales[[#This Row],[Product Code]],tblProducts[Code],tblProducts[Category],"")</f>
        <v>Apparel &amp; Footwear</v>
      </c>
      <c r="I4885" s="4">
        <v>4</v>
      </c>
      <c r="J4885" s="5">
        <f>_xlfn.XLOOKUP(tblSales[[#This Row],[Product Code]],tblProducts[Code],tblProducts[Selling Price (excl. VAT)],0)</f>
        <v>250000</v>
      </c>
      <c r="K4885" s="5">
        <f>tblSales[[#This Row],[Qty]]*tblSales[[#This Row],[Unit Price]]</f>
        <v>1000000</v>
      </c>
      <c r="L4885" s="5">
        <f>ROUND(tblSales[[#This Row],[DPP (excl. VAT)]]*VATEff,0)</f>
        <v>110000</v>
      </c>
      <c r="M4885" s="5">
        <f>tblSales[[#This Row],[DPP (excl. VAT)]]+tblSales[[#This Row],[Output VAT]]</f>
        <v>1110000</v>
      </c>
      <c r="N4885" s="5">
        <f>tblSales[[#This Row],[Qty]]*_xlfn.XLOOKUP(tblSales[[#This Row],[Product Code]],tblProducts[Code],tblProducts[Unit Cost],0)</f>
        <v>620000</v>
      </c>
      <c r="O4885" s="4" t="s">
        <v>4866</v>
      </c>
      <c r="P4885" s="4" t="s">
        <v>4862</v>
      </c>
      <c r="Q4885" s="1" t="str">
        <f>_xlfn.XLOOKUP(tblSales[[#This Row],[Channel Code]],tblChannels[Channel Code],tblChannels[Channel Name],"")</f>
        <v>Website &amp; Social Media</v>
      </c>
      <c r="R4885" s="1">
        <f>MONTH(tblSales[[#This Row],[Date]])</f>
        <v>10</v>
      </c>
    </row>
    <row r="4886" spans="2:18" x14ac:dyDescent="0.35">
      <c r="B4886" s="113">
        <v>46320</v>
      </c>
      <c r="C4886" s="4" t="s">
        <v>3334</v>
      </c>
      <c r="D4886" s="4" t="s">
        <v>4568</v>
      </c>
      <c r="E4886" s="1" t="str">
        <f>_xlfn.XLOOKUP(tblSales[[#This Row],[Customer ID]],tblCustomers[Customer ID],tblCustomers[Customer Name],"⚠ Unknown")</f>
        <v>Walk-in Customer</v>
      </c>
      <c r="F4886" s="4" t="s">
        <v>13</v>
      </c>
      <c r="G4886" s="1" t="str">
        <f>_xlfn.XLOOKUP(tblSales[[#This Row],[Product Code]],tblProducts[Code],tblProducts[Product / Service Name],"⚠ Unknown")</f>
        <v>Backpack</v>
      </c>
      <c r="H4886" s="1" t="str">
        <f>_xlfn.XLOOKUP(tblSales[[#This Row],[Product Code]],tblProducts[Code],tblProducts[Category],"")</f>
        <v>Bags &amp; Gadgets</v>
      </c>
      <c r="I4886" s="4">
        <v>6</v>
      </c>
      <c r="J4886" s="5">
        <f>_xlfn.XLOOKUP(tblSales[[#This Row],[Product Code]],tblProducts[Code],tblProducts[Selling Price (excl. VAT)],0)</f>
        <v>500000</v>
      </c>
      <c r="K4886" s="5">
        <f>tblSales[[#This Row],[Qty]]*tblSales[[#This Row],[Unit Price]]</f>
        <v>3000000</v>
      </c>
      <c r="L4886" s="5">
        <f>ROUND(tblSales[[#This Row],[DPP (excl. VAT)]]*VATEff,0)</f>
        <v>330000</v>
      </c>
      <c r="M4886" s="5">
        <f>tblSales[[#This Row],[DPP (excl. VAT)]]+tblSales[[#This Row],[Output VAT]]</f>
        <v>3330000</v>
      </c>
      <c r="N4886" s="5">
        <f>tblSales[[#This Row],[Qty]]*_xlfn.XLOOKUP(tblSales[[#This Row],[Product Code]],tblProducts[Code],tblProducts[Unit Cost],0)</f>
        <v>1740000</v>
      </c>
      <c r="O4886" s="4" t="s">
        <v>4865</v>
      </c>
      <c r="P4886" s="4" t="s">
        <v>4860</v>
      </c>
      <c r="Q4886" s="1" t="str">
        <f>_xlfn.XLOOKUP(tblSales[[#This Row],[Channel Code]],tblChannels[Channel Code],tblChannels[Channel Name],"")</f>
        <v>In-store</v>
      </c>
      <c r="R4886" s="1">
        <f>MONTH(tblSales[[#This Row],[Date]])</f>
        <v>10</v>
      </c>
    </row>
    <row r="4887" spans="2:18" x14ac:dyDescent="0.35">
      <c r="B4887" s="113">
        <v>46320</v>
      </c>
      <c r="C4887" s="4" t="s">
        <v>3334</v>
      </c>
      <c r="D4887" s="4" t="s">
        <v>4568</v>
      </c>
      <c r="E4887" s="1" t="str">
        <f>_xlfn.XLOOKUP(tblSales[[#This Row],[Customer ID]],tblCustomers[Customer ID],tblCustomers[Customer Name],"⚠ Unknown")</f>
        <v>Walk-in Customer</v>
      </c>
      <c r="F4887" s="4" t="s">
        <v>8</v>
      </c>
      <c r="G4887" s="1" t="str">
        <f>_xlfn.XLOOKUP(tblSales[[#This Row],[Product Code]],tblProducts[Code],tblProducts[Product / Service Name],"⚠ Unknown")</f>
        <v>Casual Shorts</v>
      </c>
      <c r="H4887" s="1" t="str">
        <f>_xlfn.XLOOKUP(tblSales[[#This Row],[Product Code]],tblProducts[Code],tblProducts[Category],"")</f>
        <v>Accessories &amp; Basics</v>
      </c>
      <c r="I4887" s="4">
        <v>1</v>
      </c>
      <c r="J4887" s="5">
        <f>_xlfn.XLOOKUP(tblSales[[#This Row],[Product Code]],tblProducts[Code],tblProducts[Selling Price (excl. VAT)],0)</f>
        <v>85000</v>
      </c>
      <c r="K4887" s="5">
        <f>tblSales[[#This Row],[Qty]]*tblSales[[#This Row],[Unit Price]]</f>
        <v>85000</v>
      </c>
      <c r="L4887" s="5">
        <f>ROUND(tblSales[[#This Row],[DPP (excl. VAT)]]*VATEff,0)</f>
        <v>9350</v>
      </c>
      <c r="M4887" s="5">
        <f>tblSales[[#This Row],[DPP (excl. VAT)]]+tblSales[[#This Row],[Output VAT]]</f>
        <v>94350</v>
      </c>
      <c r="N4887" s="5">
        <f>tblSales[[#This Row],[Qty]]*_xlfn.XLOOKUP(tblSales[[#This Row],[Product Code]],tblProducts[Code],tblProducts[Unit Cost],0)</f>
        <v>50000</v>
      </c>
      <c r="O4887" s="4" t="s">
        <v>4865</v>
      </c>
      <c r="P4887" s="4" t="s">
        <v>4860</v>
      </c>
      <c r="Q4887" s="1" t="str">
        <f>_xlfn.XLOOKUP(tblSales[[#This Row],[Channel Code]],tblChannels[Channel Code],tblChannels[Channel Name],"")</f>
        <v>In-store</v>
      </c>
      <c r="R4887" s="1">
        <f>MONTH(tblSales[[#This Row],[Date]])</f>
        <v>10</v>
      </c>
    </row>
    <row r="4888" spans="2:18" x14ac:dyDescent="0.35">
      <c r="B4888" s="113">
        <v>46320</v>
      </c>
      <c r="C4888" s="4" t="s">
        <v>3335</v>
      </c>
      <c r="D4888" s="4" t="s">
        <v>4568</v>
      </c>
      <c r="E4888" s="1" t="str">
        <f>_xlfn.XLOOKUP(tblSales[[#This Row],[Customer ID]],tblCustomers[Customer ID],tblCustomers[Customer Name],"⚠ Unknown")</f>
        <v>Walk-in Customer</v>
      </c>
      <c r="F4888" s="4" t="s">
        <v>9</v>
      </c>
      <c r="G4888" s="1" t="str">
        <f>_xlfn.XLOOKUP(tblSales[[#This Row],[Product Code]],tblProducts[Code],tblProducts[Product / Service Name],"⚠ Unknown")</f>
        <v>Casual Shirt</v>
      </c>
      <c r="H4888" s="1" t="str">
        <f>_xlfn.XLOOKUP(tblSales[[#This Row],[Product Code]],tblProducts[Code],tblProducts[Category],"")</f>
        <v>Apparel &amp; Footwear</v>
      </c>
      <c r="I4888" s="4">
        <v>4</v>
      </c>
      <c r="J4888" s="5">
        <f>_xlfn.XLOOKUP(tblSales[[#This Row],[Product Code]],tblProducts[Code],tblProducts[Selling Price (excl. VAT)],0)</f>
        <v>120000</v>
      </c>
      <c r="K4888" s="5">
        <f>tblSales[[#This Row],[Qty]]*tblSales[[#This Row],[Unit Price]]</f>
        <v>480000</v>
      </c>
      <c r="L4888" s="5">
        <f>ROUND(tblSales[[#This Row],[DPP (excl. VAT)]]*VATEff,0)</f>
        <v>52800</v>
      </c>
      <c r="M4888" s="5">
        <f>tblSales[[#This Row],[DPP (excl. VAT)]]+tblSales[[#This Row],[Output VAT]]</f>
        <v>532800</v>
      </c>
      <c r="N4888" s="5">
        <f>tblSales[[#This Row],[Qty]]*_xlfn.XLOOKUP(tblSales[[#This Row],[Product Code]],tblProducts[Code],tblProducts[Unit Cost],0)</f>
        <v>288000</v>
      </c>
      <c r="O4888" s="4" t="s">
        <v>4866</v>
      </c>
      <c r="P4888" s="4" t="s">
        <v>4861</v>
      </c>
      <c r="Q4888" s="1" t="str">
        <f>_xlfn.XLOOKUP(tblSales[[#This Row],[Channel Code]],tblChannels[Channel Code],tblChannels[Channel Name],"")</f>
        <v>Marketplace</v>
      </c>
      <c r="R4888" s="1">
        <f>MONTH(tblSales[[#This Row],[Date]])</f>
        <v>10</v>
      </c>
    </row>
    <row r="4889" spans="2:18" x14ac:dyDescent="0.35">
      <c r="B4889" s="113">
        <v>46320</v>
      </c>
      <c r="C4889" s="4" t="s">
        <v>3336</v>
      </c>
      <c r="D4889" s="4" t="s">
        <v>4568</v>
      </c>
      <c r="E4889" s="1" t="str">
        <f>_xlfn.XLOOKUP(tblSales[[#This Row],[Customer ID]],tblCustomers[Customer ID],tblCustomers[Customer Name],"⚠ Unknown")</f>
        <v>Walk-in Customer</v>
      </c>
      <c r="F4889" s="4" t="s">
        <v>9</v>
      </c>
      <c r="G4889" s="1" t="str">
        <f>_xlfn.XLOOKUP(tblSales[[#This Row],[Product Code]],tblProducts[Code],tblProducts[Product / Service Name],"⚠ Unknown")</f>
        <v>Casual Shirt</v>
      </c>
      <c r="H4889" s="1" t="str">
        <f>_xlfn.XLOOKUP(tblSales[[#This Row],[Product Code]],tblProducts[Code],tblProducts[Category],"")</f>
        <v>Apparel &amp; Footwear</v>
      </c>
      <c r="I4889" s="4">
        <v>10</v>
      </c>
      <c r="J4889" s="5">
        <f>_xlfn.XLOOKUP(tblSales[[#This Row],[Product Code]],tblProducts[Code],tblProducts[Selling Price (excl. VAT)],0)</f>
        <v>120000</v>
      </c>
      <c r="K4889" s="5">
        <f>tblSales[[#This Row],[Qty]]*tblSales[[#This Row],[Unit Price]]</f>
        <v>1200000</v>
      </c>
      <c r="L4889" s="5">
        <f>ROUND(tblSales[[#This Row],[DPP (excl. VAT)]]*VATEff,0)</f>
        <v>132000</v>
      </c>
      <c r="M4889" s="5">
        <f>tblSales[[#This Row],[DPP (excl. VAT)]]+tblSales[[#This Row],[Output VAT]]</f>
        <v>1332000</v>
      </c>
      <c r="N4889" s="5">
        <f>tblSales[[#This Row],[Qty]]*_xlfn.XLOOKUP(tblSales[[#This Row],[Product Code]],tblProducts[Code],tblProducts[Unit Cost],0)</f>
        <v>720000</v>
      </c>
      <c r="O4889" s="4" t="s">
        <v>4866</v>
      </c>
      <c r="P4889" s="4" t="s">
        <v>4861</v>
      </c>
      <c r="Q4889" s="1" t="str">
        <f>_xlfn.XLOOKUP(tblSales[[#This Row],[Channel Code]],tblChannels[Channel Code],tblChannels[Channel Name],"")</f>
        <v>Marketplace</v>
      </c>
      <c r="R4889" s="1">
        <f>MONTH(tblSales[[#This Row],[Date]])</f>
        <v>10</v>
      </c>
    </row>
    <row r="4890" spans="2:18" x14ac:dyDescent="0.35">
      <c r="B4890" s="113">
        <v>46320</v>
      </c>
      <c r="C4890" s="4" t="s">
        <v>3337</v>
      </c>
      <c r="D4890" s="4" t="s">
        <v>4578</v>
      </c>
      <c r="E4890" s="1" t="str">
        <f>_xlfn.XLOOKUP(tblSales[[#This Row],[Customer ID]],tblCustomers[Customer ID],tblCustomers[Customer Name],"⚠ Unknown")</f>
        <v>PT Bintang Timur Sejahtera</v>
      </c>
      <c r="F4890" s="4" t="s">
        <v>6</v>
      </c>
      <c r="G4890" s="1" t="str">
        <f>_xlfn.XLOOKUP(tblSales[[#This Row],[Product Code]],tblProducts[Code],tblProducts[Product / Service Name],"⚠ Unknown")</f>
        <v>Socks &amp; Accessories</v>
      </c>
      <c r="H4890" s="1" t="str">
        <f>_xlfn.XLOOKUP(tblSales[[#This Row],[Product Code]],tblProducts[Code],tblProducts[Category],"")</f>
        <v>Accessories &amp; Basics</v>
      </c>
      <c r="I4890" s="4">
        <v>64</v>
      </c>
      <c r="J4890" s="5">
        <f>_xlfn.XLOOKUP(tblSales[[#This Row],[Product Code]],tblProducts[Code],tblProducts[Selling Price (excl. VAT)],0)</f>
        <v>45000</v>
      </c>
      <c r="K4890" s="5">
        <f>tblSales[[#This Row],[Qty]]*tblSales[[#This Row],[Unit Price]]</f>
        <v>2880000</v>
      </c>
      <c r="L4890" s="5">
        <f>ROUND(tblSales[[#This Row],[DPP (excl. VAT)]]*VATEff,0)</f>
        <v>316800</v>
      </c>
      <c r="M4890" s="5">
        <f>tblSales[[#This Row],[DPP (excl. VAT)]]+tblSales[[#This Row],[Output VAT]]</f>
        <v>3196800</v>
      </c>
      <c r="N4890" s="5">
        <f>tblSales[[#This Row],[Qty]]*_xlfn.XLOOKUP(tblSales[[#This Row],[Product Code]],tblProducts[Code],tblProducts[Unit Cost],0)</f>
        <v>1536000</v>
      </c>
      <c r="O4890" s="4" t="s">
        <v>4867</v>
      </c>
      <c r="P4890" s="4" t="s">
        <v>4860</v>
      </c>
      <c r="Q4890" s="1" t="str">
        <f>_xlfn.XLOOKUP(tblSales[[#This Row],[Channel Code]],tblChannels[Channel Code],tblChannels[Channel Name],"")</f>
        <v>In-store</v>
      </c>
      <c r="R4890" s="1">
        <f>MONTH(tblSales[[#This Row],[Date]])</f>
        <v>10</v>
      </c>
    </row>
    <row r="4891" spans="2:18" x14ac:dyDescent="0.35">
      <c r="B4891" s="113">
        <v>46320</v>
      </c>
      <c r="C4891" s="4" t="s">
        <v>3337</v>
      </c>
      <c r="D4891" s="4" t="s">
        <v>4578</v>
      </c>
      <c r="E4891" s="1" t="str">
        <f>_xlfn.XLOOKUP(tblSales[[#This Row],[Customer ID]],tblCustomers[Customer ID],tblCustomers[Customer Name],"⚠ Unknown")</f>
        <v>PT Bintang Timur Sejahtera</v>
      </c>
      <c r="F4891" s="4" t="s">
        <v>9</v>
      </c>
      <c r="G4891" s="1" t="str">
        <f>_xlfn.XLOOKUP(tblSales[[#This Row],[Product Code]],tblProducts[Code],tblProducts[Product / Service Name],"⚠ Unknown")</f>
        <v>Casual Shirt</v>
      </c>
      <c r="H4891" s="1" t="str">
        <f>_xlfn.XLOOKUP(tblSales[[#This Row],[Product Code]],tblProducts[Code],tblProducts[Category],"")</f>
        <v>Apparel &amp; Footwear</v>
      </c>
      <c r="I4891" s="4">
        <v>24</v>
      </c>
      <c r="J4891" s="5">
        <f>_xlfn.XLOOKUP(tblSales[[#This Row],[Product Code]],tblProducts[Code],tblProducts[Selling Price (excl. VAT)],0)</f>
        <v>120000</v>
      </c>
      <c r="K4891" s="5">
        <f>tblSales[[#This Row],[Qty]]*tblSales[[#This Row],[Unit Price]]</f>
        <v>2880000</v>
      </c>
      <c r="L4891" s="5">
        <f>ROUND(tblSales[[#This Row],[DPP (excl. VAT)]]*VATEff,0)</f>
        <v>316800</v>
      </c>
      <c r="M4891" s="5">
        <f>tblSales[[#This Row],[DPP (excl. VAT)]]+tblSales[[#This Row],[Output VAT]]</f>
        <v>3196800</v>
      </c>
      <c r="N4891" s="5">
        <f>tblSales[[#This Row],[Qty]]*_xlfn.XLOOKUP(tblSales[[#This Row],[Product Code]],tblProducts[Code],tblProducts[Unit Cost],0)</f>
        <v>1728000</v>
      </c>
      <c r="O4891" s="4" t="s">
        <v>4867</v>
      </c>
      <c r="P4891" s="4" t="s">
        <v>4860</v>
      </c>
      <c r="Q4891" s="1" t="str">
        <f>_xlfn.XLOOKUP(tblSales[[#This Row],[Channel Code]],tblChannels[Channel Code],tblChannels[Channel Name],"")</f>
        <v>In-store</v>
      </c>
      <c r="R4891" s="1">
        <f>MONTH(tblSales[[#This Row],[Date]])</f>
        <v>10</v>
      </c>
    </row>
    <row r="4892" spans="2:18" x14ac:dyDescent="0.35">
      <c r="B4892" s="113">
        <v>46320</v>
      </c>
      <c r="C4892" s="4" t="s">
        <v>3337</v>
      </c>
      <c r="D4892" s="4" t="s">
        <v>4578</v>
      </c>
      <c r="E4892" s="1" t="str">
        <f>_xlfn.XLOOKUP(tblSales[[#This Row],[Customer ID]],tblCustomers[Customer ID],tblCustomers[Customer Name],"⚠ Unknown")</f>
        <v>PT Bintang Timur Sejahtera</v>
      </c>
      <c r="F4892" s="4" t="s">
        <v>7</v>
      </c>
      <c r="G4892" s="1" t="str">
        <f>_xlfn.XLOOKUP(tblSales[[#This Row],[Product Code]],tblProducts[Code],tblProducts[Product / Service Name],"⚠ Unknown")</f>
        <v>Premium Basic T-shirt</v>
      </c>
      <c r="H4892" s="1" t="str">
        <f>_xlfn.XLOOKUP(tblSales[[#This Row],[Product Code]],tblProducts[Code],tblProducts[Category],"")</f>
        <v>Accessories &amp; Basics</v>
      </c>
      <c r="I4892" s="4">
        <v>64</v>
      </c>
      <c r="J4892" s="5">
        <f>_xlfn.XLOOKUP(tblSales[[#This Row],[Product Code]],tblProducts[Code],tblProducts[Selling Price (excl. VAT)],0)</f>
        <v>65000</v>
      </c>
      <c r="K4892" s="5">
        <f>tblSales[[#This Row],[Qty]]*tblSales[[#This Row],[Unit Price]]</f>
        <v>4160000</v>
      </c>
      <c r="L4892" s="5">
        <f>ROUND(tblSales[[#This Row],[DPP (excl. VAT)]]*VATEff,0)</f>
        <v>457600</v>
      </c>
      <c r="M4892" s="5">
        <f>tblSales[[#This Row],[DPP (excl. VAT)]]+tblSales[[#This Row],[Output VAT]]</f>
        <v>4617600</v>
      </c>
      <c r="N4892" s="5">
        <f>tblSales[[#This Row],[Qty]]*_xlfn.XLOOKUP(tblSales[[#This Row],[Product Code]],tblProducts[Code],tblProducts[Unit Cost],0)</f>
        <v>2368000</v>
      </c>
      <c r="O4892" s="4" t="s">
        <v>4867</v>
      </c>
      <c r="P4892" s="4" t="s">
        <v>4860</v>
      </c>
      <c r="Q4892" s="1" t="str">
        <f>_xlfn.XLOOKUP(tblSales[[#This Row],[Channel Code]],tblChannels[Channel Code],tblChannels[Channel Name],"")</f>
        <v>In-store</v>
      </c>
      <c r="R4892" s="1">
        <f>MONTH(tblSales[[#This Row],[Date]])</f>
        <v>10</v>
      </c>
    </row>
    <row r="4893" spans="2:18" x14ac:dyDescent="0.35">
      <c r="B4893" s="113">
        <v>46320</v>
      </c>
      <c r="C4893" s="4" t="s">
        <v>3338</v>
      </c>
      <c r="D4893" s="4" t="s">
        <v>4568</v>
      </c>
      <c r="E4893" s="1" t="str">
        <f>_xlfn.XLOOKUP(tblSales[[#This Row],[Customer ID]],tblCustomers[Customer ID],tblCustomers[Customer Name],"⚠ Unknown")</f>
        <v>Walk-in Customer</v>
      </c>
      <c r="F4893" s="4" t="s">
        <v>9</v>
      </c>
      <c r="G4893" s="1" t="str">
        <f>_xlfn.XLOOKUP(tblSales[[#This Row],[Product Code]],tblProducts[Code],tblProducts[Product / Service Name],"⚠ Unknown")</f>
        <v>Casual Shirt</v>
      </c>
      <c r="H4893" s="1" t="str">
        <f>_xlfn.XLOOKUP(tblSales[[#This Row],[Product Code]],tblProducts[Code],tblProducts[Category],"")</f>
        <v>Apparel &amp; Footwear</v>
      </c>
      <c r="I4893" s="4">
        <v>7</v>
      </c>
      <c r="J4893" s="5">
        <f>_xlfn.XLOOKUP(tblSales[[#This Row],[Product Code]],tblProducts[Code],tblProducts[Selling Price (excl. VAT)],0)</f>
        <v>120000</v>
      </c>
      <c r="K4893" s="5">
        <f>tblSales[[#This Row],[Qty]]*tblSales[[#This Row],[Unit Price]]</f>
        <v>840000</v>
      </c>
      <c r="L4893" s="5">
        <f>ROUND(tblSales[[#This Row],[DPP (excl. VAT)]]*VATEff,0)</f>
        <v>92400</v>
      </c>
      <c r="M4893" s="5">
        <f>tblSales[[#This Row],[DPP (excl. VAT)]]+tblSales[[#This Row],[Output VAT]]</f>
        <v>932400</v>
      </c>
      <c r="N4893" s="5">
        <f>tblSales[[#This Row],[Qty]]*_xlfn.XLOOKUP(tblSales[[#This Row],[Product Code]],tblProducts[Code],tblProducts[Unit Cost],0)</f>
        <v>504000</v>
      </c>
      <c r="O4893" s="4" t="s">
        <v>4865</v>
      </c>
      <c r="P4893" s="4" t="s">
        <v>4860</v>
      </c>
      <c r="Q4893" s="1" t="str">
        <f>_xlfn.XLOOKUP(tblSales[[#This Row],[Channel Code]],tblChannels[Channel Code],tblChannels[Channel Name],"")</f>
        <v>In-store</v>
      </c>
      <c r="R4893" s="1">
        <f>MONTH(tblSales[[#This Row],[Date]])</f>
        <v>10</v>
      </c>
    </row>
    <row r="4894" spans="2:18" x14ac:dyDescent="0.35">
      <c r="B4894" s="113">
        <v>46320</v>
      </c>
      <c r="C4894" s="4" t="s">
        <v>3339</v>
      </c>
      <c r="D4894" s="4" t="s">
        <v>4568</v>
      </c>
      <c r="E4894" s="1" t="str">
        <f>_xlfn.XLOOKUP(tblSales[[#This Row],[Customer ID]],tblCustomers[Customer ID],tblCustomers[Customer Name],"⚠ Unknown")</f>
        <v>Walk-in Customer</v>
      </c>
      <c r="F4894" s="4" t="s">
        <v>11</v>
      </c>
      <c r="G4894" s="1" t="str">
        <f>_xlfn.XLOOKUP(tblSales[[#This Row],[Product Code]],tblProducts[Code],tblProducts[Product / Service Name],"⚠ Unknown")</f>
        <v>Sneakers</v>
      </c>
      <c r="H4894" s="1" t="str">
        <f>_xlfn.XLOOKUP(tblSales[[#This Row],[Product Code]],tblProducts[Code],tblProducts[Category],"")</f>
        <v>Apparel &amp; Footwear</v>
      </c>
      <c r="I4894" s="4">
        <v>2</v>
      </c>
      <c r="J4894" s="5">
        <f>_xlfn.XLOOKUP(tblSales[[#This Row],[Product Code]],tblProducts[Code],tblProducts[Selling Price (excl. VAT)],0)</f>
        <v>250000</v>
      </c>
      <c r="K4894" s="5">
        <f>tblSales[[#This Row],[Qty]]*tblSales[[#This Row],[Unit Price]]</f>
        <v>500000</v>
      </c>
      <c r="L4894" s="5">
        <f>ROUND(tblSales[[#This Row],[DPP (excl. VAT)]]*VATEff,0)</f>
        <v>55000</v>
      </c>
      <c r="M4894" s="5">
        <f>tblSales[[#This Row],[DPP (excl. VAT)]]+tblSales[[#This Row],[Output VAT]]</f>
        <v>555000</v>
      </c>
      <c r="N4894" s="5">
        <f>tblSales[[#This Row],[Qty]]*_xlfn.XLOOKUP(tblSales[[#This Row],[Product Code]],tblProducts[Code],tblProducts[Unit Cost],0)</f>
        <v>310000</v>
      </c>
      <c r="O4894" s="4" t="s">
        <v>4866</v>
      </c>
      <c r="P4894" s="4" t="s">
        <v>4861</v>
      </c>
      <c r="Q4894" s="1" t="str">
        <f>_xlfn.XLOOKUP(tblSales[[#This Row],[Channel Code]],tblChannels[Channel Code],tblChannels[Channel Name],"")</f>
        <v>Marketplace</v>
      </c>
      <c r="R4894" s="1">
        <f>MONTH(tblSales[[#This Row],[Date]])</f>
        <v>10</v>
      </c>
    </row>
    <row r="4895" spans="2:18" x14ac:dyDescent="0.35">
      <c r="B4895" s="113">
        <v>46320</v>
      </c>
      <c r="C4895" s="4" t="s">
        <v>3340</v>
      </c>
      <c r="D4895" s="4" t="s">
        <v>4641</v>
      </c>
      <c r="E4895" s="1" t="str">
        <f>_xlfn.XLOOKUP(tblSales[[#This Row],[Customer ID]],tblCustomers[Customer ID],tblCustomers[Customer Name],"⚠ Unknown")</f>
        <v>PT Harmoni Pangan Lestari</v>
      </c>
      <c r="F4895" s="4" t="s">
        <v>6</v>
      </c>
      <c r="G4895" s="1" t="str">
        <f>_xlfn.XLOOKUP(tblSales[[#This Row],[Product Code]],tblProducts[Code],tblProducts[Product / Service Name],"⚠ Unknown")</f>
        <v>Socks &amp; Accessories</v>
      </c>
      <c r="H4895" s="1" t="str">
        <f>_xlfn.XLOOKUP(tblSales[[#This Row],[Product Code]],tblProducts[Code],tblProducts[Category],"")</f>
        <v>Accessories &amp; Basics</v>
      </c>
      <c r="I4895" s="4">
        <v>64</v>
      </c>
      <c r="J4895" s="5">
        <f>_xlfn.XLOOKUP(tblSales[[#This Row],[Product Code]],tblProducts[Code],tblProducts[Selling Price (excl. VAT)],0)</f>
        <v>45000</v>
      </c>
      <c r="K4895" s="5">
        <f>tblSales[[#This Row],[Qty]]*tblSales[[#This Row],[Unit Price]]</f>
        <v>2880000</v>
      </c>
      <c r="L4895" s="5">
        <f>ROUND(tblSales[[#This Row],[DPP (excl. VAT)]]*VATEff,0)</f>
        <v>316800</v>
      </c>
      <c r="M4895" s="5">
        <f>tblSales[[#This Row],[DPP (excl. VAT)]]+tblSales[[#This Row],[Output VAT]]</f>
        <v>3196800</v>
      </c>
      <c r="N4895" s="5">
        <f>tblSales[[#This Row],[Qty]]*_xlfn.XLOOKUP(tblSales[[#This Row],[Product Code]],tblProducts[Code],tblProducts[Unit Cost],0)</f>
        <v>1536000</v>
      </c>
      <c r="O4895" s="4" t="s">
        <v>4867</v>
      </c>
      <c r="P4895" s="4" t="s">
        <v>4862</v>
      </c>
      <c r="Q4895" s="1" t="str">
        <f>_xlfn.XLOOKUP(tblSales[[#This Row],[Channel Code]],tblChannels[Channel Code],tblChannels[Channel Name],"")</f>
        <v>Website &amp; Social Media</v>
      </c>
      <c r="R4895" s="1">
        <f>MONTH(tblSales[[#This Row],[Date]])</f>
        <v>10</v>
      </c>
    </row>
    <row r="4896" spans="2:18" x14ac:dyDescent="0.35">
      <c r="B4896" s="113">
        <v>46320</v>
      </c>
      <c r="C4896" s="4" t="s">
        <v>3341</v>
      </c>
      <c r="D4896" s="4" t="s">
        <v>4641</v>
      </c>
      <c r="E4896" s="1" t="str">
        <f>_xlfn.XLOOKUP(tblSales[[#This Row],[Customer ID]],tblCustomers[Customer ID],tblCustomers[Customer Name],"⚠ Unknown")</f>
        <v>PT Harmoni Pangan Lestari</v>
      </c>
      <c r="F4896" s="4" t="s">
        <v>8</v>
      </c>
      <c r="G4896" s="1" t="str">
        <f>_xlfn.XLOOKUP(tblSales[[#This Row],[Product Code]],tblProducts[Code],tblProducts[Product / Service Name],"⚠ Unknown")</f>
        <v>Casual Shorts</v>
      </c>
      <c r="H4896" s="1" t="str">
        <f>_xlfn.XLOOKUP(tblSales[[#This Row],[Product Code]],tblProducts[Code],tblProducts[Category],"")</f>
        <v>Accessories &amp; Basics</v>
      </c>
      <c r="I4896" s="4">
        <v>16</v>
      </c>
      <c r="J4896" s="5">
        <f>_xlfn.XLOOKUP(tblSales[[#This Row],[Product Code]],tblProducts[Code],tblProducts[Selling Price (excl. VAT)],0)</f>
        <v>85000</v>
      </c>
      <c r="K4896" s="5">
        <f>tblSales[[#This Row],[Qty]]*tblSales[[#This Row],[Unit Price]]</f>
        <v>1360000</v>
      </c>
      <c r="L4896" s="5">
        <f>ROUND(tblSales[[#This Row],[DPP (excl. VAT)]]*VATEff,0)</f>
        <v>149600</v>
      </c>
      <c r="M4896" s="5">
        <f>tblSales[[#This Row],[DPP (excl. VAT)]]+tblSales[[#This Row],[Output VAT]]</f>
        <v>1509600</v>
      </c>
      <c r="N4896" s="5">
        <f>tblSales[[#This Row],[Qty]]*_xlfn.XLOOKUP(tblSales[[#This Row],[Product Code]],tblProducts[Code],tblProducts[Unit Cost],0)</f>
        <v>800000</v>
      </c>
      <c r="O4896" s="4" t="s">
        <v>4867</v>
      </c>
      <c r="P4896" s="4" t="s">
        <v>4860</v>
      </c>
      <c r="Q4896" s="1" t="str">
        <f>_xlfn.XLOOKUP(tblSales[[#This Row],[Channel Code]],tblChannels[Channel Code],tblChannels[Channel Name],"")</f>
        <v>In-store</v>
      </c>
      <c r="R4896" s="1">
        <f>MONTH(tblSales[[#This Row],[Date]])</f>
        <v>10</v>
      </c>
    </row>
    <row r="4897" spans="2:18" x14ac:dyDescent="0.35">
      <c r="B4897" s="113">
        <v>46320</v>
      </c>
      <c r="C4897" s="4" t="s">
        <v>3342</v>
      </c>
      <c r="D4897" s="4" t="s">
        <v>4568</v>
      </c>
      <c r="E4897" s="1" t="str">
        <f>_xlfn.XLOOKUP(tblSales[[#This Row],[Customer ID]],tblCustomers[Customer ID],tblCustomers[Customer Name],"⚠ Unknown")</f>
        <v>Walk-in Customer</v>
      </c>
      <c r="F4897" s="4" t="s">
        <v>8</v>
      </c>
      <c r="G4897" s="1" t="str">
        <f>_xlfn.XLOOKUP(tblSales[[#This Row],[Product Code]],tblProducts[Code],tblProducts[Product / Service Name],"⚠ Unknown")</f>
        <v>Casual Shorts</v>
      </c>
      <c r="H4897" s="1" t="str">
        <f>_xlfn.XLOOKUP(tblSales[[#This Row],[Product Code]],tblProducts[Code],tblProducts[Category],"")</f>
        <v>Accessories &amp; Basics</v>
      </c>
      <c r="I4897" s="4">
        <v>9</v>
      </c>
      <c r="J4897" s="5">
        <f>_xlfn.XLOOKUP(tblSales[[#This Row],[Product Code]],tblProducts[Code],tblProducts[Selling Price (excl. VAT)],0)</f>
        <v>85000</v>
      </c>
      <c r="K4897" s="5">
        <f>tblSales[[#This Row],[Qty]]*tblSales[[#This Row],[Unit Price]]</f>
        <v>765000</v>
      </c>
      <c r="L4897" s="5">
        <f>ROUND(tblSales[[#This Row],[DPP (excl. VAT)]]*VATEff,0)</f>
        <v>84150</v>
      </c>
      <c r="M4897" s="5">
        <f>tblSales[[#This Row],[DPP (excl. VAT)]]+tblSales[[#This Row],[Output VAT]]</f>
        <v>849150</v>
      </c>
      <c r="N4897" s="5">
        <f>tblSales[[#This Row],[Qty]]*_xlfn.XLOOKUP(tblSales[[#This Row],[Product Code]],tblProducts[Code],tblProducts[Unit Cost],0)</f>
        <v>450000</v>
      </c>
      <c r="O4897" s="4" t="s">
        <v>4866</v>
      </c>
      <c r="P4897" s="4" t="s">
        <v>4860</v>
      </c>
      <c r="Q4897" s="1" t="str">
        <f>_xlfn.XLOOKUP(tblSales[[#This Row],[Channel Code]],tblChannels[Channel Code],tblChannels[Channel Name],"")</f>
        <v>In-store</v>
      </c>
      <c r="R4897" s="1">
        <f>MONTH(tblSales[[#This Row],[Date]])</f>
        <v>10</v>
      </c>
    </row>
    <row r="4898" spans="2:18" x14ac:dyDescent="0.35">
      <c r="B4898" s="113">
        <v>46321</v>
      </c>
      <c r="C4898" s="4" t="s">
        <v>3343</v>
      </c>
      <c r="D4898" s="4" t="s">
        <v>4641</v>
      </c>
      <c r="E4898" s="1" t="str">
        <f>_xlfn.XLOOKUP(tblSales[[#This Row],[Customer ID]],tblCustomers[Customer ID],tblCustomers[Customer Name],"⚠ Unknown")</f>
        <v>PT Harmoni Pangan Lestari</v>
      </c>
      <c r="F4898" s="4" t="s">
        <v>8</v>
      </c>
      <c r="G4898" s="1" t="str">
        <f>_xlfn.XLOOKUP(tblSales[[#This Row],[Product Code]],tblProducts[Code],tblProducts[Product / Service Name],"⚠ Unknown")</f>
        <v>Casual Shorts</v>
      </c>
      <c r="H4898" s="1" t="str">
        <f>_xlfn.XLOOKUP(tblSales[[#This Row],[Product Code]],tblProducts[Code],tblProducts[Category],"")</f>
        <v>Accessories &amp; Basics</v>
      </c>
      <c r="I4898" s="4">
        <v>96</v>
      </c>
      <c r="J4898" s="5">
        <f>_xlfn.XLOOKUP(tblSales[[#This Row],[Product Code]],tblProducts[Code],tblProducts[Selling Price (excl. VAT)],0)</f>
        <v>85000</v>
      </c>
      <c r="K4898" s="5">
        <f>tblSales[[#This Row],[Qty]]*tblSales[[#This Row],[Unit Price]]</f>
        <v>8160000</v>
      </c>
      <c r="L4898" s="5">
        <f>ROUND(tblSales[[#This Row],[DPP (excl. VAT)]]*VATEff,0)</f>
        <v>897600</v>
      </c>
      <c r="M4898" s="5">
        <f>tblSales[[#This Row],[DPP (excl. VAT)]]+tblSales[[#This Row],[Output VAT]]</f>
        <v>9057600</v>
      </c>
      <c r="N4898" s="5">
        <f>tblSales[[#This Row],[Qty]]*_xlfn.XLOOKUP(tblSales[[#This Row],[Product Code]],tblProducts[Code],tblProducts[Unit Cost],0)</f>
        <v>4800000</v>
      </c>
      <c r="O4898" s="4" t="s">
        <v>4867</v>
      </c>
      <c r="P4898" s="4" t="s">
        <v>4860</v>
      </c>
      <c r="Q4898" s="1" t="str">
        <f>_xlfn.XLOOKUP(tblSales[[#This Row],[Channel Code]],tblChannels[Channel Code],tblChannels[Channel Name],"")</f>
        <v>In-store</v>
      </c>
      <c r="R4898" s="1">
        <f>MONTH(tblSales[[#This Row],[Date]])</f>
        <v>10</v>
      </c>
    </row>
    <row r="4899" spans="2:18" x14ac:dyDescent="0.35">
      <c r="B4899" s="113">
        <v>46321</v>
      </c>
      <c r="C4899" s="4" t="s">
        <v>3344</v>
      </c>
      <c r="D4899" s="4" t="s">
        <v>4613</v>
      </c>
      <c r="E4899" s="1" t="str">
        <f>_xlfn.XLOOKUP(tblSales[[#This Row],[Customer ID]],tblCustomers[Customer ID],tblCustomers[Customer Name],"⚠ Unknown")</f>
        <v>PT Mega Prima Distribusi</v>
      </c>
      <c r="F4899" s="4" t="s">
        <v>6</v>
      </c>
      <c r="G4899" s="1" t="str">
        <f>_xlfn.XLOOKUP(tblSales[[#This Row],[Product Code]],tblProducts[Code],tblProducts[Product / Service Name],"⚠ Unknown")</f>
        <v>Socks &amp; Accessories</v>
      </c>
      <c r="H4899" s="1" t="str">
        <f>_xlfn.XLOOKUP(tblSales[[#This Row],[Product Code]],tblProducts[Code],tblProducts[Category],"")</f>
        <v>Accessories &amp; Basics</v>
      </c>
      <c r="I4899" s="4">
        <v>56</v>
      </c>
      <c r="J4899" s="5">
        <f>_xlfn.XLOOKUP(tblSales[[#This Row],[Product Code]],tblProducts[Code],tblProducts[Selling Price (excl. VAT)],0)</f>
        <v>45000</v>
      </c>
      <c r="K4899" s="5">
        <f>tblSales[[#This Row],[Qty]]*tblSales[[#This Row],[Unit Price]]</f>
        <v>2520000</v>
      </c>
      <c r="L4899" s="5">
        <f>ROUND(tblSales[[#This Row],[DPP (excl. VAT)]]*VATEff,0)</f>
        <v>277200</v>
      </c>
      <c r="M4899" s="5">
        <f>tblSales[[#This Row],[DPP (excl. VAT)]]+tblSales[[#This Row],[Output VAT]]</f>
        <v>2797200</v>
      </c>
      <c r="N4899" s="5">
        <f>tblSales[[#This Row],[Qty]]*_xlfn.XLOOKUP(tblSales[[#This Row],[Product Code]],tblProducts[Code],tblProducts[Unit Cost],0)</f>
        <v>1344000</v>
      </c>
      <c r="O4899" s="4" t="s">
        <v>4867</v>
      </c>
      <c r="P4899" s="4" t="s">
        <v>4862</v>
      </c>
      <c r="Q4899" s="1" t="str">
        <f>_xlfn.XLOOKUP(tblSales[[#This Row],[Channel Code]],tblChannels[Channel Code],tblChannels[Channel Name],"")</f>
        <v>Website &amp; Social Media</v>
      </c>
      <c r="R4899" s="1">
        <f>MONTH(tblSales[[#This Row],[Date]])</f>
        <v>10</v>
      </c>
    </row>
    <row r="4900" spans="2:18" x14ac:dyDescent="0.35">
      <c r="B4900" s="113">
        <v>46321</v>
      </c>
      <c r="C4900" s="4" t="s">
        <v>3345</v>
      </c>
      <c r="D4900" s="4" t="s">
        <v>4578</v>
      </c>
      <c r="E4900" s="1" t="str">
        <f>_xlfn.XLOOKUP(tblSales[[#This Row],[Customer ID]],tblCustomers[Customer ID],tblCustomers[Customer Name],"⚠ Unknown")</f>
        <v>PT Bintang Timur Sejahtera</v>
      </c>
      <c r="F4900" s="4" t="s">
        <v>15</v>
      </c>
      <c r="G4900" s="1" t="str">
        <f>_xlfn.XLOOKUP(tblSales[[#This Row],[Product Code]],tblProducts[Code],tblProducts[Product / Service Name],"⚠ Unknown")</f>
        <v>Wireless Earbuds Pro</v>
      </c>
      <c r="H4900" s="1" t="str">
        <f>_xlfn.XLOOKUP(tblSales[[#This Row],[Product Code]],tblProducts[Code],tblProducts[Category],"")</f>
        <v>Bags &amp; Gadgets</v>
      </c>
      <c r="I4900" s="4">
        <v>16</v>
      </c>
      <c r="J4900" s="5">
        <f>_xlfn.XLOOKUP(tblSales[[#This Row],[Product Code]],tblProducts[Code],tblProducts[Selling Price (excl. VAT)],0)</f>
        <v>1250000</v>
      </c>
      <c r="K4900" s="5">
        <f>tblSales[[#This Row],[Qty]]*tblSales[[#This Row],[Unit Price]]</f>
        <v>20000000</v>
      </c>
      <c r="L4900" s="5">
        <f>ROUND(tblSales[[#This Row],[DPP (excl. VAT)]]*VATEff,0)</f>
        <v>2200000</v>
      </c>
      <c r="M4900" s="5">
        <f>tblSales[[#This Row],[DPP (excl. VAT)]]+tblSales[[#This Row],[Output VAT]]</f>
        <v>22200000</v>
      </c>
      <c r="N4900" s="5">
        <f>tblSales[[#This Row],[Qty]]*_xlfn.XLOOKUP(tblSales[[#This Row],[Product Code]],tblProducts[Code],tblProducts[Unit Cost],0)</f>
        <v>13120000</v>
      </c>
      <c r="O4900" s="4" t="s">
        <v>4867</v>
      </c>
      <c r="P4900" s="4" t="s">
        <v>4860</v>
      </c>
      <c r="Q4900" s="1" t="str">
        <f>_xlfn.XLOOKUP(tblSales[[#This Row],[Channel Code]],tblChannels[Channel Code],tblChannels[Channel Name],"")</f>
        <v>In-store</v>
      </c>
      <c r="R4900" s="1">
        <f>MONTH(tblSales[[#This Row],[Date]])</f>
        <v>10</v>
      </c>
    </row>
    <row r="4901" spans="2:18" x14ac:dyDescent="0.35">
      <c r="B4901" s="113">
        <v>46321</v>
      </c>
      <c r="C4901" s="4" t="s">
        <v>3345</v>
      </c>
      <c r="D4901" s="4" t="s">
        <v>4578</v>
      </c>
      <c r="E4901" s="1" t="str">
        <f>_xlfn.XLOOKUP(tblSales[[#This Row],[Customer ID]],tblCustomers[Customer ID],tblCustomers[Customer Name],"⚠ Unknown")</f>
        <v>PT Bintang Timur Sejahtera</v>
      </c>
      <c r="F4901" s="4" t="s">
        <v>7</v>
      </c>
      <c r="G4901" s="1" t="str">
        <f>_xlfn.XLOOKUP(tblSales[[#This Row],[Product Code]],tblProducts[Code],tblProducts[Product / Service Name],"⚠ Unknown")</f>
        <v>Premium Basic T-shirt</v>
      </c>
      <c r="H4901" s="1" t="str">
        <f>_xlfn.XLOOKUP(tblSales[[#This Row],[Product Code]],tblProducts[Code],tblProducts[Category],"")</f>
        <v>Accessories &amp; Basics</v>
      </c>
      <c r="I4901" s="4">
        <v>64</v>
      </c>
      <c r="J4901" s="5">
        <f>_xlfn.XLOOKUP(tblSales[[#This Row],[Product Code]],tblProducts[Code],tblProducts[Selling Price (excl. VAT)],0)</f>
        <v>65000</v>
      </c>
      <c r="K4901" s="5">
        <f>tblSales[[#This Row],[Qty]]*tblSales[[#This Row],[Unit Price]]</f>
        <v>4160000</v>
      </c>
      <c r="L4901" s="5">
        <f>ROUND(tblSales[[#This Row],[DPP (excl. VAT)]]*VATEff,0)</f>
        <v>457600</v>
      </c>
      <c r="M4901" s="5">
        <f>tblSales[[#This Row],[DPP (excl. VAT)]]+tblSales[[#This Row],[Output VAT]]</f>
        <v>4617600</v>
      </c>
      <c r="N4901" s="5">
        <f>tblSales[[#This Row],[Qty]]*_xlfn.XLOOKUP(tblSales[[#This Row],[Product Code]],tblProducts[Code],tblProducts[Unit Cost],0)</f>
        <v>2368000</v>
      </c>
      <c r="O4901" s="4" t="s">
        <v>4867</v>
      </c>
      <c r="P4901" s="4" t="s">
        <v>4860</v>
      </c>
      <c r="Q4901" s="1" t="str">
        <f>_xlfn.XLOOKUP(tblSales[[#This Row],[Channel Code]],tblChannels[Channel Code],tblChannels[Channel Name],"")</f>
        <v>In-store</v>
      </c>
      <c r="R4901" s="1">
        <f>MONTH(tblSales[[#This Row],[Date]])</f>
        <v>10</v>
      </c>
    </row>
    <row r="4902" spans="2:18" x14ac:dyDescent="0.35">
      <c r="B4902" s="113">
        <v>46321</v>
      </c>
      <c r="C4902" s="4" t="s">
        <v>3345</v>
      </c>
      <c r="D4902" s="4" t="s">
        <v>4578</v>
      </c>
      <c r="E4902" s="1" t="str">
        <f>_xlfn.XLOOKUP(tblSales[[#This Row],[Customer ID]],tblCustomers[Customer ID],tblCustomers[Customer Name],"⚠ Unknown")</f>
        <v>PT Bintang Timur Sejahtera</v>
      </c>
      <c r="F4902" s="4" t="s">
        <v>14</v>
      </c>
      <c r="G4902" s="1" t="str">
        <f>_xlfn.XLOOKUP(tblSales[[#This Row],[Product Code]],tblProducts[Code],tblProducts[Product / Service Name],"⚠ Unknown")</f>
        <v>Smartwatch</v>
      </c>
      <c r="H4902" s="1" t="str">
        <f>_xlfn.XLOOKUP(tblSales[[#This Row],[Product Code]],tblProducts[Code],tblProducts[Category],"")</f>
        <v>Bags &amp; Gadgets</v>
      </c>
      <c r="I4902" s="4">
        <v>24</v>
      </c>
      <c r="J4902" s="5">
        <f>_xlfn.XLOOKUP(tblSales[[#This Row],[Product Code]],tblProducts[Code],tblProducts[Selling Price (excl. VAT)],0)</f>
        <v>850000</v>
      </c>
      <c r="K4902" s="5">
        <f>tblSales[[#This Row],[Qty]]*tblSales[[#This Row],[Unit Price]]</f>
        <v>20400000</v>
      </c>
      <c r="L4902" s="5">
        <f>ROUND(tblSales[[#This Row],[DPP (excl. VAT)]]*VATEff,0)</f>
        <v>2244000</v>
      </c>
      <c r="M4902" s="5">
        <f>tblSales[[#This Row],[DPP (excl. VAT)]]+tblSales[[#This Row],[Output VAT]]</f>
        <v>22644000</v>
      </c>
      <c r="N4902" s="5">
        <f>tblSales[[#This Row],[Qty]]*_xlfn.XLOOKUP(tblSales[[#This Row],[Product Code]],tblProducts[Code],tblProducts[Unit Cost],0)</f>
        <v>13440000</v>
      </c>
      <c r="O4902" s="4" t="s">
        <v>4867</v>
      </c>
      <c r="P4902" s="4" t="s">
        <v>4860</v>
      </c>
      <c r="Q4902" s="1" t="str">
        <f>_xlfn.XLOOKUP(tblSales[[#This Row],[Channel Code]],tblChannels[Channel Code],tblChannels[Channel Name],"")</f>
        <v>In-store</v>
      </c>
      <c r="R4902" s="1">
        <f>MONTH(tblSales[[#This Row],[Date]])</f>
        <v>10</v>
      </c>
    </row>
    <row r="4903" spans="2:18" x14ac:dyDescent="0.35">
      <c r="B4903" s="113">
        <v>46321</v>
      </c>
      <c r="C4903" s="4" t="s">
        <v>3346</v>
      </c>
      <c r="D4903" s="4" t="s">
        <v>4568</v>
      </c>
      <c r="E4903" s="1" t="str">
        <f>_xlfn.XLOOKUP(tblSales[[#This Row],[Customer ID]],tblCustomers[Customer ID],tblCustomers[Customer Name],"⚠ Unknown")</f>
        <v>Walk-in Customer</v>
      </c>
      <c r="F4903" s="4" t="s">
        <v>10</v>
      </c>
      <c r="G4903" s="1" t="str">
        <f>_xlfn.XLOOKUP(tblSales[[#This Row],[Product Code]],tblProducts[Code],tblProducts[Product / Service Name],"⚠ Unknown")</f>
        <v>Chino Pants</v>
      </c>
      <c r="H4903" s="1" t="str">
        <f>_xlfn.XLOOKUP(tblSales[[#This Row],[Product Code]],tblProducts[Code],tblProducts[Category],"")</f>
        <v>Apparel &amp; Footwear</v>
      </c>
      <c r="I4903" s="4">
        <v>12</v>
      </c>
      <c r="J4903" s="5">
        <f>_xlfn.XLOOKUP(tblSales[[#This Row],[Product Code]],tblProducts[Code],tblProducts[Selling Price (excl. VAT)],0)</f>
        <v>150000</v>
      </c>
      <c r="K4903" s="5">
        <f>tblSales[[#This Row],[Qty]]*tblSales[[#This Row],[Unit Price]]</f>
        <v>1800000</v>
      </c>
      <c r="L4903" s="5">
        <f>ROUND(tblSales[[#This Row],[DPP (excl. VAT)]]*VATEff,0)</f>
        <v>198000</v>
      </c>
      <c r="M4903" s="5">
        <f>tblSales[[#This Row],[DPP (excl. VAT)]]+tblSales[[#This Row],[Output VAT]]</f>
        <v>1998000</v>
      </c>
      <c r="N4903" s="5">
        <f>tblSales[[#This Row],[Qty]]*_xlfn.XLOOKUP(tblSales[[#This Row],[Product Code]],tblProducts[Code],tblProducts[Unit Cost],0)</f>
        <v>1056000</v>
      </c>
      <c r="O4903" s="4" t="s">
        <v>4866</v>
      </c>
      <c r="P4903" s="4" t="s">
        <v>4860</v>
      </c>
      <c r="Q4903" s="1" t="str">
        <f>_xlfn.XLOOKUP(tblSales[[#This Row],[Channel Code]],tblChannels[Channel Code],tblChannels[Channel Name],"")</f>
        <v>In-store</v>
      </c>
      <c r="R4903" s="1">
        <f>MONTH(tblSales[[#This Row],[Date]])</f>
        <v>10</v>
      </c>
    </row>
    <row r="4904" spans="2:18" x14ac:dyDescent="0.35">
      <c r="B4904" s="113">
        <v>46321</v>
      </c>
      <c r="C4904" s="4" t="s">
        <v>3346</v>
      </c>
      <c r="D4904" s="4" t="s">
        <v>4568</v>
      </c>
      <c r="E4904" s="1" t="str">
        <f>_xlfn.XLOOKUP(tblSales[[#This Row],[Customer ID]],tblCustomers[Customer ID],tblCustomers[Customer Name],"⚠ Unknown")</f>
        <v>Walk-in Customer</v>
      </c>
      <c r="F4904" s="4" t="s">
        <v>7</v>
      </c>
      <c r="G4904" s="1" t="str">
        <f>_xlfn.XLOOKUP(tblSales[[#This Row],[Product Code]],tblProducts[Code],tblProducts[Product / Service Name],"⚠ Unknown")</f>
        <v>Premium Basic T-shirt</v>
      </c>
      <c r="H4904" s="1" t="str">
        <f>_xlfn.XLOOKUP(tblSales[[#This Row],[Product Code]],tblProducts[Code],tblProducts[Category],"")</f>
        <v>Accessories &amp; Basics</v>
      </c>
      <c r="I4904" s="4">
        <v>9</v>
      </c>
      <c r="J4904" s="5">
        <f>_xlfn.XLOOKUP(tblSales[[#This Row],[Product Code]],tblProducts[Code],tblProducts[Selling Price (excl. VAT)],0)</f>
        <v>65000</v>
      </c>
      <c r="K4904" s="5">
        <f>tblSales[[#This Row],[Qty]]*tblSales[[#This Row],[Unit Price]]</f>
        <v>585000</v>
      </c>
      <c r="L4904" s="5">
        <f>ROUND(tblSales[[#This Row],[DPP (excl. VAT)]]*VATEff,0)</f>
        <v>64350</v>
      </c>
      <c r="M4904" s="5">
        <f>tblSales[[#This Row],[DPP (excl. VAT)]]+tblSales[[#This Row],[Output VAT]]</f>
        <v>649350</v>
      </c>
      <c r="N4904" s="5">
        <f>tblSales[[#This Row],[Qty]]*_xlfn.XLOOKUP(tblSales[[#This Row],[Product Code]],tblProducts[Code],tblProducts[Unit Cost],0)</f>
        <v>333000</v>
      </c>
      <c r="O4904" s="4" t="s">
        <v>4866</v>
      </c>
      <c r="P4904" s="4" t="s">
        <v>4860</v>
      </c>
      <c r="Q4904" s="1" t="str">
        <f>_xlfn.XLOOKUP(tblSales[[#This Row],[Channel Code]],tblChannels[Channel Code],tblChannels[Channel Name],"")</f>
        <v>In-store</v>
      </c>
      <c r="R4904" s="1">
        <f>MONTH(tblSales[[#This Row],[Date]])</f>
        <v>10</v>
      </c>
    </row>
    <row r="4905" spans="2:18" x14ac:dyDescent="0.35">
      <c r="B4905" s="113">
        <v>46321</v>
      </c>
      <c r="C4905" s="4" t="s">
        <v>3347</v>
      </c>
      <c r="D4905" s="4" t="s">
        <v>4568</v>
      </c>
      <c r="E4905" s="1" t="str">
        <f>_xlfn.XLOOKUP(tblSales[[#This Row],[Customer ID]],tblCustomers[Customer ID],tblCustomers[Customer Name],"⚠ Unknown")</f>
        <v>Walk-in Customer</v>
      </c>
      <c r="F4905" s="4" t="s">
        <v>6</v>
      </c>
      <c r="G4905" s="1" t="str">
        <f>_xlfn.XLOOKUP(tblSales[[#This Row],[Product Code]],tblProducts[Code],tblProducts[Product / Service Name],"⚠ Unknown")</f>
        <v>Socks &amp; Accessories</v>
      </c>
      <c r="H4905" s="1" t="str">
        <f>_xlfn.XLOOKUP(tblSales[[#This Row],[Product Code]],tblProducts[Code],tblProducts[Category],"")</f>
        <v>Accessories &amp; Basics</v>
      </c>
      <c r="I4905" s="4">
        <v>7</v>
      </c>
      <c r="J4905" s="5">
        <f>_xlfn.XLOOKUP(tblSales[[#This Row],[Product Code]],tblProducts[Code],tblProducts[Selling Price (excl. VAT)],0)</f>
        <v>45000</v>
      </c>
      <c r="K4905" s="5">
        <f>tblSales[[#This Row],[Qty]]*tblSales[[#This Row],[Unit Price]]</f>
        <v>315000</v>
      </c>
      <c r="L4905" s="5">
        <f>ROUND(tblSales[[#This Row],[DPP (excl. VAT)]]*VATEff,0)</f>
        <v>34650</v>
      </c>
      <c r="M4905" s="5">
        <f>tblSales[[#This Row],[DPP (excl. VAT)]]+tblSales[[#This Row],[Output VAT]]</f>
        <v>349650</v>
      </c>
      <c r="N4905" s="5">
        <f>tblSales[[#This Row],[Qty]]*_xlfn.XLOOKUP(tblSales[[#This Row],[Product Code]],tblProducts[Code],tblProducts[Unit Cost],0)</f>
        <v>168000</v>
      </c>
      <c r="O4905" s="4" t="s">
        <v>4865</v>
      </c>
      <c r="P4905" s="4" t="s">
        <v>4860</v>
      </c>
      <c r="Q4905" s="1" t="str">
        <f>_xlfn.XLOOKUP(tblSales[[#This Row],[Channel Code]],tblChannels[Channel Code],tblChannels[Channel Name],"")</f>
        <v>In-store</v>
      </c>
      <c r="R4905" s="1">
        <f>MONTH(tblSales[[#This Row],[Date]])</f>
        <v>10</v>
      </c>
    </row>
    <row r="4906" spans="2:18" x14ac:dyDescent="0.35">
      <c r="B4906" s="113">
        <v>46321</v>
      </c>
      <c r="C4906" s="4" t="s">
        <v>3348</v>
      </c>
      <c r="D4906" s="4" t="s">
        <v>4568</v>
      </c>
      <c r="E4906" s="1" t="str">
        <f>_xlfn.XLOOKUP(tblSales[[#This Row],[Customer ID]],tblCustomers[Customer ID],tblCustomers[Customer Name],"⚠ Unknown")</f>
        <v>Walk-in Customer</v>
      </c>
      <c r="F4906" s="4" t="s">
        <v>10</v>
      </c>
      <c r="G4906" s="1" t="str">
        <f>_xlfn.XLOOKUP(tblSales[[#This Row],[Product Code]],tblProducts[Code],tblProducts[Product / Service Name],"⚠ Unknown")</f>
        <v>Chino Pants</v>
      </c>
      <c r="H4906" s="1" t="str">
        <f>_xlfn.XLOOKUP(tblSales[[#This Row],[Product Code]],tblProducts[Code],tblProducts[Category],"")</f>
        <v>Apparel &amp; Footwear</v>
      </c>
      <c r="I4906" s="4">
        <v>6</v>
      </c>
      <c r="J4906" s="5">
        <f>_xlfn.XLOOKUP(tblSales[[#This Row],[Product Code]],tblProducts[Code],tblProducts[Selling Price (excl. VAT)],0)</f>
        <v>150000</v>
      </c>
      <c r="K4906" s="5">
        <f>tblSales[[#This Row],[Qty]]*tblSales[[#This Row],[Unit Price]]</f>
        <v>900000</v>
      </c>
      <c r="L4906" s="5">
        <f>ROUND(tblSales[[#This Row],[DPP (excl. VAT)]]*VATEff,0)</f>
        <v>99000</v>
      </c>
      <c r="M4906" s="5">
        <f>tblSales[[#This Row],[DPP (excl. VAT)]]+tblSales[[#This Row],[Output VAT]]</f>
        <v>999000</v>
      </c>
      <c r="N4906" s="5">
        <f>tblSales[[#This Row],[Qty]]*_xlfn.XLOOKUP(tblSales[[#This Row],[Product Code]],tblProducts[Code],tblProducts[Unit Cost],0)</f>
        <v>528000</v>
      </c>
      <c r="O4906" s="4" t="s">
        <v>4865</v>
      </c>
      <c r="P4906" s="4" t="s">
        <v>4860</v>
      </c>
      <c r="Q4906" s="1" t="str">
        <f>_xlfn.XLOOKUP(tblSales[[#This Row],[Channel Code]],tblChannels[Channel Code],tblChannels[Channel Name],"")</f>
        <v>In-store</v>
      </c>
      <c r="R4906" s="1">
        <f>MONTH(tblSales[[#This Row],[Date]])</f>
        <v>10</v>
      </c>
    </row>
    <row r="4907" spans="2:18" x14ac:dyDescent="0.35">
      <c r="B4907" s="113">
        <v>46321</v>
      </c>
      <c r="C4907" s="4" t="s">
        <v>3349</v>
      </c>
      <c r="D4907" s="4" t="s">
        <v>4568</v>
      </c>
      <c r="E4907" s="1" t="str">
        <f>_xlfn.XLOOKUP(tblSales[[#This Row],[Customer ID]],tblCustomers[Customer ID],tblCustomers[Customer Name],"⚠ Unknown")</f>
        <v>Walk-in Customer</v>
      </c>
      <c r="F4907" s="4" t="s">
        <v>15</v>
      </c>
      <c r="G4907" s="1" t="str">
        <f>_xlfn.XLOOKUP(tblSales[[#This Row],[Product Code]],tblProducts[Code],tblProducts[Product / Service Name],"⚠ Unknown")</f>
        <v>Wireless Earbuds Pro</v>
      </c>
      <c r="H4907" s="1" t="str">
        <f>_xlfn.XLOOKUP(tblSales[[#This Row],[Product Code]],tblProducts[Code],tblProducts[Category],"")</f>
        <v>Bags &amp; Gadgets</v>
      </c>
      <c r="I4907" s="4">
        <v>1</v>
      </c>
      <c r="J4907" s="5">
        <f>_xlfn.XLOOKUP(tblSales[[#This Row],[Product Code]],tblProducts[Code],tblProducts[Selling Price (excl. VAT)],0)</f>
        <v>1250000</v>
      </c>
      <c r="K4907" s="5">
        <f>tblSales[[#This Row],[Qty]]*tblSales[[#This Row],[Unit Price]]</f>
        <v>1250000</v>
      </c>
      <c r="L4907" s="5">
        <f>ROUND(tblSales[[#This Row],[DPP (excl. VAT)]]*VATEff,0)</f>
        <v>137500</v>
      </c>
      <c r="M4907" s="5">
        <f>tblSales[[#This Row],[DPP (excl. VAT)]]+tblSales[[#This Row],[Output VAT]]</f>
        <v>1387500</v>
      </c>
      <c r="N4907" s="5">
        <f>tblSales[[#This Row],[Qty]]*_xlfn.XLOOKUP(tblSales[[#This Row],[Product Code]],tblProducts[Code],tblProducts[Unit Cost],0)</f>
        <v>820000</v>
      </c>
      <c r="O4907" s="4" t="s">
        <v>4866</v>
      </c>
      <c r="P4907" s="4" t="s">
        <v>4861</v>
      </c>
      <c r="Q4907" s="1" t="str">
        <f>_xlfn.XLOOKUP(tblSales[[#This Row],[Channel Code]],tblChannels[Channel Code],tblChannels[Channel Name],"")</f>
        <v>Marketplace</v>
      </c>
      <c r="R4907" s="1">
        <f>MONTH(tblSales[[#This Row],[Date]])</f>
        <v>10</v>
      </c>
    </row>
    <row r="4908" spans="2:18" x14ac:dyDescent="0.35">
      <c r="B4908" s="113">
        <v>46321</v>
      </c>
      <c r="C4908" s="4" t="s">
        <v>3349</v>
      </c>
      <c r="D4908" s="4" t="s">
        <v>4568</v>
      </c>
      <c r="E4908" s="1" t="str">
        <f>_xlfn.XLOOKUP(tblSales[[#This Row],[Customer ID]],tblCustomers[Customer ID],tblCustomers[Customer Name],"⚠ Unknown")</f>
        <v>Walk-in Customer</v>
      </c>
      <c r="F4908" s="4" t="s">
        <v>7</v>
      </c>
      <c r="G4908" s="1" t="str">
        <f>_xlfn.XLOOKUP(tblSales[[#This Row],[Product Code]],tblProducts[Code],tblProducts[Product / Service Name],"⚠ Unknown")</f>
        <v>Premium Basic T-shirt</v>
      </c>
      <c r="H4908" s="1" t="str">
        <f>_xlfn.XLOOKUP(tblSales[[#This Row],[Product Code]],tblProducts[Code],tblProducts[Category],"")</f>
        <v>Accessories &amp; Basics</v>
      </c>
      <c r="I4908" s="4">
        <v>7</v>
      </c>
      <c r="J4908" s="5">
        <f>_xlfn.XLOOKUP(tblSales[[#This Row],[Product Code]],tblProducts[Code],tblProducts[Selling Price (excl. VAT)],0)</f>
        <v>65000</v>
      </c>
      <c r="K4908" s="5">
        <f>tblSales[[#This Row],[Qty]]*tblSales[[#This Row],[Unit Price]]</f>
        <v>455000</v>
      </c>
      <c r="L4908" s="5">
        <f>ROUND(tblSales[[#This Row],[DPP (excl. VAT)]]*VATEff,0)</f>
        <v>50050</v>
      </c>
      <c r="M4908" s="5">
        <f>tblSales[[#This Row],[DPP (excl. VAT)]]+tblSales[[#This Row],[Output VAT]]</f>
        <v>505050</v>
      </c>
      <c r="N4908" s="5">
        <f>tblSales[[#This Row],[Qty]]*_xlfn.XLOOKUP(tblSales[[#This Row],[Product Code]],tblProducts[Code],tblProducts[Unit Cost],0)</f>
        <v>259000</v>
      </c>
      <c r="O4908" s="4" t="s">
        <v>4866</v>
      </c>
      <c r="P4908" s="4" t="s">
        <v>4861</v>
      </c>
      <c r="Q4908" s="1" t="str">
        <f>_xlfn.XLOOKUP(tblSales[[#This Row],[Channel Code]],tblChannels[Channel Code],tblChannels[Channel Name],"")</f>
        <v>Marketplace</v>
      </c>
      <c r="R4908" s="1">
        <f>MONTH(tblSales[[#This Row],[Date]])</f>
        <v>10</v>
      </c>
    </row>
    <row r="4909" spans="2:18" x14ac:dyDescent="0.35">
      <c r="B4909" s="113">
        <v>46321</v>
      </c>
      <c r="C4909" s="4" t="s">
        <v>3350</v>
      </c>
      <c r="D4909" s="4" t="s">
        <v>4648</v>
      </c>
      <c r="E4909" s="1" t="str">
        <f>_xlfn.XLOOKUP(tblSales[[#This Row],[Customer ID]],tblCustomers[Customer ID],tblCustomers[Customer Name],"⚠ Unknown")</f>
        <v>PT Lintas Benua Niaga</v>
      </c>
      <c r="F4909" s="4" t="s">
        <v>8</v>
      </c>
      <c r="G4909" s="1" t="str">
        <f>_xlfn.XLOOKUP(tblSales[[#This Row],[Product Code]],tblProducts[Code],tblProducts[Product / Service Name],"⚠ Unknown")</f>
        <v>Casual Shorts</v>
      </c>
      <c r="H4909" s="1" t="str">
        <f>_xlfn.XLOOKUP(tblSales[[#This Row],[Product Code]],tblProducts[Code],tblProducts[Category],"")</f>
        <v>Accessories &amp; Basics</v>
      </c>
      <c r="I4909" s="4">
        <v>24</v>
      </c>
      <c r="J4909" s="5">
        <f>_xlfn.XLOOKUP(tblSales[[#This Row],[Product Code]],tblProducts[Code],tblProducts[Selling Price (excl. VAT)],0)</f>
        <v>85000</v>
      </c>
      <c r="K4909" s="5">
        <f>tblSales[[#This Row],[Qty]]*tblSales[[#This Row],[Unit Price]]</f>
        <v>2040000</v>
      </c>
      <c r="L4909" s="5">
        <f>ROUND(tblSales[[#This Row],[DPP (excl. VAT)]]*VATEff,0)</f>
        <v>224400</v>
      </c>
      <c r="M4909" s="5">
        <f>tblSales[[#This Row],[DPP (excl. VAT)]]+tblSales[[#This Row],[Output VAT]]</f>
        <v>2264400</v>
      </c>
      <c r="N4909" s="5">
        <f>tblSales[[#This Row],[Qty]]*_xlfn.XLOOKUP(tblSales[[#This Row],[Product Code]],tblProducts[Code],tblProducts[Unit Cost],0)</f>
        <v>1200000</v>
      </c>
      <c r="O4909" s="4" t="s">
        <v>4867</v>
      </c>
      <c r="P4909" s="4" t="s">
        <v>4860</v>
      </c>
      <c r="Q4909" s="1" t="str">
        <f>_xlfn.XLOOKUP(tblSales[[#This Row],[Channel Code]],tblChannels[Channel Code],tblChannels[Channel Name],"")</f>
        <v>In-store</v>
      </c>
      <c r="R4909" s="1">
        <f>MONTH(tblSales[[#This Row],[Date]])</f>
        <v>10</v>
      </c>
    </row>
    <row r="4910" spans="2:18" x14ac:dyDescent="0.35">
      <c r="B4910" s="113">
        <v>46321</v>
      </c>
      <c r="C4910" s="4" t="s">
        <v>3350</v>
      </c>
      <c r="D4910" s="4" t="s">
        <v>4648</v>
      </c>
      <c r="E4910" s="1" t="str">
        <f>_xlfn.XLOOKUP(tblSales[[#This Row],[Customer ID]],tblCustomers[Customer ID],tblCustomers[Customer Name],"⚠ Unknown")</f>
        <v>PT Lintas Benua Niaga</v>
      </c>
      <c r="F4910" s="4" t="s">
        <v>9</v>
      </c>
      <c r="G4910" s="1" t="str">
        <f>_xlfn.XLOOKUP(tblSales[[#This Row],[Product Code]],tblProducts[Code],tblProducts[Product / Service Name],"⚠ Unknown")</f>
        <v>Casual Shirt</v>
      </c>
      <c r="H4910" s="1" t="str">
        <f>_xlfn.XLOOKUP(tblSales[[#This Row],[Product Code]],tblProducts[Code],tblProducts[Category],"")</f>
        <v>Apparel &amp; Footwear</v>
      </c>
      <c r="I4910" s="4">
        <v>96</v>
      </c>
      <c r="J4910" s="5">
        <f>_xlfn.XLOOKUP(tblSales[[#This Row],[Product Code]],tblProducts[Code],tblProducts[Selling Price (excl. VAT)],0)</f>
        <v>120000</v>
      </c>
      <c r="K4910" s="5">
        <f>tblSales[[#This Row],[Qty]]*tblSales[[#This Row],[Unit Price]]</f>
        <v>11520000</v>
      </c>
      <c r="L4910" s="5">
        <f>ROUND(tblSales[[#This Row],[DPP (excl. VAT)]]*VATEff,0)</f>
        <v>1267200</v>
      </c>
      <c r="M4910" s="5">
        <f>tblSales[[#This Row],[DPP (excl. VAT)]]+tblSales[[#This Row],[Output VAT]]</f>
        <v>12787200</v>
      </c>
      <c r="N4910" s="5">
        <f>tblSales[[#This Row],[Qty]]*_xlfn.XLOOKUP(tblSales[[#This Row],[Product Code]],tblProducts[Code],tblProducts[Unit Cost],0)</f>
        <v>6912000</v>
      </c>
      <c r="O4910" s="4" t="s">
        <v>4867</v>
      </c>
      <c r="P4910" s="4" t="s">
        <v>4860</v>
      </c>
      <c r="Q4910" s="1" t="str">
        <f>_xlfn.XLOOKUP(tblSales[[#This Row],[Channel Code]],tblChannels[Channel Code],tblChannels[Channel Name],"")</f>
        <v>In-store</v>
      </c>
      <c r="R4910" s="1">
        <f>MONTH(tblSales[[#This Row],[Date]])</f>
        <v>10</v>
      </c>
    </row>
    <row r="4911" spans="2:18" x14ac:dyDescent="0.35">
      <c r="B4911" s="113">
        <v>46321</v>
      </c>
      <c r="C4911" s="4" t="s">
        <v>3351</v>
      </c>
      <c r="D4911" s="4" t="s">
        <v>4578</v>
      </c>
      <c r="E4911" s="1" t="str">
        <f>_xlfn.XLOOKUP(tblSales[[#This Row],[Customer ID]],tblCustomers[Customer ID],tblCustomers[Customer Name],"⚠ Unknown")</f>
        <v>PT Bintang Timur Sejahtera</v>
      </c>
      <c r="F4911" s="4" t="s">
        <v>7</v>
      </c>
      <c r="G4911" s="1" t="str">
        <f>_xlfn.XLOOKUP(tblSales[[#This Row],[Product Code]],tblProducts[Code],tblProducts[Product / Service Name],"⚠ Unknown")</f>
        <v>Premium Basic T-shirt</v>
      </c>
      <c r="H4911" s="1" t="str">
        <f>_xlfn.XLOOKUP(tblSales[[#This Row],[Product Code]],tblProducts[Code],tblProducts[Category],"")</f>
        <v>Accessories &amp; Basics</v>
      </c>
      <c r="I4911" s="4">
        <v>64</v>
      </c>
      <c r="J4911" s="5">
        <f>_xlfn.XLOOKUP(tblSales[[#This Row],[Product Code]],tblProducts[Code],tblProducts[Selling Price (excl. VAT)],0)</f>
        <v>65000</v>
      </c>
      <c r="K4911" s="5">
        <f>tblSales[[#This Row],[Qty]]*tblSales[[#This Row],[Unit Price]]</f>
        <v>4160000</v>
      </c>
      <c r="L4911" s="5">
        <f>ROUND(tblSales[[#This Row],[DPP (excl. VAT)]]*VATEff,0)</f>
        <v>457600</v>
      </c>
      <c r="M4911" s="5">
        <f>tblSales[[#This Row],[DPP (excl. VAT)]]+tblSales[[#This Row],[Output VAT]]</f>
        <v>4617600</v>
      </c>
      <c r="N4911" s="5">
        <f>tblSales[[#This Row],[Qty]]*_xlfn.XLOOKUP(tblSales[[#This Row],[Product Code]],tblProducts[Code],tblProducts[Unit Cost],0)</f>
        <v>2368000</v>
      </c>
      <c r="O4911" s="4" t="s">
        <v>4867</v>
      </c>
      <c r="P4911" s="4" t="s">
        <v>4862</v>
      </c>
      <c r="Q4911" s="1" t="str">
        <f>_xlfn.XLOOKUP(tblSales[[#This Row],[Channel Code]],tblChannels[Channel Code],tblChannels[Channel Name],"")</f>
        <v>Website &amp; Social Media</v>
      </c>
      <c r="R4911" s="1">
        <f>MONTH(tblSales[[#This Row],[Date]])</f>
        <v>10</v>
      </c>
    </row>
    <row r="4912" spans="2:18" x14ac:dyDescent="0.35">
      <c r="B4912" s="113">
        <v>46321</v>
      </c>
      <c r="C4912" s="4" t="s">
        <v>3352</v>
      </c>
      <c r="D4912" s="4" t="s">
        <v>4568</v>
      </c>
      <c r="E4912" s="1" t="str">
        <f>_xlfn.XLOOKUP(tblSales[[#This Row],[Customer ID]],tblCustomers[Customer ID],tblCustomers[Customer Name],"⚠ Unknown")</f>
        <v>Walk-in Customer</v>
      </c>
      <c r="F4912" s="4" t="s">
        <v>11</v>
      </c>
      <c r="G4912" s="1" t="str">
        <f>_xlfn.XLOOKUP(tblSales[[#This Row],[Product Code]],tblProducts[Code],tblProducts[Product / Service Name],"⚠ Unknown")</f>
        <v>Sneakers</v>
      </c>
      <c r="H4912" s="1" t="str">
        <f>_xlfn.XLOOKUP(tblSales[[#This Row],[Product Code]],tblProducts[Code],tblProducts[Category],"")</f>
        <v>Apparel &amp; Footwear</v>
      </c>
      <c r="I4912" s="4">
        <v>2</v>
      </c>
      <c r="J4912" s="5">
        <f>_xlfn.XLOOKUP(tblSales[[#This Row],[Product Code]],tblProducts[Code],tblProducts[Selling Price (excl. VAT)],0)</f>
        <v>250000</v>
      </c>
      <c r="K4912" s="5">
        <f>tblSales[[#This Row],[Qty]]*tblSales[[#This Row],[Unit Price]]</f>
        <v>500000</v>
      </c>
      <c r="L4912" s="5">
        <f>ROUND(tblSales[[#This Row],[DPP (excl. VAT)]]*VATEff,0)</f>
        <v>55000</v>
      </c>
      <c r="M4912" s="5">
        <f>tblSales[[#This Row],[DPP (excl. VAT)]]+tblSales[[#This Row],[Output VAT]]</f>
        <v>555000</v>
      </c>
      <c r="N4912" s="5">
        <f>tblSales[[#This Row],[Qty]]*_xlfn.XLOOKUP(tblSales[[#This Row],[Product Code]],tblProducts[Code],tblProducts[Unit Cost],0)</f>
        <v>310000</v>
      </c>
      <c r="O4912" s="4" t="s">
        <v>4866</v>
      </c>
      <c r="P4912" s="4" t="s">
        <v>4862</v>
      </c>
      <c r="Q4912" s="1" t="str">
        <f>_xlfn.XLOOKUP(tblSales[[#This Row],[Channel Code]],tblChannels[Channel Code],tblChannels[Channel Name],"")</f>
        <v>Website &amp; Social Media</v>
      </c>
      <c r="R4912" s="1">
        <f>MONTH(tblSales[[#This Row],[Date]])</f>
        <v>10</v>
      </c>
    </row>
    <row r="4913" spans="2:18" x14ac:dyDescent="0.35">
      <c r="B4913" s="113">
        <v>46321</v>
      </c>
      <c r="C4913" s="4" t="s">
        <v>3353</v>
      </c>
      <c r="D4913" s="4" t="s">
        <v>4568</v>
      </c>
      <c r="E4913" s="1" t="str">
        <f>_xlfn.XLOOKUP(tblSales[[#This Row],[Customer ID]],tblCustomers[Customer ID],tblCustomers[Customer Name],"⚠ Unknown")</f>
        <v>Walk-in Customer</v>
      </c>
      <c r="F4913" s="4" t="s">
        <v>10</v>
      </c>
      <c r="G4913" s="1" t="str">
        <f>_xlfn.XLOOKUP(tblSales[[#This Row],[Product Code]],tblProducts[Code],tblProducts[Product / Service Name],"⚠ Unknown")</f>
        <v>Chino Pants</v>
      </c>
      <c r="H4913" s="1" t="str">
        <f>_xlfn.XLOOKUP(tblSales[[#This Row],[Product Code]],tblProducts[Code],tblProducts[Category],"")</f>
        <v>Apparel &amp; Footwear</v>
      </c>
      <c r="I4913" s="4">
        <v>6</v>
      </c>
      <c r="J4913" s="5">
        <f>_xlfn.XLOOKUP(tblSales[[#This Row],[Product Code]],tblProducts[Code],tblProducts[Selling Price (excl. VAT)],0)</f>
        <v>150000</v>
      </c>
      <c r="K4913" s="5">
        <f>tblSales[[#This Row],[Qty]]*tblSales[[#This Row],[Unit Price]]</f>
        <v>900000</v>
      </c>
      <c r="L4913" s="5">
        <f>ROUND(tblSales[[#This Row],[DPP (excl. VAT)]]*VATEff,0)</f>
        <v>99000</v>
      </c>
      <c r="M4913" s="5">
        <f>tblSales[[#This Row],[DPP (excl. VAT)]]+tblSales[[#This Row],[Output VAT]]</f>
        <v>999000</v>
      </c>
      <c r="N4913" s="5">
        <f>tblSales[[#This Row],[Qty]]*_xlfn.XLOOKUP(tblSales[[#This Row],[Product Code]],tblProducts[Code],tblProducts[Unit Cost],0)</f>
        <v>528000</v>
      </c>
      <c r="O4913" s="4" t="s">
        <v>4866</v>
      </c>
      <c r="P4913" s="4" t="s">
        <v>4861</v>
      </c>
      <c r="Q4913" s="1" t="str">
        <f>_xlfn.XLOOKUP(tblSales[[#This Row],[Channel Code]],tblChannels[Channel Code],tblChannels[Channel Name],"")</f>
        <v>Marketplace</v>
      </c>
      <c r="R4913" s="1">
        <f>MONTH(tblSales[[#This Row],[Date]])</f>
        <v>10</v>
      </c>
    </row>
    <row r="4914" spans="2:18" x14ac:dyDescent="0.35">
      <c r="B4914" s="113">
        <v>46322</v>
      </c>
      <c r="C4914" s="4" t="s">
        <v>3354</v>
      </c>
      <c r="D4914" s="4" t="s">
        <v>4568</v>
      </c>
      <c r="E4914" s="1" t="str">
        <f>_xlfn.XLOOKUP(tblSales[[#This Row],[Customer ID]],tblCustomers[Customer ID],tblCustomers[Customer Name],"⚠ Unknown")</f>
        <v>Walk-in Customer</v>
      </c>
      <c r="F4914" s="4" t="s">
        <v>14</v>
      </c>
      <c r="G4914" s="1" t="str">
        <f>_xlfn.XLOOKUP(tblSales[[#This Row],[Product Code]],tblProducts[Code],tblProducts[Product / Service Name],"⚠ Unknown")</f>
        <v>Smartwatch</v>
      </c>
      <c r="H4914" s="1" t="str">
        <f>_xlfn.XLOOKUP(tblSales[[#This Row],[Product Code]],tblProducts[Code],tblProducts[Category],"")</f>
        <v>Bags &amp; Gadgets</v>
      </c>
      <c r="I4914" s="4">
        <v>1</v>
      </c>
      <c r="J4914" s="5">
        <f>_xlfn.XLOOKUP(tblSales[[#This Row],[Product Code]],tblProducts[Code],tblProducts[Selling Price (excl. VAT)],0)</f>
        <v>850000</v>
      </c>
      <c r="K4914" s="5">
        <f>tblSales[[#This Row],[Qty]]*tblSales[[#This Row],[Unit Price]]</f>
        <v>850000</v>
      </c>
      <c r="L4914" s="5">
        <f>ROUND(tblSales[[#This Row],[DPP (excl. VAT)]]*VATEff,0)</f>
        <v>93500</v>
      </c>
      <c r="M4914" s="5">
        <f>tblSales[[#This Row],[DPP (excl. VAT)]]+tblSales[[#This Row],[Output VAT]]</f>
        <v>943500</v>
      </c>
      <c r="N4914" s="5">
        <f>tblSales[[#This Row],[Qty]]*_xlfn.XLOOKUP(tblSales[[#This Row],[Product Code]],tblProducts[Code],tblProducts[Unit Cost],0)</f>
        <v>560000</v>
      </c>
      <c r="O4914" s="4" t="s">
        <v>4866</v>
      </c>
      <c r="P4914" s="4" t="s">
        <v>4860</v>
      </c>
      <c r="Q4914" s="1" t="str">
        <f>_xlfn.XLOOKUP(tblSales[[#This Row],[Channel Code]],tblChannels[Channel Code],tblChannels[Channel Name],"")</f>
        <v>In-store</v>
      </c>
      <c r="R4914" s="1">
        <f>MONTH(tblSales[[#This Row],[Date]])</f>
        <v>10</v>
      </c>
    </row>
    <row r="4915" spans="2:18" x14ac:dyDescent="0.35">
      <c r="B4915" s="113">
        <v>46322</v>
      </c>
      <c r="C4915" s="4" t="s">
        <v>3355</v>
      </c>
      <c r="D4915" s="4" t="s">
        <v>4568</v>
      </c>
      <c r="E4915" s="1" t="str">
        <f>_xlfn.XLOOKUP(tblSales[[#This Row],[Customer ID]],tblCustomers[Customer ID],tblCustomers[Customer Name],"⚠ Unknown")</f>
        <v>Walk-in Customer</v>
      </c>
      <c r="F4915" s="4" t="s">
        <v>7</v>
      </c>
      <c r="G4915" s="1" t="str">
        <f>_xlfn.XLOOKUP(tblSales[[#This Row],[Product Code]],tblProducts[Code],tblProducts[Product / Service Name],"⚠ Unknown")</f>
        <v>Premium Basic T-shirt</v>
      </c>
      <c r="H4915" s="1" t="str">
        <f>_xlfn.XLOOKUP(tblSales[[#This Row],[Product Code]],tblProducts[Code],tblProducts[Category],"")</f>
        <v>Accessories &amp; Basics</v>
      </c>
      <c r="I4915" s="4">
        <v>12</v>
      </c>
      <c r="J4915" s="5">
        <f>_xlfn.XLOOKUP(tblSales[[#This Row],[Product Code]],tblProducts[Code],tblProducts[Selling Price (excl. VAT)],0)</f>
        <v>65000</v>
      </c>
      <c r="K4915" s="5">
        <f>tblSales[[#This Row],[Qty]]*tblSales[[#This Row],[Unit Price]]</f>
        <v>780000</v>
      </c>
      <c r="L4915" s="5">
        <f>ROUND(tblSales[[#This Row],[DPP (excl. VAT)]]*VATEff,0)</f>
        <v>85800</v>
      </c>
      <c r="M4915" s="5">
        <f>tblSales[[#This Row],[DPP (excl. VAT)]]+tblSales[[#This Row],[Output VAT]]</f>
        <v>865800</v>
      </c>
      <c r="N4915" s="5">
        <f>tblSales[[#This Row],[Qty]]*_xlfn.XLOOKUP(tblSales[[#This Row],[Product Code]],tblProducts[Code],tblProducts[Unit Cost],0)</f>
        <v>444000</v>
      </c>
      <c r="O4915" s="4" t="s">
        <v>4866</v>
      </c>
      <c r="P4915" s="4" t="s">
        <v>4862</v>
      </c>
      <c r="Q4915" s="1" t="str">
        <f>_xlfn.XLOOKUP(tblSales[[#This Row],[Channel Code]],tblChannels[Channel Code],tblChannels[Channel Name],"")</f>
        <v>Website &amp; Social Media</v>
      </c>
      <c r="R4915" s="1">
        <f>MONTH(tblSales[[#This Row],[Date]])</f>
        <v>10</v>
      </c>
    </row>
    <row r="4916" spans="2:18" x14ac:dyDescent="0.35">
      <c r="B4916" s="113">
        <v>46322</v>
      </c>
      <c r="C4916" s="4" t="s">
        <v>3355</v>
      </c>
      <c r="D4916" s="4" t="s">
        <v>4568</v>
      </c>
      <c r="E4916" s="1" t="str">
        <f>_xlfn.XLOOKUP(tblSales[[#This Row],[Customer ID]],tblCustomers[Customer ID],tblCustomers[Customer Name],"⚠ Unknown")</f>
        <v>Walk-in Customer</v>
      </c>
      <c r="F4916" s="4" t="s">
        <v>6</v>
      </c>
      <c r="G4916" s="1" t="str">
        <f>_xlfn.XLOOKUP(tblSales[[#This Row],[Product Code]],tblProducts[Code],tblProducts[Product / Service Name],"⚠ Unknown")</f>
        <v>Socks &amp; Accessories</v>
      </c>
      <c r="H4916" s="1" t="str">
        <f>_xlfn.XLOOKUP(tblSales[[#This Row],[Product Code]],tblProducts[Code],tblProducts[Category],"")</f>
        <v>Accessories &amp; Basics</v>
      </c>
      <c r="I4916" s="4">
        <v>4</v>
      </c>
      <c r="J4916" s="5">
        <f>_xlfn.XLOOKUP(tblSales[[#This Row],[Product Code]],tblProducts[Code],tblProducts[Selling Price (excl. VAT)],0)</f>
        <v>45000</v>
      </c>
      <c r="K4916" s="5">
        <f>tblSales[[#This Row],[Qty]]*tblSales[[#This Row],[Unit Price]]</f>
        <v>180000</v>
      </c>
      <c r="L4916" s="5">
        <f>ROUND(tblSales[[#This Row],[DPP (excl. VAT)]]*VATEff,0)</f>
        <v>19800</v>
      </c>
      <c r="M4916" s="5">
        <f>tblSales[[#This Row],[DPP (excl. VAT)]]+tblSales[[#This Row],[Output VAT]]</f>
        <v>199800</v>
      </c>
      <c r="N4916" s="5">
        <f>tblSales[[#This Row],[Qty]]*_xlfn.XLOOKUP(tblSales[[#This Row],[Product Code]],tblProducts[Code],tblProducts[Unit Cost],0)</f>
        <v>96000</v>
      </c>
      <c r="O4916" s="4" t="s">
        <v>4866</v>
      </c>
      <c r="P4916" s="4" t="s">
        <v>4862</v>
      </c>
      <c r="Q4916" s="1" t="str">
        <f>_xlfn.XLOOKUP(tblSales[[#This Row],[Channel Code]],tblChannels[Channel Code],tblChannels[Channel Name],"")</f>
        <v>Website &amp; Social Media</v>
      </c>
      <c r="R4916" s="1">
        <f>MONTH(tblSales[[#This Row],[Date]])</f>
        <v>10</v>
      </c>
    </row>
    <row r="4917" spans="2:18" x14ac:dyDescent="0.35">
      <c r="B4917" s="113">
        <v>46322</v>
      </c>
      <c r="C4917" s="4" t="s">
        <v>3356</v>
      </c>
      <c r="D4917" s="4" t="s">
        <v>4634</v>
      </c>
      <c r="E4917" s="1" t="str">
        <f>_xlfn.XLOOKUP(tblSales[[#This Row],[Customer ID]],tblCustomers[Customer ID],tblCustomers[Customer Name],"⚠ Unknown")</f>
        <v>PT Delta Inti Selaras</v>
      </c>
      <c r="F4917" s="4" t="s">
        <v>12</v>
      </c>
      <c r="G4917" s="1" t="str">
        <f>_xlfn.XLOOKUP(tblSales[[#This Row],[Product Code]],tblProducts[Code],tblProducts[Product / Service Name],"⚠ Unknown")</f>
        <v>Bomber Jacket</v>
      </c>
      <c r="H4917" s="1" t="str">
        <f>_xlfn.XLOOKUP(tblSales[[#This Row],[Product Code]],tblProducts[Code],tblProducts[Category],"")</f>
        <v>Apparel &amp; Footwear</v>
      </c>
      <c r="I4917" s="4">
        <v>48</v>
      </c>
      <c r="J4917" s="5">
        <f>_xlfn.XLOOKUP(tblSales[[#This Row],[Product Code]],tblProducts[Code],tblProducts[Selling Price (excl. VAT)],0)</f>
        <v>350000</v>
      </c>
      <c r="K4917" s="5">
        <f>tblSales[[#This Row],[Qty]]*tblSales[[#This Row],[Unit Price]]</f>
        <v>16800000</v>
      </c>
      <c r="L4917" s="5">
        <f>ROUND(tblSales[[#This Row],[DPP (excl. VAT)]]*VATEff,0)</f>
        <v>1848000</v>
      </c>
      <c r="M4917" s="5">
        <f>tblSales[[#This Row],[DPP (excl. VAT)]]+tblSales[[#This Row],[Output VAT]]</f>
        <v>18648000</v>
      </c>
      <c r="N4917" s="5">
        <f>tblSales[[#This Row],[Qty]]*_xlfn.XLOOKUP(tblSales[[#This Row],[Product Code]],tblProducts[Code],tblProducts[Unit Cost],0)</f>
        <v>10080000</v>
      </c>
      <c r="O4917" s="4" t="s">
        <v>4867</v>
      </c>
      <c r="P4917" s="4" t="s">
        <v>4862</v>
      </c>
      <c r="Q4917" s="1" t="str">
        <f>_xlfn.XLOOKUP(tblSales[[#This Row],[Channel Code]],tblChannels[Channel Code],tblChannels[Channel Name],"")</f>
        <v>Website &amp; Social Media</v>
      </c>
      <c r="R4917" s="1">
        <f>MONTH(tblSales[[#This Row],[Date]])</f>
        <v>10</v>
      </c>
    </row>
    <row r="4918" spans="2:18" x14ac:dyDescent="0.35">
      <c r="B4918" s="113">
        <v>46322</v>
      </c>
      <c r="C4918" s="4" t="s">
        <v>3356</v>
      </c>
      <c r="D4918" s="4" t="s">
        <v>4634</v>
      </c>
      <c r="E4918" s="1" t="str">
        <f>_xlfn.XLOOKUP(tblSales[[#This Row],[Customer ID]],tblCustomers[Customer ID],tblCustomers[Customer Name],"⚠ Unknown")</f>
        <v>PT Delta Inti Selaras</v>
      </c>
      <c r="F4918" s="4" t="s">
        <v>15</v>
      </c>
      <c r="G4918" s="1" t="str">
        <f>_xlfn.XLOOKUP(tblSales[[#This Row],[Product Code]],tblProducts[Code],tblProducts[Product / Service Name],"⚠ Unknown")</f>
        <v>Wireless Earbuds Pro</v>
      </c>
      <c r="H4918" s="1" t="str">
        <f>_xlfn.XLOOKUP(tblSales[[#This Row],[Product Code]],tblProducts[Code],tblProducts[Category],"")</f>
        <v>Bags &amp; Gadgets</v>
      </c>
      <c r="I4918" s="4">
        <v>16</v>
      </c>
      <c r="J4918" s="5">
        <f>_xlfn.XLOOKUP(tblSales[[#This Row],[Product Code]],tblProducts[Code],tblProducts[Selling Price (excl. VAT)],0)</f>
        <v>1250000</v>
      </c>
      <c r="K4918" s="5">
        <f>tblSales[[#This Row],[Qty]]*tblSales[[#This Row],[Unit Price]]</f>
        <v>20000000</v>
      </c>
      <c r="L4918" s="5">
        <f>ROUND(tblSales[[#This Row],[DPP (excl. VAT)]]*VATEff,0)</f>
        <v>2200000</v>
      </c>
      <c r="M4918" s="5">
        <f>tblSales[[#This Row],[DPP (excl. VAT)]]+tblSales[[#This Row],[Output VAT]]</f>
        <v>22200000</v>
      </c>
      <c r="N4918" s="5">
        <f>tblSales[[#This Row],[Qty]]*_xlfn.XLOOKUP(tblSales[[#This Row],[Product Code]],tblProducts[Code],tblProducts[Unit Cost],0)</f>
        <v>13120000</v>
      </c>
      <c r="O4918" s="4" t="s">
        <v>4867</v>
      </c>
      <c r="P4918" s="4" t="s">
        <v>4862</v>
      </c>
      <c r="Q4918" s="1" t="str">
        <f>_xlfn.XLOOKUP(tblSales[[#This Row],[Channel Code]],tblChannels[Channel Code],tblChannels[Channel Name],"")</f>
        <v>Website &amp; Social Media</v>
      </c>
      <c r="R4918" s="1">
        <f>MONTH(tblSales[[#This Row],[Date]])</f>
        <v>10</v>
      </c>
    </row>
    <row r="4919" spans="2:18" x14ac:dyDescent="0.35">
      <c r="B4919" s="113">
        <v>46322</v>
      </c>
      <c r="C4919" s="4" t="s">
        <v>3357</v>
      </c>
      <c r="D4919" s="4" t="s">
        <v>4568</v>
      </c>
      <c r="E4919" s="1" t="str">
        <f>_xlfn.XLOOKUP(tblSales[[#This Row],[Customer ID]],tblCustomers[Customer ID],tblCustomers[Customer Name],"⚠ Unknown")</f>
        <v>Walk-in Customer</v>
      </c>
      <c r="F4919" s="4" t="s">
        <v>13</v>
      </c>
      <c r="G4919" s="1" t="str">
        <f>_xlfn.XLOOKUP(tblSales[[#This Row],[Product Code]],tblProducts[Code],tblProducts[Product / Service Name],"⚠ Unknown")</f>
        <v>Backpack</v>
      </c>
      <c r="H4919" s="1" t="str">
        <f>_xlfn.XLOOKUP(tblSales[[#This Row],[Product Code]],tblProducts[Code],tblProducts[Category],"")</f>
        <v>Bags &amp; Gadgets</v>
      </c>
      <c r="I4919" s="4">
        <v>6</v>
      </c>
      <c r="J4919" s="5">
        <f>_xlfn.XLOOKUP(tblSales[[#This Row],[Product Code]],tblProducts[Code],tblProducts[Selling Price (excl. VAT)],0)</f>
        <v>500000</v>
      </c>
      <c r="K4919" s="5">
        <f>tblSales[[#This Row],[Qty]]*tblSales[[#This Row],[Unit Price]]</f>
        <v>3000000</v>
      </c>
      <c r="L4919" s="5">
        <f>ROUND(tblSales[[#This Row],[DPP (excl. VAT)]]*VATEff,0)</f>
        <v>330000</v>
      </c>
      <c r="M4919" s="5">
        <f>tblSales[[#This Row],[DPP (excl. VAT)]]+tblSales[[#This Row],[Output VAT]]</f>
        <v>3330000</v>
      </c>
      <c r="N4919" s="5">
        <f>tblSales[[#This Row],[Qty]]*_xlfn.XLOOKUP(tblSales[[#This Row],[Product Code]],tblProducts[Code],tblProducts[Unit Cost],0)</f>
        <v>1740000</v>
      </c>
      <c r="O4919" s="4" t="s">
        <v>4866</v>
      </c>
      <c r="P4919" s="4" t="s">
        <v>4861</v>
      </c>
      <c r="Q4919" s="1" t="str">
        <f>_xlfn.XLOOKUP(tblSales[[#This Row],[Channel Code]],tblChannels[Channel Code],tblChannels[Channel Name],"")</f>
        <v>Marketplace</v>
      </c>
      <c r="R4919" s="1">
        <f>MONTH(tblSales[[#This Row],[Date]])</f>
        <v>10</v>
      </c>
    </row>
    <row r="4920" spans="2:18" x14ac:dyDescent="0.35">
      <c r="B4920" s="113">
        <v>46322</v>
      </c>
      <c r="C4920" s="4" t="s">
        <v>3358</v>
      </c>
      <c r="D4920" s="4" t="s">
        <v>4568</v>
      </c>
      <c r="E4920" s="1" t="str">
        <f>_xlfn.XLOOKUP(tblSales[[#This Row],[Customer ID]],tblCustomers[Customer ID],tblCustomers[Customer Name],"⚠ Unknown")</f>
        <v>Walk-in Customer</v>
      </c>
      <c r="F4920" s="4" t="s">
        <v>6</v>
      </c>
      <c r="G4920" s="1" t="str">
        <f>_xlfn.XLOOKUP(tblSales[[#This Row],[Product Code]],tblProducts[Code],tblProducts[Product / Service Name],"⚠ Unknown")</f>
        <v>Socks &amp; Accessories</v>
      </c>
      <c r="H4920" s="1" t="str">
        <f>_xlfn.XLOOKUP(tblSales[[#This Row],[Product Code]],tblProducts[Code],tblProducts[Category],"")</f>
        <v>Accessories &amp; Basics</v>
      </c>
      <c r="I4920" s="4">
        <v>11</v>
      </c>
      <c r="J4920" s="5">
        <f>_xlfn.XLOOKUP(tblSales[[#This Row],[Product Code]],tblProducts[Code],tblProducts[Selling Price (excl. VAT)],0)</f>
        <v>45000</v>
      </c>
      <c r="K4920" s="5">
        <f>tblSales[[#This Row],[Qty]]*tblSales[[#This Row],[Unit Price]]</f>
        <v>495000</v>
      </c>
      <c r="L4920" s="5">
        <f>ROUND(tblSales[[#This Row],[DPP (excl. VAT)]]*VATEff,0)</f>
        <v>54450</v>
      </c>
      <c r="M4920" s="5">
        <f>tblSales[[#This Row],[DPP (excl. VAT)]]+tblSales[[#This Row],[Output VAT]]</f>
        <v>549450</v>
      </c>
      <c r="N4920" s="5">
        <f>tblSales[[#This Row],[Qty]]*_xlfn.XLOOKUP(tblSales[[#This Row],[Product Code]],tblProducts[Code],tblProducts[Unit Cost],0)</f>
        <v>264000</v>
      </c>
      <c r="O4920" s="4" t="s">
        <v>4866</v>
      </c>
      <c r="P4920" s="4" t="s">
        <v>4862</v>
      </c>
      <c r="Q4920" s="1" t="str">
        <f>_xlfn.XLOOKUP(tblSales[[#This Row],[Channel Code]],tblChannels[Channel Code],tblChannels[Channel Name],"")</f>
        <v>Website &amp; Social Media</v>
      </c>
      <c r="R4920" s="1">
        <f>MONTH(tblSales[[#This Row],[Date]])</f>
        <v>10</v>
      </c>
    </row>
    <row r="4921" spans="2:18" x14ac:dyDescent="0.35">
      <c r="B4921" s="113">
        <v>46322</v>
      </c>
      <c r="C4921" s="4" t="s">
        <v>3359</v>
      </c>
      <c r="D4921" s="4" t="s">
        <v>4620</v>
      </c>
      <c r="E4921" s="1" t="str">
        <f>_xlfn.XLOOKUP(tblSales[[#This Row],[Customer ID]],tblCustomers[Customer ID],tblCustomers[Customer Name],"⚠ Unknown")</f>
        <v>CV Sumber Rejeki Utama</v>
      </c>
      <c r="F4921" s="4" t="s">
        <v>10</v>
      </c>
      <c r="G4921" s="1" t="str">
        <f>_xlfn.XLOOKUP(tblSales[[#This Row],[Product Code]],tblProducts[Code],tblProducts[Product / Service Name],"⚠ Unknown")</f>
        <v>Chino Pants</v>
      </c>
      <c r="H4921" s="1" t="str">
        <f>_xlfn.XLOOKUP(tblSales[[#This Row],[Product Code]],tblProducts[Code],tblProducts[Category],"")</f>
        <v>Apparel &amp; Footwear</v>
      </c>
      <c r="I4921" s="4">
        <v>64</v>
      </c>
      <c r="J4921" s="5">
        <f>_xlfn.XLOOKUP(tblSales[[#This Row],[Product Code]],tblProducts[Code],tblProducts[Selling Price (excl. VAT)],0)</f>
        <v>150000</v>
      </c>
      <c r="K4921" s="5">
        <f>tblSales[[#This Row],[Qty]]*tblSales[[#This Row],[Unit Price]]</f>
        <v>9600000</v>
      </c>
      <c r="L4921" s="5">
        <f>ROUND(tblSales[[#This Row],[DPP (excl. VAT)]]*VATEff,0)</f>
        <v>1056000</v>
      </c>
      <c r="M4921" s="5">
        <f>tblSales[[#This Row],[DPP (excl. VAT)]]+tblSales[[#This Row],[Output VAT]]</f>
        <v>10656000</v>
      </c>
      <c r="N4921" s="5">
        <f>tblSales[[#This Row],[Qty]]*_xlfn.XLOOKUP(tblSales[[#This Row],[Product Code]],tblProducts[Code],tblProducts[Unit Cost],0)</f>
        <v>5632000</v>
      </c>
      <c r="O4921" s="4" t="s">
        <v>4867</v>
      </c>
      <c r="P4921" s="4" t="s">
        <v>4860</v>
      </c>
      <c r="Q4921" s="1" t="str">
        <f>_xlfn.XLOOKUP(tblSales[[#This Row],[Channel Code]],tblChannels[Channel Code],tblChannels[Channel Name],"")</f>
        <v>In-store</v>
      </c>
      <c r="R4921" s="1">
        <f>MONTH(tblSales[[#This Row],[Date]])</f>
        <v>10</v>
      </c>
    </row>
    <row r="4922" spans="2:18" x14ac:dyDescent="0.35">
      <c r="B4922" s="113">
        <v>46322</v>
      </c>
      <c r="C4922" s="4" t="s">
        <v>3360</v>
      </c>
      <c r="D4922" s="4" t="s">
        <v>4568</v>
      </c>
      <c r="E4922" s="1" t="str">
        <f>_xlfn.XLOOKUP(tblSales[[#This Row],[Customer ID]],tblCustomers[Customer ID],tblCustomers[Customer Name],"⚠ Unknown")</f>
        <v>Walk-in Customer</v>
      </c>
      <c r="F4922" s="4" t="s">
        <v>13</v>
      </c>
      <c r="G4922" s="1" t="str">
        <f>_xlfn.XLOOKUP(tblSales[[#This Row],[Product Code]],tblProducts[Code],tblProducts[Product / Service Name],"⚠ Unknown")</f>
        <v>Backpack</v>
      </c>
      <c r="H4922" s="1" t="str">
        <f>_xlfn.XLOOKUP(tblSales[[#This Row],[Product Code]],tblProducts[Code],tblProducts[Category],"")</f>
        <v>Bags &amp; Gadgets</v>
      </c>
      <c r="I4922" s="4">
        <v>5</v>
      </c>
      <c r="J4922" s="5">
        <f>_xlfn.XLOOKUP(tblSales[[#This Row],[Product Code]],tblProducts[Code],tblProducts[Selling Price (excl. VAT)],0)</f>
        <v>500000</v>
      </c>
      <c r="K4922" s="5">
        <f>tblSales[[#This Row],[Qty]]*tblSales[[#This Row],[Unit Price]]</f>
        <v>2500000</v>
      </c>
      <c r="L4922" s="5">
        <f>ROUND(tblSales[[#This Row],[DPP (excl. VAT)]]*VATEff,0)</f>
        <v>275000</v>
      </c>
      <c r="M4922" s="5">
        <f>tblSales[[#This Row],[DPP (excl. VAT)]]+tblSales[[#This Row],[Output VAT]]</f>
        <v>2775000</v>
      </c>
      <c r="N4922" s="5">
        <f>tblSales[[#This Row],[Qty]]*_xlfn.XLOOKUP(tblSales[[#This Row],[Product Code]],tblProducts[Code],tblProducts[Unit Cost],0)</f>
        <v>1450000</v>
      </c>
      <c r="O4922" s="4" t="s">
        <v>4866</v>
      </c>
      <c r="P4922" s="4" t="s">
        <v>4860</v>
      </c>
      <c r="Q4922" s="1" t="str">
        <f>_xlfn.XLOOKUP(tblSales[[#This Row],[Channel Code]],tblChannels[Channel Code],tblChannels[Channel Name],"")</f>
        <v>In-store</v>
      </c>
      <c r="R4922" s="1">
        <f>MONTH(tblSales[[#This Row],[Date]])</f>
        <v>10</v>
      </c>
    </row>
    <row r="4923" spans="2:18" x14ac:dyDescent="0.35">
      <c r="B4923" s="113">
        <v>46322</v>
      </c>
      <c r="C4923" s="4" t="s">
        <v>3361</v>
      </c>
      <c r="D4923" s="4" t="s">
        <v>4613</v>
      </c>
      <c r="E4923" s="1" t="str">
        <f>_xlfn.XLOOKUP(tblSales[[#This Row],[Customer ID]],tblCustomers[Customer ID],tblCustomers[Customer Name],"⚠ Unknown")</f>
        <v>PT Mega Prima Distribusi</v>
      </c>
      <c r="F4923" s="4" t="s">
        <v>7</v>
      </c>
      <c r="G4923" s="1" t="str">
        <f>_xlfn.XLOOKUP(tblSales[[#This Row],[Product Code]],tblProducts[Code],tblProducts[Product / Service Name],"⚠ Unknown")</f>
        <v>Premium Basic T-shirt</v>
      </c>
      <c r="H4923" s="1" t="str">
        <f>_xlfn.XLOOKUP(tblSales[[#This Row],[Product Code]],tblProducts[Code],tblProducts[Category],"")</f>
        <v>Accessories &amp; Basics</v>
      </c>
      <c r="I4923" s="4">
        <v>80</v>
      </c>
      <c r="J4923" s="5">
        <f>_xlfn.XLOOKUP(tblSales[[#This Row],[Product Code]],tblProducts[Code],tblProducts[Selling Price (excl. VAT)],0)</f>
        <v>65000</v>
      </c>
      <c r="K4923" s="5">
        <f>tblSales[[#This Row],[Qty]]*tblSales[[#This Row],[Unit Price]]</f>
        <v>5200000</v>
      </c>
      <c r="L4923" s="5">
        <f>ROUND(tblSales[[#This Row],[DPP (excl. VAT)]]*VATEff,0)</f>
        <v>572000</v>
      </c>
      <c r="M4923" s="5">
        <f>tblSales[[#This Row],[DPP (excl. VAT)]]+tblSales[[#This Row],[Output VAT]]</f>
        <v>5772000</v>
      </c>
      <c r="N4923" s="5">
        <f>tblSales[[#This Row],[Qty]]*_xlfn.XLOOKUP(tblSales[[#This Row],[Product Code]],tblProducts[Code],tblProducts[Unit Cost],0)</f>
        <v>2960000</v>
      </c>
      <c r="O4923" s="4" t="s">
        <v>4867</v>
      </c>
      <c r="P4923" s="4" t="s">
        <v>4860</v>
      </c>
      <c r="Q4923" s="1" t="str">
        <f>_xlfn.XLOOKUP(tblSales[[#This Row],[Channel Code]],tblChannels[Channel Code],tblChannels[Channel Name],"")</f>
        <v>In-store</v>
      </c>
      <c r="R4923" s="1">
        <f>MONTH(tblSales[[#This Row],[Date]])</f>
        <v>10</v>
      </c>
    </row>
    <row r="4924" spans="2:18" x14ac:dyDescent="0.35">
      <c r="B4924" s="113">
        <v>46322</v>
      </c>
      <c r="C4924" s="4" t="s">
        <v>3362</v>
      </c>
      <c r="D4924" s="4" t="s">
        <v>4641</v>
      </c>
      <c r="E4924" s="1" t="str">
        <f>_xlfn.XLOOKUP(tblSales[[#This Row],[Customer ID]],tblCustomers[Customer ID],tblCustomers[Customer Name],"⚠ Unknown")</f>
        <v>PT Harmoni Pangan Lestari</v>
      </c>
      <c r="F4924" s="4" t="s">
        <v>6</v>
      </c>
      <c r="G4924" s="1" t="str">
        <f>_xlfn.XLOOKUP(tblSales[[#This Row],[Product Code]],tblProducts[Code],tblProducts[Product / Service Name],"⚠ Unknown")</f>
        <v>Socks &amp; Accessories</v>
      </c>
      <c r="H4924" s="1" t="str">
        <f>_xlfn.XLOOKUP(tblSales[[#This Row],[Product Code]],tblProducts[Code],tblProducts[Category],"")</f>
        <v>Accessories &amp; Basics</v>
      </c>
      <c r="I4924" s="4">
        <v>8</v>
      </c>
      <c r="J4924" s="5">
        <f>_xlfn.XLOOKUP(tblSales[[#This Row],[Product Code]],tblProducts[Code],tblProducts[Selling Price (excl. VAT)],0)</f>
        <v>45000</v>
      </c>
      <c r="K4924" s="5">
        <f>tblSales[[#This Row],[Qty]]*tblSales[[#This Row],[Unit Price]]</f>
        <v>360000</v>
      </c>
      <c r="L4924" s="5">
        <f>ROUND(tblSales[[#This Row],[DPP (excl. VAT)]]*VATEff,0)</f>
        <v>39600</v>
      </c>
      <c r="M4924" s="5">
        <f>tblSales[[#This Row],[DPP (excl. VAT)]]+tblSales[[#This Row],[Output VAT]]</f>
        <v>399600</v>
      </c>
      <c r="N4924" s="5">
        <f>tblSales[[#This Row],[Qty]]*_xlfn.XLOOKUP(tblSales[[#This Row],[Product Code]],tblProducts[Code],tblProducts[Unit Cost],0)</f>
        <v>192000</v>
      </c>
      <c r="O4924" s="4" t="s">
        <v>4867</v>
      </c>
      <c r="P4924" s="4" t="s">
        <v>4860</v>
      </c>
      <c r="Q4924" s="1" t="str">
        <f>_xlfn.XLOOKUP(tblSales[[#This Row],[Channel Code]],tblChannels[Channel Code],tblChannels[Channel Name],"")</f>
        <v>In-store</v>
      </c>
      <c r="R4924" s="1">
        <f>MONTH(tblSales[[#This Row],[Date]])</f>
        <v>10</v>
      </c>
    </row>
    <row r="4925" spans="2:18" x14ac:dyDescent="0.35">
      <c r="B4925" s="113">
        <v>46322</v>
      </c>
      <c r="C4925" s="4" t="s">
        <v>3363</v>
      </c>
      <c r="D4925" s="4" t="s">
        <v>4568</v>
      </c>
      <c r="E4925" s="1" t="str">
        <f>_xlfn.XLOOKUP(tblSales[[#This Row],[Customer ID]],tblCustomers[Customer ID],tblCustomers[Customer Name],"⚠ Unknown")</f>
        <v>Walk-in Customer</v>
      </c>
      <c r="F4925" s="4" t="s">
        <v>8</v>
      </c>
      <c r="G4925" s="1" t="str">
        <f>_xlfn.XLOOKUP(tblSales[[#This Row],[Product Code]],tblProducts[Code],tblProducts[Product / Service Name],"⚠ Unknown")</f>
        <v>Casual Shorts</v>
      </c>
      <c r="H4925" s="1" t="str">
        <f>_xlfn.XLOOKUP(tblSales[[#This Row],[Product Code]],tblProducts[Code],tblProducts[Category],"")</f>
        <v>Accessories &amp; Basics</v>
      </c>
      <c r="I4925" s="4">
        <v>9</v>
      </c>
      <c r="J4925" s="5">
        <f>_xlfn.XLOOKUP(tblSales[[#This Row],[Product Code]],tblProducts[Code],tblProducts[Selling Price (excl. VAT)],0)</f>
        <v>85000</v>
      </c>
      <c r="K4925" s="5">
        <f>tblSales[[#This Row],[Qty]]*tblSales[[#This Row],[Unit Price]]</f>
        <v>765000</v>
      </c>
      <c r="L4925" s="5">
        <f>ROUND(tblSales[[#This Row],[DPP (excl. VAT)]]*VATEff,0)</f>
        <v>84150</v>
      </c>
      <c r="M4925" s="5">
        <f>tblSales[[#This Row],[DPP (excl. VAT)]]+tblSales[[#This Row],[Output VAT]]</f>
        <v>849150</v>
      </c>
      <c r="N4925" s="5">
        <f>tblSales[[#This Row],[Qty]]*_xlfn.XLOOKUP(tblSales[[#This Row],[Product Code]],tblProducts[Code],tblProducts[Unit Cost],0)</f>
        <v>450000</v>
      </c>
      <c r="O4925" s="4" t="s">
        <v>4866</v>
      </c>
      <c r="P4925" s="4" t="s">
        <v>4861</v>
      </c>
      <c r="Q4925" s="1" t="str">
        <f>_xlfn.XLOOKUP(tblSales[[#This Row],[Channel Code]],tblChannels[Channel Code],tblChannels[Channel Name],"")</f>
        <v>Marketplace</v>
      </c>
      <c r="R4925" s="1">
        <f>MONTH(tblSales[[#This Row],[Date]])</f>
        <v>10</v>
      </c>
    </row>
    <row r="4926" spans="2:18" x14ac:dyDescent="0.35">
      <c r="B4926" s="113">
        <v>46322</v>
      </c>
      <c r="C4926" s="4" t="s">
        <v>3363</v>
      </c>
      <c r="D4926" s="4" t="s">
        <v>4568</v>
      </c>
      <c r="E4926" s="1" t="str">
        <f>_xlfn.XLOOKUP(tblSales[[#This Row],[Customer ID]],tblCustomers[Customer ID],tblCustomers[Customer Name],"⚠ Unknown")</f>
        <v>Walk-in Customer</v>
      </c>
      <c r="F4926" s="4" t="s">
        <v>7</v>
      </c>
      <c r="G4926" s="1" t="str">
        <f>_xlfn.XLOOKUP(tblSales[[#This Row],[Product Code]],tblProducts[Code],tblProducts[Product / Service Name],"⚠ Unknown")</f>
        <v>Premium Basic T-shirt</v>
      </c>
      <c r="H4926" s="1" t="str">
        <f>_xlfn.XLOOKUP(tblSales[[#This Row],[Product Code]],tblProducts[Code],tblProducts[Category],"")</f>
        <v>Accessories &amp; Basics</v>
      </c>
      <c r="I4926" s="4">
        <v>1</v>
      </c>
      <c r="J4926" s="5">
        <f>_xlfn.XLOOKUP(tblSales[[#This Row],[Product Code]],tblProducts[Code],tblProducts[Selling Price (excl. VAT)],0)</f>
        <v>65000</v>
      </c>
      <c r="K4926" s="5">
        <f>tblSales[[#This Row],[Qty]]*tblSales[[#This Row],[Unit Price]]</f>
        <v>65000</v>
      </c>
      <c r="L4926" s="5">
        <f>ROUND(tblSales[[#This Row],[DPP (excl. VAT)]]*VATEff,0)</f>
        <v>7150</v>
      </c>
      <c r="M4926" s="5">
        <f>tblSales[[#This Row],[DPP (excl. VAT)]]+tblSales[[#This Row],[Output VAT]]</f>
        <v>72150</v>
      </c>
      <c r="N4926" s="5">
        <f>tblSales[[#This Row],[Qty]]*_xlfn.XLOOKUP(tblSales[[#This Row],[Product Code]],tblProducts[Code],tblProducts[Unit Cost],0)</f>
        <v>37000</v>
      </c>
      <c r="O4926" s="4" t="s">
        <v>4866</v>
      </c>
      <c r="P4926" s="4" t="s">
        <v>4861</v>
      </c>
      <c r="Q4926" s="1" t="str">
        <f>_xlfn.XLOOKUP(tblSales[[#This Row],[Channel Code]],tblChannels[Channel Code],tblChannels[Channel Name],"")</f>
        <v>Marketplace</v>
      </c>
      <c r="R4926" s="1">
        <f>MONTH(tblSales[[#This Row],[Date]])</f>
        <v>10</v>
      </c>
    </row>
    <row r="4927" spans="2:18" x14ac:dyDescent="0.35">
      <c r="B4927" s="113">
        <v>46322</v>
      </c>
      <c r="C4927" s="4" t="s">
        <v>3364</v>
      </c>
      <c r="D4927" s="4" t="s">
        <v>4568</v>
      </c>
      <c r="E4927" s="1" t="str">
        <f>_xlfn.XLOOKUP(tblSales[[#This Row],[Customer ID]],tblCustomers[Customer ID],tblCustomers[Customer Name],"⚠ Unknown")</f>
        <v>Walk-in Customer</v>
      </c>
      <c r="F4927" s="4" t="s">
        <v>6</v>
      </c>
      <c r="G4927" s="1" t="str">
        <f>_xlfn.XLOOKUP(tblSales[[#This Row],[Product Code]],tblProducts[Code],tblProducts[Product / Service Name],"⚠ Unknown")</f>
        <v>Socks &amp; Accessories</v>
      </c>
      <c r="H4927" s="1" t="str">
        <f>_xlfn.XLOOKUP(tblSales[[#This Row],[Product Code]],tblProducts[Code],tblProducts[Category],"")</f>
        <v>Accessories &amp; Basics</v>
      </c>
      <c r="I4927" s="4">
        <v>5</v>
      </c>
      <c r="J4927" s="5">
        <f>_xlfn.XLOOKUP(tblSales[[#This Row],[Product Code]],tblProducts[Code],tblProducts[Selling Price (excl. VAT)],0)</f>
        <v>45000</v>
      </c>
      <c r="K4927" s="5">
        <f>tblSales[[#This Row],[Qty]]*tblSales[[#This Row],[Unit Price]]</f>
        <v>225000</v>
      </c>
      <c r="L4927" s="5">
        <f>ROUND(tblSales[[#This Row],[DPP (excl. VAT)]]*VATEff,0)</f>
        <v>24750</v>
      </c>
      <c r="M4927" s="5">
        <f>tblSales[[#This Row],[DPP (excl. VAT)]]+tblSales[[#This Row],[Output VAT]]</f>
        <v>249750</v>
      </c>
      <c r="N4927" s="5">
        <f>tblSales[[#This Row],[Qty]]*_xlfn.XLOOKUP(tblSales[[#This Row],[Product Code]],tblProducts[Code],tblProducts[Unit Cost],0)</f>
        <v>120000</v>
      </c>
      <c r="O4927" s="4" t="s">
        <v>4866</v>
      </c>
      <c r="P4927" s="4" t="s">
        <v>4860</v>
      </c>
      <c r="Q4927" s="1" t="str">
        <f>_xlfn.XLOOKUP(tblSales[[#This Row],[Channel Code]],tblChannels[Channel Code],tblChannels[Channel Name],"")</f>
        <v>In-store</v>
      </c>
      <c r="R4927" s="1">
        <f>MONTH(tblSales[[#This Row],[Date]])</f>
        <v>10</v>
      </c>
    </row>
    <row r="4928" spans="2:18" x14ac:dyDescent="0.35">
      <c r="B4928" s="113">
        <v>46322</v>
      </c>
      <c r="C4928" s="4" t="s">
        <v>3365</v>
      </c>
      <c r="D4928" s="4" t="s">
        <v>4634</v>
      </c>
      <c r="E4928" s="1" t="str">
        <f>_xlfn.XLOOKUP(tblSales[[#This Row],[Customer ID]],tblCustomers[Customer ID],tblCustomers[Customer Name],"⚠ Unknown")</f>
        <v>PT Delta Inti Selaras</v>
      </c>
      <c r="F4928" s="4" t="s">
        <v>9</v>
      </c>
      <c r="G4928" s="1" t="str">
        <f>_xlfn.XLOOKUP(tblSales[[#This Row],[Product Code]],tblProducts[Code],tblProducts[Product / Service Name],"⚠ Unknown")</f>
        <v>Casual Shirt</v>
      </c>
      <c r="H4928" s="1" t="str">
        <f>_xlfn.XLOOKUP(tblSales[[#This Row],[Product Code]],tblProducts[Code],tblProducts[Category],"")</f>
        <v>Apparel &amp; Footwear</v>
      </c>
      <c r="I4928" s="4">
        <v>32</v>
      </c>
      <c r="J4928" s="5">
        <f>_xlfn.XLOOKUP(tblSales[[#This Row],[Product Code]],tblProducts[Code],tblProducts[Selling Price (excl. VAT)],0)</f>
        <v>120000</v>
      </c>
      <c r="K4928" s="5">
        <f>tblSales[[#This Row],[Qty]]*tblSales[[#This Row],[Unit Price]]</f>
        <v>3840000</v>
      </c>
      <c r="L4928" s="5">
        <f>ROUND(tblSales[[#This Row],[DPP (excl. VAT)]]*VATEff,0)</f>
        <v>422400</v>
      </c>
      <c r="M4928" s="5">
        <f>tblSales[[#This Row],[DPP (excl. VAT)]]+tblSales[[#This Row],[Output VAT]]</f>
        <v>4262400</v>
      </c>
      <c r="N4928" s="5">
        <f>tblSales[[#This Row],[Qty]]*_xlfn.XLOOKUP(tblSales[[#This Row],[Product Code]],tblProducts[Code],tblProducts[Unit Cost],0)</f>
        <v>2304000</v>
      </c>
      <c r="O4928" s="4" t="s">
        <v>4867</v>
      </c>
      <c r="P4928" s="4" t="s">
        <v>4860</v>
      </c>
      <c r="Q4928" s="1" t="str">
        <f>_xlfn.XLOOKUP(tblSales[[#This Row],[Channel Code]],tblChannels[Channel Code],tblChannels[Channel Name],"")</f>
        <v>In-store</v>
      </c>
      <c r="R4928" s="1">
        <f>MONTH(tblSales[[#This Row],[Date]])</f>
        <v>10</v>
      </c>
    </row>
    <row r="4929" spans="2:18" x14ac:dyDescent="0.35">
      <c r="B4929" s="113">
        <v>46323</v>
      </c>
      <c r="C4929" s="4" t="s">
        <v>3366</v>
      </c>
      <c r="D4929" s="4" t="s">
        <v>4568</v>
      </c>
      <c r="E4929" s="1" t="str">
        <f>_xlfn.XLOOKUP(tblSales[[#This Row],[Customer ID]],tblCustomers[Customer ID],tblCustomers[Customer Name],"⚠ Unknown")</f>
        <v>Walk-in Customer</v>
      </c>
      <c r="F4929" s="4" t="s">
        <v>14</v>
      </c>
      <c r="G4929" s="1" t="str">
        <f>_xlfn.XLOOKUP(tblSales[[#This Row],[Product Code]],tblProducts[Code],tblProducts[Product / Service Name],"⚠ Unknown")</f>
        <v>Smartwatch</v>
      </c>
      <c r="H4929" s="1" t="str">
        <f>_xlfn.XLOOKUP(tblSales[[#This Row],[Product Code]],tblProducts[Code],tblProducts[Category],"")</f>
        <v>Bags &amp; Gadgets</v>
      </c>
      <c r="I4929" s="4">
        <v>2</v>
      </c>
      <c r="J4929" s="5">
        <f>_xlfn.XLOOKUP(tblSales[[#This Row],[Product Code]],tblProducts[Code],tblProducts[Selling Price (excl. VAT)],0)</f>
        <v>850000</v>
      </c>
      <c r="K4929" s="5">
        <f>tblSales[[#This Row],[Qty]]*tblSales[[#This Row],[Unit Price]]</f>
        <v>1700000</v>
      </c>
      <c r="L4929" s="5">
        <f>ROUND(tblSales[[#This Row],[DPP (excl. VAT)]]*VATEff,0)</f>
        <v>187000</v>
      </c>
      <c r="M4929" s="5">
        <f>tblSales[[#This Row],[DPP (excl. VAT)]]+tblSales[[#This Row],[Output VAT]]</f>
        <v>1887000</v>
      </c>
      <c r="N4929" s="5">
        <f>tblSales[[#This Row],[Qty]]*_xlfn.XLOOKUP(tblSales[[#This Row],[Product Code]],tblProducts[Code],tblProducts[Unit Cost],0)</f>
        <v>1120000</v>
      </c>
      <c r="O4929" s="4" t="s">
        <v>4866</v>
      </c>
      <c r="P4929" s="4" t="s">
        <v>4861</v>
      </c>
      <c r="Q4929" s="1" t="str">
        <f>_xlfn.XLOOKUP(tblSales[[#This Row],[Channel Code]],tblChannels[Channel Code],tblChannels[Channel Name],"")</f>
        <v>Marketplace</v>
      </c>
      <c r="R4929" s="1">
        <f>MONTH(tblSales[[#This Row],[Date]])</f>
        <v>10</v>
      </c>
    </row>
    <row r="4930" spans="2:18" x14ac:dyDescent="0.35">
      <c r="B4930" s="113">
        <v>46323</v>
      </c>
      <c r="C4930" s="4" t="s">
        <v>3367</v>
      </c>
      <c r="D4930" s="4" t="s">
        <v>4599</v>
      </c>
      <c r="E4930" s="1" t="str">
        <f>_xlfn.XLOOKUP(tblSales[[#This Row],[Customer ID]],tblCustomers[Customer ID],tblCustomers[Customer Name],"⚠ Unknown")</f>
        <v>PT Samudra Jaya Logistik</v>
      </c>
      <c r="F4930" s="4" t="s">
        <v>12</v>
      </c>
      <c r="G4930" s="1" t="str">
        <f>_xlfn.XLOOKUP(tblSales[[#This Row],[Product Code]],tblProducts[Code],tblProducts[Product / Service Name],"⚠ Unknown")</f>
        <v>Bomber Jacket</v>
      </c>
      <c r="H4930" s="1" t="str">
        <f>_xlfn.XLOOKUP(tblSales[[#This Row],[Product Code]],tblProducts[Code],tblProducts[Category],"")</f>
        <v>Apparel &amp; Footwear</v>
      </c>
      <c r="I4930" s="4">
        <v>32</v>
      </c>
      <c r="J4930" s="5">
        <f>_xlfn.XLOOKUP(tblSales[[#This Row],[Product Code]],tblProducts[Code],tblProducts[Selling Price (excl. VAT)],0)</f>
        <v>350000</v>
      </c>
      <c r="K4930" s="5">
        <f>tblSales[[#This Row],[Qty]]*tblSales[[#This Row],[Unit Price]]</f>
        <v>11200000</v>
      </c>
      <c r="L4930" s="5">
        <f>ROUND(tblSales[[#This Row],[DPP (excl. VAT)]]*VATEff,0)</f>
        <v>1232000</v>
      </c>
      <c r="M4930" s="5">
        <f>tblSales[[#This Row],[DPP (excl. VAT)]]+tblSales[[#This Row],[Output VAT]]</f>
        <v>12432000</v>
      </c>
      <c r="N4930" s="5">
        <f>tblSales[[#This Row],[Qty]]*_xlfn.XLOOKUP(tblSales[[#This Row],[Product Code]],tblProducts[Code],tblProducts[Unit Cost],0)</f>
        <v>6720000</v>
      </c>
      <c r="O4930" s="4" t="s">
        <v>4867</v>
      </c>
      <c r="P4930" s="4" t="s">
        <v>4860</v>
      </c>
      <c r="Q4930" s="1" t="str">
        <f>_xlfn.XLOOKUP(tblSales[[#This Row],[Channel Code]],tblChannels[Channel Code],tblChannels[Channel Name],"")</f>
        <v>In-store</v>
      </c>
      <c r="R4930" s="1">
        <f>MONTH(tblSales[[#This Row],[Date]])</f>
        <v>10</v>
      </c>
    </row>
    <row r="4931" spans="2:18" x14ac:dyDescent="0.35">
      <c r="B4931" s="113">
        <v>46323</v>
      </c>
      <c r="C4931" s="4" t="s">
        <v>3368</v>
      </c>
      <c r="D4931" s="4" t="s">
        <v>4568</v>
      </c>
      <c r="E4931" s="1" t="str">
        <f>_xlfn.XLOOKUP(tblSales[[#This Row],[Customer ID]],tblCustomers[Customer ID],tblCustomers[Customer Name],"⚠ Unknown")</f>
        <v>Walk-in Customer</v>
      </c>
      <c r="F4931" s="4" t="s">
        <v>9</v>
      </c>
      <c r="G4931" s="1" t="str">
        <f>_xlfn.XLOOKUP(tblSales[[#This Row],[Product Code]],tblProducts[Code],tblProducts[Product / Service Name],"⚠ Unknown")</f>
        <v>Casual Shirt</v>
      </c>
      <c r="H4931" s="1" t="str">
        <f>_xlfn.XLOOKUP(tblSales[[#This Row],[Product Code]],tblProducts[Code],tblProducts[Category],"")</f>
        <v>Apparel &amp; Footwear</v>
      </c>
      <c r="I4931" s="4">
        <v>11</v>
      </c>
      <c r="J4931" s="5">
        <f>_xlfn.XLOOKUP(tblSales[[#This Row],[Product Code]],tblProducts[Code],tblProducts[Selling Price (excl. VAT)],0)</f>
        <v>120000</v>
      </c>
      <c r="K4931" s="5">
        <f>tblSales[[#This Row],[Qty]]*tblSales[[#This Row],[Unit Price]]</f>
        <v>1320000</v>
      </c>
      <c r="L4931" s="5">
        <f>ROUND(tblSales[[#This Row],[DPP (excl. VAT)]]*VATEff,0)</f>
        <v>145200</v>
      </c>
      <c r="M4931" s="5">
        <f>tblSales[[#This Row],[DPP (excl. VAT)]]+tblSales[[#This Row],[Output VAT]]</f>
        <v>1465200</v>
      </c>
      <c r="N4931" s="5">
        <f>tblSales[[#This Row],[Qty]]*_xlfn.XLOOKUP(tblSales[[#This Row],[Product Code]],tblProducts[Code],tblProducts[Unit Cost],0)</f>
        <v>792000</v>
      </c>
      <c r="O4931" s="4" t="s">
        <v>4865</v>
      </c>
      <c r="P4931" s="4" t="s">
        <v>4860</v>
      </c>
      <c r="Q4931" s="1" t="str">
        <f>_xlfn.XLOOKUP(tblSales[[#This Row],[Channel Code]],tblChannels[Channel Code],tblChannels[Channel Name],"")</f>
        <v>In-store</v>
      </c>
      <c r="R4931" s="1">
        <f>MONTH(tblSales[[#This Row],[Date]])</f>
        <v>10</v>
      </c>
    </row>
    <row r="4932" spans="2:18" x14ac:dyDescent="0.35">
      <c r="B4932" s="113">
        <v>46323</v>
      </c>
      <c r="C4932" s="4" t="s">
        <v>3368</v>
      </c>
      <c r="D4932" s="4" t="s">
        <v>4568</v>
      </c>
      <c r="E4932" s="1" t="str">
        <f>_xlfn.XLOOKUP(tblSales[[#This Row],[Customer ID]],tblCustomers[Customer ID],tblCustomers[Customer Name],"⚠ Unknown")</f>
        <v>Walk-in Customer</v>
      </c>
      <c r="F4932" s="4" t="s">
        <v>11</v>
      </c>
      <c r="G4932" s="1" t="str">
        <f>_xlfn.XLOOKUP(tblSales[[#This Row],[Product Code]],tblProducts[Code],tblProducts[Product / Service Name],"⚠ Unknown")</f>
        <v>Sneakers</v>
      </c>
      <c r="H4932" s="1" t="str">
        <f>_xlfn.XLOOKUP(tblSales[[#This Row],[Product Code]],tblProducts[Code],tblProducts[Category],"")</f>
        <v>Apparel &amp; Footwear</v>
      </c>
      <c r="I4932" s="4">
        <v>4</v>
      </c>
      <c r="J4932" s="5">
        <f>_xlfn.XLOOKUP(tblSales[[#This Row],[Product Code]],tblProducts[Code],tblProducts[Selling Price (excl. VAT)],0)</f>
        <v>250000</v>
      </c>
      <c r="K4932" s="5">
        <f>tblSales[[#This Row],[Qty]]*tblSales[[#This Row],[Unit Price]]</f>
        <v>1000000</v>
      </c>
      <c r="L4932" s="5">
        <f>ROUND(tblSales[[#This Row],[DPP (excl. VAT)]]*VATEff,0)</f>
        <v>110000</v>
      </c>
      <c r="M4932" s="5">
        <f>tblSales[[#This Row],[DPP (excl. VAT)]]+tblSales[[#This Row],[Output VAT]]</f>
        <v>1110000</v>
      </c>
      <c r="N4932" s="5">
        <f>tblSales[[#This Row],[Qty]]*_xlfn.XLOOKUP(tblSales[[#This Row],[Product Code]],tblProducts[Code],tblProducts[Unit Cost],0)</f>
        <v>620000</v>
      </c>
      <c r="O4932" s="4" t="s">
        <v>4865</v>
      </c>
      <c r="P4932" s="4" t="s">
        <v>4860</v>
      </c>
      <c r="Q4932" s="1" t="str">
        <f>_xlfn.XLOOKUP(tblSales[[#This Row],[Channel Code]],tblChannels[Channel Code],tblChannels[Channel Name],"")</f>
        <v>In-store</v>
      </c>
      <c r="R4932" s="1">
        <f>MONTH(tblSales[[#This Row],[Date]])</f>
        <v>10</v>
      </c>
    </row>
    <row r="4933" spans="2:18" x14ac:dyDescent="0.35">
      <c r="B4933" s="113">
        <v>46323</v>
      </c>
      <c r="C4933" s="4" t="s">
        <v>3369</v>
      </c>
      <c r="D4933" s="4" t="s">
        <v>4568</v>
      </c>
      <c r="E4933" s="1" t="str">
        <f>_xlfn.XLOOKUP(tblSales[[#This Row],[Customer ID]],tblCustomers[Customer ID],tblCustomers[Customer Name],"⚠ Unknown")</f>
        <v>Walk-in Customer</v>
      </c>
      <c r="F4933" s="4" t="s">
        <v>15</v>
      </c>
      <c r="G4933" s="1" t="str">
        <f>_xlfn.XLOOKUP(tblSales[[#This Row],[Product Code]],tblProducts[Code],tblProducts[Product / Service Name],"⚠ Unknown")</f>
        <v>Wireless Earbuds Pro</v>
      </c>
      <c r="H4933" s="1" t="str">
        <f>_xlfn.XLOOKUP(tblSales[[#This Row],[Product Code]],tblProducts[Code],tblProducts[Category],"")</f>
        <v>Bags &amp; Gadgets</v>
      </c>
      <c r="I4933" s="4">
        <v>2</v>
      </c>
      <c r="J4933" s="5">
        <f>_xlfn.XLOOKUP(tblSales[[#This Row],[Product Code]],tblProducts[Code],tblProducts[Selling Price (excl. VAT)],0)</f>
        <v>1250000</v>
      </c>
      <c r="K4933" s="5">
        <f>tblSales[[#This Row],[Qty]]*tblSales[[#This Row],[Unit Price]]</f>
        <v>2500000</v>
      </c>
      <c r="L4933" s="5">
        <f>ROUND(tblSales[[#This Row],[DPP (excl. VAT)]]*VATEff,0)</f>
        <v>275000</v>
      </c>
      <c r="M4933" s="5">
        <f>tblSales[[#This Row],[DPP (excl. VAT)]]+tblSales[[#This Row],[Output VAT]]</f>
        <v>2775000</v>
      </c>
      <c r="N4933" s="5">
        <f>tblSales[[#This Row],[Qty]]*_xlfn.XLOOKUP(tblSales[[#This Row],[Product Code]],tblProducts[Code],tblProducts[Unit Cost],0)</f>
        <v>1640000</v>
      </c>
      <c r="O4933" s="4" t="s">
        <v>4865</v>
      </c>
      <c r="P4933" s="4" t="s">
        <v>4860</v>
      </c>
      <c r="Q4933" s="1" t="str">
        <f>_xlfn.XLOOKUP(tblSales[[#This Row],[Channel Code]],tblChannels[Channel Code],tblChannels[Channel Name],"")</f>
        <v>In-store</v>
      </c>
      <c r="R4933" s="1">
        <f>MONTH(tblSales[[#This Row],[Date]])</f>
        <v>10</v>
      </c>
    </row>
    <row r="4934" spans="2:18" x14ac:dyDescent="0.35">
      <c r="B4934" s="113">
        <v>46323</v>
      </c>
      <c r="C4934" s="4" t="s">
        <v>3370</v>
      </c>
      <c r="D4934" s="4" t="s">
        <v>4572</v>
      </c>
      <c r="E4934" s="1" t="str">
        <f>_xlfn.XLOOKUP(tblSales[[#This Row],[Customer ID]],tblCustomers[Customer ID],tblCustomers[Customer Name],"⚠ Unknown")</f>
        <v>PT Cahaya Abadi Makmur</v>
      </c>
      <c r="F4934" s="4" t="s">
        <v>10</v>
      </c>
      <c r="G4934" s="1" t="str">
        <f>_xlfn.XLOOKUP(tblSales[[#This Row],[Product Code]],tblProducts[Code],tblProducts[Product / Service Name],"⚠ Unknown")</f>
        <v>Chino Pants</v>
      </c>
      <c r="H4934" s="1" t="str">
        <f>_xlfn.XLOOKUP(tblSales[[#This Row],[Product Code]],tblProducts[Code],tblProducts[Category],"")</f>
        <v>Apparel &amp; Footwear</v>
      </c>
      <c r="I4934" s="4">
        <v>96</v>
      </c>
      <c r="J4934" s="5">
        <f>_xlfn.XLOOKUP(tblSales[[#This Row],[Product Code]],tblProducts[Code],tblProducts[Selling Price (excl. VAT)],0)</f>
        <v>150000</v>
      </c>
      <c r="K4934" s="5">
        <f>tblSales[[#This Row],[Qty]]*tblSales[[#This Row],[Unit Price]]</f>
        <v>14400000</v>
      </c>
      <c r="L4934" s="5">
        <f>ROUND(tblSales[[#This Row],[DPP (excl. VAT)]]*VATEff,0)</f>
        <v>1584000</v>
      </c>
      <c r="M4934" s="5">
        <f>tblSales[[#This Row],[DPP (excl. VAT)]]+tblSales[[#This Row],[Output VAT]]</f>
        <v>15984000</v>
      </c>
      <c r="N4934" s="5">
        <f>tblSales[[#This Row],[Qty]]*_xlfn.XLOOKUP(tblSales[[#This Row],[Product Code]],tblProducts[Code],tblProducts[Unit Cost],0)</f>
        <v>8448000</v>
      </c>
      <c r="O4934" s="4" t="s">
        <v>4867</v>
      </c>
      <c r="P4934" s="4" t="s">
        <v>4860</v>
      </c>
      <c r="Q4934" s="1" t="str">
        <f>_xlfn.XLOOKUP(tblSales[[#This Row],[Channel Code]],tblChannels[Channel Code],tblChannels[Channel Name],"")</f>
        <v>In-store</v>
      </c>
      <c r="R4934" s="1">
        <f>MONTH(tblSales[[#This Row],[Date]])</f>
        <v>10</v>
      </c>
    </row>
    <row r="4935" spans="2:18" x14ac:dyDescent="0.35">
      <c r="B4935" s="113">
        <v>46323</v>
      </c>
      <c r="C4935" s="4" t="s">
        <v>3371</v>
      </c>
      <c r="D4935" s="4" t="s">
        <v>4599</v>
      </c>
      <c r="E4935" s="1" t="str">
        <f>_xlfn.XLOOKUP(tblSales[[#This Row],[Customer ID]],tblCustomers[Customer ID],tblCustomers[Customer Name],"⚠ Unknown")</f>
        <v>PT Samudra Jaya Logistik</v>
      </c>
      <c r="F4935" s="4" t="s">
        <v>8</v>
      </c>
      <c r="G4935" s="1" t="str">
        <f>_xlfn.XLOOKUP(tblSales[[#This Row],[Product Code]],tblProducts[Code],tblProducts[Product / Service Name],"⚠ Unknown")</f>
        <v>Casual Shorts</v>
      </c>
      <c r="H4935" s="1" t="str">
        <f>_xlfn.XLOOKUP(tblSales[[#This Row],[Product Code]],tblProducts[Code],tblProducts[Category],"")</f>
        <v>Accessories &amp; Basics</v>
      </c>
      <c r="I4935" s="4">
        <v>88</v>
      </c>
      <c r="J4935" s="5">
        <f>_xlfn.XLOOKUP(tblSales[[#This Row],[Product Code]],tblProducts[Code],tblProducts[Selling Price (excl. VAT)],0)</f>
        <v>85000</v>
      </c>
      <c r="K4935" s="5">
        <f>tblSales[[#This Row],[Qty]]*tblSales[[#This Row],[Unit Price]]</f>
        <v>7480000</v>
      </c>
      <c r="L4935" s="5">
        <f>ROUND(tblSales[[#This Row],[DPP (excl. VAT)]]*VATEff,0)</f>
        <v>822800</v>
      </c>
      <c r="M4935" s="5">
        <f>tblSales[[#This Row],[DPP (excl. VAT)]]+tblSales[[#This Row],[Output VAT]]</f>
        <v>8302800</v>
      </c>
      <c r="N4935" s="5">
        <f>tblSales[[#This Row],[Qty]]*_xlfn.XLOOKUP(tblSales[[#This Row],[Product Code]],tblProducts[Code],tblProducts[Unit Cost],0)</f>
        <v>4400000</v>
      </c>
      <c r="O4935" s="4" t="s">
        <v>4867</v>
      </c>
      <c r="P4935" s="4" t="s">
        <v>4860</v>
      </c>
      <c r="Q4935" s="1" t="str">
        <f>_xlfn.XLOOKUP(tblSales[[#This Row],[Channel Code]],tblChannels[Channel Code],tblChannels[Channel Name],"")</f>
        <v>In-store</v>
      </c>
      <c r="R4935" s="1">
        <f>MONTH(tblSales[[#This Row],[Date]])</f>
        <v>10</v>
      </c>
    </row>
    <row r="4936" spans="2:18" x14ac:dyDescent="0.35">
      <c r="B4936" s="113">
        <v>46323</v>
      </c>
      <c r="C4936" s="4" t="s">
        <v>3371</v>
      </c>
      <c r="D4936" s="4" t="s">
        <v>4599</v>
      </c>
      <c r="E4936" s="1" t="str">
        <f>_xlfn.XLOOKUP(tblSales[[#This Row],[Customer ID]],tblCustomers[Customer ID],tblCustomers[Customer Name],"⚠ Unknown")</f>
        <v>PT Samudra Jaya Logistik</v>
      </c>
      <c r="F4936" s="4" t="s">
        <v>9</v>
      </c>
      <c r="G4936" s="1" t="str">
        <f>_xlfn.XLOOKUP(tblSales[[#This Row],[Product Code]],tblProducts[Code],tblProducts[Product / Service Name],"⚠ Unknown")</f>
        <v>Casual Shirt</v>
      </c>
      <c r="H4936" s="1" t="str">
        <f>_xlfn.XLOOKUP(tblSales[[#This Row],[Product Code]],tblProducts[Code],tblProducts[Category],"")</f>
        <v>Apparel &amp; Footwear</v>
      </c>
      <c r="I4936" s="4">
        <v>16</v>
      </c>
      <c r="J4936" s="5">
        <f>_xlfn.XLOOKUP(tblSales[[#This Row],[Product Code]],tblProducts[Code],tblProducts[Selling Price (excl. VAT)],0)</f>
        <v>120000</v>
      </c>
      <c r="K4936" s="5">
        <f>tblSales[[#This Row],[Qty]]*tblSales[[#This Row],[Unit Price]]</f>
        <v>1920000</v>
      </c>
      <c r="L4936" s="5">
        <f>ROUND(tblSales[[#This Row],[DPP (excl. VAT)]]*VATEff,0)</f>
        <v>211200</v>
      </c>
      <c r="M4936" s="5">
        <f>tblSales[[#This Row],[DPP (excl. VAT)]]+tblSales[[#This Row],[Output VAT]]</f>
        <v>2131200</v>
      </c>
      <c r="N4936" s="5">
        <f>tblSales[[#This Row],[Qty]]*_xlfn.XLOOKUP(tblSales[[#This Row],[Product Code]],tblProducts[Code],tblProducts[Unit Cost],0)</f>
        <v>1152000</v>
      </c>
      <c r="O4936" s="4" t="s">
        <v>4867</v>
      </c>
      <c r="P4936" s="4" t="s">
        <v>4860</v>
      </c>
      <c r="Q4936" s="1" t="str">
        <f>_xlfn.XLOOKUP(tblSales[[#This Row],[Channel Code]],tblChannels[Channel Code],tblChannels[Channel Name],"")</f>
        <v>In-store</v>
      </c>
      <c r="R4936" s="1">
        <f>MONTH(tblSales[[#This Row],[Date]])</f>
        <v>10</v>
      </c>
    </row>
    <row r="4937" spans="2:18" x14ac:dyDescent="0.35">
      <c r="B4937" s="113">
        <v>46323</v>
      </c>
      <c r="C4937" s="4" t="s">
        <v>3371</v>
      </c>
      <c r="D4937" s="4" t="s">
        <v>4599</v>
      </c>
      <c r="E4937" s="1" t="str">
        <f>_xlfn.XLOOKUP(tblSales[[#This Row],[Customer ID]],tblCustomers[Customer ID],tblCustomers[Customer Name],"⚠ Unknown")</f>
        <v>PT Samudra Jaya Logistik</v>
      </c>
      <c r="F4937" s="4" t="s">
        <v>11</v>
      </c>
      <c r="G4937" s="1" t="str">
        <f>_xlfn.XLOOKUP(tblSales[[#This Row],[Product Code]],tblProducts[Code],tblProducts[Product / Service Name],"⚠ Unknown")</f>
        <v>Sneakers</v>
      </c>
      <c r="H4937" s="1" t="str">
        <f>_xlfn.XLOOKUP(tblSales[[#This Row],[Product Code]],tblProducts[Code],tblProducts[Category],"")</f>
        <v>Apparel &amp; Footwear</v>
      </c>
      <c r="I4937" s="4">
        <v>40</v>
      </c>
      <c r="J4937" s="5">
        <f>_xlfn.XLOOKUP(tblSales[[#This Row],[Product Code]],tblProducts[Code],tblProducts[Selling Price (excl. VAT)],0)</f>
        <v>250000</v>
      </c>
      <c r="K4937" s="5">
        <f>tblSales[[#This Row],[Qty]]*tblSales[[#This Row],[Unit Price]]</f>
        <v>10000000</v>
      </c>
      <c r="L4937" s="5">
        <f>ROUND(tblSales[[#This Row],[DPP (excl. VAT)]]*VATEff,0)</f>
        <v>1100000</v>
      </c>
      <c r="M4937" s="5">
        <f>tblSales[[#This Row],[DPP (excl. VAT)]]+tblSales[[#This Row],[Output VAT]]</f>
        <v>11100000</v>
      </c>
      <c r="N4937" s="5">
        <f>tblSales[[#This Row],[Qty]]*_xlfn.XLOOKUP(tblSales[[#This Row],[Product Code]],tblProducts[Code],tblProducts[Unit Cost],0)</f>
        <v>6200000</v>
      </c>
      <c r="O4937" s="4" t="s">
        <v>4867</v>
      </c>
      <c r="P4937" s="4" t="s">
        <v>4860</v>
      </c>
      <c r="Q4937" s="1" t="str">
        <f>_xlfn.XLOOKUP(tblSales[[#This Row],[Channel Code]],tblChannels[Channel Code],tblChannels[Channel Name],"")</f>
        <v>In-store</v>
      </c>
      <c r="R4937" s="1">
        <f>MONTH(tblSales[[#This Row],[Date]])</f>
        <v>10</v>
      </c>
    </row>
    <row r="4938" spans="2:18" x14ac:dyDescent="0.35">
      <c r="B4938" s="113">
        <v>46323</v>
      </c>
      <c r="C4938" s="4" t="s">
        <v>3372</v>
      </c>
      <c r="D4938" s="4" t="s">
        <v>4568</v>
      </c>
      <c r="E4938" s="1" t="str">
        <f>_xlfn.XLOOKUP(tblSales[[#This Row],[Customer ID]],tblCustomers[Customer ID],tblCustomers[Customer Name],"⚠ Unknown")</f>
        <v>Walk-in Customer</v>
      </c>
      <c r="F4938" s="4" t="s">
        <v>6</v>
      </c>
      <c r="G4938" s="1" t="str">
        <f>_xlfn.XLOOKUP(tblSales[[#This Row],[Product Code]],tblProducts[Code],tblProducts[Product / Service Name],"⚠ Unknown")</f>
        <v>Socks &amp; Accessories</v>
      </c>
      <c r="H4938" s="1" t="str">
        <f>_xlfn.XLOOKUP(tblSales[[#This Row],[Product Code]],tblProducts[Code],tblProducts[Category],"")</f>
        <v>Accessories &amp; Basics</v>
      </c>
      <c r="I4938" s="4">
        <v>1</v>
      </c>
      <c r="J4938" s="5">
        <f>_xlfn.XLOOKUP(tblSales[[#This Row],[Product Code]],tblProducts[Code],tblProducts[Selling Price (excl. VAT)],0)</f>
        <v>45000</v>
      </c>
      <c r="K4938" s="5">
        <f>tblSales[[#This Row],[Qty]]*tblSales[[#This Row],[Unit Price]]</f>
        <v>45000</v>
      </c>
      <c r="L4938" s="5">
        <f>ROUND(tblSales[[#This Row],[DPP (excl. VAT)]]*VATEff,0)</f>
        <v>4950</v>
      </c>
      <c r="M4938" s="5">
        <f>tblSales[[#This Row],[DPP (excl. VAT)]]+tblSales[[#This Row],[Output VAT]]</f>
        <v>49950</v>
      </c>
      <c r="N4938" s="5">
        <f>tblSales[[#This Row],[Qty]]*_xlfn.XLOOKUP(tblSales[[#This Row],[Product Code]],tblProducts[Code],tblProducts[Unit Cost],0)</f>
        <v>24000</v>
      </c>
      <c r="O4938" s="4" t="s">
        <v>4865</v>
      </c>
      <c r="P4938" s="4" t="s">
        <v>4860</v>
      </c>
      <c r="Q4938" s="1" t="str">
        <f>_xlfn.XLOOKUP(tblSales[[#This Row],[Channel Code]],tblChannels[Channel Code],tblChannels[Channel Name],"")</f>
        <v>In-store</v>
      </c>
      <c r="R4938" s="1">
        <f>MONTH(tblSales[[#This Row],[Date]])</f>
        <v>10</v>
      </c>
    </row>
    <row r="4939" spans="2:18" x14ac:dyDescent="0.35">
      <c r="B4939" s="113">
        <v>46323</v>
      </c>
      <c r="C4939" s="4" t="s">
        <v>3373</v>
      </c>
      <c r="D4939" s="4" t="s">
        <v>4568</v>
      </c>
      <c r="E4939" s="1" t="str">
        <f>_xlfn.XLOOKUP(tblSales[[#This Row],[Customer ID]],tblCustomers[Customer ID],tblCustomers[Customer Name],"⚠ Unknown")</f>
        <v>Walk-in Customer</v>
      </c>
      <c r="F4939" s="4" t="s">
        <v>10</v>
      </c>
      <c r="G4939" s="1" t="str">
        <f>_xlfn.XLOOKUP(tblSales[[#This Row],[Product Code]],tblProducts[Code],tblProducts[Product / Service Name],"⚠ Unknown")</f>
        <v>Chino Pants</v>
      </c>
      <c r="H4939" s="1" t="str">
        <f>_xlfn.XLOOKUP(tblSales[[#This Row],[Product Code]],tblProducts[Code],tblProducts[Category],"")</f>
        <v>Apparel &amp; Footwear</v>
      </c>
      <c r="I4939" s="4">
        <v>6</v>
      </c>
      <c r="J4939" s="5">
        <f>_xlfn.XLOOKUP(tblSales[[#This Row],[Product Code]],tblProducts[Code],tblProducts[Selling Price (excl. VAT)],0)</f>
        <v>150000</v>
      </c>
      <c r="K4939" s="5">
        <f>tblSales[[#This Row],[Qty]]*tblSales[[#This Row],[Unit Price]]</f>
        <v>900000</v>
      </c>
      <c r="L4939" s="5">
        <f>ROUND(tblSales[[#This Row],[DPP (excl. VAT)]]*VATEff,0)</f>
        <v>99000</v>
      </c>
      <c r="M4939" s="5">
        <f>tblSales[[#This Row],[DPP (excl. VAT)]]+tblSales[[#This Row],[Output VAT]]</f>
        <v>999000</v>
      </c>
      <c r="N4939" s="5">
        <f>tblSales[[#This Row],[Qty]]*_xlfn.XLOOKUP(tblSales[[#This Row],[Product Code]],tblProducts[Code],tblProducts[Unit Cost],0)</f>
        <v>528000</v>
      </c>
      <c r="O4939" s="4" t="s">
        <v>4866</v>
      </c>
      <c r="P4939" s="4" t="s">
        <v>4861</v>
      </c>
      <c r="Q4939" s="1" t="str">
        <f>_xlfn.XLOOKUP(tblSales[[#This Row],[Channel Code]],tblChannels[Channel Code],tblChannels[Channel Name],"")</f>
        <v>Marketplace</v>
      </c>
      <c r="R4939" s="1">
        <f>MONTH(tblSales[[#This Row],[Date]])</f>
        <v>10</v>
      </c>
    </row>
    <row r="4940" spans="2:18" x14ac:dyDescent="0.35">
      <c r="B4940" s="113">
        <v>46323</v>
      </c>
      <c r="C4940" s="4" t="s">
        <v>3374</v>
      </c>
      <c r="D4940" s="4" t="s">
        <v>4572</v>
      </c>
      <c r="E4940" s="1" t="str">
        <f>_xlfn.XLOOKUP(tblSales[[#This Row],[Customer ID]],tblCustomers[Customer ID],tblCustomers[Customer Name],"⚠ Unknown")</f>
        <v>PT Cahaya Abadi Makmur</v>
      </c>
      <c r="F4940" s="4" t="s">
        <v>8</v>
      </c>
      <c r="G4940" s="1" t="str">
        <f>_xlfn.XLOOKUP(tblSales[[#This Row],[Product Code]],tblProducts[Code],tblProducts[Product / Service Name],"⚠ Unknown")</f>
        <v>Casual Shorts</v>
      </c>
      <c r="H4940" s="1" t="str">
        <f>_xlfn.XLOOKUP(tblSales[[#This Row],[Product Code]],tblProducts[Code],tblProducts[Category],"")</f>
        <v>Accessories &amp; Basics</v>
      </c>
      <c r="I4940" s="4">
        <v>88</v>
      </c>
      <c r="J4940" s="5">
        <f>_xlfn.XLOOKUP(tblSales[[#This Row],[Product Code]],tblProducts[Code],tblProducts[Selling Price (excl. VAT)],0)</f>
        <v>85000</v>
      </c>
      <c r="K4940" s="5">
        <f>tblSales[[#This Row],[Qty]]*tblSales[[#This Row],[Unit Price]]</f>
        <v>7480000</v>
      </c>
      <c r="L4940" s="5">
        <f>ROUND(tblSales[[#This Row],[DPP (excl. VAT)]]*VATEff,0)</f>
        <v>822800</v>
      </c>
      <c r="M4940" s="5">
        <f>tblSales[[#This Row],[DPP (excl. VAT)]]+tblSales[[#This Row],[Output VAT]]</f>
        <v>8302800</v>
      </c>
      <c r="N4940" s="5">
        <f>tblSales[[#This Row],[Qty]]*_xlfn.XLOOKUP(tblSales[[#This Row],[Product Code]],tblProducts[Code],tblProducts[Unit Cost],0)</f>
        <v>4400000</v>
      </c>
      <c r="O4940" s="4" t="s">
        <v>4867</v>
      </c>
      <c r="P4940" s="4" t="s">
        <v>4860</v>
      </c>
      <c r="Q4940" s="1" t="str">
        <f>_xlfn.XLOOKUP(tblSales[[#This Row],[Channel Code]],tblChannels[Channel Code],tblChannels[Channel Name],"")</f>
        <v>In-store</v>
      </c>
      <c r="R4940" s="1">
        <f>MONTH(tblSales[[#This Row],[Date]])</f>
        <v>10</v>
      </c>
    </row>
    <row r="4941" spans="2:18" x14ac:dyDescent="0.35">
      <c r="B4941" s="113">
        <v>46323</v>
      </c>
      <c r="C4941" s="4" t="s">
        <v>3375</v>
      </c>
      <c r="D4941" s="4" t="s">
        <v>4585</v>
      </c>
      <c r="E4941" s="1" t="str">
        <f>_xlfn.XLOOKUP(tblSales[[#This Row],[Customer ID]],tblCustomers[Customer ID],tblCustomers[Customer Name],"⚠ Unknown")</f>
        <v>CV Mitra Karya Mandiri</v>
      </c>
      <c r="F4941" s="4" t="s">
        <v>8</v>
      </c>
      <c r="G4941" s="1" t="str">
        <f>_xlfn.XLOOKUP(tblSales[[#This Row],[Product Code]],tblProducts[Code],tblProducts[Product / Service Name],"⚠ Unknown")</f>
        <v>Casual Shorts</v>
      </c>
      <c r="H4941" s="1" t="str">
        <f>_xlfn.XLOOKUP(tblSales[[#This Row],[Product Code]],tblProducts[Code],tblProducts[Category],"")</f>
        <v>Accessories &amp; Basics</v>
      </c>
      <c r="I4941" s="4">
        <v>88</v>
      </c>
      <c r="J4941" s="5">
        <f>_xlfn.XLOOKUP(tblSales[[#This Row],[Product Code]],tblProducts[Code],tblProducts[Selling Price (excl. VAT)],0)</f>
        <v>85000</v>
      </c>
      <c r="K4941" s="5">
        <f>tblSales[[#This Row],[Qty]]*tblSales[[#This Row],[Unit Price]]</f>
        <v>7480000</v>
      </c>
      <c r="L4941" s="5">
        <f>ROUND(tblSales[[#This Row],[DPP (excl. VAT)]]*VATEff,0)</f>
        <v>822800</v>
      </c>
      <c r="M4941" s="5">
        <f>tblSales[[#This Row],[DPP (excl. VAT)]]+tblSales[[#This Row],[Output VAT]]</f>
        <v>8302800</v>
      </c>
      <c r="N4941" s="5">
        <f>tblSales[[#This Row],[Qty]]*_xlfn.XLOOKUP(tblSales[[#This Row],[Product Code]],tblProducts[Code],tblProducts[Unit Cost],0)</f>
        <v>4400000</v>
      </c>
      <c r="O4941" s="4" t="s">
        <v>4867</v>
      </c>
      <c r="P4941" s="4" t="s">
        <v>4860</v>
      </c>
      <c r="Q4941" s="1" t="str">
        <f>_xlfn.XLOOKUP(tblSales[[#This Row],[Channel Code]],tblChannels[Channel Code],tblChannels[Channel Name],"")</f>
        <v>In-store</v>
      </c>
      <c r="R4941" s="1">
        <f>MONTH(tblSales[[#This Row],[Date]])</f>
        <v>10</v>
      </c>
    </row>
    <row r="4942" spans="2:18" x14ac:dyDescent="0.35">
      <c r="B4942" s="113">
        <v>46323</v>
      </c>
      <c r="C4942" s="4" t="s">
        <v>3376</v>
      </c>
      <c r="D4942" s="4" t="s">
        <v>4568</v>
      </c>
      <c r="E4942" s="1" t="str">
        <f>_xlfn.XLOOKUP(tblSales[[#This Row],[Customer ID]],tblCustomers[Customer ID],tblCustomers[Customer Name],"⚠ Unknown")</f>
        <v>Walk-in Customer</v>
      </c>
      <c r="F4942" s="4" t="s">
        <v>6</v>
      </c>
      <c r="G4942" s="1" t="str">
        <f>_xlfn.XLOOKUP(tblSales[[#This Row],[Product Code]],tblProducts[Code],tblProducts[Product / Service Name],"⚠ Unknown")</f>
        <v>Socks &amp; Accessories</v>
      </c>
      <c r="H4942" s="1" t="str">
        <f>_xlfn.XLOOKUP(tblSales[[#This Row],[Product Code]],tblProducts[Code],tblProducts[Category],"")</f>
        <v>Accessories &amp; Basics</v>
      </c>
      <c r="I4942" s="4">
        <v>10</v>
      </c>
      <c r="J4942" s="5">
        <f>_xlfn.XLOOKUP(tblSales[[#This Row],[Product Code]],tblProducts[Code],tblProducts[Selling Price (excl. VAT)],0)</f>
        <v>45000</v>
      </c>
      <c r="K4942" s="5">
        <f>tblSales[[#This Row],[Qty]]*tblSales[[#This Row],[Unit Price]]</f>
        <v>450000</v>
      </c>
      <c r="L4942" s="5">
        <f>ROUND(tblSales[[#This Row],[DPP (excl. VAT)]]*VATEff,0)</f>
        <v>49500</v>
      </c>
      <c r="M4942" s="5">
        <f>tblSales[[#This Row],[DPP (excl. VAT)]]+tblSales[[#This Row],[Output VAT]]</f>
        <v>499500</v>
      </c>
      <c r="N4942" s="5">
        <f>tblSales[[#This Row],[Qty]]*_xlfn.XLOOKUP(tblSales[[#This Row],[Product Code]],tblProducts[Code],tblProducts[Unit Cost],0)</f>
        <v>240000</v>
      </c>
      <c r="O4942" s="4" t="s">
        <v>4866</v>
      </c>
      <c r="P4942" s="4" t="s">
        <v>4861</v>
      </c>
      <c r="Q4942" s="1" t="str">
        <f>_xlfn.XLOOKUP(tblSales[[#This Row],[Channel Code]],tblChannels[Channel Code],tblChannels[Channel Name],"")</f>
        <v>Marketplace</v>
      </c>
      <c r="R4942" s="1">
        <f>MONTH(tblSales[[#This Row],[Date]])</f>
        <v>10</v>
      </c>
    </row>
    <row r="4943" spans="2:18" x14ac:dyDescent="0.35">
      <c r="B4943" s="113">
        <v>46324</v>
      </c>
      <c r="C4943" s="4" t="s">
        <v>3377</v>
      </c>
      <c r="D4943" s="4" t="s">
        <v>4585</v>
      </c>
      <c r="E4943" s="1" t="str">
        <f>_xlfn.XLOOKUP(tblSales[[#This Row],[Customer ID]],tblCustomers[Customer ID],tblCustomers[Customer Name],"⚠ Unknown")</f>
        <v>CV Mitra Karya Mandiri</v>
      </c>
      <c r="F4943" s="4" t="s">
        <v>7</v>
      </c>
      <c r="G4943" s="1" t="str">
        <f>_xlfn.XLOOKUP(tblSales[[#This Row],[Product Code]],tblProducts[Code],tblProducts[Product / Service Name],"⚠ Unknown")</f>
        <v>Premium Basic T-shirt</v>
      </c>
      <c r="H4943" s="1" t="str">
        <f>_xlfn.XLOOKUP(tblSales[[#This Row],[Product Code]],tblProducts[Code],tblProducts[Category],"")</f>
        <v>Accessories &amp; Basics</v>
      </c>
      <c r="I4943" s="4">
        <v>16</v>
      </c>
      <c r="J4943" s="5">
        <f>_xlfn.XLOOKUP(tblSales[[#This Row],[Product Code]],tblProducts[Code],tblProducts[Selling Price (excl. VAT)],0)</f>
        <v>65000</v>
      </c>
      <c r="K4943" s="5">
        <f>tblSales[[#This Row],[Qty]]*tblSales[[#This Row],[Unit Price]]</f>
        <v>1040000</v>
      </c>
      <c r="L4943" s="5">
        <f>ROUND(tblSales[[#This Row],[DPP (excl. VAT)]]*VATEff,0)</f>
        <v>114400</v>
      </c>
      <c r="M4943" s="5">
        <f>tblSales[[#This Row],[DPP (excl. VAT)]]+tblSales[[#This Row],[Output VAT]]</f>
        <v>1154400</v>
      </c>
      <c r="N4943" s="5">
        <f>tblSales[[#This Row],[Qty]]*_xlfn.XLOOKUP(tblSales[[#This Row],[Product Code]],tblProducts[Code],tblProducts[Unit Cost],0)</f>
        <v>592000</v>
      </c>
      <c r="O4943" s="4" t="s">
        <v>4867</v>
      </c>
      <c r="P4943" s="4" t="s">
        <v>4860</v>
      </c>
      <c r="Q4943" s="1" t="str">
        <f>_xlfn.XLOOKUP(tblSales[[#This Row],[Channel Code]],tblChannels[Channel Code],tblChannels[Channel Name],"")</f>
        <v>In-store</v>
      </c>
      <c r="R4943" s="1">
        <f>MONTH(tblSales[[#This Row],[Date]])</f>
        <v>10</v>
      </c>
    </row>
    <row r="4944" spans="2:18" x14ac:dyDescent="0.35">
      <c r="B4944" s="113">
        <v>46324</v>
      </c>
      <c r="C4944" s="4" t="s">
        <v>3378</v>
      </c>
      <c r="D4944" s="4" t="s">
        <v>4568</v>
      </c>
      <c r="E4944" s="1" t="str">
        <f>_xlfn.XLOOKUP(tblSales[[#This Row],[Customer ID]],tblCustomers[Customer ID],tblCustomers[Customer Name],"⚠ Unknown")</f>
        <v>Walk-in Customer</v>
      </c>
      <c r="F4944" s="4" t="s">
        <v>8</v>
      </c>
      <c r="G4944" s="1" t="str">
        <f>_xlfn.XLOOKUP(tblSales[[#This Row],[Product Code]],tblProducts[Code],tblProducts[Product / Service Name],"⚠ Unknown")</f>
        <v>Casual Shorts</v>
      </c>
      <c r="H4944" s="1" t="str">
        <f>_xlfn.XLOOKUP(tblSales[[#This Row],[Product Code]],tblProducts[Code],tblProducts[Category],"")</f>
        <v>Accessories &amp; Basics</v>
      </c>
      <c r="I4944" s="4">
        <v>8</v>
      </c>
      <c r="J4944" s="5">
        <f>_xlfn.XLOOKUP(tblSales[[#This Row],[Product Code]],tblProducts[Code],tblProducts[Selling Price (excl. VAT)],0)</f>
        <v>85000</v>
      </c>
      <c r="K4944" s="5">
        <f>tblSales[[#This Row],[Qty]]*tblSales[[#This Row],[Unit Price]]</f>
        <v>680000</v>
      </c>
      <c r="L4944" s="5">
        <f>ROUND(tblSales[[#This Row],[DPP (excl. VAT)]]*VATEff,0)</f>
        <v>74800</v>
      </c>
      <c r="M4944" s="5">
        <f>tblSales[[#This Row],[DPP (excl. VAT)]]+tblSales[[#This Row],[Output VAT]]</f>
        <v>754800</v>
      </c>
      <c r="N4944" s="5">
        <f>tblSales[[#This Row],[Qty]]*_xlfn.XLOOKUP(tblSales[[#This Row],[Product Code]],tblProducts[Code],tblProducts[Unit Cost],0)</f>
        <v>400000</v>
      </c>
      <c r="O4944" s="4" t="s">
        <v>4865</v>
      </c>
      <c r="P4944" s="4" t="s">
        <v>4860</v>
      </c>
      <c r="Q4944" s="1" t="str">
        <f>_xlfn.XLOOKUP(tblSales[[#This Row],[Channel Code]],tblChannels[Channel Code],tblChannels[Channel Name],"")</f>
        <v>In-store</v>
      </c>
      <c r="R4944" s="1">
        <f>MONTH(tblSales[[#This Row],[Date]])</f>
        <v>10</v>
      </c>
    </row>
    <row r="4945" spans="2:18" x14ac:dyDescent="0.35">
      <c r="B4945" s="113">
        <v>46324</v>
      </c>
      <c r="C4945" s="4" t="s">
        <v>3378</v>
      </c>
      <c r="D4945" s="4" t="s">
        <v>4568</v>
      </c>
      <c r="E4945" s="1" t="str">
        <f>_xlfn.XLOOKUP(tblSales[[#This Row],[Customer ID]],tblCustomers[Customer ID],tblCustomers[Customer Name],"⚠ Unknown")</f>
        <v>Walk-in Customer</v>
      </c>
      <c r="F4945" s="4" t="s">
        <v>10</v>
      </c>
      <c r="G4945" s="1" t="str">
        <f>_xlfn.XLOOKUP(tblSales[[#This Row],[Product Code]],tblProducts[Code],tblProducts[Product / Service Name],"⚠ Unknown")</f>
        <v>Chino Pants</v>
      </c>
      <c r="H4945" s="1" t="str">
        <f>_xlfn.XLOOKUP(tblSales[[#This Row],[Product Code]],tblProducts[Code],tblProducts[Category],"")</f>
        <v>Apparel &amp; Footwear</v>
      </c>
      <c r="I4945" s="4">
        <v>4</v>
      </c>
      <c r="J4945" s="5">
        <f>_xlfn.XLOOKUP(tblSales[[#This Row],[Product Code]],tblProducts[Code],tblProducts[Selling Price (excl. VAT)],0)</f>
        <v>150000</v>
      </c>
      <c r="K4945" s="5">
        <f>tblSales[[#This Row],[Qty]]*tblSales[[#This Row],[Unit Price]]</f>
        <v>600000</v>
      </c>
      <c r="L4945" s="5">
        <f>ROUND(tblSales[[#This Row],[DPP (excl. VAT)]]*VATEff,0)</f>
        <v>66000</v>
      </c>
      <c r="M4945" s="5">
        <f>tblSales[[#This Row],[DPP (excl. VAT)]]+tblSales[[#This Row],[Output VAT]]</f>
        <v>666000</v>
      </c>
      <c r="N4945" s="5">
        <f>tblSales[[#This Row],[Qty]]*_xlfn.XLOOKUP(tblSales[[#This Row],[Product Code]],tblProducts[Code],tblProducts[Unit Cost],0)</f>
        <v>352000</v>
      </c>
      <c r="O4945" s="4" t="s">
        <v>4865</v>
      </c>
      <c r="P4945" s="4" t="s">
        <v>4860</v>
      </c>
      <c r="Q4945" s="1" t="str">
        <f>_xlfn.XLOOKUP(tblSales[[#This Row],[Channel Code]],tblChannels[Channel Code],tblChannels[Channel Name],"")</f>
        <v>In-store</v>
      </c>
      <c r="R4945" s="1">
        <f>MONTH(tblSales[[#This Row],[Date]])</f>
        <v>10</v>
      </c>
    </row>
    <row r="4946" spans="2:18" x14ac:dyDescent="0.35">
      <c r="B4946" s="113">
        <v>46324</v>
      </c>
      <c r="C4946" s="4" t="s">
        <v>3379</v>
      </c>
      <c r="D4946" s="4" t="s">
        <v>4648</v>
      </c>
      <c r="E4946" s="1" t="str">
        <f>_xlfn.XLOOKUP(tblSales[[#This Row],[Customer ID]],tblCustomers[Customer ID],tblCustomers[Customer Name],"⚠ Unknown")</f>
        <v>PT Lintas Benua Niaga</v>
      </c>
      <c r="F4946" s="4" t="s">
        <v>6</v>
      </c>
      <c r="G4946" s="1" t="str">
        <f>_xlfn.XLOOKUP(tblSales[[#This Row],[Product Code]],tblProducts[Code],tblProducts[Product / Service Name],"⚠ Unknown")</f>
        <v>Socks &amp; Accessories</v>
      </c>
      <c r="H4946" s="1" t="str">
        <f>_xlfn.XLOOKUP(tblSales[[#This Row],[Product Code]],tblProducts[Code],tblProducts[Category],"")</f>
        <v>Accessories &amp; Basics</v>
      </c>
      <c r="I4946" s="4">
        <v>16</v>
      </c>
      <c r="J4946" s="5">
        <f>_xlfn.XLOOKUP(tblSales[[#This Row],[Product Code]],tblProducts[Code],tblProducts[Selling Price (excl. VAT)],0)</f>
        <v>45000</v>
      </c>
      <c r="K4946" s="5">
        <f>tblSales[[#This Row],[Qty]]*tblSales[[#This Row],[Unit Price]]</f>
        <v>720000</v>
      </c>
      <c r="L4946" s="5">
        <f>ROUND(tblSales[[#This Row],[DPP (excl. VAT)]]*VATEff,0)</f>
        <v>79200</v>
      </c>
      <c r="M4946" s="5">
        <f>tblSales[[#This Row],[DPP (excl. VAT)]]+tblSales[[#This Row],[Output VAT]]</f>
        <v>799200</v>
      </c>
      <c r="N4946" s="5">
        <f>tblSales[[#This Row],[Qty]]*_xlfn.XLOOKUP(tblSales[[#This Row],[Product Code]],tblProducts[Code],tblProducts[Unit Cost],0)</f>
        <v>384000</v>
      </c>
      <c r="O4946" s="4" t="s">
        <v>4867</v>
      </c>
      <c r="P4946" s="4" t="s">
        <v>4860</v>
      </c>
      <c r="Q4946" s="1" t="str">
        <f>_xlfn.XLOOKUP(tblSales[[#This Row],[Channel Code]],tblChannels[Channel Code],tblChannels[Channel Name],"")</f>
        <v>In-store</v>
      </c>
      <c r="R4946" s="1">
        <f>MONTH(tblSales[[#This Row],[Date]])</f>
        <v>10</v>
      </c>
    </row>
    <row r="4947" spans="2:18" x14ac:dyDescent="0.35">
      <c r="B4947" s="113">
        <v>46324</v>
      </c>
      <c r="C4947" s="4" t="s">
        <v>3379</v>
      </c>
      <c r="D4947" s="4" t="s">
        <v>4648</v>
      </c>
      <c r="E4947" s="1" t="str">
        <f>_xlfn.XLOOKUP(tblSales[[#This Row],[Customer ID]],tblCustomers[Customer ID],tblCustomers[Customer Name],"⚠ Unknown")</f>
        <v>PT Lintas Benua Niaga</v>
      </c>
      <c r="F4947" s="4" t="s">
        <v>7</v>
      </c>
      <c r="G4947" s="1" t="str">
        <f>_xlfn.XLOOKUP(tblSales[[#This Row],[Product Code]],tblProducts[Code],tblProducts[Product / Service Name],"⚠ Unknown")</f>
        <v>Premium Basic T-shirt</v>
      </c>
      <c r="H4947" s="1" t="str">
        <f>_xlfn.XLOOKUP(tblSales[[#This Row],[Product Code]],tblProducts[Code],tblProducts[Category],"")</f>
        <v>Accessories &amp; Basics</v>
      </c>
      <c r="I4947" s="4">
        <v>32</v>
      </c>
      <c r="J4947" s="5">
        <f>_xlfn.XLOOKUP(tblSales[[#This Row],[Product Code]],tblProducts[Code],tblProducts[Selling Price (excl. VAT)],0)</f>
        <v>65000</v>
      </c>
      <c r="K4947" s="5">
        <f>tblSales[[#This Row],[Qty]]*tblSales[[#This Row],[Unit Price]]</f>
        <v>2080000</v>
      </c>
      <c r="L4947" s="5">
        <f>ROUND(tblSales[[#This Row],[DPP (excl. VAT)]]*VATEff,0)</f>
        <v>228800</v>
      </c>
      <c r="M4947" s="5">
        <f>tblSales[[#This Row],[DPP (excl. VAT)]]+tblSales[[#This Row],[Output VAT]]</f>
        <v>2308800</v>
      </c>
      <c r="N4947" s="5">
        <f>tblSales[[#This Row],[Qty]]*_xlfn.XLOOKUP(tblSales[[#This Row],[Product Code]],tblProducts[Code],tblProducts[Unit Cost],0)</f>
        <v>1184000</v>
      </c>
      <c r="O4947" s="4" t="s">
        <v>4867</v>
      </c>
      <c r="P4947" s="4" t="s">
        <v>4860</v>
      </c>
      <c r="Q4947" s="1" t="str">
        <f>_xlfn.XLOOKUP(tblSales[[#This Row],[Channel Code]],tblChannels[Channel Code],tblChannels[Channel Name],"")</f>
        <v>In-store</v>
      </c>
      <c r="R4947" s="1">
        <f>MONTH(tblSales[[#This Row],[Date]])</f>
        <v>10</v>
      </c>
    </row>
    <row r="4948" spans="2:18" x14ac:dyDescent="0.35">
      <c r="B4948" s="113">
        <v>46324</v>
      </c>
      <c r="C4948" s="4" t="s">
        <v>3380</v>
      </c>
      <c r="D4948" s="4" t="s">
        <v>4568</v>
      </c>
      <c r="E4948" s="1" t="str">
        <f>_xlfn.XLOOKUP(tblSales[[#This Row],[Customer ID]],tblCustomers[Customer ID],tblCustomers[Customer Name],"⚠ Unknown")</f>
        <v>Walk-in Customer</v>
      </c>
      <c r="F4948" s="4" t="s">
        <v>14</v>
      </c>
      <c r="G4948" s="1" t="str">
        <f>_xlfn.XLOOKUP(tblSales[[#This Row],[Product Code]],tblProducts[Code],tblProducts[Product / Service Name],"⚠ Unknown")</f>
        <v>Smartwatch</v>
      </c>
      <c r="H4948" s="1" t="str">
        <f>_xlfn.XLOOKUP(tblSales[[#This Row],[Product Code]],tblProducts[Code],tblProducts[Category],"")</f>
        <v>Bags &amp; Gadgets</v>
      </c>
      <c r="I4948" s="4">
        <v>2</v>
      </c>
      <c r="J4948" s="5">
        <f>_xlfn.XLOOKUP(tblSales[[#This Row],[Product Code]],tblProducts[Code],tblProducts[Selling Price (excl. VAT)],0)</f>
        <v>850000</v>
      </c>
      <c r="K4948" s="5">
        <f>tblSales[[#This Row],[Qty]]*tblSales[[#This Row],[Unit Price]]</f>
        <v>1700000</v>
      </c>
      <c r="L4948" s="5">
        <f>ROUND(tblSales[[#This Row],[DPP (excl. VAT)]]*VATEff,0)</f>
        <v>187000</v>
      </c>
      <c r="M4948" s="5">
        <f>tblSales[[#This Row],[DPP (excl. VAT)]]+tblSales[[#This Row],[Output VAT]]</f>
        <v>1887000</v>
      </c>
      <c r="N4948" s="5">
        <f>tblSales[[#This Row],[Qty]]*_xlfn.XLOOKUP(tblSales[[#This Row],[Product Code]],tblProducts[Code],tblProducts[Unit Cost],0)</f>
        <v>1120000</v>
      </c>
      <c r="O4948" s="4" t="s">
        <v>4866</v>
      </c>
      <c r="P4948" s="4" t="s">
        <v>4860</v>
      </c>
      <c r="Q4948" s="1" t="str">
        <f>_xlfn.XLOOKUP(tblSales[[#This Row],[Channel Code]],tblChannels[Channel Code],tblChannels[Channel Name],"")</f>
        <v>In-store</v>
      </c>
      <c r="R4948" s="1">
        <f>MONTH(tblSales[[#This Row],[Date]])</f>
        <v>10</v>
      </c>
    </row>
    <row r="4949" spans="2:18" x14ac:dyDescent="0.35">
      <c r="B4949" s="113">
        <v>46324</v>
      </c>
      <c r="C4949" s="4" t="s">
        <v>3381</v>
      </c>
      <c r="D4949" s="4" t="s">
        <v>4627</v>
      </c>
      <c r="E4949" s="1" t="str">
        <f>_xlfn.XLOOKUP(tblSales[[#This Row],[Customer ID]],tblCustomers[Customer ID],tblCustomers[Customer Name],"⚠ Unknown")</f>
        <v>PT Kencana Wira Usaha</v>
      </c>
      <c r="F4949" s="4" t="s">
        <v>10</v>
      </c>
      <c r="G4949" s="1" t="str">
        <f>_xlfn.XLOOKUP(tblSales[[#This Row],[Product Code]],tblProducts[Code],tblProducts[Product / Service Name],"⚠ Unknown")</f>
        <v>Chino Pants</v>
      </c>
      <c r="H4949" s="1" t="str">
        <f>_xlfn.XLOOKUP(tblSales[[#This Row],[Product Code]],tblProducts[Code],tblProducts[Category],"")</f>
        <v>Apparel &amp; Footwear</v>
      </c>
      <c r="I4949" s="4">
        <v>32</v>
      </c>
      <c r="J4949" s="5">
        <f>_xlfn.XLOOKUP(tblSales[[#This Row],[Product Code]],tblProducts[Code],tblProducts[Selling Price (excl. VAT)],0)</f>
        <v>150000</v>
      </c>
      <c r="K4949" s="5">
        <f>tblSales[[#This Row],[Qty]]*tblSales[[#This Row],[Unit Price]]</f>
        <v>4800000</v>
      </c>
      <c r="L4949" s="5">
        <f>ROUND(tblSales[[#This Row],[DPP (excl. VAT)]]*VATEff,0)</f>
        <v>528000</v>
      </c>
      <c r="M4949" s="5">
        <f>tblSales[[#This Row],[DPP (excl. VAT)]]+tblSales[[#This Row],[Output VAT]]</f>
        <v>5328000</v>
      </c>
      <c r="N4949" s="5">
        <f>tblSales[[#This Row],[Qty]]*_xlfn.XLOOKUP(tblSales[[#This Row],[Product Code]],tblProducts[Code],tblProducts[Unit Cost],0)</f>
        <v>2816000</v>
      </c>
      <c r="O4949" s="4" t="s">
        <v>4867</v>
      </c>
      <c r="P4949" s="4" t="s">
        <v>4860</v>
      </c>
      <c r="Q4949" s="1" t="str">
        <f>_xlfn.XLOOKUP(tblSales[[#This Row],[Channel Code]],tblChannels[Channel Code],tblChannels[Channel Name],"")</f>
        <v>In-store</v>
      </c>
      <c r="R4949" s="1">
        <f>MONTH(tblSales[[#This Row],[Date]])</f>
        <v>10</v>
      </c>
    </row>
    <row r="4950" spans="2:18" x14ac:dyDescent="0.35">
      <c r="B4950" s="113">
        <v>46324</v>
      </c>
      <c r="C4950" s="4" t="s">
        <v>3382</v>
      </c>
      <c r="D4950" s="4" t="s">
        <v>4568</v>
      </c>
      <c r="E4950" s="1" t="str">
        <f>_xlfn.XLOOKUP(tblSales[[#This Row],[Customer ID]],tblCustomers[Customer ID],tblCustomers[Customer Name],"⚠ Unknown")</f>
        <v>Walk-in Customer</v>
      </c>
      <c r="F4950" s="4" t="s">
        <v>7</v>
      </c>
      <c r="G4950" s="1" t="str">
        <f>_xlfn.XLOOKUP(tblSales[[#This Row],[Product Code]],tblProducts[Code],tblProducts[Product / Service Name],"⚠ Unknown")</f>
        <v>Premium Basic T-shirt</v>
      </c>
      <c r="H4950" s="1" t="str">
        <f>_xlfn.XLOOKUP(tblSales[[#This Row],[Product Code]],tblProducts[Code],tblProducts[Category],"")</f>
        <v>Accessories &amp; Basics</v>
      </c>
      <c r="I4950" s="4">
        <v>5</v>
      </c>
      <c r="J4950" s="5">
        <f>_xlfn.XLOOKUP(tblSales[[#This Row],[Product Code]],tblProducts[Code],tblProducts[Selling Price (excl. VAT)],0)</f>
        <v>65000</v>
      </c>
      <c r="K4950" s="5">
        <f>tblSales[[#This Row],[Qty]]*tblSales[[#This Row],[Unit Price]]</f>
        <v>325000</v>
      </c>
      <c r="L4950" s="5">
        <f>ROUND(tblSales[[#This Row],[DPP (excl. VAT)]]*VATEff,0)</f>
        <v>35750</v>
      </c>
      <c r="M4950" s="5">
        <f>tblSales[[#This Row],[DPP (excl. VAT)]]+tblSales[[#This Row],[Output VAT]]</f>
        <v>360750</v>
      </c>
      <c r="N4950" s="5">
        <f>tblSales[[#This Row],[Qty]]*_xlfn.XLOOKUP(tblSales[[#This Row],[Product Code]],tblProducts[Code],tblProducts[Unit Cost],0)</f>
        <v>185000</v>
      </c>
      <c r="O4950" s="4" t="s">
        <v>4865</v>
      </c>
      <c r="P4950" s="4" t="s">
        <v>4860</v>
      </c>
      <c r="Q4950" s="1" t="str">
        <f>_xlfn.XLOOKUP(tblSales[[#This Row],[Channel Code]],tblChannels[Channel Code],tblChannels[Channel Name],"")</f>
        <v>In-store</v>
      </c>
      <c r="R4950" s="1">
        <f>MONTH(tblSales[[#This Row],[Date]])</f>
        <v>10</v>
      </c>
    </row>
    <row r="4951" spans="2:18" x14ac:dyDescent="0.35">
      <c r="B4951" s="113">
        <v>46324</v>
      </c>
      <c r="C4951" s="4" t="s">
        <v>3383</v>
      </c>
      <c r="D4951" s="4" t="s">
        <v>4593</v>
      </c>
      <c r="E4951" s="1" t="str">
        <f>_xlfn.XLOOKUP(tblSales[[#This Row],[Customer ID]],tblCustomers[Customer ID],tblCustomers[Customer Name],"⚠ Unknown")</f>
        <v>PT Graha Nusa Persada</v>
      </c>
      <c r="F4951" s="4" t="s">
        <v>12</v>
      </c>
      <c r="G4951" s="1" t="str">
        <f>_xlfn.XLOOKUP(tblSales[[#This Row],[Product Code]],tblProducts[Code],tblProducts[Product / Service Name],"⚠ Unknown")</f>
        <v>Bomber Jacket</v>
      </c>
      <c r="H4951" s="1" t="str">
        <f>_xlfn.XLOOKUP(tblSales[[#This Row],[Product Code]],tblProducts[Code],tblProducts[Category],"")</f>
        <v>Apparel &amp; Footwear</v>
      </c>
      <c r="I4951" s="4">
        <v>16</v>
      </c>
      <c r="J4951" s="5">
        <f>_xlfn.XLOOKUP(tblSales[[#This Row],[Product Code]],tblProducts[Code],tblProducts[Selling Price (excl. VAT)],0)</f>
        <v>350000</v>
      </c>
      <c r="K4951" s="5">
        <f>tblSales[[#This Row],[Qty]]*tblSales[[#This Row],[Unit Price]]</f>
        <v>5600000</v>
      </c>
      <c r="L4951" s="5">
        <f>ROUND(tblSales[[#This Row],[DPP (excl. VAT)]]*VATEff,0)</f>
        <v>616000</v>
      </c>
      <c r="M4951" s="5">
        <f>tblSales[[#This Row],[DPP (excl. VAT)]]+tblSales[[#This Row],[Output VAT]]</f>
        <v>6216000</v>
      </c>
      <c r="N4951" s="5">
        <f>tblSales[[#This Row],[Qty]]*_xlfn.XLOOKUP(tblSales[[#This Row],[Product Code]],tblProducts[Code],tblProducts[Unit Cost],0)</f>
        <v>3360000</v>
      </c>
      <c r="O4951" s="4" t="s">
        <v>4867</v>
      </c>
      <c r="P4951" s="4" t="s">
        <v>4860</v>
      </c>
      <c r="Q4951" s="1" t="str">
        <f>_xlfn.XLOOKUP(tblSales[[#This Row],[Channel Code]],tblChannels[Channel Code],tblChannels[Channel Name],"")</f>
        <v>In-store</v>
      </c>
      <c r="R4951" s="1">
        <f>MONTH(tblSales[[#This Row],[Date]])</f>
        <v>10</v>
      </c>
    </row>
    <row r="4952" spans="2:18" x14ac:dyDescent="0.35">
      <c r="B4952" s="113">
        <v>46324</v>
      </c>
      <c r="C4952" s="4" t="s">
        <v>3384</v>
      </c>
      <c r="D4952" s="4" t="s">
        <v>4568</v>
      </c>
      <c r="E4952" s="1" t="str">
        <f>_xlfn.XLOOKUP(tblSales[[#This Row],[Customer ID]],tblCustomers[Customer ID],tblCustomers[Customer Name],"⚠ Unknown")</f>
        <v>Walk-in Customer</v>
      </c>
      <c r="F4952" s="4" t="s">
        <v>11</v>
      </c>
      <c r="G4952" s="1" t="str">
        <f>_xlfn.XLOOKUP(tblSales[[#This Row],[Product Code]],tblProducts[Code],tblProducts[Product / Service Name],"⚠ Unknown")</f>
        <v>Sneakers</v>
      </c>
      <c r="H4952" s="1" t="str">
        <f>_xlfn.XLOOKUP(tblSales[[#This Row],[Product Code]],tblProducts[Code],tblProducts[Category],"")</f>
        <v>Apparel &amp; Footwear</v>
      </c>
      <c r="I4952" s="4">
        <v>5</v>
      </c>
      <c r="J4952" s="5">
        <f>_xlfn.XLOOKUP(tblSales[[#This Row],[Product Code]],tblProducts[Code],tblProducts[Selling Price (excl. VAT)],0)</f>
        <v>250000</v>
      </c>
      <c r="K4952" s="5">
        <f>tblSales[[#This Row],[Qty]]*tblSales[[#This Row],[Unit Price]]</f>
        <v>1250000</v>
      </c>
      <c r="L4952" s="5">
        <f>ROUND(tblSales[[#This Row],[DPP (excl. VAT)]]*VATEff,0)</f>
        <v>137500</v>
      </c>
      <c r="M4952" s="5">
        <f>tblSales[[#This Row],[DPP (excl. VAT)]]+tblSales[[#This Row],[Output VAT]]</f>
        <v>1387500</v>
      </c>
      <c r="N4952" s="5">
        <f>tblSales[[#This Row],[Qty]]*_xlfn.XLOOKUP(tblSales[[#This Row],[Product Code]],tblProducts[Code],tblProducts[Unit Cost],0)</f>
        <v>775000</v>
      </c>
      <c r="O4952" s="4" t="s">
        <v>4865</v>
      </c>
      <c r="P4952" s="4" t="s">
        <v>4860</v>
      </c>
      <c r="Q4952" s="1" t="str">
        <f>_xlfn.XLOOKUP(tblSales[[#This Row],[Channel Code]],tblChannels[Channel Code],tblChannels[Channel Name],"")</f>
        <v>In-store</v>
      </c>
      <c r="R4952" s="1">
        <f>MONTH(tblSales[[#This Row],[Date]])</f>
        <v>10</v>
      </c>
    </row>
    <row r="4953" spans="2:18" x14ac:dyDescent="0.35">
      <c r="B4953" s="113">
        <v>46324</v>
      </c>
      <c r="C4953" s="4" t="s">
        <v>3385</v>
      </c>
      <c r="D4953" s="4" t="s">
        <v>4568</v>
      </c>
      <c r="E4953" s="1" t="str">
        <f>_xlfn.XLOOKUP(tblSales[[#This Row],[Customer ID]],tblCustomers[Customer ID],tblCustomers[Customer Name],"⚠ Unknown")</f>
        <v>Walk-in Customer</v>
      </c>
      <c r="F4953" s="4" t="s">
        <v>12</v>
      </c>
      <c r="G4953" s="1" t="str">
        <f>_xlfn.XLOOKUP(tblSales[[#This Row],[Product Code]],tblProducts[Code],tblProducts[Product / Service Name],"⚠ Unknown")</f>
        <v>Bomber Jacket</v>
      </c>
      <c r="H4953" s="1" t="str">
        <f>_xlfn.XLOOKUP(tblSales[[#This Row],[Product Code]],tblProducts[Code],tblProducts[Category],"")</f>
        <v>Apparel &amp; Footwear</v>
      </c>
      <c r="I4953" s="4">
        <v>6</v>
      </c>
      <c r="J4953" s="5">
        <f>_xlfn.XLOOKUP(tblSales[[#This Row],[Product Code]],tblProducts[Code],tblProducts[Selling Price (excl. VAT)],0)</f>
        <v>350000</v>
      </c>
      <c r="K4953" s="5">
        <f>tblSales[[#This Row],[Qty]]*tblSales[[#This Row],[Unit Price]]</f>
        <v>2100000</v>
      </c>
      <c r="L4953" s="5">
        <f>ROUND(tblSales[[#This Row],[DPP (excl. VAT)]]*VATEff,0)</f>
        <v>231000</v>
      </c>
      <c r="M4953" s="5">
        <f>tblSales[[#This Row],[DPP (excl. VAT)]]+tblSales[[#This Row],[Output VAT]]</f>
        <v>2331000</v>
      </c>
      <c r="N4953" s="5">
        <f>tblSales[[#This Row],[Qty]]*_xlfn.XLOOKUP(tblSales[[#This Row],[Product Code]],tblProducts[Code],tblProducts[Unit Cost],0)</f>
        <v>1260000</v>
      </c>
      <c r="O4953" s="4" t="s">
        <v>4865</v>
      </c>
      <c r="P4953" s="4" t="s">
        <v>4860</v>
      </c>
      <c r="Q4953" s="1" t="str">
        <f>_xlfn.XLOOKUP(tblSales[[#This Row],[Channel Code]],tblChannels[Channel Code],tblChannels[Channel Name],"")</f>
        <v>In-store</v>
      </c>
      <c r="R4953" s="1">
        <f>MONTH(tblSales[[#This Row],[Date]])</f>
        <v>10</v>
      </c>
    </row>
    <row r="4954" spans="2:18" x14ac:dyDescent="0.35">
      <c r="B4954" s="113">
        <v>46325</v>
      </c>
      <c r="C4954" s="4" t="s">
        <v>3386</v>
      </c>
      <c r="D4954" s="4" t="s">
        <v>4568</v>
      </c>
      <c r="E4954" s="1" t="str">
        <f>_xlfn.XLOOKUP(tblSales[[#This Row],[Customer ID]],tblCustomers[Customer ID],tblCustomers[Customer Name],"⚠ Unknown")</f>
        <v>Walk-in Customer</v>
      </c>
      <c r="F4954" s="4" t="s">
        <v>8</v>
      </c>
      <c r="G4954" s="1" t="str">
        <f>_xlfn.XLOOKUP(tblSales[[#This Row],[Product Code]],tblProducts[Code],tblProducts[Product / Service Name],"⚠ Unknown")</f>
        <v>Casual Shorts</v>
      </c>
      <c r="H4954" s="1" t="str">
        <f>_xlfn.XLOOKUP(tblSales[[#This Row],[Product Code]],tblProducts[Code],tblProducts[Category],"")</f>
        <v>Accessories &amp; Basics</v>
      </c>
      <c r="I4954" s="4">
        <v>6</v>
      </c>
      <c r="J4954" s="5">
        <f>_xlfn.XLOOKUP(tblSales[[#This Row],[Product Code]],tblProducts[Code],tblProducts[Selling Price (excl. VAT)],0)</f>
        <v>85000</v>
      </c>
      <c r="K4954" s="5">
        <f>tblSales[[#This Row],[Qty]]*tblSales[[#This Row],[Unit Price]]</f>
        <v>510000</v>
      </c>
      <c r="L4954" s="5">
        <f>ROUND(tblSales[[#This Row],[DPP (excl. VAT)]]*VATEff,0)</f>
        <v>56100</v>
      </c>
      <c r="M4954" s="5">
        <f>tblSales[[#This Row],[DPP (excl. VAT)]]+tblSales[[#This Row],[Output VAT]]</f>
        <v>566100</v>
      </c>
      <c r="N4954" s="5">
        <f>tblSales[[#This Row],[Qty]]*_xlfn.XLOOKUP(tblSales[[#This Row],[Product Code]],tblProducts[Code],tblProducts[Unit Cost],0)</f>
        <v>300000</v>
      </c>
      <c r="O4954" s="4" t="s">
        <v>4866</v>
      </c>
      <c r="P4954" s="4" t="s">
        <v>4860</v>
      </c>
      <c r="Q4954" s="1" t="str">
        <f>_xlfn.XLOOKUP(tblSales[[#This Row],[Channel Code]],tblChannels[Channel Code],tblChannels[Channel Name],"")</f>
        <v>In-store</v>
      </c>
      <c r="R4954" s="1">
        <f>MONTH(tblSales[[#This Row],[Date]])</f>
        <v>10</v>
      </c>
    </row>
    <row r="4955" spans="2:18" x14ac:dyDescent="0.35">
      <c r="B4955" s="113">
        <v>46325</v>
      </c>
      <c r="C4955" s="4" t="s">
        <v>3387</v>
      </c>
      <c r="D4955" s="4" t="s">
        <v>4568</v>
      </c>
      <c r="E4955" s="1" t="str">
        <f>_xlfn.XLOOKUP(tblSales[[#This Row],[Customer ID]],tblCustomers[Customer ID],tblCustomers[Customer Name],"⚠ Unknown")</f>
        <v>Walk-in Customer</v>
      </c>
      <c r="F4955" s="4" t="s">
        <v>10</v>
      </c>
      <c r="G4955" s="1" t="str">
        <f>_xlfn.XLOOKUP(tblSales[[#This Row],[Product Code]],tblProducts[Code],tblProducts[Product / Service Name],"⚠ Unknown")</f>
        <v>Chino Pants</v>
      </c>
      <c r="H4955" s="1" t="str">
        <f>_xlfn.XLOOKUP(tblSales[[#This Row],[Product Code]],tblProducts[Code],tblProducts[Category],"")</f>
        <v>Apparel &amp; Footwear</v>
      </c>
      <c r="I4955" s="4">
        <v>6</v>
      </c>
      <c r="J4955" s="5">
        <f>_xlfn.XLOOKUP(tblSales[[#This Row],[Product Code]],tblProducts[Code],tblProducts[Selling Price (excl. VAT)],0)</f>
        <v>150000</v>
      </c>
      <c r="K4955" s="5">
        <f>tblSales[[#This Row],[Qty]]*tblSales[[#This Row],[Unit Price]]</f>
        <v>900000</v>
      </c>
      <c r="L4955" s="5">
        <f>ROUND(tblSales[[#This Row],[DPP (excl. VAT)]]*VATEff,0)</f>
        <v>99000</v>
      </c>
      <c r="M4955" s="5">
        <f>tblSales[[#This Row],[DPP (excl. VAT)]]+tblSales[[#This Row],[Output VAT]]</f>
        <v>999000</v>
      </c>
      <c r="N4955" s="5">
        <f>tblSales[[#This Row],[Qty]]*_xlfn.XLOOKUP(tblSales[[#This Row],[Product Code]],tblProducts[Code],tblProducts[Unit Cost],0)</f>
        <v>528000</v>
      </c>
      <c r="O4955" s="4" t="s">
        <v>4866</v>
      </c>
      <c r="P4955" s="4" t="s">
        <v>4861</v>
      </c>
      <c r="Q4955" s="1" t="str">
        <f>_xlfn.XLOOKUP(tblSales[[#This Row],[Channel Code]],tblChannels[Channel Code],tblChannels[Channel Name],"")</f>
        <v>Marketplace</v>
      </c>
      <c r="R4955" s="1">
        <f>MONTH(tblSales[[#This Row],[Date]])</f>
        <v>10</v>
      </c>
    </row>
    <row r="4956" spans="2:18" x14ac:dyDescent="0.35">
      <c r="B4956" s="113">
        <v>46325</v>
      </c>
      <c r="C4956" s="4" t="s">
        <v>3387</v>
      </c>
      <c r="D4956" s="4" t="s">
        <v>4568</v>
      </c>
      <c r="E4956" s="1" t="str">
        <f>_xlfn.XLOOKUP(tblSales[[#This Row],[Customer ID]],tblCustomers[Customer ID],tblCustomers[Customer Name],"⚠ Unknown")</f>
        <v>Walk-in Customer</v>
      </c>
      <c r="F4956" s="4" t="s">
        <v>6</v>
      </c>
      <c r="G4956" s="1" t="str">
        <f>_xlfn.XLOOKUP(tblSales[[#This Row],[Product Code]],tblProducts[Code],tblProducts[Product / Service Name],"⚠ Unknown")</f>
        <v>Socks &amp; Accessories</v>
      </c>
      <c r="H4956" s="1" t="str">
        <f>_xlfn.XLOOKUP(tblSales[[#This Row],[Product Code]],tblProducts[Code],tblProducts[Category],"")</f>
        <v>Accessories &amp; Basics</v>
      </c>
      <c r="I4956" s="4">
        <v>4</v>
      </c>
      <c r="J4956" s="5">
        <f>_xlfn.XLOOKUP(tblSales[[#This Row],[Product Code]],tblProducts[Code],tblProducts[Selling Price (excl. VAT)],0)</f>
        <v>45000</v>
      </c>
      <c r="K4956" s="5">
        <f>tblSales[[#This Row],[Qty]]*tblSales[[#This Row],[Unit Price]]</f>
        <v>180000</v>
      </c>
      <c r="L4956" s="5">
        <f>ROUND(tblSales[[#This Row],[DPP (excl. VAT)]]*VATEff,0)</f>
        <v>19800</v>
      </c>
      <c r="M4956" s="5">
        <f>tblSales[[#This Row],[DPP (excl. VAT)]]+tblSales[[#This Row],[Output VAT]]</f>
        <v>199800</v>
      </c>
      <c r="N4956" s="5">
        <f>tblSales[[#This Row],[Qty]]*_xlfn.XLOOKUP(tblSales[[#This Row],[Product Code]],tblProducts[Code],tblProducts[Unit Cost],0)</f>
        <v>96000</v>
      </c>
      <c r="O4956" s="4" t="s">
        <v>4866</v>
      </c>
      <c r="P4956" s="4" t="s">
        <v>4861</v>
      </c>
      <c r="Q4956" s="1" t="str">
        <f>_xlfn.XLOOKUP(tblSales[[#This Row],[Channel Code]],tblChannels[Channel Code],tblChannels[Channel Name],"")</f>
        <v>Marketplace</v>
      </c>
      <c r="R4956" s="1">
        <f>MONTH(tblSales[[#This Row],[Date]])</f>
        <v>10</v>
      </c>
    </row>
    <row r="4957" spans="2:18" x14ac:dyDescent="0.35">
      <c r="B4957" s="113">
        <v>46325</v>
      </c>
      <c r="C4957" s="4" t="s">
        <v>3387</v>
      </c>
      <c r="D4957" s="4" t="s">
        <v>4568</v>
      </c>
      <c r="E4957" s="1" t="str">
        <f>_xlfn.XLOOKUP(tblSales[[#This Row],[Customer ID]],tblCustomers[Customer ID],tblCustomers[Customer Name],"⚠ Unknown")</f>
        <v>Walk-in Customer</v>
      </c>
      <c r="F4957" s="4" t="s">
        <v>7</v>
      </c>
      <c r="G4957" s="1" t="str">
        <f>_xlfn.XLOOKUP(tblSales[[#This Row],[Product Code]],tblProducts[Code],tblProducts[Product / Service Name],"⚠ Unknown")</f>
        <v>Premium Basic T-shirt</v>
      </c>
      <c r="H4957" s="1" t="str">
        <f>_xlfn.XLOOKUP(tblSales[[#This Row],[Product Code]],tblProducts[Code],tblProducts[Category],"")</f>
        <v>Accessories &amp; Basics</v>
      </c>
      <c r="I4957" s="4">
        <v>3</v>
      </c>
      <c r="J4957" s="5">
        <f>_xlfn.XLOOKUP(tblSales[[#This Row],[Product Code]],tblProducts[Code],tblProducts[Selling Price (excl. VAT)],0)</f>
        <v>65000</v>
      </c>
      <c r="K4957" s="5">
        <f>tblSales[[#This Row],[Qty]]*tblSales[[#This Row],[Unit Price]]</f>
        <v>195000</v>
      </c>
      <c r="L4957" s="5">
        <f>ROUND(tblSales[[#This Row],[DPP (excl. VAT)]]*VATEff,0)</f>
        <v>21450</v>
      </c>
      <c r="M4957" s="5">
        <f>tblSales[[#This Row],[DPP (excl. VAT)]]+tblSales[[#This Row],[Output VAT]]</f>
        <v>216450</v>
      </c>
      <c r="N4957" s="5">
        <f>tblSales[[#This Row],[Qty]]*_xlfn.XLOOKUP(tblSales[[#This Row],[Product Code]],tblProducts[Code],tblProducts[Unit Cost],0)</f>
        <v>111000</v>
      </c>
      <c r="O4957" s="4" t="s">
        <v>4866</v>
      </c>
      <c r="P4957" s="4" t="s">
        <v>4861</v>
      </c>
      <c r="Q4957" s="1" t="str">
        <f>_xlfn.XLOOKUP(tblSales[[#This Row],[Channel Code]],tblChannels[Channel Code],tblChannels[Channel Name],"")</f>
        <v>Marketplace</v>
      </c>
      <c r="R4957" s="1">
        <f>MONTH(tblSales[[#This Row],[Date]])</f>
        <v>10</v>
      </c>
    </row>
    <row r="4958" spans="2:18" x14ac:dyDescent="0.35">
      <c r="B4958" s="113">
        <v>46325</v>
      </c>
      <c r="C4958" s="4" t="s">
        <v>3388</v>
      </c>
      <c r="D4958" s="4" t="s">
        <v>4568</v>
      </c>
      <c r="E4958" s="1" t="str">
        <f>_xlfn.XLOOKUP(tblSales[[#This Row],[Customer ID]],tblCustomers[Customer ID],tblCustomers[Customer Name],"⚠ Unknown")</f>
        <v>Walk-in Customer</v>
      </c>
      <c r="F4958" s="4" t="s">
        <v>9</v>
      </c>
      <c r="G4958" s="1" t="str">
        <f>_xlfn.XLOOKUP(tblSales[[#This Row],[Product Code]],tblProducts[Code],tblProducts[Product / Service Name],"⚠ Unknown")</f>
        <v>Casual Shirt</v>
      </c>
      <c r="H4958" s="1" t="str">
        <f>_xlfn.XLOOKUP(tblSales[[#This Row],[Product Code]],tblProducts[Code],tblProducts[Category],"")</f>
        <v>Apparel &amp; Footwear</v>
      </c>
      <c r="I4958" s="4">
        <v>8</v>
      </c>
      <c r="J4958" s="5">
        <f>_xlfn.XLOOKUP(tblSales[[#This Row],[Product Code]],tblProducts[Code],tblProducts[Selling Price (excl. VAT)],0)</f>
        <v>120000</v>
      </c>
      <c r="K4958" s="5">
        <f>tblSales[[#This Row],[Qty]]*tblSales[[#This Row],[Unit Price]]</f>
        <v>960000</v>
      </c>
      <c r="L4958" s="5">
        <f>ROUND(tblSales[[#This Row],[DPP (excl. VAT)]]*VATEff,0)</f>
        <v>105600</v>
      </c>
      <c r="M4958" s="5">
        <f>tblSales[[#This Row],[DPP (excl. VAT)]]+tblSales[[#This Row],[Output VAT]]</f>
        <v>1065600</v>
      </c>
      <c r="N4958" s="5">
        <f>tblSales[[#This Row],[Qty]]*_xlfn.XLOOKUP(tblSales[[#This Row],[Product Code]],tblProducts[Code],tblProducts[Unit Cost],0)</f>
        <v>576000</v>
      </c>
      <c r="O4958" s="4" t="s">
        <v>4865</v>
      </c>
      <c r="P4958" s="4" t="s">
        <v>4860</v>
      </c>
      <c r="Q4958" s="1" t="str">
        <f>_xlfn.XLOOKUP(tblSales[[#This Row],[Channel Code]],tblChannels[Channel Code],tblChannels[Channel Name],"")</f>
        <v>In-store</v>
      </c>
      <c r="R4958" s="1">
        <f>MONTH(tblSales[[#This Row],[Date]])</f>
        <v>10</v>
      </c>
    </row>
    <row r="4959" spans="2:18" x14ac:dyDescent="0.35">
      <c r="B4959" s="113">
        <v>46325</v>
      </c>
      <c r="C4959" s="4" t="s">
        <v>3388</v>
      </c>
      <c r="D4959" s="4" t="s">
        <v>4568</v>
      </c>
      <c r="E4959" s="1" t="str">
        <f>_xlfn.XLOOKUP(tblSales[[#This Row],[Customer ID]],tblCustomers[Customer ID],tblCustomers[Customer Name],"⚠ Unknown")</f>
        <v>Walk-in Customer</v>
      </c>
      <c r="F4959" s="4" t="s">
        <v>6</v>
      </c>
      <c r="G4959" s="1" t="str">
        <f>_xlfn.XLOOKUP(tblSales[[#This Row],[Product Code]],tblProducts[Code],tblProducts[Product / Service Name],"⚠ Unknown")</f>
        <v>Socks &amp; Accessories</v>
      </c>
      <c r="H4959" s="1" t="str">
        <f>_xlfn.XLOOKUP(tblSales[[#This Row],[Product Code]],tblProducts[Code],tblProducts[Category],"")</f>
        <v>Accessories &amp; Basics</v>
      </c>
      <c r="I4959" s="4">
        <v>10</v>
      </c>
      <c r="J4959" s="5">
        <f>_xlfn.XLOOKUP(tblSales[[#This Row],[Product Code]],tblProducts[Code],tblProducts[Selling Price (excl. VAT)],0)</f>
        <v>45000</v>
      </c>
      <c r="K4959" s="5">
        <f>tblSales[[#This Row],[Qty]]*tblSales[[#This Row],[Unit Price]]</f>
        <v>450000</v>
      </c>
      <c r="L4959" s="5">
        <f>ROUND(tblSales[[#This Row],[DPP (excl. VAT)]]*VATEff,0)</f>
        <v>49500</v>
      </c>
      <c r="M4959" s="5">
        <f>tblSales[[#This Row],[DPP (excl. VAT)]]+tblSales[[#This Row],[Output VAT]]</f>
        <v>499500</v>
      </c>
      <c r="N4959" s="5">
        <f>tblSales[[#This Row],[Qty]]*_xlfn.XLOOKUP(tblSales[[#This Row],[Product Code]],tblProducts[Code],tblProducts[Unit Cost],0)</f>
        <v>240000</v>
      </c>
      <c r="O4959" s="4" t="s">
        <v>4865</v>
      </c>
      <c r="P4959" s="4" t="s">
        <v>4860</v>
      </c>
      <c r="Q4959" s="1" t="str">
        <f>_xlfn.XLOOKUP(tblSales[[#This Row],[Channel Code]],tblChannels[Channel Code],tblChannels[Channel Name],"")</f>
        <v>In-store</v>
      </c>
      <c r="R4959" s="1">
        <f>MONTH(tblSales[[#This Row],[Date]])</f>
        <v>10</v>
      </c>
    </row>
    <row r="4960" spans="2:18" x14ac:dyDescent="0.35">
      <c r="B4960" s="113">
        <v>46325</v>
      </c>
      <c r="C4960" s="4" t="s">
        <v>3388</v>
      </c>
      <c r="D4960" s="4" t="s">
        <v>4568</v>
      </c>
      <c r="E4960" s="1" t="str">
        <f>_xlfn.XLOOKUP(tblSales[[#This Row],[Customer ID]],tblCustomers[Customer ID],tblCustomers[Customer Name],"⚠ Unknown")</f>
        <v>Walk-in Customer</v>
      </c>
      <c r="F4960" s="4" t="s">
        <v>7</v>
      </c>
      <c r="G4960" s="1" t="str">
        <f>_xlfn.XLOOKUP(tblSales[[#This Row],[Product Code]],tblProducts[Code],tblProducts[Product / Service Name],"⚠ Unknown")</f>
        <v>Premium Basic T-shirt</v>
      </c>
      <c r="H4960" s="1" t="str">
        <f>_xlfn.XLOOKUP(tblSales[[#This Row],[Product Code]],tblProducts[Code],tblProducts[Category],"")</f>
        <v>Accessories &amp; Basics</v>
      </c>
      <c r="I4960" s="4">
        <v>2</v>
      </c>
      <c r="J4960" s="5">
        <f>_xlfn.XLOOKUP(tblSales[[#This Row],[Product Code]],tblProducts[Code],tblProducts[Selling Price (excl. VAT)],0)</f>
        <v>65000</v>
      </c>
      <c r="K4960" s="5">
        <f>tblSales[[#This Row],[Qty]]*tblSales[[#This Row],[Unit Price]]</f>
        <v>130000</v>
      </c>
      <c r="L4960" s="5">
        <f>ROUND(tblSales[[#This Row],[DPP (excl. VAT)]]*VATEff,0)</f>
        <v>14300</v>
      </c>
      <c r="M4960" s="5">
        <f>tblSales[[#This Row],[DPP (excl. VAT)]]+tblSales[[#This Row],[Output VAT]]</f>
        <v>144300</v>
      </c>
      <c r="N4960" s="5">
        <f>tblSales[[#This Row],[Qty]]*_xlfn.XLOOKUP(tblSales[[#This Row],[Product Code]],tblProducts[Code],tblProducts[Unit Cost],0)</f>
        <v>74000</v>
      </c>
      <c r="O4960" s="4" t="s">
        <v>4865</v>
      </c>
      <c r="P4960" s="4" t="s">
        <v>4860</v>
      </c>
      <c r="Q4960" s="1" t="str">
        <f>_xlfn.XLOOKUP(tblSales[[#This Row],[Channel Code]],tblChannels[Channel Code],tblChannels[Channel Name],"")</f>
        <v>In-store</v>
      </c>
      <c r="R4960" s="1">
        <f>MONTH(tblSales[[#This Row],[Date]])</f>
        <v>10</v>
      </c>
    </row>
    <row r="4961" spans="2:18" x14ac:dyDescent="0.35">
      <c r="B4961" s="113">
        <v>46325</v>
      </c>
      <c r="C4961" s="4" t="s">
        <v>3389</v>
      </c>
      <c r="D4961" s="4" t="s">
        <v>4568</v>
      </c>
      <c r="E4961" s="1" t="str">
        <f>_xlfn.XLOOKUP(tblSales[[#This Row],[Customer ID]],tblCustomers[Customer ID],tblCustomers[Customer Name],"⚠ Unknown")</f>
        <v>Walk-in Customer</v>
      </c>
      <c r="F4961" s="4" t="s">
        <v>7</v>
      </c>
      <c r="G4961" s="1" t="str">
        <f>_xlfn.XLOOKUP(tblSales[[#This Row],[Product Code]],tblProducts[Code],tblProducts[Product / Service Name],"⚠ Unknown")</f>
        <v>Premium Basic T-shirt</v>
      </c>
      <c r="H4961" s="1" t="str">
        <f>_xlfn.XLOOKUP(tblSales[[#This Row],[Product Code]],tblProducts[Code],tblProducts[Category],"")</f>
        <v>Accessories &amp; Basics</v>
      </c>
      <c r="I4961" s="4">
        <v>8</v>
      </c>
      <c r="J4961" s="5">
        <f>_xlfn.XLOOKUP(tblSales[[#This Row],[Product Code]],tblProducts[Code],tblProducts[Selling Price (excl. VAT)],0)</f>
        <v>65000</v>
      </c>
      <c r="K4961" s="5">
        <f>tblSales[[#This Row],[Qty]]*tblSales[[#This Row],[Unit Price]]</f>
        <v>520000</v>
      </c>
      <c r="L4961" s="5">
        <f>ROUND(tblSales[[#This Row],[DPP (excl. VAT)]]*VATEff,0)</f>
        <v>57200</v>
      </c>
      <c r="M4961" s="5">
        <f>tblSales[[#This Row],[DPP (excl. VAT)]]+tblSales[[#This Row],[Output VAT]]</f>
        <v>577200</v>
      </c>
      <c r="N4961" s="5">
        <f>tblSales[[#This Row],[Qty]]*_xlfn.XLOOKUP(tblSales[[#This Row],[Product Code]],tblProducts[Code],tblProducts[Unit Cost],0)</f>
        <v>296000</v>
      </c>
      <c r="O4961" s="4" t="s">
        <v>4866</v>
      </c>
      <c r="P4961" s="4" t="s">
        <v>4860</v>
      </c>
      <c r="Q4961" s="1" t="str">
        <f>_xlfn.XLOOKUP(tblSales[[#This Row],[Channel Code]],tblChannels[Channel Code],tblChannels[Channel Name],"")</f>
        <v>In-store</v>
      </c>
      <c r="R4961" s="1">
        <f>MONTH(tblSales[[#This Row],[Date]])</f>
        <v>10</v>
      </c>
    </row>
    <row r="4962" spans="2:18" x14ac:dyDescent="0.35">
      <c r="B4962" s="113">
        <v>46325</v>
      </c>
      <c r="C4962" s="4" t="s">
        <v>3390</v>
      </c>
      <c r="D4962" s="4" t="s">
        <v>4568</v>
      </c>
      <c r="E4962" s="1" t="str">
        <f>_xlfn.XLOOKUP(tblSales[[#This Row],[Customer ID]],tblCustomers[Customer ID],tblCustomers[Customer Name],"⚠ Unknown")</f>
        <v>Walk-in Customer</v>
      </c>
      <c r="F4962" s="4" t="s">
        <v>13</v>
      </c>
      <c r="G4962" s="1" t="str">
        <f>_xlfn.XLOOKUP(tblSales[[#This Row],[Product Code]],tblProducts[Code],tblProducts[Product / Service Name],"⚠ Unknown")</f>
        <v>Backpack</v>
      </c>
      <c r="H4962" s="1" t="str">
        <f>_xlfn.XLOOKUP(tblSales[[#This Row],[Product Code]],tblProducts[Code],tblProducts[Category],"")</f>
        <v>Bags &amp; Gadgets</v>
      </c>
      <c r="I4962" s="4">
        <v>1</v>
      </c>
      <c r="J4962" s="5">
        <f>_xlfn.XLOOKUP(tblSales[[#This Row],[Product Code]],tblProducts[Code],tblProducts[Selling Price (excl. VAT)],0)</f>
        <v>500000</v>
      </c>
      <c r="K4962" s="5">
        <f>tblSales[[#This Row],[Qty]]*tblSales[[#This Row],[Unit Price]]</f>
        <v>500000</v>
      </c>
      <c r="L4962" s="5">
        <f>ROUND(tblSales[[#This Row],[DPP (excl. VAT)]]*VATEff,0)</f>
        <v>55000</v>
      </c>
      <c r="M4962" s="5">
        <f>tblSales[[#This Row],[DPP (excl. VAT)]]+tblSales[[#This Row],[Output VAT]]</f>
        <v>555000</v>
      </c>
      <c r="N4962" s="5">
        <f>tblSales[[#This Row],[Qty]]*_xlfn.XLOOKUP(tblSales[[#This Row],[Product Code]],tblProducts[Code],tblProducts[Unit Cost],0)</f>
        <v>290000</v>
      </c>
      <c r="O4962" s="4" t="s">
        <v>4865</v>
      </c>
      <c r="P4962" s="4" t="s">
        <v>4860</v>
      </c>
      <c r="Q4962" s="1" t="str">
        <f>_xlfn.XLOOKUP(tblSales[[#This Row],[Channel Code]],tblChannels[Channel Code],tblChannels[Channel Name],"")</f>
        <v>In-store</v>
      </c>
      <c r="R4962" s="1">
        <f>MONTH(tblSales[[#This Row],[Date]])</f>
        <v>10</v>
      </c>
    </row>
    <row r="4963" spans="2:18" x14ac:dyDescent="0.35">
      <c r="B4963" s="113">
        <v>46325</v>
      </c>
      <c r="C4963" s="4" t="s">
        <v>3390</v>
      </c>
      <c r="D4963" s="4" t="s">
        <v>4568</v>
      </c>
      <c r="E4963" s="1" t="str">
        <f>_xlfn.XLOOKUP(tblSales[[#This Row],[Customer ID]],tblCustomers[Customer ID],tblCustomers[Customer Name],"⚠ Unknown")</f>
        <v>Walk-in Customer</v>
      </c>
      <c r="F4963" s="4" t="s">
        <v>8</v>
      </c>
      <c r="G4963" s="1" t="str">
        <f>_xlfn.XLOOKUP(tblSales[[#This Row],[Product Code]],tblProducts[Code],tblProducts[Product / Service Name],"⚠ Unknown")</f>
        <v>Casual Shorts</v>
      </c>
      <c r="H4963" s="1" t="str">
        <f>_xlfn.XLOOKUP(tblSales[[#This Row],[Product Code]],tblProducts[Code],tblProducts[Category],"")</f>
        <v>Accessories &amp; Basics</v>
      </c>
      <c r="I4963" s="4">
        <v>8</v>
      </c>
      <c r="J4963" s="5">
        <f>_xlfn.XLOOKUP(tblSales[[#This Row],[Product Code]],tblProducts[Code],tblProducts[Selling Price (excl. VAT)],0)</f>
        <v>85000</v>
      </c>
      <c r="K4963" s="5">
        <f>tblSales[[#This Row],[Qty]]*tblSales[[#This Row],[Unit Price]]</f>
        <v>680000</v>
      </c>
      <c r="L4963" s="5">
        <f>ROUND(tblSales[[#This Row],[DPP (excl. VAT)]]*VATEff,0)</f>
        <v>74800</v>
      </c>
      <c r="M4963" s="5">
        <f>tblSales[[#This Row],[DPP (excl. VAT)]]+tblSales[[#This Row],[Output VAT]]</f>
        <v>754800</v>
      </c>
      <c r="N4963" s="5">
        <f>tblSales[[#This Row],[Qty]]*_xlfn.XLOOKUP(tblSales[[#This Row],[Product Code]],tblProducts[Code],tblProducts[Unit Cost],0)</f>
        <v>400000</v>
      </c>
      <c r="O4963" s="4" t="s">
        <v>4865</v>
      </c>
      <c r="P4963" s="4" t="s">
        <v>4860</v>
      </c>
      <c r="Q4963" s="1" t="str">
        <f>_xlfn.XLOOKUP(tblSales[[#This Row],[Channel Code]],tblChannels[Channel Code],tblChannels[Channel Name],"")</f>
        <v>In-store</v>
      </c>
      <c r="R4963" s="1">
        <f>MONTH(tblSales[[#This Row],[Date]])</f>
        <v>10</v>
      </c>
    </row>
    <row r="4964" spans="2:18" x14ac:dyDescent="0.35">
      <c r="B4964" s="113">
        <v>46325</v>
      </c>
      <c r="C4964" s="4" t="s">
        <v>3391</v>
      </c>
      <c r="D4964" s="4" t="s">
        <v>4568</v>
      </c>
      <c r="E4964" s="1" t="str">
        <f>_xlfn.XLOOKUP(tblSales[[#This Row],[Customer ID]],tblCustomers[Customer ID],tblCustomers[Customer Name],"⚠ Unknown")</f>
        <v>Walk-in Customer</v>
      </c>
      <c r="F4964" s="4" t="s">
        <v>6</v>
      </c>
      <c r="G4964" s="1" t="str">
        <f>_xlfn.XLOOKUP(tblSales[[#This Row],[Product Code]],tblProducts[Code],tblProducts[Product / Service Name],"⚠ Unknown")</f>
        <v>Socks &amp; Accessories</v>
      </c>
      <c r="H4964" s="1" t="str">
        <f>_xlfn.XLOOKUP(tblSales[[#This Row],[Product Code]],tblProducts[Code],tblProducts[Category],"")</f>
        <v>Accessories &amp; Basics</v>
      </c>
      <c r="I4964" s="4">
        <v>5</v>
      </c>
      <c r="J4964" s="5">
        <f>_xlfn.XLOOKUP(tblSales[[#This Row],[Product Code]],tblProducts[Code],tblProducts[Selling Price (excl. VAT)],0)</f>
        <v>45000</v>
      </c>
      <c r="K4964" s="5">
        <f>tblSales[[#This Row],[Qty]]*tblSales[[#This Row],[Unit Price]]</f>
        <v>225000</v>
      </c>
      <c r="L4964" s="5">
        <f>ROUND(tblSales[[#This Row],[DPP (excl. VAT)]]*VATEff,0)</f>
        <v>24750</v>
      </c>
      <c r="M4964" s="5">
        <f>tblSales[[#This Row],[DPP (excl. VAT)]]+tblSales[[#This Row],[Output VAT]]</f>
        <v>249750</v>
      </c>
      <c r="N4964" s="5">
        <f>tblSales[[#This Row],[Qty]]*_xlfn.XLOOKUP(tblSales[[#This Row],[Product Code]],tblProducts[Code],tblProducts[Unit Cost],0)</f>
        <v>120000</v>
      </c>
      <c r="O4964" s="4" t="s">
        <v>4866</v>
      </c>
      <c r="P4964" s="4" t="s">
        <v>4860</v>
      </c>
      <c r="Q4964" s="1" t="str">
        <f>_xlfn.XLOOKUP(tblSales[[#This Row],[Channel Code]],tblChannels[Channel Code],tblChannels[Channel Name],"")</f>
        <v>In-store</v>
      </c>
      <c r="R4964" s="1">
        <f>MONTH(tblSales[[#This Row],[Date]])</f>
        <v>10</v>
      </c>
    </row>
    <row r="4965" spans="2:18" x14ac:dyDescent="0.35">
      <c r="B4965" s="113">
        <v>46325</v>
      </c>
      <c r="C4965" s="4" t="s">
        <v>3392</v>
      </c>
      <c r="D4965" s="4" t="s">
        <v>4599</v>
      </c>
      <c r="E4965" s="1" t="str">
        <f>_xlfn.XLOOKUP(tblSales[[#This Row],[Customer ID]],tblCustomers[Customer ID],tblCustomers[Customer Name],"⚠ Unknown")</f>
        <v>PT Samudra Jaya Logistik</v>
      </c>
      <c r="F4965" s="4" t="s">
        <v>7</v>
      </c>
      <c r="G4965" s="1" t="str">
        <f>_xlfn.XLOOKUP(tblSales[[#This Row],[Product Code]],tblProducts[Code],tblProducts[Product / Service Name],"⚠ Unknown")</f>
        <v>Premium Basic T-shirt</v>
      </c>
      <c r="H4965" s="1" t="str">
        <f>_xlfn.XLOOKUP(tblSales[[#This Row],[Product Code]],tblProducts[Code],tblProducts[Category],"")</f>
        <v>Accessories &amp; Basics</v>
      </c>
      <c r="I4965" s="4">
        <v>64</v>
      </c>
      <c r="J4965" s="5">
        <f>_xlfn.XLOOKUP(tblSales[[#This Row],[Product Code]],tblProducts[Code],tblProducts[Selling Price (excl. VAT)],0)</f>
        <v>65000</v>
      </c>
      <c r="K4965" s="5">
        <f>tblSales[[#This Row],[Qty]]*tblSales[[#This Row],[Unit Price]]</f>
        <v>4160000</v>
      </c>
      <c r="L4965" s="5">
        <f>ROUND(tblSales[[#This Row],[DPP (excl. VAT)]]*VATEff,0)</f>
        <v>457600</v>
      </c>
      <c r="M4965" s="5">
        <f>tblSales[[#This Row],[DPP (excl. VAT)]]+tblSales[[#This Row],[Output VAT]]</f>
        <v>4617600</v>
      </c>
      <c r="N4965" s="5">
        <f>tblSales[[#This Row],[Qty]]*_xlfn.XLOOKUP(tblSales[[#This Row],[Product Code]],tblProducts[Code],tblProducts[Unit Cost],0)</f>
        <v>2368000</v>
      </c>
      <c r="O4965" s="4" t="s">
        <v>4867</v>
      </c>
      <c r="P4965" s="4" t="s">
        <v>4860</v>
      </c>
      <c r="Q4965" s="1" t="str">
        <f>_xlfn.XLOOKUP(tblSales[[#This Row],[Channel Code]],tblChannels[Channel Code],tblChannels[Channel Name],"")</f>
        <v>In-store</v>
      </c>
      <c r="R4965" s="1">
        <f>MONTH(tblSales[[#This Row],[Date]])</f>
        <v>10</v>
      </c>
    </row>
    <row r="4966" spans="2:18" x14ac:dyDescent="0.35">
      <c r="B4966" s="113">
        <v>46325</v>
      </c>
      <c r="C4966" s="4" t="s">
        <v>3393</v>
      </c>
      <c r="D4966" s="4" t="s">
        <v>4585</v>
      </c>
      <c r="E4966" s="1" t="str">
        <f>_xlfn.XLOOKUP(tblSales[[#This Row],[Customer ID]],tblCustomers[Customer ID],tblCustomers[Customer Name],"⚠ Unknown")</f>
        <v>CV Mitra Karya Mandiri</v>
      </c>
      <c r="F4966" s="4" t="s">
        <v>6</v>
      </c>
      <c r="G4966" s="1" t="str">
        <f>_xlfn.XLOOKUP(tblSales[[#This Row],[Product Code]],tblProducts[Code],tblProducts[Product / Service Name],"⚠ Unknown")</f>
        <v>Socks &amp; Accessories</v>
      </c>
      <c r="H4966" s="1" t="str">
        <f>_xlfn.XLOOKUP(tblSales[[#This Row],[Product Code]],tblProducts[Code],tblProducts[Category],"")</f>
        <v>Accessories &amp; Basics</v>
      </c>
      <c r="I4966" s="4">
        <v>88</v>
      </c>
      <c r="J4966" s="5">
        <f>_xlfn.XLOOKUP(tblSales[[#This Row],[Product Code]],tblProducts[Code],tblProducts[Selling Price (excl. VAT)],0)</f>
        <v>45000</v>
      </c>
      <c r="K4966" s="5">
        <f>tblSales[[#This Row],[Qty]]*tblSales[[#This Row],[Unit Price]]</f>
        <v>3960000</v>
      </c>
      <c r="L4966" s="5">
        <f>ROUND(tblSales[[#This Row],[DPP (excl. VAT)]]*VATEff,0)</f>
        <v>435600</v>
      </c>
      <c r="M4966" s="5">
        <f>tblSales[[#This Row],[DPP (excl. VAT)]]+tblSales[[#This Row],[Output VAT]]</f>
        <v>4395600</v>
      </c>
      <c r="N4966" s="5">
        <f>tblSales[[#This Row],[Qty]]*_xlfn.XLOOKUP(tblSales[[#This Row],[Product Code]],tblProducts[Code],tblProducts[Unit Cost],0)</f>
        <v>2112000</v>
      </c>
      <c r="O4966" s="4" t="s">
        <v>4867</v>
      </c>
      <c r="P4966" s="4" t="s">
        <v>4860</v>
      </c>
      <c r="Q4966" s="1" t="str">
        <f>_xlfn.XLOOKUP(tblSales[[#This Row],[Channel Code]],tblChannels[Channel Code],tblChannels[Channel Name],"")</f>
        <v>In-store</v>
      </c>
      <c r="R4966" s="1">
        <f>MONTH(tblSales[[#This Row],[Date]])</f>
        <v>10</v>
      </c>
    </row>
    <row r="4967" spans="2:18" x14ac:dyDescent="0.35">
      <c r="B4967" s="113">
        <v>46325</v>
      </c>
      <c r="C4967" s="4" t="s">
        <v>3393</v>
      </c>
      <c r="D4967" s="4" t="s">
        <v>4585</v>
      </c>
      <c r="E4967" s="1" t="str">
        <f>_xlfn.XLOOKUP(tblSales[[#This Row],[Customer ID]],tblCustomers[Customer ID],tblCustomers[Customer Name],"⚠ Unknown")</f>
        <v>CV Mitra Karya Mandiri</v>
      </c>
      <c r="F4967" s="4" t="s">
        <v>10</v>
      </c>
      <c r="G4967" s="1" t="str">
        <f>_xlfn.XLOOKUP(tblSales[[#This Row],[Product Code]],tblProducts[Code],tblProducts[Product / Service Name],"⚠ Unknown")</f>
        <v>Chino Pants</v>
      </c>
      <c r="H4967" s="1" t="str">
        <f>_xlfn.XLOOKUP(tblSales[[#This Row],[Product Code]],tblProducts[Code],tblProducts[Category],"")</f>
        <v>Apparel &amp; Footwear</v>
      </c>
      <c r="I4967" s="4">
        <v>40</v>
      </c>
      <c r="J4967" s="5">
        <f>_xlfn.XLOOKUP(tblSales[[#This Row],[Product Code]],tblProducts[Code],tblProducts[Selling Price (excl. VAT)],0)</f>
        <v>150000</v>
      </c>
      <c r="K4967" s="5">
        <f>tblSales[[#This Row],[Qty]]*tblSales[[#This Row],[Unit Price]]</f>
        <v>6000000</v>
      </c>
      <c r="L4967" s="5">
        <f>ROUND(tblSales[[#This Row],[DPP (excl. VAT)]]*VATEff,0)</f>
        <v>660000</v>
      </c>
      <c r="M4967" s="5">
        <f>tblSales[[#This Row],[DPP (excl. VAT)]]+tblSales[[#This Row],[Output VAT]]</f>
        <v>6660000</v>
      </c>
      <c r="N4967" s="5">
        <f>tblSales[[#This Row],[Qty]]*_xlfn.XLOOKUP(tblSales[[#This Row],[Product Code]],tblProducts[Code],tblProducts[Unit Cost],0)</f>
        <v>3520000</v>
      </c>
      <c r="O4967" s="4" t="s">
        <v>4867</v>
      </c>
      <c r="P4967" s="4" t="s">
        <v>4860</v>
      </c>
      <c r="Q4967" s="1" t="str">
        <f>_xlfn.XLOOKUP(tblSales[[#This Row],[Channel Code]],tblChannels[Channel Code],tblChannels[Channel Name],"")</f>
        <v>In-store</v>
      </c>
      <c r="R4967" s="1">
        <f>MONTH(tblSales[[#This Row],[Date]])</f>
        <v>10</v>
      </c>
    </row>
    <row r="4968" spans="2:18" x14ac:dyDescent="0.35">
      <c r="B4968" s="113">
        <v>46325</v>
      </c>
      <c r="C4968" s="4" t="s">
        <v>3394</v>
      </c>
      <c r="D4968" s="4" t="s">
        <v>4578</v>
      </c>
      <c r="E4968" s="1" t="str">
        <f>_xlfn.XLOOKUP(tblSales[[#This Row],[Customer ID]],tblCustomers[Customer ID],tblCustomers[Customer Name],"⚠ Unknown")</f>
        <v>PT Bintang Timur Sejahtera</v>
      </c>
      <c r="F4968" s="4" t="s">
        <v>6</v>
      </c>
      <c r="G4968" s="1" t="str">
        <f>_xlfn.XLOOKUP(tblSales[[#This Row],[Product Code]],tblProducts[Code],tblProducts[Product / Service Name],"⚠ Unknown")</f>
        <v>Socks &amp; Accessories</v>
      </c>
      <c r="H4968" s="1" t="str">
        <f>_xlfn.XLOOKUP(tblSales[[#This Row],[Product Code]],tblProducts[Code],tblProducts[Category],"")</f>
        <v>Accessories &amp; Basics</v>
      </c>
      <c r="I4968" s="4">
        <v>72</v>
      </c>
      <c r="J4968" s="5">
        <f>_xlfn.XLOOKUP(tblSales[[#This Row],[Product Code]],tblProducts[Code],tblProducts[Selling Price (excl. VAT)],0)</f>
        <v>45000</v>
      </c>
      <c r="K4968" s="5">
        <f>tblSales[[#This Row],[Qty]]*tblSales[[#This Row],[Unit Price]]</f>
        <v>3240000</v>
      </c>
      <c r="L4968" s="5">
        <f>ROUND(tblSales[[#This Row],[DPP (excl. VAT)]]*VATEff,0)</f>
        <v>356400</v>
      </c>
      <c r="M4968" s="5">
        <f>tblSales[[#This Row],[DPP (excl. VAT)]]+tblSales[[#This Row],[Output VAT]]</f>
        <v>3596400</v>
      </c>
      <c r="N4968" s="5">
        <f>tblSales[[#This Row],[Qty]]*_xlfn.XLOOKUP(tblSales[[#This Row],[Product Code]],tblProducts[Code],tblProducts[Unit Cost],0)</f>
        <v>1728000</v>
      </c>
      <c r="O4968" s="4" t="s">
        <v>4867</v>
      </c>
      <c r="P4968" s="4" t="s">
        <v>4860</v>
      </c>
      <c r="Q4968" s="1" t="str">
        <f>_xlfn.XLOOKUP(tblSales[[#This Row],[Channel Code]],tblChannels[Channel Code],tblChannels[Channel Name],"")</f>
        <v>In-store</v>
      </c>
      <c r="R4968" s="1">
        <f>MONTH(tblSales[[#This Row],[Date]])</f>
        <v>10</v>
      </c>
    </row>
    <row r="4969" spans="2:18" x14ac:dyDescent="0.35">
      <c r="B4969" s="113">
        <v>46325</v>
      </c>
      <c r="C4969" s="4" t="s">
        <v>3394</v>
      </c>
      <c r="D4969" s="4" t="s">
        <v>4578</v>
      </c>
      <c r="E4969" s="1" t="str">
        <f>_xlfn.XLOOKUP(tblSales[[#This Row],[Customer ID]],tblCustomers[Customer ID],tblCustomers[Customer Name],"⚠ Unknown")</f>
        <v>PT Bintang Timur Sejahtera</v>
      </c>
      <c r="F4969" s="4" t="s">
        <v>9</v>
      </c>
      <c r="G4969" s="1" t="str">
        <f>_xlfn.XLOOKUP(tblSales[[#This Row],[Product Code]],tblProducts[Code],tblProducts[Product / Service Name],"⚠ Unknown")</f>
        <v>Casual Shirt</v>
      </c>
      <c r="H4969" s="1" t="str">
        <f>_xlfn.XLOOKUP(tblSales[[#This Row],[Product Code]],tblProducts[Code],tblProducts[Category],"")</f>
        <v>Apparel &amp; Footwear</v>
      </c>
      <c r="I4969" s="4">
        <v>24</v>
      </c>
      <c r="J4969" s="5">
        <f>_xlfn.XLOOKUP(tblSales[[#This Row],[Product Code]],tblProducts[Code],tblProducts[Selling Price (excl. VAT)],0)</f>
        <v>120000</v>
      </c>
      <c r="K4969" s="5">
        <f>tblSales[[#This Row],[Qty]]*tblSales[[#This Row],[Unit Price]]</f>
        <v>2880000</v>
      </c>
      <c r="L4969" s="5">
        <f>ROUND(tblSales[[#This Row],[DPP (excl. VAT)]]*VATEff,0)</f>
        <v>316800</v>
      </c>
      <c r="M4969" s="5">
        <f>tblSales[[#This Row],[DPP (excl. VAT)]]+tblSales[[#This Row],[Output VAT]]</f>
        <v>3196800</v>
      </c>
      <c r="N4969" s="5">
        <f>tblSales[[#This Row],[Qty]]*_xlfn.XLOOKUP(tblSales[[#This Row],[Product Code]],tblProducts[Code],tblProducts[Unit Cost],0)</f>
        <v>1728000</v>
      </c>
      <c r="O4969" s="4" t="s">
        <v>4867</v>
      </c>
      <c r="P4969" s="4" t="s">
        <v>4860</v>
      </c>
      <c r="Q4969" s="1" t="str">
        <f>_xlfn.XLOOKUP(tblSales[[#This Row],[Channel Code]],tblChannels[Channel Code],tblChannels[Channel Name],"")</f>
        <v>In-store</v>
      </c>
      <c r="R4969" s="1">
        <f>MONTH(tblSales[[#This Row],[Date]])</f>
        <v>10</v>
      </c>
    </row>
    <row r="4970" spans="2:18" x14ac:dyDescent="0.35">
      <c r="B4970" s="113">
        <v>46325</v>
      </c>
      <c r="C4970" s="4" t="s">
        <v>3394</v>
      </c>
      <c r="D4970" s="4" t="s">
        <v>4578</v>
      </c>
      <c r="E4970" s="1" t="str">
        <f>_xlfn.XLOOKUP(tblSales[[#This Row],[Customer ID]],tblCustomers[Customer ID],tblCustomers[Customer Name],"⚠ Unknown")</f>
        <v>PT Bintang Timur Sejahtera</v>
      </c>
      <c r="F4970" s="4" t="s">
        <v>12</v>
      </c>
      <c r="G4970" s="1" t="str">
        <f>_xlfn.XLOOKUP(tblSales[[#This Row],[Product Code]],tblProducts[Code],tblProducts[Product / Service Name],"⚠ Unknown")</f>
        <v>Bomber Jacket</v>
      </c>
      <c r="H4970" s="1" t="str">
        <f>_xlfn.XLOOKUP(tblSales[[#This Row],[Product Code]],tblProducts[Code],tblProducts[Category],"")</f>
        <v>Apparel &amp; Footwear</v>
      </c>
      <c r="I4970" s="4">
        <v>32</v>
      </c>
      <c r="J4970" s="5">
        <f>_xlfn.XLOOKUP(tblSales[[#This Row],[Product Code]],tblProducts[Code],tblProducts[Selling Price (excl. VAT)],0)</f>
        <v>350000</v>
      </c>
      <c r="K4970" s="5">
        <f>tblSales[[#This Row],[Qty]]*tblSales[[#This Row],[Unit Price]]</f>
        <v>11200000</v>
      </c>
      <c r="L4970" s="5">
        <f>ROUND(tblSales[[#This Row],[DPP (excl. VAT)]]*VATEff,0)</f>
        <v>1232000</v>
      </c>
      <c r="M4970" s="5">
        <f>tblSales[[#This Row],[DPP (excl. VAT)]]+tblSales[[#This Row],[Output VAT]]</f>
        <v>12432000</v>
      </c>
      <c r="N4970" s="5">
        <f>tblSales[[#This Row],[Qty]]*_xlfn.XLOOKUP(tblSales[[#This Row],[Product Code]],tblProducts[Code],tblProducts[Unit Cost],0)</f>
        <v>6720000</v>
      </c>
      <c r="O4970" s="4" t="s">
        <v>4867</v>
      </c>
      <c r="P4970" s="4" t="s">
        <v>4860</v>
      </c>
      <c r="Q4970" s="1" t="str">
        <f>_xlfn.XLOOKUP(tblSales[[#This Row],[Channel Code]],tblChannels[Channel Code],tblChannels[Channel Name],"")</f>
        <v>In-store</v>
      </c>
      <c r="R4970" s="1">
        <f>MONTH(tblSales[[#This Row],[Date]])</f>
        <v>10</v>
      </c>
    </row>
    <row r="4971" spans="2:18" x14ac:dyDescent="0.35">
      <c r="B4971" s="113">
        <v>46325</v>
      </c>
      <c r="C4971" s="4" t="s">
        <v>3395</v>
      </c>
      <c r="D4971" s="4" t="s">
        <v>4613</v>
      </c>
      <c r="E4971" s="1" t="str">
        <f>_xlfn.XLOOKUP(tblSales[[#This Row],[Customer ID]],tblCustomers[Customer ID],tblCustomers[Customer Name],"⚠ Unknown")</f>
        <v>PT Mega Prima Distribusi</v>
      </c>
      <c r="F4971" s="4" t="s">
        <v>9</v>
      </c>
      <c r="G4971" s="1" t="str">
        <f>_xlfn.XLOOKUP(tblSales[[#This Row],[Product Code]],tblProducts[Code],tblProducts[Product / Service Name],"⚠ Unknown")</f>
        <v>Casual Shirt</v>
      </c>
      <c r="H4971" s="1" t="str">
        <f>_xlfn.XLOOKUP(tblSales[[#This Row],[Product Code]],tblProducts[Code],tblProducts[Category],"")</f>
        <v>Apparel &amp; Footwear</v>
      </c>
      <c r="I4971" s="4">
        <v>8</v>
      </c>
      <c r="J4971" s="5">
        <f>_xlfn.XLOOKUP(tblSales[[#This Row],[Product Code]],tblProducts[Code],tblProducts[Selling Price (excl. VAT)],0)</f>
        <v>120000</v>
      </c>
      <c r="K4971" s="5">
        <f>tblSales[[#This Row],[Qty]]*tblSales[[#This Row],[Unit Price]]</f>
        <v>960000</v>
      </c>
      <c r="L4971" s="5">
        <f>ROUND(tblSales[[#This Row],[DPP (excl. VAT)]]*VATEff,0)</f>
        <v>105600</v>
      </c>
      <c r="M4971" s="5">
        <f>tblSales[[#This Row],[DPP (excl. VAT)]]+tblSales[[#This Row],[Output VAT]]</f>
        <v>1065600</v>
      </c>
      <c r="N4971" s="5">
        <f>tblSales[[#This Row],[Qty]]*_xlfn.XLOOKUP(tblSales[[#This Row],[Product Code]],tblProducts[Code],tblProducts[Unit Cost],0)</f>
        <v>576000</v>
      </c>
      <c r="O4971" s="4" t="s">
        <v>4867</v>
      </c>
      <c r="P4971" s="4" t="s">
        <v>4860</v>
      </c>
      <c r="Q4971" s="1" t="str">
        <f>_xlfn.XLOOKUP(tblSales[[#This Row],[Channel Code]],tblChannels[Channel Code],tblChannels[Channel Name],"")</f>
        <v>In-store</v>
      </c>
      <c r="R4971" s="1">
        <f>MONTH(tblSales[[#This Row],[Date]])</f>
        <v>10</v>
      </c>
    </row>
    <row r="4972" spans="2:18" x14ac:dyDescent="0.35">
      <c r="B4972" s="113">
        <v>46325</v>
      </c>
      <c r="C4972" s="4" t="s">
        <v>3396</v>
      </c>
      <c r="D4972" s="4" t="s">
        <v>4648</v>
      </c>
      <c r="E4972" s="1" t="str">
        <f>_xlfn.XLOOKUP(tblSales[[#This Row],[Customer ID]],tblCustomers[Customer ID],tblCustomers[Customer Name],"⚠ Unknown")</f>
        <v>PT Lintas Benua Niaga</v>
      </c>
      <c r="F4972" s="4" t="s">
        <v>8</v>
      </c>
      <c r="G4972" s="1" t="str">
        <f>_xlfn.XLOOKUP(tblSales[[#This Row],[Product Code]],tblProducts[Code],tblProducts[Product / Service Name],"⚠ Unknown")</f>
        <v>Casual Shorts</v>
      </c>
      <c r="H4972" s="1" t="str">
        <f>_xlfn.XLOOKUP(tblSales[[#This Row],[Product Code]],tblProducts[Code],tblProducts[Category],"")</f>
        <v>Accessories &amp; Basics</v>
      </c>
      <c r="I4972" s="4">
        <v>32</v>
      </c>
      <c r="J4972" s="5">
        <f>_xlfn.XLOOKUP(tblSales[[#This Row],[Product Code]],tblProducts[Code],tblProducts[Selling Price (excl. VAT)],0)</f>
        <v>85000</v>
      </c>
      <c r="K4972" s="5">
        <f>tblSales[[#This Row],[Qty]]*tblSales[[#This Row],[Unit Price]]</f>
        <v>2720000</v>
      </c>
      <c r="L4972" s="5">
        <f>ROUND(tblSales[[#This Row],[DPP (excl. VAT)]]*VATEff,0)</f>
        <v>299200</v>
      </c>
      <c r="M4972" s="5">
        <f>tblSales[[#This Row],[DPP (excl. VAT)]]+tblSales[[#This Row],[Output VAT]]</f>
        <v>3019200</v>
      </c>
      <c r="N4972" s="5">
        <f>tblSales[[#This Row],[Qty]]*_xlfn.XLOOKUP(tblSales[[#This Row],[Product Code]],tblProducts[Code],tblProducts[Unit Cost],0)</f>
        <v>1600000</v>
      </c>
      <c r="O4972" s="4" t="s">
        <v>4867</v>
      </c>
      <c r="P4972" s="4" t="s">
        <v>4860</v>
      </c>
      <c r="Q4972" s="1" t="str">
        <f>_xlfn.XLOOKUP(tblSales[[#This Row],[Channel Code]],tblChannels[Channel Code],tblChannels[Channel Name],"")</f>
        <v>In-store</v>
      </c>
      <c r="R4972" s="1">
        <f>MONTH(tblSales[[#This Row],[Date]])</f>
        <v>10</v>
      </c>
    </row>
    <row r="4973" spans="2:18" x14ac:dyDescent="0.35">
      <c r="B4973" s="113">
        <v>46325</v>
      </c>
      <c r="C4973" s="4" t="s">
        <v>3397</v>
      </c>
      <c r="D4973" s="4" t="s">
        <v>4568</v>
      </c>
      <c r="E4973" s="1" t="str">
        <f>_xlfn.XLOOKUP(tblSales[[#This Row],[Customer ID]],tblCustomers[Customer ID],tblCustomers[Customer Name],"⚠ Unknown")</f>
        <v>Walk-in Customer</v>
      </c>
      <c r="F4973" s="4" t="s">
        <v>10</v>
      </c>
      <c r="G4973" s="1" t="str">
        <f>_xlfn.XLOOKUP(tblSales[[#This Row],[Product Code]],tblProducts[Code],tblProducts[Product / Service Name],"⚠ Unknown")</f>
        <v>Chino Pants</v>
      </c>
      <c r="H4973" s="1" t="str">
        <f>_xlfn.XLOOKUP(tblSales[[#This Row],[Product Code]],tblProducts[Code],tblProducts[Category],"")</f>
        <v>Apparel &amp; Footwear</v>
      </c>
      <c r="I4973" s="4">
        <v>6</v>
      </c>
      <c r="J4973" s="5">
        <f>_xlfn.XLOOKUP(tblSales[[#This Row],[Product Code]],tblProducts[Code],tblProducts[Selling Price (excl. VAT)],0)</f>
        <v>150000</v>
      </c>
      <c r="K4973" s="5">
        <f>tblSales[[#This Row],[Qty]]*tblSales[[#This Row],[Unit Price]]</f>
        <v>900000</v>
      </c>
      <c r="L4973" s="5">
        <f>ROUND(tblSales[[#This Row],[DPP (excl. VAT)]]*VATEff,0)</f>
        <v>99000</v>
      </c>
      <c r="M4973" s="5">
        <f>tblSales[[#This Row],[DPP (excl. VAT)]]+tblSales[[#This Row],[Output VAT]]</f>
        <v>999000</v>
      </c>
      <c r="N4973" s="5">
        <f>tblSales[[#This Row],[Qty]]*_xlfn.XLOOKUP(tblSales[[#This Row],[Product Code]],tblProducts[Code],tblProducts[Unit Cost],0)</f>
        <v>528000</v>
      </c>
      <c r="O4973" s="4" t="s">
        <v>4866</v>
      </c>
      <c r="P4973" s="4" t="s">
        <v>4861</v>
      </c>
      <c r="Q4973" s="1" t="str">
        <f>_xlfn.XLOOKUP(tblSales[[#This Row],[Channel Code]],tblChannels[Channel Code],tblChannels[Channel Name],"")</f>
        <v>Marketplace</v>
      </c>
      <c r="R4973" s="1">
        <f>MONTH(tblSales[[#This Row],[Date]])</f>
        <v>10</v>
      </c>
    </row>
    <row r="4974" spans="2:18" x14ac:dyDescent="0.35">
      <c r="B4974" s="113">
        <v>46325</v>
      </c>
      <c r="C4974" s="4" t="s">
        <v>3397</v>
      </c>
      <c r="D4974" s="4" t="s">
        <v>4568</v>
      </c>
      <c r="E4974" s="1" t="str">
        <f>_xlfn.XLOOKUP(tblSales[[#This Row],[Customer ID]],tblCustomers[Customer ID],tblCustomers[Customer Name],"⚠ Unknown")</f>
        <v>Walk-in Customer</v>
      </c>
      <c r="F4974" s="4" t="s">
        <v>13</v>
      </c>
      <c r="G4974" s="1" t="str">
        <f>_xlfn.XLOOKUP(tblSales[[#This Row],[Product Code]],tblProducts[Code],tblProducts[Product / Service Name],"⚠ Unknown")</f>
        <v>Backpack</v>
      </c>
      <c r="H4974" s="1" t="str">
        <f>_xlfn.XLOOKUP(tblSales[[#This Row],[Product Code]],tblProducts[Code],tblProducts[Category],"")</f>
        <v>Bags &amp; Gadgets</v>
      </c>
      <c r="I4974" s="4">
        <v>3</v>
      </c>
      <c r="J4974" s="5">
        <f>_xlfn.XLOOKUP(tblSales[[#This Row],[Product Code]],tblProducts[Code],tblProducts[Selling Price (excl. VAT)],0)</f>
        <v>500000</v>
      </c>
      <c r="K4974" s="5">
        <f>tblSales[[#This Row],[Qty]]*tblSales[[#This Row],[Unit Price]]</f>
        <v>1500000</v>
      </c>
      <c r="L4974" s="5">
        <f>ROUND(tblSales[[#This Row],[DPP (excl. VAT)]]*VATEff,0)</f>
        <v>165000</v>
      </c>
      <c r="M4974" s="5">
        <f>tblSales[[#This Row],[DPP (excl. VAT)]]+tblSales[[#This Row],[Output VAT]]</f>
        <v>1665000</v>
      </c>
      <c r="N4974" s="5">
        <f>tblSales[[#This Row],[Qty]]*_xlfn.XLOOKUP(tblSales[[#This Row],[Product Code]],tblProducts[Code],tblProducts[Unit Cost],0)</f>
        <v>870000</v>
      </c>
      <c r="O4974" s="4" t="s">
        <v>4866</v>
      </c>
      <c r="P4974" s="4" t="s">
        <v>4861</v>
      </c>
      <c r="Q4974" s="1" t="str">
        <f>_xlfn.XLOOKUP(tblSales[[#This Row],[Channel Code]],tblChannels[Channel Code],tblChannels[Channel Name],"")</f>
        <v>Marketplace</v>
      </c>
      <c r="R4974" s="1">
        <f>MONTH(tblSales[[#This Row],[Date]])</f>
        <v>10</v>
      </c>
    </row>
    <row r="4975" spans="2:18" x14ac:dyDescent="0.35">
      <c r="B4975" s="113">
        <v>46325</v>
      </c>
      <c r="C4975" s="4" t="s">
        <v>3397</v>
      </c>
      <c r="D4975" s="4" t="s">
        <v>4568</v>
      </c>
      <c r="E4975" s="1" t="str">
        <f>_xlfn.XLOOKUP(tblSales[[#This Row],[Customer ID]],tblCustomers[Customer ID],tblCustomers[Customer Name],"⚠ Unknown")</f>
        <v>Walk-in Customer</v>
      </c>
      <c r="F4975" s="4" t="s">
        <v>15</v>
      </c>
      <c r="G4975" s="1" t="str">
        <f>_xlfn.XLOOKUP(tblSales[[#This Row],[Product Code]],tblProducts[Code],tblProducts[Product / Service Name],"⚠ Unknown")</f>
        <v>Wireless Earbuds Pro</v>
      </c>
      <c r="H4975" s="1" t="str">
        <f>_xlfn.XLOOKUP(tblSales[[#This Row],[Product Code]],tblProducts[Code],tblProducts[Category],"")</f>
        <v>Bags &amp; Gadgets</v>
      </c>
      <c r="I4975" s="4">
        <v>2</v>
      </c>
      <c r="J4975" s="5">
        <f>_xlfn.XLOOKUP(tblSales[[#This Row],[Product Code]],tblProducts[Code],tblProducts[Selling Price (excl. VAT)],0)</f>
        <v>1250000</v>
      </c>
      <c r="K4975" s="5">
        <f>tblSales[[#This Row],[Qty]]*tblSales[[#This Row],[Unit Price]]</f>
        <v>2500000</v>
      </c>
      <c r="L4975" s="5">
        <f>ROUND(tblSales[[#This Row],[DPP (excl. VAT)]]*VATEff,0)</f>
        <v>275000</v>
      </c>
      <c r="M4975" s="5">
        <f>tblSales[[#This Row],[DPP (excl. VAT)]]+tblSales[[#This Row],[Output VAT]]</f>
        <v>2775000</v>
      </c>
      <c r="N4975" s="5">
        <f>tblSales[[#This Row],[Qty]]*_xlfn.XLOOKUP(tblSales[[#This Row],[Product Code]],tblProducts[Code],tblProducts[Unit Cost],0)</f>
        <v>1640000</v>
      </c>
      <c r="O4975" s="4" t="s">
        <v>4866</v>
      </c>
      <c r="P4975" s="4" t="s">
        <v>4861</v>
      </c>
      <c r="Q4975" s="1" t="str">
        <f>_xlfn.XLOOKUP(tblSales[[#This Row],[Channel Code]],tblChannels[Channel Code],tblChannels[Channel Name],"")</f>
        <v>Marketplace</v>
      </c>
      <c r="R4975" s="1">
        <f>MONTH(tblSales[[#This Row],[Date]])</f>
        <v>10</v>
      </c>
    </row>
    <row r="4976" spans="2:18" x14ac:dyDescent="0.35">
      <c r="B4976" s="113">
        <v>46325</v>
      </c>
      <c r="C4976" s="4" t="s">
        <v>3398</v>
      </c>
      <c r="D4976" s="4" t="s">
        <v>4568</v>
      </c>
      <c r="E4976" s="1" t="str">
        <f>_xlfn.XLOOKUP(tblSales[[#This Row],[Customer ID]],tblCustomers[Customer ID],tblCustomers[Customer Name],"⚠ Unknown")</f>
        <v>Walk-in Customer</v>
      </c>
      <c r="F4976" s="4" t="s">
        <v>7</v>
      </c>
      <c r="G4976" s="1" t="str">
        <f>_xlfn.XLOOKUP(tblSales[[#This Row],[Product Code]],tblProducts[Code],tblProducts[Product / Service Name],"⚠ Unknown")</f>
        <v>Premium Basic T-shirt</v>
      </c>
      <c r="H4976" s="1" t="str">
        <f>_xlfn.XLOOKUP(tblSales[[#This Row],[Product Code]],tblProducts[Code],tblProducts[Category],"")</f>
        <v>Accessories &amp; Basics</v>
      </c>
      <c r="I4976" s="4">
        <v>10</v>
      </c>
      <c r="J4976" s="5">
        <f>_xlfn.XLOOKUP(tblSales[[#This Row],[Product Code]],tblProducts[Code],tblProducts[Selling Price (excl. VAT)],0)</f>
        <v>65000</v>
      </c>
      <c r="K4976" s="5">
        <f>tblSales[[#This Row],[Qty]]*tblSales[[#This Row],[Unit Price]]</f>
        <v>650000</v>
      </c>
      <c r="L4976" s="5">
        <f>ROUND(tblSales[[#This Row],[DPP (excl. VAT)]]*VATEff,0)</f>
        <v>71500</v>
      </c>
      <c r="M4976" s="5">
        <f>tblSales[[#This Row],[DPP (excl. VAT)]]+tblSales[[#This Row],[Output VAT]]</f>
        <v>721500</v>
      </c>
      <c r="N4976" s="5">
        <f>tblSales[[#This Row],[Qty]]*_xlfn.XLOOKUP(tblSales[[#This Row],[Product Code]],tblProducts[Code],tblProducts[Unit Cost],0)</f>
        <v>370000</v>
      </c>
      <c r="O4976" s="4" t="s">
        <v>4866</v>
      </c>
      <c r="P4976" s="4" t="s">
        <v>4861</v>
      </c>
      <c r="Q4976" s="1" t="str">
        <f>_xlfn.XLOOKUP(tblSales[[#This Row],[Channel Code]],tblChannels[Channel Code],tblChannels[Channel Name],"")</f>
        <v>Marketplace</v>
      </c>
      <c r="R4976" s="1">
        <f>MONTH(tblSales[[#This Row],[Date]])</f>
        <v>10</v>
      </c>
    </row>
    <row r="4977" spans="2:18" x14ac:dyDescent="0.35">
      <c r="B4977" s="113">
        <v>46325</v>
      </c>
      <c r="C4977" s="4" t="s">
        <v>3398</v>
      </c>
      <c r="D4977" s="4" t="s">
        <v>4568</v>
      </c>
      <c r="E4977" s="1" t="str">
        <f>_xlfn.XLOOKUP(tblSales[[#This Row],[Customer ID]],tblCustomers[Customer ID],tblCustomers[Customer Name],"⚠ Unknown")</f>
        <v>Walk-in Customer</v>
      </c>
      <c r="F4977" s="4" t="s">
        <v>12</v>
      </c>
      <c r="G4977" s="1" t="str">
        <f>_xlfn.XLOOKUP(tblSales[[#This Row],[Product Code]],tblProducts[Code],tblProducts[Product / Service Name],"⚠ Unknown")</f>
        <v>Bomber Jacket</v>
      </c>
      <c r="H4977" s="1" t="str">
        <f>_xlfn.XLOOKUP(tblSales[[#This Row],[Product Code]],tblProducts[Code],tblProducts[Category],"")</f>
        <v>Apparel &amp; Footwear</v>
      </c>
      <c r="I4977" s="4">
        <v>6</v>
      </c>
      <c r="J4977" s="5">
        <f>_xlfn.XLOOKUP(tblSales[[#This Row],[Product Code]],tblProducts[Code],tblProducts[Selling Price (excl. VAT)],0)</f>
        <v>350000</v>
      </c>
      <c r="K4977" s="5">
        <f>tblSales[[#This Row],[Qty]]*tblSales[[#This Row],[Unit Price]]</f>
        <v>2100000</v>
      </c>
      <c r="L4977" s="5">
        <f>ROUND(tblSales[[#This Row],[DPP (excl. VAT)]]*VATEff,0)</f>
        <v>231000</v>
      </c>
      <c r="M4977" s="5">
        <f>tblSales[[#This Row],[DPP (excl. VAT)]]+tblSales[[#This Row],[Output VAT]]</f>
        <v>2331000</v>
      </c>
      <c r="N4977" s="5">
        <f>tblSales[[#This Row],[Qty]]*_xlfn.XLOOKUP(tblSales[[#This Row],[Product Code]],tblProducts[Code],tblProducts[Unit Cost],0)</f>
        <v>1260000</v>
      </c>
      <c r="O4977" s="4" t="s">
        <v>4866</v>
      </c>
      <c r="P4977" s="4" t="s">
        <v>4861</v>
      </c>
      <c r="Q4977" s="1" t="str">
        <f>_xlfn.XLOOKUP(tblSales[[#This Row],[Channel Code]],tblChannels[Channel Code],tblChannels[Channel Name],"")</f>
        <v>Marketplace</v>
      </c>
      <c r="R4977" s="1">
        <f>MONTH(tblSales[[#This Row],[Date]])</f>
        <v>10</v>
      </c>
    </row>
    <row r="4978" spans="2:18" x14ac:dyDescent="0.35">
      <c r="B4978" s="113">
        <v>46325</v>
      </c>
      <c r="C4978" s="4" t="s">
        <v>3398</v>
      </c>
      <c r="D4978" s="4" t="s">
        <v>4568</v>
      </c>
      <c r="E4978" s="1" t="str">
        <f>_xlfn.XLOOKUP(tblSales[[#This Row],[Customer ID]],tblCustomers[Customer ID],tblCustomers[Customer Name],"⚠ Unknown")</f>
        <v>Walk-in Customer</v>
      </c>
      <c r="F4978" s="4" t="s">
        <v>6</v>
      </c>
      <c r="G4978" s="1" t="str">
        <f>_xlfn.XLOOKUP(tblSales[[#This Row],[Product Code]],tblProducts[Code],tblProducts[Product / Service Name],"⚠ Unknown")</f>
        <v>Socks &amp; Accessories</v>
      </c>
      <c r="H4978" s="1" t="str">
        <f>_xlfn.XLOOKUP(tblSales[[#This Row],[Product Code]],tblProducts[Code],tblProducts[Category],"")</f>
        <v>Accessories &amp; Basics</v>
      </c>
      <c r="I4978" s="4">
        <v>8</v>
      </c>
      <c r="J4978" s="5">
        <f>_xlfn.XLOOKUP(tblSales[[#This Row],[Product Code]],tblProducts[Code],tblProducts[Selling Price (excl. VAT)],0)</f>
        <v>45000</v>
      </c>
      <c r="K4978" s="5">
        <f>tblSales[[#This Row],[Qty]]*tblSales[[#This Row],[Unit Price]]</f>
        <v>360000</v>
      </c>
      <c r="L4978" s="5">
        <f>ROUND(tblSales[[#This Row],[DPP (excl. VAT)]]*VATEff,0)</f>
        <v>39600</v>
      </c>
      <c r="M4978" s="5">
        <f>tblSales[[#This Row],[DPP (excl. VAT)]]+tblSales[[#This Row],[Output VAT]]</f>
        <v>399600</v>
      </c>
      <c r="N4978" s="5">
        <f>tblSales[[#This Row],[Qty]]*_xlfn.XLOOKUP(tblSales[[#This Row],[Product Code]],tblProducts[Code],tblProducts[Unit Cost],0)</f>
        <v>192000</v>
      </c>
      <c r="O4978" s="4" t="s">
        <v>4866</v>
      </c>
      <c r="P4978" s="4" t="s">
        <v>4861</v>
      </c>
      <c r="Q4978" s="1" t="str">
        <f>_xlfn.XLOOKUP(tblSales[[#This Row],[Channel Code]],tblChannels[Channel Code],tblChannels[Channel Name],"")</f>
        <v>Marketplace</v>
      </c>
      <c r="R4978" s="1">
        <f>MONTH(tblSales[[#This Row],[Date]])</f>
        <v>10</v>
      </c>
    </row>
    <row r="4979" spans="2:18" x14ac:dyDescent="0.35">
      <c r="B4979" s="113">
        <v>46326</v>
      </c>
      <c r="C4979" s="4" t="s">
        <v>3399</v>
      </c>
      <c r="D4979" s="4" t="s">
        <v>4593</v>
      </c>
      <c r="E4979" s="1" t="str">
        <f>_xlfn.XLOOKUP(tblSales[[#This Row],[Customer ID]],tblCustomers[Customer ID],tblCustomers[Customer Name],"⚠ Unknown")</f>
        <v>PT Graha Nusa Persada</v>
      </c>
      <c r="F4979" s="4" t="s">
        <v>8</v>
      </c>
      <c r="G4979" s="1" t="str">
        <f>_xlfn.XLOOKUP(tblSales[[#This Row],[Product Code]],tblProducts[Code],tblProducts[Product / Service Name],"⚠ Unknown")</f>
        <v>Casual Shorts</v>
      </c>
      <c r="H4979" s="1" t="str">
        <f>_xlfn.XLOOKUP(tblSales[[#This Row],[Product Code]],tblProducts[Code],tblProducts[Category],"")</f>
        <v>Accessories &amp; Basics</v>
      </c>
      <c r="I4979" s="4">
        <v>88</v>
      </c>
      <c r="J4979" s="5">
        <f>_xlfn.XLOOKUP(tblSales[[#This Row],[Product Code]],tblProducts[Code],tblProducts[Selling Price (excl. VAT)],0)</f>
        <v>85000</v>
      </c>
      <c r="K4979" s="5">
        <f>tblSales[[#This Row],[Qty]]*tblSales[[#This Row],[Unit Price]]</f>
        <v>7480000</v>
      </c>
      <c r="L4979" s="5">
        <f>ROUND(tblSales[[#This Row],[DPP (excl. VAT)]]*VATEff,0)</f>
        <v>822800</v>
      </c>
      <c r="M4979" s="5">
        <f>tblSales[[#This Row],[DPP (excl. VAT)]]+tblSales[[#This Row],[Output VAT]]</f>
        <v>8302800</v>
      </c>
      <c r="N4979" s="5">
        <f>tblSales[[#This Row],[Qty]]*_xlfn.XLOOKUP(tblSales[[#This Row],[Product Code]],tblProducts[Code],tblProducts[Unit Cost],0)</f>
        <v>4400000</v>
      </c>
      <c r="O4979" s="4" t="s">
        <v>4867</v>
      </c>
      <c r="P4979" s="4" t="s">
        <v>4860</v>
      </c>
      <c r="Q4979" s="1" t="str">
        <f>_xlfn.XLOOKUP(tblSales[[#This Row],[Channel Code]],tblChannels[Channel Code],tblChannels[Channel Name],"")</f>
        <v>In-store</v>
      </c>
      <c r="R4979" s="1">
        <f>MONTH(tblSales[[#This Row],[Date]])</f>
        <v>10</v>
      </c>
    </row>
    <row r="4980" spans="2:18" x14ac:dyDescent="0.35">
      <c r="B4980" s="113">
        <v>46326</v>
      </c>
      <c r="C4980" s="4" t="s">
        <v>3400</v>
      </c>
      <c r="D4980" s="4" t="s">
        <v>4568</v>
      </c>
      <c r="E4980" s="1" t="str">
        <f>_xlfn.XLOOKUP(tblSales[[#This Row],[Customer ID]],tblCustomers[Customer ID],tblCustomers[Customer Name],"⚠ Unknown")</f>
        <v>Walk-in Customer</v>
      </c>
      <c r="F4980" s="4" t="s">
        <v>6</v>
      </c>
      <c r="G4980" s="1" t="str">
        <f>_xlfn.XLOOKUP(tblSales[[#This Row],[Product Code]],tblProducts[Code],tblProducts[Product / Service Name],"⚠ Unknown")</f>
        <v>Socks &amp; Accessories</v>
      </c>
      <c r="H4980" s="1" t="str">
        <f>_xlfn.XLOOKUP(tblSales[[#This Row],[Product Code]],tblProducts[Code],tblProducts[Category],"")</f>
        <v>Accessories &amp; Basics</v>
      </c>
      <c r="I4980" s="4">
        <v>3</v>
      </c>
      <c r="J4980" s="5">
        <f>_xlfn.XLOOKUP(tblSales[[#This Row],[Product Code]],tblProducts[Code],tblProducts[Selling Price (excl. VAT)],0)</f>
        <v>45000</v>
      </c>
      <c r="K4980" s="5">
        <f>tblSales[[#This Row],[Qty]]*tblSales[[#This Row],[Unit Price]]</f>
        <v>135000</v>
      </c>
      <c r="L4980" s="5">
        <f>ROUND(tblSales[[#This Row],[DPP (excl. VAT)]]*VATEff,0)</f>
        <v>14850</v>
      </c>
      <c r="M4980" s="5">
        <f>tblSales[[#This Row],[DPP (excl. VAT)]]+tblSales[[#This Row],[Output VAT]]</f>
        <v>149850</v>
      </c>
      <c r="N4980" s="5">
        <f>tblSales[[#This Row],[Qty]]*_xlfn.XLOOKUP(tblSales[[#This Row],[Product Code]],tblProducts[Code],tblProducts[Unit Cost],0)</f>
        <v>72000</v>
      </c>
      <c r="O4980" s="4" t="s">
        <v>4865</v>
      </c>
      <c r="P4980" s="4" t="s">
        <v>4860</v>
      </c>
      <c r="Q4980" s="1" t="str">
        <f>_xlfn.XLOOKUP(tblSales[[#This Row],[Channel Code]],tblChannels[Channel Code],tblChannels[Channel Name],"")</f>
        <v>In-store</v>
      </c>
      <c r="R4980" s="1">
        <f>MONTH(tblSales[[#This Row],[Date]])</f>
        <v>10</v>
      </c>
    </row>
    <row r="4981" spans="2:18" x14ac:dyDescent="0.35">
      <c r="B4981" s="113">
        <v>46326</v>
      </c>
      <c r="C4981" s="4" t="s">
        <v>3401</v>
      </c>
      <c r="D4981" s="4" t="s">
        <v>4568</v>
      </c>
      <c r="E4981" s="1" t="str">
        <f>_xlfn.XLOOKUP(tblSales[[#This Row],[Customer ID]],tblCustomers[Customer ID],tblCustomers[Customer Name],"⚠ Unknown")</f>
        <v>Walk-in Customer</v>
      </c>
      <c r="F4981" s="4" t="s">
        <v>9</v>
      </c>
      <c r="G4981" s="1" t="str">
        <f>_xlfn.XLOOKUP(tblSales[[#This Row],[Product Code]],tblProducts[Code],tblProducts[Product / Service Name],"⚠ Unknown")</f>
        <v>Casual Shirt</v>
      </c>
      <c r="H4981" s="1" t="str">
        <f>_xlfn.XLOOKUP(tblSales[[#This Row],[Product Code]],tblProducts[Code],tblProducts[Category],"")</f>
        <v>Apparel &amp; Footwear</v>
      </c>
      <c r="I4981" s="4">
        <v>5</v>
      </c>
      <c r="J4981" s="5">
        <f>_xlfn.XLOOKUP(tblSales[[#This Row],[Product Code]],tblProducts[Code],tblProducts[Selling Price (excl. VAT)],0)</f>
        <v>120000</v>
      </c>
      <c r="K4981" s="5">
        <f>tblSales[[#This Row],[Qty]]*tblSales[[#This Row],[Unit Price]]</f>
        <v>600000</v>
      </c>
      <c r="L4981" s="5">
        <f>ROUND(tblSales[[#This Row],[DPP (excl. VAT)]]*VATEff,0)</f>
        <v>66000</v>
      </c>
      <c r="M4981" s="5">
        <f>tblSales[[#This Row],[DPP (excl. VAT)]]+tblSales[[#This Row],[Output VAT]]</f>
        <v>666000</v>
      </c>
      <c r="N4981" s="5">
        <f>tblSales[[#This Row],[Qty]]*_xlfn.XLOOKUP(tblSales[[#This Row],[Product Code]],tblProducts[Code],tblProducts[Unit Cost],0)</f>
        <v>360000</v>
      </c>
      <c r="O4981" s="4" t="s">
        <v>4866</v>
      </c>
      <c r="P4981" s="4" t="s">
        <v>4860</v>
      </c>
      <c r="Q4981" s="1" t="str">
        <f>_xlfn.XLOOKUP(tblSales[[#This Row],[Channel Code]],tblChannels[Channel Code],tblChannels[Channel Name],"")</f>
        <v>In-store</v>
      </c>
      <c r="R4981" s="1">
        <f>MONTH(tblSales[[#This Row],[Date]])</f>
        <v>10</v>
      </c>
    </row>
    <row r="4982" spans="2:18" x14ac:dyDescent="0.35">
      <c r="B4982" s="113">
        <v>46326</v>
      </c>
      <c r="C4982" s="4" t="s">
        <v>3401</v>
      </c>
      <c r="D4982" s="4" t="s">
        <v>4568</v>
      </c>
      <c r="E4982" s="1" t="str">
        <f>_xlfn.XLOOKUP(tblSales[[#This Row],[Customer ID]],tblCustomers[Customer ID],tblCustomers[Customer Name],"⚠ Unknown")</f>
        <v>Walk-in Customer</v>
      </c>
      <c r="F4982" s="4" t="s">
        <v>8</v>
      </c>
      <c r="G4982" s="1" t="str">
        <f>_xlfn.XLOOKUP(tblSales[[#This Row],[Product Code]],tblProducts[Code],tblProducts[Product / Service Name],"⚠ Unknown")</f>
        <v>Casual Shorts</v>
      </c>
      <c r="H4982" s="1" t="str">
        <f>_xlfn.XLOOKUP(tblSales[[#This Row],[Product Code]],tblProducts[Code],tblProducts[Category],"")</f>
        <v>Accessories &amp; Basics</v>
      </c>
      <c r="I4982" s="4">
        <v>10</v>
      </c>
      <c r="J4982" s="5">
        <f>_xlfn.XLOOKUP(tblSales[[#This Row],[Product Code]],tblProducts[Code],tblProducts[Selling Price (excl. VAT)],0)</f>
        <v>85000</v>
      </c>
      <c r="K4982" s="5">
        <f>tblSales[[#This Row],[Qty]]*tblSales[[#This Row],[Unit Price]]</f>
        <v>850000</v>
      </c>
      <c r="L4982" s="5">
        <f>ROUND(tblSales[[#This Row],[DPP (excl. VAT)]]*VATEff,0)</f>
        <v>93500</v>
      </c>
      <c r="M4982" s="5">
        <f>tblSales[[#This Row],[DPP (excl. VAT)]]+tblSales[[#This Row],[Output VAT]]</f>
        <v>943500</v>
      </c>
      <c r="N4982" s="5">
        <f>tblSales[[#This Row],[Qty]]*_xlfn.XLOOKUP(tblSales[[#This Row],[Product Code]],tblProducts[Code],tblProducts[Unit Cost],0)</f>
        <v>500000</v>
      </c>
      <c r="O4982" s="4" t="s">
        <v>4866</v>
      </c>
      <c r="P4982" s="4" t="s">
        <v>4860</v>
      </c>
      <c r="Q4982" s="1" t="str">
        <f>_xlfn.XLOOKUP(tblSales[[#This Row],[Channel Code]],tblChannels[Channel Code],tblChannels[Channel Name],"")</f>
        <v>In-store</v>
      </c>
      <c r="R4982" s="1">
        <f>MONTH(tblSales[[#This Row],[Date]])</f>
        <v>10</v>
      </c>
    </row>
    <row r="4983" spans="2:18" x14ac:dyDescent="0.35">
      <c r="B4983" s="113">
        <v>46326</v>
      </c>
      <c r="C4983" s="4" t="s">
        <v>3402</v>
      </c>
      <c r="D4983" s="4" t="s">
        <v>4568</v>
      </c>
      <c r="E4983" s="1" t="str">
        <f>_xlfn.XLOOKUP(tblSales[[#This Row],[Customer ID]],tblCustomers[Customer ID],tblCustomers[Customer Name],"⚠ Unknown")</f>
        <v>Walk-in Customer</v>
      </c>
      <c r="F4983" s="4" t="s">
        <v>11</v>
      </c>
      <c r="G4983" s="1" t="str">
        <f>_xlfn.XLOOKUP(tblSales[[#This Row],[Product Code]],tblProducts[Code],tblProducts[Product / Service Name],"⚠ Unknown")</f>
        <v>Sneakers</v>
      </c>
      <c r="H4983" s="1" t="str">
        <f>_xlfn.XLOOKUP(tblSales[[#This Row],[Product Code]],tblProducts[Code],tblProducts[Category],"")</f>
        <v>Apparel &amp; Footwear</v>
      </c>
      <c r="I4983" s="4">
        <v>6</v>
      </c>
      <c r="J4983" s="5">
        <f>_xlfn.XLOOKUP(tblSales[[#This Row],[Product Code]],tblProducts[Code],tblProducts[Selling Price (excl. VAT)],0)</f>
        <v>250000</v>
      </c>
      <c r="K4983" s="5">
        <f>tblSales[[#This Row],[Qty]]*tblSales[[#This Row],[Unit Price]]</f>
        <v>1500000</v>
      </c>
      <c r="L4983" s="5">
        <f>ROUND(tblSales[[#This Row],[DPP (excl. VAT)]]*VATEff,0)</f>
        <v>165000</v>
      </c>
      <c r="M4983" s="5">
        <f>tblSales[[#This Row],[DPP (excl. VAT)]]+tblSales[[#This Row],[Output VAT]]</f>
        <v>1665000</v>
      </c>
      <c r="N4983" s="5">
        <f>tblSales[[#This Row],[Qty]]*_xlfn.XLOOKUP(tblSales[[#This Row],[Product Code]],tblProducts[Code],tblProducts[Unit Cost],0)</f>
        <v>930000</v>
      </c>
      <c r="O4983" s="4" t="s">
        <v>4865</v>
      </c>
      <c r="P4983" s="4" t="s">
        <v>4860</v>
      </c>
      <c r="Q4983" s="1" t="str">
        <f>_xlfn.XLOOKUP(tblSales[[#This Row],[Channel Code]],tblChannels[Channel Code],tblChannels[Channel Name],"")</f>
        <v>In-store</v>
      </c>
      <c r="R4983" s="1">
        <f>MONTH(tblSales[[#This Row],[Date]])</f>
        <v>10</v>
      </c>
    </row>
    <row r="4984" spans="2:18" x14ac:dyDescent="0.35">
      <c r="B4984" s="113">
        <v>46326</v>
      </c>
      <c r="C4984" s="4" t="s">
        <v>3402</v>
      </c>
      <c r="D4984" s="4" t="s">
        <v>4568</v>
      </c>
      <c r="E4984" s="1" t="str">
        <f>_xlfn.XLOOKUP(tblSales[[#This Row],[Customer ID]],tblCustomers[Customer ID],tblCustomers[Customer Name],"⚠ Unknown")</f>
        <v>Walk-in Customer</v>
      </c>
      <c r="F4984" s="4" t="s">
        <v>13</v>
      </c>
      <c r="G4984" s="1" t="str">
        <f>_xlfn.XLOOKUP(tblSales[[#This Row],[Product Code]],tblProducts[Code],tblProducts[Product / Service Name],"⚠ Unknown")</f>
        <v>Backpack</v>
      </c>
      <c r="H4984" s="1" t="str">
        <f>_xlfn.XLOOKUP(tblSales[[#This Row],[Product Code]],tblProducts[Code],tblProducts[Category],"")</f>
        <v>Bags &amp; Gadgets</v>
      </c>
      <c r="I4984" s="4">
        <v>1</v>
      </c>
      <c r="J4984" s="5">
        <f>_xlfn.XLOOKUP(tblSales[[#This Row],[Product Code]],tblProducts[Code],tblProducts[Selling Price (excl. VAT)],0)</f>
        <v>500000</v>
      </c>
      <c r="K4984" s="5">
        <f>tblSales[[#This Row],[Qty]]*tblSales[[#This Row],[Unit Price]]</f>
        <v>500000</v>
      </c>
      <c r="L4984" s="5">
        <f>ROUND(tblSales[[#This Row],[DPP (excl. VAT)]]*VATEff,0)</f>
        <v>55000</v>
      </c>
      <c r="M4984" s="5">
        <f>tblSales[[#This Row],[DPP (excl. VAT)]]+tblSales[[#This Row],[Output VAT]]</f>
        <v>555000</v>
      </c>
      <c r="N4984" s="5">
        <f>tblSales[[#This Row],[Qty]]*_xlfn.XLOOKUP(tblSales[[#This Row],[Product Code]],tblProducts[Code],tblProducts[Unit Cost],0)</f>
        <v>290000</v>
      </c>
      <c r="O4984" s="4" t="s">
        <v>4865</v>
      </c>
      <c r="P4984" s="4" t="s">
        <v>4860</v>
      </c>
      <c r="Q4984" s="1" t="str">
        <f>_xlfn.XLOOKUP(tblSales[[#This Row],[Channel Code]],tblChannels[Channel Code],tblChannels[Channel Name],"")</f>
        <v>In-store</v>
      </c>
      <c r="R4984" s="1">
        <f>MONTH(tblSales[[#This Row],[Date]])</f>
        <v>10</v>
      </c>
    </row>
    <row r="4985" spans="2:18" x14ac:dyDescent="0.35">
      <c r="B4985" s="113">
        <v>46326</v>
      </c>
      <c r="C4985" s="4" t="s">
        <v>3403</v>
      </c>
      <c r="D4985" s="4" t="s">
        <v>4634</v>
      </c>
      <c r="E4985" s="1" t="str">
        <f>_xlfn.XLOOKUP(tblSales[[#This Row],[Customer ID]],tblCustomers[Customer ID],tblCustomers[Customer Name],"⚠ Unknown")</f>
        <v>PT Delta Inti Selaras</v>
      </c>
      <c r="F4985" s="4" t="s">
        <v>7</v>
      </c>
      <c r="G4985" s="1" t="str">
        <f>_xlfn.XLOOKUP(tblSales[[#This Row],[Product Code]],tblProducts[Code],tblProducts[Product / Service Name],"⚠ Unknown")</f>
        <v>Premium Basic T-shirt</v>
      </c>
      <c r="H4985" s="1" t="str">
        <f>_xlfn.XLOOKUP(tblSales[[#This Row],[Product Code]],tblProducts[Code],tblProducts[Category],"")</f>
        <v>Accessories &amp; Basics</v>
      </c>
      <c r="I4985" s="4">
        <v>32</v>
      </c>
      <c r="J4985" s="5">
        <f>_xlfn.XLOOKUP(tblSales[[#This Row],[Product Code]],tblProducts[Code],tblProducts[Selling Price (excl. VAT)],0)</f>
        <v>65000</v>
      </c>
      <c r="K4985" s="5">
        <f>tblSales[[#This Row],[Qty]]*tblSales[[#This Row],[Unit Price]]</f>
        <v>2080000</v>
      </c>
      <c r="L4985" s="5">
        <f>ROUND(tblSales[[#This Row],[DPP (excl. VAT)]]*VATEff,0)</f>
        <v>228800</v>
      </c>
      <c r="M4985" s="5">
        <f>tblSales[[#This Row],[DPP (excl. VAT)]]+tblSales[[#This Row],[Output VAT]]</f>
        <v>2308800</v>
      </c>
      <c r="N4985" s="5">
        <f>tblSales[[#This Row],[Qty]]*_xlfn.XLOOKUP(tblSales[[#This Row],[Product Code]],tblProducts[Code],tblProducts[Unit Cost],0)</f>
        <v>1184000</v>
      </c>
      <c r="O4985" s="4" t="s">
        <v>4867</v>
      </c>
      <c r="P4985" s="4" t="s">
        <v>4860</v>
      </c>
      <c r="Q4985" s="1" t="str">
        <f>_xlfn.XLOOKUP(tblSales[[#This Row],[Channel Code]],tblChannels[Channel Code],tblChannels[Channel Name],"")</f>
        <v>In-store</v>
      </c>
      <c r="R4985" s="1">
        <f>MONTH(tblSales[[#This Row],[Date]])</f>
        <v>10</v>
      </c>
    </row>
    <row r="4986" spans="2:18" x14ac:dyDescent="0.35">
      <c r="B4986" s="113">
        <v>46326</v>
      </c>
      <c r="C4986" s="4" t="s">
        <v>3403</v>
      </c>
      <c r="D4986" s="4" t="s">
        <v>4634</v>
      </c>
      <c r="E4986" s="1" t="str">
        <f>_xlfn.XLOOKUP(tblSales[[#This Row],[Customer ID]],tblCustomers[Customer ID],tblCustomers[Customer Name],"⚠ Unknown")</f>
        <v>PT Delta Inti Selaras</v>
      </c>
      <c r="F4986" s="4" t="s">
        <v>15</v>
      </c>
      <c r="G4986" s="1" t="str">
        <f>_xlfn.XLOOKUP(tblSales[[#This Row],[Product Code]],tblProducts[Code],tblProducts[Product / Service Name],"⚠ Unknown")</f>
        <v>Wireless Earbuds Pro</v>
      </c>
      <c r="H4986" s="1" t="str">
        <f>_xlfn.XLOOKUP(tblSales[[#This Row],[Product Code]],tblProducts[Code],tblProducts[Category],"")</f>
        <v>Bags &amp; Gadgets</v>
      </c>
      <c r="I4986" s="4">
        <v>16</v>
      </c>
      <c r="J4986" s="5">
        <f>_xlfn.XLOOKUP(tblSales[[#This Row],[Product Code]],tblProducts[Code],tblProducts[Selling Price (excl. VAT)],0)</f>
        <v>1250000</v>
      </c>
      <c r="K4986" s="5">
        <f>tblSales[[#This Row],[Qty]]*tblSales[[#This Row],[Unit Price]]</f>
        <v>20000000</v>
      </c>
      <c r="L4986" s="5">
        <f>ROUND(tblSales[[#This Row],[DPP (excl. VAT)]]*VATEff,0)</f>
        <v>2200000</v>
      </c>
      <c r="M4986" s="5">
        <f>tblSales[[#This Row],[DPP (excl. VAT)]]+tblSales[[#This Row],[Output VAT]]</f>
        <v>22200000</v>
      </c>
      <c r="N4986" s="5">
        <f>tblSales[[#This Row],[Qty]]*_xlfn.XLOOKUP(tblSales[[#This Row],[Product Code]],tblProducts[Code],tblProducts[Unit Cost],0)</f>
        <v>13120000</v>
      </c>
      <c r="O4986" s="4" t="s">
        <v>4867</v>
      </c>
      <c r="P4986" s="4" t="s">
        <v>4860</v>
      </c>
      <c r="Q4986" s="1" t="str">
        <f>_xlfn.XLOOKUP(tblSales[[#This Row],[Channel Code]],tblChannels[Channel Code],tblChannels[Channel Name],"")</f>
        <v>In-store</v>
      </c>
      <c r="R4986" s="1">
        <f>MONTH(tblSales[[#This Row],[Date]])</f>
        <v>10</v>
      </c>
    </row>
    <row r="4987" spans="2:18" x14ac:dyDescent="0.35">
      <c r="B4987" s="113">
        <v>46326</v>
      </c>
      <c r="C4987" s="4" t="s">
        <v>3404</v>
      </c>
      <c r="D4987" s="4" t="s">
        <v>4620</v>
      </c>
      <c r="E4987" s="1" t="str">
        <f>_xlfn.XLOOKUP(tblSales[[#This Row],[Customer ID]],tblCustomers[Customer ID],tblCustomers[Customer Name],"⚠ Unknown")</f>
        <v>CV Sumber Rejeki Utama</v>
      </c>
      <c r="F4987" s="4" t="s">
        <v>9</v>
      </c>
      <c r="G4987" s="1" t="str">
        <f>_xlfn.XLOOKUP(tblSales[[#This Row],[Product Code]],tblProducts[Code],tblProducts[Product / Service Name],"⚠ Unknown")</f>
        <v>Casual Shirt</v>
      </c>
      <c r="H4987" s="1" t="str">
        <f>_xlfn.XLOOKUP(tblSales[[#This Row],[Product Code]],tblProducts[Code],tblProducts[Category],"")</f>
        <v>Apparel &amp; Footwear</v>
      </c>
      <c r="I4987" s="4">
        <v>24</v>
      </c>
      <c r="J4987" s="5">
        <f>_xlfn.XLOOKUP(tblSales[[#This Row],[Product Code]],tblProducts[Code],tblProducts[Selling Price (excl. VAT)],0)</f>
        <v>120000</v>
      </c>
      <c r="K4987" s="5">
        <f>tblSales[[#This Row],[Qty]]*tblSales[[#This Row],[Unit Price]]</f>
        <v>2880000</v>
      </c>
      <c r="L4987" s="5">
        <f>ROUND(tblSales[[#This Row],[DPP (excl. VAT)]]*VATEff,0)</f>
        <v>316800</v>
      </c>
      <c r="M4987" s="5">
        <f>tblSales[[#This Row],[DPP (excl. VAT)]]+tblSales[[#This Row],[Output VAT]]</f>
        <v>3196800</v>
      </c>
      <c r="N4987" s="5">
        <f>tblSales[[#This Row],[Qty]]*_xlfn.XLOOKUP(tblSales[[#This Row],[Product Code]],tblProducts[Code],tblProducts[Unit Cost],0)</f>
        <v>1728000</v>
      </c>
      <c r="O4987" s="4" t="s">
        <v>4867</v>
      </c>
      <c r="P4987" s="4" t="s">
        <v>4860</v>
      </c>
      <c r="Q4987" s="1" t="str">
        <f>_xlfn.XLOOKUP(tblSales[[#This Row],[Channel Code]],tblChannels[Channel Code],tblChannels[Channel Name],"")</f>
        <v>In-store</v>
      </c>
      <c r="R4987" s="1">
        <f>MONTH(tblSales[[#This Row],[Date]])</f>
        <v>10</v>
      </c>
    </row>
    <row r="4988" spans="2:18" x14ac:dyDescent="0.35">
      <c r="B4988" s="113">
        <v>46326</v>
      </c>
      <c r="C4988" s="4" t="s">
        <v>3405</v>
      </c>
      <c r="D4988" s="4" t="s">
        <v>4634</v>
      </c>
      <c r="E4988" s="1" t="str">
        <f>_xlfn.XLOOKUP(tblSales[[#This Row],[Customer ID]],tblCustomers[Customer ID],tblCustomers[Customer Name],"⚠ Unknown")</f>
        <v>PT Delta Inti Selaras</v>
      </c>
      <c r="F4988" s="4" t="s">
        <v>11</v>
      </c>
      <c r="G4988" s="1" t="str">
        <f>_xlfn.XLOOKUP(tblSales[[#This Row],[Product Code]],tblProducts[Code],tblProducts[Product / Service Name],"⚠ Unknown")</f>
        <v>Sneakers</v>
      </c>
      <c r="H4988" s="1" t="str">
        <f>_xlfn.XLOOKUP(tblSales[[#This Row],[Product Code]],tblProducts[Code],tblProducts[Category],"")</f>
        <v>Apparel &amp; Footwear</v>
      </c>
      <c r="I4988" s="4">
        <v>24</v>
      </c>
      <c r="J4988" s="5">
        <f>_xlfn.XLOOKUP(tblSales[[#This Row],[Product Code]],tblProducts[Code],tblProducts[Selling Price (excl. VAT)],0)</f>
        <v>250000</v>
      </c>
      <c r="K4988" s="5">
        <f>tblSales[[#This Row],[Qty]]*tblSales[[#This Row],[Unit Price]]</f>
        <v>6000000</v>
      </c>
      <c r="L4988" s="5">
        <f>ROUND(tblSales[[#This Row],[DPP (excl. VAT)]]*VATEff,0)</f>
        <v>660000</v>
      </c>
      <c r="M4988" s="5">
        <f>tblSales[[#This Row],[DPP (excl. VAT)]]+tblSales[[#This Row],[Output VAT]]</f>
        <v>6660000</v>
      </c>
      <c r="N4988" s="5">
        <f>tblSales[[#This Row],[Qty]]*_xlfn.XLOOKUP(tblSales[[#This Row],[Product Code]],tblProducts[Code],tblProducts[Unit Cost],0)</f>
        <v>3720000</v>
      </c>
      <c r="O4988" s="4" t="s">
        <v>4867</v>
      </c>
      <c r="P4988" s="4" t="s">
        <v>4860</v>
      </c>
      <c r="Q4988" s="1" t="str">
        <f>_xlfn.XLOOKUP(tblSales[[#This Row],[Channel Code]],tblChannels[Channel Code],tblChannels[Channel Name],"")</f>
        <v>In-store</v>
      </c>
      <c r="R4988" s="1">
        <f>MONTH(tblSales[[#This Row],[Date]])</f>
        <v>10</v>
      </c>
    </row>
    <row r="4989" spans="2:18" x14ac:dyDescent="0.35">
      <c r="B4989" s="113">
        <v>46326</v>
      </c>
      <c r="C4989" s="4" t="s">
        <v>3406</v>
      </c>
      <c r="D4989" s="4" t="s">
        <v>4568</v>
      </c>
      <c r="E4989" s="1" t="str">
        <f>_xlfn.XLOOKUP(tblSales[[#This Row],[Customer ID]],tblCustomers[Customer ID],tblCustomers[Customer Name],"⚠ Unknown")</f>
        <v>Walk-in Customer</v>
      </c>
      <c r="F4989" s="4" t="s">
        <v>14</v>
      </c>
      <c r="G4989" s="1" t="str">
        <f>_xlfn.XLOOKUP(tblSales[[#This Row],[Product Code]],tblProducts[Code],tblProducts[Product / Service Name],"⚠ Unknown")</f>
        <v>Smartwatch</v>
      </c>
      <c r="H4989" s="1" t="str">
        <f>_xlfn.XLOOKUP(tblSales[[#This Row],[Product Code]],tblProducts[Code],tblProducts[Category],"")</f>
        <v>Bags &amp; Gadgets</v>
      </c>
      <c r="I4989" s="4">
        <v>3</v>
      </c>
      <c r="J4989" s="5">
        <f>_xlfn.XLOOKUP(tblSales[[#This Row],[Product Code]],tblProducts[Code],tblProducts[Selling Price (excl. VAT)],0)</f>
        <v>850000</v>
      </c>
      <c r="K4989" s="5">
        <f>tblSales[[#This Row],[Qty]]*tblSales[[#This Row],[Unit Price]]</f>
        <v>2550000</v>
      </c>
      <c r="L4989" s="5">
        <f>ROUND(tblSales[[#This Row],[DPP (excl. VAT)]]*VATEff,0)</f>
        <v>280500</v>
      </c>
      <c r="M4989" s="5">
        <f>tblSales[[#This Row],[DPP (excl. VAT)]]+tblSales[[#This Row],[Output VAT]]</f>
        <v>2830500</v>
      </c>
      <c r="N4989" s="5">
        <f>tblSales[[#This Row],[Qty]]*_xlfn.XLOOKUP(tblSales[[#This Row],[Product Code]],tblProducts[Code],tblProducts[Unit Cost],0)</f>
        <v>1680000</v>
      </c>
      <c r="O4989" s="4" t="s">
        <v>4865</v>
      </c>
      <c r="P4989" s="4" t="s">
        <v>4860</v>
      </c>
      <c r="Q4989" s="1" t="str">
        <f>_xlfn.XLOOKUP(tblSales[[#This Row],[Channel Code]],tblChannels[Channel Code],tblChannels[Channel Name],"")</f>
        <v>In-store</v>
      </c>
      <c r="R4989" s="1">
        <f>MONTH(tblSales[[#This Row],[Date]])</f>
        <v>10</v>
      </c>
    </row>
    <row r="4990" spans="2:18" x14ac:dyDescent="0.35">
      <c r="B4990" s="113">
        <v>46326</v>
      </c>
      <c r="C4990" s="4" t="s">
        <v>3407</v>
      </c>
      <c r="D4990" s="4" t="s">
        <v>4613</v>
      </c>
      <c r="E4990" s="1" t="str">
        <f>_xlfn.XLOOKUP(tblSales[[#This Row],[Customer ID]],tblCustomers[Customer ID],tblCustomers[Customer Name],"⚠ Unknown")</f>
        <v>PT Mega Prima Distribusi</v>
      </c>
      <c r="F4990" s="4" t="s">
        <v>6</v>
      </c>
      <c r="G4990" s="1" t="str">
        <f>_xlfn.XLOOKUP(tblSales[[#This Row],[Product Code]],tblProducts[Code],tblProducts[Product / Service Name],"⚠ Unknown")</f>
        <v>Socks &amp; Accessories</v>
      </c>
      <c r="H4990" s="1" t="str">
        <f>_xlfn.XLOOKUP(tblSales[[#This Row],[Product Code]],tblProducts[Code],tblProducts[Category],"")</f>
        <v>Accessories &amp; Basics</v>
      </c>
      <c r="I4990" s="4">
        <v>96</v>
      </c>
      <c r="J4990" s="5">
        <f>_xlfn.XLOOKUP(tblSales[[#This Row],[Product Code]],tblProducts[Code],tblProducts[Selling Price (excl. VAT)],0)</f>
        <v>45000</v>
      </c>
      <c r="K4990" s="5">
        <f>tblSales[[#This Row],[Qty]]*tblSales[[#This Row],[Unit Price]]</f>
        <v>4320000</v>
      </c>
      <c r="L4990" s="5">
        <f>ROUND(tblSales[[#This Row],[DPP (excl. VAT)]]*VATEff,0)</f>
        <v>475200</v>
      </c>
      <c r="M4990" s="5">
        <f>tblSales[[#This Row],[DPP (excl. VAT)]]+tblSales[[#This Row],[Output VAT]]</f>
        <v>4795200</v>
      </c>
      <c r="N4990" s="5">
        <f>tblSales[[#This Row],[Qty]]*_xlfn.XLOOKUP(tblSales[[#This Row],[Product Code]],tblProducts[Code],tblProducts[Unit Cost],0)</f>
        <v>2304000</v>
      </c>
      <c r="O4990" s="4" t="s">
        <v>4867</v>
      </c>
      <c r="P4990" s="4" t="s">
        <v>4860</v>
      </c>
      <c r="Q4990" s="1" t="str">
        <f>_xlfn.XLOOKUP(tblSales[[#This Row],[Channel Code]],tblChannels[Channel Code],tblChannels[Channel Name],"")</f>
        <v>In-store</v>
      </c>
      <c r="R4990" s="1">
        <f>MONTH(tblSales[[#This Row],[Date]])</f>
        <v>10</v>
      </c>
    </row>
    <row r="4991" spans="2:18" x14ac:dyDescent="0.35">
      <c r="B4991" s="113">
        <v>46326</v>
      </c>
      <c r="C4991" s="4" t="s">
        <v>3408</v>
      </c>
      <c r="D4991" s="4" t="s">
        <v>4568</v>
      </c>
      <c r="E4991" s="1" t="str">
        <f>_xlfn.XLOOKUP(tblSales[[#This Row],[Customer ID]],tblCustomers[Customer ID],tblCustomers[Customer Name],"⚠ Unknown")</f>
        <v>Walk-in Customer</v>
      </c>
      <c r="F4991" s="4" t="s">
        <v>13</v>
      </c>
      <c r="G4991" s="1" t="str">
        <f>_xlfn.XLOOKUP(tblSales[[#This Row],[Product Code]],tblProducts[Code],tblProducts[Product / Service Name],"⚠ Unknown")</f>
        <v>Backpack</v>
      </c>
      <c r="H4991" s="1" t="str">
        <f>_xlfn.XLOOKUP(tblSales[[#This Row],[Product Code]],tblProducts[Code],tblProducts[Category],"")</f>
        <v>Bags &amp; Gadgets</v>
      </c>
      <c r="I4991" s="4">
        <v>5</v>
      </c>
      <c r="J4991" s="5">
        <f>_xlfn.XLOOKUP(tblSales[[#This Row],[Product Code]],tblProducts[Code],tblProducts[Selling Price (excl. VAT)],0)</f>
        <v>500000</v>
      </c>
      <c r="K4991" s="5">
        <f>tblSales[[#This Row],[Qty]]*tblSales[[#This Row],[Unit Price]]</f>
        <v>2500000</v>
      </c>
      <c r="L4991" s="5">
        <f>ROUND(tblSales[[#This Row],[DPP (excl. VAT)]]*VATEff,0)</f>
        <v>275000</v>
      </c>
      <c r="M4991" s="5">
        <f>tblSales[[#This Row],[DPP (excl. VAT)]]+tblSales[[#This Row],[Output VAT]]</f>
        <v>2775000</v>
      </c>
      <c r="N4991" s="5">
        <f>tblSales[[#This Row],[Qty]]*_xlfn.XLOOKUP(tblSales[[#This Row],[Product Code]],tblProducts[Code],tblProducts[Unit Cost],0)</f>
        <v>1450000</v>
      </c>
      <c r="O4991" s="4" t="s">
        <v>4865</v>
      </c>
      <c r="P4991" s="4" t="s">
        <v>4860</v>
      </c>
      <c r="Q4991" s="1" t="str">
        <f>_xlfn.XLOOKUP(tblSales[[#This Row],[Channel Code]],tblChannels[Channel Code],tblChannels[Channel Name],"")</f>
        <v>In-store</v>
      </c>
      <c r="R4991" s="1">
        <f>MONTH(tblSales[[#This Row],[Date]])</f>
        <v>10</v>
      </c>
    </row>
    <row r="4992" spans="2:18" x14ac:dyDescent="0.35">
      <c r="B4992" s="113">
        <v>46326</v>
      </c>
      <c r="C4992" s="4" t="s">
        <v>3408</v>
      </c>
      <c r="D4992" s="4" t="s">
        <v>4568</v>
      </c>
      <c r="E4992" s="1" t="str">
        <f>_xlfn.XLOOKUP(tblSales[[#This Row],[Customer ID]],tblCustomers[Customer ID],tblCustomers[Customer Name],"⚠ Unknown")</f>
        <v>Walk-in Customer</v>
      </c>
      <c r="F4992" s="4" t="s">
        <v>6</v>
      </c>
      <c r="G4992" s="1" t="str">
        <f>_xlfn.XLOOKUP(tblSales[[#This Row],[Product Code]],tblProducts[Code],tblProducts[Product / Service Name],"⚠ Unknown")</f>
        <v>Socks &amp; Accessories</v>
      </c>
      <c r="H4992" s="1" t="str">
        <f>_xlfn.XLOOKUP(tblSales[[#This Row],[Product Code]],tblProducts[Code],tblProducts[Category],"")</f>
        <v>Accessories &amp; Basics</v>
      </c>
      <c r="I4992" s="4">
        <v>3</v>
      </c>
      <c r="J4992" s="5">
        <f>_xlfn.XLOOKUP(tblSales[[#This Row],[Product Code]],tblProducts[Code],tblProducts[Selling Price (excl. VAT)],0)</f>
        <v>45000</v>
      </c>
      <c r="K4992" s="5">
        <f>tblSales[[#This Row],[Qty]]*tblSales[[#This Row],[Unit Price]]</f>
        <v>135000</v>
      </c>
      <c r="L4992" s="5">
        <f>ROUND(tblSales[[#This Row],[DPP (excl. VAT)]]*VATEff,0)</f>
        <v>14850</v>
      </c>
      <c r="M4992" s="5">
        <f>tblSales[[#This Row],[DPP (excl. VAT)]]+tblSales[[#This Row],[Output VAT]]</f>
        <v>149850</v>
      </c>
      <c r="N4992" s="5">
        <f>tblSales[[#This Row],[Qty]]*_xlfn.XLOOKUP(tblSales[[#This Row],[Product Code]],tblProducts[Code],tblProducts[Unit Cost],0)</f>
        <v>72000</v>
      </c>
      <c r="O4992" s="4" t="s">
        <v>4865</v>
      </c>
      <c r="P4992" s="4" t="s">
        <v>4860</v>
      </c>
      <c r="Q4992" s="1" t="str">
        <f>_xlfn.XLOOKUP(tblSales[[#This Row],[Channel Code]],tblChannels[Channel Code],tblChannels[Channel Name],"")</f>
        <v>In-store</v>
      </c>
      <c r="R4992" s="1">
        <f>MONTH(tblSales[[#This Row],[Date]])</f>
        <v>10</v>
      </c>
    </row>
    <row r="4993" spans="2:18" x14ac:dyDescent="0.35">
      <c r="B4993" s="113">
        <v>46326</v>
      </c>
      <c r="C4993" s="4" t="s">
        <v>3408</v>
      </c>
      <c r="D4993" s="4" t="s">
        <v>4568</v>
      </c>
      <c r="E4993" s="1" t="str">
        <f>_xlfn.XLOOKUP(tblSales[[#This Row],[Customer ID]],tblCustomers[Customer ID],tblCustomers[Customer Name],"⚠ Unknown")</f>
        <v>Walk-in Customer</v>
      </c>
      <c r="F4993" s="4" t="s">
        <v>9</v>
      </c>
      <c r="G4993" s="1" t="str">
        <f>_xlfn.XLOOKUP(tblSales[[#This Row],[Product Code]],tblProducts[Code],tblProducts[Product / Service Name],"⚠ Unknown")</f>
        <v>Casual Shirt</v>
      </c>
      <c r="H4993" s="1" t="str">
        <f>_xlfn.XLOOKUP(tblSales[[#This Row],[Product Code]],tblProducts[Code],tblProducts[Category],"")</f>
        <v>Apparel &amp; Footwear</v>
      </c>
      <c r="I4993" s="4">
        <v>1</v>
      </c>
      <c r="J4993" s="5">
        <f>_xlfn.XLOOKUP(tblSales[[#This Row],[Product Code]],tblProducts[Code],tblProducts[Selling Price (excl. VAT)],0)</f>
        <v>120000</v>
      </c>
      <c r="K4993" s="5">
        <f>tblSales[[#This Row],[Qty]]*tblSales[[#This Row],[Unit Price]]</f>
        <v>120000</v>
      </c>
      <c r="L4993" s="5">
        <f>ROUND(tblSales[[#This Row],[DPP (excl. VAT)]]*VATEff,0)</f>
        <v>13200</v>
      </c>
      <c r="M4993" s="5">
        <f>tblSales[[#This Row],[DPP (excl. VAT)]]+tblSales[[#This Row],[Output VAT]]</f>
        <v>133200</v>
      </c>
      <c r="N4993" s="5">
        <f>tblSales[[#This Row],[Qty]]*_xlfn.XLOOKUP(tblSales[[#This Row],[Product Code]],tblProducts[Code],tblProducts[Unit Cost],0)</f>
        <v>72000</v>
      </c>
      <c r="O4993" s="4" t="s">
        <v>4865</v>
      </c>
      <c r="P4993" s="4" t="s">
        <v>4860</v>
      </c>
      <c r="Q4993" s="1" t="str">
        <f>_xlfn.XLOOKUP(tblSales[[#This Row],[Channel Code]],tblChannels[Channel Code],tblChannels[Channel Name],"")</f>
        <v>In-store</v>
      </c>
      <c r="R4993" s="1">
        <f>MONTH(tblSales[[#This Row],[Date]])</f>
        <v>10</v>
      </c>
    </row>
    <row r="4994" spans="2:18" x14ac:dyDescent="0.35">
      <c r="B4994" s="113">
        <v>46326</v>
      </c>
      <c r="C4994" s="4" t="s">
        <v>3409</v>
      </c>
      <c r="D4994" s="4" t="s">
        <v>4568</v>
      </c>
      <c r="E4994" s="1" t="str">
        <f>_xlfn.XLOOKUP(tblSales[[#This Row],[Customer ID]],tblCustomers[Customer ID],tblCustomers[Customer Name],"⚠ Unknown")</f>
        <v>Walk-in Customer</v>
      </c>
      <c r="F4994" s="4" t="s">
        <v>9</v>
      </c>
      <c r="G4994" s="1" t="str">
        <f>_xlfn.XLOOKUP(tblSales[[#This Row],[Product Code]],tblProducts[Code],tblProducts[Product / Service Name],"⚠ Unknown")</f>
        <v>Casual Shirt</v>
      </c>
      <c r="H4994" s="1" t="str">
        <f>_xlfn.XLOOKUP(tblSales[[#This Row],[Product Code]],tblProducts[Code],tblProducts[Category],"")</f>
        <v>Apparel &amp; Footwear</v>
      </c>
      <c r="I4994" s="4">
        <v>3</v>
      </c>
      <c r="J4994" s="5">
        <f>_xlfn.XLOOKUP(tblSales[[#This Row],[Product Code]],tblProducts[Code],tblProducts[Selling Price (excl. VAT)],0)</f>
        <v>120000</v>
      </c>
      <c r="K4994" s="5">
        <f>tblSales[[#This Row],[Qty]]*tblSales[[#This Row],[Unit Price]]</f>
        <v>360000</v>
      </c>
      <c r="L4994" s="5">
        <f>ROUND(tblSales[[#This Row],[DPP (excl. VAT)]]*VATEff,0)</f>
        <v>39600</v>
      </c>
      <c r="M4994" s="5">
        <f>tblSales[[#This Row],[DPP (excl. VAT)]]+tblSales[[#This Row],[Output VAT]]</f>
        <v>399600</v>
      </c>
      <c r="N4994" s="5">
        <f>tblSales[[#This Row],[Qty]]*_xlfn.XLOOKUP(tblSales[[#This Row],[Product Code]],tblProducts[Code],tblProducts[Unit Cost],0)</f>
        <v>216000</v>
      </c>
      <c r="O4994" s="4" t="s">
        <v>4866</v>
      </c>
      <c r="P4994" s="4" t="s">
        <v>4861</v>
      </c>
      <c r="Q4994" s="1" t="str">
        <f>_xlfn.XLOOKUP(tblSales[[#This Row],[Channel Code]],tblChannels[Channel Code],tblChannels[Channel Name],"")</f>
        <v>Marketplace</v>
      </c>
      <c r="R4994" s="1">
        <f>MONTH(tblSales[[#This Row],[Date]])</f>
        <v>10</v>
      </c>
    </row>
    <row r="4995" spans="2:18" x14ac:dyDescent="0.35">
      <c r="B4995" s="113">
        <v>46326</v>
      </c>
      <c r="C4995" s="4" t="s">
        <v>3410</v>
      </c>
      <c r="D4995" s="4" t="s">
        <v>4599</v>
      </c>
      <c r="E4995" s="1" t="str">
        <f>_xlfn.XLOOKUP(tblSales[[#This Row],[Customer ID]],tblCustomers[Customer ID],tblCustomers[Customer Name],"⚠ Unknown")</f>
        <v>PT Samudra Jaya Logistik</v>
      </c>
      <c r="F4995" s="4" t="s">
        <v>11</v>
      </c>
      <c r="G4995" s="1" t="str">
        <f>_xlfn.XLOOKUP(tblSales[[#This Row],[Product Code]],tblProducts[Code],tblProducts[Product / Service Name],"⚠ Unknown")</f>
        <v>Sneakers</v>
      </c>
      <c r="H4995" s="1" t="str">
        <f>_xlfn.XLOOKUP(tblSales[[#This Row],[Product Code]],tblProducts[Code],tblProducts[Category],"")</f>
        <v>Apparel &amp; Footwear</v>
      </c>
      <c r="I4995" s="4">
        <v>24</v>
      </c>
      <c r="J4995" s="5">
        <f>_xlfn.XLOOKUP(tblSales[[#This Row],[Product Code]],tblProducts[Code],tblProducts[Selling Price (excl. VAT)],0)</f>
        <v>250000</v>
      </c>
      <c r="K4995" s="5">
        <f>tblSales[[#This Row],[Qty]]*tblSales[[#This Row],[Unit Price]]</f>
        <v>6000000</v>
      </c>
      <c r="L4995" s="5">
        <f>ROUND(tblSales[[#This Row],[DPP (excl. VAT)]]*VATEff,0)</f>
        <v>660000</v>
      </c>
      <c r="M4995" s="5">
        <f>tblSales[[#This Row],[DPP (excl. VAT)]]+tblSales[[#This Row],[Output VAT]]</f>
        <v>6660000</v>
      </c>
      <c r="N4995" s="5">
        <f>tblSales[[#This Row],[Qty]]*_xlfn.XLOOKUP(tblSales[[#This Row],[Product Code]],tblProducts[Code],tblProducts[Unit Cost],0)</f>
        <v>3720000</v>
      </c>
      <c r="O4995" s="4" t="s">
        <v>4867</v>
      </c>
      <c r="P4995" s="4" t="s">
        <v>4860</v>
      </c>
      <c r="Q4995" s="1" t="str">
        <f>_xlfn.XLOOKUP(tblSales[[#This Row],[Channel Code]],tblChannels[Channel Code],tblChannels[Channel Name],"")</f>
        <v>In-store</v>
      </c>
      <c r="R4995" s="1">
        <f>MONTH(tblSales[[#This Row],[Date]])</f>
        <v>10</v>
      </c>
    </row>
    <row r="4996" spans="2:18" x14ac:dyDescent="0.35">
      <c r="B4996" s="113">
        <v>46326</v>
      </c>
      <c r="C4996" s="4" t="s">
        <v>3411</v>
      </c>
      <c r="D4996" s="4" t="s">
        <v>4568</v>
      </c>
      <c r="E4996" s="1" t="str">
        <f>_xlfn.XLOOKUP(tblSales[[#This Row],[Customer ID]],tblCustomers[Customer ID],tblCustomers[Customer Name],"⚠ Unknown")</f>
        <v>Walk-in Customer</v>
      </c>
      <c r="F4996" s="4" t="s">
        <v>8</v>
      </c>
      <c r="G4996" s="1" t="str">
        <f>_xlfn.XLOOKUP(tblSales[[#This Row],[Product Code]],tblProducts[Code],tblProducts[Product / Service Name],"⚠ Unknown")</f>
        <v>Casual Shorts</v>
      </c>
      <c r="H4996" s="1" t="str">
        <f>_xlfn.XLOOKUP(tblSales[[#This Row],[Product Code]],tblProducts[Code],tblProducts[Category],"")</f>
        <v>Accessories &amp; Basics</v>
      </c>
      <c r="I4996" s="4">
        <v>5</v>
      </c>
      <c r="J4996" s="5">
        <f>_xlfn.XLOOKUP(tblSales[[#This Row],[Product Code]],tblProducts[Code],tblProducts[Selling Price (excl. VAT)],0)</f>
        <v>85000</v>
      </c>
      <c r="K4996" s="5">
        <f>tblSales[[#This Row],[Qty]]*tblSales[[#This Row],[Unit Price]]</f>
        <v>425000</v>
      </c>
      <c r="L4996" s="5">
        <f>ROUND(tblSales[[#This Row],[DPP (excl. VAT)]]*VATEff,0)</f>
        <v>46750</v>
      </c>
      <c r="M4996" s="5">
        <f>tblSales[[#This Row],[DPP (excl. VAT)]]+tblSales[[#This Row],[Output VAT]]</f>
        <v>471750</v>
      </c>
      <c r="N4996" s="5">
        <f>tblSales[[#This Row],[Qty]]*_xlfn.XLOOKUP(tblSales[[#This Row],[Product Code]],tblProducts[Code],tblProducts[Unit Cost],0)</f>
        <v>250000</v>
      </c>
      <c r="O4996" s="4" t="s">
        <v>4866</v>
      </c>
      <c r="P4996" s="4" t="s">
        <v>4860</v>
      </c>
      <c r="Q4996" s="1" t="str">
        <f>_xlfn.XLOOKUP(tblSales[[#This Row],[Channel Code]],tblChannels[Channel Code],tblChannels[Channel Name],"")</f>
        <v>In-store</v>
      </c>
      <c r="R4996" s="1">
        <f>MONTH(tblSales[[#This Row],[Date]])</f>
        <v>10</v>
      </c>
    </row>
    <row r="4997" spans="2:18" x14ac:dyDescent="0.35">
      <c r="B4997" s="113">
        <v>46326</v>
      </c>
      <c r="C4997" s="4" t="s">
        <v>3411</v>
      </c>
      <c r="D4997" s="4" t="s">
        <v>4568</v>
      </c>
      <c r="E4997" s="1" t="str">
        <f>_xlfn.XLOOKUP(tblSales[[#This Row],[Customer ID]],tblCustomers[Customer ID],tblCustomers[Customer Name],"⚠ Unknown")</f>
        <v>Walk-in Customer</v>
      </c>
      <c r="F4997" s="4" t="s">
        <v>9</v>
      </c>
      <c r="G4997" s="1" t="str">
        <f>_xlfn.XLOOKUP(tblSales[[#This Row],[Product Code]],tblProducts[Code],tblProducts[Product / Service Name],"⚠ Unknown")</f>
        <v>Casual Shirt</v>
      </c>
      <c r="H4997" s="1" t="str">
        <f>_xlfn.XLOOKUP(tblSales[[#This Row],[Product Code]],tblProducts[Code],tblProducts[Category],"")</f>
        <v>Apparel &amp; Footwear</v>
      </c>
      <c r="I4997" s="4">
        <v>10</v>
      </c>
      <c r="J4997" s="5">
        <f>_xlfn.XLOOKUP(tblSales[[#This Row],[Product Code]],tblProducts[Code],tblProducts[Selling Price (excl. VAT)],0)</f>
        <v>120000</v>
      </c>
      <c r="K4997" s="5">
        <f>tblSales[[#This Row],[Qty]]*tblSales[[#This Row],[Unit Price]]</f>
        <v>1200000</v>
      </c>
      <c r="L4997" s="5">
        <f>ROUND(tblSales[[#This Row],[DPP (excl. VAT)]]*VATEff,0)</f>
        <v>132000</v>
      </c>
      <c r="M4997" s="5">
        <f>tblSales[[#This Row],[DPP (excl. VAT)]]+tblSales[[#This Row],[Output VAT]]</f>
        <v>1332000</v>
      </c>
      <c r="N4997" s="5">
        <f>tblSales[[#This Row],[Qty]]*_xlfn.XLOOKUP(tblSales[[#This Row],[Product Code]],tblProducts[Code],tblProducts[Unit Cost],0)</f>
        <v>720000</v>
      </c>
      <c r="O4997" s="4" t="s">
        <v>4866</v>
      </c>
      <c r="P4997" s="4" t="s">
        <v>4860</v>
      </c>
      <c r="Q4997" s="1" t="str">
        <f>_xlfn.XLOOKUP(tblSales[[#This Row],[Channel Code]],tblChannels[Channel Code],tblChannels[Channel Name],"")</f>
        <v>In-store</v>
      </c>
      <c r="R4997" s="1">
        <f>MONTH(tblSales[[#This Row],[Date]])</f>
        <v>10</v>
      </c>
    </row>
    <row r="4998" spans="2:18" x14ac:dyDescent="0.35">
      <c r="B4998" s="113">
        <v>46326</v>
      </c>
      <c r="C4998" s="4" t="s">
        <v>3412</v>
      </c>
      <c r="D4998" s="4" t="s">
        <v>4568</v>
      </c>
      <c r="E4998" s="1" t="str">
        <f>_xlfn.XLOOKUP(tblSales[[#This Row],[Customer ID]],tblCustomers[Customer ID],tblCustomers[Customer Name],"⚠ Unknown")</f>
        <v>Walk-in Customer</v>
      </c>
      <c r="F4998" s="4" t="s">
        <v>14</v>
      </c>
      <c r="G4998" s="1" t="str">
        <f>_xlfn.XLOOKUP(tblSales[[#This Row],[Product Code]],tblProducts[Code],tblProducts[Product / Service Name],"⚠ Unknown")</f>
        <v>Smartwatch</v>
      </c>
      <c r="H4998" s="1" t="str">
        <f>_xlfn.XLOOKUP(tblSales[[#This Row],[Product Code]],tblProducts[Code],tblProducts[Category],"")</f>
        <v>Bags &amp; Gadgets</v>
      </c>
      <c r="I4998" s="4">
        <v>2</v>
      </c>
      <c r="J4998" s="5">
        <f>_xlfn.XLOOKUP(tblSales[[#This Row],[Product Code]],tblProducts[Code],tblProducts[Selling Price (excl. VAT)],0)</f>
        <v>850000</v>
      </c>
      <c r="K4998" s="5">
        <f>tblSales[[#This Row],[Qty]]*tblSales[[#This Row],[Unit Price]]</f>
        <v>1700000</v>
      </c>
      <c r="L4998" s="5">
        <f>ROUND(tblSales[[#This Row],[DPP (excl. VAT)]]*VATEff,0)</f>
        <v>187000</v>
      </c>
      <c r="M4998" s="5">
        <f>tblSales[[#This Row],[DPP (excl. VAT)]]+tblSales[[#This Row],[Output VAT]]</f>
        <v>1887000</v>
      </c>
      <c r="N4998" s="5">
        <f>tblSales[[#This Row],[Qty]]*_xlfn.XLOOKUP(tblSales[[#This Row],[Product Code]],tblProducts[Code],tblProducts[Unit Cost],0)</f>
        <v>1120000</v>
      </c>
      <c r="O4998" s="4" t="s">
        <v>4866</v>
      </c>
      <c r="P4998" s="4" t="s">
        <v>4862</v>
      </c>
      <c r="Q4998" s="1" t="str">
        <f>_xlfn.XLOOKUP(tblSales[[#This Row],[Channel Code]],tblChannels[Channel Code],tblChannels[Channel Name],"")</f>
        <v>Website &amp; Social Media</v>
      </c>
      <c r="R4998" s="1">
        <f>MONTH(tblSales[[#This Row],[Date]])</f>
        <v>10</v>
      </c>
    </row>
    <row r="4999" spans="2:18" x14ac:dyDescent="0.35">
      <c r="B4999" s="113">
        <v>46326</v>
      </c>
      <c r="C4999" s="4" t="s">
        <v>3412</v>
      </c>
      <c r="D4999" s="4" t="s">
        <v>4568</v>
      </c>
      <c r="E4999" s="1" t="str">
        <f>_xlfn.XLOOKUP(tblSales[[#This Row],[Customer ID]],tblCustomers[Customer ID],tblCustomers[Customer Name],"⚠ Unknown")</f>
        <v>Walk-in Customer</v>
      </c>
      <c r="F4999" s="4" t="s">
        <v>8</v>
      </c>
      <c r="G4999" s="1" t="str">
        <f>_xlfn.XLOOKUP(tblSales[[#This Row],[Product Code]],tblProducts[Code],tblProducts[Product / Service Name],"⚠ Unknown")</f>
        <v>Casual Shorts</v>
      </c>
      <c r="H4999" s="1" t="str">
        <f>_xlfn.XLOOKUP(tblSales[[#This Row],[Product Code]],tblProducts[Code],tblProducts[Category],"")</f>
        <v>Accessories &amp; Basics</v>
      </c>
      <c r="I4999" s="4">
        <v>6</v>
      </c>
      <c r="J4999" s="5">
        <f>_xlfn.XLOOKUP(tblSales[[#This Row],[Product Code]],tblProducts[Code],tblProducts[Selling Price (excl. VAT)],0)</f>
        <v>85000</v>
      </c>
      <c r="K4999" s="5">
        <f>tblSales[[#This Row],[Qty]]*tblSales[[#This Row],[Unit Price]]</f>
        <v>510000</v>
      </c>
      <c r="L4999" s="5">
        <f>ROUND(tblSales[[#This Row],[DPP (excl. VAT)]]*VATEff,0)</f>
        <v>56100</v>
      </c>
      <c r="M4999" s="5">
        <f>tblSales[[#This Row],[DPP (excl. VAT)]]+tblSales[[#This Row],[Output VAT]]</f>
        <v>566100</v>
      </c>
      <c r="N4999" s="5">
        <f>tblSales[[#This Row],[Qty]]*_xlfn.XLOOKUP(tblSales[[#This Row],[Product Code]],tblProducts[Code],tblProducts[Unit Cost],0)</f>
        <v>300000</v>
      </c>
      <c r="O4999" s="4" t="s">
        <v>4866</v>
      </c>
      <c r="P4999" s="4" t="s">
        <v>4862</v>
      </c>
      <c r="Q4999" s="1" t="str">
        <f>_xlfn.XLOOKUP(tblSales[[#This Row],[Channel Code]],tblChannels[Channel Code],tblChannels[Channel Name],"")</f>
        <v>Website &amp; Social Media</v>
      </c>
      <c r="R4999" s="1">
        <f>MONTH(tblSales[[#This Row],[Date]])</f>
        <v>10</v>
      </c>
    </row>
    <row r="5000" spans="2:18" x14ac:dyDescent="0.35">
      <c r="B5000" s="113">
        <v>46326</v>
      </c>
      <c r="C5000" s="4" t="s">
        <v>3413</v>
      </c>
      <c r="D5000" s="4" t="s">
        <v>4568</v>
      </c>
      <c r="E5000" s="1" t="str">
        <f>_xlfn.XLOOKUP(tblSales[[#This Row],[Customer ID]],tblCustomers[Customer ID],tblCustomers[Customer Name],"⚠ Unknown")</f>
        <v>Walk-in Customer</v>
      </c>
      <c r="F5000" s="4" t="s">
        <v>7</v>
      </c>
      <c r="G5000" s="1" t="str">
        <f>_xlfn.XLOOKUP(tblSales[[#This Row],[Product Code]],tblProducts[Code],tblProducts[Product / Service Name],"⚠ Unknown")</f>
        <v>Premium Basic T-shirt</v>
      </c>
      <c r="H5000" s="1" t="str">
        <f>_xlfn.XLOOKUP(tblSales[[#This Row],[Product Code]],tblProducts[Code],tblProducts[Category],"")</f>
        <v>Accessories &amp; Basics</v>
      </c>
      <c r="I5000" s="4">
        <v>1</v>
      </c>
      <c r="J5000" s="5">
        <f>_xlfn.XLOOKUP(tblSales[[#This Row],[Product Code]],tblProducts[Code],tblProducts[Selling Price (excl. VAT)],0)</f>
        <v>65000</v>
      </c>
      <c r="K5000" s="5">
        <f>tblSales[[#This Row],[Qty]]*tblSales[[#This Row],[Unit Price]]</f>
        <v>65000</v>
      </c>
      <c r="L5000" s="5">
        <f>ROUND(tblSales[[#This Row],[DPP (excl. VAT)]]*VATEff,0)</f>
        <v>7150</v>
      </c>
      <c r="M5000" s="5">
        <f>tblSales[[#This Row],[DPP (excl. VAT)]]+tblSales[[#This Row],[Output VAT]]</f>
        <v>72150</v>
      </c>
      <c r="N5000" s="5">
        <f>tblSales[[#This Row],[Qty]]*_xlfn.XLOOKUP(tblSales[[#This Row],[Product Code]],tblProducts[Code],tblProducts[Unit Cost],0)</f>
        <v>37000</v>
      </c>
      <c r="O5000" s="4" t="s">
        <v>4866</v>
      </c>
      <c r="P5000" s="4" t="s">
        <v>4861</v>
      </c>
      <c r="Q5000" s="1" t="str">
        <f>_xlfn.XLOOKUP(tblSales[[#This Row],[Channel Code]],tblChannels[Channel Code],tblChannels[Channel Name],"")</f>
        <v>Marketplace</v>
      </c>
      <c r="R5000" s="1">
        <f>MONTH(tblSales[[#This Row],[Date]])</f>
        <v>10</v>
      </c>
    </row>
    <row r="5001" spans="2:18" x14ac:dyDescent="0.35">
      <c r="B5001" s="113">
        <v>46326</v>
      </c>
      <c r="C5001" s="4" t="s">
        <v>3414</v>
      </c>
      <c r="D5001" s="4" t="s">
        <v>4568</v>
      </c>
      <c r="E5001" s="1" t="str">
        <f>_xlfn.XLOOKUP(tblSales[[#This Row],[Customer ID]],tblCustomers[Customer ID],tblCustomers[Customer Name],"⚠ Unknown")</f>
        <v>Walk-in Customer</v>
      </c>
      <c r="F5001" s="4" t="s">
        <v>8</v>
      </c>
      <c r="G5001" s="1" t="str">
        <f>_xlfn.XLOOKUP(tblSales[[#This Row],[Product Code]],tblProducts[Code],tblProducts[Product / Service Name],"⚠ Unknown")</f>
        <v>Casual Shorts</v>
      </c>
      <c r="H5001" s="1" t="str">
        <f>_xlfn.XLOOKUP(tblSales[[#This Row],[Product Code]],tblProducts[Code],tblProducts[Category],"")</f>
        <v>Accessories &amp; Basics</v>
      </c>
      <c r="I5001" s="4">
        <v>4</v>
      </c>
      <c r="J5001" s="5">
        <f>_xlfn.XLOOKUP(tblSales[[#This Row],[Product Code]],tblProducts[Code],tblProducts[Selling Price (excl. VAT)],0)</f>
        <v>85000</v>
      </c>
      <c r="K5001" s="5">
        <f>tblSales[[#This Row],[Qty]]*tblSales[[#This Row],[Unit Price]]</f>
        <v>340000</v>
      </c>
      <c r="L5001" s="5">
        <f>ROUND(tblSales[[#This Row],[DPP (excl. VAT)]]*VATEff,0)</f>
        <v>37400</v>
      </c>
      <c r="M5001" s="5">
        <f>tblSales[[#This Row],[DPP (excl. VAT)]]+tblSales[[#This Row],[Output VAT]]</f>
        <v>377400</v>
      </c>
      <c r="N5001" s="5">
        <f>tblSales[[#This Row],[Qty]]*_xlfn.XLOOKUP(tblSales[[#This Row],[Product Code]],tblProducts[Code],tblProducts[Unit Cost],0)</f>
        <v>200000</v>
      </c>
      <c r="O5001" s="4" t="s">
        <v>4866</v>
      </c>
      <c r="P5001" s="4" t="s">
        <v>4860</v>
      </c>
      <c r="Q5001" s="1" t="str">
        <f>_xlfn.XLOOKUP(tblSales[[#This Row],[Channel Code]],tblChannels[Channel Code],tblChannels[Channel Name],"")</f>
        <v>In-store</v>
      </c>
      <c r="R5001" s="1">
        <f>MONTH(tblSales[[#This Row],[Date]])</f>
        <v>10</v>
      </c>
    </row>
    <row r="5002" spans="2:18" x14ac:dyDescent="0.35">
      <c r="B5002" s="113">
        <v>46326</v>
      </c>
      <c r="C5002" s="4" t="s">
        <v>3414</v>
      </c>
      <c r="D5002" s="4" t="s">
        <v>4568</v>
      </c>
      <c r="E5002" s="1" t="str">
        <f>_xlfn.XLOOKUP(tblSales[[#This Row],[Customer ID]],tblCustomers[Customer ID],tblCustomers[Customer Name],"⚠ Unknown")</f>
        <v>Walk-in Customer</v>
      </c>
      <c r="F5002" s="4" t="s">
        <v>6</v>
      </c>
      <c r="G5002" s="1" t="str">
        <f>_xlfn.XLOOKUP(tblSales[[#This Row],[Product Code]],tblProducts[Code],tblProducts[Product / Service Name],"⚠ Unknown")</f>
        <v>Socks &amp; Accessories</v>
      </c>
      <c r="H5002" s="1" t="str">
        <f>_xlfn.XLOOKUP(tblSales[[#This Row],[Product Code]],tblProducts[Code],tblProducts[Category],"")</f>
        <v>Accessories &amp; Basics</v>
      </c>
      <c r="I5002" s="4">
        <v>8</v>
      </c>
      <c r="J5002" s="5">
        <f>_xlfn.XLOOKUP(tblSales[[#This Row],[Product Code]],tblProducts[Code],tblProducts[Selling Price (excl. VAT)],0)</f>
        <v>45000</v>
      </c>
      <c r="K5002" s="5">
        <f>tblSales[[#This Row],[Qty]]*tblSales[[#This Row],[Unit Price]]</f>
        <v>360000</v>
      </c>
      <c r="L5002" s="5">
        <f>ROUND(tblSales[[#This Row],[DPP (excl. VAT)]]*VATEff,0)</f>
        <v>39600</v>
      </c>
      <c r="M5002" s="5">
        <f>tblSales[[#This Row],[DPP (excl. VAT)]]+tblSales[[#This Row],[Output VAT]]</f>
        <v>399600</v>
      </c>
      <c r="N5002" s="5">
        <f>tblSales[[#This Row],[Qty]]*_xlfn.XLOOKUP(tblSales[[#This Row],[Product Code]],tblProducts[Code],tblProducts[Unit Cost],0)</f>
        <v>192000</v>
      </c>
      <c r="O5002" s="4" t="s">
        <v>4866</v>
      </c>
      <c r="P5002" s="4" t="s">
        <v>4860</v>
      </c>
      <c r="Q5002" s="1" t="str">
        <f>_xlfn.XLOOKUP(tblSales[[#This Row],[Channel Code]],tblChannels[Channel Code],tblChannels[Channel Name],"")</f>
        <v>In-store</v>
      </c>
      <c r="R5002" s="1">
        <f>MONTH(tblSales[[#This Row],[Date]])</f>
        <v>10</v>
      </c>
    </row>
    <row r="5003" spans="2:18" x14ac:dyDescent="0.35">
      <c r="B5003" s="113">
        <v>46327</v>
      </c>
      <c r="C5003" s="4" t="s">
        <v>3415</v>
      </c>
      <c r="D5003" s="4" t="s">
        <v>4568</v>
      </c>
      <c r="E5003" s="1" t="str">
        <f>_xlfn.XLOOKUP(tblSales[[#This Row],[Customer ID]],tblCustomers[Customer ID],tblCustomers[Customer Name],"⚠ Unknown")</f>
        <v>Walk-in Customer</v>
      </c>
      <c r="F5003" s="4" t="s">
        <v>8</v>
      </c>
      <c r="G5003" s="1" t="str">
        <f>_xlfn.XLOOKUP(tblSales[[#This Row],[Product Code]],tblProducts[Code],tblProducts[Product / Service Name],"⚠ Unknown")</f>
        <v>Casual Shorts</v>
      </c>
      <c r="H5003" s="1" t="str">
        <f>_xlfn.XLOOKUP(tblSales[[#This Row],[Product Code]],tblProducts[Code],tblProducts[Category],"")</f>
        <v>Accessories &amp; Basics</v>
      </c>
      <c r="I5003" s="4">
        <v>1</v>
      </c>
      <c r="J5003" s="5">
        <f>_xlfn.XLOOKUP(tblSales[[#This Row],[Product Code]],tblProducts[Code],tblProducts[Selling Price (excl. VAT)],0)</f>
        <v>85000</v>
      </c>
      <c r="K5003" s="5">
        <f>tblSales[[#This Row],[Qty]]*tblSales[[#This Row],[Unit Price]]</f>
        <v>85000</v>
      </c>
      <c r="L5003" s="5">
        <f>ROUND(tblSales[[#This Row],[DPP (excl. VAT)]]*VATEff,0)</f>
        <v>9350</v>
      </c>
      <c r="M5003" s="5">
        <f>tblSales[[#This Row],[DPP (excl. VAT)]]+tblSales[[#This Row],[Output VAT]]</f>
        <v>94350</v>
      </c>
      <c r="N5003" s="5">
        <f>tblSales[[#This Row],[Qty]]*_xlfn.XLOOKUP(tblSales[[#This Row],[Product Code]],tblProducts[Code],tblProducts[Unit Cost],0)</f>
        <v>50000</v>
      </c>
      <c r="O5003" s="4" t="s">
        <v>4866</v>
      </c>
      <c r="P5003" s="4" t="s">
        <v>4860</v>
      </c>
      <c r="Q5003" s="1" t="str">
        <f>_xlfn.XLOOKUP(tblSales[[#This Row],[Channel Code]],tblChannels[Channel Code],tblChannels[Channel Name],"")</f>
        <v>In-store</v>
      </c>
      <c r="R5003" s="1">
        <f>MONTH(tblSales[[#This Row],[Date]])</f>
        <v>11</v>
      </c>
    </row>
    <row r="5004" spans="2:18" x14ac:dyDescent="0.35">
      <c r="B5004" s="113">
        <v>46327</v>
      </c>
      <c r="C5004" s="4" t="s">
        <v>3416</v>
      </c>
      <c r="D5004" s="4" t="s">
        <v>4568</v>
      </c>
      <c r="E5004" s="1" t="str">
        <f>_xlfn.XLOOKUP(tblSales[[#This Row],[Customer ID]],tblCustomers[Customer ID],tblCustomers[Customer Name],"⚠ Unknown")</f>
        <v>Walk-in Customer</v>
      </c>
      <c r="F5004" s="4" t="s">
        <v>10</v>
      </c>
      <c r="G5004" s="1" t="str">
        <f>_xlfn.XLOOKUP(tblSales[[#This Row],[Product Code]],tblProducts[Code],tblProducts[Product / Service Name],"⚠ Unknown")</f>
        <v>Chino Pants</v>
      </c>
      <c r="H5004" s="1" t="str">
        <f>_xlfn.XLOOKUP(tblSales[[#This Row],[Product Code]],tblProducts[Code],tblProducts[Category],"")</f>
        <v>Apparel &amp; Footwear</v>
      </c>
      <c r="I5004" s="4">
        <v>12</v>
      </c>
      <c r="J5004" s="5">
        <f>_xlfn.XLOOKUP(tblSales[[#This Row],[Product Code]],tblProducts[Code],tblProducts[Selling Price (excl. VAT)],0)</f>
        <v>150000</v>
      </c>
      <c r="K5004" s="5">
        <f>tblSales[[#This Row],[Qty]]*tblSales[[#This Row],[Unit Price]]</f>
        <v>1800000</v>
      </c>
      <c r="L5004" s="5">
        <f>ROUND(tblSales[[#This Row],[DPP (excl. VAT)]]*VATEff,0)</f>
        <v>198000</v>
      </c>
      <c r="M5004" s="5">
        <f>tblSales[[#This Row],[DPP (excl. VAT)]]+tblSales[[#This Row],[Output VAT]]</f>
        <v>1998000</v>
      </c>
      <c r="N5004" s="5">
        <f>tblSales[[#This Row],[Qty]]*_xlfn.XLOOKUP(tblSales[[#This Row],[Product Code]],tblProducts[Code],tblProducts[Unit Cost],0)</f>
        <v>1056000</v>
      </c>
      <c r="O5004" s="4" t="s">
        <v>4866</v>
      </c>
      <c r="P5004" s="4" t="s">
        <v>4861</v>
      </c>
      <c r="Q5004" s="1" t="str">
        <f>_xlfn.XLOOKUP(tblSales[[#This Row],[Channel Code]],tblChannels[Channel Code],tblChannels[Channel Name],"")</f>
        <v>Marketplace</v>
      </c>
      <c r="R5004" s="1">
        <f>MONTH(tblSales[[#This Row],[Date]])</f>
        <v>11</v>
      </c>
    </row>
    <row r="5005" spans="2:18" x14ac:dyDescent="0.35">
      <c r="B5005" s="113">
        <v>46327</v>
      </c>
      <c r="C5005" s="4" t="s">
        <v>3416</v>
      </c>
      <c r="D5005" s="4" t="s">
        <v>4568</v>
      </c>
      <c r="E5005" s="1" t="str">
        <f>_xlfn.XLOOKUP(tblSales[[#This Row],[Customer ID]],tblCustomers[Customer ID],tblCustomers[Customer Name],"⚠ Unknown")</f>
        <v>Walk-in Customer</v>
      </c>
      <c r="F5005" s="4" t="s">
        <v>8</v>
      </c>
      <c r="G5005" s="1" t="str">
        <f>_xlfn.XLOOKUP(tblSales[[#This Row],[Product Code]],tblProducts[Code],tblProducts[Product / Service Name],"⚠ Unknown")</f>
        <v>Casual Shorts</v>
      </c>
      <c r="H5005" s="1" t="str">
        <f>_xlfn.XLOOKUP(tblSales[[#This Row],[Product Code]],tblProducts[Code],tblProducts[Category],"")</f>
        <v>Accessories &amp; Basics</v>
      </c>
      <c r="I5005" s="4">
        <v>7</v>
      </c>
      <c r="J5005" s="5">
        <f>_xlfn.XLOOKUP(tblSales[[#This Row],[Product Code]],tblProducts[Code],tblProducts[Selling Price (excl. VAT)],0)</f>
        <v>85000</v>
      </c>
      <c r="K5005" s="5">
        <f>tblSales[[#This Row],[Qty]]*tblSales[[#This Row],[Unit Price]]</f>
        <v>595000</v>
      </c>
      <c r="L5005" s="5">
        <f>ROUND(tblSales[[#This Row],[DPP (excl. VAT)]]*VATEff,0)</f>
        <v>65450</v>
      </c>
      <c r="M5005" s="5">
        <f>tblSales[[#This Row],[DPP (excl. VAT)]]+tblSales[[#This Row],[Output VAT]]</f>
        <v>660450</v>
      </c>
      <c r="N5005" s="5">
        <f>tblSales[[#This Row],[Qty]]*_xlfn.XLOOKUP(tblSales[[#This Row],[Product Code]],tblProducts[Code],tblProducts[Unit Cost],0)</f>
        <v>350000</v>
      </c>
      <c r="O5005" s="4" t="s">
        <v>4866</v>
      </c>
      <c r="P5005" s="4" t="s">
        <v>4861</v>
      </c>
      <c r="Q5005" s="1" t="str">
        <f>_xlfn.XLOOKUP(tblSales[[#This Row],[Channel Code]],tblChannels[Channel Code],tblChannels[Channel Name],"")</f>
        <v>Marketplace</v>
      </c>
      <c r="R5005" s="1">
        <f>MONTH(tblSales[[#This Row],[Date]])</f>
        <v>11</v>
      </c>
    </row>
    <row r="5006" spans="2:18" x14ac:dyDescent="0.35">
      <c r="B5006" s="113">
        <v>46327</v>
      </c>
      <c r="C5006" s="4" t="s">
        <v>3417</v>
      </c>
      <c r="D5006" s="4" t="s">
        <v>4568</v>
      </c>
      <c r="E5006" s="1" t="str">
        <f>_xlfn.XLOOKUP(tblSales[[#This Row],[Customer ID]],tblCustomers[Customer ID],tblCustomers[Customer Name],"⚠ Unknown")</f>
        <v>Walk-in Customer</v>
      </c>
      <c r="F5006" s="4" t="s">
        <v>8</v>
      </c>
      <c r="G5006" s="1" t="str">
        <f>_xlfn.XLOOKUP(tblSales[[#This Row],[Product Code]],tblProducts[Code],tblProducts[Product / Service Name],"⚠ Unknown")</f>
        <v>Casual Shorts</v>
      </c>
      <c r="H5006" s="1" t="str">
        <f>_xlfn.XLOOKUP(tblSales[[#This Row],[Product Code]],tblProducts[Code],tblProducts[Category],"")</f>
        <v>Accessories &amp; Basics</v>
      </c>
      <c r="I5006" s="4">
        <v>9</v>
      </c>
      <c r="J5006" s="5">
        <f>_xlfn.XLOOKUP(tblSales[[#This Row],[Product Code]],tblProducts[Code],tblProducts[Selling Price (excl. VAT)],0)</f>
        <v>85000</v>
      </c>
      <c r="K5006" s="5">
        <f>tblSales[[#This Row],[Qty]]*tblSales[[#This Row],[Unit Price]]</f>
        <v>765000</v>
      </c>
      <c r="L5006" s="5">
        <f>ROUND(tblSales[[#This Row],[DPP (excl. VAT)]]*VATEff,0)</f>
        <v>84150</v>
      </c>
      <c r="M5006" s="5">
        <f>tblSales[[#This Row],[DPP (excl. VAT)]]+tblSales[[#This Row],[Output VAT]]</f>
        <v>849150</v>
      </c>
      <c r="N5006" s="5">
        <f>tblSales[[#This Row],[Qty]]*_xlfn.XLOOKUP(tblSales[[#This Row],[Product Code]],tblProducts[Code],tblProducts[Unit Cost],0)</f>
        <v>450000</v>
      </c>
      <c r="O5006" s="4" t="s">
        <v>4865</v>
      </c>
      <c r="P5006" s="4" t="s">
        <v>4860</v>
      </c>
      <c r="Q5006" s="1" t="str">
        <f>_xlfn.XLOOKUP(tblSales[[#This Row],[Channel Code]],tblChannels[Channel Code],tblChannels[Channel Name],"")</f>
        <v>In-store</v>
      </c>
      <c r="R5006" s="1">
        <f>MONTH(tblSales[[#This Row],[Date]])</f>
        <v>11</v>
      </c>
    </row>
    <row r="5007" spans="2:18" x14ac:dyDescent="0.35">
      <c r="B5007" s="113">
        <v>46327</v>
      </c>
      <c r="C5007" s="4" t="s">
        <v>3418</v>
      </c>
      <c r="D5007" s="4" t="s">
        <v>4606</v>
      </c>
      <c r="E5007" s="1" t="str">
        <f>_xlfn.XLOOKUP(tblSales[[#This Row],[Customer ID]],tblCustomers[Customer ID],tblCustomers[Customer Name],"⚠ Unknown")</f>
        <v>PT Arunika Digital Kreatif</v>
      </c>
      <c r="F5007" s="4" t="s">
        <v>11</v>
      </c>
      <c r="G5007" s="1" t="str">
        <f>_xlfn.XLOOKUP(tblSales[[#This Row],[Product Code]],tblProducts[Code],tblProducts[Product / Service Name],"⚠ Unknown")</f>
        <v>Sneakers</v>
      </c>
      <c r="H5007" s="1" t="str">
        <f>_xlfn.XLOOKUP(tblSales[[#This Row],[Product Code]],tblProducts[Code],tblProducts[Category],"")</f>
        <v>Apparel &amp; Footwear</v>
      </c>
      <c r="I5007" s="4">
        <v>40</v>
      </c>
      <c r="J5007" s="5">
        <f>_xlfn.XLOOKUP(tblSales[[#This Row],[Product Code]],tblProducts[Code],tblProducts[Selling Price (excl. VAT)],0)</f>
        <v>250000</v>
      </c>
      <c r="K5007" s="5">
        <f>tblSales[[#This Row],[Qty]]*tblSales[[#This Row],[Unit Price]]</f>
        <v>10000000</v>
      </c>
      <c r="L5007" s="5">
        <f>ROUND(tblSales[[#This Row],[DPP (excl. VAT)]]*VATEff,0)</f>
        <v>1100000</v>
      </c>
      <c r="M5007" s="5">
        <f>tblSales[[#This Row],[DPP (excl. VAT)]]+tblSales[[#This Row],[Output VAT]]</f>
        <v>11100000</v>
      </c>
      <c r="N5007" s="5">
        <f>tblSales[[#This Row],[Qty]]*_xlfn.XLOOKUP(tblSales[[#This Row],[Product Code]],tblProducts[Code],tblProducts[Unit Cost],0)</f>
        <v>6200000</v>
      </c>
      <c r="O5007" s="4" t="s">
        <v>4867</v>
      </c>
      <c r="P5007" s="4" t="s">
        <v>4860</v>
      </c>
      <c r="Q5007" s="1" t="str">
        <f>_xlfn.XLOOKUP(tblSales[[#This Row],[Channel Code]],tblChannels[Channel Code],tblChannels[Channel Name],"")</f>
        <v>In-store</v>
      </c>
      <c r="R5007" s="1">
        <f>MONTH(tblSales[[#This Row],[Date]])</f>
        <v>11</v>
      </c>
    </row>
    <row r="5008" spans="2:18" x14ac:dyDescent="0.35">
      <c r="B5008" s="113">
        <v>46327</v>
      </c>
      <c r="C5008" s="4" t="s">
        <v>3419</v>
      </c>
      <c r="D5008" s="4" t="s">
        <v>4593</v>
      </c>
      <c r="E5008" s="1" t="str">
        <f>_xlfn.XLOOKUP(tblSales[[#This Row],[Customer ID]],tblCustomers[Customer ID],tblCustomers[Customer Name],"⚠ Unknown")</f>
        <v>PT Graha Nusa Persada</v>
      </c>
      <c r="F5008" s="4" t="s">
        <v>15</v>
      </c>
      <c r="G5008" s="1" t="str">
        <f>_xlfn.XLOOKUP(tblSales[[#This Row],[Product Code]],tblProducts[Code],tblProducts[Product / Service Name],"⚠ Unknown")</f>
        <v>Wireless Earbuds Pro</v>
      </c>
      <c r="H5008" s="1" t="str">
        <f>_xlfn.XLOOKUP(tblSales[[#This Row],[Product Code]],tblProducts[Code],tblProducts[Category],"")</f>
        <v>Bags &amp; Gadgets</v>
      </c>
      <c r="I5008" s="4">
        <v>8</v>
      </c>
      <c r="J5008" s="5">
        <f>_xlfn.XLOOKUP(tblSales[[#This Row],[Product Code]],tblProducts[Code],tblProducts[Selling Price (excl. VAT)],0)</f>
        <v>1250000</v>
      </c>
      <c r="K5008" s="5">
        <f>tblSales[[#This Row],[Qty]]*tblSales[[#This Row],[Unit Price]]</f>
        <v>10000000</v>
      </c>
      <c r="L5008" s="5">
        <f>ROUND(tblSales[[#This Row],[DPP (excl. VAT)]]*VATEff,0)</f>
        <v>1100000</v>
      </c>
      <c r="M5008" s="5">
        <f>tblSales[[#This Row],[DPP (excl. VAT)]]+tblSales[[#This Row],[Output VAT]]</f>
        <v>11100000</v>
      </c>
      <c r="N5008" s="5">
        <f>tblSales[[#This Row],[Qty]]*_xlfn.XLOOKUP(tblSales[[#This Row],[Product Code]],tblProducts[Code],tblProducts[Unit Cost],0)</f>
        <v>6560000</v>
      </c>
      <c r="O5008" s="4" t="s">
        <v>4867</v>
      </c>
      <c r="P5008" s="4" t="s">
        <v>4860</v>
      </c>
      <c r="Q5008" s="1" t="str">
        <f>_xlfn.XLOOKUP(tblSales[[#This Row],[Channel Code]],tblChannels[Channel Code],tblChannels[Channel Name],"")</f>
        <v>In-store</v>
      </c>
      <c r="R5008" s="1">
        <f>MONTH(tblSales[[#This Row],[Date]])</f>
        <v>11</v>
      </c>
    </row>
    <row r="5009" spans="2:18" x14ac:dyDescent="0.35">
      <c r="B5009" s="113">
        <v>46327</v>
      </c>
      <c r="C5009" s="4" t="s">
        <v>3419</v>
      </c>
      <c r="D5009" s="4" t="s">
        <v>4593</v>
      </c>
      <c r="E5009" s="1" t="str">
        <f>_xlfn.XLOOKUP(tblSales[[#This Row],[Customer ID]],tblCustomers[Customer ID],tblCustomers[Customer Name],"⚠ Unknown")</f>
        <v>PT Graha Nusa Persada</v>
      </c>
      <c r="F5009" s="4" t="s">
        <v>9</v>
      </c>
      <c r="G5009" s="1" t="str">
        <f>_xlfn.XLOOKUP(tblSales[[#This Row],[Product Code]],tblProducts[Code],tblProducts[Product / Service Name],"⚠ Unknown")</f>
        <v>Casual Shirt</v>
      </c>
      <c r="H5009" s="1" t="str">
        <f>_xlfn.XLOOKUP(tblSales[[#This Row],[Product Code]],tblProducts[Code],tblProducts[Category],"")</f>
        <v>Apparel &amp; Footwear</v>
      </c>
      <c r="I5009" s="4">
        <v>96</v>
      </c>
      <c r="J5009" s="5">
        <f>_xlfn.XLOOKUP(tblSales[[#This Row],[Product Code]],tblProducts[Code],tblProducts[Selling Price (excl. VAT)],0)</f>
        <v>120000</v>
      </c>
      <c r="K5009" s="5">
        <f>tblSales[[#This Row],[Qty]]*tblSales[[#This Row],[Unit Price]]</f>
        <v>11520000</v>
      </c>
      <c r="L5009" s="5">
        <f>ROUND(tblSales[[#This Row],[DPP (excl. VAT)]]*VATEff,0)</f>
        <v>1267200</v>
      </c>
      <c r="M5009" s="5">
        <f>tblSales[[#This Row],[DPP (excl. VAT)]]+tblSales[[#This Row],[Output VAT]]</f>
        <v>12787200</v>
      </c>
      <c r="N5009" s="5">
        <f>tblSales[[#This Row],[Qty]]*_xlfn.XLOOKUP(tblSales[[#This Row],[Product Code]],tblProducts[Code],tblProducts[Unit Cost],0)</f>
        <v>6912000</v>
      </c>
      <c r="O5009" s="4" t="s">
        <v>4867</v>
      </c>
      <c r="P5009" s="4" t="s">
        <v>4860</v>
      </c>
      <c r="Q5009" s="1" t="str">
        <f>_xlfn.XLOOKUP(tblSales[[#This Row],[Channel Code]],tblChannels[Channel Code],tblChannels[Channel Name],"")</f>
        <v>In-store</v>
      </c>
      <c r="R5009" s="1">
        <f>MONTH(tblSales[[#This Row],[Date]])</f>
        <v>11</v>
      </c>
    </row>
    <row r="5010" spans="2:18" x14ac:dyDescent="0.35">
      <c r="B5010" s="113">
        <v>46327</v>
      </c>
      <c r="C5010" s="4" t="s">
        <v>3420</v>
      </c>
      <c r="D5010" s="4" t="s">
        <v>4568</v>
      </c>
      <c r="E5010" s="1" t="str">
        <f>_xlfn.XLOOKUP(tblSales[[#This Row],[Customer ID]],tblCustomers[Customer ID],tblCustomers[Customer Name],"⚠ Unknown")</f>
        <v>Walk-in Customer</v>
      </c>
      <c r="F5010" s="4" t="s">
        <v>9</v>
      </c>
      <c r="G5010" s="1" t="str">
        <f>_xlfn.XLOOKUP(tblSales[[#This Row],[Product Code]],tblProducts[Code],tblProducts[Product / Service Name],"⚠ Unknown")</f>
        <v>Casual Shirt</v>
      </c>
      <c r="H5010" s="1" t="str">
        <f>_xlfn.XLOOKUP(tblSales[[#This Row],[Product Code]],tblProducts[Code],tblProducts[Category],"")</f>
        <v>Apparel &amp; Footwear</v>
      </c>
      <c r="I5010" s="4">
        <v>2</v>
      </c>
      <c r="J5010" s="5">
        <f>_xlfn.XLOOKUP(tblSales[[#This Row],[Product Code]],tblProducts[Code],tblProducts[Selling Price (excl. VAT)],0)</f>
        <v>120000</v>
      </c>
      <c r="K5010" s="5">
        <f>tblSales[[#This Row],[Qty]]*tblSales[[#This Row],[Unit Price]]</f>
        <v>240000</v>
      </c>
      <c r="L5010" s="5">
        <f>ROUND(tblSales[[#This Row],[DPP (excl. VAT)]]*VATEff,0)</f>
        <v>26400</v>
      </c>
      <c r="M5010" s="5">
        <f>tblSales[[#This Row],[DPP (excl. VAT)]]+tblSales[[#This Row],[Output VAT]]</f>
        <v>266400</v>
      </c>
      <c r="N5010" s="5">
        <f>tblSales[[#This Row],[Qty]]*_xlfn.XLOOKUP(tblSales[[#This Row],[Product Code]],tblProducts[Code],tblProducts[Unit Cost],0)</f>
        <v>144000</v>
      </c>
      <c r="O5010" s="4" t="s">
        <v>4866</v>
      </c>
      <c r="P5010" s="4" t="s">
        <v>4861</v>
      </c>
      <c r="Q5010" s="1" t="str">
        <f>_xlfn.XLOOKUP(tblSales[[#This Row],[Channel Code]],tblChannels[Channel Code],tblChannels[Channel Name],"")</f>
        <v>Marketplace</v>
      </c>
      <c r="R5010" s="1">
        <f>MONTH(tblSales[[#This Row],[Date]])</f>
        <v>11</v>
      </c>
    </row>
    <row r="5011" spans="2:18" x14ac:dyDescent="0.35">
      <c r="B5011" s="113">
        <v>46327</v>
      </c>
      <c r="C5011" s="4" t="s">
        <v>3420</v>
      </c>
      <c r="D5011" s="4" t="s">
        <v>4568</v>
      </c>
      <c r="E5011" s="1" t="str">
        <f>_xlfn.XLOOKUP(tblSales[[#This Row],[Customer ID]],tblCustomers[Customer ID],tblCustomers[Customer Name],"⚠ Unknown")</f>
        <v>Walk-in Customer</v>
      </c>
      <c r="F5011" s="4" t="s">
        <v>6</v>
      </c>
      <c r="G5011" s="1" t="str">
        <f>_xlfn.XLOOKUP(tblSales[[#This Row],[Product Code]],tblProducts[Code],tblProducts[Product / Service Name],"⚠ Unknown")</f>
        <v>Socks &amp; Accessories</v>
      </c>
      <c r="H5011" s="1" t="str">
        <f>_xlfn.XLOOKUP(tblSales[[#This Row],[Product Code]],tblProducts[Code],tblProducts[Category],"")</f>
        <v>Accessories &amp; Basics</v>
      </c>
      <c r="I5011" s="4">
        <v>10</v>
      </c>
      <c r="J5011" s="5">
        <f>_xlfn.XLOOKUP(tblSales[[#This Row],[Product Code]],tblProducts[Code],tblProducts[Selling Price (excl. VAT)],0)</f>
        <v>45000</v>
      </c>
      <c r="K5011" s="5">
        <f>tblSales[[#This Row],[Qty]]*tblSales[[#This Row],[Unit Price]]</f>
        <v>450000</v>
      </c>
      <c r="L5011" s="5">
        <f>ROUND(tblSales[[#This Row],[DPP (excl. VAT)]]*VATEff,0)</f>
        <v>49500</v>
      </c>
      <c r="M5011" s="5">
        <f>tblSales[[#This Row],[DPP (excl. VAT)]]+tblSales[[#This Row],[Output VAT]]</f>
        <v>499500</v>
      </c>
      <c r="N5011" s="5">
        <f>tblSales[[#This Row],[Qty]]*_xlfn.XLOOKUP(tblSales[[#This Row],[Product Code]],tblProducts[Code],tblProducts[Unit Cost],0)</f>
        <v>240000</v>
      </c>
      <c r="O5011" s="4" t="s">
        <v>4866</v>
      </c>
      <c r="P5011" s="4" t="s">
        <v>4861</v>
      </c>
      <c r="Q5011" s="1" t="str">
        <f>_xlfn.XLOOKUP(tblSales[[#This Row],[Channel Code]],tblChannels[Channel Code],tblChannels[Channel Name],"")</f>
        <v>Marketplace</v>
      </c>
      <c r="R5011" s="1">
        <f>MONTH(tblSales[[#This Row],[Date]])</f>
        <v>11</v>
      </c>
    </row>
    <row r="5012" spans="2:18" x14ac:dyDescent="0.35">
      <c r="B5012" s="113">
        <v>46327</v>
      </c>
      <c r="C5012" s="4" t="s">
        <v>3420</v>
      </c>
      <c r="D5012" s="4" t="s">
        <v>4568</v>
      </c>
      <c r="E5012" s="1" t="str">
        <f>_xlfn.XLOOKUP(tblSales[[#This Row],[Customer ID]],tblCustomers[Customer ID],tblCustomers[Customer Name],"⚠ Unknown")</f>
        <v>Walk-in Customer</v>
      </c>
      <c r="F5012" s="4" t="s">
        <v>14</v>
      </c>
      <c r="G5012" s="1" t="str">
        <f>_xlfn.XLOOKUP(tblSales[[#This Row],[Product Code]],tblProducts[Code],tblProducts[Product / Service Name],"⚠ Unknown")</f>
        <v>Smartwatch</v>
      </c>
      <c r="H5012" s="1" t="str">
        <f>_xlfn.XLOOKUP(tblSales[[#This Row],[Product Code]],tblProducts[Code],tblProducts[Category],"")</f>
        <v>Bags &amp; Gadgets</v>
      </c>
      <c r="I5012" s="4">
        <v>3</v>
      </c>
      <c r="J5012" s="5">
        <f>_xlfn.XLOOKUP(tblSales[[#This Row],[Product Code]],tblProducts[Code],tblProducts[Selling Price (excl. VAT)],0)</f>
        <v>850000</v>
      </c>
      <c r="K5012" s="5">
        <f>tblSales[[#This Row],[Qty]]*tblSales[[#This Row],[Unit Price]]</f>
        <v>2550000</v>
      </c>
      <c r="L5012" s="5">
        <f>ROUND(tblSales[[#This Row],[DPP (excl. VAT)]]*VATEff,0)</f>
        <v>280500</v>
      </c>
      <c r="M5012" s="5">
        <f>tblSales[[#This Row],[DPP (excl. VAT)]]+tblSales[[#This Row],[Output VAT]]</f>
        <v>2830500</v>
      </c>
      <c r="N5012" s="5">
        <f>tblSales[[#This Row],[Qty]]*_xlfn.XLOOKUP(tblSales[[#This Row],[Product Code]],tblProducts[Code],tblProducts[Unit Cost],0)</f>
        <v>1680000</v>
      </c>
      <c r="O5012" s="4" t="s">
        <v>4866</v>
      </c>
      <c r="P5012" s="4" t="s">
        <v>4861</v>
      </c>
      <c r="Q5012" s="1" t="str">
        <f>_xlfn.XLOOKUP(tblSales[[#This Row],[Channel Code]],tblChannels[Channel Code],tblChannels[Channel Name],"")</f>
        <v>Marketplace</v>
      </c>
      <c r="R5012" s="1">
        <f>MONTH(tblSales[[#This Row],[Date]])</f>
        <v>11</v>
      </c>
    </row>
    <row r="5013" spans="2:18" x14ac:dyDescent="0.35">
      <c r="B5013" s="113">
        <v>46327</v>
      </c>
      <c r="C5013" s="4" t="s">
        <v>3421</v>
      </c>
      <c r="D5013" s="4" t="s">
        <v>4578</v>
      </c>
      <c r="E5013" s="1" t="str">
        <f>_xlfn.XLOOKUP(tblSales[[#This Row],[Customer ID]],tblCustomers[Customer ID],tblCustomers[Customer Name],"⚠ Unknown")</f>
        <v>PT Bintang Timur Sejahtera</v>
      </c>
      <c r="F5013" s="4" t="s">
        <v>12</v>
      </c>
      <c r="G5013" s="1" t="str">
        <f>_xlfn.XLOOKUP(tblSales[[#This Row],[Product Code]],tblProducts[Code],tblProducts[Product / Service Name],"⚠ Unknown")</f>
        <v>Bomber Jacket</v>
      </c>
      <c r="H5013" s="1" t="str">
        <f>_xlfn.XLOOKUP(tblSales[[#This Row],[Product Code]],tblProducts[Code],tblProducts[Category],"")</f>
        <v>Apparel &amp; Footwear</v>
      </c>
      <c r="I5013" s="4">
        <v>40</v>
      </c>
      <c r="J5013" s="5">
        <f>_xlfn.XLOOKUP(tblSales[[#This Row],[Product Code]],tblProducts[Code],tblProducts[Selling Price (excl. VAT)],0)</f>
        <v>350000</v>
      </c>
      <c r="K5013" s="5">
        <f>tblSales[[#This Row],[Qty]]*tblSales[[#This Row],[Unit Price]]</f>
        <v>14000000</v>
      </c>
      <c r="L5013" s="5">
        <f>ROUND(tblSales[[#This Row],[DPP (excl. VAT)]]*VATEff,0)</f>
        <v>1540000</v>
      </c>
      <c r="M5013" s="5">
        <f>tblSales[[#This Row],[DPP (excl. VAT)]]+tblSales[[#This Row],[Output VAT]]</f>
        <v>15540000</v>
      </c>
      <c r="N5013" s="5">
        <f>tblSales[[#This Row],[Qty]]*_xlfn.XLOOKUP(tblSales[[#This Row],[Product Code]],tblProducts[Code],tblProducts[Unit Cost],0)</f>
        <v>8400000</v>
      </c>
      <c r="O5013" s="4" t="s">
        <v>4867</v>
      </c>
      <c r="P5013" s="4" t="s">
        <v>4860</v>
      </c>
      <c r="Q5013" s="1" t="str">
        <f>_xlfn.XLOOKUP(tblSales[[#This Row],[Channel Code]],tblChannels[Channel Code],tblChannels[Channel Name],"")</f>
        <v>In-store</v>
      </c>
      <c r="R5013" s="1">
        <f>MONTH(tblSales[[#This Row],[Date]])</f>
        <v>11</v>
      </c>
    </row>
    <row r="5014" spans="2:18" x14ac:dyDescent="0.35">
      <c r="B5014" s="113">
        <v>46327</v>
      </c>
      <c r="C5014" s="4" t="s">
        <v>3422</v>
      </c>
      <c r="D5014" s="4" t="s">
        <v>4568</v>
      </c>
      <c r="E5014" s="1" t="str">
        <f>_xlfn.XLOOKUP(tblSales[[#This Row],[Customer ID]],tblCustomers[Customer ID],tblCustomers[Customer Name],"⚠ Unknown")</f>
        <v>Walk-in Customer</v>
      </c>
      <c r="F5014" s="4" t="s">
        <v>10</v>
      </c>
      <c r="G5014" s="1" t="str">
        <f>_xlfn.XLOOKUP(tblSales[[#This Row],[Product Code]],tblProducts[Code],tblProducts[Product / Service Name],"⚠ Unknown")</f>
        <v>Chino Pants</v>
      </c>
      <c r="H5014" s="1" t="str">
        <f>_xlfn.XLOOKUP(tblSales[[#This Row],[Product Code]],tblProducts[Code],tblProducts[Category],"")</f>
        <v>Apparel &amp; Footwear</v>
      </c>
      <c r="I5014" s="4">
        <v>3</v>
      </c>
      <c r="J5014" s="5">
        <f>_xlfn.XLOOKUP(tblSales[[#This Row],[Product Code]],tblProducts[Code],tblProducts[Selling Price (excl. VAT)],0)</f>
        <v>150000</v>
      </c>
      <c r="K5014" s="5">
        <f>tblSales[[#This Row],[Qty]]*tblSales[[#This Row],[Unit Price]]</f>
        <v>450000</v>
      </c>
      <c r="L5014" s="5">
        <f>ROUND(tblSales[[#This Row],[DPP (excl. VAT)]]*VATEff,0)</f>
        <v>49500</v>
      </c>
      <c r="M5014" s="5">
        <f>tblSales[[#This Row],[DPP (excl. VAT)]]+tblSales[[#This Row],[Output VAT]]</f>
        <v>499500</v>
      </c>
      <c r="N5014" s="5">
        <f>tblSales[[#This Row],[Qty]]*_xlfn.XLOOKUP(tblSales[[#This Row],[Product Code]],tblProducts[Code],tblProducts[Unit Cost],0)</f>
        <v>264000</v>
      </c>
      <c r="O5014" s="4" t="s">
        <v>4866</v>
      </c>
      <c r="P5014" s="4" t="s">
        <v>4860</v>
      </c>
      <c r="Q5014" s="1" t="str">
        <f>_xlfn.XLOOKUP(tblSales[[#This Row],[Channel Code]],tblChannels[Channel Code],tblChannels[Channel Name],"")</f>
        <v>In-store</v>
      </c>
      <c r="R5014" s="1">
        <f>MONTH(tblSales[[#This Row],[Date]])</f>
        <v>11</v>
      </c>
    </row>
    <row r="5015" spans="2:18" x14ac:dyDescent="0.35">
      <c r="B5015" s="113">
        <v>46327</v>
      </c>
      <c r="C5015" s="4" t="s">
        <v>3422</v>
      </c>
      <c r="D5015" s="4" t="s">
        <v>4568</v>
      </c>
      <c r="E5015" s="1" t="str">
        <f>_xlfn.XLOOKUP(tblSales[[#This Row],[Customer ID]],tblCustomers[Customer ID],tblCustomers[Customer Name],"⚠ Unknown")</f>
        <v>Walk-in Customer</v>
      </c>
      <c r="F5015" s="4" t="s">
        <v>13</v>
      </c>
      <c r="G5015" s="1" t="str">
        <f>_xlfn.XLOOKUP(tblSales[[#This Row],[Product Code]],tblProducts[Code],tblProducts[Product / Service Name],"⚠ Unknown")</f>
        <v>Backpack</v>
      </c>
      <c r="H5015" s="1" t="str">
        <f>_xlfn.XLOOKUP(tblSales[[#This Row],[Product Code]],tblProducts[Code],tblProducts[Category],"")</f>
        <v>Bags &amp; Gadgets</v>
      </c>
      <c r="I5015" s="4">
        <v>4</v>
      </c>
      <c r="J5015" s="5">
        <f>_xlfn.XLOOKUP(tblSales[[#This Row],[Product Code]],tblProducts[Code],tblProducts[Selling Price (excl. VAT)],0)</f>
        <v>500000</v>
      </c>
      <c r="K5015" s="5">
        <f>tblSales[[#This Row],[Qty]]*tblSales[[#This Row],[Unit Price]]</f>
        <v>2000000</v>
      </c>
      <c r="L5015" s="5">
        <f>ROUND(tblSales[[#This Row],[DPP (excl. VAT)]]*VATEff,0)</f>
        <v>220000</v>
      </c>
      <c r="M5015" s="5">
        <f>tblSales[[#This Row],[DPP (excl. VAT)]]+tblSales[[#This Row],[Output VAT]]</f>
        <v>2220000</v>
      </c>
      <c r="N5015" s="5">
        <f>tblSales[[#This Row],[Qty]]*_xlfn.XLOOKUP(tblSales[[#This Row],[Product Code]],tblProducts[Code],tblProducts[Unit Cost],0)</f>
        <v>1160000</v>
      </c>
      <c r="O5015" s="4" t="s">
        <v>4866</v>
      </c>
      <c r="P5015" s="4" t="s">
        <v>4860</v>
      </c>
      <c r="Q5015" s="1" t="str">
        <f>_xlfn.XLOOKUP(tblSales[[#This Row],[Channel Code]],tblChannels[Channel Code],tblChannels[Channel Name],"")</f>
        <v>In-store</v>
      </c>
      <c r="R5015" s="1">
        <f>MONTH(tblSales[[#This Row],[Date]])</f>
        <v>11</v>
      </c>
    </row>
    <row r="5016" spans="2:18" x14ac:dyDescent="0.35">
      <c r="B5016" s="113">
        <v>46327</v>
      </c>
      <c r="C5016" s="4" t="s">
        <v>3423</v>
      </c>
      <c r="D5016" s="4" t="s">
        <v>4634</v>
      </c>
      <c r="E5016" s="1" t="str">
        <f>_xlfn.XLOOKUP(tblSales[[#This Row],[Customer ID]],tblCustomers[Customer ID],tblCustomers[Customer Name],"⚠ Unknown")</f>
        <v>PT Delta Inti Selaras</v>
      </c>
      <c r="F5016" s="4" t="s">
        <v>13</v>
      </c>
      <c r="G5016" s="1" t="str">
        <f>_xlfn.XLOOKUP(tblSales[[#This Row],[Product Code]],tblProducts[Code],tblProducts[Product / Service Name],"⚠ Unknown")</f>
        <v>Backpack</v>
      </c>
      <c r="H5016" s="1" t="str">
        <f>_xlfn.XLOOKUP(tblSales[[#This Row],[Product Code]],tblProducts[Code],tblProducts[Category],"")</f>
        <v>Bags &amp; Gadgets</v>
      </c>
      <c r="I5016" s="4">
        <v>24</v>
      </c>
      <c r="J5016" s="5">
        <f>_xlfn.XLOOKUP(tblSales[[#This Row],[Product Code]],tblProducts[Code],tblProducts[Selling Price (excl. VAT)],0)</f>
        <v>500000</v>
      </c>
      <c r="K5016" s="5">
        <f>tblSales[[#This Row],[Qty]]*tblSales[[#This Row],[Unit Price]]</f>
        <v>12000000</v>
      </c>
      <c r="L5016" s="5">
        <f>ROUND(tblSales[[#This Row],[DPP (excl. VAT)]]*VATEff,0)</f>
        <v>1320000</v>
      </c>
      <c r="M5016" s="5">
        <f>tblSales[[#This Row],[DPP (excl. VAT)]]+tblSales[[#This Row],[Output VAT]]</f>
        <v>13320000</v>
      </c>
      <c r="N5016" s="5">
        <f>tblSales[[#This Row],[Qty]]*_xlfn.XLOOKUP(tblSales[[#This Row],[Product Code]],tblProducts[Code],tblProducts[Unit Cost],0)</f>
        <v>6960000</v>
      </c>
      <c r="O5016" s="4" t="s">
        <v>4867</v>
      </c>
      <c r="P5016" s="4" t="s">
        <v>4860</v>
      </c>
      <c r="Q5016" s="1" t="str">
        <f>_xlfn.XLOOKUP(tblSales[[#This Row],[Channel Code]],tblChannels[Channel Code],tblChannels[Channel Name],"")</f>
        <v>In-store</v>
      </c>
      <c r="R5016" s="1">
        <f>MONTH(tblSales[[#This Row],[Date]])</f>
        <v>11</v>
      </c>
    </row>
    <row r="5017" spans="2:18" x14ac:dyDescent="0.35">
      <c r="B5017" s="113">
        <v>46327</v>
      </c>
      <c r="C5017" s="4" t="s">
        <v>3424</v>
      </c>
      <c r="D5017" s="4" t="s">
        <v>4568</v>
      </c>
      <c r="E5017" s="1" t="str">
        <f>_xlfn.XLOOKUP(tblSales[[#This Row],[Customer ID]],tblCustomers[Customer ID],tblCustomers[Customer Name],"⚠ Unknown")</f>
        <v>Walk-in Customer</v>
      </c>
      <c r="F5017" s="4" t="s">
        <v>7</v>
      </c>
      <c r="G5017" s="1" t="str">
        <f>_xlfn.XLOOKUP(tblSales[[#This Row],[Product Code]],tblProducts[Code],tblProducts[Product / Service Name],"⚠ Unknown")</f>
        <v>Premium Basic T-shirt</v>
      </c>
      <c r="H5017" s="1" t="str">
        <f>_xlfn.XLOOKUP(tblSales[[#This Row],[Product Code]],tblProducts[Code],tblProducts[Category],"")</f>
        <v>Accessories &amp; Basics</v>
      </c>
      <c r="I5017" s="4">
        <v>12</v>
      </c>
      <c r="J5017" s="5">
        <f>_xlfn.XLOOKUP(tblSales[[#This Row],[Product Code]],tblProducts[Code],tblProducts[Selling Price (excl. VAT)],0)</f>
        <v>65000</v>
      </c>
      <c r="K5017" s="5">
        <f>tblSales[[#This Row],[Qty]]*tblSales[[#This Row],[Unit Price]]</f>
        <v>780000</v>
      </c>
      <c r="L5017" s="5">
        <f>ROUND(tblSales[[#This Row],[DPP (excl. VAT)]]*VATEff,0)</f>
        <v>85800</v>
      </c>
      <c r="M5017" s="5">
        <f>tblSales[[#This Row],[DPP (excl. VAT)]]+tblSales[[#This Row],[Output VAT]]</f>
        <v>865800</v>
      </c>
      <c r="N5017" s="5">
        <f>tblSales[[#This Row],[Qty]]*_xlfn.XLOOKUP(tblSales[[#This Row],[Product Code]],tblProducts[Code],tblProducts[Unit Cost],0)</f>
        <v>444000</v>
      </c>
      <c r="O5017" s="4" t="s">
        <v>4866</v>
      </c>
      <c r="P5017" s="4" t="s">
        <v>4860</v>
      </c>
      <c r="Q5017" s="1" t="str">
        <f>_xlfn.XLOOKUP(tblSales[[#This Row],[Channel Code]],tblChannels[Channel Code],tblChannels[Channel Name],"")</f>
        <v>In-store</v>
      </c>
      <c r="R5017" s="1">
        <f>MONTH(tblSales[[#This Row],[Date]])</f>
        <v>11</v>
      </c>
    </row>
    <row r="5018" spans="2:18" x14ac:dyDescent="0.35">
      <c r="B5018" s="113">
        <v>46327</v>
      </c>
      <c r="C5018" s="4" t="s">
        <v>3424</v>
      </c>
      <c r="D5018" s="4" t="s">
        <v>4568</v>
      </c>
      <c r="E5018" s="1" t="str">
        <f>_xlfn.XLOOKUP(tblSales[[#This Row],[Customer ID]],tblCustomers[Customer ID],tblCustomers[Customer Name],"⚠ Unknown")</f>
        <v>Walk-in Customer</v>
      </c>
      <c r="F5018" s="4" t="s">
        <v>9</v>
      </c>
      <c r="G5018" s="1" t="str">
        <f>_xlfn.XLOOKUP(tblSales[[#This Row],[Product Code]],tblProducts[Code],tblProducts[Product / Service Name],"⚠ Unknown")</f>
        <v>Casual Shirt</v>
      </c>
      <c r="H5018" s="1" t="str">
        <f>_xlfn.XLOOKUP(tblSales[[#This Row],[Product Code]],tblProducts[Code],tblProducts[Category],"")</f>
        <v>Apparel &amp; Footwear</v>
      </c>
      <c r="I5018" s="4">
        <v>8</v>
      </c>
      <c r="J5018" s="5">
        <f>_xlfn.XLOOKUP(tblSales[[#This Row],[Product Code]],tblProducts[Code],tblProducts[Selling Price (excl. VAT)],0)</f>
        <v>120000</v>
      </c>
      <c r="K5018" s="5">
        <f>tblSales[[#This Row],[Qty]]*tblSales[[#This Row],[Unit Price]]</f>
        <v>960000</v>
      </c>
      <c r="L5018" s="5">
        <f>ROUND(tblSales[[#This Row],[DPP (excl. VAT)]]*VATEff,0)</f>
        <v>105600</v>
      </c>
      <c r="M5018" s="5">
        <f>tblSales[[#This Row],[DPP (excl. VAT)]]+tblSales[[#This Row],[Output VAT]]</f>
        <v>1065600</v>
      </c>
      <c r="N5018" s="5">
        <f>tblSales[[#This Row],[Qty]]*_xlfn.XLOOKUP(tblSales[[#This Row],[Product Code]],tblProducts[Code],tblProducts[Unit Cost],0)</f>
        <v>576000</v>
      </c>
      <c r="O5018" s="4" t="s">
        <v>4866</v>
      </c>
      <c r="P5018" s="4" t="s">
        <v>4860</v>
      </c>
      <c r="Q5018" s="1" t="str">
        <f>_xlfn.XLOOKUP(tblSales[[#This Row],[Channel Code]],tblChannels[Channel Code],tblChannels[Channel Name],"")</f>
        <v>In-store</v>
      </c>
      <c r="R5018" s="1">
        <f>MONTH(tblSales[[#This Row],[Date]])</f>
        <v>11</v>
      </c>
    </row>
    <row r="5019" spans="2:18" x14ac:dyDescent="0.35">
      <c r="B5019" s="113">
        <v>46327</v>
      </c>
      <c r="C5019" s="4" t="s">
        <v>3425</v>
      </c>
      <c r="D5019" s="4" t="s">
        <v>4568</v>
      </c>
      <c r="E5019" s="1" t="str">
        <f>_xlfn.XLOOKUP(tblSales[[#This Row],[Customer ID]],tblCustomers[Customer ID],tblCustomers[Customer Name],"⚠ Unknown")</f>
        <v>Walk-in Customer</v>
      </c>
      <c r="F5019" s="4" t="s">
        <v>8</v>
      </c>
      <c r="G5019" s="1" t="str">
        <f>_xlfn.XLOOKUP(tblSales[[#This Row],[Product Code]],tblProducts[Code],tblProducts[Product / Service Name],"⚠ Unknown")</f>
        <v>Casual Shorts</v>
      </c>
      <c r="H5019" s="1" t="str">
        <f>_xlfn.XLOOKUP(tblSales[[#This Row],[Product Code]],tblProducts[Code],tblProducts[Category],"")</f>
        <v>Accessories &amp; Basics</v>
      </c>
      <c r="I5019" s="4">
        <v>8</v>
      </c>
      <c r="J5019" s="5">
        <f>_xlfn.XLOOKUP(tblSales[[#This Row],[Product Code]],tblProducts[Code],tblProducts[Selling Price (excl. VAT)],0)</f>
        <v>85000</v>
      </c>
      <c r="K5019" s="5">
        <f>tblSales[[#This Row],[Qty]]*tblSales[[#This Row],[Unit Price]]</f>
        <v>680000</v>
      </c>
      <c r="L5019" s="5">
        <f>ROUND(tblSales[[#This Row],[DPP (excl. VAT)]]*VATEff,0)</f>
        <v>74800</v>
      </c>
      <c r="M5019" s="5">
        <f>tblSales[[#This Row],[DPP (excl. VAT)]]+tblSales[[#This Row],[Output VAT]]</f>
        <v>754800</v>
      </c>
      <c r="N5019" s="5">
        <f>tblSales[[#This Row],[Qty]]*_xlfn.XLOOKUP(tblSales[[#This Row],[Product Code]],tblProducts[Code],tblProducts[Unit Cost],0)</f>
        <v>400000</v>
      </c>
      <c r="O5019" s="4" t="s">
        <v>4866</v>
      </c>
      <c r="P5019" s="4" t="s">
        <v>4860</v>
      </c>
      <c r="Q5019" s="1" t="str">
        <f>_xlfn.XLOOKUP(tblSales[[#This Row],[Channel Code]],tblChannels[Channel Code],tblChannels[Channel Name],"")</f>
        <v>In-store</v>
      </c>
      <c r="R5019" s="1">
        <f>MONTH(tblSales[[#This Row],[Date]])</f>
        <v>11</v>
      </c>
    </row>
    <row r="5020" spans="2:18" x14ac:dyDescent="0.35">
      <c r="B5020" s="113">
        <v>46327</v>
      </c>
      <c r="C5020" s="4" t="s">
        <v>3426</v>
      </c>
      <c r="D5020" s="4" t="s">
        <v>4568</v>
      </c>
      <c r="E5020" s="1" t="str">
        <f>_xlfn.XLOOKUP(tblSales[[#This Row],[Customer ID]],tblCustomers[Customer ID],tblCustomers[Customer Name],"⚠ Unknown")</f>
        <v>Walk-in Customer</v>
      </c>
      <c r="F5020" s="4" t="s">
        <v>8</v>
      </c>
      <c r="G5020" s="1" t="str">
        <f>_xlfn.XLOOKUP(tblSales[[#This Row],[Product Code]],tblProducts[Code],tblProducts[Product / Service Name],"⚠ Unknown")</f>
        <v>Casual Shorts</v>
      </c>
      <c r="H5020" s="1" t="str">
        <f>_xlfn.XLOOKUP(tblSales[[#This Row],[Product Code]],tblProducts[Code],tblProducts[Category],"")</f>
        <v>Accessories &amp; Basics</v>
      </c>
      <c r="I5020" s="4">
        <v>12</v>
      </c>
      <c r="J5020" s="5">
        <f>_xlfn.XLOOKUP(tblSales[[#This Row],[Product Code]],tblProducts[Code],tblProducts[Selling Price (excl. VAT)],0)</f>
        <v>85000</v>
      </c>
      <c r="K5020" s="5">
        <f>tblSales[[#This Row],[Qty]]*tblSales[[#This Row],[Unit Price]]</f>
        <v>1020000</v>
      </c>
      <c r="L5020" s="5">
        <f>ROUND(tblSales[[#This Row],[DPP (excl. VAT)]]*VATEff,0)</f>
        <v>112200</v>
      </c>
      <c r="M5020" s="5">
        <f>tblSales[[#This Row],[DPP (excl. VAT)]]+tblSales[[#This Row],[Output VAT]]</f>
        <v>1132200</v>
      </c>
      <c r="N5020" s="5">
        <f>tblSales[[#This Row],[Qty]]*_xlfn.XLOOKUP(tblSales[[#This Row],[Product Code]],tblProducts[Code],tblProducts[Unit Cost],0)</f>
        <v>600000</v>
      </c>
      <c r="O5020" s="4" t="s">
        <v>4865</v>
      </c>
      <c r="P5020" s="4" t="s">
        <v>4860</v>
      </c>
      <c r="Q5020" s="1" t="str">
        <f>_xlfn.XLOOKUP(tblSales[[#This Row],[Channel Code]],tblChannels[Channel Code],tblChannels[Channel Name],"")</f>
        <v>In-store</v>
      </c>
      <c r="R5020" s="1">
        <f>MONTH(tblSales[[#This Row],[Date]])</f>
        <v>11</v>
      </c>
    </row>
    <row r="5021" spans="2:18" x14ac:dyDescent="0.35">
      <c r="B5021" s="113">
        <v>46327</v>
      </c>
      <c r="C5021" s="4" t="s">
        <v>3427</v>
      </c>
      <c r="D5021" s="4" t="s">
        <v>4568</v>
      </c>
      <c r="E5021" s="1" t="str">
        <f>_xlfn.XLOOKUP(tblSales[[#This Row],[Customer ID]],tblCustomers[Customer ID],tblCustomers[Customer Name],"⚠ Unknown")</f>
        <v>Walk-in Customer</v>
      </c>
      <c r="F5021" s="4" t="s">
        <v>12</v>
      </c>
      <c r="G5021" s="1" t="str">
        <f>_xlfn.XLOOKUP(tblSales[[#This Row],[Product Code]],tblProducts[Code],tblProducts[Product / Service Name],"⚠ Unknown")</f>
        <v>Bomber Jacket</v>
      </c>
      <c r="H5021" s="1" t="str">
        <f>_xlfn.XLOOKUP(tblSales[[#This Row],[Product Code]],tblProducts[Code],tblProducts[Category],"")</f>
        <v>Apparel &amp; Footwear</v>
      </c>
      <c r="I5021" s="4">
        <v>1</v>
      </c>
      <c r="J5021" s="5">
        <f>_xlfn.XLOOKUP(tblSales[[#This Row],[Product Code]],tblProducts[Code],tblProducts[Selling Price (excl. VAT)],0)</f>
        <v>350000</v>
      </c>
      <c r="K5021" s="5">
        <f>tblSales[[#This Row],[Qty]]*tblSales[[#This Row],[Unit Price]]</f>
        <v>350000</v>
      </c>
      <c r="L5021" s="5">
        <f>ROUND(tblSales[[#This Row],[DPP (excl. VAT)]]*VATEff,0)</f>
        <v>38500</v>
      </c>
      <c r="M5021" s="5">
        <f>tblSales[[#This Row],[DPP (excl. VAT)]]+tblSales[[#This Row],[Output VAT]]</f>
        <v>388500</v>
      </c>
      <c r="N5021" s="5">
        <f>tblSales[[#This Row],[Qty]]*_xlfn.XLOOKUP(tblSales[[#This Row],[Product Code]],tblProducts[Code],tblProducts[Unit Cost],0)</f>
        <v>210000</v>
      </c>
      <c r="O5021" s="4" t="s">
        <v>4865</v>
      </c>
      <c r="P5021" s="4" t="s">
        <v>4860</v>
      </c>
      <c r="Q5021" s="1" t="str">
        <f>_xlfn.XLOOKUP(tblSales[[#This Row],[Channel Code]],tblChannels[Channel Code],tblChannels[Channel Name],"")</f>
        <v>In-store</v>
      </c>
      <c r="R5021" s="1">
        <f>MONTH(tblSales[[#This Row],[Date]])</f>
        <v>11</v>
      </c>
    </row>
    <row r="5022" spans="2:18" x14ac:dyDescent="0.35">
      <c r="B5022" s="113">
        <v>46327</v>
      </c>
      <c r="C5022" s="4" t="s">
        <v>3428</v>
      </c>
      <c r="D5022" s="4" t="s">
        <v>4568</v>
      </c>
      <c r="E5022" s="1" t="str">
        <f>_xlfn.XLOOKUP(tblSales[[#This Row],[Customer ID]],tblCustomers[Customer ID],tblCustomers[Customer Name],"⚠ Unknown")</f>
        <v>Walk-in Customer</v>
      </c>
      <c r="F5022" s="4" t="s">
        <v>10</v>
      </c>
      <c r="G5022" s="1" t="str">
        <f>_xlfn.XLOOKUP(tblSales[[#This Row],[Product Code]],tblProducts[Code],tblProducts[Product / Service Name],"⚠ Unknown")</f>
        <v>Chino Pants</v>
      </c>
      <c r="H5022" s="1" t="str">
        <f>_xlfn.XLOOKUP(tblSales[[#This Row],[Product Code]],tblProducts[Code],tblProducts[Category],"")</f>
        <v>Apparel &amp; Footwear</v>
      </c>
      <c r="I5022" s="4">
        <v>4</v>
      </c>
      <c r="J5022" s="5">
        <f>_xlfn.XLOOKUP(tblSales[[#This Row],[Product Code]],tblProducts[Code],tblProducts[Selling Price (excl. VAT)],0)</f>
        <v>150000</v>
      </c>
      <c r="K5022" s="5">
        <f>tblSales[[#This Row],[Qty]]*tblSales[[#This Row],[Unit Price]]</f>
        <v>600000</v>
      </c>
      <c r="L5022" s="5">
        <f>ROUND(tblSales[[#This Row],[DPP (excl. VAT)]]*VATEff,0)</f>
        <v>66000</v>
      </c>
      <c r="M5022" s="5">
        <f>tblSales[[#This Row],[DPP (excl. VAT)]]+tblSales[[#This Row],[Output VAT]]</f>
        <v>666000</v>
      </c>
      <c r="N5022" s="5">
        <f>tblSales[[#This Row],[Qty]]*_xlfn.XLOOKUP(tblSales[[#This Row],[Product Code]],tblProducts[Code],tblProducts[Unit Cost],0)</f>
        <v>352000</v>
      </c>
      <c r="O5022" s="4" t="s">
        <v>4866</v>
      </c>
      <c r="P5022" s="4" t="s">
        <v>4860</v>
      </c>
      <c r="Q5022" s="1" t="str">
        <f>_xlfn.XLOOKUP(tblSales[[#This Row],[Channel Code]],tblChannels[Channel Code],tblChannels[Channel Name],"")</f>
        <v>In-store</v>
      </c>
      <c r="R5022" s="1">
        <f>MONTH(tblSales[[#This Row],[Date]])</f>
        <v>11</v>
      </c>
    </row>
    <row r="5023" spans="2:18" x14ac:dyDescent="0.35">
      <c r="B5023" s="113">
        <v>46327</v>
      </c>
      <c r="C5023" s="4" t="s">
        <v>3429</v>
      </c>
      <c r="D5023" s="4" t="s">
        <v>4568</v>
      </c>
      <c r="E5023" s="1" t="str">
        <f>_xlfn.XLOOKUP(tblSales[[#This Row],[Customer ID]],tblCustomers[Customer ID],tblCustomers[Customer Name],"⚠ Unknown")</f>
        <v>Walk-in Customer</v>
      </c>
      <c r="F5023" s="4" t="s">
        <v>7</v>
      </c>
      <c r="G5023" s="1" t="str">
        <f>_xlfn.XLOOKUP(tblSales[[#This Row],[Product Code]],tblProducts[Code],tblProducts[Product / Service Name],"⚠ Unknown")</f>
        <v>Premium Basic T-shirt</v>
      </c>
      <c r="H5023" s="1" t="str">
        <f>_xlfn.XLOOKUP(tblSales[[#This Row],[Product Code]],tblProducts[Code],tblProducts[Category],"")</f>
        <v>Accessories &amp; Basics</v>
      </c>
      <c r="I5023" s="4">
        <v>1</v>
      </c>
      <c r="J5023" s="5">
        <f>_xlfn.XLOOKUP(tblSales[[#This Row],[Product Code]],tblProducts[Code],tblProducts[Selling Price (excl. VAT)],0)</f>
        <v>65000</v>
      </c>
      <c r="K5023" s="5">
        <f>tblSales[[#This Row],[Qty]]*tblSales[[#This Row],[Unit Price]]</f>
        <v>65000</v>
      </c>
      <c r="L5023" s="5">
        <f>ROUND(tblSales[[#This Row],[DPP (excl. VAT)]]*VATEff,0)</f>
        <v>7150</v>
      </c>
      <c r="M5023" s="5">
        <f>tblSales[[#This Row],[DPP (excl. VAT)]]+tblSales[[#This Row],[Output VAT]]</f>
        <v>72150</v>
      </c>
      <c r="N5023" s="5">
        <f>tblSales[[#This Row],[Qty]]*_xlfn.XLOOKUP(tblSales[[#This Row],[Product Code]],tblProducts[Code],tblProducts[Unit Cost],0)</f>
        <v>37000</v>
      </c>
      <c r="O5023" s="4" t="s">
        <v>4865</v>
      </c>
      <c r="P5023" s="4" t="s">
        <v>4860</v>
      </c>
      <c r="Q5023" s="1" t="str">
        <f>_xlfn.XLOOKUP(tblSales[[#This Row],[Channel Code]],tblChannels[Channel Code],tblChannels[Channel Name],"")</f>
        <v>In-store</v>
      </c>
      <c r="R5023" s="1">
        <f>MONTH(tblSales[[#This Row],[Date]])</f>
        <v>11</v>
      </c>
    </row>
    <row r="5024" spans="2:18" x14ac:dyDescent="0.35">
      <c r="B5024" s="113">
        <v>46328</v>
      </c>
      <c r="C5024" s="4" t="s">
        <v>3430</v>
      </c>
      <c r="D5024" s="4" t="s">
        <v>4568</v>
      </c>
      <c r="E5024" s="1" t="str">
        <f>_xlfn.XLOOKUP(tblSales[[#This Row],[Customer ID]],tblCustomers[Customer ID],tblCustomers[Customer Name],"⚠ Unknown")</f>
        <v>Walk-in Customer</v>
      </c>
      <c r="F5024" s="4" t="s">
        <v>8</v>
      </c>
      <c r="G5024" s="1" t="str">
        <f>_xlfn.XLOOKUP(tblSales[[#This Row],[Product Code]],tblProducts[Code],tblProducts[Product / Service Name],"⚠ Unknown")</f>
        <v>Casual Shorts</v>
      </c>
      <c r="H5024" s="1" t="str">
        <f>_xlfn.XLOOKUP(tblSales[[#This Row],[Product Code]],tblProducts[Code],tblProducts[Category],"")</f>
        <v>Accessories &amp; Basics</v>
      </c>
      <c r="I5024" s="4">
        <v>6</v>
      </c>
      <c r="J5024" s="5">
        <f>_xlfn.XLOOKUP(tblSales[[#This Row],[Product Code]],tblProducts[Code],tblProducts[Selling Price (excl. VAT)],0)</f>
        <v>85000</v>
      </c>
      <c r="K5024" s="5">
        <f>tblSales[[#This Row],[Qty]]*tblSales[[#This Row],[Unit Price]]</f>
        <v>510000</v>
      </c>
      <c r="L5024" s="5">
        <f>ROUND(tblSales[[#This Row],[DPP (excl. VAT)]]*VATEff,0)</f>
        <v>56100</v>
      </c>
      <c r="M5024" s="5">
        <f>tblSales[[#This Row],[DPP (excl. VAT)]]+tblSales[[#This Row],[Output VAT]]</f>
        <v>566100</v>
      </c>
      <c r="N5024" s="5">
        <f>tblSales[[#This Row],[Qty]]*_xlfn.XLOOKUP(tblSales[[#This Row],[Product Code]],tblProducts[Code],tblProducts[Unit Cost],0)</f>
        <v>300000</v>
      </c>
      <c r="O5024" s="4" t="s">
        <v>4866</v>
      </c>
      <c r="P5024" s="4" t="s">
        <v>4860</v>
      </c>
      <c r="Q5024" s="1" t="str">
        <f>_xlfn.XLOOKUP(tblSales[[#This Row],[Channel Code]],tblChannels[Channel Code],tblChannels[Channel Name],"")</f>
        <v>In-store</v>
      </c>
      <c r="R5024" s="1">
        <f>MONTH(tblSales[[#This Row],[Date]])</f>
        <v>11</v>
      </c>
    </row>
    <row r="5025" spans="2:18" x14ac:dyDescent="0.35">
      <c r="B5025" s="113">
        <v>46328</v>
      </c>
      <c r="C5025" s="4" t="s">
        <v>3431</v>
      </c>
      <c r="D5025" s="4" t="s">
        <v>4568</v>
      </c>
      <c r="E5025" s="1" t="str">
        <f>_xlfn.XLOOKUP(tblSales[[#This Row],[Customer ID]],tblCustomers[Customer ID],tblCustomers[Customer Name],"⚠ Unknown")</f>
        <v>Walk-in Customer</v>
      </c>
      <c r="F5025" s="4" t="s">
        <v>6</v>
      </c>
      <c r="G5025" s="1" t="str">
        <f>_xlfn.XLOOKUP(tblSales[[#This Row],[Product Code]],tblProducts[Code],tblProducts[Product / Service Name],"⚠ Unknown")</f>
        <v>Socks &amp; Accessories</v>
      </c>
      <c r="H5025" s="1" t="str">
        <f>_xlfn.XLOOKUP(tblSales[[#This Row],[Product Code]],tblProducts[Code],tblProducts[Category],"")</f>
        <v>Accessories &amp; Basics</v>
      </c>
      <c r="I5025" s="4">
        <v>10</v>
      </c>
      <c r="J5025" s="5">
        <f>_xlfn.XLOOKUP(tblSales[[#This Row],[Product Code]],tblProducts[Code],tblProducts[Selling Price (excl. VAT)],0)</f>
        <v>45000</v>
      </c>
      <c r="K5025" s="5">
        <f>tblSales[[#This Row],[Qty]]*tblSales[[#This Row],[Unit Price]]</f>
        <v>450000</v>
      </c>
      <c r="L5025" s="5">
        <f>ROUND(tblSales[[#This Row],[DPP (excl. VAT)]]*VATEff,0)</f>
        <v>49500</v>
      </c>
      <c r="M5025" s="5">
        <f>tblSales[[#This Row],[DPP (excl. VAT)]]+tblSales[[#This Row],[Output VAT]]</f>
        <v>499500</v>
      </c>
      <c r="N5025" s="5">
        <f>tblSales[[#This Row],[Qty]]*_xlfn.XLOOKUP(tblSales[[#This Row],[Product Code]],tblProducts[Code],tblProducts[Unit Cost],0)</f>
        <v>240000</v>
      </c>
      <c r="O5025" s="4" t="s">
        <v>4865</v>
      </c>
      <c r="P5025" s="4" t="s">
        <v>4860</v>
      </c>
      <c r="Q5025" s="1" t="str">
        <f>_xlfn.XLOOKUP(tblSales[[#This Row],[Channel Code]],tblChannels[Channel Code],tblChannels[Channel Name],"")</f>
        <v>In-store</v>
      </c>
      <c r="R5025" s="1">
        <f>MONTH(tblSales[[#This Row],[Date]])</f>
        <v>11</v>
      </c>
    </row>
    <row r="5026" spans="2:18" x14ac:dyDescent="0.35">
      <c r="B5026" s="113">
        <v>46328</v>
      </c>
      <c r="C5026" s="4" t="s">
        <v>3432</v>
      </c>
      <c r="D5026" s="4" t="s">
        <v>4568</v>
      </c>
      <c r="E5026" s="1" t="str">
        <f>_xlfn.XLOOKUP(tblSales[[#This Row],[Customer ID]],tblCustomers[Customer ID],tblCustomers[Customer Name],"⚠ Unknown")</f>
        <v>Walk-in Customer</v>
      </c>
      <c r="F5026" s="4" t="s">
        <v>10</v>
      </c>
      <c r="G5026" s="1" t="str">
        <f>_xlfn.XLOOKUP(tblSales[[#This Row],[Product Code]],tblProducts[Code],tblProducts[Product / Service Name],"⚠ Unknown")</f>
        <v>Chino Pants</v>
      </c>
      <c r="H5026" s="1" t="str">
        <f>_xlfn.XLOOKUP(tblSales[[#This Row],[Product Code]],tblProducts[Code],tblProducts[Category],"")</f>
        <v>Apparel &amp; Footwear</v>
      </c>
      <c r="I5026" s="4">
        <v>9</v>
      </c>
      <c r="J5026" s="5">
        <f>_xlfn.XLOOKUP(tblSales[[#This Row],[Product Code]],tblProducts[Code],tblProducts[Selling Price (excl. VAT)],0)</f>
        <v>150000</v>
      </c>
      <c r="K5026" s="5">
        <f>tblSales[[#This Row],[Qty]]*tblSales[[#This Row],[Unit Price]]</f>
        <v>1350000</v>
      </c>
      <c r="L5026" s="5">
        <f>ROUND(tblSales[[#This Row],[DPP (excl. VAT)]]*VATEff,0)</f>
        <v>148500</v>
      </c>
      <c r="M5026" s="5">
        <f>tblSales[[#This Row],[DPP (excl. VAT)]]+tblSales[[#This Row],[Output VAT]]</f>
        <v>1498500</v>
      </c>
      <c r="N5026" s="5">
        <f>tblSales[[#This Row],[Qty]]*_xlfn.XLOOKUP(tblSales[[#This Row],[Product Code]],tblProducts[Code],tblProducts[Unit Cost],0)</f>
        <v>792000</v>
      </c>
      <c r="O5026" s="4" t="s">
        <v>4866</v>
      </c>
      <c r="P5026" s="4" t="s">
        <v>4860</v>
      </c>
      <c r="Q5026" s="1" t="str">
        <f>_xlfn.XLOOKUP(tblSales[[#This Row],[Channel Code]],tblChannels[Channel Code],tblChannels[Channel Name],"")</f>
        <v>In-store</v>
      </c>
      <c r="R5026" s="1">
        <f>MONTH(tblSales[[#This Row],[Date]])</f>
        <v>11</v>
      </c>
    </row>
    <row r="5027" spans="2:18" x14ac:dyDescent="0.35">
      <c r="B5027" s="113">
        <v>46328</v>
      </c>
      <c r="C5027" s="4" t="s">
        <v>3433</v>
      </c>
      <c r="D5027" s="4" t="s">
        <v>4568</v>
      </c>
      <c r="E5027" s="1" t="str">
        <f>_xlfn.XLOOKUP(tblSales[[#This Row],[Customer ID]],tblCustomers[Customer ID],tblCustomers[Customer Name],"⚠ Unknown")</f>
        <v>Walk-in Customer</v>
      </c>
      <c r="F5027" s="4" t="s">
        <v>7</v>
      </c>
      <c r="G5027" s="1" t="str">
        <f>_xlfn.XLOOKUP(tblSales[[#This Row],[Product Code]],tblProducts[Code],tblProducts[Product / Service Name],"⚠ Unknown")</f>
        <v>Premium Basic T-shirt</v>
      </c>
      <c r="H5027" s="1" t="str">
        <f>_xlfn.XLOOKUP(tblSales[[#This Row],[Product Code]],tblProducts[Code],tblProducts[Category],"")</f>
        <v>Accessories &amp; Basics</v>
      </c>
      <c r="I5027" s="4">
        <v>8</v>
      </c>
      <c r="J5027" s="5">
        <f>_xlfn.XLOOKUP(tblSales[[#This Row],[Product Code]],tblProducts[Code],tblProducts[Selling Price (excl. VAT)],0)</f>
        <v>65000</v>
      </c>
      <c r="K5027" s="5">
        <f>tblSales[[#This Row],[Qty]]*tblSales[[#This Row],[Unit Price]]</f>
        <v>520000</v>
      </c>
      <c r="L5027" s="5">
        <f>ROUND(tblSales[[#This Row],[DPP (excl. VAT)]]*VATEff,0)</f>
        <v>57200</v>
      </c>
      <c r="M5027" s="5">
        <f>tblSales[[#This Row],[DPP (excl. VAT)]]+tblSales[[#This Row],[Output VAT]]</f>
        <v>577200</v>
      </c>
      <c r="N5027" s="5">
        <f>tblSales[[#This Row],[Qty]]*_xlfn.XLOOKUP(tblSales[[#This Row],[Product Code]],tblProducts[Code],tblProducts[Unit Cost],0)</f>
        <v>296000</v>
      </c>
      <c r="O5027" s="4" t="s">
        <v>4865</v>
      </c>
      <c r="P5027" s="4" t="s">
        <v>4860</v>
      </c>
      <c r="Q5027" s="1" t="str">
        <f>_xlfn.XLOOKUP(tblSales[[#This Row],[Channel Code]],tblChannels[Channel Code],tblChannels[Channel Name],"")</f>
        <v>In-store</v>
      </c>
      <c r="R5027" s="1">
        <f>MONTH(tblSales[[#This Row],[Date]])</f>
        <v>11</v>
      </c>
    </row>
    <row r="5028" spans="2:18" x14ac:dyDescent="0.35">
      <c r="B5028" s="113">
        <v>46328</v>
      </c>
      <c r="C5028" s="4" t="s">
        <v>3434</v>
      </c>
      <c r="D5028" s="4" t="s">
        <v>4568</v>
      </c>
      <c r="E5028" s="1" t="str">
        <f>_xlfn.XLOOKUP(tblSales[[#This Row],[Customer ID]],tblCustomers[Customer ID],tblCustomers[Customer Name],"⚠ Unknown")</f>
        <v>Walk-in Customer</v>
      </c>
      <c r="F5028" s="4" t="s">
        <v>9</v>
      </c>
      <c r="G5028" s="1" t="str">
        <f>_xlfn.XLOOKUP(tblSales[[#This Row],[Product Code]],tblProducts[Code],tblProducts[Product / Service Name],"⚠ Unknown")</f>
        <v>Casual Shirt</v>
      </c>
      <c r="H5028" s="1" t="str">
        <f>_xlfn.XLOOKUP(tblSales[[#This Row],[Product Code]],tblProducts[Code],tblProducts[Category],"")</f>
        <v>Apparel &amp; Footwear</v>
      </c>
      <c r="I5028" s="4">
        <v>8</v>
      </c>
      <c r="J5028" s="5">
        <f>_xlfn.XLOOKUP(tblSales[[#This Row],[Product Code]],tblProducts[Code],tblProducts[Selling Price (excl. VAT)],0)</f>
        <v>120000</v>
      </c>
      <c r="K5028" s="5">
        <f>tblSales[[#This Row],[Qty]]*tblSales[[#This Row],[Unit Price]]</f>
        <v>960000</v>
      </c>
      <c r="L5028" s="5">
        <f>ROUND(tblSales[[#This Row],[DPP (excl. VAT)]]*VATEff,0)</f>
        <v>105600</v>
      </c>
      <c r="M5028" s="5">
        <f>tblSales[[#This Row],[DPP (excl. VAT)]]+tblSales[[#This Row],[Output VAT]]</f>
        <v>1065600</v>
      </c>
      <c r="N5028" s="5">
        <f>tblSales[[#This Row],[Qty]]*_xlfn.XLOOKUP(tblSales[[#This Row],[Product Code]],tblProducts[Code],tblProducts[Unit Cost],0)</f>
        <v>576000</v>
      </c>
      <c r="O5028" s="4" t="s">
        <v>4866</v>
      </c>
      <c r="P5028" s="4" t="s">
        <v>4862</v>
      </c>
      <c r="Q5028" s="1" t="str">
        <f>_xlfn.XLOOKUP(tblSales[[#This Row],[Channel Code]],tblChannels[Channel Code],tblChannels[Channel Name],"")</f>
        <v>Website &amp; Social Media</v>
      </c>
      <c r="R5028" s="1">
        <f>MONTH(tblSales[[#This Row],[Date]])</f>
        <v>11</v>
      </c>
    </row>
    <row r="5029" spans="2:18" x14ac:dyDescent="0.35">
      <c r="B5029" s="113">
        <v>46328</v>
      </c>
      <c r="C5029" s="4" t="s">
        <v>3435</v>
      </c>
      <c r="D5029" s="4" t="s">
        <v>4568</v>
      </c>
      <c r="E5029" s="1" t="str">
        <f>_xlfn.XLOOKUP(tblSales[[#This Row],[Customer ID]],tblCustomers[Customer ID],tblCustomers[Customer Name],"⚠ Unknown")</f>
        <v>Walk-in Customer</v>
      </c>
      <c r="F5029" s="4" t="s">
        <v>6</v>
      </c>
      <c r="G5029" s="1" t="str">
        <f>_xlfn.XLOOKUP(tblSales[[#This Row],[Product Code]],tblProducts[Code],tblProducts[Product / Service Name],"⚠ Unknown")</f>
        <v>Socks &amp; Accessories</v>
      </c>
      <c r="H5029" s="1" t="str">
        <f>_xlfn.XLOOKUP(tblSales[[#This Row],[Product Code]],tblProducts[Code],tblProducts[Category],"")</f>
        <v>Accessories &amp; Basics</v>
      </c>
      <c r="I5029" s="4">
        <v>4</v>
      </c>
      <c r="J5029" s="5">
        <f>_xlfn.XLOOKUP(tblSales[[#This Row],[Product Code]],tblProducts[Code],tblProducts[Selling Price (excl. VAT)],0)</f>
        <v>45000</v>
      </c>
      <c r="K5029" s="5">
        <f>tblSales[[#This Row],[Qty]]*tblSales[[#This Row],[Unit Price]]</f>
        <v>180000</v>
      </c>
      <c r="L5029" s="5">
        <f>ROUND(tblSales[[#This Row],[DPP (excl. VAT)]]*VATEff,0)</f>
        <v>19800</v>
      </c>
      <c r="M5029" s="5">
        <f>tblSales[[#This Row],[DPP (excl. VAT)]]+tblSales[[#This Row],[Output VAT]]</f>
        <v>199800</v>
      </c>
      <c r="N5029" s="5">
        <f>tblSales[[#This Row],[Qty]]*_xlfn.XLOOKUP(tblSales[[#This Row],[Product Code]],tblProducts[Code],tblProducts[Unit Cost],0)</f>
        <v>96000</v>
      </c>
      <c r="O5029" s="4" t="s">
        <v>4866</v>
      </c>
      <c r="P5029" s="4" t="s">
        <v>4861</v>
      </c>
      <c r="Q5029" s="1" t="str">
        <f>_xlfn.XLOOKUP(tblSales[[#This Row],[Channel Code]],tblChannels[Channel Code],tblChannels[Channel Name],"")</f>
        <v>Marketplace</v>
      </c>
      <c r="R5029" s="1">
        <f>MONTH(tblSales[[#This Row],[Date]])</f>
        <v>11</v>
      </c>
    </row>
    <row r="5030" spans="2:18" x14ac:dyDescent="0.35">
      <c r="B5030" s="113">
        <v>46328</v>
      </c>
      <c r="C5030" s="4" t="s">
        <v>3435</v>
      </c>
      <c r="D5030" s="4" t="s">
        <v>4568</v>
      </c>
      <c r="E5030" s="1" t="str">
        <f>_xlfn.XLOOKUP(tblSales[[#This Row],[Customer ID]],tblCustomers[Customer ID],tblCustomers[Customer Name],"⚠ Unknown")</f>
        <v>Walk-in Customer</v>
      </c>
      <c r="F5030" s="4" t="s">
        <v>11</v>
      </c>
      <c r="G5030" s="1" t="str">
        <f>_xlfn.XLOOKUP(tblSales[[#This Row],[Product Code]],tblProducts[Code],tblProducts[Product / Service Name],"⚠ Unknown")</f>
        <v>Sneakers</v>
      </c>
      <c r="H5030" s="1" t="str">
        <f>_xlfn.XLOOKUP(tblSales[[#This Row],[Product Code]],tblProducts[Code],tblProducts[Category],"")</f>
        <v>Apparel &amp; Footwear</v>
      </c>
      <c r="I5030" s="4">
        <v>3</v>
      </c>
      <c r="J5030" s="5">
        <f>_xlfn.XLOOKUP(tblSales[[#This Row],[Product Code]],tblProducts[Code],tblProducts[Selling Price (excl. VAT)],0)</f>
        <v>250000</v>
      </c>
      <c r="K5030" s="5">
        <f>tblSales[[#This Row],[Qty]]*tblSales[[#This Row],[Unit Price]]</f>
        <v>750000</v>
      </c>
      <c r="L5030" s="5">
        <f>ROUND(tblSales[[#This Row],[DPP (excl. VAT)]]*VATEff,0)</f>
        <v>82500</v>
      </c>
      <c r="M5030" s="5">
        <f>tblSales[[#This Row],[DPP (excl. VAT)]]+tblSales[[#This Row],[Output VAT]]</f>
        <v>832500</v>
      </c>
      <c r="N5030" s="5">
        <f>tblSales[[#This Row],[Qty]]*_xlfn.XLOOKUP(tblSales[[#This Row],[Product Code]],tblProducts[Code],tblProducts[Unit Cost],0)</f>
        <v>465000</v>
      </c>
      <c r="O5030" s="4" t="s">
        <v>4866</v>
      </c>
      <c r="P5030" s="4" t="s">
        <v>4861</v>
      </c>
      <c r="Q5030" s="1" t="str">
        <f>_xlfn.XLOOKUP(tblSales[[#This Row],[Channel Code]],tblChannels[Channel Code],tblChannels[Channel Name],"")</f>
        <v>Marketplace</v>
      </c>
      <c r="R5030" s="1">
        <f>MONTH(tblSales[[#This Row],[Date]])</f>
        <v>11</v>
      </c>
    </row>
    <row r="5031" spans="2:18" x14ac:dyDescent="0.35">
      <c r="B5031" s="113">
        <v>46328</v>
      </c>
      <c r="C5031" s="4" t="s">
        <v>3436</v>
      </c>
      <c r="D5031" s="4" t="s">
        <v>4568</v>
      </c>
      <c r="E5031" s="1" t="str">
        <f>_xlfn.XLOOKUP(tblSales[[#This Row],[Customer ID]],tblCustomers[Customer ID],tblCustomers[Customer Name],"⚠ Unknown")</f>
        <v>Walk-in Customer</v>
      </c>
      <c r="F5031" s="4" t="s">
        <v>9</v>
      </c>
      <c r="G5031" s="1" t="str">
        <f>_xlfn.XLOOKUP(tblSales[[#This Row],[Product Code]],tblProducts[Code],tblProducts[Product / Service Name],"⚠ Unknown")</f>
        <v>Casual Shirt</v>
      </c>
      <c r="H5031" s="1" t="str">
        <f>_xlfn.XLOOKUP(tblSales[[#This Row],[Product Code]],tblProducts[Code],tblProducts[Category],"")</f>
        <v>Apparel &amp; Footwear</v>
      </c>
      <c r="I5031" s="4">
        <v>6</v>
      </c>
      <c r="J5031" s="5">
        <f>_xlfn.XLOOKUP(tblSales[[#This Row],[Product Code]],tblProducts[Code],tblProducts[Selling Price (excl. VAT)],0)</f>
        <v>120000</v>
      </c>
      <c r="K5031" s="5">
        <f>tblSales[[#This Row],[Qty]]*tblSales[[#This Row],[Unit Price]]</f>
        <v>720000</v>
      </c>
      <c r="L5031" s="5">
        <f>ROUND(tblSales[[#This Row],[DPP (excl. VAT)]]*VATEff,0)</f>
        <v>79200</v>
      </c>
      <c r="M5031" s="5">
        <f>tblSales[[#This Row],[DPP (excl. VAT)]]+tblSales[[#This Row],[Output VAT]]</f>
        <v>799200</v>
      </c>
      <c r="N5031" s="5">
        <f>tblSales[[#This Row],[Qty]]*_xlfn.XLOOKUP(tblSales[[#This Row],[Product Code]],tblProducts[Code],tblProducts[Unit Cost],0)</f>
        <v>432000</v>
      </c>
      <c r="O5031" s="4" t="s">
        <v>4866</v>
      </c>
      <c r="P5031" s="4" t="s">
        <v>4862</v>
      </c>
      <c r="Q5031" s="1" t="str">
        <f>_xlfn.XLOOKUP(tblSales[[#This Row],[Channel Code]],tblChannels[Channel Code],tblChannels[Channel Name],"")</f>
        <v>Website &amp; Social Media</v>
      </c>
      <c r="R5031" s="1">
        <f>MONTH(tblSales[[#This Row],[Date]])</f>
        <v>11</v>
      </c>
    </row>
    <row r="5032" spans="2:18" x14ac:dyDescent="0.35">
      <c r="B5032" s="113">
        <v>46328</v>
      </c>
      <c r="C5032" s="4" t="s">
        <v>3437</v>
      </c>
      <c r="D5032" s="4" t="s">
        <v>4568</v>
      </c>
      <c r="E5032" s="1" t="str">
        <f>_xlfn.XLOOKUP(tblSales[[#This Row],[Customer ID]],tblCustomers[Customer ID],tblCustomers[Customer Name],"⚠ Unknown")</f>
        <v>Walk-in Customer</v>
      </c>
      <c r="F5032" s="4" t="s">
        <v>9</v>
      </c>
      <c r="G5032" s="1" t="str">
        <f>_xlfn.XLOOKUP(tblSales[[#This Row],[Product Code]],tblProducts[Code],tblProducts[Product / Service Name],"⚠ Unknown")</f>
        <v>Casual Shirt</v>
      </c>
      <c r="H5032" s="1" t="str">
        <f>_xlfn.XLOOKUP(tblSales[[#This Row],[Product Code]],tblProducts[Code],tblProducts[Category],"")</f>
        <v>Apparel &amp; Footwear</v>
      </c>
      <c r="I5032" s="4">
        <v>10</v>
      </c>
      <c r="J5032" s="5">
        <f>_xlfn.XLOOKUP(tblSales[[#This Row],[Product Code]],tblProducts[Code],tblProducts[Selling Price (excl. VAT)],0)</f>
        <v>120000</v>
      </c>
      <c r="K5032" s="5">
        <f>tblSales[[#This Row],[Qty]]*tblSales[[#This Row],[Unit Price]]</f>
        <v>1200000</v>
      </c>
      <c r="L5032" s="5">
        <f>ROUND(tblSales[[#This Row],[DPP (excl. VAT)]]*VATEff,0)</f>
        <v>132000</v>
      </c>
      <c r="M5032" s="5">
        <f>tblSales[[#This Row],[DPP (excl. VAT)]]+tblSales[[#This Row],[Output VAT]]</f>
        <v>1332000</v>
      </c>
      <c r="N5032" s="5">
        <f>tblSales[[#This Row],[Qty]]*_xlfn.XLOOKUP(tblSales[[#This Row],[Product Code]],tblProducts[Code],tblProducts[Unit Cost],0)</f>
        <v>720000</v>
      </c>
      <c r="O5032" s="4" t="s">
        <v>4866</v>
      </c>
      <c r="P5032" s="4" t="s">
        <v>4862</v>
      </c>
      <c r="Q5032" s="1" t="str">
        <f>_xlfn.XLOOKUP(tblSales[[#This Row],[Channel Code]],tblChannels[Channel Code],tblChannels[Channel Name],"")</f>
        <v>Website &amp; Social Media</v>
      </c>
      <c r="R5032" s="1">
        <f>MONTH(tblSales[[#This Row],[Date]])</f>
        <v>11</v>
      </c>
    </row>
    <row r="5033" spans="2:18" x14ac:dyDescent="0.35">
      <c r="B5033" s="113">
        <v>46328</v>
      </c>
      <c r="C5033" s="4" t="s">
        <v>3437</v>
      </c>
      <c r="D5033" s="4" t="s">
        <v>4568</v>
      </c>
      <c r="E5033" s="1" t="str">
        <f>_xlfn.XLOOKUP(tblSales[[#This Row],[Customer ID]],tblCustomers[Customer ID],tblCustomers[Customer Name],"⚠ Unknown")</f>
        <v>Walk-in Customer</v>
      </c>
      <c r="F5033" s="4" t="s">
        <v>14</v>
      </c>
      <c r="G5033" s="1" t="str">
        <f>_xlfn.XLOOKUP(tblSales[[#This Row],[Product Code]],tblProducts[Code],tblProducts[Product / Service Name],"⚠ Unknown")</f>
        <v>Smartwatch</v>
      </c>
      <c r="H5033" s="1" t="str">
        <f>_xlfn.XLOOKUP(tblSales[[#This Row],[Product Code]],tblProducts[Code],tblProducts[Category],"")</f>
        <v>Bags &amp; Gadgets</v>
      </c>
      <c r="I5033" s="4">
        <v>1</v>
      </c>
      <c r="J5033" s="5">
        <f>_xlfn.XLOOKUP(tblSales[[#This Row],[Product Code]],tblProducts[Code],tblProducts[Selling Price (excl. VAT)],0)</f>
        <v>850000</v>
      </c>
      <c r="K5033" s="5">
        <f>tblSales[[#This Row],[Qty]]*tblSales[[#This Row],[Unit Price]]</f>
        <v>850000</v>
      </c>
      <c r="L5033" s="5">
        <f>ROUND(tblSales[[#This Row],[DPP (excl. VAT)]]*VATEff,0)</f>
        <v>93500</v>
      </c>
      <c r="M5033" s="5">
        <f>tblSales[[#This Row],[DPP (excl. VAT)]]+tblSales[[#This Row],[Output VAT]]</f>
        <v>943500</v>
      </c>
      <c r="N5033" s="5">
        <f>tblSales[[#This Row],[Qty]]*_xlfn.XLOOKUP(tblSales[[#This Row],[Product Code]],tblProducts[Code],tblProducts[Unit Cost],0)</f>
        <v>560000</v>
      </c>
      <c r="O5033" s="4" t="s">
        <v>4866</v>
      </c>
      <c r="P5033" s="4" t="s">
        <v>4862</v>
      </c>
      <c r="Q5033" s="1" t="str">
        <f>_xlfn.XLOOKUP(tblSales[[#This Row],[Channel Code]],tblChannels[Channel Code],tblChannels[Channel Name],"")</f>
        <v>Website &amp; Social Media</v>
      </c>
      <c r="R5033" s="1">
        <f>MONTH(tblSales[[#This Row],[Date]])</f>
        <v>11</v>
      </c>
    </row>
    <row r="5034" spans="2:18" x14ac:dyDescent="0.35">
      <c r="B5034" s="113">
        <v>46328</v>
      </c>
      <c r="C5034" s="4" t="s">
        <v>3437</v>
      </c>
      <c r="D5034" s="4" t="s">
        <v>4568</v>
      </c>
      <c r="E5034" s="1" t="str">
        <f>_xlfn.XLOOKUP(tblSales[[#This Row],[Customer ID]],tblCustomers[Customer ID],tblCustomers[Customer Name],"⚠ Unknown")</f>
        <v>Walk-in Customer</v>
      </c>
      <c r="F5034" s="4" t="s">
        <v>12</v>
      </c>
      <c r="G5034" s="1" t="str">
        <f>_xlfn.XLOOKUP(tblSales[[#This Row],[Product Code]],tblProducts[Code],tblProducts[Product / Service Name],"⚠ Unknown")</f>
        <v>Bomber Jacket</v>
      </c>
      <c r="H5034" s="1" t="str">
        <f>_xlfn.XLOOKUP(tblSales[[#This Row],[Product Code]],tblProducts[Code],tblProducts[Category],"")</f>
        <v>Apparel &amp; Footwear</v>
      </c>
      <c r="I5034" s="4">
        <v>3</v>
      </c>
      <c r="J5034" s="5">
        <f>_xlfn.XLOOKUP(tblSales[[#This Row],[Product Code]],tblProducts[Code],tblProducts[Selling Price (excl. VAT)],0)</f>
        <v>350000</v>
      </c>
      <c r="K5034" s="5">
        <f>tblSales[[#This Row],[Qty]]*tblSales[[#This Row],[Unit Price]]</f>
        <v>1050000</v>
      </c>
      <c r="L5034" s="5">
        <f>ROUND(tblSales[[#This Row],[DPP (excl. VAT)]]*VATEff,0)</f>
        <v>115500</v>
      </c>
      <c r="M5034" s="5">
        <f>tblSales[[#This Row],[DPP (excl. VAT)]]+tblSales[[#This Row],[Output VAT]]</f>
        <v>1165500</v>
      </c>
      <c r="N5034" s="5">
        <f>tblSales[[#This Row],[Qty]]*_xlfn.XLOOKUP(tblSales[[#This Row],[Product Code]],tblProducts[Code],tblProducts[Unit Cost],0)</f>
        <v>630000</v>
      </c>
      <c r="O5034" s="4" t="s">
        <v>4866</v>
      </c>
      <c r="P5034" s="4" t="s">
        <v>4862</v>
      </c>
      <c r="Q5034" s="1" t="str">
        <f>_xlfn.XLOOKUP(tblSales[[#This Row],[Channel Code]],tblChannels[Channel Code],tblChannels[Channel Name],"")</f>
        <v>Website &amp; Social Media</v>
      </c>
      <c r="R5034" s="1">
        <f>MONTH(tblSales[[#This Row],[Date]])</f>
        <v>11</v>
      </c>
    </row>
    <row r="5035" spans="2:18" x14ac:dyDescent="0.35">
      <c r="B5035" s="113">
        <v>46328</v>
      </c>
      <c r="C5035" s="4" t="s">
        <v>3438</v>
      </c>
      <c r="D5035" s="4" t="s">
        <v>4568</v>
      </c>
      <c r="E5035" s="1" t="str">
        <f>_xlfn.XLOOKUP(tblSales[[#This Row],[Customer ID]],tblCustomers[Customer ID],tblCustomers[Customer Name],"⚠ Unknown")</f>
        <v>Walk-in Customer</v>
      </c>
      <c r="F5035" s="4" t="s">
        <v>7</v>
      </c>
      <c r="G5035" s="1" t="str">
        <f>_xlfn.XLOOKUP(tblSales[[#This Row],[Product Code]],tblProducts[Code],tblProducts[Product / Service Name],"⚠ Unknown")</f>
        <v>Premium Basic T-shirt</v>
      </c>
      <c r="H5035" s="1" t="str">
        <f>_xlfn.XLOOKUP(tblSales[[#This Row],[Product Code]],tblProducts[Code],tblProducts[Category],"")</f>
        <v>Accessories &amp; Basics</v>
      </c>
      <c r="I5035" s="4">
        <v>9</v>
      </c>
      <c r="J5035" s="5">
        <f>_xlfn.XLOOKUP(tblSales[[#This Row],[Product Code]],tblProducts[Code],tblProducts[Selling Price (excl. VAT)],0)</f>
        <v>65000</v>
      </c>
      <c r="K5035" s="5">
        <f>tblSales[[#This Row],[Qty]]*tblSales[[#This Row],[Unit Price]]</f>
        <v>585000</v>
      </c>
      <c r="L5035" s="5">
        <f>ROUND(tblSales[[#This Row],[DPP (excl. VAT)]]*VATEff,0)</f>
        <v>64350</v>
      </c>
      <c r="M5035" s="5">
        <f>tblSales[[#This Row],[DPP (excl. VAT)]]+tblSales[[#This Row],[Output VAT]]</f>
        <v>649350</v>
      </c>
      <c r="N5035" s="5">
        <f>tblSales[[#This Row],[Qty]]*_xlfn.XLOOKUP(tblSales[[#This Row],[Product Code]],tblProducts[Code],tblProducts[Unit Cost],0)</f>
        <v>333000</v>
      </c>
      <c r="O5035" s="4" t="s">
        <v>4866</v>
      </c>
      <c r="P5035" s="4" t="s">
        <v>4860</v>
      </c>
      <c r="Q5035" s="1" t="str">
        <f>_xlfn.XLOOKUP(tblSales[[#This Row],[Channel Code]],tblChannels[Channel Code],tblChannels[Channel Name],"")</f>
        <v>In-store</v>
      </c>
      <c r="R5035" s="1">
        <f>MONTH(tblSales[[#This Row],[Date]])</f>
        <v>11</v>
      </c>
    </row>
    <row r="5036" spans="2:18" x14ac:dyDescent="0.35">
      <c r="B5036" s="113">
        <v>46328</v>
      </c>
      <c r="C5036" s="4" t="s">
        <v>3439</v>
      </c>
      <c r="D5036" s="4" t="s">
        <v>4568</v>
      </c>
      <c r="E5036" s="1" t="str">
        <f>_xlfn.XLOOKUP(tblSales[[#This Row],[Customer ID]],tblCustomers[Customer ID],tblCustomers[Customer Name],"⚠ Unknown")</f>
        <v>Walk-in Customer</v>
      </c>
      <c r="F5036" s="4" t="s">
        <v>11</v>
      </c>
      <c r="G5036" s="1" t="str">
        <f>_xlfn.XLOOKUP(tblSales[[#This Row],[Product Code]],tblProducts[Code],tblProducts[Product / Service Name],"⚠ Unknown")</f>
        <v>Sneakers</v>
      </c>
      <c r="H5036" s="1" t="str">
        <f>_xlfn.XLOOKUP(tblSales[[#This Row],[Product Code]],tblProducts[Code],tblProducts[Category],"")</f>
        <v>Apparel &amp; Footwear</v>
      </c>
      <c r="I5036" s="4">
        <v>1</v>
      </c>
      <c r="J5036" s="5">
        <f>_xlfn.XLOOKUP(tblSales[[#This Row],[Product Code]],tblProducts[Code],tblProducts[Selling Price (excl. VAT)],0)</f>
        <v>250000</v>
      </c>
      <c r="K5036" s="5">
        <f>tblSales[[#This Row],[Qty]]*tblSales[[#This Row],[Unit Price]]</f>
        <v>250000</v>
      </c>
      <c r="L5036" s="5">
        <f>ROUND(tblSales[[#This Row],[DPP (excl. VAT)]]*VATEff,0)</f>
        <v>27500</v>
      </c>
      <c r="M5036" s="5">
        <f>tblSales[[#This Row],[DPP (excl. VAT)]]+tblSales[[#This Row],[Output VAT]]</f>
        <v>277500</v>
      </c>
      <c r="N5036" s="5">
        <f>tblSales[[#This Row],[Qty]]*_xlfn.XLOOKUP(tblSales[[#This Row],[Product Code]],tblProducts[Code],tblProducts[Unit Cost],0)</f>
        <v>155000</v>
      </c>
      <c r="O5036" s="4" t="s">
        <v>4865</v>
      </c>
      <c r="P5036" s="4" t="s">
        <v>4860</v>
      </c>
      <c r="Q5036" s="1" t="str">
        <f>_xlfn.XLOOKUP(tblSales[[#This Row],[Channel Code]],tblChannels[Channel Code],tblChannels[Channel Name],"")</f>
        <v>In-store</v>
      </c>
      <c r="R5036" s="1">
        <f>MONTH(tblSales[[#This Row],[Date]])</f>
        <v>11</v>
      </c>
    </row>
    <row r="5037" spans="2:18" x14ac:dyDescent="0.35">
      <c r="B5037" s="113">
        <v>46328</v>
      </c>
      <c r="C5037" s="4" t="s">
        <v>3439</v>
      </c>
      <c r="D5037" s="4" t="s">
        <v>4568</v>
      </c>
      <c r="E5037" s="1" t="str">
        <f>_xlfn.XLOOKUP(tblSales[[#This Row],[Customer ID]],tblCustomers[Customer ID],tblCustomers[Customer Name],"⚠ Unknown")</f>
        <v>Walk-in Customer</v>
      </c>
      <c r="F5037" s="4" t="s">
        <v>9</v>
      </c>
      <c r="G5037" s="1" t="str">
        <f>_xlfn.XLOOKUP(tblSales[[#This Row],[Product Code]],tblProducts[Code],tblProducts[Product / Service Name],"⚠ Unknown")</f>
        <v>Casual Shirt</v>
      </c>
      <c r="H5037" s="1" t="str">
        <f>_xlfn.XLOOKUP(tblSales[[#This Row],[Product Code]],tblProducts[Code],tblProducts[Category],"")</f>
        <v>Apparel &amp; Footwear</v>
      </c>
      <c r="I5037" s="4">
        <v>9</v>
      </c>
      <c r="J5037" s="5">
        <f>_xlfn.XLOOKUP(tblSales[[#This Row],[Product Code]],tblProducts[Code],tblProducts[Selling Price (excl. VAT)],0)</f>
        <v>120000</v>
      </c>
      <c r="K5037" s="5">
        <f>tblSales[[#This Row],[Qty]]*tblSales[[#This Row],[Unit Price]]</f>
        <v>1080000</v>
      </c>
      <c r="L5037" s="5">
        <f>ROUND(tblSales[[#This Row],[DPP (excl. VAT)]]*VATEff,0)</f>
        <v>118800</v>
      </c>
      <c r="M5037" s="5">
        <f>tblSales[[#This Row],[DPP (excl. VAT)]]+tblSales[[#This Row],[Output VAT]]</f>
        <v>1198800</v>
      </c>
      <c r="N5037" s="5">
        <f>tblSales[[#This Row],[Qty]]*_xlfn.XLOOKUP(tblSales[[#This Row],[Product Code]],tblProducts[Code],tblProducts[Unit Cost],0)</f>
        <v>648000</v>
      </c>
      <c r="O5037" s="4" t="s">
        <v>4865</v>
      </c>
      <c r="P5037" s="4" t="s">
        <v>4860</v>
      </c>
      <c r="Q5037" s="1" t="str">
        <f>_xlfn.XLOOKUP(tblSales[[#This Row],[Channel Code]],tblChannels[Channel Code],tblChannels[Channel Name],"")</f>
        <v>In-store</v>
      </c>
      <c r="R5037" s="1">
        <f>MONTH(tblSales[[#This Row],[Date]])</f>
        <v>11</v>
      </c>
    </row>
    <row r="5038" spans="2:18" x14ac:dyDescent="0.35">
      <c r="B5038" s="113">
        <v>46328</v>
      </c>
      <c r="C5038" s="4" t="s">
        <v>3440</v>
      </c>
      <c r="D5038" s="4" t="s">
        <v>4593</v>
      </c>
      <c r="E5038" s="1" t="str">
        <f>_xlfn.XLOOKUP(tblSales[[#This Row],[Customer ID]],tblCustomers[Customer ID],tblCustomers[Customer Name],"⚠ Unknown")</f>
        <v>PT Graha Nusa Persada</v>
      </c>
      <c r="F5038" s="4" t="s">
        <v>10</v>
      </c>
      <c r="G5038" s="1" t="str">
        <f>_xlfn.XLOOKUP(tblSales[[#This Row],[Product Code]],tblProducts[Code],tblProducts[Product / Service Name],"⚠ Unknown")</f>
        <v>Chino Pants</v>
      </c>
      <c r="H5038" s="1" t="str">
        <f>_xlfn.XLOOKUP(tblSales[[#This Row],[Product Code]],tblProducts[Code],tblProducts[Category],"")</f>
        <v>Apparel &amp; Footwear</v>
      </c>
      <c r="I5038" s="4">
        <v>56</v>
      </c>
      <c r="J5038" s="5">
        <f>_xlfn.XLOOKUP(tblSales[[#This Row],[Product Code]],tblProducts[Code],tblProducts[Selling Price (excl. VAT)],0)</f>
        <v>150000</v>
      </c>
      <c r="K5038" s="5">
        <f>tblSales[[#This Row],[Qty]]*tblSales[[#This Row],[Unit Price]]</f>
        <v>8400000</v>
      </c>
      <c r="L5038" s="5">
        <f>ROUND(tblSales[[#This Row],[DPP (excl. VAT)]]*VATEff,0)</f>
        <v>924000</v>
      </c>
      <c r="M5038" s="5">
        <f>tblSales[[#This Row],[DPP (excl. VAT)]]+tblSales[[#This Row],[Output VAT]]</f>
        <v>9324000</v>
      </c>
      <c r="N5038" s="5">
        <f>tblSales[[#This Row],[Qty]]*_xlfn.XLOOKUP(tblSales[[#This Row],[Product Code]],tblProducts[Code],tblProducts[Unit Cost],0)</f>
        <v>4928000</v>
      </c>
      <c r="O5038" s="4" t="s">
        <v>4867</v>
      </c>
      <c r="P5038" s="4" t="s">
        <v>4860</v>
      </c>
      <c r="Q5038" s="1" t="str">
        <f>_xlfn.XLOOKUP(tblSales[[#This Row],[Channel Code]],tblChannels[Channel Code],tblChannels[Channel Name],"")</f>
        <v>In-store</v>
      </c>
      <c r="R5038" s="1">
        <f>MONTH(tblSales[[#This Row],[Date]])</f>
        <v>11</v>
      </c>
    </row>
    <row r="5039" spans="2:18" x14ac:dyDescent="0.35">
      <c r="B5039" s="113">
        <v>46329</v>
      </c>
      <c r="C5039" s="4" t="s">
        <v>3441</v>
      </c>
      <c r="D5039" s="4" t="s">
        <v>4568</v>
      </c>
      <c r="E5039" s="1" t="str">
        <f>_xlfn.XLOOKUP(tblSales[[#This Row],[Customer ID]],tblCustomers[Customer ID],tblCustomers[Customer Name],"⚠ Unknown")</f>
        <v>Walk-in Customer</v>
      </c>
      <c r="F5039" s="4" t="s">
        <v>6</v>
      </c>
      <c r="G5039" s="1" t="str">
        <f>_xlfn.XLOOKUP(tblSales[[#This Row],[Product Code]],tblProducts[Code],tblProducts[Product / Service Name],"⚠ Unknown")</f>
        <v>Socks &amp; Accessories</v>
      </c>
      <c r="H5039" s="1" t="str">
        <f>_xlfn.XLOOKUP(tblSales[[#This Row],[Product Code]],tblProducts[Code],tblProducts[Category],"")</f>
        <v>Accessories &amp; Basics</v>
      </c>
      <c r="I5039" s="4">
        <v>2</v>
      </c>
      <c r="J5039" s="5">
        <f>_xlfn.XLOOKUP(tblSales[[#This Row],[Product Code]],tblProducts[Code],tblProducts[Selling Price (excl. VAT)],0)</f>
        <v>45000</v>
      </c>
      <c r="K5039" s="5">
        <f>tblSales[[#This Row],[Qty]]*tblSales[[#This Row],[Unit Price]]</f>
        <v>90000</v>
      </c>
      <c r="L5039" s="5">
        <f>ROUND(tblSales[[#This Row],[DPP (excl. VAT)]]*VATEff,0)</f>
        <v>9900</v>
      </c>
      <c r="M5039" s="5">
        <f>tblSales[[#This Row],[DPP (excl. VAT)]]+tblSales[[#This Row],[Output VAT]]</f>
        <v>99900</v>
      </c>
      <c r="N5039" s="5">
        <f>tblSales[[#This Row],[Qty]]*_xlfn.XLOOKUP(tblSales[[#This Row],[Product Code]],tblProducts[Code],tblProducts[Unit Cost],0)</f>
        <v>48000</v>
      </c>
      <c r="O5039" s="4" t="s">
        <v>4866</v>
      </c>
      <c r="P5039" s="4" t="s">
        <v>4860</v>
      </c>
      <c r="Q5039" s="1" t="str">
        <f>_xlfn.XLOOKUP(tblSales[[#This Row],[Channel Code]],tblChannels[Channel Code],tblChannels[Channel Name],"")</f>
        <v>In-store</v>
      </c>
      <c r="R5039" s="1">
        <f>MONTH(tblSales[[#This Row],[Date]])</f>
        <v>11</v>
      </c>
    </row>
    <row r="5040" spans="2:18" x14ac:dyDescent="0.35">
      <c r="B5040" s="113">
        <v>46329</v>
      </c>
      <c r="C5040" s="4" t="s">
        <v>3442</v>
      </c>
      <c r="D5040" s="4" t="s">
        <v>4568</v>
      </c>
      <c r="E5040" s="1" t="str">
        <f>_xlfn.XLOOKUP(tblSales[[#This Row],[Customer ID]],tblCustomers[Customer ID],tblCustomers[Customer Name],"⚠ Unknown")</f>
        <v>Walk-in Customer</v>
      </c>
      <c r="F5040" s="4" t="s">
        <v>13</v>
      </c>
      <c r="G5040" s="1" t="str">
        <f>_xlfn.XLOOKUP(tblSales[[#This Row],[Product Code]],tblProducts[Code],tblProducts[Product / Service Name],"⚠ Unknown")</f>
        <v>Backpack</v>
      </c>
      <c r="H5040" s="1" t="str">
        <f>_xlfn.XLOOKUP(tblSales[[#This Row],[Product Code]],tblProducts[Code],tblProducts[Category],"")</f>
        <v>Bags &amp; Gadgets</v>
      </c>
      <c r="I5040" s="4">
        <v>3</v>
      </c>
      <c r="J5040" s="5">
        <f>_xlfn.XLOOKUP(tblSales[[#This Row],[Product Code]],tblProducts[Code],tblProducts[Selling Price (excl. VAT)],0)</f>
        <v>500000</v>
      </c>
      <c r="K5040" s="5">
        <f>tblSales[[#This Row],[Qty]]*tblSales[[#This Row],[Unit Price]]</f>
        <v>1500000</v>
      </c>
      <c r="L5040" s="5">
        <f>ROUND(tblSales[[#This Row],[DPP (excl. VAT)]]*VATEff,0)</f>
        <v>165000</v>
      </c>
      <c r="M5040" s="5">
        <f>tblSales[[#This Row],[DPP (excl. VAT)]]+tblSales[[#This Row],[Output VAT]]</f>
        <v>1665000</v>
      </c>
      <c r="N5040" s="5">
        <f>tblSales[[#This Row],[Qty]]*_xlfn.XLOOKUP(tblSales[[#This Row],[Product Code]],tblProducts[Code],tblProducts[Unit Cost],0)</f>
        <v>870000</v>
      </c>
      <c r="O5040" s="4" t="s">
        <v>4866</v>
      </c>
      <c r="P5040" s="4" t="s">
        <v>4861</v>
      </c>
      <c r="Q5040" s="1" t="str">
        <f>_xlfn.XLOOKUP(tblSales[[#This Row],[Channel Code]],tblChannels[Channel Code],tblChannels[Channel Name],"")</f>
        <v>Marketplace</v>
      </c>
      <c r="R5040" s="1">
        <f>MONTH(tblSales[[#This Row],[Date]])</f>
        <v>11</v>
      </c>
    </row>
    <row r="5041" spans="2:18" x14ac:dyDescent="0.35">
      <c r="B5041" s="113">
        <v>46329</v>
      </c>
      <c r="C5041" s="4" t="s">
        <v>3443</v>
      </c>
      <c r="D5041" s="4" t="s">
        <v>4568</v>
      </c>
      <c r="E5041" s="1" t="str">
        <f>_xlfn.XLOOKUP(tblSales[[#This Row],[Customer ID]],tblCustomers[Customer ID],tblCustomers[Customer Name],"⚠ Unknown")</f>
        <v>Walk-in Customer</v>
      </c>
      <c r="F5041" s="4" t="s">
        <v>7</v>
      </c>
      <c r="G5041" s="1" t="str">
        <f>_xlfn.XLOOKUP(tblSales[[#This Row],[Product Code]],tblProducts[Code],tblProducts[Product / Service Name],"⚠ Unknown")</f>
        <v>Premium Basic T-shirt</v>
      </c>
      <c r="H5041" s="1" t="str">
        <f>_xlfn.XLOOKUP(tblSales[[#This Row],[Product Code]],tblProducts[Code],tblProducts[Category],"")</f>
        <v>Accessories &amp; Basics</v>
      </c>
      <c r="I5041" s="4">
        <v>2</v>
      </c>
      <c r="J5041" s="5">
        <f>_xlfn.XLOOKUP(tblSales[[#This Row],[Product Code]],tblProducts[Code],tblProducts[Selling Price (excl. VAT)],0)</f>
        <v>65000</v>
      </c>
      <c r="K5041" s="5">
        <f>tblSales[[#This Row],[Qty]]*tblSales[[#This Row],[Unit Price]]</f>
        <v>130000</v>
      </c>
      <c r="L5041" s="5">
        <f>ROUND(tblSales[[#This Row],[DPP (excl. VAT)]]*VATEff,0)</f>
        <v>14300</v>
      </c>
      <c r="M5041" s="5">
        <f>tblSales[[#This Row],[DPP (excl. VAT)]]+tblSales[[#This Row],[Output VAT]]</f>
        <v>144300</v>
      </c>
      <c r="N5041" s="5">
        <f>tblSales[[#This Row],[Qty]]*_xlfn.XLOOKUP(tblSales[[#This Row],[Product Code]],tblProducts[Code],tblProducts[Unit Cost],0)</f>
        <v>74000</v>
      </c>
      <c r="O5041" s="4" t="s">
        <v>4866</v>
      </c>
      <c r="P5041" s="4" t="s">
        <v>4861</v>
      </c>
      <c r="Q5041" s="1" t="str">
        <f>_xlfn.XLOOKUP(tblSales[[#This Row],[Channel Code]],tblChannels[Channel Code],tblChannels[Channel Name],"")</f>
        <v>Marketplace</v>
      </c>
      <c r="R5041" s="1">
        <f>MONTH(tblSales[[#This Row],[Date]])</f>
        <v>11</v>
      </c>
    </row>
    <row r="5042" spans="2:18" x14ac:dyDescent="0.35">
      <c r="B5042" s="113">
        <v>46329</v>
      </c>
      <c r="C5042" s="4" t="s">
        <v>3443</v>
      </c>
      <c r="D5042" s="4" t="s">
        <v>4568</v>
      </c>
      <c r="E5042" s="1" t="str">
        <f>_xlfn.XLOOKUP(tblSales[[#This Row],[Customer ID]],tblCustomers[Customer ID],tblCustomers[Customer Name],"⚠ Unknown")</f>
        <v>Walk-in Customer</v>
      </c>
      <c r="F5042" s="4" t="s">
        <v>6</v>
      </c>
      <c r="G5042" s="1" t="str">
        <f>_xlfn.XLOOKUP(tblSales[[#This Row],[Product Code]],tblProducts[Code],tblProducts[Product / Service Name],"⚠ Unknown")</f>
        <v>Socks &amp; Accessories</v>
      </c>
      <c r="H5042" s="1" t="str">
        <f>_xlfn.XLOOKUP(tblSales[[#This Row],[Product Code]],tblProducts[Code],tblProducts[Category],"")</f>
        <v>Accessories &amp; Basics</v>
      </c>
      <c r="I5042" s="4">
        <v>9</v>
      </c>
      <c r="J5042" s="5">
        <f>_xlfn.XLOOKUP(tblSales[[#This Row],[Product Code]],tblProducts[Code],tblProducts[Selling Price (excl. VAT)],0)</f>
        <v>45000</v>
      </c>
      <c r="K5042" s="5">
        <f>tblSales[[#This Row],[Qty]]*tblSales[[#This Row],[Unit Price]]</f>
        <v>405000</v>
      </c>
      <c r="L5042" s="5">
        <f>ROUND(tblSales[[#This Row],[DPP (excl. VAT)]]*VATEff,0)</f>
        <v>44550</v>
      </c>
      <c r="M5042" s="5">
        <f>tblSales[[#This Row],[DPP (excl. VAT)]]+tblSales[[#This Row],[Output VAT]]</f>
        <v>449550</v>
      </c>
      <c r="N5042" s="5">
        <f>tblSales[[#This Row],[Qty]]*_xlfn.XLOOKUP(tblSales[[#This Row],[Product Code]],tblProducts[Code],tblProducts[Unit Cost],0)</f>
        <v>216000</v>
      </c>
      <c r="O5042" s="4" t="s">
        <v>4866</v>
      </c>
      <c r="P5042" s="4" t="s">
        <v>4861</v>
      </c>
      <c r="Q5042" s="1" t="str">
        <f>_xlfn.XLOOKUP(tblSales[[#This Row],[Channel Code]],tblChannels[Channel Code],tblChannels[Channel Name],"")</f>
        <v>Marketplace</v>
      </c>
      <c r="R5042" s="1">
        <f>MONTH(tblSales[[#This Row],[Date]])</f>
        <v>11</v>
      </c>
    </row>
    <row r="5043" spans="2:18" x14ac:dyDescent="0.35">
      <c r="B5043" s="113">
        <v>46329</v>
      </c>
      <c r="C5043" s="4" t="s">
        <v>3444</v>
      </c>
      <c r="D5043" s="4" t="s">
        <v>4568</v>
      </c>
      <c r="E5043" s="1" t="str">
        <f>_xlfn.XLOOKUP(tblSales[[#This Row],[Customer ID]],tblCustomers[Customer ID],tblCustomers[Customer Name],"⚠ Unknown")</f>
        <v>Walk-in Customer</v>
      </c>
      <c r="F5043" s="4" t="s">
        <v>8</v>
      </c>
      <c r="G5043" s="1" t="str">
        <f>_xlfn.XLOOKUP(tblSales[[#This Row],[Product Code]],tblProducts[Code],tblProducts[Product / Service Name],"⚠ Unknown")</f>
        <v>Casual Shorts</v>
      </c>
      <c r="H5043" s="1" t="str">
        <f>_xlfn.XLOOKUP(tblSales[[#This Row],[Product Code]],tblProducts[Code],tblProducts[Category],"")</f>
        <v>Accessories &amp; Basics</v>
      </c>
      <c r="I5043" s="4">
        <v>2</v>
      </c>
      <c r="J5043" s="5">
        <f>_xlfn.XLOOKUP(tblSales[[#This Row],[Product Code]],tblProducts[Code],tblProducts[Selling Price (excl. VAT)],0)</f>
        <v>85000</v>
      </c>
      <c r="K5043" s="5">
        <f>tblSales[[#This Row],[Qty]]*tblSales[[#This Row],[Unit Price]]</f>
        <v>170000</v>
      </c>
      <c r="L5043" s="5">
        <f>ROUND(tblSales[[#This Row],[DPP (excl. VAT)]]*VATEff,0)</f>
        <v>18700</v>
      </c>
      <c r="M5043" s="5">
        <f>tblSales[[#This Row],[DPP (excl. VAT)]]+tblSales[[#This Row],[Output VAT]]</f>
        <v>188700</v>
      </c>
      <c r="N5043" s="5">
        <f>tblSales[[#This Row],[Qty]]*_xlfn.XLOOKUP(tblSales[[#This Row],[Product Code]],tblProducts[Code],tblProducts[Unit Cost],0)</f>
        <v>100000</v>
      </c>
      <c r="O5043" s="4" t="s">
        <v>4866</v>
      </c>
      <c r="P5043" s="4" t="s">
        <v>4862</v>
      </c>
      <c r="Q5043" s="1" t="str">
        <f>_xlfn.XLOOKUP(tblSales[[#This Row],[Channel Code]],tblChannels[Channel Code],tblChannels[Channel Name],"")</f>
        <v>Website &amp; Social Media</v>
      </c>
      <c r="R5043" s="1">
        <f>MONTH(tblSales[[#This Row],[Date]])</f>
        <v>11</v>
      </c>
    </row>
    <row r="5044" spans="2:18" x14ac:dyDescent="0.35">
      <c r="B5044" s="113">
        <v>46329</v>
      </c>
      <c r="C5044" s="4" t="s">
        <v>3444</v>
      </c>
      <c r="D5044" s="4" t="s">
        <v>4568</v>
      </c>
      <c r="E5044" s="1" t="str">
        <f>_xlfn.XLOOKUP(tblSales[[#This Row],[Customer ID]],tblCustomers[Customer ID],tblCustomers[Customer Name],"⚠ Unknown")</f>
        <v>Walk-in Customer</v>
      </c>
      <c r="F5044" s="4" t="s">
        <v>13</v>
      </c>
      <c r="G5044" s="1" t="str">
        <f>_xlfn.XLOOKUP(tblSales[[#This Row],[Product Code]],tblProducts[Code],tblProducts[Product / Service Name],"⚠ Unknown")</f>
        <v>Backpack</v>
      </c>
      <c r="H5044" s="1" t="str">
        <f>_xlfn.XLOOKUP(tblSales[[#This Row],[Product Code]],tblProducts[Code],tblProducts[Category],"")</f>
        <v>Bags &amp; Gadgets</v>
      </c>
      <c r="I5044" s="4">
        <v>6</v>
      </c>
      <c r="J5044" s="5">
        <f>_xlfn.XLOOKUP(tblSales[[#This Row],[Product Code]],tblProducts[Code],tblProducts[Selling Price (excl. VAT)],0)</f>
        <v>500000</v>
      </c>
      <c r="K5044" s="5">
        <f>tblSales[[#This Row],[Qty]]*tblSales[[#This Row],[Unit Price]]</f>
        <v>3000000</v>
      </c>
      <c r="L5044" s="5">
        <f>ROUND(tblSales[[#This Row],[DPP (excl. VAT)]]*VATEff,0)</f>
        <v>330000</v>
      </c>
      <c r="M5044" s="5">
        <f>tblSales[[#This Row],[DPP (excl. VAT)]]+tblSales[[#This Row],[Output VAT]]</f>
        <v>3330000</v>
      </c>
      <c r="N5044" s="5">
        <f>tblSales[[#This Row],[Qty]]*_xlfn.XLOOKUP(tblSales[[#This Row],[Product Code]],tblProducts[Code],tblProducts[Unit Cost],0)</f>
        <v>1740000</v>
      </c>
      <c r="O5044" s="4" t="s">
        <v>4866</v>
      </c>
      <c r="P5044" s="4" t="s">
        <v>4862</v>
      </c>
      <c r="Q5044" s="1" t="str">
        <f>_xlfn.XLOOKUP(tblSales[[#This Row],[Channel Code]],tblChannels[Channel Code],tblChannels[Channel Name],"")</f>
        <v>Website &amp; Social Media</v>
      </c>
      <c r="R5044" s="1">
        <f>MONTH(tblSales[[#This Row],[Date]])</f>
        <v>11</v>
      </c>
    </row>
    <row r="5045" spans="2:18" x14ac:dyDescent="0.35">
      <c r="B5045" s="113">
        <v>46329</v>
      </c>
      <c r="C5045" s="4" t="s">
        <v>3445</v>
      </c>
      <c r="D5045" s="4" t="s">
        <v>4568</v>
      </c>
      <c r="E5045" s="1" t="str">
        <f>_xlfn.XLOOKUP(tblSales[[#This Row],[Customer ID]],tblCustomers[Customer ID],tblCustomers[Customer Name],"⚠ Unknown")</f>
        <v>Walk-in Customer</v>
      </c>
      <c r="F5045" s="4" t="s">
        <v>8</v>
      </c>
      <c r="G5045" s="1" t="str">
        <f>_xlfn.XLOOKUP(tblSales[[#This Row],[Product Code]],tblProducts[Code],tblProducts[Product / Service Name],"⚠ Unknown")</f>
        <v>Casual Shorts</v>
      </c>
      <c r="H5045" s="1" t="str">
        <f>_xlfn.XLOOKUP(tblSales[[#This Row],[Product Code]],tblProducts[Code],tblProducts[Category],"")</f>
        <v>Accessories &amp; Basics</v>
      </c>
      <c r="I5045" s="4">
        <v>2</v>
      </c>
      <c r="J5045" s="5">
        <f>_xlfn.XLOOKUP(tblSales[[#This Row],[Product Code]],tblProducts[Code],tblProducts[Selling Price (excl. VAT)],0)</f>
        <v>85000</v>
      </c>
      <c r="K5045" s="5">
        <f>tblSales[[#This Row],[Qty]]*tblSales[[#This Row],[Unit Price]]</f>
        <v>170000</v>
      </c>
      <c r="L5045" s="5">
        <f>ROUND(tblSales[[#This Row],[DPP (excl. VAT)]]*VATEff,0)</f>
        <v>18700</v>
      </c>
      <c r="M5045" s="5">
        <f>tblSales[[#This Row],[DPP (excl. VAT)]]+tblSales[[#This Row],[Output VAT]]</f>
        <v>188700</v>
      </c>
      <c r="N5045" s="5">
        <f>tblSales[[#This Row],[Qty]]*_xlfn.XLOOKUP(tblSales[[#This Row],[Product Code]],tblProducts[Code],tblProducts[Unit Cost],0)</f>
        <v>100000</v>
      </c>
      <c r="O5045" s="4" t="s">
        <v>4865</v>
      </c>
      <c r="P5045" s="4" t="s">
        <v>4860</v>
      </c>
      <c r="Q5045" s="1" t="str">
        <f>_xlfn.XLOOKUP(tblSales[[#This Row],[Channel Code]],tblChannels[Channel Code],tblChannels[Channel Name],"")</f>
        <v>In-store</v>
      </c>
      <c r="R5045" s="1">
        <f>MONTH(tblSales[[#This Row],[Date]])</f>
        <v>11</v>
      </c>
    </row>
    <row r="5046" spans="2:18" x14ac:dyDescent="0.35">
      <c r="B5046" s="113">
        <v>46329</v>
      </c>
      <c r="C5046" s="4" t="s">
        <v>3446</v>
      </c>
      <c r="D5046" s="4" t="s">
        <v>4568</v>
      </c>
      <c r="E5046" s="1" t="str">
        <f>_xlfn.XLOOKUP(tblSales[[#This Row],[Customer ID]],tblCustomers[Customer ID],tblCustomers[Customer Name],"⚠ Unknown")</f>
        <v>Walk-in Customer</v>
      </c>
      <c r="F5046" s="4" t="s">
        <v>9</v>
      </c>
      <c r="G5046" s="1" t="str">
        <f>_xlfn.XLOOKUP(tblSales[[#This Row],[Product Code]],tblProducts[Code],tblProducts[Product / Service Name],"⚠ Unknown")</f>
        <v>Casual Shirt</v>
      </c>
      <c r="H5046" s="1" t="str">
        <f>_xlfn.XLOOKUP(tblSales[[#This Row],[Product Code]],tblProducts[Code],tblProducts[Category],"")</f>
        <v>Apparel &amp; Footwear</v>
      </c>
      <c r="I5046" s="4">
        <v>11</v>
      </c>
      <c r="J5046" s="5">
        <f>_xlfn.XLOOKUP(tblSales[[#This Row],[Product Code]],tblProducts[Code],tblProducts[Selling Price (excl. VAT)],0)</f>
        <v>120000</v>
      </c>
      <c r="K5046" s="5">
        <f>tblSales[[#This Row],[Qty]]*tblSales[[#This Row],[Unit Price]]</f>
        <v>1320000</v>
      </c>
      <c r="L5046" s="5">
        <f>ROUND(tblSales[[#This Row],[DPP (excl. VAT)]]*VATEff,0)</f>
        <v>145200</v>
      </c>
      <c r="M5046" s="5">
        <f>tblSales[[#This Row],[DPP (excl. VAT)]]+tblSales[[#This Row],[Output VAT]]</f>
        <v>1465200</v>
      </c>
      <c r="N5046" s="5">
        <f>tblSales[[#This Row],[Qty]]*_xlfn.XLOOKUP(tblSales[[#This Row],[Product Code]],tblProducts[Code],tblProducts[Unit Cost],0)</f>
        <v>792000</v>
      </c>
      <c r="O5046" s="4" t="s">
        <v>4866</v>
      </c>
      <c r="P5046" s="4" t="s">
        <v>4861</v>
      </c>
      <c r="Q5046" s="1" t="str">
        <f>_xlfn.XLOOKUP(tblSales[[#This Row],[Channel Code]],tblChannels[Channel Code],tblChannels[Channel Name],"")</f>
        <v>Marketplace</v>
      </c>
      <c r="R5046" s="1">
        <f>MONTH(tblSales[[#This Row],[Date]])</f>
        <v>11</v>
      </c>
    </row>
    <row r="5047" spans="2:18" x14ac:dyDescent="0.35">
      <c r="B5047" s="113">
        <v>46329</v>
      </c>
      <c r="C5047" s="4" t="s">
        <v>3447</v>
      </c>
      <c r="D5047" s="4" t="s">
        <v>4568</v>
      </c>
      <c r="E5047" s="1" t="str">
        <f>_xlfn.XLOOKUP(tblSales[[#This Row],[Customer ID]],tblCustomers[Customer ID],tblCustomers[Customer Name],"⚠ Unknown")</f>
        <v>Walk-in Customer</v>
      </c>
      <c r="F5047" s="4" t="s">
        <v>11</v>
      </c>
      <c r="G5047" s="1" t="str">
        <f>_xlfn.XLOOKUP(tblSales[[#This Row],[Product Code]],tblProducts[Code],tblProducts[Product / Service Name],"⚠ Unknown")</f>
        <v>Sneakers</v>
      </c>
      <c r="H5047" s="1" t="str">
        <f>_xlfn.XLOOKUP(tblSales[[#This Row],[Product Code]],tblProducts[Code],tblProducts[Category],"")</f>
        <v>Apparel &amp; Footwear</v>
      </c>
      <c r="I5047" s="4">
        <v>6</v>
      </c>
      <c r="J5047" s="5">
        <f>_xlfn.XLOOKUP(tblSales[[#This Row],[Product Code]],tblProducts[Code],tblProducts[Selling Price (excl. VAT)],0)</f>
        <v>250000</v>
      </c>
      <c r="K5047" s="5">
        <f>tblSales[[#This Row],[Qty]]*tblSales[[#This Row],[Unit Price]]</f>
        <v>1500000</v>
      </c>
      <c r="L5047" s="5">
        <f>ROUND(tblSales[[#This Row],[DPP (excl. VAT)]]*VATEff,0)</f>
        <v>165000</v>
      </c>
      <c r="M5047" s="5">
        <f>tblSales[[#This Row],[DPP (excl. VAT)]]+tblSales[[#This Row],[Output VAT]]</f>
        <v>1665000</v>
      </c>
      <c r="N5047" s="5">
        <f>tblSales[[#This Row],[Qty]]*_xlfn.XLOOKUP(tblSales[[#This Row],[Product Code]],tblProducts[Code],tblProducts[Unit Cost],0)</f>
        <v>930000</v>
      </c>
      <c r="O5047" s="4" t="s">
        <v>4865</v>
      </c>
      <c r="P5047" s="4" t="s">
        <v>4860</v>
      </c>
      <c r="Q5047" s="1" t="str">
        <f>_xlfn.XLOOKUP(tblSales[[#This Row],[Channel Code]],tblChannels[Channel Code],tblChannels[Channel Name],"")</f>
        <v>In-store</v>
      </c>
      <c r="R5047" s="1">
        <f>MONTH(tblSales[[#This Row],[Date]])</f>
        <v>11</v>
      </c>
    </row>
    <row r="5048" spans="2:18" x14ac:dyDescent="0.35">
      <c r="B5048" s="113">
        <v>46329</v>
      </c>
      <c r="C5048" s="4" t="s">
        <v>3447</v>
      </c>
      <c r="D5048" s="4" t="s">
        <v>4568</v>
      </c>
      <c r="E5048" s="1" t="str">
        <f>_xlfn.XLOOKUP(tblSales[[#This Row],[Customer ID]],tblCustomers[Customer ID],tblCustomers[Customer Name],"⚠ Unknown")</f>
        <v>Walk-in Customer</v>
      </c>
      <c r="F5048" s="4" t="s">
        <v>10</v>
      </c>
      <c r="G5048" s="1" t="str">
        <f>_xlfn.XLOOKUP(tblSales[[#This Row],[Product Code]],tblProducts[Code],tblProducts[Product / Service Name],"⚠ Unknown")</f>
        <v>Chino Pants</v>
      </c>
      <c r="H5048" s="1" t="str">
        <f>_xlfn.XLOOKUP(tblSales[[#This Row],[Product Code]],tblProducts[Code],tblProducts[Category],"")</f>
        <v>Apparel &amp; Footwear</v>
      </c>
      <c r="I5048" s="4">
        <v>9</v>
      </c>
      <c r="J5048" s="5">
        <f>_xlfn.XLOOKUP(tblSales[[#This Row],[Product Code]],tblProducts[Code],tblProducts[Selling Price (excl. VAT)],0)</f>
        <v>150000</v>
      </c>
      <c r="K5048" s="5">
        <f>tblSales[[#This Row],[Qty]]*tblSales[[#This Row],[Unit Price]]</f>
        <v>1350000</v>
      </c>
      <c r="L5048" s="5">
        <f>ROUND(tblSales[[#This Row],[DPP (excl. VAT)]]*VATEff,0)</f>
        <v>148500</v>
      </c>
      <c r="M5048" s="5">
        <f>tblSales[[#This Row],[DPP (excl. VAT)]]+tblSales[[#This Row],[Output VAT]]</f>
        <v>1498500</v>
      </c>
      <c r="N5048" s="5">
        <f>tblSales[[#This Row],[Qty]]*_xlfn.XLOOKUP(tblSales[[#This Row],[Product Code]],tblProducts[Code],tblProducts[Unit Cost],0)</f>
        <v>792000</v>
      </c>
      <c r="O5048" s="4" t="s">
        <v>4865</v>
      </c>
      <c r="P5048" s="4" t="s">
        <v>4860</v>
      </c>
      <c r="Q5048" s="1" t="str">
        <f>_xlfn.XLOOKUP(tblSales[[#This Row],[Channel Code]],tblChannels[Channel Code],tblChannels[Channel Name],"")</f>
        <v>In-store</v>
      </c>
      <c r="R5048" s="1">
        <f>MONTH(tblSales[[#This Row],[Date]])</f>
        <v>11</v>
      </c>
    </row>
    <row r="5049" spans="2:18" x14ac:dyDescent="0.35">
      <c r="B5049" s="113">
        <v>46329</v>
      </c>
      <c r="C5049" s="4" t="s">
        <v>3447</v>
      </c>
      <c r="D5049" s="4" t="s">
        <v>4568</v>
      </c>
      <c r="E5049" s="1" t="str">
        <f>_xlfn.XLOOKUP(tblSales[[#This Row],[Customer ID]],tblCustomers[Customer ID],tblCustomers[Customer Name],"⚠ Unknown")</f>
        <v>Walk-in Customer</v>
      </c>
      <c r="F5049" s="4" t="s">
        <v>7</v>
      </c>
      <c r="G5049" s="1" t="str">
        <f>_xlfn.XLOOKUP(tblSales[[#This Row],[Product Code]],tblProducts[Code],tblProducts[Product / Service Name],"⚠ Unknown")</f>
        <v>Premium Basic T-shirt</v>
      </c>
      <c r="H5049" s="1" t="str">
        <f>_xlfn.XLOOKUP(tblSales[[#This Row],[Product Code]],tblProducts[Code],tblProducts[Category],"")</f>
        <v>Accessories &amp; Basics</v>
      </c>
      <c r="I5049" s="4">
        <v>6</v>
      </c>
      <c r="J5049" s="5">
        <f>_xlfn.XLOOKUP(tblSales[[#This Row],[Product Code]],tblProducts[Code],tblProducts[Selling Price (excl. VAT)],0)</f>
        <v>65000</v>
      </c>
      <c r="K5049" s="5">
        <f>tblSales[[#This Row],[Qty]]*tblSales[[#This Row],[Unit Price]]</f>
        <v>390000</v>
      </c>
      <c r="L5049" s="5">
        <f>ROUND(tblSales[[#This Row],[DPP (excl. VAT)]]*VATEff,0)</f>
        <v>42900</v>
      </c>
      <c r="M5049" s="5">
        <f>tblSales[[#This Row],[DPP (excl. VAT)]]+tblSales[[#This Row],[Output VAT]]</f>
        <v>432900</v>
      </c>
      <c r="N5049" s="5">
        <f>tblSales[[#This Row],[Qty]]*_xlfn.XLOOKUP(tblSales[[#This Row],[Product Code]],tblProducts[Code],tblProducts[Unit Cost],0)</f>
        <v>222000</v>
      </c>
      <c r="O5049" s="4" t="s">
        <v>4865</v>
      </c>
      <c r="P5049" s="4" t="s">
        <v>4860</v>
      </c>
      <c r="Q5049" s="1" t="str">
        <f>_xlfn.XLOOKUP(tblSales[[#This Row],[Channel Code]],tblChannels[Channel Code],tblChannels[Channel Name],"")</f>
        <v>In-store</v>
      </c>
      <c r="R5049" s="1">
        <f>MONTH(tblSales[[#This Row],[Date]])</f>
        <v>11</v>
      </c>
    </row>
    <row r="5050" spans="2:18" x14ac:dyDescent="0.35">
      <c r="B5050" s="113">
        <v>46329</v>
      </c>
      <c r="C5050" s="4" t="s">
        <v>3448</v>
      </c>
      <c r="D5050" s="4" t="s">
        <v>4568</v>
      </c>
      <c r="E5050" s="1" t="str">
        <f>_xlfn.XLOOKUP(tblSales[[#This Row],[Customer ID]],tblCustomers[Customer ID],tblCustomers[Customer Name],"⚠ Unknown")</f>
        <v>Walk-in Customer</v>
      </c>
      <c r="F5050" s="4" t="s">
        <v>7</v>
      </c>
      <c r="G5050" s="1" t="str">
        <f>_xlfn.XLOOKUP(tblSales[[#This Row],[Product Code]],tblProducts[Code],tblProducts[Product / Service Name],"⚠ Unknown")</f>
        <v>Premium Basic T-shirt</v>
      </c>
      <c r="H5050" s="1" t="str">
        <f>_xlfn.XLOOKUP(tblSales[[#This Row],[Product Code]],tblProducts[Code],tblProducts[Category],"")</f>
        <v>Accessories &amp; Basics</v>
      </c>
      <c r="I5050" s="4">
        <v>2</v>
      </c>
      <c r="J5050" s="5">
        <f>_xlfn.XLOOKUP(tblSales[[#This Row],[Product Code]],tblProducts[Code],tblProducts[Selling Price (excl. VAT)],0)</f>
        <v>65000</v>
      </c>
      <c r="K5050" s="5">
        <f>tblSales[[#This Row],[Qty]]*tblSales[[#This Row],[Unit Price]]</f>
        <v>130000</v>
      </c>
      <c r="L5050" s="5">
        <f>ROUND(tblSales[[#This Row],[DPP (excl. VAT)]]*VATEff,0)</f>
        <v>14300</v>
      </c>
      <c r="M5050" s="5">
        <f>tblSales[[#This Row],[DPP (excl. VAT)]]+tblSales[[#This Row],[Output VAT]]</f>
        <v>144300</v>
      </c>
      <c r="N5050" s="5">
        <f>tblSales[[#This Row],[Qty]]*_xlfn.XLOOKUP(tblSales[[#This Row],[Product Code]],tblProducts[Code],tblProducts[Unit Cost],0)</f>
        <v>74000</v>
      </c>
      <c r="O5050" s="4" t="s">
        <v>4866</v>
      </c>
      <c r="P5050" s="4" t="s">
        <v>4862</v>
      </c>
      <c r="Q5050" s="1" t="str">
        <f>_xlfn.XLOOKUP(tblSales[[#This Row],[Channel Code]],tblChannels[Channel Code],tblChannels[Channel Name],"")</f>
        <v>Website &amp; Social Media</v>
      </c>
      <c r="R5050" s="1">
        <f>MONTH(tblSales[[#This Row],[Date]])</f>
        <v>11</v>
      </c>
    </row>
    <row r="5051" spans="2:18" x14ac:dyDescent="0.35">
      <c r="B5051" s="113">
        <v>46329</v>
      </c>
      <c r="C5051" s="4" t="s">
        <v>3449</v>
      </c>
      <c r="D5051" s="4" t="s">
        <v>4568</v>
      </c>
      <c r="E5051" s="1" t="str">
        <f>_xlfn.XLOOKUP(tblSales[[#This Row],[Customer ID]],tblCustomers[Customer ID],tblCustomers[Customer Name],"⚠ Unknown")</f>
        <v>Walk-in Customer</v>
      </c>
      <c r="F5051" s="4" t="s">
        <v>13</v>
      </c>
      <c r="G5051" s="1" t="str">
        <f>_xlfn.XLOOKUP(tblSales[[#This Row],[Product Code]],tblProducts[Code],tblProducts[Product / Service Name],"⚠ Unknown")</f>
        <v>Backpack</v>
      </c>
      <c r="H5051" s="1" t="str">
        <f>_xlfn.XLOOKUP(tblSales[[#This Row],[Product Code]],tblProducts[Code],tblProducts[Category],"")</f>
        <v>Bags &amp; Gadgets</v>
      </c>
      <c r="I5051" s="4">
        <v>4</v>
      </c>
      <c r="J5051" s="5">
        <f>_xlfn.XLOOKUP(tblSales[[#This Row],[Product Code]],tblProducts[Code],tblProducts[Selling Price (excl. VAT)],0)</f>
        <v>500000</v>
      </c>
      <c r="K5051" s="5">
        <f>tblSales[[#This Row],[Qty]]*tblSales[[#This Row],[Unit Price]]</f>
        <v>2000000</v>
      </c>
      <c r="L5051" s="5">
        <f>ROUND(tblSales[[#This Row],[DPP (excl. VAT)]]*VATEff,0)</f>
        <v>220000</v>
      </c>
      <c r="M5051" s="5">
        <f>tblSales[[#This Row],[DPP (excl. VAT)]]+tblSales[[#This Row],[Output VAT]]</f>
        <v>2220000</v>
      </c>
      <c r="N5051" s="5">
        <f>tblSales[[#This Row],[Qty]]*_xlfn.XLOOKUP(tblSales[[#This Row],[Product Code]],tblProducts[Code],tblProducts[Unit Cost],0)</f>
        <v>1160000</v>
      </c>
      <c r="O5051" s="4" t="s">
        <v>4865</v>
      </c>
      <c r="P5051" s="4" t="s">
        <v>4860</v>
      </c>
      <c r="Q5051" s="1" t="str">
        <f>_xlfn.XLOOKUP(tblSales[[#This Row],[Channel Code]],tblChannels[Channel Code],tblChannels[Channel Name],"")</f>
        <v>In-store</v>
      </c>
      <c r="R5051" s="1">
        <f>MONTH(tblSales[[#This Row],[Date]])</f>
        <v>11</v>
      </c>
    </row>
    <row r="5052" spans="2:18" x14ac:dyDescent="0.35">
      <c r="B5052" s="113">
        <v>46329</v>
      </c>
      <c r="C5052" s="4" t="s">
        <v>3450</v>
      </c>
      <c r="D5052" s="4" t="s">
        <v>4568</v>
      </c>
      <c r="E5052" s="1" t="str">
        <f>_xlfn.XLOOKUP(tblSales[[#This Row],[Customer ID]],tblCustomers[Customer ID],tblCustomers[Customer Name],"⚠ Unknown")</f>
        <v>Walk-in Customer</v>
      </c>
      <c r="F5052" s="4" t="s">
        <v>11</v>
      </c>
      <c r="G5052" s="1" t="str">
        <f>_xlfn.XLOOKUP(tblSales[[#This Row],[Product Code]],tblProducts[Code],tblProducts[Product / Service Name],"⚠ Unknown")</f>
        <v>Sneakers</v>
      </c>
      <c r="H5052" s="1" t="str">
        <f>_xlfn.XLOOKUP(tblSales[[#This Row],[Product Code]],tblProducts[Code],tblProducts[Category],"")</f>
        <v>Apparel &amp; Footwear</v>
      </c>
      <c r="I5052" s="4">
        <v>2</v>
      </c>
      <c r="J5052" s="5">
        <f>_xlfn.XLOOKUP(tblSales[[#This Row],[Product Code]],tblProducts[Code],tblProducts[Selling Price (excl. VAT)],0)</f>
        <v>250000</v>
      </c>
      <c r="K5052" s="5">
        <f>tblSales[[#This Row],[Qty]]*tblSales[[#This Row],[Unit Price]]</f>
        <v>500000</v>
      </c>
      <c r="L5052" s="5">
        <f>ROUND(tblSales[[#This Row],[DPP (excl. VAT)]]*VATEff,0)</f>
        <v>55000</v>
      </c>
      <c r="M5052" s="5">
        <f>tblSales[[#This Row],[DPP (excl. VAT)]]+tblSales[[#This Row],[Output VAT]]</f>
        <v>555000</v>
      </c>
      <c r="N5052" s="5">
        <f>tblSales[[#This Row],[Qty]]*_xlfn.XLOOKUP(tblSales[[#This Row],[Product Code]],tblProducts[Code],tblProducts[Unit Cost],0)</f>
        <v>310000</v>
      </c>
      <c r="O5052" s="4" t="s">
        <v>4865</v>
      </c>
      <c r="P5052" s="4" t="s">
        <v>4860</v>
      </c>
      <c r="Q5052" s="1" t="str">
        <f>_xlfn.XLOOKUP(tblSales[[#This Row],[Channel Code]],tblChannels[Channel Code],tblChannels[Channel Name],"")</f>
        <v>In-store</v>
      </c>
      <c r="R5052" s="1">
        <f>MONTH(tblSales[[#This Row],[Date]])</f>
        <v>11</v>
      </c>
    </row>
    <row r="5053" spans="2:18" x14ac:dyDescent="0.35">
      <c r="B5053" s="113">
        <v>46329</v>
      </c>
      <c r="C5053" s="4" t="s">
        <v>3451</v>
      </c>
      <c r="D5053" s="4" t="s">
        <v>4568</v>
      </c>
      <c r="E5053" s="1" t="str">
        <f>_xlfn.XLOOKUP(tblSales[[#This Row],[Customer ID]],tblCustomers[Customer ID],tblCustomers[Customer Name],"⚠ Unknown")</f>
        <v>Walk-in Customer</v>
      </c>
      <c r="F5053" s="4" t="s">
        <v>12</v>
      </c>
      <c r="G5053" s="1" t="str">
        <f>_xlfn.XLOOKUP(tblSales[[#This Row],[Product Code]],tblProducts[Code],tblProducts[Product / Service Name],"⚠ Unknown")</f>
        <v>Bomber Jacket</v>
      </c>
      <c r="H5053" s="1" t="str">
        <f>_xlfn.XLOOKUP(tblSales[[#This Row],[Product Code]],tblProducts[Code],tblProducts[Category],"")</f>
        <v>Apparel &amp; Footwear</v>
      </c>
      <c r="I5053" s="4">
        <v>3</v>
      </c>
      <c r="J5053" s="5">
        <f>_xlfn.XLOOKUP(tblSales[[#This Row],[Product Code]],tblProducts[Code],tblProducts[Selling Price (excl. VAT)],0)</f>
        <v>350000</v>
      </c>
      <c r="K5053" s="5">
        <f>tblSales[[#This Row],[Qty]]*tblSales[[#This Row],[Unit Price]]</f>
        <v>1050000</v>
      </c>
      <c r="L5053" s="5">
        <f>ROUND(tblSales[[#This Row],[DPP (excl. VAT)]]*VATEff,0)</f>
        <v>115500</v>
      </c>
      <c r="M5053" s="5">
        <f>tblSales[[#This Row],[DPP (excl. VAT)]]+tblSales[[#This Row],[Output VAT]]</f>
        <v>1165500</v>
      </c>
      <c r="N5053" s="5">
        <f>tblSales[[#This Row],[Qty]]*_xlfn.XLOOKUP(tblSales[[#This Row],[Product Code]],tblProducts[Code],tblProducts[Unit Cost],0)</f>
        <v>630000</v>
      </c>
      <c r="O5053" s="4" t="s">
        <v>4866</v>
      </c>
      <c r="P5053" s="4" t="s">
        <v>4860</v>
      </c>
      <c r="Q5053" s="1" t="str">
        <f>_xlfn.XLOOKUP(tblSales[[#This Row],[Channel Code]],tblChannels[Channel Code],tblChannels[Channel Name],"")</f>
        <v>In-store</v>
      </c>
      <c r="R5053" s="1">
        <f>MONTH(tblSales[[#This Row],[Date]])</f>
        <v>11</v>
      </c>
    </row>
    <row r="5054" spans="2:18" x14ac:dyDescent="0.35">
      <c r="B5054" s="113">
        <v>46329</v>
      </c>
      <c r="C5054" s="4" t="s">
        <v>3452</v>
      </c>
      <c r="D5054" s="4" t="s">
        <v>4568</v>
      </c>
      <c r="E5054" s="1" t="str">
        <f>_xlfn.XLOOKUP(tblSales[[#This Row],[Customer ID]],tblCustomers[Customer ID],tblCustomers[Customer Name],"⚠ Unknown")</f>
        <v>Walk-in Customer</v>
      </c>
      <c r="F5054" s="4" t="s">
        <v>6</v>
      </c>
      <c r="G5054" s="1" t="str">
        <f>_xlfn.XLOOKUP(tblSales[[#This Row],[Product Code]],tblProducts[Code],tblProducts[Product / Service Name],"⚠ Unknown")</f>
        <v>Socks &amp; Accessories</v>
      </c>
      <c r="H5054" s="1" t="str">
        <f>_xlfn.XLOOKUP(tblSales[[#This Row],[Product Code]],tblProducts[Code],tblProducts[Category],"")</f>
        <v>Accessories &amp; Basics</v>
      </c>
      <c r="I5054" s="4">
        <v>8</v>
      </c>
      <c r="J5054" s="5">
        <f>_xlfn.XLOOKUP(tblSales[[#This Row],[Product Code]],tblProducts[Code],tblProducts[Selling Price (excl. VAT)],0)</f>
        <v>45000</v>
      </c>
      <c r="K5054" s="5">
        <f>tblSales[[#This Row],[Qty]]*tblSales[[#This Row],[Unit Price]]</f>
        <v>360000</v>
      </c>
      <c r="L5054" s="5">
        <f>ROUND(tblSales[[#This Row],[DPP (excl. VAT)]]*VATEff,0)</f>
        <v>39600</v>
      </c>
      <c r="M5054" s="5">
        <f>tblSales[[#This Row],[DPP (excl. VAT)]]+tblSales[[#This Row],[Output VAT]]</f>
        <v>399600</v>
      </c>
      <c r="N5054" s="5">
        <f>tblSales[[#This Row],[Qty]]*_xlfn.XLOOKUP(tblSales[[#This Row],[Product Code]],tblProducts[Code],tblProducts[Unit Cost],0)</f>
        <v>192000</v>
      </c>
      <c r="O5054" s="4" t="s">
        <v>4866</v>
      </c>
      <c r="P5054" s="4" t="s">
        <v>4861</v>
      </c>
      <c r="Q5054" s="1" t="str">
        <f>_xlfn.XLOOKUP(tblSales[[#This Row],[Channel Code]],tblChannels[Channel Code],tblChannels[Channel Name],"")</f>
        <v>Marketplace</v>
      </c>
      <c r="R5054" s="1">
        <f>MONTH(tblSales[[#This Row],[Date]])</f>
        <v>11</v>
      </c>
    </row>
    <row r="5055" spans="2:18" x14ac:dyDescent="0.35">
      <c r="B5055" s="113">
        <v>46330</v>
      </c>
      <c r="C5055" s="4" t="s">
        <v>3453</v>
      </c>
      <c r="D5055" s="4" t="s">
        <v>4568</v>
      </c>
      <c r="E5055" s="1" t="str">
        <f>_xlfn.XLOOKUP(tblSales[[#This Row],[Customer ID]],tblCustomers[Customer ID],tblCustomers[Customer Name],"⚠ Unknown")</f>
        <v>Walk-in Customer</v>
      </c>
      <c r="F5055" s="4" t="s">
        <v>9</v>
      </c>
      <c r="G5055" s="1" t="str">
        <f>_xlfn.XLOOKUP(tblSales[[#This Row],[Product Code]],tblProducts[Code],tblProducts[Product / Service Name],"⚠ Unknown")</f>
        <v>Casual Shirt</v>
      </c>
      <c r="H5055" s="1" t="str">
        <f>_xlfn.XLOOKUP(tblSales[[#This Row],[Product Code]],tblProducts[Code],tblProducts[Category],"")</f>
        <v>Apparel &amp; Footwear</v>
      </c>
      <c r="I5055" s="4">
        <v>11</v>
      </c>
      <c r="J5055" s="5">
        <f>_xlfn.XLOOKUP(tblSales[[#This Row],[Product Code]],tblProducts[Code],tblProducts[Selling Price (excl. VAT)],0)</f>
        <v>120000</v>
      </c>
      <c r="K5055" s="5">
        <f>tblSales[[#This Row],[Qty]]*tblSales[[#This Row],[Unit Price]]</f>
        <v>1320000</v>
      </c>
      <c r="L5055" s="5">
        <f>ROUND(tblSales[[#This Row],[DPP (excl. VAT)]]*VATEff,0)</f>
        <v>145200</v>
      </c>
      <c r="M5055" s="5">
        <f>tblSales[[#This Row],[DPP (excl. VAT)]]+tblSales[[#This Row],[Output VAT]]</f>
        <v>1465200</v>
      </c>
      <c r="N5055" s="5">
        <f>tblSales[[#This Row],[Qty]]*_xlfn.XLOOKUP(tblSales[[#This Row],[Product Code]],tblProducts[Code],tblProducts[Unit Cost],0)</f>
        <v>792000</v>
      </c>
      <c r="O5055" s="4" t="s">
        <v>4866</v>
      </c>
      <c r="P5055" s="4" t="s">
        <v>4860</v>
      </c>
      <c r="Q5055" s="1" t="str">
        <f>_xlfn.XLOOKUP(tblSales[[#This Row],[Channel Code]],tblChannels[Channel Code],tblChannels[Channel Name],"")</f>
        <v>In-store</v>
      </c>
      <c r="R5055" s="1">
        <f>MONTH(tblSales[[#This Row],[Date]])</f>
        <v>11</v>
      </c>
    </row>
    <row r="5056" spans="2:18" x14ac:dyDescent="0.35">
      <c r="B5056" s="113">
        <v>46330</v>
      </c>
      <c r="C5056" s="4" t="s">
        <v>3454</v>
      </c>
      <c r="D5056" s="4" t="s">
        <v>4568</v>
      </c>
      <c r="E5056" s="1" t="str">
        <f>_xlfn.XLOOKUP(tblSales[[#This Row],[Customer ID]],tblCustomers[Customer ID],tblCustomers[Customer Name],"⚠ Unknown")</f>
        <v>Walk-in Customer</v>
      </c>
      <c r="F5056" s="4" t="s">
        <v>10</v>
      </c>
      <c r="G5056" s="1" t="str">
        <f>_xlfn.XLOOKUP(tblSales[[#This Row],[Product Code]],tblProducts[Code],tblProducts[Product / Service Name],"⚠ Unknown")</f>
        <v>Chino Pants</v>
      </c>
      <c r="H5056" s="1" t="str">
        <f>_xlfn.XLOOKUP(tblSales[[#This Row],[Product Code]],tblProducts[Code],tblProducts[Category],"")</f>
        <v>Apparel &amp; Footwear</v>
      </c>
      <c r="I5056" s="4">
        <v>6</v>
      </c>
      <c r="J5056" s="5">
        <f>_xlfn.XLOOKUP(tblSales[[#This Row],[Product Code]],tblProducts[Code],tblProducts[Selling Price (excl. VAT)],0)</f>
        <v>150000</v>
      </c>
      <c r="K5056" s="5">
        <f>tblSales[[#This Row],[Qty]]*tblSales[[#This Row],[Unit Price]]</f>
        <v>900000</v>
      </c>
      <c r="L5056" s="5">
        <f>ROUND(tblSales[[#This Row],[DPP (excl. VAT)]]*VATEff,0)</f>
        <v>99000</v>
      </c>
      <c r="M5056" s="5">
        <f>tblSales[[#This Row],[DPP (excl. VAT)]]+tblSales[[#This Row],[Output VAT]]</f>
        <v>999000</v>
      </c>
      <c r="N5056" s="5">
        <f>tblSales[[#This Row],[Qty]]*_xlfn.XLOOKUP(tblSales[[#This Row],[Product Code]],tblProducts[Code],tblProducts[Unit Cost],0)</f>
        <v>528000</v>
      </c>
      <c r="O5056" s="4" t="s">
        <v>4866</v>
      </c>
      <c r="P5056" s="4" t="s">
        <v>4861</v>
      </c>
      <c r="Q5056" s="1" t="str">
        <f>_xlfn.XLOOKUP(tblSales[[#This Row],[Channel Code]],tblChannels[Channel Code],tblChannels[Channel Name],"")</f>
        <v>Marketplace</v>
      </c>
      <c r="R5056" s="1">
        <f>MONTH(tblSales[[#This Row],[Date]])</f>
        <v>11</v>
      </c>
    </row>
    <row r="5057" spans="2:18" x14ac:dyDescent="0.35">
      <c r="B5057" s="113">
        <v>46330</v>
      </c>
      <c r="C5057" s="4" t="s">
        <v>3455</v>
      </c>
      <c r="D5057" s="4" t="s">
        <v>4568</v>
      </c>
      <c r="E5057" s="1" t="str">
        <f>_xlfn.XLOOKUP(tblSales[[#This Row],[Customer ID]],tblCustomers[Customer ID],tblCustomers[Customer Name],"⚠ Unknown")</f>
        <v>Walk-in Customer</v>
      </c>
      <c r="F5057" s="4" t="s">
        <v>8</v>
      </c>
      <c r="G5057" s="1" t="str">
        <f>_xlfn.XLOOKUP(tblSales[[#This Row],[Product Code]],tblProducts[Code],tblProducts[Product / Service Name],"⚠ Unknown")</f>
        <v>Casual Shorts</v>
      </c>
      <c r="H5057" s="1" t="str">
        <f>_xlfn.XLOOKUP(tblSales[[#This Row],[Product Code]],tblProducts[Code],tblProducts[Category],"")</f>
        <v>Accessories &amp; Basics</v>
      </c>
      <c r="I5057" s="4">
        <v>6</v>
      </c>
      <c r="J5057" s="5">
        <f>_xlfn.XLOOKUP(tblSales[[#This Row],[Product Code]],tblProducts[Code],tblProducts[Selling Price (excl. VAT)],0)</f>
        <v>85000</v>
      </c>
      <c r="K5057" s="5">
        <f>tblSales[[#This Row],[Qty]]*tblSales[[#This Row],[Unit Price]]</f>
        <v>510000</v>
      </c>
      <c r="L5057" s="5">
        <f>ROUND(tblSales[[#This Row],[DPP (excl. VAT)]]*VATEff,0)</f>
        <v>56100</v>
      </c>
      <c r="M5057" s="5">
        <f>tblSales[[#This Row],[DPP (excl. VAT)]]+tblSales[[#This Row],[Output VAT]]</f>
        <v>566100</v>
      </c>
      <c r="N5057" s="5">
        <f>tblSales[[#This Row],[Qty]]*_xlfn.XLOOKUP(tblSales[[#This Row],[Product Code]],tblProducts[Code],tblProducts[Unit Cost],0)</f>
        <v>300000</v>
      </c>
      <c r="O5057" s="4" t="s">
        <v>4866</v>
      </c>
      <c r="P5057" s="4" t="s">
        <v>4861</v>
      </c>
      <c r="Q5057" s="1" t="str">
        <f>_xlfn.XLOOKUP(tblSales[[#This Row],[Channel Code]],tblChannels[Channel Code],tblChannels[Channel Name],"")</f>
        <v>Marketplace</v>
      </c>
      <c r="R5057" s="1">
        <f>MONTH(tblSales[[#This Row],[Date]])</f>
        <v>11</v>
      </c>
    </row>
    <row r="5058" spans="2:18" x14ac:dyDescent="0.35">
      <c r="B5058" s="113">
        <v>46330</v>
      </c>
      <c r="C5058" s="4" t="s">
        <v>3456</v>
      </c>
      <c r="D5058" s="4" t="s">
        <v>4568</v>
      </c>
      <c r="E5058" s="1" t="str">
        <f>_xlfn.XLOOKUP(tblSales[[#This Row],[Customer ID]],tblCustomers[Customer ID],tblCustomers[Customer Name],"⚠ Unknown")</f>
        <v>Walk-in Customer</v>
      </c>
      <c r="F5058" s="4" t="s">
        <v>13</v>
      </c>
      <c r="G5058" s="1" t="str">
        <f>_xlfn.XLOOKUP(tblSales[[#This Row],[Product Code]],tblProducts[Code],tblProducts[Product / Service Name],"⚠ Unknown")</f>
        <v>Backpack</v>
      </c>
      <c r="H5058" s="1" t="str">
        <f>_xlfn.XLOOKUP(tblSales[[#This Row],[Product Code]],tblProducts[Code],tblProducts[Category],"")</f>
        <v>Bags &amp; Gadgets</v>
      </c>
      <c r="I5058" s="4">
        <v>4</v>
      </c>
      <c r="J5058" s="5">
        <f>_xlfn.XLOOKUP(tblSales[[#This Row],[Product Code]],tblProducts[Code],tblProducts[Selling Price (excl. VAT)],0)</f>
        <v>500000</v>
      </c>
      <c r="K5058" s="5">
        <f>tblSales[[#This Row],[Qty]]*tblSales[[#This Row],[Unit Price]]</f>
        <v>2000000</v>
      </c>
      <c r="L5058" s="5">
        <f>ROUND(tblSales[[#This Row],[DPP (excl. VAT)]]*VATEff,0)</f>
        <v>220000</v>
      </c>
      <c r="M5058" s="5">
        <f>tblSales[[#This Row],[DPP (excl. VAT)]]+tblSales[[#This Row],[Output VAT]]</f>
        <v>2220000</v>
      </c>
      <c r="N5058" s="5">
        <f>tblSales[[#This Row],[Qty]]*_xlfn.XLOOKUP(tblSales[[#This Row],[Product Code]],tblProducts[Code],tblProducts[Unit Cost],0)</f>
        <v>1160000</v>
      </c>
      <c r="O5058" s="4" t="s">
        <v>4865</v>
      </c>
      <c r="P5058" s="4" t="s">
        <v>4860</v>
      </c>
      <c r="Q5058" s="1" t="str">
        <f>_xlfn.XLOOKUP(tblSales[[#This Row],[Channel Code]],tblChannels[Channel Code],tblChannels[Channel Name],"")</f>
        <v>In-store</v>
      </c>
      <c r="R5058" s="1">
        <f>MONTH(tblSales[[#This Row],[Date]])</f>
        <v>11</v>
      </c>
    </row>
    <row r="5059" spans="2:18" x14ac:dyDescent="0.35">
      <c r="B5059" s="113">
        <v>46330</v>
      </c>
      <c r="C5059" s="4" t="s">
        <v>3457</v>
      </c>
      <c r="D5059" s="4" t="s">
        <v>4593</v>
      </c>
      <c r="E5059" s="1" t="str">
        <f>_xlfn.XLOOKUP(tblSales[[#This Row],[Customer ID]],tblCustomers[Customer ID],tblCustomers[Customer Name],"⚠ Unknown")</f>
        <v>PT Graha Nusa Persada</v>
      </c>
      <c r="F5059" s="4" t="s">
        <v>9</v>
      </c>
      <c r="G5059" s="1" t="str">
        <f>_xlfn.XLOOKUP(tblSales[[#This Row],[Product Code]],tblProducts[Code],tblProducts[Product / Service Name],"⚠ Unknown")</f>
        <v>Casual Shirt</v>
      </c>
      <c r="H5059" s="1" t="str">
        <f>_xlfn.XLOOKUP(tblSales[[#This Row],[Product Code]],tblProducts[Code],tblProducts[Category],"")</f>
        <v>Apparel &amp; Footwear</v>
      </c>
      <c r="I5059" s="4">
        <v>16</v>
      </c>
      <c r="J5059" s="5">
        <f>_xlfn.XLOOKUP(tblSales[[#This Row],[Product Code]],tblProducts[Code],tblProducts[Selling Price (excl. VAT)],0)</f>
        <v>120000</v>
      </c>
      <c r="K5059" s="5">
        <f>tblSales[[#This Row],[Qty]]*tblSales[[#This Row],[Unit Price]]</f>
        <v>1920000</v>
      </c>
      <c r="L5059" s="5">
        <f>ROUND(tblSales[[#This Row],[DPP (excl. VAT)]]*VATEff,0)</f>
        <v>211200</v>
      </c>
      <c r="M5059" s="5">
        <f>tblSales[[#This Row],[DPP (excl. VAT)]]+tblSales[[#This Row],[Output VAT]]</f>
        <v>2131200</v>
      </c>
      <c r="N5059" s="5">
        <f>tblSales[[#This Row],[Qty]]*_xlfn.XLOOKUP(tblSales[[#This Row],[Product Code]],tblProducts[Code],tblProducts[Unit Cost],0)</f>
        <v>1152000</v>
      </c>
      <c r="O5059" s="4" t="s">
        <v>4867</v>
      </c>
      <c r="P5059" s="4" t="s">
        <v>4860</v>
      </c>
      <c r="Q5059" s="1" t="str">
        <f>_xlfn.XLOOKUP(tblSales[[#This Row],[Channel Code]],tblChannels[Channel Code],tblChannels[Channel Name],"")</f>
        <v>In-store</v>
      </c>
      <c r="R5059" s="1">
        <f>MONTH(tblSales[[#This Row],[Date]])</f>
        <v>11</v>
      </c>
    </row>
    <row r="5060" spans="2:18" x14ac:dyDescent="0.35">
      <c r="B5060" s="113">
        <v>46330</v>
      </c>
      <c r="C5060" s="4" t="s">
        <v>3458</v>
      </c>
      <c r="D5060" s="4" t="s">
        <v>4568</v>
      </c>
      <c r="E5060" s="1" t="str">
        <f>_xlfn.XLOOKUP(tblSales[[#This Row],[Customer ID]],tblCustomers[Customer ID],tblCustomers[Customer Name],"⚠ Unknown")</f>
        <v>Walk-in Customer</v>
      </c>
      <c r="F5060" s="4" t="s">
        <v>8</v>
      </c>
      <c r="G5060" s="1" t="str">
        <f>_xlfn.XLOOKUP(tblSales[[#This Row],[Product Code]],tblProducts[Code],tblProducts[Product / Service Name],"⚠ Unknown")</f>
        <v>Casual Shorts</v>
      </c>
      <c r="H5060" s="1" t="str">
        <f>_xlfn.XLOOKUP(tblSales[[#This Row],[Product Code]],tblProducts[Code],tblProducts[Category],"")</f>
        <v>Accessories &amp; Basics</v>
      </c>
      <c r="I5060" s="4">
        <v>3</v>
      </c>
      <c r="J5060" s="5">
        <f>_xlfn.XLOOKUP(tblSales[[#This Row],[Product Code]],tblProducts[Code],tblProducts[Selling Price (excl. VAT)],0)</f>
        <v>85000</v>
      </c>
      <c r="K5060" s="5">
        <f>tblSales[[#This Row],[Qty]]*tblSales[[#This Row],[Unit Price]]</f>
        <v>255000</v>
      </c>
      <c r="L5060" s="5">
        <f>ROUND(tblSales[[#This Row],[DPP (excl. VAT)]]*VATEff,0)</f>
        <v>28050</v>
      </c>
      <c r="M5060" s="5">
        <f>tblSales[[#This Row],[DPP (excl. VAT)]]+tblSales[[#This Row],[Output VAT]]</f>
        <v>283050</v>
      </c>
      <c r="N5060" s="5">
        <f>tblSales[[#This Row],[Qty]]*_xlfn.XLOOKUP(tblSales[[#This Row],[Product Code]],tblProducts[Code],tblProducts[Unit Cost],0)</f>
        <v>150000</v>
      </c>
      <c r="O5060" s="4" t="s">
        <v>4866</v>
      </c>
      <c r="P5060" s="4" t="s">
        <v>4860</v>
      </c>
      <c r="Q5060" s="1" t="str">
        <f>_xlfn.XLOOKUP(tblSales[[#This Row],[Channel Code]],tblChannels[Channel Code],tblChannels[Channel Name],"")</f>
        <v>In-store</v>
      </c>
      <c r="R5060" s="1">
        <f>MONTH(tblSales[[#This Row],[Date]])</f>
        <v>11</v>
      </c>
    </row>
    <row r="5061" spans="2:18" x14ac:dyDescent="0.35">
      <c r="B5061" s="113">
        <v>46330</v>
      </c>
      <c r="C5061" s="4" t="s">
        <v>3459</v>
      </c>
      <c r="D5061" s="4" t="s">
        <v>4568</v>
      </c>
      <c r="E5061" s="1" t="str">
        <f>_xlfn.XLOOKUP(tblSales[[#This Row],[Customer ID]],tblCustomers[Customer ID],tblCustomers[Customer Name],"⚠ Unknown")</f>
        <v>Walk-in Customer</v>
      </c>
      <c r="F5061" s="4" t="s">
        <v>8</v>
      </c>
      <c r="G5061" s="1" t="str">
        <f>_xlfn.XLOOKUP(tblSales[[#This Row],[Product Code]],tblProducts[Code],tblProducts[Product / Service Name],"⚠ Unknown")</f>
        <v>Casual Shorts</v>
      </c>
      <c r="H5061" s="1" t="str">
        <f>_xlfn.XLOOKUP(tblSales[[#This Row],[Product Code]],tblProducts[Code],tblProducts[Category],"")</f>
        <v>Accessories &amp; Basics</v>
      </c>
      <c r="I5061" s="4">
        <v>4</v>
      </c>
      <c r="J5061" s="5">
        <f>_xlfn.XLOOKUP(tblSales[[#This Row],[Product Code]],tblProducts[Code],tblProducts[Selling Price (excl. VAT)],0)</f>
        <v>85000</v>
      </c>
      <c r="K5061" s="5">
        <f>tblSales[[#This Row],[Qty]]*tblSales[[#This Row],[Unit Price]]</f>
        <v>340000</v>
      </c>
      <c r="L5061" s="5">
        <f>ROUND(tblSales[[#This Row],[DPP (excl. VAT)]]*VATEff,0)</f>
        <v>37400</v>
      </c>
      <c r="M5061" s="5">
        <f>tblSales[[#This Row],[DPP (excl. VAT)]]+tblSales[[#This Row],[Output VAT]]</f>
        <v>377400</v>
      </c>
      <c r="N5061" s="5">
        <f>tblSales[[#This Row],[Qty]]*_xlfn.XLOOKUP(tblSales[[#This Row],[Product Code]],tblProducts[Code],tblProducts[Unit Cost],0)</f>
        <v>200000</v>
      </c>
      <c r="O5061" s="4" t="s">
        <v>4865</v>
      </c>
      <c r="P5061" s="4" t="s">
        <v>4860</v>
      </c>
      <c r="Q5061" s="1" t="str">
        <f>_xlfn.XLOOKUP(tblSales[[#This Row],[Channel Code]],tblChannels[Channel Code],tblChannels[Channel Name],"")</f>
        <v>In-store</v>
      </c>
      <c r="R5061" s="1">
        <f>MONTH(tblSales[[#This Row],[Date]])</f>
        <v>11</v>
      </c>
    </row>
    <row r="5062" spans="2:18" x14ac:dyDescent="0.35">
      <c r="B5062" s="113">
        <v>46330</v>
      </c>
      <c r="C5062" s="4" t="s">
        <v>3460</v>
      </c>
      <c r="D5062" s="4" t="s">
        <v>4578</v>
      </c>
      <c r="E5062" s="1" t="str">
        <f>_xlfn.XLOOKUP(tblSales[[#This Row],[Customer ID]],tblCustomers[Customer ID],tblCustomers[Customer Name],"⚠ Unknown")</f>
        <v>PT Bintang Timur Sejahtera</v>
      </c>
      <c r="F5062" s="4" t="s">
        <v>13</v>
      </c>
      <c r="G5062" s="1" t="str">
        <f>_xlfn.XLOOKUP(tblSales[[#This Row],[Product Code]],tblProducts[Code],tblProducts[Product / Service Name],"⚠ Unknown")</f>
        <v>Backpack</v>
      </c>
      <c r="H5062" s="1" t="str">
        <f>_xlfn.XLOOKUP(tblSales[[#This Row],[Product Code]],tblProducts[Code],tblProducts[Category],"")</f>
        <v>Bags &amp; Gadgets</v>
      </c>
      <c r="I5062" s="4">
        <v>48</v>
      </c>
      <c r="J5062" s="5">
        <f>_xlfn.XLOOKUP(tblSales[[#This Row],[Product Code]],tblProducts[Code],tblProducts[Selling Price (excl. VAT)],0)</f>
        <v>500000</v>
      </c>
      <c r="K5062" s="5">
        <f>tblSales[[#This Row],[Qty]]*tblSales[[#This Row],[Unit Price]]</f>
        <v>24000000</v>
      </c>
      <c r="L5062" s="5">
        <f>ROUND(tblSales[[#This Row],[DPP (excl. VAT)]]*VATEff,0)</f>
        <v>2640000</v>
      </c>
      <c r="M5062" s="5">
        <f>tblSales[[#This Row],[DPP (excl. VAT)]]+tblSales[[#This Row],[Output VAT]]</f>
        <v>26640000</v>
      </c>
      <c r="N5062" s="5">
        <f>tblSales[[#This Row],[Qty]]*_xlfn.XLOOKUP(tblSales[[#This Row],[Product Code]],tblProducts[Code],tblProducts[Unit Cost],0)</f>
        <v>13920000</v>
      </c>
      <c r="O5062" s="4" t="s">
        <v>4867</v>
      </c>
      <c r="P5062" s="4" t="s">
        <v>4860</v>
      </c>
      <c r="Q5062" s="1" t="str">
        <f>_xlfn.XLOOKUP(tblSales[[#This Row],[Channel Code]],tblChannels[Channel Code],tblChannels[Channel Name],"")</f>
        <v>In-store</v>
      </c>
      <c r="R5062" s="1">
        <f>MONTH(tblSales[[#This Row],[Date]])</f>
        <v>11</v>
      </c>
    </row>
    <row r="5063" spans="2:18" x14ac:dyDescent="0.35">
      <c r="B5063" s="113">
        <v>46330</v>
      </c>
      <c r="C5063" s="4" t="s">
        <v>3461</v>
      </c>
      <c r="D5063" s="4" t="s">
        <v>4568</v>
      </c>
      <c r="E5063" s="1" t="str">
        <f>_xlfn.XLOOKUP(tblSales[[#This Row],[Customer ID]],tblCustomers[Customer ID],tblCustomers[Customer Name],"⚠ Unknown")</f>
        <v>Walk-in Customer</v>
      </c>
      <c r="F5063" s="4" t="s">
        <v>8</v>
      </c>
      <c r="G5063" s="1" t="str">
        <f>_xlfn.XLOOKUP(tblSales[[#This Row],[Product Code]],tblProducts[Code],tblProducts[Product / Service Name],"⚠ Unknown")</f>
        <v>Casual Shorts</v>
      </c>
      <c r="H5063" s="1" t="str">
        <f>_xlfn.XLOOKUP(tblSales[[#This Row],[Product Code]],tblProducts[Code],tblProducts[Category],"")</f>
        <v>Accessories &amp; Basics</v>
      </c>
      <c r="I5063" s="4">
        <v>9</v>
      </c>
      <c r="J5063" s="5">
        <f>_xlfn.XLOOKUP(tblSales[[#This Row],[Product Code]],tblProducts[Code],tblProducts[Selling Price (excl. VAT)],0)</f>
        <v>85000</v>
      </c>
      <c r="K5063" s="5">
        <f>tblSales[[#This Row],[Qty]]*tblSales[[#This Row],[Unit Price]]</f>
        <v>765000</v>
      </c>
      <c r="L5063" s="5">
        <f>ROUND(tblSales[[#This Row],[DPP (excl. VAT)]]*VATEff,0)</f>
        <v>84150</v>
      </c>
      <c r="M5063" s="5">
        <f>tblSales[[#This Row],[DPP (excl. VAT)]]+tblSales[[#This Row],[Output VAT]]</f>
        <v>849150</v>
      </c>
      <c r="N5063" s="5">
        <f>tblSales[[#This Row],[Qty]]*_xlfn.XLOOKUP(tblSales[[#This Row],[Product Code]],tblProducts[Code],tblProducts[Unit Cost],0)</f>
        <v>450000</v>
      </c>
      <c r="O5063" s="4" t="s">
        <v>4866</v>
      </c>
      <c r="P5063" s="4" t="s">
        <v>4860</v>
      </c>
      <c r="Q5063" s="1" t="str">
        <f>_xlfn.XLOOKUP(tblSales[[#This Row],[Channel Code]],tblChannels[Channel Code],tblChannels[Channel Name],"")</f>
        <v>In-store</v>
      </c>
      <c r="R5063" s="1">
        <f>MONTH(tblSales[[#This Row],[Date]])</f>
        <v>11</v>
      </c>
    </row>
    <row r="5064" spans="2:18" x14ac:dyDescent="0.35">
      <c r="B5064" s="113">
        <v>46330</v>
      </c>
      <c r="C5064" s="4" t="s">
        <v>3461</v>
      </c>
      <c r="D5064" s="4" t="s">
        <v>4568</v>
      </c>
      <c r="E5064" s="1" t="str">
        <f>_xlfn.XLOOKUP(tblSales[[#This Row],[Customer ID]],tblCustomers[Customer ID],tblCustomers[Customer Name],"⚠ Unknown")</f>
        <v>Walk-in Customer</v>
      </c>
      <c r="F5064" s="4" t="s">
        <v>6</v>
      </c>
      <c r="G5064" s="1" t="str">
        <f>_xlfn.XLOOKUP(tblSales[[#This Row],[Product Code]],tblProducts[Code],tblProducts[Product / Service Name],"⚠ Unknown")</f>
        <v>Socks &amp; Accessories</v>
      </c>
      <c r="H5064" s="1" t="str">
        <f>_xlfn.XLOOKUP(tblSales[[#This Row],[Product Code]],tblProducts[Code],tblProducts[Category],"")</f>
        <v>Accessories &amp; Basics</v>
      </c>
      <c r="I5064" s="4">
        <v>5</v>
      </c>
      <c r="J5064" s="5">
        <f>_xlfn.XLOOKUP(tblSales[[#This Row],[Product Code]],tblProducts[Code],tblProducts[Selling Price (excl. VAT)],0)</f>
        <v>45000</v>
      </c>
      <c r="K5064" s="5">
        <f>tblSales[[#This Row],[Qty]]*tblSales[[#This Row],[Unit Price]]</f>
        <v>225000</v>
      </c>
      <c r="L5064" s="5">
        <f>ROUND(tblSales[[#This Row],[DPP (excl. VAT)]]*VATEff,0)</f>
        <v>24750</v>
      </c>
      <c r="M5064" s="5">
        <f>tblSales[[#This Row],[DPP (excl. VAT)]]+tblSales[[#This Row],[Output VAT]]</f>
        <v>249750</v>
      </c>
      <c r="N5064" s="5">
        <f>tblSales[[#This Row],[Qty]]*_xlfn.XLOOKUP(tblSales[[#This Row],[Product Code]],tblProducts[Code],tblProducts[Unit Cost],0)</f>
        <v>120000</v>
      </c>
      <c r="O5064" s="4" t="s">
        <v>4866</v>
      </c>
      <c r="P5064" s="4" t="s">
        <v>4860</v>
      </c>
      <c r="Q5064" s="1" t="str">
        <f>_xlfn.XLOOKUP(tblSales[[#This Row],[Channel Code]],tblChannels[Channel Code],tblChannels[Channel Name],"")</f>
        <v>In-store</v>
      </c>
      <c r="R5064" s="1">
        <f>MONTH(tblSales[[#This Row],[Date]])</f>
        <v>11</v>
      </c>
    </row>
    <row r="5065" spans="2:18" x14ac:dyDescent="0.35">
      <c r="B5065" s="113">
        <v>46330</v>
      </c>
      <c r="C5065" s="4" t="s">
        <v>3461</v>
      </c>
      <c r="D5065" s="4" t="s">
        <v>4568</v>
      </c>
      <c r="E5065" s="1" t="str">
        <f>_xlfn.XLOOKUP(tblSales[[#This Row],[Customer ID]],tblCustomers[Customer ID],tblCustomers[Customer Name],"⚠ Unknown")</f>
        <v>Walk-in Customer</v>
      </c>
      <c r="F5065" s="4" t="s">
        <v>11</v>
      </c>
      <c r="G5065" s="1" t="str">
        <f>_xlfn.XLOOKUP(tblSales[[#This Row],[Product Code]],tblProducts[Code],tblProducts[Product / Service Name],"⚠ Unknown")</f>
        <v>Sneakers</v>
      </c>
      <c r="H5065" s="1" t="str">
        <f>_xlfn.XLOOKUP(tblSales[[#This Row],[Product Code]],tblProducts[Code],tblProducts[Category],"")</f>
        <v>Apparel &amp; Footwear</v>
      </c>
      <c r="I5065" s="4">
        <v>2</v>
      </c>
      <c r="J5065" s="5">
        <f>_xlfn.XLOOKUP(tblSales[[#This Row],[Product Code]],tblProducts[Code],tblProducts[Selling Price (excl. VAT)],0)</f>
        <v>250000</v>
      </c>
      <c r="K5065" s="5">
        <f>tblSales[[#This Row],[Qty]]*tblSales[[#This Row],[Unit Price]]</f>
        <v>500000</v>
      </c>
      <c r="L5065" s="5">
        <f>ROUND(tblSales[[#This Row],[DPP (excl. VAT)]]*VATEff,0)</f>
        <v>55000</v>
      </c>
      <c r="M5065" s="5">
        <f>tblSales[[#This Row],[DPP (excl. VAT)]]+tblSales[[#This Row],[Output VAT]]</f>
        <v>555000</v>
      </c>
      <c r="N5065" s="5">
        <f>tblSales[[#This Row],[Qty]]*_xlfn.XLOOKUP(tblSales[[#This Row],[Product Code]],tblProducts[Code],tblProducts[Unit Cost],0)</f>
        <v>310000</v>
      </c>
      <c r="O5065" s="4" t="s">
        <v>4866</v>
      </c>
      <c r="P5065" s="4" t="s">
        <v>4860</v>
      </c>
      <c r="Q5065" s="1" t="str">
        <f>_xlfn.XLOOKUP(tblSales[[#This Row],[Channel Code]],tblChannels[Channel Code],tblChannels[Channel Name],"")</f>
        <v>In-store</v>
      </c>
      <c r="R5065" s="1">
        <f>MONTH(tblSales[[#This Row],[Date]])</f>
        <v>11</v>
      </c>
    </row>
    <row r="5066" spans="2:18" x14ac:dyDescent="0.35">
      <c r="B5066" s="113">
        <v>46330</v>
      </c>
      <c r="C5066" s="4" t="s">
        <v>3462</v>
      </c>
      <c r="D5066" s="4" t="s">
        <v>4568</v>
      </c>
      <c r="E5066" s="1" t="str">
        <f>_xlfn.XLOOKUP(tblSales[[#This Row],[Customer ID]],tblCustomers[Customer ID],tblCustomers[Customer Name],"⚠ Unknown")</f>
        <v>Walk-in Customer</v>
      </c>
      <c r="F5066" s="4" t="s">
        <v>8</v>
      </c>
      <c r="G5066" s="1" t="str">
        <f>_xlfn.XLOOKUP(tblSales[[#This Row],[Product Code]],tblProducts[Code],tblProducts[Product / Service Name],"⚠ Unknown")</f>
        <v>Casual Shorts</v>
      </c>
      <c r="H5066" s="1" t="str">
        <f>_xlfn.XLOOKUP(tblSales[[#This Row],[Product Code]],tblProducts[Code],tblProducts[Category],"")</f>
        <v>Accessories &amp; Basics</v>
      </c>
      <c r="I5066" s="4">
        <v>2</v>
      </c>
      <c r="J5066" s="5">
        <f>_xlfn.XLOOKUP(tblSales[[#This Row],[Product Code]],tblProducts[Code],tblProducts[Selling Price (excl. VAT)],0)</f>
        <v>85000</v>
      </c>
      <c r="K5066" s="5">
        <f>tblSales[[#This Row],[Qty]]*tblSales[[#This Row],[Unit Price]]</f>
        <v>170000</v>
      </c>
      <c r="L5066" s="5">
        <f>ROUND(tblSales[[#This Row],[DPP (excl. VAT)]]*VATEff,0)</f>
        <v>18700</v>
      </c>
      <c r="M5066" s="5">
        <f>tblSales[[#This Row],[DPP (excl. VAT)]]+tblSales[[#This Row],[Output VAT]]</f>
        <v>188700</v>
      </c>
      <c r="N5066" s="5">
        <f>tblSales[[#This Row],[Qty]]*_xlfn.XLOOKUP(tblSales[[#This Row],[Product Code]],tblProducts[Code],tblProducts[Unit Cost],0)</f>
        <v>100000</v>
      </c>
      <c r="O5066" s="4" t="s">
        <v>4865</v>
      </c>
      <c r="P5066" s="4" t="s">
        <v>4860</v>
      </c>
      <c r="Q5066" s="1" t="str">
        <f>_xlfn.XLOOKUP(tblSales[[#This Row],[Channel Code]],tblChannels[Channel Code],tblChannels[Channel Name],"")</f>
        <v>In-store</v>
      </c>
      <c r="R5066" s="1">
        <f>MONTH(tblSales[[#This Row],[Date]])</f>
        <v>11</v>
      </c>
    </row>
    <row r="5067" spans="2:18" x14ac:dyDescent="0.35">
      <c r="B5067" s="113">
        <v>46330</v>
      </c>
      <c r="C5067" s="4" t="s">
        <v>3463</v>
      </c>
      <c r="D5067" s="4" t="s">
        <v>4585</v>
      </c>
      <c r="E5067" s="1" t="str">
        <f>_xlfn.XLOOKUP(tblSales[[#This Row],[Customer ID]],tblCustomers[Customer ID],tblCustomers[Customer Name],"⚠ Unknown")</f>
        <v>CV Mitra Karya Mandiri</v>
      </c>
      <c r="F5067" s="4" t="s">
        <v>10</v>
      </c>
      <c r="G5067" s="1" t="str">
        <f>_xlfn.XLOOKUP(tblSales[[#This Row],[Product Code]],tblProducts[Code],tblProducts[Product / Service Name],"⚠ Unknown")</f>
        <v>Chino Pants</v>
      </c>
      <c r="H5067" s="1" t="str">
        <f>_xlfn.XLOOKUP(tblSales[[#This Row],[Product Code]],tblProducts[Code],tblProducts[Category],"")</f>
        <v>Apparel &amp; Footwear</v>
      </c>
      <c r="I5067" s="4">
        <v>80</v>
      </c>
      <c r="J5067" s="5">
        <f>_xlfn.XLOOKUP(tblSales[[#This Row],[Product Code]],tblProducts[Code],tblProducts[Selling Price (excl. VAT)],0)</f>
        <v>150000</v>
      </c>
      <c r="K5067" s="5">
        <f>tblSales[[#This Row],[Qty]]*tblSales[[#This Row],[Unit Price]]</f>
        <v>12000000</v>
      </c>
      <c r="L5067" s="5">
        <f>ROUND(tblSales[[#This Row],[DPP (excl. VAT)]]*VATEff,0)</f>
        <v>1320000</v>
      </c>
      <c r="M5067" s="5">
        <f>tblSales[[#This Row],[DPP (excl. VAT)]]+tblSales[[#This Row],[Output VAT]]</f>
        <v>13320000</v>
      </c>
      <c r="N5067" s="5">
        <f>tblSales[[#This Row],[Qty]]*_xlfn.XLOOKUP(tblSales[[#This Row],[Product Code]],tblProducts[Code],tblProducts[Unit Cost],0)</f>
        <v>7040000</v>
      </c>
      <c r="O5067" s="4" t="s">
        <v>4867</v>
      </c>
      <c r="P5067" s="4" t="s">
        <v>4860</v>
      </c>
      <c r="Q5067" s="1" t="str">
        <f>_xlfn.XLOOKUP(tblSales[[#This Row],[Channel Code]],tblChannels[Channel Code],tblChannels[Channel Name],"")</f>
        <v>In-store</v>
      </c>
      <c r="R5067" s="1">
        <f>MONTH(tblSales[[#This Row],[Date]])</f>
        <v>11</v>
      </c>
    </row>
    <row r="5068" spans="2:18" x14ac:dyDescent="0.35">
      <c r="B5068" s="113">
        <v>46331</v>
      </c>
      <c r="C5068" s="4" t="s">
        <v>3464</v>
      </c>
      <c r="D5068" s="4" t="s">
        <v>4568</v>
      </c>
      <c r="E5068" s="1" t="str">
        <f>_xlfn.XLOOKUP(tblSales[[#This Row],[Customer ID]],tblCustomers[Customer ID],tblCustomers[Customer Name],"⚠ Unknown")</f>
        <v>Walk-in Customer</v>
      </c>
      <c r="F5068" s="4" t="s">
        <v>9</v>
      </c>
      <c r="G5068" s="1" t="str">
        <f>_xlfn.XLOOKUP(tblSales[[#This Row],[Product Code]],tblProducts[Code],tblProducts[Product / Service Name],"⚠ Unknown")</f>
        <v>Casual Shirt</v>
      </c>
      <c r="H5068" s="1" t="str">
        <f>_xlfn.XLOOKUP(tblSales[[#This Row],[Product Code]],tblProducts[Code],tblProducts[Category],"")</f>
        <v>Apparel &amp; Footwear</v>
      </c>
      <c r="I5068" s="4">
        <v>5</v>
      </c>
      <c r="J5068" s="5">
        <f>_xlfn.XLOOKUP(tblSales[[#This Row],[Product Code]],tblProducts[Code],tblProducts[Selling Price (excl. VAT)],0)</f>
        <v>120000</v>
      </c>
      <c r="K5068" s="5">
        <f>tblSales[[#This Row],[Qty]]*tblSales[[#This Row],[Unit Price]]</f>
        <v>600000</v>
      </c>
      <c r="L5068" s="5">
        <f>ROUND(tblSales[[#This Row],[DPP (excl. VAT)]]*VATEff,0)</f>
        <v>66000</v>
      </c>
      <c r="M5068" s="5">
        <f>tblSales[[#This Row],[DPP (excl. VAT)]]+tblSales[[#This Row],[Output VAT]]</f>
        <v>666000</v>
      </c>
      <c r="N5068" s="5">
        <f>tblSales[[#This Row],[Qty]]*_xlfn.XLOOKUP(tblSales[[#This Row],[Product Code]],tblProducts[Code],tblProducts[Unit Cost],0)</f>
        <v>360000</v>
      </c>
      <c r="O5068" s="4" t="s">
        <v>4865</v>
      </c>
      <c r="P5068" s="4" t="s">
        <v>4860</v>
      </c>
      <c r="Q5068" s="1" t="str">
        <f>_xlfn.XLOOKUP(tblSales[[#This Row],[Channel Code]],tblChannels[Channel Code],tblChannels[Channel Name],"")</f>
        <v>In-store</v>
      </c>
      <c r="R5068" s="1">
        <f>MONTH(tblSales[[#This Row],[Date]])</f>
        <v>11</v>
      </c>
    </row>
    <row r="5069" spans="2:18" x14ac:dyDescent="0.35">
      <c r="B5069" s="113">
        <v>46331</v>
      </c>
      <c r="C5069" s="4" t="s">
        <v>3465</v>
      </c>
      <c r="D5069" s="4" t="s">
        <v>4568</v>
      </c>
      <c r="E5069" s="1" t="str">
        <f>_xlfn.XLOOKUP(tblSales[[#This Row],[Customer ID]],tblCustomers[Customer ID],tblCustomers[Customer Name],"⚠ Unknown")</f>
        <v>Walk-in Customer</v>
      </c>
      <c r="F5069" s="4" t="s">
        <v>14</v>
      </c>
      <c r="G5069" s="1" t="str">
        <f>_xlfn.XLOOKUP(tblSales[[#This Row],[Product Code]],tblProducts[Code],tblProducts[Product / Service Name],"⚠ Unknown")</f>
        <v>Smartwatch</v>
      </c>
      <c r="H5069" s="1" t="str">
        <f>_xlfn.XLOOKUP(tblSales[[#This Row],[Product Code]],tblProducts[Code],tblProducts[Category],"")</f>
        <v>Bags &amp; Gadgets</v>
      </c>
      <c r="I5069" s="4">
        <v>1</v>
      </c>
      <c r="J5069" s="5">
        <f>_xlfn.XLOOKUP(tblSales[[#This Row],[Product Code]],tblProducts[Code],tblProducts[Selling Price (excl. VAT)],0)</f>
        <v>850000</v>
      </c>
      <c r="K5069" s="5">
        <f>tblSales[[#This Row],[Qty]]*tblSales[[#This Row],[Unit Price]]</f>
        <v>850000</v>
      </c>
      <c r="L5069" s="5">
        <f>ROUND(tblSales[[#This Row],[DPP (excl. VAT)]]*VATEff,0)</f>
        <v>93500</v>
      </c>
      <c r="M5069" s="5">
        <f>tblSales[[#This Row],[DPP (excl. VAT)]]+tblSales[[#This Row],[Output VAT]]</f>
        <v>943500</v>
      </c>
      <c r="N5069" s="5">
        <f>tblSales[[#This Row],[Qty]]*_xlfn.XLOOKUP(tblSales[[#This Row],[Product Code]],tblProducts[Code],tblProducts[Unit Cost],0)</f>
        <v>560000</v>
      </c>
      <c r="O5069" s="4" t="s">
        <v>4865</v>
      </c>
      <c r="P5069" s="4" t="s">
        <v>4860</v>
      </c>
      <c r="Q5069" s="1" t="str">
        <f>_xlfn.XLOOKUP(tblSales[[#This Row],[Channel Code]],tblChannels[Channel Code],tblChannels[Channel Name],"")</f>
        <v>In-store</v>
      </c>
      <c r="R5069" s="1">
        <f>MONTH(tblSales[[#This Row],[Date]])</f>
        <v>11</v>
      </c>
    </row>
    <row r="5070" spans="2:18" x14ac:dyDescent="0.35">
      <c r="B5070" s="113">
        <v>46331</v>
      </c>
      <c r="C5070" s="4" t="s">
        <v>3465</v>
      </c>
      <c r="D5070" s="4" t="s">
        <v>4568</v>
      </c>
      <c r="E5070" s="1" t="str">
        <f>_xlfn.XLOOKUP(tblSales[[#This Row],[Customer ID]],tblCustomers[Customer ID],tblCustomers[Customer Name],"⚠ Unknown")</f>
        <v>Walk-in Customer</v>
      </c>
      <c r="F5070" s="4" t="s">
        <v>6</v>
      </c>
      <c r="G5070" s="1" t="str">
        <f>_xlfn.XLOOKUP(tblSales[[#This Row],[Product Code]],tblProducts[Code],tblProducts[Product / Service Name],"⚠ Unknown")</f>
        <v>Socks &amp; Accessories</v>
      </c>
      <c r="H5070" s="1" t="str">
        <f>_xlfn.XLOOKUP(tblSales[[#This Row],[Product Code]],tblProducts[Code],tblProducts[Category],"")</f>
        <v>Accessories &amp; Basics</v>
      </c>
      <c r="I5070" s="4">
        <v>12</v>
      </c>
      <c r="J5070" s="5">
        <f>_xlfn.XLOOKUP(tblSales[[#This Row],[Product Code]],tblProducts[Code],tblProducts[Selling Price (excl. VAT)],0)</f>
        <v>45000</v>
      </c>
      <c r="K5070" s="5">
        <f>tblSales[[#This Row],[Qty]]*tblSales[[#This Row],[Unit Price]]</f>
        <v>540000</v>
      </c>
      <c r="L5070" s="5">
        <f>ROUND(tblSales[[#This Row],[DPP (excl. VAT)]]*VATEff,0)</f>
        <v>59400</v>
      </c>
      <c r="M5070" s="5">
        <f>tblSales[[#This Row],[DPP (excl. VAT)]]+tblSales[[#This Row],[Output VAT]]</f>
        <v>599400</v>
      </c>
      <c r="N5070" s="5">
        <f>tblSales[[#This Row],[Qty]]*_xlfn.XLOOKUP(tblSales[[#This Row],[Product Code]],tblProducts[Code],tblProducts[Unit Cost],0)</f>
        <v>288000</v>
      </c>
      <c r="O5070" s="4" t="s">
        <v>4865</v>
      </c>
      <c r="P5070" s="4" t="s">
        <v>4860</v>
      </c>
      <c r="Q5070" s="1" t="str">
        <f>_xlfn.XLOOKUP(tblSales[[#This Row],[Channel Code]],tblChannels[Channel Code],tblChannels[Channel Name],"")</f>
        <v>In-store</v>
      </c>
      <c r="R5070" s="1">
        <f>MONTH(tblSales[[#This Row],[Date]])</f>
        <v>11</v>
      </c>
    </row>
    <row r="5071" spans="2:18" x14ac:dyDescent="0.35">
      <c r="B5071" s="113">
        <v>46331</v>
      </c>
      <c r="C5071" s="4" t="s">
        <v>3465</v>
      </c>
      <c r="D5071" s="4" t="s">
        <v>4568</v>
      </c>
      <c r="E5071" s="1" t="str">
        <f>_xlfn.XLOOKUP(tblSales[[#This Row],[Customer ID]],tblCustomers[Customer ID],tblCustomers[Customer Name],"⚠ Unknown")</f>
        <v>Walk-in Customer</v>
      </c>
      <c r="F5071" s="4" t="s">
        <v>8</v>
      </c>
      <c r="G5071" s="1" t="str">
        <f>_xlfn.XLOOKUP(tblSales[[#This Row],[Product Code]],tblProducts[Code],tblProducts[Product / Service Name],"⚠ Unknown")</f>
        <v>Casual Shorts</v>
      </c>
      <c r="H5071" s="1" t="str">
        <f>_xlfn.XLOOKUP(tblSales[[#This Row],[Product Code]],tblProducts[Code],tblProducts[Category],"")</f>
        <v>Accessories &amp; Basics</v>
      </c>
      <c r="I5071" s="4">
        <v>10</v>
      </c>
      <c r="J5071" s="5">
        <f>_xlfn.XLOOKUP(tblSales[[#This Row],[Product Code]],tblProducts[Code],tblProducts[Selling Price (excl. VAT)],0)</f>
        <v>85000</v>
      </c>
      <c r="K5071" s="5">
        <f>tblSales[[#This Row],[Qty]]*tblSales[[#This Row],[Unit Price]]</f>
        <v>850000</v>
      </c>
      <c r="L5071" s="5">
        <f>ROUND(tblSales[[#This Row],[DPP (excl. VAT)]]*VATEff,0)</f>
        <v>93500</v>
      </c>
      <c r="M5071" s="5">
        <f>tblSales[[#This Row],[DPP (excl. VAT)]]+tblSales[[#This Row],[Output VAT]]</f>
        <v>943500</v>
      </c>
      <c r="N5071" s="5">
        <f>tblSales[[#This Row],[Qty]]*_xlfn.XLOOKUP(tblSales[[#This Row],[Product Code]],tblProducts[Code],tblProducts[Unit Cost],0)</f>
        <v>500000</v>
      </c>
      <c r="O5071" s="4" t="s">
        <v>4865</v>
      </c>
      <c r="P5071" s="4" t="s">
        <v>4860</v>
      </c>
      <c r="Q5071" s="1" t="str">
        <f>_xlfn.XLOOKUP(tblSales[[#This Row],[Channel Code]],tblChannels[Channel Code],tblChannels[Channel Name],"")</f>
        <v>In-store</v>
      </c>
      <c r="R5071" s="1">
        <f>MONTH(tblSales[[#This Row],[Date]])</f>
        <v>11</v>
      </c>
    </row>
    <row r="5072" spans="2:18" x14ac:dyDescent="0.35">
      <c r="B5072" s="113">
        <v>46331</v>
      </c>
      <c r="C5072" s="4" t="s">
        <v>3466</v>
      </c>
      <c r="D5072" s="4" t="s">
        <v>4568</v>
      </c>
      <c r="E5072" s="1" t="str">
        <f>_xlfn.XLOOKUP(tblSales[[#This Row],[Customer ID]],tblCustomers[Customer ID],tblCustomers[Customer Name],"⚠ Unknown")</f>
        <v>Walk-in Customer</v>
      </c>
      <c r="F5072" s="4" t="s">
        <v>14</v>
      </c>
      <c r="G5072" s="1" t="str">
        <f>_xlfn.XLOOKUP(tblSales[[#This Row],[Product Code]],tblProducts[Code],tblProducts[Product / Service Name],"⚠ Unknown")</f>
        <v>Smartwatch</v>
      </c>
      <c r="H5072" s="1" t="str">
        <f>_xlfn.XLOOKUP(tblSales[[#This Row],[Product Code]],tblProducts[Code],tblProducts[Category],"")</f>
        <v>Bags &amp; Gadgets</v>
      </c>
      <c r="I5072" s="4">
        <v>2</v>
      </c>
      <c r="J5072" s="5">
        <f>_xlfn.XLOOKUP(tblSales[[#This Row],[Product Code]],tblProducts[Code],tblProducts[Selling Price (excl. VAT)],0)</f>
        <v>850000</v>
      </c>
      <c r="K5072" s="5">
        <f>tblSales[[#This Row],[Qty]]*tblSales[[#This Row],[Unit Price]]</f>
        <v>1700000</v>
      </c>
      <c r="L5072" s="5">
        <f>ROUND(tblSales[[#This Row],[DPP (excl. VAT)]]*VATEff,0)</f>
        <v>187000</v>
      </c>
      <c r="M5072" s="5">
        <f>tblSales[[#This Row],[DPP (excl. VAT)]]+tblSales[[#This Row],[Output VAT]]</f>
        <v>1887000</v>
      </c>
      <c r="N5072" s="5">
        <f>tblSales[[#This Row],[Qty]]*_xlfn.XLOOKUP(tblSales[[#This Row],[Product Code]],tblProducts[Code],tblProducts[Unit Cost],0)</f>
        <v>1120000</v>
      </c>
      <c r="O5072" s="4" t="s">
        <v>4866</v>
      </c>
      <c r="P5072" s="4" t="s">
        <v>4860</v>
      </c>
      <c r="Q5072" s="1" t="str">
        <f>_xlfn.XLOOKUP(tblSales[[#This Row],[Channel Code]],tblChannels[Channel Code],tblChannels[Channel Name],"")</f>
        <v>In-store</v>
      </c>
      <c r="R5072" s="1">
        <f>MONTH(tblSales[[#This Row],[Date]])</f>
        <v>11</v>
      </c>
    </row>
    <row r="5073" spans="2:18" x14ac:dyDescent="0.35">
      <c r="B5073" s="113">
        <v>46331</v>
      </c>
      <c r="C5073" s="4" t="s">
        <v>3466</v>
      </c>
      <c r="D5073" s="4" t="s">
        <v>4568</v>
      </c>
      <c r="E5073" s="1" t="str">
        <f>_xlfn.XLOOKUP(tblSales[[#This Row],[Customer ID]],tblCustomers[Customer ID],tblCustomers[Customer Name],"⚠ Unknown")</f>
        <v>Walk-in Customer</v>
      </c>
      <c r="F5073" s="4" t="s">
        <v>9</v>
      </c>
      <c r="G5073" s="1" t="str">
        <f>_xlfn.XLOOKUP(tblSales[[#This Row],[Product Code]],tblProducts[Code],tblProducts[Product / Service Name],"⚠ Unknown")</f>
        <v>Casual Shirt</v>
      </c>
      <c r="H5073" s="1" t="str">
        <f>_xlfn.XLOOKUP(tblSales[[#This Row],[Product Code]],tblProducts[Code],tblProducts[Category],"")</f>
        <v>Apparel &amp; Footwear</v>
      </c>
      <c r="I5073" s="4">
        <v>2</v>
      </c>
      <c r="J5073" s="5">
        <f>_xlfn.XLOOKUP(tblSales[[#This Row],[Product Code]],tblProducts[Code],tblProducts[Selling Price (excl. VAT)],0)</f>
        <v>120000</v>
      </c>
      <c r="K5073" s="5">
        <f>tblSales[[#This Row],[Qty]]*tblSales[[#This Row],[Unit Price]]</f>
        <v>240000</v>
      </c>
      <c r="L5073" s="5">
        <f>ROUND(tblSales[[#This Row],[DPP (excl. VAT)]]*VATEff,0)</f>
        <v>26400</v>
      </c>
      <c r="M5073" s="5">
        <f>tblSales[[#This Row],[DPP (excl. VAT)]]+tblSales[[#This Row],[Output VAT]]</f>
        <v>266400</v>
      </c>
      <c r="N5073" s="5">
        <f>tblSales[[#This Row],[Qty]]*_xlfn.XLOOKUP(tblSales[[#This Row],[Product Code]],tblProducts[Code],tblProducts[Unit Cost],0)</f>
        <v>144000</v>
      </c>
      <c r="O5073" s="4" t="s">
        <v>4866</v>
      </c>
      <c r="P5073" s="4" t="s">
        <v>4860</v>
      </c>
      <c r="Q5073" s="1" t="str">
        <f>_xlfn.XLOOKUP(tblSales[[#This Row],[Channel Code]],tblChannels[Channel Code],tblChannels[Channel Name],"")</f>
        <v>In-store</v>
      </c>
      <c r="R5073" s="1">
        <f>MONTH(tblSales[[#This Row],[Date]])</f>
        <v>11</v>
      </c>
    </row>
    <row r="5074" spans="2:18" x14ac:dyDescent="0.35">
      <c r="B5074" s="113">
        <v>46331</v>
      </c>
      <c r="C5074" s="4" t="s">
        <v>3467</v>
      </c>
      <c r="D5074" s="4" t="s">
        <v>4568</v>
      </c>
      <c r="E5074" s="1" t="str">
        <f>_xlfn.XLOOKUP(tblSales[[#This Row],[Customer ID]],tblCustomers[Customer ID],tblCustomers[Customer Name],"⚠ Unknown")</f>
        <v>Walk-in Customer</v>
      </c>
      <c r="F5074" s="4" t="s">
        <v>15</v>
      </c>
      <c r="G5074" s="1" t="str">
        <f>_xlfn.XLOOKUP(tblSales[[#This Row],[Product Code]],tblProducts[Code],tblProducts[Product / Service Name],"⚠ Unknown")</f>
        <v>Wireless Earbuds Pro</v>
      </c>
      <c r="H5074" s="1" t="str">
        <f>_xlfn.XLOOKUP(tblSales[[#This Row],[Product Code]],tblProducts[Code],tblProducts[Category],"")</f>
        <v>Bags &amp; Gadgets</v>
      </c>
      <c r="I5074" s="4">
        <v>3</v>
      </c>
      <c r="J5074" s="5">
        <f>_xlfn.XLOOKUP(tblSales[[#This Row],[Product Code]],tblProducts[Code],tblProducts[Selling Price (excl. VAT)],0)</f>
        <v>1250000</v>
      </c>
      <c r="K5074" s="5">
        <f>tblSales[[#This Row],[Qty]]*tblSales[[#This Row],[Unit Price]]</f>
        <v>3750000</v>
      </c>
      <c r="L5074" s="5">
        <f>ROUND(tblSales[[#This Row],[DPP (excl. VAT)]]*VATEff,0)</f>
        <v>412500</v>
      </c>
      <c r="M5074" s="5">
        <f>tblSales[[#This Row],[DPP (excl. VAT)]]+tblSales[[#This Row],[Output VAT]]</f>
        <v>4162500</v>
      </c>
      <c r="N5074" s="5">
        <f>tblSales[[#This Row],[Qty]]*_xlfn.XLOOKUP(tblSales[[#This Row],[Product Code]],tblProducts[Code],tblProducts[Unit Cost],0)</f>
        <v>2460000</v>
      </c>
      <c r="O5074" s="4" t="s">
        <v>4866</v>
      </c>
      <c r="P5074" s="4" t="s">
        <v>4861</v>
      </c>
      <c r="Q5074" s="1" t="str">
        <f>_xlfn.XLOOKUP(tblSales[[#This Row],[Channel Code]],tblChannels[Channel Code],tblChannels[Channel Name],"")</f>
        <v>Marketplace</v>
      </c>
      <c r="R5074" s="1">
        <f>MONTH(tblSales[[#This Row],[Date]])</f>
        <v>11</v>
      </c>
    </row>
    <row r="5075" spans="2:18" x14ac:dyDescent="0.35">
      <c r="B5075" s="113">
        <v>46331</v>
      </c>
      <c r="C5075" s="4" t="s">
        <v>3467</v>
      </c>
      <c r="D5075" s="4" t="s">
        <v>4568</v>
      </c>
      <c r="E5075" s="1" t="str">
        <f>_xlfn.XLOOKUP(tblSales[[#This Row],[Customer ID]],tblCustomers[Customer ID],tblCustomers[Customer Name],"⚠ Unknown")</f>
        <v>Walk-in Customer</v>
      </c>
      <c r="F5075" s="4" t="s">
        <v>9</v>
      </c>
      <c r="G5075" s="1" t="str">
        <f>_xlfn.XLOOKUP(tblSales[[#This Row],[Product Code]],tblProducts[Code],tblProducts[Product / Service Name],"⚠ Unknown")</f>
        <v>Casual Shirt</v>
      </c>
      <c r="H5075" s="1" t="str">
        <f>_xlfn.XLOOKUP(tblSales[[#This Row],[Product Code]],tblProducts[Code],tblProducts[Category],"")</f>
        <v>Apparel &amp; Footwear</v>
      </c>
      <c r="I5075" s="4">
        <v>1</v>
      </c>
      <c r="J5075" s="5">
        <f>_xlfn.XLOOKUP(tblSales[[#This Row],[Product Code]],tblProducts[Code],tblProducts[Selling Price (excl. VAT)],0)</f>
        <v>120000</v>
      </c>
      <c r="K5075" s="5">
        <f>tblSales[[#This Row],[Qty]]*tblSales[[#This Row],[Unit Price]]</f>
        <v>120000</v>
      </c>
      <c r="L5075" s="5">
        <f>ROUND(tblSales[[#This Row],[DPP (excl. VAT)]]*VATEff,0)</f>
        <v>13200</v>
      </c>
      <c r="M5075" s="5">
        <f>tblSales[[#This Row],[DPP (excl. VAT)]]+tblSales[[#This Row],[Output VAT]]</f>
        <v>133200</v>
      </c>
      <c r="N5075" s="5">
        <f>tblSales[[#This Row],[Qty]]*_xlfn.XLOOKUP(tblSales[[#This Row],[Product Code]],tblProducts[Code],tblProducts[Unit Cost],0)</f>
        <v>72000</v>
      </c>
      <c r="O5075" s="4" t="s">
        <v>4866</v>
      </c>
      <c r="P5075" s="4" t="s">
        <v>4861</v>
      </c>
      <c r="Q5075" s="1" t="str">
        <f>_xlfn.XLOOKUP(tblSales[[#This Row],[Channel Code]],tblChannels[Channel Code],tblChannels[Channel Name],"")</f>
        <v>Marketplace</v>
      </c>
      <c r="R5075" s="1">
        <f>MONTH(tblSales[[#This Row],[Date]])</f>
        <v>11</v>
      </c>
    </row>
    <row r="5076" spans="2:18" x14ac:dyDescent="0.35">
      <c r="B5076" s="113">
        <v>46331</v>
      </c>
      <c r="C5076" s="4" t="s">
        <v>3468</v>
      </c>
      <c r="D5076" s="4" t="s">
        <v>4568</v>
      </c>
      <c r="E5076" s="1" t="str">
        <f>_xlfn.XLOOKUP(tblSales[[#This Row],[Customer ID]],tblCustomers[Customer ID],tblCustomers[Customer Name],"⚠ Unknown")</f>
        <v>Walk-in Customer</v>
      </c>
      <c r="F5076" s="4" t="s">
        <v>9</v>
      </c>
      <c r="G5076" s="1" t="str">
        <f>_xlfn.XLOOKUP(tblSales[[#This Row],[Product Code]],tblProducts[Code],tblProducts[Product / Service Name],"⚠ Unknown")</f>
        <v>Casual Shirt</v>
      </c>
      <c r="H5076" s="1" t="str">
        <f>_xlfn.XLOOKUP(tblSales[[#This Row],[Product Code]],tblProducts[Code],tblProducts[Category],"")</f>
        <v>Apparel &amp; Footwear</v>
      </c>
      <c r="I5076" s="4">
        <v>8</v>
      </c>
      <c r="J5076" s="5">
        <f>_xlfn.XLOOKUP(tblSales[[#This Row],[Product Code]],tblProducts[Code],tblProducts[Selling Price (excl. VAT)],0)</f>
        <v>120000</v>
      </c>
      <c r="K5076" s="5">
        <f>tblSales[[#This Row],[Qty]]*tblSales[[#This Row],[Unit Price]]</f>
        <v>960000</v>
      </c>
      <c r="L5076" s="5">
        <f>ROUND(tblSales[[#This Row],[DPP (excl. VAT)]]*VATEff,0)</f>
        <v>105600</v>
      </c>
      <c r="M5076" s="5">
        <f>tblSales[[#This Row],[DPP (excl. VAT)]]+tblSales[[#This Row],[Output VAT]]</f>
        <v>1065600</v>
      </c>
      <c r="N5076" s="5">
        <f>tblSales[[#This Row],[Qty]]*_xlfn.XLOOKUP(tblSales[[#This Row],[Product Code]],tblProducts[Code],tblProducts[Unit Cost],0)</f>
        <v>576000</v>
      </c>
      <c r="O5076" s="4" t="s">
        <v>4865</v>
      </c>
      <c r="P5076" s="4" t="s">
        <v>4860</v>
      </c>
      <c r="Q5076" s="1" t="str">
        <f>_xlfn.XLOOKUP(tblSales[[#This Row],[Channel Code]],tblChannels[Channel Code],tblChannels[Channel Name],"")</f>
        <v>In-store</v>
      </c>
      <c r="R5076" s="1">
        <f>MONTH(tblSales[[#This Row],[Date]])</f>
        <v>11</v>
      </c>
    </row>
    <row r="5077" spans="2:18" x14ac:dyDescent="0.35">
      <c r="B5077" s="113">
        <v>46331</v>
      </c>
      <c r="C5077" s="4" t="s">
        <v>3469</v>
      </c>
      <c r="D5077" s="4" t="s">
        <v>4568</v>
      </c>
      <c r="E5077" s="1" t="str">
        <f>_xlfn.XLOOKUP(tblSales[[#This Row],[Customer ID]],tblCustomers[Customer ID],tblCustomers[Customer Name],"⚠ Unknown")</f>
        <v>Walk-in Customer</v>
      </c>
      <c r="F5077" s="4" t="s">
        <v>10</v>
      </c>
      <c r="G5077" s="1" t="str">
        <f>_xlfn.XLOOKUP(tblSales[[#This Row],[Product Code]],tblProducts[Code],tblProducts[Product / Service Name],"⚠ Unknown")</f>
        <v>Chino Pants</v>
      </c>
      <c r="H5077" s="1" t="str">
        <f>_xlfn.XLOOKUP(tblSales[[#This Row],[Product Code]],tblProducts[Code],tblProducts[Category],"")</f>
        <v>Apparel &amp; Footwear</v>
      </c>
      <c r="I5077" s="4">
        <v>4</v>
      </c>
      <c r="J5077" s="5">
        <f>_xlfn.XLOOKUP(tblSales[[#This Row],[Product Code]],tblProducts[Code],tblProducts[Selling Price (excl. VAT)],0)</f>
        <v>150000</v>
      </c>
      <c r="K5077" s="5">
        <f>tblSales[[#This Row],[Qty]]*tblSales[[#This Row],[Unit Price]]</f>
        <v>600000</v>
      </c>
      <c r="L5077" s="5">
        <f>ROUND(tblSales[[#This Row],[DPP (excl. VAT)]]*VATEff,0)</f>
        <v>66000</v>
      </c>
      <c r="M5077" s="5">
        <f>tblSales[[#This Row],[DPP (excl. VAT)]]+tblSales[[#This Row],[Output VAT]]</f>
        <v>666000</v>
      </c>
      <c r="N5077" s="5">
        <f>tblSales[[#This Row],[Qty]]*_xlfn.XLOOKUP(tblSales[[#This Row],[Product Code]],tblProducts[Code],tblProducts[Unit Cost],0)</f>
        <v>352000</v>
      </c>
      <c r="O5077" s="4" t="s">
        <v>4865</v>
      </c>
      <c r="P5077" s="4" t="s">
        <v>4860</v>
      </c>
      <c r="Q5077" s="1" t="str">
        <f>_xlfn.XLOOKUP(tblSales[[#This Row],[Channel Code]],tblChannels[Channel Code],tblChannels[Channel Name],"")</f>
        <v>In-store</v>
      </c>
      <c r="R5077" s="1">
        <f>MONTH(tblSales[[#This Row],[Date]])</f>
        <v>11</v>
      </c>
    </row>
    <row r="5078" spans="2:18" x14ac:dyDescent="0.35">
      <c r="B5078" s="113">
        <v>46331</v>
      </c>
      <c r="C5078" s="4" t="s">
        <v>3469</v>
      </c>
      <c r="D5078" s="4" t="s">
        <v>4568</v>
      </c>
      <c r="E5078" s="1" t="str">
        <f>_xlfn.XLOOKUP(tblSales[[#This Row],[Customer ID]],tblCustomers[Customer ID],tblCustomers[Customer Name],"⚠ Unknown")</f>
        <v>Walk-in Customer</v>
      </c>
      <c r="F5078" s="4" t="s">
        <v>6</v>
      </c>
      <c r="G5078" s="1" t="str">
        <f>_xlfn.XLOOKUP(tblSales[[#This Row],[Product Code]],tblProducts[Code],tblProducts[Product / Service Name],"⚠ Unknown")</f>
        <v>Socks &amp; Accessories</v>
      </c>
      <c r="H5078" s="1" t="str">
        <f>_xlfn.XLOOKUP(tblSales[[#This Row],[Product Code]],tblProducts[Code],tblProducts[Category],"")</f>
        <v>Accessories &amp; Basics</v>
      </c>
      <c r="I5078" s="4">
        <v>1</v>
      </c>
      <c r="J5078" s="5">
        <f>_xlfn.XLOOKUP(tblSales[[#This Row],[Product Code]],tblProducts[Code],tblProducts[Selling Price (excl. VAT)],0)</f>
        <v>45000</v>
      </c>
      <c r="K5078" s="5">
        <f>tblSales[[#This Row],[Qty]]*tblSales[[#This Row],[Unit Price]]</f>
        <v>45000</v>
      </c>
      <c r="L5078" s="5">
        <f>ROUND(tblSales[[#This Row],[DPP (excl. VAT)]]*VATEff,0)</f>
        <v>4950</v>
      </c>
      <c r="M5078" s="5">
        <f>tblSales[[#This Row],[DPP (excl. VAT)]]+tblSales[[#This Row],[Output VAT]]</f>
        <v>49950</v>
      </c>
      <c r="N5078" s="5">
        <f>tblSales[[#This Row],[Qty]]*_xlfn.XLOOKUP(tblSales[[#This Row],[Product Code]],tblProducts[Code],tblProducts[Unit Cost],0)</f>
        <v>24000</v>
      </c>
      <c r="O5078" s="4" t="s">
        <v>4865</v>
      </c>
      <c r="P5078" s="4" t="s">
        <v>4860</v>
      </c>
      <c r="Q5078" s="1" t="str">
        <f>_xlfn.XLOOKUP(tblSales[[#This Row],[Channel Code]],tblChannels[Channel Code],tblChannels[Channel Name],"")</f>
        <v>In-store</v>
      </c>
      <c r="R5078" s="1">
        <f>MONTH(tblSales[[#This Row],[Date]])</f>
        <v>11</v>
      </c>
    </row>
    <row r="5079" spans="2:18" x14ac:dyDescent="0.35">
      <c r="B5079" s="113">
        <v>46331</v>
      </c>
      <c r="C5079" s="4" t="s">
        <v>3470</v>
      </c>
      <c r="D5079" s="4" t="s">
        <v>4572</v>
      </c>
      <c r="E5079" s="1" t="str">
        <f>_xlfn.XLOOKUP(tblSales[[#This Row],[Customer ID]],tblCustomers[Customer ID],tblCustomers[Customer Name],"⚠ Unknown")</f>
        <v>PT Cahaya Abadi Makmur</v>
      </c>
      <c r="F5079" s="4" t="s">
        <v>9</v>
      </c>
      <c r="G5079" s="1" t="str">
        <f>_xlfn.XLOOKUP(tblSales[[#This Row],[Product Code]],tblProducts[Code],tblProducts[Product / Service Name],"⚠ Unknown")</f>
        <v>Casual Shirt</v>
      </c>
      <c r="H5079" s="1" t="str">
        <f>_xlfn.XLOOKUP(tblSales[[#This Row],[Product Code]],tblProducts[Code],tblProducts[Category],"")</f>
        <v>Apparel &amp; Footwear</v>
      </c>
      <c r="I5079" s="4">
        <v>16</v>
      </c>
      <c r="J5079" s="5">
        <f>_xlfn.XLOOKUP(tblSales[[#This Row],[Product Code]],tblProducts[Code],tblProducts[Selling Price (excl. VAT)],0)</f>
        <v>120000</v>
      </c>
      <c r="K5079" s="5">
        <f>tblSales[[#This Row],[Qty]]*tblSales[[#This Row],[Unit Price]]</f>
        <v>1920000</v>
      </c>
      <c r="L5079" s="5">
        <f>ROUND(tblSales[[#This Row],[DPP (excl. VAT)]]*VATEff,0)</f>
        <v>211200</v>
      </c>
      <c r="M5079" s="5">
        <f>tblSales[[#This Row],[DPP (excl. VAT)]]+tblSales[[#This Row],[Output VAT]]</f>
        <v>2131200</v>
      </c>
      <c r="N5079" s="5">
        <f>tblSales[[#This Row],[Qty]]*_xlfn.XLOOKUP(tblSales[[#This Row],[Product Code]],tblProducts[Code],tblProducts[Unit Cost],0)</f>
        <v>1152000</v>
      </c>
      <c r="O5079" s="4" t="s">
        <v>4867</v>
      </c>
      <c r="P5079" s="4" t="s">
        <v>4860</v>
      </c>
      <c r="Q5079" s="1" t="str">
        <f>_xlfn.XLOOKUP(tblSales[[#This Row],[Channel Code]],tblChannels[Channel Code],tblChannels[Channel Name],"")</f>
        <v>In-store</v>
      </c>
      <c r="R5079" s="1">
        <f>MONTH(tblSales[[#This Row],[Date]])</f>
        <v>11</v>
      </c>
    </row>
    <row r="5080" spans="2:18" x14ac:dyDescent="0.35">
      <c r="B5080" s="113">
        <v>46331</v>
      </c>
      <c r="C5080" s="4" t="s">
        <v>3471</v>
      </c>
      <c r="D5080" s="4" t="s">
        <v>4568</v>
      </c>
      <c r="E5080" s="1" t="str">
        <f>_xlfn.XLOOKUP(tblSales[[#This Row],[Customer ID]],tblCustomers[Customer ID],tblCustomers[Customer Name],"⚠ Unknown")</f>
        <v>Walk-in Customer</v>
      </c>
      <c r="F5080" s="4" t="s">
        <v>12</v>
      </c>
      <c r="G5080" s="1" t="str">
        <f>_xlfn.XLOOKUP(tblSales[[#This Row],[Product Code]],tblProducts[Code],tblProducts[Product / Service Name],"⚠ Unknown")</f>
        <v>Bomber Jacket</v>
      </c>
      <c r="H5080" s="1" t="str">
        <f>_xlfn.XLOOKUP(tblSales[[#This Row],[Product Code]],tblProducts[Code],tblProducts[Category],"")</f>
        <v>Apparel &amp; Footwear</v>
      </c>
      <c r="I5080" s="4">
        <v>3</v>
      </c>
      <c r="J5080" s="5">
        <f>_xlfn.XLOOKUP(tblSales[[#This Row],[Product Code]],tblProducts[Code],tblProducts[Selling Price (excl. VAT)],0)</f>
        <v>350000</v>
      </c>
      <c r="K5080" s="5">
        <f>tblSales[[#This Row],[Qty]]*tblSales[[#This Row],[Unit Price]]</f>
        <v>1050000</v>
      </c>
      <c r="L5080" s="5">
        <f>ROUND(tblSales[[#This Row],[DPP (excl. VAT)]]*VATEff,0)</f>
        <v>115500</v>
      </c>
      <c r="M5080" s="5">
        <f>tblSales[[#This Row],[DPP (excl. VAT)]]+tblSales[[#This Row],[Output VAT]]</f>
        <v>1165500</v>
      </c>
      <c r="N5080" s="5">
        <f>tblSales[[#This Row],[Qty]]*_xlfn.XLOOKUP(tblSales[[#This Row],[Product Code]],tblProducts[Code],tblProducts[Unit Cost],0)</f>
        <v>630000</v>
      </c>
      <c r="O5080" s="4" t="s">
        <v>4866</v>
      </c>
      <c r="P5080" s="4" t="s">
        <v>4862</v>
      </c>
      <c r="Q5080" s="1" t="str">
        <f>_xlfn.XLOOKUP(tblSales[[#This Row],[Channel Code]],tblChannels[Channel Code],tblChannels[Channel Name],"")</f>
        <v>Website &amp; Social Media</v>
      </c>
      <c r="R5080" s="1">
        <f>MONTH(tblSales[[#This Row],[Date]])</f>
        <v>11</v>
      </c>
    </row>
    <row r="5081" spans="2:18" x14ac:dyDescent="0.35">
      <c r="B5081" s="113">
        <v>46331</v>
      </c>
      <c r="C5081" s="4" t="s">
        <v>3472</v>
      </c>
      <c r="D5081" s="4" t="s">
        <v>4568</v>
      </c>
      <c r="E5081" s="1" t="str">
        <f>_xlfn.XLOOKUP(tblSales[[#This Row],[Customer ID]],tblCustomers[Customer ID],tblCustomers[Customer Name],"⚠ Unknown")</f>
        <v>Walk-in Customer</v>
      </c>
      <c r="F5081" s="4" t="s">
        <v>13</v>
      </c>
      <c r="G5081" s="1" t="str">
        <f>_xlfn.XLOOKUP(tblSales[[#This Row],[Product Code]],tblProducts[Code],tblProducts[Product / Service Name],"⚠ Unknown")</f>
        <v>Backpack</v>
      </c>
      <c r="H5081" s="1" t="str">
        <f>_xlfn.XLOOKUP(tblSales[[#This Row],[Product Code]],tblProducts[Code],tblProducts[Category],"")</f>
        <v>Bags &amp; Gadgets</v>
      </c>
      <c r="I5081" s="4">
        <v>6</v>
      </c>
      <c r="J5081" s="5">
        <f>_xlfn.XLOOKUP(tblSales[[#This Row],[Product Code]],tblProducts[Code],tblProducts[Selling Price (excl. VAT)],0)</f>
        <v>500000</v>
      </c>
      <c r="K5081" s="5">
        <f>tblSales[[#This Row],[Qty]]*tblSales[[#This Row],[Unit Price]]</f>
        <v>3000000</v>
      </c>
      <c r="L5081" s="5">
        <f>ROUND(tblSales[[#This Row],[DPP (excl. VAT)]]*VATEff,0)</f>
        <v>330000</v>
      </c>
      <c r="M5081" s="5">
        <f>tblSales[[#This Row],[DPP (excl. VAT)]]+tblSales[[#This Row],[Output VAT]]</f>
        <v>3330000</v>
      </c>
      <c r="N5081" s="5">
        <f>tblSales[[#This Row],[Qty]]*_xlfn.XLOOKUP(tblSales[[#This Row],[Product Code]],tblProducts[Code],tblProducts[Unit Cost],0)</f>
        <v>1740000</v>
      </c>
      <c r="O5081" s="4" t="s">
        <v>4866</v>
      </c>
      <c r="P5081" s="4" t="s">
        <v>4862</v>
      </c>
      <c r="Q5081" s="1" t="str">
        <f>_xlfn.XLOOKUP(tblSales[[#This Row],[Channel Code]],tblChannels[Channel Code],tblChannels[Channel Name],"")</f>
        <v>Website &amp; Social Media</v>
      </c>
      <c r="R5081" s="1">
        <f>MONTH(tblSales[[#This Row],[Date]])</f>
        <v>11</v>
      </c>
    </row>
    <row r="5082" spans="2:18" x14ac:dyDescent="0.35">
      <c r="B5082" s="113">
        <v>46331</v>
      </c>
      <c r="C5082" s="4" t="s">
        <v>3473</v>
      </c>
      <c r="D5082" s="4" t="s">
        <v>4568</v>
      </c>
      <c r="E5082" s="1" t="str">
        <f>_xlfn.XLOOKUP(tblSales[[#This Row],[Customer ID]],tblCustomers[Customer ID],tblCustomers[Customer Name],"⚠ Unknown")</f>
        <v>Walk-in Customer</v>
      </c>
      <c r="F5082" s="4" t="s">
        <v>14</v>
      </c>
      <c r="G5082" s="1" t="str">
        <f>_xlfn.XLOOKUP(tblSales[[#This Row],[Product Code]],tblProducts[Code],tblProducts[Product / Service Name],"⚠ Unknown")</f>
        <v>Smartwatch</v>
      </c>
      <c r="H5082" s="1" t="str">
        <f>_xlfn.XLOOKUP(tblSales[[#This Row],[Product Code]],tblProducts[Code],tblProducts[Category],"")</f>
        <v>Bags &amp; Gadgets</v>
      </c>
      <c r="I5082" s="4">
        <v>3</v>
      </c>
      <c r="J5082" s="5">
        <f>_xlfn.XLOOKUP(tblSales[[#This Row],[Product Code]],tblProducts[Code],tblProducts[Selling Price (excl. VAT)],0)</f>
        <v>850000</v>
      </c>
      <c r="K5082" s="5">
        <f>tblSales[[#This Row],[Qty]]*tblSales[[#This Row],[Unit Price]]</f>
        <v>2550000</v>
      </c>
      <c r="L5082" s="5">
        <f>ROUND(tblSales[[#This Row],[DPP (excl. VAT)]]*VATEff,0)</f>
        <v>280500</v>
      </c>
      <c r="M5082" s="5">
        <f>tblSales[[#This Row],[DPP (excl. VAT)]]+tblSales[[#This Row],[Output VAT]]</f>
        <v>2830500</v>
      </c>
      <c r="N5082" s="5">
        <f>tblSales[[#This Row],[Qty]]*_xlfn.XLOOKUP(tblSales[[#This Row],[Product Code]],tblProducts[Code],tblProducts[Unit Cost],0)</f>
        <v>1680000</v>
      </c>
      <c r="O5082" s="4" t="s">
        <v>4866</v>
      </c>
      <c r="P5082" s="4" t="s">
        <v>4860</v>
      </c>
      <c r="Q5082" s="1" t="str">
        <f>_xlfn.XLOOKUP(tblSales[[#This Row],[Channel Code]],tblChannels[Channel Code],tblChannels[Channel Name],"")</f>
        <v>In-store</v>
      </c>
      <c r="R5082" s="1">
        <f>MONTH(tblSales[[#This Row],[Date]])</f>
        <v>11</v>
      </c>
    </row>
    <row r="5083" spans="2:18" x14ac:dyDescent="0.35">
      <c r="B5083" s="113">
        <v>46331</v>
      </c>
      <c r="C5083" s="4" t="s">
        <v>3473</v>
      </c>
      <c r="D5083" s="4" t="s">
        <v>4568</v>
      </c>
      <c r="E5083" s="1" t="str">
        <f>_xlfn.XLOOKUP(tblSales[[#This Row],[Customer ID]],tblCustomers[Customer ID],tblCustomers[Customer Name],"⚠ Unknown")</f>
        <v>Walk-in Customer</v>
      </c>
      <c r="F5083" s="4" t="s">
        <v>11</v>
      </c>
      <c r="G5083" s="1" t="str">
        <f>_xlfn.XLOOKUP(tblSales[[#This Row],[Product Code]],tblProducts[Code],tblProducts[Product / Service Name],"⚠ Unknown")</f>
        <v>Sneakers</v>
      </c>
      <c r="H5083" s="1" t="str">
        <f>_xlfn.XLOOKUP(tblSales[[#This Row],[Product Code]],tblProducts[Code],tblProducts[Category],"")</f>
        <v>Apparel &amp; Footwear</v>
      </c>
      <c r="I5083" s="4">
        <v>4</v>
      </c>
      <c r="J5083" s="5">
        <f>_xlfn.XLOOKUP(tblSales[[#This Row],[Product Code]],tblProducts[Code],tblProducts[Selling Price (excl. VAT)],0)</f>
        <v>250000</v>
      </c>
      <c r="K5083" s="5">
        <f>tblSales[[#This Row],[Qty]]*tblSales[[#This Row],[Unit Price]]</f>
        <v>1000000</v>
      </c>
      <c r="L5083" s="5">
        <f>ROUND(tblSales[[#This Row],[DPP (excl. VAT)]]*VATEff,0)</f>
        <v>110000</v>
      </c>
      <c r="M5083" s="5">
        <f>tblSales[[#This Row],[DPP (excl. VAT)]]+tblSales[[#This Row],[Output VAT]]</f>
        <v>1110000</v>
      </c>
      <c r="N5083" s="5">
        <f>tblSales[[#This Row],[Qty]]*_xlfn.XLOOKUP(tblSales[[#This Row],[Product Code]],tblProducts[Code],tblProducts[Unit Cost],0)</f>
        <v>620000</v>
      </c>
      <c r="O5083" s="4" t="s">
        <v>4866</v>
      </c>
      <c r="P5083" s="4" t="s">
        <v>4860</v>
      </c>
      <c r="Q5083" s="1" t="str">
        <f>_xlfn.XLOOKUP(tblSales[[#This Row],[Channel Code]],tblChannels[Channel Code],tblChannels[Channel Name],"")</f>
        <v>In-store</v>
      </c>
      <c r="R5083" s="1">
        <f>MONTH(tblSales[[#This Row],[Date]])</f>
        <v>11</v>
      </c>
    </row>
    <row r="5084" spans="2:18" x14ac:dyDescent="0.35">
      <c r="B5084" s="113">
        <v>46331</v>
      </c>
      <c r="C5084" s="4" t="s">
        <v>3473</v>
      </c>
      <c r="D5084" s="4" t="s">
        <v>4568</v>
      </c>
      <c r="E5084" s="1" t="str">
        <f>_xlfn.XLOOKUP(tblSales[[#This Row],[Customer ID]],tblCustomers[Customer ID],tblCustomers[Customer Name],"⚠ Unknown")</f>
        <v>Walk-in Customer</v>
      </c>
      <c r="F5084" s="4" t="s">
        <v>7</v>
      </c>
      <c r="G5084" s="1" t="str">
        <f>_xlfn.XLOOKUP(tblSales[[#This Row],[Product Code]],tblProducts[Code],tblProducts[Product / Service Name],"⚠ Unknown")</f>
        <v>Premium Basic T-shirt</v>
      </c>
      <c r="H5084" s="1" t="str">
        <f>_xlfn.XLOOKUP(tblSales[[#This Row],[Product Code]],tblProducts[Code],tblProducts[Category],"")</f>
        <v>Accessories &amp; Basics</v>
      </c>
      <c r="I5084" s="4">
        <v>4</v>
      </c>
      <c r="J5084" s="5">
        <f>_xlfn.XLOOKUP(tblSales[[#This Row],[Product Code]],tblProducts[Code],tblProducts[Selling Price (excl. VAT)],0)</f>
        <v>65000</v>
      </c>
      <c r="K5084" s="5">
        <f>tblSales[[#This Row],[Qty]]*tblSales[[#This Row],[Unit Price]]</f>
        <v>260000</v>
      </c>
      <c r="L5084" s="5">
        <f>ROUND(tblSales[[#This Row],[DPP (excl. VAT)]]*VATEff,0)</f>
        <v>28600</v>
      </c>
      <c r="M5084" s="5">
        <f>tblSales[[#This Row],[DPP (excl. VAT)]]+tblSales[[#This Row],[Output VAT]]</f>
        <v>288600</v>
      </c>
      <c r="N5084" s="5">
        <f>tblSales[[#This Row],[Qty]]*_xlfn.XLOOKUP(tblSales[[#This Row],[Product Code]],tblProducts[Code],tblProducts[Unit Cost],0)</f>
        <v>148000</v>
      </c>
      <c r="O5084" s="4" t="s">
        <v>4866</v>
      </c>
      <c r="P5084" s="4" t="s">
        <v>4860</v>
      </c>
      <c r="Q5084" s="1" t="str">
        <f>_xlfn.XLOOKUP(tblSales[[#This Row],[Channel Code]],tblChannels[Channel Code],tblChannels[Channel Name],"")</f>
        <v>In-store</v>
      </c>
      <c r="R5084" s="1">
        <f>MONTH(tblSales[[#This Row],[Date]])</f>
        <v>11</v>
      </c>
    </row>
    <row r="5085" spans="2:18" x14ac:dyDescent="0.35">
      <c r="B5085" s="113">
        <v>46332</v>
      </c>
      <c r="C5085" s="4" t="s">
        <v>3474</v>
      </c>
      <c r="D5085" s="4" t="s">
        <v>4568</v>
      </c>
      <c r="E5085" s="1" t="str">
        <f>_xlfn.XLOOKUP(tblSales[[#This Row],[Customer ID]],tblCustomers[Customer ID],tblCustomers[Customer Name],"⚠ Unknown")</f>
        <v>Walk-in Customer</v>
      </c>
      <c r="F5085" s="4" t="s">
        <v>6</v>
      </c>
      <c r="G5085" s="1" t="str">
        <f>_xlfn.XLOOKUP(tblSales[[#This Row],[Product Code]],tblProducts[Code],tblProducts[Product / Service Name],"⚠ Unknown")</f>
        <v>Socks &amp; Accessories</v>
      </c>
      <c r="H5085" s="1" t="str">
        <f>_xlfn.XLOOKUP(tblSales[[#This Row],[Product Code]],tblProducts[Code],tblProducts[Category],"")</f>
        <v>Accessories &amp; Basics</v>
      </c>
      <c r="I5085" s="4">
        <v>6</v>
      </c>
      <c r="J5085" s="5">
        <f>_xlfn.XLOOKUP(tblSales[[#This Row],[Product Code]],tblProducts[Code],tblProducts[Selling Price (excl. VAT)],0)</f>
        <v>45000</v>
      </c>
      <c r="K5085" s="5">
        <f>tblSales[[#This Row],[Qty]]*tblSales[[#This Row],[Unit Price]]</f>
        <v>270000</v>
      </c>
      <c r="L5085" s="5">
        <f>ROUND(tblSales[[#This Row],[DPP (excl. VAT)]]*VATEff,0)</f>
        <v>29700</v>
      </c>
      <c r="M5085" s="5">
        <f>tblSales[[#This Row],[DPP (excl. VAT)]]+tblSales[[#This Row],[Output VAT]]</f>
        <v>299700</v>
      </c>
      <c r="N5085" s="5">
        <f>tblSales[[#This Row],[Qty]]*_xlfn.XLOOKUP(tblSales[[#This Row],[Product Code]],tblProducts[Code],tblProducts[Unit Cost],0)</f>
        <v>144000</v>
      </c>
      <c r="O5085" s="4" t="s">
        <v>4866</v>
      </c>
      <c r="P5085" s="4" t="s">
        <v>4861</v>
      </c>
      <c r="Q5085" s="1" t="str">
        <f>_xlfn.XLOOKUP(tblSales[[#This Row],[Channel Code]],tblChannels[Channel Code],tblChannels[Channel Name],"")</f>
        <v>Marketplace</v>
      </c>
      <c r="R5085" s="1">
        <f>MONTH(tblSales[[#This Row],[Date]])</f>
        <v>11</v>
      </c>
    </row>
    <row r="5086" spans="2:18" x14ac:dyDescent="0.35">
      <c r="B5086" s="113">
        <v>46332</v>
      </c>
      <c r="C5086" s="4" t="s">
        <v>3475</v>
      </c>
      <c r="D5086" s="4" t="s">
        <v>4568</v>
      </c>
      <c r="E5086" s="1" t="str">
        <f>_xlfn.XLOOKUP(tblSales[[#This Row],[Customer ID]],tblCustomers[Customer ID],tblCustomers[Customer Name],"⚠ Unknown")</f>
        <v>Walk-in Customer</v>
      </c>
      <c r="F5086" s="4" t="s">
        <v>6</v>
      </c>
      <c r="G5086" s="1" t="str">
        <f>_xlfn.XLOOKUP(tblSales[[#This Row],[Product Code]],tblProducts[Code],tblProducts[Product / Service Name],"⚠ Unknown")</f>
        <v>Socks &amp; Accessories</v>
      </c>
      <c r="H5086" s="1" t="str">
        <f>_xlfn.XLOOKUP(tblSales[[#This Row],[Product Code]],tblProducts[Code],tblProducts[Category],"")</f>
        <v>Accessories &amp; Basics</v>
      </c>
      <c r="I5086" s="4">
        <v>8</v>
      </c>
      <c r="J5086" s="5">
        <f>_xlfn.XLOOKUP(tblSales[[#This Row],[Product Code]],tblProducts[Code],tblProducts[Selling Price (excl. VAT)],0)</f>
        <v>45000</v>
      </c>
      <c r="K5086" s="5">
        <f>tblSales[[#This Row],[Qty]]*tblSales[[#This Row],[Unit Price]]</f>
        <v>360000</v>
      </c>
      <c r="L5086" s="5">
        <f>ROUND(tblSales[[#This Row],[DPP (excl. VAT)]]*VATEff,0)</f>
        <v>39600</v>
      </c>
      <c r="M5086" s="5">
        <f>tblSales[[#This Row],[DPP (excl. VAT)]]+tblSales[[#This Row],[Output VAT]]</f>
        <v>399600</v>
      </c>
      <c r="N5086" s="5">
        <f>tblSales[[#This Row],[Qty]]*_xlfn.XLOOKUP(tblSales[[#This Row],[Product Code]],tblProducts[Code],tblProducts[Unit Cost],0)</f>
        <v>192000</v>
      </c>
      <c r="O5086" s="4" t="s">
        <v>4866</v>
      </c>
      <c r="P5086" s="4" t="s">
        <v>4861</v>
      </c>
      <c r="Q5086" s="1" t="str">
        <f>_xlfn.XLOOKUP(tblSales[[#This Row],[Channel Code]],tblChannels[Channel Code],tblChannels[Channel Name],"")</f>
        <v>Marketplace</v>
      </c>
      <c r="R5086" s="1">
        <f>MONTH(tblSales[[#This Row],[Date]])</f>
        <v>11</v>
      </c>
    </row>
    <row r="5087" spans="2:18" x14ac:dyDescent="0.35">
      <c r="B5087" s="113">
        <v>46332</v>
      </c>
      <c r="C5087" s="4" t="s">
        <v>3476</v>
      </c>
      <c r="D5087" s="4" t="s">
        <v>4568</v>
      </c>
      <c r="E5087" s="1" t="str">
        <f>_xlfn.XLOOKUP(tblSales[[#This Row],[Customer ID]],tblCustomers[Customer ID],tblCustomers[Customer Name],"⚠ Unknown")</f>
        <v>Walk-in Customer</v>
      </c>
      <c r="F5087" s="4" t="s">
        <v>8</v>
      </c>
      <c r="G5087" s="1" t="str">
        <f>_xlfn.XLOOKUP(tblSales[[#This Row],[Product Code]],tblProducts[Code],tblProducts[Product / Service Name],"⚠ Unknown")</f>
        <v>Casual Shorts</v>
      </c>
      <c r="H5087" s="1" t="str">
        <f>_xlfn.XLOOKUP(tblSales[[#This Row],[Product Code]],tblProducts[Code],tblProducts[Category],"")</f>
        <v>Accessories &amp; Basics</v>
      </c>
      <c r="I5087" s="4">
        <v>2</v>
      </c>
      <c r="J5087" s="5">
        <f>_xlfn.XLOOKUP(tblSales[[#This Row],[Product Code]],tblProducts[Code],tblProducts[Selling Price (excl. VAT)],0)</f>
        <v>85000</v>
      </c>
      <c r="K5087" s="5">
        <f>tblSales[[#This Row],[Qty]]*tblSales[[#This Row],[Unit Price]]</f>
        <v>170000</v>
      </c>
      <c r="L5087" s="5">
        <f>ROUND(tblSales[[#This Row],[DPP (excl. VAT)]]*VATEff,0)</f>
        <v>18700</v>
      </c>
      <c r="M5087" s="5">
        <f>tblSales[[#This Row],[DPP (excl. VAT)]]+tblSales[[#This Row],[Output VAT]]</f>
        <v>188700</v>
      </c>
      <c r="N5087" s="5">
        <f>tblSales[[#This Row],[Qty]]*_xlfn.XLOOKUP(tblSales[[#This Row],[Product Code]],tblProducts[Code],tblProducts[Unit Cost],0)</f>
        <v>100000</v>
      </c>
      <c r="O5087" s="4" t="s">
        <v>4866</v>
      </c>
      <c r="P5087" s="4" t="s">
        <v>4860</v>
      </c>
      <c r="Q5087" s="1" t="str">
        <f>_xlfn.XLOOKUP(tblSales[[#This Row],[Channel Code]],tblChannels[Channel Code],tblChannels[Channel Name],"")</f>
        <v>In-store</v>
      </c>
      <c r="R5087" s="1">
        <f>MONTH(tblSales[[#This Row],[Date]])</f>
        <v>11</v>
      </c>
    </row>
    <row r="5088" spans="2:18" x14ac:dyDescent="0.35">
      <c r="B5088" s="113">
        <v>46332</v>
      </c>
      <c r="C5088" s="4" t="s">
        <v>3477</v>
      </c>
      <c r="D5088" s="4" t="s">
        <v>4568</v>
      </c>
      <c r="E5088" s="1" t="str">
        <f>_xlfn.XLOOKUP(tblSales[[#This Row],[Customer ID]],tblCustomers[Customer ID],tblCustomers[Customer Name],"⚠ Unknown")</f>
        <v>Walk-in Customer</v>
      </c>
      <c r="F5088" s="4" t="s">
        <v>8</v>
      </c>
      <c r="G5088" s="1" t="str">
        <f>_xlfn.XLOOKUP(tblSales[[#This Row],[Product Code]],tblProducts[Code],tblProducts[Product / Service Name],"⚠ Unknown")</f>
        <v>Casual Shorts</v>
      </c>
      <c r="H5088" s="1" t="str">
        <f>_xlfn.XLOOKUP(tblSales[[#This Row],[Product Code]],tblProducts[Code],tblProducts[Category],"")</f>
        <v>Accessories &amp; Basics</v>
      </c>
      <c r="I5088" s="4">
        <v>3</v>
      </c>
      <c r="J5088" s="5">
        <f>_xlfn.XLOOKUP(tblSales[[#This Row],[Product Code]],tblProducts[Code],tblProducts[Selling Price (excl. VAT)],0)</f>
        <v>85000</v>
      </c>
      <c r="K5088" s="5">
        <f>tblSales[[#This Row],[Qty]]*tblSales[[#This Row],[Unit Price]]</f>
        <v>255000</v>
      </c>
      <c r="L5088" s="5">
        <f>ROUND(tblSales[[#This Row],[DPP (excl. VAT)]]*VATEff,0)</f>
        <v>28050</v>
      </c>
      <c r="M5088" s="5">
        <f>tblSales[[#This Row],[DPP (excl. VAT)]]+tblSales[[#This Row],[Output VAT]]</f>
        <v>283050</v>
      </c>
      <c r="N5088" s="5">
        <f>tblSales[[#This Row],[Qty]]*_xlfn.XLOOKUP(tblSales[[#This Row],[Product Code]],tblProducts[Code],tblProducts[Unit Cost],0)</f>
        <v>150000</v>
      </c>
      <c r="O5088" s="4" t="s">
        <v>4866</v>
      </c>
      <c r="P5088" s="4" t="s">
        <v>4861</v>
      </c>
      <c r="Q5088" s="1" t="str">
        <f>_xlfn.XLOOKUP(tblSales[[#This Row],[Channel Code]],tblChannels[Channel Code],tblChannels[Channel Name],"")</f>
        <v>Marketplace</v>
      </c>
      <c r="R5088" s="1">
        <f>MONTH(tblSales[[#This Row],[Date]])</f>
        <v>11</v>
      </c>
    </row>
    <row r="5089" spans="2:18" x14ac:dyDescent="0.35">
      <c r="B5089" s="113">
        <v>46332</v>
      </c>
      <c r="C5089" s="4" t="s">
        <v>3478</v>
      </c>
      <c r="D5089" s="4" t="s">
        <v>4568</v>
      </c>
      <c r="E5089" s="1" t="str">
        <f>_xlfn.XLOOKUP(tblSales[[#This Row],[Customer ID]],tblCustomers[Customer ID],tblCustomers[Customer Name],"⚠ Unknown")</f>
        <v>Walk-in Customer</v>
      </c>
      <c r="F5089" s="4" t="s">
        <v>9</v>
      </c>
      <c r="G5089" s="1" t="str">
        <f>_xlfn.XLOOKUP(tblSales[[#This Row],[Product Code]],tblProducts[Code],tblProducts[Product / Service Name],"⚠ Unknown")</f>
        <v>Casual Shirt</v>
      </c>
      <c r="H5089" s="1" t="str">
        <f>_xlfn.XLOOKUP(tblSales[[#This Row],[Product Code]],tblProducts[Code],tblProducts[Category],"")</f>
        <v>Apparel &amp; Footwear</v>
      </c>
      <c r="I5089" s="4">
        <v>12</v>
      </c>
      <c r="J5089" s="5">
        <f>_xlfn.XLOOKUP(tblSales[[#This Row],[Product Code]],tblProducts[Code],tblProducts[Selling Price (excl. VAT)],0)</f>
        <v>120000</v>
      </c>
      <c r="K5089" s="5">
        <f>tblSales[[#This Row],[Qty]]*tblSales[[#This Row],[Unit Price]]</f>
        <v>1440000</v>
      </c>
      <c r="L5089" s="5">
        <f>ROUND(tblSales[[#This Row],[DPP (excl. VAT)]]*VATEff,0)</f>
        <v>158400</v>
      </c>
      <c r="M5089" s="5">
        <f>tblSales[[#This Row],[DPP (excl. VAT)]]+tblSales[[#This Row],[Output VAT]]</f>
        <v>1598400</v>
      </c>
      <c r="N5089" s="5">
        <f>tblSales[[#This Row],[Qty]]*_xlfn.XLOOKUP(tblSales[[#This Row],[Product Code]],tblProducts[Code],tblProducts[Unit Cost],0)</f>
        <v>864000</v>
      </c>
      <c r="O5089" s="4" t="s">
        <v>4866</v>
      </c>
      <c r="P5089" s="4" t="s">
        <v>4861</v>
      </c>
      <c r="Q5089" s="1" t="str">
        <f>_xlfn.XLOOKUP(tblSales[[#This Row],[Channel Code]],tblChannels[Channel Code],tblChannels[Channel Name],"")</f>
        <v>Marketplace</v>
      </c>
      <c r="R5089" s="1">
        <f>MONTH(tblSales[[#This Row],[Date]])</f>
        <v>11</v>
      </c>
    </row>
    <row r="5090" spans="2:18" x14ac:dyDescent="0.35">
      <c r="B5090" s="113">
        <v>46332</v>
      </c>
      <c r="C5090" s="4" t="s">
        <v>3479</v>
      </c>
      <c r="D5090" s="4" t="s">
        <v>4568</v>
      </c>
      <c r="E5090" s="1" t="str">
        <f>_xlfn.XLOOKUP(tblSales[[#This Row],[Customer ID]],tblCustomers[Customer ID],tblCustomers[Customer Name],"⚠ Unknown")</f>
        <v>Walk-in Customer</v>
      </c>
      <c r="F5090" s="4" t="s">
        <v>8</v>
      </c>
      <c r="G5090" s="1" t="str">
        <f>_xlfn.XLOOKUP(tblSales[[#This Row],[Product Code]],tblProducts[Code],tblProducts[Product / Service Name],"⚠ Unknown")</f>
        <v>Casual Shorts</v>
      </c>
      <c r="H5090" s="1" t="str">
        <f>_xlfn.XLOOKUP(tblSales[[#This Row],[Product Code]],tblProducts[Code],tblProducts[Category],"")</f>
        <v>Accessories &amp; Basics</v>
      </c>
      <c r="I5090" s="4">
        <v>5</v>
      </c>
      <c r="J5090" s="5">
        <f>_xlfn.XLOOKUP(tblSales[[#This Row],[Product Code]],tblProducts[Code],tblProducts[Selling Price (excl. VAT)],0)</f>
        <v>85000</v>
      </c>
      <c r="K5090" s="5">
        <f>tblSales[[#This Row],[Qty]]*tblSales[[#This Row],[Unit Price]]</f>
        <v>425000</v>
      </c>
      <c r="L5090" s="5">
        <f>ROUND(tblSales[[#This Row],[DPP (excl. VAT)]]*VATEff,0)</f>
        <v>46750</v>
      </c>
      <c r="M5090" s="5">
        <f>tblSales[[#This Row],[DPP (excl. VAT)]]+tblSales[[#This Row],[Output VAT]]</f>
        <v>471750</v>
      </c>
      <c r="N5090" s="5">
        <f>tblSales[[#This Row],[Qty]]*_xlfn.XLOOKUP(tblSales[[#This Row],[Product Code]],tblProducts[Code],tblProducts[Unit Cost],0)</f>
        <v>250000</v>
      </c>
      <c r="O5090" s="4" t="s">
        <v>4865</v>
      </c>
      <c r="P5090" s="4" t="s">
        <v>4860</v>
      </c>
      <c r="Q5090" s="1" t="str">
        <f>_xlfn.XLOOKUP(tblSales[[#This Row],[Channel Code]],tblChannels[Channel Code],tblChannels[Channel Name],"")</f>
        <v>In-store</v>
      </c>
      <c r="R5090" s="1">
        <f>MONTH(tblSales[[#This Row],[Date]])</f>
        <v>11</v>
      </c>
    </row>
    <row r="5091" spans="2:18" x14ac:dyDescent="0.35">
      <c r="B5091" s="113">
        <v>46332</v>
      </c>
      <c r="C5091" s="4" t="s">
        <v>3479</v>
      </c>
      <c r="D5091" s="4" t="s">
        <v>4568</v>
      </c>
      <c r="E5091" s="1" t="str">
        <f>_xlfn.XLOOKUP(tblSales[[#This Row],[Customer ID]],tblCustomers[Customer ID],tblCustomers[Customer Name],"⚠ Unknown")</f>
        <v>Walk-in Customer</v>
      </c>
      <c r="F5091" s="4" t="s">
        <v>7</v>
      </c>
      <c r="G5091" s="1" t="str">
        <f>_xlfn.XLOOKUP(tblSales[[#This Row],[Product Code]],tblProducts[Code],tblProducts[Product / Service Name],"⚠ Unknown")</f>
        <v>Premium Basic T-shirt</v>
      </c>
      <c r="H5091" s="1" t="str">
        <f>_xlfn.XLOOKUP(tblSales[[#This Row],[Product Code]],tblProducts[Code],tblProducts[Category],"")</f>
        <v>Accessories &amp; Basics</v>
      </c>
      <c r="I5091" s="4">
        <v>11</v>
      </c>
      <c r="J5091" s="5">
        <f>_xlfn.XLOOKUP(tblSales[[#This Row],[Product Code]],tblProducts[Code],tblProducts[Selling Price (excl. VAT)],0)</f>
        <v>65000</v>
      </c>
      <c r="K5091" s="5">
        <f>tblSales[[#This Row],[Qty]]*tblSales[[#This Row],[Unit Price]]</f>
        <v>715000</v>
      </c>
      <c r="L5091" s="5">
        <f>ROUND(tblSales[[#This Row],[DPP (excl. VAT)]]*VATEff,0)</f>
        <v>78650</v>
      </c>
      <c r="M5091" s="5">
        <f>tblSales[[#This Row],[DPP (excl. VAT)]]+tblSales[[#This Row],[Output VAT]]</f>
        <v>793650</v>
      </c>
      <c r="N5091" s="5">
        <f>tblSales[[#This Row],[Qty]]*_xlfn.XLOOKUP(tblSales[[#This Row],[Product Code]],tblProducts[Code],tblProducts[Unit Cost],0)</f>
        <v>407000</v>
      </c>
      <c r="O5091" s="4" t="s">
        <v>4865</v>
      </c>
      <c r="P5091" s="4" t="s">
        <v>4860</v>
      </c>
      <c r="Q5091" s="1" t="str">
        <f>_xlfn.XLOOKUP(tblSales[[#This Row],[Channel Code]],tblChannels[Channel Code],tblChannels[Channel Name],"")</f>
        <v>In-store</v>
      </c>
      <c r="R5091" s="1">
        <f>MONTH(tblSales[[#This Row],[Date]])</f>
        <v>11</v>
      </c>
    </row>
    <row r="5092" spans="2:18" x14ac:dyDescent="0.35">
      <c r="B5092" s="113">
        <v>46332</v>
      </c>
      <c r="C5092" s="4" t="s">
        <v>3480</v>
      </c>
      <c r="D5092" s="4" t="s">
        <v>4634</v>
      </c>
      <c r="E5092" s="1" t="str">
        <f>_xlfn.XLOOKUP(tblSales[[#This Row],[Customer ID]],tblCustomers[Customer ID],tblCustomers[Customer Name],"⚠ Unknown")</f>
        <v>PT Delta Inti Selaras</v>
      </c>
      <c r="F5092" s="4" t="s">
        <v>7</v>
      </c>
      <c r="G5092" s="1" t="str">
        <f>_xlfn.XLOOKUP(tblSales[[#This Row],[Product Code]],tblProducts[Code],tblProducts[Product / Service Name],"⚠ Unknown")</f>
        <v>Premium Basic T-shirt</v>
      </c>
      <c r="H5092" s="1" t="str">
        <f>_xlfn.XLOOKUP(tblSales[[#This Row],[Product Code]],tblProducts[Code],tblProducts[Category],"")</f>
        <v>Accessories &amp; Basics</v>
      </c>
      <c r="I5092" s="4">
        <v>16</v>
      </c>
      <c r="J5092" s="5">
        <f>_xlfn.XLOOKUP(tblSales[[#This Row],[Product Code]],tblProducts[Code],tblProducts[Selling Price (excl. VAT)],0)</f>
        <v>65000</v>
      </c>
      <c r="K5092" s="5">
        <f>tblSales[[#This Row],[Qty]]*tblSales[[#This Row],[Unit Price]]</f>
        <v>1040000</v>
      </c>
      <c r="L5092" s="5">
        <f>ROUND(tblSales[[#This Row],[DPP (excl. VAT)]]*VATEff,0)</f>
        <v>114400</v>
      </c>
      <c r="M5092" s="5">
        <f>tblSales[[#This Row],[DPP (excl. VAT)]]+tblSales[[#This Row],[Output VAT]]</f>
        <v>1154400</v>
      </c>
      <c r="N5092" s="5">
        <f>tblSales[[#This Row],[Qty]]*_xlfn.XLOOKUP(tblSales[[#This Row],[Product Code]],tblProducts[Code],tblProducts[Unit Cost],0)</f>
        <v>592000</v>
      </c>
      <c r="O5092" s="4" t="s">
        <v>4867</v>
      </c>
      <c r="P5092" s="4" t="s">
        <v>4862</v>
      </c>
      <c r="Q5092" s="1" t="str">
        <f>_xlfn.XLOOKUP(tblSales[[#This Row],[Channel Code]],tblChannels[Channel Code],tblChannels[Channel Name],"")</f>
        <v>Website &amp; Social Media</v>
      </c>
      <c r="R5092" s="1">
        <f>MONTH(tblSales[[#This Row],[Date]])</f>
        <v>11</v>
      </c>
    </row>
    <row r="5093" spans="2:18" x14ac:dyDescent="0.35">
      <c r="B5093" s="113">
        <v>46332</v>
      </c>
      <c r="C5093" s="4" t="s">
        <v>3481</v>
      </c>
      <c r="D5093" s="4" t="s">
        <v>4568</v>
      </c>
      <c r="E5093" s="1" t="str">
        <f>_xlfn.XLOOKUP(tblSales[[#This Row],[Customer ID]],tblCustomers[Customer ID],tblCustomers[Customer Name],"⚠ Unknown")</f>
        <v>Walk-in Customer</v>
      </c>
      <c r="F5093" s="4" t="s">
        <v>6</v>
      </c>
      <c r="G5093" s="1" t="str">
        <f>_xlfn.XLOOKUP(tblSales[[#This Row],[Product Code]],tblProducts[Code],tblProducts[Product / Service Name],"⚠ Unknown")</f>
        <v>Socks &amp; Accessories</v>
      </c>
      <c r="H5093" s="1" t="str">
        <f>_xlfn.XLOOKUP(tblSales[[#This Row],[Product Code]],tblProducts[Code],tblProducts[Category],"")</f>
        <v>Accessories &amp; Basics</v>
      </c>
      <c r="I5093" s="4">
        <v>11</v>
      </c>
      <c r="J5093" s="5">
        <f>_xlfn.XLOOKUP(tblSales[[#This Row],[Product Code]],tblProducts[Code],tblProducts[Selling Price (excl. VAT)],0)</f>
        <v>45000</v>
      </c>
      <c r="K5093" s="5">
        <f>tblSales[[#This Row],[Qty]]*tblSales[[#This Row],[Unit Price]]</f>
        <v>495000</v>
      </c>
      <c r="L5093" s="5">
        <f>ROUND(tblSales[[#This Row],[DPP (excl. VAT)]]*VATEff,0)</f>
        <v>54450</v>
      </c>
      <c r="M5093" s="5">
        <f>tblSales[[#This Row],[DPP (excl. VAT)]]+tblSales[[#This Row],[Output VAT]]</f>
        <v>549450</v>
      </c>
      <c r="N5093" s="5">
        <f>tblSales[[#This Row],[Qty]]*_xlfn.XLOOKUP(tblSales[[#This Row],[Product Code]],tblProducts[Code],tblProducts[Unit Cost],0)</f>
        <v>264000</v>
      </c>
      <c r="O5093" s="4" t="s">
        <v>4866</v>
      </c>
      <c r="P5093" s="4" t="s">
        <v>4860</v>
      </c>
      <c r="Q5093" s="1" t="str">
        <f>_xlfn.XLOOKUP(tblSales[[#This Row],[Channel Code]],tblChannels[Channel Code],tblChannels[Channel Name],"")</f>
        <v>In-store</v>
      </c>
      <c r="R5093" s="1">
        <f>MONTH(tblSales[[#This Row],[Date]])</f>
        <v>11</v>
      </c>
    </row>
    <row r="5094" spans="2:18" x14ac:dyDescent="0.35">
      <c r="B5094" s="113">
        <v>46332</v>
      </c>
      <c r="C5094" s="4" t="s">
        <v>3482</v>
      </c>
      <c r="D5094" s="4" t="s">
        <v>4568</v>
      </c>
      <c r="E5094" s="1" t="str">
        <f>_xlfn.XLOOKUP(tblSales[[#This Row],[Customer ID]],tblCustomers[Customer ID],tblCustomers[Customer Name],"⚠ Unknown")</f>
        <v>Walk-in Customer</v>
      </c>
      <c r="F5094" s="4" t="s">
        <v>13</v>
      </c>
      <c r="G5094" s="1" t="str">
        <f>_xlfn.XLOOKUP(tblSales[[#This Row],[Product Code]],tblProducts[Code],tblProducts[Product / Service Name],"⚠ Unknown")</f>
        <v>Backpack</v>
      </c>
      <c r="H5094" s="1" t="str">
        <f>_xlfn.XLOOKUP(tblSales[[#This Row],[Product Code]],tblProducts[Code],tblProducts[Category],"")</f>
        <v>Bags &amp; Gadgets</v>
      </c>
      <c r="I5094" s="4">
        <v>5</v>
      </c>
      <c r="J5094" s="5">
        <f>_xlfn.XLOOKUP(tblSales[[#This Row],[Product Code]],tblProducts[Code],tblProducts[Selling Price (excl. VAT)],0)</f>
        <v>500000</v>
      </c>
      <c r="K5094" s="5">
        <f>tblSales[[#This Row],[Qty]]*tblSales[[#This Row],[Unit Price]]</f>
        <v>2500000</v>
      </c>
      <c r="L5094" s="5">
        <f>ROUND(tblSales[[#This Row],[DPP (excl. VAT)]]*VATEff,0)</f>
        <v>275000</v>
      </c>
      <c r="M5094" s="5">
        <f>tblSales[[#This Row],[DPP (excl. VAT)]]+tblSales[[#This Row],[Output VAT]]</f>
        <v>2775000</v>
      </c>
      <c r="N5094" s="5">
        <f>tblSales[[#This Row],[Qty]]*_xlfn.XLOOKUP(tblSales[[#This Row],[Product Code]],tblProducts[Code],tblProducts[Unit Cost],0)</f>
        <v>1450000</v>
      </c>
      <c r="O5094" s="4" t="s">
        <v>4865</v>
      </c>
      <c r="P5094" s="4" t="s">
        <v>4860</v>
      </c>
      <c r="Q5094" s="1" t="str">
        <f>_xlfn.XLOOKUP(tblSales[[#This Row],[Channel Code]],tblChannels[Channel Code],tblChannels[Channel Name],"")</f>
        <v>In-store</v>
      </c>
      <c r="R5094" s="1">
        <f>MONTH(tblSales[[#This Row],[Date]])</f>
        <v>11</v>
      </c>
    </row>
    <row r="5095" spans="2:18" x14ac:dyDescent="0.35">
      <c r="B5095" s="113">
        <v>46332</v>
      </c>
      <c r="C5095" s="4" t="s">
        <v>3483</v>
      </c>
      <c r="D5095" s="4" t="s">
        <v>4593</v>
      </c>
      <c r="E5095" s="1" t="str">
        <f>_xlfn.XLOOKUP(tblSales[[#This Row],[Customer ID]],tblCustomers[Customer ID],tblCustomers[Customer Name],"⚠ Unknown")</f>
        <v>PT Graha Nusa Persada</v>
      </c>
      <c r="F5095" s="4" t="s">
        <v>6</v>
      </c>
      <c r="G5095" s="1" t="str">
        <f>_xlfn.XLOOKUP(tblSales[[#This Row],[Product Code]],tblProducts[Code],tblProducts[Product / Service Name],"⚠ Unknown")</f>
        <v>Socks &amp; Accessories</v>
      </c>
      <c r="H5095" s="1" t="str">
        <f>_xlfn.XLOOKUP(tblSales[[#This Row],[Product Code]],tblProducts[Code],tblProducts[Category],"")</f>
        <v>Accessories &amp; Basics</v>
      </c>
      <c r="I5095" s="4">
        <v>8</v>
      </c>
      <c r="J5095" s="5">
        <f>_xlfn.XLOOKUP(tblSales[[#This Row],[Product Code]],tblProducts[Code],tblProducts[Selling Price (excl. VAT)],0)</f>
        <v>45000</v>
      </c>
      <c r="K5095" s="5">
        <f>tblSales[[#This Row],[Qty]]*tblSales[[#This Row],[Unit Price]]</f>
        <v>360000</v>
      </c>
      <c r="L5095" s="5">
        <f>ROUND(tblSales[[#This Row],[DPP (excl. VAT)]]*VATEff,0)</f>
        <v>39600</v>
      </c>
      <c r="M5095" s="5">
        <f>tblSales[[#This Row],[DPP (excl. VAT)]]+tblSales[[#This Row],[Output VAT]]</f>
        <v>399600</v>
      </c>
      <c r="N5095" s="5">
        <f>tblSales[[#This Row],[Qty]]*_xlfn.XLOOKUP(tblSales[[#This Row],[Product Code]],tblProducts[Code],tblProducts[Unit Cost],0)</f>
        <v>192000</v>
      </c>
      <c r="O5095" s="4" t="s">
        <v>4867</v>
      </c>
      <c r="P5095" s="4" t="s">
        <v>4860</v>
      </c>
      <c r="Q5095" s="1" t="str">
        <f>_xlfn.XLOOKUP(tblSales[[#This Row],[Channel Code]],tblChannels[Channel Code],tblChannels[Channel Name],"")</f>
        <v>In-store</v>
      </c>
      <c r="R5095" s="1">
        <f>MONTH(tblSales[[#This Row],[Date]])</f>
        <v>11</v>
      </c>
    </row>
    <row r="5096" spans="2:18" x14ac:dyDescent="0.35">
      <c r="B5096" s="113">
        <v>46332</v>
      </c>
      <c r="C5096" s="4" t="s">
        <v>3484</v>
      </c>
      <c r="D5096" s="4" t="s">
        <v>4627</v>
      </c>
      <c r="E5096" s="1" t="str">
        <f>_xlfn.XLOOKUP(tblSales[[#This Row],[Customer ID]],tblCustomers[Customer ID],tblCustomers[Customer Name],"⚠ Unknown")</f>
        <v>PT Kencana Wira Usaha</v>
      </c>
      <c r="F5096" s="4" t="s">
        <v>9</v>
      </c>
      <c r="G5096" s="1" t="str">
        <f>_xlfn.XLOOKUP(tblSales[[#This Row],[Product Code]],tblProducts[Code],tblProducts[Product / Service Name],"⚠ Unknown")</f>
        <v>Casual Shirt</v>
      </c>
      <c r="H5096" s="1" t="str">
        <f>_xlfn.XLOOKUP(tblSales[[#This Row],[Product Code]],tblProducts[Code],tblProducts[Category],"")</f>
        <v>Apparel &amp; Footwear</v>
      </c>
      <c r="I5096" s="4">
        <v>72</v>
      </c>
      <c r="J5096" s="5">
        <f>_xlfn.XLOOKUP(tblSales[[#This Row],[Product Code]],tblProducts[Code],tblProducts[Selling Price (excl. VAT)],0)</f>
        <v>120000</v>
      </c>
      <c r="K5096" s="5">
        <f>tblSales[[#This Row],[Qty]]*tblSales[[#This Row],[Unit Price]]</f>
        <v>8640000</v>
      </c>
      <c r="L5096" s="5">
        <f>ROUND(tblSales[[#This Row],[DPP (excl. VAT)]]*VATEff,0)</f>
        <v>950400</v>
      </c>
      <c r="M5096" s="5">
        <f>tblSales[[#This Row],[DPP (excl. VAT)]]+tblSales[[#This Row],[Output VAT]]</f>
        <v>9590400</v>
      </c>
      <c r="N5096" s="5">
        <f>tblSales[[#This Row],[Qty]]*_xlfn.XLOOKUP(tblSales[[#This Row],[Product Code]],tblProducts[Code],tblProducts[Unit Cost],0)</f>
        <v>5184000</v>
      </c>
      <c r="O5096" s="4" t="s">
        <v>4867</v>
      </c>
      <c r="P5096" s="4" t="s">
        <v>4860</v>
      </c>
      <c r="Q5096" s="1" t="str">
        <f>_xlfn.XLOOKUP(tblSales[[#This Row],[Channel Code]],tblChannels[Channel Code],tblChannels[Channel Name],"")</f>
        <v>In-store</v>
      </c>
      <c r="R5096" s="1">
        <f>MONTH(tblSales[[#This Row],[Date]])</f>
        <v>11</v>
      </c>
    </row>
    <row r="5097" spans="2:18" x14ac:dyDescent="0.35">
      <c r="B5097" s="113">
        <v>46332</v>
      </c>
      <c r="C5097" s="4" t="s">
        <v>3484</v>
      </c>
      <c r="D5097" s="4" t="s">
        <v>4627</v>
      </c>
      <c r="E5097" s="1" t="str">
        <f>_xlfn.XLOOKUP(tblSales[[#This Row],[Customer ID]],tblCustomers[Customer ID],tblCustomers[Customer Name],"⚠ Unknown")</f>
        <v>PT Kencana Wira Usaha</v>
      </c>
      <c r="F5097" s="4" t="s">
        <v>7</v>
      </c>
      <c r="G5097" s="1" t="str">
        <f>_xlfn.XLOOKUP(tblSales[[#This Row],[Product Code]],tblProducts[Code],tblProducts[Product / Service Name],"⚠ Unknown")</f>
        <v>Premium Basic T-shirt</v>
      </c>
      <c r="H5097" s="1" t="str">
        <f>_xlfn.XLOOKUP(tblSales[[#This Row],[Product Code]],tblProducts[Code],tblProducts[Category],"")</f>
        <v>Accessories &amp; Basics</v>
      </c>
      <c r="I5097" s="4">
        <v>72</v>
      </c>
      <c r="J5097" s="5">
        <f>_xlfn.XLOOKUP(tblSales[[#This Row],[Product Code]],tblProducts[Code],tblProducts[Selling Price (excl. VAT)],0)</f>
        <v>65000</v>
      </c>
      <c r="K5097" s="5">
        <f>tblSales[[#This Row],[Qty]]*tblSales[[#This Row],[Unit Price]]</f>
        <v>4680000</v>
      </c>
      <c r="L5097" s="5">
        <f>ROUND(tblSales[[#This Row],[DPP (excl. VAT)]]*VATEff,0)</f>
        <v>514800</v>
      </c>
      <c r="M5097" s="5">
        <f>tblSales[[#This Row],[DPP (excl. VAT)]]+tblSales[[#This Row],[Output VAT]]</f>
        <v>5194800</v>
      </c>
      <c r="N5097" s="5">
        <f>tblSales[[#This Row],[Qty]]*_xlfn.XLOOKUP(tblSales[[#This Row],[Product Code]],tblProducts[Code],tblProducts[Unit Cost],0)</f>
        <v>2664000</v>
      </c>
      <c r="O5097" s="4" t="s">
        <v>4867</v>
      </c>
      <c r="P5097" s="4" t="s">
        <v>4860</v>
      </c>
      <c r="Q5097" s="1" t="str">
        <f>_xlfn.XLOOKUP(tblSales[[#This Row],[Channel Code]],tblChannels[Channel Code],tblChannels[Channel Name],"")</f>
        <v>In-store</v>
      </c>
      <c r="R5097" s="1">
        <f>MONTH(tblSales[[#This Row],[Date]])</f>
        <v>11</v>
      </c>
    </row>
    <row r="5098" spans="2:18" x14ac:dyDescent="0.35">
      <c r="B5098" s="113">
        <v>46333</v>
      </c>
      <c r="C5098" s="4" t="s">
        <v>3485</v>
      </c>
      <c r="D5098" s="4" t="s">
        <v>4568</v>
      </c>
      <c r="E5098" s="1" t="str">
        <f>_xlfn.XLOOKUP(tblSales[[#This Row],[Customer ID]],tblCustomers[Customer ID],tblCustomers[Customer Name],"⚠ Unknown")</f>
        <v>Walk-in Customer</v>
      </c>
      <c r="F5098" s="4" t="s">
        <v>12</v>
      </c>
      <c r="G5098" s="1" t="str">
        <f>_xlfn.XLOOKUP(tblSales[[#This Row],[Product Code]],tblProducts[Code],tblProducts[Product / Service Name],"⚠ Unknown")</f>
        <v>Bomber Jacket</v>
      </c>
      <c r="H5098" s="1" t="str">
        <f>_xlfn.XLOOKUP(tblSales[[#This Row],[Product Code]],tblProducts[Code],tblProducts[Category],"")</f>
        <v>Apparel &amp; Footwear</v>
      </c>
      <c r="I5098" s="4">
        <v>2</v>
      </c>
      <c r="J5098" s="5">
        <f>_xlfn.XLOOKUP(tblSales[[#This Row],[Product Code]],tblProducts[Code],tblProducts[Selling Price (excl. VAT)],0)</f>
        <v>350000</v>
      </c>
      <c r="K5098" s="5">
        <f>tblSales[[#This Row],[Qty]]*tblSales[[#This Row],[Unit Price]]</f>
        <v>700000</v>
      </c>
      <c r="L5098" s="5">
        <f>ROUND(tblSales[[#This Row],[DPP (excl. VAT)]]*VATEff,0)</f>
        <v>77000</v>
      </c>
      <c r="M5098" s="5">
        <f>tblSales[[#This Row],[DPP (excl. VAT)]]+tblSales[[#This Row],[Output VAT]]</f>
        <v>777000</v>
      </c>
      <c r="N5098" s="5">
        <f>tblSales[[#This Row],[Qty]]*_xlfn.XLOOKUP(tblSales[[#This Row],[Product Code]],tblProducts[Code],tblProducts[Unit Cost],0)</f>
        <v>420000</v>
      </c>
      <c r="O5098" s="4" t="s">
        <v>4866</v>
      </c>
      <c r="P5098" s="4" t="s">
        <v>4862</v>
      </c>
      <c r="Q5098" s="1" t="str">
        <f>_xlfn.XLOOKUP(tblSales[[#This Row],[Channel Code]],tblChannels[Channel Code],tblChannels[Channel Name],"")</f>
        <v>Website &amp; Social Media</v>
      </c>
      <c r="R5098" s="1">
        <f>MONTH(tblSales[[#This Row],[Date]])</f>
        <v>11</v>
      </c>
    </row>
    <row r="5099" spans="2:18" x14ac:dyDescent="0.35">
      <c r="B5099" s="113">
        <v>46333</v>
      </c>
      <c r="C5099" s="4" t="s">
        <v>3486</v>
      </c>
      <c r="D5099" s="4" t="s">
        <v>4568</v>
      </c>
      <c r="E5099" s="1" t="str">
        <f>_xlfn.XLOOKUP(tblSales[[#This Row],[Customer ID]],tblCustomers[Customer ID],tblCustomers[Customer Name],"⚠ Unknown")</f>
        <v>Walk-in Customer</v>
      </c>
      <c r="F5099" s="4" t="s">
        <v>11</v>
      </c>
      <c r="G5099" s="1" t="str">
        <f>_xlfn.XLOOKUP(tblSales[[#This Row],[Product Code]],tblProducts[Code],tblProducts[Product / Service Name],"⚠ Unknown")</f>
        <v>Sneakers</v>
      </c>
      <c r="H5099" s="1" t="str">
        <f>_xlfn.XLOOKUP(tblSales[[#This Row],[Product Code]],tblProducts[Code],tblProducts[Category],"")</f>
        <v>Apparel &amp; Footwear</v>
      </c>
      <c r="I5099" s="4">
        <v>5</v>
      </c>
      <c r="J5099" s="5">
        <f>_xlfn.XLOOKUP(tblSales[[#This Row],[Product Code]],tblProducts[Code],tblProducts[Selling Price (excl. VAT)],0)</f>
        <v>250000</v>
      </c>
      <c r="K5099" s="5">
        <f>tblSales[[#This Row],[Qty]]*tblSales[[#This Row],[Unit Price]]</f>
        <v>1250000</v>
      </c>
      <c r="L5099" s="5">
        <f>ROUND(tblSales[[#This Row],[DPP (excl. VAT)]]*VATEff,0)</f>
        <v>137500</v>
      </c>
      <c r="M5099" s="5">
        <f>tblSales[[#This Row],[DPP (excl. VAT)]]+tblSales[[#This Row],[Output VAT]]</f>
        <v>1387500</v>
      </c>
      <c r="N5099" s="5">
        <f>tblSales[[#This Row],[Qty]]*_xlfn.XLOOKUP(tblSales[[#This Row],[Product Code]],tblProducts[Code],tblProducts[Unit Cost],0)</f>
        <v>775000</v>
      </c>
      <c r="O5099" s="4" t="s">
        <v>4865</v>
      </c>
      <c r="P5099" s="4" t="s">
        <v>4860</v>
      </c>
      <c r="Q5099" s="1" t="str">
        <f>_xlfn.XLOOKUP(tblSales[[#This Row],[Channel Code]],tblChannels[Channel Code],tblChannels[Channel Name],"")</f>
        <v>In-store</v>
      </c>
      <c r="R5099" s="1">
        <f>MONTH(tblSales[[#This Row],[Date]])</f>
        <v>11</v>
      </c>
    </row>
    <row r="5100" spans="2:18" x14ac:dyDescent="0.35">
      <c r="B5100" s="113">
        <v>46333</v>
      </c>
      <c r="C5100" s="4" t="s">
        <v>3487</v>
      </c>
      <c r="D5100" s="4" t="s">
        <v>4568</v>
      </c>
      <c r="E5100" s="1" t="str">
        <f>_xlfn.XLOOKUP(tblSales[[#This Row],[Customer ID]],tblCustomers[Customer ID],tblCustomers[Customer Name],"⚠ Unknown")</f>
        <v>Walk-in Customer</v>
      </c>
      <c r="F5100" s="4" t="s">
        <v>9</v>
      </c>
      <c r="G5100" s="1" t="str">
        <f>_xlfn.XLOOKUP(tblSales[[#This Row],[Product Code]],tblProducts[Code],tblProducts[Product / Service Name],"⚠ Unknown")</f>
        <v>Casual Shirt</v>
      </c>
      <c r="H5100" s="1" t="str">
        <f>_xlfn.XLOOKUP(tblSales[[#This Row],[Product Code]],tblProducts[Code],tblProducts[Category],"")</f>
        <v>Apparel &amp; Footwear</v>
      </c>
      <c r="I5100" s="4">
        <v>10</v>
      </c>
      <c r="J5100" s="5">
        <f>_xlfn.XLOOKUP(tblSales[[#This Row],[Product Code]],tblProducts[Code],tblProducts[Selling Price (excl. VAT)],0)</f>
        <v>120000</v>
      </c>
      <c r="K5100" s="5">
        <f>tblSales[[#This Row],[Qty]]*tblSales[[#This Row],[Unit Price]]</f>
        <v>1200000</v>
      </c>
      <c r="L5100" s="5">
        <f>ROUND(tblSales[[#This Row],[DPP (excl. VAT)]]*VATEff,0)</f>
        <v>132000</v>
      </c>
      <c r="M5100" s="5">
        <f>tblSales[[#This Row],[DPP (excl. VAT)]]+tblSales[[#This Row],[Output VAT]]</f>
        <v>1332000</v>
      </c>
      <c r="N5100" s="5">
        <f>tblSales[[#This Row],[Qty]]*_xlfn.XLOOKUP(tblSales[[#This Row],[Product Code]],tblProducts[Code],tblProducts[Unit Cost],0)</f>
        <v>720000</v>
      </c>
      <c r="O5100" s="4" t="s">
        <v>4866</v>
      </c>
      <c r="P5100" s="4" t="s">
        <v>4862</v>
      </c>
      <c r="Q5100" s="1" t="str">
        <f>_xlfn.XLOOKUP(tblSales[[#This Row],[Channel Code]],tblChannels[Channel Code],tblChannels[Channel Name],"")</f>
        <v>Website &amp; Social Media</v>
      </c>
      <c r="R5100" s="1">
        <f>MONTH(tblSales[[#This Row],[Date]])</f>
        <v>11</v>
      </c>
    </row>
    <row r="5101" spans="2:18" x14ac:dyDescent="0.35">
      <c r="B5101" s="113">
        <v>46333</v>
      </c>
      <c r="C5101" s="4" t="s">
        <v>3488</v>
      </c>
      <c r="D5101" s="4" t="s">
        <v>4568</v>
      </c>
      <c r="E5101" s="1" t="str">
        <f>_xlfn.XLOOKUP(tblSales[[#This Row],[Customer ID]],tblCustomers[Customer ID],tblCustomers[Customer Name],"⚠ Unknown")</f>
        <v>Walk-in Customer</v>
      </c>
      <c r="F5101" s="4" t="s">
        <v>11</v>
      </c>
      <c r="G5101" s="1" t="str">
        <f>_xlfn.XLOOKUP(tblSales[[#This Row],[Product Code]],tblProducts[Code],tblProducts[Product / Service Name],"⚠ Unknown")</f>
        <v>Sneakers</v>
      </c>
      <c r="H5101" s="1" t="str">
        <f>_xlfn.XLOOKUP(tblSales[[#This Row],[Product Code]],tblProducts[Code],tblProducts[Category],"")</f>
        <v>Apparel &amp; Footwear</v>
      </c>
      <c r="I5101" s="4">
        <v>4</v>
      </c>
      <c r="J5101" s="5">
        <f>_xlfn.XLOOKUP(tblSales[[#This Row],[Product Code]],tblProducts[Code],tblProducts[Selling Price (excl. VAT)],0)</f>
        <v>250000</v>
      </c>
      <c r="K5101" s="5">
        <f>tblSales[[#This Row],[Qty]]*tblSales[[#This Row],[Unit Price]]</f>
        <v>1000000</v>
      </c>
      <c r="L5101" s="5">
        <f>ROUND(tblSales[[#This Row],[DPP (excl. VAT)]]*VATEff,0)</f>
        <v>110000</v>
      </c>
      <c r="M5101" s="5">
        <f>tblSales[[#This Row],[DPP (excl. VAT)]]+tblSales[[#This Row],[Output VAT]]</f>
        <v>1110000</v>
      </c>
      <c r="N5101" s="5">
        <f>tblSales[[#This Row],[Qty]]*_xlfn.XLOOKUP(tblSales[[#This Row],[Product Code]],tblProducts[Code],tblProducts[Unit Cost],0)</f>
        <v>620000</v>
      </c>
      <c r="O5101" s="4" t="s">
        <v>4866</v>
      </c>
      <c r="P5101" s="4" t="s">
        <v>4861</v>
      </c>
      <c r="Q5101" s="1" t="str">
        <f>_xlfn.XLOOKUP(tblSales[[#This Row],[Channel Code]],tblChannels[Channel Code],tblChannels[Channel Name],"")</f>
        <v>Marketplace</v>
      </c>
      <c r="R5101" s="1">
        <f>MONTH(tblSales[[#This Row],[Date]])</f>
        <v>11</v>
      </c>
    </row>
    <row r="5102" spans="2:18" x14ac:dyDescent="0.35">
      <c r="B5102" s="113">
        <v>46333</v>
      </c>
      <c r="C5102" s="4" t="s">
        <v>3489</v>
      </c>
      <c r="D5102" s="4" t="s">
        <v>4568</v>
      </c>
      <c r="E5102" s="1" t="str">
        <f>_xlfn.XLOOKUP(tblSales[[#This Row],[Customer ID]],tblCustomers[Customer ID],tblCustomers[Customer Name],"⚠ Unknown")</f>
        <v>Walk-in Customer</v>
      </c>
      <c r="F5102" s="4" t="s">
        <v>7</v>
      </c>
      <c r="G5102" s="1" t="str">
        <f>_xlfn.XLOOKUP(tblSales[[#This Row],[Product Code]],tblProducts[Code],tblProducts[Product / Service Name],"⚠ Unknown")</f>
        <v>Premium Basic T-shirt</v>
      </c>
      <c r="H5102" s="1" t="str">
        <f>_xlfn.XLOOKUP(tblSales[[#This Row],[Product Code]],tblProducts[Code],tblProducts[Category],"")</f>
        <v>Accessories &amp; Basics</v>
      </c>
      <c r="I5102" s="4">
        <v>3</v>
      </c>
      <c r="J5102" s="5">
        <f>_xlfn.XLOOKUP(tblSales[[#This Row],[Product Code]],tblProducts[Code],tblProducts[Selling Price (excl. VAT)],0)</f>
        <v>65000</v>
      </c>
      <c r="K5102" s="5">
        <f>tblSales[[#This Row],[Qty]]*tblSales[[#This Row],[Unit Price]]</f>
        <v>195000</v>
      </c>
      <c r="L5102" s="5">
        <f>ROUND(tblSales[[#This Row],[DPP (excl. VAT)]]*VATEff,0)</f>
        <v>21450</v>
      </c>
      <c r="M5102" s="5">
        <f>tblSales[[#This Row],[DPP (excl. VAT)]]+tblSales[[#This Row],[Output VAT]]</f>
        <v>216450</v>
      </c>
      <c r="N5102" s="5">
        <f>tblSales[[#This Row],[Qty]]*_xlfn.XLOOKUP(tblSales[[#This Row],[Product Code]],tblProducts[Code],tblProducts[Unit Cost],0)</f>
        <v>111000</v>
      </c>
      <c r="O5102" s="4" t="s">
        <v>4866</v>
      </c>
      <c r="P5102" s="4" t="s">
        <v>4861</v>
      </c>
      <c r="Q5102" s="1" t="str">
        <f>_xlfn.XLOOKUP(tblSales[[#This Row],[Channel Code]],tblChannels[Channel Code],tblChannels[Channel Name],"")</f>
        <v>Marketplace</v>
      </c>
      <c r="R5102" s="1">
        <f>MONTH(tblSales[[#This Row],[Date]])</f>
        <v>11</v>
      </c>
    </row>
    <row r="5103" spans="2:18" x14ac:dyDescent="0.35">
      <c r="B5103" s="113">
        <v>46333</v>
      </c>
      <c r="C5103" s="4" t="s">
        <v>3490</v>
      </c>
      <c r="D5103" s="4" t="s">
        <v>4568</v>
      </c>
      <c r="E5103" s="1" t="str">
        <f>_xlfn.XLOOKUP(tblSales[[#This Row],[Customer ID]],tblCustomers[Customer ID],tblCustomers[Customer Name],"⚠ Unknown")</f>
        <v>Walk-in Customer</v>
      </c>
      <c r="F5103" s="4" t="s">
        <v>10</v>
      </c>
      <c r="G5103" s="1" t="str">
        <f>_xlfn.XLOOKUP(tblSales[[#This Row],[Product Code]],tblProducts[Code],tblProducts[Product / Service Name],"⚠ Unknown")</f>
        <v>Chino Pants</v>
      </c>
      <c r="H5103" s="1" t="str">
        <f>_xlfn.XLOOKUP(tblSales[[#This Row],[Product Code]],tblProducts[Code],tblProducts[Category],"")</f>
        <v>Apparel &amp; Footwear</v>
      </c>
      <c r="I5103" s="4">
        <v>6</v>
      </c>
      <c r="J5103" s="5">
        <f>_xlfn.XLOOKUP(tblSales[[#This Row],[Product Code]],tblProducts[Code],tblProducts[Selling Price (excl. VAT)],0)</f>
        <v>150000</v>
      </c>
      <c r="K5103" s="5">
        <f>tblSales[[#This Row],[Qty]]*tblSales[[#This Row],[Unit Price]]</f>
        <v>900000</v>
      </c>
      <c r="L5103" s="5">
        <f>ROUND(tblSales[[#This Row],[DPP (excl. VAT)]]*VATEff,0)</f>
        <v>99000</v>
      </c>
      <c r="M5103" s="5">
        <f>tblSales[[#This Row],[DPP (excl. VAT)]]+tblSales[[#This Row],[Output VAT]]</f>
        <v>999000</v>
      </c>
      <c r="N5103" s="5">
        <f>tblSales[[#This Row],[Qty]]*_xlfn.XLOOKUP(tblSales[[#This Row],[Product Code]],tblProducts[Code],tblProducts[Unit Cost],0)</f>
        <v>528000</v>
      </c>
      <c r="O5103" s="4" t="s">
        <v>4866</v>
      </c>
      <c r="P5103" s="4" t="s">
        <v>4862</v>
      </c>
      <c r="Q5103" s="1" t="str">
        <f>_xlfn.XLOOKUP(tblSales[[#This Row],[Channel Code]],tblChannels[Channel Code],tblChannels[Channel Name],"")</f>
        <v>Website &amp; Social Media</v>
      </c>
      <c r="R5103" s="1">
        <f>MONTH(tblSales[[#This Row],[Date]])</f>
        <v>11</v>
      </c>
    </row>
    <row r="5104" spans="2:18" x14ac:dyDescent="0.35">
      <c r="B5104" s="113">
        <v>46333</v>
      </c>
      <c r="C5104" s="4" t="s">
        <v>3491</v>
      </c>
      <c r="D5104" s="4" t="s">
        <v>4568</v>
      </c>
      <c r="E5104" s="1" t="str">
        <f>_xlfn.XLOOKUP(tblSales[[#This Row],[Customer ID]],tblCustomers[Customer ID],tblCustomers[Customer Name],"⚠ Unknown")</f>
        <v>Walk-in Customer</v>
      </c>
      <c r="F5104" s="4" t="s">
        <v>7</v>
      </c>
      <c r="G5104" s="1" t="str">
        <f>_xlfn.XLOOKUP(tblSales[[#This Row],[Product Code]],tblProducts[Code],tblProducts[Product / Service Name],"⚠ Unknown")</f>
        <v>Premium Basic T-shirt</v>
      </c>
      <c r="H5104" s="1" t="str">
        <f>_xlfn.XLOOKUP(tblSales[[#This Row],[Product Code]],tblProducts[Code],tblProducts[Category],"")</f>
        <v>Accessories &amp; Basics</v>
      </c>
      <c r="I5104" s="4">
        <v>6</v>
      </c>
      <c r="J5104" s="5">
        <f>_xlfn.XLOOKUP(tblSales[[#This Row],[Product Code]],tblProducts[Code],tblProducts[Selling Price (excl. VAT)],0)</f>
        <v>65000</v>
      </c>
      <c r="K5104" s="5">
        <f>tblSales[[#This Row],[Qty]]*tblSales[[#This Row],[Unit Price]]</f>
        <v>390000</v>
      </c>
      <c r="L5104" s="5">
        <f>ROUND(tblSales[[#This Row],[DPP (excl. VAT)]]*VATEff,0)</f>
        <v>42900</v>
      </c>
      <c r="M5104" s="5">
        <f>tblSales[[#This Row],[DPP (excl. VAT)]]+tblSales[[#This Row],[Output VAT]]</f>
        <v>432900</v>
      </c>
      <c r="N5104" s="5">
        <f>tblSales[[#This Row],[Qty]]*_xlfn.XLOOKUP(tblSales[[#This Row],[Product Code]],tblProducts[Code],tblProducts[Unit Cost],0)</f>
        <v>222000</v>
      </c>
      <c r="O5104" s="4" t="s">
        <v>4865</v>
      </c>
      <c r="P5104" s="4" t="s">
        <v>4860</v>
      </c>
      <c r="Q5104" s="1" t="str">
        <f>_xlfn.XLOOKUP(tblSales[[#This Row],[Channel Code]],tblChannels[Channel Code],tblChannels[Channel Name],"")</f>
        <v>In-store</v>
      </c>
      <c r="R5104" s="1">
        <f>MONTH(tblSales[[#This Row],[Date]])</f>
        <v>11</v>
      </c>
    </row>
    <row r="5105" spans="2:18" x14ac:dyDescent="0.35">
      <c r="B5105" s="113">
        <v>46333</v>
      </c>
      <c r="C5105" s="4" t="s">
        <v>3492</v>
      </c>
      <c r="D5105" s="4" t="s">
        <v>4568</v>
      </c>
      <c r="E5105" s="1" t="str">
        <f>_xlfn.XLOOKUP(tblSales[[#This Row],[Customer ID]],tblCustomers[Customer ID],tblCustomers[Customer Name],"⚠ Unknown")</f>
        <v>Walk-in Customer</v>
      </c>
      <c r="F5105" s="4" t="s">
        <v>8</v>
      </c>
      <c r="G5105" s="1" t="str">
        <f>_xlfn.XLOOKUP(tblSales[[#This Row],[Product Code]],tblProducts[Code],tblProducts[Product / Service Name],"⚠ Unknown")</f>
        <v>Casual Shorts</v>
      </c>
      <c r="H5105" s="1" t="str">
        <f>_xlfn.XLOOKUP(tblSales[[#This Row],[Product Code]],tblProducts[Code],tblProducts[Category],"")</f>
        <v>Accessories &amp; Basics</v>
      </c>
      <c r="I5105" s="4">
        <v>6</v>
      </c>
      <c r="J5105" s="5">
        <f>_xlfn.XLOOKUP(tblSales[[#This Row],[Product Code]],tblProducts[Code],tblProducts[Selling Price (excl. VAT)],0)</f>
        <v>85000</v>
      </c>
      <c r="K5105" s="5">
        <f>tblSales[[#This Row],[Qty]]*tblSales[[#This Row],[Unit Price]]</f>
        <v>510000</v>
      </c>
      <c r="L5105" s="5">
        <f>ROUND(tblSales[[#This Row],[DPP (excl. VAT)]]*VATEff,0)</f>
        <v>56100</v>
      </c>
      <c r="M5105" s="5">
        <f>tblSales[[#This Row],[DPP (excl. VAT)]]+tblSales[[#This Row],[Output VAT]]</f>
        <v>566100</v>
      </c>
      <c r="N5105" s="5">
        <f>tblSales[[#This Row],[Qty]]*_xlfn.XLOOKUP(tblSales[[#This Row],[Product Code]],tblProducts[Code],tblProducts[Unit Cost],0)</f>
        <v>300000</v>
      </c>
      <c r="O5105" s="4" t="s">
        <v>4865</v>
      </c>
      <c r="P5105" s="4" t="s">
        <v>4860</v>
      </c>
      <c r="Q5105" s="1" t="str">
        <f>_xlfn.XLOOKUP(tblSales[[#This Row],[Channel Code]],tblChannels[Channel Code],tblChannels[Channel Name],"")</f>
        <v>In-store</v>
      </c>
      <c r="R5105" s="1">
        <f>MONTH(tblSales[[#This Row],[Date]])</f>
        <v>11</v>
      </c>
    </row>
    <row r="5106" spans="2:18" x14ac:dyDescent="0.35">
      <c r="B5106" s="113">
        <v>46333</v>
      </c>
      <c r="C5106" s="4" t="s">
        <v>3492</v>
      </c>
      <c r="D5106" s="4" t="s">
        <v>4568</v>
      </c>
      <c r="E5106" s="1" t="str">
        <f>_xlfn.XLOOKUP(tblSales[[#This Row],[Customer ID]],tblCustomers[Customer ID],tblCustomers[Customer Name],"⚠ Unknown")</f>
        <v>Walk-in Customer</v>
      </c>
      <c r="F5106" s="4" t="s">
        <v>14</v>
      </c>
      <c r="G5106" s="1" t="str">
        <f>_xlfn.XLOOKUP(tblSales[[#This Row],[Product Code]],tblProducts[Code],tblProducts[Product / Service Name],"⚠ Unknown")</f>
        <v>Smartwatch</v>
      </c>
      <c r="H5106" s="1" t="str">
        <f>_xlfn.XLOOKUP(tblSales[[#This Row],[Product Code]],tblProducts[Code],tblProducts[Category],"")</f>
        <v>Bags &amp; Gadgets</v>
      </c>
      <c r="I5106" s="4">
        <v>3</v>
      </c>
      <c r="J5106" s="5">
        <f>_xlfn.XLOOKUP(tblSales[[#This Row],[Product Code]],tblProducts[Code],tblProducts[Selling Price (excl. VAT)],0)</f>
        <v>850000</v>
      </c>
      <c r="K5106" s="5">
        <f>tblSales[[#This Row],[Qty]]*tblSales[[#This Row],[Unit Price]]</f>
        <v>2550000</v>
      </c>
      <c r="L5106" s="5">
        <f>ROUND(tblSales[[#This Row],[DPP (excl. VAT)]]*VATEff,0)</f>
        <v>280500</v>
      </c>
      <c r="M5106" s="5">
        <f>tblSales[[#This Row],[DPP (excl. VAT)]]+tblSales[[#This Row],[Output VAT]]</f>
        <v>2830500</v>
      </c>
      <c r="N5106" s="5">
        <f>tblSales[[#This Row],[Qty]]*_xlfn.XLOOKUP(tblSales[[#This Row],[Product Code]],tblProducts[Code],tblProducts[Unit Cost],0)</f>
        <v>1680000</v>
      </c>
      <c r="O5106" s="4" t="s">
        <v>4865</v>
      </c>
      <c r="P5106" s="4" t="s">
        <v>4860</v>
      </c>
      <c r="Q5106" s="1" t="str">
        <f>_xlfn.XLOOKUP(tblSales[[#This Row],[Channel Code]],tblChannels[Channel Code],tblChannels[Channel Name],"")</f>
        <v>In-store</v>
      </c>
      <c r="R5106" s="1">
        <f>MONTH(tblSales[[#This Row],[Date]])</f>
        <v>11</v>
      </c>
    </row>
    <row r="5107" spans="2:18" x14ac:dyDescent="0.35">
      <c r="B5107" s="113">
        <v>46333</v>
      </c>
      <c r="C5107" s="4" t="s">
        <v>3493</v>
      </c>
      <c r="D5107" s="4" t="s">
        <v>4568</v>
      </c>
      <c r="E5107" s="1" t="str">
        <f>_xlfn.XLOOKUP(tblSales[[#This Row],[Customer ID]],tblCustomers[Customer ID],tblCustomers[Customer Name],"⚠ Unknown")</f>
        <v>Walk-in Customer</v>
      </c>
      <c r="F5107" s="4" t="s">
        <v>13</v>
      </c>
      <c r="G5107" s="1" t="str">
        <f>_xlfn.XLOOKUP(tblSales[[#This Row],[Product Code]],tblProducts[Code],tblProducts[Product / Service Name],"⚠ Unknown")</f>
        <v>Backpack</v>
      </c>
      <c r="H5107" s="1" t="str">
        <f>_xlfn.XLOOKUP(tblSales[[#This Row],[Product Code]],tblProducts[Code],tblProducts[Category],"")</f>
        <v>Bags &amp; Gadgets</v>
      </c>
      <c r="I5107" s="4">
        <v>1</v>
      </c>
      <c r="J5107" s="5">
        <f>_xlfn.XLOOKUP(tblSales[[#This Row],[Product Code]],tblProducts[Code],tblProducts[Selling Price (excl. VAT)],0)</f>
        <v>500000</v>
      </c>
      <c r="K5107" s="5">
        <f>tblSales[[#This Row],[Qty]]*tblSales[[#This Row],[Unit Price]]</f>
        <v>500000</v>
      </c>
      <c r="L5107" s="5">
        <f>ROUND(tblSales[[#This Row],[DPP (excl. VAT)]]*VATEff,0)</f>
        <v>55000</v>
      </c>
      <c r="M5107" s="5">
        <f>tblSales[[#This Row],[DPP (excl. VAT)]]+tblSales[[#This Row],[Output VAT]]</f>
        <v>555000</v>
      </c>
      <c r="N5107" s="5">
        <f>tblSales[[#This Row],[Qty]]*_xlfn.XLOOKUP(tblSales[[#This Row],[Product Code]],tblProducts[Code],tblProducts[Unit Cost],0)</f>
        <v>290000</v>
      </c>
      <c r="O5107" s="4" t="s">
        <v>4865</v>
      </c>
      <c r="P5107" s="4" t="s">
        <v>4860</v>
      </c>
      <c r="Q5107" s="1" t="str">
        <f>_xlfn.XLOOKUP(tblSales[[#This Row],[Channel Code]],tblChannels[Channel Code],tblChannels[Channel Name],"")</f>
        <v>In-store</v>
      </c>
      <c r="R5107" s="1">
        <f>MONTH(tblSales[[#This Row],[Date]])</f>
        <v>11</v>
      </c>
    </row>
    <row r="5108" spans="2:18" x14ac:dyDescent="0.35">
      <c r="B5108" s="113">
        <v>46333</v>
      </c>
      <c r="C5108" s="4" t="s">
        <v>3493</v>
      </c>
      <c r="D5108" s="4" t="s">
        <v>4568</v>
      </c>
      <c r="E5108" s="1" t="str">
        <f>_xlfn.XLOOKUP(tblSales[[#This Row],[Customer ID]],tblCustomers[Customer ID],tblCustomers[Customer Name],"⚠ Unknown")</f>
        <v>Walk-in Customer</v>
      </c>
      <c r="F5108" s="4" t="s">
        <v>10</v>
      </c>
      <c r="G5108" s="1" t="str">
        <f>_xlfn.XLOOKUP(tblSales[[#This Row],[Product Code]],tblProducts[Code],tblProducts[Product / Service Name],"⚠ Unknown")</f>
        <v>Chino Pants</v>
      </c>
      <c r="H5108" s="1" t="str">
        <f>_xlfn.XLOOKUP(tblSales[[#This Row],[Product Code]],tblProducts[Code],tblProducts[Category],"")</f>
        <v>Apparel &amp; Footwear</v>
      </c>
      <c r="I5108" s="4">
        <v>5</v>
      </c>
      <c r="J5108" s="5">
        <f>_xlfn.XLOOKUP(tblSales[[#This Row],[Product Code]],tblProducts[Code],tblProducts[Selling Price (excl. VAT)],0)</f>
        <v>150000</v>
      </c>
      <c r="K5108" s="5">
        <f>tblSales[[#This Row],[Qty]]*tblSales[[#This Row],[Unit Price]]</f>
        <v>750000</v>
      </c>
      <c r="L5108" s="5">
        <f>ROUND(tblSales[[#This Row],[DPP (excl. VAT)]]*VATEff,0)</f>
        <v>82500</v>
      </c>
      <c r="M5108" s="5">
        <f>tblSales[[#This Row],[DPP (excl. VAT)]]+tblSales[[#This Row],[Output VAT]]</f>
        <v>832500</v>
      </c>
      <c r="N5108" s="5">
        <f>tblSales[[#This Row],[Qty]]*_xlfn.XLOOKUP(tblSales[[#This Row],[Product Code]],tblProducts[Code],tblProducts[Unit Cost],0)</f>
        <v>440000</v>
      </c>
      <c r="O5108" s="4" t="s">
        <v>4865</v>
      </c>
      <c r="P5108" s="4" t="s">
        <v>4860</v>
      </c>
      <c r="Q5108" s="1" t="str">
        <f>_xlfn.XLOOKUP(tblSales[[#This Row],[Channel Code]],tblChannels[Channel Code],tblChannels[Channel Name],"")</f>
        <v>In-store</v>
      </c>
      <c r="R5108" s="1">
        <f>MONTH(tblSales[[#This Row],[Date]])</f>
        <v>11</v>
      </c>
    </row>
    <row r="5109" spans="2:18" x14ac:dyDescent="0.35">
      <c r="B5109" s="113">
        <v>46333</v>
      </c>
      <c r="C5109" s="4" t="s">
        <v>3494</v>
      </c>
      <c r="D5109" s="4" t="s">
        <v>4568</v>
      </c>
      <c r="E5109" s="1" t="str">
        <f>_xlfn.XLOOKUP(tblSales[[#This Row],[Customer ID]],tblCustomers[Customer ID],tblCustomers[Customer Name],"⚠ Unknown")</f>
        <v>Walk-in Customer</v>
      </c>
      <c r="F5109" s="4" t="s">
        <v>13</v>
      </c>
      <c r="G5109" s="1" t="str">
        <f>_xlfn.XLOOKUP(tblSales[[#This Row],[Product Code]],tblProducts[Code],tblProducts[Product / Service Name],"⚠ Unknown")</f>
        <v>Backpack</v>
      </c>
      <c r="H5109" s="1" t="str">
        <f>_xlfn.XLOOKUP(tblSales[[#This Row],[Product Code]],tblProducts[Code],tblProducts[Category],"")</f>
        <v>Bags &amp; Gadgets</v>
      </c>
      <c r="I5109" s="4">
        <v>5</v>
      </c>
      <c r="J5109" s="5">
        <f>_xlfn.XLOOKUP(tblSales[[#This Row],[Product Code]],tblProducts[Code],tblProducts[Selling Price (excl. VAT)],0)</f>
        <v>500000</v>
      </c>
      <c r="K5109" s="5">
        <f>tblSales[[#This Row],[Qty]]*tblSales[[#This Row],[Unit Price]]</f>
        <v>2500000</v>
      </c>
      <c r="L5109" s="5">
        <f>ROUND(tblSales[[#This Row],[DPP (excl. VAT)]]*VATEff,0)</f>
        <v>275000</v>
      </c>
      <c r="M5109" s="5">
        <f>tblSales[[#This Row],[DPP (excl. VAT)]]+tblSales[[#This Row],[Output VAT]]</f>
        <v>2775000</v>
      </c>
      <c r="N5109" s="5">
        <f>tblSales[[#This Row],[Qty]]*_xlfn.XLOOKUP(tblSales[[#This Row],[Product Code]],tblProducts[Code],tblProducts[Unit Cost],0)</f>
        <v>1450000</v>
      </c>
      <c r="O5109" s="4" t="s">
        <v>4866</v>
      </c>
      <c r="P5109" s="4" t="s">
        <v>4861</v>
      </c>
      <c r="Q5109" s="1" t="str">
        <f>_xlfn.XLOOKUP(tblSales[[#This Row],[Channel Code]],tblChannels[Channel Code],tblChannels[Channel Name],"")</f>
        <v>Marketplace</v>
      </c>
      <c r="R5109" s="1">
        <f>MONTH(tblSales[[#This Row],[Date]])</f>
        <v>11</v>
      </c>
    </row>
    <row r="5110" spans="2:18" x14ac:dyDescent="0.35">
      <c r="B5110" s="113">
        <v>46333</v>
      </c>
      <c r="C5110" s="4" t="s">
        <v>3494</v>
      </c>
      <c r="D5110" s="4" t="s">
        <v>4568</v>
      </c>
      <c r="E5110" s="1" t="str">
        <f>_xlfn.XLOOKUP(tblSales[[#This Row],[Customer ID]],tblCustomers[Customer ID],tblCustomers[Customer Name],"⚠ Unknown")</f>
        <v>Walk-in Customer</v>
      </c>
      <c r="F5110" s="4" t="s">
        <v>11</v>
      </c>
      <c r="G5110" s="1" t="str">
        <f>_xlfn.XLOOKUP(tblSales[[#This Row],[Product Code]],tblProducts[Code],tblProducts[Product / Service Name],"⚠ Unknown")</f>
        <v>Sneakers</v>
      </c>
      <c r="H5110" s="1" t="str">
        <f>_xlfn.XLOOKUP(tblSales[[#This Row],[Product Code]],tblProducts[Code],tblProducts[Category],"")</f>
        <v>Apparel &amp; Footwear</v>
      </c>
      <c r="I5110" s="4">
        <v>3</v>
      </c>
      <c r="J5110" s="5">
        <f>_xlfn.XLOOKUP(tblSales[[#This Row],[Product Code]],tblProducts[Code],tblProducts[Selling Price (excl. VAT)],0)</f>
        <v>250000</v>
      </c>
      <c r="K5110" s="5">
        <f>tblSales[[#This Row],[Qty]]*tblSales[[#This Row],[Unit Price]]</f>
        <v>750000</v>
      </c>
      <c r="L5110" s="5">
        <f>ROUND(tblSales[[#This Row],[DPP (excl. VAT)]]*VATEff,0)</f>
        <v>82500</v>
      </c>
      <c r="M5110" s="5">
        <f>tblSales[[#This Row],[DPP (excl. VAT)]]+tblSales[[#This Row],[Output VAT]]</f>
        <v>832500</v>
      </c>
      <c r="N5110" s="5">
        <f>tblSales[[#This Row],[Qty]]*_xlfn.XLOOKUP(tblSales[[#This Row],[Product Code]],tblProducts[Code],tblProducts[Unit Cost],0)</f>
        <v>465000</v>
      </c>
      <c r="O5110" s="4" t="s">
        <v>4866</v>
      </c>
      <c r="P5110" s="4" t="s">
        <v>4861</v>
      </c>
      <c r="Q5110" s="1" t="str">
        <f>_xlfn.XLOOKUP(tblSales[[#This Row],[Channel Code]],tblChannels[Channel Code],tblChannels[Channel Name],"")</f>
        <v>Marketplace</v>
      </c>
      <c r="R5110" s="1">
        <f>MONTH(tblSales[[#This Row],[Date]])</f>
        <v>11</v>
      </c>
    </row>
    <row r="5111" spans="2:18" x14ac:dyDescent="0.35">
      <c r="B5111" s="113">
        <v>46333</v>
      </c>
      <c r="C5111" s="4" t="s">
        <v>3494</v>
      </c>
      <c r="D5111" s="4" t="s">
        <v>4568</v>
      </c>
      <c r="E5111" s="1" t="str">
        <f>_xlfn.XLOOKUP(tblSales[[#This Row],[Customer ID]],tblCustomers[Customer ID],tblCustomers[Customer Name],"⚠ Unknown")</f>
        <v>Walk-in Customer</v>
      </c>
      <c r="F5111" s="4" t="s">
        <v>10</v>
      </c>
      <c r="G5111" s="1" t="str">
        <f>_xlfn.XLOOKUP(tblSales[[#This Row],[Product Code]],tblProducts[Code],tblProducts[Product / Service Name],"⚠ Unknown")</f>
        <v>Chino Pants</v>
      </c>
      <c r="H5111" s="1" t="str">
        <f>_xlfn.XLOOKUP(tblSales[[#This Row],[Product Code]],tblProducts[Code],tblProducts[Category],"")</f>
        <v>Apparel &amp; Footwear</v>
      </c>
      <c r="I5111" s="4">
        <v>4</v>
      </c>
      <c r="J5111" s="5">
        <f>_xlfn.XLOOKUP(tblSales[[#This Row],[Product Code]],tblProducts[Code],tblProducts[Selling Price (excl. VAT)],0)</f>
        <v>150000</v>
      </c>
      <c r="K5111" s="5">
        <f>tblSales[[#This Row],[Qty]]*tblSales[[#This Row],[Unit Price]]</f>
        <v>600000</v>
      </c>
      <c r="L5111" s="5">
        <f>ROUND(tblSales[[#This Row],[DPP (excl. VAT)]]*VATEff,0)</f>
        <v>66000</v>
      </c>
      <c r="M5111" s="5">
        <f>tblSales[[#This Row],[DPP (excl. VAT)]]+tblSales[[#This Row],[Output VAT]]</f>
        <v>666000</v>
      </c>
      <c r="N5111" s="5">
        <f>tblSales[[#This Row],[Qty]]*_xlfn.XLOOKUP(tblSales[[#This Row],[Product Code]],tblProducts[Code],tblProducts[Unit Cost],0)</f>
        <v>352000</v>
      </c>
      <c r="O5111" s="4" t="s">
        <v>4866</v>
      </c>
      <c r="P5111" s="4" t="s">
        <v>4861</v>
      </c>
      <c r="Q5111" s="1" t="str">
        <f>_xlfn.XLOOKUP(tblSales[[#This Row],[Channel Code]],tblChannels[Channel Code],tblChannels[Channel Name],"")</f>
        <v>Marketplace</v>
      </c>
      <c r="R5111" s="1">
        <f>MONTH(tblSales[[#This Row],[Date]])</f>
        <v>11</v>
      </c>
    </row>
    <row r="5112" spans="2:18" x14ac:dyDescent="0.35">
      <c r="B5112" s="113">
        <v>46333</v>
      </c>
      <c r="C5112" s="4" t="s">
        <v>3495</v>
      </c>
      <c r="D5112" s="4" t="s">
        <v>4568</v>
      </c>
      <c r="E5112" s="1" t="str">
        <f>_xlfn.XLOOKUP(tblSales[[#This Row],[Customer ID]],tblCustomers[Customer ID],tblCustomers[Customer Name],"⚠ Unknown")</f>
        <v>Walk-in Customer</v>
      </c>
      <c r="F5112" s="4" t="s">
        <v>8</v>
      </c>
      <c r="G5112" s="1" t="str">
        <f>_xlfn.XLOOKUP(tblSales[[#This Row],[Product Code]],tblProducts[Code],tblProducts[Product / Service Name],"⚠ Unknown")</f>
        <v>Casual Shorts</v>
      </c>
      <c r="H5112" s="1" t="str">
        <f>_xlfn.XLOOKUP(tblSales[[#This Row],[Product Code]],tblProducts[Code],tblProducts[Category],"")</f>
        <v>Accessories &amp; Basics</v>
      </c>
      <c r="I5112" s="4">
        <v>10</v>
      </c>
      <c r="J5112" s="5">
        <f>_xlfn.XLOOKUP(tblSales[[#This Row],[Product Code]],tblProducts[Code],tblProducts[Selling Price (excl. VAT)],0)</f>
        <v>85000</v>
      </c>
      <c r="K5112" s="5">
        <f>tblSales[[#This Row],[Qty]]*tblSales[[#This Row],[Unit Price]]</f>
        <v>850000</v>
      </c>
      <c r="L5112" s="5">
        <f>ROUND(tblSales[[#This Row],[DPP (excl. VAT)]]*VATEff,0)</f>
        <v>93500</v>
      </c>
      <c r="M5112" s="5">
        <f>tblSales[[#This Row],[DPP (excl. VAT)]]+tblSales[[#This Row],[Output VAT]]</f>
        <v>943500</v>
      </c>
      <c r="N5112" s="5">
        <f>tblSales[[#This Row],[Qty]]*_xlfn.XLOOKUP(tblSales[[#This Row],[Product Code]],tblProducts[Code],tblProducts[Unit Cost],0)</f>
        <v>500000</v>
      </c>
      <c r="O5112" s="4" t="s">
        <v>4865</v>
      </c>
      <c r="P5112" s="4" t="s">
        <v>4860</v>
      </c>
      <c r="Q5112" s="1" t="str">
        <f>_xlfn.XLOOKUP(tblSales[[#This Row],[Channel Code]],tblChannels[Channel Code],tblChannels[Channel Name],"")</f>
        <v>In-store</v>
      </c>
      <c r="R5112" s="1">
        <f>MONTH(tblSales[[#This Row],[Date]])</f>
        <v>11</v>
      </c>
    </row>
    <row r="5113" spans="2:18" x14ac:dyDescent="0.35">
      <c r="B5113" s="113">
        <v>46333</v>
      </c>
      <c r="C5113" s="4" t="s">
        <v>3496</v>
      </c>
      <c r="D5113" s="4" t="s">
        <v>4568</v>
      </c>
      <c r="E5113" s="1" t="str">
        <f>_xlfn.XLOOKUP(tblSales[[#This Row],[Customer ID]],tblCustomers[Customer ID],tblCustomers[Customer Name],"⚠ Unknown")</f>
        <v>Walk-in Customer</v>
      </c>
      <c r="F5113" s="4" t="s">
        <v>9</v>
      </c>
      <c r="G5113" s="1" t="str">
        <f>_xlfn.XLOOKUP(tblSales[[#This Row],[Product Code]],tblProducts[Code],tblProducts[Product / Service Name],"⚠ Unknown")</f>
        <v>Casual Shirt</v>
      </c>
      <c r="H5113" s="1" t="str">
        <f>_xlfn.XLOOKUP(tblSales[[#This Row],[Product Code]],tblProducts[Code],tblProducts[Category],"")</f>
        <v>Apparel &amp; Footwear</v>
      </c>
      <c r="I5113" s="4">
        <v>11</v>
      </c>
      <c r="J5113" s="5">
        <f>_xlfn.XLOOKUP(tblSales[[#This Row],[Product Code]],tblProducts[Code],tblProducts[Selling Price (excl. VAT)],0)</f>
        <v>120000</v>
      </c>
      <c r="K5113" s="5">
        <f>tblSales[[#This Row],[Qty]]*tblSales[[#This Row],[Unit Price]]</f>
        <v>1320000</v>
      </c>
      <c r="L5113" s="5">
        <f>ROUND(tblSales[[#This Row],[DPP (excl. VAT)]]*VATEff,0)</f>
        <v>145200</v>
      </c>
      <c r="M5113" s="5">
        <f>tblSales[[#This Row],[DPP (excl. VAT)]]+tblSales[[#This Row],[Output VAT]]</f>
        <v>1465200</v>
      </c>
      <c r="N5113" s="5">
        <f>tblSales[[#This Row],[Qty]]*_xlfn.XLOOKUP(tblSales[[#This Row],[Product Code]],tblProducts[Code],tblProducts[Unit Cost],0)</f>
        <v>792000</v>
      </c>
      <c r="O5113" s="4" t="s">
        <v>4866</v>
      </c>
      <c r="P5113" s="4" t="s">
        <v>4860</v>
      </c>
      <c r="Q5113" s="1" t="str">
        <f>_xlfn.XLOOKUP(tblSales[[#This Row],[Channel Code]],tblChannels[Channel Code],tblChannels[Channel Name],"")</f>
        <v>In-store</v>
      </c>
      <c r="R5113" s="1">
        <f>MONTH(tblSales[[#This Row],[Date]])</f>
        <v>11</v>
      </c>
    </row>
    <row r="5114" spans="2:18" x14ac:dyDescent="0.35">
      <c r="B5114" s="113">
        <v>46333</v>
      </c>
      <c r="C5114" s="4" t="s">
        <v>3497</v>
      </c>
      <c r="D5114" s="4" t="s">
        <v>4572</v>
      </c>
      <c r="E5114" s="1" t="str">
        <f>_xlfn.XLOOKUP(tblSales[[#This Row],[Customer ID]],tblCustomers[Customer ID],tblCustomers[Customer Name],"⚠ Unknown")</f>
        <v>PT Cahaya Abadi Makmur</v>
      </c>
      <c r="F5114" s="4" t="s">
        <v>6</v>
      </c>
      <c r="G5114" s="1" t="str">
        <f>_xlfn.XLOOKUP(tblSales[[#This Row],[Product Code]],tblProducts[Code],tblProducts[Product / Service Name],"⚠ Unknown")</f>
        <v>Socks &amp; Accessories</v>
      </c>
      <c r="H5114" s="1" t="str">
        <f>_xlfn.XLOOKUP(tblSales[[#This Row],[Product Code]],tblProducts[Code],tblProducts[Category],"")</f>
        <v>Accessories &amp; Basics</v>
      </c>
      <c r="I5114" s="4">
        <v>32</v>
      </c>
      <c r="J5114" s="5">
        <f>_xlfn.XLOOKUP(tblSales[[#This Row],[Product Code]],tblProducts[Code],tblProducts[Selling Price (excl. VAT)],0)</f>
        <v>45000</v>
      </c>
      <c r="K5114" s="5">
        <f>tblSales[[#This Row],[Qty]]*tblSales[[#This Row],[Unit Price]]</f>
        <v>1440000</v>
      </c>
      <c r="L5114" s="5">
        <f>ROUND(tblSales[[#This Row],[DPP (excl. VAT)]]*VATEff,0)</f>
        <v>158400</v>
      </c>
      <c r="M5114" s="5">
        <f>tblSales[[#This Row],[DPP (excl. VAT)]]+tblSales[[#This Row],[Output VAT]]</f>
        <v>1598400</v>
      </c>
      <c r="N5114" s="5">
        <f>tblSales[[#This Row],[Qty]]*_xlfn.XLOOKUP(tblSales[[#This Row],[Product Code]],tblProducts[Code],tblProducts[Unit Cost],0)</f>
        <v>768000</v>
      </c>
      <c r="O5114" s="4" t="s">
        <v>4867</v>
      </c>
      <c r="P5114" s="4" t="s">
        <v>4860</v>
      </c>
      <c r="Q5114" s="1" t="str">
        <f>_xlfn.XLOOKUP(tblSales[[#This Row],[Channel Code]],tblChannels[Channel Code],tblChannels[Channel Name],"")</f>
        <v>In-store</v>
      </c>
      <c r="R5114" s="1">
        <f>MONTH(tblSales[[#This Row],[Date]])</f>
        <v>11</v>
      </c>
    </row>
    <row r="5115" spans="2:18" x14ac:dyDescent="0.35">
      <c r="B5115" s="113">
        <v>46333</v>
      </c>
      <c r="C5115" s="4" t="s">
        <v>3498</v>
      </c>
      <c r="D5115" s="4" t="s">
        <v>4568</v>
      </c>
      <c r="E5115" s="1" t="str">
        <f>_xlfn.XLOOKUP(tblSales[[#This Row],[Customer ID]],tblCustomers[Customer ID],tblCustomers[Customer Name],"⚠ Unknown")</f>
        <v>Walk-in Customer</v>
      </c>
      <c r="F5115" s="4" t="s">
        <v>7</v>
      </c>
      <c r="G5115" s="1" t="str">
        <f>_xlfn.XLOOKUP(tblSales[[#This Row],[Product Code]],tblProducts[Code],tblProducts[Product / Service Name],"⚠ Unknown")</f>
        <v>Premium Basic T-shirt</v>
      </c>
      <c r="H5115" s="1" t="str">
        <f>_xlfn.XLOOKUP(tblSales[[#This Row],[Product Code]],tblProducts[Code],tblProducts[Category],"")</f>
        <v>Accessories &amp; Basics</v>
      </c>
      <c r="I5115" s="4">
        <v>4</v>
      </c>
      <c r="J5115" s="5">
        <f>_xlfn.XLOOKUP(tblSales[[#This Row],[Product Code]],tblProducts[Code],tblProducts[Selling Price (excl. VAT)],0)</f>
        <v>65000</v>
      </c>
      <c r="K5115" s="5">
        <f>tblSales[[#This Row],[Qty]]*tblSales[[#This Row],[Unit Price]]</f>
        <v>260000</v>
      </c>
      <c r="L5115" s="5">
        <f>ROUND(tblSales[[#This Row],[DPP (excl. VAT)]]*VATEff,0)</f>
        <v>28600</v>
      </c>
      <c r="M5115" s="5">
        <f>tblSales[[#This Row],[DPP (excl. VAT)]]+tblSales[[#This Row],[Output VAT]]</f>
        <v>288600</v>
      </c>
      <c r="N5115" s="5">
        <f>tblSales[[#This Row],[Qty]]*_xlfn.XLOOKUP(tblSales[[#This Row],[Product Code]],tblProducts[Code],tblProducts[Unit Cost],0)</f>
        <v>148000</v>
      </c>
      <c r="O5115" s="4" t="s">
        <v>4866</v>
      </c>
      <c r="P5115" s="4" t="s">
        <v>4862</v>
      </c>
      <c r="Q5115" s="1" t="str">
        <f>_xlfn.XLOOKUP(tblSales[[#This Row],[Channel Code]],tblChannels[Channel Code],tblChannels[Channel Name],"")</f>
        <v>Website &amp; Social Media</v>
      </c>
      <c r="R5115" s="1">
        <f>MONTH(tblSales[[#This Row],[Date]])</f>
        <v>11</v>
      </c>
    </row>
    <row r="5116" spans="2:18" x14ac:dyDescent="0.35">
      <c r="B5116" s="113">
        <v>46333</v>
      </c>
      <c r="C5116" s="4" t="s">
        <v>3498</v>
      </c>
      <c r="D5116" s="4" t="s">
        <v>4568</v>
      </c>
      <c r="E5116" s="1" t="str">
        <f>_xlfn.XLOOKUP(tblSales[[#This Row],[Customer ID]],tblCustomers[Customer ID],tblCustomers[Customer Name],"⚠ Unknown")</f>
        <v>Walk-in Customer</v>
      </c>
      <c r="F5116" s="4" t="s">
        <v>6</v>
      </c>
      <c r="G5116" s="1" t="str">
        <f>_xlfn.XLOOKUP(tblSales[[#This Row],[Product Code]],tblProducts[Code],tblProducts[Product / Service Name],"⚠ Unknown")</f>
        <v>Socks &amp; Accessories</v>
      </c>
      <c r="H5116" s="1" t="str">
        <f>_xlfn.XLOOKUP(tblSales[[#This Row],[Product Code]],tblProducts[Code],tblProducts[Category],"")</f>
        <v>Accessories &amp; Basics</v>
      </c>
      <c r="I5116" s="4">
        <v>12</v>
      </c>
      <c r="J5116" s="5">
        <f>_xlfn.XLOOKUP(tblSales[[#This Row],[Product Code]],tblProducts[Code],tblProducts[Selling Price (excl. VAT)],0)</f>
        <v>45000</v>
      </c>
      <c r="K5116" s="5">
        <f>tblSales[[#This Row],[Qty]]*tblSales[[#This Row],[Unit Price]]</f>
        <v>540000</v>
      </c>
      <c r="L5116" s="5">
        <f>ROUND(tblSales[[#This Row],[DPP (excl. VAT)]]*VATEff,0)</f>
        <v>59400</v>
      </c>
      <c r="M5116" s="5">
        <f>tblSales[[#This Row],[DPP (excl. VAT)]]+tblSales[[#This Row],[Output VAT]]</f>
        <v>599400</v>
      </c>
      <c r="N5116" s="5">
        <f>tblSales[[#This Row],[Qty]]*_xlfn.XLOOKUP(tblSales[[#This Row],[Product Code]],tblProducts[Code],tblProducts[Unit Cost],0)</f>
        <v>288000</v>
      </c>
      <c r="O5116" s="4" t="s">
        <v>4866</v>
      </c>
      <c r="P5116" s="4" t="s">
        <v>4862</v>
      </c>
      <c r="Q5116" s="1" t="str">
        <f>_xlfn.XLOOKUP(tblSales[[#This Row],[Channel Code]],tblChannels[Channel Code],tblChannels[Channel Name],"")</f>
        <v>Website &amp; Social Media</v>
      </c>
      <c r="R5116" s="1">
        <f>MONTH(tblSales[[#This Row],[Date]])</f>
        <v>11</v>
      </c>
    </row>
    <row r="5117" spans="2:18" x14ac:dyDescent="0.35">
      <c r="B5117" s="113">
        <v>46333</v>
      </c>
      <c r="C5117" s="4" t="s">
        <v>3499</v>
      </c>
      <c r="D5117" s="4" t="s">
        <v>4593</v>
      </c>
      <c r="E5117" s="1" t="str">
        <f>_xlfn.XLOOKUP(tblSales[[#This Row],[Customer ID]],tblCustomers[Customer ID],tblCustomers[Customer Name],"⚠ Unknown")</f>
        <v>PT Graha Nusa Persada</v>
      </c>
      <c r="F5117" s="4" t="s">
        <v>10</v>
      </c>
      <c r="G5117" s="1" t="str">
        <f>_xlfn.XLOOKUP(tblSales[[#This Row],[Product Code]],tblProducts[Code],tblProducts[Product / Service Name],"⚠ Unknown")</f>
        <v>Chino Pants</v>
      </c>
      <c r="H5117" s="1" t="str">
        <f>_xlfn.XLOOKUP(tblSales[[#This Row],[Product Code]],tblProducts[Code],tblProducts[Category],"")</f>
        <v>Apparel &amp; Footwear</v>
      </c>
      <c r="I5117" s="4">
        <v>88</v>
      </c>
      <c r="J5117" s="5">
        <f>_xlfn.XLOOKUP(tblSales[[#This Row],[Product Code]],tblProducts[Code],tblProducts[Selling Price (excl. VAT)],0)</f>
        <v>150000</v>
      </c>
      <c r="K5117" s="5">
        <f>tblSales[[#This Row],[Qty]]*tblSales[[#This Row],[Unit Price]]</f>
        <v>13200000</v>
      </c>
      <c r="L5117" s="5">
        <f>ROUND(tblSales[[#This Row],[DPP (excl. VAT)]]*VATEff,0)</f>
        <v>1452000</v>
      </c>
      <c r="M5117" s="5">
        <f>tblSales[[#This Row],[DPP (excl. VAT)]]+tblSales[[#This Row],[Output VAT]]</f>
        <v>14652000</v>
      </c>
      <c r="N5117" s="5">
        <f>tblSales[[#This Row],[Qty]]*_xlfn.XLOOKUP(tblSales[[#This Row],[Product Code]],tblProducts[Code],tblProducts[Unit Cost],0)</f>
        <v>7744000</v>
      </c>
      <c r="O5117" s="4" t="s">
        <v>4867</v>
      </c>
      <c r="P5117" s="4" t="s">
        <v>4862</v>
      </c>
      <c r="Q5117" s="1" t="str">
        <f>_xlfn.XLOOKUP(tblSales[[#This Row],[Channel Code]],tblChannels[Channel Code],tblChannels[Channel Name],"")</f>
        <v>Website &amp; Social Media</v>
      </c>
      <c r="R5117" s="1">
        <f>MONTH(tblSales[[#This Row],[Date]])</f>
        <v>11</v>
      </c>
    </row>
    <row r="5118" spans="2:18" x14ac:dyDescent="0.35">
      <c r="B5118" s="113">
        <v>46333</v>
      </c>
      <c r="C5118" s="4" t="s">
        <v>3500</v>
      </c>
      <c r="D5118" s="4" t="s">
        <v>4578</v>
      </c>
      <c r="E5118" s="1" t="str">
        <f>_xlfn.XLOOKUP(tblSales[[#This Row],[Customer ID]],tblCustomers[Customer ID],tblCustomers[Customer Name],"⚠ Unknown")</f>
        <v>PT Bintang Timur Sejahtera</v>
      </c>
      <c r="F5118" s="4" t="s">
        <v>6</v>
      </c>
      <c r="G5118" s="1" t="str">
        <f>_xlfn.XLOOKUP(tblSales[[#This Row],[Product Code]],tblProducts[Code],tblProducts[Product / Service Name],"⚠ Unknown")</f>
        <v>Socks &amp; Accessories</v>
      </c>
      <c r="H5118" s="1" t="str">
        <f>_xlfn.XLOOKUP(tblSales[[#This Row],[Product Code]],tblProducts[Code],tblProducts[Category],"")</f>
        <v>Accessories &amp; Basics</v>
      </c>
      <c r="I5118" s="4">
        <v>8</v>
      </c>
      <c r="J5118" s="5">
        <f>_xlfn.XLOOKUP(tblSales[[#This Row],[Product Code]],tblProducts[Code],tblProducts[Selling Price (excl. VAT)],0)</f>
        <v>45000</v>
      </c>
      <c r="K5118" s="5">
        <f>tblSales[[#This Row],[Qty]]*tblSales[[#This Row],[Unit Price]]</f>
        <v>360000</v>
      </c>
      <c r="L5118" s="5">
        <f>ROUND(tblSales[[#This Row],[DPP (excl. VAT)]]*VATEff,0)</f>
        <v>39600</v>
      </c>
      <c r="M5118" s="5">
        <f>tblSales[[#This Row],[DPP (excl. VAT)]]+tblSales[[#This Row],[Output VAT]]</f>
        <v>399600</v>
      </c>
      <c r="N5118" s="5">
        <f>tblSales[[#This Row],[Qty]]*_xlfn.XLOOKUP(tblSales[[#This Row],[Product Code]],tblProducts[Code],tblProducts[Unit Cost],0)</f>
        <v>192000</v>
      </c>
      <c r="O5118" s="4" t="s">
        <v>4867</v>
      </c>
      <c r="P5118" s="4" t="s">
        <v>4860</v>
      </c>
      <c r="Q5118" s="1" t="str">
        <f>_xlfn.XLOOKUP(tblSales[[#This Row],[Channel Code]],tblChannels[Channel Code],tblChannels[Channel Name],"")</f>
        <v>In-store</v>
      </c>
      <c r="R5118" s="1">
        <f>MONTH(tblSales[[#This Row],[Date]])</f>
        <v>11</v>
      </c>
    </row>
    <row r="5119" spans="2:18" x14ac:dyDescent="0.35">
      <c r="B5119" s="113">
        <v>46333</v>
      </c>
      <c r="C5119" s="4" t="s">
        <v>3501</v>
      </c>
      <c r="D5119" s="4" t="s">
        <v>4568</v>
      </c>
      <c r="E5119" s="1" t="str">
        <f>_xlfn.XLOOKUP(tblSales[[#This Row],[Customer ID]],tblCustomers[Customer ID],tblCustomers[Customer Name],"⚠ Unknown")</f>
        <v>Walk-in Customer</v>
      </c>
      <c r="F5119" s="4" t="s">
        <v>9</v>
      </c>
      <c r="G5119" s="1" t="str">
        <f>_xlfn.XLOOKUP(tblSales[[#This Row],[Product Code]],tblProducts[Code],tblProducts[Product / Service Name],"⚠ Unknown")</f>
        <v>Casual Shirt</v>
      </c>
      <c r="H5119" s="1" t="str">
        <f>_xlfn.XLOOKUP(tblSales[[#This Row],[Product Code]],tblProducts[Code],tblProducts[Category],"")</f>
        <v>Apparel &amp; Footwear</v>
      </c>
      <c r="I5119" s="4">
        <v>7</v>
      </c>
      <c r="J5119" s="5">
        <f>_xlfn.XLOOKUP(tblSales[[#This Row],[Product Code]],tblProducts[Code],tblProducts[Selling Price (excl. VAT)],0)</f>
        <v>120000</v>
      </c>
      <c r="K5119" s="5">
        <f>tblSales[[#This Row],[Qty]]*tblSales[[#This Row],[Unit Price]]</f>
        <v>840000</v>
      </c>
      <c r="L5119" s="5">
        <f>ROUND(tblSales[[#This Row],[DPP (excl. VAT)]]*VATEff,0)</f>
        <v>92400</v>
      </c>
      <c r="M5119" s="5">
        <f>tblSales[[#This Row],[DPP (excl. VAT)]]+tblSales[[#This Row],[Output VAT]]</f>
        <v>932400</v>
      </c>
      <c r="N5119" s="5">
        <f>tblSales[[#This Row],[Qty]]*_xlfn.XLOOKUP(tblSales[[#This Row],[Product Code]],tblProducts[Code],tblProducts[Unit Cost],0)</f>
        <v>504000</v>
      </c>
      <c r="O5119" s="4" t="s">
        <v>4865</v>
      </c>
      <c r="P5119" s="4" t="s">
        <v>4860</v>
      </c>
      <c r="Q5119" s="1" t="str">
        <f>_xlfn.XLOOKUP(tblSales[[#This Row],[Channel Code]],tblChannels[Channel Code],tblChannels[Channel Name],"")</f>
        <v>In-store</v>
      </c>
      <c r="R5119" s="1">
        <f>MONTH(tblSales[[#This Row],[Date]])</f>
        <v>11</v>
      </c>
    </row>
    <row r="5120" spans="2:18" x14ac:dyDescent="0.35">
      <c r="B5120" s="113">
        <v>46333</v>
      </c>
      <c r="C5120" s="4" t="s">
        <v>3502</v>
      </c>
      <c r="D5120" s="4" t="s">
        <v>4568</v>
      </c>
      <c r="E5120" s="1" t="str">
        <f>_xlfn.XLOOKUP(tblSales[[#This Row],[Customer ID]],tblCustomers[Customer ID],tblCustomers[Customer Name],"⚠ Unknown")</f>
        <v>Walk-in Customer</v>
      </c>
      <c r="F5120" s="4" t="s">
        <v>10</v>
      </c>
      <c r="G5120" s="1" t="str">
        <f>_xlfn.XLOOKUP(tblSales[[#This Row],[Product Code]],tblProducts[Code],tblProducts[Product / Service Name],"⚠ Unknown")</f>
        <v>Chino Pants</v>
      </c>
      <c r="H5120" s="1" t="str">
        <f>_xlfn.XLOOKUP(tblSales[[#This Row],[Product Code]],tblProducts[Code],tblProducts[Category],"")</f>
        <v>Apparel &amp; Footwear</v>
      </c>
      <c r="I5120" s="4">
        <v>12</v>
      </c>
      <c r="J5120" s="5">
        <f>_xlfn.XLOOKUP(tblSales[[#This Row],[Product Code]],tblProducts[Code],tblProducts[Selling Price (excl. VAT)],0)</f>
        <v>150000</v>
      </c>
      <c r="K5120" s="5">
        <f>tblSales[[#This Row],[Qty]]*tblSales[[#This Row],[Unit Price]]</f>
        <v>1800000</v>
      </c>
      <c r="L5120" s="5">
        <f>ROUND(tblSales[[#This Row],[DPP (excl. VAT)]]*VATEff,0)</f>
        <v>198000</v>
      </c>
      <c r="M5120" s="5">
        <f>tblSales[[#This Row],[DPP (excl. VAT)]]+tblSales[[#This Row],[Output VAT]]</f>
        <v>1998000</v>
      </c>
      <c r="N5120" s="5">
        <f>tblSales[[#This Row],[Qty]]*_xlfn.XLOOKUP(tblSales[[#This Row],[Product Code]],tblProducts[Code],tblProducts[Unit Cost],0)</f>
        <v>1056000</v>
      </c>
      <c r="O5120" s="4" t="s">
        <v>4866</v>
      </c>
      <c r="P5120" s="4" t="s">
        <v>4861</v>
      </c>
      <c r="Q5120" s="1" t="str">
        <f>_xlfn.XLOOKUP(tblSales[[#This Row],[Channel Code]],tblChannels[Channel Code],tblChannels[Channel Name],"")</f>
        <v>Marketplace</v>
      </c>
      <c r="R5120" s="1">
        <f>MONTH(tblSales[[#This Row],[Date]])</f>
        <v>11</v>
      </c>
    </row>
    <row r="5121" spans="2:18" x14ac:dyDescent="0.35">
      <c r="B5121" s="113">
        <v>46334</v>
      </c>
      <c r="C5121" s="4" t="s">
        <v>3503</v>
      </c>
      <c r="D5121" s="4" t="s">
        <v>4568</v>
      </c>
      <c r="E5121" s="1" t="str">
        <f>_xlfn.XLOOKUP(tblSales[[#This Row],[Customer ID]],tblCustomers[Customer ID],tblCustomers[Customer Name],"⚠ Unknown")</f>
        <v>Walk-in Customer</v>
      </c>
      <c r="F5121" s="4" t="s">
        <v>6</v>
      </c>
      <c r="G5121" s="1" t="str">
        <f>_xlfn.XLOOKUP(tblSales[[#This Row],[Product Code]],tblProducts[Code],tblProducts[Product / Service Name],"⚠ Unknown")</f>
        <v>Socks &amp; Accessories</v>
      </c>
      <c r="H5121" s="1" t="str">
        <f>_xlfn.XLOOKUP(tblSales[[#This Row],[Product Code]],tblProducts[Code],tblProducts[Category],"")</f>
        <v>Accessories &amp; Basics</v>
      </c>
      <c r="I5121" s="4">
        <v>4</v>
      </c>
      <c r="J5121" s="5">
        <f>_xlfn.XLOOKUP(tblSales[[#This Row],[Product Code]],tblProducts[Code],tblProducts[Selling Price (excl. VAT)],0)</f>
        <v>45000</v>
      </c>
      <c r="K5121" s="5">
        <f>tblSales[[#This Row],[Qty]]*tblSales[[#This Row],[Unit Price]]</f>
        <v>180000</v>
      </c>
      <c r="L5121" s="5">
        <f>ROUND(tblSales[[#This Row],[DPP (excl. VAT)]]*VATEff,0)</f>
        <v>19800</v>
      </c>
      <c r="M5121" s="5">
        <f>tblSales[[#This Row],[DPP (excl. VAT)]]+tblSales[[#This Row],[Output VAT]]</f>
        <v>199800</v>
      </c>
      <c r="N5121" s="5">
        <f>tblSales[[#This Row],[Qty]]*_xlfn.XLOOKUP(tblSales[[#This Row],[Product Code]],tblProducts[Code],tblProducts[Unit Cost],0)</f>
        <v>96000</v>
      </c>
      <c r="O5121" s="4" t="s">
        <v>4865</v>
      </c>
      <c r="P5121" s="4" t="s">
        <v>4860</v>
      </c>
      <c r="Q5121" s="1" t="str">
        <f>_xlfn.XLOOKUP(tblSales[[#This Row],[Channel Code]],tblChannels[Channel Code],tblChannels[Channel Name],"")</f>
        <v>In-store</v>
      </c>
      <c r="R5121" s="1">
        <f>MONTH(tblSales[[#This Row],[Date]])</f>
        <v>11</v>
      </c>
    </row>
    <row r="5122" spans="2:18" x14ac:dyDescent="0.35">
      <c r="B5122" s="113">
        <v>46334</v>
      </c>
      <c r="C5122" s="4" t="s">
        <v>3504</v>
      </c>
      <c r="D5122" s="4" t="s">
        <v>4568</v>
      </c>
      <c r="E5122" s="1" t="str">
        <f>_xlfn.XLOOKUP(tblSales[[#This Row],[Customer ID]],tblCustomers[Customer ID],tblCustomers[Customer Name],"⚠ Unknown")</f>
        <v>Walk-in Customer</v>
      </c>
      <c r="F5122" s="4" t="s">
        <v>15</v>
      </c>
      <c r="G5122" s="1" t="str">
        <f>_xlfn.XLOOKUP(tblSales[[#This Row],[Product Code]],tblProducts[Code],tblProducts[Product / Service Name],"⚠ Unknown")</f>
        <v>Wireless Earbuds Pro</v>
      </c>
      <c r="H5122" s="1" t="str">
        <f>_xlfn.XLOOKUP(tblSales[[#This Row],[Product Code]],tblProducts[Code],tblProducts[Category],"")</f>
        <v>Bags &amp; Gadgets</v>
      </c>
      <c r="I5122" s="4">
        <v>3</v>
      </c>
      <c r="J5122" s="5">
        <f>_xlfn.XLOOKUP(tblSales[[#This Row],[Product Code]],tblProducts[Code],tblProducts[Selling Price (excl. VAT)],0)</f>
        <v>1250000</v>
      </c>
      <c r="K5122" s="5">
        <f>tblSales[[#This Row],[Qty]]*tblSales[[#This Row],[Unit Price]]</f>
        <v>3750000</v>
      </c>
      <c r="L5122" s="5">
        <f>ROUND(tblSales[[#This Row],[DPP (excl. VAT)]]*VATEff,0)</f>
        <v>412500</v>
      </c>
      <c r="M5122" s="5">
        <f>tblSales[[#This Row],[DPP (excl. VAT)]]+tblSales[[#This Row],[Output VAT]]</f>
        <v>4162500</v>
      </c>
      <c r="N5122" s="5">
        <f>tblSales[[#This Row],[Qty]]*_xlfn.XLOOKUP(tblSales[[#This Row],[Product Code]],tblProducts[Code],tblProducts[Unit Cost],0)</f>
        <v>2460000</v>
      </c>
      <c r="O5122" s="4" t="s">
        <v>4865</v>
      </c>
      <c r="P5122" s="4" t="s">
        <v>4860</v>
      </c>
      <c r="Q5122" s="1" t="str">
        <f>_xlfn.XLOOKUP(tblSales[[#This Row],[Channel Code]],tblChannels[Channel Code],tblChannels[Channel Name],"")</f>
        <v>In-store</v>
      </c>
      <c r="R5122" s="1">
        <f>MONTH(tblSales[[#This Row],[Date]])</f>
        <v>11</v>
      </c>
    </row>
    <row r="5123" spans="2:18" x14ac:dyDescent="0.35">
      <c r="B5123" s="113">
        <v>46334</v>
      </c>
      <c r="C5123" s="4" t="s">
        <v>3504</v>
      </c>
      <c r="D5123" s="4" t="s">
        <v>4568</v>
      </c>
      <c r="E5123" s="1" t="str">
        <f>_xlfn.XLOOKUP(tblSales[[#This Row],[Customer ID]],tblCustomers[Customer ID],tblCustomers[Customer Name],"⚠ Unknown")</f>
        <v>Walk-in Customer</v>
      </c>
      <c r="F5123" s="4" t="s">
        <v>13</v>
      </c>
      <c r="G5123" s="1" t="str">
        <f>_xlfn.XLOOKUP(tblSales[[#This Row],[Product Code]],tblProducts[Code],tblProducts[Product / Service Name],"⚠ Unknown")</f>
        <v>Backpack</v>
      </c>
      <c r="H5123" s="1" t="str">
        <f>_xlfn.XLOOKUP(tblSales[[#This Row],[Product Code]],tblProducts[Code],tblProducts[Category],"")</f>
        <v>Bags &amp; Gadgets</v>
      </c>
      <c r="I5123" s="4">
        <v>1</v>
      </c>
      <c r="J5123" s="5">
        <f>_xlfn.XLOOKUP(tblSales[[#This Row],[Product Code]],tblProducts[Code],tblProducts[Selling Price (excl. VAT)],0)</f>
        <v>500000</v>
      </c>
      <c r="K5123" s="5">
        <f>tblSales[[#This Row],[Qty]]*tblSales[[#This Row],[Unit Price]]</f>
        <v>500000</v>
      </c>
      <c r="L5123" s="5">
        <f>ROUND(tblSales[[#This Row],[DPP (excl. VAT)]]*VATEff,0)</f>
        <v>55000</v>
      </c>
      <c r="M5123" s="5">
        <f>tblSales[[#This Row],[DPP (excl. VAT)]]+tblSales[[#This Row],[Output VAT]]</f>
        <v>555000</v>
      </c>
      <c r="N5123" s="5">
        <f>tblSales[[#This Row],[Qty]]*_xlfn.XLOOKUP(tblSales[[#This Row],[Product Code]],tblProducts[Code],tblProducts[Unit Cost],0)</f>
        <v>290000</v>
      </c>
      <c r="O5123" s="4" t="s">
        <v>4865</v>
      </c>
      <c r="P5123" s="4" t="s">
        <v>4860</v>
      </c>
      <c r="Q5123" s="1" t="str">
        <f>_xlfn.XLOOKUP(tblSales[[#This Row],[Channel Code]],tblChannels[Channel Code],tblChannels[Channel Name],"")</f>
        <v>In-store</v>
      </c>
      <c r="R5123" s="1">
        <f>MONTH(tblSales[[#This Row],[Date]])</f>
        <v>11</v>
      </c>
    </row>
    <row r="5124" spans="2:18" x14ac:dyDescent="0.35">
      <c r="B5124" s="113">
        <v>46334</v>
      </c>
      <c r="C5124" s="4" t="s">
        <v>3505</v>
      </c>
      <c r="D5124" s="4" t="s">
        <v>4568</v>
      </c>
      <c r="E5124" s="1" t="str">
        <f>_xlfn.XLOOKUP(tblSales[[#This Row],[Customer ID]],tblCustomers[Customer ID],tblCustomers[Customer Name],"⚠ Unknown")</f>
        <v>Walk-in Customer</v>
      </c>
      <c r="F5124" s="4" t="s">
        <v>8</v>
      </c>
      <c r="G5124" s="1" t="str">
        <f>_xlfn.XLOOKUP(tblSales[[#This Row],[Product Code]],tblProducts[Code],tblProducts[Product / Service Name],"⚠ Unknown")</f>
        <v>Casual Shorts</v>
      </c>
      <c r="H5124" s="1" t="str">
        <f>_xlfn.XLOOKUP(tblSales[[#This Row],[Product Code]],tblProducts[Code],tblProducts[Category],"")</f>
        <v>Accessories &amp; Basics</v>
      </c>
      <c r="I5124" s="4">
        <v>5</v>
      </c>
      <c r="J5124" s="5">
        <f>_xlfn.XLOOKUP(tblSales[[#This Row],[Product Code]],tblProducts[Code],tblProducts[Selling Price (excl. VAT)],0)</f>
        <v>85000</v>
      </c>
      <c r="K5124" s="5">
        <f>tblSales[[#This Row],[Qty]]*tblSales[[#This Row],[Unit Price]]</f>
        <v>425000</v>
      </c>
      <c r="L5124" s="5">
        <f>ROUND(tblSales[[#This Row],[DPP (excl. VAT)]]*VATEff,0)</f>
        <v>46750</v>
      </c>
      <c r="M5124" s="5">
        <f>tblSales[[#This Row],[DPP (excl. VAT)]]+tblSales[[#This Row],[Output VAT]]</f>
        <v>471750</v>
      </c>
      <c r="N5124" s="5">
        <f>tblSales[[#This Row],[Qty]]*_xlfn.XLOOKUP(tblSales[[#This Row],[Product Code]],tblProducts[Code],tblProducts[Unit Cost],0)</f>
        <v>250000</v>
      </c>
      <c r="O5124" s="4" t="s">
        <v>4865</v>
      </c>
      <c r="P5124" s="4" t="s">
        <v>4860</v>
      </c>
      <c r="Q5124" s="1" t="str">
        <f>_xlfn.XLOOKUP(tblSales[[#This Row],[Channel Code]],tblChannels[Channel Code],tblChannels[Channel Name],"")</f>
        <v>In-store</v>
      </c>
      <c r="R5124" s="1">
        <f>MONTH(tblSales[[#This Row],[Date]])</f>
        <v>11</v>
      </c>
    </row>
    <row r="5125" spans="2:18" x14ac:dyDescent="0.35">
      <c r="B5125" s="113">
        <v>46334</v>
      </c>
      <c r="C5125" s="4" t="s">
        <v>3506</v>
      </c>
      <c r="D5125" s="4" t="s">
        <v>4568</v>
      </c>
      <c r="E5125" s="1" t="str">
        <f>_xlfn.XLOOKUP(tblSales[[#This Row],[Customer ID]],tblCustomers[Customer ID],tblCustomers[Customer Name],"⚠ Unknown")</f>
        <v>Walk-in Customer</v>
      </c>
      <c r="F5125" s="4" t="s">
        <v>6</v>
      </c>
      <c r="G5125" s="1" t="str">
        <f>_xlfn.XLOOKUP(tblSales[[#This Row],[Product Code]],tblProducts[Code],tblProducts[Product / Service Name],"⚠ Unknown")</f>
        <v>Socks &amp; Accessories</v>
      </c>
      <c r="H5125" s="1" t="str">
        <f>_xlfn.XLOOKUP(tblSales[[#This Row],[Product Code]],tblProducts[Code],tblProducts[Category],"")</f>
        <v>Accessories &amp; Basics</v>
      </c>
      <c r="I5125" s="4">
        <v>8</v>
      </c>
      <c r="J5125" s="5">
        <f>_xlfn.XLOOKUP(tblSales[[#This Row],[Product Code]],tblProducts[Code],tblProducts[Selling Price (excl. VAT)],0)</f>
        <v>45000</v>
      </c>
      <c r="K5125" s="5">
        <f>tblSales[[#This Row],[Qty]]*tblSales[[#This Row],[Unit Price]]</f>
        <v>360000</v>
      </c>
      <c r="L5125" s="5">
        <f>ROUND(tblSales[[#This Row],[DPP (excl. VAT)]]*VATEff,0)</f>
        <v>39600</v>
      </c>
      <c r="M5125" s="5">
        <f>tblSales[[#This Row],[DPP (excl. VAT)]]+tblSales[[#This Row],[Output VAT]]</f>
        <v>399600</v>
      </c>
      <c r="N5125" s="5">
        <f>tblSales[[#This Row],[Qty]]*_xlfn.XLOOKUP(tblSales[[#This Row],[Product Code]],tblProducts[Code],tblProducts[Unit Cost],0)</f>
        <v>192000</v>
      </c>
      <c r="O5125" s="4" t="s">
        <v>4865</v>
      </c>
      <c r="P5125" s="4" t="s">
        <v>4860</v>
      </c>
      <c r="Q5125" s="1" t="str">
        <f>_xlfn.XLOOKUP(tblSales[[#This Row],[Channel Code]],tblChannels[Channel Code],tblChannels[Channel Name],"")</f>
        <v>In-store</v>
      </c>
      <c r="R5125" s="1">
        <f>MONTH(tblSales[[#This Row],[Date]])</f>
        <v>11</v>
      </c>
    </row>
    <row r="5126" spans="2:18" x14ac:dyDescent="0.35">
      <c r="B5126" s="113">
        <v>46334</v>
      </c>
      <c r="C5126" s="4" t="s">
        <v>3507</v>
      </c>
      <c r="D5126" s="4" t="s">
        <v>4568</v>
      </c>
      <c r="E5126" s="1" t="str">
        <f>_xlfn.XLOOKUP(tblSales[[#This Row],[Customer ID]],tblCustomers[Customer ID],tblCustomers[Customer Name],"⚠ Unknown")</f>
        <v>Walk-in Customer</v>
      </c>
      <c r="F5126" s="4" t="s">
        <v>13</v>
      </c>
      <c r="G5126" s="1" t="str">
        <f>_xlfn.XLOOKUP(tblSales[[#This Row],[Product Code]],tblProducts[Code],tblProducts[Product / Service Name],"⚠ Unknown")</f>
        <v>Backpack</v>
      </c>
      <c r="H5126" s="1" t="str">
        <f>_xlfn.XLOOKUP(tblSales[[#This Row],[Product Code]],tblProducts[Code],tblProducts[Category],"")</f>
        <v>Bags &amp; Gadgets</v>
      </c>
      <c r="I5126" s="4">
        <v>4</v>
      </c>
      <c r="J5126" s="5">
        <f>_xlfn.XLOOKUP(tblSales[[#This Row],[Product Code]],tblProducts[Code],tblProducts[Selling Price (excl. VAT)],0)</f>
        <v>500000</v>
      </c>
      <c r="K5126" s="5">
        <f>tblSales[[#This Row],[Qty]]*tblSales[[#This Row],[Unit Price]]</f>
        <v>2000000</v>
      </c>
      <c r="L5126" s="5">
        <f>ROUND(tblSales[[#This Row],[DPP (excl. VAT)]]*VATEff,0)</f>
        <v>220000</v>
      </c>
      <c r="M5126" s="5">
        <f>tblSales[[#This Row],[DPP (excl. VAT)]]+tblSales[[#This Row],[Output VAT]]</f>
        <v>2220000</v>
      </c>
      <c r="N5126" s="5">
        <f>tblSales[[#This Row],[Qty]]*_xlfn.XLOOKUP(tblSales[[#This Row],[Product Code]],tblProducts[Code],tblProducts[Unit Cost],0)</f>
        <v>1160000</v>
      </c>
      <c r="O5126" s="4" t="s">
        <v>4866</v>
      </c>
      <c r="P5126" s="4" t="s">
        <v>4861</v>
      </c>
      <c r="Q5126" s="1" t="str">
        <f>_xlfn.XLOOKUP(tblSales[[#This Row],[Channel Code]],tblChannels[Channel Code],tblChannels[Channel Name],"")</f>
        <v>Marketplace</v>
      </c>
      <c r="R5126" s="1">
        <f>MONTH(tblSales[[#This Row],[Date]])</f>
        <v>11</v>
      </c>
    </row>
    <row r="5127" spans="2:18" x14ac:dyDescent="0.35">
      <c r="B5127" s="113">
        <v>46334</v>
      </c>
      <c r="C5127" s="4" t="s">
        <v>3507</v>
      </c>
      <c r="D5127" s="4" t="s">
        <v>4568</v>
      </c>
      <c r="E5127" s="1" t="str">
        <f>_xlfn.XLOOKUP(tblSales[[#This Row],[Customer ID]],tblCustomers[Customer ID],tblCustomers[Customer Name],"⚠ Unknown")</f>
        <v>Walk-in Customer</v>
      </c>
      <c r="F5127" s="4" t="s">
        <v>15</v>
      </c>
      <c r="G5127" s="1" t="str">
        <f>_xlfn.XLOOKUP(tblSales[[#This Row],[Product Code]],tblProducts[Code],tblProducts[Product / Service Name],"⚠ Unknown")</f>
        <v>Wireless Earbuds Pro</v>
      </c>
      <c r="H5127" s="1" t="str">
        <f>_xlfn.XLOOKUP(tblSales[[#This Row],[Product Code]],tblProducts[Code],tblProducts[Category],"")</f>
        <v>Bags &amp; Gadgets</v>
      </c>
      <c r="I5127" s="4">
        <v>3</v>
      </c>
      <c r="J5127" s="5">
        <f>_xlfn.XLOOKUP(tblSales[[#This Row],[Product Code]],tblProducts[Code],tblProducts[Selling Price (excl. VAT)],0)</f>
        <v>1250000</v>
      </c>
      <c r="K5127" s="5">
        <f>tblSales[[#This Row],[Qty]]*tblSales[[#This Row],[Unit Price]]</f>
        <v>3750000</v>
      </c>
      <c r="L5127" s="5">
        <f>ROUND(tblSales[[#This Row],[DPP (excl. VAT)]]*VATEff,0)</f>
        <v>412500</v>
      </c>
      <c r="M5127" s="5">
        <f>tblSales[[#This Row],[DPP (excl. VAT)]]+tblSales[[#This Row],[Output VAT]]</f>
        <v>4162500</v>
      </c>
      <c r="N5127" s="5">
        <f>tblSales[[#This Row],[Qty]]*_xlfn.XLOOKUP(tblSales[[#This Row],[Product Code]],tblProducts[Code],tblProducts[Unit Cost],0)</f>
        <v>2460000</v>
      </c>
      <c r="O5127" s="4" t="s">
        <v>4866</v>
      </c>
      <c r="P5127" s="4" t="s">
        <v>4861</v>
      </c>
      <c r="Q5127" s="1" t="str">
        <f>_xlfn.XLOOKUP(tblSales[[#This Row],[Channel Code]],tblChannels[Channel Code],tblChannels[Channel Name],"")</f>
        <v>Marketplace</v>
      </c>
      <c r="R5127" s="1">
        <f>MONTH(tblSales[[#This Row],[Date]])</f>
        <v>11</v>
      </c>
    </row>
    <row r="5128" spans="2:18" x14ac:dyDescent="0.35">
      <c r="B5128" s="113">
        <v>46334</v>
      </c>
      <c r="C5128" s="4" t="s">
        <v>3507</v>
      </c>
      <c r="D5128" s="4" t="s">
        <v>4568</v>
      </c>
      <c r="E5128" s="1" t="str">
        <f>_xlfn.XLOOKUP(tblSales[[#This Row],[Customer ID]],tblCustomers[Customer ID],tblCustomers[Customer Name],"⚠ Unknown")</f>
        <v>Walk-in Customer</v>
      </c>
      <c r="F5128" s="4" t="s">
        <v>7</v>
      </c>
      <c r="G5128" s="1" t="str">
        <f>_xlfn.XLOOKUP(tblSales[[#This Row],[Product Code]],tblProducts[Code],tblProducts[Product / Service Name],"⚠ Unknown")</f>
        <v>Premium Basic T-shirt</v>
      </c>
      <c r="H5128" s="1" t="str">
        <f>_xlfn.XLOOKUP(tblSales[[#This Row],[Product Code]],tblProducts[Code],tblProducts[Category],"")</f>
        <v>Accessories &amp; Basics</v>
      </c>
      <c r="I5128" s="4">
        <v>2</v>
      </c>
      <c r="J5128" s="5">
        <f>_xlfn.XLOOKUP(tblSales[[#This Row],[Product Code]],tblProducts[Code],tblProducts[Selling Price (excl. VAT)],0)</f>
        <v>65000</v>
      </c>
      <c r="K5128" s="5">
        <f>tblSales[[#This Row],[Qty]]*tblSales[[#This Row],[Unit Price]]</f>
        <v>130000</v>
      </c>
      <c r="L5128" s="5">
        <f>ROUND(tblSales[[#This Row],[DPP (excl. VAT)]]*VATEff,0)</f>
        <v>14300</v>
      </c>
      <c r="M5128" s="5">
        <f>tblSales[[#This Row],[DPP (excl. VAT)]]+tblSales[[#This Row],[Output VAT]]</f>
        <v>144300</v>
      </c>
      <c r="N5128" s="5">
        <f>tblSales[[#This Row],[Qty]]*_xlfn.XLOOKUP(tblSales[[#This Row],[Product Code]],tblProducts[Code],tblProducts[Unit Cost],0)</f>
        <v>74000</v>
      </c>
      <c r="O5128" s="4" t="s">
        <v>4866</v>
      </c>
      <c r="P5128" s="4" t="s">
        <v>4861</v>
      </c>
      <c r="Q5128" s="1" t="str">
        <f>_xlfn.XLOOKUP(tblSales[[#This Row],[Channel Code]],tblChannels[Channel Code],tblChannels[Channel Name],"")</f>
        <v>Marketplace</v>
      </c>
      <c r="R5128" s="1">
        <f>MONTH(tblSales[[#This Row],[Date]])</f>
        <v>11</v>
      </c>
    </row>
    <row r="5129" spans="2:18" x14ac:dyDescent="0.35">
      <c r="B5129" s="113">
        <v>46334</v>
      </c>
      <c r="C5129" s="4" t="s">
        <v>3508</v>
      </c>
      <c r="D5129" s="4" t="s">
        <v>4568</v>
      </c>
      <c r="E5129" s="1" t="str">
        <f>_xlfn.XLOOKUP(tblSales[[#This Row],[Customer ID]],tblCustomers[Customer ID],tblCustomers[Customer Name],"⚠ Unknown")</f>
        <v>Walk-in Customer</v>
      </c>
      <c r="F5129" s="4" t="s">
        <v>8</v>
      </c>
      <c r="G5129" s="1" t="str">
        <f>_xlfn.XLOOKUP(tblSales[[#This Row],[Product Code]],tblProducts[Code],tblProducts[Product / Service Name],"⚠ Unknown")</f>
        <v>Casual Shorts</v>
      </c>
      <c r="H5129" s="1" t="str">
        <f>_xlfn.XLOOKUP(tblSales[[#This Row],[Product Code]],tblProducts[Code],tblProducts[Category],"")</f>
        <v>Accessories &amp; Basics</v>
      </c>
      <c r="I5129" s="4">
        <v>6</v>
      </c>
      <c r="J5129" s="5">
        <f>_xlfn.XLOOKUP(tblSales[[#This Row],[Product Code]],tblProducts[Code],tblProducts[Selling Price (excl. VAT)],0)</f>
        <v>85000</v>
      </c>
      <c r="K5129" s="5">
        <f>tblSales[[#This Row],[Qty]]*tblSales[[#This Row],[Unit Price]]</f>
        <v>510000</v>
      </c>
      <c r="L5129" s="5">
        <f>ROUND(tblSales[[#This Row],[DPP (excl. VAT)]]*VATEff,0)</f>
        <v>56100</v>
      </c>
      <c r="M5129" s="5">
        <f>tblSales[[#This Row],[DPP (excl. VAT)]]+tblSales[[#This Row],[Output VAT]]</f>
        <v>566100</v>
      </c>
      <c r="N5129" s="5">
        <f>tblSales[[#This Row],[Qty]]*_xlfn.XLOOKUP(tblSales[[#This Row],[Product Code]],tblProducts[Code],tblProducts[Unit Cost],0)</f>
        <v>300000</v>
      </c>
      <c r="O5129" s="4" t="s">
        <v>4865</v>
      </c>
      <c r="P5129" s="4" t="s">
        <v>4860</v>
      </c>
      <c r="Q5129" s="1" t="str">
        <f>_xlfn.XLOOKUP(tblSales[[#This Row],[Channel Code]],tblChannels[Channel Code],tblChannels[Channel Name],"")</f>
        <v>In-store</v>
      </c>
      <c r="R5129" s="1">
        <f>MONTH(tblSales[[#This Row],[Date]])</f>
        <v>11</v>
      </c>
    </row>
    <row r="5130" spans="2:18" x14ac:dyDescent="0.35">
      <c r="B5130" s="113">
        <v>46334</v>
      </c>
      <c r="C5130" s="4" t="s">
        <v>3509</v>
      </c>
      <c r="D5130" s="4" t="s">
        <v>4568</v>
      </c>
      <c r="E5130" s="1" t="str">
        <f>_xlfn.XLOOKUP(tblSales[[#This Row],[Customer ID]],tblCustomers[Customer ID],tblCustomers[Customer Name],"⚠ Unknown")</f>
        <v>Walk-in Customer</v>
      </c>
      <c r="F5130" s="4" t="s">
        <v>9</v>
      </c>
      <c r="G5130" s="1" t="str">
        <f>_xlfn.XLOOKUP(tblSales[[#This Row],[Product Code]],tblProducts[Code],tblProducts[Product / Service Name],"⚠ Unknown")</f>
        <v>Casual Shirt</v>
      </c>
      <c r="H5130" s="1" t="str">
        <f>_xlfn.XLOOKUP(tblSales[[#This Row],[Product Code]],tblProducts[Code],tblProducts[Category],"")</f>
        <v>Apparel &amp; Footwear</v>
      </c>
      <c r="I5130" s="4">
        <v>1</v>
      </c>
      <c r="J5130" s="5">
        <f>_xlfn.XLOOKUP(tblSales[[#This Row],[Product Code]],tblProducts[Code],tblProducts[Selling Price (excl. VAT)],0)</f>
        <v>120000</v>
      </c>
      <c r="K5130" s="5">
        <f>tblSales[[#This Row],[Qty]]*tblSales[[#This Row],[Unit Price]]</f>
        <v>120000</v>
      </c>
      <c r="L5130" s="5">
        <f>ROUND(tblSales[[#This Row],[DPP (excl. VAT)]]*VATEff,0)</f>
        <v>13200</v>
      </c>
      <c r="M5130" s="5">
        <f>tblSales[[#This Row],[DPP (excl. VAT)]]+tblSales[[#This Row],[Output VAT]]</f>
        <v>133200</v>
      </c>
      <c r="N5130" s="5">
        <f>tblSales[[#This Row],[Qty]]*_xlfn.XLOOKUP(tblSales[[#This Row],[Product Code]],tblProducts[Code],tblProducts[Unit Cost],0)</f>
        <v>72000</v>
      </c>
      <c r="O5130" s="4" t="s">
        <v>4865</v>
      </c>
      <c r="P5130" s="4" t="s">
        <v>4860</v>
      </c>
      <c r="Q5130" s="1" t="str">
        <f>_xlfn.XLOOKUP(tblSales[[#This Row],[Channel Code]],tblChannels[Channel Code],tblChannels[Channel Name],"")</f>
        <v>In-store</v>
      </c>
      <c r="R5130" s="1">
        <f>MONTH(tblSales[[#This Row],[Date]])</f>
        <v>11</v>
      </c>
    </row>
    <row r="5131" spans="2:18" x14ac:dyDescent="0.35">
      <c r="B5131" s="113">
        <v>46334</v>
      </c>
      <c r="C5131" s="4" t="s">
        <v>3510</v>
      </c>
      <c r="D5131" s="4" t="s">
        <v>4568</v>
      </c>
      <c r="E5131" s="1" t="str">
        <f>_xlfn.XLOOKUP(tblSales[[#This Row],[Customer ID]],tblCustomers[Customer ID],tblCustomers[Customer Name],"⚠ Unknown")</f>
        <v>Walk-in Customer</v>
      </c>
      <c r="F5131" s="4" t="s">
        <v>15</v>
      </c>
      <c r="G5131" s="1" t="str">
        <f>_xlfn.XLOOKUP(tblSales[[#This Row],[Product Code]],tblProducts[Code],tblProducts[Product / Service Name],"⚠ Unknown")</f>
        <v>Wireless Earbuds Pro</v>
      </c>
      <c r="H5131" s="1" t="str">
        <f>_xlfn.XLOOKUP(tblSales[[#This Row],[Product Code]],tblProducts[Code],tblProducts[Category],"")</f>
        <v>Bags &amp; Gadgets</v>
      </c>
      <c r="I5131" s="4">
        <v>2</v>
      </c>
      <c r="J5131" s="5">
        <f>_xlfn.XLOOKUP(tblSales[[#This Row],[Product Code]],tblProducts[Code],tblProducts[Selling Price (excl. VAT)],0)</f>
        <v>1250000</v>
      </c>
      <c r="K5131" s="5">
        <f>tblSales[[#This Row],[Qty]]*tblSales[[#This Row],[Unit Price]]</f>
        <v>2500000</v>
      </c>
      <c r="L5131" s="5">
        <f>ROUND(tblSales[[#This Row],[DPP (excl. VAT)]]*VATEff,0)</f>
        <v>275000</v>
      </c>
      <c r="M5131" s="5">
        <f>tblSales[[#This Row],[DPP (excl. VAT)]]+tblSales[[#This Row],[Output VAT]]</f>
        <v>2775000</v>
      </c>
      <c r="N5131" s="5">
        <f>tblSales[[#This Row],[Qty]]*_xlfn.XLOOKUP(tblSales[[#This Row],[Product Code]],tblProducts[Code],tblProducts[Unit Cost],0)</f>
        <v>1640000</v>
      </c>
      <c r="O5131" s="4" t="s">
        <v>4865</v>
      </c>
      <c r="P5131" s="4" t="s">
        <v>4860</v>
      </c>
      <c r="Q5131" s="1" t="str">
        <f>_xlfn.XLOOKUP(tblSales[[#This Row],[Channel Code]],tblChannels[Channel Code],tblChannels[Channel Name],"")</f>
        <v>In-store</v>
      </c>
      <c r="R5131" s="1">
        <f>MONTH(tblSales[[#This Row],[Date]])</f>
        <v>11</v>
      </c>
    </row>
    <row r="5132" spans="2:18" x14ac:dyDescent="0.35">
      <c r="B5132" s="113">
        <v>46334</v>
      </c>
      <c r="C5132" s="4" t="s">
        <v>3510</v>
      </c>
      <c r="D5132" s="4" t="s">
        <v>4568</v>
      </c>
      <c r="E5132" s="1" t="str">
        <f>_xlfn.XLOOKUP(tblSales[[#This Row],[Customer ID]],tblCustomers[Customer ID],tblCustomers[Customer Name],"⚠ Unknown")</f>
        <v>Walk-in Customer</v>
      </c>
      <c r="F5132" s="4" t="s">
        <v>10</v>
      </c>
      <c r="G5132" s="1" t="str">
        <f>_xlfn.XLOOKUP(tblSales[[#This Row],[Product Code]],tblProducts[Code],tblProducts[Product / Service Name],"⚠ Unknown")</f>
        <v>Chino Pants</v>
      </c>
      <c r="H5132" s="1" t="str">
        <f>_xlfn.XLOOKUP(tblSales[[#This Row],[Product Code]],tblProducts[Code],tblProducts[Category],"")</f>
        <v>Apparel &amp; Footwear</v>
      </c>
      <c r="I5132" s="4">
        <v>8</v>
      </c>
      <c r="J5132" s="5">
        <f>_xlfn.XLOOKUP(tblSales[[#This Row],[Product Code]],tblProducts[Code],tblProducts[Selling Price (excl. VAT)],0)</f>
        <v>150000</v>
      </c>
      <c r="K5132" s="5">
        <f>tblSales[[#This Row],[Qty]]*tblSales[[#This Row],[Unit Price]]</f>
        <v>1200000</v>
      </c>
      <c r="L5132" s="5">
        <f>ROUND(tblSales[[#This Row],[DPP (excl. VAT)]]*VATEff,0)</f>
        <v>132000</v>
      </c>
      <c r="M5132" s="5">
        <f>tblSales[[#This Row],[DPP (excl. VAT)]]+tblSales[[#This Row],[Output VAT]]</f>
        <v>1332000</v>
      </c>
      <c r="N5132" s="5">
        <f>tblSales[[#This Row],[Qty]]*_xlfn.XLOOKUP(tblSales[[#This Row],[Product Code]],tblProducts[Code],tblProducts[Unit Cost],0)</f>
        <v>704000</v>
      </c>
      <c r="O5132" s="4" t="s">
        <v>4865</v>
      </c>
      <c r="P5132" s="4" t="s">
        <v>4860</v>
      </c>
      <c r="Q5132" s="1" t="str">
        <f>_xlfn.XLOOKUP(tblSales[[#This Row],[Channel Code]],tblChannels[Channel Code],tblChannels[Channel Name],"")</f>
        <v>In-store</v>
      </c>
      <c r="R5132" s="1">
        <f>MONTH(tblSales[[#This Row],[Date]])</f>
        <v>11</v>
      </c>
    </row>
    <row r="5133" spans="2:18" x14ac:dyDescent="0.35">
      <c r="B5133" s="113">
        <v>46334</v>
      </c>
      <c r="C5133" s="4" t="s">
        <v>3511</v>
      </c>
      <c r="D5133" s="4" t="s">
        <v>4568</v>
      </c>
      <c r="E5133" s="1" t="str">
        <f>_xlfn.XLOOKUP(tblSales[[#This Row],[Customer ID]],tblCustomers[Customer ID],tblCustomers[Customer Name],"⚠ Unknown")</f>
        <v>Walk-in Customer</v>
      </c>
      <c r="F5133" s="4" t="s">
        <v>10</v>
      </c>
      <c r="G5133" s="1" t="str">
        <f>_xlfn.XLOOKUP(tblSales[[#This Row],[Product Code]],tblProducts[Code],tblProducts[Product / Service Name],"⚠ Unknown")</f>
        <v>Chino Pants</v>
      </c>
      <c r="H5133" s="1" t="str">
        <f>_xlfn.XLOOKUP(tblSales[[#This Row],[Product Code]],tblProducts[Code],tblProducts[Category],"")</f>
        <v>Apparel &amp; Footwear</v>
      </c>
      <c r="I5133" s="4">
        <v>2</v>
      </c>
      <c r="J5133" s="5">
        <f>_xlfn.XLOOKUP(tblSales[[#This Row],[Product Code]],tblProducts[Code],tblProducts[Selling Price (excl. VAT)],0)</f>
        <v>150000</v>
      </c>
      <c r="K5133" s="5">
        <f>tblSales[[#This Row],[Qty]]*tblSales[[#This Row],[Unit Price]]</f>
        <v>300000</v>
      </c>
      <c r="L5133" s="5">
        <f>ROUND(tblSales[[#This Row],[DPP (excl. VAT)]]*VATEff,0)</f>
        <v>33000</v>
      </c>
      <c r="M5133" s="5">
        <f>tblSales[[#This Row],[DPP (excl. VAT)]]+tblSales[[#This Row],[Output VAT]]</f>
        <v>333000</v>
      </c>
      <c r="N5133" s="5">
        <f>tblSales[[#This Row],[Qty]]*_xlfn.XLOOKUP(tblSales[[#This Row],[Product Code]],tblProducts[Code],tblProducts[Unit Cost],0)</f>
        <v>176000</v>
      </c>
      <c r="O5133" s="4" t="s">
        <v>4866</v>
      </c>
      <c r="P5133" s="4" t="s">
        <v>4860</v>
      </c>
      <c r="Q5133" s="1" t="str">
        <f>_xlfn.XLOOKUP(tblSales[[#This Row],[Channel Code]],tblChannels[Channel Code],tblChannels[Channel Name],"")</f>
        <v>In-store</v>
      </c>
      <c r="R5133" s="1">
        <f>MONTH(tblSales[[#This Row],[Date]])</f>
        <v>11</v>
      </c>
    </row>
    <row r="5134" spans="2:18" x14ac:dyDescent="0.35">
      <c r="B5134" s="113">
        <v>46334</v>
      </c>
      <c r="C5134" s="4" t="s">
        <v>3512</v>
      </c>
      <c r="D5134" s="4" t="s">
        <v>4568</v>
      </c>
      <c r="E5134" s="1" t="str">
        <f>_xlfn.XLOOKUP(tblSales[[#This Row],[Customer ID]],tblCustomers[Customer ID],tblCustomers[Customer Name],"⚠ Unknown")</f>
        <v>Walk-in Customer</v>
      </c>
      <c r="F5134" s="4" t="s">
        <v>6</v>
      </c>
      <c r="G5134" s="1" t="str">
        <f>_xlfn.XLOOKUP(tblSales[[#This Row],[Product Code]],tblProducts[Code],tblProducts[Product / Service Name],"⚠ Unknown")</f>
        <v>Socks &amp; Accessories</v>
      </c>
      <c r="H5134" s="1" t="str">
        <f>_xlfn.XLOOKUP(tblSales[[#This Row],[Product Code]],tblProducts[Code],tblProducts[Category],"")</f>
        <v>Accessories &amp; Basics</v>
      </c>
      <c r="I5134" s="4">
        <v>6</v>
      </c>
      <c r="J5134" s="5">
        <f>_xlfn.XLOOKUP(tblSales[[#This Row],[Product Code]],tblProducts[Code],tblProducts[Selling Price (excl. VAT)],0)</f>
        <v>45000</v>
      </c>
      <c r="K5134" s="5">
        <f>tblSales[[#This Row],[Qty]]*tblSales[[#This Row],[Unit Price]]</f>
        <v>270000</v>
      </c>
      <c r="L5134" s="5">
        <f>ROUND(tblSales[[#This Row],[DPP (excl. VAT)]]*VATEff,0)</f>
        <v>29700</v>
      </c>
      <c r="M5134" s="5">
        <f>tblSales[[#This Row],[DPP (excl. VAT)]]+tblSales[[#This Row],[Output VAT]]</f>
        <v>299700</v>
      </c>
      <c r="N5134" s="5">
        <f>tblSales[[#This Row],[Qty]]*_xlfn.XLOOKUP(tblSales[[#This Row],[Product Code]],tblProducts[Code],tblProducts[Unit Cost],0)</f>
        <v>144000</v>
      </c>
      <c r="O5134" s="4" t="s">
        <v>4866</v>
      </c>
      <c r="P5134" s="4" t="s">
        <v>4861</v>
      </c>
      <c r="Q5134" s="1" t="str">
        <f>_xlfn.XLOOKUP(tblSales[[#This Row],[Channel Code]],tblChannels[Channel Code],tblChannels[Channel Name],"")</f>
        <v>Marketplace</v>
      </c>
      <c r="R5134" s="1">
        <f>MONTH(tblSales[[#This Row],[Date]])</f>
        <v>11</v>
      </c>
    </row>
    <row r="5135" spans="2:18" x14ac:dyDescent="0.35">
      <c r="B5135" s="113">
        <v>46334</v>
      </c>
      <c r="C5135" s="4" t="s">
        <v>3513</v>
      </c>
      <c r="D5135" s="4" t="s">
        <v>4568</v>
      </c>
      <c r="E5135" s="1" t="str">
        <f>_xlfn.XLOOKUP(tblSales[[#This Row],[Customer ID]],tblCustomers[Customer ID],tblCustomers[Customer Name],"⚠ Unknown")</f>
        <v>Walk-in Customer</v>
      </c>
      <c r="F5135" s="4" t="s">
        <v>10</v>
      </c>
      <c r="G5135" s="1" t="str">
        <f>_xlfn.XLOOKUP(tblSales[[#This Row],[Product Code]],tblProducts[Code],tblProducts[Product / Service Name],"⚠ Unknown")</f>
        <v>Chino Pants</v>
      </c>
      <c r="H5135" s="1" t="str">
        <f>_xlfn.XLOOKUP(tblSales[[#This Row],[Product Code]],tblProducts[Code],tblProducts[Category],"")</f>
        <v>Apparel &amp; Footwear</v>
      </c>
      <c r="I5135" s="4">
        <v>10</v>
      </c>
      <c r="J5135" s="5">
        <f>_xlfn.XLOOKUP(tblSales[[#This Row],[Product Code]],tblProducts[Code],tblProducts[Selling Price (excl. VAT)],0)</f>
        <v>150000</v>
      </c>
      <c r="K5135" s="5">
        <f>tblSales[[#This Row],[Qty]]*tblSales[[#This Row],[Unit Price]]</f>
        <v>1500000</v>
      </c>
      <c r="L5135" s="5">
        <f>ROUND(tblSales[[#This Row],[DPP (excl. VAT)]]*VATEff,0)</f>
        <v>165000</v>
      </c>
      <c r="M5135" s="5">
        <f>tblSales[[#This Row],[DPP (excl. VAT)]]+tblSales[[#This Row],[Output VAT]]</f>
        <v>1665000</v>
      </c>
      <c r="N5135" s="5">
        <f>tblSales[[#This Row],[Qty]]*_xlfn.XLOOKUP(tblSales[[#This Row],[Product Code]],tblProducts[Code],tblProducts[Unit Cost],0)</f>
        <v>880000</v>
      </c>
      <c r="O5135" s="4" t="s">
        <v>4866</v>
      </c>
      <c r="P5135" s="4" t="s">
        <v>4861</v>
      </c>
      <c r="Q5135" s="1" t="str">
        <f>_xlfn.XLOOKUP(tblSales[[#This Row],[Channel Code]],tblChannels[Channel Code],tblChannels[Channel Name],"")</f>
        <v>Marketplace</v>
      </c>
      <c r="R5135" s="1">
        <f>MONTH(tblSales[[#This Row],[Date]])</f>
        <v>11</v>
      </c>
    </row>
    <row r="5136" spans="2:18" x14ac:dyDescent="0.35">
      <c r="B5136" s="113">
        <v>46334</v>
      </c>
      <c r="C5136" s="4" t="s">
        <v>3513</v>
      </c>
      <c r="D5136" s="4" t="s">
        <v>4568</v>
      </c>
      <c r="E5136" s="1" t="str">
        <f>_xlfn.XLOOKUP(tblSales[[#This Row],[Customer ID]],tblCustomers[Customer ID],tblCustomers[Customer Name],"⚠ Unknown")</f>
        <v>Walk-in Customer</v>
      </c>
      <c r="F5136" s="4" t="s">
        <v>9</v>
      </c>
      <c r="G5136" s="1" t="str">
        <f>_xlfn.XLOOKUP(tblSales[[#This Row],[Product Code]],tblProducts[Code],tblProducts[Product / Service Name],"⚠ Unknown")</f>
        <v>Casual Shirt</v>
      </c>
      <c r="H5136" s="1" t="str">
        <f>_xlfn.XLOOKUP(tblSales[[#This Row],[Product Code]],tblProducts[Code],tblProducts[Category],"")</f>
        <v>Apparel &amp; Footwear</v>
      </c>
      <c r="I5136" s="4">
        <v>5</v>
      </c>
      <c r="J5136" s="5">
        <f>_xlfn.XLOOKUP(tblSales[[#This Row],[Product Code]],tblProducts[Code],tblProducts[Selling Price (excl. VAT)],0)</f>
        <v>120000</v>
      </c>
      <c r="K5136" s="5">
        <f>tblSales[[#This Row],[Qty]]*tblSales[[#This Row],[Unit Price]]</f>
        <v>600000</v>
      </c>
      <c r="L5136" s="5">
        <f>ROUND(tblSales[[#This Row],[DPP (excl. VAT)]]*VATEff,0)</f>
        <v>66000</v>
      </c>
      <c r="M5136" s="5">
        <f>tblSales[[#This Row],[DPP (excl. VAT)]]+tblSales[[#This Row],[Output VAT]]</f>
        <v>666000</v>
      </c>
      <c r="N5136" s="5">
        <f>tblSales[[#This Row],[Qty]]*_xlfn.XLOOKUP(tblSales[[#This Row],[Product Code]],tblProducts[Code],tblProducts[Unit Cost],0)</f>
        <v>360000</v>
      </c>
      <c r="O5136" s="4" t="s">
        <v>4866</v>
      </c>
      <c r="P5136" s="4" t="s">
        <v>4861</v>
      </c>
      <c r="Q5136" s="1" t="str">
        <f>_xlfn.XLOOKUP(tblSales[[#This Row],[Channel Code]],tblChannels[Channel Code],tblChannels[Channel Name],"")</f>
        <v>Marketplace</v>
      </c>
      <c r="R5136" s="1">
        <f>MONTH(tblSales[[#This Row],[Date]])</f>
        <v>11</v>
      </c>
    </row>
    <row r="5137" spans="2:18" x14ac:dyDescent="0.35">
      <c r="B5137" s="113">
        <v>46334</v>
      </c>
      <c r="C5137" s="4" t="s">
        <v>3514</v>
      </c>
      <c r="D5137" s="4" t="s">
        <v>4568</v>
      </c>
      <c r="E5137" s="1" t="str">
        <f>_xlfn.XLOOKUP(tblSales[[#This Row],[Customer ID]],tblCustomers[Customer ID],tblCustomers[Customer Name],"⚠ Unknown")</f>
        <v>Walk-in Customer</v>
      </c>
      <c r="F5137" s="4" t="s">
        <v>11</v>
      </c>
      <c r="G5137" s="1" t="str">
        <f>_xlfn.XLOOKUP(tblSales[[#This Row],[Product Code]],tblProducts[Code],tblProducts[Product / Service Name],"⚠ Unknown")</f>
        <v>Sneakers</v>
      </c>
      <c r="H5137" s="1" t="str">
        <f>_xlfn.XLOOKUP(tblSales[[#This Row],[Product Code]],tblProducts[Code],tblProducts[Category],"")</f>
        <v>Apparel &amp; Footwear</v>
      </c>
      <c r="I5137" s="4">
        <v>5</v>
      </c>
      <c r="J5137" s="5">
        <f>_xlfn.XLOOKUP(tblSales[[#This Row],[Product Code]],tblProducts[Code],tblProducts[Selling Price (excl. VAT)],0)</f>
        <v>250000</v>
      </c>
      <c r="K5137" s="5">
        <f>tblSales[[#This Row],[Qty]]*tblSales[[#This Row],[Unit Price]]</f>
        <v>1250000</v>
      </c>
      <c r="L5137" s="5">
        <f>ROUND(tblSales[[#This Row],[DPP (excl. VAT)]]*VATEff,0)</f>
        <v>137500</v>
      </c>
      <c r="M5137" s="5">
        <f>tblSales[[#This Row],[DPP (excl. VAT)]]+tblSales[[#This Row],[Output VAT]]</f>
        <v>1387500</v>
      </c>
      <c r="N5137" s="5">
        <f>tblSales[[#This Row],[Qty]]*_xlfn.XLOOKUP(tblSales[[#This Row],[Product Code]],tblProducts[Code],tblProducts[Unit Cost],0)</f>
        <v>775000</v>
      </c>
      <c r="O5137" s="4" t="s">
        <v>4865</v>
      </c>
      <c r="P5137" s="4" t="s">
        <v>4860</v>
      </c>
      <c r="Q5137" s="1" t="str">
        <f>_xlfn.XLOOKUP(tblSales[[#This Row],[Channel Code]],tblChannels[Channel Code],tblChannels[Channel Name],"")</f>
        <v>In-store</v>
      </c>
      <c r="R5137" s="1">
        <f>MONTH(tblSales[[#This Row],[Date]])</f>
        <v>11</v>
      </c>
    </row>
    <row r="5138" spans="2:18" x14ac:dyDescent="0.35">
      <c r="B5138" s="113">
        <v>46335</v>
      </c>
      <c r="C5138" s="4" t="s">
        <v>3515</v>
      </c>
      <c r="D5138" s="4" t="s">
        <v>4599</v>
      </c>
      <c r="E5138" s="1" t="str">
        <f>_xlfn.XLOOKUP(tblSales[[#This Row],[Customer ID]],tblCustomers[Customer ID],tblCustomers[Customer Name],"⚠ Unknown")</f>
        <v>PT Samudra Jaya Logistik</v>
      </c>
      <c r="F5138" s="4" t="s">
        <v>8</v>
      </c>
      <c r="G5138" s="1" t="str">
        <f>_xlfn.XLOOKUP(tblSales[[#This Row],[Product Code]],tblProducts[Code],tblProducts[Product / Service Name],"⚠ Unknown")</f>
        <v>Casual Shorts</v>
      </c>
      <c r="H5138" s="1" t="str">
        <f>_xlfn.XLOOKUP(tblSales[[#This Row],[Product Code]],tblProducts[Code],tblProducts[Category],"")</f>
        <v>Accessories &amp; Basics</v>
      </c>
      <c r="I5138" s="4">
        <v>24</v>
      </c>
      <c r="J5138" s="5">
        <f>_xlfn.XLOOKUP(tblSales[[#This Row],[Product Code]],tblProducts[Code],tblProducts[Selling Price (excl. VAT)],0)</f>
        <v>85000</v>
      </c>
      <c r="K5138" s="5">
        <f>tblSales[[#This Row],[Qty]]*tblSales[[#This Row],[Unit Price]]</f>
        <v>2040000</v>
      </c>
      <c r="L5138" s="5">
        <f>ROUND(tblSales[[#This Row],[DPP (excl. VAT)]]*VATEff,0)</f>
        <v>224400</v>
      </c>
      <c r="M5138" s="5">
        <f>tblSales[[#This Row],[DPP (excl. VAT)]]+tblSales[[#This Row],[Output VAT]]</f>
        <v>2264400</v>
      </c>
      <c r="N5138" s="5">
        <f>tblSales[[#This Row],[Qty]]*_xlfn.XLOOKUP(tblSales[[#This Row],[Product Code]],tblProducts[Code],tblProducts[Unit Cost],0)</f>
        <v>1200000</v>
      </c>
      <c r="O5138" s="4" t="s">
        <v>4867</v>
      </c>
      <c r="P5138" s="4" t="s">
        <v>4860</v>
      </c>
      <c r="Q5138" s="1" t="str">
        <f>_xlfn.XLOOKUP(tblSales[[#This Row],[Channel Code]],tblChannels[Channel Code],tblChannels[Channel Name],"")</f>
        <v>In-store</v>
      </c>
      <c r="R5138" s="1">
        <f>MONTH(tblSales[[#This Row],[Date]])</f>
        <v>11</v>
      </c>
    </row>
    <row r="5139" spans="2:18" x14ac:dyDescent="0.35">
      <c r="B5139" s="113">
        <v>46335</v>
      </c>
      <c r="C5139" s="4" t="s">
        <v>3515</v>
      </c>
      <c r="D5139" s="4" t="s">
        <v>4599</v>
      </c>
      <c r="E5139" s="1" t="str">
        <f>_xlfn.XLOOKUP(tblSales[[#This Row],[Customer ID]],tblCustomers[Customer ID],tblCustomers[Customer Name],"⚠ Unknown")</f>
        <v>PT Samudra Jaya Logistik</v>
      </c>
      <c r="F5139" s="4" t="s">
        <v>6</v>
      </c>
      <c r="G5139" s="1" t="str">
        <f>_xlfn.XLOOKUP(tblSales[[#This Row],[Product Code]],tblProducts[Code],tblProducts[Product / Service Name],"⚠ Unknown")</f>
        <v>Socks &amp; Accessories</v>
      </c>
      <c r="H5139" s="1" t="str">
        <f>_xlfn.XLOOKUP(tblSales[[#This Row],[Product Code]],tblProducts[Code],tblProducts[Category],"")</f>
        <v>Accessories &amp; Basics</v>
      </c>
      <c r="I5139" s="4">
        <v>80</v>
      </c>
      <c r="J5139" s="5">
        <f>_xlfn.XLOOKUP(tblSales[[#This Row],[Product Code]],tblProducts[Code],tblProducts[Selling Price (excl. VAT)],0)</f>
        <v>45000</v>
      </c>
      <c r="K5139" s="5">
        <f>tblSales[[#This Row],[Qty]]*tblSales[[#This Row],[Unit Price]]</f>
        <v>3600000</v>
      </c>
      <c r="L5139" s="5">
        <f>ROUND(tblSales[[#This Row],[DPP (excl. VAT)]]*VATEff,0)</f>
        <v>396000</v>
      </c>
      <c r="M5139" s="5">
        <f>tblSales[[#This Row],[DPP (excl. VAT)]]+tblSales[[#This Row],[Output VAT]]</f>
        <v>3996000</v>
      </c>
      <c r="N5139" s="5">
        <f>tblSales[[#This Row],[Qty]]*_xlfn.XLOOKUP(tblSales[[#This Row],[Product Code]],tblProducts[Code],tblProducts[Unit Cost],0)</f>
        <v>1920000</v>
      </c>
      <c r="O5139" s="4" t="s">
        <v>4867</v>
      </c>
      <c r="P5139" s="4" t="s">
        <v>4860</v>
      </c>
      <c r="Q5139" s="1" t="str">
        <f>_xlfn.XLOOKUP(tblSales[[#This Row],[Channel Code]],tblChannels[Channel Code],tblChannels[Channel Name],"")</f>
        <v>In-store</v>
      </c>
      <c r="R5139" s="1">
        <f>MONTH(tblSales[[#This Row],[Date]])</f>
        <v>11</v>
      </c>
    </row>
    <row r="5140" spans="2:18" x14ac:dyDescent="0.35">
      <c r="B5140" s="113">
        <v>46335</v>
      </c>
      <c r="C5140" s="4" t="s">
        <v>3515</v>
      </c>
      <c r="D5140" s="4" t="s">
        <v>4599</v>
      </c>
      <c r="E5140" s="1" t="str">
        <f>_xlfn.XLOOKUP(tblSales[[#This Row],[Customer ID]],tblCustomers[Customer ID],tblCustomers[Customer Name],"⚠ Unknown")</f>
        <v>PT Samudra Jaya Logistik</v>
      </c>
      <c r="F5140" s="4" t="s">
        <v>9</v>
      </c>
      <c r="G5140" s="1" t="str">
        <f>_xlfn.XLOOKUP(tblSales[[#This Row],[Product Code]],tblProducts[Code],tblProducts[Product / Service Name],"⚠ Unknown")</f>
        <v>Casual Shirt</v>
      </c>
      <c r="H5140" s="1" t="str">
        <f>_xlfn.XLOOKUP(tblSales[[#This Row],[Product Code]],tblProducts[Code],tblProducts[Category],"")</f>
        <v>Apparel &amp; Footwear</v>
      </c>
      <c r="I5140" s="4">
        <v>8</v>
      </c>
      <c r="J5140" s="5">
        <f>_xlfn.XLOOKUP(tblSales[[#This Row],[Product Code]],tblProducts[Code],tblProducts[Selling Price (excl. VAT)],0)</f>
        <v>120000</v>
      </c>
      <c r="K5140" s="5">
        <f>tblSales[[#This Row],[Qty]]*tblSales[[#This Row],[Unit Price]]</f>
        <v>960000</v>
      </c>
      <c r="L5140" s="5">
        <f>ROUND(tblSales[[#This Row],[DPP (excl. VAT)]]*VATEff,0)</f>
        <v>105600</v>
      </c>
      <c r="M5140" s="5">
        <f>tblSales[[#This Row],[DPP (excl. VAT)]]+tblSales[[#This Row],[Output VAT]]</f>
        <v>1065600</v>
      </c>
      <c r="N5140" s="5">
        <f>tblSales[[#This Row],[Qty]]*_xlfn.XLOOKUP(tblSales[[#This Row],[Product Code]],tblProducts[Code],tblProducts[Unit Cost],0)</f>
        <v>576000</v>
      </c>
      <c r="O5140" s="4" t="s">
        <v>4867</v>
      </c>
      <c r="P5140" s="4" t="s">
        <v>4860</v>
      </c>
      <c r="Q5140" s="1" t="str">
        <f>_xlfn.XLOOKUP(tblSales[[#This Row],[Channel Code]],tblChannels[Channel Code],tblChannels[Channel Name],"")</f>
        <v>In-store</v>
      </c>
      <c r="R5140" s="1">
        <f>MONTH(tblSales[[#This Row],[Date]])</f>
        <v>11</v>
      </c>
    </row>
    <row r="5141" spans="2:18" x14ac:dyDescent="0.35">
      <c r="B5141" s="113">
        <v>46335</v>
      </c>
      <c r="C5141" s="4" t="s">
        <v>3516</v>
      </c>
      <c r="D5141" s="4" t="s">
        <v>4568</v>
      </c>
      <c r="E5141" s="1" t="str">
        <f>_xlfn.XLOOKUP(tblSales[[#This Row],[Customer ID]],tblCustomers[Customer ID],tblCustomers[Customer Name],"⚠ Unknown")</f>
        <v>Walk-in Customer</v>
      </c>
      <c r="F5141" s="4" t="s">
        <v>15</v>
      </c>
      <c r="G5141" s="1" t="str">
        <f>_xlfn.XLOOKUP(tblSales[[#This Row],[Product Code]],tblProducts[Code],tblProducts[Product / Service Name],"⚠ Unknown")</f>
        <v>Wireless Earbuds Pro</v>
      </c>
      <c r="H5141" s="1" t="str">
        <f>_xlfn.XLOOKUP(tblSales[[#This Row],[Product Code]],tblProducts[Code],tblProducts[Category],"")</f>
        <v>Bags &amp; Gadgets</v>
      </c>
      <c r="I5141" s="4">
        <v>1</v>
      </c>
      <c r="J5141" s="5">
        <f>_xlfn.XLOOKUP(tblSales[[#This Row],[Product Code]],tblProducts[Code],tblProducts[Selling Price (excl. VAT)],0)</f>
        <v>1250000</v>
      </c>
      <c r="K5141" s="5">
        <f>tblSales[[#This Row],[Qty]]*tblSales[[#This Row],[Unit Price]]</f>
        <v>1250000</v>
      </c>
      <c r="L5141" s="5">
        <f>ROUND(tblSales[[#This Row],[DPP (excl. VAT)]]*VATEff,0)</f>
        <v>137500</v>
      </c>
      <c r="M5141" s="5">
        <f>tblSales[[#This Row],[DPP (excl. VAT)]]+tblSales[[#This Row],[Output VAT]]</f>
        <v>1387500</v>
      </c>
      <c r="N5141" s="5">
        <f>tblSales[[#This Row],[Qty]]*_xlfn.XLOOKUP(tblSales[[#This Row],[Product Code]],tblProducts[Code],tblProducts[Unit Cost],0)</f>
        <v>820000</v>
      </c>
      <c r="O5141" s="4" t="s">
        <v>4866</v>
      </c>
      <c r="P5141" s="4" t="s">
        <v>4862</v>
      </c>
      <c r="Q5141" s="1" t="str">
        <f>_xlfn.XLOOKUP(tblSales[[#This Row],[Channel Code]],tblChannels[Channel Code],tblChannels[Channel Name],"")</f>
        <v>Website &amp; Social Media</v>
      </c>
      <c r="R5141" s="1">
        <f>MONTH(tblSales[[#This Row],[Date]])</f>
        <v>11</v>
      </c>
    </row>
    <row r="5142" spans="2:18" x14ac:dyDescent="0.35">
      <c r="B5142" s="113">
        <v>46335</v>
      </c>
      <c r="C5142" s="4" t="s">
        <v>3517</v>
      </c>
      <c r="D5142" s="4" t="s">
        <v>4593</v>
      </c>
      <c r="E5142" s="1" t="str">
        <f>_xlfn.XLOOKUP(tblSales[[#This Row],[Customer ID]],tblCustomers[Customer ID],tblCustomers[Customer Name],"⚠ Unknown")</f>
        <v>PT Graha Nusa Persada</v>
      </c>
      <c r="F5142" s="4" t="s">
        <v>7</v>
      </c>
      <c r="G5142" s="1" t="str">
        <f>_xlfn.XLOOKUP(tblSales[[#This Row],[Product Code]],tblProducts[Code],tblProducts[Product / Service Name],"⚠ Unknown")</f>
        <v>Premium Basic T-shirt</v>
      </c>
      <c r="H5142" s="1" t="str">
        <f>_xlfn.XLOOKUP(tblSales[[#This Row],[Product Code]],tblProducts[Code],tblProducts[Category],"")</f>
        <v>Accessories &amp; Basics</v>
      </c>
      <c r="I5142" s="4">
        <v>40</v>
      </c>
      <c r="J5142" s="5">
        <f>_xlfn.XLOOKUP(tblSales[[#This Row],[Product Code]],tblProducts[Code],tblProducts[Selling Price (excl. VAT)],0)</f>
        <v>65000</v>
      </c>
      <c r="K5142" s="5">
        <f>tblSales[[#This Row],[Qty]]*tblSales[[#This Row],[Unit Price]]</f>
        <v>2600000</v>
      </c>
      <c r="L5142" s="5">
        <f>ROUND(tblSales[[#This Row],[DPP (excl. VAT)]]*VATEff,0)</f>
        <v>286000</v>
      </c>
      <c r="M5142" s="5">
        <f>tblSales[[#This Row],[DPP (excl. VAT)]]+tblSales[[#This Row],[Output VAT]]</f>
        <v>2886000</v>
      </c>
      <c r="N5142" s="5">
        <f>tblSales[[#This Row],[Qty]]*_xlfn.XLOOKUP(tblSales[[#This Row],[Product Code]],tblProducts[Code],tblProducts[Unit Cost],0)</f>
        <v>1480000</v>
      </c>
      <c r="O5142" s="4" t="s">
        <v>4867</v>
      </c>
      <c r="P5142" s="4" t="s">
        <v>4862</v>
      </c>
      <c r="Q5142" s="1" t="str">
        <f>_xlfn.XLOOKUP(tblSales[[#This Row],[Channel Code]],tblChannels[Channel Code],tblChannels[Channel Name],"")</f>
        <v>Website &amp; Social Media</v>
      </c>
      <c r="R5142" s="1">
        <f>MONTH(tblSales[[#This Row],[Date]])</f>
        <v>11</v>
      </c>
    </row>
    <row r="5143" spans="2:18" x14ac:dyDescent="0.35">
      <c r="B5143" s="113">
        <v>46335</v>
      </c>
      <c r="C5143" s="4" t="s">
        <v>3517</v>
      </c>
      <c r="D5143" s="4" t="s">
        <v>4593</v>
      </c>
      <c r="E5143" s="1" t="str">
        <f>_xlfn.XLOOKUP(tblSales[[#This Row],[Customer ID]],tblCustomers[Customer ID],tblCustomers[Customer Name],"⚠ Unknown")</f>
        <v>PT Graha Nusa Persada</v>
      </c>
      <c r="F5143" s="4" t="s">
        <v>9</v>
      </c>
      <c r="G5143" s="1" t="str">
        <f>_xlfn.XLOOKUP(tblSales[[#This Row],[Product Code]],tblProducts[Code],tblProducts[Product / Service Name],"⚠ Unknown")</f>
        <v>Casual Shirt</v>
      </c>
      <c r="H5143" s="1" t="str">
        <f>_xlfn.XLOOKUP(tblSales[[#This Row],[Product Code]],tblProducts[Code],tblProducts[Category],"")</f>
        <v>Apparel &amp; Footwear</v>
      </c>
      <c r="I5143" s="4">
        <v>16</v>
      </c>
      <c r="J5143" s="5">
        <f>_xlfn.XLOOKUP(tblSales[[#This Row],[Product Code]],tblProducts[Code],tblProducts[Selling Price (excl. VAT)],0)</f>
        <v>120000</v>
      </c>
      <c r="K5143" s="5">
        <f>tblSales[[#This Row],[Qty]]*tblSales[[#This Row],[Unit Price]]</f>
        <v>1920000</v>
      </c>
      <c r="L5143" s="5">
        <f>ROUND(tblSales[[#This Row],[DPP (excl. VAT)]]*VATEff,0)</f>
        <v>211200</v>
      </c>
      <c r="M5143" s="5">
        <f>tblSales[[#This Row],[DPP (excl. VAT)]]+tblSales[[#This Row],[Output VAT]]</f>
        <v>2131200</v>
      </c>
      <c r="N5143" s="5">
        <f>tblSales[[#This Row],[Qty]]*_xlfn.XLOOKUP(tblSales[[#This Row],[Product Code]],tblProducts[Code],tblProducts[Unit Cost],0)</f>
        <v>1152000</v>
      </c>
      <c r="O5143" s="4" t="s">
        <v>4867</v>
      </c>
      <c r="P5143" s="4" t="s">
        <v>4862</v>
      </c>
      <c r="Q5143" s="1" t="str">
        <f>_xlfn.XLOOKUP(tblSales[[#This Row],[Channel Code]],tblChannels[Channel Code],tblChannels[Channel Name],"")</f>
        <v>Website &amp; Social Media</v>
      </c>
      <c r="R5143" s="1">
        <f>MONTH(tblSales[[#This Row],[Date]])</f>
        <v>11</v>
      </c>
    </row>
    <row r="5144" spans="2:18" x14ac:dyDescent="0.35">
      <c r="B5144" s="113">
        <v>46335</v>
      </c>
      <c r="C5144" s="4" t="s">
        <v>3518</v>
      </c>
      <c r="D5144" s="4" t="s">
        <v>4613</v>
      </c>
      <c r="E5144" s="1" t="str">
        <f>_xlfn.XLOOKUP(tblSales[[#This Row],[Customer ID]],tblCustomers[Customer ID],tblCustomers[Customer Name],"⚠ Unknown")</f>
        <v>PT Mega Prima Distribusi</v>
      </c>
      <c r="F5144" s="4" t="s">
        <v>6</v>
      </c>
      <c r="G5144" s="1" t="str">
        <f>_xlfn.XLOOKUP(tblSales[[#This Row],[Product Code]],tblProducts[Code],tblProducts[Product / Service Name],"⚠ Unknown")</f>
        <v>Socks &amp; Accessories</v>
      </c>
      <c r="H5144" s="1" t="str">
        <f>_xlfn.XLOOKUP(tblSales[[#This Row],[Product Code]],tblProducts[Code],tblProducts[Category],"")</f>
        <v>Accessories &amp; Basics</v>
      </c>
      <c r="I5144" s="4">
        <v>88</v>
      </c>
      <c r="J5144" s="5">
        <f>_xlfn.XLOOKUP(tblSales[[#This Row],[Product Code]],tblProducts[Code],tblProducts[Selling Price (excl. VAT)],0)</f>
        <v>45000</v>
      </c>
      <c r="K5144" s="5">
        <f>tblSales[[#This Row],[Qty]]*tblSales[[#This Row],[Unit Price]]</f>
        <v>3960000</v>
      </c>
      <c r="L5144" s="5">
        <f>ROUND(tblSales[[#This Row],[DPP (excl. VAT)]]*VATEff,0)</f>
        <v>435600</v>
      </c>
      <c r="M5144" s="5">
        <f>tblSales[[#This Row],[DPP (excl. VAT)]]+tblSales[[#This Row],[Output VAT]]</f>
        <v>4395600</v>
      </c>
      <c r="N5144" s="5">
        <f>tblSales[[#This Row],[Qty]]*_xlfn.XLOOKUP(tblSales[[#This Row],[Product Code]],tblProducts[Code],tblProducts[Unit Cost],0)</f>
        <v>2112000</v>
      </c>
      <c r="O5144" s="4" t="s">
        <v>4867</v>
      </c>
      <c r="P5144" s="4" t="s">
        <v>4860</v>
      </c>
      <c r="Q5144" s="1" t="str">
        <f>_xlfn.XLOOKUP(tblSales[[#This Row],[Channel Code]],tblChannels[Channel Code],tblChannels[Channel Name],"")</f>
        <v>In-store</v>
      </c>
      <c r="R5144" s="1">
        <f>MONTH(tblSales[[#This Row],[Date]])</f>
        <v>11</v>
      </c>
    </row>
    <row r="5145" spans="2:18" x14ac:dyDescent="0.35">
      <c r="B5145" s="113">
        <v>46335</v>
      </c>
      <c r="C5145" s="4" t="s">
        <v>3519</v>
      </c>
      <c r="D5145" s="4" t="s">
        <v>4568</v>
      </c>
      <c r="E5145" s="1" t="str">
        <f>_xlfn.XLOOKUP(tblSales[[#This Row],[Customer ID]],tblCustomers[Customer ID],tblCustomers[Customer Name],"⚠ Unknown")</f>
        <v>Walk-in Customer</v>
      </c>
      <c r="F5145" s="4" t="s">
        <v>13</v>
      </c>
      <c r="G5145" s="1" t="str">
        <f>_xlfn.XLOOKUP(tblSales[[#This Row],[Product Code]],tblProducts[Code],tblProducts[Product / Service Name],"⚠ Unknown")</f>
        <v>Backpack</v>
      </c>
      <c r="H5145" s="1" t="str">
        <f>_xlfn.XLOOKUP(tblSales[[#This Row],[Product Code]],tblProducts[Code],tblProducts[Category],"")</f>
        <v>Bags &amp; Gadgets</v>
      </c>
      <c r="I5145" s="4">
        <v>3</v>
      </c>
      <c r="J5145" s="5">
        <f>_xlfn.XLOOKUP(tblSales[[#This Row],[Product Code]],tblProducts[Code],tblProducts[Selling Price (excl. VAT)],0)</f>
        <v>500000</v>
      </c>
      <c r="K5145" s="5">
        <f>tblSales[[#This Row],[Qty]]*tblSales[[#This Row],[Unit Price]]</f>
        <v>1500000</v>
      </c>
      <c r="L5145" s="5">
        <f>ROUND(tblSales[[#This Row],[DPP (excl. VAT)]]*VATEff,0)</f>
        <v>165000</v>
      </c>
      <c r="M5145" s="5">
        <f>tblSales[[#This Row],[DPP (excl. VAT)]]+tblSales[[#This Row],[Output VAT]]</f>
        <v>1665000</v>
      </c>
      <c r="N5145" s="5">
        <f>tblSales[[#This Row],[Qty]]*_xlfn.XLOOKUP(tblSales[[#This Row],[Product Code]],tblProducts[Code],tblProducts[Unit Cost],0)</f>
        <v>870000</v>
      </c>
      <c r="O5145" s="4" t="s">
        <v>4866</v>
      </c>
      <c r="P5145" s="4" t="s">
        <v>4861</v>
      </c>
      <c r="Q5145" s="1" t="str">
        <f>_xlfn.XLOOKUP(tblSales[[#This Row],[Channel Code]],tblChannels[Channel Code],tblChannels[Channel Name],"")</f>
        <v>Marketplace</v>
      </c>
      <c r="R5145" s="1">
        <f>MONTH(tblSales[[#This Row],[Date]])</f>
        <v>11</v>
      </c>
    </row>
    <row r="5146" spans="2:18" x14ac:dyDescent="0.35">
      <c r="B5146" s="113">
        <v>46335</v>
      </c>
      <c r="C5146" s="4" t="s">
        <v>3519</v>
      </c>
      <c r="D5146" s="4" t="s">
        <v>4568</v>
      </c>
      <c r="E5146" s="1" t="str">
        <f>_xlfn.XLOOKUP(tblSales[[#This Row],[Customer ID]],tblCustomers[Customer ID],tblCustomers[Customer Name],"⚠ Unknown")</f>
        <v>Walk-in Customer</v>
      </c>
      <c r="F5146" s="4" t="s">
        <v>6</v>
      </c>
      <c r="G5146" s="1" t="str">
        <f>_xlfn.XLOOKUP(tblSales[[#This Row],[Product Code]],tblProducts[Code],tblProducts[Product / Service Name],"⚠ Unknown")</f>
        <v>Socks &amp; Accessories</v>
      </c>
      <c r="H5146" s="1" t="str">
        <f>_xlfn.XLOOKUP(tblSales[[#This Row],[Product Code]],tblProducts[Code],tblProducts[Category],"")</f>
        <v>Accessories &amp; Basics</v>
      </c>
      <c r="I5146" s="4">
        <v>12</v>
      </c>
      <c r="J5146" s="5">
        <f>_xlfn.XLOOKUP(tblSales[[#This Row],[Product Code]],tblProducts[Code],tblProducts[Selling Price (excl. VAT)],0)</f>
        <v>45000</v>
      </c>
      <c r="K5146" s="5">
        <f>tblSales[[#This Row],[Qty]]*tblSales[[#This Row],[Unit Price]]</f>
        <v>540000</v>
      </c>
      <c r="L5146" s="5">
        <f>ROUND(tblSales[[#This Row],[DPP (excl. VAT)]]*VATEff,0)</f>
        <v>59400</v>
      </c>
      <c r="M5146" s="5">
        <f>tblSales[[#This Row],[DPP (excl. VAT)]]+tblSales[[#This Row],[Output VAT]]</f>
        <v>599400</v>
      </c>
      <c r="N5146" s="5">
        <f>tblSales[[#This Row],[Qty]]*_xlfn.XLOOKUP(tblSales[[#This Row],[Product Code]],tblProducts[Code],tblProducts[Unit Cost],0)</f>
        <v>288000</v>
      </c>
      <c r="O5146" s="4" t="s">
        <v>4866</v>
      </c>
      <c r="P5146" s="4" t="s">
        <v>4861</v>
      </c>
      <c r="Q5146" s="1" t="str">
        <f>_xlfn.XLOOKUP(tblSales[[#This Row],[Channel Code]],tblChannels[Channel Code],tblChannels[Channel Name],"")</f>
        <v>Marketplace</v>
      </c>
      <c r="R5146" s="1">
        <f>MONTH(tblSales[[#This Row],[Date]])</f>
        <v>11</v>
      </c>
    </row>
    <row r="5147" spans="2:18" x14ac:dyDescent="0.35">
      <c r="B5147" s="113">
        <v>46335</v>
      </c>
      <c r="C5147" s="4" t="s">
        <v>3519</v>
      </c>
      <c r="D5147" s="4" t="s">
        <v>4568</v>
      </c>
      <c r="E5147" s="1" t="str">
        <f>_xlfn.XLOOKUP(tblSales[[#This Row],[Customer ID]],tblCustomers[Customer ID],tblCustomers[Customer Name],"⚠ Unknown")</f>
        <v>Walk-in Customer</v>
      </c>
      <c r="F5147" s="4" t="s">
        <v>8</v>
      </c>
      <c r="G5147" s="1" t="str">
        <f>_xlfn.XLOOKUP(tblSales[[#This Row],[Product Code]],tblProducts[Code],tblProducts[Product / Service Name],"⚠ Unknown")</f>
        <v>Casual Shorts</v>
      </c>
      <c r="H5147" s="1" t="str">
        <f>_xlfn.XLOOKUP(tblSales[[#This Row],[Product Code]],tblProducts[Code],tblProducts[Category],"")</f>
        <v>Accessories &amp; Basics</v>
      </c>
      <c r="I5147" s="4">
        <v>2</v>
      </c>
      <c r="J5147" s="5">
        <f>_xlfn.XLOOKUP(tblSales[[#This Row],[Product Code]],tblProducts[Code],tblProducts[Selling Price (excl. VAT)],0)</f>
        <v>85000</v>
      </c>
      <c r="K5147" s="5">
        <f>tblSales[[#This Row],[Qty]]*tblSales[[#This Row],[Unit Price]]</f>
        <v>170000</v>
      </c>
      <c r="L5147" s="5">
        <f>ROUND(tblSales[[#This Row],[DPP (excl. VAT)]]*VATEff,0)</f>
        <v>18700</v>
      </c>
      <c r="M5147" s="5">
        <f>tblSales[[#This Row],[DPP (excl. VAT)]]+tblSales[[#This Row],[Output VAT]]</f>
        <v>188700</v>
      </c>
      <c r="N5147" s="5">
        <f>tblSales[[#This Row],[Qty]]*_xlfn.XLOOKUP(tblSales[[#This Row],[Product Code]],tblProducts[Code],tblProducts[Unit Cost],0)</f>
        <v>100000</v>
      </c>
      <c r="O5147" s="4" t="s">
        <v>4866</v>
      </c>
      <c r="P5147" s="4" t="s">
        <v>4861</v>
      </c>
      <c r="Q5147" s="1" t="str">
        <f>_xlfn.XLOOKUP(tblSales[[#This Row],[Channel Code]],tblChannels[Channel Code],tblChannels[Channel Name],"")</f>
        <v>Marketplace</v>
      </c>
      <c r="R5147" s="1">
        <f>MONTH(tblSales[[#This Row],[Date]])</f>
        <v>11</v>
      </c>
    </row>
    <row r="5148" spans="2:18" x14ac:dyDescent="0.35">
      <c r="B5148" s="113">
        <v>46335</v>
      </c>
      <c r="C5148" s="4" t="s">
        <v>3520</v>
      </c>
      <c r="D5148" s="4" t="s">
        <v>4568</v>
      </c>
      <c r="E5148" s="1" t="str">
        <f>_xlfn.XLOOKUP(tblSales[[#This Row],[Customer ID]],tblCustomers[Customer ID],tblCustomers[Customer Name],"⚠ Unknown")</f>
        <v>Walk-in Customer</v>
      </c>
      <c r="F5148" s="4" t="s">
        <v>15</v>
      </c>
      <c r="G5148" s="1" t="str">
        <f>_xlfn.XLOOKUP(tblSales[[#This Row],[Product Code]],tblProducts[Code],tblProducts[Product / Service Name],"⚠ Unknown")</f>
        <v>Wireless Earbuds Pro</v>
      </c>
      <c r="H5148" s="1" t="str">
        <f>_xlfn.XLOOKUP(tblSales[[#This Row],[Product Code]],tblProducts[Code],tblProducts[Category],"")</f>
        <v>Bags &amp; Gadgets</v>
      </c>
      <c r="I5148" s="4">
        <v>2</v>
      </c>
      <c r="J5148" s="5">
        <f>_xlfn.XLOOKUP(tblSales[[#This Row],[Product Code]],tblProducts[Code],tblProducts[Selling Price (excl. VAT)],0)</f>
        <v>1250000</v>
      </c>
      <c r="K5148" s="5">
        <f>tblSales[[#This Row],[Qty]]*tblSales[[#This Row],[Unit Price]]</f>
        <v>2500000</v>
      </c>
      <c r="L5148" s="5">
        <f>ROUND(tblSales[[#This Row],[DPP (excl. VAT)]]*VATEff,0)</f>
        <v>275000</v>
      </c>
      <c r="M5148" s="5">
        <f>tblSales[[#This Row],[DPP (excl. VAT)]]+tblSales[[#This Row],[Output VAT]]</f>
        <v>2775000</v>
      </c>
      <c r="N5148" s="5">
        <f>tblSales[[#This Row],[Qty]]*_xlfn.XLOOKUP(tblSales[[#This Row],[Product Code]],tblProducts[Code],tblProducts[Unit Cost],0)</f>
        <v>1640000</v>
      </c>
      <c r="O5148" s="4" t="s">
        <v>4865</v>
      </c>
      <c r="P5148" s="4" t="s">
        <v>4860</v>
      </c>
      <c r="Q5148" s="1" t="str">
        <f>_xlfn.XLOOKUP(tblSales[[#This Row],[Channel Code]],tblChannels[Channel Code],tblChannels[Channel Name],"")</f>
        <v>In-store</v>
      </c>
      <c r="R5148" s="1">
        <f>MONTH(tblSales[[#This Row],[Date]])</f>
        <v>11</v>
      </c>
    </row>
    <row r="5149" spans="2:18" x14ac:dyDescent="0.35">
      <c r="B5149" s="113">
        <v>46335</v>
      </c>
      <c r="C5149" s="4" t="s">
        <v>3521</v>
      </c>
      <c r="D5149" s="4" t="s">
        <v>4568</v>
      </c>
      <c r="E5149" s="1" t="str">
        <f>_xlfn.XLOOKUP(tblSales[[#This Row],[Customer ID]],tblCustomers[Customer ID],tblCustomers[Customer Name],"⚠ Unknown")</f>
        <v>Walk-in Customer</v>
      </c>
      <c r="F5149" s="4" t="s">
        <v>8</v>
      </c>
      <c r="G5149" s="1" t="str">
        <f>_xlfn.XLOOKUP(tblSales[[#This Row],[Product Code]],tblProducts[Code],tblProducts[Product / Service Name],"⚠ Unknown")</f>
        <v>Casual Shorts</v>
      </c>
      <c r="H5149" s="1" t="str">
        <f>_xlfn.XLOOKUP(tblSales[[#This Row],[Product Code]],tblProducts[Code],tblProducts[Category],"")</f>
        <v>Accessories &amp; Basics</v>
      </c>
      <c r="I5149" s="4">
        <v>4</v>
      </c>
      <c r="J5149" s="5">
        <f>_xlfn.XLOOKUP(tblSales[[#This Row],[Product Code]],tblProducts[Code],tblProducts[Selling Price (excl. VAT)],0)</f>
        <v>85000</v>
      </c>
      <c r="K5149" s="5">
        <f>tblSales[[#This Row],[Qty]]*tblSales[[#This Row],[Unit Price]]</f>
        <v>340000</v>
      </c>
      <c r="L5149" s="5">
        <f>ROUND(tblSales[[#This Row],[DPP (excl. VAT)]]*VATEff,0)</f>
        <v>37400</v>
      </c>
      <c r="M5149" s="5">
        <f>tblSales[[#This Row],[DPP (excl. VAT)]]+tblSales[[#This Row],[Output VAT]]</f>
        <v>377400</v>
      </c>
      <c r="N5149" s="5">
        <f>tblSales[[#This Row],[Qty]]*_xlfn.XLOOKUP(tblSales[[#This Row],[Product Code]],tblProducts[Code],tblProducts[Unit Cost],0)</f>
        <v>200000</v>
      </c>
      <c r="O5149" s="4" t="s">
        <v>4866</v>
      </c>
      <c r="P5149" s="4" t="s">
        <v>4861</v>
      </c>
      <c r="Q5149" s="1" t="str">
        <f>_xlfn.XLOOKUP(tblSales[[#This Row],[Channel Code]],tblChannels[Channel Code],tblChannels[Channel Name],"")</f>
        <v>Marketplace</v>
      </c>
      <c r="R5149" s="1">
        <f>MONTH(tblSales[[#This Row],[Date]])</f>
        <v>11</v>
      </c>
    </row>
    <row r="5150" spans="2:18" x14ac:dyDescent="0.35">
      <c r="B5150" s="113">
        <v>46335</v>
      </c>
      <c r="C5150" s="4" t="s">
        <v>3522</v>
      </c>
      <c r="D5150" s="4" t="s">
        <v>4568</v>
      </c>
      <c r="E5150" s="1" t="str">
        <f>_xlfn.XLOOKUP(tblSales[[#This Row],[Customer ID]],tblCustomers[Customer ID],tblCustomers[Customer Name],"⚠ Unknown")</f>
        <v>Walk-in Customer</v>
      </c>
      <c r="F5150" s="4" t="s">
        <v>7</v>
      </c>
      <c r="G5150" s="1" t="str">
        <f>_xlfn.XLOOKUP(tblSales[[#This Row],[Product Code]],tblProducts[Code],tblProducts[Product / Service Name],"⚠ Unknown")</f>
        <v>Premium Basic T-shirt</v>
      </c>
      <c r="H5150" s="1" t="str">
        <f>_xlfn.XLOOKUP(tblSales[[#This Row],[Product Code]],tblProducts[Code],tblProducts[Category],"")</f>
        <v>Accessories &amp; Basics</v>
      </c>
      <c r="I5150" s="4">
        <v>2</v>
      </c>
      <c r="J5150" s="5">
        <f>_xlfn.XLOOKUP(tblSales[[#This Row],[Product Code]],tblProducts[Code],tblProducts[Selling Price (excl. VAT)],0)</f>
        <v>65000</v>
      </c>
      <c r="K5150" s="5">
        <f>tblSales[[#This Row],[Qty]]*tblSales[[#This Row],[Unit Price]]</f>
        <v>130000</v>
      </c>
      <c r="L5150" s="5">
        <f>ROUND(tblSales[[#This Row],[DPP (excl. VAT)]]*VATEff,0)</f>
        <v>14300</v>
      </c>
      <c r="M5150" s="5">
        <f>tblSales[[#This Row],[DPP (excl. VAT)]]+tblSales[[#This Row],[Output VAT]]</f>
        <v>144300</v>
      </c>
      <c r="N5150" s="5">
        <f>tblSales[[#This Row],[Qty]]*_xlfn.XLOOKUP(tblSales[[#This Row],[Product Code]],tblProducts[Code],tblProducts[Unit Cost],0)</f>
        <v>74000</v>
      </c>
      <c r="O5150" s="4" t="s">
        <v>4866</v>
      </c>
      <c r="P5150" s="4" t="s">
        <v>4861</v>
      </c>
      <c r="Q5150" s="1" t="str">
        <f>_xlfn.XLOOKUP(tblSales[[#This Row],[Channel Code]],tblChannels[Channel Code],tblChannels[Channel Name],"")</f>
        <v>Marketplace</v>
      </c>
      <c r="R5150" s="1">
        <f>MONTH(tblSales[[#This Row],[Date]])</f>
        <v>11</v>
      </c>
    </row>
    <row r="5151" spans="2:18" x14ac:dyDescent="0.35">
      <c r="B5151" s="113">
        <v>46335</v>
      </c>
      <c r="C5151" s="4" t="s">
        <v>3522</v>
      </c>
      <c r="D5151" s="4" t="s">
        <v>4568</v>
      </c>
      <c r="E5151" s="1" t="str">
        <f>_xlfn.XLOOKUP(tblSales[[#This Row],[Customer ID]],tblCustomers[Customer ID],tblCustomers[Customer Name],"⚠ Unknown")</f>
        <v>Walk-in Customer</v>
      </c>
      <c r="F5151" s="4" t="s">
        <v>12</v>
      </c>
      <c r="G5151" s="1" t="str">
        <f>_xlfn.XLOOKUP(tblSales[[#This Row],[Product Code]],tblProducts[Code],tblProducts[Product / Service Name],"⚠ Unknown")</f>
        <v>Bomber Jacket</v>
      </c>
      <c r="H5151" s="1" t="str">
        <f>_xlfn.XLOOKUP(tblSales[[#This Row],[Product Code]],tblProducts[Code],tblProducts[Category],"")</f>
        <v>Apparel &amp; Footwear</v>
      </c>
      <c r="I5151" s="4">
        <v>2</v>
      </c>
      <c r="J5151" s="5">
        <f>_xlfn.XLOOKUP(tblSales[[#This Row],[Product Code]],tblProducts[Code],tblProducts[Selling Price (excl. VAT)],0)</f>
        <v>350000</v>
      </c>
      <c r="K5151" s="5">
        <f>tblSales[[#This Row],[Qty]]*tblSales[[#This Row],[Unit Price]]</f>
        <v>700000</v>
      </c>
      <c r="L5151" s="5">
        <f>ROUND(tblSales[[#This Row],[DPP (excl. VAT)]]*VATEff,0)</f>
        <v>77000</v>
      </c>
      <c r="M5151" s="5">
        <f>tblSales[[#This Row],[DPP (excl. VAT)]]+tblSales[[#This Row],[Output VAT]]</f>
        <v>777000</v>
      </c>
      <c r="N5151" s="5">
        <f>tblSales[[#This Row],[Qty]]*_xlfn.XLOOKUP(tblSales[[#This Row],[Product Code]],tblProducts[Code],tblProducts[Unit Cost],0)</f>
        <v>420000</v>
      </c>
      <c r="O5151" s="4" t="s">
        <v>4866</v>
      </c>
      <c r="P5151" s="4" t="s">
        <v>4861</v>
      </c>
      <c r="Q5151" s="1" t="str">
        <f>_xlfn.XLOOKUP(tblSales[[#This Row],[Channel Code]],tblChannels[Channel Code],tblChannels[Channel Name],"")</f>
        <v>Marketplace</v>
      </c>
      <c r="R5151" s="1">
        <f>MONTH(tblSales[[#This Row],[Date]])</f>
        <v>11</v>
      </c>
    </row>
    <row r="5152" spans="2:18" x14ac:dyDescent="0.35">
      <c r="B5152" s="113">
        <v>46335</v>
      </c>
      <c r="C5152" s="4" t="s">
        <v>3523</v>
      </c>
      <c r="D5152" s="4" t="s">
        <v>4627</v>
      </c>
      <c r="E5152" s="1" t="str">
        <f>_xlfn.XLOOKUP(tblSales[[#This Row],[Customer ID]],tblCustomers[Customer ID],tblCustomers[Customer Name],"⚠ Unknown")</f>
        <v>PT Kencana Wira Usaha</v>
      </c>
      <c r="F5152" s="4" t="s">
        <v>9</v>
      </c>
      <c r="G5152" s="1" t="str">
        <f>_xlfn.XLOOKUP(tblSales[[#This Row],[Product Code]],tblProducts[Code],tblProducts[Product / Service Name],"⚠ Unknown")</f>
        <v>Casual Shirt</v>
      </c>
      <c r="H5152" s="1" t="str">
        <f>_xlfn.XLOOKUP(tblSales[[#This Row],[Product Code]],tblProducts[Code],tblProducts[Category],"")</f>
        <v>Apparel &amp; Footwear</v>
      </c>
      <c r="I5152" s="4">
        <v>24</v>
      </c>
      <c r="J5152" s="5">
        <f>_xlfn.XLOOKUP(tblSales[[#This Row],[Product Code]],tblProducts[Code],tblProducts[Selling Price (excl. VAT)],0)</f>
        <v>120000</v>
      </c>
      <c r="K5152" s="5">
        <f>tblSales[[#This Row],[Qty]]*tblSales[[#This Row],[Unit Price]]</f>
        <v>2880000</v>
      </c>
      <c r="L5152" s="5">
        <f>ROUND(tblSales[[#This Row],[DPP (excl. VAT)]]*VATEff,0)</f>
        <v>316800</v>
      </c>
      <c r="M5152" s="5">
        <f>tblSales[[#This Row],[DPP (excl. VAT)]]+tblSales[[#This Row],[Output VAT]]</f>
        <v>3196800</v>
      </c>
      <c r="N5152" s="5">
        <f>tblSales[[#This Row],[Qty]]*_xlfn.XLOOKUP(tblSales[[#This Row],[Product Code]],tblProducts[Code],tblProducts[Unit Cost],0)</f>
        <v>1728000</v>
      </c>
      <c r="O5152" s="4" t="s">
        <v>4867</v>
      </c>
      <c r="P5152" s="4" t="s">
        <v>4860</v>
      </c>
      <c r="Q5152" s="1" t="str">
        <f>_xlfn.XLOOKUP(tblSales[[#This Row],[Channel Code]],tblChannels[Channel Code],tblChannels[Channel Name],"")</f>
        <v>In-store</v>
      </c>
      <c r="R5152" s="1">
        <f>MONTH(tblSales[[#This Row],[Date]])</f>
        <v>11</v>
      </c>
    </row>
    <row r="5153" spans="2:18" x14ac:dyDescent="0.35">
      <c r="B5153" s="113">
        <v>46335</v>
      </c>
      <c r="C5153" s="4" t="s">
        <v>3523</v>
      </c>
      <c r="D5153" s="4" t="s">
        <v>4627</v>
      </c>
      <c r="E5153" s="1" t="str">
        <f>_xlfn.XLOOKUP(tblSales[[#This Row],[Customer ID]],tblCustomers[Customer ID],tblCustomers[Customer Name],"⚠ Unknown")</f>
        <v>PT Kencana Wira Usaha</v>
      </c>
      <c r="F5153" s="4" t="s">
        <v>14</v>
      </c>
      <c r="G5153" s="1" t="str">
        <f>_xlfn.XLOOKUP(tblSales[[#This Row],[Product Code]],tblProducts[Code],tblProducts[Product / Service Name],"⚠ Unknown")</f>
        <v>Smartwatch</v>
      </c>
      <c r="H5153" s="1" t="str">
        <f>_xlfn.XLOOKUP(tblSales[[#This Row],[Product Code]],tblProducts[Code],tblProducts[Category],"")</f>
        <v>Bags &amp; Gadgets</v>
      </c>
      <c r="I5153" s="4">
        <v>24</v>
      </c>
      <c r="J5153" s="5">
        <f>_xlfn.XLOOKUP(tblSales[[#This Row],[Product Code]],tblProducts[Code],tblProducts[Selling Price (excl. VAT)],0)</f>
        <v>850000</v>
      </c>
      <c r="K5153" s="5">
        <f>tblSales[[#This Row],[Qty]]*tblSales[[#This Row],[Unit Price]]</f>
        <v>20400000</v>
      </c>
      <c r="L5153" s="5">
        <f>ROUND(tblSales[[#This Row],[DPP (excl. VAT)]]*VATEff,0)</f>
        <v>2244000</v>
      </c>
      <c r="M5153" s="5">
        <f>tblSales[[#This Row],[DPP (excl. VAT)]]+tblSales[[#This Row],[Output VAT]]</f>
        <v>22644000</v>
      </c>
      <c r="N5153" s="5">
        <f>tblSales[[#This Row],[Qty]]*_xlfn.XLOOKUP(tblSales[[#This Row],[Product Code]],tblProducts[Code],tblProducts[Unit Cost],0)</f>
        <v>13440000</v>
      </c>
      <c r="O5153" s="4" t="s">
        <v>4867</v>
      </c>
      <c r="P5153" s="4" t="s">
        <v>4860</v>
      </c>
      <c r="Q5153" s="1" t="str">
        <f>_xlfn.XLOOKUP(tblSales[[#This Row],[Channel Code]],tblChannels[Channel Code],tblChannels[Channel Name],"")</f>
        <v>In-store</v>
      </c>
      <c r="R5153" s="1">
        <f>MONTH(tblSales[[#This Row],[Date]])</f>
        <v>11</v>
      </c>
    </row>
    <row r="5154" spans="2:18" x14ac:dyDescent="0.35">
      <c r="B5154" s="113">
        <v>46336</v>
      </c>
      <c r="C5154" s="4" t="s">
        <v>3524</v>
      </c>
      <c r="D5154" s="4" t="s">
        <v>4606</v>
      </c>
      <c r="E5154" s="1" t="str">
        <f>_xlfn.XLOOKUP(tblSales[[#This Row],[Customer ID]],tblCustomers[Customer ID],tblCustomers[Customer Name],"⚠ Unknown")</f>
        <v>PT Arunika Digital Kreatif</v>
      </c>
      <c r="F5154" s="4" t="s">
        <v>9</v>
      </c>
      <c r="G5154" s="1" t="str">
        <f>_xlfn.XLOOKUP(tblSales[[#This Row],[Product Code]],tblProducts[Code],tblProducts[Product / Service Name],"⚠ Unknown")</f>
        <v>Casual Shirt</v>
      </c>
      <c r="H5154" s="1" t="str">
        <f>_xlfn.XLOOKUP(tblSales[[#This Row],[Product Code]],tblProducts[Code],tblProducts[Category],"")</f>
        <v>Apparel &amp; Footwear</v>
      </c>
      <c r="I5154" s="4">
        <v>88</v>
      </c>
      <c r="J5154" s="5">
        <f>_xlfn.XLOOKUP(tblSales[[#This Row],[Product Code]],tblProducts[Code],tblProducts[Selling Price (excl. VAT)],0)</f>
        <v>120000</v>
      </c>
      <c r="K5154" s="5">
        <f>tblSales[[#This Row],[Qty]]*tblSales[[#This Row],[Unit Price]]</f>
        <v>10560000</v>
      </c>
      <c r="L5154" s="5">
        <f>ROUND(tblSales[[#This Row],[DPP (excl. VAT)]]*VATEff,0)</f>
        <v>1161600</v>
      </c>
      <c r="M5154" s="5">
        <f>tblSales[[#This Row],[DPP (excl. VAT)]]+tblSales[[#This Row],[Output VAT]]</f>
        <v>11721600</v>
      </c>
      <c r="N5154" s="5">
        <f>tblSales[[#This Row],[Qty]]*_xlfn.XLOOKUP(tblSales[[#This Row],[Product Code]],tblProducts[Code],tblProducts[Unit Cost],0)</f>
        <v>6336000</v>
      </c>
      <c r="O5154" s="4" t="s">
        <v>4867</v>
      </c>
      <c r="P5154" s="4" t="s">
        <v>4860</v>
      </c>
      <c r="Q5154" s="1" t="str">
        <f>_xlfn.XLOOKUP(tblSales[[#This Row],[Channel Code]],tblChannels[Channel Code],tblChannels[Channel Name],"")</f>
        <v>In-store</v>
      </c>
      <c r="R5154" s="1">
        <f>MONTH(tblSales[[#This Row],[Date]])</f>
        <v>11</v>
      </c>
    </row>
    <row r="5155" spans="2:18" x14ac:dyDescent="0.35">
      <c r="B5155" s="113">
        <v>46336</v>
      </c>
      <c r="C5155" s="4" t="s">
        <v>3525</v>
      </c>
      <c r="D5155" s="4" t="s">
        <v>4568</v>
      </c>
      <c r="E5155" s="1" t="str">
        <f>_xlfn.XLOOKUP(tblSales[[#This Row],[Customer ID]],tblCustomers[Customer ID],tblCustomers[Customer Name],"⚠ Unknown")</f>
        <v>Walk-in Customer</v>
      </c>
      <c r="F5155" s="4" t="s">
        <v>13</v>
      </c>
      <c r="G5155" s="1" t="str">
        <f>_xlfn.XLOOKUP(tblSales[[#This Row],[Product Code]],tblProducts[Code],tblProducts[Product / Service Name],"⚠ Unknown")</f>
        <v>Backpack</v>
      </c>
      <c r="H5155" s="1" t="str">
        <f>_xlfn.XLOOKUP(tblSales[[#This Row],[Product Code]],tblProducts[Code],tblProducts[Category],"")</f>
        <v>Bags &amp; Gadgets</v>
      </c>
      <c r="I5155" s="4">
        <v>5</v>
      </c>
      <c r="J5155" s="5">
        <f>_xlfn.XLOOKUP(tblSales[[#This Row],[Product Code]],tblProducts[Code],tblProducts[Selling Price (excl. VAT)],0)</f>
        <v>500000</v>
      </c>
      <c r="K5155" s="5">
        <f>tblSales[[#This Row],[Qty]]*tblSales[[#This Row],[Unit Price]]</f>
        <v>2500000</v>
      </c>
      <c r="L5155" s="5">
        <f>ROUND(tblSales[[#This Row],[DPP (excl. VAT)]]*VATEff,0)</f>
        <v>275000</v>
      </c>
      <c r="M5155" s="5">
        <f>tblSales[[#This Row],[DPP (excl. VAT)]]+tblSales[[#This Row],[Output VAT]]</f>
        <v>2775000</v>
      </c>
      <c r="N5155" s="5">
        <f>tblSales[[#This Row],[Qty]]*_xlfn.XLOOKUP(tblSales[[#This Row],[Product Code]],tblProducts[Code],tblProducts[Unit Cost],0)</f>
        <v>1450000</v>
      </c>
      <c r="O5155" s="4" t="s">
        <v>4866</v>
      </c>
      <c r="P5155" s="4" t="s">
        <v>4860</v>
      </c>
      <c r="Q5155" s="1" t="str">
        <f>_xlfn.XLOOKUP(tblSales[[#This Row],[Channel Code]],tblChannels[Channel Code],tblChannels[Channel Name],"")</f>
        <v>In-store</v>
      </c>
      <c r="R5155" s="1">
        <f>MONTH(tblSales[[#This Row],[Date]])</f>
        <v>11</v>
      </c>
    </row>
    <row r="5156" spans="2:18" x14ac:dyDescent="0.35">
      <c r="B5156" s="113">
        <v>46336</v>
      </c>
      <c r="C5156" s="4" t="s">
        <v>3525</v>
      </c>
      <c r="D5156" s="4" t="s">
        <v>4568</v>
      </c>
      <c r="E5156" s="1" t="str">
        <f>_xlfn.XLOOKUP(tblSales[[#This Row],[Customer ID]],tblCustomers[Customer ID],tblCustomers[Customer Name],"⚠ Unknown")</f>
        <v>Walk-in Customer</v>
      </c>
      <c r="F5156" s="4" t="s">
        <v>15</v>
      </c>
      <c r="G5156" s="1" t="str">
        <f>_xlfn.XLOOKUP(tblSales[[#This Row],[Product Code]],tblProducts[Code],tblProducts[Product / Service Name],"⚠ Unknown")</f>
        <v>Wireless Earbuds Pro</v>
      </c>
      <c r="H5156" s="1" t="str">
        <f>_xlfn.XLOOKUP(tblSales[[#This Row],[Product Code]],tblProducts[Code],tblProducts[Category],"")</f>
        <v>Bags &amp; Gadgets</v>
      </c>
      <c r="I5156" s="4">
        <v>2</v>
      </c>
      <c r="J5156" s="5">
        <f>_xlfn.XLOOKUP(tblSales[[#This Row],[Product Code]],tblProducts[Code],tblProducts[Selling Price (excl. VAT)],0)</f>
        <v>1250000</v>
      </c>
      <c r="K5156" s="5">
        <f>tblSales[[#This Row],[Qty]]*tblSales[[#This Row],[Unit Price]]</f>
        <v>2500000</v>
      </c>
      <c r="L5156" s="5">
        <f>ROUND(tblSales[[#This Row],[DPP (excl. VAT)]]*VATEff,0)</f>
        <v>275000</v>
      </c>
      <c r="M5156" s="5">
        <f>tblSales[[#This Row],[DPP (excl. VAT)]]+tblSales[[#This Row],[Output VAT]]</f>
        <v>2775000</v>
      </c>
      <c r="N5156" s="5">
        <f>tblSales[[#This Row],[Qty]]*_xlfn.XLOOKUP(tblSales[[#This Row],[Product Code]],tblProducts[Code],tblProducts[Unit Cost],0)</f>
        <v>1640000</v>
      </c>
      <c r="O5156" s="4" t="s">
        <v>4866</v>
      </c>
      <c r="P5156" s="4" t="s">
        <v>4860</v>
      </c>
      <c r="Q5156" s="1" t="str">
        <f>_xlfn.XLOOKUP(tblSales[[#This Row],[Channel Code]],tblChannels[Channel Code],tblChannels[Channel Name],"")</f>
        <v>In-store</v>
      </c>
      <c r="R5156" s="1">
        <f>MONTH(tblSales[[#This Row],[Date]])</f>
        <v>11</v>
      </c>
    </row>
    <row r="5157" spans="2:18" x14ac:dyDescent="0.35">
      <c r="B5157" s="113">
        <v>46336</v>
      </c>
      <c r="C5157" s="4" t="s">
        <v>3525</v>
      </c>
      <c r="D5157" s="4" t="s">
        <v>4568</v>
      </c>
      <c r="E5157" s="1" t="str">
        <f>_xlfn.XLOOKUP(tblSales[[#This Row],[Customer ID]],tblCustomers[Customer ID],tblCustomers[Customer Name],"⚠ Unknown")</f>
        <v>Walk-in Customer</v>
      </c>
      <c r="F5157" s="4" t="s">
        <v>7</v>
      </c>
      <c r="G5157" s="1" t="str">
        <f>_xlfn.XLOOKUP(tblSales[[#This Row],[Product Code]],tblProducts[Code],tblProducts[Product / Service Name],"⚠ Unknown")</f>
        <v>Premium Basic T-shirt</v>
      </c>
      <c r="H5157" s="1" t="str">
        <f>_xlfn.XLOOKUP(tblSales[[#This Row],[Product Code]],tblProducts[Code],tblProducts[Category],"")</f>
        <v>Accessories &amp; Basics</v>
      </c>
      <c r="I5157" s="4">
        <v>12</v>
      </c>
      <c r="J5157" s="5">
        <f>_xlfn.XLOOKUP(tblSales[[#This Row],[Product Code]],tblProducts[Code],tblProducts[Selling Price (excl. VAT)],0)</f>
        <v>65000</v>
      </c>
      <c r="K5157" s="5">
        <f>tblSales[[#This Row],[Qty]]*tblSales[[#This Row],[Unit Price]]</f>
        <v>780000</v>
      </c>
      <c r="L5157" s="5">
        <f>ROUND(tblSales[[#This Row],[DPP (excl. VAT)]]*VATEff,0)</f>
        <v>85800</v>
      </c>
      <c r="M5157" s="5">
        <f>tblSales[[#This Row],[DPP (excl. VAT)]]+tblSales[[#This Row],[Output VAT]]</f>
        <v>865800</v>
      </c>
      <c r="N5157" s="5">
        <f>tblSales[[#This Row],[Qty]]*_xlfn.XLOOKUP(tblSales[[#This Row],[Product Code]],tblProducts[Code],tblProducts[Unit Cost],0)</f>
        <v>444000</v>
      </c>
      <c r="O5157" s="4" t="s">
        <v>4866</v>
      </c>
      <c r="P5157" s="4" t="s">
        <v>4860</v>
      </c>
      <c r="Q5157" s="1" t="str">
        <f>_xlfn.XLOOKUP(tblSales[[#This Row],[Channel Code]],tblChannels[Channel Code],tblChannels[Channel Name],"")</f>
        <v>In-store</v>
      </c>
      <c r="R5157" s="1">
        <f>MONTH(tblSales[[#This Row],[Date]])</f>
        <v>11</v>
      </c>
    </row>
    <row r="5158" spans="2:18" x14ac:dyDescent="0.35">
      <c r="B5158" s="113">
        <v>46336</v>
      </c>
      <c r="C5158" s="4" t="s">
        <v>3526</v>
      </c>
      <c r="D5158" s="4" t="s">
        <v>4568</v>
      </c>
      <c r="E5158" s="1" t="str">
        <f>_xlfn.XLOOKUP(tblSales[[#This Row],[Customer ID]],tblCustomers[Customer ID],tblCustomers[Customer Name],"⚠ Unknown")</f>
        <v>Walk-in Customer</v>
      </c>
      <c r="F5158" s="4" t="s">
        <v>13</v>
      </c>
      <c r="G5158" s="1" t="str">
        <f>_xlfn.XLOOKUP(tblSales[[#This Row],[Product Code]],tblProducts[Code],tblProducts[Product / Service Name],"⚠ Unknown")</f>
        <v>Backpack</v>
      </c>
      <c r="H5158" s="1" t="str">
        <f>_xlfn.XLOOKUP(tblSales[[#This Row],[Product Code]],tblProducts[Code],tblProducts[Category],"")</f>
        <v>Bags &amp; Gadgets</v>
      </c>
      <c r="I5158" s="4">
        <v>2</v>
      </c>
      <c r="J5158" s="5">
        <f>_xlfn.XLOOKUP(tblSales[[#This Row],[Product Code]],tblProducts[Code],tblProducts[Selling Price (excl. VAT)],0)</f>
        <v>500000</v>
      </c>
      <c r="K5158" s="5">
        <f>tblSales[[#This Row],[Qty]]*tblSales[[#This Row],[Unit Price]]</f>
        <v>1000000</v>
      </c>
      <c r="L5158" s="5">
        <f>ROUND(tblSales[[#This Row],[DPP (excl. VAT)]]*VATEff,0)</f>
        <v>110000</v>
      </c>
      <c r="M5158" s="5">
        <f>tblSales[[#This Row],[DPP (excl. VAT)]]+tblSales[[#This Row],[Output VAT]]</f>
        <v>1110000</v>
      </c>
      <c r="N5158" s="5">
        <f>tblSales[[#This Row],[Qty]]*_xlfn.XLOOKUP(tblSales[[#This Row],[Product Code]],tblProducts[Code],tblProducts[Unit Cost],0)</f>
        <v>580000</v>
      </c>
      <c r="O5158" s="4" t="s">
        <v>4865</v>
      </c>
      <c r="P5158" s="4" t="s">
        <v>4860</v>
      </c>
      <c r="Q5158" s="1" t="str">
        <f>_xlfn.XLOOKUP(tblSales[[#This Row],[Channel Code]],tblChannels[Channel Code],tblChannels[Channel Name],"")</f>
        <v>In-store</v>
      </c>
      <c r="R5158" s="1">
        <f>MONTH(tblSales[[#This Row],[Date]])</f>
        <v>11</v>
      </c>
    </row>
    <row r="5159" spans="2:18" x14ac:dyDescent="0.35">
      <c r="B5159" s="113">
        <v>46336</v>
      </c>
      <c r="C5159" s="4" t="s">
        <v>3526</v>
      </c>
      <c r="D5159" s="4" t="s">
        <v>4568</v>
      </c>
      <c r="E5159" s="1" t="str">
        <f>_xlfn.XLOOKUP(tblSales[[#This Row],[Customer ID]],tblCustomers[Customer ID],tblCustomers[Customer Name],"⚠ Unknown")</f>
        <v>Walk-in Customer</v>
      </c>
      <c r="F5159" s="4" t="s">
        <v>8</v>
      </c>
      <c r="G5159" s="1" t="str">
        <f>_xlfn.XLOOKUP(tblSales[[#This Row],[Product Code]],tblProducts[Code],tblProducts[Product / Service Name],"⚠ Unknown")</f>
        <v>Casual Shorts</v>
      </c>
      <c r="H5159" s="1" t="str">
        <f>_xlfn.XLOOKUP(tblSales[[#This Row],[Product Code]],tblProducts[Code],tblProducts[Category],"")</f>
        <v>Accessories &amp; Basics</v>
      </c>
      <c r="I5159" s="4">
        <v>10</v>
      </c>
      <c r="J5159" s="5">
        <f>_xlfn.XLOOKUP(tblSales[[#This Row],[Product Code]],tblProducts[Code],tblProducts[Selling Price (excl. VAT)],0)</f>
        <v>85000</v>
      </c>
      <c r="K5159" s="5">
        <f>tblSales[[#This Row],[Qty]]*tblSales[[#This Row],[Unit Price]]</f>
        <v>850000</v>
      </c>
      <c r="L5159" s="5">
        <f>ROUND(tblSales[[#This Row],[DPP (excl. VAT)]]*VATEff,0)</f>
        <v>93500</v>
      </c>
      <c r="M5159" s="5">
        <f>tblSales[[#This Row],[DPP (excl. VAT)]]+tblSales[[#This Row],[Output VAT]]</f>
        <v>943500</v>
      </c>
      <c r="N5159" s="5">
        <f>tblSales[[#This Row],[Qty]]*_xlfn.XLOOKUP(tblSales[[#This Row],[Product Code]],tblProducts[Code],tblProducts[Unit Cost],0)</f>
        <v>500000</v>
      </c>
      <c r="O5159" s="4" t="s">
        <v>4865</v>
      </c>
      <c r="P5159" s="4" t="s">
        <v>4860</v>
      </c>
      <c r="Q5159" s="1" t="str">
        <f>_xlfn.XLOOKUP(tblSales[[#This Row],[Channel Code]],tblChannels[Channel Code],tblChannels[Channel Name],"")</f>
        <v>In-store</v>
      </c>
      <c r="R5159" s="1">
        <f>MONTH(tblSales[[#This Row],[Date]])</f>
        <v>11</v>
      </c>
    </row>
    <row r="5160" spans="2:18" x14ac:dyDescent="0.35">
      <c r="B5160" s="113">
        <v>46336</v>
      </c>
      <c r="C5160" s="4" t="s">
        <v>3527</v>
      </c>
      <c r="D5160" s="4" t="s">
        <v>4613</v>
      </c>
      <c r="E5160" s="1" t="str">
        <f>_xlfn.XLOOKUP(tblSales[[#This Row],[Customer ID]],tblCustomers[Customer ID],tblCustomers[Customer Name],"⚠ Unknown")</f>
        <v>PT Mega Prima Distribusi</v>
      </c>
      <c r="F5160" s="4" t="s">
        <v>9</v>
      </c>
      <c r="G5160" s="1" t="str">
        <f>_xlfn.XLOOKUP(tblSales[[#This Row],[Product Code]],tblProducts[Code],tblProducts[Product / Service Name],"⚠ Unknown")</f>
        <v>Casual Shirt</v>
      </c>
      <c r="H5160" s="1" t="str">
        <f>_xlfn.XLOOKUP(tblSales[[#This Row],[Product Code]],tblProducts[Code],tblProducts[Category],"")</f>
        <v>Apparel &amp; Footwear</v>
      </c>
      <c r="I5160" s="4">
        <v>56</v>
      </c>
      <c r="J5160" s="5">
        <f>_xlfn.XLOOKUP(tblSales[[#This Row],[Product Code]],tblProducts[Code],tblProducts[Selling Price (excl. VAT)],0)</f>
        <v>120000</v>
      </c>
      <c r="K5160" s="5">
        <f>tblSales[[#This Row],[Qty]]*tblSales[[#This Row],[Unit Price]]</f>
        <v>6720000</v>
      </c>
      <c r="L5160" s="5">
        <f>ROUND(tblSales[[#This Row],[DPP (excl. VAT)]]*VATEff,0)</f>
        <v>739200</v>
      </c>
      <c r="M5160" s="5">
        <f>tblSales[[#This Row],[DPP (excl. VAT)]]+tblSales[[#This Row],[Output VAT]]</f>
        <v>7459200</v>
      </c>
      <c r="N5160" s="5">
        <f>tblSales[[#This Row],[Qty]]*_xlfn.XLOOKUP(tblSales[[#This Row],[Product Code]],tblProducts[Code],tblProducts[Unit Cost],0)</f>
        <v>4032000</v>
      </c>
      <c r="O5160" s="4" t="s">
        <v>4867</v>
      </c>
      <c r="P5160" s="4" t="s">
        <v>4860</v>
      </c>
      <c r="Q5160" s="1" t="str">
        <f>_xlfn.XLOOKUP(tblSales[[#This Row],[Channel Code]],tblChannels[Channel Code],tblChannels[Channel Name],"")</f>
        <v>In-store</v>
      </c>
      <c r="R5160" s="1">
        <f>MONTH(tblSales[[#This Row],[Date]])</f>
        <v>11</v>
      </c>
    </row>
    <row r="5161" spans="2:18" x14ac:dyDescent="0.35">
      <c r="B5161" s="113">
        <v>46336</v>
      </c>
      <c r="C5161" s="4" t="s">
        <v>3528</v>
      </c>
      <c r="D5161" s="4" t="s">
        <v>4568</v>
      </c>
      <c r="E5161" s="1" t="str">
        <f>_xlfn.XLOOKUP(tblSales[[#This Row],[Customer ID]],tblCustomers[Customer ID],tblCustomers[Customer Name],"⚠ Unknown")</f>
        <v>Walk-in Customer</v>
      </c>
      <c r="F5161" s="4" t="s">
        <v>9</v>
      </c>
      <c r="G5161" s="1" t="str">
        <f>_xlfn.XLOOKUP(tblSales[[#This Row],[Product Code]],tblProducts[Code],tblProducts[Product / Service Name],"⚠ Unknown")</f>
        <v>Casual Shirt</v>
      </c>
      <c r="H5161" s="1" t="str">
        <f>_xlfn.XLOOKUP(tblSales[[#This Row],[Product Code]],tblProducts[Code],tblProducts[Category],"")</f>
        <v>Apparel &amp; Footwear</v>
      </c>
      <c r="I5161" s="4">
        <v>11</v>
      </c>
      <c r="J5161" s="5">
        <f>_xlfn.XLOOKUP(tblSales[[#This Row],[Product Code]],tblProducts[Code],tblProducts[Selling Price (excl. VAT)],0)</f>
        <v>120000</v>
      </c>
      <c r="K5161" s="5">
        <f>tblSales[[#This Row],[Qty]]*tblSales[[#This Row],[Unit Price]]</f>
        <v>1320000</v>
      </c>
      <c r="L5161" s="5">
        <f>ROUND(tblSales[[#This Row],[DPP (excl. VAT)]]*VATEff,0)</f>
        <v>145200</v>
      </c>
      <c r="M5161" s="5">
        <f>tblSales[[#This Row],[DPP (excl. VAT)]]+tblSales[[#This Row],[Output VAT]]</f>
        <v>1465200</v>
      </c>
      <c r="N5161" s="5">
        <f>tblSales[[#This Row],[Qty]]*_xlfn.XLOOKUP(tblSales[[#This Row],[Product Code]],tblProducts[Code],tblProducts[Unit Cost],0)</f>
        <v>792000</v>
      </c>
      <c r="O5161" s="4" t="s">
        <v>4866</v>
      </c>
      <c r="P5161" s="4" t="s">
        <v>4861</v>
      </c>
      <c r="Q5161" s="1" t="str">
        <f>_xlfn.XLOOKUP(tblSales[[#This Row],[Channel Code]],tblChannels[Channel Code],tblChannels[Channel Name],"")</f>
        <v>Marketplace</v>
      </c>
      <c r="R5161" s="1">
        <f>MONTH(tblSales[[#This Row],[Date]])</f>
        <v>11</v>
      </c>
    </row>
    <row r="5162" spans="2:18" x14ac:dyDescent="0.35">
      <c r="B5162" s="113">
        <v>46336</v>
      </c>
      <c r="C5162" s="4" t="s">
        <v>3529</v>
      </c>
      <c r="D5162" s="4" t="s">
        <v>4568</v>
      </c>
      <c r="E5162" s="1" t="str">
        <f>_xlfn.XLOOKUP(tblSales[[#This Row],[Customer ID]],tblCustomers[Customer ID],tblCustomers[Customer Name],"⚠ Unknown")</f>
        <v>Walk-in Customer</v>
      </c>
      <c r="F5162" s="4" t="s">
        <v>7</v>
      </c>
      <c r="G5162" s="1" t="str">
        <f>_xlfn.XLOOKUP(tblSales[[#This Row],[Product Code]],tblProducts[Code],tblProducts[Product / Service Name],"⚠ Unknown")</f>
        <v>Premium Basic T-shirt</v>
      </c>
      <c r="H5162" s="1" t="str">
        <f>_xlfn.XLOOKUP(tblSales[[#This Row],[Product Code]],tblProducts[Code],tblProducts[Category],"")</f>
        <v>Accessories &amp; Basics</v>
      </c>
      <c r="I5162" s="4">
        <v>4</v>
      </c>
      <c r="J5162" s="5">
        <f>_xlfn.XLOOKUP(tblSales[[#This Row],[Product Code]],tblProducts[Code],tblProducts[Selling Price (excl. VAT)],0)</f>
        <v>65000</v>
      </c>
      <c r="K5162" s="5">
        <f>tblSales[[#This Row],[Qty]]*tblSales[[#This Row],[Unit Price]]</f>
        <v>260000</v>
      </c>
      <c r="L5162" s="5">
        <f>ROUND(tblSales[[#This Row],[DPP (excl. VAT)]]*VATEff,0)</f>
        <v>28600</v>
      </c>
      <c r="M5162" s="5">
        <f>tblSales[[#This Row],[DPP (excl. VAT)]]+tblSales[[#This Row],[Output VAT]]</f>
        <v>288600</v>
      </c>
      <c r="N5162" s="5">
        <f>tblSales[[#This Row],[Qty]]*_xlfn.XLOOKUP(tblSales[[#This Row],[Product Code]],tblProducts[Code],tblProducts[Unit Cost],0)</f>
        <v>148000</v>
      </c>
      <c r="O5162" s="4" t="s">
        <v>4865</v>
      </c>
      <c r="P5162" s="4" t="s">
        <v>4860</v>
      </c>
      <c r="Q5162" s="1" t="str">
        <f>_xlfn.XLOOKUP(tblSales[[#This Row],[Channel Code]],tblChannels[Channel Code],tblChannels[Channel Name],"")</f>
        <v>In-store</v>
      </c>
      <c r="R5162" s="1">
        <f>MONTH(tblSales[[#This Row],[Date]])</f>
        <v>11</v>
      </c>
    </row>
    <row r="5163" spans="2:18" x14ac:dyDescent="0.35">
      <c r="B5163" s="113">
        <v>46336</v>
      </c>
      <c r="C5163" s="4" t="s">
        <v>3529</v>
      </c>
      <c r="D5163" s="4" t="s">
        <v>4568</v>
      </c>
      <c r="E5163" s="1" t="str">
        <f>_xlfn.XLOOKUP(tblSales[[#This Row],[Customer ID]],tblCustomers[Customer ID],tblCustomers[Customer Name],"⚠ Unknown")</f>
        <v>Walk-in Customer</v>
      </c>
      <c r="F5163" s="4" t="s">
        <v>8</v>
      </c>
      <c r="G5163" s="1" t="str">
        <f>_xlfn.XLOOKUP(tblSales[[#This Row],[Product Code]],tblProducts[Code],tblProducts[Product / Service Name],"⚠ Unknown")</f>
        <v>Casual Shorts</v>
      </c>
      <c r="H5163" s="1" t="str">
        <f>_xlfn.XLOOKUP(tblSales[[#This Row],[Product Code]],tblProducts[Code],tblProducts[Category],"")</f>
        <v>Accessories &amp; Basics</v>
      </c>
      <c r="I5163" s="4">
        <v>5</v>
      </c>
      <c r="J5163" s="5">
        <f>_xlfn.XLOOKUP(tblSales[[#This Row],[Product Code]],tblProducts[Code],tblProducts[Selling Price (excl. VAT)],0)</f>
        <v>85000</v>
      </c>
      <c r="K5163" s="5">
        <f>tblSales[[#This Row],[Qty]]*tblSales[[#This Row],[Unit Price]]</f>
        <v>425000</v>
      </c>
      <c r="L5163" s="5">
        <f>ROUND(tblSales[[#This Row],[DPP (excl. VAT)]]*VATEff,0)</f>
        <v>46750</v>
      </c>
      <c r="M5163" s="5">
        <f>tblSales[[#This Row],[DPP (excl. VAT)]]+tblSales[[#This Row],[Output VAT]]</f>
        <v>471750</v>
      </c>
      <c r="N5163" s="5">
        <f>tblSales[[#This Row],[Qty]]*_xlfn.XLOOKUP(tblSales[[#This Row],[Product Code]],tblProducts[Code],tblProducts[Unit Cost],0)</f>
        <v>250000</v>
      </c>
      <c r="O5163" s="4" t="s">
        <v>4865</v>
      </c>
      <c r="P5163" s="4" t="s">
        <v>4860</v>
      </c>
      <c r="Q5163" s="1" t="str">
        <f>_xlfn.XLOOKUP(tblSales[[#This Row],[Channel Code]],tblChannels[Channel Code],tblChannels[Channel Name],"")</f>
        <v>In-store</v>
      </c>
      <c r="R5163" s="1">
        <f>MONTH(tblSales[[#This Row],[Date]])</f>
        <v>11</v>
      </c>
    </row>
    <row r="5164" spans="2:18" x14ac:dyDescent="0.35">
      <c r="B5164" s="113">
        <v>46336</v>
      </c>
      <c r="C5164" s="4" t="s">
        <v>3530</v>
      </c>
      <c r="D5164" s="4" t="s">
        <v>4568</v>
      </c>
      <c r="E5164" s="1" t="str">
        <f>_xlfn.XLOOKUP(tblSales[[#This Row],[Customer ID]],tblCustomers[Customer ID],tblCustomers[Customer Name],"⚠ Unknown")</f>
        <v>Walk-in Customer</v>
      </c>
      <c r="F5164" s="4" t="s">
        <v>9</v>
      </c>
      <c r="G5164" s="1" t="str">
        <f>_xlfn.XLOOKUP(tblSales[[#This Row],[Product Code]],tblProducts[Code],tblProducts[Product / Service Name],"⚠ Unknown")</f>
        <v>Casual Shirt</v>
      </c>
      <c r="H5164" s="1" t="str">
        <f>_xlfn.XLOOKUP(tblSales[[#This Row],[Product Code]],tblProducts[Code],tblProducts[Category],"")</f>
        <v>Apparel &amp; Footwear</v>
      </c>
      <c r="I5164" s="4">
        <v>12</v>
      </c>
      <c r="J5164" s="5">
        <f>_xlfn.XLOOKUP(tblSales[[#This Row],[Product Code]],tblProducts[Code],tblProducts[Selling Price (excl. VAT)],0)</f>
        <v>120000</v>
      </c>
      <c r="K5164" s="5">
        <f>tblSales[[#This Row],[Qty]]*tblSales[[#This Row],[Unit Price]]</f>
        <v>1440000</v>
      </c>
      <c r="L5164" s="5">
        <f>ROUND(tblSales[[#This Row],[DPP (excl. VAT)]]*VATEff,0)</f>
        <v>158400</v>
      </c>
      <c r="M5164" s="5">
        <f>tblSales[[#This Row],[DPP (excl. VAT)]]+tblSales[[#This Row],[Output VAT]]</f>
        <v>1598400</v>
      </c>
      <c r="N5164" s="5">
        <f>tblSales[[#This Row],[Qty]]*_xlfn.XLOOKUP(tblSales[[#This Row],[Product Code]],tblProducts[Code],tblProducts[Unit Cost],0)</f>
        <v>864000</v>
      </c>
      <c r="O5164" s="4" t="s">
        <v>4866</v>
      </c>
      <c r="P5164" s="4" t="s">
        <v>4862</v>
      </c>
      <c r="Q5164" s="1" t="str">
        <f>_xlfn.XLOOKUP(tblSales[[#This Row],[Channel Code]],tblChannels[Channel Code],tblChannels[Channel Name],"")</f>
        <v>Website &amp; Social Media</v>
      </c>
      <c r="R5164" s="1">
        <f>MONTH(tblSales[[#This Row],[Date]])</f>
        <v>11</v>
      </c>
    </row>
    <row r="5165" spans="2:18" x14ac:dyDescent="0.35">
      <c r="B5165" s="113">
        <v>46336</v>
      </c>
      <c r="C5165" s="4" t="s">
        <v>3531</v>
      </c>
      <c r="D5165" s="4" t="s">
        <v>4620</v>
      </c>
      <c r="E5165" s="1" t="str">
        <f>_xlfn.XLOOKUP(tblSales[[#This Row],[Customer ID]],tblCustomers[Customer ID],tblCustomers[Customer Name],"⚠ Unknown")</f>
        <v>CV Sumber Rejeki Utama</v>
      </c>
      <c r="F5165" s="4" t="s">
        <v>12</v>
      </c>
      <c r="G5165" s="1" t="str">
        <f>_xlfn.XLOOKUP(tblSales[[#This Row],[Product Code]],tblProducts[Code],tblProducts[Product / Service Name],"⚠ Unknown")</f>
        <v>Bomber Jacket</v>
      </c>
      <c r="H5165" s="1" t="str">
        <f>_xlfn.XLOOKUP(tblSales[[#This Row],[Product Code]],tblProducts[Code],tblProducts[Category],"")</f>
        <v>Apparel &amp; Footwear</v>
      </c>
      <c r="I5165" s="4">
        <v>16</v>
      </c>
      <c r="J5165" s="5">
        <f>_xlfn.XLOOKUP(tblSales[[#This Row],[Product Code]],tblProducts[Code],tblProducts[Selling Price (excl. VAT)],0)</f>
        <v>350000</v>
      </c>
      <c r="K5165" s="5">
        <f>tblSales[[#This Row],[Qty]]*tblSales[[#This Row],[Unit Price]]</f>
        <v>5600000</v>
      </c>
      <c r="L5165" s="5">
        <f>ROUND(tblSales[[#This Row],[DPP (excl. VAT)]]*VATEff,0)</f>
        <v>616000</v>
      </c>
      <c r="M5165" s="5">
        <f>tblSales[[#This Row],[DPP (excl. VAT)]]+tblSales[[#This Row],[Output VAT]]</f>
        <v>6216000</v>
      </c>
      <c r="N5165" s="5">
        <f>tblSales[[#This Row],[Qty]]*_xlfn.XLOOKUP(tblSales[[#This Row],[Product Code]],tblProducts[Code],tblProducts[Unit Cost],0)</f>
        <v>3360000</v>
      </c>
      <c r="O5165" s="4" t="s">
        <v>4867</v>
      </c>
      <c r="P5165" s="4" t="s">
        <v>4862</v>
      </c>
      <c r="Q5165" s="1" t="str">
        <f>_xlfn.XLOOKUP(tblSales[[#This Row],[Channel Code]],tblChannels[Channel Code],tblChannels[Channel Name],"")</f>
        <v>Website &amp; Social Media</v>
      </c>
      <c r="R5165" s="1">
        <f>MONTH(tblSales[[#This Row],[Date]])</f>
        <v>11</v>
      </c>
    </row>
    <row r="5166" spans="2:18" x14ac:dyDescent="0.35">
      <c r="B5166" s="113">
        <v>46336</v>
      </c>
      <c r="C5166" s="4" t="s">
        <v>3532</v>
      </c>
      <c r="D5166" s="4" t="s">
        <v>4568</v>
      </c>
      <c r="E5166" s="1" t="str">
        <f>_xlfn.XLOOKUP(tblSales[[#This Row],[Customer ID]],tblCustomers[Customer ID],tblCustomers[Customer Name],"⚠ Unknown")</f>
        <v>Walk-in Customer</v>
      </c>
      <c r="F5166" s="4" t="s">
        <v>10</v>
      </c>
      <c r="G5166" s="1" t="str">
        <f>_xlfn.XLOOKUP(tblSales[[#This Row],[Product Code]],tblProducts[Code],tblProducts[Product / Service Name],"⚠ Unknown")</f>
        <v>Chino Pants</v>
      </c>
      <c r="H5166" s="1" t="str">
        <f>_xlfn.XLOOKUP(tblSales[[#This Row],[Product Code]],tblProducts[Code],tblProducts[Category],"")</f>
        <v>Apparel &amp; Footwear</v>
      </c>
      <c r="I5166" s="4">
        <v>9</v>
      </c>
      <c r="J5166" s="5">
        <f>_xlfn.XLOOKUP(tblSales[[#This Row],[Product Code]],tblProducts[Code],tblProducts[Selling Price (excl. VAT)],0)</f>
        <v>150000</v>
      </c>
      <c r="K5166" s="5">
        <f>tblSales[[#This Row],[Qty]]*tblSales[[#This Row],[Unit Price]]</f>
        <v>1350000</v>
      </c>
      <c r="L5166" s="5">
        <f>ROUND(tblSales[[#This Row],[DPP (excl. VAT)]]*VATEff,0)</f>
        <v>148500</v>
      </c>
      <c r="M5166" s="5">
        <f>tblSales[[#This Row],[DPP (excl. VAT)]]+tblSales[[#This Row],[Output VAT]]</f>
        <v>1498500</v>
      </c>
      <c r="N5166" s="5">
        <f>tblSales[[#This Row],[Qty]]*_xlfn.XLOOKUP(tblSales[[#This Row],[Product Code]],tblProducts[Code],tblProducts[Unit Cost],0)</f>
        <v>792000</v>
      </c>
      <c r="O5166" s="4" t="s">
        <v>4866</v>
      </c>
      <c r="P5166" s="4" t="s">
        <v>4860</v>
      </c>
      <c r="Q5166" s="1" t="str">
        <f>_xlfn.XLOOKUP(tblSales[[#This Row],[Channel Code]],tblChannels[Channel Code],tblChannels[Channel Name],"")</f>
        <v>In-store</v>
      </c>
      <c r="R5166" s="1">
        <f>MONTH(tblSales[[#This Row],[Date]])</f>
        <v>11</v>
      </c>
    </row>
    <row r="5167" spans="2:18" x14ac:dyDescent="0.35">
      <c r="B5167" s="113">
        <v>46336</v>
      </c>
      <c r="C5167" s="4" t="s">
        <v>3533</v>
      </c>
      <c r="D5167" s="4" t="s">
        <v>4568</v>
      </c>
      <c r="E5167" s="1" t="str">
        <f>_xlfn.XLOOKUP(tblSales[[#This Row],[Customer ID]],tblCustomers[Customer ID],tblCustomers[Customer Name],"⚠ Unknown")</f>
        <v>Walk-in Customer</v>
      </c>
      <c r="F5167" s="4" t="s">
        <v>9</v>
      </c>
      <c r="G5167" s="1" t="str">
        <f>_xlfn.XLOOKUP(tblSales[[#This Row],[Product Code]],tblProducts[Code],tblProducts[Product / Service Name],"⚠ Unknown")</f>
        <v>Casual Shirt</v>
      </c>
      <c r="H5167" s="1" t="str">
        <f>_xlfn.XLOOKUP(tblSales[[#This Row],[Product Code]],tblProducts[Code],tblProducts[Category],"")</f>
        <v>Apparel &amp; Footwear</v>
      </c>
      <c r="I5167" s="4">
        <v>1</v>
      </c>
      <c r="J5167" s="5">
        <f>_xlfn.XLOOKUP(tblSales[[#This Row],[Product Code]],tblProducts[Code],tblProducts[Selling Price (excl. VAT)],0)</f>
        <v>120000</v>
      </c>
      <c r="K5167" s="5">
        <f>tblSales[[#This Row],[Qty]]*tblSales[[#This Row],[Unit Price]]</f>
        <v>120000</v>
      </c>
      <c r="L5167" s="5">
        <f>ROUND(tblSales[[#This Row],[DPP (excl. VAT)]]*VATEff,0)</f>
        <v>13200</v>
      </c>
      <c r="M5167" s="5">
        <f>tblSales[[#This Row],[DPP (excl. VAT)]]+tblSales[[#This Row],[Output VAT]]</f>
        <v>133200</v>
      </c>
      <c r="N5167" s="5">
        <f>tblSales[[#This Row],[Qty]]*_xlfn.XLOOKUP(tblSales[[#This Row],[Product Code]],tblProducts[Code],tblProducts[Unit Cost],0)</f>
        <v>72000</v>
      </c>
      <c r="O5167" s="4" t="s">
        <v>4865</v>
      </c>
      <c r="P5167" s="4" t="s">
        <v>4860</v>
      </c>
      <c r="Q5167" s="1" t="str">
        <f>_xlfn.XLOOKUP(tblSales[[#This Row],[Channel Code]],tblChannels[Channel Code],tblChannels[Channel Name],"")</f>
        <v>In-store</v>
      </c>
      <c r="R5167" s="1">
        <f>MONTH(tblSales[[#This Row],[Date]])</f>
        <v>11</v>
      </c>
    </row>
    <row r="5168" spans="2:18" x14ac:dyDescent="0.35">
      <c r="B5168" s="113">
        <v>46336</v>
      </c>
      <c r="C5168" s="4" t="s">
        <v>3534</v>
      </c>
      <c r="D5168" s="4" t="s">
        <v>4568</v>
      </c>
      <c r="E5168" s="1" t="str">
        <f>_xlfn.XLOOKUP(tblSales[[#This Row],[Customer ID]],tblCustomers[Customer ID],tblCustomers[Customer Name],"⚠ Unknown")</f>
        <v>Walk-in Customer</v>
      </c>
      <c r="F5168" s="4" t="s">
        <v>10</v>
      </c>
      <c r="G5168" s="1" t="str">
        <f>_xlfn.XLOOKUP(tblSales[[#This Row],[Product Code]],tblProducts[Code],tblProducts[Product / Service Name],"⚠ Unknown")</f>
        <v>Chino Pants</v>
      </c>
      <c r="H5168" s="1" t="str">
        <f>_xlfn.XLOOKUP(tblSales[[#This Row],[Product Code]],tblProducts[Code],tblProducts[Category],"")</f>
        <v>Apparel &amp; Footwear</v>
      </c>
      <c r="I5168" s="4">
        <v>8</v>
      </c>
      <c r="J5168" s="5">
        <f>_xlfn.XLOOKUP(tblSales[[#This Row],[Product Code]],tblProducts[Code],tblProducts[Selling Price (excl. VAT)],0)</f>
        <v>150000</v>
      </c>
      <c r="K5168" s="5">
        <f>tblSales[[#This Row],[Qty]]*tblSales[[#This Row],[Unit Price]]</f>
        <v>1200000</v>
      </c>
      <c r="L5168" s="5">
        <f>ROUND(tblSales[[#This Row],[DPP (excl. VAT)]]*VATEff,0)</f>
        <v>132000</v>
      </c>
      <c r="M5168" s="5">
        <f>tblSales[[#This Row],[DPP (excl. VAT)]]+tblSales[[#This Row],[Output VAT]]</f>
        <v>1332000</v>
      </c>
      <c r="N5168" s="5">
        <f>tblSales[[#This Row],[Qty]]*_xlfn.XLOOKUP(tblSales[[#This Row],[Product Code]],tblProducts[Code],tblProducts[Unit Cost],0)</f>
        <v>704000</v>
      </c>
      <c r="O5168" s="4" t="s">
        <v>4866</v>
      </c>
      <c r="P5168" s="4" t="s">
        <v>4862</v>
      </c>
      <c r="Q5168" s="1" t="str">
        <f>_xlfn.XLOOKUP(tblSales[[#This Row],[Channel Code]],tblChannels[Channel Code],tblChannels[Channel Name],"")</f>
        <v>Website &amp; Social Media</v>
      </c>
      <c r="R5168" s="1">
        <f>MONTH(tblSales[[#This Row],[Date]])</f>
        <v>11</v>
      </c>
    </row>
    <row r="5169" spans="2:18" x14ac:dyDescent="0.35">
      <c r="B5169" s="113">
        <v>46337</v>
      </c>
      <c r="C5169" s="4" t="s">
        <v>3535</v>
      </c>
      <c r="D5169" s="4" t="s">
        <v>4568</v>
      </c>
      <c r="E5169" s="1" t="str">
        <f>_xlfn.XLOOKUP(tblSales[[#This Row],[Customer ID]],tblCustomers[Customer ID],tblCustomers[Customer Name],"⚠ Unknown")</f>
        <v>Walk-in Customer</v>
      </c>
      <c r="F5169" s="4" t="s">
        <v>6</v>
      </c>
      <c r="G5169" s="1" t="str">
        <f>_xlfn.XLOOKUP(tblSales[[#This Row],[Product Code]],tblProducts[Code],tblProducts[Product / Service Name],"⚠ Unknown")</f>
        <v>Socks &amp; Accessories</v>
      </c>
      <c r="H5169" s="1" t="str">
        <f>_xlfn.XLOOKUP(tblSales[[#This Row],[Product Code]],tblProducts[Code],tblProducts[Category],"")</f>
        <v>Accessories &amp; Basics</v>
      </c>
      <c r="I5169" s="4">
        <v>9</v>
      </c>
      <c r="J5169" s="5">
        <f>_xlfn.XLOOKUP(tblSales[[#This Row],[Product Code]],tblProducts[Code],tblProducts[Selling Price (excl. VAT)],0)</f>
        <v>45000</v>
      </c>
      <c r="K5169" s="5">
        <f>tblSales[[#This Row],[Qty]]*tblSales[[#This Row],[Unit Price]]</f>
        <v>405000</v>
      </c>
      <c r="L5169" s="5">
        <f>ROUND(tblSales[[#This Row],[DPP (excl. VAT)]]*VATEff,0)</f>
        <v>44550</v>
      </c>
      <c r="M5169" s="5">
        <f>tblSales[[#This Row],[DPP (excl. VAT)]]+tblSales[[#This Row],[Output VAT]]</f>
        <v>449550</v>
      </c>
      <c r="N5169" s="5">
        <f>tblSales[[#This Row],[Qty]]*_xlfn.XLOOKUP(tblSales[[#This Row],[Product Code]],tblProducts[Code],tblProducts[Unit Cost],0)</f>
        <v>216000</v>
      </c>
      <c r="O5169" s="4" t="s">
        <v>4866</v>
      </c>
      <c r="P5169" s="4" t="s">
        <v>4862</v>
      </c>
      <c r="Q5169" s="1" t="str">
        <f>_xlfn.XLOOKUP(tblSales[[#This Row],[Channel Code]],tblChannels[Channel Code],tblChannels[Channel Name],"")</f>
        <v>Website &amp; Social Media</v>
      </c>
      <c r="R5169" s="1">
        <f>MONTH(tblSales[[#This Row],[Date]])</f>
        <v>11</v>
      </c>
    </row>
    <row r="5170" spans="2:18" x14ac:dyDescent="0.35">
      <c r="B5170" s="113">
        <v>46337</v>
      </c>
      <c r="C5170" s="4" t="s">
        <v>3535</v>
      </c>
      <c r="D5170" s="4" t="s">
        <v>4568</v>
      </c>
      <c r="E5170" s="1" t="str">
        <f>_xlfn.XLOOKUP(tblSales[[#This Row],[Customer ID]],tblCustomers[Customer ID],tblCustomers[Customer Name],"⚠ Unknown")</f>
        <v>Walk-in Customer</v>
      </c>
      <c r="F5170" s="4" t="s">
        <v>9</v>
      </c>
      <c r="G5170" s="1" t="str">
        <f>_xlfn.XLOOKUP(tblSales[[#This Row],[Product Code]],tblProducts[Code],tblProducts[Product / Service Name],"⚠ Unknown")</f>
        <v>Casual Shirt</v>
      </c>
      <c r="H5170" s="1" t="str">
        <f>_xlfn.XLOOKUP(tblSales[[#This Row],[Product Code]],tblProducts[Code],tblProducts[Category],"")</f>
        <v>Apparel &amp; Footwear</v>
      </c>
      <c r="I5170" s="4">
        <v>4</v>
      </c>
      <c r="J5170" s="5">
        <f>_xlfn.XLOOKUP(tblSales[[#This Row],[Product Code]],tblProducts[Code],tblProducts[Selling Price (excl. VAT)],0)</f>
        <v>120000</v>
      </c>
      <c r="K5170" s="5">
        <f>tblSales[[#This Row],[Qty]]*tblSales[[#This Row],[Unit Price]]</f>
        <v>480000</v>
      </c>
      <c r="L5170" s="5">
        <f>ROUND(tblSales[[#This Row],[DPP (excl. VAT)]]*VATEff,0)</f>
        <v>52800</v>
      </c>
      <c r="M5170" s="5">
        <f>tblSales[[#This Row],[DPP (excl. VAT)]]+tblSales[[#This Row],[Output VAT]]</f>
        <v>532800</v>
      </c>
      <c r="N5170" s="5">
        <f>tblSales[[#This Row],[Qty]]*_xlfn.XLOOKUP(tblSales[[#This Row],[Product Code]],tblProducts[Code],tblProducts[Unit Cost],0)</f>
        <v>288000</v>
      </c>
      <c r="O5170" s="4" t="s">
        <v>4866</v>
      </c>
      <c r="P5170" s="4" t="s">
        <v>4862</v>
      </c>
      <c r="Q5170" s="1" t="str">
        <f>_xlfn.XLOOKUP(tblSales[[#This Row],[Channel Code]],tblChannels[Channel Code],tblChannels[Channel Name],"")</f>
        <v>Website &amp; Social Media</v>
      </c>
      <c r="R5170" s="1">
        <f>MONTH(tblSales[[#This Row],[Date]])</f>
        <v>11</v>
      </c>
    </row>
    <row r="5171" spans="2:18" x14ac:dyDescent="0.35">
      <c r="B5171" s="113">
        <v>46337</v>
      </c>
      <c r="C5171" s="4" t="s">
        <v>3536</v>
      </c>
      <c r="D5171" s="4" t="s">
        <v>4568</v>
      </c>
      <c r="E5171" s="1" t="str">
        <f>_xlfn.XLOOKUP(tblSales[[#This Row],[Customer ID]],tblCustomers[Customer ID],tblCustomers[Customer Name],"⚠ Unknown")</f>
        <v>Walk-in Customer</v>
      </c>
      <c r="F5171" s="4" t="s">
        <v>7</v>
      </c>
      <c r="G5171" s="1" t="str">
        <f>_xlfn.XLOOKUP(tblSales[[#This Row],[Product Code]],tblProducts[Code],tblProducts[Product / Service Name],"⚠ Unknown")</f>
        <v>Premium Basic T-shirt</v>
      </c>
      <c r="H5171" s="1" t="str">
        <f>_xlfn.XLOOKUP(tblSales[[#This Row],[Product Code]],tblProducts[Code],tblProducts[Category],"")</f>
        <v>Accessories &amp; Basics</v>
      </c>
      <c r="I5171" s="4">
        <v>4</v>
      </c>
      <c r="J5171" s="5">
        <f>_xlfn.XLOOKUP(tblSales[[#This Row],[Product Code]],tblProducts[Code],tblProducts[Selling Price (excl. VAT)],0)</f>
        <v>65000</v>
      </c>
      <c r="K5171" s="5">
        <f>tblSales[[#This Row],[Qty]]*tblSales[[#This Row],[Unit Price]]</f>
        <v>260000</v>
      </c>
      <c r="L5171" s="5">
        <f>ROUND(tblSales[[#This Row],[DPP (excl. VAT)]]*VATEff,0)</f>
        <v>28600</v>
      </c>
      <c r="M5171" s="5">
        <f>tblSales[[#This Row],[DPP (excl. VAT)]]+tblSales[[#This Row],[Output VAT]]</f>
        <v>288600</v>
      </c>
      <c r="N5171" s="5">
        <f>tblSales[[#This Row],[Qty]]*_xlfn.XLOOKUP(tblSales[[#This Row],[Product Code]],tblProducts[Code],tblProducts[Unit Cost],0)</f>
        <v>148000</v>
      </c>
      <c r="O5171" s="4" t="s">
        <v>4865</v>
      </c>
      <c r="P5171" s="4" t="s">
        <v>4860</v>
      </c>
      <c r="Q5171" s="1" t="str">
        <f>_xlfn.XLOOKUP(tblSales[[#This Row],[Channel Code]],tblChannels[Channel Code],tblChannels[Channel Name],"")</f>
        <v>In-store</v>
      </c>
      <c r="R5171" s="1">
        <f>MONTH(tblSales[[#This Row],[Date]])</f>
        <v>11</v>
      </c>
    </row>
    <row r="5172" spans="2:18" x14ac:dyDescent="0.35">
      <c r="B5172" s="113">
        <v>46337</v>
      </c>
      <c r="C5172" s="4" t="s">
        <v>3536</v>
      </c>
      <c r="D5172" s="4" t="s">
        <v>4568</v>
      </c>
      <c r="E5172" s="1" t="str">
        <f>_xlfn.XLOOKUP(tblSales[[#This Row],[Customer ID]],tblCustomers[Customer ID],tblCustomers[Customer Name],"⚠ Unknown")</f>
        <v>Walk-in Customer</v>
      </c>
      <c r="F5172" s="4" t="s">
        <v>6</v>
      </c>
      <c r="G5172" s="1" t="str">
        <f>_xlfn.XLOOKUP(tblSales[[#This Row],[Product Code]],tblProducts[Code],tblProducts[Product / Service Name],"⚠ Unknown")</f>
        <v>Socks &amp; Accessories</v>
      </c>
      <c r="H5172" s="1" t="str">
        <f>_xlfn.XLOOKUP(tblSales[[#This Row],[Product Code]],tblProducts[Code],tblProducts[Category],"")</f>
        <v>Accessories &amp; Basics</v>
      </c>
      <c r="I5172" s="4">
        <v>1</v>
      </c>
      <c r="J5172" s="5">
        <f>_xlfn.XLOOKUP(tblSales[[#This Row],[Product Code]],tblProducts[Code],tblProducts[Selling Price (excl. VAT)],0)</f>
        <v>45000</v>
      </c>
      <c r="K5172" s="5">
        <f>tblSales[[#This Row],[Qty]]*tblSales[[#This Row],[Unit Price]]</f>
        <v>45000</v>
      </c>
      <c r="L5172" s="5">
        <f>ROUND(tblSales[[#This Row],[DPP (excl. VAT)]]*VATEff,0)</f>
        <v>4950</v>
      </c>
      <c r="M5172" s="5">
        <f>tblSales[[#This Row],[DPP (excl. VAT)]]+tblSales[[#This Row],[Output VAT]]</f>
        <v>49950</v>
      </c>
      <c r="N5172" s="5">
        <f>tblSales[[#This Row],[Qty]]*_xlfn.XLOOKUP(tblSales[[#This Row],[Product Code]],tblProducts[Code],tblProducts[Unit Cost],0)</f>
        <v>24000</v>
      </c>
      <c r="O5172" s="4" t="s">
        <v>4865</v>
      </c>
      <c r="P5172" s="4" t="s">
        <v>4860</v>
      </c>
      <c r="Q5172" s="1" t="str">
        <f>_xlfn.XLOOKUP(tblSales[[#This Row],[Channel Code]],tblChannels[Channel Code],tblChannels[Channel Name],"")</f>
        <v>In-store</v>
      </c>
      <c r="R5172" s="1">
        <f>MONTH(tblSales[[#This Row],[Date]])</f>
        <v>11</v>
      </c>
    </row>
    <row r="5173" spans="2:18" x14ac:dyDescent="0.35">
      <c r="B5173" s="113">
        <v>46337</v>
      </c>
      <c r="C5173" s="4" t="s">
        <v>3537</v>
      </c>
      <c r="D5173" s="4" t="s">
        <v>4568</v>
      </c>
      <c r="E5173" s="1" t="str">
        <f>_xlfn.XLOOKUP(tblSales[[#This Row],[Customer ID]],tblCustomers[Customer ID],tblCustomers[Customer Name],"⚠ Unknown")</f>
        <v>Walk-in Customer</v>
      </c>
      <c r="F5173" s="4" t="s">
        <v>14</v>
      </c>
      <c r="G5173" s="1" t="str">
        <f>_xlfn.XLOOKUP(tblSales[[#This Row],[Product Code]],tblProducts[Code],tblProducts[Product / Service Name],"⚠ Unknown")</f>
        <v>Smartwatch</v>
      </c>
      <c r="H5173" s="1" t="str">
        <f>_xlfn.XLOOKUP(tblSales[[#This Row],[Product Code]],tblProducts[Code],tblProducts[Category],"")</f>
        <v>Bags &amp; Gadgets</v>
      </c>
      <c r="I5173" s="4">
        <v>2</v>
      </c>
      <c r="J5173" s="5">
        <f>_xlfn.XLOOKUP(tblSales[[#This Row],[Product Code]],tblProducts[Code],tblProducts[Selling Price (excl. VAT)],0)</f>
        <v>850000</v>
      </c>
      <c r="K5173" s="5">
        <f>tblSales[[#This Row],[Qty]]*tblSales[[#This Row],[Unit Price]]</f>
        <v>1700000</v>
      </c>
      <c r="L5173" s="5">
        <f>ROUND(tblSales[[#This Row],[DPP (excl. VAT)]]*VATEff,0)</f>
        <v>187000</v>
      </c>
      <c r="M5173" s="5">
        <f>tblSales[[#This Row],[DPP (excl. VAT)]]+tblSales[[#This Row],[Output VAT]]</f>
        <v>1887000</v>
      </c>
      <c r="N5173" s="5">
        <f>tblSales[[#This Row],[Qty]]*_xlfn.XLOOKUP(tblSales[[#This Row],[Product Code]],tblProducts[Code],tblProducts[Unit Cost],0)</f>
        <v>1120000</v>
      </c>
      <c r="O5173" s="4" t="s">
        <v>4866</v>
      </c>
      <c r="P5173" s="4" t="s">
        <v>4861</v>
      </c>
      <c r="Q5173" s="1" t="str">
        <f>_xlfn.XLOOKUP(tblSales[[#This Row],[Channel Code]],tblChannels[Channel Code],tblChannels[Channel Name],"")</f>
        <v>Marketplace</v>
      </c>
      <c r="R5173" s="1">
        <f>MONTH(tblSales[[#This Row],[Date]])</f>
        <v>11</v>
      </c>
    </row>
    <row r="5174" spans="2:18" x14ac:dyDescent="0.35">
      <c r="B5174" s="113">
        <v>46337</v>
      </c>
      <c r="C5174" s="4" t="s">
        <v>3538</v>
      </c>
      <c r="D5174" s="4" t="s">
        <v>4568</v>
      </c>
      <c r="E5174" s="1" t="str">
        <f>_xlfn.XLOOKUP(tblSales[[#This Row],[Customer ID]],tblCustomers[Customer ID],tblCustomers[Customer Name],"⚠ Unknown")</f>
        <v>Walk-in Customer</v>
      </c>
      <c r="F5174" s="4" t="s">
        <v>9</v>
      </c>
      <c r="G5174" s="1" t="str">
        <f>_xlfn.XLOOKUP(tblSales[[#This Row],[Product Code]],tblProducts[Code],tblProducts[Product / Service Name],"⚠ Unknown")</f>
        <v>Casual Shirt</v>
      </c>
      <c r="H5174" s="1" t="str">
        <f>_xlfn.XLOOKUP(tblSales[[#This Row],[Product Code]],tblProducts[Code],tblProducts[Category],"")</f>
        <v>Apparel &amp; Footwear</v>
      </c>
      <c r="I5174" s="4">
        <v>7</v>
      </c>
      <c r="J5174" s="5">
        <f>_xlfn.XLOOKUP(tblSales[[#This Row],[Product Code]],tblProducts[Code],tblProducts[Selling Price (excl. VAT)],0)</f>
        <v>120000</v>
      </c>
      <c r="K5174" s="5">
        <f>tblSales[[#This Row],[Qty]]*tblSales[[#This Row],[Unit Price]]</f>
        <v>840000</v>
      </c>
      <c r="L5174" s="5">
        <f>ROUND(tblSales[[#This Row],[DPP (excl. VAT)]]*VATEff,0)</f>
        <v>92400</v>
      </c>
      <c r="M5174" s="5">
        <f>tblSales[[#This Row],[DPP (excl. VAT)]]+tblSales[[#This Row],[Output VAT]]</f>
        <v>932400</v>
      </c>
      <c r="N5174" s="5">
        <f>tblSales[[#This Row],[Qty]]*_xlfn.XLOOKUP(tblSales[[#This Row],[Product Code]],tblProducts[Code],tblProducts[Unit Cost],0)</f>
        <v>504000</v>
      </c>
      <c r="O5174" s="4" t="s">
        <v>4866</v>
      </c>
      <c r="P5174" s="4" t="s">
        <v>4862</v>
      </c>
      <c r="Q5174" s="1" t="str">
        <f>_xlfn.XLOOKUP(tblSales[[#This Row],[Channel Code]],tblChannels[Channel Code],tblChannels[Channel Name],"")</f>
        <v>Website &amp; Social Media</v>
      </c>
      <c r="R5174" s="1">
        <f>MONTH(tblSales[[#This Row],[Date]])</f>
        <v>11</v>
      </c>
    </row>
    <row r="5175" spans="2:18" x14ac:dyDescent="0.35">
      <c r="B5175" s="113">
        <v>46337</v>
      </c>
      <c r="C5175" s="4" t="s">
        <v>3538</v>
      </c>
      <c r="D5175" s="4" t="s">
        <v>4568</v>
      </c>
      <c r="E5175" s="1" t="str">
        <f>_xlfn.XLOOKUP(tblSales[[#This Row],[Customer ID]],tblCustomers[Customer ID],tblCustomers[Customer Name],"⚠ Unknown")</f>
        <v>Walk-in Customer</v>
      </c>
      <c r="F5175" s="4" t="s">
        <v>14</v>
      </c>
      <c r="G5175" s="1" t="str">
        <f>_xlfn.XLOOKUP(tblSales[[#This Row],[Product Code]],tblProducts[Code],tblProducts[Product / Service Name],"⚠ Unknown")</f>
        <v>Smartwatch</v>
      </c>
      <c r="H5175" s="1" t="str">
        <f>_xlfn.XLOOKUP(tblSales[[#This Row],[Product Code]],tblProducts[Code],tblProducts[Category],"")</f>
        <v>Bags &amp; Gadgets</v>
      </c>
      <c r="I5175" s="4">
        <v>2</v>
      </c>
      <c r="J5175" s="5">
        <f>_xlfn.XLOOKUP(tblSales[[#This Row],[Product Code]],tblProducts[Code],tblProducts[Selling Price (excl. VAT)],0)</f>
        <v>850000</v>
      </c>
      <c r="K5175" s="5">
        <f>tblSales[[#This Row],[Qty]]*tblSales[[#This Row],[Unit Price]]</f>
        <v>1700000</v>
      </c>
      <c r="L5175" s="5">
        <f>ROUND(tblSales[[#This Row],[DPP (excl. VAT)]]*VATEff,0)</f>
        <v>187000</v>
      </c>
      <c r="M5175" s="5">
        <f>tblSales[[#This Row],[DPP (excl. VAT)]]+tblSales[[#This Row],[Output VAT]]</f>
        <v>1887000</v>
      </c>
      <c r="N5175" s="5">
        <f>tblSales[[#This Row],[Qty]]*_xlfn.XLOOKUP(tblSales[[#This Row],[Product Code]],tblProducts[Code],tblProducts[Unit Cost],0)</f>
        <v>1120000</v>
      </c>
      <c r="O5175" s="4" t="s">
        <v>4866</v>
      </c>
      <c r="P5175" s="4" t="s">
        <v>4862</v>
      </c>
      <c r="Q5175" s="1" t="str">
        <f>_xlfn.XLOOKUP(tblSales[[#This Row],[Channel Code]],tblChannels[Channel Code],tblChannels[Channel Name],"")</f>
        <v>Website &amp; Social Media</v>
      </c>
      <c r="R5175" s="1">
        <f>MONTH(tblSales[[#This Row],[Date]])</f>
        <v>11</v>
      </c>
    </row>
    <row r="5176" spans="2:18" x14ac:dyDescent="0.35">
      <c r="B5176" s="113">
        <v>46337</v>
      </c>
      <c r="C5176" s="4" t="s">
        <v>3539</v>
      </c>
      <c r="D5176" s="4" t="s">
        <v>4613</v>
      </c>
      <c r="E5176" s="1" t="str">
        <f>_xlfn.XLOOKUP(tblSales[[#This Row],[Customer ID]],tblCustomers[Customer ID],tblCustomers[Customer Name],"⚠ Unknown")</f>
        <v>PT Mega Prima Distribusi</v>
      </c>
      <c r="F5176" s="4" t="s">
        <v>13</v>
      </c>
      <c r="G5176" s="1" t="str">
        <f>_xlfn.XLOOKUP(tblSales[[#This Row],[Product Code]],tblProducts[Code],tblProducts[Product / Service Name],"⚠ Unknown")</f>
        <v>Backpack</v>
      </c>
      <c r="H5176" s="1" t="str">
        <f>_xlfn.XLOOKUP(tblSales[[#This Row],[Product Code]],tblProducts[Code],tblProducts[Category],"")</f>
        <v>Bags &amp; Gadgets</v>
      </c>
      <c r="I5176" s="4">
        <v>32</v>
      </c>
      <c r="J5176" s="5">
        <f>_xlfn.XLOOKUP(tblSales[[#This Row],[Product Code]],tblProducts[Code],tblProducts[Selling Price (excl. VAT)],0)</f>
        <v>500000</v>
      </c>
      <c r="K5176" s="5">
        <f>tblSales[[#This Row],[Qty]]*tblSales[[#This Row],[Unit Price]]</f>
        <v>16000000</v>
      </c>
      <c r="L5176" s="5">
        <f>ROUND(tblSales[[#This Row],[DPP (excl. VAT)]]*VATEff,0)</f>
        <v>1760000</v>
      </c>
      <c r="M5176" s="5">
        <f>tblSales[[#This Row],[DPP (excl. VAT)]]+tblSales[[#This Row],[Output VAT]]</f>
        <v>17760000</v>
      </c>
      <c r="N5176" s="5">
        <f>tblSales[[#This Row],[Qty]]*_xlfn.XLOOKUP(tblSales[[#This Row],[Product Code]],tblProducts[Code],tblProducts[Unit Cost],0)</f>
        <v>9280000</v>
      </c>
      <c r="O5176" s="4" t="s">
        <v>4867</v>
      </c>
      <c r="P5176" s="4" t="s">
        <v>4860</v>
      </c>
      <c r="Q5176" s="1" t="str">
        <f>_xlfn.XLOOKUP(tblSales[[#This Row],[Channel Code]],tblChannels[Channel Code],tblChannels[Channel Name],"")</f>
        <v>In-store</v>
      </c>
      <c r="R5176" s="1">
        <f>MONTH(tblSales[[#This Row],[Date]])</f>
        <v>11</v>
      </c>
    </row>
    <row r="5177" spans="2:18" x14ac:dyDescent="0.35">
      <c r="B5177" s="113">
        <v>46337</v>
      </c>
      <c r="C5177" s="4" t="s">
        <v>3540</v>
      </c>
      <c r="D5177" s="4" t="s">
        <v>4568</v>
      </c>
      <c r="E5177" s="1" t="str">
        <f>_xlfn.XLOOKUP(tblSales[[#This Row],[Customer ID]],tblCustomers[Customer ID],tblCustomers[Customer Name],"⚠ Unknown")</f>
        <v>Walk-in Customer</v>
      </c>
      <c r="F5177" s="4" t="s">
        <v>9</v>
      </c>
      <c r="G5177" s="1" t="str">
        <f>_xlfn.XLOOKUP(tblSales[[#This Row],[Product Code]],tblProducts[Code],tblProducts[Product / Service Name],"⚠ Unknown")</f>
        <v>Casual Shirt</v>
      </c>
      <c r="H5177" s="1" t="str">
        <f>_xlfn.XLOOKUP(tblSales[[#This Row],[Product Code]],tblProducts[Code],tblProducts[Category],"")</f>
        <v>Apparel &amp; Footwear</v>
      </c>
      <c r="I5177" s="4">
        <v>12</v>
      </c>
      <c r="J5177" s="5">
        <f>_xlfn.XLOOKUP(tblSales[[#This Row],[Product Code]],tblProducts[Code],tblProducts[Selling Price (excl. VAT)],0)</f>
        <v>120000</v>
      </c>
      <c r="K5177" s="5">
        <f>tblSales[[#This Row],[Qty]]*tblSales[[#This Row],[Unit Price]]</f>
        <v>1440000</v>
      </c>
      <c r="L5177" s="5">
        <f>ROUND(tblSales[[#This Row],[DPP (excl. VAT)]]*VATEff,0)</f>
        <v>158400</v>
      </c>
      <c r="M5177" s="5">
        <f>tblSales[[#This Row],[DPP (excl. VAT)]]+tblSales[[#This Row],[Output VAT]]</f>
        <v>1598400</v>
      </c>
      <c r="N5177" s="5">
        <f>tblSales[[#This Row],[Qty]]*_xlfn.XLOOKUP(tblSales[[#This Row],[Product Code]],tblProducts[Code],tblProducts[Unit Cost],0)</f>
        <v>864000</v>
      </c>
      <c r="O5177" s="4" t="s">
        <v>4866</v>
      </c>
      <c r="P5177" s="4" t="s">
        <v>4861</v>
      </c>
      <c r="Q5177" s="1" t="str">
        <f>_xlfn.XLOOKUP(tblSales[[#This Row],[Channel Code]],tblChannels[Channel Code],tblChannels[Channel Name],"")</f>
        <v>Marketplace</v>
      </c>
      <c r="R5177" s="1">
        <f>MONTH(tblSales[[#This Row],[Date]])</f>
        <v>11</v>
      </c>
    </row>
    <row r="5178" spans="2:18" x14ac:dyDescent="0.35">
      <c r="B5178" s="113">
        <v>46337</v>
      </c>
      <c r="C5178" s="4" t="s">
        <v>3541</v>
      </c>
      <c r="D5178" s="4" t="s">
        <v>4568</v>
      </c>
      <c r="E5178" s="1" t="str">
        <f>_xlfn.XLOOKUP(tblSales[[#This Row],[Customer ID]],tblCustomers[Customer ID],tblCustomers[Customer Name],"⚠ Unknown")</f>
        <v>Walk-in Customer</v>
      </c>
      <c r="F5178" s="4" t="s">
        <v>6</v>
      </c>
      <c r="G5178" s="1" t="str">
        <f>_xlfn.XLOOKUP(tblSales[[#This Row],[Product Code]],tblProducts[Code],tblProducts[Product / Service Name],"⚠ Unknown")</f>
        <v>Socks &amp; Accessories</v>
      </c>
      <c r="H5178" s="1" t="str">
        <f>_xlfn.XLOOKUP(tblSales[[#This Row],[Product Code]],tblProducts[Code],tblProducts[Category],"")</f>
        <v>Accessories &amp; Basics</v>
      </c>
      <c r="I5178" s="4">
        <v>2</v>
      </c>
      <c r="J5178" s="5">
        <f>_xlfn.XLOOKUP(tblSales[[#This Row],[Product Code]],tblProducts[Code],tblProducts[Selling Price (excl. VAT)],0)</f>
        <v>45000</v>
      </c>
      <c r="K5178" s="5">
        <f>tblSales[[#This Row],[Qty]]*tblSales[[#This Row],[Unit Price]]</f>
        <v>90000</v>
      </c>
      <c r="L5178" s="5">
        <f>ROUND(tblSales[[#This Row],[DPP (excl. VAT)]]*VATEff,0)</f>
        <v>9900</v>
      </c>
      <c r="M5178" s="5">
        <f>tblSales[[#This Row],[DPP (excl. VAT)]]+tblSales[[#This Row],[Output VAT]]</f>
        <v>99900</v>
      </c>
      <c r="N5178" s="5">
        <f>tblSales[[#This Row],[Qty]]*_xlfn.XLOOKUP(tblSales[[#This Row],[Product Code]],tblProducts[Code],tblProducts[Unit Cost],0)</f>
        <v>48000</v>
      </c>
      <c r="O5178" s="4" t="s">
        <v>4866</v>
      </c>
      <c r="P5178" s="4" t="s">
        <v>4860</v>
      </c>
      <c r="Q5178" s="1" t="str">
        <f>_xlfn.XLOOKUP(tblSales[[#This Row],[Channel Code]],tblChannels[Channel Code],tblChannels[Channel Name],"")</f>
        <v>In-store</v>
      </c>
      <c r="R5178" s="1">
        <f>MONTH(tblSales[[#This Row],[Date]])</f>
        <v>11</v>
      </c>
    </row>
    <row r="5179" spans="2:18" x14ac:dyDescent="0.35">
      <c r="B5179" s="113">
        <v>46337</v>
      </c>
      <c r="C5179" s="4" t="s">
        <v>3542</v>
      </c>
      <c r="D5179" s="4" t="s">
        <v>4568</v>
      </c>
      <c r="E5179" s="1" t="str">
        <f>_xlfn.XLOOKUP(tblSales[[#This Row],[Customer ID]],tblCustomers[Customer ID],tblCustomers[Customer Name],"⚠ Unknown")</f>
        <v>Walk-in Customer</v>
      </c>
      <c r="F5179" s="4" t="s">
        <v>9</v>
      </c>
      <c r="G5179" s="1" t="str">
        <f>_xlfn.XLOOKUP(tblSales[[#This Row],[Product Code]],tblProducts[Code],tblProducts[Product / Service Name],"⚠ Unknown")</f>
        <v>Casual Shirt</v>
      </c>
      <c r="H5179" s="1" t="str">
        <f>_xlfn.XLOOKUP(tblSales[[#This Row],[Product Code]],tblProducts[Code],tblProducts[Category],"")</f>
        <v>Apparel &amp; Footwear</v>
      </c>
      <c r="I5179" s="4">
        <v>12</v>
      </c>
      <c r="J5179" s="5">
        <f>_xlfn.XLOOKUP(tblSales[[#This Row],[Product Code]],tblProducts[Code],tblProducts[Selling Price (excl. VAT)],0)</f>
        <v>120000</v>
      </c>
      <c r="K5179" s="5">
        <f>tblSales[[#This Row],[Qty]]*tblSales[[#This Row],[Unit Price]]</f>
        <v>1440000</v>
      </c>
      <c r="L5179" s="5">
        <f>ROUND(tblSales[[#This Row],[DPP (excl. VAT)]]*VATEff,0)</f>
        <v>158400</v>
      </c>
      <c r="M5179" s="5">
        <f>tblSales[[#This Row],[DPP (excl. VAT)]]+tblSales[[#This Row],[Output VAT]]</f>
        <v>1598400</v>
      </c>
      <c r="N5179" s="5">
        <f>tblSales[[#This Row],[Qty]]*_xlfn.XLOOKUP(tblSales[[#This Row],[Product Code]],tblProducts[Code],tblProducts[Unit Cost],0)</f>
        <v>864000</v>
      </c>
      <c r="O5179" s="4" t="s">
        <v>4866</v>
      </c>
      <c r="P5179" s="4" t="s">
        <v>4860</v>
      </c>
      <c r="Q5179" s="1" t="str">
        <f>_xlfn.XLOOKUP(tblSales[[#This Row],[Channel Code]],tblChannels[Channel Code],tblChannels[Channel Name],"")</f>
        <v>In-store</v>
      </c>
      <c r="R5179" s="1">
        <f>MONTH(tblSales[[#This Row],[Date]])</f>
        <v>11</v>
      </c>
    </row>
    <row r="5180" spans="2:18" x14ac:dyDescent="0.35">
      <c r="B5180" s="113">
        <v>46337</v>
      </c>
      <c r="C5180" s="4" t="s">
        <v>3543</v>
      </c>
      <c r="D5180" s="4" t="s">
        <v>4568</v>
      </c>
      <c r="E5180" s="1" t="str">
        <f>_xlfn.XLOOKUP(tblSales[[#This Row],[Customer ID]],tblCustomers[Customer ID],tblCustomers[Customer Name],"⚠ Unknown")</f>
        <v>Walk-in Customer</v>
      </c>
      <c r="F5180" s="4" t="s">
        <v>9</v>
      </c>
      <c r="G5180" s="1" t="str">
        <f>_xlfn.XLOOKUP(tblSales[[#This Row],[Product Code]],tblProducts[Code],tblProducts[Product / Service Name],"⚠ Unknown")</f>
        <v>Casual Shirt</v>
      </c>
      <c r="H5180" s="1" t="str">
        <f>_xlfn.XLOOKUP(tblSales[[#This Row],[Product Code]],tblProducts[Code],tblProducts[Category],"")</f>
        <v>Apparel &amp; Footwear</v>
      </c>
      <c r="I5180" s="4">
        <v>5</v>
      </c>
      <c r="J5180" s="5">
        <f>_xlfn.XLOOKUP(tblSales[[#This Row],[Product Code]],tblProducts[Code],tblProducts[Selling Price (excl. VAT)],0)</f>
        <v>120000</v>
      </c>
      <c r="K5180" s="5">
        <f>tblSales[[#This Row],[Qty]]*tblSales[[#This Row],[Unit Price]]</f>
        <v>600000</v>
      </c>
      <c r="L5180" s="5">
        <f>ROUND(tblSales[[#This Row],[DPP (excl. VAT)]]*VATEff,0)</f>
        <v>66000</v>
      </c>
      <c r="M5180" s="5">
        <f>tblSales[[#This Row],[DPP (excl. VAT)]]+tblSales[[#This Row],[Output VAT]]</f>
        <v>666000</v>
      </c>
      <c r="N5180" s="5">
        <f>tblSales[[#This Row],[Qty]]*_xlfn.XLOOKUP(tblSales[[#This Row],[Product Code]],tblProducts[Code],tblProducts[Unit Cost],0)</f>
        <v>360000</v>
      </c>
      <c r="O5180" s="4" t="s">
        <v>4866</v>
      </c>
      <c r="P5180" s="4" t="s">
        <v>4860</v>
      </c>
      <c r="Q5180" s="1" t="str">
        <f>_xlfn.XLOOKUP(tblSales[[#This Row],[Channel Code]],tblChannels[Channel Code],tblChannels[Channel Name],"")</f>
        <v>In-store</v>
      </c>
      <c r="R5180" s="1">
        <f>MONTH(tblSales[[#This Row],[Date]])</f>
        <v>11</v>
      </c>
    </row>
    <row r="5181" spans="2:18" x14ac:dyDescent="0.35">
      <c r="B5181" s="113">
        <v>46337</v>
      </c>
      <c r="C5181" s="4" t="s">
        <v>3544</v>
      </c>
      <c r="D5181" s="4" t="s">
        <v>4568</v>
      </c>
      <c r="E5181" s="1" t="str">
        <f>_xlfn.XLOOKUP(tblSales[[#This Row],[Customer ID]],tblCustomers[Customer ID],tblCustomers[Customer Name],"⚠ Unknown")</f>
        <v>Walk-in Customer</v>
      </c>
      <c r="F5181" s="4" t="s">
        <v>7</v>
      </c>
      <c r="G5181" s="1" t="str">
        <f>_xlfn.XLOOKUP(tblSales[[#This Row],[Product Code]],tblProducts[Code],tblProducts[Product / Service Name],"⚠ Unknown")</f>
        <v>Premium Basic T-shirt</v>
      </c>
      <c r="H5181" s="1" t="str">
        <f>_xlfn.XLOOKUP(tblSales[[#This Row],[Product Code]],tblProducts[Code],tblProducts[Category],"")</f>
        <v>Accessories &amp; Basics</v>
      </c>
      <c r="I5181" s="4">
        <v>3</v>
      </c>
      <c r="J5181" s="5">
        <f>_xlfn.XLOOKUP(tblSales[[#This Row],[Product Code]],tblProducts[Code],tblProducts[Selling Price (excl. VAT)],0)</f>
        <v>65000</v>
      </c>
      <c r="K5181" s="5">
        <f>tblSales[[#This Row],[Qty]]*tblSales[[#This Row],[Unit Price]]</f>
        <v>195000</v>
      </c>
      <c r="L5181" s="5">
        <f>ROUND(tblSales[[#This Row],[DPP (excl. VAT)]]*VATEff,0)</f>
        <v>21450</v>
      </c>
      <c r="M5181" s="5">
        <f>tblSales[[#This Row],[DPP (excl. VAT)]]+tblSales[[#This Row],[Output VAT]]</f>
        <v>216450</v>
      </c>
      <c r="N5181" s="5">
        <f>tblSales[[#This Row],[Qty]]*_xlfn.XLOOKUP(tblSales[[#This Row],[Product Code]],tblProducts[Code],tblProducts[Unit Cost],0)</f>
        <v>111000</v>
      </c>
      <c r="O5181" s="4" t="s">
        <v>4866</v>
      </c>
      <c r="P5181" s="4" t="s">
        <v>4860</v>
      </c>
      <c r="Q5181" s="1" t="str">
        <f>_xlfn.XLOOKUP(tblSales[[#This Row],[Channel Code]],tblChannels[Channel Code],tblChannels[Channel Name],"")</f>
        <v>In-store</v>
      </c>
      <c r="R5181" s="1">
        <f>MONTH(tblSales[[#This Row],[Date]])</f>
        <v>11</v>
      </c>
    </row>
    <row r="5182" spans="2:18" x14ac:dyDescent="0.35">
      <c r="B5182" s="113">
        <v>46337</v>
      </c>
      <c r="C5182" s="4" t="s">
        <v>3545</v>
      </c>
      <c r="D5182" s="4" t="s">
        <v>4568</v>
      </c>
      <c r="E5182" s="1" t="str">
        <f>_xlfn.XLOOKUP(tblSales[[#This Row],[Customer ID]],tblCustomers[Customer ID],tblCustomers[Customer Name],"⚠ Unknown")</f>
        <v>Walk-in Customer</v>
      </c>
      <c r="F5182" s="4" t="s">
        <v>13</v>
      </c>
      <c r="G5182" s="1" t="str">
        <f>_xlfn.XLOOKUP(tblSales[[#This Row],[Product Code]],tblProducts[Code],tblProducts[Product / Service Name],"⚠ Unknown")</f>
        <v>Backpack</v>
      </c>
      <c r="H5182" s="1" t="str">
        <f>_xlfn.XLOOKUP(tblSales[[#This Row],[Product Code]],tblProducts[Code],tblProducts[Category],"")</f>
        <v>Bags &amp; Gadgets</v>
      </c>
      <c r="I5182" s="4">
        <v>3</v>
      </c>
      <c r="J5182" s="5">
        <f>_xlfn.XLOOKUP(tblSales[[#This Row],[Product Code]],tblProducts[Code],tblProducts[Selling Price (excl. VAT)],0)</f>
        <v>500000</v>
      </c>
      <c r="K5182" s="5">
        <f>tblSales[[#This Row],[Qty]]*tblSales[[#This Row],[Unit Price]]</f>
        <v>1500000</v>
      </c>
      <c r="L5182" s="5">
        <f>ROUND(tblSales[[#This Row],[DPP (excl. VAT)]]*VATEff,0)</f>
        <v>165000</v>
      </c>
      <c r="M5182" s="5">
        <f>tblSales[[#This Row],[DPP (excl. VAT)]]+tblSales[[#This Row],[Output VAT]]</f>
        <v>1665000</v>
      </c>
      <c r="N5182" s="5">
        <f>tblSales[[#This Row],[Qty]]*_xlfn.XLOOKUP(tblSales[[#This Row],[Product Code]],tblProducts[Code],tblProducts[Unit Cost],0)</f>
        <v>870000</v>
      </c>
      <c r="O5182" s="4" t="s">
        <v>4865</v>
      </c>
      <c r="P5182" s="4" t="s">
        <v>4860</v>
      </c>
      <c r="Q5182" s="1" t="str">
        <f>_xlfn.XLOOKUP(tblSales[[#This Row],[Channel Code]],tblChannels[Channel Code],tblChannels[Channel Name],"")</f>
        <v>In-store</v>
      </c>
      <c r="R5182" s="1">
        <f>MONTH(tblSales[[#This Row],[Date]])</f>
        <v>11</v>
      </c>
    </row>
    <row r="5183" spans="2:18" x14ac:dyDescent="0.35">
      <c r="B5183" s="113">
        <v>46337</v>
      </c>
      <c r="C5183" s="4" t="s">
        <v>3546</v>
      </c>
      <c r="D5183" s="4" t="s">
        <v>4599</v>
      </c>
      <c r="E5183" s="1" t="str">
        <f>_xlfn.XLOOKUP(tblSales[[#This Row],[Customer ID]],tblCustomers[Customer ID],tblCustomers[Customer Name],"⚠ Unknown")</f>
        <v>PT Samudra Jaya Logistik</v>
      </c>
      <c r="F5183" s="4" t="s">
        <v>13</v>
      </c>
      <c r="G5183" s="1" t="str">
        <f>_xlfn.XLOOKUP(tblSales[[#This Row],[Product Code]],tblProducts[Code],tblProducts[Product / Service Name],"⚠ Unknown")</f>
        <v>Backpack</v>
      </c>
      <c r="H5183" s="1" t="str">
        <f>_xlfn.XLOOKUP(tblSales[[#This Row],[Product Code]],tblProducts[Code],tblProducts[Category],"")</f>
        <v>Bags &amp; Gadgets</v>
      </c>
      <c r="I5183" s="4">
        <v>32</v>
      </c>
      <c r="J5183" s="5">
        <f>_xlfn.XLOOKUP(tblSales[[#This Row],[Product Code]],tblProducts[Code],tblProducts[Selling Price (excl. VAT)],0)</f>
        <v>500000</v>
      </c>
      <c r="K5183" s="5">
        <f>tblSales[[#This Row],[Qty]]*tblSales[[#This Row],[Unit Price]]</f>
        <v>16000000</v>
      </c>
      <c r="L5183" s="5">
        <f>ROUND(tblSales[[#This Row],[DPP (excl. VAT)]]*VATEff,0)</f>
        <v>1760000</v>
      </c>
      <c r="M5183" s="5">
        <f>tblSales[[#This Row],[DPP (excl. VAT)]]+tblSales[[#This Row],[Output VAT]]</f>
        <v>17760000</v>
      </c>
      <c r="N5183" s="5">
        <f>tblSales[[#This Row],[Qty]]*_xlfn.XLOOKUP(tblSales[[#This Row],[Product Code]],tblProducts[Code],tblProducts[Unit Cost],0)</f>
        <v>9280000</v>
      </c>
      <c r="O5183" s="4" t="s">
        <v>4867</v>
      </c>
      <c r="P5183" s="4" t="s">
        <v>4860</v>
      </c>
      <c r="Q5183" s="1" t="str">
        <f>_xlfn.XLOOKUP(tblSales[[#This Row],[Channel Code]],tblChannels[Channel Code],tblChannels[Channel Name],"")</f>
        <v>In-store</v>
      </c>
      <c r="R5183" s="1">
        <f>MONTH(tblSales[[#This Row],[Date]])</f>
        <v>11</v>
      </c>
    </row>
    <row r="5184" spans="2:18" x14ac:dyDescent="0.35">
      <c r="B5184" s="113">
        <v>46338</v>
      </c>
      <c r="C5184" s="4" t="s">
        <v>3547</v>
      </c>
      <c r="D5184" s="4" t="s">
        <v>4572</v>
      </c>
      <c r="E5184" s="1" t="str">
        <f>_xlfn.XLOOKUP(tblSales[[#This Row],[Customer ID]],tblCustomers[Customer ID],tblCustomers[Customer Name],"⚠ Unknown")</f>
        <v>PT Cahaya Abadi Makmur</v>
      </c>
      <c r="F5184" s="4" t="s">
        <v>6</v>
      </c>
      <c r="G5184" s="1" t="str">
        <f>_xlfn.XLOOKUP(tblSales[[#This Row],[Product Code]],tblProducts[Code],tblProducts[Product / Service Name],"⚠ Unknown")</f>
        <v>Socks &amp; Accessories</v>
      </c>
      <c r="H5184" s="1" t="str">
        <f>_xlfn.XLOOKUP(tblSales[[#This Row],[Product Code]],tblProducts[Code],tblProducts[Category],"")</f>
        <v>Accessories &amp; Basics</v>
      </c>
      <c r="I5184" s="4">
        <v>32</v>
      </c>
      <c r="J5184" s="5">
        <f>_xlfn.XLOOKUP(tblSales[[#This Row],[Product Code]],tblProducts[Code],tblProducts[Selling Price (excl. VAT)],0)</f>
        <v>45000</v>
      </c>
      <c r="K5184" s="5">
        <f>tblSales[[#This Row],[Qty]]*tblSales[[#This Row],[Unit Price]]</f>
        <v>1440000</v>
      </c>
      <c r="L5184" s="5">
        <f>ROUND(tblSales[[#This Row],[DPP (excl. VAT)]]*VATEff,0)</f>
        <v>158400</v>
      </c>
      <c r="M5184" s="5">
        <f>tblSales[[#This Row],[DPP (excl. VAT)]]+tblSales[[#This Row],[Output VAT]]</f>
        <v>1598400</v>
      </c>
      <c r="N5184" s="5">
        <f>tblSales[[#This Row],[Qty]]*_xlfn.XLOOKUP(tblSales[[#This Row],[Product Code]],tblProducts[Code],tblProducts[Unit Cost],0)</f>
        <v>768000</v>
      </c>
      <c r="O5184" s="4" t="s">
        <v>4867</v>
      </c>
      <c r="P5184" s="4" t="s">
        <v>4860</v>
      </c>
      <c r="Q5184" s="1" t="str">
        <f>_xlfn.XLOOKUP(tblSales[[#This Row],[Channel Code]],tblChannels[Channel Code],tblChannels[Channel Name],"")</f>
        <v>In-store</v>
      </c>
      <c r="R5184" s="1">
        <f>MONTH(tblSales[[#This Row],[Date]])</f>
        <v>11</v>
      </c>
    </row>
    <row r="5185" spans="2:18" x14ac:dyDescent="0.35">
      <c r="B5185" s="113">
        <v>46338</v>
      </c>
      <c r="C5185" s="4" t="s">
        <v>3547</v>
      </c>
      <c r="D5185" s="4" t="s">
        <v>4572</v>
      </c>
      <c r="E5185" s="1" t="str">
        <f>_xlfn.XLOOKUP(tblSales[[#This Row],[Customer ID]],tblCustomers[Customer ID],tblCustomers[Customer Name],"⚠ Unknown")</f>
        <v>PT Cahaya Abadi Makmur</v>
      </c>
      <c r="F5185" s="4" t="s">
        <v>7</v>
      </c>
      <c r="G5185" s="1" t="str">
        <f>_xlfn.XLOOKUP(tblSales[[#This Row],[Product Code]],tblProducts[Code],tblProducts[Product / Service Name],"⚠ Unknown")</f>
        <v>Premium Basic T-shirt</v>
      </c>
      <c r="H5185" s="1" t="str">
        <f>_xlfn.XLOOKUP(tblSales[[#This Row],[Product Code]],tblProducts[Code],tblProducts[Category],"")</f>
        <v>Accessories &amp; Basics</v>
      </c>
      <c r="I5185" s="4">
        <v>32</v>
      </c>
      <c r="J5185" s="5">
        <f>_xlfn.XLOOKUP(tblSales[[#This Row],[Product Code]],tblProducts[Code],tblProducts[Selling Price (excl. VAT)],0)</f>
        <v>65000</v>
      </c>
      <c r="K5185" s="5">
        <f>tblSales[[#This Row],[Qty]]*tblSales[[#This Row],[Unit Price]]</f>
        <v>2080000</v>
      </c>
      <c r="L5185" s="5">
        <f>ROUND(tblSales[[#This Row],[DPP (excl. VAT)]]*VATEff,0)</f>
        <v>228800</v>
      </c>
      <c r="M5185" s="5">
        <f>tblSales[[#This Row],[DPP (excl. VAT)]]+tblSales[[#This Row],[Output VAT]]</f>
        <v>2308800</v>
      </c>
      <c r="N5185" s="5">
        <f>tblSales[[#This Row],[Qty]]*_xlfn.XLOOKUP(tblSales[[#This Row],[Product Code]],tblProducts[Code],tblProducts[Unit Cost],0)</f>
        <v>1184000</v>
      </c>
      <c r="O5185" s="4" t="s">
        <v>4867</v>
      </c>
      <c r="P5185" s="4" t="s">
        <v>4860</v>
      </c>
      <c r="Q5185" s="1" t="str">
        <f>_xlfn.XLOOKUP(tblSales[[#This Row],[Channel Code]],tblChannels[Channel Code],tblChannels[Channel Name],"")</f>
        <v>In-store</v>
      </c>
      <c r="R5185" s="1">
        <f>MONTH(tblSales[[#This Row],[Date]])</f>
        <v>11</v>
      </c>
    </row>
    <row r="5186" spans="2:18" x14ac:dyDescent="0.35">
      <c r="B5186" s="113">
        <v>46338</v>
      </c>
      <c r="C5186" s="4" t="s">
        <v>3548</v>
      </c>
      <c r="D5186" s="4" t="s">
        <v>4585</v>
      </c>
      <c r="E5186" s="1" t="str">
        <f>_xlfn.XLOOKUP(tblSales[[#This Row],[Customer ID]],tblCustomers[Customer ID],tblCustomers[Customer Name],"⚠ Unknown")</f>
        <v>CV Mitra Karya Mandiri</v>
      </c>
      <c r="F5186" s="4" t="s">
        <v>7</v>
      </c>
      <c r="G5186" s="1" t="str">
        <f>_xlfn.XLOOKUP(tblSales[[#This Row],[Product Code]],tblProducts[Code],tblProducts[Product / Service Name],"⚠ Unknown")</f>
        <v>Premium Basic T-shirt</v>
      </c>
      <c r="H5186" s="1" t="str">
        <f>_xlfn.XLOOKUP(tblSales[[#This Row],[Product Code]],tblProducts[Code],tblProducts[Category],"")</f>
        <v>Accessories &amp; Basics</v>
      </c>
      <c r="I5186" s="4">
        <v>32</v>
      </c>
      <c r="J5186" s="5">
        <f>_xlfn.XLOOKUP(tblSales[[#This Row],[Product Code]],tblProducts[Code],tblProducts[Selling Price (excl. VAT)],0)</f>
        <v>65000</v>
      </c>
      <c r="K5186" s="5">
        <f>tblSales[[#This Row],[Qty]]*tblSales[[#This Row],[Unit Price]]</f>
        <v>2080000</v>
      </c>
      <c r="L5186" s="5">
        <f>ROUND(tblSales[[#This Row],[DPP (excl. VAT)]]*VATEff,0)</f>
        <v>228800</v>
      </c>
      <c r="M5186" s="5">
        <f>tblSales[[#This Row],[DPP (excl. VAT)]]+tblSales[[#This Row],[Output VAT]]</f>
        <v>2308800</v>
      </c>
      <c r="N5186" s="5">
        <f>tblSales[[#This Row],[Qty]]*_xlfn.XLOOKUP(tblSales[[#This Row],[Product Code]],tblProducts[Code],tblProducts[Unit Cost],0)</f>
        <v>1184000</v>
      </c>
      <c r="O5186" s="4" t="s">
        <v>4867</v>
      </c>
      <c r="P5186" s="4" t="s">
        <v>4860</v>
      </c>
      <c r="Q5186" s="1" t="str">
        <f>_xlfn.XLOOKUP(tblSales[[#This Row],[Channel Code]],tblChannels[Channel Code],tblChannels[Channel Name],"")</f>
        <v>In-store</v>
      </c>
      <c r="R5186" s="1">
        <f>MONTH(tblSales[[#This Row],[Date]])</f>
        <v>11</v>
      </c>
    </row>
    <row r="5187" spans="2:18" x14ac:dyDescent="0.35">
      <c r="B5187" s="113">
        <v>46338</v>
      </c>
      <c r="C5187" s="4" t="s">
        <v>3548</v>
      </c>
      <c r="D5187" s="4" t="s">
        <v>4585</v>
      </c>
      <c r="E5187" s="1" t="str">
        <f>_xlfn.XLOOKUP(tblSales[[#This Row],[Customer ID]],tblCustomers[Customer ID],tblCustomers[Customer Name],"⚠ Unknown")</f>
        <v>CV Mitra Karya Mandiri</v>
      </c>
      <c r="F5187" s="4" t="s">
        <v>12</v>
      </c>
      <c r="G5187" s="1" t="str">
        <f>_xlfn.XLOOKUP(tblSales[[#This Row],[Product Code]],tblProducts[Code],tblProducts[Product / Service Name],"⚠ Unknown")</f>
        <v>Bomber Jacket</v>
      </c>
      <c r="H5187" s="1" t="str">
        <f>_xlfn.XLOOKUP(tblSales[[#This Row],[Product Code]],tblProducts[Code],tblProducts[Category],"")</f>
        <v>Apparel &amp; Footwear</v>
      </c>
      <c r="I5187" s="4">
        <v>48</v>
      </c>
      <c r="J5187" s="5">
        <f>_xlfn.XLOOKUP(tblSales[[#This Row],[Product Code]],tblProducts[Code],tblProducts[Selling Price (excl. VAT)],0)</f>
        <v>350000</v>
      </c>
      <c r="K5187" s="5">
        <f>tblSales[[#This Row],[Qty]]*tblSales[[#This Row],[Unit Price]]</f>
        <v>16800000</v>
      </c>
      <c r="L5187" s="5">
        <f>ROUND(tblSales[[#This Row],[DPP (excl. VAT)]]*VATEff,0)</f>
        <v>1848000</v>
      </c>
      <c r="M5187" s="5">
        <f>tblSales[[#This Row],[DPP (excl. VAT)]]+tblSales[[#This Row],[Output VAT]]</f>
        <v>18648000</v>
      </c>
      <c r="N5187" s="5">
        <f>tblSales[[#This Row],[Qty]]*_xlfn.XLOOKUP(tblSales[[#This Row],[Product Code]],tblProducts[Code],tblProducts[Unit Cost],0)</f>
        <v>10080000</v>
      </c>
      <c r="O5187" s="4" t="s">
        <v>4867</v>
      </c>
      <c r="P5187" s="4" t="s">
        <v>4860</v>
      </c>
      <c r="Q5187" s="1" t="str">
        <f>_xlfn.XLOOKUP(tblSales[[#This Row],[Channel Code]],tblChannels[Channel Code],tblChannels[Channel Name],"")</f>
        <v>In-store</v>
      </c>
      <c r="R5187" s="1">
        <f>MONTH(tblSales[[#This Row],[Date]])</f>
        <v>11</v>
      </c>
    </row>
    <row r="5188" spans="2:18" x14ac:dyDescent="0.35">
      <c r="B5188" s="113">
        <v>46338</v>
      </c>
      <c r="C5188" s="4" t="s">
        <v>3549</v>
      </c>
      <c r="D5188" s="4" t="s">
        <v>4568</v>
      </c>
      <c r="E5188" s="1" t="str">
        <f>_xlfn.XLOOKUP(tblSales[[#This Row],[Customer ID]],tblCustomers[Customer ID],tblCustomers[Customer Name],"⚠ Unknown")</f>
        <v>Walk-in Customer</v>
      </c>
      <c r="F5188" s="4" t="s">
        <v>11</v>
      </c>
      <c r="G5188" s="1" t="str">
        <f>_xlfn.XLOOKUP(tblSales[[#This Row],[Product Code]],tblProducts[Code],tblProducts[Product / Service Name],"⚠ Unknown")</f>
        <v>Sneakers</v>
      </c>
      <c r="H5188" s="1" t="str">
        <f>_xlfn.XLOOKUP(tblSales[[#This Row],[Product Code]],tblProducts[Code],tblProducts[Category],"")</f>
        <v>Apparel &amp; Footwear</v>
      </c>
      <c r="I5188" s="4">
        <v>3</v>
      </c>
      <c r="J5188" s="5">
        <f>_xlfn.XLOOKUP(tblSales[[#This Row],[Product Code]],tblProducts[Code],tblProducts[Selling Price (excl. VAT)],0)</f>
        <v>250000</v>
      </c>
      <c r="K5188" s="5">
        <f>tblSales[[#This Row],[Qty]]*tblSales[[#This Row],[Unit Price]]</f>
        <v>750000</v>
      </c>
      <c r="L5188" s="5">
        <f>ROUND(tblSales[[#This Row],[DPP (excl. VAT)]]*VATEff,0)</f>
        <v>82500</v>
      </c>
      <c r="M5188" s="5">
        <f>tblSales[[#This Row],[DPP (excl. VAT)]]+tblSales[[#This Row],[Output VAT]]</f>
        <v>832500</v>
      </c>
      <c r="N5188" s="5">
        <f>tblSales[[#This Row],[Qty]]*_xlfn.XLOOKUP(tblSales[[#This Row],[Product Code]],tblProducts[Code],tblProducts[Unit Cost],0)</f>
        <v>465000</v>
      </c>
      <c r="O5188" s="4" t="s">
        <v>4866</v>
      </c>
      <c r="P5188" s="4" t="s">
        <v>4860</v>
      </c>
      <c r="Q5188" s="1" t="str">
        <f>_xlfn.XLOOKUP(tblSales[[#This Row],[Channel Code]],tblChannels[Channel Code],tblChannels[Channel Name],"")</f>
        <v>In-store</v>
      </c>
      <c r="R5188" s="1">
        <f>MONTH(tblSales[[#This Row],[Date]])</f>
        <v>11</v>
      </c>
    </row>
    <row r="5189" spans="2:18" x14ac:dyDescent="0.35">
      <c r="B5189" s="113">
        <v>46338</v>
      </c>
      <c r="C5189" s="4" t="s">
        <v>3549</v>
      </c>
      <c r="D5189" s="4" t="s">
        <v>4568</v>
      </c>
      <c r="E5189" s="1" t="str">
        <f>_xlfn.XLOOKUP(tblSales[[#This Row],[Customer ID]],tblCustomers[Customer ID],tblCustomers[Customer Name],"⚠ Unknown")</f>
        <v>Walk-in Customer</v>
      </c>
      <c r="F5189" s="4" t="s">
        <v>7</v>
      </c>
      <c r="G5189" s="1" t="str">
        <f>_xlfn.XLOOKUP(tblSales[[#This Row],[Product Code]],tblProducts[Code],tblProducts[Product / Service Name],"⚠ Unknown")</f>
        <v>Premium Basic T-shirt</v>
      </c>
      <c r="H5189" s="1" t="str">
        <f>_xlfn.XLOOKUP(tblSales[[#This Row],[Product Code]],tblProducts[Code],tblProducts[Category],"")</f>
        <v>Accessories &amp; Basics</v>
      </c>
      <c r="I5189" s="4">
        <v>10</v>
      </c>
      <c r="J5189" s="5">
        <f>_xlfn.XLOOKUP(tblSales[[#This Row],[Product Code]],tblProducts[Code],tblProducts[Selling Price (excl. VAT)],0)</f>
        <v>65000</v>
      </c>
      <c r="K5189" s="5">
        <f>tblSales[[#This Row],[Qty]]*tblSales[[#This Row],[Unit Price]]</f>
        <v>650000</v>
      </c>
      <c r="L5189" s="5">
        <f>ROUND(tblSales[[#This Row],[DPP (excl. VAT)]]*VATEff,0)</f>
        <v>71500</v>
      </c>
      <c r="M5189" s="5">
        <f>tblSales[[#This Row],[DPP (excl. VAT)]]+tblSales[[#This Row],[Output VAT]]</f>
        <v>721500</v>
      </c>
      <c r="N5189" s="5">
        <f>tblSales[[#This Row],[Qty]]*_xlfn.XLOOKUP(tblSales[[#This Row],[Product Code]],tblProducts[Code],tblProducts[Unit Cost],0)</f>
        <v>370000</v>
      </c>
      <c r="O5189" s="4" t="s">
        <v>4866</v>
      </c>
      <c r="P5189" s="4" t="s">
        <v>4860</v>
      </c>
      <c r="Q5189" s="1" t="str">
        <f>_xlfn.XLOOKUP(tblSales[[#This Row],[Channel Code]],tblChannels[Channel Code],tblChannels[Channel Name],"")</f>
        <v>In-store</v>
      </c>
      <c r="R5189" s="1">
        <f>MONTH(tblSales[[#This Row],[Date]])</f>
        <v>11</v>
      </c>
    </row>
    <row r="5190" spans="2:18" x14ac:dyDescent="0.35">
      <c r="B5190" s="113">
        <v>46338</v>
      </c>
      <c r="C5190" s="4" t="s">
        <v>3550</v>
      </c>
      <c r="D5190" s="4" t="s">
        <v>4568</v>
      </c>
      <c r="E5190" s="1" t="str">
        <f>_xlfn.XLOOKUP(tblSales[[#This Row],[Customer ID]],tblCustomers[Customer ID],tblCustomers[Customer Name],"⚠ Unknown")</f>
        <v>Walk-in Customer</v>
      </c>
      <c r="F5190" s="4" t="s">
        <v>15</v>
      </c>
      <c r="G5190" s="1" t="str">
        <f>_xlfn.XLOOKUP(tblSales[[#This Row],[Product Code]],tblProducts[Code],tblProducts[Product / Service Name],"⚠ Unknown")</f>
        <v>Wireless Earbuds Pro</v>
      </c>
      <c r="H5190" s="1" t="str">
        <f>_xlfn.XLOOKUP(tblSales[[#This Row],[Product Code]],tblProducts[Code],tblProducts[Category],"")</f>
        <v>Bags &amp; Gadgets</v>
      </c>
      <c r="I5190" s="4">
        <v>1</v>
      </c>
      <c r="J5190" s="5">
        <f>_xlfn.XLOOKUP(tblSales[[#This Row],[Product Code]],tblProducts[Code],tblProducts[Selling Price (excl. VAT)],0)</f>
        <v>1250000</v>
      </c>
      <c r="K5190" s="5">
        <f>tblSales[[#This Row],[Qty]]*tblSales[[#This Row],[Unit Price]]</f>
        <v>1250000</v>
      </c>
      <c r="L5190" s="5">
        <f>ROUND(tblSales[[#This Row],[DPP (excl. VAT)]]*VATEff,0)</f>
        <v>137500</v>
      </c>
      <c r="M5190" s="5">
        <f>tblSales[[#This Row],[DPP (excl. VAT)]]+tblSales[[#This Row],[Output VAT]]</f>
        <v>1387500</v>
      </c>
      <c r="N5190" s="5">
        <f>tblSales[[#This Row],[Qty]]*_xlfn.XLOOKUP(tblSales[[#This Row],[Product Code]],tblProducts[Code],tblProducts[Unit Cost],0)</f>
        <v>820000</v>
      </c>
      <c r="O5190" s="4" t="s">
        <v>4866</v>
      </c>
      <c r="P5190" s="4" t="s">
        <v>4862</v>
      </c>
      <c r="Q5190" s="1" t="str">
        <f>_xlfn.XLOOKUP(tblSales[[#This Row],[Channel Code]],tblChannels[Channel Code],tblChannels[Channel Name],"")</f>
        <v>Website &amp; Social Media</v>
      </c>
      <c r="R5190" s="1">
        <f>MONTH(tblSales[[#This Row],[Date]])</f>
        <v>11</v>
      </c>
    </row>
    <row r="5191" spans="2:18" x14ac:dyDescent="0.35">
      <c r="B5191" s="113">
        <v>46338</v>
      </c>
      <c r="C5191" s="4" t="s">
        <v>3551</v>
      </c>
      <c r="D5191" s="4" t="s">
        <v>4585</v>
      </c>
      <c r="E5191" s="1" t="str">
        <f>_xlfn.XLOOKUP(tblSales[[#This Row],[Customer ID]],tblCustomers[Customer ID],tblCustomers[Customer Name],"⚠ Unknown")</f>
        <v>CV Mitra Karya Mandiri</v>
      </c>
      <c r="F5191" s="4" t="s">
        <v>7</v>
      </c>
      <c r="G5191" s="1" t="str">
        <f>_xlfn.XLOOKUP(tblSales[[#This Row],[Product Code]],tblProducts[Code],tblProducts[Product / Service Name],"⚠ Unknown")</f>
        <v>Premium Basic T-shirt</v>
      </c>
      <c r="H5191" s="1" t="str">
        <f>_xlfn.XLOOKUP(tblSales[[#This Row],[Product Code]],tblProducts[Code],tblProducts[Category],"")</f>
        <v>Accessories &amp; Basics</v>
      </c>
      <c r="I5191" s="4">
        <v>8</v>
      </c>
      <c r="J5191" s="5">
        <f>_xlfn.XLOOKUP(tblSales[[#This Row],[Product Code]],tblProducts[Code],tblProducts[Selling Price (excl. VAT)],0)</f>
        <v>65000</v>
      </c>
      <c r="K5191" s="5">
        <f>tblSales[[#This Row],[Qty]]*tblSales[[#This Row],[Unit Price]]</f>
        <v>520000</v>
      </c>
      <c r="L5191" s="5">
        <f>ROUND(tblSales[[#This Row],[DPP (excl. VAT)]]*VATEff,0)</f>
        <v>57200</v>
      </c>
      <c r="M5191" s="5">
        <f>tblSales[[#This Row],[DPP (excl. VAT)]]+tblSales[[#This Row],[Output VAT]]</f>
        <v>577200</v>
      </c>
      <c r="N5191" s="5">
        <f>tblSales[[#This Row],[Qty]]*_xlfn.XLOOKUP(tblSales[[#This Row],[Product Code]],tblProducts[Code],tblProducts[Unit Cost],0)</f>
        <v>296000</v>
      </c>
      <c r="O5191" s="4" t="s">
        <v>4867</v>
      </c>
      <c r="P5191" s="4" t="s">
        <v>4860</v>
      </c>
      <c r="Q5191" s="1" t="str">
        <f>_xlfn.XLOOKUP(tblSales[[#This Row],[Channel Code]],tblChannels[Channel Code],tblChannels[Channel Name],"")</f>
        <v>In-store</v>
      </c>
      <c r="R5191" s="1">
        <f>MONTH(tblSales[[#This Row],[Date]])</f>
        <v>11</v>
      </c>
    </row>
    <row r="5192" spans="2:18" x14ac:dyDescent="0.35">
      <c r="B5192" s="113">
        <v>46338</v>
      </c>
      <c r="C5192" s="4" t="s">
        <v>3552</v>
      </c>
      <c r="D5192" s="4" t="s">
        <v>4627</v>
      </c>
      <c r="E5192" s="1" t="str">
        <f>_xlfn.XLOOKUP(tblSales[[#This Row],[Customer ID]],tblCustomers[Customer ID],tblCustomers[Customer Name],"⚠ Unknown")</f>
        <v>PT Kencana Wira Usaha</v>
      </c>
      <c r="F5192" s="4" t="s">
        <v>9</v>
      </c>
      <c r="G5192" s="1" t="str">
        <f>_xlfn.XLOOKUP(tblSales[[#This Row],[Product Code]],tblProducts[Code],tblProducts[Product / Service Name],"⚠ Unknown")</f>
        <v>Casual Shirt</v>
      </c>
      <c r="H5192" s="1" t="str">
        <f>_xlfn.XLOOKUP(tblSales[[#This Row],[Product Code]],tblProducts[Code],tblProducts[Category],"")</f>
        <v>Apparel &amp; Footwear</v>
      </c>
      <c r="I5192" s="4">
        <v>80</v>
      </c>
      <c r="J5192" s="5">
        <f>_xlfn.XLOOKUP(tblSales[[#This Row],[Product Code]],tblProducts[Code],tblProducts[Selling Price (excl. VAT)],0)</f>
        <v>120000</v>
      </c>
      <c r="K5192" s="5">
        <f>tblSales[[#This Row],[Qty]]*tblSales[[#This Row],[Unit Price]]</f>
        <v>9600000</v>
      </c>
      <c r="L5192" s="5">
        <f>ROUND(tblSales[[#This Row],[DPP (excl. VAT)]]*VATEff,0)</f>
        <v>1056000</v>
      </c>
      <c r="M5192" s="5">
        <f>tblSales[[#This Row],[DPP (excl. VAT)]]+tblSales[[#This Row],[Output VAT]]</f>
        <v>10656000</v>
      </c>
      <c r="N5192" s="5">
        <f>tblSales[[#This Row],[Qty]]*_xlfn.XLOOKUP(tblSales[[#This Row],[Product Code]],tblProducts[Code],tblProducts[Unit Cost],0)</f>
        <v>5760000</v>
      </c>
      <c r="O5192" s="4" t="s">
        <v>4867</v>
      </c>
      <c r="P5192" s="4" t="s">
        <v>4860</v>
      </c>
      <c r="Q5192" s="1" t="str">
        <f>_xlfn.XLOOKUP(tblSales[[#This Row],[Channel Code]],tblChannels[Channel Code],tblChannels[Channel Name],"")</f>
        <v>In-store</v>
      </c>
      <c r="R5192" s="1">
        <f>MONTH(tblSales[[#This Row],[Date]])</f>
        <v>11</v>
      </c>
    </row>
    <row r="5193" spans="2:18" x14ac:dyDescent="0.35">
      <c r="B5193" s="113">
        <v>46338</v>
      </c>
      <c r="C5193" s="4" t="s">
        <v>3553</v>
      </c>
      <c r="D5193" s="4" t="s">
        <v>4568</v>
      </c>
      <c r="E5193" s="1" t="str">
        <f>_xlfn.XLOOKUP(tblSales[[#This Row],[Customer ID]],tblCustomers[Customer ID],tblCustomers[Customer Name],"⚠ Unknown")</f>
        <v>Walk-in Customer</v>
      </c>
      <c r="F5193" s="4" t="s">
        <v>10</v>
      </c>
      <c r="G5193" s="1" t="str">
        <f>_xlfn.XLOOKUP(tblSales[[#This Row],[Product Code]],tblProducts[Code],tblProducts[Product / Service Name],"⚠ Unknown")</f>
        <v>Chino Pants</v>
      </c>
      <c r="H5193" s="1" t="str">
        <f>_xlfn.XLOOKUP(tblSales[[#This Row],[Product Code]],tblProducts[Code],tblProducts[Category],"")</f>
        <v>Apparel &amp; Footwear</v>
      </c>
      <c r="I5193" s="4">
        <v>5</v>
      </c>
      <c r="J5193" s="5">
        <f>_xlfn.XLOOKUP(tblSales[[#This Row],[Product Code]],tblProducts[Code],tblProducts[Selling Price (excl. VAT)],0)</f>
        <v>150000</v>
      </c>
      <c r="K5193" s="5">
        <f>tblSales[[#This Row],[Qty]]*tblSales[[#This Row],[Unit Price]]</f>
        <v>750000</v>
      </c>
      <c r="L5193" s="5">
        <f>ROUND(tblSales[[#This Row],[DPP (excl. VAT)]]*VATEff,0)</f>
        <v>82500</v>
      </c>
      <c r="M5193" s="5">
        <f>tblSales[[#This Row],[DPP (excl. VAT)]]+tblSales[[#This Row],[Output VAT]]</f>
        <v>832500</v>
      </c>
      <c r="N5193" s="5">
        <f>tblSales[[#This Row],[Qty]]*_xlfn.XLOOKUP(tblSales[[#This Row],[Product Code]],tblProducts[Code],tblProducts[Unit Cost],0)</f>
        <v>440000</v>
      </c>
      <c r="O5193" s="4" t="s">
        <v>4866</v>
      </c>
      <c r="P5193" s="4" t="s">
        <v>4861</v>
      </c>
      <c r="Q5193" s="1" t="str">
        <f>_xlfn.XLOOKUP(tblSales[[#This Row],[Channel Code]],tblChannels[Channel Code],tblChannels[Channel Name],"")</f>
        <v>Marketplace</v>
      </c>
      <c r="R5193" s="1">
        <f>MONTH(tblSales[[#This Row],[Date]])</f>
        <v>11</v>
      </c>
    </row>
    <row r="5194" spans="2:18" x14ac:dyDescent="0.35">
      <c r="B5194" s="113">
        <v>46338</v>
      </c>
      <c r="C5194" s="4" t="s">
        <v>3554</v>
      </c>
      <c r="D5194" s="4" t="s">
        <v>4568</v>
      </c>
      <c r="E5194" s="1" t="str">
        <f>_xlfn.XLOOKUP(tblSales[[#This Row],[Customer ID]],tblCustomers[Customer ID],tblCustomers[Customer Name],"⚠ Unknown")</f>
        <v>Walk-in Customer</v>
      </c>
      <c r="F5194" s="4" t="s">
        <v>10</v>
      </c>
      <c r="G5194" s="1" t="str">
        <f>_xlfn.XLOOKUP(tblSales[[#This Row],[Product Code]],tblProducts[Code],tblProducts[Product / Service Name],"⚠ Unknown")</f>
        <v>Chino Pants</v>
      </c>
      <c r="H5194" s="1" t="str">
        <f>_xlfn.XLOOKUP(tblSales[[#This Row],[Product Code]],tblProducts[Code],tblProducts[Category],"")</f>
        <v>Apparel &amp; Footwear</v>
      </c>
      <c r="I5194" s="4">
        <v>12</v>
      </c>
      <c r="J5194" s="5">
        <f>_xlfn.XLOOKUP(tblSales[[#This Row],[Product Code]],tblProducts[Code],tblProducts[Selling Price (excl. VAT)],0)</f>
        <v>150000</v>
      </c>
      <c r="K5194" s="5">
        <f>tblSales[[#This Row],[Qty]]*tblSales[[#This Row],[Unit Price]]</f>
        <v>1800000</v>
      </c>
      <c r="L5194" s="5">
        <f>ROUND(tblSales[[#This Row],[DPP (excl. VAT)]]*VATEff,0)</f>
        <v>198000</v>
      </c>
      <c r="M5194" s="5">
        <f>tblSales[[#This Row],[DPP (excl. VAT)]]+tblSales[[#This Row],[Output VAT]]</f>
        <v>1998000</v>
      </c>
      <c r="N5194" s="5">
        <f>tblSales[[#This Row],[Qty]]*_xlfn.XLOOKUP(tblSales[[#This Row],[Product Code]],tblProducts[Code],tblProducts[Unit Cost],0)</f>
        <v>1056000</v>
      </c>
      <c r="O5194" s="4" t="s">
        <v>4865</v>
      </c>
      <c r="P5194" s="4" t="s">
        <v>4860</v>
      </c>
      <c r="Q5194" s="1" t="str">
        <f>_xlfn.XLOOKUP(tblSales[[#This Row],[Channel Code]],tblChannels[Channel Code],tblChannels[Channel Name],"")</f>
        <v>In-store</v>
      </c>
      <c r="R5194" s="1">
        <f>MONTH(tblSales[[#This Row],[Date]])</f>
        <v>11</v>
      </c>
    </row>
    <row r="5195" spans="2:18" x14ac:dyDescent="0.35">
      <c r="B5195" s="113">
        <v>46338</v>
      </c>
      <c r="C5195" s="4" t="s">
        <v>3555</v>
      </c>
      <c r="D5195" s="4" t="s">
        <v>4568</v>
      </c>
      <c r="E5195" s="1" t="str">
        <f>_xlfn.XLOOKUP(tblSales[[#This Row],[Customer ID]],tblCustomers[Customer ID],tblCustomers[Customer Name],"⚠ Unknown")</f>
        <v>Walk-in Customer</v>
      </c>
      <c r="F5195" s="4" t="s">
        <v>12</v>
      </c>
      <c r="G5195" s="1" t="str">
        <f>_xlfn.XLOOKUP(tblSales[[#This Row],[Product Code]],tblProducts[Code],tblProducts[Product / Service Name],"⚠ Unknown")</f>
        <v>Bomber Jacket</v>
      </c>
      <c r="H5195" s="1" t="str">
        <f>_xlfn.XLOOKUP(tblSales[[#This Row],[Product Code]],tblProducts[Code],tblProducts[Category],"")</f>
        <v>Apparel &amp; Footwear</v>
      </c>
      <c r="I5195" s="4">
        <v>6</v>
      </c>
      <c r="J5195" s="5">
        <f>_xlfn.XLOOKUP(tblSales[[#This Row],[Product Code]],tblProducts[Code],tblProducts[Selling Price (excl. VAT)],0)</f>
        <v>350000</v>
      </c>
      <c r="K5195" s="5">
        <f>tblSales[[#This Row],[Qty]]*tblSales[[#This Row],[Unit Price]]</f>
        <v>2100000</v>
      </c>
      <c r="L5195" s="5">
        <f>ROUND(tblSales[[#This Row],[DPP (excl. VAT)]]*VATEff,0)</f>
        <v>231000</v>
      </c>
      <c r="M5195" s="5">
        <f>tblSales[[#This Row],[DPP (excl. VAT)]]+tblSales[[#This Row],[Output VAT]]</f>
        <v>2331000</v>
      </c>
      <c r="N5195" s="5">
        <f>tblSales[[#This Row],[Qty]]*_xlfn.XLOOKUP(tblSales[[#This Row],[Product Code]],tblProducts[Code],tblProducts[Unit Cost],0)</f>
        <v>1260000</v>
      </c>
      <c r="O5195" s="4" t="s">
        <v>4865</v>
      </c>
      <c r="P5195" s="4" t="s">
        <v>4860</v>
      </c>
      <c r="Q5195" s="1" t="str">
        <f>_xlfn.XLOOKUP(tblSales[[#This Row],[Channel Code]],tblChannels[Channel Code],tblChannels[Channel Name],"")</f>
        <v>In-store</v>
      </c>
      <c r="R5195" s="1">
        <f>MONTH(tblSales[[#This Row],[Date]])</f>
        <v>11</v>
      </c>
    </row>
    <row r="5196" spans="2:18" x14ac:dyDescent="0.35">
      <c r="B5196" s="113">
        <v>46338</v>
      </c>
      <c r="C5196" s="4" t="s">
        <v>3556</v>
      </c>
      <c r="D5196" s="4" t="s">
        <v>4568</v>
      </c>
      <c r="E5196" s="1" t="str">
        <f>_xlfn.XLOOKUP(tblSales[[#This Row],[Customer ID]],tblCustomers[Customer ID],tblCustomers[Customer Name],"⚠ Unknown")</f>
        <v>Walk-in Customer</v>
      </c>
      <c r="F5196" s="4" t="s">
        <v>10</v>
      </c>
      <c r="G5196" s="1" t="str">
        <f>_xlfn.XLOOKUP(tblSales[[#This Row],[Product Code]],tblProducts[Code],tblProducts[Product / Service Name],"⚠ Unknown")</f>
        <v>Chino Pants</v>
      </c>
      <c r="H5196" s="1" t="str">
        <f>_xlfn.XLOOKUP(tblSales[[#This Row],[Product Code]],tblProducts[Code],tblProducts[Category],"")</f>
        <v>Apparel &amp; Footwear</v>
      </c>
      <c r="I5196" s="4">
        <v>9</v>
      </c>
      <c r="J5196" s="5">
        <f>_xlfn.XLOOKUP(tblSales[[#This Row],[Product Code]],tblProducts[Code],tblProducts[Selling Price (excl. VAT)],0)</f>
        <v>150000</v>
      </c>
      <c r="K5196" s="5">
        <f>tblSales[[#This Row],[Qty]]*tblSales[[#This Row],[Unit Price]]</f>
        <v>1350000</v>
      </c>
      <c r="L5196" s="5">
        <f>ROUND(tblSales[[#This Row],[DPP (excl. VAT)]]*VATEff,0)</f>
        <v>148500</v>
      </c>
      <c r="M5196" s="5">
        <f>tblSales[[#This Row],[DPP (excl. VAT)]]+tblSales[[#This Row],[Output VAT]]</f>
        <v>1498500</v>
      </c>
      <c r="N5196" s="5">
        <f>tblSales[[#This Row],[Qty]]*_xlfn.XLOOKUP(tblSales[[#This Row],[Product Code]],tblProducts[Code],tblProducts[Unit Cost],0)</f>
        <v>792000</v>
      </c>
      <c r="O5196" s="4" t="s">
        <v>4866</v>
      </c>
      <c r="P5196" s="4" t="s">
        <v>4862</v>
      </c>
      <c r="Q5196" s="1" t="str">
        <f>_xlfn.XLOOKUP(tblSales[[#This Row],[Channel Code]],tblChannels[Channel Code],tblChannels[Channel Name],"")</f>
        <v>Website &amp; Social Media</v>
      </c>
      <c r="R5196" s="1">
        <f>MONTH(tblSales[[#This Row],[Date]])</f>
        <v>11</v>
      </c>
    </row>
    <row r="5197" spans="2:18" x14ac:dyDescent="0.35">
      <c r="B5197" s="113">
        <v>46338</v>
      </c>
      <c r="C5197" s="4" t="s">
        <v>3557</v>
      </c>
      <c r="D5197" s="4" t="s">
        <v>4568</v>
      </c>
      <c r="E5197" s="1" t="str">
        <f>_xlfn.XLOOKUP(tblSales[[#This Row],[Customer ID]],tblCustomers[Customer ID],tblCustomers[Customer Name],"⚠ Unknown")</f>
        <v>Walk-in Customer</v>
      </c>
      <c r="F5197" s="4" t="s">
        <v>8</v>
      </c>
      <c r="G5197" s="1" t="str">
        <f>_xlfn.XLOOKUP(tblSales[[#This Row],[Product Code]],tblProducts[Code],tblProducts[Product / Service Name],"⚠ Unknown")</f>
        <v>Casual Shorts</v>
      </c>
      <c r="H5197" s="1" t="str">
        <f>_xlfn.XLOOKUP(tblSales[[#This Row],[Product Code]],tblProducts[Code],tblProducts[Category],"")</f>
        <v>Accessories &amp; Basics</v>
      </c>
      <c r="I5197" s="4">
        <v>10</v>
      </c>
      <c r="J5197" s="5">
        <f>_xlfn.XLOOKUP(tblSales[[#This Row],[Product Code]],tblProducts[Code],tblProducts[Selling Price (excl. VAT)],0)</f>
        <v>85000</v>
      </c>
      <c r="K5197" s="5">
        <f>tblSales[[#This Row],[Qty]]*tblSales[[#This Row],[Unit Price]]</f>
        <v>850000</v>
      </c>
      <c r="L5197" s="5">
        <f>ROUND(tblSales[[#This Row],[DPP (excl. VAT)]]*VATEff,0)</f>
        <v>93500</v>
      </c>
      <c r="M5197" s="5">
        <f>tblSales[[#This Row],[DPP (excl. VAT)]]+tblSales[[#This Row],[Output VAT]]</f>
        <v>943500</v>
      </c>
      <c r="N5197" s="5">
        <f>tblSales[[#This Row],[Qty]]*_xlfn.XLOOKUP(tblSales[[#This Row],[Product Code]],tblProducts[Code],tblProducts[Unit Cost],0)</f>
        <v>500000</v>
      </c>
      <c r="O5197" s="4" t="s">
        <v>4865</v>
      </c>
      <c r="P5197" s="4" t="s">
        <v>4860</v>
      </c>
      <c r="Q5197" s="1" t="str">
        <f>_xlfn.XLOOKUP(tblSales[[#This Row],[Channel Code]],tblChannels[Channel Code],tblChannels[Channel Name],"")</f>
        <v>In-store</v>
      </c>
      <c r="R5197" s="1">
        <f>MONTH(tblSales[[#This Row],[Date]])</f>
        <v>11</v>
      </c>
    </row>
    <row r="5198" spans="2:18" x14ac:dyDescent="0.35">
      <c r="B5198" s="113">
        <v>46338</v>
      </c>
      <c r="C5198" s="4" t="s">
        <v>3557</v>
      </c>
      <c r="D5198" s="4" t="s">
        <v>4568</v>
      </c>
      <c r="E5198" s="1" t="str">
        <f>_xlfn.XLOOKUP(tblSales[[#This Row],[Customer ID]],tblCustomers[Customer ID],tblCustomers[Customer Name],"⚠ Unknown")</f>
        <v>Walk-in Customer</v>
      </c>
      <c r="F5198" s="4" t="s">
        <v>6</v>
      </c>
      <c r="G5198" s="1" t="str">
        <f>_xlfn.XLOOKUP(tblSales[[#This Row],[Product Code]],tblProducts[Code],tblProducts[Product / Service Name],"⚠ Unknown")</f>
        <v>Socks &amp; Accessories</v>
      </c>
      <c r="H5198" s="1" t="str">
        <f>_xlfn.XLOOKUP(tblSales[[#This Row],[Product Code]],tblProducts[Code],tblProducts[Category],"")</f>
        <v>Accessories &amp; Basics</v>
      </c>
      <c r="I5198" s="4">
        <v>9</v>
      </c>
      <c r="J5198" s="5">
        <f>_xlfn.XLOOKUP(tblSales[[#This Row],[Product Code]],tblProducts[Code],tblProducts[Selling Price (excl. VAT)],0)</f>
        <v>45000</v>
      </c>
      <c r="K5198" s="5">
        <f>tblSales[[#This Row],[Qty]]*tblSales[[#This Row],[Unit Price]]</f>
        <v>405000</v>
      </c>
      <c r="L5198" s="5">
        <f>ROUND(tblSales[[#This Row],[DPP (excl. VAT)]]*VATEff,0)</f>
        <v>44550</v>
      </c>
      <c r="M5198" s="5">
        <f>tblSales[[#This Row],[DPP (excl. VAT)]]+tblSales[[#This Row],[Output VAT]]</f>
        <v>449550</v>
      </c>
      <c r="N5198" s="5">
        <f>tblSales[[#This Row],[Qty]]*_xlfn.XLOOKUP(tblSales[[#This Row],[Product Code]],tblProducts[Code],tblProducts[Unit Cost],0)</f>
        <v>216000</v>
      </c>
      <c r="O5198" s="4" t="s">
        <v>4865</v>
      </c>
      <c r="P5198" s="4" t="s">
        <v>4860</v>
      </c>
      <c r="Q5198" s="1" t="str">
        <f>_xlfn.XLOOKUP(tblSales[[#This Row],[Channel Code]],tblChannels[Channel Code],tblChannels[Channel Name],"")</f>
        <v>In-store</v>
      </c>
      <c r="R5198" s="1">
        <f>MONTH(tblSales[[#This Row],[Date]])</f>
        <v>11</v>
      </c>
    </row>
    <row r="5199" spans="2:18" x14ac:dyDescent="0.35">
      <c r="B5199" s="113">
        <v>46338</v>
      </c>
      <c r="C5199" s="4" t="s">
        <v>3558</v>
      </c>
      <c r="D5199" s="4" t="s">
        <v>4568</v>
      </c>
      <c r="E5199" s="1" t="str">
        <f>_xlfn.XLOOKUP(tblSales[[#This Row],[Customer ID]],tblCustomers[Customer ID],tblCustomers[Customer Name],"⚠ Unknown")</f>
        <v>Walk-in Customer</v>
      </c>
      <c r="F5199" s="4" t="s">
        <v>9</v>
      </c>
      <c r="G5199" s="1" t="str">
        <f>_xlfn.XLOOKUP(tblSales[[#This Row],[Product Code]],tblProducts[Code],tblProducts[Product / Service Name],"⚠ Unknown")</f>
        <v>Casual Shirt</v>
      </c>
      <c r="H5199" s="1" t="str">
        <f>_xlfn.XLOOKUP(tblSales[[#This Row],[Product Code]],tblProducts[Code],tblProducts[Category],"")</f>
        <v>Apparel &amp; Footwear</v>
      </c>
      <c r="I5199" s="4">
        <v>2</v>
      </c>
      <c r="J5199" s="5">
        <f>_xlfn.XLOOKUP(tblSales[[#This Row],[Product Code]],tblProducts[Code],tblProducts[Selling Price (excl. VAT)],0)</f>
        <v>120000</v>
      </c>
      <c r="K5199" s="5">
        <f>tblSales[[#This Row],[Qty]]*tblSales[[#This Row],[Unit Price]]</f>
        <v>240000</v>
      </c>
      <c r="L5199" s="5">
        <f>ROUND(tblSales[[#This Row],[DPP (excl. VAT)]]*VATEff,0)</f>
        <v>26400</v>
      </c>
      <c r="M5199" s="5">
        <f>tblSales[[#This Row],[DPP (excl. VAT)]]+tblSales[[#This Row],[Output VAT]]</f>
        <v>266400</v>
      </c>
      <c r="N5199" s="5">
        <f>tblSales[[#This Row],[Qty]]*_xlfn.XLOOKUP(tblSales[[#This Row],[Product Code]],tblProducts[Code],tblProducts[Unit Cost],0)</f>
        <v>144000</v>
      </c>
      <c r="O5199" s="4" t="s">
        <v>4865</v>
      </c>
      <c r="P5199" s="4" t="s">
        <v>4860</v>
      </c>
      <c r="Q5199" s="1" t="str">
        <f>_xlfn.XLOOKUP(tblSales[[#This Row],[Channel Code]],tblChannels[Channel Code],tblChannels[Channel Name],"")</f>
        <v>In-store</v>
      </c>
      <c r="R5199" s="1">
        <f>MONTH(tblSales[[#This Row],[Date]])</f>
        <v>11</v>
      </c>
    </row>
    <row r="5200" spans="2:18" x14ac:dyDescent="0.35">
      <c r="B5200" s="113">
        <v>46339</v>
      </c>
      <c r="C5200" s="4" t="s">
        <v>3559</v>
      </c>
      <c r="D5200" s="4" t="s">
        <v>4568</v>
      </c>
      <c r="E5200" s="1" t="str">
        <f>_xlfn.XLOOKUP(tblSales[[#This Row],[Customer ID]],tblCustomers[Customer ID],tblCustomers[Customer Name],"⚠ Unknown")</f>
        <v>Walk-in Customer</v>
      </c>
      <c r="F5200" s="4" t="s">
        <v>9</v>
      </c>
      <c r="G5200" s="1" t="str">
        <f>_xlfn.XLOOKUP(tblSales[[#This Row],[Product Code]],tblProducts[Code],tblProducts[Product / Service Name],"⚠ Unknown")</f>
        <v>Casual Shirt</v>
      </c>
      <c r="H5200" s="1" t="str">
        <f>_xlfn.XLOOKUP(tblSales[[#This Row],[Product Code]],tblProducts[Code],tblProducts[Category],"")</f>
        <v>Apparel &amp; Footwear</v>
      </c>
      <c r="I5200" s="4">
        <v>9</v>
      </c>
      <c r="J5200" s="5">
        <f>_xlfn.XLOOKUP(tblSales[[#This Row],[Product Code]],tblProducts[Code],tblProducts[Selling Price (excl. VAT)],0)</f>
        <v>120000</v>
      </c>
      <c r="K5200" s="5">
        <f>tblSales[[#This Row],[Qty]]*tblSales[[#This Row],[Unit Price]]</f>
        <v>1080000</v>
      </c>
      <c r="L5200" s="5">
        <f>ROUND(tblSales[[#This Row],[DPP (excl. VAT)]]*VATEff,0)</f>
        <v>118800</v>
      </c>
      <c r="M5200" s="5">
        <f>tblSales[[#This Row],[DPP (excl. VAT)]]+tblSales[[#This Row],[Output VAT]]</f>
        <v>1198800</v>
      </c>
      <c r="N5200" s="5">
        <f>tblSales[[#This Row],[Qty]]*_xlfn.XLOOKUP(tblSales[[#This Row],[Product Code]],tblProducts[Code],tblProducts[Unit Cost],0)</f>
        <v>648000</v>
      </c>
      <c r="O5200" s="4" t="s">
        <v>4866</v>
      </c>
      <c r="P5200" s="4" t="s">
        <v>4861</v>
      </c>
      <c r="Q5200" s="1" t="str">
        <f>_xlfn.XLOOKUP(tblSales[[#This Row],[Channel Code]],tblChannels[Channel Code],tblChannels[Channel Name],"")</f>
        <v>Marketplace</v>
      </c>
      <c r="R5200" s="1">
        <f>MONTH(tblSales[[#This Row],[Date]])</f>
        <v>11</v>
      </c>
    </row>
    <row r="5201" spans="2:18" x14ac:dyDescent="0.35">
      <c r="B5201" s="113">
        <v>46339</v>
      </c>
      <c r="C5201" s="4" t="s">
        <v>3560</v>
      </c>
      <c r="D5201" s="4" t="s">
        <v>4568</v>
      </c>
      <c r="E5201" s="1" t="str">
        <f>_xlfn.XLOOKUP(tblSales[[#This Row],[Customer ID]],tblCustomers[Customer ID],tblCustomers[Customer Name],"⚠ Unknown")</f>
        <v>Walk-in Customer</v>
      </c>
      <c r="F5201" s="4" t="s">
        <v>8</v>
      </c>
      <c r="G5201" s="1" t="str">
        <f>_xlfn.XLOOKUP(tblSales[[#This Row],[Product Code]],tblProducts[Code],tblProducts[Product / Service Name],"⚠ Unknown")</f>
        <v>Casual Shorts</v>
      </c>
      <c r="H5201" s="1" t="str">
        <f>_xlfn.XLOOKUP(tblSales[[#This Row],[Product Code]],tblProducts[Code],tblProducts[Category],"")</f>
        <v>Accessories &amp; Basics</v>
      </c>
      <c r="I5201" s="4">
        <v>12</v>
      </c>
      <c r="J5201" s="5">
        <f>_xlfn.XLOOKUP(tblSales[[#This Row],[Product Code]],tblProducts[Code],tblProducts[Selling Price (excl. VAT)],0)</f>
        <v>85000</v>
      </c>
      <c r="K5201" s="5">
        <f>tblSales[[#This Row],[Qty]]*tblSales[[#This Row],[Unit Price]]</f>
        <v>1020000</v>
      </c>
      <c r="L5201" s="5">
        <f>ROUND(tblSales[[#This Row],[DPP (excl. VAT)]]*VATEff,0)</f>
        <v>112200</v>
      </c>
      <c r="M5201" s="5">
        <f>tblSales[[#This Row],[DPP (excl. VAT)]]+tblSales[[#This Row],[Output VAT]]</f>
        <v>1132200</v>
      </c>
      <c r="N5201" s="5">
        <f>tblSales[[#This Row],[Qty]]*_xlfn.XLOOKUP(tblSales[[#This Row],[Product Code]],tblProducts[Code],tblProducts[Unit Cost],0)</f>
        <v>600000</v>
      </c>
      <c r="O5201" s="4" t="s">
        <v>4866</v>
      </c>
      <c r="P5201" s="4" t="s">
        <v>4860</v>
      </c>
      <c r="Q5201" s="1" t="str">
        <f>_xlfn.XLOOKUP(tblSales[[#This Row],[Channel Code]],tblChannels[Channel Code],tblChannels[Channel Name],"")</f>
        <v>In-store</v>
      </c>
      <c r="R5201" s="1">
        <f>MONTH(tblSales[[#This Row],[Date]])</f>
        <v>11</v>
      </c>
    </row>
    <row r="5202" spans="2:18" x14ac:dyDescent="0.35">
      <c r="B5202" s="113">
        <v>46339</v>
      </c>
      <c r="C5202" s="4" t="s">
        <v>3560</v>
      </c>
      <c r="D5202" s="4" t="s">
        <v>4568</v>
      </c>
      <c r="E5202" s="1" t="str">
        <f>_xlfn.XLOOKUP(tblSales[[#This Row],[Customer ID]],tblCustomers[Customer ID],tblCustomers[Customer Name],"⚠ Unknown")</f>
        <v>Walk-in Customer</v>
      </c>
      <c r="F5202" s="4" t="s">
        <v>12</v>
      </c>
      <c r="G5202" s="1" t="str">
        <f>_xlfn.XLOOKUP(tblSales[[#This Row],[Product Code]],tblProducts[Code],tblProducts[Product / Service Name],"⚠ Unknown")</f>
        <v>Bomber Jacket</v>
      </c>
      <c r="H5202" s="1" t="str">
        <f>_xlfn.XLOOKUP(tblSales[[#This Row],[Product Code]],tblProducts[Code],tblProducts[Category],"")</f>
        <v>Apparel &amp; Footwear</v>
      </c>
      <c r="I5202" s="4">
        <v>4</v>
      </c>
      <c r="J5202" s="5">
        <f>_xlfn.XLOOKUP(tblSales[[#This Row],[Product Code]],tblProducts[Code],tblProducts[Selling Price (excl. VAT)],0)</f>
        <v>350000</v>
      </c>
      <c r="K5202" s="5">
        <f>tblSales[[#This Row],[Qty]]*tblSales[[#This Row],[Unit Price]]</f>
        <v>1400000</v>
      </c>
      <c r="L5202" s="5">
        <f>ROUND(tblSales[[#This Row],[DPP (excl. VAT)]]*VATEff,0)</f>
        <v>154000</v>
      </c>
      <c r="M5202" s="5">
        <f>tblSales[[#This Row],[DPP (excl. VAT)]]+tblSales[[#This Row],[Output VAT]]</f>
        <v>1554000</v>
      </c>
      <c r="N5202" s="5">
        <f>tblSales[[#This Row],[Qty]]*_xlfn.XLOOKUP(tblSales[[#This Row],[Product Code]],tblProducts[Code],tblProducts[Unit Cost],0)</f>
        <v>840000</v>
      </c>
      <c r="O5202" s="4" t="s">
        <v>4866</v>
      </c>
      <c r="P5202" s="4" t="s">
        <v>4860</v>
      </c>
      <c r="Q5202" s="1" t="str">
        <f>_xlfn.XLOOKUP(tblSales[[#This Row],[Channel Code]],tblChannels[Channel Code],tblChannels[Channel Name],"")</f>
        <v>In-store</v>
      </c>
      <c r="R5202" s="1">
        <f>MONTH(tblSales[[#This Row],[Date]])</f>
        <v>11</v>
      </c>
    </row>
    <row r="5203" spans="2:18" x14ac:dyDescent="0.35">
      <c r="B5203" s="113">
        <v>46339</v>
      </c>
      <c r="C5203" s="4" t="s">
        <v>3560</v>
      </c>
      <c r="D5203" s="4" t="s">
        <v>4568</v>
      </c>
      <c r="E5203" s="1" t="str">
        <f>_xlfn.XLOOKUP(tblSales[[#This Row],[Customer ID]],tblCustomers[Customer ID],tblCustomers[Customer Name],"⚠ Unknown")</f>
        <v>Walk-in Customer</v>
      </c>
      <c r="F5203" s="4" t="s">
        <v>7</v>
      </c>
      <c r="G5203" s="1" t="str">
        <f>_xlfn.XLOOKUP(tblSales[[#This Row],[Product Code]],tblProducts[Code],tblProducts[Product / Service Name],"⚠ Unknown")</f>
        <v>Premium Basic T-shirt</v>
      </c>
      <c r="H5203" s="1" t="str">
        <f>_xlfn.XLOOKUP(tblSales[[#This Row],[Product Code]],tblProducts[Code],tblProducts[Category],"")</f>
        <v>Accessories &amp; Basics</v>
      </c>
      <c r="I5203" s="4">
        <v>5</v>
      </c>
      <c r="J5203" s="5">
        <f>_xlfn.XLOOKUP(tblSales[[#This Row],[Product Code]],tblProducts[Code],tblProducts[Selling Price (excl. VAT)],0)</f>
        <v>65000</v>
      </c>
      <c r="K5203" s="5">
        <f>tblSales[[#This Row],[Qty]]*tblSales[[#This Row],[Unit Price]]</f>
        <v>325000</v>
      </c>
      <c r="L5203" s="5">
        <f>ROUND(tblSales[[#This Row],[DPP (excl. VAT)]]*VATEff,0)</f>
        <v>35750</v>
      </c>
      <c r="M5203" s="5">
        <f>tblSales[[#This Row],[DPP (excl. VAT)]]+tblSales[[#This Row],[Output VAT]]</f>
        <v>360750</v>
      </c>
      <c r="N5203" s="5">
        <f>tblSales[[#This Row],[Qty]]*_xlfn.XLOOKUP(tblSales[[#This Row],[Product Code]],tblProducts[Code],tblProducts[Unit Cost],0)</f>
        <v>185000</v>
      </c>
      <c r="O5203" s="4" t="s">
        <v>4866</v>
      </c>
      <c r="P5203" s="4" t="s">
        <v>4860</v>
      </c>
      <c r="Q5203" s="1" t="str">
        <f>_xlfn.XLOOKUP(tblSales[[#This Row],[Channel Code]],tblChannels[Channel Code],tblChannels[Channel Name],"")</f>
        <v>In-store</v>
      </c>
      <c r="R5203" s="1">
        <f>MONTH(tblSales[[#This Row],[Date]])</f>
        <v>11</v>
      </c>
    </row>
    <row r="5204" spans="2:18" x14ac:dyDescent="0.35">
      <c r="B5204" s="113">
        <v>46339</v>
      </c>
      <c r="C5204" s="4" t="s">
        <v>3561</v>
      </c>
      <c r="D5204" s="4" t="s">
        <v>4568</v>
      </c>
      <c r="E5204" s="1" t="str">
        <f>_xlfn.XLOOKUP(tblSales[[#This Row],[Customer ID]],tblCustomers[Customer ID],tblCustomers[Customer Name],"⚠ Unknown")</f>
        <v>Walk-in Customer</v>
      </c>
      <c r="F5204" s="4" t="s">
        <v>9</v>
      </c>
      <c r="G5204" s="1" t="str">
        <f>_xlfn.XLOOKUP(tblSales[[#This Row],[Product Code]],tblProducts[Code],tblProducts[Product / Service Name],"⚠ Unknown")</f>
        <v>Casual Shirt</v>
      </c>
      <c r="H5204" s="1" t="str">
        <f>_xlfn.XLOOKUP(tblSales[[#This Row],[Product Code]],tblProducts[Code],tblProducts[Category],"")</f>
        <v>Apparel &amp; Footwear</v>
      </c>
      <c r="I5204" s="4">
        <v>5</v>
      </c>
      <c r="J5204" s="5">
        <f>_xlfn.XLOOKUP(tblSales[[#This Row],[Product Code]],tblProducts[Code],tblProducts[Selling Price (excl. VAT)],0)</f>
        <v>120000</v>
      </c>
      <c r="K5204" s="5">
        <f>tblSales[[#This Row],[Qty]]*tblSales[[#This Row],[Unit Price]]</f>
        <v>600000</v>
      </c>
      <c r="L5204" s="5">
        <f>ROUND(tblSales[[#This Row],[DPP (excl. VAT)]]*VATEff,0)</f>
        <v>66000</v>
      </c>
      <c r="M5204" s="5">
        <f>tblSales[[#This Row],[DPP (excl. VAT)]]+tblSales[[#This Row],[Output VAT]]</f>
        <v>666000</v>
      </c>
      <c r="N5204" s="5">
        <f>tblSales[[#This Row],[Qty]]*_xlfn.XLOOKUP(tblSales[[#This Row],[Product Code]],tblProducts[Code],tblProducts[Unit Cost],0)</f>
        <v>360000</v>
      </c>
      <c r="O5204" s="4" t="s">
        <v>4866</v>
      </c>
      <c r="P5204" s="4" t="s">
        <v>4861</v>
      </c>
      <c r="Q5204" s="1" t="str">
        <f>_xlfn.XLOOKUP(tblSales[[#This Row],[Channel Code]],tblChannels[Channel Code],tblChannels[Channel Name],"")</f>
        <v>Marketplace</v>
      </c>
      <c r="R5204" s="1">
        <f>MONTH(tblSales[[#This Row],[Date]])</f>
        <v>11</v>
      </c>
    </row>
    <row r="5205" spans="2:18" x14ac:dyDescent="0.35">
      <c r="B5205" s="113">
        <v>46339</v>
      </c>
      <c r="C5205" s="4" t="s">
        <v>3562</v>
      </c>
      <c r="D5205" s="4" t="s">
        <v>4585</v>
      </c>
      <c r="E5205" s="1" t="str">
        <f>_xlfn.XLOOKUP(tblSales[[#This Row],[Customer ID]],tblCustomers[Customer ID],tblCustomers[Customer Name],"⚠ Unknown")</f>
        <v>CV Mitra Karya Mandiri</v>
      </c>
      <c r="F5205" s="4" t="s">
        <v>6</v>
      </c>
      <c r="G5205" s="1" t="str">
        <f>_xlfn.XLOOKUP(tblSales[[#This Row],[Product Code]],tblProducts[Code],tblProducts[Product / Service Name],"⚠ Unknown")</f>
        <v>Socks &amp; Accessories</v>
      </c>
      <c r="H5205" s="1" t="str">
        <f>_xlfn.XLOOKUP(tblSales[[#This Row],[Product Code]],tblProducts[Code],tblProducts[Category],"")</f>
        <v>Accessories &amp; Basics</v>
      </c>
      <c r="I5205" s="4">
        <v>8</v>
      </c>
      <c r="J5205" s="5">
        <f>_xlfn.XLOOKUP(tblSales[[#This Row],[Product Code]],tblProducts[Code],tblProducts[Selling Price (excl. VAT)],0)</f>
        <v>45000</v>
      </c>
      <c r="K5205" s="5">
        <f>tblSales[[#This Row],[Qty]]*tblSales[[#This Row],[Unit Price]]</f>
        <v>360000</v>
      </c>
      <c r="L5205" s="5">
        <f>ROUND(tblSales[[#This Row],[DPP (excl. VAT)]]*VATEff,0)</f>
        <v>39600</v>
      </c>
      <c r="M5205" s="5">
        <f>tblSales[[#This Row],[DPP (excl. VAT)]]+tblSales[[#This Row],[Output VAT]]</f>
        <v>399600</v>
      </c>
      <c r="N5205" s="5">
        <f>tblSales[[#This Row],[Qty]]*_xlfn.XLOOKUP(tblSales[[#This Row],[Product Code]],tblProducts[Code],tblProducts[Unit Cost],0)</f>
        <v>192000</v>
      </c>
      <c r="O5205" s="4" t="s">
        <v>4867</v>
      </c>
      <c r="P5205" s="4" t="s">
        <v>4862</v>
      </c>
      <c r="Q5205" s="1" t="str">
        <f>_xlfn.XLOOKUP(tblSales[[#This Row],[Channel Code]],tblChannels[Channel Code],tblChannels[Channel Name],"")</f>
        <v>Website &amp; Social Media</v>
      </c>
      <c r="R5205" s="1">
        <f>MONTH(tblSales[[#This Row],[Date]])</f>
        <v>11</v>
      </c>
    </row>
    <row r="5206" spans="2:18" x14ac:dyDescent="0.35">
      <c r="B5206" s="113">
        <v>46339</v>
      </c>
      <c r="C5206" s="4" t="s">
        <v>3563</v>
      </c>
      <c r="D5206" s="4" t="s">
        <v>4568</v>
      </c>
      <c r="E5206" s="1" t="str">
        <f>_xlfn.XLOOKUP(tblSales[[#This Row],[Customer ID]],tblCustomers[Customer ID],tblCustomers[Customer Name],"⚠ Unknown")</f>
        <v>Walk-in Customer</v>
      </c>
      <c r="F5206" s="4" t="s">
        <v>7</v>
      </c>
      <c r="G5206" s="1" t="str">
        <f>_xlfn.XLOOKUP(tblSales[[#This Row],[Product Code]],tblProducts[Code],tblProducts[Product / Service Name],"⚠ Unknown")</f>
        <v>Premium Basic T-shirt</v>
      </c>
      <c r="H5206" s="1" t="str">
        <f>_xlfn.XLOOKUP(tblSales[[#This Row],[Product Code]],tblProducts[Code],tblProducts[Category],"")</f>
        <v>Accessories &amp; Basics</v>
      </c>
      <c r="I5206" s="4">
        <v>6</v>
      </c>
      <c r="J5206" s="5">
        <f>_xlfn.XLOOKUP(tblSales[[#This Row],[Product Code]],tblProducts[Code],tblProducts[Selling Price (excl. VAT)],0)</f>
        <v>65000</v>
      </c>
      <c r="K5206" s="5">
        <f>tblSales[[#This Row],[Qty]]*tblSales[[#This Row],[Unit Price]]</f>
        <v>390000</v>
      </c>
      <c r="L5206" s="5">
        <f>ROUND(tblSales[[#This Row],[DPP (excl. VAT)]]*VATEff,0)</f>
        <v>42900</v>
      </c>
      <c r="M5206" s="5">
        <f>tblSales[[#This Row],[DPP (excl. VAT)]]+tblSales[[#This Row],[Output VAT]]</f>
        <v>432900</v>
      </c>
      <c r="N5206" s="5">
        <f>tblSales[[#This Row],[Qty]]*_xlfn.XLOOKUP(tblSales[[#This Row],[Product Code]],tblProducts[Code],tblProducts[Unit Cost],0)</f>
        <v>222000</v>
      </c>
      <c r="O5206" s="4" t="s">
        <v>4865</v>
      </c>
      <c r="P5206" s="4" t="s">
        <v>4860</v>
      </c>
      <c r="Q5206" s="1" t="str">
        <f>_xlfn.XLOOKUP(tblSales[[#This Row],[Channel Code]],tblChannels[Channel Code],tblChannels[Channel Name],"")</f>
        <v>In-store</v>
      </c>
      <c r="R5206" s="1">
        <f>MONTH(tblSales[[#This Row],[Date]])</f>
        <v>11</v>
      </c>
    </row>
    <row r="5207" spans="2:18" x14ac:dyDescent="0.35">
      <c r="B5207" s="113">
        <v>46339</v>
      </c>
      <c r="C5207" s="4" t="s">
        <v>3564</v>
      </c>
      <c r="D5207" s="4" t="s">
        <v>4634</v>
      </c>
      <c r="E5207" s="1" t="str">
        <f>_xlfn.XLOOKUP(tblSales[[#This Row],[Customer ID]],tblCustomers[Customer ID],tblCustomers[Customer Name],"⚠ Unknown")</f>
        <v>PT Delta Inti Selaras</v>
      </c>
      <c r="F5207" s="4" t="s">
        <v>14</v>
      </c>
      <c r="G5207" s="1" t="str">
        <f>_xlfn.XLOOKUP(tblSales[[#This Row],[Product Code]],tblProducts[Code],tblProducts[Product / Service Name],"⚠ Unknown")</f>
        <v>Smartwatch</v>
      </c>
      <c r="H5207" s="1" t="str">
        <f>_xlfn.XLOOKUP(tblSales[[#This Row],[Product Code]],tblProducts[Code],tblProducts[Category],"")</f>
        <v>Bags &amp; Gadgets</v>
      </c>
      <c r="I5207" s="4">
        <v>24</v>
      </c>
      <c r="J5207" s="5">
        <f>_xlfn.XLOOKUP(tblSales[[#This Row],[Product Code]],tblProducts[Code],tblProducts[Selling Price (excl. VAT)],0)</f>
        <v>850000</v>
      </c>
      <c r="K5207" s="5">
        <f>tblSales[[#This Row],[Qty]]*tblSales[[#This Row],[Unit Price]]</f>
        <v>20400000</v>
      </c>
      <c r="L5207" s="5">
        <f>ROUND(tblSales[[#This Row],[DPP (excl. VAT)]]*VATEff,0)</f>
        <v>2244000</v>
      </c>
      <c r="M5207" s="5">
        <f>tblSales[[#This Row],[DPP (excl. VAT)]]+tblSales[[#This Row],[Output VAT]]</f>
        <v>22644000</v>
      </c>
      <c r="N5207" s="5">
        <f>tblSales[[#This Row],[Qty]]*_xlfn.XLOOKUP(tblSales[[#This Row],[Product Code]],tblProducts[Code],tblProducts[Unit Cost],0)</f>
        <v>13440000</v>
      </c>
      <c r="O5207" s="4" t="s">
        <v>4867</v>
      </c>
      <c r="P5207" s="4" t="s">
        <v>4862</v>
      </c>
      <c r="Q5207" s="1" t="str">
        <f>_xlfn.XLOOKUP(tblSales[[#This Row],[Channel Code]],tblChannels[Channel Code],tblChannels[Channel Name],"")</f>
        <v>Website &amp; Social Media</v>
      </c>
      <c r="R5207" s="1">
        <f>MONTH(tblSales[[#This Row],[Date]])</f>
        <v>11</v>
      </c>
    </row>
    <row r="5208" spans="2:18" x14ac:dyDescent="0.35">
      <c r="B5208" s="113">
        <v>46339</v>
      </c>
      <c r="C5208" s="4" t="s">
        <v>3564</v>
      </c>
      <c r="D5208" s="4" t="s">
        <v>4634</v>
      </c>
      <c r="E5208" s="1" t="str">
        <f>_xlfn.XLOOKUP(tblSales[[#This Row],[Customer ID]],tblCustomers[Customer ID],tblCustomers[Customer Name],"⚠ Unknown")</f>
        <v>PT Delta Inti Selaras</v>
      </c>
      <c r="F5208" s="4" t="s">
        <v>11</v>
      </c>
      <c r="G5208" s="1" t="str">
        <f>_xlfn.XLOOKUP(tblSales[[#This Row],[Product Code]],tblProducts[Code],tblProducts[Product / Service Name],"⚠ Unknown")</f>
        <v>Sneakers</v>
      </c>
      <c r="H5208" s="1" t="str">
        <f>_xlfn.XLOOKUP(tblSales[[#This Row],[Product Code]],tblProducts[Code],tblProducts[Category],"")</f>
        <v>Apparel &amp; Footwear</v>
      </c>
      <c r="I5208" s="4">
        <v>8</v>
      </c>
      <c r="J5208" s="5">
        <f>_xlfn.XLOOKUP(tblSales[[#This Row],[Product Code]],tblProducts[Code],tblProducts[Selling Price (excl. VAT)],0)</f>
        <v>250000</v>
      </c>
      <c r="K5208" s="5">
        <f>tblSales[[#This Row],[Qty]]*tblSales[[#This Row],[Unit Price]]</f>
        <v>2000000</v>
      </c>
      <c r="L5208" s="5">
        <f>ROUND(tblSales[[#This Row],[DPP (excl. VAT)]]*VATEff,0)</f>
        <v>220000</v>
      </c>
      <c r="M5208" s="5">
        <f>tblSales[[#This Row],[DPP (excl. VAT)]]+tblSales[[#This Row],[Output VAT]]</f>
        <v>2220000</v>
      </c>
      <c r="N5208" s="5">
        <f>tblSales[[#This Row],[Qty]]*_xlfn.XLOOKUP(tblSales[[#This Row],[Product Code]],tblProducts[Code],tblProducts[Unit Cost],0)</f>
        <v>1240000</v>
      </c>
      <c r="O5208" s="4" t="s">
        <v>4867</v>
      </c>
      <c r="P5208" s="4" t="s">
        <v>4862</v>
      </c>
      <c r="Q5208" s="1" t="str">
        <f>_xlfn.XLOOKUP(tblSales[[#This Row],[Channel Code]],tblChannels[Channel Code],tblChannels[Channel Name],"")</f>
        <v>Website &amp; Social Media</v>
      </c>
      <c r="R5208" s="1">
        <f>MONTH(tblSales[[#This Row],[Date]])</f>
        <v>11</v>
      </c>
    </row>
    <row r="5209" spans="2:18" x14ac:dyDescent="0.35">
      <c r="B5209" s="113">
        <v>46339</v>
      </c>
      <c r="C5209" s="4" t="s">
        <v>3565</v>
      </c>
      <c r="D5209" s="4" t="s">
        <v>4648</v>
      </c>
      <c r="E5209" s="1" t="str">
        <f>_xlfn.XLOOKUP(tblSales[[#This Row],[Customer ID]],tblCustomers[Customer ID],tblCustomers[Customer Name],"⚠ Unknown")</f>
        <v>PT Lintas Benua Niaga</v>
      </c>
      <c r="F5209" s="4" t="s">
        <v>8</v>
      </c>
      <c r="G5209" s="1" t="str">
        <f>_xlfn.XLOOKUP(tblSales[[#This Row],[Product Code]],tblProducts[Code],tblProducts[Product / Service Name],"⚠ Unknown")</f>
        <v>Casual Shorts</v>
      </c>
      <c r="H5209" s="1" t="str">
        <f>_xlfn.XLOOKUP(tblSales[[#This Row],[Product Code]],tblProducts[Code],tblProducts[Category],"")</f>
        <v>Accessories &amp; Basics</v>
      </c>
      <c r="I5209" s="4">
        <v>40</v>
      </c>
      <c r="J5209" s="5">
        <f>_xlfn.XLOOKUP(tblSales[[#This Row],[Product Code]],tblProducts[Code],tblProducts[Selling Price (excl. VAT)],0)</f>
        <v>85000</v>
      </c>
      <c r="K5209" s="5">
        <f>tblSales[[#This Row],[Qty]]*tblSales[[#This Row],[Unit Price]]</f>
        <v>3400000</v>
      </c>
      <c r="L5209" s="5">
        <f>ROUND(tblSales[[#This Row],[DPP (excl. VAT)]]*VATEff,0)</f>
        <v>374000</v>
      </c>
      <c r="M5209" s="5">
        <f>tblSales[[#This Row],[DPP (excl. VAT)]]+tblSales[[#This Row],[Output VAT]]</f>
        <v>3774000</v>
      </c>
      <c r="N5209" s="5">
        <f>tblSales[[#This Row],[Qty]]*_xlfn.XLOOKUP(tblSales[[#This Row],[Product Code]],tblProducts[Code],tblProducts[Unit Cost],0)</f>
        <v>2000000</v>
      </c>
      <c r="O5209" s="4" t="s">
        <v>4867</v>
      </c>
      <c r="P5209" s="4" t="s">
        <v>4860</v>
      </c>
      <c r="Q5209" s="1" t="str">
        <f>_xlfn.XLOOKUP(tblSales[[#This Row],[Channel Code]],tblChannels[Channel Code],tblChannels[Channel Name],"")</f>
        <v>In-store</v>
      </c>
      <c r="R5209" s="1">
        <f>MONTH(tblSales[[#This Row],[Date]])</f>
        <v>11</v>
      </c>
    </row>
    <row r="5210" spans="2:18" x14ac:dyDescent="0.35">
      <c r="B5210" s="113">
        <v>46339</v>
      </c>
      <c r="C5210" s="4" t="s">
        <v>3566</v>
      </c>
      <c r="D5210" s="4" t="s">
        <v>4568</v>
      </c>
      <c r="E5210" s="1" t="str">
        <f>_xlfn.XLOOKUP(tblSales[[#This Row],[Customer ID]],tblCustomers[Customer ID],tblCustomers[Customer Name],"⚠ Unknown")</f>
        <v>Walk-in Customer</v>
      </c>
      <c r="F5210" s="4" t="s">
        <v>8</v>
      </c>
      <c r="G5210" s="1" t="str">
        <f>_xlfn.XLOOKUP(tblSales[[#This Row],[Product Code]],tblProducts[Code],tblProducts[Product / Service Name],"⚠ Unknown")</f>
        <v>Casual Shorts</v>
      </c>
      <c r="H5210" s="1" t="str">
        <f>_xlfn.XLOOKUP(tblSales[[#This Row],[Product Code]],tblProducts[Code],tblProducts[Category],"")</f>
        <v>Accessories &amp; Basics</v>
      </c>
      <c r="I5210" s="4">
        <v>11</v>
      </c>
      <c r="J5210" s="5">
        <f>_xlfn.XLOOKUP(tblSales[[#This Row],[Product Code]],tblProducts[Code],tblProducts[Selling Price (excl. VAT)],0)</f>
        <v>85000</v>
      </c>
      <c r="K5210" s="5">
        <f>tblSales[[#This Row],[Qty]]*tblSales[[#This Row],[Unit Price]]</f>
        <v>935000</v>
      </c>
      <c r="L5210" s="5">
        <f>ROUND(tblSales[[#This Row],[DPP (excl. VAT)]]*VATEff,0)</f>
        <v>102850</v>
      </c>
      <c r="M5210" s="5">
        <f>tblSales[[#This Row],[DPP (excl. VAT)]]+tblSales[[#This Row],[Output VAT]]</f>
        <v>1037850</v>
      </c>
      <c r="N5210" s="5">
        <f>tblSales[[#This Row],[Qty]]*_xlfn.XLOOKUP(tblSales[[#This Row],[Product Code]],tblProducts[Code],tblProducts[Unit Cost],0)</f>
        <v>550000</v>
      </c>
      <c r="O5210" s="4" t="s">
        <v>4866</v>
      </c>
      <c r="P5210" s="4" t="s">
        <v>4862</v>
      </c>
      <c r="Q5210" s="1" t="str">
        <f>_xlfn.XLOOKUP(tblSales[[#This Row],[Channel Code]],tblChannels[Channel Code],tblChannels[Channel Name],"")</f>
        <v>Website &amp; Social Media</v>
      </c>
      <c r="R5210" s="1">
        <f>MONTH(tblSales[[#This Row],[Date]])</f>
        <v>11</v>
      </c>
    </row>
    <row r="5211" spans="2:18" x14ac:dyDescent="0.35">
      <c r="B5211" s="113">
        <v>46339</v>
      </c>
      <c r="C5211" s="4" t="s">
        <v>3567</v>
      </c>
      <c r="D5211" s="4" t="s">
        <v>4568</v>
      </c>
      <c r="E5211" s="1" t="str">
        <f>_xlfn.XLOOKUP(tblSales[[#This Row],[Customer ID]],tblCustomers[Customer ID],tblCustomers[Customer Name],"⚠ Unknown")</f>
        <v>Walk-in Customer</v>
      </c>
      <c r="F5211" s="4" t="s">
        <v>10</v>
      </c>
      <c r="G5211" s="1" t="str">
        <f>_xlfn.XLOOKUP(tblSales[[#This Row],[Product Code]],tblProducts[Code],tblProducts[Product / Service Name],"⚠ Unknown")</f>
        <v>Chino Pants</v>
      </c>
      <c r="H5211" s="1" t="str">
        <f>_xlfn.XLOOKUP(tblSales[[#This Row],[Product Code]],tblProducts[Code],tblProducts[Category],"")</f>
        <v>Apparel &amp; Footwear</v>
      </c>
      <c r="I5211" s="4">
        <v>2</v>
      </c>
      <c r="J5211" s="5">
        <f>_xlfn.XLOOKUP(tblSales[[#This Row],[Product Code]],tblProducts[Code],tblProducts[Selling Price (excl. VAT)],0)</f>
        <v>150000</v>
      </c>
      <c r="K5211" s="5">
        <f>tblSales[[#This Row],[Qty]]*tblSales[[#This Row],[Unit Price]]</f>
        <v>300000</v>
      </c>
      <c r="L5211" s="5">
        <f>ROUND(tblSales[[#This Row],[DPP (excl. VAT)]]*VATEff,0)</f>
        <v>33000</v>
      </c>
      <c r="M5211" s="5">
        <f>tblSales[[#This Row],[DPP (excl. VAT)]]+tblSales[[#This Row],[Output VAT]]</f>
        <v>333000</v>
      </c>
      <c r="N5211" s="5">
        <f>tblSales[[#This Row],[Qty]]*_xlfn.XLOOKUP(tblSales[[#This Row],[Product Code]],tblProducts[Code],tblProducts[Unit Cost],0)</f>
        <v>176000</v>
      </c>
      <c r="O5211" s="4" t="s">
        <v>4866</v>
      </c>
      <c r="P5211" s="4" t="s">
        <v>4861</v>
      </c>
      <c r="Q5211" s="1" t="str">
        <f>_xlfn.XLOOKUP(tblSales[[#This Row],[Channel Code]],tblChannels[Channel Code],tblChannels[Channel Name],"")</f>
        <v>Marketplace</v>
      </c>
      <c r="R5211" s="1">
        <f>MONTH(tblSales[[#This Row],[Date]])</f>
        <v>11</v>
      </c>
    </row>
    <row r="5212" spans="2:18" x14ac:dyDescent="0.35">
      <c r="B5212" s="113">
        <v>46339</v>
      </c>
      <c r="C5212" s="4" t="s">
        <v>3568</v>
      </c>
      <c r="D5212" s="4" t="s">
        <v>4568</v>
      </c>
      <c r="E5212" s="1" t="str">
        <f>_xlfn.XLOOKUP(tblSales[[#This Row],[Customer ID]],tblCustomers[Customer ID],tblCustomers[Customer Name],"⚠ Unknown")</f>
        <v>Walk-in Customer</v>
      </c>
      <c r="F5212" s="4" t="s">
        <v>6</v>
      </c>
      <c r="G5212" s="1" t="str">
        <f>_xlfn.XLOOKUP(tblSales[[#This Row],[Product Code]],tblProducts[Code],tblProducts[Product / Service Name],"⚠ Unknown")</f>
        <v>Socks &amp; Accessories</v>
      </c>
      <c r="H5212" s="1" t="str">
        <f>_xlfn.XLOOKUP(tblSales[[#This Row],[Product Code]],tblProducts[Code],tblProducts[Category],"")</f>
        <v>Accessories &amp; Basics</v>
      </c>
      <c r="I5212" s="4">
        <v>12</v>
      </c>
      <c r="J5212" s="5">
        <f>_xlfn.XLOOKUP(tblSales[[#This Row],[Product Code]],tblProducts[Code],tblProducts[Selling Price (excl. VAT)],0)</f>
        <v>45000</v>
      </c>
      <c r="K5212" s="5">
        <f>tblSales[[#This Row],[Qty]]*tblSales[[#This Row],[Unit Price]]</f>
        <v>540000</v>
      </c>
      <c r="L5212" s="5">
        <f>ROUND(tblSales[[#This Row],[DPP (excl. VAT)]]*VATEff,0)</f>
        <v>59400</v>
      </c>
      <c r="M5212" s="5">
        <f>tblSales[[#This Row],[DPP (excl. VAT)]]+tblSales[[#This Row],[Output VAT]]</f>
        <v>599400</v>
      </c>
      <c r="N5212" s="5">
        <f>tblSales[[#This Row],[Qty]]*_xlfn.XLOOKUP(tblSales[[#This Row],[Product Code]],tblProducts[Code],tblProducts[Unit Cost],0)</f>
        <v>288000</v>
      </c>
      <c r="O5212" s="4" t="s">
        <v>4866</v>
      </c>
      <c r="P5212" s="4" t="s">
        <v>4860</v>
      </c>
      <c r="Q5212" s="1" t="str">
        <f>_xlfn.XLOOKUP(tblSales[[#This Row],[Channel Code]],tblChannels[Channel Code],tblChannels[Channel Name],"")</f>
        <v>In-store</v>
      </c>
      <c r="R5212" s="1">
        <f>MONTH(tblSales[[#This Row],[Date]])</f>
        <v>11</v>
      </c>
    </row>
    <row r="5213" spans="2:18" x14ac:dyDescent="0.35">
      <c r="B5213" s="113">
        <v>46339</v>
      </c>
      <c r="C5213" s="4" t="s">
        <v>3568</v>
      </c>
      <c r="D5213" s="4" t="s">
        <v>4568</v>
      </c>
      <c r="E5213" s="1" t="str">
        <f>_xlfn.XLOOKUP(tblSales[[#This Row],[Customer ID]],tblCustomers[Customer ID],tblCustomers[Customer Name],"⚠ Unknown")</f>
        <v>Walk-in Customer</v>
      </c>
      <c r="F5213" s="4" t="s">
        <v>12</v>
      </c>
      <c r="G5213" s="1" t="str">
        <f>_xlfn.XLOOKUP(tblSales[[#This Row],[Product Code]],tblProducts[Code],tblProducts[Product / Service Name],"⚠ Unknown")</f>
        <v>Bomber Jacket</v>
      </c>
      <c r="H5213" s="1" t="str">
        <f>_xlfn.XLOOKUP(tblSales[[#This Row],[Product Code]],tblProducts[Code],tblProducts[Category],"")</f>
        <v>Apparel &amp; Footwear</v>
      </c>
      <c r="I5213" s="4">
        <v>6</v>
      </c>
      <c r="J5213" s="5">
        <f>_xlfn.XLOOKUP(tblSales[[#This Row],[Product Code]],tblProducts[Code],tblProducts[Selling Price (excl. VAT)],0)</f>
        <v>350000</v>
      </c>
      <c r="K5213" s="5">
        <f>tblSales[[#This Row],[Qty]]*tblSales[[#This Row],[Unit Price]]</f>
        <v>2100000</v>
      </c>
      <c r="L5213" s="5">
        <f>ROUND(tblSales[[#This Row],[DPP (excl. VAT)]]*VATEff,0)</f>
        <v>231000</v>
      </c>
      <c r="M5213" s="5">
        <f>tblSales[[#This Row],[DPP (excl. VAT)]]+tblSales[[#This Row],[Output VAT]]</f>
        <v>2331000</v>
      </c>
      <c r="N5213" s="5">
        <f>tblSales[[#This Row],[Qty]]*_xlfn.XLOOKUP(tblSales[[#This Row],[Product Code]],tblProducts[Code],tblProducts[Unit Cost],0)</f>
        <v>1260000</v>
      </c>
      <c r="O5213" s="4" t="s">
        <v>4866</v>
      </c>
      <c r="P5213" s="4" t="s">
        <v>4860</v>
      </c>
      <c r="Q5213" s="1" t="str">
        <f>_xlfn.XLOOKUP(tblSales[[#This Row],[Channel Code]],tblChannels[Channel Code],tblChannels[Channel Name],"")</f>
        <v>In-store</v>
      </c>
      <c r="R5213" s="1">
        <f>MONTH(tblSales[[#This Row],[Date]])</f>
        <v>11</v>
      </c>
    </row>
    <row r="5214" spans="2:18" x14ac:dyDescent="0.35">
      <c r="B5214" s="113">
        <v>46339</v>
      </c>
      <c r="C5214" s="4" t="s">
        <v>3568</v>
      </c>
      <c r="D5214" s="4" t="s">
        <v>4568</v>
      </c>
      <c r="E5214" s="1" t="str">
        <f>_xlfn.XLOOKUP(tblSales[[#This Row],[Customer ID]],tblCustomers[Customer ID],tblCustomers[Customer Name],"⚠ Unknown")</f>
        <v>Walk-in Customer</v>
      </c>
      <c r="F5214" s="4" t="s">
        <v>10</v>
      </c>
      <c r="G5214" s="1" t="str">
        <f>_xlfn.XLOOKUP(tblSales[[#This Row],[Product Code]],tblProducts[Code],tblProducts[Product / Service Name],"⚠ Unknown")</f>
        <v>Chino Pants</v>
      </c>
      <c r="H5214" s="1" t="str">
        <f>_xlfn.XLOOKUP(tblSales[[#This Row],[Product Code]],tblProducts[Code],tblProducts[Category],"")</f>
        <v>Apparel &amp; Footwear</v>
      </c>
      <c r="I5214" s="4">
        <v>2</v>
      </c>
      <c r="J5214" s="5">
        <f>_xlfn.XLOOKUP(tblSales[[#This Row],[Product Code]],tblProducts[Code],tblProducts[Selling Price (excl. VAT)],0)</f>
        <v>150000</v>
      </c>
      <c r="K5214" s="5">
        <f>tblSales[[#This Row],[Qty]]*tblSales[[#This Row],[Unit Price]]</f>
        <v>300000</v>
      </c>
      <c r="L5214" s="5">
        <f>ROUND(tblSales[[#This Row],[DPP (excl. VAT)]]*VATEff,0)</f>
        <v>33000</v>
      </c>
      <c r="M5214" s="5">
        <f>tblSales[[#This Row],[DPP (excl. VAT)]]+tblSales[[#This Row],[Output VAT]]</f>
        <v>333000</v>
      </c>
      <c r="N5214" s="5">
        <f>tblSales[[#This Row],[Qty]]*_xlfn.XLOOKUP(tblSales[[#This Row],[Product Code]],tblProducts[Code],tblProducts[Unit Cost],0)</f>
        <v>176000</v>
      </c>
      <c r="O5214" s="4" t="s">
        <v>4866</v>
      </c>
      <c r="P5214" s="4" t="s">
        <v>4860</v>
      </c>
      <c r="Q5214" s="1" t="str">
        <f>_xlfn.XLOOKUP(tblSales[[#This Row],[Channel Code]],tblChannels[Channel Code],tblChannels[Channel Name],"")</f>
        <v>In-store</v>
      </c>
      <c r="R5214" s="1">
        <f>MONTH(tblSales[[#This Row],[Date]])</f>
        <v>11</v>
      </c>
    </row>
    <row r="5215" spans="2:18" x14ac:dyDescent="0.35">
      <c r="B5215" s="113">
        <v>46339</v>
      </c>
      <c r="C5215" s="4" t="s">
        <v>3569</v>
      </c>
      <c r="D5215" s="4" t="s">
        <v>4568</v>
      </c>
      <c r="E5215" s="1" t="str">
        <f>_xlfn.XLOOKUP(tblSales[[#This Row],[Customer ID]],tblCustomers[Customer ID],tblCustomers[Customer Name],"⚠ Unknown")</f>
        <v>Walk-in Customer</v>
      </c>
      <c r="F5215" s="4" t="s">
        <v>14</v>
      </c>
      <c r="G5215" s="1" t="str">
        <f>_xlfn.XLOOKUP(tblSales[[#This Row],[Product Code]],tblProducts[Code],tblProducts[Product / Service Name],"⚠ Unknown")</f>
        <v>Smartwatch</v>
      </c>
      <c r="H5215" s="1" t="str">
        <f>_xlfn.XLOOKUP(tblSales[[#This Row],[Product Code]],tblProducts[Code],tblProducts[Category],"")</f>
        <v>Bags &amp; Gadgets</v>
      </c>
      <c r="I5215" s="4">
        <v>3</v>
      </c>
      <c r="J5215" s="5">
        <f>_xlfn.XLOOKUP(tblSales[[#This Row],[Product Code]],tblProducts[Code],tblProducts[Selling Price (excl. VAT)],0)</f>
        <v>850000</v>
      </c>
      <c r="K5215" s="5">
        <f>tblSales[[#This Row],[Qty]]*tblSales[[#This Row],[Unit Price]]</f>
        <v>2550000</v>
      </c>
      <c r="L5215" s="5">
        <f>ROUND(tblSales[[#This Row],[DPP (excl. VAT)]]*VATEff,0)</f>
        <v>280500</v>
      </c>
      <c r="M5215" s="5">
        <f>tblSales[[#This Row],[DPP (excl. VAT)]]+tblSales[[#This Row],[Output VAT]]</f>
        <v>2830500</v>
      </c>
      <c r="N5215" s="5">
        <f>tblSales[[#This Row],[Qty]]*_xlfn.XLOOKUP(tblSales[[#This Row],[Product Code]],tblProducts[Code],tblProducts[Unit Cost],0)</f>
        <v>1680000</v>
      </c>
      <c r="O5215" s="4" t="s">
        <v>4866</v>
      </c>
      <c r="P5215" s="4" t="s">
        <v>4860</v>
      </c>
      <c r="Q5215" s="1" t="str">
        <f>_xlfn.XLOOKUP(tblSales[[#This Row],[Channel Code]],tblChannels[Channel Code],tblChannels[Channel Name],"")</f>
        <v>In-store</v>
      </c>
      <c r="R5215" s="1">
        <f>MONTH(tblSales[[#This Row],[Date]])</f>
        <v>11</v>
      </c>
    </row>
    <row r="5216" spans="2:18" x14ac:dyDescent="0.35">
      <c r="B5216" s="113">
        <v>46339</v>
      </c>
      <c r="C5216" s="4" t="s">
        <v>3570</v>
      </c>
      <c r="D5216" s="4" t="s">
        <v>4568</v>
      </c>
      <c r="E5216" s="1" t="str">
        <f>_xlfn.XLOOKUP(tblSales[[#This Row],[Customer ID]],tblCustomers[Customer ID],tblCustomers[Customer Name],"⚠ Unknown")</f>
        <v>Walk-in Customer</v>
      </c>
      <c r="F5216" s="4" t="s">
        <v>6</v>
      </c>
      <c r="G5216" s="1" t="str">
        <f>_xlfn.XLOOKUP(tblSales[[#This Row],[Product Code]],tblProducts[Code],tblProducts[Product / Service Name],"⚠ Unknown")</f>
        <v>Socks &amp; Accessories</v>
      </c>
      <c r="H5216" s="1" t="str">
        <f>_xlfn.XLOOKUP(tblSales[[#This Row],[Product Code]],tblProducts[Code],tblProducts[Category],"")</f>
        <v>Accessories &amp; Basics</v>
      </c>
      <c r="I5216" s="4">
        <v>5</v>
      </c>
      <c r="J5216" s="5">
        <f>_xlfn.XLOOKUP(tblSales[[#This Row],[Product Code]],tblProducts[Code],tblProducts[Selling Price (excl. VAT)],0)</f>
        <v>45000</v>
      </c>
      <c r="K5216" s="5">
        <f>tblSales[[#This Row],[Qty]]*tblSales[[#This Row],[Unit Price]]</f>
        <v>225000</v>
      </c>
      <c r="L5216" s="5">
        <f>ROUND(tblSales[[#This Row],[DPP (excl. VAT)]]*VATEff,0)</f>
        <v>24750</v>
      </c>
      <c r="M5216" s="5">
        <f>tblSales[[#This Row],[DPP (excl. VAT)]]+tblSales[[#This Row],[Output VAT]]</f>
        <v>249750</v>
      </c>
      <c r="N5216" s="5">
        <f>tblSales[[#This Row],[Qty]]*_xlfn.XLOOKUP(tblSales[[#This Row],[Product Code]],tblProducts[Code],tblProducts[Unit Cost],0)</f>
        <v>120000</v>
      </c>
      <c r="O5216" s="4" t="s">
        <v>4865</v>
      </c>
      <c r="P5216" s="4" t="s">
        <v>4860</v>
      </c>
      <c r="Q5216" s="1" t="str">
        <f>_xlfn.XLOOKUP(tblSales[[#This Row],[Channel Code]],tblChannels[Channel Code],tblChannels[Channel Name],"")</f>
        <v>In-store</v>
      </c>
      <c r="R5216" s="1">
        <f>MONTH(tblSales[[#This Row],[Date]])</f>
        <v>11</v>
      </c>
    </row>
    <row r="5217" spans="2:18" x14ac:dyDescent="0.35">
      <c r="B5217" s="113">
        <v>46339</v>
      </c>
      <c r="C5217" s="4" t="s">
        <v>3570</v>
      </c>
      <c r="D5217" s="4" t="s">
        <v>4568</v>
      </c>
      <c r="E5217" s="1" t="str">
        <f>_xlfn.XLOOKUP(tblSales[[#This Row],[Customer ID]],tblCustomers[Customer ID],tblCustomers[Customer Name],"⚠ Unknown")</f>
        <v>Walk-in Customer</v>
      </c>
      <c r="F5217" s="4" t="s">
        <v>10</v>
      </c>
      <c r="G5217" s="1" t="str">
        <f>_xlfn.XLOOKUP(tblSales[[#This Row],[Product Code]],tblProducts[Code],tblProducts[Product / Service Name],"⚠ Unknown")</f>
        <v>Chino Pants</v>
      </c>
      <c r="H5217" s="1" t="str">
        <f>_xlfn.XLOOKUP(tblSales[[#This Row],[Product Code]],tblProducts[Code],tblProducts[Category],"")</f>
        <v>Apparel &amp; Footwear</v>
      </c>
      <c r="I5217" s="4">
        <v>5</v>
      </c>
      <c r="J5217" s="5">
        <f>_xlfn.XLOOKUP(tblSales[[#This Row],[Product Code]],tblProducts[Code],tblProducts[Selling Price (excl. VAT)],0)</f>
        <v>150000</v>
      </c>
      <c r="K5217" s="5">
        <f>tblSales[[#This Row],[Qty]]*tblSales[[#This Row],[Unit Price]]</f>
        <v>750000</v>
      </c>
      <c r="L5217" s="5">
        <f>ROUND(tblSales[[#This Row],[DPP (excl. VAT)]]*VATEff,0)</f>
        <v>82500</v>
      </c>
      <c r="M5217" s="5">
        <f>tblSales[[#This Row],[DPP (excl. VAT)]]+tblSales[[#This Row],[Output VAT]]</f>
        <v>832500</v>
      </c>
      <c r="N5217" s="5">
        <f>tblSales[[#This Row],[Qty]]*_xlfn.XLOOKUP(tblSales[[#This Row],[Product Code]],tblProducts[Code],tblProducts[Unit Cost],0)</f>
        <v>440000</v>
      </c>
      <c r="O5217" s="4" t="s">
        <v>4865</v>
      </c>
      <c r="P5217" s="4" t="s">
        <v>4860</v>
      </c>
      <c r="Q5217" s="1" t="str">
        <f>_xlfn.XLOOKUP(tblSales[[#This Row],[Channel Code]],tblChannels[Channel Code],tblChannels[Channel Name],"")</f>
        <v>In-store</v>
      </c>
      <c r="R5217" s="1">
        <f>MONTH(tblSales[[#This Row],[Date]])</f>
        <v>11</v>
      </c>
    </row>
    <row r="5218" spans="2:18" x14ac:dyDescent="0.35">
      <c r="B5218" s="113">
        <v>46340</v>
      </c>
      <c r="C5218" s="4" t="s">
        <v>3571</v>
      </c>
      <c r="D5218" s="4" t="s">
        <v>4568</v>
      </c>
      <c r="E5218" s="1" t="str">
        <f>_xlfn.XLOOKUP(tblSales[[#This Row],[Customer ID]],tblCustomers[Customer ID],tblCustomers[Customer Name],"⚠ Unknown")</f>
        <v>Walk-in Customer</v>
      </c>
      <c r="F5218" s="4" t="s">
        <v>10</v>
      </c>
      <c r="G5218" s="1" t="str">
        <f>_xlfn.XLOOKUP(tblSales[[#This Row],[Product Code]],tblProducts[Code],tblProducts[Product / Service Name],"⚠ Unknown")</f>
        <v>Chino Pants</v>
      </c>
      <c r="H5218" s="1" t="str">
        <f>_xlfn.XLOOKUP(tblSales[[#This Row],[Product Code]],tblProducts[Code],tblProducts[Category],"")</f>
        <v>Apparel &amp; Footwear</v>
      </c>
      <c r="I5218" s="4">
        <v>1</v>
      </c>
      <c r="J5218" s="5">
        <f>_xlfn.XLOOKUP(tblSales[[#This Row],[Product Code]],tblProducts[Code],tblProducts[Selling Price (excl. VAT)],0)</f>
        <v>150000</v>
      </c>
      <c r="K5218" s="5">
        <f>tblSales[[#This Row],[Qty]]*tblSales[[#This Row],[Unit Price]]</f>
        <v>150000</v>
      </c>
      <c r="L5218" s="5">
        <f>ROUND(tblSales[[#This Row],[DPP (excl. VAT)]]*VATEff,0)</f>
        <v>16500</v>
      </c>
      <c r="M5218" s="5">
        <f>tblSales[[#This Row],[DPP (excl. VAT)]]+tblSales[[#This Row],[Output VAT]]</f>
        <v>166500</v>
      </c>
      <c r="N5218" s="5">
        <f>tblSales[[#This Row],[Qty]]*_xlfn.XLOOKUP(tblSales[[#This Row],[Product Code]],tblProducts[Code],tblProducts[Unit Cost],0)</f>
        <v>88000</v>
      </c>
      <c r="O5218" s="4" t="s">
        <v>4866</v>
      </c>
      <c r="P5218" s="4" t="s">
        <v>4862</v>
      </c>
      <c r="Q5218" s="1" t="str">
        <f>_xlfn.XLOOKUP(tblSales[[#This Row],[Channel Code]],tblChannels[Channel Code],tblChannels[Channel Name],"")</f>
        <v>Website &amp; Social Media</v>
      </c>
      <c r="R5218" s="1">
        <f>MONTH(tblSales[[#This Row],[Date]])</f>
        <v>11</v>
      </c>
    </row>
    <row r="5219" spans="2:18" x14ac:dyDescent="0.35">
      <c r="B5219" s="113">
        <v>46340</v>
      </c>
      <c r="C5219" s="4" t="s">
        <v>3572</v>
      </c>
      <c r="D5219" s="4" t="s">
        <v>4572</v>
      </c>
      <c r="E5219" s="1" t="str">
        <f>_xlfn.XLOOKUP(tblSales[[#This Row],[Customer ID]],tblCustomers[Customer ID],tblCustomers[Customer Name],"⚠ Unknown")</f>
        <v>PT Cahaya Abadi Makmur</v>
      </c>
      <c r="F5219" s="4" t="s">
        <v>13</v>
      </c>
      <c r="G5219" s="1" t="str">
        <f>_xlfn.XLOOKUP(tblSales[[#This Row],[Product Code]],tblProducts[Code],tblProducts[Product / Service Name],"⚠ Unknown")</f>
        <v>Backpack</v>
      </c>
      <c r="H5219" s="1" t="str">
        <f>_xlfn.XLOOKUP(tblSales[[#This Row],[Product Code]],tblProducts[Code],tblProducts[Category],"")</f>
        <v>Bags &amp; Gadgets</v>
      </c>
      <c r="I5219" s="4">
        <v>48</v>
      </c>
      <c r="J5219" s="5">
        <f>_xlfn.XLOOKUP(tblSales[[#This Row],[Product Code]],tblProducts[Code],tblProducts[Selling Price (excl. VAT)],0)</f>
        <v>500000</v>
      </c>
      <c r="K5219" s="5">
        <f>tblSales[[#This Row],[Qty]]*tblSales[[#This Row],[Unit Price]]</f>
        <v>24000000</v>
      </c>
      <c r="L5219" s="5">
        <f>ROUND(tblSales[[#This Row],[DPP (excl. VAT)]]*VATEff,0)</f>
        <v>2640000</v>
      </c>
      <c r="M5219" s="5">
        <f>tblSales[[#This Row],[DPP (excl. VAT)]]+tblSales[[#This Row],[Output VAT]]</f>
        <v>26640000</v>
      </c>
      <c r="N5219" s="5">
        <f>tblSales[[#This Row],[Qty]]*_xlfn.XLOOKUP(tblSales[[#This Row],[Product Code]],tblProducts[Code],tblProducts[Unit Cost],0)</f>
        <v>13920000</v>
      </c>
      <c r="O5219" s="4" t="s">
        <v>4867</v>
      </c>
      <c r="P5219" s="4" t="s">
        <v>4860</v>
      </c>
      <c r="Q5219" s="1" t="str">
        <f>_xlfn.XLOOKUP(tblSales[[#This Row],[Channel Code]],tblChannels[Channel Code],tblChannels[Channel Name],"")</f>
        <v>In-store</v>
      </c>
      <c r="R5219" s="1">
        <f>MONTH(tblSales[[#This Row],[Date]])</f>
        <v>11</v>
      </c>
    </row>
    <row r="5220" spans="2:18" x14ac:dyDescent="0.35">
      <c r="B5220" s="113">
        <v>46340</v>
      </c>
      <c r="C5220" s="4" t="s">
        <v>3573</v>
      </c>
      <c r="D5220" s="4" t="s">
        <v>4568</v>
      </c>
      <c r="E5220" s="1" t="str">
        <f>_xlfn.XLOOKUP(tblSales[[#This Row],[Customer ID]],tblCustomers[Customer ID],tblCustomers[Customer Name],"⚠ Unknown")</f>
        <v>Walk-in Customer</v>
      </c>
      <c r="F5220" s="4" t="s">
        <v>6</v>
      </c>
      <c r="G5220" s="1" t="str">
        <f>_xlfn.XLOOKUP(tblSales[[#This Row],[Product Code]],tblProducts[Code],tblProducts[Product / Service Name],"⚠ Unknown")</f>
        <v>Socks &amp; Accessories</v>
      </c>
      <c r="H5220" s="1" t="str">
        <f>_xlfn.XLOOKUP(tblSales[[#This Row],[Product Code]],tblProducts[Code],tblProducts[Category],"")</f>
        <v>Accessories &amp; Basics</v>
      </c>
      <c r="I5220" s="4">
        <v>5</v>
      </c>
      <c r="J5220" s="5">
        <f>_xlfn.XLOOKUP(tblSales[[#This Row],[Product Code]],tblProducts[Code],tblProducts[Selling Price (excl. VAT)],0)</f>
        <v>45000</v>
      </c>
      <c r="K5220" s="5">
        <f>tblSales[[#This Row],[Qty]]*tblSales[[#This Row],[Unit Price]]</f>
        <v>225000</v>
      </c>
      <c r="L5220" s="5">
        <f>ROUND(tblSales[[#This Row],[DPP (excl. VAT)]]*VATEff,0)</f>
        <v>24750</v>
      </c>
      <c r="M5220" s="5">
        <f>tblSales[[#This Row],[DPP (excl. VAT)]]+tblSales[[#This Row],[Output VAT]]</f>
        <v>249750</v>
      </c>
      <c r="N5220" s="5">
        <f>tblSales[[#This Row],[Qty]]*_xlfn.XLOOKUP(tblSales[[#This Row],[Product Code]],tblProducts[Code],tblProducts[Unit Cost],0)</f>
        <v>120000</v>
      </c>
      <c r="O5220" s="4" t="s">
        <v>4866</v>
      </c>
      <c r="P5220" s="4" t="s">
        <v>4862</v>
      </c>
      <c r="Q5220" s="1" t="str">
        <f>_xlfn.XLOOKUP(tblSales[[#This Row],[Channel Code]],tblChannels[Channel Code],tblChannels[Channel Name],"")</f>
        <v>Website &amp; Social Media</v>
      </c>
      <c r="R5220" s="1">
        <f>MONTH(tblSales[[#This Row],[Date]])</f>
        <v>11</v>
      </c>
    </row>
    <row r="5221" spans="2:18" x14ac:dyDescent="0.35">
      <c r="B5221" s="113">
        <v>46340</v>
      </c>
      <c r="C5221" s="4" t="s">
        <v>3574</v>
      </c>
      <c r="D5221" s="4" t="s">
        <v>4568</v>
      </c>
      <c r="E5221" s="1" t="str">
        <f>_xlfn.XLOOKUP(tblSales[[#This Row],[Customer ID]],tblCustomers[Customer ID],tblCustomers[Customer Name],"⚠ Unknown")</f>
        <v>Walk-in Customer</v>
      </c>
      <c r="F5221" s="4" t="s">
        <v>15</v>
      </c>
      <c r="G5221" s="1" t="str">
        <f>_xlfn.XLOOKUP(tblSales[[#This Row],[Product Code]],tblProducts[Code],tblProducts[Product / Service Name],"⚠ Unknown")</f>
        <v>Wireless Earbuds Pro</v>
      </c>
      <c r="H5221" s="1" t="str">
        <f>_xlfn.XLOOKUP(tblSales[[#This Row],[Product Code]],tblProducts[Code],tblProducts[Category],"")</f>
        <v>Bags &amp; Gadgets</v>
      </c>
      <c r="I5221" s="4">
        <v>1</v>
      </c>
      <c r="J5221" s="5">
        <f>_xlfn.XLOOKUP(tblSales[[#This Row],[Product Code]],tblProducts[Code],tblProducts[Selling Price (excl. VAT)],0)</f>
        <v>1250000</v>
      </c>
      <c r="K5221" s="5">
        <f>tblSales[[#This Row],[Qty]]*tblSales[[#This Row],[Unit Price]]</f>
        <v>1250000</v>
      </c>
      <c r="L5221" s="5">
        <f>ROUND(tblSales[[#This Row],[DPP (excl. VAT)]]*VATEff,0)</f>
        <v>137500</v>
      </c>
      <c r="M5221" s="5">
        <f>tblSales[[#This Row],[DPP (excl. VAT)]]+tblSales[[#This Row],[Output VAT]]</f>
        <v>1387500</v>
      </c>
      <c r="N5221" s="5">
        <f>tblSales[[#This Row],[Qty]]*_xlfn.XLOOKUP(tblSales[[#This Row],[Product Code]],tblProducts[Code],tblProducts[Unit Cost],0)</f>
        <v>820000</v>
      </c>
      <c r="O5221" s="4" t="s">
        <v>4865</v>
      </c>
      <c r="P5221" s="4" t="s">
        <v>4860</v>
      </c>
      <c r="Q5221" s="1" t="str">
        <f>_xlfn.XLOOKUP(tblSales[[#This Row],[Channel Code]],tblChannels[Channel Code],tblChannels[Channel Name],"")</f>
        <v>In-store</v>
      </c>
      <c r="R5221" s="1">
        <f>MONTH(tblSales[[#This Row],[Date]])</f>
        <v>11</v>
      </c>
    </row>
    <row r="5222" spans="2:18" x14ac:dyDescent="0.35">
      <c r="B5222" s="113">
        <v>46340</v>
      </c>
      <c r="C5222" s="4" t="s">
        <v>3574</v>
      </c>
      <c r="D5222" s="4" t="s">
        <v>4568</v>
      </c>
      <c r="E5222" s="1" t="str">
        <f>_xlfn.XLOOKUP(tblSales[[#This Row],[Customer ID]],tblCustomers[Customer ID],tblCustomers[Customer Name],"⚠ Unknown")</f>
        <v>Walk-in Customer</v>
      </c>
      <c r="F5222" s="4" t="s">
        <v>7</v>
      </c>
      <c r="G5222" s="1" t="str">
        <f>_xlfn.XLOOKUP(tblSales[[#This Row],[Product Code]],tblProducts[Code],tblProducts[Product / Service Name],"⚠ Unknown")</f>
        <v>Premium Basic T-shirt</v>
      </c>
      <c r="H5222" s="1" t="str">
        <f>_xlfn.XLOOKUP(tblSales[[#This Row],[Product Code]],tblProducts[Code],tblProducts[Category],"")</f>
        <v>Accessories &amp; Basics</v>
      </c>
      <c r="I5222" s="4">
        <v>11</v>
      </c>
      <c r="J5222" s="5">
        <f>_xlfn.XLOOKUP(tblSales[[#This Row],[Product Code]],tblProducts[Code],tblProducts[Selling Price (excl. VAT)],0)</f>
        <v>65000</v>
      </c>
      <c r="K5222" s="5">
        <f>tblSales[[#This Row],[Qty]]*tblSales[[#This Row],[Unit Price]]</f>
        <v>715000</v>
      </c>
      <c r="L5222" s="5">
        <f>ROUND(tblSales[[#This Row],[DPP (excl. VAT)]]*VATEff,0)</f>
        <v>78650</v>
      </c>
      <c r="M5222" s="5">
        <f>tblSales[[#This Row],[DPP (excl. VAT)]]+tblSales[[#This Row],[Output VAT]]</f>
        <v>793650</v>
      </c>
      <c r="N5222" s="5">
        <f>tblSales[[#This Row],[Qty]]*_xlfn.XLOOKUP(tblSales[[#This Row],[Product Code]],tblProducts[Code],tblProducts[Unit Cost],0)</f>
        <v>407000</v>
      </c>
      <c r="O5222" s="4" t="s">
        <v>4865</v>
      </c>
      <c r="P5222" s="4" t="s">
        <v>4860</v>
      </c>
      <c r="Q5222" s="1" t="str">
        <f>_xlfn.XLOOKUP(tblSales[[#This Row],[Channel Code]],tblChannels[Channel Code],tblChannels[Channel Name],"")</f>
        <v>In-store</v>
      </c>
      <c r="R5222" s="1">
        <f>MONTH(tblSales[[#This Row],[Date]])</f>
        <v>11</v>
      </c>
    </row>
    <row r="5223" spans="2:18" x14ac:dyDescent="0.35">
      <c r="B5223" s="113">
        <v>46340</v>
      </c>
      <c r="C5223" s="4" t="s">
        <v>3575</v>
      </c>
      <c r="D5223" s="4" t="s">
        <v>4613</v>
      </c>
      <c r="E5223" s="1" t="str">
        <f>_xlfn.XLOOKUP(tblSales[[#This Row],[Customer ID]],tblCustomers[Customer ID],tblCustomers[Customer Name],"⚠ Unknown")</f>
        <v>PT Mega Prima Distribusi</v>
      </c>
      <c r="F5223" s="4" t="s">
        <v>10</v>
      </c>
      <c r="G5223" s="1" t="str">
        <f>_xlfn.XLOOKUP(tblSales[[#This Row],[Product Code]],tblProducts[Code],tblProducts[Product / Service Name],"⚠ Unknown")</f>
        <v>Chino Pants</v>
      </c>
      <c r="H5223" s="1" t="str">
        <f>_xlfn.XLOOKUP(tblSales[[#This Row],[Product Code]],tblProducts[Code],tblProducts[Category],"")</f>
        <v>Apparel &amp; Footwear</v>
      </c>
      <c r="I5223" s="4">
        <v>88</v>
      </c>
      <c r="J5223" s="5">
        <f>_xlfn.XLOOKUP(tblSales[[#This Row],[Product Code]],tblProducts[Code],tblProducts[Selling Price (excl. VAT)],0)</f>
        <v>150000</v>
      </c>
      <c r="K5223" s="5">
        <f>tblSales[[#This Row],[Qty]]*tblSales[[#This Row],[Unit Price]]</f>
        <v>13200000</v>
      </c>
      <c r="L5223" s="5">
        <f>ROUND(tblSales[[#This Row],[DPP (excl. VAT)]]*VATEff,0)</f>
        <v>1452000</v>
      </c>
      <c r="M5223" s="5">
        <f>tblSales[[#This Row],[DPP (excl. VAT)]]+tblSales[[#This Row],[Output VAT]]</f>
        <v>14652000</v>
      </c>
      <c r="N5223" s="5">
        <f>tblSales[[#This Row],[Qty]]*_xlfn.XLOOKUP(tblSales[[#This Row],[Product Code]],tblProducts[Code],tblProducts[Unit Cost],0)</f>
        <v>7744000</v>
      </c>
      <c r="O5223" s="4" t="s">
        <v>4867</v>
      </c>
      <c r="P5223" s="4" t="s">
        <v>4860</v>
      </c>
      <c r="Q5223" s="1" t="str">
        <f>_xlfn.XLOOKUP(tblSales[[#This Row],[Channel Code]],tblChannels[Channel Code],tblChannels[Channel Name],"")</f>
        <v>In-store</v>
      </c>
      <c r="R5223" s="1">
        <f>MONTH(tblSales[[#This Row],[Date]])</f>
        <v>11</v>
      </c>
    </row>
    <row r="5224" spans="2:18" x14ac:dyDescent="0.35">
      <c r="B5224" s="113">
        <v>46340</v>
      </c>
      <c r="C5224" s="4" t="s">
        <v>3576</v>
      </c>
      <c r="D5224" s="4" t="s">
        <v>4568</v>
      </c>
      <c r="E5224" s="1" t="str">
        <f>_xlfn.XLOOKUP(tblSales[[#This Row],[Customer ID]],tblCustomers[Customer ID],tblCustomers[Customer Name],"⚠ Unknown")</f>
        <v>Walk-in Customer</v>
      </c>
      <c r="F5224" s="4" t="s">
        <v>15</v>
      </c>
      <c r="G5224" s="1" t="str">
        <f>_xlfn.XLOOKUP(tblSales[[#This Row],[Product Code]],tblProducts[Code],tblProducts[Product / Service Name],"⚠ Unknown")</f>
        <v>Wireless Earbuds Pro</v>
      </c>
      <c r="H5224" s="1" t="str">
        <f>_xlfn.XLOOKUP(tblSales[[#This Row],[Product Code]],tblProducts[Code],tblProducts[Category],"")</f>
        <v>Bags &amp; Gadgets</v>
      </c>
      <c r="I5224" s="4">
        <v>3</v>
      </c>
      <c r="J5224" s="5">
        <f>_xlfn.XLOOKUP(tblSales[[#This Row],[Product Code]],tblProducts[Code],tblProducts[Selling Price (excl. VAT)],0)</f>
        <v>1250000</v>
      </c>
      <c r="K5224" s="5">
        <f>tblSales[[#This Row],[Qty]]*tblSales[[#This Row],[Unit Price]]</f>
        <v>3750000</v>
      </c>
      <c r="L5224" s="5">
        <f>ROUND(tblSales[[#This Row],[DPP (excl. VAT)]]*VATEff,0)</f>
        <v>412500</v>
      </c>
      <c r="M5224" s="5">
        <f>tblSales[[#This Row],[DPP (excl. VAT)]]+tblSales[[#This Row],[Output VAT]]</f>
        <v>4162500</v>
      </c>
      <c r="N5224" s="5">
        <f>tblSales[[#This Row],[Qty]]*_xlfn.XLOOKUP(tblSales[[#This Row],[Product Code]],tblProducts[Code],tblProducts[Unit Cost],0)</f>
        <v>2460000</v>
      </c>
      <c r="O5224" s="4" t="s">
        <v>4866</v>
      </c>
      <c r="P5224" s="4" t="s">
        <v>4861</v>
      </c>
      <c r="Q5224" s="1" t="str">
        <f>_xlfn.XLOOKUP(tblSales[[#This Row],[Channel Code]],tblChannels[Channel Code],tblChannels[Channel Name],"")</f>
        <v>Marketplace</v>
      </c>
      <c r="R5224" s="1">
        <f>MONTH(tblSales[[#This Row],[Date]])</f>
        <v>11</v>
      </c>
    </row>
    <row r="5225" spans="2:18" x14ac:dyDescent="0.35">
      <c r="B5225" s="113">
        <v>46340</v>
      </c>
      <c r="C5225" s="4" t="s">
        <v>3577</v>
      </c>
      <c r="D5225" s="4" t="s">
        <v>4568</v>
      </c>
      <c r="E5225" s="1" t="str">
        <f>_xlfn.XLOOKUP(tblSales[[#This Row],[Customer ID]],tblCustomers[Customer ID],tblCustomers[Customer Name],"⚠ Unknown")</f>
        <v>Walk-in Customer</v>
      </c>
      <c r="F5225" s="4" t="s">
        <v>7</v>
      </c>
      <c r="G5225" s="1" t="str">
        <f>_xlfn.XLOOKUP(tblSales[[#This Row],[Product Code]],tblProducts[Code],tblProducts[Product / Service Name],"⚠ Unknown")</f>
        <v>Premium Basic T-shirt</v>
      </c>
      <c r="H5225" s="1" t="str">
        <f>_xlfn.XLOOKUP(tblSales[[#This Row],[Product Code]],tblProducts[Code],tblProducts[Category],"")</f>
        <v>Accessories &amp; Basics</v>
      </c>
      <c r="I5225" s="4">
        <v>10</v>
      </c>
      <c r="J5225" s="5">
        <f>_xlfn.XLOOKUP(tblSales[[#This Row],[Product Code]],tblProducts[Code],tblProducts[Selling Price (excl. VAT)],0)</f>
        <v>65000</v>
      </c>
      <c r="K5225" s="5">
        <f>tblSales[[#This Row],[Qty]]*tblSales[[#This Row],[Unit Price]]</f>
        <v>650000</v>
      </c>
      <c r="L5225" s="5">
        <f>ROUND(tblSales[[#This Row],[DPP (excl. VAT)]]*VATEff,0)</f>
        <v>71500</v>
      </c>
      <c r="M5225" s="5">
        <f>tblSales[[#This Row],[DPP (excl. VAT)]]+tblSales[[#This Row],[Output VAT]]</f>
        <v>721500</v>
      </c>
      <c r="N5225" s="5">
        <f>tblSales[[#This Row],[Qty]]*_xlfn.XLOOKUP(tblSales[[#This Row],[Product Code]],tblProducts[Code],tblProducts[Unit Cost],0)</f>
        <v>370000</v>
      </c>
      <c r="O5225" s="4" t="s">
        <v>4866</v>
      </c>
      <c r="P5225" s="4" t="s">
        <v>4861</v>
      </c>
      <c r="Q5225" s="1" t="str">
        <f>_xlfn.XLOOKUP(tblSales[[#This Row],[Channel Code]],tblChannels[Channel Code],tblChannels[Channel Name],"")</f>
        <v>Marketplace</v>
      </c>
      <c r="R5225" s="1">
        <f>MONTH(tblSales[[#This Row],[Date]])</f>
        <v>11</v>
      </c>
    </row>
    <row r="5226" spans="2:18" x14ac:dyDescent="0.35">
      <c r="B5226" s="113">
        <v>46340</v>
      </c>
      <c r="C5226" s="4" t="s">
        <v>3578</v>
      </c>
      <c r="D5226" s="4" t="s">
        <v>4568</v>
      </c>
      <c r="E5226" s="1" t="str">
        <f>_xlfn.XLOOKUP(tblSales[[#This Row],[Customer ID]],tblCustomers[Customer ID],tblCustomers[Customer Name],"⚠ Unknown")</f>
        <v>Walk-in Customer</v>
      </c>
      <c r="F5226" s="4" t="s">
        <v>7</v>
      </c>
      <c r="G5226" s="1" t="str">
        <f>_xlfn.XLOOKUP(tblSales[[#This Row],[Product Code]],tblProducts[Code],tblProducts[Product / Service Name],"⚠ Unknown")</f>
        <v>Premium Basic T-shirt</v>
      </c>
      <c r="H5226" s="1" t="str">
        <f>_xlfn.XLOOKUP(tblSales[[#This Row],[Product Code]],tblProducts[Code],tblProducts[Category],"")</f>
        <v>Accessories &amp; Basics</v>
      </c>
      <c r="I5226" s="4">
        <v>4</v>
      </c>
      <c r="J5226" s="5">
        <f>_xlfn.XLOOKUP(tblSales[[#This Row],[Product Code]],tblProducts[Code],tblProducts[Selling Price (excl. VAT)],0)</f>
        <v>65000</v>
      </c>
      <c r="K5226" s="5">
        <f>tblSales[[#This Row],[Qty]]*tblSales[[#This Row],[Unit Price]]</f>
        <v>260000</v>
      </c>
      <c r="L5226" s="5">
        <f>ROUND(tblSales[[#This Row],[DPP (excl. VAT)]]*VATEff,0)</f>
        <v>28600</v>
      </c>
      <c r="M5226" s="5">
        <f>tblSales[[#This Row],[DPP (excl. VAT)]]+tblSales[[#This Row],[Output VAT]]</f>
        <v>288600</v>
      </c>
      <c r="N5226" s="5">
        <f>tblSales[[#This Row],[Qty]]*_xlfn.XLOOKUP(tblSales[[#This Row],[Product Code]],tblProducts[Code],tblProducts[Unit Cost],0)</f>
        <v>148000</v>
      </c>
      <c r="O5226" s="4" t="s">
        <v>4866</v>
      </c>
      <c r="P5226" s="4" t="s">
        <v>4862</v>
      </c>
      <c r="Q5226" s="1" t="str">
        <f>_xlfn.XLOOKUP(tblSales[[#This Row],[Channel Code]],tblChannels[Channel Code],tblChannels[Channel Name],"")</f>
        <v>Website &amp; Social Media</v>
      </c>
      <c r="R5226" s="1">
        <f>MONTH(tblSales[[#This Row],[Date]])</f>
        <v>11</v>
      </c>
    </row>
    <row r="5227" spans="2:18" x14ac:dyDescent="0.35">
      <c r="B5227" s="113">
        <v>46340</v>
      </c>
      <c r="C5227" s="4" t="s">
        <v>3579</v>
      </c>
      <c r="D5227" s="4" t="s">
        <v>4634</v>
      </c>
      <c r="E5227" s="1" t="str">
        <f>_xlfn.XLOOKUP(tblSales[[#This Row],[Customer ID]],tblCustomers[Customer ID],tblCustomers[Customer Name],"⚠ Unknown")</f>
        <v>PT Delta Inti Selaras</v>
      </c>
      <c r="F5227" s="4" t="s">
        <v>13</v>
      </c>
      <c r="G5227" s="1" t="str">
        <f>_xlfn.XLOOKUP(tblSales[[#This Row],[Product Code]],tblProducts[Code],tblProducts[Product / Service Name],"⚠ Unknown")</f>
        <v>Backpack</v>
      </c>
      <c r="H5227" s="1" t="str">
        <f>_xlfn.XLOOKUP(tblSales[[#This Row],[Product Code]],tblProducts[Code],tblProducts[Category],"")</f>
        <v>Bags &amp; Gadgets</v>
      </c>
      <c r="I5227" s="4">
        <v>8</v>
      </c>
      <c r="J5227" s="5">
        <f>_xlfn.XLOOKUP(tblSales[[#This Row],[Product Code]],tblProducts[Code],tblProducts[Selling Price (excl. VAT)],0)</f>
        <v>500000</v>
      </c>
      <c r="K5227" s="5">
        <f>tblSales[[#This Row],[Qty]]*tblSales[[#This Row],[Unit Price]]</f>
        <v>4000000</v>
      </c>
      <c r="L5227" s="5">
        <f>ROUND(tblSales[[#This Row],[DPP (excl. VAT)]]*VATEff,0)</f>
        <v>440000</v>
      </c>
      <c r="M5227" s="5">
        <f>tblSales[[#This Row],[DPP (excl. VAT)]]+tblSales[[#This Row],[Output VAT]]</f>
        <v>4440000</v>
      </c>
      <c r="N5227" s="5">
        <f>tblSales[[#This Row],[Qty]]*_xlfn.XLOOKUP(tblSales[[#This Row],[Product Code]],tblProducts[Code],tblProducts[Unit Cost],0)</f>
        <v>2320000</v>
      </c>
      <c r="O5227" s="4" t="s">
        <v>4867</v>
      </c>
      <c r="P5227" s="4" t="s">
        <v>4860</v>
      </c>
      <c r="Q5227" s="1" t="str">
        <f>_xlfn.XLOOKUP(tblSales[[#This Row],[Channel Code]],tblChannels[Channel Code],tblChannels[Channel Name],"")</f>
        <v>In-store</v>
      </c>
      <c r="R5227" s="1">
        <f>MONTH(tblSales[[#This Row],[Date]])</f>
        <v>11</v>
      </c>
    </row>
    <row r="5228" spans="2:18" x14ac:dyDescent="0.35">
      <c r="B5228" s="113">
        <v>46340</v>
      </c>
      <c r="C5228" s="4" t="s">
        <v>3579</v>
      </c>
      <c r="D5228" s="4" t="s">
        <v>4634</v>
      </c>
      <c r="E5228" s="1" t="str">
        <f>_xlfn.XLOOKUP(tblSales[[#This Row],[Customer ID]],tblCustomers[Customer ID],tblCustomers[Customer Name],"⚠ Unknown")</f>
        <v>PT Delta Inti Selaras</v>
      </c>
      <c r="F5228" s="4" t="s">
        <v>6</v>
      </c>
      <c r="G5228" s="1" t="str">
        <f>_xlfn.XLOOKUP(tblSales[[#This Row],[Product Code]],tblProducts[Code],tblProducts[Product / Service Name],"⚠ Unknown")</f>
        <v>Socks &amp; Accessories</v>
      </c>
      <c r="H5228" s="1" t="str">
        <f>_xlfn.XLOOKUP(tblSales[[#This Row],[Product Code]],tblProducts[Code],tblProducts[Category],"")</f>
        <v>Accessories &amp; Basics</v>
      </c>
      <c r="I5228" s="4">
        <v>56</v>
      </c>
      <c r="J5228" s="5">
        <f>_xlfn.XLOOKUP(tblSales[[#This Row],[Product Code]],tblProducts[Code],tblProducts[Selling Price (excl. VAT)],0)</f>
        <v>45000</v>
      </c>
      <c r="K5228" s="5">
        <f>tblSales[[#This Row],[Qty]]*tblSales[[#This Row],[Unit Price]]</f>
        <v>2520000</v>
      </c>
      <c r="L5228" s="5">
        <f>ROUND(tblSales[[#This Row],[DPP (excl. VAT)]]*VATEff,0)</f>
        <v>277200</v>
      </c>
      <c r="M5228" s="5">
        <f>tblSales[[#This Row],[DPP (excl. VAT)]]+tblSales[[#This Row],[Output VAT]]</f>
        <v>2797200</v>
      </c>
      <c r="N5228" s="5">
        <f>tblSales[[#This Row],[Qty]]*_xlfn.XLOOKUP(tblSales[[#This Row],[Product Code]],tblProducts[Code],tblProducts[Unit Cost],0)</f>
        <v>1344000</v>
      </c>
      <c r="O5228" s="4" t="s">
        <v>4867</v>
      </c>
      <c r="P5228" s="4" t="s">
        <v>4860</v>
      </c>
      <c r="Q5228" s="1" t="str">
        <f>_xlfn.XLOOKUP(tblSales[[#This Row],[Channel Code]],tblChannels[Channel Code],tblChannels[Channel Name],"")</f>
        <v>In-store</v>
      </c>
      <c r="R5228" s="1">
        <f>MONTH(tblSales[[#This Row],[Date]])</f>
        <v>11</v>
      </c>
    </row>
    <row r="5229" spans="2:18" x14ac:dyDescent="0.35">
      <c r="B5229" s="113">
        <v>46340</v>
      </c>
      <c r="C5229" s="4" t="s">
        <v>3579</v>
      </c>
      <c r="D5229" s="4" t="s">
        <v>4634</v>
      </c>
      <c r="E5229" s="1" t="str">
        <f>_xlfn.XLOOKUP(tblSales[[#This Row],[Customer ID]],tblCustomers[Customer ID],tblCustomers[Customer Name],"⚠ Unknown")</f>
        <v>PT Delta Inti Selaras</v>
      </c>
      <c r="F5229" s="4" t="s">
        <v>8</v>
      </c>
      <c r="G5229" s="1" t="str">
        <f>_xlfn.XLOOKUP(tblSales[[#This Row],[Product Code]],tblProducts[Code],tblProducts[Product / Service Name],"⚠ Unknown")</f>
        <v>Casual Shorts</v>
      </c>
      <c r="H5229" s="1" t="str">
        <f>_xlfn.XLOOKUP(tblSales[[#This Row],[Product Code]],tblProducts[Code],tblProducts[Category],"")</f>
        <v>Accessories &amp; Basics</v>
      </c>
      <c r="I5229" s="4">
        <v>40</v>
      </c>
      <c r="J5229" s="5">
        <f>_xlfn.XLOOKUP(tblSales[[#This Row],[Product Code]],tblProducts[Code],tblProducts[Selling Price (excl. VAT)],0)</f>
        <v>85000</v>
      </c>
      <c r="K5229" s="5">
        <f>tblSales[[#This Row],[Qty]]*tblSales[[#This Row],[Unit Price]]</f>
        <v>3400000</v>
      </c>
      <c r="L5229" s="5">
        <f>ROUND(tblSales[[#This Row],[DPP (excl. VAT)]]*VATEff,0)</f>
        <v>374000</v>
      </c>
      <c r="M5229" s="5">
        <f>tblSales[[#This Row],[DPP (excl. VAT)]]+tblSales[[#This Row],[Output VAT]]</f>
        <v>3774000</v>
      </c>
      <c r="N5229" s="5">
        <f>tblSales[[#This Row],[Qty]]*_xlfn.XLOOKUP(tblSales[[#This Row],[Product Code]],tblProducts[Code],tblProducts[Unit Cost],0)</f>
        <v>2000000</v>
      </c>
      <c r="O5229" s="4" t="s">
        <v>4867</v>
      </c>
      <c r="P5229" s="4" t="s">
        <v>4860</v>
      </c>
      <c r="Q5229" s="1" t="str">
        <f>_xlfn.XLOOKUP(tblSales[[#This Row],[Channel Code]],tblChannels[Channel Code],tblChannels[Channel Name],"")</f>
        <v>In-store</v>
      </c>
      <c r="R5229" s="1">
        <f>MONTH(tblSales[[#This Row],[Date]])</f>
        <v>11</v>
      </c>
    </row>
    <row r="5230" spans="2:18" x14ac:dyDescent="0.35">
      <c r="B5230" s="113">
        <v>46340</v>
      </c>
      <c r="C5230" s="4" t="s">
        <v>3580</v>
      </c>
      <c r="D5230" s="4" t="s">
        <v>4568</v>
      </c>
      <c r="E5230" s="1" t="str">
        <f>_xlfn.XLOOKUP(tblSales[[#This Row],[Customer ID]],tblCustomers[Customer ID],tblCustomers[Customer Name],"⚠ Unknown")</f>
        <v>Walk-in Customer</v>
      </c>
      <c r="F5230" s="4" t="s">
        <v>13</v>
      </c>
      <c r="G5230" s="1" t="str">
        <f>_xlfn.XLOOKUP(tblSales[[#This Row],[Product Code]],tblProducts[Code],tblProducts[Product / Service Name],"⚠ Unknown")</f>
        <v>Backpack</v>
      </c>
      <c r="H5230" s="1" t="str">
        <f>_xlfn.XLOOKUP(tblSales[[#This Row],[Product Code]],tblProducts[Code],tblProducts[Category],"")</f>
        <v>Bags &amp; Gadgets</v>
      </c>
      <c r="I5230" s="4">
        <v>3</v>
      </c>
      <c r="J5230" s="5">
        <f>_xlfn.XLOOKUP(tblSales[[#This Row],[Product Code]],tblProducts[Code],tblProducts[Selling Price (excl. VAT)],0)</f>
        <v>500000</v>
      </c>
      <c r="K5230" s="5">
        <f>tblSales[[#This Row],[Qty]]*tblSales[[#This Row],[Unit Price]]</f>
        <v>1500000</v>
      </c>
      <c r="L5230" s="5">
        <f>ROUND(tblSales[[#This Row],[DPP (excl. VAT)]]*VATEff,0)</f>
        <v>165000</v>
      </c>
      <c r="M5230" s="5">
        <f>tblSales[[#This Row],[DPP (excl. VAT)]]+tblSales[[#This Row],[Output VAT]]</f>
        <v>1665000</v>
      </c>
      <c r="N5230" s="5">
        <f>tblSales[[#This Row],[Qty]]*_xlfn.XLOOKUP(tblSales[[#This Row],[Product Code]],tblProducts[Code],tblProducts[Unit Cost],0)</f>
        <v>870000</v>
      </c>
      <c r="O5230" s="4" t="s">
        <v>4865</v>
      </c>
      <c r="P5230" s="4" t="s">
        <v>4860</v>
      </c>
      <c r="Q5230" s="1" t="str">
        <f>_xlfn.XLOOKUP(tblSales[[#This Row],[Channel Code]],tblChannels[Channel Code],tblChannels[Channel Name],"")</f>
        <v>In-store</v>
      </c>
      <c r="R5230" s="1">
        <f>MONTH(tblSales[[#This Row],[Date]])</f>
        <v>11</v>
      </c>
    </row>
    <row r="5231" spans="2:18" x14ac:dyDescent="0.35">
      <c r="B5231" s="113">
        <v>46340</v>
      </c>
      <c r="C5231" s="4" t="s">
        <v>3580</v>
      </c>
      <c r="D5231" s="4" t="s">
        <v>4568</v>
      </c>
      <c r="E5231" s="1" t="str">
        <f>_xlfn.XLOOKUP(tblSales[[#This Row],[Customer ID]],tblCustomers[Customer ID],tblCustomers[Customer Name],"⚠ Unknown")</f>
        <v>Walk-in Customer</v>
      </c>
      <c r="F5231" s="4" t="s">
        <v>15</v>
      </c>
      <c r="G5231" s="1" t="str">
        <f>_xlfn.XLOOKUP(tblSales[[#This Row],[Product Code]],tblProducts[Code],tblProducts[Product / Service Name],"⚠ Unknown")</f>
        <v>Wireless Earbuds Pro</v>
      </c>
      <c r="H5231" s="1" t="str">
        <f>_xlfn.XLOOKUP(tblSales[[#This Row],[Product Code]],tblProducts[Code],tblProducts[Category],"")</f>
        <v>Bags &amp; Gadgets</v>
      </c>
      <c r="I5231" s="4">
        <v>2</v>
      </c>
      <c r="J5231" s="5">
        <f>_xlfn.XLOOKUP(tblSales[[#This Row],[Product Code]],tblProducts[Code],tblProducts[Selling Price (excl. VAT)],0)</f>
        <v>1250000</v>
      </c>
      <c r="K5231" s="5">
        <f>tblSales[[#This Row],[Qty]]*tblSales[[#This Row],[Unit Price]]</f>
        <v>2500000</v>
      </c>
      <c r="L5231" s="5">
        <f>ROUND(tblSales[[#This Row],[DPP (excl. VAT)]]*VATEff,0)</f>
        <v>275000</v>
      </c>
      <c r="M5231" s="5">
        <f>tblSales[[#This Row],[DPP (excl. VAT)]]+tblSales[[#This Row],[Output VAT]]</f>
        <v>2775000</v>
      </c>
      <c r="N5231" s="5">
        <f>tblSales[[#This Row],[Qty]]*_xlfn.XLOOKUP(tblSales[[#This Row],[Product Code]],tblProducts[Code],tblProducts[Unit Cost],0)</f>
        <v>1640000</v>
      </c>
      <c r="O5231" s="4" t="s">
        <v>4865</v>
      </c>
      <c r="P5231" s="4" t="s">
        <v>4860</v>
      </c>
      <c r="Q5231" s="1" t="str">
        <f>_xlfn.XLOOKUP(tblSales[[#This Row],[Channel Code]],tblChannels[Channel Code],tblChannels[Channel Name],"")</f>
        <v>In-store</v>
      </c>
      <c r="R5231" s="1">
        <f>MONTH(tblSales[[#This Row],[Date]])</f>
        <v>11</v>
      </c>
    </row>
    <row r="5232" spans="2:18" x14ac:dyDescent="0.35">
      <c r="B5232" s="113">
        <v>46340</v>
      </c>
      <c r="C5232" s="4" t="s">
        <v>3581</v>
      </c>
      <c r="D5232" s="4" t="s">
        <v>4599</v>
      </c>
      <c r="E5232" s="1" t="str">
        <f>_xlfn.XLOOKUP(tblSales[[#This Row],[Customer ID]],tblCustomers[Customer ID],tblCustomers[Customer Name],"⚠ Unknown")</f>
        <v>PT Samudra Jaya Logistik</v>
      </c>
      <c r="F5232" s="4" t="s">
        <v>7</v>
      </c>
      <c r="G5232" s="1" t="str">
        <f>_xlfn.XLOOKUP(tblSales[[#This Row],[Product Code]],tblProducts[Code],tblProducts[Product / Service Name],"⚠ Unknown")</f>
        <v>Premium Basic T-shirt</v>
      </c>
      <c r="H5232" s="1" t="str">
        <f>_xlfn.XLOOKUP(tblSales[[#This Row],[Product Code]],tblProducts[Code],tblProducts[Category],"")</f>
        <v>Accessories &amp; Basics</v>
      </c>
      <c r="I5232" s="4">
        <v>64</v>
      </c>
      <c r="J5232" s="5">
        <f>_xlfn.XLOOKUP(tblSales[[#This Row],[Product Code]],tblProducts[Code],tblProducts[Selling Price (excl. VAT)],0)</f>
        <v>65000</v>
      </c>
      <c r="K5232" s="5">
        <f>tblSales[[#This Row],[Qty]]*tblSales[[#This Row],[Unit Price]]</f>
        <v>4160000</v>
      </c>
      <c r="L5232" s="5">
        <f>ROUND(tblSales[[#This Row],[DPP (excl. VAT)]]*VATEff,0)</f>
        <v>457600</v>
      </c>
      <c r="M5232" s="5">
        <f>tblSales[[#This Row],[DPP (excl. VAT)]]+tblSales[[#This Row],[Output VAT]]</f>
        <v>4617600</v>
      </c>
      <c r="N5232" s="5">
        <f>tblSales[[#This Row],[Qty]]*_xlfn.XLOOKUP(tblSales[[#This Row],[Product Code]],tblProducts[Code],tblProducts[Unit Cost],0)</f>
        <v>2368000</v>
      </c>
      <c r="O5232" s="4" t="s">
        <v>4867</v>
      </c>
      <c r="P5232" s="4" t="s">
        <v>4860</v>
      </c>
      <c r="Q5232" s="1" t="str">
        <f>_xlfn.XLOOKUP(tblSales[[#This Row],[Channel Code]],tblChannels[Channel Code],tblChannels[Channel Name],"")</f>
        <v>In-store</v>
      </c>
      <c r="R5232" s="1">
        <f>MONTH(tblSales[[#This Row],[Date]])</f>
        <v>11</v>
      </c>
    </row>
    <row r="5233" spans="2:18" x14ac:dyDescent="0.35">
      <c r="B5233" s="113">
        <v>46340</v>
      </c>
      <c r="C5233" s="4" t="s">
        <v>3581</v>
      </c>
      <c r="D5233" s="4" t="s">
        <v>4599</v>
      </c>
      <c r="E5233" s="1" t="str">
        <f>_xlfn.XLOOKUP(tblSales[[#This Row],[Customer ID]],tblCustomers[Customer ID],tblCustomers[Customer Name],"⚠ Unknown")</f>
        <v>PT Samudra Jaya Logistik</v>
      </c>
      <c r="F5233" s="4" t="s">
        <v>12</v>
      </c>
      <c r="G5233" s="1" t="str">
        <f>_xlfn.XLOOKUP(tblSales[[#This Row],[Product Code]],tblProducts[Code],tblProducts[Product / Service Name],"⚠ Unknown")</f>
        <v>Bomber Jacket</v>
      </c>
      <c r="H5233" s="1" t="str">
        <f>_xlfn.XLOOKUP(tblSales[[#This Row],[Product Code]],tblProducts[Code],tblProducts[Category],"")</f>
        <v>Apparel &amp; Footwear</v>
      </c>
      <c r="I5233" s="4">
        <v>16</v>
      </c>
      <c r="J5233" s="5">
        <f>_xlfn.XLOOKUP(tblSales[[#This Row],[Product Code]],tblProducts[Code],tblProducts[Selling Price (excl. VAT)],0)</f>
        <v>350000</v>
      </c>
      <c r="K5233" s="5">
        <f>tblSales[[#This Row],[Qty]]*tblSales[[#This Row],[Unit Price]]</f>
        <v>5600000</v>
      </c>
      <c r="L5233" s="5">
        <f>ROUND(tblSales[[#This Row],[DPP (excl. VAT)]]*VATEff,0)</f>
        <v>616000</v>
      </c>
      <c r="M5233" s="5">
        <f>tblSales[[#This Row],[DPP (excl. VAT)]]+tblSales[[#This Row],[Output VAT]]</f>
        <v>6216000</v>
      </c>
      <c r="N5233" s="5">
        <f>tblSales[[#This Row],[Qty]]*_xlfn.XLOOKUP(tblSales[[#This Row],[Product Code]],tblProducts[Code],tblProducts[Unit Cost],0)</f>
        <v>3360000</v>
      </c>
      <c r="O5233" s="4" t="s">
        <v>4867</v>
      </c>
      <c r="P5233" s="4" t="s">
        <v>4860</v>
      </c>
      <c r="Q5233" s="1" t="str">
        <f>_xlfn.XLOOKUP(tblSales[[#This Row],[Channel Code]],tblChannels[Channel Code],tblChannels[Channel Name],"")</f>
        <v>In-store</v>
      </c>
      <c r="R5233" s="1">
        <f>MONTH(tblSales[[#This Row],[Date]])</f>
        <v>11</v>
      </c>
    </row>
    <row r="5234" spans="2:18" x14ac:dyDescent="0.35">
      <c r="B5234" s="113">
        <v>46340</v>
      </c>
      <c r="C5234" s="4" t="s">
        <v>3582</v>
      </c>
      <c r="D5234" s="4" t="s">
        <v>4568</v>
      </c>
      <c r="E5234" s="1" t="str">
        <f>_xlfn.XLOOKUP(tblSales[[#This Row],[Customer ID]],tblCustomers[Customer ID],tblCustomers[Customer Name],"⚠ Unknown")</f>
        <v>Walk-in Customer</v>
      </c>
      <c r="F5234" s="4" t="s">
        <v>7</v>
      </c>
      <c r="G5234" s="1" t="str">
        <f>_xlfn.XLOOKUP(tblSales[[#This Row],[Product Code]],tblProducts[Code],tblProducts[Product / Service Name],"⚠ Unknown")</f>
        <v>Premium Basic T-shirt</v>
      </c>
      <c r="H5234" s="1" t="str">
        <f>_xlfn.XLOOKUP(tblSales[[#This Row],[Product Code]],tblProducts[Code],tblProducts[Category],"")</f>
        <v>Accessories &amp; Basics</v>
      </c>
      <c r="I5234" s="4">
        <v>5</v>
      </c>
      <c r="J5234" s="5">
        <f>_xlfn.XLOOKUP(tblSales[[#This Row],[Product Code]],tblProducts[Code],tblProducts[Selling Price (excl. VAT)],0)</f>
        <v>65000</v>
      </c>
      <c r="K5234" s="5">
        <f>tblSales[[#This Row],[Qty]]*tblSales[[#This Row],[Unit Price]]</f>
        <v>325000</v>
      </c>
      <c r="L5234" s="5">
        <f>ROUND(tblSales[[#This Row],[DPP (excl. VAT)]]*VATEff,0)</f>
        <v>35750</v>
      </c>
      <c r="M5234" s="5">
        <f>tblSales[[#This Row],[DPP (excl. VAT)]]+tblSales[[#This Row],[Output VAT]]</f>
        <v>360750</v>
      </c>
      <c r="N5234" s="5">
        <f>tblSales[[#This Row],[Qty]]*_xlfn.XLOOKUP(tblSales[[#This Row],[Product Code]],tblProducts[Code],tblProducts[Unit Cost],0)</f>
        <v>185000</v>
      </c>
      <c r="O5234" s="4" t="s">
        <v>4865</v>
      </c>
      <c r="P5234" s="4" t="s">
        <v>4860</v>
      </c>
      <c r="Q5234" s="1" t="str">
        <f>_xlfn.XLOOKUP(tblSales[[#This Row],[Channel Code]],tblChannels[Channel Code],tblChannels[Channel Name],"")</f>
        <v>In-store</v>
      </c>
      <c r="R5234" s="1">
        <f>MONTH(tblSales[[#This Row],[Date]])</f>
        <v>11</v>
      </c>
    </row>
    <row r="5235" spans="2:18" x14ac:dyDescent="0.35">
      <c r="B5235" s="113">
        <v>46340</v>
      </c>
      <c r="C5235" s="4" t="s">
        <v>3582</v>
      </c>
      <c r="D5235" s="4" t="s">
        <v>4568</v>
      </c>
      <c r="E5235" s="1" t="str">
        <f>_xlfn.XLOOKUP(tblSales[[#This Row],[Customer ID]],tblCustomers[Customer ID],tblCustomers[Customer Name],"⚠ Unknown")</f>
        <v>Walk-in Customer</v>
      </c>
      <c r="F5235" s="4" t="s">
        <v>8</v>
      </c>
      <c r="G5235" s="1" t="str">
        <f>_xlfn.XLOOKUP(tblSales[[#This Row],[Product Code]],tblProducts[Code],tblProducts[Product / Service Name],"⚠ Unknown")</f>
        <v>Casual Shorts</v>
      </c>
      <c r="H5235" s="1" t="str">
        <f>_xlfn.XLOOKUP(tblSales[[#This Row],[Product Code]],tblProducts[Code],tblProducts[Category],"")</f>
        <v>Accessories &amp; Basics</v>
      </c>
      <c r="I5235" s="4">
        <v>1</v>
      </c>
      <c r="J5235" s="5">
        <f>_xlfn.XLOOKUP(tblSales[[#This Row],[Product Code]],tblProducts[Code],tblProducts[Selling Price (excl. VAT)],0)</f>
        <v>85000</v>
      </c>
      <c r="K5235" s="5">
        <f>tblSales[[#This Row],[Qty]]*tblSales[[#This Row],[Unit Price]]</f>
        <v>85000</v>
      </c>
      <c r="L5235" s="5">
        <f>ROUND(tblSales[[#This Row],[DPP (excl. VAT)]]*VATEff,0)</f>
        <v>9350</v>
      </c>
      <c r="M5235" s="5">
        <f>tblSales[[#This Row],[DPP (excl. VAT)]]+tblSales[[#This Row],[Output VAT]]</f>
        <v>94350</v>
      </c>
      <c r="N5235" s="5">
        <f>tblSales[[#This Row],[Qty]]*_xlfn.XLOOKUP(tblSales[[#This Row],[Product Code]],tblProducts[Code],tblProducts[Unit Cost],0)</f>
        <v>50000</v>
      </c>
      <c r="O5235" s="4" t="s">
        <v>4865</v>
      </c>
      <c r="P5235" s="4" t="s">
        <v>4860</v>
      </c>
      <c r="Q5235" s="1" t="str">
        <f>_xlfn.XLOOKUP(tblSales[[#This Row],[Channel Code]],tblChannels[Channel Code],tblChannels[Channel Name],"")</f>
        <v>In-store</v>
      </c>
      <c r="R5235" s="1">
        <f>MONTH(tblSales[[#This Row],[Date]])</f>
        <v>11</v>
      </c>
    </row>
    <row r="5236" spans="2:18" x14ac:dyDescent="0.35">
      <c r="B5236" s="113">
        <v>46340</v>
      </c>
      <c r="C5236" s="4" t="s">
        <v>3583</v>
      </c>
      <c r="D5236" s="4" t="s">
        <v>4568</v>
      </c>
      <c r="E5236" s="1" t="str">
        <f>_xlfn.XLOOKUP(tblSales[[#This Row],[Customer ID]],tblCustomers[Customer ID],tblCustomers[Customer Name],"⚠ Unknown")</f>
        <v>Walk-in Customer</v>
      </c>
      <c r="F5236" s="4" t="s">
        <v>11</v>
      </c>
      <c r="G5236" s="1" t="str">
        <f>_xlfn.XLOOKUP(tblSales[[#This Row],[Product Code]],tblProducts[Code],tblProducts[Product / Service Name],"⚠ Unknown")</f>
        <v>Sneakers</v>
      </c>
      <c r="H5236" s="1" t="str">
        <f>_xlfn.XLOOKUP(tblSales[[#This Row],[Product Code]],tblProducts[Code],tblProducts[Category],"")</f>
        <v>Apparel &amp; Footwear</v>
      </c>
      <c r="I5236" s="4">
        <v>6</v>
      </c>
      <c r="J5236" s="5">
        <f>_xlfn.XLOOKUP(tblSales[[#This Row],[Product Code]],tblProducts[Code],tblProducts[Selling Price (excl. VAT)],0)</f>
        <v>250000</v>
      </c>
      <c r="K5236" s="5">
        <f>tblSales[[#This Row],[Qty]]*tblSales[[#This Row],[Unit Price]]</f>
        <v>1500000</v>
      </c>
      <c r="L5236" s="5">
        <f>ROUND(tblSales[[#This Row],[DPP (excl. VAT)]]*VATEff,0)</f>
        <v>165000</v>
      </c>
      <c r="M5236" s="5">
        <f>tblSales[[#This Row],[DPP (excl. VAT)]]+tblSales[[#This Row],[Output VAT]]</f>
        <v>1665000</v>
      </c>
      <c r="N5236" s="5">
        <f>tblSales[[#This Row],[Qty]]*_xlfn.XLOOKUP(tblSales[[#This Row],[Product Code]],tblProducts[Code],tblProducts[Unit Cost],0)</f>
        <v>930000</v>
      </c>
      <c r="O5236" s="4" t="s">
        <v>4866</v>
      </c>
      <c r="P5236" s="4" t="s">
        <v>4860</v>
      </c>
      <c r="Q5236" s="1" t="str">
        <f>_xlfn.XLOOKUP(tblSales[[#This Row],[Channel Code]],tblChannels[Channel Code],tblChannels[Channel Name],"")</f>
        <v>In-store</v>
      </c>
      <c r="R5236" s="1">
        <f>MONTH(tblSales[[#This Row],[Date]])</f>
        <v>11</v>
      </c>
    </row>
    <row r="5237" spans="2:18" x14ac:dyDescent="0.35">
      <c r="B5237" s="113">
        <v>46340</v>
      </c>
      <c r="C5237" s="4" t="s">
        <v>3584</v>
      </c>
      <c r="D5237" s="4" t="s">
        <v>4568</v>
      </c>
      <c r="E5237" s="1" t="str">
        <f>_xlfn.XLOOKUP(tblSales[[#This Row],[Customer ID]],tblCustomers[Customer ID],tblCustomers[Customer Name],"⚠ Unknown")</f>
        <v>Walk-in Customer</v>
      </c>
      <c r="F5237" s="4" t="s">
        <v>10</v>
      </c>
      <c r="G5237" s="1" t="str">
        <f>_xlfn.XLOOKUP(tblSales[[#This Row],[Product Code]],tblProducts[Code],tblProducts[Product / Service Name],"⚠ Unknown")</f>
        <v>Chino Pants</v>
      </c>
      <c r="H5237" s="1" t="str">
        <f>_xlfn.XLOOKUP(tblSales[[#This Row],[Product Code]],tblProducts[Code],tblProducts[Category],"")</f>
        <v>Apparel &amp; Footwear</v>
      </c>
      <c r="I5237" s="4">
        <v>6</v>
      </c>
      <c r="J5237" s="5">
        <f>_xlfn.XLOOKUP(tblSales[[#This Row],[Product Code]],tblProducts[Code],tblProducts[Selling Price (excl. VAT)],0)</f>
        <v>150000</v>
      </c>
      <c r="K5237" s="5">
        <f>tblSales[[#This Row],[Qty]]*tblSales[[#This Row],[Unit Price]]</f>
        <v>900000</v>
      </c>
      <c r="L5237" s="5">
        <f>ROUND(tblSales[[#This Row],[DPP (excl. VAT)]]*VATEff,0)</f>
        <v>99000</v>
      </c>
      <c r="M5237" s="5">
        <f>tblSales[[#This Row],[DPP (excl. VAT)]]+tblSales[[#This Row],[Output VAT]]</f>
        <v>999000</v>
      </c>
      <c r="N5237" s="5">
        <f>tblSales[[#This Row],[Qty]]*_xlfn.XLOOKUP(tblSales[[#This Row],[Product Code]],tblProducts[Code],tblProducts[Unit Cost],0)</f>
        <v>528000</v>
      </c>
      <c r="O5237" s="4" t="s">
        <v>4865</v>
      </c>
      <c r="P5237" s="4" t="s">
        <v>4860</v>
      </c>
      <c r="Q5237" s="1" t="str">
        <f>_xlfn.XLOOKUP(tblSales[[#This Row],[Channel Code]],tblChannels[Channel Code],tblChannels[Channel Name],"")</f>
        <v>In-store</v>
      </c>
      <c r="R5237" s="1">
        <f>MONTH(tblSales[[#This Row],[Date]])</f>
        <v>11</v>
      </c>
    </row>
    <row r="5238" spans="2:18" x14ac:dyDescent="0.35">
      <c r="B5238" s="113">
        <v>46340</v>
      </c>
      <c r="C5238" s="4" t="s">
        <v>3585</v>
      </c>
      <c r="D5238" s="4" t="s">
        <v>4568</v>
      </c>
      <c r="E5238" s="1" t="str">
        <f>_xlfn.XLOOKUP(tblSales[[#This Row],[Customer ID]],tblCustomers[Customer ID],tblCustomers[Customer Name],"⚠ Unknown")</f>
        <v>Walk-in Customer</v>
      </c>
      <c r="F5238" s="4" t="s">
        <v>6</v>
      </c>
      <c r="G5238" s="1" t="str">
        <f>_xlfn.XLOOKUP(tblSales[[#This Row],[Product Code]],tblProducts[Code],tblProducts[Product / Service Name],"⚠ Unknown")</f>
        <v>Socks &amp; Accessories</v>
      </c>
      <c r="H5238" s="1" t="str">
        <f>_xlfn.XLOOKUP(tblSales[[#This Row],[Product Code]],tblProducts[Code],tblProducts[Category],"")</f>
        <v>Accessories &amp; Basics</v>
      </c>
      <c r="I5238" s="4">
        <v>12</v>
      </c>
      <c r="J5238" s="5">
        <f>_xlfn.XLOOKUP(tblSales[[#This Row],[Product Code]],tblProducts[Code],tblProducts[Selling Price (excl. VAT)],0)</f>
        <v>45000</v>
      </c>
      <c r="K5238" s="5">
        <f>tblSales[[#This Row],[Qty]]*tblSales[[#This Row],[Unit Price]]</f>
        <v>540000</v>
      </c>
      <c r="L5238" s="5">
        <f>ROUND(tblSales[[#This Row],[DPP (excl. VAT)]]*VATEff,0)</f>
        <v>59400</v>
      </c>
      <c r="M5238" s="5">
        <f>tblSales[[#This Row],[DPP (excl. VAT)]]+tblSales[[#This Row],[Output VAT]]</f>
        <v>599400</v>
      </c>
      <c r="N5238" s="5">
        <f>tblSales[[#This Row],[Qty]]*_xlfn.XLOOKUP(tblSales[[#This Row],[Product Code]],tblProducts[Code],tblProducts[Unit Cost],0)</f>
        <v>288000</v>
      </c>
      <c r="O5238" s="4" t="s">
        <v>4865</v>
      </c>
      <c r="P5238" s="4" t="s">
        <v>4860</v>
      </c>
      <c r="Q5238" s="1" t="str">
        <f>_xlfn.XLOOKUP(tblSales[[#This Row],[Channel Code]],tblChannels[Channel Code],tblChannels[Channel Name],"")</f>
        <v>In-store</v>
      </c>
      <c r="R5238" s="1">
        <f>MONTH(tblSales[[#This Row],[Date]])</f>
        <v>11</v>
      </c>
    </row>
    <row r="5239" spans="2:18" x14ac:dyDescent="0.35">
      <c r="B5239" s="113">
        <v>46340</v>
      </c>
      <c r="C5239" s="4" t="s">
        <v>3586</v>
      </c>
      <c r="D5239" s="4" t="s">
        <v>4568</v>
      </c>
      <c r="E5239" s="1" t="str">
        <f>_xlfn.XLOOKUP(tblSales[[#This Row],[Customer ID]],tblCustomers[Customer ID],tblCustomers[Customer Name],"⚠ Unknown")</f>
        <v>Walk-in Customer</v>
      </c>
      <c r="F5239" s="4" t="s">
        <v>6</v>
      </c>
      <c r="G5239" s="1" t="str">
        <f>_xlfn.XLOOKUP(tblSales[[#This Row],[Product Code]],tblProducts[Code],tblProducts[Product / Service Name],"⚠ Unknown")</f>
        <v>Socks &amp; Accessories</v>
      </c>
      <c r="H5239" s="1" t="str">
        <f>_xlfn.XLOOKUP(tblSales[[#This Row],[Product Code]],tblProducts[Code],tblProducts[Category],"")</f>
        <v>Accessories &amp; Basics</v>
      </c>
      <c r="I5239" s="4">
        <v>8</v>
      </c>
      <c r="J5239" s="5">
        <f>_xlfn.XLOOKUP(tblSales[[#This Row],[Product Code]],tblProducts[Code],tblProducts[Selling Price (excl. VAT)],0)</f>
        <v>45000</v>
      </c>
      <c r="K5239" s="5">
        <f>tblSales[[#This Row],[Qty]]*tblSales[[#This Row],[Unit Price]]</f>
        <v>360000</v>
      </c>
      <c r="L5239" s="5">
        <f>ROUND(tblSales[[#This Row],[DPP (excl. VAT)]]*VATEff,0)</f>
        <v>39600</v>
      </c>
      <c r="M5239" s="5">
        <f>tblSales[[#This Row],[DPP (excl. VAT)]]+tblSales[[#This Row],[Output VAT]]</f>
        <v>399600</v>
      </c>
      <c r="N5239" s="5">
        <f>tblSales[[#This Row],[Qty]]*_xlfn.XLOOKUP(tblSales[[#This Row],[Product Code]],tblProducts[Code],tblProducts[Unit Cost],0)</f>
        <v>192000</v>
      </c>
      <c r="O5239" s="4" t="s">
        <v>4866</v>
      </c>
      <c r="P5239" s="4" t="s">
        <v>4861</v>
      </c>
      <c r="Q5239" s="1" t="str">
        <f>_xlfn.XLOOKUP(tblSales[[#This Row],[Channel Code]],tblChannels[Channel Code],tblChannels[Channel Name],"")</f>
        <v>Marketplace</v>
      </c>
      <c r="R5239" s="1">
        <f>MONTH(tblSales[[#This Row],[Date]])</f>
        <v>11</v>
      </c>
    </row>
    <row r="5240" spans="2:18" x14ac:dyDescent="0.35">
      <c r="B5240" s="113">
        <v>46340</v>
      </c>
      <c r="C5240" s="4" t="s">
        <v>3587</v>
      </c>
      <c r="D5240" s="4" t="s">
        <v>4568</v>
      </c>
      <c r="E5240" s="1" t="str">
        <f>_xlfn.XLOOKUP(tblSales[[#This Row],[Customer ID]],tblCustomers[Customer ID],tblCustomers[Customer Name],"⚠ Unknown")</f>
        <v>Walk-in Customer</v>
      </c>
      <c r="F5240" s="4" t="s">
        <v>6</v>
      </c>
      <c r="G5240" s="1" t="str">
        <f>_xlfn.XLOOKUP(tblSales[[#This Row],[Product Code]],tblProducts[Code],tblProducts[Product / Service Name],"⚠ Unknown")</f>
        <v>Socks &amp; Accessories</v>
      </c>
      <c r="H5240" s="1" t="str">
        <f>_xlfn.XLOOKUP(tblSales[[#This Row],[Product Code]],tblProducts[Code],tblProducts[Category],"")</f>
        <v>Accessories &amp; Basics</v>
      </c>
      <c r="I5240" s="4">
        <v>2</v>
      </c>
      <c r="J5240" s="5">
        <f>_xlfn.XLOOKUP(tblSales[[#This Row],[Product Code]],tblProducts[Code],tblProducts[Selling Price (excl. VAT)],0)</f>
        <v>45000</v>
      </c>
      <c r="K5240" s="5">
        <f>tblSales[[#This Row],[Qty]]*tblSales[[#This Row],[Unit Price]]</f>
        <v>90000</v>
      </c>
      <c r="L5240" s="5">
        <f>ROUND(tblSales[[#This Row],[DPP (excl. VAT)]]*VATEff,0)</f>
        <v>9900</v>
      </c>
      <c r="M5240" s="5">
        <f>tblSales[[#This Row],[DPP (excl. VAT)]]+tblSales[[#This Row],[Output VAT]]</f>
        <v>99900</v>
      </c>
      <c r="N5240" s="5">
        <f>tblSales[[#This Row],[Qty]]*_xlfn.XLOOKUP(tblSales[[#This Row],[Product Code]],tblProducts[Code],tblProducts[Unit Cost],0)</f>
        <v>48000</v>
      </c>
      <c r="O5240" s="4" t="s">
        <v>4866</v>
      </c>
      <c r="P5240" s="4" t="s">
        <v>4860</v>
      </c>
      <c r="Q5240" s="1" t="str">
        <f>_xlfn.XLOOKUP(tblSales[[#This Row],[Channel Code]],tblChannels[Channel Code],tblChannels[Channel Name],"")</f>
        <v>In-store</v>
      </c>
      <c r="R5240" s="1">
        <f>MONTH(tblSales[[#This Row],[Date]])</f>
        <v>11</v>
      </c>
    </row>
    <row r="5241" spans="2:18" x14ac:dyDescent="0.35">
      <c r="B5241" s="113">
        <v>46340</v>
      </c>
      <c r="C5241" s="4" t="s">
        <v>3588</v>
      </c>
      <c r="D5241" s="4" t="s">
        <v>4568</v>
      </c>
      <c r="E5241" s="1" t="str">
        <f>_xlfn.XLOOKUP(tblSales[[#This Row],[Customer ID]],tblCustomers[Customer ID],tblCustomers[Customer Name],"⚠ Unknown")</f>
        <v>Walk-in Customer</v>
      </c>
      <c r="F5241" s="4" t="s">
        <v>9</v>
      </c>
      <c r="G5241" s="1" t="str">
        <f>_xlfn.XLOOKUP(tblSales[[#This Row],[Product Code]],tblProducts[Code],tblProducts[Product / Service Name],"⚠ Unknown")</f>
        <v>Casual Shirt</v>
      </c>
      <c r="H5241" s="1" t="str">
        <f>_xlfn.XLOOKUP(tblSales[[#This Row],[Product Code]],tblProducts[Code],tblProducts[Category],"")</f>
        <v>Apparel &amp; Footwear</v>
      </c>
      <c r="I5241" s="4">
        <v>2</v>
      </c>
      <c r="J5241" s="5">
        <f>_xlfn.XLOOKUP(tblSales[[#This Row],[Product Code]],tblProducts[Code],tblProducts[Selling Price (excl. VAT)],0)</f>
        <v>120000</v>
      </c>
      <c r="K5241" s="5">
        <f>tblSales[[#This Row],[Qty]]*tblSales[[#This Row],[Unit Price]]</f>
        <v>240000</v>
      </c>
      <c r="L5241" s="5">
        <f>ROUND(tblSales[[#This Row],[DPP (excl. VAT)]]*VATEff,0)</f>
        <v>26400</v>
      </c>
      <c r="M5241" s="5">
        <f>tblSales[[#This Row],[DPP (excl. VAT)]]+tblSales[[#This Row],[Output VAT]]</f>
        <v>266400</v>
      </c>
      <c r="N5241" s="5">
        <f>tblSales[[#This Row],[Qty]]*_xlfn.XLOOKUP(tblSales[[#This Row],[Product Code]],tblProducts[Code],tblProducts[Unit Cost],0)</f>
        <v>144000</v>
      </c>
      <c r="O5241" s="4" t="s">
        <v>4866</v>
      </c>
      <c r="P5241" s="4" t="s">
        <v>4861</v>
      </c>
      <c r="Q5241" s="1" t="str">
        <f>_xlfn.XLOOKUP(tblSales[[#This Row],[Channel Code]],tblChannels[Channel Code],tblChannels[Channel Name],"")</f>
        <v>Marketplace</v>
      </c>
      <c r="R5241" s="1">
        <f>MONTH(tblSales[[#This Row],[Date]])</f>
        <v>11</v>
      </c>
    </row>
    <row r="5242" spans="2:18" x14ac:dyDescent="0.35">
      <c r="B5242" s="113">
        <v>46341</v>
      </c>
      <c r="C5242" s="4" t="s">
        <v>3589</v>
      </c>
      <c r="D5242" s="4" t="s">
        <v>4568</v>
      </c>
      <c r="E5242" s="1" t="str">
        <f>_xlfn.XLOOKUP(tblSales[[#This Row],[Customer ID]],tblCustomers[Customer ID],tblCustomers[Customer Name],"⚠ Unknown")</f>
        <v>Walk-in Customer</v>
      </c>
      <c r="F5242" s="4" t="s">
        <v>10</v>
      </c>
      <c r="G5242" s="1" t="str">
        <f>_xlfn.XLOOKUP(tblSales[[#This Row],[Product Code]],tblProducts[Code],tblProducts[Product / Service Name],"⚠ Unknown")</f>
        <v>Chino Pants</v>
      </c>
      <c r="H5242" s="1" t="str">
        <f>_xlfn.XLOOKUP(tblSales[[#This Row],[Product Code]],tblProducts[Code],tblProducts[Category],"")</f>
        <v>Apparel &amp; Footwear</v>
      </c>
      <c r="I5242" s="4">
        <v>8</v>
      </c>
      <c r="J5242" s="5">
        <f>_xlfn.XLOOKUP(tblSales[[#This Row],[Product Code]],tblProducts[Code],tblProducts[Selling Price (excl. VAT)],0)</f>
        <v>150000</v>
      </c>
      <c r="K5242" s="5">
        <f>tblSales[[#This Row],[Qty]]*tblSales[[#This Row],[Unit Price]]</f>
        <v>1200000</v>
      </c>
      <c r="L5242" s="5">
        <f>ROUND(tblSales[[#This Row],[DPP (excl. VAT)]]*VATEff,0)</f>
        <v>132000</v>
      </c>
      <c r="M5242" s="5">
        <f>tblSales[[#This Row],[DPP (excl. VAT)]]+tblSales[[#This Row],[Output VAT]]</f>
        <v>1332000</v>
      </c>
      <c r="N5242" s="5">
        <f>tblSales[[#This Row],[Qty]]*_xlfn.XLOOKUP(tblSales[[#This Row],[Product Code]],tblProducts[Code],tblProducts[Unit Cost],0)</f>
        <v>704000</v>
      </c>
      <c r="O5242" s="4" t="s">
        <v>4866</v>
      </c>
      <c r="P5242" s="4" t="s">
        <v>4862</v>
      </c>
      <c r="Q5242" s="1" t="str">
        <f>_xlfn.XLOOKUP(tblSales[[#This Row],[Channel Code]],tblChannels[Channel Code],tblChannels[Channel Name],"")</f>
        <v>Website &amp; Social Media</v>
      </c>
      <c r="R5242" s="1">
        <f>MONTH(tblSales[[#This Row],[Date]])</f>
        <v>11</v>
      </c>
    </row>
    <row r="5243" spans="2:18" x14ac:dyDescent="0.35">
      <c r="B5243" s="113">
        <v>46341</v>
      </c>
      <c r="C5243" s="4" t="s">
        <v>3590</v>
      </c>
      <c r="D5243" s="4" t="s">
        <v>4568</v>
      </c>
      <c r="E5243" s="1" t="str">
        <f>_xlfn.XLOOKUP(tblSales[[#This Row],[Customer ID]],tblCustomers[Customer ID],tblCustomers[Customer Name],"⚠ Unknown")</f>
        <v>Walk-in Customer</v>
      </c>
      <c r="F5243" s="4" t="s">
        <v>6</v>
      </c>
      <c r="G5243" s="1" t="str">
        <f>_xlfn.XLOOKUP(tblSales[[#This Row],[Product Code]],tblProducts[Code],tblProducts[Product / Service Name],"⚠ Unknown")</f>
        <v>Socks &amp; Accessories</v>
      </c>
      <c r="H5243" s="1" t="str">
        <f>_xlfn.XLOOKUP(tblSales[[#This Row],[Product Code]],tblProducts[Code],tblProducts[Category],"")</f>
        <v>Accessories &amp; Basics</v>
      </c>
      <c r="I5243" s="4">
        <v>5</v>
      </c>
      <c r="J5243" s="5">
        <f>_xlfn.XLOOKUP(tblSales[[#This Row],[Product Code]],tblProducts[Code],tblProducts[Selling Price (excl. VAT)],0)</f>
        <v>45000</v>
      </c>
      <c r="K5243" s="5">
        <f>tblSales[[#This Row],[Qty]]*tblSales[[#This Row],[Unit Price]]</f>
        <v>225000</v>
      </c>
      <c r="L5243" s="5">
        <f>ROUND(tblSales[[#This Row],[DPP (excl. VAT)]]*VATEff,0)</f>
        <v>24750</v>
      </c>
      <c r="M5243" s="5">
        <f>tblSales[[#This Row],[DPP (excl. VAT)]]+tblSales[[#This Row],[Output VAT]]</f>
        <v>249750</v>
      </c>
      <c r="N5243" s="5">
        <f>tblSales[[#This Row],[Qty]]*_xlfn.XLOOKUP(tblSales[[#This Row],[Product Code]],tblProducts[Code],tblProducts[Unit Cost],0)</f>
        <v>120000</v>
      </c>
      <c r="O5243" s="4" t="s">
        <v>4866</v>
      </c>
      <c r="P5243" s="4" t="s">
        <v>4860</v>
      </c>
      <c r="Q5243" s="1" t="str">
        <f>_xlfn.XLOOKUP(tblSales[[#This Row],[Channel Code]],tblChannels[Channel Code],tblChannels[Channel Name],"")</f>
        <v>In-store</v>
      </c>
      <c r="R5243" s="1">
        <f>MONTH(tblSales[[#This Row],[Date]])</f>
        <v>11</v>
      </c>
    </row>
    <row r="5244" spans="2:18" x14ac:dyDescent="0.35">
      <c r="B5244" s="113">
        <v>46341</v>
      </c>
      <c r="C5244" s="4" t="s">
        <v>3591</v>
      </c>
      <c r="D5244" s="4" t="s">
        <v>4568</v>
      </c>
      <c r="E5244" s="1" t="str">
        <f>_xlfn.XLOOKUP(tblSales[[#This Row],[Customer ID]],tblCustomers[Customer ID],tblCustomers[Customer Name],"⚠ Unknown")</f>
        <v>Walk-in Customer</v>
      </c>
      <c r="F5244" s="4" t="s">
        <v>8</v>
      </c>
      <c r="G5244" s="1" t="str">
        <f>_xlfn.XLOOKUP(tblSales[[#This Row],[Product Code]],tblProducts[Code],tblProducts[Product / Service Name],"⚠ Unknown")</f>
        <v>Casual Shorts</v>
      </c>
      <c r="H5244" s="1" t="str">
        <f>_xlfn.XLOOKUP(tblSales[[#This Row],[Product Code]],tblProducts[Code],tblProducts[Category],"")</f>
        <v>Accessories &amp; Basics</v>
      </c>
      <c r="I5244" s="4">
        <v>8</v>
      </c>
      <c r="J5244" s="5">
        <f>_xlfn.XLOOKUP(tblSales[[#This Row],[Product Code]],tblProducts[Code],tblProducts[Selling Price (excl. VAT)],0)</f>
        <v>85000</v>
      </c>
      <c r="K5244" s="5">
        <f>tblSales[[#This Row],[Qty]]*tblSales[[#This Row],[Unit Price]]</f>
        <v>680000</v>
      </c>
      <c r="L5244" s="5">
        <f>ROUND(tblSales[[#This Row],[DPP (excl. VAT)]]*VATEff,0)</f>
        <v>74800</v>
      </c>
      <c r="M5244" s="5">
        <f>tblSales[[#This Row],[DPP (excl. VAT)]]+tblSales[[#This Row],[Output VAT]]</f>
        <v>754800</v>
      </c>
      <c r="N5244" s="5">
        <f>tblSales[[#This Row],[Qty]]*_xlfn.XLOOKUP(tblSales[[#This Row],[Product Code]],tblProducts[Code],tblProducts[Unit Cost],0)</f>
        <v>400000</v>
      </c>
      <c r="O5244" s="4" t="s">
        <v>4866</v>
      </c>
      <c r="P5244" s="4" t="s">
        <v>4860</v>
      </c>
      <c r="Q5244" s="1" t="str">
        <f>_xlfn.XLOOKUP(tblSales[[#This Row],[Channel Code]],tblChannels[Channel Code],tblChannels[Channel Name],"")</f>
        <v>In-store</v>
      </c>
      <c r="R5244" s="1">
        <f>MONTH(tblSales[[#This Row],[Date]])</f>
        <v>11</v>
      </c>
    </row>
    <row r="5245" spans="2:18" x14ac:dyDescent="0.35">
      <c r="B5245" s="113">
        <v>46341</v>
      </c>
      <c r="C5245" s="4" t="s">
        <v>3592</v>
      </c>
      <c r="D5245" s="4" t="s">
        <v>4568</v>
      </c>
      <c r="E5245" s="1" t="str">
        <f>_xlfn.XLOOKUP(tblSales[[#This Row],[Customer ID]],tblCustomers[Customer ID],tblCustomers[Customer Name],"⚠ Unknown")</f>
        <v>Walk-in Customer</v>
      </c>
      <c r="F5245" s="4" t="s">
        <v>6</v>
      </c>
      <c r="G5245" s="1" t="str">
        <f>_xlfn.XLOOKUP(tblSales[[#This Row],[Product Code]],tblProducts[Code],tblProducts[Product / Service Name],"⚠ Unknown")</f>
        <v>Socks &amp; Accessories</v>
      </c>
      <c r="H5245" s="1" t="str">
        <f>_xlfn.XLOOKUP(tblSales[[#This Row],[Product Code]],tblProducts[Code],tblProducts[Category],"")</f>
        <v>Accessories &amp; Basics</v>
      </c>
      <c r="I5245" s="4">
        <v>3</v>
      </c>
      <c r="J5245" s="5">
        <f>_xlfn.XLOOKUP(tblSales[[#This Row],[Product Code]],tblProducts[Code],tblProducts[Selling Price (excl. VAT)],0)</f>
        <v>45000</v>
      </c>
      <c r="K5245" s="5">
        <f>tblSales[[#This Row],[Qty]]*tblSales[[#This Row],[Unit Price]]</f>
        <v>135000</v>
      </c>
      <c r="L5245" s="5">
        <f>ROUND(tblSales[[#This Row],[DPP (excl. VAT)]]*VATEff,0)</f>
        <v>14850</v>
      </c>
      <c r="M5245" s="5">
        <f>tblSales[[#This Row],[DPP (excl. VAT)]]+tblSales[[#This Row],[Output VAT]]</f>
        <v>149850</v>
      </c>
      <c r="N5245" s="5">
        <f>tblSales[[#This Row],[Qty]]*_xlfn.XLOOKUP(tblSales[[#This Row],[Product Code]],tblProducts[Code],tblProducts[Unit Cost],0)</f>
        <v>72000</v>
      </c>
      <c r="O5245" s="4" t="s">
        <v>4865</v>
      </c>
      <c r="P5245" s="4" t="s">
        <v>4860</v>
      </c>
      <c r="Q5245" s="1" t="str">
        <f>_xlfn.XLOOKUP(tblSales[[#This Row],[Channel Code]],tblChannels[Channel Code],tblChannels[Channel Name],"")</f>
        <v>In-store</v>
      </c>
      <c r="R5245" s="1">
        <f>MONTH(tblSales[[#This Row],[Date]])</f>
        <v>11</v>
      </c>
    </row>
    <row r="5246" spans="2:18" x14ac:dyDescent="0.35">
      <c r="B5246" s="113">
        <v>46341</v>
      </c>
      <c r="C5246" s="4" t="s">
        <v>3592</v>
      </c>
      <c r="D5246" s="4" t="s">
        <v>4568</v>
      </c>
      <c r="E5246" s="1" t="str">
        <f>_xlfn.XLOOKUP(tblSales[[#This Row],[Customer ID]],tblCustomers[Customer ID],tblCustomers[Customer Name],"⚠ Unknown")</f>
        <v>Walk-in Customer</v>
      </c>
      <c r="F5246" s="4" t="s">
        <v>12</v>
      </c>
      <c r="G5246" s="1" t="str">
        <f>_xlfn.XLOOKUP(tblSales[[#This Row],[Product Code]],tblProducts[Code],tblProducts[Product / Service Name],"⚠ Unknown")</f>
        <v>Bomber Jacket</v>
      </c>
      <c r="H5246" s="1" t="str">
        <f>_xlfn.XLOOKUP(tblSales[[#This Row],[Product Code]],tblProducts[Code],tblProducts[Category],"")</f>
        <v>Apparel &amp; Footwear</v>
      </c>
      <c r="I5246" s="4">
        <v>2</v>
      </c>
      <c r="J5246" s="5">
        <f>_xlfn.XLOOKUP(tblSales[[#This Row],[Product Code]],tblProducts[Code],tblProducts[Selling Price (excl. VAT)],0)</f>
        <v>350000</v>
      </c>
      <c r="K5246" s="5">
        <f>tblSales[[#This Row],[Qty]]*tblSales[[#This Row],[Unit Price]]</f>
        <v>700000</v>
      </c>
      <c r="L5246" s="5">
        <f>ROUND(tblSales[[#This Row],[DPP (excl. VAT)]]*VATEff,0)</f>
        <v>77000</v>
      </c>
      <c r="M5246" s="5">
        <f>tblSales[[#This Row],[DPP (excl. VAT)]]+tblSales[[#This Row],[Output VAT]]</f>
        <v>777000</v>
      </c>
      <c r="N5246" s="5">
        <f>tblSales[[#This Row],[Qty]]*_xlfn.XLOOKUP(tblSales[[#This Row],[Product Code]],tblProducts[Code],tblProducts[Unit Cost],0)</f>
        <v>420000</v>
      </c>
      <c r="O5246" s="4" t="s">
        <v>4865</v>
      </c>
      <c r="P5246" s="4" t="s">
        <v>4860</v>
      </c>
      <c r="Q5246" s="1" t="str">
        <f>_xlfn.XLOOKUP(tblSales[[#This Row],[Channel Code]],tblChannels[Channel Code],tblChannels[Channel Name],"")</f>
        <v>In-store</v>
      </c>
      <c r="R5246" s="1">
        <f>MONTH(tblSales[[#This Row],[Date]])</f>
        <v>11</v>
      </c>
    </row>
    <row r="5247" spans="2:18" x14ac:dyDescent="0.35">
      <c r="B5247" s="113">
        <v>46341</v>
      </c>
      <c r="C5247" s="4" t="s">
        <v>3592</v>
      </c>
      <c r="D5247" s="4" t="s">
        <v>4568</v>
      </c>
      <c r="E5247" s="1" t="str">
        <f>_xlfn.XLOOKUP(tblSales[[#This Row],[Customer ID]],tblCustomers[Customer ID],tblCustomers[Customer Name],"⚠ Unknown")</f>
        <v>Walk-in Customer</v>
      </c>
      <c r="F5247" s="4" t="s">
        <v>13</v>
      </c>
      <c r="G5247" s="1" t="str">
        <f>_xlfn.XLOOKUP(tblSales[[#This Row],[Product Code]],tblProducts[Code],tblProducts[Product / Service Name],"⚠ Unknown")</f>
        <v>Backpack</v>
      </c>
      <c r="H5247" s="1" t="str">
        <f>_xlfn.XLOOKUP(tblSales[[#This Row],[Product Code]],tblProducts[Code],tblProducts[Category],"")</f>
        <v>Bags &amp; Gadgets</v>
      </c>
      <c r="I5247" s="4">
        <v>3</v>
      </c>
      <c r="J5247" s="5">
        <f>_xlfn.XLOOKUP(tblSales[[#This Row],[Product Code]],tblProducts[Code],tblProducts[Selling Price (excl. VAT)],0)</f>
        <v>500000</v>
      </c>
      <c r="K5247" s="5">
        <f>tblSales[[#This Row],[Qty]]*tblSales[[#This Row],[Unit Price]]</f>
        <v>1500000</v>
      </c>
      <c r="L5247" s="5">
        <f>ROUND(tblSales[[#This Row],[DPP (excl. VAT)]]*VATEff,0)</f>
        <v>165000</v>
      </c>
      <c r="M5247" s="5">
        <f>tblSales[[#This Row],[DPP (excl. VAT)]]+tblSales[[#This Row],[Output VAT]]</f>
        <v>1665000</v>
      </c>
      <c r="N5247" s="5">
        <f>tblSales[[#This Row],[Qty]]*_xlfn.XLOOKUP(tblSales[[#This Row],[Product Code]],tblProducts[Code],tblProducts[Unit Cost],0)</f>
        <v>870000</v>
      </c>
      <c r="O5247" s="4" t="s">
        <v>4865</v>
      </c>
      <c r="P5247" s="4" t="s">
        <v>4860</v>
      </c>
      <c r="Q5247" s="1" t="str">
        <f>_xlfn.XLOOKUP(tblSales[[#This Row],[Channel Code]],tblChannels[Channel Code],tblChannels[Channel Name],"")</f>
        <v>In-store</v>
      </c>
      <c r="R5247" s="1">
        <f>MONTH(tblSales[[#This Row],[Date]])</f>
        <v>11</v>
      </c>
    </row>
    <row r="5248" spans="2:18" x14ac:dyDescent="0.35">
      <c r="B5248" s="113">
        <v>46341</v>
      </c>
      <c r="C5248" s="4" t="s">
        <v>3593</v>
      </c>
      <c r="D5248" s="4" t="s">
        <v>4627</v>
      </c>
      <c r="E5248" s="1" t="str">
        <f>_xlfn.XLOOKUP(tblSales[[#This Row],[Customer ID]],tblCustomers[Customer ID],tblCustomers[Customer Name],"⚠ Unknown")</f>
        <v>PT Kencana Wira Usaha</v>
      </c>
      <c r="F5248" s="4" t="s">
        <v>12</v>
      </c>
      <c r="G5248" s="1" t="str">
        <f>_xlfn.XLOOKUP(tblSales[[#This Row],[Product Code]],tblProducts[Code],tblProducts[Product / Service Name],"⚠ Unknown")</f>
        <v>Bomber Jacket</v>
      </c>
      <c r="H5248" s="1" t="str">
        <f>_xlfn.XLOOKUP(tblSales[[#This Row],[Product Code]],tblProducts[Code],tblProducts[Category],"")</f>
        <v>Apparel &amp; Footwear</v>
      </c>
      <c r="I5248" s="4">
        <v>16</v>
      </c>
      <c r="J5248" s="5">
        <f>_xlfn.XLOOKUP(tblSales[[#This Row],[Product Code]],tblProducts[Code],tblProducts[Selling Price (excl. VAT)],0)</f>
        <v>350000</v>
      </c>
      <c r="K5248" s="5">
        <f>tblSales[[#This Row],[Qty]]*tblSales[[#This Row],[Unit Price]]</f>
        <v>5600000</v>
      </c>
      <c r="L5248" s="5">
        <f>ROUND(tblSales[[#This Row],[DPP (excl. VAT)]]*VATEff,0)</f>
        <v>616000</v>
      </c>
      <c r="M5248" s="5">
        <f>tblSales[[#This Row],[DPP (excl. VAT)]]+tblSales[[#This Row],[Output VAT]]</f>
        <v>6216000</v>
      </c>
      <c r="N5248" s="5">
        <f>tblSales[[#This Row],[Qty]]*_xlfn.XLOOKUP(tblSales[[#This Row],[Product Code]],tblProducts[Code],tblProducts[Unit Cost],0)</f>
        <v>3360000</v>
      </c>
      <c r="O5248" s="4" t="s">
        <v>4867</v>
      </c>
      <c r="P5248" s="4" t="s">
        <v>4860</v>
      </c>
      <c r="Q5248" s="1" t="str">
        <f>_xlfn.XLOOKUP(tblSales[[#This Row],[Channel Code]],tblChannels[Channel Code],tblChannels[Channel Name],"")</f>
        <v>In-store</v>
      </c>
      <c r="R5248" s="1">
        <f>MONTH(tblSales[[#This Row],[Date]])</f>
        <v>11</v>
      </c>
    </row>
    <row r="5249" spans="2:18" x14ac:dyDescent="0.35">
      <c r="B5249" s="113">
        <v>46341</v>
      </c>
      <c r="C5249" s="4" t="s">
        <v>3594</v>
      </c>
      <c r="D5249" s="4" t="s">
        <v>4620</v>
      </c>
      <c r="E5249" s="1" t="str">
        <f>_xlfn.XLOOKUP(tblSales[[#This Row],[Customer ID]],tblCustomers[Customer ID],tblCustomers[Customer Name],"⚠ Unknown")</f>
        <v>CV Sumber Rejeki Utama</v>
      </c>
      <c r="F5249" s="4" t="s">
        <v>13</v>
      </c>
      <c r="G5249" s="1" t="str">
        <f>_xlfn.XLOOKUP(tblSales[[#This Row],[Product Code]],tblProducts[Code],tblProducts[Product / Service Name],"⚠ Unknown")</f>
        <v>Backpack</v>
      </c>
      <c r="H5249" s="1" t="str">
        <f>_xlfn.XLOOKUP(tblSales[[#This Row],[Product Code]],tblProducts[Code],tblProducts[Category],"")</f>
        <v>Bags &amp; Gadgets</v>
      </c>
      <c r="I5249" s="4">
        <v>8</v>
      </c>
      <c r="J5249" s="5">
        <f>_xlfn.XLOOKUP(tblSales[[#This Row],[Product Code]],tblProducts[Code],tblProducts[Selling Price (excl. VAT)],0)</f>
        <v>500000</v>
      </c>
      <c r="K5249" s="5">
        <f>tblSales[[#This Row],[Qty]]*tblSales[[#This Row],[Unit Price]]</f>
        <v>4000000</v>
      </c>
      <c r="L5249" s="5">
        <f>ROUND(tblSales[[#This Row],[DPP (excl. VAT)]]*VATEff,0)</f>
        <v>440000</v>
      </c>
      <c r="M5249" s="5">
        <f>tblSales[[#This Row],[DPP (excl. VAT)]]+tblSales[[#This Row],[Output VAT]]</f>
        <v>4440000</v>
      </c>
      <c r="N5249" s="5">
        <f>tblSales[[#This Row],[Qty]]*_xlfn.XLOOKUP(tblSales[[#This Row],[Product Code]],tblProducts[Code],tblProducts[Unit Cost],0)</f>
        <v>2320000</v>
      </c>
      <c r="O5249" s="4" t="s">
        <v>4867</v>
      </c>
      <c r="P5249" s="4" t="s">
        <v>4862</v>
      </c>
      <c r="Q5249" s="1" t="str">
        <f>_xlfn.XLOOKUP(tblSales[[#This Row],[Channel Code]],tblChannels[Channel Code],tblChannels[Channel Name],"")</f>
        <v>Website &amp; Social Media</v>
      </c>
      <c r="R5249" s="1">
        <f>MONTH(tblSales[[#This Row],[Date]])</f>
        <v>11</v>
      </c>
    </row>
    <row r="5250" spans="2:18" x14ac:dyDescent="0.35">
      <c r="B5250" s="113">
        <v>46341</v>
      </c>
      <c r="C5250" s="4" t="s">
        <v>3594</v>
      </c>
      <c r="D5250" s="4" t="s">
        <v>4620</v>
      </c>
      <c r="E5250" s="1" t="str">
        <f>_xlfn.XLOOKUP(tblSales[[#This Row],[Customer ID]],tblCustomers[Customer ID],tblCustomers[Customer Name],"⚠ Unknown")</f>
        <v>CV Sumber Rejeki Utama</v>
      </c>
      <c r="F5250" s="4" t="s">
        <v>8</v>
      </c>
      <c r="G5250" s="1" t="str">
        <f>_xlfn.XLOOKUP(tblSales[[#This Row],[Product Code]],tblProducts[Code],tblProducts[Product / Service Name],"⚠ Unknown")</f>
        <v>Casual Shorts</v>
      </c>
      <c r="H5250" s="1" t="str">
        <f>_xlfn.XLOOKUP(tblSales[[#This Row],[Product Code]],tblProducts[Code],tblProducts[Category],"")</f>
        <v>Accessories &amp; Basics</v>
      </c>
      <c r="I5250" s="4">
        <v>8</v>
      </c>
      <c r="J5250" s="5">
        <f>_xlfn.XLOOKUP(tblSales[[#This Row],[Product Code]],tblProducts[Code],tblProducts[Selling Price (excl. VAT)],0)</f>
        <v>85000</v>
      </c>
      <c r="K5250" s="5">
        <f>tblSales[[#This Row],[Qty]]*tblSales[[#This Row],[Unit Price]]</f>
        <v>680000</v>
      </c>
      <c r="L5250" s="5">
        <f>ROUND(tblSales[[#This Row],[DPP (excl. VAT)]]*VATEff,0)</f>
        <v>74800</v>
      </c>
      <c r="M5250" s="5">
        <f>tblSales[[#This Row],[DPP (excl. VAT)]]+tblSales[[#This Row],[Output VAT]]</f>
        <v>754800</v>
      </c>
      <c r="N5250" s="5">
        <f>tblSales[[#This Row],[Qty]]*_xlfn.XLOOKUP(tblSales[[#This Row],[Product Code]],tblProducts[Code],tblProducts[Unit Cost],0)</f>
        <v>400000</v>
      </c>
      <c r="O5250" s="4" t="s">
        <v>4867</v>
      </c>
      <c r="P5250" s="4" t="s">
        <v>4862</v>
      </c>
      <c r="Q5250" s="1" t="str">
        <f>_xlfn.XLOOKUP(tblSales[[#This Row],[Channel Code]],tblChannels[Channel Code],tblChannels[Channel Name],"")</f>
        <v>Website &amp; Social Media</v>
      </c>
      <c r="R5250" s="1">
        <f>MONTH(tblSales[[#This Row],[Date]])</f>
        <v>11</v>
      </c>
    </row>
    <row r="5251" spans="2:18" x14ac:dyDescent="0.35">
      <c r="B5251" s="113">
        <v>46341</v>
      </c>
      <c r="C5251" s="4" t="s">
        <v>3595</v>
      </c>
      <c r="D5251" s="4" t="s">
        <v>4585</v>
      </c>
      <c r="E5251" s="1" t="str">
        <f>_xlfn.XLOOKUP(tblSales[[#This Row],[Customer ID]],tblCustomers[Customer ID],tblCustomers[Customer Name],"⚠ Unknown")</f>
        <v>CV Mitra Karya Mandiri</v>
      </c>
      <c r="F5251" s="4" t="s">
        <v>11</v>
      </c>
      <c r="G5251" s="1" t="str">
        <f>_xlfn.XLOOKUP(tblSales[[#This Row],[Product Code]],tblProducts[Code],tblProducts[Product / Service Name],"⚠ Unknown")</f>
        <v>Sneakers</v>
      </c>
      <c r="H5251" s="1" t="str">
        <f>_xlfn.XLOOKUP(tblSales[[#This Row],[Product Code]],tblProducts[Code],tblProducts[Category],"")</f>
        <v>Apparel &amp; Footwear</v>
      </c>
      <c r="I5251" s="4">
        <v>48</v>
      </c>
      <c r="J5251" s="5">
        <f>_xlfn.XLOOKUP(tblSales[[#This Row],[Product Code]],tblProducts[Code],tblProducts[Selling Price (excl. VAT)],0)</f>
        <v>250000</v>
      </c>
      <c r="K5251" s="5">
        <f>tblSales[[#This Row],[Qty]]*tblSales[[#This Row],[Unit Price]]</f>
        <v>12000000</v>
      </c>
      <c r="L5251" s="5">
        <f>ROUND(tblSales[[#This Row],[DPP (excl. VAT)]]*VATEff,0)</f>
        <v>1320000</v>
      </c>
      <c r="M5251" s="5">
        <f>tblSales[[#This Row],[DPP (excl. VAT)]]+tblSales[[#This Row],[Output VAT]]</f>
        <v>13320000</v>
      </c>
      <c r="N5251" s="5">
        <f>tblSales[[#This Row],[Qty]]*_xlfn.XLOOKUP(tblSales[[#This Row],[Product Code]],tblProducts[Code],tblProducts[Unit Cost],0)</f>
        <v>7440000</v>
      </c>
      <c r="O5251" s="4" t="s">
        <v>4867</v>
      </c>
      <c r="P5251" s="4" t="s">
        <v>4860</v>
      </c>
      <c r="Q5251" s="1" t="str">
        <f>_xlfn.XLOOKUP(tblSales[[#This Row],[Channel Code]],tblChannels[Channel Code],tblChannels[Channel Name],"")</f>
        <v>In-store</v>
      </c>
      <c r="R5251" s="1">
        <f>MONTH(tblSales[[#This Row],[Date]])</f>
        <v>11</v>
      </c>
    </row>
    <row r="5252" spans="2:18" x14ac:dyDescent="0.35">
      <c r="B5252" s="113">
        <v>46341</v>
      </c>
      <c r="C5252" s="4" t="s">
        <v>3595</v>
      </c>
      <c r="D5252" s="4" t="s">
        <v>4585</v>
      </c>
      <c r="E5252" s="1" t="str">
        <f>_xlfn.XLOOKUP(tblSales[[#This Row],[Customer ID]],tblCustomers[Customer ID],tblCustomers[Customer Name],"⚠ Unknown")</f>
        <v>CV Mitra Karya Mandiri</v>
      </c>
      <c r="F5252" s="4" t="s">
        <v>7</v>
      </c>
      <c r="G5252" s="1" t="str">
        <f>_xlfn.XLOOKUP(tblSales[[#This Row],[Product Code]],tblProducts[Code],tblProducts[Product / Service Name],"⚠ Unknown")</f>
        <v>Premium Basic T-shirt</v>
      </c>
      <c r="H5252" s="1" t="str">
        <f>_xlfn.XLOOKUP(tblSales[[#This Row],[Product Code]],tblProducts[Code],tblProducts[Category],"")</f>
        <v>Accessories &amp; Basics</v>
      </c>
      <c r="I5252" s="4">
        <v>72</v>
      </c>
      <c r="J5252" s="5">
        <f>_xlfn.XLOOKUP(tblSales[[#This Row],[Product Code]],tblProducts[Code],tblProducts[Selling Price (excl. VAT)],0)</f>
        <v>65000</v>
      </c>
      <c r="K5252" s="5">
        <f>tblSales[[#This Row],[Qty]]*tblSales[[#This Row],[Unit Price]]</f>
        <v>4680000</v>
      </c>
      <c r="L5252" s="5">
        <f>ROUND(tblSales[[#This Row],[DPP (excl. VAT)]]*VATEff,0)</f>
        <v>514800</v>
      </c>
      <c r="M5252" s="5">
        <f>tblSales[[#This Row],[DPP (excl. VAT)]]+tblSales[[#This Row],[Output VAT]]</f>
        <v>5194800</v>
      </c>
      <c r="N5252" s="5">
        <f>tblSales[[#This Row],[Qty]]*_xlfn.XLOOKUP(tblSales[[#This Row],[Product Code]],tblProducts[Code],tblProducts[Unit Cost],0)</f>
        <v>2664000</v>
      </c>
      <c r="O5252" s="4" t="s">
        <v>4867</v>
      </c>
      <c r="P5252" s="4" t="s">
        <v>4860</v>
      </c>
      <c r="Q5252" s="1" t="str">
        <f>_xlfn.XLOOKUP(tblSales[[#This Row],[Channel Code]],tblChannels[Channel Code],tblChannels[Channel Name],"")</f>
        <v>In-store</v>
      </c>
      <c r="R5252" s="1">
        <f>MONTH(tblSales[[#This Row],[Date]])</f>
        <v>11</v>
      </c>
    </row>
    <row r="5253" spans="2:18" x14ac:dyDescent="0.35">
      <c r="B5253" s="113">
        <v>46341</v>
      </c>
      <c r="C5253" s="4" t="s">
        <v>3596</v>
      </c>
      <c r="D5253" s="4" t="s">
        <v>4568</v>
      </c>
      <c r="E5253" s="1" t="str">
        <f>_xlfn.XLOOKUP(tblSales[[#This Row],[Customer ID]],tblCustomers[Customer ID],tblCustomers[Customer Name],"⚠ Unknown")</f>
        <v>Walk-in Customer</v>
      </c>
      <c r="F5253" s="4" t="s">
        <v>9</v>
      </c>
      <c r="G5253" s="1" t="str">
        <f>_xlfn.XLOOKUP(tblSales[[#This Row],[Product Code]],tblProducts[Code],tblProducts[Product / Service Name],"⚠ Unknown")</f>
        <v>Casual Shirt</v>
      </c>
      <c r="H5253" s="1" t="str">
        <f>_xlfn.XLOOKUP(tblSales[[#This Row],[Product Code]],tblProducts[Code],tblProducts[Category],"")</f>
        <v>Apparel &amp; Footwear</v>
      </c>
      <c r="I5253" s="4">
        <v>9</v>
      </c>
      <c r="J5253" s="5">
        <f>_xlfn.XLOOKUP(tblSales[[#This Row],[Product Code]],tblProducts[Code],tblProducts[Selling Price (excl. VAT)],0)</f>
        <v>120000</v>
      </c>
      <c r="K5253" s="5">
        <f>tblSales[[#This Row],[Qty]]*tblSales[[#This Row],[Unit Price]]</f>
        <v>1080000</v>
      </c>
      <c r="L5253" s="5">
        <f>ROUND(tblSales[[#This Row],[DPP (excl. VAT)]]*VATEff,0)</f>
        <v>118800</v>
      </c>
      <c r="M5253" s="5">
        <f>tblSales[[#This Row],[DPP (excl. VAT)]]+tblSales[[#This Row],[Output VAT]]</f>
        <v>1198800</v>
      </c>
      <c r="N5253" s="5">
        <f>tblSales[[#This Row],[Qty]]*_xlfn.XLOOKUP(tblSales[[#This Row],[Product Code]],tblProducts[Code],tblProducts[Unit Cost],0)</f>
        <v>648000</v>
      </c>
      <c r="O5253" s="4" t="s">
        <v>4866</v>
      </c>
      <c r="P5253" s="4" t="s">
        <v>4860</v>
      </c>
      <c r="Q5253" s="1" t="str">
        <f>_xlfn.XLOOKUP(tblSales[[#This Row],[Channel Code]],tblChannels[Channel Code],tblChannels[Channel Name],"")</f>
        <v>In-store</v>
      </c>
      <c r="R5253" s="1">
        <f>MONTH(tblSales[[#This Row],[Date]])</f>
        <v>11</v>
      </c>
    </row>
    <row r="5254" spans="2:18" x14ac:dyDescent="0.35">
      <c r="B5254" s="113">
        <v>46341</v>
      </c>
      <c r="C5254" s="4" t="s">
        <v>3596</v>
      </c>
      <c r="D5254" s="4" t="s">
        <v>4568</v>
      </c>
      <c r="E5254" s="1" t="str">
        <f>_xlfn.XLOOKUP(tblSales[[#This Row],[Customer ID]],tblCustomers[Customer ID],tblCustomers[Customer Name],"⚠ Unknown")</f>
        <v>Walk-in Customer</v>
      </c>
      <c r="F5254" s="4" t="s">
        <v>6</v>
      </c>
      <c r="G5254" s="1" t="str">
        <f>_xlfn.XLOOKUP(tblSales[[#This Row],[Product Code]],tblProducts[Code],tblProducts[Product / Service Name],"⚠ Unknown")</f>
        <v>Socks &amp; Accessories</v>
      </c>
      <c r="H5254" s="1" t="str">
        <f>_xlfn.XLOOKUP(tblSales[[#This Row],[Product Code]],tblProducts[Code],tblProducts[Category],"")</f>
        <v>Accessories &amp; Basics</v>
      </c>
      <c r="I5254" s="4">
        <v>8</v>
      </c>
      <c r="J5254" s="5">
        <f>_xlfn.XLOOKUP(tblSales[[#This Row],[Product Code]],tblProducts[Code],tblProducts[Selling Price (excl. VAT)],0)</f>
        <v>45000</v>
      </c>
      <c r="K5254" s="5">
        <f>tblSales[[#This Row],[Qty]]*tblSales[[#This Row],[Unit Price]]</f>
        <v>360000</v>
      </c>
      <c r="L5254" s="5">
        <f>ROUND(tblSales[[#This Row],[DPP (excl. VAT)]]*VATEff,0)</f>
        <v>39600</v>
      </c>
      <c r="M5254" s="5">
        <f>tblSales[[#This Row],[DPP (excl. VAT)]]+tblSales[[#This Row],[Output VAT]]</f>
        <v>399600</v>
      </c>
      <c r="N5254" s="5">
        <f>tblSales[[#This Row],[Qty]]*_xlfn.XLOOKUP(tblSales[[#This Row],[Product Code]],tblProducts[Code],tblProducts[Unit Cost],0)</f>
        <v>192000</v>
      </c>
      <c r="O5254" s="4" t="s">
        <v>4866</v>
      </c>
      <c r="P5254" s="4" t="s">
        <v>4860</v>
      </c>
      <c r="Q5254" s="1" t="str">
        <f>_xlfn.XLOOKUP(tblSales[[#This Row],[Channel Code]],tblChannels[Channel Code],tblChannels[Channel Name],"")</f>
        <v>In-store</v>
      </c>
      <c r="R5254" s="1">
        <f>MONTH(tblSales[[#This Row],[Date]])</f>
        <v>11</v>
      </c>
    </row>
    <row r="5255" spans="2:18" x14ac:dyDescent="0.35">
      <c r="B5255" s="113">
        <v>46341</v>
      </c>
      <c r="C5255" s="4" t="s">
        <v>3596</v>
      </c>
      <c r="D5255" s="4" t="s">
        <v>4568</v>
      </c>
      <c r="E5255" s="1" t="str">
        <f>_xlfn.XLOOKUP(tblSales[[#This Row],[Customer ID]],tblCustomers[Customer ID],tblCustomers[Customer Name],"⚠ Unknown")</f>
        <v>Walk-in Customer</v>
      </c>
      <c r="F5255" s="4" t="s">
        <v>10</v>
      </c>
      <c r="G5255" s="1" t="str">
        <f>_xlfn.XLOOKUP(tblSales[[#This Row],[Product Code]],tblProducts[Code],tblProducts[Product / Service Name],"⚠ Unknown")</f>
        <v>Chino Pants</v>
      </c>
      <c r="H5255" s="1" t="str">
        <f>_xlfn.XLOOKUP(tblSales[[#This Row],[Product Code]],tblProducts[Code],tblProducts[Category],"")</f>
        <v>Apparel &amp; Footwear</v>
      </c>
      <c r="I5255" s="4">
        <v>10</v>
      </c>
      <c r="J5255" s="5">
        <f>_xlfn.XLOOKUP(tblSales[[#This Row],[Product Code]],tblProducts[Code],tblProducts[Selling Price (excl. VAT)],0)</f>
        <v>150000</v>
      </c>
      <c r="K5255" s="5">
        <f>tblSales[[#This Row],[Qty]]*tblSales[[#This Row],[Unit Price]]</f>
        <v>1500000</v>
      </c>
      <c r="L5255" s="5">
        <f>ROUND(tblSales[[#This Row],[DPP (excl. VAT)]]*VATEff,0)</f>
        <v>165000</v>
      </c>
      <c r="M5255" s="5">
        <f>tblSales[[#This Row],[DPP (excl. VAT)]]+tblSales[[#This Row],[Output VAT]]</f>
        <v>1665000</v>
      </c>
      <c r="N5255" s="5">
        <f>tblSales[[#This Row],[Qty]]*_xlfn.XLOOKUP(tblSales[[#This Row],[Product Code]],tblProducts[Code],tblProducts[Unit Cost],0)</f>
        <v>880000</v>
      </c>
      <c r="O5255" s="4" t="s">
        <v>4866</v>
      </c>
      <c r="P5255" s="4" t="s">
        <v>4860</v>
      </c>
      <c r="Q5255" s="1" t="str">
        <f>_xlfn.XLOOKUP(tblSales[[#This Row],[Channel Code]],tblChannels[Channel Code],tblChannels[Channel Name],"")</f>
        <v>In-store</v>
      </c>
      <c r="R5255" s="1">
        <f>MONTH(tblSales[[#This Row],[Date]])</f>
        <v>11</v>
      </c>
    </row>
    <row r="5256" spans="2:18" x14ac:dyDescent="0.35">
      <c r="B5256" s="113">
        <v>46341</v>
      </c>
      <c r="C5256" s="4" t="s">
        <v>3597</v>
      </c>
      <c r="D5256" s="4" t="s">
        <v>4568</v>
      </c>
      <c r="E5256" s="1" t="str">
        <f>_xlfn.XLOOKUP(tblSales[[#This Row],[Customer ID]],tblCustomers[Customer ID],tblCustomers[Customer Name],"⚠ Unknown")</f>
        <v>Walk-in Customer</v>
      </c>
      <c r="F5256" s="4" t="s">
        <v>6</v>
      </c>
      <c r="G5256" s="1" t="str">
        <f>_xlfn.XLOOKUP(tblSales[[#This Row],[Product Code]],tblProducts[Code],tblProducts[Product / Service Name],"⚠ Unknown")</f>
        <v>Socks &amp; Accessories</v>
      </c>
      <c r="H5256" s="1" t="str">
        <f>_xlfn.XLOOKUP(tblSales[[#This Row],[Product Code]],tblProducts[Code],tblProducts[Category],"")</f>
        <v>Accessories &amp; Basics</v>
      </c>
      <c r="I5256" s="4">
        <v>10</v>
      </c>
      <c r="J5256" s="5">
        <f>_xlfn.XLOOKUP(tblSales[[#This Row],[Product Code]],tblProducts[Code],tblProducts[Selling Price (excl. VAT)],0)</f>
        <v>45000</v>
      </c>
      <c r="K5256" s="5">
        <f>tblSales[[#This Row],[Qty]]*tblSales[[#This Row],[Unit Price]]</f>
        <v>450000</v>
      </c>
      <c r="L5256" s="5">
        <f>ROUND(tblSales[[#This Row],[DPP (excl. VAT)]]*VATEff,0)</f>
        <v>49500</v>
      </c>
      <c r="M5256" s="5">
        <f>tblSales[[#This Row],[DPP (excl. VAT)]]+tblSales[[#This Row],[Output VAT]]</f>
        <v>499500</v>
      </c>
      <c r="N5256" s="5">
        <f>tblSales[[#This Row],[Qty]]*_xlfn.XLOOKUP(tblSales[[#This Row],[Product Code]],tblProducts[Code],tblProducts[Unit Cost],0)</f>
        <v>240000</v>
      </c>
      <c r="O5256" s="4" t="s">
        <v>4865</v>
      </c>
      <c r="P5256" s="4" t="s">
        <v>4860</v>
      </c>
      <c r="Q5256" s="1" t="str">
        <f>_xlfn.XLOOKUP(tblSales[[#This Row],[Channel Code]],tblChannels[Channel Code],tblChannels[Channel Name],"")</f>
        <v>In-store</v>
      </c>
      <c r="R5256" s="1">
        <f>MONTH(tblSales[[#This Row],[Date]])</f>
        <v>11</v>
      </c>
    </row>
    <row r="5257" spans="2:18" x14ac:dyDescent="0.35">
      <c r="B5257" s="113">
        <v>46341</v>
      </c>
      <c r="C5257" s="4" t="s">
        <v>3598</v>
      </c>
      <c r="D5257" s="4" t="s">
        <v>4568</v>
      </c>
      <c r="E5257" s="1" t="str">
        <f>_xlfn.XLOOKUP(tblSales[[#This Row],[Customer ID]],tblCustomers[Customer ID],tblCustomers[Customer Name],"⚠ Unknown")</f>
        <v>Walk-in Customer</v>
      </c>
      <c r="F5257" s="4" t="s">
        <v>13</v>
      </c>
      <c r="G5257" s="1" t="str">
        <f>_xlfn.XLOOKUP(tblSales[[#This Row],[Product Code]],tblProducts[Code],tblProducts[Product / Service Name],"⚠ Unknown")</f>
        <v>Backpack</v>
      </c>
      <c r="H5257" s="1" t="str">
        <f>_xlfn.XLOOKUP(tblSales[[#This Row],[Product Code]],tblProducts[Code],tblProducts[Category],"")</f>
        <v>Bags &amp; Gadgets</v>
      </c>
      <c r="I5257" s="4">
        <v>5</v>
      </c>
      <c r="J5257" s="5">
        <f>_xlfn.XLOOKUP(tblSales[[#This Row],[Product Code]],tblProducts[Code],tblProducts[Selling Price (excl. VAT)],0)</f>
        <v>500000</v>
      </c>
      <c r="K5257" s="5">
        <f>tblSales[[#This Row],[Qty]]*tblSales[[#This Row],[Unit Price]]</f>
        <v>2500000</v>
      </c>
      <c r="L5257" s="5">
        <f>ROUND(tblSales[[#This Row],[DPP (excl. VAT)]]*VATEff,0)</f>
        <v>275000</v>
      </c>
      <c r="M5257" s="5">
        <f>tblSales[[#This Row],[DPP (excl. VAT)]]+tblSales[[#This Row],[Output VAT]]</f>
        <v>2775000</v>
      </c>
      <c r="N5257" s="5">
        <f>tblSales[[#This Row],[Qty]]*_xlfn.XLOOKUP(tblSales[[#This Row],[Product Code]],tblProducts[Code],tblProducts[Unit Cost],0)</f>
        <v>1450000</v>
      </c>
      <c r="O5257" s="4" t="s">
        <v>4865</v>
      </c>
      <c r="P5257" s="4" t="s">
        <v>4860</v>
      </c>
      <c r="Q5257" s="1" t="str">
        <f>_xlfn.XLOOKUP(tblSales[[#This Row],[Channel Code]],tblChannels[Channel Code],tblChannels[Channel Name],"")</f>
        <v>In-store</v>
      </c>
      <c r="R5257" s="1">
        <f>MONTH(tblSales[[#This Row],[Date]])</f>
        <v>11</v>
      </c>
    </row>
    <row r="5258" spans="2:18" x14ac:dyDescent="0.35">
      <c r="B5258" s="113">
        <v>46341</v>
      </c>
      <c r="C5258" s="4" t="s">
        <v>3599</v>
      </c>
      <c r="D5258" s="4" t="s">
        <v>4568</v>
      </c>
      <c r="E5258" s="1" t="str">
        <f>_xlfn.XLOOKUP(tblSales[[#This Row],[Customer ID]],tblCustomers[Customer ID],tblCustomers[Customer Name],"⚠ Unknown")</f>
        <v>Walk-in Customer</v>
      </c>
      <c r="F5258" s="4" t="s">
        <v>13</v>
      </c>
      <c r="G5258" s="1" t="str">
        <f>_xlfn.XLOOKUP(tblSales[[#This Row],[Product Code]],tblProducts[Code],tblProducts[Product / Service Name],"⚠ Unknown")</f>
        <v>Backpack</v>
      </c>
      <c r="H5258" s="1" t="str">
        <f>_xlfn.XLOOKUP(tblSales[[#This Row],[Product Code]],tblProducts[Code],tblProducts[Category],"")</f>
        <v>Bags &amp; Gadgets</v>
      </c>
      <c r="I5258" s="4">
        <v>3</v>
      </c>
      <c r="J5258" s="5">
        <f>_xlfn.XLOOKUP(tblSales[[#This Row],[Product Code]],tblProducts[Code],tblProducts[Selling Price (excl. VAT)],0)</f>
        <v>500000</v>
      </c>
      <c r="K5258" s="5">
        <f>tblSales[[#This Row],[Qty]]*tblSales[[#This Row],[Unit Price]]</f>
        <v>1500000</v>
      </c>
      <c r="L5258" s="5">
        <f>ROUND(tblSales[[#This Row],[DPP (excl. VAT)]]*VATEff,0)</f>
        <v>165000</v>
      </c>
      <c r="M5258" s="5">
        <f>tblSales[[#This Row],[DPP (excl. VAT)]]+tblSales[[#This Row],[Output VAT]]</f>
        <v>1665000</v>
      </c>
      <c r="N5258" s="5">
        <f>tblSales[[#This Row],[Qty]]*_xlfn.XLOOKUP(tblSales[[#This Row],[Product Code]],tblProducts[Code],tblProducts[Unit Cost],0)</f>
        <v>870000</v>
      </c>
      <c r="O5258" s="4" t="s">
        <v>4866</v>
      </c>
      <c r="P5258" s="4" t="s">
        <v>4861</v>
      </c>
      <c r="Q5258" s="1" t="str">
        <f>_xlfn.XLOOKUP(tblSales[[#This Row],[Channel Code]],tblChannels[Channel Code],tblChannels[Channel Name],"")</f>
        <v>Marketplace</v>
      </c>
      <c r="R5258" s="1">
        <f>MONTH(tblSales[[#This Row],[Date]])</f>
        <v>11</v>
      </c>
    </row>
    <row r="5259" spans="2:18" x14ac:dyDescent="0.35">
      <c r="B5259" s="113">
        <v>46341</v>
      </c>
      <c r="C5259" s="4" t="s">
        <v>3599</v>
      </c>
      <c r="D5259" s="4" t="s">
        <v>4568</v>
      </c>
      <c r="E5259" s="1" t="str">
        <f>_xlfn.XLOOKUP(tblSales[[#This Row],[Customer ID]],tblCustomers[Customer ID],tblCustomers[Customer Name],"⚠ Unknown")</f>
        <v>Walk-in Customer</v>
      </c>
      <c r="F5259" s="4" t="s">
        <v>6</v>
      </c>
      <c r="G5259" s="1" t="str">
        <f>_xlfn.XLOOKUP(tblSales[[#This Row],[Product Code]],tblProducts[Code],tblProducts[Product / Service Name],"⚠ Unknown")</f>
        <v>Socks &amp; Accessories</v>
      </c>
      <c r="H5259" s="1" t="str">
        <f>_xlfn.XLOOKUP(tblSales[[#This Row],[Product Code]],tblProducts[Code],tblProducts[Category],"")</f>
        <v>Accessories &amp; Basics</v>
      </c>
      <c r="I5259" s="4">
        <v>10</v>
      </c>
      <c r="J5259" s="5">
        <f>_xlfn.XLOOKUP(tblSales[[#This Row],[Product Code]],tblProducts[Code],tblProducts[Selling Price (excl. VAT)],0)</f>
        <v>45000</v>
      </c>
      <c r="K5259" s="5">
        <f>tblSales[[#This Row],[Qty]]*tblSales[[#This Row],[Unit Price]]</f>
        <v>450000</v>
      </c>
      <c r="L5259" s="5">
        <f>ROUND(tblSales[[#This Row],[DPP (excl. VAT)]]*VATEff,0)</f>
        <v>49500</v>
      </c>
      <c r="M5259" s="5">
        <f>tblSales[[#This Row],[DPP (excl. VAT)]]+tblSales[[#This Row],[Output VAT]]</f>
        <v>499500</v>
      </c>
      <c r="N5259" s="5">
        <f>tblSales[[#This Row],[Qty]]*_xlfn.XLOOKUP(tblSales[[#This Row],[Product Code]],tblProducts[Code],tblProducts[Unit Cost],0)</f>
        <v>240000</v>
      </c>
      <c r="O5259" s="4" t="s">
        <v>4866</v>
      </c>
      <c r="P5259" s="4" t="s">
        <v>4861</v>
      </c>
      <c r="Q5259" s="1" t="str">
        <f>_xlfn.XLOOKUP(tblSales[[#This Row],[Channel Code]],tblChannels[Channel Code],tblChannels[Channel Name],"")</f>
        <v>Marketplace</v>
      </c>
      <c r="R5259" s="1">
        <f>MONTH(tblSales[[#This Row],[Date]])</f>
        <v>11</v>
      </c>
    </row>
    <row r="5260" spans="2:18" x14ac:dyDescent="0.35">
      <c r="B5260" s="113">
        <v>46341</v>
      </c>
      <c r="C5260" s="4" t="s">
        <v>3599</v>
      </c>
      <c r="D5260" s="4" t="s">
        <v>4568</v>
      </c>
      <c r="E5260" s="1" t="str">
        <f>_xlfn.XLOOKUP(tblSales[[#This Row],[Customer ID]],tblCustomers[Customer ID],tblCustomers[Customer Name],"⚠ Unknown")</f>
        <v>Walk-in Customer</v>
      </c>
      <c r="F5260" s="4" t="s">
        <v>10</v>
      </c>
      <c r="G5260" s="1" t="str">
        <f>_xlfn.XLOOKUP(tblSales[[#This Row],[Product Code]],tblProducts[Code],tblProducts[Product / Service Name],"⚠ Unknown")</f>
        <v>Chino Pants</v>
      </c>
      <c r="H5260" s="1" t="str">
        <f>_xlfn.XLOOKUP(tblSales[[#This Row],[Product Code]],tblProducts[Code],tblProducts[Category],"")</f>
        <v>Apparel &amp; Footwear</v>
      </c>
      <c r="I5260" s="4">
        <v>8</v>
      </c>
      <c r="J5260" s="5">
        <f>_xlfn.XLOOKUP(tblSales[[#This Row],[Product Code]],tblProducts[Code],tblProducts[Selling Price (excl. VAT)],0)</f>
        <v>150000</v>
      </c>
      <c r="K5260" s="5">
        <f>tblSales[[#This Row],[Qty]]*tblSales[[#This Row],[Unit Price]]</f>
        <v>1200000</v>
      </c>
      <c r="L5260" s="5">
        <f>ROUND(tblSales[[#This Row],[DPP (excl. VAT)]]*VATEff,0)</f>
        <v>132000</v>
      </c>
      <c r="M5260" s="5">
        <f>tblSales[[#This Row],[DPP (excl. VAT)]]+tblSales[[#This Row],[Output VAT]]</f>
        <v>1332000</v>
      </c>
      <c r="N5260" s="5">
        <f>tblSales[[#This Row],[Qty]]*_xlfn.XLOOKUP(tblSales[[#This Row],[Product Code]],tblProducts[Code],tblProducts[Unit Cost],0)</f>
        <v>704000</v>
      </c>
      <c r="O5260" s="4" t="s">
        <v>4866</v>
      </c>
      <c r="P5260" s="4" t="s">
        <v>4861</v>
      </c>
      <c r="Q5260" s="1" t="str">
        <f>_xlfn.XLOOKUP(tblSales[[#This Row],[Channel Code]],tblChannels[Channel Code],tblChannels[Channel Name],"")</f>
        <v>Marketplace</v>
      </c>
      <c r="R5260" s="1">
        <f>MONTH(tblSales[[#This Row],[Date]])</f>
        <v>11</v>
      </c>
    </row>
    <row r="5261" spans="2:18" x14ac:dyDescent="0.35">
      <c r="B5261" s="113">
        <v>46341</v>
      </c>
      <c r="C5261" s="4" t="s">
        <v>3600</v>
      </c>
      <c r="D5261" s="4" t="s">
        <v>4568</v>
      </c>
      <c r="E5261" s="1" t="str">
        <f>_xlfn.XLOOKUP(tblSales[[#This Row],[Customer ID]],tblCustomers[Customer ID],tblCustomers[Customer Name],"⚠ Unknown")</f>
        <v>Walk-in Customer</v>
      </c>
      <c r="F5261" s="4" t="s">
        <v>8</v>
      </c>
      <c r="G5261" s="1" t="str">
        <f>_xlfn.XLOOKUP(tblSales[[#This Row],[Product Code]],tblProducts[Code],tblProducts[Product / Service Name],"⚠ Unknown")</f>
        <v>Casual Shorts</v>
      </c>
      <c r="H5261" s="1" t="str">
        <f>_xlfn.XLOOKUP(tblSales[[#This Row],[Product Code]],tblProducts[Code],tblProducts[Category],"")</f>
        <v>Accessories &amp; Basics</v>
      </c>
      <c r="I5261" s="4">
        <v>10</v>
      </c>
      <c r="J5261" s="5">
        <f>_xlfn.XLOOKUP(tblSales[[#This Row],[Product Code]],tblProducts[Code],tblProducts[Selling Price (excl. VAT)],0)</f>
        <v>85000</v>
      </c>
      <c r="K5261" s="5">
        <f>tblSales[[#This Row],[Qty]]*tblSales[[#This Row],[Unit Price]]</f>
        <v>850000</v>
      </c>
      <c r="L5261" s="5">
        <f>ROUND(tblSales[[#This Row],[DPP (excl. VAT)]]*VATEff,0)</f>
        <v>93500</v>
      </c>
      <c r="M5261" s="5">
        <f>tblSales[[#This Row],[DPP (excl. VAT)]]+tblSales[[#This Row],[Output VAT]]</f>
        <v>943500</v>
      </c>
      <c r="N5261" s="5">
        <f>tblSales[[#This Row],[Qty]]*_xlfn.XLOOKUP(tblSales[[#This Row],[Product Code]],tblProducts[Code],tblProducts[Unit Cost],0)</f>
        <v>500000</v>
      </c>
      <c r="O5261" s="4" t="s">
        <v>4865</v>
      </c>
      <c r="P5261" s="4" t="s">
        <v>4860</v>
      </c>
      <c r="Q5261" s="1" t="str">
        <f>_xlfn.XLOOKUP(tblSales[[#This Row],[Channel Code]],tblChannels[Channel Code],tblChannels[Channel Name],"")</f>
        <v>In-store</v>
      </c>
      <c r="R5261" s="1">
        <f>MONTH(tblSales[[#This Row],[Date]])</f>
        <v>11</v>
      </c>
    </row>
    <row r="5262" spans="2:18" x14ac:dyDescent="0.35">
      <c r="B5262" s="113">
        <v>46341</v>
      </c>
      <c r="C5262" s="4" t="s">
        <v>3600</v>
      </c>
      <c r="D5262" s="4" t="s">
        <v>4568</v>
      </c>
      <c r="E5262" s="1" t="str">
        <f>_xlfn.XLOOKUP(tblSales[[#This Row],[Customer ID]],tblCustomers[Customer ID],tblCustomers[Customer Name],"⚠ Unknown")</f>
        <v>Walk-in Customer</v>
      </c>
      <c r="F5262" s="4" t="s">
        <v>6</v>
      </c>
      <c r="G5262" s="1" t="str">
        <f>_xlfn.XLOOKUP(tblSales[[#This Row],[Product Code]],tblProducts[Code],tblProducts[Product / Service Name],"⚠ Unknown")</f>
        <v>Socks &amp; Accessories</v>
      </c>
      <c r="H5262" s="1" t="str">
        <f>_xlfn.XLOOKUP(tblSales[[#This Row],[Product Code]],tblProducts[Code],tblProducts[Category],"")</f>
        <v>Accessories &amp; Basics</v>
      </c>
      <c r="I5262" s="4">
        <v>12</v>
      </c>
      <c r="J5262" s="5">
        <f>_xlfn.XLOOKUP(tblSales[[#This Row],[Product Code]],tblProducts[Code],tblProducts[Selling Price (excl. VAT)],0)</f>
        <v>45000</v>
      </c>
      <c r="K5262" s="5">
        <f>tblSales[[#This Row],[Qty]]*tblSales[[#This Row],[Unit Price]]</f>
        <v>540000</v>
      </c>
      <c r="L5262" s="5">
        <f>ROUND(tblSales[[#This Row],[DPP (excl. VAT)]]*VATEff,0)</f>
        <v>59400</v>
      </c>
      <c r="M5262" s="5">
        <f>tblSales[[#This Row],[DPP (excl. VAT)]]+tblSales[[#This Row],[Output VAT]]</f>
        <v>599400</v>
      </c>
      <c r="N5262" s="5">
        <f>tblSales[[#This Row],[Qty]]*_xlfn.XLOOKUP(tblSales[[#This Row],[Product Code]],tblProducts[Code],tblProducts[Unit Cost],0)</f>
        <v>288000</v>
      </c>
      <c r="O5262" s="4" t="s">
        <v>4865</v>
      </c>
      <c r="P5262" s="4" t="s">
        <v>4860</v>
      </c>
      <c r="Q5262" s="1" t="str">
        <f>_xlfn.XLOOKUP(tblSales[[#This Row],[Channel Code]],tblChannels[Channel Code],tblChannels[Channel Name],"")</f>
        <v>In-store</v>
      </c>
      <c r="R5262" s="1">
        <f>MONTH(tblSales[[#This Row],[Date]])</f>
        <v>11</v>
      </c>
    </row>
    <row r="5263" spans="2:18" x14ac:dyDescent="0.35">
      <c r="B5263" s="113">
        <v>46341</v>
      </c>
      <c r="C5263" s="4" t="s">
        <v>3601</v>
      </c>
      <c r="D5263" s="4" t="s">
        <v>4568</v>
      </c>
      <c r="E5263" s="1" t="str">
        <f>_xlfn.XLOOKUP(tblSales[[#This Row],[Customer ID]],tblCustomers[Customer ID],tblCustomers[Customer Name],"⚠ Unknown")</f>
        <v>Walk-in Customer</v>
      </c>
      <c r="F5263" s="4" t="s">
        <v>7</v>
      </c>
      <c r="G5263" s="1" t="str">
        <f>_xlfn.XLOOKUP(tblSales[[#This Row],[Product Code]],tblProducts[Code],tblProducts[Product / Service Name],"⚠ Unknown")</f>
        <v>Premium Basic T-shirt</v>
      </c>
      <c r="H5263" s="1" t="str">
        <f>_xlfn.XLOOKUP(tblSales[[#This Row],[Product Code]],tblProducts[Code],tblProducts[Category],"")</f>
        <v>Accessories &amp; Basics</v>
      </c>
      <c r="I5263" s="4">
        <v>11</v>
      </c>
      <c r="J5263" s="5">
        <f>_xlfn.XLOOKUP(tblSales[[#This Row],[Product Code]],tblProducts[Code],tblProducts[Selling Price (excl. VAT)],0)</f>
        <v>65000</v>
      </c>
      <c r="K5263" s="5">
        <f>tblSales[[#This Row],[Qty]]*tblSales[[#This Row],[Unit Price]]</f>
        <v>715000</v>
      </c>
      <c r="L5263" s="5">
        <f>ROUND(tblSales[[#This Row],[DPP (excl. VAT)]]*VATEff,0)</f>
        <v>78650</v>
      </c>
      <c r="M5263" s="5">
        <f>tblSales[[#This Row],[DPP (excl. VAT)]]+tblSales[[#This Row],[Output VAT]]</f>
        <v>793650</v>
      </c>
      <c r="N5263" s="5">
        <f>tblSales[[#This Row],[Qty]]*_xlfn.XLOOKUP(tblSales[[#This Row],[Product Code]],tblProducts[Code],tblProducts[Unit Cost],0)</f>
        <v>407000</v>
      </c>
      <c r="O5263" s="4" t="s">
        <v>4866</v>
      </c>
      <c r="P5263" s="4" t="s">
        <v>4860</v>
      </c>
      <c r="Q5263" s="1" t="str">
        <f>_xlfn.XLOOKUP(tblSales[[#This Row],[Channel Code]],tblChannels[Channel Code],tblChannels[Channel Name],"")</f>
        <v>In-store</v>
      </c>
      <c r="R5263" s="1">
        <f>MONTH(tblSales[[#This Row],[Date]])</f>
        <v>11</v>
      </c>
    </row>
    <row r="5264" spans="2:18" x14ac:dyDescent="0.35">
      <c r="B5264" s="113">
        <v>46342</v>
      </c>
      <c r="C5264" s="4" t="s">
        <v>3602</v>
      </c>
      <c r="D5264" s="4" t="s">
        <v>4568</v>
      </c>
      <c r="E5264" s="1" t="str">
        <f>_xlfn.XLOOKUP(tblSales[[#This Row],[Customer ID]],tblCustomers[Customer ID],tblCustomers[Customer Name],"⚠ Unknown")</f>
        <v>Walk-in Customer</v>
      </c>
      <c r="F5264" s="4" t="s">
        <v>7</v>
      </c>
      <c r="G5264" s="1" t="str">
        <f>_xlfn.XLOOKUP(tblSales[[#This Row],[Product Code]],tblProducts[Code],tblProducts[Product / Service Name],"⚠ Unknown")</f>
        <v>Premium Basic T-shirt</v>
      </c>
      <c r="H5264" s="1" t="str">
        <f>_xlfn.XLOOKUP(tblSales[[#This Row],[Product Code]],tblProducts[Code],tblProducts[Category],"")</f>
        <v>Accessories &amp; Basics</v>
      </c>
      <c r="I5264" s="4">
        <v>10</v>
      </c>
      <c r="J5264" s="5">
        <f>_xlfn.XLOOKUP(tblSales[[#This Row],[Product Code]],tblProducts[Code],tblProducts[Selling Price (excl. VAT)],0)</f>
        <v>65000</v>
      </c>
      <c r="K5264" s="5">
        <f>tblSales[[#This Row],[Qty]]*tblSales[[#This Row],[Unit Price]]</f>
        <v>650000</v>
      </c>
      <c r="L5264" s="5">
        <f>ROUND(tblSales[[#This Row],[DPP (excl. VAT)]]*VATEff,0)</f>
        <v>71500</v>
      </c>
      <c r="M5264" s="5">
        <f>tblSales[[#This Row],[DPP (excl. VAT)]]+tblSales[[#This Row],[Output VAT]]</f>
        <v>721500</v>
      </c>
      <c r="N5264" s="5">
        <f>tblSales[[#This Row],[Qty]]*_xlfn.XLOOKUP(tblSales[[#This Row],[Product Code]],tblProducts[Code],tblProducts[Unit Cost],0)</f>
        <v>370000</v>
      </c>
      <c r="O5264" s="4" t="s">
        <v>4866</v>
      </c>
      <c r="P5264" s="4" t="s">
        <v>4860</v>
      </c>
      <c r="Q5264" s="1" t="str">
        <f>_xlfn.XLOOKUP(tblSales[[#This Row],[Channel Code]],tblChannels[Channel Code],tblChannels[Channel Name],"")</f>
        <v>In-store</v>
      </c>
      <c r="R5264" s="1">
        <f>MONTH(tblSales[[#This Row],[Date]])</f>
        <v>11</v>
      </c>
    </row>
    <row r="5265" spans="2:18" x14ac:dyDescent="0.35">
      <c r="B5265" s="113">
        <v>46342</v>
      </c>
      <c r="C5265" s="4" t="s">
        <v>3603</v>
      </c>
      <c r="D5265" s="4" t="s">
        <v>4568</v>
      </c>
      <c r="E5265" s="1" t="str">
        <f>_xlfn.XLOOKUP(tblSales[[#This Row],[Customer ID]],tblCustomers[Customer ID],tblCustomers[Customer Name],"⚠ Unknown")</f>
        <v>Walk-in Customer</v>
      </c>
      <c r="F5265" s="4" t="s">
        <v>11</v>
      </c>
      <c r="G5265" s="1" t="str">
        <f>_xlfn.XLOOKUP(tblSales[[#This Row],[Product Code]],tblProducts[Code],tblProducts[Product / Service Name],"⚠ Unknown")</f>
        <v>Sneakers</v>
      </c>
      <c r="H5265" s="1" t="str">
        <f>_xlfn.XLOOKUP(tblSales[[#This Row],[Product Code]],tblProducts[Code],tblProducts[Category],"")</f>
        <v>Apparel &amp; Footwear</v>
      </c>
      <c r="I5265" s="4">
        <v>1</v>
      </c>
      <c r="J5265" s="5">
        <f>_xlfn.XLOOKUP(tblSales[[#This Row],[Product Code]],tblProducts[Code],tblProducts[Selling Price (excl. VAT)],0)</f>
        <v>250000</v>
      </c>
      <c r="K5265" s="5">
        <f>tblSales[[#This Row],[Qty]]*tblSales[[#This Row],[Unit Price]]</f>
        <v>250000</v>
      </c>
      <c r="L5265" s="5">
        <f>ROUND(tblSales[[#This Row],[DPP (excl. VAT)]]*VATEff,0)</f>
        <v>27500</v>
      </c>
      <c r="M5265" s="5">
        <f>tblSales[[#This Row],[DPP (excl. VAT)]]+tblSales[[#This Row],[Output VAT]]</f>
        <v>277500</v>
      </c>
      <c r="N5265" s="5">
        <f>tblSales[[#This Row],[Qty]]*_xlfn.XLOOKUP(tblSales[[#This Row],[Product Code]],tblProducts[Code],tblProducts[Unit Cost],0)</f>
        <v>155000</v>
      </c>
      <c r="O5265" s="4" t="s">
        <v>4865</v>
      </c>
      <c r="P5265" s="4" t="s">
        <v>4860</v>
      </c>
      <c r="Q5265" s="1" t="str">
        <f>_xlfn.XLOOKUP(tblSales[[#This Row],[Channel Code]],tblChannels[Channel Code],tblChannels[Channel Name],"")</f>
        <v>In-store</v>
      </c>
      <c r="R5265" s="1">
        <f>MONTH(tblSales[[#This Row],[Date]])</f>
        <v>11</v>
      </c>
    </row>
    <row r="5266" spans="2:18" x14ac:dyDescent="0.35">
      <c r="B5266" s="113">
        <v>46342</v>
      </c>
      <c r="C5266" s="4" t="s">
        <v>3604</v>
      </c>
      <c r="D5266" s="4" t="s">
        <v>4568</v>
      </c>
      <c r="E5266" s="1" t="str">
        <f>_xlfn.XLOOKUP(tblSales[[#This Row],[Customer ID]],tblCustomers[Customer ID],tblCustomers[Customer Name],"⚠ Unknown")</f>
        <v>Walk-in Customer</v>
      </c>
      <c r="F5266" s="4" t="s">
        <v>6</v>
      </c>
      <c r="G5266" s="1" t="str">
        <f>_xlfn.XLOOKUP(tblSales[[#This Row],[Product Code]],tblProducts[Code],tblProducts[Product / Service Name],"⚠ Unknown")</f>
        <v>Socks &amp; Accessories</v>
      </c>
      <c r="H5266" s="1" t="str">
        <f>_xlfn.XLOOKUP(tblSales[[#This Row],[Product Code]],tblProducts[Code],tblProducts[Category],"")</f>
        <v>Accessories &amp; Basics</v>
      </c>
      <c r="I5266" s="4">
        <v>11</v>
      </c>
      <c r="J5266" s="5">
        <f>_xlfn.XLOOKUP(tblSales[[#This Row],[Product Code]],tblProducts[Code],tblProducts[Selling Price (excl. VAT)],0)</f>
        <v>45000</v>
      </c>
      <c r="K5266" s="5">
        <f>tblSales[[#This Row],[Qty]]*tblSales[[#This Row],[Unit Price]]</f>
        <v>495000</v>
      </c>
      <c r="L5266" s="5">
        <f>ROUND(tblSales[[#This Row],[DPP (excl. VAT)]]*VATEff,0)</f>
        <v>54450</v>
      </c>
      <c r="M5266" s="5">
        <f>tblSales[[#This Row],[DPP (excl. VAT)]]+tblSales[[#This Row],[Output VAT]]</f>
        <v>549450</v>
      </c>
      <c r="N5266" s="5">
        <f>tblSales[[#This Row],[Qty]]*_xlfn.XLOOKUP(tblSales[[#This Row],[Product Code]],tblProducts[Code],tblProducts[Unit Cost],0)</f>
        <v>264000</v>
      </c>
      <c r="O5266" s="4" t="s">
        <v>4865</v>
      </c>
      <c r="P5266" s="4" t="s">
        <v>4860</v>
      </c>
      <c r="Q5266" s="1" t="str">
        <f>_xlfn.XLOOKUP(tblSales[[#This Row],[Channel Code]],tblChannels[Channel Code],tblChannels[Channel Name],"")</f>
        <v>In-store</v>
      </c>
      <c r="R5266" s="1">
        <f>MONTH(tblSales[[#This Row],[Date]])</f>
        <v>11</v>
      </c>
    </row>
    <row r="5267" spans="2:18" x14ac:dyDescent="0.35">
      <c r="B5267" s="113">
        <v>46342</v>
      </c>
      <c r="C5267" s="4" t="s">
        <v>3604</v>
      </c>
      <c r="D5267" s="4" t="s">
        <v>4568</v>
      </c>
      <c r="E5267" s="1" t="str">
        <f>_xlfn.XLOOKUP(tblSales[[#This Row],[Customer ID]],tblCustomers[Customer ID],tblCustomers[Customer Name],"⚠ Unknown")</f>
        <v>Walk-in Customer</v>
      </c>
      <c r="F5267" s="4" t="s">
        <v>11</v>
      </c>
      <c r="G5267" s="1" t="str">
        <f>_xlfn.XLOOKUP(tblSales[[#This Row],[Product Code]],tblProducts[Code],tblProducts[Product / Service Name],"⚠ Unknown")</f>
        <v>Sneakers</v>
      </c>
      <c r="H5267" s="1" t="str">
        <f>_xlfn.XLOOKUP(tblSales[[#This Row],[Product Code]],tblProducts[Code],tblProducts[Category],"")</f>
        <v>Apparel &amp; Footwear</v>
      </c>
      <c r="I5267" s="4">
        <v>2</v>
      </c>
      <c r="J5267" s="5">
        <f>_xlfn.XLOOKUP(tblSales[[#This Row],[Product Code]],tblProducts[Code],tblProducts[Selling Price (excl. VAT)],0)</f>
        <v>250000</v>
      </c>
      <c r="K5267" s="5">
        <f>tblSales[[#This Row],[Qty]]*tblSales[[#This Row],[Unit Price]]</f>
        <v>500000</v>
      </c>
      <c r="L5267" s="5">
        <f>ROUND(tblSales[[#This Row],[DPP (excl. VAT)]]*VATEff,0)</f>
        <v>55000</v>
      </c>
      <c r="M5267" s="5">
        <f>tblSales[[#This Row],[DPP (excl. VAT)]]+tblSales[[#This Row],[Output VAT]]</f>
        <v>555000</v>
      </c>
      <c r="N5267" s="5">
        <f>tblSales[[#This Row],[Qty]]*_xlfn.XLOOKUP(tblSales[[#This Row],[Product Code]],tblProducts[Code],tblProducts[Unit Cost],0)</f>
        <v>310000</v>
      </c>
      <c r="O5267" s="4" t="s">
        <v>4865</v>
      </c>
      <c r="P5267" s="4" t="s">
        <v>4860</v>
      </c>
      <c r="Q5267" s="1" t="str">
        <f>_xlfn.XLOOKUP(tblSales[[#This Row],[Channel Code]],tblChannels[Channel Code],tblChannels[Channel Name],"")</f>
        <v>In-store</v>
      </c>
      <c r="R5267" s="1">
        <f>MONTH(tblSales[[#This Row],[Date]])</f>
        <v>11</v>
      </c>
    </row>
    <row r="5268" spans="2:18" x14ac:dyDescent="0.35">
      <c r="B5268" s="113">
        <v>46342</v>
      </c>
      <c r="C5268" s="4" t="s">
        <v>3604</v>
      </c>
      <c r="D5268" s="4" t="s">
        <v>4568</v>
      </c>
      <c r="E5268" s="1" t="str">
        <f>_xlfn.XLOOKUP(tblSales[[#This Row],[Customer ID]],tblCustomers[Customer ID],tblCustomers[Customer Name],"⚠ Unknown")</f>
        <v>Walk-in Customer</v>
      </c>
      <c r="F5268" s="4" t="s">
        <v>14</v>
      </c>
      <c r="G5268" s="1" t="str">
        <f>_xlfn.XLOOKUP(tblSales[[#This Row],[Product Code]],tblProducts[Code],tblProducts[Product / Service Name],"⚠ Unknown")</f>
        <v>Smartwatch</v>
      </c>
      <c r="H5268" s="1" t="str">
        <f>_xlfn.XLOOKUP(tblSales[[#This Row],[Product Code]],tblProducts[Code],tblProducts[Category],"")</f>
        <v>Bags &amp; Gadgets</v>
      </c>
      <c r="I5268" s="4">
        <v>2</v>
      </c>
      <c r="J5268" s="5">
        <f>_xlfn.XLOOKUP(tblSales[[#This Row],[Product Code]],tblProducts[Code],tblProducts[Selling Price (excl. VAT)],0)</f>
        <v>850000</v>
      </c>
      <c r="K5268" s="5">
        <f>tblSales[[#This Row],[Qty]]*tblSales[[#This Row],[Unit Price]]</f>
        <v>1700000</v>
      </c>
      <c r="L5268" s="5">
        <f>ROUND(tblSales[[#This Row],[DPP (excl. VAT)]]*VATEff,0)</f>
        <v>187000</v>
      </c>
      <c r="M5268" s="5">
        <f>tblSales[[#This Row],[DPP (excl. VAT)]]+tblSales[[#This Row],[Output VAT]]</f>
        <v>1887000</v>
      </c>
      <c r="N5268" s="5">
        <f>tblSales[[#This Row],[Qty]]*_xlfn.XLOOKUP(tblSales[[#This Row],[Product Code]],tblProducts[Code],tblProducts[Unit Cost],0)</f>
        <v>1120000</v>
      </c>
      <c r="O5268" s="4" t="s">
        <v>4865</v>
      </c>
      <c r="P5268" s="4" t="s">
        <v>4860</v>
      </c>
      <c r="Q5268" s="1" t="str">
        <f>_xlfn.XLOOKUP(tblSales[[#This Row],[Channel Code]],tblChannels[Channel Code],tblChannels[Channel Name],"")</f>
        <v>In-store</v>
      </c>
      <c r="R5268" s="1">
        <f>MONTH(tblSales[[#This Row],[Date]])</f>
        <v>11</v>
      </c>
    </row>
    <row r="5269" spans="2:18" x14ac:dyDescent="0.35">
      <c r="B5269" s="113">
        <v>46342</v>
      </c>
      <c r="C5269" s="4" t="s">
        <v>3605</v>
      </c>
      <c r="D5269" s="4" t="s">
        <v>4568</v>
      </c>
      <c r="E5269" s="1" t="str">
        <f>_xlfn.XLOOKUP(tblSales[[#This Row],[Customer ID]],tblCustomers[Customer ID],tblCustomers[Customer Name],"⚠ Unknown")</f>
        <v>Walk-in Customer</v>
      </c>
      <c r="F5269" s="4" t="s">
        <v>10</v>
      </c>
      <c r="G5269" s="1" t="str">
        <f>_xlfn.XLOOKUP(tblSales[[#This Row],[Product Code]],tblProducts[Code],tblProducts[Product / Service Name],"⚠ Unknown")</f>
        <v>Chino Pants</v>
      </c>
      <c r="H5269" s="1" t="str">
        <f>_xlfn.XLOOKUP(tblSales[[#This Row],[Product Code]],tblProducts[Code],tblProducts[Category],"")</f>
        <v>Apparel &amp; Footwear</v>
      </c>
      <c r="I5269" s="4">
        <v>11</v>
      </c>
      <c r="J5269" s="5">
        <f>_xlfn.XLOOKUP(tblSales[[#This Row],[Product Code]],tblProducts[Code],tblProducts[Selling Price (excl. VAT)],0)</f>
        <v>150000</v>
      </c>
      <c r="K5269" s="5">
        <f>tblSales[[#This Row],[Qty]]*tblSales[[#This Row],[Unit Price]]</f>
        <v>1650000</v>
      </c>
      <c r="L5269" s="5">
        <f>ROUND(tblSales[[#This Row],[DPP (excl. VAT)]]*VATEff,0)</f>
        <v>181500</v>
      </c>
      <c r="M5269" s="5">
        <f>tblSales[[#This Row],[DPP (excl. VAT)]]+tblSales[[#This Row],[Output VAT]]</f>
        <v>1831500</v>
      </c>
      <c r="N5269" s="5">
        <f>tblSales[[#This Row],[Qty]]*_xlfn.XLOOKUP(tblSales[[#This Row],[Product Code]],tblProducts[Code],tblProducts[Unit Cost],0)</f>
        <v>968000</v>
      </c>
      <c r="O5269" s="4" t="s">
        <v>4865</v>
      </c>
      <c r="P5269" s="4" t="s">
        <v>4860</v>
      </c>
      <c r="Q5269" s="1" t="str">
        <f>_xlfn.XLOOKUP(tblSales[[#This Row],[Channel Code]],tblChannels[Channel Code],tblChannels[Channel Name],"")</f>
        <v>In-store</v>
      </c>
      <c r="R5269" s="1">
        <f>MONTH(tblSales[[#This Row],[Date]])</f>
        <v>11</v>
      </c>
    </row>
    <row r="5270" spans="2:18" x14ac:dyDescent="0.35">
      <c r="B5270" s="113">
        <v>46342</v>
      </c>
      <c r="C5270" s="4" t="s">
        <v>3606</v>
      </c>
      <c r="D5270" s="4" t="s">
        <v>4568</v>
      </c>
      <c r="E5270" s="1" t="str">
        <f>_xlfn.XLOOKUP(tblSales[[#This Row],[Customer ID]],tblCustomers[Customer ID],tblCustomers[Customer Name],"⚠ Unknown")</f>
        <v>Walk-in Customer</v>
      </c>
      <c r="F5270" s="4" t="s">
        <v>13</v>
      </c>
      <c r="G5270" s="1" t="str">
        <f>_xlfn.XLOOKUP(tblSales[[#This Row],[Product Code]],tblProducts[Code],tblProducts[Product / Service Name],"⚠ Unknown")</f>
        <v>Backpack</v>
      </c>
      <c r="H5270" s="1" t="str">
        <f>_xlfn.XLOOKUP(tblSales[[#This Row],[Product Code]],tblProducts[Code],tblProducts[Category],"")</f>
        <v>Bags &amp; Gadgets</v>
      </c>
      <c r="I5270" s="4">
        <v>6</v>
      </c>
      <c r="J5270" s="5">
        <f>_xlfn.XLOOKUP(tblSales[[#This Row],[Product Code]],tblProducts[Code],tblProducts[Selling Price (excl. VAT)],0)</f>
        <v>500000</v>
      </c>
      <c r="K5270" s="5">
        <f>tblSales[[#This Row],[Qty]]*tblSales[[#This Row],[Unit Price]]</f>
        <v>3000000</v>
      </c>
      <c r="L5270" s="5">
        <f>ROUND(tblSales[[#This Row],[DPP (excl. VAT)]]*VATEff,0)</f>
        <v>330000</v>
      </c>
      <c r="M5270" s="5">
        <f>tblSales[[#This Row],[DPP (excl. VAT)]]+tblSales[[#This Row],[Output VAT]]</f>
        <v>3330000</v>
      </c>
      <c r="N5270" s="5">
        <f>tblSales[[#This Row],[Qty]]*_xlfn.XLOOKUP(tblSales[[#This Row],[Product Code]],tblProducts[Code],tblProducts[Unit Cost],0)</f>
        <v>1740000</v>
      </c>
      <c r="O5270" s="4" t="s">
        <v>4866</v>
      </c>
      <c r="P5270" s="4" t="s">
        <v>4862</v>
      </c>
      <c r="Q5270" s="1" t="str">
        <f>_xlfn.XLOOKUP(tblSales[[#This Row],[Channel Code]],tblChannels[Channel Code],tblChannels[Channel Name],"")</f>
        <v>Website &amp; Social Media</v>
      </c>
      <c r="R5270" s="1">
        <f>MONTH(tblSales[[#This Row],[Date]])</f>
        <v>11</v>
      </c>
    </row>
    <row r="5271" spans="2:18" x14ac:dyDescent="0.35">
      <c r="B5271" s="113">
        <v>46342</v>
      </c>
      <c r="C5271" s="4" t="s">
        <v>3606</v>
      </c>
      <c r="D5271" s="4" t="s">
        <v>4568</v>
      </c>
      <c r="E5271" s="1" t="str">
        <f>_xlfn.XLOOKUP(tblSales[[#This Row],[Customer ID]],tblCustomers[Customer ID],tblCustomers[Customer Name],"⚠ Unknown")</f>
        <v>Walk-in Customer</v>
      </c>
      <c r="F5271" s="4" t="s">
        <v>6</v>
      </c>
      <c r="G5271" s="1" t="str">
        <f>_xlfn.XLOOKUP(tblSales[[#This Row],[Product Code]],tblProducts[Code],tblProducts[Product / Service Name],"⚠ Unknown")</f>
        <v>Socks &amp; Accessories</v>
      </c>
      <c r="H5271" s="1" t="str">
        <f>_xlfn.XLOOKUP(tblSales[[#This Row],[Product Code]],tblProducts[Code],tblProducts[Category],"")</f>
        <v>Accessories &amp; Basics</v>
      </c>
      <c r="I5271" s="4">
        <v>9</v>
      </c>
      <c r="J5271" s="5">
        <f>_xlfn.XLOOKUP(tblSales[[#This Row],[Product Code]],tblProducts[Code],tblProducts[Selling Price (excl. VAT)],0)</f>
        <v>45000</v>
      </c>
      <c r="K5271" s="5">
        <f>tblSales[[#This Row],[Qty]]*tblSales[[#This Row],[Unit Price]]</f>
        <v>405000</v>
      </c>
      <c r="L5271" s="5">
        <f>ROUND(tblSales[[#This Row],[DPP (excl. VAT)]]*VATEff,0)</f>
        <v>44550</v>
      </c>
      <c r="M5271" s="5">
        <f>tblSales[[#This Row],[DPP (excl. VAT)]]+tblSales[[#This Row],[Output VAT]]</f>
        <v>449550</v>
      </c>
      <c r="N5271" s="5">
        <f>tblSales[[#This Row],[Qty]]*_xlfn.XLOOKUP(tblSales[[#This Row],[Product Code]],tblProducts[Code],tblProducts[Unit Cost],0)</f>
        <v>216000</v>
      </c>
      <c r="O5271" s="4" t="s">
        <v>4866</v>
      </c>
      <c r="P5271" s="4" t="s">
        <v>4862</v>
      </c>
      <c r="Q5271" s="1" t="str">
        <f>_xlfn.XLOOKUP(tblSales[[#This Row],[Channel Code]],tblChannels[Channel Code],tblChannels[Channel Name],"")</f>
        <v>Website &amp; Social Media</v>
      </c>
      <c r="R5271" s="1">
        <f>MONTH(tblSales[[#This Row],[Date]])</f>
        <v>11</v>
      </c>
    </row>
    <row r="5272" spans="2:18" x14ac:dyDescent="0.35">
      <c r="B5272" s="113">
        <v>46342</v>
      </c>
      <c r="C5272" s="4" t="s">
        <v>3607</v>
      </c>
      <c r="D5272" s="4" t="s">
        <v>4568</v>
      </c>
      <c r="E5272" s="1" t="str">
        <f>_xlfn.XLOOKUP(tblSales[[#This Row],[Customer ID]],tblCustomers[Customer ID],tblCustomers[Customer Name],"⚠ Unknown")</f>
        <v>Walk-in Customer</v>
      </c>
      <c r="F5272" s="4" t="s">
        <v>6</v>
      </c>
      <c r="G5272" s="1" t="str">
        <f>_xlfn.XLOOKUP(tblSales[[#This Row],[Product Code]],tblProducts[Code],tblProducts[Product / Service Name],"⚠ Unknown")</f>
        <v>Socks &amp; Accessories</v>
      </c>
      <c r="H5272" s="1" t="str">
        <f>_xlfn.XLOOKUP(tblSales[[#This Row],[Product Code]],tblProducts[Code],tblProducts[Category],"")</f>
        <v>Accessories &amp; Basics</v>
      </c>
      <c r="I5272" s="4">
        <v>1</v>
      </c>
      <c r="J5272" s="5">
        <f>_xlfn.XLOOKUP(tblSales[[#This Row],[Product Code]],tblProducts[Code],tblProducts[Selling Price (excl. VAT)],0)</f>
        <v>45000</v>
      </c>
      <c r="K5272" s="5">
        <f>tblSales[[#This Row],[Qty]]*tblSales[[#This Row],[Unit Price]]</f>
        <v>45000</v>
      </c>
      <c r="L5272" s="5">
        <f>ROUND(tblSales[[#This Row],[DPP (excl. VAT)]]*VATEff,0)</f>
        <v>4950</v>
      </c>
      <c r="M5272" s="5">
        <f>tblSales[[#This Row],[DPP (excl. VAT)]]+tblSales[[#This Row],[Output VAT]]</f>
        <v>49950</v>
      </c>
      <c r="N5272" s="5">
        <f>tblSales[[#This Row],[Qty]]*_xlfn.XLOOKUP(tblSales[[#This Row],[Product Code]],tblProducts[Code],tblProducts[Unit Cost],0)</f>
        <v>24000</v>
      </c>
      <c r="O5272" s="4" t="s">
        <v>4866</v>
      </c>
      <c r="P5272" s="4" t="s">
        <v>4861</v>
      </c>
      <c r="Q5272" s="1" t="str">
        <f>_xlfn.XLOOKUP(tblSales[[#This Row],[Channel Code]],tblChannels[Channel Code],tblChannels[Channel Name],"")</f>
        <v>Marketplace</v>
      </c>
      <c r="R5272" s="1">
        <f>MONTH(tblSales[[#This Row],[Date]])</f>
        <v>11</v>
      </c>
    </row>
    <row r="5273" spans="2:18" x14ac:dyDescent="0.35">
      <c r="B5273" s="113">
        <v>46342</v>
      </c>
      <c r="C5273" s="4" t="s">
        <v>3608</v>
      </c>
      <c r="D5273" s="4" t="s">
        <v>4572</v>
      </c>
      <c r="E5273" s="1" t="str">
        <f>_xlfn.XLOOKUP(tblSales[[#This Row],[Customer ID]],tblCustomers[Customer ID],tblCustomers[Customer Name],"⚠ Unknown")</f>
        <v>PT Cahaya Abadi Makmur</v>
      </c>
      <c r="F5273" s="4" t="s">
        <v>9</v>
      </c>
      <c r="G5273" s="1" t="str">
        <f>_xlfn.XLOOKUP(tblSales[[#This Row],[Product Code]],tblProducts[Code],tblProducts[Product / Service Name],"⚠ Unknown")</f>
        <v>Casual Shirt</v>
      </c>
      <c r="H5273" s="1" t="str">
        <f>_xlfn.XLOOKUP(tblSales[[#This Row],[Product Code]],tblProducts[Code],tblProducts[Category],"")</f>
        <v>Apparel &amp; Footwear</v>
      </c>
      <c r="I5273" s="4">
        <v>16</v>
      </c>
      <c r="J5273" s="5">
        <f>_xlfn.XLOOKUP(tblSales[[#This Row],[Product Code]],tblProducts[Code],tblProducts[Selling Price (excl. VAT)],0)</f>
        <v>120000</v>
      </c>
      <c r="K5273" s="5">
        <f>tblSales[[#This Row],[Qty]]*tblSales[[#This Row],[Unit Price]]</f>
        <v>1920000</v>
      </c>
      <c r="L5273" s="5">
        <f>ROUND(tblSales[[#This Row],[DPP (excl. VAT)]]*VATEff,0)</f>
        <v>211200</v>
      </c>
      <c r="M5273" s="5">
        <f>tblSales[[#This Row],[DPP (excl. VAT)]]+tblSales[[#This Row],[Output VAT]]</f>
        <v>2131200</v>
      </c>
      <c r="N5273" s="5">
        <f>tblSales[[#This Row],[Qty]]*_xlfn.XLOOKUP(tblSales[[#This Row],[Product Code]],tblProducts[Code],tblProducts[Unit Cost],0)</f>
        <v>1152000</v>
      </c>
      <c r="O5273" s="4" t="s">
        <v>4867</v>
      </c>
      <c r="P5273" s="4" t="s">
        <v>4860</v>
      </c>
      <c r="Q5273" s="1" t="str">
        <f>_xlfn.XLOOKUP(tblSales[[#This Row],[Channel Code]],tblChannels[Channel Code],tblChannels[Channel Name],"")</f>
        <v>In-store</v>
      </c>
      <c r="R5273" s="1">
        <f>MONTH(tblSales[[#This Row],[Date]])</f>
        <v>11</v>
      </c>
    </row>
    <row r="5274" spans="2:18" x14ac:dyDescent="0.35">
      <c r="B5274" s="113">
        <v>46342</v>
      </c>
      <c r="C5274" s="4" t="s">
        <v>3609</v>
      </c>
      <c r="D5274" s="4" t="s">
        <v>4568</v>
      </c>
      <c r="E5274" s="1" t="str">
        <f>_xlfn.XLOOKUP(tblSales[[#This Row],[Customer ID]],tblCustomers[Customer ID],tblCustomers[Customer Name],"⚠ Unknown")</f>
        <v>Walk-in Customer</v>
      </c>
      <c r="F5274" s="4" t="s">
        <v>8</v>
      </c>
      <c r="G5274" s="1" t="str">
        <f>_xlfn.XLOOKUP(tblSales[[#This Row],[Product Code]],tblProducts[Code],tblProducts[Product / Service Name],"⚠ Unknown")</f>
        <v>Casual Shorts</v>
      </c>
      <c r="H5274" s="1" t="str">
        <f>_xlfn.XLOOKUP(tblSales[[#This Row],[Product Code]],tblProducts[Code],tblProducts[Category],"")</f>
        <v>Accessories &amp; Basics</v>
      </c>
      <c r="I5274" s="4">
        <v>9</v>
      </c>
      <c r="J5274" s="5">
        <f>_xlfn.XLOOKUP(tblSales[[#This Row],[Product Code]],tblProducts[Code],tblProducts[Selling Price (excl. VAT)],0)</f>
        <v>85000</v>
      </c>
      <c r="K5274" s="5">
        <f>tblSales[[#This Row],[Qty]]*tblSales[[#This Row],[Unit Price]]</f>
        <v>765000</v>
      </c>
      <c r="L5274" s="5">
        <f>ROUND(tblSales[[#This Row],[DPP (excl. VAT)]]*VATEff,0)</f>
        <v>84150</v>
      </c>
      <c r="M5274" s="5">
        <f>tblSales[[#This Row],[DPP (excl. VAT)]]+tblSales[[#This Row],[Output VAT]]</f>
        <v>849150</v>
      </c>
      <c r="N5274" s="5">
        <f>tblSales[[#This Row],[Qty]]*_xlfn.XLOOKUP(tblSales[[#This Row],[Product Code]],tblProducts[Code],tblProducts[Unit Cost],0)</f>
        <v>450000</v>
      </c>
      <c r="O5274" s="4" t="s">
        <v>4865</v>
      </c>
      <c r="P5274" s="4" t="s">
        <v>4860</v>
      </c>
      <c r="Q5274" s="1" t="str">
        <f>_xlfn.XLOOKUP(tblSales[[#This Row],[Channel Code]],tblChannels[Channel Code],tblChannels[Channel Name],"")</f>
        <v>In-store</v>
      </c>
      <c r="R5274" s="1">
        <f>MONTH(tblSales[[#This Row],[Date]])</f>
        <v>11</v>
      </c>
    </row>
    <row r="5275" spans="2:18" x14ac:dyDescent="0.35">
      <c r="B5275" s="113">
        <v>46342</v>
      </c>
      <c r="C5275" s="4" t="s">
        <v>3610</v>
      </c>
      <c r="D5275" s="4" t="s">
        <v>4568</v>
      </c>
      <c r="E5275" s="1" t="str">
        <f>_xlfn.XLOOKUP(tblSales[[#This Row],[Customer ID]],tblCustomers[Customer ID],tblCustomers[Customer Name],"⚠ Unknown")</f>
        <v>Walk-in Customer</v>
      </c>
      <c r="F5275" s="4" t="s">
        <v>7</v>
      </c>
      <c r="G5275" s="1" t="str">
        <f>_xlfn.XLOOKUP(tblSales[[#This Row],[Product Code]],tblProducts[Code],tblProducts[Product / Service Name],"⚠ Unknown")</f>
        <v>Premium Basic T-shirt</v>
      </c>
      <c r="H5275" s="1" t="str">
        <f>_xlfn.XLOOKUP(tblSales[[#This Row],[Product Code]],tblProducts[Code],tblProducts[Category],"")</f>
        <v>Accessories &amp; Basics</v>
      </c>
      <c r="I5275" s="4">
        <v>8</v>
      </c>
      <c r="J5275" s="5">
        <f>_xlfn.XLOOKUP(tblSales[[#This Row],[Product Code]],tblProducts[Code],tblProducts[Selling Price (excl. VAT)],0)</f>
        <v>65000</v>
      </c>
      <c r="K5275" s="5">
        <f>tblSales[[#This Row],[Qty]]*tblSales[[#This Row],[Unit Price]]</f>
        <v>520000</v>
      </c>
      <c r="L5275" s="5">
        <f>ROUND(tblSales[[#This Row],[DPP (excl. VAT)]]*VATEff,0)</f>
        <v>57200</v>
      </c>
      <c r="M5275" s="5">
        <f>tblSales[[#This Row],[DPP (excl. VAT)]]+tblSales[[#This Row],[Output VAT]]</f>
        <v>577200</v>
      </c>
      <c r="N5275" s="5">
        <f>tblSales[[#This Row],[Qty]]*_xlfn.XLOOKUP(tblSales[[#This Row],[Product Code]],tblProducts[Code],tblProducts[Unit Cost],0)</f>
        <v>296000</v>
      </c>
      <c r="O5275" s="4" t="s">
        <v>4865</v>
      </c>
      <c r="P5275" s="4" t="s">
        <v>4860</v>
      </c>
      <c r="Q5275" s="1" t="str">
        <f>_xlfn.XLOOKUP(tblSales[[#This Row],[Channel Code]],tblChannels[Channel Code],tblChannels[Channel Name],"")</f>
        <v>In-store</v>
      </c>
      <c r="R5275" s="1">
        <f>MONTH(tblSales[[#This Row],[Date]])</f>
        <v>11</v>
      </c>
    </row>
    <row r="5276" spans="2:18" x14ac:dyDescent="0.35">
      <c r="B5276" s="113">
        <v>46342</v>
      </c>
      <c r="C5276" s="4" t="s">
        <v>3611</v>
      </c>
      <c r="D5276" s="4" t="s">
        <v>4568</v>
      </c>
      <c r="E5276" s="1" t="str">
        <f>_xlfn.XLOOKUP(tblSales[[#This Row],[Customer ID]],tblCustomers[Customer ID],tblCustomers[Customer Name],"⚠ Unknown")</f>
        <v>Walk-in Customer</v>
      </c>
      <c r="F5276" s="4" t="s">
        <v>10</v>
      </c>
      <c r="G5276" s="1" t="str">
        <f>_xlfn.XLOOKUP(tblSales[[#This Row],[Product Code]],tblProducts[Code],tblProducts[Product / Service Name],"⚠ Unknown")</f>
        <v>Chino Pants</v>
      </c>
      <c r="H5276" s="1" t="str">
        <f>_xlfn.XLOOKUP(tblSales[[#This Row],[Product Code]],tblProducts[Code],tblProducts[Category],"")</f>
        <v>Apparel &amp; Footwear</v>
      </c>
      <c r="I5276" s="4">
        <v>12</v>
      </c>
      <c r="J5276" s="5">
        <f>_xlfn.XLOOKUP(tblSales[[#This Row],[Product Code]],tblProducts[Code],tblProducts[Selling Price (excl. VAT)],0)</f>
        <v>150000</v>
      </c>
      <c r="K5276" s="5">
        <f>tblSales[[#This Row],[Qty]]*tblSales[[#This Row],[Unit Price]]</f>
        <v>1800000</v>
      </c>
      <c r="L5276" s="5">
        <f>ROUND(tblSales[[#This Row],[DPP (excl. VAT)]]*VATEff,0)</f>
        <v>198000</v>
      </c>
      <c r="M5276" s="5">
        <f>tblSales[[#This Row],[DPP (excl. VAT)]]+tblSales[[#This Row],[Output VAT]]</f>
        <v>1998000</v>
      </c>
      <c r="N5276" s="5">
        <f>tblSales[[#This Row],[Qty]]*_xlfn.XLOOKUP(tblSales[[#This Row],[Product Code]],tblProducts[Code],tblProducts[Unit Cost],0)</f>
        <v>1056000</v>
      </c>
      <c r="O5276" s="4" t="s">
        <v>4866</v>
      </c>
      <c r="P5276" s="4" t="s">
        <v>4860</v>
      </c>
      <c r="Q5276" s="1" t="str">
        <f>_xlfn.XLOOKUP(tblSales[[#This Row],[Channel Code]],tblChannels[Channel Code],tblChannels[Channel Name],"")</f>
        <v>In-store</v>
      </c>
      <c r="R5276" s="1">
        <f>MONTH(tblSales[[#This Row],[Date]])</f>
        <v>11</v>
      </c>
    </row>
    <row r="5277" spans="2:18" x14ac:dyDescent="0.35">
      <c r="B5277" s="113">
        <v>46342</v>
      </c>
      <c r="C5277" s="4" t="s">
        <v>3612</v>
      </c>
      <c r="D5277" s="4" t="s">
        <v>4568</v>
      </c>
      <c r="E5277" s="1" t="str">
        <f>_xlfn.XLOOKUP(tblSales[[#This Row],[Customer ID]],tblCustomers[Customer ID],tblCustomers[Customer Name],"⚠ Unknown")</f>
        <v>Walk-in Customer</v>
      </c>
      <c r="F5277" s="4" t="s">
        <v>10</v>
      </c>
      <c r="G5277" s="1" t="str">
        <f>_xlfn.XLOOKUP(tblSales[[#This Row],[Product Code]],tblProducts[Code],tblProducts[Product / Service Name],"⚠ Unknown")</f>
        <v>Chino Pants</v>
      </c>
      <c r="H5277" s="1" t="str">
        <f>_xlfn.XLOOKUP(tblSales[[#This Row],[Product Code]],tblProducts[Code],tblProducts[Category],"")</f>
        <v>Apparel &amp; Footwear</v>
      </c>
      <c r="I5277" s="4">
        <v>10</v>
      </c>
      <c r="J5277" s="5">
        <f>_xlfn.XLOOKUP(tblSales[[#This Row],[Product Code]],tblProducts[Code],tblProducts[Selling Price (excl. VAT)],0)</f>
        <v>150000</v>
      </c>
      <c r="K5277" s="5">
        <f>tblSales[[#This Row],[Qty]]*tblSales[[#This Row],[Unit Price]]</f>
        <v>1500000</v>
      </c>
      <c r="L5277" s="5">
        <f>ROUND(tblSales[[#This Row],[DPP (excl. VAT)]]*VATEff,0)</f>
        <v>165000</v>
      </c>
      <c r="M5277" s="5">
        <f>tblSales[[#This Row],[DPP (excl. VAT)]]+tblSales[[#This Row],[Output VAT]]</f>
        <v>1665000</v>
      </c>
      <c r="N5277" s="5">
        <f>tblSales[[#This Row],[Qty]]*_xlfn.XLOOKUP(tblSales[[#This Row],[Product Code]],tblProducts[Code],tblProducts[Unit Cost],0)</f>
        <v>880000</v>
      </c>
      <c r="O5277" s="4" t="s">
        <v>4865</v>
      </c>
      <c r="P5277" s="4" t="s">
        <v>4860</v>
      </c>
      <c r="Q5277" s="1" t="str">
        <f>_xlfn.XLOOKUP(tblSales[[#This Row],[Channel Code]],tblChannels[Channel Code],tblChannels[Channel Name],"")</f>
        <v>In-store</v>
      </c>
      <c r="R5277" s="1">
        <f>MONTH(tblSales[[#This Row],[Date]])</f>
        <v>11</v>
      </c>
    </row>
    <row r="5278" spans="2:18" x14ac:dyDescent="0.35">
      <c r="B5278" s="113">
        <v>46342</v>
      </c>
      <c r="C5278" s="4" t="s">
        <v>3612</v>
      </c>
      <c r="D5278" s="4" t="s">
        <v>4568</v>
      </c>
      <c r="E5278" s="1" t="str">
        <f>_xlfn.XLOOKUP(tblSales[[#This Row],[Customer ID]],tblCustomers[Customer ID],tblCustomers[Customer Name],"⚠ Unknown")</f>
        <v>Walk-in Customer</v>
      </c>
      <c r="F5278" s="4" t="s">
        <v>9</v>
      </c>
      <c r="G5278" s="1" t="str">
        <f>_xlfn.XLOOKUP(tblSales[[#This Row],[Product Code]],tblProducts[Code],tblProducts[Product / Service Name],"⚠ Unknown")</f>
        <v>Casual Shirt</v>
      </c>
      <c r="H5278" s="1" t="str">
        <f>_xlfn.XLOOKUP(tblSales[[#This Row],[Product Code]],tblProducts[Code],tblProducts[Category],"")</f>
        <v>Apparel &amp; Footwear</v>
      </c>
      <c r="I5278" s="4">
        <v>2</v>
      </c>
      <c r="J5278" s="5">
        <f>_xlfn.XLOOKUP(tblSales[[#This Row],[Product Code]],tblProducts[Code],tblProducts[Selling Price (excl. VAT)],0)</f>
        <v>120000</v>
      </c>
      <c r="K5278" s="5">
        <f>tblSales[[#This Row],[Qty]]*tblSales[[#This Row],[Unit Price]]</f>
        <v>240000</v>
      </c>
      <c r="L5278" s="5">
        <f>ROUND(tblSales[[#This Row],[DPP (excl. VAT)]]*VATEff,0)</f>
        <v>26400</v>
      </c>
      <c r="M5278" s="5">
        <f>tblSales[[#This Row],[DPP (excl. VAT)]]+tblSales[[#This Row],[Output VAT]]</f>
        <v>266400</v>
      </c>
      <c r="N5278" s="5">
        <f>tblSales[[#This Row],[Qty]]*_xlfn.XLOOKUP(tblSales[[#This Row],[Product Code]],tblProducts[Code],tblProducts[Unit Cost],0)</f>
        <v>144000</v>
      </c>
      <c r="O5278" s="4" t="s">
        <v>4865</v>
      </c>
      <c r="P5278" s="4" t="s">
        <v>4860</v>
      </c>
      <c r="Q5278" s="1" t="str">
        <f>_xlfn.XLOOKUP(tblSales[[#This Row],[Channel Code]],tblChannels[Channel Code],tblChannels[Channel Name],"")</f>
        <v>In-store</v>
      </c>
      <c r="R5278" s="1">
        <f>MONTH(tblSales[[#This Row],[Date]])</f>
        <v>11</v>
      </c>
    </row>
    <row r="5279" spans="2:18" x14ac:dyDescent="0.35">
      <c r="B5279" s="113">
        <v>46342</v>
      </c>
      <c r="C5279" s="4" t="s">
        <v>3612</v>
      </c>
      <c r="D5279" s="4" t="s">
        <v>4568</v>
      </c>
      <c r="E5279" s="1" t="str">
        <f>_xlfn.XLOOKUP(tblSales[[#This Row],[Customer ID]],tblCustomers[Customer ID],tblCustomers[Customer Name],"⚠ Unknown")</f>
        <v>Walk-in Customer</v>
      </c>
      <c r="F5279" s="4" t="s">
        <v>6</v>
      </c>
      <c r="G5279" s="1" t="str">
        <f>_xlfn.XLOOKUP(tblSales[[#This Row],[Product Code]],tblProducts[Code],tblProducts[Product / Service Name],"⚠ Unknown")</f>
        <v>Socks &amp; Accessories</v>
      </c>
      <c r="H5279" s="1" t="str">
        <f>_xlfn.XLOOKUP(tblSales[[#This Row],[Product Code]],tblProducts[Code],tblProducts[Category],"")</f>
        <v>Accessories &amp; Basics</v>
      </c>
      <c r="I5279" s="4">
        <v>10</v>
      </c>
      <c r="J5279" s="5">
        <f>_xlfn.XLOOKUP(tblSales[[#This Row],[Product Code]],tblProducts[Code],tblProducts[Selling Price (excl. VAT)],0)</f>
        <v>45000</v>
      </c>
      <c r="K5279" s="5">
        <f>tblSales[[#This Row],[Qty]]*tblSales[[#This Row],[Unit Price]]</f>
        <v>450000</v>
      </c>
      <c r="L5279" s="5">
        <f>ROUND(tblSales[[#This Row],[DPP (excl. VAT)]]*VATEff,0)</f>
        <v>49500</v>
      </c>
      <c r="M5279" s="5">
        <f>tblSales[[#This Row],[DPP (excl. VAT)]]+tblSales[[#This Row],[Output VAT]]</f>
        <v>499500</v>
      </c>
      <c r="N5279" s="5">
        <f>tblSales[[#This Row],[Qty]]*_xlfn.XLOOKUP(tblSales[[#This Row],[Product Code]],tblProducts[Code],tblProducts[Unit Cost],0)</f>
        <v>240000</v>
      </c>
      <c r="O5279" s="4" t="s">
        <v>4865</v>
      </c>
      <c r="P5279" s="4" t="s">
        <v>4860</v>
      </c>
      <c r="Q5279" s="1" t="str">
        <f>_xlfn.XLOOKUP(tblSales[[#This Row],[Channel Code]],tblChannels[Channel Code],tblChannels[Channel Name],"")</f>
        <v>In-store</v>
      </c>
      <c r="R5279" s="1">
        <f>MONTH(tblSales[[#This Row],[Date]])</f>
        <v>11</v>
      </c>
    </row>
    <row r="5280" spans="2:18" x14ac:dyDescent="0.35">
      <c r="B5280" s="113">
        <v>46343</v>
      </c>
      <c r="C5280" s="4" t="s">
        <v>3613</v>
      </c>
      <c r="D5280" s="4" t="s">
        <v>4578</v>
      </c>
      <c r="E5280" s="1" t="str">
        <f>_xlfn.XLOOKUP(tblSales[[#This Row],[Customer ID]],tblCustomers[Customer ID],tblCustomers[Customer Name],"⚠ Unknown")</f>
        <v>PT Bintang Timur Sejahtera</v>
      </c>
      <c r="F5280" s="4" t="s">
        <v>9</v>
      </c>
      <c r="G5280" s="1" t="str">
        <f>_xlfn.XLOOKUP(tblSales[[#This Row],[Product Code]],tblProducts[Code],tblProducts[Product / Service Name],"⚠ Unknown")</f>
        <v>Casual Shirt</v>
      </c>
      <c r="H5280" s="1" t="str">
        <f>_xlfn.XLOOKUP(tblSales[[#This Row],[Product Code]],tblProducts[Code],tblProducts[Category],"")</f>
        <v>Apparel &amp; Footwear</v>
      </c>
      <c r="I5280" s="4">
        <v>56</v>
      </c>
      <c r="J5280" s="5">
        <f>_xlfn.XLOOKUP(tblSales[[#This Row],[Product Code]],tblProducts[Code],tblProducts[Selling Price (excl. VAT)],0)</f>
        <v>120000</v>
      </c>
      <c r="K5280" s="5">
        <f>tblSales[[#This Row],[Qty]]*tblSales[[#This Row],[Unit Price]]</f>
        <v>6720000</v>
      </c>
      <c r="L5280" s="5">
        <f>ROUND(tblSales[[#This Row],[DPP (excl. VAT)]]*VATEff,0)</f>
        <v>739200</v>
      </c>
      <c r="M5280" s="5">
        <f>tblSales[[#This Row],[DPP (excl. VAT)]]+tblSales[[#This Row],[Output VAT]]</f>
        <v>7459200</v>
      </c>
      <c r="N5280" s="5">
        <f>tblSales[[#This Row],[Qty]]*_xlfn.XLOOKUP(tblSales[[#This Row],[Product Code]],tblProducts[Code],tblProducts[Unit Cost],0)</f>
        <v>4032000</v>
      </c>
      <c r="O5280" s="4" t="s">
        <v>4867</v>
      </c>
      <c r="P5280" s="4" t="s">
        <v>4860</v>
      </c>
      <c r="Q5280" s="1" t="str">
        <f>_xlfn.XLOOKUP(tblSales[[#This Row],[Channel Code]],tblChannels[Channel Code],tblChannels[Channel Name],"")</f>
        <v>In-store</v>
      </c>
      <c r="R5280" s="1">
        <f>MONTH(tblSales[[#This Row],[Date]])</f>
        <v>11</v>
      </c>
    </row>
    <row r="5281" spans="2:18" x14ac:dyDescent="0.35">
      <c r="B5281" s="113">
        <v>46343</v>
      </c>
      <c r="C5281" s="4" t="s">
        <v>3614</v>
      </c>
      <c r="D5281" s="4" t="s">
        <v>4568</v>
      </c>
      <c r="E5281" s="1" t="str">
        <f>_xlfn.XLOOKUP(tblSales[[#This Row],[Customer ID]],tblCustomers[Customer ID],tblCustomers[Customer Name],"⚠ Unknown")</f>
        <v>Walk-in Customer</v>
      </c>
      <c r="F5281" s="4" t="s">
        <v>9</v>
      </c>
      <c r="G5281" s="1" t="str">
        <f>_xlfn.XLOOKUP(tblSales[[#This Row],[Product Code]],tblProducts[Code],tblProducts[Product / Service Name],"⚠ Unknown")</f>
        <v>Casual Shirt</v>
      </c>
      <c r="H5281" s="1" t="str">
        <f>_xlfn.XLOOKUP(tblSales[[#This Row],[Product Code]],tblProducts[Code],tblProducts[Category],"")</f>
        <v>Apparel &amp; Footwear</v>
      </c>
      <c r="I5281" s="4">
        <v>10</v>
      </c>
      <c r="J5281" s="5">
        <f>_xlfn.XLOOKUP(tblSales[[#This Row],[Product Code]],tblProducts[Code],tblProducts[Selling Price (excl. VAT)],0)</f>
        <v>120000</v>
      </c>
      <c r="K5281" s="5">
        <f>tblSales[[#This Row],[Qty]]*tblSales[[#This Row],[Unit Price]]</f>
        <v>1200000</v>
      </c>
      <c r="L5281" s="5">
        <f>ROUND(tblSales[[#This Row],[DPP (excl. VAT)]]*VATEff,0)</f>
        <v>132000</v>
      </c>
      <c r="M5281" s="5">
        <f>tblSales[[#This Row],[DPP (excl. VAT)]]+tblSales[[#This Row],[Output VAT]]</f>
        <v>1332000</v>
      </c>
      <c r="N5281" s="5">
        <f>tblSales[[#This Row],[Qty]]*_xlfn.XLOOKUP(tblSales[[#This Row],[Product Code]],tblProducts[Code],tblProducts[Unit Cost],0)</f>
        <v>720000</v>
      </c>
      <c r="O5281" s="4" t="s">
        <v>4866</v>
      </c>
      <c r="P5281" s="4" t="s">
        <v>4860</v>
      </c>
      <c r="Q5281" s="1" t="str">
        <f>_xlfn.XLOOKUP(tblSales[[#This Row],[Channel Code]],tblChannels[Channel Code],tblChannels[Channel Name],"")</f>
        <v>In-store</v>
      </c>
      <c r="R5281" s="1">
        <f>MONTH(tblSales[[#This Row],[Date]])</f>
        <v>11</v>
      </c>
    </row>
    <row r="5282" spans="2:18" x14ac:dyDescent="0.35">
      <c r="B5282" s="113">
        <v>46343</v>
      </c>
      <c r="C5282" s="4" t="s">
        <v>3615</v>
      </c>
      <c r="D5282" s="4" t="s">
        <v>4568</v>
      </c>
      <c r="E5282" s="1" t="str">
        <f>_xlfn.XLOOKUP(tblSales[[#This Row],[Customer ID]],tblCustomers[Customer ID],tblCustomers[Customer Name],"⚠ Unknown")</f>
        <v>Walk-in Customer</v>
      </c>
      <c r="F5282" s="4" t="s">
        <v>13</v>
      </c>
      <c r="G5282" s="1" t="str">
        <f>_xlfn.XLOOKUP(tblSales[[#This Row],[Product Code]],tblProducts[Code],tblProducts[Product / Service Name],"⚠ Unknown")</f>
        <v>Backpack</v>
      </c>
      <c r="H5282" s="1" t="str">
        <f>_xlfn.XLOOKUP(tblSales[[#This Row],[Product Code]],tblProducts[Code],tblProducts[Category],"")</f>
        <v>Bags &amp; Gadgets</v>
      </c>
      <c r="I5282" s="4">
        <v>5</v>
      </c>
      <c r="J5282" s="5">
        <f>_xlfn.XLOOKUP(tblSales[[#This Row],[Product Code]],tblProducts[Code],tblProducts[Selling Price (excl. VAT)],0)</f>
        <v>500000</v>
      </c>
      <c r="K5282" s="5">
        <f>tblSales[[#This Row],[Qty]]*tblSales[[#This Row],[Unit Price]]</f>
        <v>2500000</v>
      </c>
      <c r="L5282" s="5">
        <f>ROUND(tblSales[[#This Row],[DPP (excl. VAT)]]*VATEff,0)</f>
        <v>275000</v>
      </c>
      <c r="M5282" s="5">
        <f>tblSales[[#This Row],[DPP (excl. VAT)]]+tblSales[[#This Row],[Output VAT]]</f>
        <v>2775000</v>
      </c>
      <c r="N5282" s="5">
        <f>tblSales[[#This Row],[Qty]]*_xlfn.XLOOKUP(tblSales[[#This Row],[Product Code]],tblProducts[Code],tblProducts[Unit Cost],0)</f>
        <v>1450000</v>
      </c>
      <c r="O5282" s="4" t="s">
        <v>4865</v>
      </c>
      <c r="P5282" s="4" t="s">
        <v>4860</v>
      </c>
      <c r="Q5282" s="1" t="str">
        <f>_xlfn.XLOOKUP(tblSales[[#This Row],[Channel Code]],tblChannels[Channel Code],tblChannels[Channel Name],"")</f>
        <v>In-store</v>
      </c>
      <c r="R5282" s="1">
        <f>MONTH(tblSales[[#This Row],[Date]])</f>
        <v>11</v>
      </c>
    </row>
    <row r="5283" spans="2:18" x14ac:dyDescent="0.35">
      <c r="B5283" s="113">
        <v>46343</v>
      </c>
      <c r="C5283" s="4" t="s">
        <v>3615</v>
      </c>
      <c r="D5283" s="4" t="s">
        <v>4568</v>
      </c>
      <c r="E5283" s="1" t="str">
        <f>_xlfn.XLOOKUP(tblSales[[#This Row],[Customer ID]],tblCustomers[Customer ID],tblCustomers[Customer Name],"⚠ Unknown")</f>
        <v>Walk-in Customer</v>
      </c>
      <c r="F5283" s="4" t="s">
        <v>8</v>
      </c>
      <c r="G5283" s="1" t="str">
        <f>_xlfn.XLOOKUP(tblSales[[#This Row],[Product Code]],tblProducts[Code],tblProducts[Product / Service Name],"⚠ Unknown")</f>
        <v>Casual Shorts</v>
      </c>
      <c r="H5283" s="1" t="str">
        <f>_xlfn.XLOOKUP(tblSales[[#This Row],[Product Code]],tblProducts[Code],tblProducts[Category],"")</f>
        <v>Accessories &amp; Basics</v>
      </c>
      <c r="I5283" s="4">
        <v>10</v>
      </c>
      <c r="J5283" s="5">
        <f>_xlfn.XLOOKUP(tblSales[[#This Row],[Product Code]],tblProducts[Code],tblProducts[Selling Price (excl. VAT)],0)</f>
        <v>85000</v>
      </c>
      <c r="K5283" s="5">
        <f>tblSales[[#This Row],[Qty]]*tblSales[[#This Row],[Unit Price]]</f>
        <v>850000</v>
      </c>
      <c r="L5283" s="5">
        <f>ROUND(tblSales[[#This Row],[DPP (excl. VAT)]]*VATEff,0)</f>
        <v>93500</v>
      </c>
      <c r="M5283" s="5">
        <f>tblSales[[#This Row],[DPP (excl. VAT)]]+tblSales[[#This Row],[Output VAT]]</f>
        <v>943500</v>
      </c>
      <c r="N5283" s="5">
        <f>tblSales[[#This Row],[Qty]]*_xlfn.XLOOKUP(tblSales[[#This Row],[Product Code]],tblProducts[Code],tblProducts[Unit Cost],0)</f>
        <v>500000</v>
      </c>
      <c r="O5283" s="4" t="s">
        <v>4865</v>
      </c>
      <c r="P5283" s="4" t="s">
        <v>4860</v>
      </c>
      <c r="Q5283" s="1" t="str">
        <f>_xlfn.XLOOKUP(tblSales[[#This Row],[Channel Code]],tblChannels[Channel Code],tblChannels[Channel Name],"")</f>
        <v>In-store</v>
      </c>
      <c r="R5283" s="1">
        <f>MONTH(tblSales[[#This Row],[Date]])</f>
        <v>11</v>
      </c>
    </row>
    <row r="5284" spans="2:18" x14ac:dyDescent="0.35">
      <c r="B5284" s="113">
        <v>46343</v>
      </c>
      <c r="C5284" s="4" t="s">
        <v>3616</v>
      </c>
      <c r="D5284" s="4" t="s">
        <v>4578</v>
      </c>
      <c r="E5284" s="1" t="str">
        <f>_xlfn.XLOOKUP(tblSales[[#This Row],[Customer ID]],tblCustomers[Customer ID],tblCustomers[Customer Name],"⚠ Unknown")</f>
        <v>PT Bintang Timur Sejahtera</v>
      </c>
      <c r="F5284" s="4" t="s">
        <v>7</v>
      </c>
      <c r="G5284" s="1" t="str">
        <f>_xlfn.XLOOKUP(tblSales[[#This Row],[Product Code]],tblProducts[Code],tblProducts[Product / Service Name],"⚠ Unknown")</f>
        <v>Premium Basic T-shirt</v>
      </c>
      <c r="H5284" s="1" t="str">
        <f>_xlfn.XLOOKUP(tblSales[[#This Row],[Product Code]],tblProducts[Code],tblProducts[Category],"")</f>
        <v>Accessories &amp; Basics</v>
      </c>
      <c r="I5284" s="4">
        <v>8</v>
      </c>
      <c r="J5284" s="5">
        <f>_xlfn.XLOOKUP(tblSales[[#This Row],[Product Code]],tblProducts[Code],tblProducts[Selling Price (excl. VAT)],0)</f>
        <v>65000</v>
      </c>
      <c r="K5284" s="5">
        <f>tblSales[[#This Row],[Qty]]*tblSales[[#This Row],[Unit Price]]</f>
        <v>520000</v>
      </c>
      <c r="L5284" s="5">
        <f>ROUND(tblSales[[#This Row],[DPP (excl. VAT)]]*VATEff,0)</f>
        <v>57200</v>
      </c>
      <c r="M5284" s="5">
        <f>tblSales[[#This Row],[DPP (excl. VAT)]]+tblSales[[#This Row],[Output VAT]]</f>
        <v>577200</v>
      </c>
      <c r="N5284" s="5">
        <f>tblSales[[#This Row],[Qty]]*_xlfn.XLOOKUP(tblSales[[#This Row],[Product Code]],tblProducts[Code],tblProducts[Unit Cost],0)</f>
        <v>296000</v>
      </c>
      <c r="O5284" s="4" t="s">
        <v>4867</v>
      </c>
      <c r="P5284" s="4" t="s">
        <v>4860</v>
      </c>
      <c r="Q5284" s="1" t="str">
        <f>_xlfn.XLOOKUP(tblSales[[#This Row],[Channel Code]],tblChannels[Channel Code],tblChannels[Channel Name],"")</f>
        <v>In-store</v>
      </c>
      <c r="R5284" s="1">
        <f>MONTH(tblSales[[#This Row],[Date]])</f>
        <v>11</v>
      </c>
    </row>
    <row r="5285" spans="2:18" x14ac:dyDescent="0.35">
      <c r="B5285" s="113">
        <v>46343</v>
      </c>
      <c r="C5285" s="4" t="s">
        <v>3617</v>
      </c>
      <c r="D5285" s="4" t="s">
        <v>4568</v>
      </c>
      <c r="E5285" s="1" t="str">
        <f>_xlfn.XLOOKUP(tblSales[[#This Row],[Customer ID]],tblCustomers[Customer ID],tblCustomers[Customer Name],"⚠ Unknown")</f>
        <v>Walk-in Customer</v>
      </c>
      <c r="F5285" s="4" t="s">
        <v>8</v>
      </c>
      <c r="G5285" s="1" t="str">
        <f>_xlfn.XLOOKUP(tblSales[[#This Row],[Product Code]],tblProducts[Code],tblProducts[Product / Service Name],"⚠ Unknown")</f>
        <v>Casual Shorts</v>
      </c>
      <c r="H5285" s="1" t="str">
        <f>_xlfn.XLOOKUP(tblSales[[#This Row],[Product Code]],tblProducts[Code],tblProducts[Category],"")</f>
        <v>Accessories &amp; Basics</v>
      </c>
      <c r="I5285" s="4">
        <v>5</v>
      </c>
      <c r="J5285" s="5">
        <f>_xlfn.XLOOKUP(tblSales[[#This Row],[Product Code]],tblProducts[Code],tblProducts[Selling Price (excl. VAT)],0)</f>
        <v>85000</v>
      </c>
      <c r="K5285" s="5">
        <f>tblSales[[#This Row],[Qty]]*tblSales[[#This Row],[Unit Price]]</f>
        <v>425000</v>
      </c>
      <c r="L5285" s="5">
        <f>ROUND(tblSales[[#This Row],[DPP (excl. VAT)]]*VATEff,0)</f>
        <v>46750</v>
      </c>
      <c r="M5285" s="5">
        <f>tblSales[[#This Row],[DPP (excl. VAT)]]+tblSales[[#This Row],[Output VAT]]</f>
        <v>471750</v>
      </c>
      <c r="N5285" s="5">
        <f>tblSales[[#This Row],[Qty]]*_xlfn.XLOOKUP(tblSales[[#This Row],[Product Code]],tblProducts[Code],tblProducts[Unit Cost],0)</f>
        <v>250000</v>
      </c>
      <c r="O5285" s="4" t="s">
        <v>4866</v>
      </c>
      <c r="P5285" s="4" t="s">
        <v>4861</v>
      </c>
      <c r="Q5285" s="1" t="str">
        <f>_xlfn.XLOOKUP(tblSales[[#This Row],[Channel Code]],tblChannels[Channel Code],tblChannels[Channel Name],"")</f>
        <v>Marketplace</v>
      </c>
      <c r="R5285" s="1">
        <f>MONTH(tblSales[[#This Row],[Date]])</f>
        <v>11</v>
      </c>
    </row>
    <row r="5286" spans="2:18" x14ac:dyDescent="0.35">
      <c r="B5286" s="113">
        <v>46343</v>
      </c>
      <c r="C5286" s="4" t="s">
        <v>3617</v>
      </c>
      <c r="D5286" s="4" t="s">
        <v>4568</v>
      </c>
      <c r="E5286" s="1" t="str">
        <f>_xlfn.XLOOKUP(tblSales[[#This Row],[Customer ID]],tblCustomers[Customer ID],tblCustomers[Customer Name],"⚠ Unknown")</f>
        <v>Walk-in Customer</v>
      </c>
      <c r="F5286" s="4" t="s">
        <v>7</v>
      </c>
      <c r="G5286" s="1" t="str">
        <f>_xlfn.XLOOKUP(tblSales[[#This Row],[Product Code]],tblProducts[Code],tblProducts[Product / Service Name],"⚠ Unknown")</f>
        <v>Premium Basic T-shirt</v>
      </c>
      <c r="H5286" s="1" t="str">
        <f>_xlfn.XLOOKUP(tblSales[[#This Row],[Product Code]],tblProducts[Code],tblProducts[Category],"")</f>
        <v>Accessories &amp; Basics</v>
      </c>
      <c r="I5286" s="4">
        <v>9</v>
      </c>
      <c r="J5286" s="5">
        <f>_xlfn.XLOOKUP(tblSales[[#This Row],[Product Code]],tblProducts[Code],tblProducts[Selling Price (excl. VAT)],0)</f>
        <v>65000</v>
      </c>
      <c r="K5286" s="5">
        <f>tblSales[[#This Row],[Qty]]*tblSales[[#This Row],[Unit Price]]</f>
        <v>585000</v>
      </c>
      <c r="L5286" s="5">
        <f>ROUND(tblSales[[#This Row],[DPP (excl. VAT)]]*VATEff,0)</f>
        <v>64350</v>
      </c>
      <c r="M5286" s="5">
        <f>tblSales[[#This Row],[DPP (excl. VAT)]]+tblSales[[#This Row],[Output VAT]]</f>
        <v>649350</v>
      </c>
      <c r="N5286" s="5">
        <f>tblSales[[#This Row],[Qty]]*_xlfn.XLOOKUP(tblSales[[#This Row],[Product Code]],tblProducts[Code],tblProducts[Unit Cost],0)</f>
        <v>333000</v>
      </c>
      <c r="O5286" s="4" t="s">
        <v>4866</v>
      </c>
      <c r="P5286" s="4" t="s">
        <v>4861</v>
      </c>
      <c r="Q5286" s="1" t="str">
        <f>_xlfn.XLOOKUP(tblSales[[#This Row],[Channel Code]],tblChannels[Channel Code],tblChannels[Channel Name],"")</f>
        <v>Marketplace</v>
      </c>
      <c r="R5286" s="1">
        <f>MONTH(tblSales[[#This Row],[Date]])</f>
        <v>11</v>
      </c>
    </row>
    <row r="5287" spans="2:18" x14ac:dyDescent="0.35">
      <c r="B5287" s="113">
        <v>46343</v>
      </c>
      <c r="C5287" s="4" t="s">
        <v>3617</v>
      </c>
      <c r="D5287" s="4" t="s">
        <v>4568</v>
      </c>
      <c r="E5287" s="1" t="str">
        <f>_xlfn.XLOOKUP(tblSales[[#This Row],[Customer ID]],tblCustomers[Customer ID],tblCustomers[Customer Name],"⚠ Unknown")</f>
        <v>Walk-in Customer</v>
      </c>
      <c r="F5287" s="4" t="s">
        <v>10</v>
      </c>
      <c r="G5287" s="1" t="str">
        <f>_xlfn.XLOOKUP(tblSales[[#This Row],[Product Code]],tblProducts[Code],tblProducts[Product / Service Name],"⚠ Unknown")</f>
        <v>Chino Pants</v>
      </c>
      <c r="H5287" s="1" t="str">
        <f>_xlfn.XLOOKUP(tblSales[[#This Row],[Product Code]],tblProducts[Code],tblProducts[Category],"")</f>
        <v>Apparel &amp; Footwear</v>
      </c>
      <c r="I5287" s="4">
        <v>9</v>
      </c>
      <c r="J5287" s="5">
        <f>_xlfn.XLOOKUP(tblSales[[#This Row],[Product Code]],tblProducts[Code],tblProducts[Selling Price (excl. VAT)],0)</f>
        <v>150000</v>
      </c>
      <c r="K5287" s="5">
        <f>tblSales[[#This Row],[Qty]]*tblSales[[#This Row],[Unit Price]]</f>
        <v>1350000</v>
      </c>
      <c r="L5287" s="5">
        <f>ROUND(tblSales[[#This Row],[DPP (excl. VAT)]]*VATEff,0)</f>
        <v>148500</v>
      </c>
      <c r="M5287" s="5">
        <f>tblSales[[#This Row],[DPP (excl. VAT)]]+tblSales[[#This Row],[Output VAT]]</f>
        <v>1498500</v>
      </c>
      <c r="N5287" s="5">
        <f>tblSales[[#This Row],[Qty]]*_xlfn.XLOOKUP(tblSales[[#This Row],[Product Code]],tblProducts[Code],tblProducts[Unit Cost],0)</f>
        <v>792000</v>
      </c>
      <c r="O5287" s="4" t="s">
        <v>4866</v>
      </c>
      <c r="P5287" s="4" t="s">
        <v>4861</v>
      </c>
      <c r="Q5287" s="1" t="str">
        <f>_xlfn.XLOOKUP(tblSales[[#This Row],[Channel Code]],tblChannels[Channel Code],tblChannels[Channel Name],"")</f>
        <v>Marketplace</v>
      </c>
      <c r="R5287" s="1">
        <f>MONTH(tblSales[[#This Row],[Date]])</f>
        <v>11</v>
      </c>
    </row>
    <row r="5288" spans="2:18" x14ac:dyDescent="0.35">
      <c r="B5288" s="113">
        <v>46343</v>
      </c>
      <c r="C5288" s="4" t="s">
        <v>3618</v>
      </c>
      <c r="D5288" s="4" t="s">
        <v>4606</v>
      </c>
      <c r="E5288" s="1" t="str">
        <f>_xlfn.XLOOKUP(tblSales[[#This Row],[Customer ID]],tblCustomers[Customer ID],tblCustomers[Customer Name],"⚠ Unknown")</f>
        <v>PT Arunika Digital Kreatif</v>
      </c>
      <c r="F5288" s="4" t="s">
        <v>7</v>
      </c>
      <c r="G5288" s="1" t="str">
        <f>_xlfn.XLOOKUP(tblSales[[#This Row],[Product Code]],tblProducts[Code],tblProducts[Product / Service Name],"⚠ Unknown")</f>
        <v>Premium Basic T-shirt</v>
      </c>
      <c r="H5288" s="1" t="str">
        <f>_xlfn.XLOOKUP(tblSales[[#This Row],[Product Code]],tblProducts[Code],tblProducts[Category],"")</f>
        <v>Accessories &amp; Basics</v>
      </c>
      <c r="I5288" s="4">
        <v>8</v>
      </c>
      <c r="J5288" s="5">
        <f>_xlfn.XLOOKUP(tblSales[[#This Row],[Product Code]],tblProducts[Code],tblProducts[Selling Price (excl. VAT)],0)</f>
        <v>65000</v>
      </c>
      <c r="K5288" s="5">
        <f>tblSales[[#This Row],[Qty]]*tblSales[[#This Row],[Unit Price]]</f>
        <v>520000</v>
      </c>
      <c r="L5288" s="5">
        <f>ROUND(tblSales[[#This Row],[DPP (excl. VAT)]]*VATEff,0)</f>
        <v>57200</v>
      </c>
      <c r="M5288" s="5">
        <f>tblSales[[#This Row],[DPP (excl. VAT)]]+tblSales[[#This Row],[Output VAT]]</f>
        <v>577200</v>
      </c>
      <c r="N5288" s="5">
        <f>tblSales[[#This Row],[Qty]]*_xlfn.XLOOKUP(tblSales[[#This Row],[Product Code]],tblProducts[Code],tblProducts[Unit Cost],0)</f>
        <v>296000</v>
      </c>
      <c r="O5288" s="4" t="s">
        <v>4867</v>
      </c>
      <c r="P5288" s="4" t="s">
        <v>4862</v>
      </c>
      <c r="Q5288" s="1" t="str">
        <f>_xlfn.XLOOKUP(tblSales[[#This Row],[Channel Code]],tblChannels[Channel Code],tblChannels[Channel Name],"")</f>
        <v>Website &amp; Social Media</v>
      </c>
      <c r="R5288" s="1">
        <f>MONTH(tblSales[[#This Row],[Date]])</f>
        <v>11</v>
      </c>
    </row>
    <row r="5289" spans="2:18" x14ac:dyDescent="0.35">
      <c r="B5289" s="113">
        <v>46343</v>
      </c>
      <c r="C5289" s="4" t="s">
        <v>3619</v>
      </c>
      <c r="D5289" s="4" t="s">
        <v>4568</v>
      </c>
      <c r="E5289" s="1" t="str">
        <f>_xlfn.XLOOKUP(tblSales[[#This Row],[Customer ID]],tblCustomers[Customer ID],tblCustomers[Customer Name],"⚠ Unknown")</f>
        <v>Walk-in Customer</v>
      </c>
      <c r="F5289" s="4" t="s">
        <v>12</v>
      </c>
      <c r="G5289" s="1" t="str">
        <f>_xlfn.XLOOKUP(tblSales[[#This Row],[Product Code]],tblProducts[Code],tblProducts[Product / Service Name],"⚠ Unknown")</f>
        <v>Bomber Jacket</v>
      </c>
      <c r="H5289" s="1" t="str">
        <f>_xlfn.XLOOKUP(tblSales[[#This Row],[Product Code]],tblProducts[Code],tblProducts[Category],"")</f>
        <v>Apparel &amp; Footwear</v>
      </c>
      <c r="I5289" s="4">
        <v>5</v>
      </c>
      <c r="J5289" s="5">
        <f>_xlfn.XLOOKUP(tblSales[[#This Row],[Product Code]],tblProducts[Code],tblProducts[Selling Price (excl. VAT)],0)</f>
        <v>350000</v>
      </c>
      <c r="K5289" s="5">
        <f>tblSales[[#This Row],[Qty]]*tblSales[[#This Row],[Unit Price]]</f>
        <v>1750000</v>
      </c>
      <c r="L5289" s="5">
        <f>ROUND(tblSales[[#This Row],[DPP (excl. VAT)]]*VATEff,0)</f>
        <v>192500</v>
      </c>
      <c r="M5289" s="5">
        <f>tblSales[[#This Row],[DPP (excl. VAT)]]+tblSales[[#This Row],[Output VAT]]</f>
        <v>1942500</v>
      </c>
      <c r="N5289" s="5">
        <f>tblSales[[#This Row],[Qty]]*_xlfn.XLOOKUP(tblSales[[#This Row],[Product Code]],tblProducts[Code],tblProducts[Unit Cost],0)</f>
        <v>1050000</v>
      </c>
      <c r="O5289" s="4" t="s">
        <v>4866</v>
      </c>
      <c r="P5289" s="4" t="s">
        <v>4860</v>
      </c>
      <c r="Q5289" s="1" t="str">
        <f>_xlfn.XLOOKUP(tblSales[[#This Row],[Channel Code]],tblChannels[Channel Code],tblChannels[Channel Name],"")</f>
        <v>In-store</v>
      </c>
      <c r="R5289" s="1">
        <f>MONTH(tblSales[[#This Row],[Date]])</f>
        <v>11</v>
      </c>
    </row>
    <row r="5290" spans="2:18" x14ac:dyDescent="0.35">
      <c r="B5290" s="113">
        <v>46343</v>
      </c>
      <c r="C5290" s="4" t="s">
        <v>3620</v>
      </c>
      <c r="D5290" s="4" t="s">
        <v>4568</v>
      </c>
      <c r="E5290" s="1" t="str">
        <f>_xlfn.XLOOKUP(tblSales[[#This Row],[Customer ID]],tblCustomers[Customer ID],tblCustomers[Customer Name],"⚠ Unknown")</f>
        <v>Walk-in Customer</v>
      </c>
      <c r="F5290" s="4" t="s">
        <v>8</v>
      </c>
      <c r="G5290" s="1" t="str">
        <f>_xlfn.XLOOKUP(tblSales[[#This Row],[Product Code]],tblProducts[Code],tblProducts[Product / Service Name],"⚠ Unknown")</f>
        <v>Casual Shorts</v>
      </c>
      <c r="H5290" s="1" t="str">
        <f>_xlfn.XLOOKUP(tblSales[[#This Row],[Product Code]],tblProducts[Code],tblProducts[Category],"")</f>
        <v>Accessories &amp; Basics</v>
      </c>
      <c r="I5290" s="4">
        <v>1</v>
      </c>
      <c r="J5290" s="5">
        <f>_xlfn.XLOOKUP(tblSales[[#This Row],[Product Code]],tblProducts[Code],tblProducts[Selling Price (excl. VAT)],0)</f>
        <v>85000</v>
      </c>
      <c r="K5290" s="5">
        <f>tblSales[[#This Row],[Qty]]*tblSales[[#This Row],[Unit Price]]</f>
        <v>85000</v>
      </c>
      <c r="L5290" s="5">
        <f>ROUND(tblSales[[#This Row],[DPP (excl. VAT)]]*VATEff,0)</f>
        <v>9350</v>
      </c>
      <c r="M5290" s="5">
        <f>tblSales[[#This Row],[DPP (excl. VAT)]]+tblSales[[#This Row],[Output VAT]]</f>
        <v>94350</v>
      </c>
      <c r="N5290" s="5">
        <f>tblSales[[#This Row],[Qty]]*_xlfn.XLOOKUP(tblSales[[#This Row],[Product Code]],tblProducts[Code],tblProducts[Unit Cost],0)</f>
        <v>50000</v>
      </c>
      <c r="O5290" s="4" t="s">
        <v>4866</v>
      </c>
      <c r="P5290" s="4" t="s">
        <v>4860</v>
      </c>
      <c r="Q5290" s="1" t="str">
        <f>_xlfn.XLOOKUP(tblSales[[#This Row],[Channel Code]],tblChannels[Channel Code],tblChannels[Channel Name],"")</f>
        <v>In-store</v>
      </c>
      <c r="R5290" s="1">
        <f>MONTH(tblSales[[#This Row],[Date]])</f>
        <v>11</v>
      </c>
    </row>
    <row r="5291" spans="2:18" x14ac:dyDescent="0.35">
      <c r="B5291" s="113">
        <v>46343</v>
      </c>
      <c r="C5291" s="4" t="s">
        <v>3621</v>
      </c>
      <c r="D5291" s="4" t="s">
        <v>4613</v>
      </c>
      <c r="E5291" s="1" t="str">
        <f>_xlfn.XLOOKUP(tblSales[[#This Row],[Customer ID]],tblCustomers[Customer ID],tblCustomers[Customer Name],"⚠ Unknown")</f>
        <v>PT Mega Prima Distribusi</v>
      </c>
      <c r="F5291" s="4" t="s">
        <v>7</v>
      </c>
      <c r="G5291" s="1" t="str">
        <f>_xlfn.XLOOKUP(tblSales[[#This Row],[Product Code]],tblProducts[Code],tblProducts[Product / Service Name],"⚠ Unknown")</f>
        <v>Premium Basic T-shirt</v>
      </c>
      <c r="H5291" s="1" t="str">
        <f>_xlfn.XLOOKUP(tblSales[[#This Row],[Product Code]],tblProducts[Code],tblProducts[Category],"")</f>
        <v>Accessories &amp; Basics</v>
      </c>
      <c r="I5291" s="4">
        <v>96</v>
      </c>
      <c r="J5291" s="5">
        <f>_xlfn.XLOOKUP(tblSales[[#This Row],[Product Code]],tblProducts[Code],tblProducts[Selling Price (excl. VAT)],0)</f>
        <v>65000</v>
      </c>
      <c r="K5291" s="5">
        <f>tblSales[[#This Row],[Qty]]*tblSales[[#This Row],[Unit Price]]</f>
        <v>6240000</v>
      </c>
      <c r="L5291" s="5">
        <f>ROUND(tblSales[[#This Row],[DPP (excl. VAT)]]*VATEff,0)</f>
        <v>686400</v>
      </c>
      <c r="M5291" s="5">
        <f>tblSales[[#This Row],[DPP (excl. VAT)]]+tblSales[[#This Row],[Output VAT]]</f>
        <v>6926400</v>
      </c>
      <c r="N5291" s="5">
        <f>tblSales[[#This Row],[Qty]]*_xlfn.XLOOKUP(tblSales[[#This Row],[Product Code]],tblProducts[Code],tblProducts[Unit Cost],0)</f>
        <v>3552000</v>
      </c>
      <c r="O5291" s="4" t="s">
        <v>4867</v>
      </c>
      <c r="P5291" s="4" t="s">
        <v>4860</v>
      </c>
      <c r="Q5291" s="1" t="str">
        <f>_xlfn.XLOOKUP(tblSales[[#This Row],[Channel Code]],tblChannels[Channel Code],tblChannels[Channel Name],"")</f>
        <v>In-store</v>
      </c>
      <c r="R5291" s="1">
        <f>MONTH(tblSales[[#This Row],[Date]])</f>
        <v>11</v>
      </c>
    </row>
    <row r="5292" spans="2:18" x14ac:dyDescent="0.35">
      <c r="B5292" s="113">
        <v>46343</v>
      </c>
      <c r="C5292" s="4" t="s">
        <v>3622</v>
      </c>
      <c r="D5292" s="4" t="s">
        <v>4634</v>
      </c>
      <c r="E5292" s="1" t="str">
        <f>_xlfn.XLOOKUP(tblSales[[#This Row],[Customer ID]],tblCustomers[Customer ID],tblCustomers[Customer Name],"⚠ Unknown")</f>
        <v>PT Delta Inti Selaras</v>
      </c>
      <c r="F5292" s="4" t="s">
        <v>8</v>
      </c>
      <c r="G5292" s="1" t="str">
        <f>_xlfn.XLOOKUP(tblSales[[#This Row],[Product Code]],tblProducts[Code],tblProducts[Product / Service Name],"⚠ Unknown")</f>
        <v>Casual Shorts</v>
      </c>
      <c r="H5292" s="1" t="str">
        <f>_xlfn.XLOOKUP(tblSales[[#This Row],[Product Code]],tblProducts[Code],tblProducts[Category],"")</f>
        <v>Accessories &amp; Basics</v>
      </c>
      <c r="I5292" s="4">
        <v>56</v>
      </c>
      <c r="J5292" s="5">
        <f>_xlfn.XLOOKUP(tblSales[[#This Row],[Product Code]],tblProducts[Code],tblProducts[Selling Price (excl. VAT)],0)</f>
        <v>85000</v>
      </c>
      <c r="K5292" s="5">
        <f>tblSales[[#This Row],[Qty]]*tblSales[[#This Row],[Unit Price]]</f>
        <v>4760000</v>
      </c>
      <c r="L5292" s="5">
        <f>ROUND(tblSales[[#This Row],[DPP (excl. VAT)]]*VATEff,0)</f>
        <v>523600</v>
      </c>
      <c r="M5292" s="5">
        <f>tblSales[[#This Row],[DPP (excl. VAT)]]+tblSales[[#This Row],[Output VAT]]</f>
        <v>5283600</v>
      </c>
      <c r="N5292" s="5">
        <f>tblSales[[#This Row],[Qty]]*_xlfn.XLOOKUP(tblSales[[#This Row],[Product Code]],tblProducts[Code],tblProducts[Unit Cost],0)</f>
        <v>2800000</v>
      </c>
      <c r="O5292" s="4" t="s">
        <v>4867</v>
      </c>
      <c r="P5292" s="4" t="s">
        <v>4860</v>
      </c>
      <c r="Q5292" s="1" t="str">
        <f>_xlfn.XLOOKUP(tblSales[[#This Row],[Channel Code]],tblChannels[Channel Code],tblChannels[Channel Name],"")</f>
        <v>In-store</v>
      </c>
      <c r="R5292" s="1">
        <f>MONTH(tblSales[[#This Row],[Date]])</f>
        <v>11</v>
      </c>
    </row>
    <row r="5293" spans="2:18" x14ac:dyDescent="0.35">
      <c r="B5293" s="113">
        <v>46343</v>
      </c>
      <c r="C5293" s="4" t="s">
        <v>3622</v>
      </c>
      <c r="D5293" s="4" t="s">
        <v>4634</v>
      </c>
      <c r="E5293" s="1" t="str">
        <f>_xlfn.XLOOKUP(tblSales[[#This Row],[Customer ID]],tblCustomers[Customer ID],tblCustomers[Customer Name],"⚠ Unknown")</f>
        <v>PT Delta Inti Selaras</v>
      </c>
      <c r="F5293" s="4" t="s">
        <v>7</v>
      </c>
      <c r="G5293" s="1" t="str">
        <f>_xlfn.XLOOKUP(tblSales[[#This Row],[Product Code]],tblProducts[Code],tblProducts[Product / Service Name],"⚠ Unknown")</f>
        <v>Premium Basic T-shirt</v>
      </c>
      <c r="H5293" s="1" t="str">
        <f>_xlfn.XLOOKUP(tblSales[[#This Row],[Product Code]],tblProducts[Code],tblProducts[Category],"")</f>
        <v>Accessories &amp; Basics</v>
      </c>
      <c r="I5293" s="4">
        <v>16</v>
      </c>
      <c r="J5293" s="5">
        <f>_xlfn.XLOOKUP(tblSales[[#This Row],[Product Code]],tblProducts[Code],tblProducts[Selling Price (excl. VAT)],0)</f>
        <v>65000</v>
      </c>
      <c r="K5293" s="5">
        <f>tblSales[[#This Row],[Qty]]*tblSales[[#This Row],[Unit Price]]</f>
        <v>1040000</v>
      </c>
      <c r="L5293" s="5">
        <f>ROUND(tblSales[[#This Row],[DPP (excl. VAT)]]*VATEff,0)</f>
        <v>114400</v>
      </c>
      <c r="M5293" s="5">
        <f>tblSales[[#This Row],[DPP (excl. VAT)]]+tblSales[[#This Row],[Output VAT]]</f>
        <v>1154400</v>
      </c>
      <c r="N5293" s="5">
        <f>tblSales[[#This Row],[Qty]]*_xlfn.XLOOKUP(tblSales[[#This Row],[Product Code]],tblProducts[Code],tblProducts[Unit Cost],0)</f>
        <v>592000</v>
      </c>
      <c r="O5293" s="4" t="s">
        <v>4867</v>
      </c>
      <c r="P5293" s="4" t="s">
        <v>4860</v>
      </c>
      <c r="Q5293" s="1" t="str">
        <f>_xlfn.XLOOKUP(tblSales[[#This Row],[Channel Code]],tblChannels[Channel Code],tblChannels[Channel Name],"")</f>
        <v>In-store</v>
      </c>
      <c r="R5293" s="1">
        <f>MONTH(tblSales[[#This Row],[Date]])</f>
        <v>11</v>
      </c>
    </row>
    <row r="5294" spans="2:18" x14ac:dyDescent="0.35">
      <c r="B5294" s="113">
        <v>46343</v>
      </c>
      <c r="C5294" s="4" t="s">
        <v>3623</v>
      </c>
      <c r="D5294" s="4" t="s">
        <v>4568</v>
      </c>
      <c r="E5294" s="1" t="str">
        <f>_xlfn.XLOOKUP(tblSales[[#This Row],[Customer ID]],tblCustomers[Customer ID],tblCustomers[Customer Name],"⚠ Unknown")</f>
        <v>Walk-in Customer</v>
      </c>
      <c r="F5294" s="4" t="s">
        <v>8</v>
      </c>
      <c r="G5294" s="1" t="str">
        <f>_xlfn.XLOOKUP(tblSales[[#This Row],[Product Code]],tblProducts[Code],tblProducts[Product / Service Name],"⚠ Unknown")</f>
        <v>Casual Shorts</v>
      </c>
      <c r="H5294" s="1" t="str">
        <f>_xlfn.XLOOKUP(tblSales[[#This Row],[Product Code]],tblProducts[Code],tblProducts[Category],"")</f>
        <v>Accessories &amp; Basics</v>
      </c>
      <c r="I5294" s="4">
        <v>11</v>
      </c>
      <c r="J5294" s="5">
        <f>_xlfn.XLOOKUP(tblSales[[#This Row],[Product Code]],tblProducts[Code],tblProducts[Selling Price (excl. VAT)],0)</f>
        <v>85000</v>
      </c>
      <c r="K5294" s="5">
        <f>tblSales[[#This Row],[Qty]]*tblSales[[#This Row],[Unit Price]]</f>
        <v>935000</v>
      </c>
      <c r="L5294" s="5">
        <f>ROUND(tblSales[[#This Row],[DPP (excl. VAT)]]*VATEff,0)</f>
        <v>102850</v>
      </c>
      <c r="M5294" s="5">
        <f>tblSales[[#This Row],[DPP (excl. VAT)]]+tblSales[[#This Row],[Output VAT]]</f>
        <v>1037850</v>
      </c>
      <c r="N5294" s="5">
        <f>tblSales[[#This Row],[Qty]]*_xlfn.XLOOKUP(tblSales[[#This Row],[Product Code]],tblProducts[Code],tblProducts[Unit Cost],0)</f>
        <v>550000</v>
      </c>
      <c r="O5294" s="4" t="s">
        <v>4865</v>
      </c>
      <c r="P5294" s="4" t="s">
        <v>4860</v>
      </c>
      <c r="Q5294" s="1" t="str">
        <f>_xlfn.XLOOKUP(tblSales[[#This Row],[Channel Code]],tblChannels[Channel Code],tblChannels[Channel Name],"")</f>
        <v>In-store</v>
      </c>
      <c r="R5294" s="1">
        <f>MONTH(tblSales[[#This Row],[Date]])</f>
        <v>11</v>
      </c>
    </row>
    <row r="5295" spans="2:18" x14ac:dyDescent="0.35">
      <c r="B5295" s="113">
        <v>46343</v>
      </c>
      <c r="C5295" s="4" t="s">
        <v>3624</v>
      </c>
      <c r="D5295" s="4" t="s">
        <v>4572</v>
      </c>
      <c r="E5295" s="1" t="str">
        <f>_xlfn.XLOOKUP(tblSales[[#This Row],[Customer ID]],tblCustomers[Customer ID],tblCustomers[Customer Name],"⚠ Unknown")</f>
        <v>PT Cahaya Abadi Makmur</v>
      </c>
      <c r="F5295" s="4" t="s">
        <v>12</v>
      </c>
      <c r="G5295" s="1" t="str">
        <f>_xlfn.XLOOKUP(tblSales[[#This Row],[Product Code]],tblProducts[Code],tblProducts[Product / Service Name],"⚠ Unknown")</f>
        <v>Bomber Jacket</v>
      </c>
      <c r="H5295" s="1" t="str">
        <f>_xlfn.XLOOKUP(tblSales[[#This Row],[Product Code]],tblProducts[Code],tblProducts[Category],"")</f>
        <v>Apparel &amp; Footwear</v>
      </c>
      <c r="I5295" s="4">
        <v>16</v>
      </c>
      <c r="J5295" s="5">
        <f>_xlfn.XLOOKUP(tblSales[[#This Row],[Product Code]],tblProducts[Code],tblProducts[Selling Price (excl. VAT)],0)</f>
        <v>350000</v>
      </c>
      <c r="K5295" s="5">
        <f>tblSales[[#This Row],[Qty]]*tblSales[[#This Row],[Unit Price]]</f>
        <v>5600000</v>
      </c>
      <c r="L5295" s="5">
        <f>ROUND(tblSales[[#This Row],[DPP (excl. VAT)]]*VATEff,0)</f>
        <v>616000</v>
      </c>
      <c r="M5295" s="5">
        <f>tblSales[[#This Row],[DPP (excl. VAT)]]+tblSales[[#This Row],[Output VAT]]</f>
        <v>6216000</v>
      </c>
      <c r="N5295" s="5">
        <f>tblSales[[#This Row],[Qty]]*_xlfn.XLOOKUP(tblSales[[#This Row],[Product Code]],tblProducts[Code],tblProducts[Unit Cost],0)</f>
        <v>3360000</v>
      </c>
      <c r="O5295" s="4" t="s">
        <v>4867</v>
      </c>
      <c r="P5295" s="4" t="s">
        <v>4860</v>
      </c>
      <c r="Q5295" s="1" t="str">
        <f>_xlfn.XLOOKUP(tblSales[[#This Row],[Channel Code]],tblChannels[Channel Code],tblChannels[Channel Name],"")</f>
        <v>In-store</v>
      </c>
      <c r="R5295" s="1">
        <f>MONTH(tblSales[[#This Row],[Date]])</f>
        <v>11</v>
      </c>
    </row>
    <row r="5296" spans="2:18" x14ac:dyDescent="0.35">
      <c r="B5296" s="113">
        <v>46344</v>
      </c>
      <c r="C5296" s="4" t="s">
        <v>3625</v>
      </c>
      <c r="D5296" s="4" t="s">
        <v>4585</v>
      </c>
      <c r="E5296" s="1" t="str">
        <f>_xlfn.XLOOKUP(tblSales[[#This Row],[Customer ID]],tblCustomers[Customer ID],tblCustomers[Customer Name],"⚠ Unknown")</f>
        <v>CV Mitra Karya Mandiri</v>
      </c>
      <c r="F5296" s="4" t="s">
        <v>14</v>
      </c>
      <c r="G5296" s="1" t="str">
        <f>_xlfn.XLOOKUP(tblSales[[#This Row],[Product Code]],tblProducts[Code],tblProducts[Product / Service Name],"⚠ Unknown")</f>
        <v>Smartwatch</v>
      </c>
      <c r="H5296" s="1" t="str">
        <f>_xlfn.XLOOKUP(tblSales[[#This Row],[Product Code]],tblProducts[Code],tblProducts[Category],"")</f>
        <v>Bags &amp; Gadgets</v>
      </c>
      <c r="I5296" s="4">
        <v>8</v>
      </c>
      <c r="J5296" s="5">
        <f>_xlfn.XLOOKUP(tblSales[[#This Row],[Product Code]],tblProducts[Code],tblProducts[Selling Price (excl. VAT)],0)</f>
        <v>850000</v>
      </c>
      <c r="K5296" s="5">
        <f>tblSales[[#This Row],[Qty]]*tblSales[[#This Row],[Unit Price]]</f>
        <v>6800000</v>
      </c>
      <c r="L5296" s="5">
        <f>ROUND(tblSales[[#This Row],[DPP (excl. VAT)]]*VATEff,0)</f>
        <v>748000</v>
      </c>
      <c r="M5296" s="5">
        <f>tblSales[[#This Row],[DPP (excl. VAT)]]+tblSales[[#This Row],[Output VAT]]</f>
        <v>7548000</v>
      </c>
      <c r="N5296" s="5">
        <f>tblSales[[#This Row],[Qty]]*_xlfn.XLOOKUP(tblSales[[#This Row],[Product Code]],tblProducts[Code],tblProducts[Unit Cost],0)</f>
        <v>4480000</v>
      </c>
      <c r="O5296" s="4" t="s">
        <v>4867</v>
      </c>
      <c r="P5296" s="4" t="s">
        <v>4860</v>
      </c>
      <c r="Q5296" s="1" t="str">
        <f>_xlfn.XLOOKUP(tblSales[[#This Row],[Channel Code]],tblChannels[Channel Code],tblChannels[Channel Name],"")</f>
        <v>In-store</v>
      </c>
      <c r="R5296" s="1">
        <f>MONTH(tblSales[[#This Row],[Date]])</f>
        <v>11</v>
      </c>
    </row>
    <row r="5297" spans="2:18" x14ac:dyDescent="0.35">
      <c r="B5297" s="113">
        <v>46344</v>
      </c>
      <c r="C5297" s="4" t="s">
        <v>3625</v>
      </c>
      <c r="D5297" s="4" t="s">
        <v>4585</v>
      </c>
      <c r="E5297" s="1" t="str">
        <f>_xlfn.XLOOKUP(tblSales[[#This Row],[Customer ID]],tblCustomers[Customer ID],tblCustomers[Customer Name],"⚠ Unknown")</f>
        <v>CV Mitra Karya Mandiri</v>
      </c>
      <c r="F5297" s="4" t="s">
        <v>6</v>
      </c>
      <c r="G5297" s="1" t="str">
        <f>_xlfn.XLOOKUP(tblSales[[#This Row],[Product Code]],tblProducts[Code],tblProducts[Product / Service Name],"⚠ Unknown")</f>
        <v>Socks &amp; Accessories</v>
      </c>
      <c r="H5297" s="1" t="str">
        <f>_xlfn.XLOOKUP(tblSales[[#This Row],[Product Code]],tblProducts[Code],tblProducts[Category],"")</f>
        <v>Accessories &amp; Basics</v>
      </c>
      <c r="I5297" s="4">
        <v>24</v>
      </c>
      <c r="J5297" s="5">
        <f>_xlfn.XLOOKUP(tblSales[[#This Row],[Product Code]],tblProducts[Code],tblProducts[Selling Price (excl. VAT)],0)</f>
        <v>45000</v>
      </c>
      <c r="K5297" s="5">
        <f>tblSales[[#This Row],[Qty]]*tblSales[[#This Row],[Unit Price]]</f>
        <v>1080000</v>
      </c>
      <c r="L5297" s="5">
        <f>ROUND(tblSales[[#This Row],[DPP (excl. VAT)]]*VATEff,0)</f>
        <v>118800</v>
      </c>
      <c r="M5297" s="5">
        <f>tblSales[[#This Row],[DPP (excl. VAT)]]+tblSales[[#This Row],[Output VAT]]</f>
        <v>1198800</v>
      </c>
      <c r="N5297" s="5">
        <f>tblSales[[#This Row],[Qty]]*_xlfn.XLOOKUP(tblSales[[#This Row],[Product Code]],tblProducts[Code],tblProducts[Unit Cost],0)</f>
        <v>576000</v>
      </c>
      <c r="O5297" s="4" t="s">
        <v>4867</v>
      </c>
      <c r="P5297" s="4" t="s">
        <v>4860</v>
      </c>
      <c r="Q5297" s="1" t="str">
        <f>_xlfn.XLOOKUP(tblSales[[#This Row],[Channel Code]],tblChannels[Channel Code],tblChannels[Channel Name],"")</f>
        <v>In-store</v>
      </c>
      <c r="R5297" s="1">
        <f>MONTH(tblSales[[#This Row],[Date]])</f>
        <v>11</v>
      </c>
    </row>
    <row r="5298" spans="2:18" x14ac:dyDescent="0.35">
      <c r="B5298" s="113">
        <v>46344</v>
      </c>
      <c r="C5298" s="4" t="s">
        <v>3626</v>
      </c>
      <c r="D5298" s="4" t="s">
        <v>4606</v>
      </c>
      <c r="E5298" s="1" t="str">
        <f>_xlfn.XLOOKUP(tblSales[[#This Row],[Customer ID]],tblCustomers[Customer ID],tblCustomers[Customer Name],"⚠ Unknown")</f>
        <v>PT Arunika Digital Kreatif</v>
      </c>
      <c r="F5298" s="4" t="s">
        <v>9</v>
      </c>
      <c r="G5298" s="1" t="str">
        <f>_xlfn.XLOOKUP(tblSales[[#This Row],[Product Code]],tblProducts[Code],tblProducts[Product / Service Name],"⚠ Unknown")</f>
        <v>Casual Shirt</v>
      </c>
      <c r="H5298" s="1" t="str">
        <f>_xlfn.XLOOKUP(tblSales[[#This Row],[Product Code]],tblProducts[Code],tblProducts[Category],"")</f>
        <v>Apparel &amp; Footwear</v>
      </c>
      <c r="I5298" s="4">
        <v>32</v>
      </c>
      <c r="J5298" s="5">
        <f>_xlfn.XLOOKUP(tblSales[[#This Row],[Product Code]],tblProducts[Code],tblProducts[Selling Price (excl. VAT)],0)</f>
        <v>120000</v>
      </c>
      <c r="K5298" s="5">
        <f>tblSales[[#This Row],[Qty]]*tblSales[[#This Row],[Unit Price]]</f>
        <v>3840000</v>
      </c>
      <c r="L5298" s="5">
        <f>ROUND(tblSales[[#This Row],[DPP (excl. VAT)]]*VATEff,0)</f>
        <v>422400</v>
      </c>
      <c r="M5298" s="5">
        <f>tblSales[[#This Row],[DPP (excl. VAT)]]+tblSales[[#This Row],[Output VAT]]</f>
        <v>4262400</v>
      </c>
      <c r="N5298" s="5">
        <f>tblSales[[#This Row],[Qty]]*_xlfn.XLOOKUP(tblSales[[#This Row],[Product Code]],tblProducts[Code],tblProducts[Unit Cost],0)</f>
        <v>2304000</v>
      </c>
      <c r="O5298" s="4" t="s">
        <v>4867</v>
      </c>
      <c r="P5298" s="4" t="s">
        <v>4860</v>
      </c>
      <c r="Q5298" s="1" t="str">
        <f>_xlfn.XLOOKUP(tblSales[[#This Row],[Channel Code]],tblChannels[Channel Code],tblChannels[Channel Name],"")</f>
        <v>In-store</v>
      </c>
      <c r="R5298" s="1">
        <f>MONTH(tblSales[[#This Row],[Date]])</f>
        <v>11</v>
      </c>
    </row>
    <row r="5299" spans="2:18" x14ac:dyDescent="0.35">
      <c r="B5299" s="113">
        <v>46344</v>
      </c>
      <c r="C5299" s="4" t="s">
        <v>3627</v>
      </c>
      <c r="D5299" s="4" t="s">
        <v>4568</v>
      </c>
      <c r="E5299" s="1" t="str">
        <f>_xlfn.XLOOKUP(tblSales[[#This Row],[Customer ID]],tblCustomers[Customer ID],tblCustomers[Customer Name],"⚠ Unknown")</f>
        <v>Walk-in Customer</v>
      </c>
      <c r="F5299" s="4" t="s">
        <v>6</v>
      </c>
      <c r="G5299" s="1" t="str">
        <f>_xlfn.XLOOKUP(tblSales[[#This Row],[Product Code]],tblProducts[Code],tblProducts[Product / Service Name],"⚠ Unknown")</f>
        <v>Socks &amp; Accessories</v>
      </c>
      <c r="H5299" s="1" t="str">
        <f>_xlfn.XLOOKUP(tblSales[[#This Row],[Product Code]],tblProducts[Code],tblProducts[Category],"")</f>
        <v>Accessories &amp; Basics</v>
      </c>
      <c r="I5299" s="4">
        <v>6</v>
      </c>
      <c r="J5299" s="5">
        <f>_xlfn.XLOOKUP(tblSales[[#This Row],[Product Code]],tblProducts[Code],tblProducts[Selling Price (excl. VAT)],0)</f>
        <v>45000</v>
      </c>
      <c r="K5299" s="5">
        <f>tblSales[[#This Row],[Qty]]*tblSales[[#This Row],[Unit Price]]</f>
        <v>270000</v>
      </c>
      <c r="L5299" s="5">
        <f>ROUND(tblSales[[#This Row],[DPP (excl. VAT)]]*VATEff,0)</f>
        <v>29700</v>
      </c>
      <c r="M5299" s="5">
        <f>tblSales[[#This Row],[DPP (excl. VAT)]]+tblSales[[#This Row],[Output VAT]]</f>
        <v>299700</v>
      </c>
      <c r="N5299" s="5">
        <f>tblSales[[#This Row],[Qty]]*_xlfn.XLOOKUP(tblSales[[#This Row],[Product Code]],tblProducts[Code],tblProducts[Unit Cost],0)</f>
        <v>144000</v>
      </c>
      <c r="O5299" s="4" t="s">
        <v>4866</v>
      </c>
      <c r="P5299" s="4" t="s">
        <v>4860</v>
      </c>
      <c r="Q5299" s="1" t="str">
        <f>_xlfn.XLOOKUP(tblSales[[#This Row],[Channel Code]],tblChannels[Channel Code],tblChannels[Channel Name],"")</f>
        <v>In-store</v>
      </c>
      <c r="R5299" s="1">
        <f>MONTH(tblSales[[#This Row],[Date]])</f>
        <v>11</v>
      </c>
    </row>
    <row r="5300" spans="2:18" x14ac:dyDescent="0.35">
      <c r="B5300" s="113">
        <v>46344</v>
      </c>
      <c r="C5300" s="4" t="s">
        <v>3628</v>
      </c>
      <c r="D5300" s="4" t="s">
        <v>4599</v>
      </c>
      <c r="E5300" s="1" t="str">
        <f>_xlfn.XLOOKUP(tblSales[[#This Row],[Customer ID]],tblCustomers[Customer ID],tblCustomers[Customer Name],"⚠ Unknown")</f>
        <v>PT Samudra Jaya Logistik</v>
      </c>
      <c r="F5300" s="4" t="s">
        <v>7</v>
      </c>
      <c r="G5300" s="1" t="str">
        <f>_xlfn.XLOOKUP(tblSales[[#This Row],[Product Code]],tblProducts[Code],tblProducts[Product / Service Name],"⚠ Unknown")</f>
        <v>Premium Basic T-shirt</v>
      </c>
      <c r="H5300" s="1" t="str">
        <f>_xlfn.XLOOKUP(tblSales[[#This Row],[Product Code]],tblProducts[Code],tblProducts[Category],"")</f>
        <v>Accessories &amp; Basics</v>
      </c>
      <c r="I5300" s="4">
        <v>32</v>
      </c>
      <c r="J5300" s="5">
        <f>_xlfn.XLOOKUP(tblSales[[#This Row],[Product Code]],tblProducts[Code],tblProducts[Selling Price (excl. VAT)],0)</f>
        <v>65000</v>
      </c>
      <c r="K5300" s="5">
        <f>tblSales[[#This Row],[Qty]]*tblSales[[#This Row],[Unit Price]]</f>
        <v>2080000</v>
      </c>
      <c r="L5300" s="5">
        <f>ROUND(tblSales[[#This Row],[DPP (excl. VAT)]]*VATEff,0)</f>
        <v>228800</v>
      </c>
      <c r="M5300" s="5">
        <f>tblSales[[#This Row],[DPP (excl. VAT)]]+tblSales[[#This Row],[Output VAT]]</f>
        <v>2308800</v>
      </c>
      <c r="N5300" s="5">
        <f>tblSales[[#This Row],[Qty]]*_xlfn.XLOOKUP(tblSales[[#This Row],[Product Code]],tblProducts[Code],tblProducts[Unit Cost],0)</f>
        <v>1184000</v>
      </c>
      <c r="O5300" s="4" t="s">
        <v>4867</v>
      </c>
      <c r="P5300" s="4" t="s">
        <v>4860</v>
      </c>
      <c r="Q5300" s="1" t="str">
        <f>_xlfn.XLOOKUP(tblSales[[#This Row],[Channel Code]],tblChannels[Channel Code],tblChannels[Channel Name],"")</f>
        <v>In-store</v>
      </c>
      <c r="R5300" s="1">
        <f>MONTH(tblSales[[#This Row],[Date]])</f>
        <v>11</v>
      </c>
    </row>
    <row r="5301" spans="2:18" x14ac:dyDescent="0.35">
      <c r="B5301" s="113">
        <v>46344</v>
      </c>
      <c r="C5301" s="4" t="s">
        <v>3628</v>
      </c>
      <c r="D5301" s="4" t="s">
        <v>4599</v>
      </c>
      <c r="E5301" s="1" t="str">
        <f>_xlfn.XLOOKUP(tblSales[[#This Row],[Customer ID]],tblCustomers[Customer ID],tblCustomers[Customer Name],"⚠ Unknown")</f>
        <v>PT Samudra Jaya Logistik</v>
      </c>
      <c r="F5301" s="4" t="s">
        <v>8</v>
      </c>
      <c r="G5301" s="1" t="str">
        <f>_xlfn.XLOOKUP(tblSales[[#This Row],[Product Code]],tblProducts[Code],tblProducts[Product / Service Name],"⚠ Unknown")</f>
        <v>Casual Shorts</v>
      </c>
      <c r="H5301" s="1" t="str">
        <f>_xlfn.XLOOKUP(tblSales[[#This Row],[Product Code]],tblProducts[Code],tblProducts[Category],"")</f>
        <v>Accessories &amp; Basics</v>
      </c>
      <c r="I5301" s="4">
        <v>8</v>
      </c>
      <c r="J5301" s="5">
        <f>_xlfn.XLOOKUP(tblSales[[#This Row],[Product Code]],tblProducts[Code],tblProducts[Selling Price (excl. VAT)],0)</f>
        <v>85000</v>
      </c>
      <c r="K5301" s="5">
        <f>tblSales[[#This Row],[Qty]]*tblSales[[#This Row],[Unit Price]]</f>
        <v>680000</v>
      </c>
      <c r="L5301" s="5">
        <f>ROUND(tblSales[[#This Row],[DPP (excl. VAT)]]*VATEff,0)</f>
        <v>74800</v>
      </c>
      <c r="M5301" s="5">
        <f>tblSales[[#This Row],[DPP (excl. VAT)]]+tblSales[[#This Row],[Output VAT]]</f>
        <v>754800</v>
      </c>
      <c r="N5301" s="5">
        <f>tblSales[[#This Row],[Qty]]*_xlfn.XLOOKUP(tblSales[[#This Row],[Product Code]],tblProducts[Code],tblProducts[Unit Cost],0)</f>
        <v>400000</v>
      </c>
      <c r="O5301" s="4" t="s">
        <v>4867</v>
      </c>
      <c r="P5301" s="4" t="s">
        <v>4860</v>
      </c>
      <c r="Q5301" s="1" t="str">
        <f>_xlfn.XLOOKUP(tblSales[[#This Row],[Channel Code]],tblChannels[Channel Code],tblChannels[Channel Name],"")</f>
        <v>In-store</v>
      </c>
      <c r="R5301" s="1">
        <f>MONTH(tblSales[[#This Row],[Date]])</f>
        <v>11</v>
      </c>
    </row>
    <row r="5302" spans="2:18" x14ac:dyDescent="0.35">
      <c r="B5302" s="113">
        <v>46344</v>
      </c>
      <c r="C5302" s="4" t="s">
        <v>3629</v>
      </c>
      <c r="D5302" s="4" t="s">
        <v>4568</v>
      </c>
      <c r="E5302" s="1" t="str">
        <f>_xlfn.XLOOKUP(tblSales[[#This Row],[Customer ID]],tblCustomers[Customer ID],tblCustomers[Customer Name],"⚠ Unknown")</f>
        <v>Walk-in Customer</v>
      </c>
      <c r="F5302" s="4" t="s">
        <v>12</v>
      </c>
      <c r="G5302" s="1" t="str">
        <f>_xlfn.XLOOKUP(tblSales[[#This Row],[Product Code]],tblProducts[Code],tblProducts[Product / Service Name],"⚠ Unknown")</f>
        <v>Bomber Jacket</v>
      </c>
      <c r="H5302" s="1" t="str">
        <f>_xlfn.XLOOKUP(tblSales[[#This Row],[Product Code]],tblProducts[Code],tblProducts[Category],"")</f>
        <v>Apparel &amp; Footwear</v>
      </c>
      <c r="I5302" s="4">
        <v>4</v>
      </c>
      <c r="J5302" s="5">
        <f>_xlfn.XLOOKUP(tblSales[[#This Row],[Product Code]],tblProducts[Code],tblProducts[Selling Price (excl. VAT)],0)</f>
        <v>350000</v>
      </c>
      <c r="K5302" s="5">
        <f>tblSales[[#This Row],[Qty]]*tblSales[[#This Row],[Unit Price]]</f>
        <v>1400000</v>
      </c>
      <c r="L5302" s="5">
        <f>ROUND(tblSales[[#This Row],[DPP (excl. VAT)]]*VATEff,0)</f>
        <v>154000</v>
      </c>
      <c r="M5302" s="5">
        <f>tblSales[[#This Row],[DPP (excl. VAT)]]+tblSales[[#This Row],[Output VAT]]</f>
        <v>1554000</v>
      </c>
      <c r="N5302" s="5">
        <f>tblSales[[#This Row],[Qty]]*_xlfn.XLOOKUP(tblSales[[#This Row],[Product Code]],tblProducts[Code],tblProducts[Unit Cost],0)</f>
        <v>840000</v>
      </c>
      <c r="O5302" s="4" t="s">
        <v>4866</v>
      </c>
      <c r="P5302" s="4" t="s">
        <v>4861</v>
      </c>
      <c r="Q5302" s="1" t="str">
        <f>_xlfn.XLOOKUP(tblSales[[#This Row],[Channel Code]],tblChannels[Channel Code],tblChannels[Channel Name],"")</f>
        <v>Marketplace</v>
      </c>
      <c r="R5302" s="1">
        <f>MONTH(tblSales[[#This Row],[Date]])</f>
        <v>11</v>
      </c>
    </row>
    <row r="5303" spans="2:18" x14ac:dyDescent="0.35">
      <c r="B5303" s="113">
        <v>46344</v>
      </c>
      <c r="C5303" s="4" t="s">
        <v>3630</v>
      </c>
      <c r="D5303" s="4" t="s">
        <v>4568</v>
      </c>
      <c r="E5303" s="1" t="str">
        <f>_xlfn.XLOOKUP(tblSales[[#This Row],[Customer ID]],tblCustomers[Customer ID],tblCustomers[Customer Name],"⚠ Unknown")</f>
        <v>Walk-in Customer</v>
      </c>
      <c r="F5303" s="4" t="s">
        <v>7</v>
      </c>
      <c r="G5303" s="1" t="str">
        <f>_xlfn.XLOOKUP(tblSales[[#This Row],[Product Code]],tblProducts[Code],tblProducts[Product / Service Name],"⚠ Unknown")</f>
        <v>Premium Basic T-shirt</v>
      </c>
      <c r="H5303" s="1" t="str">
        <f>_xlfn.XLOOKUP(tblSales[[#This Row],[Product Code]],tblProducts[Code],tblProducts[Category],"")</f>
        <v>Accessories &amp; Basics</v>
      </c>
      <c r="I5303" s="4">
        <v>12</v>
      </c>
      <c r="J5303" s="5">
        <f>_xlfn.XLOOKUP(tblSales[[#This Row],[Product Code]],tblProducts[Code],tblProducts[Selling Price (excl. VAT)],0)</f>
        <v>65000</v>
      </c>
      <c r="K5303" s="5">
        <f>tblSales[[#This Row],[Qty]]*tblSales[[#This Row],[Unit Price]]</f>
        <v>780000</v>
      </c>
      <c r="L5303" s="5">
        <f>ROUND(tblSales[[#This Row],[DPP (excl. VAT)]]*VATEff,0)</f>
        <v>85800</v>
      </c>
      <c r="M5303" s="5">
        <f>tblSales[[#This Row],[DPP (excl. VAT)]]+tblSales[[#This Row],[Output VAT]]</f>
        <v>865800</v>
      </c>
      <c r="N5303" s="5">
        <f>tblSales[[#This Row],[Qty]]*_xlfn.XLOOKUP(tblSales[[#This Row],[Product Code]],tblProducts[Code],tblProducts[Unit Cost],0)</f>
        <v>444000</v>
      </c>
      <c r="O5303" s="4" t="s">
        <v>4866</v>
      </c>
      <c r="P5303" s="4" t="s">
        <v>4862</v>
      </c>
      <c r="Q5303" s="1" t="str">
        <f>_xlfn.XLOOKUP(tblSales[[#This Row],[Channel Code]],tblChannels[Channel Code],tblChannels[Channel Name],"")</f>
        <v>Website &amp; Social Media</v>
      </c>
      <c r="R5303" s="1">
        <f>MONTH(tblSales[[#This Row],[Date]])</f>
        <v>11</v>
      </c>
    </row>
    <row r="5304" spans="2:18" x14ac:dyDescent="0.35">
      <c r="B5304" s="113">
        <v>46344</v>
      </c>
      <c r="C5304" s="4" t="s">
        <v>3631</v>
      </c>
      <c r="D5304" s="4" t="s">
        <v>4568</v>
      </c>
      <c r="E5304" s="1" t="str">
        <f>_xlfn.XLOOKUP(tblSales[[#This Row],[Customer ID]],tblCustomers[Customer ID],tblCustomers[Customer Name],"⚠ Unknown")</f>
        <v>Walk-in Customer</v>
      </c>
      <c r="F5304" s="4" t="s">
        <v>14</v>
      </c>
      <c r="G5304" s="1" t="str">
        <f>_xlfn.XLOOKUP(tblSales[[#This Row],[Product Code]],tblProducts[Code],tblProducts[Product / Service Name],"⚠ Unknown")</f>
        <v>Smartwatch</v>
      </c>
      <c r="H5304" s="1" t="str">
        <f>_xlfn.XLOOKUP(tblSales[[#This Row],[Product Code]],tblProducts[Code],tblProducts[Category],"")</f>
        <v>Bags &amp; Gadgets</v>
      </c>
      <c r="I5304" s="4">
        <v>3</v>
      </c>
      <c r="J5304" s="5">
        <f>_xlfn.XLOOKUP(tblSales[[#This Row],[Product Code]],tblProducts[Code],tblProducts[Selling Price (excl. VAT)],0)</f>
        <v>850000</v>
      </c>
      <c r="K5304" s="5">
        <f>tblSales[[#This Row],[Qty]]*tblSales[[#This Row],[Unit Price]]</f>
        <v>2550000</v>
      </c>
      <c r="L5304" s="5">
        <f>ROUND(tblSales[[#This Row],[DPP (excl. VAT)]]*VATEff,0)</f>
        <v>280500</v>
      </c>
      <c r="M5304" s="5">
        <f>tblSales[[#This Row],[DPP (excl. VAT)]]+tblSales[[#This Row],[Output VAT]]</f>
        <v>2830500</v>
      </c>
      <c r="N5304" s="5">
        <f>tblSales[[#This Row],[Qty]]*_xlfn.XLOOKUP(tblSales[[#This Row],[Product Code]],tblProducts[Code],tblProducts[Unit Cost],0)</f>
        <v>1680000</v>
      </c>
      <c r="O5304" s="4" t="s">
        <v>4866</v>
      </c>
      <c r="P5304" s="4" t="s">
        <v>4862</v>
      </c>
      <c r="Q5304" s="1" t="str">
        <f>_xlfn.XLOOKUP(tblSales[[#This Row],[Channel Code]],tblChannels[Channel Code],tblChannels[Channel Name],"")</f>
        <v>Website &amp; Social Media</v>
      </c>
      <c r="R5304" s="1">
        <f>MONTH(tblSales[[#This Row],[Date]])</f>
        <v>11</v>
      </c>
    </row>
    <row r="5305" spans="2:18" x14ac:dyDescent="0.35">
      <c r="B5305" s="113">
        <v>46344</v>
      </c>
      <c r="C5305" s="4" t="s">
        <v>3631</v>
      </c>
      <c r="D5305" s="4" t="s">
        <v>4568</v>
      </c>
      <c r="E5305" s="1" t="str">
        <f>_xlfn.XLOOKUP(tblSales[[#This Row],[Customer ID]],tblCustomers[Customer ID],tblCustomers[Customer Name],"⚠ Unknown")</f>
        <v>Walk-in Customer</v>
      </c>
      <c r="F5305" s="4" t="s">
        <v>6</v>
      </c>
      <c r="G5305" s="1" t="str">
        <f>_xlfn.XLOOKUP(tblSales[[#This Row],[Product Code]],tblProducts[Code],tblProducts[Product / Service Name],"⚠ Unknown")</f>
        <v>Socks &amp; Accessories</v>
      </c>
      <c r="H5305" s="1" t="str">
        <f>_xlfn.XLOOKUP(tblSales[[#This Row],[Product Code]],tblProducts[Code],tblProducts[Category],"")</f>
        <v>Accessories &amp; Basics</v>
      </c>
      <c r="I5305" s="4">
        <v>5</v>
      </c>
      <c r="J5305" s="5">
        <f>_xlfn.XLOOKUP(tblSales[[#This Row],[Product Code]],tblProducts[Code],tblProducts[Selling Price (excl. VAT)],0)</f>
        <v>45000</v>
      </c>
      <c r="K5305" s="5">
        <f>tblSales[[#This Row],[Qty]]*tblSales[[#This Row],[Unit Price]]</f>
        <v>225000</v>
      </c>
      <c r="L5305" s="5">
        <f>ROUND(tblSales[[#This Row],[DPP (excl. VAT)]]*VATEff,0)</f>
        <v>24750</v>
      </c>
      <c r="M5305" s="5">
        <f>tblSales[[#This Row],[DPP (excl. VAT)]]+tblSales[[#This Row],[Output VAT]]</f>
        <v>249750</v>
      </c>
      <c r="N5305" s="5">
        <f>tblSales[[#This Row],[Qty]]*_xlfn.XLOOKUP(tblSales[[#This Row],[Product Code]],tblProducts[Code],tblProducts[Unit Cost],0)</f>
        <v>120000</v>
      </c>
      <c r="O5305" s="4" t="s">
        <v>4866</v>
      </c>
      <c r="P5305" s="4" t="s">
        <v>4862</v>
      </c>
      <c r="Q5305" s="1" t="str">
        <f>_xlfn.XLOOKUP(tblSales[[#This Row],[Channel Code]],tblChannels[Channel Code],tblChannels[Channel Name],"")</f>
        <v>Website &amp; Social Media</v>
      </c>
      <c r="R5305" s="1">
        <f>MONTH(tblSales[[#This Row],[Date]])</f>
        <v>11</v>
      </c>
    </row>
    <row r="5306" spans="2:18" x14ac:dyDescent="0.35">
      <c r="B5306" s="113">
        <v>46344</v>
      </c>
      <c r="C5306" s="4" t="s">
        <v>3631</v>
      </c>
      <c r="D5306" s="4" t="s">
        <v>4568</v>
      </c>
      <c r="E5306" s="1" t="str">
        <f>_xlfn.XLOOKUP(tblSales[[#This Row],[Customer ID]],tblCustomers[Customer ID],tblCustomers[Customer Name],"⚠ Unknown")</f>
        <v>Walk-in Customer</v>
      </c>
      <c r="F5306" s="4" t="s">
        <v>11</v>
      </c>
      <c r="G5306" s="1" t="str">
        <f>_xlfn.XLOOKUP(tblSales[[#This Row],[Product Code]],tblProducts[Code],tblProducts[Product / Service Name],"⚠ Unknown")</f>
        <v>Sneakers</v>
      </c>
      <c r="H5306" s="1" t="str">
        <f>_xlfn.XLOOKUP(tblSales[[#This Row],[Product Code]],tblProducts[Code],tblProducts[Category],"")</f>
        <v>Apparel &amp; Footwear</v>
      </c>
      <c r="I5306" s="4">
        <v>6</v>
      </c>
      <c r="J5306" s="5">
        <f>_xlfn.XLOOKUP(tblSales[[#This Row],[Product Code]],tblProducts[Code],tblProducts[Selling Price (excl. VAT)],0)</f>
        <v>250000</v>
      </c>
      <c r="K5306" s="5">
        <f>tblSales[[#This Row],[Qty]]*tblSales[[#This Row],[Unit Price]]</f>
        <v>1500000</v>
      </c>
      <c r="L5306" s="5">
        <f>ROUND(tblSales[[#This Row],[DPP (excl. VAT)]]*VATEff,0)</f>
        <v>165000</v>
      </c>
      <c r="M5306" s="5">
        <f>tblSales[[#This Row],[DPP (excl. VAT)]]+tblSales[[#This Row],[Output VAT]]</f>
        <v>1665000</v>
      </c>
      <c r="N5306" s="5">
        <f>tblSales[[#This Row],[Qty]]*_xlfn.XLOOKUP(tblSales[[#This Row],[Product Code]],tblProducts[Code],tblProducts[Unit Cost],0)</f>
        <v>930000</v>
      </c>
      <c r="O5306" s="4" t="s">
        <v>4866</v>
      </c>
      <c r="P5306" s="4" t="s">
        <v>4862</v>
      </c>
      <c r="Q5306" s="1" t="str">
        <f>_xlfn.XLOOKUP(tblSales[[#This Row],[Channel Code]],tblChannels[Channel Code],tblChannels[Channel Name],"")</f>
        <v>Website &amp; Social Media</v>
      </c>
      <c r="R5306" s="1">
        <f>MONTH(tblSales[[#This Row],[Date]])</f>
        <v>11</v>
      </c>
    </row>
    <row r="5307" spans="2:18" x14ac:dyDescent="0.35">
      <c r="B5307" s="113">
        <v>46344</v>
      </c>
      <c r="C5307" s="4" t="s">
        <v>3632</v>
      </c>
      <c r="D5307" s="4" t="s">
        <v>4568</v>
      </c>
      <c r="E5307" s="1" t="str">
        <f>_xlfn.XLOOKUP(tblSales[[#This Row],[Customer ID]],tblCustomers[Customer ID],tblCustomers[Customer Name],"⚠ Unknown")</f>
        <v>Walk-in Customer</v>
      </c>
      <c r="F5307" s="4" t="s">
        <v>11</v>
      </c>
      <c r="G5307" s="1" t="str">
        <f>_xlfn.XLOOKUP(tblSales[[#This Row],[Product Code]],tblProducts[Code],tblProducts[Product / Service Name],"⚠ Unknown")</f>
        <v>Sneakers</v>
      </c>
      <c r="H5307" s="1" t="str">
        <f>_xlfn.XLOOKUP(tblSales[[#This Row],[Product Code]],tblProducts[Code],tblProducts[Category],"")</f>
        <v>Apparel &amp; Footwear</v>
      </c>
      <c r="I5307" s="4">
        <v>5</v>
      </c>
      <c r="J5307" s="5">
        <f>_xlfn.XLOOKUP(tblSales[[#This Row],[Product Code]],tblProducts[Code],tblProducts[Selling Price (excl. VAT)],0)</f>
        <v>250000</v>
      </c>
      <c r="K5307" s="5">
        <f>tblSales[[#This Row],[Qty]]*tblSales[[#This Row],[Unit Price]]</f>
        <v>1250000</v>
      </c>
      <c r="L5307" s="5">
        <f>ROUND(tblSales[[#This Row],[DPP (excl. VAT)]]*VATEff,0)</f>
        <v>137500</v>
      </c>
      <c r="M5307" s="5">
        <f>tblSales[[#This Row],[DPP (excl. VAT)]]+tblSales[[#This Row],[Output VAT]]</f>
        <v>1387500</v>
      </c>
      <c r="N5307" s="5">
        <f>tblSales[[#This Row],[Qty]]*_xlfn.XLOOKUP(tblSales[[#This Row],[Product Code]],tblProducts[Code],tblProducts[Unit Cost],0)</f>
        <v>775000</v>
      </c>
      <c r="O5307" s="4" t="s">
        <v>4866</v>
      </c>
      <c r="P5307" s="4" t="s">
        <v>4860</v>
      </c>
      <c r="Q5307" s="1" t="str">
        <f>_xlfn.XLOOKUP(tblSales[[#This Row],[Channel Code]],tblChannels[Channel Code],tblChannels[Channel Name],"")</f>
        <v>In-store</v>
      </c>
      <c r="R5307" s="1">
        <f>MONTH(tblSales[[#This Row],[Date]])</f>
        <v>11</v>
      </c>
    </row>
    <row r="5308" spans="2:18" x14ac:dyDescent="0.35">
      <c r="B5308" s="113">
        <v>46344</v>
      </c>
      <c r="C5308" s="4" t="s">
        <v>3633</v>
      </c>
      <c r="D5308" s="4" t="s">
        <v>4568</v>
      </c>
      <c r="E5308" s="1" t="str">
        <f>_xlfn.XLOOKUP(tblSales[[#This Row],[Customer ID]],tblCustomers[Customer ID],tblCustomers[Customer Name],"⚠ Unknown")</f>
        <v>Walk-in Customer</v>
      </c>
      <c r="F5308" s="4" t="s">
        <v>7</v>
      </c>
      <c r="G5308" s="1" t="str">
        <f>_xlfn.XLOOKUP(tblSales[[#This Row],[Product Code]],tblProducts[Code],tblProducts[Product / Service Name],"⚠ Unknown")</f>
        <v>Premium Basic T-shirt</v>
      </c>
      <c r="H5308" s="1" t="str">
        <f>_xlfn.XLOOKUP(tblSales[[#This Row],[Product Code]],tblProducts[Code],tblProducts[Category],"")</f>
        <v>Accessories &amp; Basics</v>
      </c>
      <c r="I5308" s="4">
        <v>10</v>
      </c>
      <c r="J5308" s="5">
        <f>_xlfn.XLOOKUP(tblSales[[#This Row],[Product Code]],tblProducts[Code],tblProducts[Selling Price (excl. VAT)],0)</f>
        <v>65000</v>
      </c>
      <c r="K5308" s="5">
        <f>tblSales[[#This Row],[Qty]]*tblSales[[#This Row],[Unit Price]]</f>
        <v>650000</v>
      </c>
      <c r="L5308" s="5">
        <f>ROUND(tblSales[[#This Row],[DPP (excl. VAT)]]*VATEff,0)</f>
        <v>71500</v>
      </c>
      <c r="M5308" s="5">
        <f>tblSales[[#This Row],[DPP (excl. VAT)]]+tblSales[[#This Row],[Output VAT]]</f>
        <v>721500</v>
      </c>
      <c r="N5308" s="5">
        <f>tblSales[[#This Row],[Qty]]*_xlfn.XLOOKUP(tblSales[[#This Row],[Product Code]],tblProducts[Code],tblProducts[Unit Cost],0)</f>
        <v>370000</v>
      </c>
      <c r="O5308" s="4" t="s">
        <v>4865</v>
      </c>
      <c r="P5308" s="4" t="s">
        <v>4860</v>
      </c>
      <c r="Q5308" s="1" t="str">
        <f>_xlfn.XLOOKUP(tblSales[[#This Row],[Channel Code]],tblChannels[Channel Code],tblChannels[Channel Name],"")</f>
        <v>In-store</v>
      </c>
      <c r="R5308" s="1">
        <f>MONTH(tblSales[[#This Row],[Date]])</f>
        <v>11</v>
      </c>
    </row>
    <row r="5309" spans="2:18" x14ac:dyDescent="0.35">
      <c r="B5309" s="113">
        <v>46344</v>
      </c>
      <c r="C5309" s="4" t="s">
        <v>3634</v>
      </c>
      <c r="D5309" s="4" t="s">
        <v>4568</v>
      </c>
      <c r="E5309" s="1" t="str">
        <f>_xlfn.XLOOKUP(tblSales[[#This Row],[Customer ID]],tblCustomers[Customer ID],tblCustomers[Customer Name],"⚠ Unknown")</f>
        <v>Walk-in Customer</v>
      </c>
      <c r="F5309" s="4" t="s">
        <v>6</v>
      </c>
      <c r="G5309" s="1" t="str">
        <f>_xlfn.XLOOKUP(tblSales[[#This Row],[Product Code]],tblProducts[Code],tblProducts[Product / Service Name],"⚠ Unknown")</f>
        <v>Socks &amp; Accessories</v>
      </c>
      <c r="H5309" s="1" t="str">
        <f>_xlfn.XLOOKUP(tblSales[[#This Row],[Product Code]],tblProducts[Code],tblProducts[Category],"")</f>
        <v>Accessories &amp; Basics</v>
      </c>
      <c r="I5309" s="4">
        <v>7</v>
      </c>
      <c r="J5309" s="5">
        <f>_xlfn.XLOOKUP(tblSales[[#This Row],[Product Code]],tblProducts[Code],tblProducts[Selling Price (excl. VAT)],0)</f>
        <v>45000</v>
      </c>
      <c r="K5309" s="5">
        <f>tblSales[[#This Row],[Qty]]*tblSales[[#This Row],[Unit Price]]</f>
        <v>315000</v>
      </c>
      <c r="L5309" s="5">
        <f>ROUND(tblSales[[#This Row],[DPP (excl. VAT)]]*VATEff,0)</f>
        <v>34650</v>
      </c>
      <c r="M5309" s="5">
        <f>tblSales[[#This Row],[DPP (excl. VAT)]]+tblSales[[#This Row],[Output VAT]]</f>
        <v>349650</v>
      </c>
      <c r="N5309" s="5">
        <f>tblSales[[#This Row],[Qty]]*_xlfn.XLOOKUP(tblSales[[#This Row],[Product Code]],tblProducts[Code],tblProducts[Unit Cost],0)</f>
        <v>168000</v>
      </c>
      <c r="O5309" s="4" t="s">
        <v>4866</v>
      </c>
      <c r="P5309" s="4" t="s">
        <v>4862</v>
      </c>
      <c r="Q5309" s="1" t="str">
        <f>_xlfn.XLOOKUP(tblSales[[#This Row],[Channel Code]],tblChannels[Channel Code],tblChannels[Channel Name],"")</f>
        <v>Website &amp; Social Media</v>
      </c>
      <c r="R5309" s="1">
        <f>MONTH(tblSales[[#This Row],[Date]])</f>
        <v>11</v>
      </c>
    </row>
    <row r="5310" spans="2:18" x14ac:dyDescent="0.35">
      <c r="B5310" s="113">
        <v>46345</v>
      </c>
      <c r="C5310" s="4" t="s">
        <v>3635</v>
      </c>
      <c r="D5310" s="4" t="s">
        <v>4599</v>
      </c>
      <c r="E5310" s="1" t="str">
        <f>_xlfn.XLOOKUP(tblSales[[#This Row],[Customer ID]],tblCustomers[Customer ID],tblCustomers[Customer Name],"⚠ Unknown")</f>
        <v>PT Samudra Jaya Logistik</v>
      </c>
      <c r="F5310" s="4" t="s">
        <v>6</v>
      </c>
      <c r="G5310" s="1" t="str">
        <f>_xlfn.XLOOKUP(tblSales[[#This Row],[Product Code]],tblProducts[Code],tblProducts[Product / Service Name],"⚠ Unknown")</f>
        <v>Socks &amp; Accessories</v>
      </c>
      <c r="H5310" s="1" t="str">
        <f>_xlfn.XLOOKUP(tblSales[[#This Row],[Product Code]],tblProducts[Code],tblProducts[Category],"")</f>
        <v>Accessories &amp; Basics</v>
      </c>
      <c r="I5310" s="4">
        <v>16</v>
      </c>
      <c r="J5310" s="5">
        <f>_xlfn.XLOOKUP(tblSales[[#This Row],[Product Code]],tblProducts[Code],tblProducts[Selling Price (excl. VAT)],0)</f>
        <v>45000</v>
      </c>
      <c r="K5310" s="5">
        <f>tblSales[[#This Row],[Qty]]*tblSales[[#This Row],[Unit Price]]</f>
        <v>720000</v>
      </c>
      <c r="L5310" s="5">
        <f>ROUND(tblSales[[#This Row],[DPP (excl. VAT)]]*VATEff,0)</f>
        <v>79200</v>
      </c>
      <c r="M5310" s="5">
        <f>tblSales[[#This Row],[DPP (excl. VAT)]]+tblSales[[#This Row],[Output VAT]]</f>
        <v>799200</v>
      </c>
      <c r="N5310" s="5">
        <f>tblSales[[#This Row],[Qty]]*_xlfn.XLOOKUP(tblSales[[#This Row],[Product Code]],tblProducts[Code],tblProducts[Unit Cost],0)</f>
        <v>384000</v>
      </c>
      <c r="O5310" s="4" t="s">
        <v>4867</v>
      </c>
      <c r="P5310" s="4" t="s">
        <v>4860</v>
      </c>
      <c r="Q5310" s="1" t="str">
        <f>_xlfn.XLOOKUP(tblSales[[#This Row],[Channel Code]],tblChannels[Channel Code],tblChannels[Channel Name],"")</f>
        <v>In-store</v>
      </c>
      <c r="R5310" s="1">
        <f>MONTH(tblSales[[#This Row],[Date]])</f>
        <v>11</v>
      </c>
    </row>
    <row r="5311" spans="2:18" x14ac:dyDescent="0.35">
      <c r="B5311" s="113">
        <v>46345</v>
      </c>
      <c r="C5311" s="4" t="s">
        <v>3636</v>
      </c>
      <c r="D5311" s="4" t="s">
        <v>4568</v>
      </c>
      <c r="E5311" s="1" t="str">
        <f>_xlfn.XLOOKUP(tblSales[[#This Row],[Customer ID]],tblCustomers[Customer ID],tblCustomers[Customer Name],"⚠ Unknown")</f>
        <v>Walk-in Customer</v>
      </c>
      <c r="F5311" s="4" t="s">
        <v>8</v>
      </c>
      <c r="G5311" s="1" t="str">
        <f>_xlfn.XLOOKUP(tblSales[[#This Row],[Product Code]],tblProducts[Code],tblProducts[Product / Service Name],"⚠ Unknown")</f>
        <v>Casual Shorts</v>
      </c>
      <c r="H5311" s="1" t="str">
        <f>_xlfn.XLOOKUP(tblSales[[#This Row],[Product Code]],tblProducts[Code],tblProducts[Category],"")</f>
        <v>Accessories &amp; Basics</v>
      </c>
      <c r="I5311" s="4">
        <v>1</v>
      </c>
      <c r="J5311" s="5">
        <f>_xlfn.XLOOKUP(tblSales[[#This Row],[Product Code]],tblProducts[Code],tblProducts[Selling Price (excl. VAT)],0)</f>
        <v>85000</v>
      </c>
      <c r="K5311" s="5">
        <f>tblSales[[#This Row],[Qty]]*tblSales[[#This Row],[Unit Price]]</f>
        <v>85000</v>
      </c>
      <c r="L5311" s="5">
        <f>ROUND(tblSales[[#This Row],[DPP (excl. VAT)]]*VATEff,0)</f>
        <v>9350</v>
      </c>
      <c r="M5311" s="5">
        <f>tblSales[[#This Row],[DPP (excl. VAT)]]+tblSales[[#This Row],[Output VAT]]</f>
        <v>94350</v>
      </c>
      <c r="N5311" s="5">
        <f>tblSales[[#This Row],[Qty]]*_xlfn.XLOOKUP(tblSales[[#This Row],[Product Code]],tblProducts[Code],tblProducts[Unit Cost],0)</f>
        <v>50000</v>
      </c>
      <c r="O5311" s="4" t="s">
        <v>4865</v>
      </c>
      <c r="P5311" s="4" t="s">
        <v>4860</v>
      </c>
      <c r="Q5311" s="1" t="str">
        <f>_xlfn.XLOOKUP(tblSales[[#This Row],[Channel Code]],tblChannels[Channel Code],tblChannels[Channel Name],"")</f>
        <v>In-store</v>
      </c>
      <c r="R5311" s="1">
        <f>MONTH(tblSales[[#This Row],[Date]])</f>
        <v>11</v>
      </c>
    </row>
    <row r="5312" spans="2:18" x14ac:dyDescent="0.35">
      <c r="B5312" s="113">
        <v>46345</v>
      </c>
      <c r="C5312" s="4" t="s">
        <v>3637</v>
      </c>
      <c r="D5312" s="4" t="s">
        <v>4568</v>
      </c>
      <c r="E5312" s="1" t="str">
        <f>_xlfn.XLOOKUP(tblSales[[#This Row],[Customer ID]],tblCustomers[Customer ID],tblCustomers[Customer Name],"⚠ Unknown")</f>
        <v>Walk-in Customer</v>
      </c>
      <c r="F5312" s="4" t="s">
        <v>9</v>
      </c>
      <c r="G5312" s="1" t="str">
        <f>_xlfn.XLOOKUP(tblSales[[#This Row],[Product Code]],tblProducts[Code],tblProducts[Product / Service Name],"⚠ Unknown")</f>
        <v>Casual Shirt</v>
      </c>
      <c r="H5312" s="1" t="str">
        <f>_xlfn.XLOOKUP(tblSales[[#This Row],[Product Code]],tblProducts[Code],tblProducts[Category],"")</f>
        <v>Apparel &amp; Footwear</v>
      </c>
      <c r="I5312" s="4">
        <v>11</v>
      </c>
      <c r="J5312" s="5">
        <f>_xlfn.XLOOKUP(tblSales[[#This Row],[Product Code]],tblProducts[Code],tblProducts[Selling Price (excl. VAT)],0)</f>
        <v>120000</v>
      </c>
      <c r="K5312" s="5">
        <f>tblSales[[#This Row],[Qty]]*tblSales[[#This Row],[Unit Price]]</f>
        <v>1320000</v>
      </c>
      <c r="L5312" s="5">
        <f>ROUND(tblSales[[#This Row],[DPP (excl. VAT)]]*VATEff,0)</f>
        <v>145200</v>
      </c>
      <c r="M5312" s="5">
        <f>tblSales[[#This Row],[DPP (excl. VAT)]]+tblSales[[#This Row],[Output VAT]]</f>
        <v>1465200</v>
      </c>
      <c r="N5312" s="5">
        <f>tblSales[[#This Row],[Qty]]*_xlfn.XLOOKUP(tblSales[[#This Row],[Product Code]],tblProducts[Code],tblProducts[Unit Cost],0)</f>
        <v>792000</v>
      </c>
      <c r="O5312" s="4" t="s">
        <v>4865</v>
      </c>
      <c r="P5312" s="4" t="s">
        <v>4860</v>
      </c>
      <c r="Q5312" s="1" t="str">
        <f>_xlfn.XLOOKUP(tblSales[[#This Row],[Channel Code]],tblChannels[Channel Code],tblChannels[Channel Name],"")</f>
        <v>In-store</v>
      </c>
      <c r="R5312" s="1">
        <f>MONTH(tblSales[[#This Row],[Date]])</f>
        <v>11</v>
      </c>
    </row>
    <row r="5313" spans="2:18" x14ac:dyDescent="0.35">
      <c r="B5313" s="113">
        <v>46345</v>
      </c>
      <c r="C5313" s="4" t="s">
        <v>3638</v>
      </c>
      <c r="D5313" s="4" t="s">
        <v>4606</v>
      </c>
      <c r="E5313" s="1" t="str">
        <f>_xlfn.XLOOKUP(tblSales[[#This Row],[Customer ID]],tblCustomers[Customer ID],tblCustomers[Customer Name],"⚠ Unknown")</f>
        <v>PT Arunika Digital Kreatif</v>
      </c>
      <c r="F5313" s="4" t="s">
        <v>8</v>
      </c>
      <c r="G5313" s="1" t="str">
        <f>_xlfn.XLOOKUP(tblSales[[#This Row],[Product Code]],tblProducts[Code],tblProducts[Product / Service Name],"⚠ Unknown")</f>
        <v>Casual Shorts</v>
      </c>
      <c r="H5313" s="1" t="str">
        <f>_xlfn.XLOOKUP(tblSales[[#This Row],[Product Code]],tblProducts[Code],tblProducts[Category],"")</f>
        <v>Accessories &amp; Basics</v>
      </c>
      <c r="I5313" s="4">
        <v>40</v>
      </c>
      <c r="J5313" s="5">
        <f>_xlfn.XLOOKUP(tblSales[[#This Row],[Product Code]],tblProducts[Code],tblProducts[Selling Price (excl. VAT)],0)</f>
        <v>85000</v>
      </c>
      <c r="K5313" s="5">
        <f>tblSales[[#This Row],[Qty]]*tblSales[[#This Row],[Unit Price]]</f>
        <v>3400000</v>
      </c>
      <c r="L5313" s="5">
        <f>ROUND(tblSales[[#This Row],[DPP (excl. VAT)]]*VATEff,0)</f>
        <v>374000</v>
      </c>
      <c r="M5313" s="5">
        <f>tblSales[[#This Row],[DPP (excl. VAT)]]+tblSales[[#This Row],[Output VAT]]</f>
        <v>3774000</v>
      </c>
      <c r="N5313" s="5">
        <f>tblSales[[#This Row],[Qty]]*_xlfn.XLOOKUP(tblSales[[#This Row],[Product Code]],tblProducts[Code],tblProducts[Unit Cost],0)</f>
        <v>2000000</v>
      </c>
      <c r="O5313" s="4" t="s">
        <v>4867</v>
      </c>
      <c r="P5313" s="4" t="s">
        <v>4860</v>
      </c>
      <c r="Q5313" s="1" t="str">
        <f>_xlfn.XLOOKUP(tblSales[[#This Row],[Channel Code]],tblChannels[Channel Code],tblChannels[Channel Name],"")</f>
        <v>In-store</v>
      </c>
      <c r="R5313" s="1">
        <f>MONTH(tblSales[[#This Row],[Date]])</f>
        <v>11</v>
      </c>
    </row>
    <row r="5314" spans="2:18" x14ac:dyDescent="0.35">
      <c r="B5314" s="113">
        <v>46345</v>
      </c>
      <c r="C5314" s="4" t="s">
        <v>3639</v>
      </c>
      <c r="D5314" s="4" t="s">
        <v>4568</v>
      </c>
      <c r="E5314" s="1" t="str">
        <f>_xlfn.XLOOKUP(tblSales[[#This Row],[Customer ID]],tblCustomers[Customer ID],tblCustomers[Customer Name],"⚠ Unknown")</f>
        <v>Walk-in Customer</v>
      </c>
      <c r="F5314" s="4" t="s">
        <v>9</v>
      </c>
      <c r="G5314" s="1" t="str">
        <f>_xlfn.XLOOKUP(tblSales[[#This Row],[Product Code]],tblProducts[Code],tblProducts[Product / Service Name],"⚠ Unknown")</f>
        <v>Casual Shirt</v>
      </c>
      <c r="H5314" s="1" t="str">
        <f>_xlfn.XLOOKUP(tblSales[[#This Row],[Product Code]],tblProducts[Code],tblProducts[Category],"")</f>
        <v>Apparel &amp; Footwear</v>
      </c>
      <c r="I5314" s="4">
        <v>8</v>
      </c>
      <c r="J5314" s="5">
        <f>_xlfn.XLOOKUP(tblSales[[#This Row],[Product Code]],tblProducts[Code],tblProducts[Selling Price (excl. VAT)],0)</f>
        <v>120000</v>
      </c>
      <c r="K5314" s="5">
        <f>tblSales[[#This Row],[Qty]]*tblSales[[#This Row],[Unit Price]]</f>
        <v>960000</v>
      </c>
      <c r="L5314" s="5">
        <f>ROUND(tblSales[[#This Row],[DPP (excl. VAT)]]*VATEff,0)</f>
        <v>105600</v>
      </c>
      <c r="M5314" s="5">
        <f>tblSales[[#This Row],[DPP (excl. VAT)]]+tblSales[[#This Row],[Output VAT]]</f>
        <v>1065600</v>
      </c>
      <c r="N5314" s="5">
        <f>tblSales[[#This Row],[Qty]]*_xlfn.XLOOKUP(tblSales[[#This Row],[Product Code]],tblProducts[Code],tblProducts[Unit Cost],0)</f>
        <v>576000</v>
      </c>
      <c r="O5314" s="4" t="s">
        <v>4866</v>
      </c>
      <c r="P5314" s="4" t="s">
        <v>4862</v>
      </c>
      <c r="Q5314" s="1" t="str">
        <f>_xlfn.XLOOKUP(tblSales[[#This Row],[Channel Code]],tblChannels[Channel Code],tblChannels[Channel Name],"")</f>
        <v>Website &amp; Social Media</v>
      </c>
      <c r="R5314" s="1">
        <f>MONTH(tblSales[[#This Row],[Date]])</f>
        <v>11</v>
      </c>
    </row>
    <row r="5315" spans="2:18" x14ac:dyDescent="0.35">
      <c r="B5315" s="113">
        <v>46345</v>
      </c>
      <c r="C5315" s="4" t="s">
        <v>3640</v>
      </c>
      <c r="D5315" s="4" t="s">
        <v>4568</v>
      </c>
      <c r="E5315" s="1" t="str">
        <f>_xlfn.XLOOKUP(tblSales[[#This Row],[Customer ID]],tblCustomers[Customer ID],tblCustomers[Customer Name],"⚠ Unknown")</f>
        <v>Walk-in Customer</v>
      </c>
      <c r="F5315" s="4" t="s">
        <v>10</v>
      </c>
      <c r="G5315" s="1" t="str">
        <f>_xlfn.XLOOKUP(tblSales[[#This Row],[Product Code]],tblProducts[Code],tblProducts[Product / Service Name],"⚠ Unknown")</f>
        <v>Chino Pants</v>
      </c>
      <c r="H5315" s="1" t="str">
        <f>_xlfn.XLOOKUP(tblSales[[#This Row],[Product Code]],tblProducts[Code],tblProducts[Category],"")</f>
        <v>Apparel &amp; Footwear</v>
      </c>
      <c r="I5315" s="4">
        <v>5</v>
      </c>
      <c r="J5315" s="5">
        <f>_xlfn.XLOOKUP(tblSales[[#This Row],[Product Code]],tblProducts[Code],tblProducts[Selling Price (excl. VAT)],0)</f>
        <v>150000</v>
      </c>
      <c r="K5315" s="5">
        <f>tblSales[[#This Row],[Qty]]*tblSales[[#This Row],[Unit Price]]</f>
        <v>750000</v>
      </c>
      <c r="L5315" s="5">
        <f>ROUND(tblSales[[#This Row],[DPP (excl. VAT)]]*VATEff,0)</f>
        <v>82500</v>
      </c>
      <c r="M5315" s="5">
        <f>tblSales[[#This Row],[DPP (excl. VAT)]]+tblSales[[#This Row],[Output VAT]]</f>
        <v>832500</v>
      </c>
      <c r="N5315" s="5">
        <f>tblSales[[#This Row],[Qty]]*_xlfn.XLOOKUP(tblSales[[#This Row],[Product Code]],tblProducts[Code],tblProducts[Unit Cost],0)</f>
        <v>440000</v>
      </c>
      <c r="O5315" s="4" t="s">
        <v>4866</v>
      </c>
      <c r="P5315" s="4" t="s">
        <v>4862</v>
      </c>
      <c r="Q5315" s="1" t="str">
        <f>_xlfn.XLOOKUP(tblSales[[#This Row],[Channel Code]],tblChannels[Channel Code],tblChannels[Channel Name],"")</f>
        <v>Website &amp; Social Media</v>
      </c>
      <c r="R5315" s="1">
        <f>MONTH(tblSales[[#This Row],[Date]])</f>
        <v>11</v>
      </c>
    </row>
    <row r="5316" spans="2:18" x14ac:dyDescent="0.35">
      <c r="B5316" s="113">
        <v>46345</v>
      </c>
      <c r="C5316" s="4" t="s">
        <v>3641</v>
      </c>
      <c r="D5316" s="4" t="s">
        <v>4568</v>
      </c>
      <c r="E5316" s="1" t="str">
        <f>_xlfn.XLOOKUP(tblSales[[#This Row],[Customer ID]],tblCustomers[Customer ID],tblCustomers[Customer Name],"⚠ Unknown")</f>
        <v>Walk-in Customer</v>
      </c>
      <c r="F5316" s="4" t="s">
        <v>10</v>
      </c>
      <c r="G5316" s="1" t="str">
        <f>_xlfn.XLOOKUP(tblSales[[#This Row],[Product Code]],tblProducts[Code],tblProducts[Product / Service Name],"⚠ Unknown")</f>
        <v>Chino Pants</v>
      </c>
      <c r="H5316" s="1" t="str">
        <f>_xlfn.XLOOKUP(tblSales[[#This Row],[Product Code]],tblProducts[Code],tblProducts[Category],"")</f>
        <v>Apparel &amp; Footwear</v>
      </c>
      <c r="I5316" s="4">
        <v>1</v>
      </c>
      <c r="J5316" s="5">
        <f>_xlfn.XLOOKUP(tblSales[[#This Row],[Product Code]],tblProducts[Code],tblProducts[Selling Price (excl. VAT)],0)</f>
        <v>150000</v>
      </c>
      <c r="K5316" s="5">
        <f>tblSales[[#This Row],[Qty]]*tblSales[[#This Row],[Unit Price]]</f>
        <v>150000</v>
      </c>
      <c r="L5316" s="5">
        <f>ROUND(tblSales[[#This Row],[DPP (excl. VAT)]]*VATEff,0)</f>
        <v>16500</v>
      </c>
      <c r="M5316" s="5">
        <f>tblSales[[#This Row],[DPP (excl. VAT)]]+tblSales[[#This Row],[Output VAT]]</f>
        <v>166500</v>
      </c>
      <c r="N5316" s="5">
        <f>tblSales[[#This Row],[Qty]]*_xlfn.XLOOKUP(tblSales[[#This Row],[Product Code]],tblProducts[Code],tblProducts[Unit Cost],0)</f>
        <v>88000</v>
      </c>
      <c r="O5316" s="4" t="s">
        <v>4866</v>
      </c>
      <c r="P5316" s="4" t="s">
        <v>4861</v>
      </c>
      <c r="Q5316" s="1" t="str">
        <f>_xlfn.XLOOKUP(tblSales[[#This Row],[Channel Code]],tblChannels[Channel Code],tblChannels[Channel Name],"")</f>
        <v>Marketplace</v>
      </c>
      <c r="R5316" s="1">
        <f>MONTH(tblSales[[#This Row],[Date]])</f>
        <v>11</v>
      </c>
    </row>
    <row r="5317" spans="2:18" x14ac:dyDescent="0.35">
      <c r="B5317" s="113">
        <v>46345</v>
      </c>
      <c r="C5317" s="4" t="s">
        <v>3642</v>
      </c>
      <c r="D5317" s="4" t="s">
        <v>4568</v>
      </c>
      <c r="E5317" s="1" t="str">
        <f>_xlfn.XLOOKUP(tblSales[[#This Row],[Customer ID]],tblCustomers[Customer ID],tblCustomers[Customer Name],"⚠ Unknown")</f>
        <v>Walk-in Customer</v>
      </c>
      <c r="F5317" s="4" t="s">
        <v>6</v>
      </c>
      <c r="G5317" s="1" t="str">
        <f>_xlfn.XLOOKUP(tblSales[[#This Row],[Product Code]],tblProducts[Code],tblProducts[Product / Service Name],"⚠ Unknown")</f>
        <v>Socks &amp; Accessories</v>
      </c>
      <c r="H5317" s="1" t="str">
        <f>_xlfn.XLOOKUP(tblSales[[#This Row],[Product Code]],tblProducts[Code],tblProducts[Category],"")</f>
        <v>Accessories &amp; Basics</v>
      </c>
      <c r="I5317" s="4">
        <v>6</v>
      </c>
      <c r="J5317" s="5">
        <f>_xlfn.XLOOKUP(tblSales[[#This Row],[Product Code]],tblProducts[Code],tblProducts[Selling Price (excl. VAT)],0)</f>
        <v>45000</v>
      </c>
      <c r="K5317" s="5">
        <f>tblSales[[#This Row],[Qty]]*tblSales[[#This Row],[Unit Price]]</f>
        <v>270000</v>
      </c>
      <c r="L5317" s="5">
        <f>ROUND(tblSales[[#This Row],[DPP (excl. VAT)]]*VATEff,0)</f>
        <v>29700</v>
      </c>
      <c r="M5317" s="5">
        <f>tblSales[[#This Row],[DPP (excl. VAT)]]+tblSales[[#This Row],[Output VAT]]</f>
        <v>299700</v>
      </c>
      <c r="N5317" s="5">
        <f>tblSales[[#This Row],[Qty]]*_xlfn.XLOOKUP(tblSales[[#This Row],[Product Code]],tblProducts[Code],tblProducts[Unit Cost],0)</f>
        <v>144000</v>
      </c>
      <c r="O5317" s="4" t="s">
        <v>4866</v>
      </c>
      <c r="P5317" s="4" t="s">
        <v>4862</v>
      </c>
      <c r="Q5317" s="1" t="str">
        <f>_xlfn.XLOOKUP(tblSales[[#This Row],[Channel Code]],tblChannels[Channel Code],tblChannels[Channel Name],"")</f>
        <v>Website &amp; Social Media</v>
      </c>
      <c r="R5317" s="1">
        <f>MONTH(tblSales[[#This Row],[Date]])</f>
        <v>11</v>
      </c>
    </row>
    <row r="5318" spans="2:18" x14ac:dyDescent="0.35">
      <c r="B5318" s="113">
        <v>46345</v>
      </c>
      <c r="C5318" s="4" t="s">
        <v>3643</v>
      </c>
      <c r="D5318" s="4" t="s">
        <v>4568</v>
      </c>
      <c r="E5318" s="1" t="str">
        <f>_xlfn.XLOOKUP(tblSales[[#This Row],[Customer ID]],tblCustomers[Customer ID],tblCustomers[Customer Name],"⚠ Unknown")</f>
        <v>Walk-in Customer</v>
      </c>
      <c r="F5318" s="4" t="s">
        <v>10</v>
      </c>
      <c r="G5318" s="1" t="str">
        <f>_xlfn.XLOOKUP(tblSales[[#This Row],[Product Code]],tblProducts[Code],tblProducts[Product / Service Name],"⚠ Unknown")</f>
        <v>Chino Pants</v>
      </c>
      <c r="H5318" s="1" t="str">
        <f>_xlfn.XLOOKUP(tblSales[[#This Row],[Product Code]],tblProducts[Code],tblProducts[Category],"")</f>
        <v>Apparel &amp; Footwear</v>
      </c>
      <c r="I5318" s="4">
        <v>4</v>
      </c>
      <c r="J5318" s="5">
        <f>_xlfn.XLOOKUP(tblSales[[#This Row],[Product Code]],tblProducts[Code],tblProducts[Selling Price (excl. VAT)],0)</f>
        <v>150000</v>
      </c>
      <c r="K5318" s="5">
        <f>tblSales[[#This Row],[Qty]]*tblSales[[#This Row],[Unit Price]]</f>
        <v>600000</v>
      </c>
      <c r="L5318" s="5">
        <f>ROUND(tblSales[[#This Row],[DPP (excl. VAT)]]*VATEff,0)</f>
        <v>66000</v>
      </c>
      <c r="M5318" s="5">
        <f>tblSales[[#This Row],[DPP (excl. VAT)]]+tblSales[[#This Row],[Output VAT]]</f>
        <v>666000</v>
      </c>
      <c r="N5318" s="5">
        <f>tblSales[[#This Row],[Qty]]*_xlfn.XLOOKUP(tblSales[[#This Row],[Product Code]],tblProducts[Code],tblProducts[Unit Cost],0)</f>
        <v>352000</v>
      </c>
      <c r="O5318" s="4" t="s">
        <v>4865</v>
      </c>
      <c r="P5318" s="4" t="s">
        <v>4860</v>
      </c>
      <c r="Q5318" s="1" t="str">
        <f>_xlfn.XLOOKUP(tblSales[[#This Row],[Channel Code]],tblChannels[Channel Code],tblChannels[Channel Name],"")</f>
        <v>In-store</v>
      </c>
      <c r="R5318" s="1">
        <f>MONTH(tblSales[[#This Row],[Date]])</f>
        <v>11</v>
      </c>
    </row>
    <row r="5319" spans="2:18" x14ac:dyDescent="0.35">
      <c r="B5319" s="113">
        <v>46345</v>
      </c>
      <c r="C5319" s="4" t="s">
        <v>3643</v>
      </c>
      <c r="D5319" s="4" t="s">
        <v>4568</v>
      </c>
      <c r="E5319" s="1" t="str">
        <f>_xlfn.XLOOKUP(tblSales[[#This Row],[Customer ID]],tblCustomers[Customer ID],tblCustomers[Customer Name],"⚠ Unknown")</f>
        <v>Walk-in Customer</v>
      </c>
      <c r="F5319" s="4" t="s">
        <v>9</v>
      </c>
      <c r="G5319" s="1" t="str">
        <f>_xlfn.XLOOKUP(tblSales[[#This Row],[Product Code]],tblProducts[Code],tblProducts[Product / Service Name],"⚠ Unknown")</f>
        <v>Casual Shirt</v>
      </c>
      <c r="H5319" s="1" t="str">
        <f>_xlfn.XLOOKUP(tblSales[[#This Row],[Product Code]],tblProducts[Code],tblProducts[Category],"")</f>
        <v>Apparel &amp; Footwear</v>
      </c>
      <c r="I5319" s="4">
        <v>8</v>
      </c>
      <c r="J5319" s="5">
        <f>_xlfn.XLOOKUP(tblSales[[#This Row],[Product Code]],tblProducts[Code],tblProducts[Selling Price (excl. VAT)],0)</f>
        <v>120000</v>
      </c>
      <c r="K5319" s="5">
        <f>tblSales[[#This Row],[Qty]]*tblSales[[#This Row],[Unit Price]]</f>
        <v>960000</v>
      </c>
      <c r="L5319" s="5">
        <f>ROUND(tblSales[[#This Row],[DPP (excl. VAT)]]*VATEff,0)</f>
        <v>105600</v>
      </c>
      <c r="M5319" s="5">
        <f>tblSales[[#This Row],[DPP (excl. VAT)]]+tblSales[[#This Row],[Output VAT]]</f>
        <v>1065600</v>
      </c>
      <c r="N5319" s="5">
        <f>tblSales[[#This Row],[Qty]]*_xlfn.XLOOKUP(tblSales[[#This Row],[Product Code]],tblProducts[Code],tblProducts[Unit Cost],0)</f>
        <v>576000</v>
      </c>
      <c r="O5319" s="4" t="s">
        <v>4865</v>
      </c>
      <c r="P5319" s="4" t="s">
        <v>4860</v>
      </c>
      <c r="Q5319" s="1" t="str">
        <f>_xlfn.XLOOKUP(tblSales[[#This Row],[Channel Code]],tblChannels[Channel Code],tblChannels[Channel Name],"")</f>
        <v>In-store</v>
      </c>
      <c r="R5319" s="1">
        <f>MONTH(tblSales[[#This Row],[Date]])</f>
        <v>11</v>
      </c>
    </row>
    <row r="5320" spans="2:18" x14ac:dyDescent="0.35">
      <c r="B5320" s="113">
        <v>46345</v>
      </c>
      <c r="C5320" s="4" t="s">
        <v>3644</v>
      </c>
      <c r="D5320" s="4" t="s">
        <v>4568</v>
      </c>
      <c r="E5320" s="1" t="str">
        <f>_xlfn.XLOOKUP(tblSales[[#This Row],[Customer ID]],tblCustomers[Customer ID],tblCustomers[Customer Name],"⚠ Unknown")</f>
        <v>Walk-in Customer</v>
      </c>
      <c r="F5320" s="4" t="s">
        <v>12</v>
      </c>
      <c r="G5320" s="1" t="str">
        <f>_xlfn.XLOOKUP(tblSales[[#This Row],[Product Code]],tblProducts[Code],tblProducts[Product / Service Name],"⚠ Unknown")</f>
        <v>Bomber Jacket</v>
      </c>
      <c r="H5320" s="1" t="str">
        <f>_xlfn.XLOOKUP(tblSales[[#This Row],[Product Code]],tblProducts[Code],tblProducts[Category],"")</f>
        <v>Apparel &amp; Footwear</v>
      </c>
      <c r="I5320" s="4">
        <v>6</v>
      </c>
      <c r="J5320" s="5">
        <f>_xlfn.XLOOKUP(tblSales[[#This Row],[Product Code]],tblProducts[Code],tblProducts[Selling Price (excl. VAT)],0)</f>
        <v>350000</v>
      </c>
      <c r="K5320" s="5">
        <f>tblSales[[#This Row],[Qty]]*tblSales[[#This Row],[Unit Price]]</f>
        <v>2100000</v>
      </c>
      <c r="L5320" s="5">
        <f>ROUND(tblSales[[#This Row],[DPP (excl. VAT)]]*VATEff,0)</f>
        <v>231000</v>
      </c>
      <c r="M5320" s="5">
        <f>tblSales[[#This Row],[DPP (excl. VAT)]]+tblSales[[#This Row],[Output VAT]]</f>
        <v>2331000</v>
      </c>
      <c r="N5320" s="5">
        <f>tblSales[[#This Row],[Qty]]*_xlfn.XLOOKUP(tblSales[[#This Row],[Product Code]],tblProducts[Code],tblProducts[Unit Cost],0)</f>
        <v>1260000</v>
      </c>
      <c r="O5320" s="4" t="s">
        <v>4865</v>
      </c>
      <c r="P5320" s="4" t="s">
        <v>4860</v>
      </c>
      <c r="Q5320" s="1" t="str">
        <f>_xlfn.XLOOKUP(tblSales[[#This Row],[Channel Code]],tblChannels[Channel Code],tblChannels[Channel Name],"")</f>
        <v>In-store</v>
      </c>
      <c r="R5320" s="1">
        <f>MONTH(tblSales[[#This Row],[Date]])</f>
        <v>11</v>
      </c>
    </row>
    <row r="5321" spans="2:18" x14ac:dyDescent="0.35">
      <c r="B5321" s="113">
        <v>46346</v>
      </c>
      <c r="C5321" s="4" t="s">
        <v>3645</v>
      </c>
      <c r="D5321" s="4" t="s">
        <v>4568</v>
      </c>
      <c r="E5321" s="1" t="str">
        <f>_xlfn.XLOOKUP(tblSales[[#This Row],[Customer ID]],tblCustomers[Customer ID],tblCustomers[Customer Name],"⚠ Unknown")</f>
        <v>Walk-in Customer</v>
      </c>
      <c r="F5321" s="4" t="s">
        <v>7</v>
      </c>
      <c r="G5321" s="1" t="str">
        <f>_xlfn.XLOOKUP(tblSales[[#This Row],[Product Code]],tblProducts[Code],tblProducts[Product / Service Name],"⚠ Unknown")</f>
        <v>Premium Basic T-shirt</v>
      </c>
      <c r="H5321" s="1" t="str">
        <f>_xlfn.XLOOKUP(tblSales[[#This Row],[Product Code]],tblProducts[Code],tblProducts[Category],"")</f>
        <v>Accessories &amp; Basics</v>
      </c>
      <c r="I5321" s="4">
        <v>12</v>
      </c>
      <c r="J5321" s="5">
        <f>_xlfn.XLOOKUP(tblSales[[#This Row],[Product Code]],tblProducts[Code],tblProducts[Selling Price (excl. VAT)],0)</f>
        <v>65000</v>
      </c>
      <c r="K5321" s="5">
        <f>tblSales[[#This Row],[Qty]]*tblSales[[#This Row],[Unit Price]]</f>
        <v>780000</v>
      </c>
      <c r="L5321" s="5">
        <f>ROUND(tblSales[[#This Row],[DPP (excl. VAT)]]*VATEff,0)</f>
        <v>85800</v>
      </c>
      <c r="M5321" s="5">
        <f>tblSales[[#This Row],[DPP (excl. VAT)]]+tblSales[[#This Row],[Output VAT]]</f>
        <v>865800</v>
      </c>
      <c r="N5321" s="5">
        <f>tblSales[[#This Row],[Qty]]*_xlfn.XLOOKUP(tblSales[[#This Row],[Product Code]],tblProducts[Code],tblProducts[Unit Cost],0)</f>
        <v>444000</v>
      </c>
      <c r="O5321" s="4" t="s">
        <v>4866</v>
      </c>
      <c r="P5321" s="4" t="s">
        <v>4862</v>
      </c>
      <c r="Q5321" s="1" t="str">
        <f>_xlfn.XLOOKUP(tblSales[[#This Row],[Channel Code]],tblChannels[Channel Code],tblChannels[Channel Name],"")</f>
        <v>Website &amp; Social Media</v>
      </c>
      <c r="R5321" s="1">
        <f>MONTH(tblSales[[#This Row],[Date]])</f>
        <v>11</v>
      </c>
    </row>
    <row r="5322" spans="2:18" x14ac:dyDescent="0.35">
      <c r="B5322" s="113">
        <v>46346</v>
      </c>
      <c r="C5322" s="4" t="s">
        <v>3646</v>
      </c>
      <c r="D5322" s="4" t="s">
        <v>4568</v>
      </c>
      <c r="E5322" s="1" t="str">
        <f>_xlfn.XLOOKUP(tblSales[[#This Row],[Customer ID]],tblCustomers[Customer ID],tblCustomers[Customer Name],"⚠ Unknown")</f>
        <v>Walk-in Customer</v>
      </c>
      <c r="F5322" s="4" t="s">
        <v>7</v>
      </c>
      <c r="G5322" s="1" t="str">
        <f>_xlfn.XLOOKUP(tblSales[[#This Row],[Product Code]],tblProducts[Code],tblProducts[Product / Service Name],"⚠ Unknown")</f>
        <v>Premium Basic T-shirt</v>
      </c>
      <c r="H5322" s="1" t="str">
        <f>_xlfn.XLOOKUP(tblSales[[#This Row],[Product Code]],tblProducts[Code],tblProducts[Category],"")</f>
        <v>Accessories &amp; Basics</v>
      </c>
      <c r="I5322" s="4">
        <v>8</v>
      </c>
      <c r="J5322" s="5">
        <f>_xlfn.XLOOKUP(tblSales[[#This Row],[Product Code]],tblProducts[Code],tblProducts[Selling Price (excl. VAT)],0)</f>
        <v>65000</v>
      </c>
      <c r="K5322" s="5">
        <f>tblSales[[#This Row],[Qty]]*tblSales[[#This Row],[Unit Price]]</f>
        <v>520000</v>
      </c>
      <c r="L5322" s="5">
        <f>ROUND(tblSales[[#This Row],[DPP (excl. VAT)]]*VATEff,0)</f>
        <v>57200</v>
      </c>
      <c r="M5322" s="5">
        <f>tblSales[[#This Row],[DPP (excl. VAT)]]+tblSales[[#This Row],[Output VAT]]</f>
        <v>577200</v>
      </c>
      <c r="N5322" s="5">
        <f>tblSales[[#This Row],[Qty]]*_xlfn.XLOOKUP(tblSales[[#This Row],[Product Code]],tblProducts[Code],tblProducts[Unit Cost],0)</f>
        <v>296000</v>
      </c>
      <c r="O5322" s="4" t="s">
        <v>4866</v>
      </c>
      <c r="P5322" s="4" t="s">
        <v>4861</v>
      </c>
      <c r="Q5322" s="1" t="str">
        <f>_xlfn.XLOOKUP(tblSales[[#This Row],[Channel Code]],tblChannels[Channel Code],tblChannels[Channel Name],"")</f>
        <v>Marketplace</v>
      </c>
      <c r="R5322" s="1">
        <f>MONTH(tblSales[[#This Row],[Date]])</f>
        <v>11</v>
      </c>
    </row>
    <row r="5323" spans="2:18" x14ac:dyDescent="0.35">
      <c r="B5323" s="113">
        <v>46346</v>
      </c>
      <c r="C5323" s="4" t="s">
        <v>3647</v>
      </c>
      <c r="D5323" s="4" t="s">
        <v>4568</v>
      </c>
      <c r="E5323" s="1" t="str">
        <f>_xlfn.XLOOKUP(tblSales[[#This Row],[Customer ID]],tblCustomers[Customer ID],tblCustomers[Customer Name],"⚠ Unknown")</f>
        <v>Walk-in Customer</v>
      </c>
      <c r="F5323" s="4" t="s">
        <v>11</v>
      </c>
      <c r="G5323" s="1" t="str">
        <f>_xlfn.XLOOKUP(tblSales[[#This Row],[Product Code]],tblProducts[Code],tblProducts[Product / Service Name],"⚠ Unknown")</f>
        <v>Sneakers</v>
      </c>
      <c r="H5323" s="1" t="str">
        <f>_xlfn.XLOOKUP(tblSales[[#This Row],[Product Code]],tblProducts[Code],tblProducts[Category],"")</f>
        <v>Apparel &amp; Footwear</v>
      </c>
      <c r="I5323" s="4">
        <v>1</v>
      </c>
      <c r="J5323" s="5">
        <f>_xlfn.XLOOKUP(tblSales[[#This Row],[Product Code]],tblProducts[Code],tblProducts[Selling Price (excl. VAT)],0)</f>
        <v>250000</v>
      </c>
      <c r="K5323" s="5">
        <f>tblSales[[#This Row],[Qty]]*tblSales[[#This Row],[Unit Price]]</f>
        <v>250000</v>
      </c>
      <c r="L5323" s="5">
        <f>ROUND(tblSales[[#This Row],[DPP (excl. VAT)]]*VATEff,0)</f>
        <v>27500</v>
      </c>
      <c r="M5323" s="5">
        <f>tblSales[[#This Row],[DPP (excl. VAT)]]+tblSales[[#This Row],[Output VAT]]</f>
        <v>277500</v>
      </c>
      <c r="N5323" s="5">
        <f>tblSales[[#This Row],[Qty]]*_xlfn.XLOOKUP(tblSales[[#This Row],[Product Code]],tblProducts[Code],tblProducts[Unit Cost],0)</f>
        <v>155000</v>
      </c>
      <c r="O5323" s="4" t="s">
        <v>4865</v>
      </c>
      <c r="P5323" s="4" t="s">
        <v>4860</v>
      </c>
      <c r="Q5323" s="1" t="str">
        <f>_xlfn.XLOOKUP(tblSales[[#This Row],[Channel Code]],tblChannels[Channel Code],tblChannels[Channel Name],"")</f>
        <v>In-store</v>
      </c>
      <c r="R5323" s="1">
        <f>MONTH(tblSales[[#This Row],[Date]])</f>
        <v>11</v>
      </c>
    </row>
    <row r="5324" spans="2:18" x14ac:dyDescent="0.35">
      <c r="B5324" s="113">
        <v>46346</v>
      </c>
      <c r="C5324" s="4" t="s">
        <v>3648</v>
      </c>
      <c r="D5324" s="4" t="s">
        <v>4568</v>
      </c>
      <c r="E5324" s="1" t="str">
        <f>_xlfn.XLOOKUP(tblSales[[#This Row],[Customer ID]],tblCustomers[Customer ID],tblCustomers[Customer Name],"⚠ Unknown")</f>
        <v>Walk-in Customer</v>
      </c>
      <c r="F5324" s="4" t="s">
        <v>12</v>
      </c>
      <c r="G5324" s="1" t="str">
        <f>_xlfn.XLOOKUP(tblSales[[#This Row],[Product Code]],tblProducts[Code],tblProducts[Product / Service Name],"⚠ Unknown")</f>
        <v>Bomber Jacket</v>
      </c>
      <c r="H5324" s="1" t="str">
        <f>_xlfn.XLOOKUP(tblSales[[#This Row],[Product Code]],tblProducts[Code],tblProducts[Category],"")</f>
        <v>Apparel &amp; Footwear</v>
      </c>
      <c r="I5324" s="4">
        <v>6</v>
      </c>
      <c r="J5324" s="5">
        <f>_xlfn.XLOOKUP(tblSales[[#This Row],[Product Code]],tblProducts[Code],tblProducts[Selling Price (excl. VAT)],0)</f>
        <v>350000</v>
      </c>
      <c r="K5324" s="5">
        <f>tblSales[[#This Row],[Qty]]*tblSales[[#This Row],[Unit Price]]</f>
        <v>2100000</v>
      </c>
      <c r="L5324" s="5">
        <f>ROUND(tblSales[[#This Row],[DPP (excl. VAT)]]*VATEff,0)</f>
        <v>231000</v>
      </c>
      <c r="M5324" s="5">
        <f>tblSales[[#This Row],[DPP (excl. VAT)]]+tblSales[[#This Row],[Output VAT]]</f>
        <v>2331000</v>
      </c>
      <c r="N5324" s="5">
        <f>tblSales[[#This Row],[Qty]]*_xlfn.XLOOKUP(tblSales[[#This Row],[Product Code]],tblProducts[Code],tblProducts[Unit Cost],0)</f>
        <v>1260000</v>
      </c>
      <c r="O5324" s="4" t="s">
        <v>4865</v>
      </c>
      <c r="P5324" s="4" t="s">
        <v>4860</v>
      </c>
      <c r="Q5324" s="1" t="str">
        <f>_xlfn.XLOOKUP(tblSales[[#This Row],[Channel Code]],tblChannels[Channel Code],tblChannels[Channel Name],"")</f>
        <v>In-store</v>
      </c>
      <c r="R5324" s="1">
        <f>MONTH(tblSales[[#This Row],[Date]])</f>
        <v>11</v>
      </c>
    </row>
    <row r="5325" spans="2:18" x14ac:dyDescent="0.35">
      <c r="B5325" s="113">
        <v>46346</v>
      </c>
      <c r="C5325" s="4" t="s">
        <v>3649</v>
      </c>
      <c r="D5325" s="4" t="s">
        <v>4568</v>
      </c>
      <c r="E5325" s="1" t="str">
        <f>_xlfn.XLOOKUP(tblSales[[#This Row],[Customer ID]],tblCustomers[Customer ID],tblCustomers[Customer Name],"⚠ Unknown")</f>
        <v>Walk-in Customer</v>
      </c>
      <c r="F5325" s="4" t="s">
        <v>8</v>
      </c>
      <c r="G5325" s="1" t="str">
        <f>_xlfn.XLOOKUP(tblSales[[#This Row],[Product Code]],tblProducts[Code],tblProducts[Product / Service Name],"⚠ Unknown")</f>
        <v>Casual Shorts</v>
      </c>
      <c r="H5325" s="1" t="str">
        <f>_xlfn.XLOOKUP(tblSales[[#This Row],[Product Code]],tblProducts[Code],tblProducts[Category],"")</f>
        <v>Accessories &amp; Basics</v>
      </c>
      <c r="I5325" s="4">
        <v>3</v>
      </c>
      <c r="J5325" s="5">
        <f>_xlfn.XLOOKUP(tblSales[[#This Row],[Product Code]],tblProducts[Code],tblProducts[Selling Price (excl. VAT)],0)</f>
        <v>85000</v>
      </c>
      <c r="K5325" s="5">
        <f>tblSales[[#This Row],[Qty]]*tblSales[[#This Row],[Unit Price]]</f>
        <v>255000</v>
      </c>
      <c r="L5325" s="5">
        <f>ROUND(tblSales[[#This Row],[DPP (excl. VAT)]]*VATEff,0)</f>
        <v>28050</v>
      </c>
      <c r="M5325" s="5">
        <f>tblSales[[#This Row],[DPP (excl. VAT)]]+tblSales[[#This Row],[Output VAT]]</f>
        <v>283050</v>
      </c>
      <c r="N5325" s="5">
        <f>tblSales[[#This Row],[Qty]]*_xlfn.XLOOKUP(tblSales[[#This Row],[Product Code]],tblProducts[Code],tblProducts[Unit Cost],0)</f>
        <v>150000</v>
      </c>
      <c r="O5325" s="4" t="s">
        <v>4866</v>
      </c>
      <c r="P5325" s="4" t="s">
        <v>4861</v>
      </c>
      <c r="Q5325" s="1" t="str">
        <f>_xlfn.XLOOKUP(tblSales[[#This Row],[Channel Code]],tblChannels[Channel Code],tblChannels[Channel Name],"")</f>
        <v>Marketplace</v>
      </c>
      <c r="R5325" s="1">
        <f>MONTH(tblSales[[#This Row],[Date]])</f>
        <v>11</v>
      </c>
    </row>
    <row r="5326" spans="2:18" x14ac:dyDescent="0.35">
      <c r="B5326" s="113">
        <v>46346</v>
      </c>
      <c r="C5326" s="4" t="s">
        <v>3650</v>
      </c>
      <c r="D5326" s="4" t="s">
        <v>4568</v>
      </c>
      <c r="E5326" s="1" t="str">
        <f>_xlfn.XLOOKUP(tblSales[[#This Row],[Customer ID]],tblCustomers[Customer ID],tblCustomers[Customer Name],"⚠ Unknown")</f>
        <v>Walk-in Customer</v>
      </c>
      <c r="F5326" s="4" t="s">
        <v>6</v>
      </c>
      <c r="G5326" s="1" t="str">
        <f>_xlfn.XLOOKUP(tblSales[[#This Row],[Product Code]],tblProducts[Code],tblProducts[Product / Service Name],"⚠ Unknown")</f>
        <v>Socks &amp; Accessories</v>
      </c>
      <c r="H5326" s="1" t="str">
        <f>_xlfn.XLOOKUP(tblSales[[#This Row],[Product Code]],tblProducts[Code],tblProducts[Category],"")</f>
        <v>Accessories &amp; Basics</v>
      </c>
      <c r="I5326" s="4">
        <v>12</v>
      </c>
      <c r="J5326" s="5">
        <f>_xlfn.XLOOKUP(tblSales[[#This Row],[Product Code]],tblProducts[Code],tblProducts[Selling Price (excl. VAT)],0)</f>
        <v>45000</v>
      </c>
      <c r="K5326" s="5">
        <f>tblSales[[#This Row],[Qty]]*tblSales[[#This Row],[Unit Price]]</f>
        <v>540000</v>
      </c>
      <c r="L5326" s="5">
        <f>ROUND(tblSales[[#This Row],[DPP (excl. VAT)]]*VATEff,0)</f>
        <v>59400</v>
      </c>
      <c r="M5326" s="5">
        <f>tblSales[[#This Row],[DPP (excl. VAT)]]+tblSales[[#This Row],[Output VAT]]</f>
        <v>599400</v>
      </c>
      <c r="N5326" s="5">
        <f>tblSales[[#This Row],[Qty]]*_xlfn.XLOOKUP(tblSales[[#This Row],[Product Code]],tblProducts[Code],tblProducts[Unit Cost],0)</f>
        <v>288000</v>
      </c>
      <c r="O5326" s="4" t="s">
        <v>4865</v>
      </c>
      <c r="P5326" s="4" t="s">
        <v>4860</v>
      </c>
      <c r="Q5326" s="1" t="str">
        <f>_xlfn.XLOOKUP(tblSales[[#This Row],[Channel Code]],tblChannels[Channel Code],tblChannels[Channel Name],"")</f>
        <v>In-store</v>
      </c>
      <c r="R5326" s="1">
        <f>MONTH(tblSales[[#This Row],[Date]])</f>
        <v>11</v>
      </c>
    </row>
    <row r="5327" spans="2:18" x14ac:dyDescent="0.35">
      <c r="B5327" s="113">
        <v>46346</v>
      </c>
      <c r="C5327" s="4" t="s">
        <v>3650</v>
      </c>
      <c r="D5327" s="4" t="s">
        <v>4568</v>
      </c>
      <c r="E5327" s="1" t="str">
        <f>_xlfn.XLOOKUP(tblSales[[#This Row],[Customer ID]],tblCustomers[Customer ID],tblCustomers[Customer Name],"⚠ Unknown")</f>
        <v>Walk-in Customer</v>
      </c>
      <c r="F5327" s="4" t="s">
        <v>13</v>
      </c>
      <c r="G5327" s="1" t="str">
        <f>_xlfn.XLOOKUP(tblSales[[#This Row],[Product Code]],tblProducts[Code],tblProducts[Product / Service Name],"⚠ Unknown")</f>
        <v>Backpack</v>
      </c>
      <c r="H5327" s="1" t="str">
        <f>_xlfn.XLOOKUP(tblSales[[#This Row],[Product Code]],tblProducts[Code],tblProducts[Category],"")</f>
        <v>Bags &amp; Gadgets</v>
      </c>
      <c r="I5327" s="4">
        <v>5</v>
      </c>
      <c r="J5327" s="5">
        <f>_xlfn.XLOOKUP(tblSales[[#This Row],[Product Code]],tblProducts[Code],tblProducts[Selling Price (excl. VAT)],0)</f>
        <v>500000</v>
      </c>
      <c r="K5327" s="5">
        <f>tblSales[[#This Row],[Qty]]*tblSales[[#This Row],[Unit Price]]</f>
        <v>2500000</v>
      </c>
      <c r="L5327" s="5">
        <f>ROUND(tblSales[[#This Row],[DPP (excl. VAT)]]*VATEff,0)</f>
        <v>275000</v>
      </c>
      <c r="M5327" s="5">
        <f>tblSales[[#This Row],[DPP (excl. VAT)]]+tblSales[[#This Row],[Output VAT]]</f>
        <v>2775000</v>
      </c>
      <c r="N5327" s="5">
        <f>tblSales[[#This Row],[Qty]]*_xlfn.XLOOKUP(tblSales[[#This Row],[Product Code]],tblProducts[Code],tblProducts[Unit Cost],0)</f>
        <v>1450000</v>
      </c>
      <c r="O5327" s="4" t="s">
        <v>4865</v>
      </c>
      <c r="P5327" s="4" t="s">
        <v>4860</v>
      </c>
      <c r="Q5327" s="1" t="str">
        <f>_xlfn.XLOOKUP(tblSales[[#This Row],[Channel Code]],tblChannels[Channel Code],tblChannels[Channel Name],"")</f>
        <v>In-store</v>
      </c>
      <c r="R5327" s="1">
        <f>MONTH(tblSales[[#This Row],[Date]])</f>
        <v>11</v>
      </c>
    </row>
    <row r="5328" spans="2:18" x14ac:dyDescent="0.35">
      <c r="B5328" s="113">
        <v>46346</v>
      </c>
      <c r="C5328" s="4" t="s">
        <v>3651</v>
      </c>
      <c r="D5328" s="4" t="s">
        <v>4568</v>
      </c>
      <c r="E5328" s="1" t="str">
        <f>_xlfn.XLOOKUP(tblSales[[#This Row],[Customer ID]],tblCustomers[Customer ID],tblCustomers[Customer Name],"⚠ Unknown")</f>
        <v>Walk-in Customer</v>
      </c>
      <c r="F5328" s="4" t="s">
        <v>8</v>
      </c>
      <c r="G5328" s="1" t="str">
        <f>_xlfn.XLOOKUP(tblSales[[#This Row],[Product Code]],tblProducts[Code],tblProducts[Product / Service Name],"⚠ Unknown")</f>
        <v>Casual Shorts</v>
      </c>
      <c r="H5328" s="1" t="str">
        <f>_xlfn.XLOOKUP(tblSales[[#This Row],[Product Code]],tblProducts[Code],tblProducts[Category],"")</f>
        <v>Accessories &amp; Basics</v>
      </c>
      <c r="I5328" s="4">
        <v>3</v>
      </c>
      <c r="J5328" s="5">
        <f>_xlfn.XLOOKUP(tblSales[[#This Row],[Product Code]],tblProducts[Code],tblProducts[Selling Price (excl. VAT)],0)</f>
        <v>85000</v>
      </c>
      <c r="K5328" s="5">
        <f>tblSales[[#This Row],[Qty]]*tblSales[[#This Row],[Unit Price]]</f>
        <v>255000</v>
      </c>
      <c r="L5328" s="5">
        <f>ROUND(tblSales[[#This Row],[DPP (excl. VAT)]]*VATEff,0)</f>
        <v>28050</v>
      </c>
      <c r="M5328" s="5">
        <f>tblSales[[#This Row],[DPP (excl. VAT)]]+tblSales[[#This Row],[Output VAT]]</f>
        <v>283050</v>
      </c>
      <c r="N5328" s="5">
        <f>tblSales[[#This Row],[Qty]]*_xlfn.XLOOKUP(tblSales[[#This Row],[Product Code]],tblProducts[Code],tblProducts[Unit Cost],0)</f>
        <v>150000</v>
      </c>
      <c r="O5328" s="4" t="s">
        <v>4866</v>
      </c>
      <c r="P5328" s="4" t="s">
        <v>4861</v>
      </c>
      <c r="Q5328" s="1" t="str">
        <f>_xlfn.XLOOKUP(tblSales[[#This Row],[Channel Code]],tblChannels[Channel Code],tblChannels[Channel Name],"")</f>
        <v>Marketplace</v>
      </c>
      <c r="R5328" s="1">
        <f>MONTH(tblSales[[#This Row],[Date]])</f>
        <v>11</v>
      </c>
    </row>
    <row r="5329" spans="2:18" x14ac:dyDescent="0.35">
      <c r="B5329" s="113">
        <v>46346</v>
      </c>
      <c r="C5329" s="4" t="s">
        <v>3652</v>
      </c>
      <c r="D5329" s="4" t="s">
        <v>4568</v>
      </c>
      <c r="E5329" s="1" t="str">
        <f>_xlfn.XLOOKUP(tblSales[[#This Row],[Customer ID]],tblCustomers[Customer ID],tblCustomers[Customer Name],"⚠ Unknown")</f>
        <v>Walk-in Customer</v>
      </c>
      <c r="F5329" s="4" t="s">
        <v>15</v>
      </c>
      <c r="G5329" s="1" t="str">
        <f>_xlfn.XLOOKUP(tblSales[[#This Row],[Product Code]],tblProducts[Code],tblProducts[Product / Service Name],"⚠ Unknown")</f>
        <v>Wireless Earbuds Pro</v>
      </c>
      <c r="H5329" s="1" t="str">
        <f>_xlfn.XLOOKUP(tblSales[[#This Row],[Product Code]],tblProducts[Code],tblProducts[Category],"")</f>
        <v>Bags &amp; Gadgets</v>
      </c>
      <c r="I5329" s="4">
        <v>2</v>
      </c>
      <c r="J5329" s="5">
        <f>_xlfn.XLOOKUP(tblSales[[#This Row],[Product Code]],tblProducts[Code],tblProducts[Selling Price (excl. VAT)],0)</f>
        <v>1250000</v>
      </c>
      <c r="K5329" s="5">
        <f>tblSales[[#This Row],[Qty]]*tblSales[[#This Row],[Unit Price]]</f>
        <v>2500000</v>
      </c>
      <c r="L5329" s="5">
        <f>ROUND(tblSales[[#This Row],[DPP (excl. VAT)]]*VATEff,0)</f>
        <v>275000</v>
      </c>
      <c r="M5329" s="5">
        <f>tblSales[[#This Row],[DPP (excl. VAT)]]+tblSales[[#This Row],[Output VAT]]</f>
        <v>2775000</v>
      </c>
      <c r="N5329" s="5">
        <f>tblSales[[#This Row],[Qty]]*_xlfn.XLOOKUP(tblSales[[#This Row],[Product Code]],tblProducts[Code],tblProducts[Unit Cost],0)</f>
        <v>1640000</v>
      </c>
      <c r="O5329" s="4" t="s">
        <v>4866</v>
      </c>
      <c r="P5329" s="4" t="s">
        <v>4862</v>
      </c>
      <c r="Q5329" s="1" t="str">
        <f>_xlfn.XLOOKUP(tblSales[[#This Row],[Channel Code]],tblChannels[Channel Code],tblChannels[Channel Name],"")</f>
        <v>Website &amp; Social Media</v>
      </c>
      <c r="R5329" s="1">
        <f>MONTH(tblSales[[#This Row],[Date]])</f>
        <v>11</v>
      </c>
    </row>
    <row r="5330" spans="2:18" x14ac:dyDescent="0.35">
      <c r="B5330" s="113">
        <v>46346</v>
      </c>
      <c r="C5330" s="4" t="s">
        <v>3653</v>
      </c>
      <c r="D5330" s="4" t="s">
        <v>4568</v>
      </c>
      <c r="E5330" s="1" t="str">
        <f>_xlfn.XLOOKUP(tblSales[[#This Row],[Customer ID]],tblCustomers[Customer ID],tblCustomers[Customer Name],"⚠ Unknown")</f>
        <v>Walk-in Customer</v>
      </c>
      <c r="F5330" s="4" t="s">
        <v>12</v>
      </c>
      <c r="G5330" s="1" t="str">
        <f>_xlfn.XLOOKUP(tblSales[[#This Row],[Product Code]],tblProducts[Code],tblProducts[Product / Service Name],"⚠ Unknown")</f>
        <v>Bomber Jacket</v>
      </c>
      <c r="H5330" s="1" t="str">
        <f>_xlfn.XLOOKUP(tblSales[[#This Row],[Product Code]],tblProducts[Code],tblProducts[Category],"")</f>
        <v>Apparel &amp; Footwear</v>
      </c>
      <c r="I5330" s="4">
        <v>5</v>
      </c>
      <c r="J5330" s="5">
        <f>_xlfn.XLOOKUP(tblSales[[#This Row],[Product Code]],tblProducts[Code],tblProducts[Selling Price (excl. VAT)],0)</f>
        <v>350000</v>
      </c>
      <c r="K5330" s="5">
        <f>tblSales[[#This Row],[Qty]]*tblSales[[#This Row],[Unit Price]]</f>
        <v>1750000</v>
      </c>
      <c r="L5330" s="5">
        <f>ROUND(tblSales[[#This Row],[DPP (excl. VAT)]]*VATEff,0)</f>
        <v>192500</v>
      </c>
      <c r="M5330" s="5">
        <f>tblSales[[#This Row],[DPP (excl. VAT)]]+tblSales[[#This Row],[Output VAT]]</f>
        <v>1942500</v>
      </c>
      <c r="N5330" s="5">
        <f>tblSales[[#This Row],[Qty]]*_xlfn.XLOOKUP(tblSales[[#This Row],[Product Code]],tblProducts[Code],tblProducts[Unit Cost],0)</f>
        <v>1050000</v>
      </c>
      <c r="O5330" s="4" t="s">
        <v>4866</v>
      </c>
      <c r="P5330" s="4" t="s">
        <v>4860</v>
      </c>
      <c r="Q5330" s="1" t="str">
        <f>_xlfn.XLOOKUP(tblSales[[#This Row],[Channel Code]],tblChannels[Channel Code],tblChannels[Channel Name],"")</f>
        <v>In-store</v>
      </c>
      <c r="R5330" s="1">
        <f>MONTH(tblSales[[#This Row],[Date]])</f>
        <v>11</v>
      </c>
    </row>
    <row r="5331" spans="2:18" x14ac:dyDescent="0.35">
      <c r="B5331" s="113">
        <v>46346</v>
      </c>
      <c r="C5331" s="4" t="s">
        <v>3654</v>
      </c>
      <c r="D5331" s="4" t="s">
        <v>4568</v>
      </c>
      <c r="E5331" s="1" t="str">
        <f>_xlfn.XLOOKUP(tblSales[[#This Row],[Customer ID]],tblCustomers[Customer ID],tblCustomers[Customer Name],"⚠ Unknown")</f>
        <v>Walk-in Customer</v>
      </c>
      <c r="F5331" s="4" t="s">
        <v>12</v>
      </c>
      <c r="G5331" s="1" t="str">
        <f>_xlfn.XLOOKUP(tblSales[[#This Row],[Product Code]],tblProducts[Code],tblProducts[Product / Service Name],"⚠ Unknown")</f>
        <v>Bomber Jacket</v>
      </c>
      <c r="H5331" s="1" t="str">
        <f>_xlfn.XLOOKUP(tblSales[[#This Row],[Product Code]],tblProducts[Code],tblProducts[Category],"")</f>
        <v>Apparel &amp; Footwear</v>
      </c>
      <c r="I5331" s="4">
        <v>2</v>
      </c>
      <c r="J5331" s="5">
        <f>_xlfn.XLOOKUP(tblSales[[#This Row],[Product Code]],tblProducts[Code],tblProducts[Selling Price (excl. VAT)],0)</f>
        <v>350000</v>
      </c>
      <c r="K5331" s="5">
        <f>tblSales[[#This Row],[Qty]]*tblSales[[#This Row],[Unit Price]]</f>
        <v>700000</v>
      </c>
      <c r="L5331" s="5">
        <f>ROUND(tblSales[[#This Row],[DPP (excl. VAT)]]*VATEff,0)</f>
        <v>77000</v>
      </c>
      <c r="M5331" s="5">
        <f>tblSales[[#This Row],[DPP (excl. VAT)]]+tblSales[[#This Row],[Output VAT]]</f>
        <v>777000</v>
      </c>
      <c r="N5331" s="5">
        <f>tblSales[[#This Row],[Qty]]*_xlfn.XLOOKUP(tblSales[[#This Row],[Product Code]],tblProducts[Code],tblProducts[Unit Cost],0)</f>
        <v>420000</v>
      </c>
      <c r="O5331" s="4" t="s">
        <v>4866</v>
      </c>
      <c r="P5331" s="4" t="s">
        <v>4860</v>
      </c>
      <c r="Q5331" s="1" t="str">
        <f>_xlfn.XLOOKUP(tblSales[[#This Row],[Channel Code]],tblChannels[Channel Code],tblChannels[Channel Name],"")</f>
        <v>In-store</v>
      </c>
      <c r="R5331" s="1">
        <f>MONTH(tblSales[[#This Row],[Date]])</f>
        <v>11</v>
      </c>
    </row>
    <row r="5332" spans="2:18" x14ac:dyDescent="0.35">
      <c r="B5332" s="113">
        <v>46346</v>
      </c>
      <c r="C5332" s="4" t="s">
        <v>3654</v>
      </c>
      <c r="D5332" s="4" t="s">
        <v>4568</v>
      </c>
      <c r="E5332" s="1" t="str">
        <f>_xlfn.XLOOKUP(tblSales[[#This Row],[Customer ID]],tblCustomers[Customer ID],tblCustomers[Customer Name],"⚠ Unknown")</f>
        <v>Walk-in Customer</v>
      </c>
      <c r="F5332" s="4" t="s">
        <v>7</v>
      </c>
      <c r="G5332" s="1" t="str">
        <f>_xlfn.XLOOKUP(tblSales[[#This Row],[Product Code]],tblProducts[Code],tblProducts[Product / Service Name],"⚠ Unknown")</f>
        <v>Premium Basic T-shirt</v>
      </c>
      <c r="H5332" s="1" t="str">
        <f>_xlfn.XLOOKUP(tblSales[[#This Row],[Product Code]],tblProducts[Code],tblProducts[Category],"")</f>
        <v>Accessories &amp; Basics</v>
      </c>
      <c r="I5332" s="4">
        <v>12</v>
      </c>
      <c r="J5332" s="5">
        <f>_xlfn.XLOOKUP(tblSales[[#This Row],[Product Code]],tblProducts[Code],tblProducts[Selling Price (excl. VAT)],0)</f>
        <v>65000</v>
      </c>
      <c r="K5332" s="5">
        <f>tblSales[[#This Row],[Qty]]*tblSales[[#This Row],[Unit Price]]</f>
        <v>780000</v>
      </c>
      <c r="L5332" s="5">
        <f>ROUND(tblSales[[#This Row],[DPP (excl. VAT)]]*VATEff,0)</f>
        <v>85800</v>
      </c>
      <c r="M5332" s="5">
        <f>tblSales[[#This Row],[DPP (excl. VAT)]]+tblSales[[#This Row],[Output VAT]]</f>
        <v>865800</v>
      </c>
      <c r="N5332" s="5">
        <f>tblSales[[#This Row],[Qty]]*_xlfn.XLOOKUP(tblSales[[#This Row],[Product Code]],tblProducts[Code],tblProducts[Unit Cost],0)</f>
        <v>444000</v>
      </c>
      <c r="O5332" s="4" t="s">
        <v>4866</v>
      </c>
      <c r="P5332" s="4" t="s">
        <v>4860</v>
      </c>
      <c r="Q5332" s="1" t="str">
        <f>_xlfn.XLOOKUP(tblSales[[#This Row],[Channel Code]],tblChannels[Channel Code],tblChannels[Channel Name],"")</f>
        <v>In-store</v>
      </c>
      <c r="R5332" s="1">
        <f>MONTH(tblSales[[#This Row],[Date]])</f>
        <v>11</v>
      </c>
    </row>
    <row r="5333" spans="2:18" x14ac:dyDescent="0.35">
      <c r="B5333" s="113">
        <v>46346</v>
      </c>
      <c r="C5333" s="4" t="s">
        <v>3654</v>
      </c>
      <c r="D5333" s="4" t="s">
        <v>4568</v>
      </c>
      <c r="E5333" s="1" t="str">
        <f>_xlfn.XLOOKUP(tblSales[[#This Row],[Customer ID]],tblCustomers[Customer ID],tblCustomers[Customer Name],"⚠ Unknown")</f>
        <v>Walk-in Customer</v>
      </c>
      <c r="F5333" s="4" t="s">
        <v>14</v>
      </c>
      <c r="G5333" s="1" t="str">
        <f>_xlfn.XLOOKUP(tblSales[[#This Row],[Product Code]],tblProducts[Code],tblProducts[Product / Service Name],"⚠ Unknown")</f>
        <v>Smartwatch</v>
      </c>
      <c r="H5333" s="1" t="str">
        <f>_xlfn.XLOOKUP(tblSales[[#This Row],[Product Code]],tblProducts[Code],tblProducts[Category],"")</f>
        <v>Bags &amp; Gadgets</v>
      </c>
      <c r="I5333" s="4">
        <v>1</v>
      </c>
      <c r="J5333" s="5">
        <f>_xlfn.XLOOKUP(tblSales[[#This Row],[Product Code]],tblProducts[Code],tblProducts[Selling Price (excl. VAT)],0)</f>
        <v>850000</v>
      </c>
      <c r="K5333" s="5">
        <f>tblSales[[#This Row],[Qty]]*tblSales[[#This Row],[Unit Price]]</f>
        <v>850000</v>
      </c>
      <c r="L5333" s="5">
        <f>ROUND(tblSales[[#This Row],[DPP (excl. VAT)]]*VATEff,0)</f>
        <v>93500</v>
      </c>
      <c r="M5333" s="5">
        <f>tblSales[[#This Row],[DPP (excl. VAT)]]+tblSales[[#This Row],[Output VAT]]</f>
        <v>943500</v>
      </c>
      <c r="N5333" s="5">
        <f>tblSales[[#This Row],[Qty]]*_xlfn.XLOOKUP(tblSales[[#This Row],[Product Code]],tblProducts[Code],tblProducts[Unit Cost],0)</f>
        <v>560000</v>
      </c>
      <c r="O5333" s="4" t="s">
        <v>4866</v>
      </c>
      <c r="P5333" s="4" t="s">
        <v>4860</v>
      </c>
      <c r="Q5333" s="1" t="str">
        <f>_xlfn.XLOOKUP(tblSales[[#This Row],[Channel Code]],tblChannels[Channel Code],tblChannels[Channel Name],"")</f>
        <v>In-store</v>
      </c>
      <c r="R5333" s="1">
        <f>MONTH(tblSales[[#This Row],[Date]])</f>
        <v>11</v>
      </c>
    </row>
    <row r="5334" spans="2:18" x14ac:dyDescent="0.35">
      <c r="B5334" s="113">
        <v>46346</v>
      </c>
      <c r="C5334" s="4" t="s">
        <v>3655</v>
      </c>
      <c r="D5334" s="4" t="s">
        <v>4613</v>
      </c>
      <c r="E5334" s="1" t="str">
        <f>_xlfn.XLOOKUP(tblSales[[#This Row],[Customer ID]],tblCustomers[Customer ID],tblCustomers[Customer Name],"⚠ Unknown")</f>
        <v>PT Mega Prima Distribusi</v>
      </c>
      <c r="F5334" s="4" t="s">
        <v>9</v>
      </c>
      <c r="G5334" s="1" t="str">
        <f>_xlfn.XLOOKUP(tblSales[[#This Row],[Product Code]],tblProducts[Code],tblProducts[Product / Service Name],"⚠ Unknown")</f>
        <v>Casual Shirt</v>
      </c>
      <c r="H5334" s="1" t="str">
        <f>_xlfn.XLOOKUP(tblSales[[#This Row],[Product Code]],tblProducts[Code],tblProducts[Category],"")</f>
        <v>Apparel &amp; Footwear</v>
      </c>
      <c r="I5334" s="4">
        <v>88</v>
      </c>
      <c r="J5334" s="5">
        <f>_xlfn.XLOOKUP(tblSales[[#This Row],[Product Code]],tblProducts[Code],tblProducts[Selling Price (excl. VAT)],0)</f>
        <v>120000</v>
      </c>
      <c r="K5334" s="5">
        <f>tblSales[[#This Row],[Qty]]*tblSales[[#This Row],[Unit Price]]</f>
        <v>10560000</v>
      </c>
      <c r="L5334" s="5">
        <f>ROUND(tblSales[[#This Row],[DPP (excl. VAT)]]*VATEff,0)</f>
        <v>1161600</v>
      </c>
      <c r="M5334" s="5">
        <f>tblSales[[#This Row],[DPP (excl. VAT)]]+tblSales[[#This Row],[Output VAT]]</f>
        <v>11721600</v>
      </c>
      <c r="N5334" s="5">
        <f>tblSales[[#This Row],[Qty]]*_xlfn.XLOOKUP(tblSales[[#This Row],[Product Code]],tblProducts[Code],tblProducts[Unit Cost],0)</f>
        <v>6336000</v>
      </c>
      <c r="O5334" s="4" t="s">
        <v>4867</v>
      </c>
      <c r="P5334" s="4" t="s">
        <v>4860</v>
      </c>
      <c r="Q5334" s="1" t="str">
        <f>_xlfn.XLOOKUP(tblSales[[#This Row],[Channel Code]],tblChannels[Channel Code],tblChannels[Channel Name],"")</f>
        <v>In-store</v>
      </c>
      <c r="R5334" s="1">
        <f>MONTH(tblSales[[#This Row],[Date]])</f>
        <v>11</v>
      </c>
    </row>
    <row r="5335" spans="2:18" x14ac:dyDescent="0.35">
      <c r="B5335" s="113">
        <v>46346</v>
      </c>
      <c r="C5335" s="4" t="s">
        <v>3655</v>
      </c>
      <c r="D5335" s="4" t="s">
        <v>4613</v>
      </c>
      <c r="E5335" s="1" t="str">
        <f>_xlfn.XLOOKUP(tblSales[[#This Row],[Customer ID]],tblCustomers[Customer ID],tblCustomers[Customer Name],"⚠ Unknown")</f>
        <v>PT Mega Prima Distribusi</v>
      </c>
      <c r="F5335" s="4" t="s">
        <v>7</v>
      </c>
      <c r="G5335" s="1" t="str">
        <f>_xlfn.XLOOKUP(tblSales[[#This Row],[Product Code]],tblProducts[Code],tblProducts[Product / Service Name],"⚠ Unknown")</f>
        <v>Premium Basic T-shirt</v>
      </c>
      <c r="H5335" s="1" t="str">
        <f>_xlfn.XLOOKUP(tblSales[[#This Row],[Product Code]],tblProducts[Code],tblProducts[Category],"")</f>
        <v>Accessories &amp; Basics</v>
      </c>
      <c r="I5335" s="4">
        <v>32</v>
      </c>
      <c r="J5335" s="5">
        <f>_xlfn.XLOOKUP(tblSales[[#This Row],[Product Code]],tblProducts[Code],tblProducts[Selling Price (excl. VAT)],0)</f>
        <v>65000</v>
      </c>
      <c r="K5335" s="5">
        <f>tblSales[[#This Row],[Qty]]*tblSales[[#This Row],[Unit Price]]</f>
        <v>2080000</v>
      </c>
      <c r="L5335" s="5">
        <f>ROUND(tblSales[[#This Row],[DPP (excl. VAT)]]*VATEff,0)</f>
        <v>228800</v>
      </c>
      <c r="M5335" s="5">
        <f>tblSales[[#This Row],[DPP (excl. VAT)]]+tblSales[[#This Row],[Output VAT]]</f>
        <v>2308800</v>
      </c>
      <c r="N5335" s="5">
        <f>tblSales[[#This Row],[Qty]]*_xlfn.XLOOKUP(tblSales[[#This Row],[Product Code]],tblProducts[Code],tblProducts[Unit Cost],0)</f>
        <v>1184000</v>
      </c>
      <c r="O5335" s="4" t="s">
        <v>4867</v>
      </c>
      <c r="P5335" s="4" t="s">
        <v>4860</v>
      </c>
      <c r="Q5335" s="1" t="str">
        <f>_xlfn.XLOOKUP(tblSales[[#This Row],[Channel Code]],tblChannels[Channel Code],tblChannels[Channel Name],"")</f>
        <v>In-store</v>
      </c>
      <c r="R5335" s="1">
        <f>MONTH(tblSales[[#This Row],[Date]])</f>
        <v>11</v>
      </c>
    </row>
    <row r="5336" spans="2:18" x14ac:dyDescent="0.35">
      <c r="B5336" s="113">
        <v>46346</v>
      </c>
      <c r="C5336" s="4" t="s">
        <v>3655</v>
      </c>
      <c r="D5336" s="4" t="s">
        <v>4613</v>
      </c>
      <c r="E5336" s="1" t="str">
        <f>_xlfn.XLOOKUP(tblSales[[#This Row],[Customer ID]],tblCustomers[Customer ID],tblCustomers[Customer Name],"⚠ Unknown")</f>
        <v>PT Mega Prima Distribusi</v>
      </c>
      <c r="F5336" s="4" t="s">
        <v>8</v>
      </c>
      <c r="G5336" s="1" t="str">
        <f>_xlfn.XLOOKUP(tblSales[[#This Row],[Product Code]],tblProducts[Code],tblProducts[Product / Service Name],"⚠ Unknown")</f>
        <v>Casual Shorts</v>
      </c>
      <c r="H5336" s="1" t="str">
        <f>_xlfn.XLOOKUP(tblSales[[#This Row],[Product Code]],tblProducts[Code],tblProducts[Category],"")</f>
        <v>Accessories &amp; Basics</v>
      </c>
      <c r="I5336" s="4">
        <v>40</v>
      </c>
      <c r="J5336" s="5">
        <f>_xlfn.XLOOKUP(tblSales[[#This Row],[Product Code]],tblProducts[Code],tblProducts[Selling Price (excl. VAT)],0)</f>
        <v>85000</v>
      </c>
      <c r="K5336" s="5">
        <f>tblSales[[#This Row],[Qty]]*tblSales[[#This Row],[Unit Price]]</f>
        <v>3400000</v>
      </c>
      <c r="L5336" s="5">
        <f>ROUND(tblSales[[#This Row],[DPP (excl. VAT)]]*VATEff,0)</f>
        <v>374000</v>
      </c>
      <c r="M5336" s="5">
        <f>tblSales[[#This Row],[DPP (excl. VAT)]]+tblSales[[#This Row],[Output VAT]]</f>
        <v>3774000</v>
      </c>
      <c r="N5336" s="5">
        <f>tblSales[[#This Row],[Qty]]*_xlfn.XLOOKUP(tblSales[[#This Row],[Product Code]],tblProducts[Code],tblProducts[Unit Cost],0)</f>
        <v>2000000</v>
      </c>
      <c r="O5336" s="4" t="s">
        <v>4867</v>
      </c>
      <c r="P5336" s="4" t="s">
        <v>4860</v>
      </c>
      <c r="Q5336" s="1" t="str">
        <f>_xlfn.XLOOKUP(tblSales[[#This Row],[Channel Code]],tblChannels[Channel Code],tblChannels[Channel Name],"")</f>
        <v>In-store</v>
      </c>
      <c r="R5336" s="1">
        <f>MONTH(tblSales[[#This Row],[Date]])</f>
        <v>11</v>
      </c>
    </row>
    <row r="5337" spans="2:18" x14ac:dyDescent="0.35">
      <c r="B5337" s="113">
        <v>46346</v>
      </c>
      <c r="C5337" s="4" t="s">
        <v>3656</v>
      </c>
      <c r="D5337" s="4" t="s">
        <v>4613</v>
      </c>
      <c r="E5337" s="1" t="str">
        <f>_xlfn.XLOOKUP(tblSales[[#This Row],[Customer ID]],tblCustomers[Customer ID],tblCustomers[Customer Name],"⚠ Unknown")</f>
        <v>PT Mega Prima Distribusi</v>
      </c>
      <c r="F5337" s="4" t="s">
        <v>15</v>
      </c>
      <c r="G5337" s="1" t="str">
        <f>_xlfn.XLOOKUP(tblSales[[#This Row],[Product Code]],tblProducts[Code],tblProducts[Product / Service Name],"⚠ Unknown")</f>
        <v>Wireless Earbuds Pro</v>
      </c>
      <c r="H5337" s="1" t="str">
        <f>_xlfn.XLOOKUP(tblSales[[#This Row],[Product Code]],tblProducts[Code],tblProducts[Category],"")</f>
        <v>Bags &amp; Gadgets</v>
      </c>
      <c r="I5337" s="4">
        <v>24</v>
      </c>
      <c r="J5337" s="5">
        <f>_xlfn.XLOOKUP(tblSales[[#This Row],[Product Code]],tblProducts[Code],tblProducts[Selling Price (excl. VAT)],0)</f>
        <v>1250000</v>
      </c>
      <c r="K5337" s="5">
        <f>tblSales[[#This Row],[Qty]]*tblSales[[#This Row],[Unit Price]]</f>
        <v>30000000</v>
      </c>
      <c r="L5337" s="5">
        <f>ROUND(tblSales[[#This Row],[DPP (excl. VAT)]]*VATEff,0)</f>
        <v>3300000</v>
      </c>
      <c r="M5337" s="5">
        <f>tblSales[[#This Row],[DPP (excl. VAT)]]+tblSales[[#This Row],[Output VAT]]</f>
        <v>33300000</v>
      </c>
      <c r="N5337" s="5">
        <f>tblSales[[#This Row],[Qty]]*_xlfn.XLOOKUP(tblSales[[#This Row],[Product Code]],tblProducts[Code],tblProducts[Unit Cost],0)</f>
        <v>19680000</v>
      </c>
      <c r="O5337" s="4" t="s">
        <v>4867</v>
      </c>
      <c r="P5337" s="4" t="s">
        <v>4860</v>
      </c>
      <c r="Q5337" s="1" t="str">
        <f>_xlfn.XLOOKUP(tblSales[[#This Row],[Channel Code]],tblChannels[Channel Code],tblChannels[Channel Name],"")</f>
        <v>In-store</v>
      </c>
      <c r="R5337" s="1">
        <f>MONTH(tblSales[[#This Row],[Date]])</f>
        <v>11</v>
      </c>
    </row>
    <row r="5338" spans="2:18" x14ac:dyDescent="0.35">
      <c r="B5338" s="113">
        <v>46346</v>
      </c>
      <c r="C5338" s="4" t="s">
        <v>3657</v>
      </c>
      <c r="D5338" s="4" t="s">
        <v>4568</v>
      </c>
      <c r="E5338" s="1" t="str">
        <f>_xlfn.XLOOKUP(tblSales[[#This Row],[Customer ID]],tblCustomers[Customer ID],tblCustomers[Customer Name],"⚠ Unknown")</f>
        <v>Walk-in Customer</v>
      </c>
      <c r="F5338" s="4" t="s">
        <v>13</v>
      </c>
      <c r="G5338" s="1" t="str">
        <f>_xlfn.XLOOKUP(tblSales[[#This Row],[Product Code]],tblProducts[Code],tblProducts[Product / Service Name],"⚠ Unknown")</f>
        <v>Backpack</v>
      </c>
      <c r="H5338" s="1" t="str">
        <f>_xlfn.XLOOKUP(tblSales[[#This Row],[Product Code]],tblProducts[Code],tblProducts[Category],"")</f>
        <v>Bags &amp; Gadgets</v>
      </c>
      <c r="I5338" s="4">
        <v>2</v>
      </c>
      <c r="J5338" s="5">
        <f>_xlfn.XLOOKUP(tblSales[[#This Row],[Product Code]],tblProducts[Code],tblProducts[Selling Price (excl. VAT)],0)</f>
        <v>500000</v>
      </c>
      <c r="K5338" s="5">
        <f>tblSales[[#This Row],[Qty]]*tblSales[[#This Row],[Unit Price]]</f>
        <v>1000000</v>
      </c>
      <c r="L5338" s="5">
        <f>ROUND(tblSales[[#This Row],[DPP (excl. VAT)]]*VATEff,0)</f>
        <v>110000</v>
      </c>
      <c r="M5338" s="5">
        <f>tblSales[[#This Row],[DPP (excl. VAT)]]+tblSales[[#This Row],[Output VAT]]</f>
        <v>1110000</v>
      </c>
      <c r="N5338" s="5">
        <f>tblSales[[#This Row],[Qty]]*_xlfn.XLOOKUP(tblSales[[#This Row],[Product Code]],tblProducts[Code],tblProducts[Unit Cost],0)</f>
        <v>580000</v>
      </c>
      <c r="O5338" s="4" t="s">
        <v>4866</v>
      </c>
      <c r="P5338" s="4" t="s">
        <v>4860</v>
      </c>
      <c r="Q5338" s="1" t="str">
        <f>_xlfn.XLOOKUP(tblSales[[#This Row],[Channel Code]],tblChannels[Channel Code],tblChannels[Channel Name],"")</f>
        <v>In-store</v>
      </c>
      <c r="R5338" s="1">
        <f>MONTH(tblSales[[#This Row],[Date]])</f>
        <v>11</v>
      </c>
    </row>
    <row r="5339" spans="2:18" x14ac:dyDescent="0.35">
      <c r="B5339" s="113">
        <v>46347</v>
      </c>
      <c r="C5339" s="4" t="s">
        <v>3658</v>
      </c>
      <c r="D5339" s="4" t="s">
        <v>4568</v>
      </c>
      <c r="E5339" s="1" t="str">
        <f>_xlfn.XLOOKUP(tblSales[[#This Row],[Customer ID]],tblCustomers[Customer ID],tblCustomers[Customer Name],"⚠ Unknown")</f>
        <v>Walk-in Customer</v>
      </c>
      <c r="F5339" s="4" t="s">
        <v>12</v>
      </c>
      <c r="G5339" s="1" t="str">
        <f>_xlfn.XLOOKUP(tblSales[[#This Row],[Product Code]],tblProducts[Code],tblProducts[Product / Service Name],"⚠ Unknown")</f>
        <v>Bomber Jacket</v>
      </c>
      <c r="H5339" s="1" t="str">
        <f>_xlfn.XLOOKUP(tblSales[[#This Row],[Product Code]],tblProducts[Code],tblProducts[Category],"")</f>
        <v>Apparel &amp; Footwear</v>
      </c>
      <c r="I5339" s="4">
        <v>1</v>
      </c>
      <c r="J5339" s="5">
        <f>_xlfn.XLOOKUP(tblSales[[#This Row],[Product Code]],tblProducts[Code],tblProducts[Selling Price (excl. VAT)],0)</f>
        <v>350000</v>
      </c>
      <c r="K5339" s="5">
        <f>tblSales[[#This Row],[Qty]]*tblSales[[#This Row],[Unit Price]]</f>
        <v>350000</v>
      </c>
      <c r="L5339" s="5">
        <f>ROUND(tblSales[[#This Row],[DPP (excl. VAT)]]*VATEff,0)</f>
        <v>38500</v>
      </c>
      <c r="M5339" s="5">
        <f>tblSales[[#This Row],[DPP (excl. VAT)]]+tblSales[[#This Row],[Output VAT]]</f>
        <v>388500</v>
      </c>
      <c r="N5339" s="5">
        <f>tblSales[[#This Row],[Qty]]*_xlfn.XLOOKUP(tblSales[[#This Row],[Product Code]],tblProducts[Code],tblProducts[Unit Cost],0)</f>
        <v>210000</v>
      </c>
      <c r="O5339" s="4" t="s">
        <v>4865</v>
      </c>
      <c r="P5339" s="4" t="s">
        <v>4860</v>
      </c>
      <c r="Q5339" s="1" t="str">
        <f>_xlfn.XLOOKUP(tblSales[[#This Row],[Channel Code]],tblChannels[Channel Code],tblChannels[Channel Name],"")</f>
        <v>In-store</v>
      </c>
      <c r="R5339" s="1">
        <f>MONTH(tblSales[[#This Row],[Date]])</f>
        <v>11</v>
      </c>
    </row>
    <row r="5340" spans="2:18" x14ac:dyDescent="0.35">
      <c r="B5340" s="113">
        <v>46347</v>
      </c>
      <c r="C5340" s="4" t="s">
        <v>3659</v>
      </c>
      <c r="D5340" s="4" t="s">
        <v>4568</v>
      </c>
      <c r="E5340" s="1" t="str">
        <f>_xlfn.XLOOKUP(tblSales[[#This Row],[Customer ID]],tblCustomers[Customer ID],tblCustomers[Customer Name],"⚠ Unknown")</f>
        <v>Walk-in Customer</v>
      </c>
      <c r="F5340" s="4" t="s">
        <v>14</v>
      </c>
      <c r="G5340" s="1" t="str">
        <f>_xlfn.XLOOKUP(tblSales[[#This Row],[Product Code]],tblProducts[Code],tblProducts[Product / Service Name],"⚠ Unknown")</f>
        <v>Smartwatch</v>
      </c>
      <c r="H5340" s="1" t="str">
        <f>_xlfn.XLOOKUP(tblSales[[#This Row],[Product Code]],tblProducts[Code],tblProducts[Category],"")</f>
        <v>Bags &amp; Gadgets</v>
      </c>
      <c r="I5340" s="4">
        <v>1</v>
      </c>
      <c r="J5340" s="5">
        <f>_xlfn.XLOOKUP(tblSales[[#This Row],[Product Code]],tblProducts[Code],tblProducts[Selling Price (excl. VAT)],0)</f>
        <v>850000</v>
      </c>
      <c r="K5340" s="5">
        <f>tblSales[[#This Row],[Qty]]*tblSales[[#This Row],[Unit Price]]</f>
        <v>850000</v>
      </c>
      <c r="L5340" s="5">
        <f>ROUND(tblSales[[#This Row],[DPP (excl. VAT)]]*VATEff,0)</f>
        <v>93500</v>
      </c>
      <c r="M5340" s="5">
        <f>tblSales[[#This Row],[DPP (excl. VAT)]]+tblSales[[#This Row],[Output VAT]]</f>
        <v>943500</v>
      </c>
      <c r="N5340" s="5">
        <f>tblSales[[#This Row],[Qty]]*_xlfn.XLOOKUP(tblSales[[#This Row],[Product Code]],tblProducts[Code],tblProducts[Unit Cost],0)</f>
        <v>560000</v>
      </c>
      <c r="O5340" s="4" t="s">
        <v>4866</v>
      </c>
      <c r="P5340" s="4" t="s">
        <v>4862</v>
      </c>
      <c r="Q5340" s="1" t="str">
        <f>_xlfn.XLOOKUP(tblSales[[#This Row],[Channel Code]],tblChannels[Channel Code],tblChannels[Channel Name],"")</f>
        <v>Website &amp; Social Media</v>
      </c>
      <c r="R5340" s="1">
        <f>MONTH(tblSales[[#This Row],[Date]])</f>
        <v>11</v>
      </c>
    </row>
    <row r="5341" spans="2:18" x14ac:dyDescent="0.35">
      <c r="B5341" s="113">
        <v>46347</v>
      </c>
      <c r="C5341" s="4" t="s">
        <v>3660</v>
      </c>
      <c r="D5341" s="4" t="s">
        <v>4568</v>
      </c>
      <c r="E5341" s="1" t="str">
        <f>_xlfn.XLOOKUP(tblSales[[#This Row],[Customer ID]],tblCustomers[Customer ID],tblCustomers[Customer Name],"⚠ Unknown")</f>
        <v>Walk-in Customer</v>
      </c>
      <c r="F5341" s="4" t="s">
        <v>8</v>
      </c>
      <c r="G5341" s="1" t="str">
        <f>_xlfn.XLOOKUP(tblSales[[#This Row],[Product Code]],tblProducts[Code],tblProducts[Product / Service Name],"⚠ Unknown")</f>
        <v>Casual Shorts</v>
      </c>
      <c r="H5341" s="1" t="str">
        <f>_xlfn.XLOOKUP(tblSales[[#This Row],[Product Code]],tblProducts[Code],tblProducts[Category],"")</f>
        <v>Accessories &amp; Basics</v>
      </c>
      <c r="I5341" s="4">
        <v>11</v>
      </c>
      <c r="J5341" s="5">
        <f>_xlfn.XLOOKUP(tblSales[[#This Row],[Product Code]],tblProducts[Code],tblProducts[Selling Price (excl. VAT)],0)</f>
        <v>85000</v>
      </c>
      <c r="K5341" s="5">
        <f>tblSales[[#This Row],[Qty]]*tblSales[[#This Row],[Unit Price]]</f>
        <v>935000</v>
      </c>
      <c r="L5341" s="5">
        <f>ROUND(tblSales[[#This Row],[DPP (excl. VAT)]]*VATEff,0)</f>
        <v>102850</v>
      </c>
      <c r="M5341" s="5">
        <f>tblSales[[#This Row],[DPP (excl. VAT)]]+tblSales[[#This Row],[Output VAT]]</f>
        <v>1037850</v>
      </c>
      <c r="N5341" s="5">
        <f>tblSales[[#This Row],[Qty]]*_xlfn.XLOOKUP(tblSales[[#This Row],[Product Code]],tblProducts[Code],tblProducts[Unit Cost],0)</f>
        <v>550000</v>
      </c>
      <c r="O5341" s="4" t="s">
        <v>4866</v>
      </c>
      <c r="P5341" s="4" t="s">
        <v>4862</v>
      </c>
      <c r="Q5341" s="1" t="str">
        <f>_xlfn.XLOOKUP(tblSales[[#This Row],[Channel Code]],tblChannels[Channel Code],tblChannels[Channel Name],"")</f>
        <v>Website &amp; Social Media</v>
      </c>
      <c r="R5341" s="1">
        <f>MONTH(tblSales[[#This Row],[Date]])</f>
        <v>11</v>
      </c>
    </row>
    <row r="5342" spans="2:18" x14ac:dyDescent="0.35">
      <c r="B5342" s="113">
        <v>46347</v>
      </c>
      <c r="C5342" s="4" t="s">
        <v>3660</v>
      </c>
      <c r="D5342" s="4" t="s">
        <v>4568</v>
      </c>
      <c r="E5342" s="1" t="str">
        <f>_xlfn.XLOOKUP(tblSales[[#This Row],[Customer ID]],tblCustomers[Customer ID],tblCustomers[Customer Name],"⚠ Unknown")</f>
        <v>Walk-in Customer</v>
      </c>
      <c r="F5342" s="4" t="s">
        <v>9</v>
      </c>
      <c r="G5342" s="1" t="str">
        <f>_xlfn.XLOOKUP(tblSales[[#This Row],[Product Code]],tblProducts[Code],tblProducts[Product / Service Name],"⚠ Unknown")</f>
        <v>Casual Shirt</v>
      </c>
      <c r="H5342" s="1" t="str">
        <f>_xlfn.XLOOKUP(tblSales[[#This Row],[Product Code]],tblProducts[Code],tblProducts[Category],"")</f>
        <v>Apparel &amp; Footwear</v>
      </c>
      <c r="I5342" s="4">
        <v>1</v>
      </c>
      <c r="J5342" s="5">
        <f>_xlfn.XLOOKUP(tblSales[[#This Row],[Product Code]],tblProducts[Code],tblProducts[Selling Price (excl. VAT)],0)</f>
        <v>120000</v>
      </c>
      <c r="K5342" s="5">
        <f>tblSales[[#This Row],[Qty]]*tblSales[[#This Row],[Unit Price]]</f>
        <v>120000</v>
      </c>
      <c r="L5342" s="5">
        <f>ROUND(tblSales[[#This Row],[DPP (excl. VAT)]]*VATEff,0)</f>
        <v>13200</v>
      </c>
      <c r="M5342" s="5">
        <f>tblSales[[#This Row],[DPP (excl. VAT)]]+tblSales[[#This Row],[Output VAT]]</f>
        <v>133200</v>
      </c>
      <c r="N5342" s="5">
        <f>tblSales[[#This Row],[Qty]]*_xlfn.XLOOKUP(tblSales[[#This Row],[Product Code]],tblProducts[Code],tblProducts[Unit Cost],0)</f>
        <v>72000</v>
      </c>
      <c r="O5342" s="4" t="s">
        <v>4866</v>
      </c>
      <c r="P5342" s="4" t="s">
        <v>4862</v>
      </c>
      <c r="Q5342" s="1" t="str">
        <f>_xlfn.XLOOKUP(tblSales[[#This Row],[Channel Code]],tblChannels[Channel Code],tblChannels[Channel Name],"")</f>
        <v>Website &amp; Social Media</v>
      </c>
      <c r="R5342" s="1">
        <f>MONTH(tblSales[[#This Row],[Date]])</f>
        <v>11</v>
      </c>
    </row>
    <row r="5343" spans="2:18" x14ac:dyDescent="0.35">
      <c r="B5343" s="113">
        <v>46347</v>
      </c>
      <c r="C5343" s="4" t="s">
        <v>3661</v>
      </c>
      <c r="D5343" s="4" t="s">
        <v>4568</v>
      </c>
      <c r="E5343" s="1" t="str">
        <f>_xlfn.XLOOKUP(tblSales[[#This Row],[Customer ID]],tblCustomers[Customer ID],tblCustomers[Customer Name],"⚠ Unknown")</f>
        <v>Walk-in Customer</v>
      </c>
      <c r="F5343" s="4" t="s">
        <v>9</v>
      </c>
      <c r="G5343" s="1" t="str">
        <f>_xlfn.XLOOKUP(tblSales[[#This Row],[Product Code]],tblProducts[Code],tblProducts[Product / Service Name],"⚠ Unknown")</f>
        <v>Casual Shirt</v>
      </c>
      <c r="H5343" s="1" t="str">
        <f>_xlfn.XLOOKUP(tblSales[[#This Row],[Product Code]],tblProducts[Code],tblProducts[Category],"")</f>
        <v>Apparel &amp; Footwear</v>
      </c>
      <c r="I5343" s="4">
        <v>2</v>
      </c>
      <c r="J5343" s="5">
        <f>_xlfn.XLOOKUP(tblSales[[#This Row],[Product Code]],tblProducts[Code],tblProducts[Selling Price (excl. VAT)],0)</f>
        <v>120000</v>
      </c>
      <c r="K5343" s="5">
        <f>tblSales[[#This Row],[Qty]]*tblSales[[#This Row],[Unit Price]]</f>
        <v>240000</v>
      </c>
      <c r="L5343" s="5">
        <f>ROUND(tblSales[[#This Row],[DPP (excl. VAT)]]*VATEff,0)</f>
        <v>26400</v>
      </c>
      <c r="M5343" s="5">
        <f>tblSales[[#This Row],[DPP (excl. VAT)]]+tblSales[[#This Row],[Output VAT]]</f>
        <v>266400</v>
      </c>
      <c r="N5343" s="5">
        <f>tblSales[[#This Row],[Qty]]*_xlfn.XLOOKUP(tblSales[[#This Row],[Product Code]],tblProducts[Code],tblProducts[Unit Cost],0)</f>
        <v>144000</v>
      </c>
      <c r="O5343" s="4" t="s">
        <v>4866</v>
      </c>
      <c r="P5343" s="4" t="s">
        <v>4860</v>
      </c>
      <c r="Q5343" s="1" t="str">
        <f>_xlfn.XLOOKUP(tblSales[[#This Row],[Channel Code]],tblChannels[Channel Code],tblChannels[Channel Name],"")</f>
        <v>In-store</v>
      </c>
      <c r="R5343" s="1">
        <f>MONTH(tblSales[[#This Row],[Date]])</f>
        <v>11</v>
      </c>
    </row>
    <row r="5344" spans="2:18" x14ac:dyDescent="0.35">
      <c r="B5344" s="113">
        <v>46347</v>
      </c>
      <c r="C5344" s="4" t="s">
        <v>3661</v>
      </c>
      <c r="D5344" s="4" t="s">
        <v>4568</v>
      </c>
      <c r="E5344" s="1" t="str">
        <f>_xlfn.XLOOKUP(tblSales[[#This Row],[Customer ID]],tblCustomers[Customer ID],tblCustomers[Customer Name],"⚠ Unknown")</f>
        <v>Walk-in Customer</v>
      </c>
      <c r="F5344" s="4" t="s">
        <v>10</v>
      </c>
      <c r="G5344" s="1" t="str">
        <f>_xlfn.XLOOKUP(tblSales[[#This Row],[Product Code]],tblProducts[Code],tblProducts[Product / Service Name],"⚠ Unknown")</f>
        <v>Chino Pants</v>
      </c>
      <c r="H5344" s="1" t="str">
        <f>_xlfn.XLOOKUP(tblSales[[#This Row],[Product Code]],tblProducts[Code],tblProducts[Category],"")</f>
        <v>Apparel &amp; Footwear</v>
      </c>
      <c r="I5344" s="4">
        <v>7</v>
      </c>
      <c r="J5344" s="5">
        <f>_xlfn.XLOOKUP(tblSales[[#This Row],[Product Code]],tblProducts[Code],tblProducts[Selling Price (excl. VAT)],0)</f>
        <v>150000</v>
      </c>
      <c r="K5344" s="5">
        <f>tblSales[[#This Row],[Qty]]*tblSales[[#This Row],[Unit Price]]</f>
        <v>1050000</v>
      </c>
      <c r="L5344" s="5">
        <f>ROUND(tblSales[[#This Row],[DPP (excl. VAT)]]*VATEff,0)</f>
        <v>115500</v>
      </c>
      <c r="M5344" s="5">
        <f>tblSales[[#This Row],[DPP (excl. VAT)]]+tblSales[[#This Row],[Output VAT]]</f>
        <v>1165500</v>
      </c>
      <c r="N5344" s="5">
        <f>tblSales[[#This Row],[Qty]]*_xlfn.XLOOKUP(tblSales[[#This Row],[Product Code]],tblProducts[Code],tblProducts[Unit Cost],0)</f>
        <v>616000</v>
      </c>
      <c r="O5344" s="4" t="s">
        <v>4866</v>
      </c>
      <c r="P5344" s="4" t="s">
        <v>4860</v>
      </c>
      <c r="Q5344" s="1" t="str">
        <f>_xlfn.XLOOKUP(tblSales[[#This Row],[Channel Code]],tblChannels[Channel Code],tblChannels[Channel Name],"")</f>
        <v>In-store</v>
      </c>
      <c r="R5344" s="1">
        <f>MONTH(tblSales[[#This Row],[Date]])</f>
        <v>11</v>
      </c>
    </row>
    <row r="5345" spans="2:18" x14ac:dyDescent="0.35">
      <c r="B5345" s="113">
        <v>46347</v>
      </c>
      <c r="C5345" s="4" t="s">
        <v>3662</v>
      </c>
      <c r="D5345" s="4" t="s">
        <v>4599</v>
      </c>
      <c r="E5345" s="1" t="str">
        <f>_xlfn.XLOOKUP(tblSales[[#This Row],[Customer ID]],tblCustomers[Customer ID],tblCustomers[Customer Name],"⚠ Unknown")</f>
        <v>PT Samudra Jaya Logistik</v>
      </c>
      <c r="F5345" s="4" t="s">
        <v>6</v>
      </c>
      <c r="G5345" s="1" t="str">
        <f>_xlfn.XLOOKUP(tblSales[[#This Row],[Product Code]],tblProducts[Code],tblProducts[Product / Service Name],"⚠ Unknown")</f>
        <v>Socks &amp; Accessories</v>
      </c>
      <c r="H5345" s="1" t="str">
        <f>_xlfn.XLOOKUP(tblSales[[#This Row],[Product Code]],tblProducts[Code],tblProducts[Category],"")</f>
        <v>Accessories &amp; Basics</v>
      </c>
      <c r="I5345" s="4">
        <v>16</v>
      </c>
      <c r="J5345" s="5">
        <f>_xlfn.XLOOKUP(tblSales[[#This Row],[Product Code]],tblProducts[Code],tblProducts[Selling Price (excl. VAT)],0)</f>
        <v>45000</v>
      </c>
      <c r="K5345" s="5">
        <f>tblSales[[#This Row],[Qty]]*tblSales[[#This Row],[Unit Price]]</f>
        <v>720000</v>
      </c>
      <c r="L5345" s="5">
        <f>ROUND(tblSales[[#This Row],[DPP (excl. VAT)]]*VATEff,0)</f>
        <v>79200</v>
      </c>
      <c r="M5345" s="5">
        <f>tblSales[[#This Row],[DPP (excl. VAT)]]+tblSales[[#This Row],[Output VAT]]</f>
        <v>799200</v>
      </c>
      <c r="N5345" s="5">
        <f>tblSales[[#This Row],[Qty]]*_xlfn.XLOOKUP(tblSales[[#This Row],[Product Code]],tblProducts[Code],tblProducts[Unit Cost],0)</f>
        <v>384000</v>
      </c>
      <c r="O5345" s="4" t="s">
        <v>4867</v>
      </c>
      <c r="P5345" s="4" t="s">
        <v>4862</v>
      </c>
      <c r="Q5345" s="1" t="str">
        <f>_xlfn.XLOOKUP(tblSales[[#This Row],[Channel Code]],tblChannels[Channel Code],tblChannels[Channel Name],"")</f>
        <v>Website &amp; Social Media</v>
      </c>
      <c r="R5345" s="1">
        <f>MONTH(tblSales[[#This Row],[Date]])</f>
        <v>11</v>
      </c>
    </row>
    <row r="5346" spans="2:18" x14ac:dyDescent="0.35">
      <c r="B5346" s="113">
        <v>46347</v>
      </c>
      <c r="C5346" s="4" t="s">
        <v>3663</v>
      </c>
      <c r="D5346" s="4" t="s">
        <v>4568</v>
      </c>
      <c r="E5346" s="1" t="str">
        <f>_xlfn.XLOOKUP(tblSales[[#This Row],[Customer ID]],tblCustomers[Customer ID],tblCustomers[Customer Name],"⚠ Unknown")</f>
        <v>Walk-in Customer</v>
      </c>
      <c r="F5346" s="4" t="s">
        <v>8</v>
      </c>
      <c r="G5346" s="1" t="str">
        <f>_xlfn.XLOOKUP(tblSales[[#This Row],[Product Code]],tblProducts[Code],tblProducts[Product / Service Name],"⚠ Unknown")</f>
        <v>Casual Shorts</v>
      </c>
      <c r="H5346" s="1" t="str">
        <f>_xlfn.XLOOKUP(tblSales[[#This Row],[Product Code]],tblProducts[Code],tblProducts[Category],"")</f>
        <v>Accessories &amp; Basics</v>
      </c>
      <c r="I5346" s="4">
        <v>5</v>
      </c>
      <c r="J5346" s="5">
        <f>_xlfn.XLOOKUP(tblSales[[#This Row],[Product Code]],tblProducts[Code],tblProducts[Selling Price (excl. VAT)],0)</f>
        <v>85000</v>
      </c>
      <c r="K5346" s="5">
        <f>tblSales[[#This Row],[Qty]]*tblSales[[#This Row],[Unit Price]]</f>
        <v>425000</v>
      </c>
      <c r="L5346" s="5">
        <f>ROUND(tblSales[[#This Row],[DPP (excl. VAT)]]*VATEff,0)</f>
        <v>46750</v>
      </c>
      <c r="M5346" s="5">
        <f>tblSales[[#This Row],[DPP (excl. VAT)]]+tblSales[[#This Row],[Output VAT]]</f>
        <v>471750</v>
      </c>
      <c r="N5346" s="5">
        <f>tblSales[[#This Row],[Qty]]*_xlfn.XLOOKUP(tblSales[[#This Row],[Product Code]],tblProducts[Code],tblProducts[Unit Cost],0)</f>
        <v>250000</v>
      </c>
      <c r="O5346" s="4" t="s">
        <v>4865</v>
      </c>
      <c r="P5346" s="4" t="s">
        <v>4860</v>
      </c>
      <c r="Q5346" s="1" t="str">
        <f>_xlfn.XLOOKUP(tblSales[[#This Row],[Channel Code]],tblChannels[Channel Code],tblChannels[Channel Name],"")</f>
        <v>In-store</v>
      </c>
      <c r="R5346" s="1">
        <f>MONTH(tblSales[[#This Row],[Date]])</f>
        <v>11</v>
      </c>
    </row>
    <row r="5347" spans="2:18" x14ac:dyDescent="0.35">
      <c r="B5347" s="113">
        <v>46347</v>
      </c>
      <c r="C5347" s="4" t="s">
        <v>3664</v>
      </c>
      <c r="D5347" s="4" t="s">
        <v>4568</v>
      </c>
      <c r="E5347" s="1" t="str">
        <f>_xlfn.XLOOKUP(tblSales[[#This Row],[Customer ID]],tblCustomers[Customer ID],tblCustomers[Customer Name],"⚠ Unknown")</f>
        <v>Walk-in Customer</v>
      </c>
      <c r="F5347" s="4" t="s">
        <v>10</v>
      </c>
      <c r="G5347" s="1" t="str">
        <f>_xlfn.XLOOKUP(tblSales[[#This Row],[Product Code]],tblProducts[Code],tblProducts[Product / Service Name],"⚠ Unknown")</f>
        <v>Chino Pants</v>
      </c>
      <c r="H5347" s="1" t="str">
        <f>_xlfn.XLOOKUP(tblSales[[#This Row],[Product Code]],tblProducts[Code],tblProducts[Category],"")</f>
        <v>Apparel &amp; Footwear</v>
      </c>
      <c r="I5347" s="4">
        <v>8</v>
      </c>
      <c r="J5347" s="5">
        <f>_xlfn.XLOOKUP(tblSales[[#This Row],[Product Code]],tblProducts[Code],tblProducts[Selling Price (excl. VAT)],0)</f>
        <v>150000</v>
      </c>
      <c r="K5347" s="5">
        <f>tblSales[[#This Row],[Qty]]*tblSales[[#This Row],[Unit Price]]</f>
        <v>1200000</v>
      </c>
      <c r="L5347" s="5">
        <f>ROUND(tblSales[[#This Row],[DPP (excl. VAT)]]*VATEff,0)</f>
        <v>132000</v>
      </c>
      <c r="M5347" s="5">
        <f>tblSales[[#This Row],[DPP (excl. VAT)]]+tblSales[[#This Row],[Output VAT]]</f>
        <v>1332000</v>
      </c>
      <c r="N5347" s="5">
        <f>tblSales[[#This Row],[Qty]]*_xlfn.XLOOKUP(tblSales[[#This Row],[Product Code]],tblProducts[Code],tblProducts[Unit Cost],0)</f>
        <v>704000</v>
      </c>
      <c r="O5347" s="4" t="s">
        <v>4865</v>
      </c>
      <c r="P5347" s="4" t="s">
        <v>4860</v>
      </c>
      <c r="Q5347" s="1" t="str">
        <f>_xlfn.XLOOKUP(tblSales[[#This Row],[Channel Code]],tblChannels[Channel Code],tblChannels[Channel Name],"")</f>
        <v>In-store</v>
      </c>
      <c r="R5347" s="1">
        <f>MONTH(tblSales[[#This Row],[Date]])</f>
        <v>11</v>
      </c>
    </row>
    <row r="5348" spans="2:18" x14ac:dyDescent="0.35">
      <c r="B5348" s="113">
        <v>46347</v>
      </c>
      <c r="C5348" s="4" t="s">
        <v>3665</v>
      </c>
      <c r="D5348" s="4" t="s">
        <v>4606</v>
      </c>
      <c r="E5348" s="1" t="str">
        <f>_xlfn.XLOOKUP(tblSales[[#This Row],[Customer ID]],tblCustomers[Customer ID],tblCustomers[Customer Name],"⚠ Unknown")</f>
        <v>PT Arunika Digital Kreatif</v>
      </c>
      <c r="F5348" s="4" t="s">
        <v>8</v>
      </c>
      <c r="G5348" s="1" t="str">
        <f>_xlfn.XLOOKUP(tblSales[[#This Row],[Product Code]],tblProducts[Code],tblProducts[Product / Service Name],"⚠ Unknown")</f>
        <v>Casual Shorts</v>
      </c>
      <c r="H5348" s="1" t="str">
        <f>_xlfn.XLOOKUP(tblSales[[#This Row],[Product Code]],tblProducts[Code],tblProducts[Category],"")</f>
        <v>Accessories &amp; Basics</v>
      </c>
      <c r="I5348" s="4">
        <v>16</v>
      </c>
      <c r="J5348" s="5">
        <f>_xlfn.XLOOKUP(tblSales[[#This Row],[Product Code]],tblProducts[Code],tblProducts[Selling Price (excl. VAT)],0)</f>
        <v>85000</v>
      </c>
      <c r="K5348" s="5">
        <f>tblSales[[#This Row],[Qty]]*tblSales[[#This Row],[Unit Price]]</f>
        <v>1360000</v>
      </c>
      <c r="L5348" s="5">
        <f>ROUND(tblSales[[#This Row],[DPP (excl. VAT)]]*VATEff,0)</f>
        <v>149600</v>
      </c>
      <c r="M5348" s="5">
        <f>tblSales[[#This Row],[DPP (excl. VAT)]]+tblSales[[#This Row],[Output VAT]]</f>
        <v>1509600</v>
      </c>
      <c r="N5348" s="5">
        <f>tblSales[[#This Row],[Qty]]*_xlfn.XLOOKUP(tblSales[[#This Row],[Product Code]],tblProducts[Code],tblProducts[Unit Cost],0)</f>
        <v>800000</v>
      </c>
      <c r="O5348" s="4" t="s">
        <v>4867</v>
      </c>
      <c r="P5348" s="4" t="s">
        <v>4860</v>
      </c>
      <c r="Q5348" s="1" t="str">
        <f>_xlfn.XLOOKUP(tblSales[[#This Row],[Channel Code]],tblChannels[Channel Code],tblChannels[Channel Name],"")</f>
        <v>In-store</v>
      </c>
      <c r="R5348" s="1">
        <f>MONTH(tblSales[[#This Row],[Date]])</f>
        <v>11</v>
      </c>
    </row>
    <row r="5349" spans="2:18" x14ac:dyDescent="0.35">
      <c r="B5349" s="113">
        <v>46347</v>
      </c>
      <c r="C5349" s="4" t="s">
        <v>3666</v>
      </c>
      <c r="D5349" s="4" t="s">
        <v>4572</v>
      </c>
      <c r="E5349" s="1" t="str">
        <f>_xlfn.XLOOKUP(tblSales[[#This Row],[Customer ID]],tblCustomers[Customer ID],tblCustomers[Customer Name],"⚠ Unknown")</f>
        <v>PT Cahaya Abadi Makmur</v>
      </c>
      <c r="F5349" s="4" t="s">
        <v>11</v>
      </c>
      <c r="G5349" s="1" t="str">
        <f>_xlfn.XLOOKUP(tblSales[[#This Row],[Product Code]],tblProducts[Code],tblProducts[Product / Service Name],"⚠ Unknown")</f>
        <v>Sneakers</v>
      </c>
      <c r="H5349" s="1" t="str">
        <f>_xlfn.XLOOKUP(tblSales[[#This Row],[Product Code]],tblProducts[Code],tblProducts[Category],"")</f>
        <v>Apparel &amp; Footwear</v>
      </c>
      <c r="I5349" s="4">
        <v>48</v>
      </c>
      <c r="J5349" s="5">
        <f>_xlfn.XLOOKUP(tblSales[[#This Row],[Product Code]],tblProducts[Code],tblProducts[Selling Price (excl. VAT)],0)</f>
        <v>250000</v>
      </c>
      <c r="K5349" s="5">
        <f>tblSales[[#This Row],[Qty]]*tblSales[[#This Row],[Unit Price]]</f>
        <v>12000000</v>
      </c>
      <c r="L5349" s="5">
        <f>ROUND(tblSales[[#This Row],[DPP (excl. VAT)]]*VATEff,0)</f>
        <v>1320000</v>
      </c>
      <c r="M5349" s="5">
        <f>tblSales[[#This Row],[DPP (excl. VAT)]]+tblSales[[#This Row],[Output VAT]]</f>
        <v>13320000</v>
      </c>
      <c r="N5349" s="5">
        <f>tblSales[[#This Row],[Qty]]*_xlfn.XLOOKUP(tblSales[[#This Row],[Product Code]],tblProducts[Code],tblProducts[Unit Cost],0)</f>
        <v>7440000</v>
      </c>
      <c r="O5349" s="4" t="s">
        <v>4867</v>
      </c>
      <c r="P5349" s="4" t="s">
        <v>4860</v>
      </c>
      <c r="Q5349" s="1" t="str">
        <f>_xlfn.XLOOKUP(tblSales[[#This Row],[Channel Code]],tblChannels[Channel Code],tblChannels[Channel Name],"")</f>
        <v>In-store</v>
      </c>
      <c r="R5349" s="1">
        <f>MONTH(tblSales[[#This Row],[Date]])</f>
        <v>11</v>
      </c>
    </row>
    <row r="5350" spans="2:18" x14ac:dyDescent="0.35">
      <c r="B5350" s="113">
        <v>46347</v>
      </c>
      <c r="C5350" s="4" t="s">
        <v>3667</v>
      </c>
      <c r="D5350" s="4" t="s">
        <v>4568</v>
      </c>
      <c r="E5350" s="1" t="str">
        <f>_xlfn.XLOOKUP(tblSales[[#This Row],[Customer ID]],tblCustomers[Customer ID],tblCustomers[Customer Name],"⚠ Unknown")</f>
        <v>Walk-in Customer</v>
      </c>
      <c r="F5350" s="4" t="s">
        <v>6</v>
      </c>
      <c r="G5350" s="1" t="str">
        <f>_xlfn.XLOOKUP(tblSales[[#This Row],[Product Code]],tblProducts[Code],tblProducts[Product / Service Name],"⚠ Unknown")</f>
        <v>Socks &amp; Accessories</v>
      </c>
      <c r="H5350" s="1" t="str">
        <f>_xlfn.XLOOKUP(tblSales[[#This Row],[Product Code]],tblProducts[Code],tblProducts[Category],"")</f>
        <v>Accessories &amp; Basics</v>
      </c>
      <c r="I5350" s="4">
        <v>7</v>
      </c>
      <c r="J5350" s="5">
        <f>_xlfn.XLOOKUP(tblSales[[#This Row],[Product Code]],tblProducts[Code],tblProducts[Selling Price (excl. VAT)],0)</f>
        <v>45000</v>
      </c>
      <c r="K5350" s="5">
        <f>tblSales[[#This Row],[Qty]]*tblSales[[#This Row],[Unit Price]]</f>
        <v>315000</v>
      </c>
      <c r="L5350" s="5">
        <f>ROUND(tblSales[[#This Row],[DPP (excl. VAT)]]*VATEff,0)</f>
        <v>34650</v>
      </c>
      <c r="M5350" s="5">
        <f>tblSales[[#This Row],[DPP (excl. VAT)]]+tblSales[[#This Row],[Output VAT]]</f>
        <v>349650</v>
      </c>
      <c r="N5350" s="5">
        <f>tblSales[[#This Row],[Qty]]*_xlfn.XLOOKUP(tblSales[[#This Row],[Product Code]],tblProducts[Code],tblProducts[Unit Cost],0)</f>
        <v>168000</v>
      </c>
      <c r="O5350" s="4" t="s">
        <v>4866</v>
      </c>
      <c r="P5350" s="4" t="s">
        <v>4860</v>
      </c>
      <c r="Q5350" s="1" t="str">
        <f>_xlfn.XLOOKUP(tblSales[[#This Row],[Channel Code]],tblChannels[Channel Code],tblChannels[Channel Name],"")</f>
        <v>In-store</v>
      </c>
      <c r="R5350" s="1">
        <f>MONTH(tblSales[[#This Row],[Date]])</f>
        <v>11</v>
      </c>
    </row>
    <row r="5351" spans="2:18" x14ac:dyDescent="0.35">
      <c r="B5351" s="113">
        <v>46347</v>
      </c>
      <c r="C5351" s="4" t="s">
        <v>3668</v>
      </c>
      <c r="D5351" s="4" t="s">
        <v>4634</v>
      </c>
      <c r="E5351" s="1" t="str">
        <f>_xlfn.XLOOKUP(tblSales[[#This Row],[Customer ID]],tblCustomers[Customer ID],tblCustomers[Customer Name],"⚠ Unknown")</f>
        <v>PT Delta Inti Selaras</v>
      </c>
      <c r="F5351" s="4" t="s">
        <v>10</v>
      </c>
      <c r="G5351" s="1" t="str">
        <f>_xlfn.XLOOKUP(tblSales[[#This Row],[Product Code]],tblProducts[Code],tblProducts[Product / Service Name],"⚠ Unknown")</f>
        <v>Chino Pants</v>
      </c>
      <c r="H5351" s="1" t="str">
        <f>_xlfn.XLOOKUP(tblSales[[#This Row],[Product Code]],tblProducts[Code],tblProducts[Category],"")</f>
        <v>Apparel &amp; Footwear</v>
      </c>
      <c r="I5351" s="4">
        <v>96</v>
      </c>
      <c r="J5351" s="5">
        <f>_xlfn.XLOOKUP(tblSales[[#This Row],[Product Code]],tblProducts[Code],tblProducts[Selling Price (excl. VAT)],0)</f>
        <v>150000</v>
      </c>
      <c r="K5351" s="5">
        <f>tblSales[[#This Row],[Qty]]*tblSales[[#This Row],[Unit Price]]</f>
        <v>14400000</v>
      </c>
      <c r="L5351" s="5">
        <f>ROUND(tblSales[[#This Row],[DPP (excl. VAT)]]*VATEff,0)</f>
        <v>1584000</v>
      </c>
      <c r="M5351" s="5">
        <f>tblSales[[#This Row],[DPP (excl. VAT)]]+tblSales[[#This Row],[Output VAT]]</f>
        <v>15984000</v>
      </c>
      <c r="N5351" s="5">
        <f>tblSales[[#This Row],[Qty]]*_xlfn.XLOOKUP(tblSales[[#This Row],[Product Code]],tblProducts[Code],tblProducts[Unit Cost],0)</f>
        <v>8448000</v>
      </c>
      <c r="O5351" s="4" t="s">
        <v>4867</v>
      </c>
      <c r="P5351" s="4" t="s">
        <v>4860</v>
      </c>
      <c r="Q5351" s="1" t="str">
        <f>_xlfn.XLOOKUP(tblSales[[#This Row],[Channel Code]],tblChannels[Channel Code],tblChannels[Channel Name],"")</f>
        <v>In-store</v>
      </c>
      <c r="R5351" s="1">
        <f>MONTH(tblSales[[#This Row],[Date]])</f>
        <v>11</v>
      </c>
    </row>
    <row r="5352" spans="2:18" x14ac:dyDescent="0.35">
      <c r="B5352" s="113">
        <v>46347</v>
      </c>
      <c r="C5352" s="4" t="s">
        <v>3669</v>
      </c>
      <c r="D5352" s="4" t="s">
        <v>4627</v>
      </c>
      <c r="E5352" s="1" t="str">
        <f>_xlfn.XLOOKUP(tblSales[[#This Row],[Customer ID]],tblCustomers[Customer ID],tblCustomers[Customer Name],"⚠ Unknown")</f>
        <v>PT Kencana Wira Usaha</v>
      </c>
      <c r="F5352" s="4" t="s">
        <v>6</v>
      </c>
      <c r="G5352" s="1" t="str">
        <f>_xlfn.XLOOKUP(tblSales[[#This Row],[Product Code]],tblProducts[Code],tblProducts[Product / Service Name],"⚠ Unknown")</f>
        <v>Socks &amp; Accessories</v>
      </c>
      <c r="H5352" s="1" t="str">
        <f>_xlfn.XLOOKUP(tblSales[[#This Row],[Product Code]],tblProducts[Code],tblProducts[Category],"")</f>
        <v>Accessories &amp; Basics</v>
      </c>
      <c r="I5352" s="4">
        <v>64</v>
      </c>
      <c r="J5352" s="5">
        <f>_xlfn.XLOOKUP(tblSales[[#This Row],[Product Code]],tblProducts[Code],tblProducts[Selling Price (excl. VAT)],0)</f>
        <v>45000</v>
      </c>
      <c r="K5352" s="5">
        <f>tblSales[[#This Row],[Qty]]*tblSales[[#This Row],[Unit Price]]</f>
        <v>2880000</v>
      </c>
      <c r="L5352" s="5">
        <f>ROUND(tblSales[[#This Row],[DPP (excl. VAT)]]*VATEff,0)</f>
        <v>316800</v>
      </c>
      <c r="M5352" s="5">
        <f>tblSales[[#This Row],[DPP (excl. VAT)]]+tblSales[[#This Row],[Output VAT]]</f>
        <v>3196800</v>
      </c>
      <c r="N5352" s="5">
        <f>tblSales[[#This Row],[Qty]]*_xlfn.XLOOKUP(tblSales[[#This Row],[Product Code]],tblProducts[Code],tblProducts[Unit Cost],0)</f>
        <v>1536000</v>
      </c>
      <c r="O5352" s="4" t="s">
        <v>4867</v>
      </c>
      <c r="P5352" s="4" t="s">
        <v>4860</v>
      </c>
      <c r="Q5352" s="1" t="str">
        <f>_xlfn.XLOOKUP(tblSales[[#This Row],[Channel Code]],tblChannels[Channel Code],tblChannels[Channel Name],"")</f>
        <v>In-store</v>
      </c>
      <c r="R5352" s="1">
        <f>MONTH(tblSales[[#This Row],[Date]])</f>
        <v>11</v>
      </c>
    </row>
    <row r="5353" spans="2:18" x14ac:dyDescent="0.35">
      <c r="B5353" s="113">
        <v>46347</v>
      </c>
      <c r="C5353" s="4" t="s">
        <v>3670</v>
      </c>
      <c r="D5353" s="4" t="s">
        <v>4620</v>
      </c>
      <c r="E5353" s="1" t="str">
        <f>_xlfn.XLOOKUP(tblSales[[#This Row],[Customer ID]],tblCustomers[Customer ID],tblCustomers[Customer Name],"⚠ Unknown")</f>
        <v>CV Sumber Rejeki Utama</v>
      </c>
      <c r="F5353" s="4" t="s">
        <v>11</v>
      </c>
      <c r="G5353" s="1" t="str">
        <f>_xlfn.XLOOKUP(tblSales[[#This Row],[Product Code]],tblProducts[Code],tblProducts[Product / Service Name],"⚠ Unknown")</f>
        <v>Sneakers</v>
      </c>
      <c r="H5353" s="1" t="str">
        <f>_xlfn.XLOOKUP(tblSales[[#This Row],[Product Code]],tblProducts[Code],tblProducts[Category],"")</f>
        <v>Apparel &amp; Footwear</v>
      </c>
      <c r="I5353" s="4">
        <v>32</v>
      </c>
      <c r="J5353" s="5">
        <f>_xlfn.XLOOKUP(tblSales[[#This Row],[Product Code]],tblProducts[Code],tblProducts[Selling Price (excl. VAT)],0)</f>
        <v>250000</v>
      </c>
      <c r="K5353" s="5">
        <f>tblSales[[#This Row],[Qty]]*tblSales[[#This Row],[Unit Price]]</f>
        <v>8000000</v>
      </c>
      <c r="L5353" s="5">
        <f>ROUND(tblSales[[#This Row],[DPP (excl. VAT)]]*VATEff,0)</f>
        <v>880000</v>
      </c>
      <c r="M5353" s="5">
        <f>tblSales[[#This Row],[DPP (excl. VAT)]]+tblSales[[#This Row],[Output VAT]]</f>
        <v>8880000</v>
      </c>
      <c r="N5353" s="5">
        <f>tblSales[[#This Row],[Qty]]*_xlfn.XLOOKUP(tblSales[[#This Row],[Product Code]],tblProducts[Code],tblProducts[Unit Cost],0)</f>
        <v>4960000</v>
      </c>
      <c r="O5353" s="4" t="s">
        <v>4867</v>
      </c>
      <c r="P5353" s="4" t="s">
        <v>4860</v>
      </c>
      <c r="Q5353" s="1" t="str">
        <f>_xlfn.XLOOKUP(tblSales[[#This Row],[Channel Code]],tblChannels[Channel Code],tblChannels[Channel Name],"")</f>
        <v>In-store</v>
      </c>
      <c r="R5353" s="1">
        <f>MONTH(tblSales[[#This Row],[Date]])</f>
        <v>11</v>
      </c>
    </row>
    <row r="5354" spans="2:18" x14ac:dyDescent="0.35">
      <c r="B5354" s="113">
        <v>46347</v>
      </c>
      <c r="C5354" s="4" t="s">
        <v>3671</v>
      </c>
      <c r="D5354" s="4" t="s">
        <v>4568</v>
      </c>
      <c r="E5354" s="1" t="str">
        <f>_xlfn.XLOOKUP(tblSales[[#This Row],[Customer ID]],tblCustomers[Customer ID],tblCustomers[Customer Name],"⚠ Unknown")</f>
        <v>Walk-in Customer</v>
      </c>
      <c r="F5354" s="4" t="s">
        <v>7</v>
      </c>
      <c r="G5354" s="1" t="str">
        <f>_xlfn.XLOOKUP(tblSales[[#This Row],[Product Code]],tblProducts[Code],tblProducts[Product / Service Name],"⚠ Unknown")</f>
        <v>Premium Basic T-shirt</v>
      </c>
      <c r="H5354" s="1" t="str">
        <f>_xlfn.XLOOKUP(tblSales[[#This Row],[Product Code]],tblProducts[Code],tblProducts[Category],"")</f>
        <v>Accessories &amp; Basics</v>
      </c>
      <c r="I5354" s="4">
        <v>12</v>
      </c>
      <c r="J5354" s="5">
        <f>_xlfn.XLOOKUP(tblSales[[#This Row],[Product Code]],tblProducts[Code],tblProducts[Selling Price (excl. VAT)],0)</f>
        <v>65000</v>
      </c>
      <c r="K5354" s="5">
        <f>tblSales[[#This Row],[Qty]]*tblSales[[#This Row],[Unit Price]]</f>
        <v>780000</v>
      </c>
      <c r="L5354" s="5">
        <f>ROUND(tblSales[[#This Row],[DPP (excl. VAT)]]*VATEff,0)</f>
        <v>85800</v>
      </c>
      <c r="M5354" s="5">
        <f>tblSales[[#This Row],[DPP (excl. VAT)]]+tblSales[[#This Row],[Output VAT]]</f>
        <v>865800</v>
      </c>
      <c r="N5354" s="5">
        <f>tblSales[[#This Row],[Qty]]*_xlfn.XLOOKUP(tblSales[[#This Row],[Product Code]],tblProducts[Code],tblProducts[Unit Cost],0)</f>
        <v>444000</v>
      </c>
      <c r="O5354" s="4" t="s">
        <v>4866</v>
      </c>
      <c r="P5354" s="4" t="s">
        <v>4861</v>
      </c>
      <c r="Q5354" s="1" t="str">
        <f>_xlfn.XLOOKUP(tblSales[[#This Row],[Channel Code]],tblChannels[Channel Code],tblChannels[Channel Name],"")</f>
        <v>Marketplace</v>
      </c>
      <c r="R5354" s="1">
        <f>MONTH(tblSales[[#This Row],[Date]])</f>
        <v>11</v>
      </c>
    </row>
    <row r="5355" spans="2:18" x14ac:dyDescent="0.35">
      <c r="B5355" s="113">
        <v>46347</v>
      </c>
      <c r="C5355" s="4" t="s">
        <v>3672</v>
      </c>
      <c r="D5355" s="4" t="s">
        <v>4599</v>
      </c>
      <c r="E5355" s="1" t="str">
        <f>_xlfn.XLOOKUP(tblSales[[#This Row],[Customer ID]],tblCustomers[Customer ID],tblCustomers[Customer Name],"⚠ Unknown")</f>
        <v>PT Samudra Jaya Logistik</v>
      </c>
      <c r="F5355" s="4" t="s">
        <v>8</v>
      </c>
      <c r="G5355" s="1" t="str">
        <f>_xlfn.XLOOKUP(tblSales[[#This Row],[Product Code]],tblProducts[Code],tblProducts[Product / Service Name],"⚠ Unknown")</f>
        <v>Casual Shorts</v>
      </c>
      <c r="H5355" s="1" t="str">
        <f>_xlfn.XLOOKUP(tblSales[[#This Row],[Product Code]],tblProducts[Code],tblProducts[Category],"")</f>
        <v>Accessories &amp; Basics</v>
      </c>
      <c r="I5355" s="4">
        <v>48</v>
      </c>
      <c r="J5355" s="5">
        <f>_xlfn.XLOOKUP(tblSales[[#This Row],[Product Code]],tblProducts[Code],tblProducts[Selling Price (excl. VAT)],0)</f>
        <v>85000</v>
      </c>
      <c r="K5355" s="5">
        <f>tblSales[[#This Row],[Qty]]*tblSales[[#This Row],[Unit Price]]</f>
        <v>4080000</v>
      </c>
      <c r="L5355" s="5">
        <f>ROUND(tblSales[[#This Row],[DPP (excl. VAT)]]*VATEff,0)</f>
        <v>448800</v>
      </c>
      <c r="M5355" s="5">
        <f>tblSales[[#This Row],[DPP (excl. VAT)]]+tblSales[[#This Row],[Output VAT]]</f>
        <v>4528800</v>
      </c>
      <c r="N5355" s="5">
        <f>tblSales[[#This Row],[Qty]]*_xlfn.XLOOKUP(tblSales[[#This Row],[Product Code]],tblProducts[Code],tblProducts[Unit Cost],0)</f>
        <v>2400000</v>
      </c>
      <c r="O5355" s="4" t="s">
        <v>4867</v>
      </c>
      <c r="P5355" s="4" t="s">
        <v>4860</v>
      </c>
      <c r="Q5355" s="1" t="str">
        <f>_xlfn.XLOOKUP(tblSales[[#This Row],[Channel Code]],tblChannels[Channel Code],tblChannels[Channel Name],"")</f>
        <v>In-store</v>
      </c>
      <c r="R5355" s="1">
        <f>MONTH(tblSales[[#This Row],[Date]])</f>
        <v>11</v>
      </c>
    </row>
    <row r="5356" spans="2:18" x14ac:dyDescent="0.35">
      <c r="B5356" s="113">
        <v>46347</v>
      </c>
      <c r="C5356" s="4" t="s">
        <v>3673</v>
      </c>
      <c r="D5356" s="4" t="s">
        <v>4568</v>
      </c>
      <c r="E5356" s="1" t="str">
        <f>_xlfn.XLOOKUP(tblSales[[#This Row],[Customer ID]],tblCustomers[Customer ID],tblCustomers[Customer Name],"⚠ Unknown")</f>
        <v>Walk-in Customer</v>
      </c>
      <c r="F5356" s="4" t="s">
        <v>10</v>
      </c>
      <c r="G5356" s="1" t="str">
        <f>_xlfn.XLOOKUP(tblSales[[#This Row],[Product Code]],tblProducts[Code],tblProducts[Product / Service Name],"⚠ Unknown")</f>
        <v>Chino Pants</v>
      </c>
      <c r="H5356" s="1" t="str">
        <f>_xlfn.XLOOKUP(tblSales[[#This Row],[Product Code]],tblProducts[Code],tblProducts[Category],"")</f>
        <v>Apparel &amp; Footwear</v>
      </c>
      <c r="I5356" s="4">
        <v>1</v>
      </c>
      <c r="J5356" s="5">
        <f>_xlfn.XLOOKUP(tblSales[[#This Row],[Product Code]],tblProducts[Code],tblProducts[Selling Price (excl. VAT)],0)</f>
        <v>150000</v>
      </c>
      <c r="K5356" s="5">
        <f>tblSales[[#This Row],[Qty]]*tblSales[[#This Row],[Unit Price]]</f>
        <v>150000</v>
      </c>
      <c r="L5356" s="5">
        <f>ROUND(tblSales[[#This Row],[DPP (excl. VAT)]]*VATEff,0)</f>
        <v>16500</v>
      </c>
      <c r="M5356" s="5">
        <f>tblSales[[#This Row],[DPP (excl. VAT)]]+tblSales[[#This Row],[Output VAT]]</f>
        <v>166500</v>
      </c>
      <c r="N5356" s="5">
        <f>tblSales[[#This Row],[Qty]]*_xlfn.XLOOKUP(tblSales[[#This Row],[Product Code]],tblProducts[Code],tblProducts[Unit Cost],0)</f>
        <v>88000</v>
      </c>
      <c r="O5356" s="4" t="s">
        <v>4866</v>
      </c>
      <c r="P5356" s="4" t="s">
        <v>4860</v>
      </c>
      <c r="Q5356" s="1" t="str">
        <f>_xlfn.XLOOKUP(tblSales[[#This Row],[Channel Code]],tblChannels[Channel Code],tblChannels[Channel Name],"")</f>
        <v>In-store</v>
      </c>
      <c r="R5356" s="1">
        <f>MONTH(tblSales[[#This Row],[Date]])</f>
        <v>11</v>
      </c>
    </row>
    <row r="5357" spans="2:18" x14ac:dyDescent="0.35">
      <c r="B5357" s="113">
        <v>46347</v>
      </c>
      <c r="C5357" s="4" t="s">
        <v>3673</v>
      </c>
      <c r="D5357" s="4" t="s">
        <v>4568</v>
      </c>
      <c r="E5357" s="1" t="str">
        <f>_xlfn.XLOOKUP(tblSales[[#This Row],[Customer ID]],tblCustomers[Customer ID],tblCustomers[Customer Name],"⚠ Unknown")</f>
        <v>Walk-in Customer</v>
      </c>
      <c r="F5357" s="4" t="s">
        <v>9</v>
      </c>
      <c r="G5357" s="1" t="str">
        <f>_xlfn.XLOOKUP(tblSales[[#This Row],[Product Code]],tblProducts[Code],tblProducts[Product / Service Name],"⚠ Unknown")</f>
        <v>Casual Shirt</v>
      </c>
      <c r="H5357" s="1" t="str">
        <f>_xlfn.XLOOKUP(tblSales[[#This Row],[Product Code]],tblProducts[Code],tblProducts[Category],"")</f>
        <v>Apparel &amp; Footwear</v>
      </c>
      <c r="I5357" s="4">
        <v>3</v>
      </c>
      <c r="J5357" s="5">
        <f>_xlfn.XLOOKUP(tblSales[[#This Row],[Product Code]],tblProducts[Code],tblProducts[Selling Price (excl. VAT)],0)</f>
        <v>120000</v>
      </c>
      <c r="K5357" s="5">
        <f>tblSales[[#This Row],[Qty]]*tblSales[[#This Row],[Unit Price]]</f>
        <v>360000</v>
      </c>
      <c r="L5357" s="5">
        <f>ROUND(tblSales[[#This Row],[DPP (excl. VAT)]]*VATEff,0)</f>
        <v>39600</v>
      </c>
      <c r="M5357" s="5">
        <f>tblSales[[#This Row],[DPP (excl. VAT)]]+tblSales[[#This Row],[Output VAT]]</f>
        <v>399600</v>
      </c>
      <c r="N5357" s="5">
        <f>tblSales[[#This Row],[Qty]]*_xlfn.XLOOKUP(tblSales[[#This Row],[Product Code]],tblProducts[Code],tblProducts[Unit Cost],0)</f>
        <v>216000</v>
      </c>
      <c r="O5357" s="4" t="s">
        <v>4866</v>
      </c>
      <c r="P5357" s="4" t="s">
        <v>4860</v>
      </c>
      <c r="Q5357" s="1" t="str">
        <f>_xlfn.XLOOKUP(tblSales[[#This Row],[Channel Code]],tblChannels[Channel Code],tblChannels[Channel Name],"")</f>
        <v>In-store</v>
      </c>
      <c r="R5357" s="1">
        <f>MONTH(tblSales[[#This Row],[Date]])</f>
        <v>11</v>
      </c>
    </row>
    <row r="5358" spans="2:18" x14ac:dyDescent="0.35">
      <c r="B5358" s="113">
        <v>46347</v>
      </c>
      <c r="C5358" s="4" t="s">
        <v>3673</v>
      </c>
      <c r="D5358" s="4" t="s">
        <v>4568</v>
      </c>
      <c r="E5358" s="1" t="str">
        <f>_xlfn.XLOOKUP(tblSales[[#This Row],[Customer ID]],tblCustomers[Customer ID],tblCustomers[Customer Name],"⚠ Unknown")</f>
        <v>Walk-in Customer</v>
      </c>
      <c r="F5358" s="4" t="s">
        <v>7</v>
      </c>
      <c r="G5358" s="1" t="str">
        <f>_xlfn.XLOOKUP(tblSales[[#This Row],[Product Code]],tblProducts[Code],tblProducts[Product / Service Name],"⚠ Unknown")</f>
        <v>Premium Basic T-shirt</v>
      </c>
      <c r="H5358" s="1" t="str">
        <f>_xlfn.XLOOKUP(tblSales[[#This Row],[Product Code]],tblProducts[Code],tblProducts[Category],"")</f>
        <v>Accessories &amp; Basics</v>
      </c>
      <c r="I5358" s="4">
        <v>5</v>
      </c>
      <c r="J5358" s="5">
        <f>_xlfn.XLOOKUP(tblSales[[#This Row],[Product Code]],tblProducts[Code],tblProducts[Selling Price (excl. VAT)],0)</f>
        <v>65000</v>
      </c>
      <c r="K5358" s="5">
        <f>tblSales[[#This Row],[Qty]]*tblSales[[#This Row],[Unit Price]]</f>
        <v>325000</v>
      </c>
      <c r="L5358" s="5">
        <f>ROUND(tblSales[[#This Row],[DPP (excl. VAT)]]*VATEff,0)</f>
        <v>35750</v>
      </c>
      <c r="M5358" s="5">
        <f>tblSales[[#This Row],[DPP (excl. VAT)]]+tblSales[[#This Row],[Output VAT]]</f>
        <v>360750</v>
      </c>
      <c r="N5358" s="5">
        <f>tblSales[[#This Row],[Qty]]*_xlfn.XLOOKUP(tblSales[[#This Row],[Product Code]],tblProducts[Code],tblProducts[Unit Cost],0)</f>
        <v>185000</v>
      </c>
      <c r="O5358" s="4" t="s">
        <v>4866</v>
      </c>
      <c r="P5358" s="4" t="s">
        <v>4860</v>
      </c>
      <c r="Q5358" s="1" t="str">
        <f>_xlfn.XLOOKUP(tblSales[[#This Row],[Channel Code]],tblChannels[Channel Code],tblChannels[Channel Name],"")</f>
        <v>In-store</v>
      </c>
      <c r="R5358" s="1">
        <f>MONTH(tblSales[[#This Row],[Date]])</f>
        <v>11</v>
      </c>
    </row>
    <row r="5359" spans="2:18" x14ac:dyDescent="0.35">
      <c r="B5359" s="113">
        <v>46347</v>
      </c>
      <c r="C5359" s="4" t="s">
        <v>3674</v>
      </c>
      <c r="D5359" s="4" t="s">
        <v>4568</v>
      </c>
      <c r="E5359" s="1" t="str">
        <f>_xlfn.XLOOKUP(tblSales[[#This Row],[Customer ID]],tblCustomers[Customer ID],tblCustomers[Customer Name],"⚠ Unknown")</f>
        <v>Walk-in Customer</v>
      </c>
      <c r="F5359" s="4" t="s">
        <v>8</v>
      </c>
      <c r="G5359" s="1" t="str">
        <f>_xlfn.XLOOKUP(tblSales[[#This Row],[Product Code]],tblProducts[Code],tblProducts[Product / Service Name],"⚠ Unknown")</f>
        <v>Casual Shorts</v>
      </c>
      <c r="H5359" s="1" t="str">
        <f>_xlfn.XLOOKUP(tblSales[[#This Row],[Product Code]],tblProducts[Code],tblProducts[Category],"")</f>
        <v>Accessories &amp; Basics</v>
      </c>
      <c r="I5359" s="4">
        <v>7</v>
      </c>
      <c r="J5359" s="5">
        <f>_xlfn.XLOOKUP(tblSales[[#This Row],[Product Code]],tblProducts[Code],tblProducts[Selling Price (excl. VAT)],0)</f>
        <v>85000</v>
      </c>
      <c r="K5359" s="5">
        <f>tblSales[[#This Row],[Qty]]*tblSales[[#This Row],[Unit Price]]</f>
        <v>595000</v>
      </c>
      <c r="L5359" s="5">
        <f>ROUND(tblSales[[#This Row],[DPP (excl. VAT)]]*VATEff,0)</f>
        <v>65450</v>
      </c>
      <c r="M5359" s="5">
        <f>tblSales[[#This Row],[DPP (excl. VAT)]]+tblSales[[#This Row],[Output VAT]]</f>
        <v>660450</v>
      </c>
      <c r="N5359" s="5">
        <f>tblSales[[#This Row],[Qty]]*_xlfn.XLOOKUP(tblSales[[#This Row],[Product Code]],tblProducts[Code],tblProducts[Unit Cost],0)</f>
        <v>350000</v>
      </c>
      <c r="O5359" s="4" t="s">
        <v>4866</v>
      </c>
      <c r="P5359" s="4" t="s">
        <v>4860</v>
      </c>
      <c r="Q5359" s="1" t="str">
        <f>_xlfn.XLOOKUP(tblSales[[#This Row],[Channel Code]],tblChannels[Channel Code],tblChannels[Channel Name],"")</f>
        <v>In-store</v>
      </c>
      <c r="R5359" s="1">
        <f>MONTH(tblSales[[#This Row],[Date]])</f>
        <v>11</v>
      </c>
    </row>
    <row r="5360" spans="2:18" x14ac:dyDescent="0.35">
      <c r="B5360" s="113">
        <v>46347</v>
      </c>
      <c r="C5360" s="4" t="s">
        <v>3674</v>
      </c>
      <c r="D5360" s="4" t="s">
        <v>4568</v>
      </c>
      <c r="E5360" s="1" t="str">
        <f>_xlfn.XLOOKUP(tblSales[[#This Row],[Customer ID]],tblCustomers[Customer ID],tblCustomers[Customer Name],"⚠ Unknown")</f>
        <v>Walk-in Customer</v>
      </c>
      <c r="F5360" s="4" t="s">
        <v>13</v>
      </c>
      <c r="G5360" s="1" t="str">
        <f>_xlfn.XLOOKUP(tblSales[[#This Row],[Product Code]],tblProducts[Code],tblProducts[Product / Service Name],"⚠ Unknown")</f>
        <v>Backpack</v>
      </c>
      <c r="H5360" s="1" t="str">
        <f>_xlfn.XLOOKUP(tblSales[[#This Row],[Product Code]],tblProducts[Code],tblProducts[Category],"")</f>
        <v>Bags &amp; Gadgets</v>
      </c>
      <c r="I5360" s="4">
        <v>4</v>
      </c>
      <c r="J5360" s="5">
        <f>_xlfn.XLOOKUP(tblSales[[#This Row],[Product Code]],tblProducts[Code],tblProducts[Selling Price (excl. VAT)],0)</f>
        <v>500000</v>
      </c>
      <c r="K5360" s="5">
        <f>tblSales[[#This Row],[Qty]]*tblSales[[#This Row],[Unit Price]]</f>
        <v>2000000</v>
      </c>
      <c r="L5360" s="5">
        <f>ROUND(tblSales[[#This Row],[DPP (excl. VAT)]]*VATEff,0)</f>
        <v>220000</v>
      </c>
      <c r="M5360" s="5">
        <f>tblSales[[#This Row],[DPP (excl. VAT)]]+tblSales[[#This Row],[Output VAT]]</f>
        <v>2220000</v>
      </c>
      <c r="N5360" s="5">
        <f>tblSales[[#This Row],[Qty]]*_xlfn.XLOOKUP(tblSales[[#This Row],[Product Code]],tblProducts[Code],tblProducts[Unit Cost],0)</f>
        <v>1160000</v>
      </c>
      <c r="O5360" s="4" t="s">
        <v>4866</v>
      </c>
      <c r="P5360" s="4" t="s">
        <v>4860</v>
      </c>
      <c r="Q5360" s="1" t="str">
        <f>_xlfn.XLOOKUP(tblSales[[#This Row],[Channel Code]],tblChannels[Channel Code],tblChannels[Channel Name],"")</f>
        <v>In-store</v>
      </c>
      <c r="R5360" s="1">
        <f>MONTH(tblSales[[#This Row],[Date]])</f>
        <v>11</v>
      </c>
    </row>
    <row r="5361" spans="2:18" x14ac:dyDescent="0.35">
      <c r="B5361" s="113">
        <v>46347</v>
      </c>
      <c r="C5361" s="4" t="s">
        <v>3674</v>
      </c>
      <c r="D5361" s="4" t="s">
        <v>4568</v>
      </c>
      <c r="E5361" s="1" t="str">
        <f>_xlfn.XLOOKUP(tblSales[[#This Row],[Customer ID]],tblCustomers[Customer ID],tblCustomers[Customer Name],"⚠ Unknown")</f>
        <v>Walk-in Customer</v>
      </c>
      <c r="F5361" s="4" t="s">
        <v>7</v>
      </c>
      <c r="G5361" s="1" t="str">
        <f>_xlfn.XLOOKUP(tblSales[[#This Row],[Product Code]],tblProducts[Code],tblProducts[Product / Service Name],"⚠ Unknown")</f>
        <v>Premium Basic T-shirt</v>
      </c>
      <c r="H5361" s="1" t="str">
        <f>_xlfn.XLOOKUP(tblSales[[#This Row],[Product Code]],tblProducts[Code],tblProducts[Category],"")</f>
        <v>Accessories &amp; Basics</v>
      </c>
      <c r="I5361" s="4">
        <v>6</v>
      </c>
      <c r="J5361" s="5">
        <f>_xlfn.XLOOKUP(tblSales[[#This Row],[Product Code]],tblProducts[Code],tblProducts[Selling Price (excl. VAT)],0)</f>
        <v>65000</v>
      </c>
      <c r="K5361" s="5">
        <f>tblSales[[#This Row],[Qty]]*tblSales[[#This Row],[Unit Price]]</f>
        <v>390000</v>
      </c>
      <c r="L5361" s="5">
        <f>ROUND(tblSales[[#This Row],[DPP (excl. VAT)]]*VATEff,0)</f>
        <v>42900</v>
      </c>
      <c r="M5361" s="5">
        <f>tblSales[[#This Row],[DPP (excl. VAT)]]+tblSales[[#This Row],[Output VAT]]</f>
        <v>432900</v>
      </c>
      <c r="N5361" s="5">
        <f>tblSales[[#This Row],[Qty]]*_xlfn.XLOOKUP(tblSales[[#This Row],[Product Code]],tblProducts[Code],tblProducts[Unit Cost],0)</f>
        <v>222000</v>
      </c>
      <c r="O5361" s="4" t="s">
        <v>4866</v>
      </c>
      <c r="P5361" s="4" t="s">
        <v>4860</v>
      </c>
      <c r="Q5361" s="1" t="str">
        <f>_xlfn.XLOOKUP(tblSales[[#This Row],[Channel Code]],tblChannels[Channel Code],tblChannels[Channel Name],"")</f>
        <v>In-store</v>
      </c>
      <c r="R5361" s="1">
        <f>MONTH(tblSales[[#This Row],[Date]])</f>
        <v>11</v>
      </c>
    </row>
    <row r="5362" spans="2:18" x14ac:dyDescent="0.35">
      <c r="B5362" s="113">
        <v>46347</v>
      </c>
      <c r="C5362" s="4" t="s">
        <v>3675</v>
      </c>
      <c r="D5362" s="4" t="s">
        <v>4568</v>
      </c>
      <c r="E5362" s="1" t="str">
        <f>_xlfn.XLOOKUP(tblSales[[#This Row],[Customer ID]],tblCustomers[Customer ID],tblCustomers[Customer Name],"⚠ Unknown")</f>
        <v>Walk-in Customer</v>
      </c>
      <c r="F5362" s="4" t="s">
        <v>10</v>
      </c>
      <c r="G5362" s="1" t="str">
        <f>_xlfn.XLOOKUP(tblSales[[#This Row],[Product Code]],tblProducts[Code],tblProducts[Product / Service Name],"⚠ Unknown")</f>
        <v>Chino Pants</v>
      </c>
      <c r="H5362" s="1" t="str">
        <f>_xlfn.XLOOKUP(tblSales[[#This Row],[Product Code]],tblProducts[Code],tblProducts[Category],"")</f>
        <v>Apparel &amp; Footwear</v>
      </c>
      <c r="I5362" s="4">
        <v>5</v>
      </c>
      <c r="J5362" s="5">
        <f>_xlfn.XLOOKUP(tblSales[[#This Row],[Product Code]],tblProducts[Code],tblProducts[Selling Price (excl. VAT)],0)</f>
        <v>150000</v>
      </c>
      <c r="K5362" s="5">
        <f>tblSales[[#This Row],[Qty]]*tblSales[[#This Row],[Unit Price]]</f>
        <v>750000</v>
      </c>
      <c r="L5362" s="5">
        <f>ROUND(tblSales[[#This Row],[DPP (excl. VAT)]]*VATEff,0)</f>
        <v>82500</v>
      </c>
      <c r="M5362" s="5">
        <f>tblSales[[#This Row],[DPP (excl. VAT)]]+tblSales[[#This Row],[Output VAT]]</f>
        <v>832500</v>
      </c>
      <c r="N5362" s="5">
        <f>tblSales[[#This Row],[Qty]]*_xlfn.XLOOKUP(tblSales[[#This Row],[Product Code]],tblProducts[Code],tblProducts[Unit Cost],0)</f>
        <v>440000</v>
      </c>
      <c r="O5362" s="4" t="s">
        <v>4865</v>
      </c>
      <c r="P5362" s="4" t="s">
        <v>4860</v>
      </c>
      <c r="Q5362" s="1" t="str">
        <f>_xlfn.XLOOKUP(tblSales[[#This Row],[Channel Code]],tblChannels[Channel Code],tblChannels[Channel Name],"")</f>
        <v>In-store</v>
      </c>
      <c r="R5362" s="1">
        <f>MONTH(tblSales[[#This Row],[Date]])</f>
        <v>11</v>
      </c>
    </row>
    <row r="5363" spans="2:18" x14ac:dyDescent="0.35">
      <c r="B5363" s="113">
        <v>46348</v>
      </c>
      <c r="C5363" s="4" t="s">
        <v>3676</v>
      </c>
      <c r="D5363" s="4" t="s">
        <v>4593</v>
      </c>
      <c r="E5363" s="1" t="str">
        <f>_xlfn.XLOOKUP(tblSales[[#This Row],[Customer ID]],tblCustomers[Customer ID],tblCustomers[Customer Name],"⚠ Unknown")</f>
        <v>PT Graha Nusa Persada</v>
      </c>
      <c r="F5363" s="4" t="s">
        <v>9</v>
      </c>
      <c r="G5363" s="1" t="str">
        <f>_xlfn.XLOOKUP(tblSales[[#This Row],[Product Code]],tblProducts[Code],tblProducts[Product / Service Name],"⚠ Unknown")</f>
        <v>Casual Shirt</v>
      </c>
      <c r="H5363" s="1" t="str">
        <f>_xlfn.XLOOKUP(tblSales[[#This Row],[Product Code]],tblProducts[Code],tblProducts[Category],"")</f>
        <v>Apparel &amp; Footwear</v>
      </c>
      <c r="I5363" s="4">
        <v>88</v>
      </c>
      <c r="J5363" s="5">
        <f>_xlfn.XLOOKUP(tblSales[[#This Row],[Product Code]],tblProducts[Code],tblProducts[Selling Price (excl. VAT)],0)</f>
        <v>120000</v>
      </c>
      <c r="K5363" s="5">
        <f>tblSales[[#This Row],[Qty]]*tblSales[[#This Row],[Unit Price]]</f>
        <v>10560000</v>
      </c>
      <c r="L5363" s="5">
        <f>ROUND(tblSales[[#This Row],[DPP (excl. VAT)]]*VATEff,0)</f>
        <v>1161600</v>
      </c>
      <c r="M5363" s="5">
        <f>tblSales[[#This Row],[DPP (excl. VAT)]]+tblSales[[#This Row],[Output VAT]]</f>
        <v>11721600</v>
      </c>
      <c r="N5363" s="5">
        <f>tblSales[[#This Row],[Qty]]*_xlfn.XLOOKUP(tblSales[[#This Row],[Product Code]],tblProducts[Code],tblProducts[Unit Cost],0)</f>
        <v>6336000</v>
      </c>
      <c r="O5363" s="4" t="s">
        <v>4867</v>
      </c>
      <c r="P5363" s="4" t="s">
        <v>4860</v>
      </c>
      <c r="Q5363" s="1" t="str">
        <f>_xlfn.XLOOKUP(tblSales[[#This Row],[Channel Code]],tblChannels[Channel Code],tblChannels[Channel Name],"")</f>
        <v>In-store</v>
      </c>
      <c r="R5363" s="1">
        <f>MONTH(tblSales[[#This Row],[Date]])</f>
        <v>11</v>
      </c>
    </row>
    <row r="5364" spans="2:18" x14ac:dyDescent="0.35">
      <c r="B5364" s="113">
        <v>46348</v>
      </c>
      <c r="C5364" s="4" t="s">
        <v>3677</v>
      </c>
      <c r="D5364" s="4" t="s">
        <v>4568</v>
      </c>
      <c r="E5364" s="1" t="str">
        <f>_xlfn.XLOOKUP(tblSales[[#This Row],[Customer ID]],tblCustomers[Customer ID],tblCustomers[Customer Name],"⚠ Unknown")</f>
        <v>Walk-in Customer</v>
      </c>
      <c r="F5364" s="4" t="s">
        <v>13</v>
      </c>
      <c r="G5364" s="1" t="str">
        <f>_xlfn.XLOOKUP(tblSales[[#This Row],[Product Code]],tblProducts[Code],tblProducts[Product / Service Name],"⚠ Unknown")</f>
        <v>Backpack</v>
      </c>
      <c r="H5364" s="1" t="str">
        <f>_xlfn.XLOOKUP(tblSales[[#This Row],[Product Code]],tblProducts[Code],tblProducts[Category],"")</f>
        <v>Bags &amp; Gadgets</v>
      </c>
      <c r="I5364" s="4">
        <v>3</v>
      </c>
      <c r="J5364" s="5">
        <f>_xlfn.XLOOKUP(tblSales[[#This Row],[Product Code]],tblProducts[Code],tblProducts[Selling Price (excl. VAT)],0)</f>
        <v>500000</v>
      </c>
      <c r="K5364" s="5">
        <f>tblSales[[#This Row],[Qty]]*tblSales[[#This Row],[Unit Price]]</f>
        <v>1500000</v>
      </c>
      <c r="L5364" s="5">
        <f>ROUND(tblSales[[#This Row],[DPP (excl. VAT)]]*VATEff,0)</f>
        <v>165000</v>
      </c>
      <c r="M5364" s="5">
        <f>tblSales[[#This Row],[DPP (excl. VAT)]]+tblSales[[#This Row],[Output VAT]]</f>
        <v>1665000</v>
      </c>
      <c r="N5364" s="5">
        <f>tblSales[[#This Row],[Qty]]*_xlfn.XLOOKUP(tblSales[[#This Row],[Product Code]],tblProducts[Code],tblProducts[Unit Cost],0)</f>
        <v>870000</v>
      </c>
      <c r="O5364" s="4" t="s">
        <v>4865</v>
      </c>
      <c r="P5364" s="4" t="s">
        <v>4860</v>
      </c>
      <c r="Q5364" s="1" t="str">
        <f>_xlfn.XLOOKUP(tblSales[[#This Row],[Channel Code]],tblChannels[Channel Code],tblChannels[Channel Name],"")</f>
        <v>In-store</v>
      </c>
      <c r="R5364" s="1">
        <f>MONTH(tblSales[[#This Row],[Date]])</f>
        <v>11</v>
      </c>
    </row>
    <row r="5365" spans="2:18" x14ac:dyDescent="0.35">
      <c r="B5365" s="113">
        <v>46348</v>
      </c>
      <c r="C5365" s="4" t="s">
        <v>3678</v>
      </c>
      <c r="D5365" s="4" t="s">
        <v>4606</v>
      </c>
      <c r="E5365" s="1" t="str">
        <f>_xlfn.XLOOKUP(tblSales[[#This Row],[Customer ID]],tblCustomers[Customer ID],tblCustomers[Customer Name],"⚠ Unknown")</f>
        <v>PT Arunika Digital Kreatif</v>
      </c>
      <c r="F5365" s="4" t="s">
        <v>7</v>
      </c>
      <c r="G5365" s="1" t="str">
        <f>_xlfn.XLOOKUP(tblSales[[#This Row],[Product Code]],tblProducts[Code],tblProducts[Product / Service Name],"⚠ Unknown")</f>
        <v>Premium Basic T-shirt</v>
      </c>
      <c r="H5365" s="1" t="str">
        <f>_xlfn.XLOOKUP(tblSales[[#This Row],[Product Code]],tblProducts[Code],tblProducts[Category],"")</f>
        <v>Accessories &amp; Basics</v>
      </c>
      <c r="I5365" s="4">
        <v>96</v>
      </c>
      <c r="J5365" s="5">
        <f>_xlfn.XLOOKUP(tblSales[[#This Row],[Product Code]],tblProducts[Code],tblProducts[Selling Price (excl. VAT)],0)</f>
        <v>65000</v>
      </c>
      <c r="K5365" s="5">
        <f>tblSales[[#This Row],[Qty]]*tblSales[[#This Row],[Unit Price]]</f>
        <v>6240000</v>
      </c>
      <c r="L5365" s="5">
        <f>ROUND(tblSales[[#This Row],[DPP (excl. VAT)]]*VATEff,0)</f>
        <v>686400</v>
      </c>
      <c r="M5365" s="5">
        <f>tblSales[[#This Row],[DPP (excl. VAT)]]+tblSales[[#This Row],[Output VAT]]</f>
        <v>6926400</v>
      </c>
      <c r="N5365" s="5">
        <f>tblSales[[#This Row],[Qty]]*_xlfn.XLOOKUP(tblSales[[#This Row],[Product Code]],tblProducts[Code],tblProducts[Unit Cost],0)</f>
        <v>3552000</v>
      </c>
      <c r="O5365" s="4" t="s">
        <v>4867</v>
      </c>
      <c r="P5365" s="4" t="s">
        <v>4860</v>
      </c>
      <c r="Q5365" s="1" t="str">
        <f>_xlfn.XLOOKUP(tblSales[[#This Row],[Channel Code]],tblChannels[Channel Code],tblChannels[Channel Name],"")</f>
        <v>In-store</v>
      </c>
      <c r="R5365" s="1">
        <f>MONTH(tblSales[[#This Row],[Date]])</f>
        <v>11</v>
      </c>
    </row>
    <row r="5366" spans="2:18" x14ac:dyDescent="0.35">
      <c r="B5366" s="113">
        <v>46348</v>
      </c>
      <c r="C5366" s="4" t="s">
        <v>3678</v>
      </c>
      <c r="D5366" s="4" t="s">
        <v>4606</v>
      </c>
      <c r="E5366" s="1" t="str">
        <f>_xlfn.XLOOKUP(tblSales[[#This Row],[Customer ID]],tblCustomers[Customer ID],tblCustomers[Customer Name],"⚠ Unknown")</f>
        <v>PT Arunika Digital Kreatif</v>
      </c>
      <c r="F5366" s="4" t="s">
        <v>9</v>
      </c>
      <c r="G5366" s="1" t="str">
        <f>_xlfn.XLOOKUP(tblSales[[#This Row],[Product Code]],tblProducts[Code],tblProducts[Product / Service Name],"⚠ Unknown")</f>
        <v>Casual Shirt</v>
      </c>
      <c r="H5366" s="1" t="str">
        <f>_xlfn.XLOOKUP(tblSales[[#This Row],[Product Code]],tblProducts[Code],tblProducts[Category],"")</f>
        <v>Apparel &amp; Footwear</v>
      </c>
      <c r="I5366" s="4">
        <v>8</v>
      </c>
      <c r="J5366" s="5">
        <f>_xlfn.XLOOKUP(tblSales[[#This Row],[Product Code]],tblProducts[Code],tblProducts[Selling Price (excl. VAT)],0)</f>
        <v>120000</v>
      </c>
      <c r="K5366" s="5">
        <f>tblSales[[#This Row],[Qty]]*tblSales[[#This Row],[Unit Price]]</f>
        <v>960000</v>
      </c>
      <c r="L5366" s="5">
        <f>ROUND(tblSales[[#This Row],[DPP (excl. VAT)]]*VATEff,0)</f>
        <v>105600</v>
      </c>
      <c r="M5366" s="5">
        <f>tblSales[[#This Row],[DPP (excl. VAT)]]+tblSales[[#This Row],[Output VAT]]</f>
        <v>1065600</v>
      </c>
      <c r="N5366" s="5">
        <f>tblSales[[#This Row],[Qty]]*_xlfn.XLOOKUP(tblSales[[#This Row],[Product Code]],tblProducts[Code],tblProducts[Unit Cost],0)</f>
        <v>576000</v>
      </c>
      <c r="O5366" s="4" t="s">
        <v>4867</v>
      </c>
      <c r="P5366" s="4" t="s">
        <v>4860</v>
      </c>
      <c r="Q5366" s="1" t="str">
        <f>_xlfn.XLOOKUP(tblSales[[#This Row],[Channel Code]],tblChannels[Channel Code],tblChannels[Channel Name],"")</f>
        <v>In-store</v>
      </c>
      <c r="R5366" s="1">
        <f>MONTH(tblSales[[#This Row],[Date]])</f>
        <v>11</v>
      </c>
    </row>
    <row r="5367" spans="2:18" x14ac:dyDescent="0.35">
      <c r="B5367" s="113">
        <v>46348</v>
      </c>
      <c r="C5367" s="4" t="s">
        <v>3679</v>
      </c>
      <c r="D5367" s="4" t="s">
        <v>4568</v>
      </c>
      <c r="E5367" s="1" t="str">
        <f>_xlfn.XLOOKUP(tblSales[[#This Row],[Customer ID]],tblCustomers[Customer ID],tblCustomers[Customer Name],"⚠ Unknown")</f>
        <v>Walk-in Customer</v>
      </c>
      <c r="F5367" s="4" t="s">
        <v>7</v>
      </c>
      <c r="G5367" s="1" t="str">
        <f>_xlfn.XLOOKUP(tblSales[[#This Row],[Product Code]],tblProducts[Code],tblProducts[Product / Service Name],"⚠ Unknown")</f>
        <v>Premium Basic T-shirt</v>
      </c>
      <c r="H5367" s="1" t="str">
        <f>_xlfn.XLOOKUP(tblSales[[#This Row],[Product Code]],tblProducts[Code],tblProducts[Category],"")</f>
        <v>Accessories &amp; Basics</v>
      </c>
      <c r="I5367" s="4">
        <v>9</v>
      </c>
      <c r="J5367" s="5">
        <f>_xlfn.XLOOKUP(tblSales[[#This Row],[Product Code]],tblProducts[Code],tblProducts[Selling Price (excl. VAT)],0)</f>
        <v>65000</v>
      </c>
      <c r="K5367" s="5">
        <f>tblSales[[#This Row],[Qty]]*tblSales[[#This Row],[Unit Price]]</f>
        <v>585000</v>
      </c>
      <c r="L5367" s="5">
        <f>ROUND(tblSales[[#This Row],[DPP (excl. VAT)]]*VATEff,0)</f>
        <v>64350</v>
      </c>
      <c r="M5367" s="5">
        <f>tblSales[[#This Row],[DPP (excl. VAT)]]+tblSales[[#This Row],[Output VAT]]</f>
        <v>649350</v>
      </c>
      <c r="N5367" s="5">
        <f>tblSales[[#This Row],[Qty]]*_xlfn.XLOOKUP(tblSales[[#This Row],[Product Code]],tblProducts[Code],tblProducts[Unit Cost],0)</f>
        <v>333000</v>
      </c>
      <c r="O5367" s="4" t="s">
        <v>4866</v>
      </c>
      <c r="P5367" s="4" t="s">
        <v>4860</v>
      </c>
      <c r="Q5367" s="1" t="str">
        <f>_xlfn.XLOOKUP(tblSales[[#This Row],[Channel Code]],tblChannels[Channel Code],tblChannels[Channel Name],"")</f>
        <v>In-store</v>
      </c>
      <c r="R5367" s="1">
        <f>MONTH(tblSales[[#This Row],[Date]])</f>
        <v>11</v>
      </c>
    </row>
    <row r="5368" spans="2:18" x14ac:dyDescent="0.35">
      <c r="B5368" s="113">
        <v>46348</v>
      </c>
      <c r="C5368" s="4" t="s">
        <v>3679</v>
      </c>
      <c r="D5368" s="4" t="s">
        <v>4568</v>
      </c>
      <c r="E5368" s="1" t="str">
        <f>_xlfn.XLOOKUP(tblSales[[#This Row],[Customer ID]],tblCustomers[Customer ID],tblCustomers[Customer Name],"⚠ Unknown")</f>
        <v>Walk-in Customer</v>
      </c>
      <c r="F5368" s="4" t="s">
        <v>6</v>
      </c>
      <c r="G5368" s="1" t="str">
        <f>_xlfn.XLOOKUP(tblSales[[#This Row],[Product Code]],tblProducts[Code],tblProducts[Product / Service Name],"⚠ Unknown")</f>
        <v>Socks &amp; Accessories</v>
      </c>
      <c r="H5368" s="1" t="str">
        <f>_xlfn.XLOOKUP(tblSales[[#This Row],[Product Code]],tblProducts[Code],tblProducts[Category],"")</f>
        <v>Accessories &amp; Basics</v>
      </c>
      <c r="I5368" s="4">
        <v>5</v>
      </c>
      <c r="J5368" s="5">
        <f>_xlfn.XLOOKUP(tblSales[[#This Row],[Product Code]],tblProducts[Code],tblProducts[Selling Price (excl. VAT)],0)</f>
        <v>45000</v>
      </c>
      <c r="K5368" s="5">
        <f>tblSales[[#This Row],[Qty]]*tblSales[[#This Row],[Unit Price]]</f>
        <v>225000</v>
      </c>
      <c r="L5368" s="5">
        <f>ROUND(tblSales[[#This Row],[DPP (excl. VAT)]]*VATEff,0)</f>
        <v>24750</v>
      </c>
      <c r="M5368" s="5">
        <f>tblSales[[#This Row],[DPP (excl. VAT)]]+tblSales[[#This Row],[Output VAT]]</f>
        <v>249750</v>
      </c>
      <c r="N5368" s="5">
        <f>tblSales[[#This Row],[Qty]]*_xlfn.XLOOKUP(tblSales[[#This Row],[Product Code]],tblProducts[Code],tblProducts[Unit Cost],0)</f>
        <v>120000</v>
      </c>
      <c r="O5368" s="4" t="s">
        <v>4866</v>
      </c>
      <c r="P5368" s="4" t="s">
        <v>4860</v>
      </c>
      <c r="Q5368" s="1" t="str">
        <f>_xlfn.XLOOKUP(tblSales[[#This Row],[Channel Code]],tblChannels[Channel Code],tblChannels[Channel Name],"")</f>
        <v>In-store</v>
      </c>
      <c r="R5368" s="1">
        <f>MONTH(tblSales[[#This Row],[Date]])</f>
        <v>11</v>
      </c>
    </row>
    <row r="5369" spans="2:18" x14ac:dyDescent="0.35">
      <c r="B5369" s="113">
        <v>46348</v>
      </c>
      <c r="C5369" s="4" t="s">
        <v>3679</v>
      </c>
      <c r="D5369" s="4" t="s">
        <v>4568</v>
      </c>
      <c r="E5369" s="1" t="str">
        <f>_xlfn.XLOOKUP(tblSales[[#This Row],[Customer ID]],tblCustomers[Customer ID],tblCustomers[Customer Name],"⚠ Unknown")</f>
        <v>Walk-in Customer</v>
      </c>
      <c r="F5369" s="4" t="s">
        <v>10</v>
      </c>
      <c r="G5369" s="1" t="str">
        <f>_xlfn.XLOOKUP(tblSales[[#This Row],[Product Code]],tblProducts[Code],tblProducts[Product / Service Name],"⚠ Unknown")</f>
        <v>Chino Pants</v>
      </c>
      <c r="H5369" s="1" t="str">
        <f>_xlfn.XLOOKUP(tblSales[[#This Row],[Product Code]],tblProducts[Code],tblProducts[Category],"")</f>
        <v>Apparel &amp; Footwear</v>
      </c>
      <c r="I5369" s="4">
        <v>2</v>
      </c>
      <c r="J5369" s="5">
        <f>_xlfn.XLOOKUP(tblSales[[#This Row],[Product Code]],tblProducts[Code],tblProducts[Selling Price (excl. VAT)],0)</f>
        <v>150000</v>
      </c>
      <c r="K5369" s="5">
        <f>tblSales[[#This Row],[Qty]]*tblSales[[#This Row],[Unit Price]]</f>
        <v>300000</v>
      </c>
      <c r="L5369" s="5">
        <f>ROUND(tblSales[[#This Row],[DPP (excl. VAT)]]*VATEff,0)</f>
        <v>33000</v>
      </c>
      <c r="M5369" s="5">
        <f>tblSales[[#This Row],[DPP (excl. VAT)]]+tblSales[[#This Row],[Output VAT]]</f>
        <v>333000</v>
      </c>
      <c r="N5369" s="5">
        <f>tblSales[[#This Row],[Qty]]*_xlfn.XLOOKUP(tblSales[[#This Row],[Product Code]],tblProducts[Code],tblProducts[Unit Cost],0)</f>
        <v>176000</v>
      </c>
      <c r="O5369" s="4" t="s">
        <v>4866</v>
      </c>
      <c r="P5369" s="4" t="s">
        <v>4860</v>
      </c>
      <c r="Q5369" s="1" t="str">
        <f>_xlfn.XLOOKUP(tblSales[[#This Row],[Channel Code]],tblChannels[Channel Code],tblChannels[Channel Name],"")</f>
        <v>In-store</v>
      </c>
      <c r="R5369" s="1">
        <f>MONTH(tblSales[[#This Row],[Date]])</f>
        <v>11</v>
      </c>
    </row>
    <row r="5370" spans="2:18" x14ac:dyDescent="0.35">
      <c r="B5370" s="113">
        <v>46348</v>
      </c>
      <c r="C5370" s="4" t="s">
        <v>3680</v>
      </c>
      <c r="D5370" s="4" t="s">
        <v>4568</v>
      </c>
      <c r="E5370" s="1" t="str">
        <f>_xlfn.XLOOKUP(tblSales[[#This Row],[Customer ID]],tblCustomers[Customer ID],tblCustomers[Customer Name],"⚠ Unknown")</f>
        <v>Walk-in Customer</v>
      </c>
      <c r="F5370" s="4" t="s">
        <v>7</v>
      </c>
      <c r="G5370" s="1" t="str">
        <f>_xlfn.XLOOKUP(tblSales[[#This Row],[Product Code]],tblProducts[Code],tblProducts[Product / Service Name],"⚠ Unknown")</f>
        <v>Premium Basic T-shirt</v>
      </c>
      <c r="H5370" s="1" t="str">
        <f>_xlfn.XLOOKUP(tblSales[[#This Row],[Product Code]],tblProducts[Code],tblProducts[Category],"")</f>
        <v>Accessories &amp; Basics</v>
      </c>
      <c r="I5370" s="4">
        <v>1</v>
      </c>
      <c r="J5370" s="5">
        <f>_xlfn.XLOOKUP(tblSales[[#This Row],[Product Code]],tblProducts[Code],tblProducts[Selling Price (excl. VAT)],0)</f>
        <v>65000</v>
      </c>
      <c r="K5370" s="5">
        <f>tblSales[[#This Row],[Qty]]*tblSales[[#This Row],[Unit Price]]</f>
        <v>65000</v>
      </c>
      <c r="L5370" s="5">
        <f>ROUND(tblSales[[#This Row],[DPP (excl. VAT)]]*VATEff,0)</f>
        <v>7150</v>
      </c>
      <c r="M5370" s="5">
        <f>tblSales[[#This Row],[DPP (excl. VAT)]]+tblSales[[#This Row],[Output VAT]]</f>
        <v>72150</v>
      </c>
      <c r="N5370" s="5">
        <f>tblSales[[#This Row],[Qty]]*_xlfn.XLOOKUP(tblSales[[#This Row],[Product Code]],tblProducts[Code],tblProducts[Unit Cost],0)</f>
        <v>37000</v>
      </c>
      <c r="O5370" s="4" t="s">
        <v>4865</v>
      </c>
      <c r="P5370" s="4" t="s">
        <v>4860</v>
      </c>
      <c r="Q5370" s="1" t="str">
        <f>_xlfn.XLOOKUP(tblSales[[#This Row],[Channel Code]],tblChannels[Channel Code],tblChannels[Channel Name],"")</f>
        <v>In-store</v>
      </c>
      <c r="R5370" s="1">
        <f>MONTH(tblSales[[#This Row],[Date]])</f>
        <v>11</v>
      </c>
    </row>
    <row r="5371" spans="2:18" x14ac:dyDescent="0.35">
      <c r="B5371" s="113">
        <v>46348</v>
      </c>
      <c r="C5371" s="4" t="s">
        <v>3680</v>
      </c>
      <c r="D5371" s="4" t="s">
        <v>4568</v>
      </c>
      <c r="E5371" s="1" t="str">
        <f>_xlfn.XLOOKUP(tblSales[[#This Row],[Customer ID]],tblCustomers[Customer ID],tblCustomers[Customer Name],"⚠ Unknown")</f>
        <v>Walk-in Customer</v>
      </c>
      <c r="F5371" s="4" t="s">
        <v>11</v>
      </c>
      <c r="G5371" s="1" t="str">
        <f>_xlfn.XLOOKUP(tblSales[[#This Row],[Product Code]],tblProducts[Code],tblProducts[Product / Service Name],"⚠ Unknown")</f>
        <v>Sneakers</v>
      </c>
      <c r="H5371" s="1" t="str">
        <f>_xlfn.XLOOKUP(tblSales[[#This Row],[Product Code]],tblProducts[Code],tblProducts[Category],"")</f>
        <v>Apparel &amp; Footwear</v>
      </c>
      <c r="I5371" s="4">
        <v>5</v>
      </c>
      <c r="J5371" s="5">
        <f>_xlfn.XLOOKUP(tblSales[[#This Row],[Product Code]],tblProducts[Code],tblProducts[Selling Price (excl. VAT)],0)</f>
        <v>250000</v>
      </c>
      <c r="K5371" s="5">
        <f>tblSales[[#This Row],[Qty]]*tblSales[[#This Row],[Unit Price]]</f>
        <v>1250000</v>
      </c>
      <c r="L5371" s="5">
        <f>ROUND(tblSales[[#This Row],[DPP (excl. VAT)]]*VATEff,0)</f>
        <v>137500</v>
      </c>
      <c r="M5371" s="5">
        <f>tblSales[[#This Row],[DPP (excl. VAT)]]+tblSales[[#This Row],[Output VAT]]</f>
        <v>1387500</v>
      </c>
      <c r="N5371" s="5">
        <f>tblSales[[#This Row],[Qty]]*_xlfn.XLOOKUP(tblSales[[#This Row],[Product Code]],tblProducts[Code],tblProducts[Unit Cost],0)</f>
        <v>775000</v>
      </c>
      <c r="O5371" s="4" t="s">
        <v>4865</v>
      </c>
      <c r="P5371" s="4" t="s">
        <v>4860</v>
      </c>
      <c r="Q5371" s="1" t="str">
        <f>_xlfn.XLOOKUP(tblSales[[#This Row],[Channel Code]],tblChannels[Channel Code],tblChannels[Channel Name],"")</f>
        <v>In-store</v>
      </c>
      <c r="R5371" s="1">
        <f>MONTH(tblSales[[#This Row],[Date]])</f>
        <v>11</v>
      </c>
    </row>
    <row r="5372" spans="2:18" x14ac:dyDescent="0.35">
      <c r="B5372" s="113">
        <v>46348</v>
      </c>
      <c r="C5372" s="4" t="s">
        <v>3681</v>
      </c>
      <c r="D5372" s="4" t="s">
        <v>4585</v>
      </c>
      <c r="E5372" s="1" t="str">
        <f>_xlfn.XLOOKUP(tblSales[[#This Row],[Customer ID]],tblCustomers[Customer ID],tblCustomers[Customer Name],"⚠ Unknown")</f>
        <v>CV Mitra Karya Mandiri</v>
      </c>
      <c r="F5372" s="4" t="s">
        <v>8</v>
      </c>
      <c r="G5372" s="1" t="str">
        <f>_xlfn.XLOOKUP(tblSales[[#This Row],[Product Code]],tblProducts[Code],tblProducts[Product / Service Name],"⚠ Unknown")</f>
        <v>Casual Shorts</v>
      </c>
      <c r="H5372" s="1" t="str">
        <f>_xlfn.XLOOKUP(tblSales[[#This Row],[Product Code]],tblProducts[Code],tblProducts[Category],"")</f>
        <v>Accessories &amp; Basics</v>
      </c>
      <c r="I5372" s="4">
        <v>8</v>
      </c>
      <c r="J5372" s="5">
        <f>_xlfn.XLOOKUP(tblSales[[#This Row],[Product Code]],tblProducts[Code],tblProducts[Selling Price (excl. VAT)],0)</f>
        <v>85000</v>
      </c>
      <c r="K5372" s="5">
        <f>tblSales[[#This Row],[Qty]]*tblSales[[#This Row],[Unit Price]]</f>
        <v>680000</v>
      </c>
      <c r="L5372" s="5">
        <f>ROUND(tblSales[[#This Row],[DPP (excl. VAT)]]*VATEff,0)</f>
        <v>74800</v>
      </c>
      <c r="M5372" s="5">
        <f>tblSales[[#This Row],[DPP (excl. VAT)]]+tblSales[[#This Row],[Output VAT]]</f>
        <v>754800</v>
      </c>
      <c r="N5372" s="5">
        <f>tblSales[[#This Row],[Qty]]*_xlfn.XLOOKUP(tblSales[[#This Row],[Product Code]],tblProducts[Code],tblProducts[Unit Cost],0)</f>
        <v>400000</v>
      </c>
      <c r="O5372" s="4" t="s">
        <v>4867</v>
      </c>
      <c r="P5372" s="4" t="s">
        <v>4860</v>
      </c>
      <c r="Q5372" s="1" t="str">
        <f>_xlfn.XLOOKUP(tblSales[[#This Row],[Channel Code]],tblChannels[Channel Code],tblChannels[Channel Name],"")</f>
        <v>In-store</v>
      </c>
      <c r="R5372" s="1">
        <f>MONTH(tblSales[[#This Row],[Date]])</f>
        <v>11</v>
      </c>
    </row>
    <row r="5373" spans="2:18" x14ac:dyDescent="0.35">
      <c r="B5373" s="113">
        <v>46348</v>
      </c>
      <c r="C5373" s="4" t="s">
        <v>3682</v>
      </c>
      <c r="D5373" s="4" t="s">
        <v>4568</v>
      </c>
      <c r="E5373" s="1" t="str">
        <f>_xlfn.XLOOKUP(tblSales[[#This Row],[Customer ID]],tblCustomers[Customer ID],tblCustomers[Customer Name],"⚠ Unknown")</f>
        <v>Walk-in Customer</v>
      </c>
      <c r="F5373" s="4" t="s">
        <v>9</v>
      </c>
      <c r="G5373" s="1" t="str">
        <f>_xlfn.XLOOKUP(tblSales[[#This Row],[Product Code]],tblProducts[Code],tblProducts[Product / Service Name],"⚠ Unknown")</f>
        <v>Casual Shirt</v>
      </c>
      <c r="H5373" s="1" t="str">
        <f>_xlfn.XLOOKUP(tblSales[[#This Row],[Product Code]],tblProducts[Code],tblProducts[Category],"")</f>
        <v>Apparel &amp; Footwear</v>
      </c>
      <c r="I5373" s="4">
        <v>12</v>
      </c>
      <c r="J5373" s="5">
        <f>_xlfn.XLOOKUP(tblSales[[#This Row],[Product Code]],tblProducts[Code],tblProducts[Selling Price (excl. VAT)],0)</f>
        <v>120000</v>
      </c>
      <c r="K5373" s="5">
        <f>tblSales[[#This Row],[Qty]]*tblSales[[#This Row],[Unit Price]]</f>
        <v>1440000</v>
      </c>
      <c r="L5373" s="5">
        <f>ROUND(tblSales[[#This Row],[DPP (excl. VAT)]]*VATEff,0)</f>
        <v>158400</v>
      </c>
      <c r="M5373" s="5">
        <f>tblSales[[#This Row],[DPP (excl. VAT)]]+tblSales[[#This Row],[Output VAT]]</f>
        <v>1598400</v>
      </c>
      <c r="N5373" s="5">
        <f>tblSales[[#This Row],[Qty]]*_xlfn.XLOOKUP(tblSales[[#This Row],[Product Code]],tblProducts[Code],tblProducts[Unit Cost],0)</f>
        <v>864000</v>
      </c>
      <c r="O5373" s="4" t="s">
        <v>4865</v>
      </c>
      <c r="P5373" s="4" t="s">
        <v>4860</v>
      </c>
      <c r="Q5373" s="1" t="str">
        <f>_xlfn.XLOOKUP(tblSales[[#This Row],[Channel Code]],tblChannels[Channel Code],tblChannels[Channel Name],"")</f>
        <v>In-store</v>
      </c>
      <c r="R5373" s="1">
        <f>MONTH(tblSales[[#This Row],[Date]])</f>
        <v>11</v>
      </c>
    </row>
    <row r="5374" spans="2:18" x14ac:dyDescent="0.35">
      <c r="B5374" s="113">
        <v>46348</v>
      </c>
      <c r="C5374" s="4" t="s">
        <v>3683</v>
      </c>
      <c r="D5374" s="4" t="s">
        <v>4572</v>
      </c>
      <c r="E5374" s="1" t="str">
        <f>_xlfn.XLOOKUP(tblSales[[#This Row],[Customer ID]],tblCustomers[Customer ID],tblCustomers[Customer Name],"⚠ Unknown")</f>
        <v>PT Cahaya Abadi Makmur</v>
      </c>
      <c r="F5374" s="4" t="s">
        <v>10</v>
      </c>
      <c r="G5374" s="1" t="str">
        <f>_xlfn.XLOOKUP(tblSales[[#This Row],[Product Code]],tblProducts[Code],tblProducts[Product / Service Name],"⚠ Unknown")</f>
        <v>Chino Pants</v>
      </c>
      <c r="H5374" s="1" t="str">
        <f>_xlfn.XLOOKUP(tblSales[[#This Row],[Product Code]],tblProducts[Code],tblProducts[Category],"")</f>
        <v>Apparel &amp; Footwear</v>
      </c>
      <c r="I5374" s="4">
        <v>8</v>
      </c>
      <c r="J5374" s="5">
        <f>_xlfn.XLOOKUP(tblSales[[#This Row],[Product Code]],tblProducts[Code],tblProducts[Selling Price (excl. VAT)],0)</f>
        <v>150000</v>
      </c>
      <c r="K5374" s="5">
        <f>tblSales[[#This Row],[Qty]]*tblSales[[#This Row],[Unit Price]]</f>
        <v>1200000</v>
      </c>
      <c r="L5374" s="5">
        <f>ROUND(tblSales[[#This Row],[DPP (excl. VAT)]]*VATEff,0)</f>
        <v>132000</v>
      </c>
      <c r="M5374" s="5">
        <f>tblSales[[#This Row],[DPP (excl. VAT)]]+tblSales[[#This Row],[Output VAT]]</f>
        <v>1332000</v>
      </c>
      <c r="N5374" s="5">
        <f>tblSales[[#This Row],[Qty]]*_xlfn.XLOOKUP(tblSales[[#This Row],[Product Code]],tblProducts[Code],tblProducts[Unit Cost],0)</f>
        <v>704000</v>
      </c>
      <c r="O5374" s="4" t="s">
        <v>4867</v>
      </c>
      <c r="P5374" s="4" t="s">
        <v>4862</v>
      </c>
      <c r="Q5374" s="1" t="str">
        <f>_xlfn.XLOOKUP(tblSales[[#This Row],[Channel Code]],tblChannels[Channel Code],tblChannels[Channel Name],"")</f>
        <v>Website &amp; Social Media</v>
      </c>
      <c r="R5374" s="1">
        <f>MONTH(tblSales[[#This Row],[Date]])</f>
        <v>11</v>
      </c>
    </row>
    <row r="5375" spans="2:18" x14ac:dyDescent="0.35">
      <c r="B5375" s="113">
        <v>46348</v>
      </c>
      <c r="C5375" s="4" t="s">
        <v>3684</v>
      </c>
      <c r="D5375" s="4" t="s">
        <v>4568</v>
      </c>
      <c r="E5375" s="1" t="str">
        <f>_xlfn.XLOOKUP(tblSales[[#This Row],[Customer ID]],tblCustomers[Customer ID],tblCustomers[Customer Name],"⚠ Unknown")</f>
        <v>Walk-in Customer</v>
      </c>
      <c r="F5375" s="4" t="s">
        <v>14</v>
      </c>
      <c r="G5375" s="1" t="str">
        <f>_xlfn.XLOOKUP(tblSales[[#This Row],[Product Code]],tblProducts[Code],tblProducts[Product / Service Name],"⚠ Unknown")</f>
        <v>Smartwatch</v>
      </c>
      <c r="H5375" s="1" t="str">
        <f>_xlfn.XLOOKUP(tblSales[[#This Row],[Product Code]],tblProducts[Code],tblProducts[Category],"")</f>
        <v>Bags &amp; Gadgets</v>
      </c>
      <c r="I5375" s="4">
        <v>1</v>
      </c>
      <c r="J5375" s="5">
        <f>_xlfn.XLOOKUP(tblSales[[#This Row],[Product Code]],tblProducts[Code],tblProducts[Selling Price (excl. VAT)],0)</f>
        <v>850000</v>
      </c>
      <c r="K5375" s="5">
        <f>tblSales[[#This Row],[Qty]]*tblSales[[#This Row],[Unit Price]]</f>
        <v>850000</v>
      </c>
      <c r="L5375" s="5">
        <f>ROUND(tblSales[[#This Row],[DPP (excl. VAT)]]*VATEff,0)</f>
        <v>93500</v>
      </c>
      <c r="M5375" s="5">
        <f>tblSales[[#This Row],[DPP (excl. VAT)]]+tblSales[[#This Row],[Output VAT]]</f>
        <v>943500</v>
      </c>
      <c r="N5375" s="5">
        <f>tblSales[[#This Row],[Qty]]*_xlfn.XLOOKUP(tblSales[[#This Row],[Product Code]],tblProducts[Code],tblProducts[Unit Cost],0)</f>
        <v>560000</v>
      </c>
      <c r="O5375" s="4" t="s">
        <v>4865</v>
      </c>
      <c r="P5375" s="4" t="s">
        <v>4860</v>
      </c>
      <c r="Q5375" s="1" t="str">
        <f>_xlfn.XLOOKUP(tblSales[[#This Row],[Channel Code]],tblChannels[Channel Code],tblChannels[Channel Name],"")</f>
        <v>In-store</v>
      </c>
      <c r="R5375" s="1">
        <f>MONTH(tblSales[[#This Row],[Date]])</f>
        <v>11</v>
      </c>
    </row>
    <row r="5376" spans="2:18" x14ac:dyDescent="0.35">
      <c r="B5376" s="113">
        <v>46348</v>
      </c>
      <c r="C5376" s="4" t="s">
        <v>3684</v>
      </c>
      <c r="D5376" s="4" t="s">
        <v>4568</v>
      </c>
      <c r="E5376" s="1" t="str">
        <f>_xlfn.XLOOKUP(tblSales[[#This Row],[Customer ID]],tblCustomers[Customer ID],tblCustomers[Customer Name],"⚠ Unknown")</f>
        <v>Walk-in Customer</v>
      </c>
      <c r="F5376" s="4" t="s">
        <v>7</v>
      </c>
      <c r="G5376" s="1" t="str">
        <f>_xlfn.XLOOKUP(tblSales[[#This Row],[Product Code]],tblProducts[Code],tblProducts[Product / Service Name],"⚠ Unknown")</f>
        <v>Premium Basic T-shirt</v>
      </c>
      <c r="H5376" s="1" t="str">
        <f>_xlfn.XLOOKUP(tblSales[[#This Row],[Product Code]],tblProducts[Code],tblProducts[Category],"")</f>
        <v>Accessories &amp; Basics</v>
      </c>
      <c r="I5376" s="4">
        <v>3</v>
      </c>
      <c r="J5376" s="5">
        <f>_xlfn.XLOOKUP(tblSales[[#This Row],[Product Code]],tblProducts[Code],tblProducts[Selling Price (excl. VAT)],0)</f>
        <v>65000</v>
      </c>
      <c r="K5376" s="5">
        <f>tblSales[[#This Row],[Qty]]*tblSales[[#This Row],[Unit Price]]</f>
        <v>195000</v>
      </c>
      <c r="L5376" s="5">
        <f>ROUND(tblSales[[#This Row],[DPP (excl. VAT)]]*VATEff,0)</f>
        <v>21450</v>
      </c>
      <c r="M5376" s="5">
        <f>tblSales[[#This Row],[DPP (excl. VAT)]]+tblSales[[#This Row],[Output VAT]]</f>
        <v>216450</v>
      </c>
      <c r="N5376" s="5">
        <f>tblSales[[#This Row],[Qty]]*_xlfn.XLOOKUP(tblSales[[#This Row],[Product Code]],tblProducts[Code],tblProducts[Unit Cost],0)</f>
        <v>111000</v>
      </c>
      <c r="O5376" s="4" t="s">
        <v>4865</v>
      </c>
      <c r="P5376" s="4" t="s">
        <v>4860</v>
      </c>
      <c r="Q5376" s="1" t="str">
        <f>_xlfn.XLOOKUP(tblSales[[#This Row],[Channel Code]],tblChannels[Channel Code],tblChannels[Channel Name],"")</f>
        <v>In-store</v>
      </c>
      <c r="R5376" s="1">
        <f>MONTH(tblSales[[#This Row],[Date]])</f>
        <v>11</v>
      </c>
    </row>
    <row r="5377" spans="2:18" x14ac:dyDescent="0.35">
      <c r="B5377" s="113">
        <v>46348</v>
      </c>
      <c r="C5377" s="4" t="s">
        <v>3685</v>
      </c>
      <c r="D5377" s="4" t="s">
        <v>4578</v>
      </c>
      <c r="E5377" s="1" t="str">
        <f>_xlfn.XLOOKUP(tblSales[[#This Row],[Customer ID]],tblCustomers[Customer ID],tblCustomers[Customer Name],"⚠ Unknown")</f>
        <v>PT Bintang Timur Sejahtera</v>
      </c>
      <c r="F5377" s="4" t="s">
        <v>6</v>
      </c>
      <c r="G5377" s="1" t="str">
        <f>_xlfn.XLOOKUP(tblSales[[#This Row],[Product Code]],tblProducts[Code],tblProducts[Product / Service Name],"⚠ Unknown")</f>
        <v>Socks &amp; Accessories</v>
      </c>
      <c r="H5377" s="1" t="str">
        <f>_xlfn.XLOOKUP(tblSales[[#This Row],[Product Code]],tblProducts[Code],tblProducts[Category],"")</f>
        <v>Accessories &amp; Basics</v>
      </c>
      <c r="I5377" s="4">
        <v>40</v>
      </c>
      <c r="J5377" s="5">
        <f>_xlfn.XLOOKUP(tblSales[[#This Row],[Product Code]],tblProducts[Code],tblProducts[Selling Price (excl. VAT)],0)</f>
        <v>45000</v>
      </c>
      <c r="K5377" s="5">
        <f>tblSales[[#This Row],[Qty]]*tblSales[[#This Row],[Unit Price]]</f>
        <v>1800000</v>
      </c>
      <c r="L5377" s="5">
        <f>ROUND(tblSales[[#This Row],[DPP (excl. VAT)]]*VATEff,0)</f>
        <v>198000</v>
      </c>
      <c r="M5377" s="5">
        <f>tblSales[[#This Row],[DPP (excl. VAT)]]+tblSales[[#This Row],[Output VAT]]</f>
        <v>1998000</v>
      </c>
      <c r="N5377" s="5">
        <f>tblSales[[#This Row],[Qty]]*_xlfn.XLOOKUP(tblSales[[#This Row],[Product Code]],tblProducts[Code],tblProducts[Unit Cost],0)</f>
        <v>960000</v>
      </c>
      <c r="O5377" s="4" t="s">
        <v>4867</v>
      </c>
      <c r="P5377" s="4" t="s">
        <v>4860</v>
      </c>
      <c r="Q5377" s="1" t="str">
        <f>_xlfn.XLOOKUP(tblSales[[#This Row],[Channel Code]],tblChannels[Channel Code],tblChannels[Channel Name],"")</f>
        <v>In-store</v>
      </c>
      <c r="R5377" s="1">
        <f>MONTH(tblSales[[#This Row],[Date]])</f>
        <v>11</v>
      </c>
    </row>
    <row r="5378" spans="2:18" x14ac:dyDescent="0.35">
      <c r="B5378" s="113">
        <v>46348</v>
      </c>
      <c r="C5378" s="4" t="s">
        <v>3686</v>
      </c>
      <c r="D5378" s="4" t="s">
        <v>4606</v>
      </c>
      <c r="E5378" s="1" t="str">
        <f>_xlfn.XLOOKUP(tblSales[[#This Row],[Customer ID]],tblCustomers[Customer ID],tblCustomers[Customer Name],"⚠ Unknown")</f>
        <v>PT Arunika Digital Kreatif</v>
      </c>
      <c r="F5378" s="4" t="s">
        <v>9</v>
      </c>
      <c r="G5378" s="1" t="str">
        <f>_xlfn.XLOOKUP(tblSales[[#This Row],[Product Code]],tblProducts[Code],tblProducts[Product / Service Name],"⚠ Unknown")</f>
        <v>Casual Shirt</v>
      </c>
      <c r="H5378" s="1" t="str">
        <f>_xlfn.XLOOKUP(tblSales[[#This Row],[Product Code]],tblProducts[Code],tblProducts[Category],"")</f>
        <v>Apparel &amp; Footwear</v>
      </c>
      <c r="I5378" s="4">
        <v>8</v>
      </c>
      <c r="J5378" s="5">
        <f>_xlfn.XLOOKUP(tblSales[[#This Row],[Product Code]],tblProducts[Code],tblProducts[Selling Price (excl. VAT)],0)</f>
        <v>120000</v>
      </c>
      <c r="K5378" s="5">
        <f>tblSales[[#This Row],[Qty]]*tblSales[[#This Row],[Unit Price]]</f>
        <v>960000</v>
      </c>
      <c r="L5378" s="5">
        <f>ROUND(tblSales[[#This Row],[DPP (excl. VAT)]]*VATEff,0)</f>
        <v>105600</v>
      </c>
      <c r="M5378" s="5">
        <f>tblSales[[#This Row],[DPP (excl. VAT)]]+tblSales[[#This Row],[Output VAT]]</f>
        <v>1065600</v>
      </c>
      <c r="N5378" s="5">
        <f>tblSales[[#This Row],[Qty]]*_xlfn.XLOOKUP(tblSales[[#This Row],[Product Code]],tblProducts[Code],tblProducts[Unit Cost],0)</f>
        <v>576000</v>
      </c>
      <c r="O5378" s="4" t="s">
        <v>4867</v>
      </c>
      <c r="P5378" s="4" t="s">
        <v>4860</v>
      </c>
      <c r="Q5378" s="1" t="str">
        <f>_xlfn.XLOOKUP(tblSales[[#This Row],[Channel Code]],tblChannels[Channel Code],tblChannels[Channel Name],"")</f>
        <v>In-store</v>
      </c>
      <c r="R5378" s="1">
        <f>MONTH(tblSales[[#This Row],[Date]])</f>
        <v>11</v>
      </c>
    </row>
    <row r="5379" spans="2:18" x14ac:dyDescent="0.35">
      <c r="B5379" s="113">
        <v>46348</v>
      </c>
      <c r="C5379" s="4" t="s">
        <v>3687</v>
      </c>
      <c r="D5379" s="4" t="s">
        <v>4568</v>
      </c>
      <c r="E5379" s="1" t="str">
        <f>_xlfn.XLOOKUP(tblSales[[#This Row],[Customer ID]],tblCustomers[Customer ID],tblCustomers[Customer Name],"⚠ Unknown")</f>
        <v>Walk-in Customer</v>
      </c>
      <c r="F5379" s="4" t="s">
        <v>7</v>
      </c>
      <c r="G5379" s="1" t="str">
        <f>_xlfn.XLOOKUP(tblSales[[#This Row],[Product Code]],tblProducts[Code],tblProducts[Product / Service Name],"⚠ Unknown")</f>
        <v>Premium Basic T-shirt</v>
      </c>
      <c r="H5379" s="1" t="str">
        <f>_xlfn.XLOOKUP(tblSales[[#This Row],[Product Code]],tblProducts[Code],tblProducts[Category],"")</f>
        <v>Accessories &amp; Basics</v>
      </c>
      <c r="I5379" s="4">
        <v>4</v>
      </c>
      <c r="J5379" s="5">
        <f>_xlfn.XLOOKUP(tblSales[[#This Row],[Product Code]],tblProducts[Code],tblProducts[Selling Price (excl. VAT)],0)</f>
        <v>65000</v>
      </c>
      <c r="K5379" s="5">
        <f>tblSales[[#This Row],[Qty]]*tblSales[[#This Row],[Unit Price]]</f>
        <v>260000</v>
      </c>
      <c r="L5379" s="5">
        <f>ROUND(tblSales[[#This Row],[DPP (excl. VAT)]]*VATEff,0)</f>
        <v>28600</v>
      </c>
      <c r="M5379" s="5">
        <f>tblSales[[#This Row],[DPP (excl. VAT)]]+tblSales[[#This Row],[Output VAT]]</f>
        <v>288600</v>
      </c>
      <c r="N5379" s="5">
        <f>tblSales[[#This Row],[Qty]]*_xlfn.XLOOKUP(tblSales[[#This Row],[Product Code]],tblProducts[Code],tblProducts[Unit Cost],0)</f>
        <v>148000</v>
      </c>
      <c r="O5379" s="4" t="s">
        <v>4866</v>
      </c>
      <c r="P5379" s="4" t="s">
        <v>4861</v>
      </c>
      <c r="Q5379" s="1" t="str">
        <f>_xlfn.XLOOKUP(tblSales[[#This Row],[Channel Code]],tblChannels[Channel Code],tblChannels[Channel Name],"")</f>
        <v>Marketplace</v>
      </c>
      <c r="R5379" s="1">
        <f>MONTH(tblSales[[#This Row],[Date]])</f>
        <v>11</v>
      </c>
    </row>
    <row r="5380" spans="2:18" x14ac:dyDescent="0.35">
      <c r="B5380" s="113">
        <v>46348</v>
      </c>
      <c r="C5380" s="4" t="s">
        <v>3688</v>
      </c>
      <c r="D5380" s="4" t="s">
        <v>4568</v>
      </c>
      <c r="E5380" s="1" t="str">
        <f>_xlfn.XLOOKUP(tblSales[[#This Row],[Customer ID]],tblCustomers[Customer ID],tblCustomers[Customer Name],"⚠ Unknown")</f>
        <v>Walk-in Customer</v>
      </c>
      <c r="F5380" s="4" t="s">
        <v>12</v>
      </c>
      <c r="G5380" s="1" t="str">
        <f>_xlfn.XLOOKUP(tblSales[[#This Row],[Product Code]],tblProducts[Code],tblProducts[Product / Service Name],"⚠ Unknown")</f>
        <v>Bomber Jacket</v>
      </c>
      <c r="H5380" s="1" t="str">
        <f>_xlfn.XLOOKUP(tblSales[[#This Row],[Product Code]],tblProducts[Code],tblProducts[Category],"")</f>
        <v>Apparel &amp; Footwear</v>
      </c>
      <c r="I5380" s="4">
        <v>1</v>
      </c>
      <c r="J5380" s="5">
        <f>_xlfn.XLOOKUP(tblSales[[#This Row],[Product Code]],tblProducts[Code],tblProducts[Selling Price (excl. VAT)],0)</f>
        <v>350000</v>
      </c>
      <c r="K5380" s="5">
        <f>tblSales[[#This Row],[Qty]]*tblSales[[#This Row],[Unit Price]]</f>
        <v>350000</v>
      </c>
      <c r="L5380" s="5">
        <f>ROUND(tblSales[[#This Row],[DPP (excl. VAT)]]*VATEff,0)</f>
        <v>38500</v>
      </c>
      <c r="M5380" s="5">
        <f>tblSales[[#This Row],[DPP (excl. VAT)]]+tblSales[[#This Row],[Output VAT]]</f>
        <v>388500</v>
      </c>
      <c r="N5380" s="5">
        <f>tblSales[[#This Row],[Qty]]*_xlfn.XLOOKUP(tblSales[[#This Row],[Product Code]],tblProducts[Code],tblProducts[Unit Cost],0)</f>
        <v>210000</v>
      </c>
      <c r="O5380" s="4" t="s">
        <v>4865</v>
      </c>
      <c r="P5380" s="4" t="s">
        <v>4860</v>
      </c>
      <c r="Q5380" s="1" t="str">
        <f>_xlfn.XLOOKUP(tblSales[[#This Row],[Channel Code]],tblChannels[Channel Code],tblChannels[Channel Name],"")</f>
        <v>In-store</v>
      </c>
      <c r="R5380" s="1">
        <f>MONTH(tblSales[[#This Row],[Date]])</f>
        <v>11</v>
      </c>
    </row>
    <row r="5381" spans="2:18" x14ac:dyDescent="0.35">
      <c r="B5381" s="113">
        <v>46348</v>
      </c>
      <c r="C5381" s="4" t="s">
        <v>3688</v>
      </c>
      <c r="D5381" s="4" t="s">
        <v>4568</v>
      </c>
      <c r="E5381" s="1" t="str">
        <f>_xlfn.XLOOKUP(tblSales[[#This Row],[Customer ID]],tblCustomers[Customer ID],tblCustomers[Customer Name],"⚠ Unknown")</f>
        <v>Walk-in Customer</v>
      </c>
      <c r="F5381" s="4" t="s">
        <v>10</v>
      </c>
      <c r="G5381" s="1" t="str">
        <f>_xlfn.XLOOKUP(tblSales[[#This Row],[Product Code]],tblProducts[Code],tblProducts[Product / Service Name],"⚠ Unknown")</f>
        <v>Chino Pants</v>
      </c>
      <c r="H5381" s="1" t="str">
        <f>_xlfn.XLOOKUP(tblSales[[#This Row],[Product Code]],tblProducts[Code],tblProducts[Category],"")</f>
        <v>Apparel &amp; Footwear</v>
      </c>
      <c r="I5381" s="4">
        <v>2</v>
      </c>
      <c r="J5381" s="5">
        <f>_xlfn.XLOOKUP(tblSales[[#This Row],[Product Code]],tblProducts[Code],tblProducts[Selling Price (excl. VAT)],0)</f>
        <v>150000</v>
      </c>
      <c r="K5381" s="5">
        <f>tblSales[[#This Row],[Qty]]*tblSales[[#This Row],[Unit Price]]</f>
        <v>300000</v>
      </c>
      <c r="L5381" s="5">
        <f>ROUND(tblSales[[#This Row],[DPP (excl. VAT)]]*VATEff,0)</f>
        <v>33000</v>
      </c>
      <c r="M5381" s="5">
        <f>tblSales[[#This Row],[DPP (excl. VAT)]]+tblSales[[#This Row],[Output VAT]]</f>
        <v>333000</v>
      </c>
      <c r="N5381" s="5">
        <f>tblSales[[#This Row],[Qty]]*_xlfn.XLOOKUP(tblSales[[#This Row],[Product Code]],tblProducts[Code],tblProducts[Unit Cost],0)</f>
        <v>176000</v>
      </c>
      <c r="O5381" s="4" t="s">
        <v>4865</v>
      </c>
      <c r="P5381" s="4" t="s">
        <v>4860</v>
      </c>
      <c r="Q5381" s="1" t="str">
        <f>_xlfn.XLOOKUP(tblSales[[#This Row],[Channel Code]],tblChannels[Channel Code],tblChannels[Channel Name],"")</f>
        <v>In-store</v>
      </c>
      <c r="R5381" s="1">
        <f>MONTH(tblSales[[#This Row],[Date]])</f>
        <v>11</v>
      </c>
    </row>
    <row r="5382" spans="2:18" x14ac:dyDescent="0.35">
      <c r="B5382" s="113">
        <v>46348</v>
      </c>
      <c r="C5382" s="4" t="s">
        <v>3689</v>
      </c>
      <c r="D5382" s="4" t="s">
        <v>4613</v>
      </c>
      <c r="E5382" s="1" t="str">
        <f>_xlfn.XLOOKUP(tblSales[[#This Row],[Customer ID]],tblCustomers[Customer ID],tblCustomers[Customer Name],"⚠ Unknown")</f>
        <v>PT Mega Prima Distribusi</v>
      </c>
      <c r="F5382" s="4" t="s">
        <v>6</v>
      </c>
      <c r="G5382" s="1" t="str">
        <f>_xlfn.XLOOKUP(tblSales[[#This Row],[Product Code]],tblProducts[Code],tblProducts[Product / Service Name],"⚠ Unknown")</f>
        <v>Socks &amp; Accessories</v>
      </c>
      <c r="H5382" s="1" t="str">
        <f>_xlfn.XLOOKUP(tblSales[[#This Row],[Product Code]],tblProducts[Code],tblProducts[Category],"")</f>
        <v>Accessories &amp; Basics</v>
      </c>
      <c r="I5382" s="4">
        <v>72</v>
      </c>
      <c r="J5382" s="5">
        <f>_xlfn.XLOOKUP(tblSales[[#This Row],[Product Code]],tblProducts[Code],tblProducts[Selling Price (excl. VAT)],0)</f>
        <v>45000</v>
      </c>
      <c r="K5382" s="5">
        <f>tblSales[[#This Row],[Qty]]*tblSales[[#This Row],[Unit Price]]</f>
        <v>3240000</v>
      </c>
      <c r="L5382" s="5">
        <f>ROUND(tblSales[[#This Row],[DPP (excl. VAT)]]*VATEff,0)</f>
        <v>356400</v>
      </c>
      <c r="M5382" s="5">
        <f>tblSales[[#This Row],[DPP (excl. VAT)]]+tblSales[[#This Row],[Output VAT]]</f>
        <v>3596400</v>
      </c>
      <c r="N5382" s="5">
        <f>tblSales[[#This Row],[Qty]]*_xlfn.XLOOKUP(tblSales[[#This Row],[Product Code]],tblProducts[Code],tblProducts[Unit Cost],0)</f>
        <v>1728000</v>
      </c>
      <c r="O5382" s="4" t="s">
        <v>4867</v>
      </c>
      <c r="P5382" s="4" t="s">
        <v>4860</v>
      </c>
      <c r="Q5382" s="1" t="str">
        <f>_xlfn.XLOOKUP(tblSales[[#This Row],[Channel Code]],tblChannels[Channel Code],tblChannels[Channel Name],"")</f>
        <v>In-store</v>
      </c>
      <c r="R5382" s="1">
        <f>MONTH(tblSales[[#This Row],[Date]])</f>
        <v>11</v>
      </c>
    </row>
    <row r="5383" spans="2:18" x14ac:dyDescent="0.35">
      <c r="B5383" s="113">
        <v>46348</v>
      </c>
      <c r="C5383" s="4" t="s">
        <v>3689</v>
      </c>
      <c r="D5383" s="4" t="s">
        <v>4613</v>
      </c>
      <c r="E5383" s="1" t="str">
        <f>_xlfn.XLOOKUP(tblSales[[#This Row],[Customer ID]],tblCustomers[Customer ID],tblCustomers[Customer Name],"⚠ Unknown")</f>
        <v>PT Mega Prima Distribusi</v>
      </c>
      <c r="F5383" s="4" t="s">
        <v>11</v>
      </c>
      <c r="G5383" s="1" t="str">
        <f>_xlfn.XLOOKUP(tblSales[[#This Row],[Product Code]],tblProducts[Code],tblProducts[Product / Service Name],"⚠ Unknown")</f>
        <v>Sneakers</v>
      </c>
      <c r="H5383" s="1" t="str">
        <f>_xlfn.XLOOKUP(tblSales[[#This Row],[Product Code]],tblProducts[Code],tblProducts[Category],"")</f>
        <v>Apparel &amp; Footwear</v>
      </c>
      <c r="I5383" s="4">
        <v>24</v>
      </c>
      <c r="J5383" s="5">
        <f>_xlfn.XLOOKUP(tblSales[[#This Row],[Product Code]],tblProducts[Code],tblProducts[Selling Price (excl. VAT)],0)</f>
        <v>250000</v>
      </c>
      <c r="K5383" s="5">
        <f>tblSales[[#This Row],[Qty]]*tblSales[[#This Row],[Unit Price]]</f>
        <v>6000000</v>
      </c>
      <c r="L5383" s="5">
        <f>ROUND(tblSales[[#This Row],[DPP (excl. VAT)]]*VATEff,0)</f>
        <v>660000</v>
      </c>
      <c r="M5383" s="5">
        <f>tblSales[[#This Row],[DPP (excl. VAT)]]+tblSales[[#This Row],[Output VAT]]</f>
        <v>6660000</v>
      </c>
      <c r="N5383" s="5">
        <f>tblSales[[#This Row],[Qty]]*_xlfn.XLOOKUP(tblSales[[#This Row],[Product Code]],tblProducts[Code],tblProducts[Unit Cost],0)</f>
        <v>3720000</v>
      </c>
      <c r="O5383" s="4" t="s">
        <v>4867</v>
      </c>
      <c r="P5383" s="4" t="s">
        <v>4860</v>
      </c>
      <c r="Q5383" s="1" t="str">
        <f>_xlfn.XLOOKUP(tblSales[[#This Row],[Channel Code]],tblChannels[Channel Code],tblChannels[Channel Name],"")</f>
        <v>In-store</v>
      </c>
      <c r="R5383" s="1">
        <f>MONTH(tblSales[[#This Row],[Date]])</f>
        <v>11</v>
      </c>
    </row>
    <row r="5384" spans="2:18" x14ac:dyDescent="0.35">
      <c r="B5384" s="113">
        <v>46349</v>
      </c>
      <c r="C5384" s="4" t="s">
        <v>3690</v>
      </c>
      <c r="D5384" s="4" t="s">
        <v>4568</v>
      </c>
      <c r="E5384" s="1" t="str">
        <f>_xlfn.XLOOKUP(tblSales[[#This Row],[Customer ID]],tblCustomers[Customer ID],tblCustomers[Customer Name],"⚠ Unknown")</f>
        <v>Walk-in Customer</v>
      </c>
      <c r="F5384" s="4" t="s">
        <v>6</v>
      </c>
      <c r="G5384" s="1" t="str">
        <f>_xlfn.XLOOKUP(tblSales[[#This Row],[Product Code]],tblProducts[Code],tblProducts[Product / Service Name],"⚠ Unknown")</f>
        <v>Socks &amp; Accessories</v>
      </c>
      <c r="H5384" s="1" t="str">
        <f>_xlfn.XLOOKUP(tblSales[[#This Row],[Product Code]],tblProducts[Code],tblProducts[Category],"")</f>
        <v>Accessories &amp; Basics</v>
      </c>
      <c r="I5384" s="4">
        <v>6</v>
      </c>
      <c r="J5384" s="5">
        <f>_xlfn.XLOOKUP(tblSales[[#This Row],[Product Code]],tblProducts[Code],tblProducts[Selling Price (excl. VAT)],0)</f>
        <v>45000</v>
      </c>
      <c r="K5384" s="5">
        <f>tblSales[[#This Row],[Qty]]*tblSales[[#This Row],[Unit Price]]</f>
        <v>270000</v>
      </c>
      <c r="L5384" s="5">
        <f>ROUND(tblSales[[#This Row],[DPP (excl. VAT)]]*VATEff,0)</f>
        <v>29700</v>
      </c>
      <c r="M5384" s="5">
        <f>tblSales[[#This Row],[DPP (excl. VAT)]]+tblSales[[#This Row],[Output VAT]]</f>
        <v>299700</v>
      </c>
      <c r="N5384" s="5">
        <f>tblSales[[#This Row],[Qty]]*_xlfn.XLOOKUP(tblSales[[#This Row],[Product Code]],tblProducts[Code],tblProducts[Unit Cost],0)</f>
        <v>144000</v>
      </c>
      <c r="O5384" s="4" t="s">
        <v>4866</v>
      </c>
      <c r="P5384" s="4" t="s">
        <v>4862</v>
      </c>
      <c r="Q5384" s="1" t="str">
        <f>_xlfn.XLOOKUP(tblSales[[#This Row],[Channel Code]],tblChannels[Channel Code],tblChannels[Channel Name],"")</f>
        <v>Website &amp; Social Media</v>
      </c>
      <c r="R5384" s="1">
        <f>MONTH(tblSales[[#This Row],[Date]])</f>
        <v>11</v>
      </c>
    </row>
    <row r="5385" spans="2:18" x14ac:dyDescent="0.35">
      <c r="B5385" s="113">
        <v>46349</v>
      </c>
      <c r="C5385" s="4" t="s">
        <v>3691</v>
      </c>
      <c r="D5385" s="4" t="s">
        <v>4568</v>
      </c>
      <c r="E5385" s="1" t="str">
        <f>_xlfn.XLOOKUP(tblSales[[#This Row],[Customer ID]],tblCustomers[Customer ID],tblCustomers[Customer Name],"⚠ Unknown")</f>
        <v>Walk-in Customer</v>
      </c>
      <c r="F5385" s="4" t="s">
        <v>7</v>
      </c>
      <c r="G5385" s="1" t="str">
        <f>_xlfn.XLOOKUP(tblSales[[#This Row],[Product Code]],tblProducts[Code],tblProducts[Product / Service Name],"⚠ Unknown")</f>
        <v>Premium Basic T-shirt</v>
      </c>
      <c r="H5385" s="1" t="str">
        <f>_xlfn.XLOOKUP(tblSales[[#This Row],[Product Code]],tblProducts[Code],tblProducts[Category],"")</f>
        <v>Accessories &amp; Basics</v>
      </c>
      <c r="I5385" s="4">
        <v>4</v>
      </c>
      <c r="J5385" s="5">
        <f>_xlfn.XLOOKUP(tblSales[[#This Row],[Product Code]],tblProducts[Code],tblProducts[Selling Price (excl. VAT)],0)</f>
        <v>65000</v>
      </c>
      <c r="K5385" s="5">
        <f>tblSales[[#This Row],[Qty]]*tblSales[[#This Row],[Unit Price]]</f>
        <v>260000</v>
      </c>
      <c r="L5385" s="5">
        <f>ROUND(tblSales[[#This Row],[DPP (excl. VAT)]]*VATEff,0)</f>
        <v>28600</v>
      </c>
      <c r="M5385" s="5">
        <f>tblSales[[#This Row],[DPP (excl. VAT)]]+tblSales[[#This Row],[Output VAT]]</f>
        <v>288600</v>
      </c>
      <c r="N5385" s="5">
        <f>tblSales[[#This Row],[Qty]]*_xlfn.XLOOKUP(tblSales[[#This Row],[Product Code]],tblProducts[Code],tblProducts[Unit Cost],0)</f>
        <v>148000</v>
      </c>
      <c r="O5385" s="4" t="s">
        <v>4866</v>
      </c>
      <c r="P5385" s="4" t="s">
        <v>4862</v>
      </c>
      <c r="Q5385" s="1" t="str">
        <f>_xlfn.XLOOKUP(tblSales[[#This Row],[Channel Code]],tblChannels[Channel Code],tblChannels[Channel Name],"")</f>
        <v>Website &amp; Social Media</v>
      </c>
      <c r="R5385" s="1">
        <f>MONTH(tblSales[[#This Row],[Date]])</f>
        <v>11</v>
      </c>
    </row>
    <row r="5386" spans="2:18" x14ac:dyDescent="0.35">
      <c r="B5386" s="113">
        <v>46349</v>
      </c>
      <c r="C5386" s="4" t="s">
        <v>3692</v>
      </c>
      <c r="D5386" s="4" t="s">
        <v>4568</v>
      </c>
      <c r="E5386" s="1" t="str">
        <f>_xlfn.XLOOKUP(tblSales[[#This Row],[Customer ID]],tblCustomers[Customer ID],tblCustomers[Customer Name],"⚠ Unknown")</f>
        <v>Walk-in Customer</v>
      </c>
      <c r="F5386" s="4" t="s">
        <v>6</v>
      </c>
      <c r="G5386" s="1" t="str">
        <f>_xlfn.XLOOKUP(tblSales[[#This Row],[Product Code]],tblProducts[Code],tblProducts[Product / Service Name],"⚠ Unknown")</f>
        <v>Socks &amp; Accessories</v>
      </c>
      <c r="H5386" s="1" t="str">
        <f>_xlfn.XLOOKUP(tblSales[[#This Row],[Product Code]],tblProducts[Code],tblProducts[Category],"")</f>
        <v>Accessories &amp; Basics</v>
      </c>
      <c r="I5386" s="4">
        <v>3</v>
      </c>
      <c r="J5386" s="5">
        <f>_xlfn.XLOOKUP(tblSales[[#This Row],[Product Code]],tblProducts[Code],tblProducts[Selling Price (excl. VAT)],0)</f>
        <v>45000</v>
      </c>
      <c r="K5386" s="5">
        <f>tblSales[[#This Row],[Qty]]*tblSales[[#This Row],[Unit Price]]</f>
        <v>135000</v>
      </c>
      <c r="L5386" s="5">
        <f>ROUND(tblSales[[#This Row],[DPP (excl. VAT)]]*VATEff,0)</f>
        <v>14850</v>
      </c>
      <c r="M5386" s="5">
        <f>tblSales[[#This Row],[DPP (excl. VAT)]]+tblSales[[#This Row],[Output VAT]]</f>
        <v>149850</v>
      </c>
      <c r="N5386" s="5">
        <f>tblSales[[#This Row],[Qty]]*_xlfn.XLOOKUP(tblSales[[#This Row],[Product Code]],tblProducts[Code],tblProducts[Unit Cost],0)</f>
        <v>72000</v>
      </c>
      <c r="O5386" s="4" t="s">
        <v>4866</v>
      </c>
      <c r="P5386" s="4" t="s">
        <v>4861</v>
      </c>
      <c r="Q5386" s="1" t="str">
        <f>_xlfn.XLOOKUP(tblSales[[#This Row],[Channel Code]],tblChannels[Channel Code],tblChannels[Channel Name],"")</f>
        <v>Marketplace</v>
      </c>
      <c r="R5386" s="1">
        <f>MONTH(tblSales[[#This Row],[Date]])</f>
        <v>11</v>
      </c>
    </row>
    <row r="5387" spans="2:18" x14ac:dyDescent="0.35">
      <c r="B5387" s="113">
        <v>46349</v>
      </c>
      <c r="C5387" s="4" t="s">
        <v>3693</v>
      </c>
      <c r="D5387" s="4" t="s">
        <v>4613</v>
      </c>
      <c r="E5387" s="1" t="str">
        <f>_xlfn.XLOOKUP(tblSales[[#This Row],[Customer ID]],tblCustomers[Customer ID],tblCustomers[Customer Name],"⚠ Unknown")</f>
        <v>PT Mega Prima Distribusi</v>
      </c>
      <c r="F5387" s="4" t="s">
        <v>7</v>
      </c>
      <c r="G5387" s="1" t="str">
        <f>_xlfn.XLOOKUP(tblSales[[#This Row],[Product Code]],tblProducts[Code],tblProducts[Product / Service Name],"⚠ Unknown")</f>
        <v>Premium Basic T-shirt</v>
      </c>
      <c r="H5387" s="1" t="str">
        <f>_xlfn.XLOOKUP(tblSales[[#This Row],[Product Code]],tblProducts[Code],tblProducts[Category],"")</f>
        <v>Accessories &amp; Basics</v>
      </c>
      <c r="I5387" s="4">
        <v>80</v>
      </c>
      <c r="J5387" s="5">
        <f>_xlfn.XLOOKUP(tblSales[[#This Row],[Product Code]],tblProducts[Code],tblProducts[Selling Price (excl. VAT)],0)</f>
        <v>65000</v>
      </c>
      <c r="K5387" s="5">
        <f>tblSales[[#This Row],[Qty]]*tblSales[[#This Row],[Unit Price]]</f>
        <v>5200000</v>
      </c>
      <c r="L5387" s="5">
        <f>ROUND(tblSales[[#This Row],[DPP (excl. VAT)]]*VATEff,0)</f>
        <v>572000</v>
      </c>
      <c r="M5387" s="5">
        <f>tblSales[[#This Row],[DPP (excl. VAT)]]+tblSales[[#This Row],[Output VAT]]</f>
        <v>5772000</v>
      </c>
      <c r="N5387" s="5">
        <f>tblSales[[#This Row],[Qty]]*_xlfn.XLOOKUP(tblSales[[#This Row],[Product Code]],tblProducts[Code],tblProducts[Unit Cost],0)</f>
        <v>2960000</v>
      </c>
      <c r="O5387" s="4" t="s">
        <v>4867</v>
      </c>
      <c r="P5387" s="4" t="s">
        <v>4860</v>
      </c>
      <c r="Q5387" s="1" t="str">
        <f>_xlfn.XLOOKUP(tblSales[[#This Row],[Channel Code]],tblChannels[Channel Code],tblChannels[Channel Name],"")</f>
        <v>In-store</v>
      </c>
      <c r="R5387" s="1">
        <f>MONTH(tblSales[[#This Row],[Date]])</f>
        <v>11</v>
      </c>
    </row>
    <row r="5388" spans="2:18" x14ac:dyDescent="0.35">
      <c r="B5388" s="113">
        <v>46349</v>
      </c>
      <c r="C5388" s="4" t="s">
        <v>3694</v>
      </c>
      <c r="D5388" s="4" t="s">
        <v>4568</v>
      </c>
      <c r="E5388" s="1" t="str">
        <f>_xlfn.XLOOKUP(tblSales[[#This Row],[Customer ID]],tblCustomers[Customer ID],tblCustomers[Customer Name],"⚠ Unknown")</f>
        <v>Walk-in Customer</v>
      </c>
      <c r="F5388" s="4" t="s">
        <v>13</v>
      </c>
      <c r="G5388" s="1" t="str">
        <f>_xlfn.XLOOKUP(tblSales[[#This Row],[Product Code]],tblProducts[Code],tblProducts[Product / Service Name],"⚠ Unknown")</f>
        <v>Backpack</v>
      </c>
      <c r="H5388" s="1" t="str">
        <f>_xlfn.XLOOKUP(tblSales[[#This Row],[Product Code]],tblProducts[Code],tblProducts[Category],"")</f>
        <v>Bags &amp; Gadgets</v>
      </c>
      <c r="I5388" s="4">
        <v>6</v>
      </c>
      <c r="J5388" s="5">
        <f>_xlfn.XLOOKUP(tblSales[[#This Row],[Product Code]],tblProducts[Code],tblProducts[Selling Price (excl. VAT)],0)</f>
        <v>500000</v>
      </c>
      <c r="K5388" s="5">
        <f>tblSales[[#This Row],[Qty]]*tblSales[[#This Row],[Unit Price]]</f>
        <v>3000000</v>
      </c>
      <c r="L5388" s="5">
        <f>ROUND(tblSales[[#This Row],[DPP (excl. VAT)]]*VATEff,0)</f>
        <v>330000</v>
      </c>
      <c r="M5388" s="5">
        <f>tblSales[[#This Row],[DPP (excl. VAT)]]+tblSales[[#This Row],[Output VAT]]</f>
        <v>3330000</v>
      </c>
      <c r="N5388" s="5">
        <f>tblSales[[#This Row],[Qty]]*_xlfn.XLOOKUP(tblSales[[#This Row],[Product Code]],tblProducts[Code],tblProducts[Unit Cost],0)</f>
        <v>1740000</v>
      </c>
      <c r="O5388" s="4" t="s">
        <v>4866</v>
      </c>
      <c r="P5388" s="4" t="s">
        <v>4861</v>
      </c>
      <c r="Q5388" s="1" t="str">
        <f>_xlfn.XLOOKUP(tblSales[[#This Row],[Channel Code]],tblChannels[Channel Code],tblChannels[Channel Name],"")</f>
        <v>Marketplace</v>
      </c>
      <c r="R5388" s="1">
        <f>MONTH(tblSales[[#This Row],[Date]])</f>
        <v>11</v>
      </c>
    </row>
    <row r="5389" spans="2:18" x14ac:dyDescent="0.35">
      <c r="B5389" s="113">
        <v>46349</v>
      </c>
      <c r="C5389" s="4" t="s">
        <v>3695</v>
      </c>
      <c r="D5389" s="4" t="s">
        <v>4578</v>
      </c>
      <c r="E5389" s="1" t="str">
        <f>_xlfn.XLOOKUP(tblSales[[#This Row],[Customer ID]],tblCustomers[Customer ID],tblCustomers[Customer Name],"⚠ Unknown")</f>
        <v>PT Bintang Timur Sejahtera</v>
      </c>
      <c r="F5389" s="4" t="s">
        <v>10</v>
      </c>
      <c r="G5389" s="1" t="str">
        <f>_xlfn.XLOOKUP(tblSales[[#This Row],[Product Code]],tblProducts[Code],tblProducts[Product / Service Name],"⚠ Unknown")</f>
        <v>Chino Pants</v>
      </c>
      <c r="H5389" s="1" t="str">
        <f>_xlfn.XLOOKUP(tblSales[[#This Row],[Product Code]],tblProducts[Code],tblProducts[Category],"")</f>
        <v>Apparel &amp; Footwear</v>
      </c>
      <c r="I5389" s="4">
        <v>64</v>
      </c>
      <c r="J5389" s="5">
        <f>_xlfn.XLOOKUP(tblSales[[#This Row],[Product Code]],tblProducts[Code],tblProducts[Selling Price (excl. VAT)],0)</f>
        <v>150000</v>
      </c>
      <c r="K5389" s="5">
        <f>tblSales[[#This Row],[Qty]]*tblSales[[#This Row],[Unit Price]]</f>
        <v>9600000</v>
      </c>
      <c r="L5389" s="5">
        <f>ROUND(tblSales[[#This Row],[DPP (excl. VAT)]]*VATEff,0)</f>
        <v>1056000</v>
      </c>
      <c r="M5389" s="5">
        <f>tblSales[[#This Row],[DPP (excl. VAT)]]+tblSales[[#This Row],[Output VAT]]</f>
        <v>10656000</v>
      </c>
      <c r="N5389" s="5">
        <f>tblSales[[#This Row],[Qty]]*_xlfn.XLOOKUP(tblSales[[#This Row],[Product Code]],tblProducts[Code],tblProducts[Unit Cost],0)</f>
        <v>5632000</v>
      </c>
      <c r="O5389" s="4" t="s">
        <v>4867</v>
      </c>
      <c r="P5389" s="4" t="s">
        <v>4860</v>
      </c>
      <c r="Q5389" s="1" t="str">
        <f>_xlfn.XLOOKUP(tblSales[[#This Row],[Channel Code]],tblChannels[Channel Code],tblChannels[Channel Name],"")</f>
        <v>In-store</v>
      </c>
      <c r="R5389" s="1">
        <f>MONTH(tblSales[[#This Row],[Date]])</f>
        <v>11</v>
      </c>
    </row>
    <row r="5390" spans="2:18" x14ac:dyDescent="0.35">
      <c r="B5390" s="113">
        <v>46349</v>
      </c>
      <c r="C5390" s="4" t="s">
        <v>3696</v>
      </c>
      <c r="D5390" s="4" t="s">
        <v>4572</v>
      </c>
      <c r="E5390" s="1" t="str">
        <f>_xlfn.XLOOKUP(tblSales[[#This Row],[Customer ID]],tblCustomers[Customer ID],tblCustomers[Customer Name],"⚠ Unknown")</f>
        <v>PT Cahaya Abadi Makmur</v>
      </c>
      <c r="F5390" s="4" t="s">
        <v>9</v>
      </c>
      <c r="G5390" s="1" t="str">
        <f>_xlfn.XLOOKUP(tblSales[[#This Row],[Product Code]],tblProducts[Code],tblProducts[Product / Service Name],"⚠ Unknown")</f>
        <v>Casual Shirt</v>
      </c>
      <c r="H5390" s="1" t="str">
        <f>_xlfn.XLOOKUP(tblSales[[#This Row],[Product Code]],tblProducts[Code],tblProducts[Category],"")</f>
        <v>Apparel &amp; Footwear</v>
      </c>
      <c r="I5390" s="4">
        <v>80</v>
      </c>
      <c r="J5390" s="5">
        <f>_xlfn.XLOOKUP(tblSales[[#This Row],[Product Code]],tblProducts[Code],tblProducts[Selling Price (excl. VAT)],0)</f>
        <v>120000</v>
      </c>
      <c r="K5390" s="5">
        <f>tblSales[[#This Row],[Qty]]*tblSales[[#This Row],[Unit Price]]</f>
        <v>9600000</v>
      </c>
      <c r="L5390" s="5">
        <f>ROUND(tblSales[[#This Row],[DPP (excl. VAT)]]*VATEff,0)</f>
        <v>1056000</v>
      </c>
      <c r="M5390" s="5">
        <f>tblSales[[#This Row],[DPP (excl. VAT)]]+tblSales[[#This Row],[Output VAT]]</f>
        <v>10656000</v>
      </c>
      <c r="N5390" s="5">
        <f>tblSales[[#This Row],[Qty]]*_xlfn.XLOOKUP(tblSales[[#This Row],[Product Code]],tblProducts[Code],tblProducts[Unit Cost],0)</f>
        <v>5760000</v>
      </c>
      <c r="O5390" s="4" t="s">
        <v>4867</v>
      </c>
      <c r="P5390" s="4" t="s">
        <v>4860</v>
      </c>
      <c r="Q5390" s="1" t="str">
        <f>_xlfn.XLOOKUP(tblSales[[#This Row],[Channel Code]],tblChannels[Channel Code],tblChannels[Channel Name],"")</f>
        <v>In-store</v>
      </c>
      <c r="R5390" s="1">
        <f>MONTH(tblSales[[#This Row],[Date]])</f>
        <v>11</v>
      </c>
    </row>
    <row r="5391" spans="2:18" x14ac:dyDescent="0.35">
      <c r="B5391" s="113">
        <v>46349</v>
      </c>
      <c r="C5391" s="4" t="s">
        <v>3696</v>
      </c>
      <c r="D5391" s="4" t="s">
        <v>4572</v>
      </c>
      <c r="E5391" s="1" t="str">
        <f>_xlfn.XLOOKUP(tblSales[[#This Row],[Customer ID]],tblCustomers[Customer ID],tblCustomers[Customer Name],"⚠ Unknown")</f>
        <v>PT Cahaya Abadi Makmur</v>
      </c>
      <c r="F5391" s="4" t="s">
        <v>7</v>
      </c>
      <c r="G5391" s="1" t="str">
        <f>_xlfn.XLOOKUP(tblSales[[#This Row],[Product Code]],tblProducts[Code],tblProducts[Product / Service Name],"⚠ Unknown")</f>
        <v>Premium Basic T-shirt</v>
      </c>
      <c r="H5391" s="1" t="str">
        <f>_xlfn.XLOOKUP(tblSales[[#This Row],[Product Code]],tblProducts[Code],tblProducts[Category],"")</f>
        <v>Accessories &amp; Basics</v>
      </c>
      <c r="I5391" s="4">
        <v>72</v>
      </c>
      <c r="J5391" s="5">
        <f>_xlfn.XLOOKUP(tblSales[[#This Row],[Product Code]],tblProducts[Code],tblProducts[Selling Price (excl. VAT)],0)</f>
        <v>65000</v>
      </c>
      <c r="K5391" s="5">
        <f>tblSales[[#This Row],[Qty]]*tblSales[[#This Row],[Unit Price]]</f>
        <v>4680000</v>
      </c>
      <c r="L5391" s="5">
        <f>ROUND(tblSales[[#This Row],[DPP (excl. VAT)]]*VATEff,0)</f>
        <v>514800</v>
      </c>
      <c r="M5391" s="5">
        <f>tblSales[[#This Row],[DPP (excl. VAT)]]+tblSales[[#This Row],[Output VAT]]</f>
        <v>5194800</v>
      </c>
      <c r="N5391" s="5">
        <f>tblSales[[#This Row],[Qty]]*_xlfn.XLOOKUP(tblSales[[#This Row],[Product Code]],tblProducts[Code],tblProducts[Unit Cost],0)</f>
        <v>2664000</v>
      </c>
      <c r="O5391" s="4" t="s">
        <v>4867</v>
      </c>
      <c r="P5391" s="4" t="s">
        <v>4860</v>
      </c>
      <c r="Q5391" s="1" t="str">
        <f>_xlfn.XLOOKUP(tblSales[[#This Row],[Channel Code]],tblChannels[Channel Code],tblChannels[Channel Name],"")</f>
        <v>In-store</v>
      </c>
      <c r="R5391" s="1">
        <f>MONTH(tblSales[[#This Row],[Date]])</f>
        <v>11</v>
      </c>
    </row>
    <row r="5392" spans="2:18" x14ac:dyDescent="0.35">
      <c r="B5392" s="113">
        <v>46349</v>
      </c>
      <c r="C5392" s="4" t="s">
        <v>3697</v>
      </c>
      <c r="D5392" s="4" t="s">
        <v>4634</v>
      </c>
      <c r="E5392" s="1" t="str">
        <f>_xlfn.XLOOKUP(tblSales[[#This Row],[Customer ID]],tblCustomers[Customer ID],tblCustomers[Customer Name],"⚠ Unknown")</f>
        <v>PT Delta Inti Selaras</v>
      </c>
      <c r="F5392" s="4" t="s">
        <v>14</v>
      </c>
      <c r="G5392" s="1" t="str">
        <f>_xlfn.XLOOKUP(tblSales[[#This Row],[Product Code]],tblProducts[Code],tblProducts[Product / Service Name],"⚠ Unknown")</f>
        <v>Smartwatch</v>
      </c>
      <c r="H5392" s="1" t="str">
        <f>_xlfn.XLOOKUP(tblSales[[#This Row],[Product Code]],tblProducts[Code],tblProducts[Category],"")</f>
        <v>Bags &amp; Gadgets</v>
      </c>
      <c r="I5392" s="4">
        <v>16</v>
      </c>
      <c r="J5392" s="5">
        <f>_xlfn.XLOOKUP(tblSales[[#This Row],[Product Code]],tblProducts[Code],tblProducts[Selling Price (excl. VAT)],0)</f>
        <v>850000</v>
      </c>
      <c r="K5392" s="5">
        <f>tblSales[[#This Row],[Qty]]*tblSales[[#This Row],[Unit Price]]</f>
        <v>13600000</v>
      </c>
      <c r="L5392" s="5">
        <f>ROUND(tblSales[[#This Row],[DPP (excl. VAT)]]*VATEff,0)</f>
        <v>1496000</v>
      </c>
      <c r="M5392" s="5">
        <f>tblSales[[#This Row],[DPP (excl. VAT)]]+tblSales[[#This Row],[Output VAT]]</f>
        <v>15096000</v>
      </c>
      <c r="N5392" s="5">
        <f>tblSales[[#This Row],[Qty]]*_xlfn.XLOOKUP(tblSales[[#This Row],[Product Code]],tblProducts[Code],tblProducts[Unit Cost],0)</f>
        <v>8960000</v>
      </c>
      <c r="O5392" s="4" t="s">
        <v>4867</v>
      </c>
      <c r="P5392" s="4" t="s">
        <v>4860</v>
      </c>
      <c r="Q5392" s="1" t="str">
        <f>_xlfn.XLOOKUP(tblSales[[#This Row],[Channel Code]],tblChannels[Channel Code],tblChannels[Channel Name],"")</f>
        <v>In-store</v>
      </c>
      <c r="R5392" s="1">
        <f>MONTH(tblSales[[#This Row],[Date]])</f>
        <v>11</v>
      </c>
    </row>
    <row r="5393" spans="2:18" x14ac:dyDescent="0.35">
      <c r="B5393" s="113">
        <v>46349</v>
      </c>
      <c r="C5393" s="4" t="s">
        <v>3698</v>
      </c>
      <c r="D5393" s="4" t="s">
        <v>4568</v>
      </c>
      <c r="E5393" s="1" t="str">
        <f>_xlfn.XLOOKUP(tblSales[[#This Row],[Customer ID]],tblCustomers[Customer ID],tblCustomers[Customer Name],"⚠ Unknown")</f>
        <v>Walk-in Customer</v>
      </c>
      <c r="F5393" s="4" t="s">
        <v>7</v>
      </c>
      <c r="G5393" s="1" t="str">
        <f>_xlfn.XLOOKUP(tblSales[[#This Row],[Product Code]],tblProducts[Code],tblProducts[Product / Service Name],"⚠ Unknown")</f>
        <v>Premium Basic T-shirt</v>
      </c>
      <c r="H5393" s="1" t="str">
        <f>_xlfn.XLOOKUP(tblSales[[#This Row],[Product Code]],tblProducts[Code],tblProducts[Category],"")</f>
        <v>Accessories &amp; Basics</v>
      </c>
      <c r="I5393" s="4">
        <v>10</v>
      </c>
      <c r="J5393" s="5">
        <f>_xlfn.XLOOKUP(tblSales[[#This Row],[Product Code]],tblProducts[Code],tblProducts[Selling Price (excl. VAT)],0)</f>
        <v>65000</v>
      </c>
      <c r="K5393" s="5">
        <f>tblSales[[#This Row],[Qty]]*tblSales[[#This Row],[Unit Price]]</f>
        <v>650000</v>
      </c>
      <c r="L5393" s="5">
        <f>ROUND(tblSales[[#This Row],[DPP (excl. VAT)]]*VATEff,0)</f>
        <v>71500</v>
      </c>
      <c r="M5393" s="5">
        <f>tblSales[[#This Row],[DPP (excl. VAT)]]+tblSales[[#This Row],[Output VAT]]</f>
        <v>721500</v>
      </c>
      <c r="N5393" s="5">
        <f>tblSales[[#This Row],[Qty]]*_xlfn.XLOOKUP(tblSales[[#This Row],[Product Code]],tblProducts[Code],tblProducts[Unit Cost],0)</f>
        <v>370000</v>
      </c>
      <c r="O5393" s="4" t="s">
        <v>4866</v>
      </c>
      <c r="P5393" s="4" t="s">
        <v>4861</v>
      </c>
      <c r="Q5393" s="1" t="str">
        <f>_xlfn.XLOOKUP(tblSales[[#This Row],[Channel Code]],tblChannels[Channel Code],tblChannels[Channel Name],"")</f>
        <v>Marketplace</v>
      </c>
      <c r="R5393" s="1">
        <f>MONTH(tblSales[[#This Row],[Date]])</f>
        <v>11</v>
      </c>
    </row>
    <row r="5394" spans="2:18" x14ac:dyDescent="0.35">
      <c r="B5394" s="113">
        <v>46349</v>
      </c>
      <c r="C5394" s="4" t="s">
        <v>3699</v>
      </c>
      <c r="D5394" s="4" t="s">
        <v>4568</v>
      </c>
      <c r="E5394" s="1" t="str">
        <f>_xlfn.XLOOKUP(tblSales[[#This Row],[Customer ID]],tblCustomers[Customer ID],tblCustomers[Customer Name],"⚠ Unknown")</f>
        <v>Walk-in Customer</v>
      </c>
      <c r="F5394" s="4" t="s">
        <v>9</v>
      </c>
      <c r="G5394" s="1" t="str">
        <f>_xlfn.XLOOKUP(tblSales[[#This Row],[Product Code]],tblProducts[Code],tblProducts[Product / Service Name],"⚠ Unknown")</f>
        <v>Casual Shirt</v>
      </c>
      <c r="H5394" s="1" t="str">
        <f>_xlfn.XLOOKUP(tblSales[[#This Row],[Product Code]],tblProducts[Code],tblProducts[Category],"")</f>
        <v>Apparel &amp; Footwear</v>
      </c>
      <c r="I5394" s="4">
        <v>10</v>
      </c>
      <c r="J5394" s="5">
        <f>_xlfn.XLOOKUP(tblSales[[#This Row],[Product Code]],tblProducts[Code],tblProducts[Selling Price (excl. VAT)],0)</f>
        <v>120000</v>
      </c>
      <c r="K5394" s="5">
        <f>tblSales[[#This Row],[Qty]]*tblSales[[#This Row],[Unit Price]]</f>
        <v>1200000</v>
      </c>
      <c r="L5394" s="5">
        <f>ROUND(tblSales[[#This Row],[DPP (excl. VAT)]]*VATEff,0)</f>
        <v>132000</v>
      </c>
      <c r="M5394" s="5">
        <f>tblSales[[#This Row],[DPP (excl. VAT)]]+tblSales[[#This Row],[Output VAT]]</f>
        <v>1332000</v>
      </c>
      <c r="N5394" s="5">
        <f>tblSales[[#This Row],[Qty]]*_xlfn.XLOOKUP(tblSales[[#This Row],[Product Code]],tblProducts[Code],tblProducts[Unit Cost],0)</f>
        <v>720000</v>
      </c>
      <c r="O5394" s="4" t="s">
        <v>4866</v>
      </c>
      <c r="P5394" s="4" t="s">
        <v>4862</v>
      </c>
      <c r="Q5394" s="1" t="str">
        <f>_xlfn.XLOOKUP(tblSales[[#This Row],[Channel Code]],tblChannels[Channel Code],tblChannels[Channel Name],"")</f>
        <v>Website &amp; Social Media</v>
      </c>
      <c r="R5394" s="1">
        <f>MONTH(tblSales[[#This Row],[Date]])</f>
        <v>11</v>
      </c>
    </row>
    <row r="5395" spans="2:18" x14ac:dyDescent="0.35">
      <c r="B5395" s="113">
        <v>46349</v>
      </c>
      <c r="C5395" s="4" t="s">
        <v>3699</v>
      </c>
      <c r="D5395" s="4" t="s">
        <v>4568</v>
      </c>
      <c r="E5395" s="1" t="str">
        <f>_xlfn.XLOOKUP(tblSales[[#This Row],[Customer ID]],tblCustomers[Customer ID],tblCustomers[Customer Name],"⚠ Unknown")</f>
        <v>Walk-in Customer</v>
      </c>
      <c r="F5395" s="4" t="s">
        <v>10</v>
      </c>
      <c r="G5395" s="1" t="str">
        <f>_xlfn.XLOOKUP(tblSales[[#This Row],[Product Code]],tblProducts[Code],tblProducts[Product / Service Name],"⚠ Unknown")</f>
        <v>Chino Pants</v>
      </c>
      <c r="H5395" s="1" t="str">
        <f>_xlfn.XLOOKUP(tblSales[[#This Row],[Product Code]],tblProducts[Code],tblProducts[Category],"")</f>
        <v>Apparel &amp; Footwear</v>
      </c>
      <c r="I5395" s="4">
        <v>9</v>
      </c>
      <c r="J5395" s="5">
        <f>_xlfn.XLOOKUP(tblSales[[#This Row],[Product Code]],tblProducts[Code],tblProducts[Selling Price (excl. VAT)],0)</f>
        <v>150000</v>
      </c>
      <c r="K5395" s="5">
        <f>tblSales[[#This Row],[Qty]]*tblSales[[#This Row],[Unit Price]]</f>
        <v>1350000</v>
      </c>
      <c r="L5395" s="5">
        <f>ROUND(tblSales[[#This Row],[DPP (excl. VAT)]]*VATEff,0)</f>
        <v>148500</v>
      </c>
      <c r="M5395" s="5">
        <f>tblSales[[#This Row],[DPP (excl. VAT)]]+tblSales[[#This Row],[Output VAT]]</f>
        <v>1498500</v>
      </c>
      <c r="N5395" s="5">
        <f>tblSales[[#This Row],[Qty]]*_xlfn.XLOOKUP(tblSales[[#This Row],[Product Code]],tblProducts[Code],tblProducts[Unit Cost],0)</f>
        <v>792000</v>
      </c>
      <c r="O5395" s="4" t="s">
        <v>4866</v>
      </c>
      <c r="P5395" s="4" t="s">
        <v>4862</v>
      </c>
      <c r="Q5395" s="1" t="str">
        <f>_xlfn.XLOOKUP(tblSales[[#This Row],[Channel Code]],tblChannels[Channel Code],tblChannels[Channel Name],"")</f>
        <v>Website &amp; Social Media</v>
      </c>
      <c r="R5395" s="1">
        <f>MONTH(tblSales[[#This Row],[Date]])</f>
        <v>11</v>
      </c>
    </row>
    <row r="5396" spans="2:18" x14ac:dyDescent="0.35">
      <c r="B5396" s="113">
        <v>46349</v>
      </c>
      <c r="C5396" s="4" t="s">
        <v>3699</v>
      </c>
      <c r="D5396" s="4" t="s">
        <v>4568</v>
      </c>
      <c r="E5396" s="1" t="str">
        <f>_xlfn.XLOOKUP(tblSales[[#This Row],[Customer ID]],tblCustomers[Customer ID],tblCustomers[Customer Name],"⚠ Unknown")</f>
        <v>Walk-in Customer</v>
      </c>
      <c r="F5396" s="4" t="s">
        <v>11</v>
      </c>
      <c r="G5396" s="1" t="str">
        <f>_xlfn.XLOOKUP(tblSales[[#This Row],[Product Code]],tblProducts[Code],tblProducts[Product / Service Name],"⚠ Unknown")</f>
        <v>Sneakers</v>
      </c>
      <c r="H5396" s="1" t="str">
        <f>_xlfn.XLOOKUP(tblSales[[#This Row],[Product Code]],tblProducts[Code],tblProducts[Category],"")</f>
        <v>Apparel &amp; Footwear</v>
      </c>
      <c r="I5396" s="4">
        <v>6</v>
      </c>
      <c r="J5396" s="5">
        <f>_xlfn.XLOOKUP(tblSales[[#This Row],[Product Code]],tblProducts[Code],tblProducts[Selling Price (excl. VAT)],0)</f>
        <v>250000</v>
      </c>
      <c r="K5396" s="5">
        <f>tblSales[[#This Row],[Qty]]*tblSales[[#This Row],[Unit Price]]</f>
        <v>1500000</v>
      </c>
      <c r="L5396" s="5">
        <f>ROUND(tblSales[[#This Row],[DPP (excl. VAT)]]*VATEff,0)</f>
        <v>165000</v>
      </c>
      <c r="M5396" s="5">
        <f>tblSales[[#This Row],[DPP (excl. VAT)]]+tblSales[[#This Row],[Output VAT]]</f>
        <v>1665000</v>
      </c>
      <c r="N5396" s="5">
        <f>tblSales[[#This Row],[Qty]]*_xlfn.XLOOKUP(tblSales[[#This Row],[Product Code]],tblProducts[Code],tblProducts[Unit Cost],0)</f>
        <v>930000</v>
      </c>
      <c r="O5396" s="4" t="s">
        <v>4866</v>
      </c>
      <c r="P5396" s="4" t="s">
        <v>4862</v>
      </c>
      <c r="Q5396" s="1" t="str">
        <f>_xlfn.XLOOKUP(tblSales[[#This Row],[Channel Code]],tblChannels[Channel Code],tblChannels[Channel Name],"")</f>
        <v>Website &amp; Social Media</v>
      </c>
      <c r="R5396" s="1">
        <f>MONTH(tblSales[[#This Row],[Date]])</f>
        <v>11</v>
      </c>
    </row>
    <row r="5397" spans="2:18" x14ac:dyDescent="0.35">
      <c r="B5397" s="113">
        <v>46349</v>
      </c>
      <c r="C5397" s="4" t="s">
        <v>3700</v>
      </c>
      <c r="D5397" s="4" t="s">
        <v>4568</v>
      </c>
      <c r="E5397" s="1" t="str">
        <f>_xlfn.XLOOKUP(tblSales[[#This Row],[Customer ID]],tblCustomers[Customer ID],tblCustomers[Customer Name],"⚠ Unknown")</f>
        <v>Walk-in Customer</v>
      </c>
      <c r="F5397" s="4" t="s">
        <v>7</v>
      </c>
      <c r="G5397" s="1" t="str">
        <f>_xlfn.XLOOKUP(tblSales[[#This Row],[Product Code]],tblProducts[Code],tblProducts[Product / Service Name],"⚠ Unknown")</f>
        <v>Premium Basic T-shirt</v>
      </c>
      <c r="H5397" s="1" t="str">
        <f>_xlfn.XLOOKUP(tblSales[[#This Row],[Product Code]],tblProducts[Code],tblProducts[Category],"")</f>
        <v>Accessories &amp; Basics</v>
      </c>
      <c r="I5397" s="4">
        <v>3</v>
      </c>
      <c r="J5397" s="5">
        <f>_xlfn.XLOOKUP(tblSales[[#This Row],[Product Code]],tblProducts[Code],tblProducts[Selling Price (excl. VAT)],0)</f>
        <v>65000</v>
      </c>
      <c r="K5397" s="5">
        <f>tblSales[[#This Row],[Qty]]*tblSales[[#This Row],[Unit Price]]</f>
        <v>195000</v>
      </c>
      <c r="L5397" s="5">
        <f>ROUND(tblSales[[#This Row],[DPP (excl. VAT)]]*VATEff,0)</f>
        <v>21450</v>
      </c>
      <c r="M5397" s="5">
        <f>tblSales[[#This Row],[DPP (excl. VAT)]]+tblSales[[#This Row],[Output VAT]]</f>
        <v>216450</v>
      </c>
      <c r="N5397" s="5">
        <f>tblSales[[#This Row],[Qty]]*_xlfn.XLOOKUP(tblSales[[#This Row],[Product Code]],tblProducts[Code],tblProducts[Unit Cost],0)</f>
        <v>111000</v>
      </c>
      <c r="O5397" s="4" t="s">
        <v>4865</v>
      </c>
      <c r="P5397" s="4" t="s">
        <v>4860</v>
      </c>
      <c r="Q5397" s="1" t="str">
        <f>_xlfn.XLOOKUP(tblSales[[#This Row],[Channel Code]],tblChannels[Channel Code],tblChannels[Channel Name],"")</f>
        <v>In-store</v>
      </c>
      <c r="R5397" s="1">
        <f>MONTH(tblSales[[#This Row],[Date]])</f>
        <v>11</v>
      </c>
    </row>
    <row r="5398" spans="2:18" x14ac:dyDescent="0.35">
      <c r="B5398" s="113">
        <v>46349</v>
      </c>
      <c r="C5398" s="4" t="s">
        <v>3701</v>
      </c>
      <c r="D5398" s="4" t="s">
        <v>4648</v>
      </c>
      <c r="E5398" s="1" t="str">
        <f>_xlfn.XLOOKUP(tblSales[[#This Row],[Customer ID]],tblCustomers[Customer ID],tblCustomers[Customer Name],"⚠ Unknown")</f>
        <v>PT Lintas Benua Niaga</v>
      </c>
      <c r="F5398" s="4" t="s">
        <v>7</v>
      </c>
      <c r="G5398" s="1" t="str">
        <f>_xlfn.XLOOKUP(tblSales[[#This Row],[Product Code]],tblProducts[Code],tblProducts[Product / Service Name],"⚠ Unknown")</f>
        <v>Premium Basic T-shirt</v>
      </c>
      <c r="H5398" s="1" t="str">
        <f>_xlfn.XLOOKUP(tblSales[[#This Row],[Product Code]],tblProducts[Code],tblProducts[Category],"")</f>
        <v>Accessories &amp; Basics</v>
      </c>
      <c r="I5398" s="4">
        <v>64</v>
      </c>
      <c r="J5398" s="5">
        <f>_xlfn.XLOOKUP(tblSales[[#This Row],[Product Code]],tblProducts[Code],tblProducts[Selling Price (excl. VAT)],0)</f>
        <v>65000</v>
      </c>
      <c r="K5398" s="5">
        <f>tblSales[[#This Row],[Qty]]*tblSales[[#This Row],[Unit Price]]</f>
        <v>4160000</v>
      </c>
      <c r="L5398" s="5">
        <f>ROUND(tblSales[[#This Row],[DPP (excl. VAT)]]*VATEff,0)</f>
        <v>457600</v>
      </c>
      <c r="M5398" s="5">
        <f>tblSales[[#This Row],[DPP (excl. VAT)]]+tblSales[[#This Row],[Output VAT]]</f>
        <v>4617600</v>
      </c>
      <c r="N5398" s="5">
        <f>tblSales[[#This Row],[Qty]]*_xlfn.XLOOKUP(tblSales[[#This Row],[Product Code]],tblProducts[Code],tblProducts[Unit Cost],0)</f>
        <v>2368000</v>
      </c>
      <c r="O5398" s="4" t="s">
        <v>4867</v>
      </c>
      <c r="P5398" s="4" t="s">
        <v>4860</v>
      </c>
      <c r="Q5398" s="1" t="str">
        <f>_xlfn.XLOOKUP(tblSales[[#This Row],[Channel Code]],tblChannels[Channel Code],tblChannels[Channel Name],"")</f>
        <v>In-store</v>
      </c>
      <c r="R5398" s="1">
        <f>MONTH(tblSales[[#This Row],[Date]])</f>
        <v>11</v>
      </c>
    </row>
    <row r="5399" spans="2:18" x14ac:dyDescent="0.35">
      <c r="B5399" s="113">
        <v>46349</v>
      </c>
      <c r="C5399" s="4" t="s">
        <v>3701</v>
      </c>
      <c r="D5399" s="4" t="s">
        <v>4648</v>
      </c>
      <c r="E5399" s="1" t="str">
        <f>_xlfn.XLOOKUP(tblSales[[#This Row],[Customer ID]],tblCustomers[Customer ID],tblCustomers[Customer Name],"⚠ Unknown")</f>
        <v>PT Lintas Benua Niaga</v>
      </c>
      <c r="F5399" s="4" t="s">
        <v>6</v>
      </c>
      <c r="G5399" s="1" t="str">
        <f>_xlfn.XLOOKUP(tblSales[[#This Row],[Product Code]],tblProducts[Code],tblProducts[Product / Service Name],"⚠ Unknown")</f>
        <v>Socks &amp; Accessories</v>
      </c>
      <c r="H5399" s="1" t="str">
        <f>_xlfn.XLOOKUP(tblSales[[#This Row],[Product Code]],tblProducts[Code],tblProducts[Category],"")</f>
        <v>Accessories &amp; Basics</v>
      </c>
      <c r="I5399" s="4">
        <v>64</v>
      </c>
      <c r="J5399" s="5">
        <f>_xlfn.XLOOKUP(tblSales[[#This Row],[Product Code]],tblProducts[Code],tblProducts[Selling Price (excl. VAT)],0)</f>
        <v>45000</v>
      </c>
      <c r="K5399" s="5">
        <f>tblSales[[#This Row],[Qty]]*tblSales[[#This Row],[Unit Price]]</f>
        <v>2880000</v>
      </c>
      <c r="L5399" s="5">
        <f>ROUND(tblSales[[#This Row],[DPP (excl. VAT)]]*VATEff,0)</f>
        <v>316800</v>
      </c>
      <c r="M5399" s="5">
        <f>tblSales[[#This Row],[DPP (excl. VAT)]]+tblSales[[#This Row],[Output VAT]]</f>
        <v>3196800</v>
      </c>
      <c r="N5399" s="5">
        <f>tblSales[[#This Row],[Qty]]*_xlfn.XLOOKUP(tblSales[[#This Row],[Product Code]],tblProducts[Code],tblProducts[Unit Cost],0)</f>
        <v>1536000</v>
      </c>
      <c r="O5399" s="4" t="s">
        <v>4867</v>
      </c>
      <c r="P5399" s="4" t="s">
        <v>4860</v>
      </c>
      <c r="Q5399" s="1" t="str">
        <f>_xlfn.XLOOKUP(tblSales[[#This Row],[Channel Code]],tblChannels[Channel Code],tblChannels[Channel Name],"")</f>
        <v>In-store</v>
      </c>
      <c r="R5399" s="1">
        <f>MONTH(tblSales[[#This Row],[Date]])</f>
        <v>11</v>
      </c>
    </row>
    <row r="5400" spans="2:18" x14ac:dyDescent="0.35">
      <c r="B5400" s="113">
        <v>46349</v>
      </c>
      <c r="C5400" s="4" t="s">
        <v>3702</v>
      </c>
      <c r="D5400" s="4" t="s">
        <v>4568</v>
      </c>
      <c r="E5400" s="1" t="str">
        <f>_xlfn.XLOOKUP(tblSales[[#This Row],[Customer ID]],tblCustomers[Customer ID],tblCustomers[Customer Name],"⚠ Unknown")</f>
        <v>Walk-in Customer</v>
      </c>
      <c r="F5400" s="4" t="s">
        <v>12</v>
      </c>
      <c r="G5400" s="1" t="str">
        <f>_xlfn.XLOOKUP(tblSales[[#This Row],[Product Code]],tblProducts[Code],tblProducts[Product / Service Name],"⚠ Unknown")</f>
        <v>Bomber Jacket</v>
      </c>
      <c r="H5400" s="1" t="str">
        <f>_xlfn.XLOOKUP(tblSales[[#This Row],[Product Code]],tblProducts[Code],tblProducts[Category],"")</f>
        <v>Apparel &amp; Footwear</v>
      </c>
      <c r="I5400" s="4">
        <v>4</v>
      </c>
      <c r="J5400" s="5">
        <f>_xlfn.XLOOKUP(tblSales[[#This Row],[Product Code]],tblProducts[Code],tblProducts[Selling Price (excl. VAT)],0)</f>
        <v>350000</v>
      </c>
      <c r="K5400" s="5">
        <f>tblSales[[#This Row],[Qty]]*tblSales[[#This Row],[Unit Price]]</f>
        <v>1400000</v>
      </c>
      <c r="L5400" s="5">
        <f>ROUND(tblSales[[#This Row],[DPP (excl. VAT)]]*VATEff,0)</f>
        <v>154000</v>
      </c>
      <c r="M5400" s="5">
        <f>tblSales[[#This Row],[DPP (excl. VAT)]]+tblSales[[#This Row],[Output VAT]]</f>
        <v>1554000</v>
      </c>
      <c r="N5400" s="5">
        <f>tblSales[[#This Row],[Qty]]*_xlfn.XLOOKUP(tblSales[[#This Row],[Product Code]],tblProducts[Code],tblProducts[Unit Cost],0)</f>
        <v>840000</v>
      </c>
      <c r="O5400" s="4" t="s">
        <v>4865</v>
      </c>
      <c r="P5400" s="4" t="s">
        <v>4860</v>
      </c>
      <c r="Q5400" s="1" t="str">
        <f>_xlfn.XLOOKUP(tblSales[[#This Row],[Channel Code]],tblChannels[Channel Code],tblChannels[Channel Name],"")</f>
        <v>In-store</v>
      </c>
      <c r="R5400" s="1">
        <f>MONTH(tblSales[[#This Row],[Date]])</f>
        <v>11</v>
      </c>
    </row>
    <row r="5401" spans="2:18" x14ac:dyDescent="0.35">
      <c r="B5401" s="113">
        <v>46349</v>
      </c>
      <c r="C5401" s="4" t="s">
        <v>3703</v>
      </c>
      <c r="D5401" s="4" t="s">
        <v>4568</v>
      </c>
      <c r="E5401" s="1" t="str">
        <f>_xlfn.XLOOKUP(tblSales[[#This Row],[Customer ID]],tblCustomers[Customer ID],tblCustomers[Customer Name],"⚠ Unknown")</f>
        <v>Walk-in Customer</v>
      </c>
      <c r="F5401" s="4" t="s">
        <v>11</v>
      </c>
      <c r="G5401" s="1" t="str">
        <f>_xlfn.XLOOKUP(tblSales[[#This Row],[Product Code]],tblProducts[Code],tblProducts[Product / Service Name],"⚠ Unknown")</f>
        <v>Sneakers</v>
      </c>
      <c r="H5401" s="1" t="str">
        <f>_xlfn.XLOOKUP(tblSales[[#This Row],[Product Code]],tblProducts[Code],tblProducts[Category],"")</f>
        <v>Apparel &amp; Footwear</v>
      </c>
      <c r="I5401" s="4">
        <v>1</v>
      </c>
      <c r="J5401" s="5">
        <f>_xlfn.XLOOKUP(tblSales[[#This Row],[Product Code]],tblProducts[Code],tblProducts[Selling Price (excl. VAT)],0)</f>
        <v>250000</v>
      </c>
      <c r="K5401" s="5">
        <f>tblSales[[#This Row],[Qty]]*tblSales[[#This Row],[Unit Price]]</f>
        <v>250000</v>
      </c>
      <c r="L5401" s="5">
        <f>ROUND(tblSales[[#This Row],[DPP (excl. VAT)]]*VATEff,0)</f>
        <v>27500</v>
      </c>
      <c r="M5401" s="5">
        <f>tblSales[[#This Row],[DPP (excl. VAT)]]+tblSales[[#This Row],[Output VAT]]</f>
        <v>277500</v>
      </c>
      <c r="N5401" s="5">
        <f>tblSales[[#This Row],[Qty]]*_xlfn.XLOOKUP(tblSales[[#This Row],[Product Code]],tblProducts[Code],tblProducts[Unit Cost],0)</f>
        <v>155000</v>
      </c>
      <c r="O5401" s="4" t="s">
        <v>4865</v>
      </c>
      <c r="P5401" s="4" t="s">
        <v>4860</v>
      </c>
      <c r="Q5401" s="1" t="str">
        <f>_xlfn.XLOOKUP(tblSales[[#This Row],[Channel Code]],tblChannels[Channel Code],tblChannels[Channel Name],"")</f>
        <v>In-store</v>
      </c>
      <c r="R5401" s="1">
        <f>MONTH(tblSales[[#This Row],[Date]])</f>
        <v>11</v>
      </c>
    </row>
    <row r="5402" spans="2:18" x14ac:dyDescent="0.35">
      <c r="B5402" s="113">
        <v>46349</v>
      </c>
      <c r="C5402" s="4" t="s">
        <v>3703</v>
      </c>
      <c r="D5402" s="4" t="s">
        <v>4568</v>
      </c>
      <c r="E5402" s="1" t="str">
        <f>_xlfn.XLOOKUP(tblSales[[#This Row],[Customer ID]],tblCustomers[Customer ID],tblCustomers[Customer Name],"⚠ Unknown")</f>
        <v>Walk-in Customer</v>
      </c>
      <c r="F5402" s="4" t="s">
        <v>7</v>
      </c>
      <c r="G5402" s="1" t="str">
        <f>_xlfn.XLOOKUP(tblSales[[#This Row],[Product Code]],tblProducts[Code],tblProducts[Product / Service Name],"⚠ Unknown")</f>
        <v>Premium Basic T-shirt</v>
      </c>
      <c r="H5402" s="1" t="str">
        <f>_xlfn.XLOOKUP(tblSales[[#This Row],[Product Code]],tblProducts[Code],tblProducts[Category],"")</f>
        <v>Accessories &amp; Basics</v>
      </c>
      <c r="I5402" s="4">
        <v>5</v>
      </c>
      <c r="J5402" s="5">
        <f>_xlfn.XLOOKUP(tblSales[[#This Row],[Product Code]],tblProducts[Code],tblProducts[Selling Price (excl. VAT)],0)</f>
        <v>65000</v>
      </c>
      <c r="K5402" s="5">
        <f>tblSales[[#This Row],[Qty]]*tblSales[[#This Row],[Unit Price]]</f>
        <v>325000</v>
      </c>
      <c r="L5402" s="5">
        <f>ROUND(tblSales[[#This Row],[DPP (excl. VAT)]]*VATEff,0)</f>
        <v>35750</v>
      </c>
      <c r="M5402" s="5">
        <f>tblSales[[#This Row],[DPP (excl. VAT)]]+tblSales[[#This Row],[Output VAT]]</f>
        <v>360750</v>
      </c>
      <c r="N5402" s="5">
        <f>tblSales[[#This Row],[Qty]]*_xlfn.XLOOKUP(tblSales[[#This Row],[Product Code]],tblProducts[Code],tblProducts[Unit Cost],0)</f>
        <v>185000</v>
      </c>
      <c r="O5402" s="4" t="s">
        <v>4865</v>
      </c>
      <c r="P5402" s="4" t="s">
        <v>4860</v>
      </c>
      <c r="Q5402" s="1" t="str">
        <f>_xlfn.XLOOKUP(tblSales[[#This Row],[Channel Code]],tblChannels[Channel Code],tblChannels[Channel Name],"")</f>
        <v>In-store</v>
      </c>
      <c r="R5402" s="1">
        <f>MONTH(tblSales[[#This Row],[Date]])</f>
        <v>11</v>
      </c>
    </row>
    <row r="5403" spans="2:18" x14ac:dyDescent="0.35">
      <c r="B5403" s="113">
        <v>46350</v>
      </c>
      <c r="C5403" s="4" t="s">
        <v>3704</v>
      </c>
      <c r="D5403" s="4" t="s">
        <v>4568</v>
      </c>
      <c r="E5403" s="1" t="str">
        <f>_xlfn.XLOOKUP(tblSales[[#This Row],[Customer ID]],tblCustomers[Customer ID],tblCustomers[Customer Name],"⚠ Unknown")</f>
        <v>Walk-in Customer</v>
      </c>
      <c r="F5403" s="4" t="s">
        <v>12</v>
      </c>
      <c r="G5403" s="1" t="str">
        <f>_xlfn.XLOOKUP(tblSales[[#This Row],[Product Code]],tblProducts[Code],tblProducts[Product / Service Name],"⚠ Unknown")</f>
        <v>Bomber Jacket</v>
      </c>
      <c r="H5403" s="1" t="str">
        <f>_xlfn.XLOOKUP(tblSales[[#This Row],[Product Code]],tblProducts[Code],tblProducts[Category],"")</f>
        <v>Apparel &amp; Footwear</v>
      </c>
      <c r="I5403" s="4">
        <v>5</v>
      </c>
      <c r="J5403" s="5">
        <f>_xlfn.XLOOKUP(tblSales[[#This Row],[Product Code]],tblProducts[Code],tblProducts[Selling Price (excl. VAT)],0)</f>
        <v>350000</v>
      </c>
      <c r="K5403" s="5">
        <f>tblSales[[#This Row],[Qty]]*tblSales[[#This Row],[Unit Price]]</f>
        <v>1750000</v>
      </c>
      <c r="L5403" s="5">
        <f>ROUND(tblSales[[#This Row],[DPP (excl. VAT)]]*VATEff,0)</f>
        <v>192500</v>
      </c>
      <c r="M5403" s="5">
        <f>tblSales[[#This Row],[DPP (excl. VAT)]]+tblSales[[#This Row],[Output VAT]]</f>
        <v>1942500</v>
      </c>
      <c r="N5403" s="5">
        <f>tblSales[[#This Row],[Qty]]*_xlfn.XLOOKUP(tblSales[[#This Row],[Product Code]],tblProducts[Code],tblProducts[Unit Cost],0)</f>
        <v>1050000</v>
      </c>
      <c r="O5403" s="4" t="s">
        <v>4866</v>
      </c>
      <c r="P5403" s="4" t="s">
        <v>4861</v>
      </c>
      <c r="Q5403" s="1" t="str">
        <f>_xlfn.XLOOKUP(tblSales[[#This Row],[Channel Code]],tblChannels[Channel Code],tblChannels[Channel Name],"")</f>
        <v>Marketplace</v>
      </c>
      <c r="R5403" s="1">
        <f>MONTH(tblSales[[#This Row],[Date]])</f>
        <v>11</v>
      </c>
    </row>
    <row r="5404" spans="2:18" x14ac:dyDescent="0.35">
      <c r="B5404" s="113">
        <v>46350</v>
      </c>
      <c r="C5404" s="4" t="s">
        <v>3705</v>
      </c>
      <c r="D5404" s="4" t="s">
        <v>4568</v>
      </c>
      <c r="E5404" s="1" t="str">
        <f>_xlfn.XLOOKUP(tblSales[[#This Row],[Customer ID]],tblCustomers[Customer ID],tblCustomers[Customer Name],"⚠ Unknown")</f>
        <v>Walk-in Customer</v>
      </c>
      <c r="F5404" s="4" t="s">
        <v>11</v>
      </c>
      <c r="G5404" s="1" t="str">
        <f>_xlfn.XLOOKUP(tblSales[[#This Row],[Product Code]],tblProducts[Code],tblProducts[Product / Service Name],"⚠ Unknown")</f>
        <v>Sneakers</v>
      </c>
      <c r="H5404" s="1" t="str">
        <f>_xlfn.XLOOKUP(tblSales[[#This Row],[Product Code]],tblProducts[Code],tblProducts[Category],"")</f>
        <v>Apparel &amp; Footwear</v>
      </c>
      <c r="I5404" s="4">
        <v>2</v>
      </c>
      <c r="J5404" s="5">
        <f>_xlfn.XLOOKUP(tblSales[[#This Row],[Product Code]],tblProducts[Code],tblProducts[Selling Price (excl. VAT)],0)</f>
        <v>250000</v>
      </c>
      <c r="K5404" s="5">
        <f>tblSales[[#This Row],[Qty]]*tblSales[[#This Row],[Unit Price]]</f>
        <v>500000</v>
      </c>
      <c r="L5404" s="5">
        <f>ROUND(tblSales[[#This Row],[DPP (excl. VAT)]]*VATEff,0)</f>
        <v>55000</v>
      </c>
      <c r="M5404" s="5">
        <f>tblSales[[#This Row],[DPP (excl. VAT)]]+tblSales[[#This Row],[Output VAT]]</f>
        <v>555000</v>
      </c>
      <c r="N5404" s="5">
        <f>tblSales[[#This Row],[Qty]]*_xlfn.XLOOKUP(tblSales[[#This Row],[Product Code]],tblProducts[Code],tblProducts[Unit Cost],0)</f>
        <v>310000</v>
      </c>
      <c r="O5404" s="4" t="s">
        <v>4866</v>
      </c>
      <c r="P5404" s="4" t="s">
        <v>4860</v>
      </c>
      <c r="Q5404" s="1" t="str">
        <f>_xlfn.XLOOKUP(tblSales[[#This Row],[Channel Code]],tblChannels[Channel Code],tblChannels[Channel Name],"")</f>
        <v>In-store</v>
      </c>
      <c r="R5404" s="1">
        <f>MONTH(tblSales[[#This Row],[Date]])</f>
        <v>11</v>
      </c>
    </row>
    <row r="5405" spans="2:18" x14ac:dyDescent="0.35">
      <c r="B5405" s="113">
        <v>46350</v>
      </c>
      <c r="C5405" s="4" t="s">
        <v>3705</v>
      </c>
      <c r="D5405" s="4" t="s">
        <v>4568</v>
      </c>
      <c r="E5405" s="1" t="str">
        <f>_xlfn.XLOOKUP(tblSales[[#This Row],[Customer ID]],tblCustomers[Customer ID],tblCustomers[Customer Name],"⚠ Unknown")</f>
        <v>Walk-in Customer</v>
      </c>
      <c r="F5405" s="4" t="s">
        <v>10</v>
      </c>
      <c r="G5405" s="1" t="str">
        <f>_xlfn.XLOOKUP(tblSales[[#This Row],[Product Code]],tblProducts[Code],tblProducts[Product / Service Name],"⚠ Unknown")</f>
        <v>Chino Pants</v>
      </c>
      <c r="H5405" s="1" t="str">
        <f>_xlfn.XLOOKUP(tblSales[[#This Row],[Product Code]],tblProducts[Code],tblProducts[Category],"")</f>
        <v>Apparel &amp; Footwear</v>
      </c>
      <c r="I5405" s="4">
        <v>7</v>
      </c>
      <c r="J5405" s="5">
        <f>_xlfn.XLOOKUP(tblSales[[#This Row],[Product Code]],tblProducts[Code],tblProducts[Selling Price (excl. VAT)],0)</f>
        <v>150000</v>
      </c>
      <c r="K5405" s="5">
        <f>tblSales[[#This Row],[Qty]]*tblSales[[#This Row],[Unit Price]]</f>
        <v>1050000</v>
      </c>
      <c r="L5405" s="5">
        <f>ROUND(tblSales[[#This Row],[DPP (excl. VAT)]]*VATEff,0)</f>
        <v>115500</v>
      </c>
      <c r="M5405" s="5">
        <f>tblSales[[#This Row],[DPP (excl. VAT)]]+tblSales[[#This Row],[Output VAT]]</f>
        <v>1165500</v>
      </c>
      <c r="N5405" s="5">
        <f>tblSales[[#This Row],[Qty]]*_xlfn.XLOOKUP(tblSales[[#This Row],[Product Code]],tblProducts[Code],tblProducts[Unit Cost],0)</f>
        <v>616000</v>
      </c>
      <c r="O5405" s="4" t="s">
        <v>4866</v>
      </c>
      <c r="P5405" s="4" t="s">
        <v>4860</v>
      </c>
      <c r="Q5405" s="1" t="str">
        <f>_xlfn.XLOOKUP(tblSales[[#This Row],[Channel Code]],tblChannels[Channel Code],tblChannels[Channel Name],"")</f>
        <v>In-store</v>
      </c>
      <c r="R5405" s="1">
        <f>MONTH(tblSales[[#This Row],[Date]])</f>
        <v>11</v>
      </c>
    </row>
    <row r="5406" spans="2:18" x14ac:dyDescent="0.35">
      <c r="B5406" s="113">
        <v>46350</v>
      </c>
      <c r="C5406" s="4" t="s">
        <v>3706</v>
      </c>
      <c r="D5406" s="4" t="s">
        <v>4568</v>
      </c>
      <c r="E5406" s="1" t="str">
        <f>_xlfn.XLOOKUP(tblSales[[#This Row],[Customer ID]],tblCustomers[Customer ID],tblCustomers[Customer Name],"⚠ Unknown")</f>
        <v>Walk-in Customer</v>
      </c>
      <c r="F5406" s="4" t="s">
        <v>10</v>
      </c>
      <c r="G5406" s="1" t="str">
        <f>_xlfn.XLOOKUP(tblSales[[#This Row],[Product Code]],tblProducts[Code],tblProducts[Product / Service Name],"⚠ Unknown")</f>
        <v>Chino Pants</v>
      </c>
      <c r="H5406" s="1" t="str">
        <f>_xlfn.XLOOKUP(tblSales[[#This Row],[Product Code]],tblProducts[Code],tblProducts[Category],"")</f>
        <v>Apparel &amp; Footwear</v>
      </c>
      <c r="I5406" s="4">
        <v>8</v>
      </c>
      <c r="J5406" s="5">
        <f>_xlfn.XLOOKUP(tblSales[[#This Row],[Product Code]],tblProducts[Code],tblProducts[Selling Price (excl. VAT)],0)</f>
        <v>150000</v>
      </c>
      <c r="K5406" s="5">
        <f>tblSales[[#This Row],[Qty]]*tblSales[[#This Row],[Unit Price]]</f>
        <v>1200000</v>
      </c>
      <c r="L5406" s="5">
        <f>ROUND(tblSales[[#This Row],[DPP (excl. VAT)]]*VATEff,0)</f>
        <v>132000</v>
      </c>
      <c r="M5406" s="5">
        <f>tblSales[[#This Row],[DPP (excl. VAT)]]+tblSales[[#This Row],[Output VAT]]</f>
        <v>1332000</v>
      </c>
      <c r="N5406" s="5">
        <f>tblSales[[#This Row],[Qty]]*_xlfn.XLOOKUP(tblSales[[#This Row],[Product Code]],tblProducts[Code],tblProducts[Unit Cost],0)</f>
        <v>704000</v>
      </c>
      <c r="O5406" s="4" t="s">
        <v>4866</v>
      </c>
      <c r="P5406" s="4" t="s">
        <v>4860</v>
      </c>
      <c r="Q5406" s="1" t="str">
        <f>_xlfn.XLOOKUP(tblSales[[#This Row],[Channel Code]],tblChannels[Channel Code],tblChannels[Channel Name],"")</f>
        <v>In-store</v>
      </c>
      <c r="R5406" s="1">
        <f>MONTH(tblSales[[#This Row],[Date]])</f>
        <v>11</v>
      </c>
    </row>
    <row r="5407" spans="2:18" x14ac:dyDescent="0.35">
      <c r="B5407" s="113">
        <v>46350</v>
      </c>
      <c r="C5407" s="4" t="s">
        <v>3707</v>
      </c>
      <c r="D5407" s="4" t="s">
        <v>4568</v>
      </c>
      <c r="E5407" s="1" t="str">
        <f>_xlfn.XLOOKUP(tblSales[[#This Row],[Customer ID]],tblCustomers[Customer ID],tblCustomers[Customer Name],"⚠ Unknown")</f>
        <v>Walk-in Customer</v>
      </c>
      <c r="F5407" s="4" t="s">
        <v>8</v>
      </c>
      <c r="G5407" s="1" t="str">
        <f>_xlfn.XLOOKUP(tblSales[[#This Row],[Product Code]],tblProducts[Code],tblProducts[Product / Service Name],"⚠ Unknown")</f>
        <v>Casual Shorts</v>
      </c>
      <c r="H5407" s="1" t="str">
        <f>_xlfn.XLOOKUP(tblSales[[#This Row],[Product Code]],tblProducts[Code],tblProducts[Category],"")</f>
        <v>Accessories &amp; Basics</v>
      </c>
      <c r="I5407" s="4">
        <v>9</v>
      </c>
      <c r="J5407" s="5">
        <f>_xlfn.XLOOKUP(tblSales[[#This Row],[Product Code]],tblProducts[Code],tblProducts[Selling Price (excl. VAT)],0)</f>
        <v>85000</v>
      </c>
      <c r="K5407" s="5">
        <f>tblSales[[#This Row],[Qty]]*tblSales[[#This Row],[Unit Price]]</f>
        <v>765000</v>
      </c>
      <c r="L5407" s="5">
        <f>ROUND(tblSales[[#This Row],[DPP (excl. VAT)]]*VATEff,0)</f>
        <v>84150</v>
      </c>
      <c r="M5407" s="5">
        <f>tblSales[[#This Row],[DPP (excl. VAT)]]+tblSales[[#This Row],[Output VAT]]</f>
        <v>849150</v>
      </c>
      <c r="N5407" s="5">
        <f>tblSales[[#This Row],[Qty]]*_xlfn.XLOOKUP(tblSales[[#This Row],[Product Code]],tblProducts[Code],tblProducts[Unit Cost],0)</f>
        <v>450000</v>
      </c>
      <c r="O5407" s="4" t="s">
        <v>4866</v>
      </c>
      <c r="P5407" s="4" t="s">
        <v>4860</v>
      </c>
      <c r="Q5407" s="1" t="str">
        <f>_xlfn.XLOOKUP(tblSales[[#This Row],[Channel Code]],tblChannels[Channel Code],tblChannels[Channel Name],"")</f>
        <v>In-store</v>
      </c>
      <c r="R5407" s="1">
        <f>MONTH(tblSales[[#This Row],[Date]])</f>
        <v>11</v>
      </c>
    </row>
    <row r="5408" spans="2:18" x14ac:dyDescent="0.35">
      <c r="B5408" s="113">
        <v>46350</v>
      </c>
      <c r="C5408" s="4" t="s">
        <v>3708</v>
      </c>
      <c r="D5408" s="4" t="s">
        <v>4593</v>
      </c>
      <c r="E5408" s="1" t="str">
        <f>_xlfn.XLOOKUP(tblSales[[#This Row],[Customer ID]],tblCustomers[Customer ID],tblCustomers[Customer Name],"⚠ Unknown")</f>
        <v>PT Graha Nusa Persada</v>
      </c>
      <c r="F5408" s="4" t="s">
        <v>9</v>
      </c>
      <c r="G5408" s="1" t="str">
        <f>_xlfn.XLOOKUP(tblSales[[#This Row],[Product Code]],tblProducts[Code],tblProducts[Product / Service Name],"⚠ Unknown")</f>
        <v>Casual Shirt</v>
      </c>
      <c r="H5408" s="1" t="str">
        <f>_xlfn.XLOOKUP(tblSales[[#This Row],[Product Code]],tblProducts[Code],tblProducts[Category],"")</f>
        <v>Apparel &amp; Footwear</v>
      </c>
      <c r="I5408" s="4">
        <v>64</v>
      </c>
      <c r="J5408" s="5">
        <f>_xlfn.XLOOKUP(tblSales[[#This Row],[Product Code]],tblProducts[Code],tblProducts[Selling Price (excl. VAT)],0)</f>
        <v>120000</v>
      </c>
      <c r="K5408" s="5">
        <f>tblSales[[#This Row],[Qty]]*tblSales[[#This Row],[Unit Price]]</f>
        <v>7680000</v>
      </c>
      <c r="L5408" s="5">
        <f>ROUND(tblSales[[#This Row],[DPP (excl. VAT)]]*VATEff,0)</f>
        <v>844800</v>
      </c>
      <c r="M5408" s="5">
        <f>tblSales[[#This Row],[DPP (excl. VAT)]]+tblSales[[#This Row],[Output VAT]]</f>
        <v>8524800</v>
      </c>
      <c r="N5408" s="5">
        <f>tblSales[[#This Row],[Qty]]*_xlfn.XLOOKUP(tblSales[[#This Row],[Product Code]],tblProducts[Code],tblProducts[Unit Cost],0)</f>
        <v>4608000</v>
      </c>
      <c r="O5408" s="4" t="s">
        <v>4867</v>
      </c>
      <c r="P5408" s="4" t="s">
        <v>4860</v>
      </c>
      <c r="Q5408" s="1" t="str">
        <f>_xlfn.XLOOKUP(tblSales[[#This Row],[Channel Code]],tblChannels[Channel Code],tblChannels[Channel Name],"")</f>
        <v>In-store</v>
      </c>
      <c r="R5408" s="1">
        <f>MONTH(tblSales[[#This Row],[Date]])</f>
        <v>11</v>
      </c>
    </row>
    <row r="5409" spans="2:18" x14ac:dyDescent="0.35">
      <c r="B5409" s="113">
        <v>46350</v>
      </c>
      <c r="C5409" s="4" t="s">
        <v>3708</v>
      </c>
      <c r="D5409" s="4" t="s">
        <v>4593</v>
      </c>
      <c r="E5409" s="1" t="str">
        <f>_xlfn.XLOOKUP(tblSales[[#This Row],[Customer ID]],tblCustomers[Customer ID],tblCustomers[Customer Name],"⚠ Unknown")</f>
        <v>PT Graha Nusa Persada</v>
      </c>
      <c r="F5409" s="4" t="s">
        <v>6</v>
      </c>
      <c r="G5409" s="1" t="str">
        <f>_xlfn.XLOOKUP(tblSales[[#This Row],[Product Code]],tblProducts[Code],tblProducts[Product / Service Name],"⚠ Unknown")</f>
        <v>Socks &amp; Accessories</v>
      </c>
      <c r="H5409" s="1" t="str">
        <f>_xlfn.XLOOKUP(tblSales[[#This Row],[Product Code]],tblProducts[Code],tblProducts[Category],"")</f>
        <v>Accessories &amp; Basics</v>
      </c>
      <c r="I5409" s="4">
        <v>48</v>
      </c>
      <c r="J5409" s="5">
        <f>_xlfn.XLOOKUP(tblSales[[#This Row],[Product Code]],tblProducts[Code],tblProducts[Selling Price (excl. VAT)],0)</f>
        <v>45000</v>
      </c>
      <c r="K5409" s="5">
        <f>tblSales[[#This Row],[Qty]]*tblSales[[#This Row],[Unit Price]]</f>
        <v>2160000</v>
      </c>
      <c r="L5409" s="5">
        <f>ROUND(tblSales[[#This Row],[DPP (excl. VAT)]]*VATEff,0)</f>
        <v>237600</v>
      </c>
      <c r="M5409" s="5">
        <f>tblSales[[#This Row],[DPP (excl. VAT)]]+tblSales[[#This Row],[Output VAT]]</f>
        <v>2397600</v>
      </c>
      <c r="N5409" s="5">
        <f>tblSales[[#This Row],[Qty]]*_xlfn.XLOOKUP(tblSales[[#This Row],[Product Code]],tblProducts[Code],tblProducts[Unit Cost],0)</f>
        <v>1152000</v>
      </c>
      <c r="O5409" s="4" t="s">
        <v>4867</v>
      </c>
      <c r="P5409" s="4" t="s">
        <v>4860</v>
      </c>
      <c r="Q5409" s="1" t="str">
        <f>_xlfn.XLOOKUP(tblSales[[#This Row],[Channel Code]],tblChannels[Channel Code],tblChannels[Channel Name],"")</f>
        <v>In-store</v>
      </c>
      <c r="R5409" s="1">
        <f>MONTH(tblSales[[#This Row],[Date]])</f>
        <v>11</v>
      </c>
    </row>
    <row r="5410" spans="2:18" x14ac:dyDescent="0.35">
      <c r="B5410" s="113">
        <v>46350</v>
      </c>
      <c r="C5410" s="4" t="s">
        <v>3709</v>
      </c>
      <c r="D5410" s="4" t="s">
        <v>4568</v>
      </c>
      <c r="E5410" s="1" t="str">
        <f>_xlfn.XLOOKUP(tblSales[[#This Row],[Customer ID]],tblCustomers[Customer ID],tblCustomers[Customer Name],"⚠ Unknown")</f>
        <v>Walk-in Customer</v>
      </c>
      <c r="F5410" s="4" t="s">
        <v>15</v>
      </c>
      <c r="G5410" s="1" t="str">
        <f>_xlfn.XLOOKUP(tblSales[[#This Row],[Product Code]],tblProducts[Code],tblProducts[Product / Service Name],"⚠ Unknown")</f>
        <v>Wireless Earbuds Pro</v>
      </c>
      <c r="H5410" s="1" t="str">
        <f>_xlfn.XLOOKUP(tblSales[[#This Row],[Product Code]],tblProducts[Code],tblProducts[Category],"")</f>
        <v>Bags &amp; Gadgets</v>
      </c>
      <c r="I5410" s="4">
        <v>3</v>
      </c>
      <c r="J5410" s="5">
        <f>_xlfn.XLOOKUP(tblSales[[#This Row],[Product Code]],tblProducts[Code],tblProducts[Selling Price (excl. VAT)],0)</f>
        <v>1250000</v>
      </c>
      <c r="K5410" s="5">
        <f>tblSales[[#This Row],[Qty]]*tblSales[[#This Row],[Unit Price]]</f>
        <v>3750000</v>
      </c>
      <c r="L5410" s="5">
        <f>ROUND(tblSales[[#This Row],[DPP (excl. VAT)]]*VATEff,0)</f>
        <v>412500</v>
      </c>
      <c r="M5410" s="5">
        <f>tblSales[[#This Row],[DPP (excl. VAT)]]+tblSales[[#This Row],[Output VAT]]</f>
        <v>4162500</v>
      </c>
      <c r="N5410" s="5">
        <f>tblSales[[#This Row],[Qty]]*_xlfn.XLOOKUP(tblSales[[#This Row],[Product Code]],tblProducts[Code],tblProducts[Unit Cost],0)</f>
        <v>2460000</v>
      </c>
      <c r="O5410" s="4" t="s">
        <v>4866</v>
      </c>
      <c r="P5410" s="4" t="s">
        <v>4861</v>
      </c>
      <c r="Q5410" s="1" t="str">
        <f>_xlfn.XLOOKUP(tblSales[[#This Row],[Channel Code]],tblChannels[Channel Code],tblChannels[Channel Name],"")</f>
        <v>Marketplace</v>
      </c>
      <c r="R5410" s="1">
        <f>MONTH(tblSales[[#This Row],[Date]])</f>
        <v>11</v>
      </c>
    </row>
    <row r="5411" spans="2:18" x14ac:dyDescent="0.35">
      <c r="B5411" s="113">
        <v>46350</v>
      </c>
      <c r="C5411" s="4" t="s">
        <v>3710</v>
      </c>
      <c r="D5411" s="4" t="s">
        <v>4568</v>
      </c>
      <c r="E5411" s="1" t="str">
        <f>_xlfn.XLOOKUP(tblSales[[#This Row],[Customer ID]],tblCustomers[Customer ID],tblCustomers[Customer Name],"⚠ Unknown")</f>
        <v>Walk-in Customer</v>
      </c>
      <c r="F5411" s="4" t="s">
        <v>6</v>
      </c>
      <c r="G5411" s="1" t="str">
        <f>_xlfn.XLOOKUP(tblSales[[#This Row],[Product Code]],tblProducts[Code],tblProducts[Product / Service Name],"⚠ Unknown")</f>
        <v>Socks &amp; Accessories</v>
      </c>
      <c r="H5411" s="1" t="str">
        <f>_xlfn.XLOOKUP(tblSales[[#This Row],[Product Code]],tblProducts[Code],tblProducts[Category],"")</f>
        <v>Accessories &amp; Basics</v>
      </c>
      <c r="I5411" s="4">
        <v>11</v>
      </c>
      <c r="J5411" s="5">
        <f>_xlfn.XLOOKUP(tblSales[[#This Row],[Product Code]],tblProducts[Code],tblProducts[Selling Price (excl. VAT)],0)</f>
        <v>45000</v>
      </c>
      <c r="K5411" s="5">
        <f>tblSales[[#This Row],[Qty]]*tblSales[[#This Row],[Unit Price]]</f>
        <v>495000</v>
      </c>
      <c r="L5411" s="5">
        <f>ROUND(tblSales[[#This Row],[DPP (excl. VAT)]]*VATEff,0)</f>
        <v>54450</v>
      </c>
      <c r="M5411" s="5">
        <f>tblSales[[#This Row],[DPP (excl. VAT)]]+tblSales[[#This Row],[Output VAT]]</f>
        <v>549450</v>
      </c>
      <c r="N5411" s="5">
        <f>tblSales[[#This Row],[Qty]]*_xlfn.XLOOKUP(tblSales[[#This Row],[Product Code]],tblProducts[Code],tblProducts[Unit Cost],0)</f>
        <v>264000</v>
      </c>
      <c r="O5411" s="4" t="s">
        <v>4865</v>
      </c>
      <c r="P5411" s="4" t="s">
        <v>4860</v>
      </c>
      <c r="Q5411" s="1" t="str">
        <f>_xlfn.XLOOKUP(tblSales[[#This Row],[Channel Code]],tblChannels[Channel Code],tblChannels[Channel Name],"")</f>
        <v>In-store</v>
      </c>
      <c r="R5411" s="1">
        <f>MONTH(tblSales[[#This Row],[Date]])</f>
        <v>11</v>
      </c>
    </row>
    <row r="5412" spans="2:18" x14ac:dyDescent="0.35">
      <c r="B5412" s="113">
        <v>46350</v>
      </c>
      <c r="C5412" s="4" t="s">
        <v>3711</v>
      </c>
      <c r="D5412" s="4" t="s">
        <v>4568</v>
      </c>
      <c r="E5412" s="1" t="str">
        <f>_xlfn.XLOOKUP(tblSales[[#This Row],[Customer ID]],tblCustomers[Customer ID],tblCustomers[Customer Name],"⚠ Unknown")</f>
        <v>Walk-in Customer</v>
      </c>
      <c r="F5412" s="4" t="s">
        <v>13</v>
      </c>
      <c r="G5412" s="1" t="str">
        <f>_xlfn.XLOOKUP(tblSales[[#This Row],[Product Code]],tblProducts[Code],tblProducts[Product / Service Name],"⚠ Unknown")</f>
        <v>Backpack</v>
      </c>
      <c r="H5412" s="1" t="str">
        <f>_xlfn.XLOOKUP(tblSales[[#This Row],[Product Code]],tblProducts[Code],tblProducts[Category],"")</f>
        <v>Bags &amp; Gadgets</v>
      </c>
      <c r="I5412" s="4">
        <v>1</v>
      </c>
      <c r="J5412" s="5">
        <f>_xlfn.XLOOKUP(tblSales[[#This Row],[Product Code]],tblProducts[Code],tblProducts[Selling Price (excl. VAT)],0)</f>
        <v>500000</v>
      </c>
      <c r="K5412" s="5">
        <f>tblSales[[#This Row],[Qty]]*tblSales[[#This Row],[Unit Price]]</f>
        <v>500000</v>
      </c>
      <c r="L5412" s="5">
        <f>ROUND(tblSales[[#This Row],[DPP (excl. VAT)]]*VATEff,0)</f>
        <v>55000</v>
      </c>
      <c r="M5412" s="5">
        <f>tblSales[[#This Row],[DPP (excl. VAT)]]+tblSales[[#This Row],[Output VAT]]</f>
        <v>555000</v>
      </c>
      <c r="N5412" s="5">
        <f>tblSales[[#This Row],[Qty]]*_xlfn.XLOOKUP(tblSales[[#This Row],[Product Code]],tblProducts[Code],tblProducts[Unit Cost],0)</f>
        <v>290000</v>
      </c>
      <c r="O5412" s="4" t="s">
        <v>4866</v>
      </c>
      <c r="P5412" s="4" t="s">
        <v>4862</v>
      </c>
      <c r="Q5412" s="1" t="str">
        <f>_xlfn.XLOOKUP(tblSales[[#This Row],[Channel Code]],tblChannels[Channel Code],tblChannels[Channel Name],"")</f>
        <v>Website &amp; Social Media</v>
      </c>
      <c r="R5412" s="1">
        <f>MONTH(tblSales[[#This Row],[Date]])</f>
        <v>11</v>
      </c>
    </row>
    <row r="5413" spans="2:18" x14ac:dyDescent="0.35">
      <c r="B5413" s="113">
        <v>46350</v>
      </c>
      <c r="C5413" s="4" t="s">
        <v>3712</v>
      </c>
      <c r="D5413" s="4" t="s">
        <v>4568</v>
      </c>
      <c r="E5413" s="1" t="str">
        <f>_xlfn.XLOOKUP(tblSales[[#This Row],[Customer ID]],tblCustomers[Customer ID],tblCustomers[Customer Name],"⚠ Unknown")</f>
        <v>Walk-in Customer</v>
      </c>
      <c r="F5413" s="4" t="s">
        <v>8</v>
      </c>
      <c r="G5413" s="1" t="str">
        <f>_xlfn.XLOOKUP(tblSales[[#This Row],[Product Code]],tblProducts[Code],tblProducts[Product / Service Name],"⚠ Unknown")</f>
        <v>Casual Shorts</v>
      </c>
      <c r="H5413" s="1" t="str">
        <f>_xlfn.XLOOKUP(tblSales[[#This Row],[Product Code]],tblProducts[Code],tblProducts[Category],"")</f>
        <v>Accessories &amp; Basics</v>
      </c>
      <c r="I5413" s="4">
        <v>6</v>
      </c>
      <c r="J5413" s="5">
        <f>_xlfn.XLOOKUP(tblSales[[#This Row],[Product Code]],tblProducts[Code],tblProducts[Selling Price (excl. VAT)],0)</f>
        <v>85000</v>
      </c>
      <c r="K5413" s="5">
        <f>tblSales[[#This Row],[Qty]]*tblSales[[#This Row],[Unit Price]]</f>
        <v>510000</v>
      </c>
      <c r="L5413" s="5">
        <f>ROUND(tblSales[[#This Row],[DPP (excl. VAT)]]*VATEff,0)</f>
        <v>56100</v>
      </c>
      <c r="M5413" s="5">
        <f>tblSales[[#This Row],[DPP (excl. VAT)]]+tblSales[[#This Row],[Output VAT]]</f>
        <v>566100</v>
      </c>
      <c r="N5413" s="5">
        <f>tblSales[[#This Row],[Qty]]*_xlfn.XLOOKUP(tblSales[[#This Row],[Product Code]],tblProducts[Code],tblProducts[Unit Cost],0)</f>
        <v>300000</v>
      </c>
      <c r="O5413" s="4" t="s">
        <v>4866</v>
      </c>
      <c r="P5413" s="4" t="s">
        <v>4861</v>
      </c>
      <c r="Q5413" s="1" t="str">
        <f>_xlfn.XLOOKUP(tblSales[[#This Row],[Channel Code]],tblChannels[Channel Code],tblChannels[Channel Name],"")</f>
        <v>Marketplace</v>
      </c>
      <c r="R5413" s="1">
        <f>MONTH(tblSales[[#This Row],[Date]])</f>
        <v>11</v>
      </c>
    </row>
    <row r="5414" spans="2:18" x14ac:dyDescent="0.35">
      <c r="B5414" s="113">
        <v>46350</v>
      </c>
      <c r="C5414" s="4" t="s">
        <v>3713</v>
      </c>
      <c r="D5414" s="4" t="s">
        <v>4585</v>
      </c>
      <c r="E5414" s="1" t="str">
        <f>_xlfn.XLOOKUP(tblSales[[#This Row],[Customer ID]],tblCustomers[Customer ID],tblCustomers[Customer Name],"⚠ Unknown")</f>
        <v>CV Mitra Karya Mandiri</v>
      </c>
      <c r="F5414" s="4" t="s">
        <v>6</v>
      </c>
      <c r="G5414" s="1" t="str">
        <f>_xlfn.XLOOKUP(tblSales[[#This Row],[Product Code]],tblProducts[Code],tblProducts[Product / Service Name],"⚠ Unknown")</f>
        <v>Socks &amp; Accessories</v>
      </c>
      <c r="H5414" s="1" t="str">
        <f>_xlfn.XLOOKUP(tblSales[[#This Row],[Product Code]],tblProducts[Code],tblProducts[Category],"")</f>
        <v>Accessories &amp; Basics</v>
      </c>
      <c r="I5414" s="4">
        <v>96</v>
      </c>
      <c r="J5414" s="5">
        <f>_xlfn.XLOOKUP(tblSales[[#This Row],[Product Code]],tblProducts[Code],tblProducts[Selling Price (excl. VAT)],0)</f>
        <v>45000</v>
      </c>
      <c r="K5414" s="5">
        <f>tblSales[[#This Row],[Qty]]*tblSales[[#This Row],[Unit Price]]</f>
        <v>4320000</v>
      </c>
      <c r="L5414" s="5">
        <f>ROUND(tblSales[[#This Row],[DPP (excl. VAT)]]*VATEff,0)</f>
        <v>475200</v>
      </c>
      <c r="M5414" s="5">
        <f>tblSales[[#This Row],[DPP (excl. VAT)]]+tblSales[[#This Row],[Output VAT]]</f>
        <v>4795200</v>
      </c>
      <c r="N5414" s="5">
        <f>tblSales[[#This Row],[Qty]]*_xlfn.XLOOKUP(tblSales[[#This Row],[Product Code]],tblProducts[Code],tblProducts[Unit Cost],0)</f>
        <v>2304000</v>
      </c>
      <c r="O5414" s="4" t="s">
        <v>4867</v>
      </c>
      <c r="P5414" s="4" t="s">
        <v>4860</v>
      </c>
      <c r="Q5414" s="1" t="str">
        <f>_xlfn.XLOOKUP(tblSales[[#This Row],[Channel Code]],tblChannels[Channel Code],tblChannels[Channel Name],"")</f>
        <v>In-store</v>
      </c>
      <c r="R5414" s="1">
        <f>MONTH(tblSales[[#This Row],[Date]])</f>
        <v>11</v>
      </c>
    </row>
    <row r="5415" spans="2:18" x14ac:dyDescent="0.35">
      <c r="B5415" s="113">
        <v>46350</v>
      </c>
      <c r="C5415" s="4" t="s">
        <v>3714</v>
      </c>
      <c r="D5415" s="4" t="s">
        <v>4568</v>
      </c>
      <c r="E5415" s="1" t="str">
        <f>_xlfn.XLOOKUP(tblSales[[#This Row],[Customer ID]],tblCustomers[Customer ID],tblCustomers[Customer Name],"⚠ Unknown")</f>
        <v>Walk-in Customer</v>
      </c>
      <c r="F5415" s="4" t="s">
        <v>10</v>
      </c>
      <c r="G5415" s="1" t="str">
        <f>_xlfn.XLOOKUP(tblSales[[#This Row],[Product Code]],tblProducts[Code],tblProducts[Product / Service Name],"⚠ Unknown")</f>
        <v>Chino Pants</v>
      </c>
      <c r="H5415" s="1" t="str">
        <f>_xlfn.XLOOKUP(tblSales[[#This Row],[Product Code]],tblProducts[Code],tblProducts[Category],"")</f>
        <v>Apparel &amp; Footwear</v>
      </c>
      <c r="I5415" s="4">
        <v>11</v>
      </c>
      <c r="J5415" s="5">
        <f>_xlfn.XLOOKUP(tblSales[[#This Row],[Product Code]],tblProducts[Code],tblProducts[Selling Price (excl. VAT)],0)</f>
        <v>150000</v>
      </c>
      <c r="K5415" s="5">
        <f>tblSales[[#This Row],[Qty]]*tblSales[[#This Row],[Unit Price]]</f>
        <v>1650000</v>
      </c>
      <c r="L5415" s="5">
        <f>ROUND(tblSales[[#This Row],[DPP (excl. VAT)]]*VATEff,0)</f>
        <v>181500</v>
      </c>
      <c r="M5415" s="5">
        <f>tblSales[[#This Row],[DPP (excl. VAT)]]+tblSales[[#This Row],[Output VAT]]</f>
        <v>1831500</v>
      </c>
      <c r="N5415" s="5">
        <f>tblSales[[#This Row],[Qty]]*_xlfn.XLOOKUP(tblSales[[#This Row],[Product Code]],tblProducts[Code],tblProducts[Unit Cost],0)</f>
        <v>968000</v>
      </c>
      <c r="O5415" s="4" t="s">
        <v>4866</v>
      </c>
      <c r="P5415" s="4" t="s">
        <v>4860</v>
      </c>
      <c r="Q5415" s="1" t="str">
        <f>_xlfn.XLOOKUP(tblSales[[#This Row],[Channel Code]],tblChannels[Channel Code],tblChannels[Channel Name],"")</f>
        <v>In-store</v>
      </c>
      <c r="R5415" s="1">
        <f>MONTH(tblSales[[#This Row],[Date]])</f>
        <v>11</v>
      </c>
    </row>
    <row r="5416" spans="2:18" x14ac:dyDescent="0.35">
      <c r="B5416" s="113">
        <v>46351</v>
      </c>
      <c r="C5416" s="4" t="s">
        <v>3715</v>
      </c>
      <c r="D5416" s="4" t="s">
        <v>4568</v>
      </c>
      <c r="E5416" s="1" t="str">
        <f>_xlfn.XLOOKUP(tblSales[[#This Row],[Customer ID]],tblCustomers[Customer ID],tblCustomers[Customer Name],"⚠ Unknown")</f>
        <v>Walk-in Customer</v>
      </c>
      <c r="F5416" s="4" t="s">
        <v>8</v>
      </c>
      <c r="G5416" s="1" t="str">
        <f>_xlfn.XLOOKUP(tblSales[[#This Row],[Product Code]],tblProducts[Code],tblProducts[Product / Service Name],"⚠ Unknown")</f>
        <v>Casual Shorts</v>
      </c>
      <c r="H5416" s="1" t="str">
        <f>_xlfn.XLOOKUP(tblSales[[#This Row],[Product Code]],tblProducts[Code],tblProducts[Category],"")</f>
        <v>Accessories &amp; Basics</v>
      </c>
      <c r="I5416" s="4">
        <v>3</v>
      </c>
      <c r="J5416" s="5">
        <f>_xlfn.XLOOKUP(tblSales[[#This Row],[Product Code]],tblProducts[Code],tblProducts[Selling Price (excl. VAT)],0)</f>
        <v>85000</v>
      </c>
      <c r="K5416" s="5">
        <f>tblSales[[#This Row],[Qty]]*tblSales[[#This Row],[Unit Price]]</f>
        <v>255000</v>
      </c>
      <c r="L5416" s="5">
        <f>ROUND(tblSales[[#This Row],[DPP (excl. VAT)]]*VATEff,0)</f>
        <v>28050</v>
      </c>
      <c r="M5416" s="5">
        <f>tblSales[[#This Row],[DPP (excl. VAT)]]+tblSales[[#This Row],[Output VAT]]</f>
        <v>283050</v>
      </c>
      <c r="N5416" s="5">
        <f>tblSales[[#This Row],[Qty]]*_xlfn.XLOOKUP(tblSales[[#This Row],[Product Code]],tblProducts[Code],tblProducts[Unit Cost],0)</f>
        <v>150000</v>
      </c>
      <c r="O5416" s="4" t="s">
        <v>4866</v>
      </c>
      <c r="P5416" s="4" t="s">
        <v>4861</v>
      </c>
      <c r="Q5416" s="1" t="str">
        <f>_xlfn.XLOOKUP(tblSales[[#This Row],[Channel Code]],tblChannels[Channel Code],tblChannels[Channel Name],"")</f>
        <v>Marketplace</v>
      </c>
      <c r="R5416" s="1">
        <f>MONTH(tblSales[[#This Row],[Date]])</f>
        <v>11</v>
      </c>
    </row>
    <row r="5417" spans="2:18" x14ac:dyDescent="0.35">
      <c r="B5417" s="113">
        <v>46351</v>
      </c>
      <c r="C5417" s="4" t="s">
        <v>3716</v>
      </c>
      <c r="D5417" s="4" t="s">
        <v>4568</v>
      </c>
      <c r="E5417" s="1" t="str">
        <f>_xlfn.XLOOKUP(tblSales[[#This Row],[Customer ID]],tblCustomers[Customer ID],tblCustomers[Customer Name],"⚠ Unknown")</f>
        <v>Walk-in Customer</v>
      </c>
      <c r="F5417" s="4" t="s">
        <v>6</v>
      </c>
      <c r="G5417" s="1" t="str">
        <f>_xlfn.XLOOKUP(tblSales[[#This Row],[Product Code]],tblProducts[Code],tblProducts[Product / Service Name],"⚠ Unknown")</f>
        <v>Socks &amp; Accessories</v>
      </c>
      <c r="H5417" s="1" t="str">
        <f>_xlfn.XLOOKUP(tblSales[[#This Row],[Product Code]],tblProducts[Code],tblProducts[Category],"")</f>
        <v>Accessories &amp; Basics</v>
      </c>
      <c r="I5417" s="4">
        <v>3</v>
      </c>
      <c r="J5417" s="5">
        <f>_xlfn.XLOOKUP(tblSales[[#This Row],[Product Code]],tblProducts[Code],tblProducts[Selling Price (excl. VAT)],0)</f>
        <v>45000</v>
      </c>
      <c r="K5417" s="5">
        <f>tblSales[[#This Row],[Qty]]*tblSales[[#This Row],[Unit Price]]</f>
        <v>135000</v>
      </c>
      <c r="L5417" s="5">
        <f>ROUND(tblSales[[#This Row],[DPP (excl. VAT)]]*VATEff,0)</f>
        <v>14850</v>
      </c>
      <c r="M5417" s="5">
        <f>tblSales[[#This Row],[DPP (excl. VAT)]]+tblSales[[#This Row],[Output VAT]]</f>
        <v>149850</v>
      </c>
      <c r="N5417" s="5">
        <f>tblSales[[#This Row],[Qty]]*_xlfn.XLOOKUP(tblSales[[#This Row],[Product Code]],tblProducts[Code],tblProducts[Unit Cost],0)</f>
        <v>72000</v>
      </c>
      <c r="O5417" s="4" t="s">
        <v>4865</v>
      </c>
      <c r="P5417" s="4" t="s">
        <v>4860</v>
      </c>
      <c r="Q5417" s="1" t="str">
        <f>_xlfn.XLOOKUP(tblSales[[#This Row],[Channel Code]],tblChannels[Channel Code],tblChannels[Channel Name],"")</f>
        <v>In-store</v>
      </c>
      <c r="R5417" s="1">
        <f>MONTH(tblSales[[#This Row],[Date]])</f>
        <v>11</v>
      </c>
    </row>
    <row r="5418" spans="2:18" x14ac:dyDescent="0.35">
      <c r="B5418" s="113">
        <v>46351</v>
      </c>
      <c r="C5418" s="4" t="s">
        <v>3716</v>
      </c>
      <c r="D5418" s="4" t="s">
        <v>4568</v>
      </c>
      <c r="E5418" s="1" t="str">
        <f>_xlfn.XLOOKUP(tblSales[[#This Row],[Customer ID]],tblCustomers[Customer ID],tblCustomers[Customer Name],"⚠ Unknown")</f>
        <v>Walk-in Customer</v>
      </c>
      <c r="F5418" s="4" t="s">
        <v>7</v>
      </c>
      <c r="G5418" s="1" t="str">
        <f>_xlfn.XLOOKUP(tblSales[[#This Row],[Product Code]],tblProducts[Code],tblProducts[Product / Service Name],"⚠ Unknown")</f>
        <v>Premium Basic T-shirt</v>
      </c>
      <c r="H5418" s="1" t="str">
        <f>_xlfn.XLOOKUP(tblSales[[#This Row],[Product Code]],tblProducts[Code],tblProducts[Category],"")</f>
        <v>Accessories &amp; Basics</v>
      </c>
      <c r="I5418" s="4">
        <v>1</v>
      </c>
      <c r="J5418" s="5">
        <f>_xlfn.XLOOKUP(tblSales[[#This Row],[Product Code]],tblProducts[Code],tblProducts[Selling Price (excl. VAT)],0)</f>
        <v>65000</v>
      </c>
      <c r="K5418" s="5">
        <f>tblSales[[#This Row],[Qty]]*tblSales[[#This Row],[Unit Price]]</f>
        <v>65000</v>
      </c>
      <c r="L5418" s="5">
        <f>ROUND(tblSales[[#This Row],[DPP (excl. VAT)]]*VATEff,0)</f>
        <v>7150</v>
      </c>
      <c r="M5418" s="5">
        <f>tblSales[[#This Row],[DPP (excl. VAT)]]+tblSales[[#This Row],[Output VAT]]</f>
        <v>72150</v>
      </c>
      <c r="N5418" s="5">
        <f>tblSales[[#This Row],[Qty]]*_xlfn.XLOOKUP(tblSales[[#This Row],[Product Code]],tblProducts[Code],tblProducts[Unit Cost],0)</f>
        <v>37000</v>
      </c>
      <c r="O5418" s="4" t="s">
        <v>4865</v>
      </c>
      <c r="P5418" s="4" t="s">
        <v>4860</v>
      </c>
      <c r="Q5418" s="1" t="str">
        <f>_xlfn.XLOOKUP(tblSales[[#This Row],[Channel Code]],tblChannels[Channel Code],tblChannels[Channel Name],"")</f>
        <v>In-store</v>
      </c>
      <c r="R5418" s="1">
        <f>MONTH(tblSales[[#This Row],[Date]])</f>
        <v>11</v>
      </c>
    </row>
    <row r="5419" spans="2:18" x14ac:dyDescent="0.35">
      <c r="B5419" s="113">
        <v>46351</v>
      </c>
      <c r="C5419" s="4" t="s">
        <v>3717</v>
      </c>
      <c r="D5419" s="4" t="s">
        <v>4568</v>
      </c>
      <c r="E5419" s="1" t="str">
        <f>_xlfn.XLOOKUP(tblSales[[#This Row],[Customer ID]],tblCustomers[Customer ID],tblCustomers[Customer Name],"⚠ Unknown")</f>
        <v>Walk-in Customer</v>
      </c>
      <c r="F5419" s="4" t="s">
        <v>7</v>
      </c>
      <c r="G5419" s="1" t="str">
        <f>_xlfn.XLOOKUP(tblSales[[#This Row],[Product Code]],tblProducts[Code],tblProducts[Product / Service Name],"⚠ Unknown")</f>
        <v>Premium Basic T-shirt</v>
      </c>
      <c r="H5419" s="1" t="str">
        <f>_xlfn.XLOOKUP(tblSales[[#This Row],[Product Code]],tblProducts[Code],tblProducts[Category],"")</f>
        <v>Accessories &amp; Basics</v>
      </c>
      <c r="I5419" s="4">
        <v>8</v>
      </c>
      <c r="J5419" s="5">
        <f>_xlfn.XLOOKUP(tblSales[[#This Row],[Product Code]],tblProducts[Code],tblProducts[Selling Price (excl. VAT)],0)</f>
        <v>65000</v>
      </c>
      <c r="K5419" s="5">
        <f>tblSales[[#This Row],[Qty]]*tblSales[[#This Row],[Unit Price]]</f>
        <v>520000</v>
      </c>
      <c r="L5419" s="5">
        <f>ROUND(tblSales[[#This Row],[DPP (excl. VAT)]]*VATEff,0)</f>
        <v>57200</v>
      </c>
      <c r="M5419" s="5">
        <f>tblSales[[#This Row],[DPP (excl. VAT)]]+tblSales[[#This Row],[Output VAT]]</f>
        <v>577200</v>
      </c>
      <c r="N5419" s="5">
        <f>tblSales[[#This Row],[Qty]]*_xlfn.XLOOKUP(tblSales[[#This Row],[Product Code]],tblProducts[Code],tblProducts[Unit Cost],0)</f>
        <v>296000</v>
      </c>
      <c r="O5419" s="4" t="s">
        <v>4865</v>
      </c>
      <c r="P5419" s="4" t="s">
        <v>4860</v>
      </c>
      <c r="Q5419" s="1" t="str">
        <f>_xlfn.XLOOKUP(tblSales[[#This Row],[Channel Code]],tblChannels[Channel Code],tblChannels[Channel Name],"")</f>
        <v>In-store</v>
      </c>
      <c r="R5419" s="1">
        <f>MONTH(tblSales[[#This Row],[Date]])</f>
        <v>11</v>
      </c>
    </row>
    <row r="5420" spans="2:18" x14ac:dyDescent="0.35">
      <c r="B5420" s="113">
        <v>46351</v>
      </c>
      <c r="C5420" s="4" t="s">
        <v>3718</v>
      </c>
      <c r="D5420" s="4" t="s">
        <v>4568</v>
      </c>
      <c r="E5420" s="1" t="str">
        <f>_xlfn.XLOOKUP(tblSales[[#This Row],[Customer ID]],tblCustomers[Customer ID],tblCustomers[Customer Name],"⚠ Unknown")</f>
        <v>Walk-in Customer</v>
      </c>
      <c r="F5420" s="4" t="s">
        <v>12</v>
      </c>
      <c r="G5420" s="1" t="str">
        <f>_xlfn.XLOOKUP(tblSales[[#This Row],[Product Code]],tblProducts[Code],tblProducts[Product / Service Name],"⚠ Unknown")</f>
        <v>Bomber Jacket</v>
      </c>
      <c r="H5420" s="1" t="str">
        <f>_xlfn.XLOOKUP(tblSales[[#This Row],[Product Code]],tblProducts[Code],tblProducts[Category],"")</f>
        <v>Apparel &amp; Footwear</v>
      </c>
      <c r="I5420" s="4">
        <v>3</v>
      </c>
      <c r="J5420" s="5">
        <f>_xlfn.XLOOKUP(tblSales[[#This Row],[Product Code]],tblProducts[Code],tblProducts[Selling Price (excl. VAT)],0)</f>
        <v>350000</v>
      </c>
      <c r="K5420" s="5">
        <f>tblSales[[#This Row],[Qty]]*tblSales[[#This Row],[Unit Price]]</f>
        <v>1050000</v>
      </c>
      <c r="L5420" s="5">
        <f>ROUND(tblSales[[#This Row],[DPP (excl. VAT)]]*VATEff,0)</f>
        <v>115500</v>
      </c>
      <c r="M5420" s="5">
        <f>tblSales[[#This Row],[DPP (excl. VAT)]]+tblSales[[#This Row],[Output VAT]]</f>
        <v>1165500</v>
      </c>
      <c r="N5420" s="5">
        <f>tblSales[[#This Row],[Qty]]*_xlfn.XLOOKUP(tblSales[[#This Row],[Product Code]],tblProducts[Code],tblProducts[Unit Cost],0)</f>
        <v>630000</v>
      </c>
      <c r="O5420" s="4" t="s">
        <v>4866</v>
      </c>
      <c r="P5420" s="4" t="s">
        <v>4861</v>
      </c>
      <c r="Q5420" s="1" t="str">
        <f>_xlfn.XLOOKUP(tblSales[[#This Row],[Channel Code]],tblChannels[Channel Code],tblChannels[Channel Name],"")</f>
        <v>Marketplace</v>
      </c>
      <c r="R5420" s="1">
        <f>MONTH(tblSales[[#This Row],[Date]])</f>
        <v>11</v>
      </c>
    </row>
    <row r="5421" spans="2:18" x14ac:dyDescent="0.35">
      <c r="B5421" s="113">
        <v>46351</v>
      </c>
      <c r="C5421" s="4" t="s">
        <v>3718</v>
      </c>
      <c r="D5421" s="4" t="s">
        <v>4568</v>
      </c>
      <c r="E5421" s="1" t="str">
        <f>_xlfn.XLOOKUP(tblSales[[#This Row],[Customer ID]],tblCustomers[Customer ID],tblCustomers[Customer Name],"⚠ Unknown")</f>
        <v>Walk-in Customer</v>
      </c>
      <c r="F5421" s="4" t="s">
        <v>8</v>
      </c>
      <c r="G5421" s="1" t="str">
        <f>_xlfn.XLOOKUP(tblSales[[#This Row],[Product Code]],tblProducts[Code],tblProducts[Product / Service Name],"⚠ Unknown")</f>
        <v>Casual Shorts</v>
      </c>
      <c r="H5421" s="1" t="str">
        <f>_xlfn.XLOOKUP(tblSales[[#This Row],[Product Code]],tblProducts[Code],tblProducts[Category],"")</f>
        <v>Accessories &amp; Basics</v>
      </c>
      <c r="I5421" s="4">
        <v>8</v>
      </c>
      <c r="J5421" s="5">
        <f>_xlfn.XLOOKUP(tblSales[[#This Row],[Product Code]],tblProducts[Code],tblProducts[Selling Price (excl. VAT)],0)</f>
        <v>85000</v>
      </c>
      <c r="K5421" s="5">
        <f>tblSales[[#This Row],[Qty]]*tblSales[[#This Row],[Unit Price]]</f>
        <v>680000</v>
      </c>
      <c r="L5421" s="5">
        <f>ROUND(tblSales[[#This Row],[DPP (excl. VAT)]]*VATEff,0)</f>
        <v>74800</v>
      </c>
      <c r="M5421" s="5">
        <f>tblSales[[#This Row],[DPP (excl. VAT)]]+tblSales[[#This Row],[Output VAT]]</f>
        <v>754800</v>
      </c>
      <c r="N5421" s="5">
        <f>tblSales[[#This Row],[Qty]]*_xlfn.XLOOKUP(tblSales[[#This Row],[Product Code]],tblProducts[Code],tblProducts[Unit Cost],0)</f>
        <v>400000</v>
      </c>
      <c r="O5421" s="4" t="s">
        <v>4866</v>
      </c>
      <c r="P5421" s="4" t="s">
        <v>4861</v>
      </c>
      <c r="Q5421" s="1" t="str">
        <f>_xlfn.XLOOKUP(tblSales[[#This Row],[Channel Code]],tblChannels[Channel Code],tblChannels[Channel Name],"")</f>
        <v>Marketplace</v>
      </c>
      <c r="R5421" s="1">
        <f>MONTH(tblSales[[#This Row],[Date]])</f>
        <v>11</v>
      </c>
    </row>
    <row r="5422" spans="2:18" x14ac:dyDescent="0.35">
      <c r="B5422" s="113">
        <v>46351</v>
      </c>
      <c r="C5422" s="4" t="s">
        <v>3719</v>
      </c>
      <c r="D5422" s="4" t="s">
        <v>4593</v>
      </c>
      <c r="E5422" s="1" t="str">
        <f>_xlfn.XLOOKUP(tblSales[[#This Row],[Customer ID]],tblCustomers[Customer ID],tblCustomers[Customer Name],"⚠ Unknown")</f>
        <v>PT Graha Nusa Persada</v>
      </c>
      <c r="F5422" s="4" t="s">
        <v>7</v>
      </c>
      <c r="G5422" s="1" t="str">
        <f>_xlfn.XLOOKUP(tblSales[[#This Row],[Product Code]],tblProducts[Code],tblProducts[Product / Service Name],"⚠ Unknown")</f>
        <v>Premium Basic T-shirt</v>
      </c>
      <c r="H5422" s="1" t="str">
        <f>_xlfn.XLOOKUP(tblSales[[#This Row],[Product Code]],tblProducts[Code],tblProducts[Category],"")</f>
        <v>Accessories &amp; Basics</v>
      </c>
      <c r="I5422" s="4">
        <v>40</v>
      </c>
      <c r="J5422" s="5">
        <f>_xlfn.XLOOKUP(tblSales[[#This Row],[Product Code]],tblProducts[Code],tblProducts[Selling Price (excl. VAT)],0)</f>
        <v>65000</v>
      </c>
      <c r="K5422" s="5">
        <f>tblSales[[#This Row],[Qty]]*tblSales[[#This Row],[Unit Price]]</f>
        <v>2600000</v>
      </c>
      <c r="L5422" s="5">
        <f>ROUND(tblSales[[#This Row],[DPP (excl. VAT)]]*VATEff,0)</f>
        <v>286000</v>
      </c>
      <c r="M5422" s="5">
        <f>tblSales[[#This Row],[DPP (excl. VAT)]]+tblSales[[#This Row],[Output VAT]]</f>
        <v>2886000</v>
      </c>
      <c r="N5422" s="5">
        <f>tblSales[[#This Row],[Qty]]*_xlfn.XLOOKUP(tblSales[[#This Row],[Product Code]],tblProducts[Code],tblProducts[Unit Cost],0)</f>
        <v>1480000</v>
      </c>
      <c r="O5422" s="4" t="s">
        <v>4867</v>
      </c>
      <c r="P5422" s="4" t="s">
        <v>4860</v>
      </c>
      <c r="Q5422" s="1" t="str">
        <f>_xlfn.XLOOKUP(tblSales[[#This Row],[Channel Code]],tblChannels[Channel Code],tblChannels[Channel Name],"")</f>
        <v>In-store</v>
      </c>
      <c r="R5422" s="1">
        <f>MONTH(tblSales[[#This Row],[Date]])</f>
        <v>11</v>
      </c>
    </row>
    <row r="5423" spans="2:18" x14ac:dyDescent="0.35">
      <c r="B5423" s="113">
        <v>46351</v>
      </c>
      <c r="C5423" s="4" t="s">
        <v>3720</v>
      </c>
      <c r="D5423" s="4" t="s">
        <v>4572</v>
      </c>
      <c r="E5423" s="1" t="str">
        <f>_xlfn.XLOOKUP(tblSales[[#This Row],[Customer ID]],tblCustomers[Customer ID],tblCustomers[Customer Name],"⚠ Unknown")</f>
        <v>PT Cahaya Abadi Makmur</v>
      </c>
      <c r="F5423" s="4" t="s">
        <v>11</v>
      </c>
      <c r="G5423" s="1" t="str">
        <f>_xlfn.XLOOKUP(tblSales[[#This Row],[Product Code]],tblProducts[Code],tblProducts[Product / Service Name],"⚠ Unknown")</f>
        <v>Sneakers</v>
      </c>
      <c r="H5423" s="1" t="str">
        <f>_xlfn.XLOOKUP(tblSales[[#This Row],[Product Code]],tblProducts[Code],tblProducts[Category],"")</f>
        <v>Apparel &amp; Footwear</v>
      </c>
      <c r="I5423" s="4">
        <v>40</v>
      </c>
      <c r="J5423" s="5">
        <f>_xlfn.XLOOKUP(tblSales[[#This Row],[Product Code]],tblProducts[Code],tblProducts[Selling Price (excl. VAT)],0)</f>
        <v>250000</v>
      </c>
      <c r="K5423" s="5">
        <f>tblSales[[#This Row],[Qty]]*tblSales[[#This Row],[Unit Price]]</f>
        <v>10000000</v>
      </c>
      <c r="L5423" s="5">
        <f>ROUND(tblSales[[#This Row],[DPP (excl. VAT)]]*VATEff,0)</f>
        <v>1100000</v>
      </c>
      <c r="M5423" s="5">
        <f>tblSales[[#This Row],[DPP (excl. VAT)]]+tblSales[[#This Row],[Output VAT]]</f>
        <v>11100000</v>
      </c>
      <c r="N5423" s="5">
        <f>tblSales[[#This Row],[Qty]]*_xlfn.XLOOKUP(tblSales[[#This Row],[Product Code]],tblProducts[Code],tblProducts[Unit Cost],0)</f>
        <v>6200000</v>
      </c>
      <c r="O5423" s="4" t="s">
        <v>4867</v>
      </c>
      <c r="P5423" s="4" t="s">
        <v>4860</v>
      </c>
      <c r="Q5423" s="1" t="str">
        <f>_xlfn.XLOOKUP(tblSales[[#This Row],[Channel Code]],tblChannels[Channel Code],tblChannels[Channel Name],"")</f>
        <v>In-store</v>
      </c>
      <c r="R5423" s="1">
        <f>MONTH(tblSales[[#This Row],[Date]])</f>
        <v>11</v>
      </c>
    </row>
    <row r="5424" spans="2:18" x14ac:dyDescent="0.35">
      <c r="B5424" s="113">
        <v>46351</v>
      </c>
      <c r="C5424" s="4" t="s">
        <v>3721</v>
      </c>
      <c r="D5424" s="4" t="s">
        <v>4568</v>
      </c>
      <c r="E5424" s="1" t="str">
        <f>_xlfn.XLOOKUP(tblSales[[#This Row],[Customer ID]],tblCustomers[Customer ID],tblCustomers[Customer Name],"⚠ Unknown")</f>
        <v>Walk-in Customer</v>
      </c>
      <c r="F5424" s="4" t="s">
        <v>10</v>
      </c>
      <c r="G5424" s="1" t="str">
        <f>_xlfn.XLOOKUP(tblSales[[#This Row],[Product Code]],tblProducts[Code],tblProducts[Product / Service Name],"⚠ Unknown")</f>
        <v>Chino Pants</v>
      </c>
      <c r="H5424" s="1" t="str">
        <f>_xlfn.XLOOKUP(tblSales[[#This Row],[Product Code]],tblProducts[Code],tblProducts[Category],"")</f>
        <v>Apparel &amp; Footwear</v>
      </c>
      <c r="I5424" s="4">
        <v>6</v>
      </c>
      <c r="J5424" s="5">
        <f>_xlfn.XLOOKUP(tblSales[[#This Row],[Product Code]],tblProducts[Code],tblProducts[Selling Price (excl. VAT)],0)</f>
        <v>150000</v>
      </c>
      <c r="K5424" s="5">
        <f>tblSales[[#This Row],[Qty]]*tblSales[[#This Row],[Unit Price]]</f>
        <v>900000</v>
      </c>
      <c r="L5424" s="5">
        <f>ROUND(tblSales[[#This Row],[DPP (excl. VAT)]]*VATEff,0)</f>
        <v>99000</v>
      </c>
      <c r="M5424" s="5">
        <f>tblSales[[#This Row],[DPP (excl. VAT)]]+tblSales[[#This Row],[Output VAT]]</f>
        <v>999000</v>
      </c>
      <c r="N5424" s="5">
        <f>tblSales[[#This Row],[Qty]]*_xlfn.XLOOKUP(tblSales[[#This Row],[Product Code]],tblProducts[Code],tblProducts[Unit Cost],0)</f>
        <v>528000</v>
      </c>
      <c r="O5424" s="4" t="s">
        <v>4865</v>
      </c>
      <c r="P5424" s="4" t="s">
        <v>4860</v>
      </c>
      <c r="Q5424" s="1" t="str">
        <f>_xlfn.XLOOKUP(tblSales[[#This Row],[Channel Code]],tblChannels[Channel Code],tblChannels[Channel Name],"")</f>
        <v>In-store</v>
      </c>
      <c r="R5424" s="1">
        <f>MONTH(tblSales[[#This Row],[Date]])</f>
        <v>11</v>
      </c>
    </row>
    <row r="5425" spans="2:18" x14ac:dyDescent="0.35">
      <c r="B5425" s="113">
        <v>46351</v>
      </c>
      <c r="C5425" s="4" t="s">
        <v>3721</v>
      </c>
      <c r="D5425" s="4" t="s">
        <v>4568</v>
      </c>
      <c r="E5425" s="1" t="str">
        <f>_xlfn.XLOOKUP(tblSales[[#This Row],[Customer ID]],tblCustomers[Customer ID],tblCustomers[Customer Name],"⚠ Unknown")</f>
        <v>Walk-in Customer</v>
      </c>
      <c r="F5425" s="4" t="s">
        <v>6</v>
      </c>
      <c r="G5425" s="1" t="str">
        <f>_xlfn.XLOOKUP(tblSales[[#This Row],[Product Code]],tblProducts[Code],tblProducts[Product / Service Name],"⚠ Unknown")</f>
        <v>Socks &amp; Accessories</v>
      </c>
      <c r="H5425" s="1" t="str">
        <f>_xlfn.XLOOKUP(tblSales[[#This Row],[Product Code]],tblProducts[Code],tblProducts[Category],"")</f>
        <v>Accessories &amp; Basics</v>
      </c>
      <c r="I5425" s="4">
        <v>6</v>
      </c>
      <c r="J5425" s="5">
        <f>_xlfn.XLOOKUP(tblSales[[#This Row],[Product Code]],tblProducts[Code],tblProducts[Selling Price (excl. VAT)],0)</f>
        <v>45000</v>
      </c>
      <c r="K5425" s="5">
        <f>tblSales[[#This Row],[Qty]]*tblSales[[#This Row],[Unit Price]]</f>
        <v>270000</v>
      </c>
      <c r="L5425" s="5">
        <f>ROUND(tblSales[[#This Row],[DPP (excl. VAT)]]*VATEff,0)</f>
        <v>29700</v>
      </c>
      <c r="M5425" s="5">
        <f>tblSales[[#This Row],[DPP (excl. VAT)]]+tblSales[[#This Row],[Output VAT]]</f>
        <v>299700</v>
      </c>
      <c r="N5425" s="5">
        <f>tblSales[[#This Row],[Qty]]*_xlfn.XLOOKUP(tblSales[[#This Row],[Product Code]],tblProducts[Code],tblProducts[Unit Cost],0)</f>
        <v>144000</v>
      </c>
      <c r="O5425" s="4" t="s">
        <v>4865</v>
      </c>
      <c r="P5425" s="4" t="s">
        <v>4860</v>
      </c>
      <c r="Q5425" s="1" t="str">
        <f>_xlfn.XLOOKUP(tblSales[[#This Row],[Channel Code]],tblChannels[Channel Code],tblChannels[Channel Name],"")</f>
        <v>In-store</v>
      </c>
      <c r="R5425" s="1">
        <f>MONTH(tblSales[[#This Row],[Date]])</f>
        <v>11</v>
      </c>
    </row>
    <row r="5426" spans="2:18" x14ac:dyDescent="0.35">
      <c r="B5426" s="113">
        <v>46351</v>
      </c>
      <c r="C5426" s="4" t="s">
        <v>3722</v>
      </c>
      <c r="D5426" s="4" t="s">
        <v>4568</v>
      </c>
      <c r="E5426" s="1" t="str">
        <f>_xlfn.XLOOKUP(tblSales[[#This Row],[Customer ID]],tblCustomers[Customer ID],tblCustomers[Customer Name],"⚠ Unknown")</f>
        <v>Walk-in Customer</v>
      </c>
      <c r="F5426" s="4" t="s">
        <v>9</v>
      </c>
      <c r="G5426" s="1" t="str">
        <f>_xlfn.XLOOKUP(tblSales[[#This Row],[Product Code]],tblProducts[Code],tblProducts[Product / Service Name],"⚠ Unknown")</f>
        <v>Casual Shirt</v>
      </c>
      <c r="H5426" s="1" t="str">
        <f>_xlfn.XLOOKUP(tblSales[[#This Row],[Product Code]],tblProducts[Code],tblProducts[Category],"")</f>
        <v>Apparel &amp; Footwear</v>
      </c>
      <c r="I5426" s="4">
        <v>12</v>
      </c>
      <c r="J5426" s="5">
        <f>_xlfn.XLOOKUP(tblSales[[#This Row],[Product Code]],tblProducts[Code],tblProducts[Selling Price (excl. VAT)],0)</f>
        <v>120000</v>
      </c>
      <c r="K5426" s="5">
        <f>tblSales[[#This Row],[Qty]]*tblSales[[#This Row],[Unit Price]]</f>
        <v>1440000</v>
      </c>
      <c r="L5426" s="5">
        <f>ROUND(tblSales[[#This Row],[DPP (excl. VAT)]]*VATEff,0)</f>
        <v>158400</v>
      </c>
      <c r="M5426" s="5">
        <f>tblSales[[#This Row],[DPP (excl. VAT)]]+tblSales[[#This Row],[Output VAT]]</f>
        <v>1598400</v>
      </c>
      <c r="N5426" s="5">
        <f>tblSales[[#This Row],[Qty]]*_xlfn.XLOOKUP(tblSales[[#This Row],[Product Code]],tblProducts[Code],tblProducts[Unit Cost],0)</f>
        <v>864000</v>
      </c>
      <c r="O5426" s="4" t="s">
        <v>4866</v>
      </c>
      <c r="P5426" s="4" t="s">
        <v>4861</v>
      </c>
      <c r="Q5426" s="1" t="str">
        <f>_xlfn.XLOOKUP(tblSales[[#This Row],[Channel Code]],tblChannels[Channel Code],tblChannels[Channel Name],"")</f>
        <v>Marketplace</v>
      </c>
      <c r="R5426" s="1">
        <f>MONTH(tblSales[[#This Row],[Date]])</f>
        <v>11</v>
      </c>
    </row>
    <row r="5427" spans="2:18" x14ac:dyDescent="0.35">
      <c r="B5427" s="113">
        <v>46351</v>
      </c>
      <c r="C5427" s="4" t="s">
        <v>3722</v>
      </c>
      <c r="D5427" s="4" t="s">
        <v>4568</v>
      </c>
      <c r="E5427" s="1" t="str">
        <f>_xlfn.XLOOKUP(tblSales[[#This Row],[Customer ID]],tblCustomers[Customer ID],tblCustomers[Customer Name],"⚠ Unknown")</f>
        <v>Walk-in Customer</v>
      </c>
      <c r="F5427" s="4" t="s">
        <v>10</v>
      </c>
      <c r="G5427" s="1" t="str">
        <f>_xlfn.XLOOKUP(tblSales[[#This Row],[Product Code]],tblProducts[Code],tblProducts[Product / Service Name],"⚠ Unknown")</f>
        <v>Chino Pants</v>
      </c>
      <c r="H5427" s="1" t="str">
        <f>_xlfn.XLOOKUP(tblSales[[#This Row],[Product Code]],tblProducts[Code],tblProducts[Category],"")</f>
        <v>Apparel &amp; Footwear</v>
      </c>
      <c r="I5427" s="4">
        <v>6</v>
      </c>
      <c r="J5427" s="5">
        <f>_xlfn.XLOOKUP(tblSales[[#This Row],[Product Code]],tblProducts[Code],tblProducts[Selling Price (excl. VAT)],0)</f>
        <v>150000</v>
      </c>
      <c r="K5427" s="5">
        <f>tblSales[[#This Row],[Qty]]*tblSales[[#This Row],[Unit Price]]</f>
        <v>900000</v>
      </c>
      <c r="L5427" s="5">
        <f>ROUND(tblSales[[#This Row],[DPP (excl. VAT)]]*VATEff,0)</f>
        <v>99000</v>
      </c>
      <c r="M5427" s="5">
        <f>tblSales[[#This Row],[DPP (excl. VAT)]]+tblSales[[#This Row],[Output VAT]]</f>
        <v>999000</v>
      </c>
      <c r="N5427" s="5">
        <f>tblSales[[#This Row],[Qty]]*_xlfn.XLOOKUP(tblSales[[#This Row],[Product Code]],tblProducts[Code],tblProducts[Unit Cost],0)</f>
        <v>528000</v>
      </c>
      <c r="O5427" s="4" t="s">
        <v>4866</v>
      </c>
      <c r="P5427" s="4" t="s">
        <v>4861</v>
      </c>
      <c r="Q5427" s="1" t="str">
        <f>_xlfn.XLOOKUP(tblSales[[#This Row],[Channel Code]],tblChannels[Channel Code],tblChannels[Channel Name],"")</f>
        <v>Marketplace</v>
      </c>
      <c r="R5427" s="1">
        <f>MONTH(tblSales[[#This Row],[Date]])</f>
        <v>11</v>
      </c>
    </row>
    <row r="5428" spans="2:18" x14ac:dyDescent="0.35">
      <c r="B5428" s="113">
        <v>46351</v>
      </c>
      <c r="C5428" s="4" t="s">
        <v>3723</v>
      </c>
      <c r="D5428" s="4" t="s">
        <v>4568</v>
      </c>
      <c r="E5428" s="1" t="str">
        <f>_xlfn.XLOOKUP(tblSales[[#This Row],[Customer ID]],tblCustomers[Customer ID],tblCustomers[Customer Name],"⚠ Unknown")</f>
        <v>Walk-in Customer</v>
      </c>
      <c r="F5428" s="4" t="s">
        <v>9</v>
      </c>
      <c r="G5428" s="1" t="str">
        <f>_xlfn.XLOOKUP(tblSales[[#This Row],[Product Code]],tblProducts[Code],tblProducts[Product / Service Name],"⚠ Unknown")</f>
        <v>Casual Shirt</v>
      </c>
      <c r="H5428" s="1" t="str">
        <f>_xlfn.XLOOKUP(tblSales[[#This Row],[Product Code]],tblProducts[Code],tblProducts[Category],"")</f>
        <v>Apparel &amp; Footwear</v>
      </c>
      <c r="I5428" s="4">
        <v>3</v>
      </c>
      <c r="J5428" s="5">
        <f>_xlfn.XLOOKUP(tblSales[[#This Row],[Product Code]],tblProducts[Code],tblProducts[Selling Price (excl. VAT)],0)</f>
        <v>120000</v>
      </c>
      <c r="K5428" s="5">
        <f>tblSales[[#This Row],[Qty]]*tblSales[[#This Row],[Unit Price]]</f>
        <v>360000</v>
      </c>
      <c r="L5428" s="5">
        <f>ROUND(tblSales[[#This Row],[DPP (excl. VAT)]]*VATEff,0)</f>
        <v>39600</v>
      </c>
      <c r="M5428" s="5">
        <f>tblSales[[#This Row],[DPP (excl. VAT)]]+tblSales[[#This Row],[Output VAT]]</f>
        <v>399600</v>
      </c>
      <c r="N5428" s="5">
        <f>tblSales[[#This Row],[Qty]]*_xlfn.XLOOKUP(tblSales[[#This Row],[Product Code]],tblProducts[Code],tblProducts[Unit Cost],0)</f>
        <v>216000</v>
      </c>
      <c r="O5428" s="4" t="s">
        <v>4865</v>
      </c>
      <c r="P5428" s="4" t="s">
        <v>4860</v>
      </c>
      <c r="Q5428" s="1" t="str">
        <f>_xlfn.XLOOKUP(tblSales[[#This Row],[Channel Code]],tblChannels[Channel Code],tblChannels[Channel Name],"")</f>
        <v>In-store</v>
      </c>
      <c r="R5428" s="1">
        <f>MONTH(tblSales[[#This Row],[Date]])</f>
        <v>11</v>
      </c>
    </row>
    <row r="5429" spans="2:18" x14ac:dyDescent="0.35">
      <c r="B5429" s="113">
        <v>46351</v>
      </c>
      <c r="C5429" s="4" t="s">
        <v>3723</v>
      </c>
      <c r="D5429" s="4" t="s">
        <v>4568</v>
      </c>
      <c r="E5429" s="1" t="str">
        <f>_xlfn.XLOOKUP(tblSales[[#This Row],[Customer ID]],tblCustomers[Customer ID],tblCustomers[Customer Name],"⚠ Unknown")</f>
        <v>Walk-in Customer</v>
      </c>
      <c r="F5429" s="4" t="s">
        <v>12</v>
      </c>
      <c r="G5429" s="1" t="str">
        <f>_xlfn.XLOOKUP(tblSales[[#This Row],[Product Code]],tblProducts[Code],tblProducts[Product / Service Name],"⚠ Unknown")</f>
        <v>Bomber Jacket</v>
      </c>
      <c r="H5429" s="1" t="str">
        <f>_xlfn.XLOOKUP(tblSales[[#This Row],[Product Code]],tblProducts[Code],tblProducts[Category],"")</f>
        <v>Apparel &amp; Footwear</v>
      </c>
      <c r="I5429" s="4">
        <v>4</v>
      </c>
      <c r="J5429" s="5">
        <f>_xlfn.XLOOKUP(tblSales[[#This Row],[Product Code]],tblProducts[Code],tblProducts[Selling Price (excl. VAT)],0)</f>
        <v>350000</v>
      </c>
      <c r="K5429" s="5">
        <f>tblSales[[#This Row],[Qty]]*tblSales[[#This Row],[Unit Price]]</f>
        <v>1400000</v>
      </c>
      <c r="L5429" s="5">
        <f>ROUND(tblSales[[#This Row],[DPP (excl. VAT)]]*VATEff,0)</f>
        <v>154000</v>
      </c>
      <c r="M5429" s="5">
        <f>tblSales[[#This Row],[DPP (excl. VAT)]]+tblSales[[#This Row],[Output VAT]]</f>
        <v>1554000</v>
      </c>
      <c r="N5429" s="5">
        <f>tblSales[[#This Row],[Qty]]*_xlfn.XLOOKUP(tblSales[[#This Row],[Product Code]],tblProducts[Code],tblProducts[Unit Cost],0)</f>
        <v>840000</v>
      </c>
      <c r="O5429" s="4" t="s">
        <v>4865</v>
      </c>
      <c r="P5429" s="4" t="s">
        <v>4860</v>
      </c>
      <c r="Q5429" s="1" t="str">
        <f>_xlfn.XLOOKUP(tblSales[[#This Row],[Channel Code]],tblChannels[Channel Code],tblChannels[Channel Name],"")</f>
        <v>In-store</v>
      </c>
      <c r="R5429" s="1">
        <f>MONTH(tblSales[[#This Row],[Date]])</f>
        <v>11</v>
      </c>
    </row>
    <row r="5430" spans="2:18" x14ac:dyDescent="0.35">
      <c r="B5430" s="113">
        <v>46351</v>
      </c>
      <c r="C5430" s="4" t="s">
        <v>3723</v>
      </c>
      <c r="D5430" s="4" t="s">
        <v>4568</v>
      </c>
      <c r="E5430" s="1" t="str">
        <f>_xlfn.XLOOKUP(tblSales[[#This Row],[Customer ID]],tblCustomers[Customer ID],tblCustomers[Customer Name],"⚠ Unknown")</f>
        <v>Walk-in Customer</v>
      </c>
      <c r="F5430" s="4" t="s">
        <v>6</v>
      </c>
      <c r="G5430" s="1" t="str">
        <f>_xlfn.XLOOKUP(tblSales[[#This Row],[Product Code]],tblProducts[Code],tblProducts[Product / Service Name],"⚠ Unknown")</f>
        <v>Socks &amp; Accessories</v>
      </c>
      <c r="H5430" s="1" t="str">
        <f>_xlfn.XLOOKUP(tblSales[[#This Row],[Product Code]],tblProducts[Code],tblProducts[Category],"")</f>
        <v>Accessories &amp; Basics</v>
      </c>
      <c r="I5430" s="4">
        <v>5</v>
      </c>
      <c r="J5430" s="5">
        <f>_xlfn.XLOOKUP(tblSales[[#This Row],[Product Code]],tblProducts[Code],tblProducts[Selling Price (excl. VAT)],0)</f>
        <v>45000</v>
      </c>
      <c r="K5430" s="5">
        <f>tblSales[[#This Row],[Qty]]*tblSales[[#This Row],[Unit Price]]</f>
        <v>225000</v>
      </c>
      <c r="L5430" s="5">
        <f>ROUND(tblSales[[#This Row],[DPP (excl. VAT)]]*VATEff,0)</f>
        <v>24750</v>
      </c>
      <c r="M5430" s="5">
        <f>tblSales[[#This Row],[DPP (excl. VAT)]]+tblSales[[#This Row],[Output VAT]]</f>
        <v>249750</v>
      </c>
      <c r="N5430" s="5">
        <f>tblSales[[#This Row],[Qty]]*_xlfn.XLOOKUP(tblSales[[#This Row],[Product Code]],tblProducts[Code],tblProducts[Unit Cost],0)</f>
        <v>120000</v>
      </c>
      <c r="O5430" s="4" t="s">
        <v>4865</v>
      </c>
      <c r="P5430" s="4" t="s">
        <v>4860</v>
      </c>
      <c r="Q5430" s="1" t="str">
        <f>_xlfn.XLOOKUP(tblSales[[#This Row],[Channel Code]],tblChannels[Channel Code],tblChannels[Channel Name],"")</f>
        <v>In-store</v>
      </c>
      <c r="R5430" s="1">
        <f>MONTH(tblSales[[#This Row],[Date]])</f>
        <v>11</v>
      </c>
    </row>
    <row r="5431" spans="2:18" x14ac:dyDescent="0.35">
      <c r="B5431" s="113">
        <v>46351</v>
      </c>
      <c r="C5431" s="4" t="s">
        <v>3724</v>
      </c>
      <c r="D5431" s="4" t="s">
        <v>4568</v>
      </c>
      <c r="E5431" s="1" t="str">
        <f>_xlfn.XLOOKUP(tblSales[[#This Row],[Customer ID]],tblCustomers[Customer ID],tblCustomers[Customer Name],"⚠ Unknown")</f>
        <v>Walk-in Customer</v>
      </c>
      <c r="F5431" s="4" t="s">
        <v>7</v>
      </c>
      <c r="G5431" s="1" t="str">
        <f>_xlfn.XLOOKUP(tblSales[[#This Row],[Product Code]],tblProducts[Code],tblProducts[Product / Service Name],"⚠ Unknown")</f>
        <v>Premium Basic T-shirt</v>
      </c>
      <c r="H5431" s="1" t="str">
        <f>_xlfn.XLOOKUP(tblSales[[#This Row],[Product Code]],tblProducts[Code],tblProducts[Category],"")</f>
        <v>Accessories &amp; Basics</v>
      </c>
      <c r="I5431" s="4">
        <v>8</v>
      </c>
      <c r="J5431" s="5">
        <f>_xlfn.XLOOKUP(tblSales[[#This Row],[Product Code]],tblProducts[Code],tblProducts[Selling Price (excl. VAT)],0)</f>
        <v>65000</v>
      </c>
      <c r="K5431" s="5">
        <f>tblSales[[#This Row],[Qty]]*tblSales[[#This Row],[Unit Price]]</f>
        <v>520000</v>
      </c>
      <c r="L5431" s="5">
        <f>ROUND(tblSales[[#This Row],[DPP (excl. VAT)]]*VATEff,0)</f>
        <v>57200</v>
      </c>
      <c r="M5431" s="5">
        <f>tblSales[[#This Row],[DPP (excl. VAT)]]+tblSales[[#This Row],[Output VAT]]</f>
        <v>577200</v>
      </c>
      <c r="N5431" s="5">
        <f>tblSales[[#This Row],[Qty]]*_xlfn.XLOOKUP(tblSales[[#This Row],[Product Code]],tblProducts[Code],tblProducts[Unit Cost],0)</f>
        <v>296000</v>
      </c>
      <c r="O5431" s="4" t="s">
        <v>4865</v>
      </c>
      <c r="P5431" s="4" t="s">
        <v>4860</v>
      </c>
      <c r="Q5431" s="1" t="str">
        <f>_xlfn.XLOOKUP(tblSales[[#This Row],[Channel Code]],tblChannels[Channel Code],tblChannels[Channel Name],"")</f>
        <v>In-store</v>
      </c>
      <c r="R5431" s="1">
        <f>MONTH(tblSales[[#This Row],[Date]])</f>
        <v>11</v>
      </c>
    </row>
    <row r="5432" spans="2:18" x14ac:dyDescent="0.35">
      <c r="B5432" s="113">
        <v>46351</v>
      </c>
      <c r="C5432" s="4" t="s">
        <v>3725</v>
      </c>
      <c r="D5432" s="4" t="s">
        <v>4568</v>
      </c>
      <c r="E5432" s="1" t="str">
        <f>_xlfn.XLOOKUP(tblSales[[#This Row],[Customer ID]],tblCustomers[Customer ID],tblCustomers[Customer Name],"⚠ Unknown")</f>
        <v>Walk-in Customer</v>
      </c>
      <c r="F5432" s="4" t="s">
        <v>14</v>
      </c>
      <c r="G5432" s="1" t="str">
        <f>_xlfn.XLOOKUP(tblSales[[#This Row],[Product Code]],tblProducts[Code],tblProducts[Product / Service Name],"⚠ Unknown")</f>
        <v>Smartwatch</v>
      </c>
      <c r="H5432" s="1" t="str">
        <f>_xlfn.XLOOKUP(tblSales[[#This Row],[Product Code]],tblProducts[Code],tblProducts[Category],"")</f>
        <v>Bags &amp; Gadgets</v>
      </c>
      <c r="I5432" s="4">
        <v>1</v>
      </c>
      <c r="J5432" s="5">
        <f>_xlfn.XLOOKUP(tblSales[[#This Row],[Product Code]],tblProducts[Code],tblProducts[Selling Price (excl. VAT)],0)</f>
        <v>850000</v>
      </c>
      <c r="K5432" s="5">
        <f>tblSales[[#This Row],[Qty]]*tblSales[[#This Row],[Unit Price]]</f>
        <v>850000</v>
      </c>
      <c r="L5432" s="5">
        <f>ROUND(tblSales[[#This Row],[DPP (excl. VAT)]]*VATEff,0)</f>
        <v>93500</v>
      </c>
      <c r="M5432" s="5">
        <f>tblSales[[#This Row],[DPP (excl. VAT)]]+tblSales[[#This Row],[Output VAT]]</f>
        <v>943500</v>
      </c>
      <c r="N5432" s="5">
        <f>tblSales[[#This Row],[Qty]]*_xlfn.XLOOKUP(tblSales[[#This Row],[Product Code]],tblProducts[Code],tblProducts[Unit Cost],0)</f>
        <v>560000</v>
      </c>
      <c r="O5432" s="4" t="s">
        <v>4866</v>
      </c>
      <c r="P5432" s="4" t="s">
        <v>4861</v>
      </c>
      <c r="Q5432" s="1" t="str">
        <f>_xlfn.XLOOKUP(tblSales[[#This Row],[Channel Code]],tblChannels[Channel Code],tblChannels[Channel Name],"")</f>
        <v>Marketplace</v>
      </c>
      <c r="R5432" s="1">
        <f>MONTH(tblSales[[#This Row],[Date]])</f>
        <v>11</v>
      </c>
    </row>
    <row r="5433" spans="2:18" x14ac:dyDescent="0.35">
      <c r="B5433" s="113">
        <v>46351</v>
      </c>
      <c r="C5433" s="4" t="s">
        <v>3726</v>
      </c>
      <c r="D5433" s="4" t="s">
        <v>4578</v>
      </c>
      <c r="E5433" s="1" t="str">
        <f>_xlfn.XLOOKUP(tblSales[[#This Row],[Customer ID]],tblCustomers[Customer ID],tblCustomers[Customer Name],"⚠ Unknown")</f>
        <v>PT Bintang Timur Sejahtera</v>
      </c>
      <c r="F5433" s="4" t="s">
        <v>7</v>
      </c>
      <c r="G5433" s="1" t="str">
        <f>_xlfn.XLOOKUP(tblSales[[#This Row],[Product Code]],tblProducts[Code],tblProducts[Product / Service Name],"⚠ Unknown")</f>
        <v>Premium Basic T-shirt</v>
      </c>
      <c r="H5433" s="1" t="str">
        <f>_xlfn.XLOOKUP(tblSales[[#This Row],[Product Code]],tblProducts[Code],tblProducts[Category],"")</f>
        <v>Accessories &amp; Basics</v>
      </c>
      <c r="I5433" s="4">
        <v>88</v>
      </c>
      <c r="J5433" s="5">
        <f>_xlfn.XLOOKUP(tblSales[[#This Row],[Product Code]],tblProducts[Code],tblProducts[Selling Price (excl. VAT)],0)</f>
        <v>65000</v>
      </c>
      <c r="K5433" s="5">
        <f>tblSales[[#This Row],[Qty]]*tblSales[[#This Row],[Unit Price]]</f>
        <v>5720000</v>
      </c>
      <c r="L5433" s="5">
        <f>ROUND(tblSales[[#This Row],[DPP (excl. VAT)]]*VATEff,0)</f>
        <v>629200</v>
      </c>
      <c r="M5433" s="5">
        <f>tblSales[[#This Row],[DPP (excl. VAT)]]+tblSales[[#This Row],[Output VAT]]</f>
        <v>6349200</v>
      </c>
      <c r="N5433" s="5">
        <f>tblSales[[#This Row],[Qty]]*_xlfn.XLOOKUP(tblSales[[#This Row],[Product Code]],tblProducts[Code],tblProducts[Unit Cost],0)</f>
        <v>3256000</v>
      </c>
      <c r="O5433" s="4" t="s">
        <v>4867</v>
      </c>
      <c r="P5433" s="4" t="s">
        <v>4860</v>
      </c>
      <c r="Q5433" s="1" t="str">
        <f>_xlfn.XLOOKUP(tblSales[[#This Row],[Channel Code]],tblChannels[Channel Code],tblChannels[Channel Name],"")</f>
        <v>In-store</v>
      </c>
      <c r="R5433" s="1">
        <f>MONTH(tblSales[[#This Row],[Date]])</f>
        <v>11</v>
      </c>
    </row>
    <row r="5434" spans="2:18" x14ac:dyDescent="0.35">
      <c r="B5434" s="113">
        <v>46352</v>
      </c>
      <c r="C5434" s="4" t="s">
        <v>3727</v>
      </c>
      <c r="D5434" s="4" t="s">
        <v>4568</v>
      </c>
      <c r="E5434" s="1" t="str">
        <f>_xlfn.XLOOKUP(tblSales[[#This Row],[Customer ID]],tblCustomers[Customer ID],tblCustomers[Customer Name],"⚠ Unknown")</f>
        <v>Walk-in Customer</v>
      </c>
      <c r="F5434" s="4" t="s">
        <v>6</v>
      </c>
      <c r="G5434" s="1" t="str">
        <f>_xlfn.XLOOKUP(tblSales[[#This Row],[Product Code]],tblProducts[Code],tblProducts[Product / Service Name],"⚠ Unknown")</f>
        <v>Socks &amp; Accessories</v>
      </c>
      <c r="H5434" s="1" t="str">
        <f>_xlfn.XLOOKUP(tblSales[[#This Row],[Product Code]],tblProducts[Code],tblProducts[Category],"")</f>
        <v>Accessories &amp; Basics</v>
      </c>
      <c r="I5434" s="4">
        <v>3</v>
      </c>
      <c r="J5434" s="5">
        <f>_xlfn.XLOOKUP(tblSales[[#This Row],[Product Code]],tblProducts[Code],tblProducts[Selling Price (excl. VAT)],0)</f>
        <v>45000</v>
      </c>
      <c r="K5434" s="5">
        <f>tblSales[[#This Row],[Qty]]*tblSales[[#This Row],[Unit Price]]</f>
        <v>135000</v>
      </c>
      <c r="L5434" s="5">
        <f>ROUND(tblSales[[#This Row],[DPP (excl. VAT)]]*VATEff,0)</f>
        <v>14850</v>
      </c>
      <c r="M5434" s="5">
        <f>tblSales[[#This Row],[DPP (excl. VAT)]]+tblSales[[#This Row],[Output VAT]]</f>
        <v>149850</v>
      </c>
      <c r="N5434" s="5">
        <f>tblSales[[#This Row],[Qty]]*_xlfn.XLOOKUP(tblSales[[#This Row],[Product Code]],tblProducts[Code],tblProducts[Unit Cost],0)</f>
        <v>72000</v>
      </c>
      <c r="O5434" s="4" t="s">
        <v>4866</v>
      </c>
      <c r="P5434" s="4" t="s">
        <v>4862</v>
      </c>
      <c r="Q5434" s="1" t="str">
        <f>_xlfn.XLOOKUP(tblSales[[#This Row],[Channel Code]],tblChannels[Channel Code],tblChannels[Channel Name],"")</f>
        <v>Website &amp; Social Media</v>
      </c>
      <c r="R5434" s="1">
        <f>MONTH(tblSales[[#This Row],[Date]])</f>
        <v>11</v>
      </c>
    </row>
    <row r="5435" spans="2:18" x14ac:dyDescent="0.35">
      <c r="B5435" s="113">
        <v>46352</v>
      </c>
      <c r="C5435" s="4" t="s">
        <v>3728</v>
      </c>
      <c r="D5435" s="4" t="s">
        <v>4634</v>
      </c>
      <c r="E5435" s="1" t="str">
        <f>_xlfn.XLOOKUP(tblSales[[#This Row],[Customer ID]],tblCustomers[Customer ID],tblCustomers[Customer Name],"⚠ Unknown")</f>
        <v>PT Delta Inti Selaras</v>
      </c>
      <c r="F5435" s="4" t="s">
        <v>13</v>
      </c>
      <c r="G5435" s="1" t="str">
        <f>_xlfn.XLOOKUP(tblSales[[#This Row],[Product Code]],tblProducts[Code],tblProducts[Product / Service Name],"⚠ Unknown")</f>
        <v>Backpack</v>
      </c>
      <c r="H5435" s="1" t="str">
        <f>_xlfn.XLOOKUP(tblSales[[#This Row],[Product Code]],tblProducts[Code],tblProducts[Category],"")</f>
        <v>Bags &amp; Gadgets</v>
      </c>
      <c r="I5435" s="4">
        <v>48</v>
      </c>
      <c r="J5435" s="5">
        <f>_xlfn.XLOOKUP(tblSales[[#This Row],[Product Code]],tblProducts[Code],tblProducts[Selling Price (excl. VAT)],0)</f>
        <v>500000</v>
      </c>
      <c r="K5435" s="5">
        <f>tblSales[[#This Row],[Qty]]*tblSales[[#This Row],[Unit Price]]</f>
        <v>24000000</v>
      </c>
      <c r="L5435" s="5">
        <f>ROUND(tblSales[[#This Row],[DPP (excl. VAT)]]*VATEff,0)</f>
        <v>2640000</v>
      </c>
      <c r="M5435" s="5">
        <f>tblSales[[#This Row],[DPP (excl. VAT)]]+tblSales[[#This Row],[Output VAT]]</f>
        <v>26640000</v>
      </c>
      <c r="N5435" s="5">
        <f>tblSales[[#This Row],[Qty]]*_xlfn.XLOOKUP(tblSales[[#This Row],[Product Code]],tblProducts[Code],tblProducts[Unit Cost],0)</f>
        <v>13920000</v>
      </c>
      <c r="O5435" s="4" t="s">
        <v>4867</v>
      </c>
      <c r="P5435" s="4" t="s">
        <v>4862</v>
      </c>
      <c r="Q5435" s="1" t="str">
        <f>_xlfn.XLOOKUP(tblSales[[#This Row],[Channel Code]],tblChannels[Channel Code],tblChannels[Channel Name],"")</f>
        <v>Website &amp; Social Media</v>
      </c>
      <c r="R5435" s="1">
        <f>MONTH(tblSales[[#This Row],[Date]])</f>
        <v>11</v>
      </c>
    </row>
    <row r="5436" spans="2:18" x14ac:dyDescent="0.35">
      <c r="B5436" s="113">
        <v>46352</v>
      </c>
      <c r="C5436" s="4" t="s">
        <v>3728</v>
      </c>
      <c r="D5436" s="4" t="s">
        <v>4634</v>
      </c>
      <c r="E5436" s="1" t="str">
        <f>_xlfn.XLOOKUP(tblSales[[#This Row],[Customer ID]],tblCustomers[Customer ID],tblCustomers[Customer Name],"⚠ Unknown")</f>
        <v>PT Delta Inti Selaras</v>
      </c>
      <c r="F5436" s="4" t="s">
        <v>15</v>
      </c>
      <c r="G5436" s="1" t="str">
        <f>_xlfn.XLOOKUP(tblSales[[#This Row],[Product Code]],tblProducts[Code],tblProducts[Product / Service Name],"⚠ Unknown")</f>
        <v>Wireless Earbuds Pro</v>
      </c>
      <c r="H5436" s="1" t="str">
        <f>_xlfn.XLOOKUP(tblSales[[#This Row],[Product Code]],tblProducts[Code],tblProducts[Category],"")</f>
        <v>Bags &amp; Gadgets</v>
      </c>
      <c r="I5436" s="4">
        <v>16</v>
      </c>
      <c r="J5436" s="5">
        <f>_xlfn.XLOOKUP(tblSales[[#This Row],[Product Code]],tblProducts[Code],tblProducts[Selling Price (excl. VAT)],0)</f>
        <v>1250000</v>
      </c>
      <c r="K5436" s="5">
        <f>tblSales[[#This Row],[Qty]]*tblSales[[#This Row],[Unit Price]]</f>
        <v>20000000</v>
      </c>
      <c r="L5436" s="5">
        <f>ROUND(tblSales[[#This Row],[DPP (excl. VAT)]]*VATEff,0)</f>
        <v>2200000</v>
      </c>
      <c r="M5436" s="5">
        <f>tblSales[[#This Row],[DPP (excl. VAT)]]+tblSales[[#This Row],[Output VAT]]</f>
        <v>22200000</v>
      </c>
      <c r="N5436" s="5">
        <f>tblSales[[#This Row],[Qty]]*_xlfn.XLOOKUP(tblSales[[#This Row],[Product Code]],tblProducts[Code],tblProducts[Unit Cost],0)</f>
        <v>13120000</v>
      </c>
      <c r="O5436" s="4" t="s">
        <v>4867</v>
      </c>
      <c r="P5436" s="4" t="s">
        <v>4862</v>
      </c>
      <c r="Q5436" s="1" t="str">
        <f>_xlfn.XLOOKUP(tblSales[[#This Row],[Channel Code]],tblChannels[Channel Code],tblChannels[Channel Name],"")</f>
        <v>Website &amp; Social Media</v>
      </c>
      <c r="R5436" s="1">
        <f>MONTH(tblSales[[#This Row],[Date]])</f>
        <v>11</v>
      </c>
    </row>
    <row r="5437" spans="2:18" x14ac:dyDescent="0.35">
      <c r="B5437" s="113">
        <v>46352</v>
      </c>
      <c r="C5437" s="4" t="s">
        <v>3728</v>
      </c>
      <c r="D5437" s="4" t="s">
        <v>4634</v>
      </c>
      <c r="E5437" s="1" t="str">
        <f>_xlfn.XLOOKUP(tblSales[[#This Row],[Customer ID]],tblCustomers[Customer ID],tblCustomers[Customer Name],"⚠ Unknown")</f>
        <v>PT Delta Inti Selaras</v>
      </c>
      <c r="F5437" s="4" t="s">
        <v>6</v>
      </c>
      <c r="G5437" s="1" t="str">
        <f>_xlfn.XLOOKUP(tblSales[[#This Row],[Product Code]],tblProducts[Code],tblProducts[Product / Service Name],"⚠ Unknown")</f>
        <v>Socks &amp; Accessories</v>
      </c>
      <c r="H5437" s="1" t="str">
        <f>_xlfn.XLOOKUP(tblSales[[#This Row],[Product Code]],tblProducts[Code],tblProducts[Category],"")</f>
        <v>Accessories &amp; Basics</v>
      </c>
      <c r="I5437" s="4">
        <v>32</v>
      </c>
      <c r="J5437" s="5">
        <f>_xlfn.XLOOKUP(tblSales[[#This Row],[Product Code]],tblProducts[Code],tblProducts[Selling Price (excl. VAT)],0)</f>
        <v>45000</v>
      </c>
      <c r="K5437" s="5">
        <f>tblSales[[#This Row],[Qty]]*tblSales[[#This Row],[Unit Price]]</f>
        <v>1440000</v>
      </c>
      <c r="L5437" s="5">
        <f>ROUND(tblSales[[#This Row],[DPP (excl. VAT)]]*VATEff,0)</f>
        <v>158400</v>
      </c>
      <c r="M5437" s="5">
        <f>tblSales[[#This Row],[DPP (excl. VAT)]]+tblSales[[#This Row],[Output VAT]]</f>
        <v>1598400</v>
      </c>
      <c r="N5437" s="5">
        <f>tblSales[[#This Row],[Qty]]*_xlfn.XLOOKUP(tblSales[[#This Row],[Product Code]],tblProducts[Code],tblProducts[Unit Cost],0)</f>
        <v>768000</v>
      </c>
      <c r="O5437" s="4" t="s">
        <v>4867</v>
      </c>
      <c r="P5437" s="4" t="s">
        <v>4862</v>
      </c>
      <c r="Q5437" s="1" t="str">
        <f>_xlfn.XLOOKUP(tblSales[[#This Row],[Channel Code]],tblChannels[Channel Code],tblChannels[Channel Name],"")</f>
        <v>Website &amp; Social Media</v>
      </c>
      <c r="R5437" s="1">
        <f>MONTH(tblSales[[#This Row],[Date]])</f>
        <v>11</v>
      </c>
    </row>
    <row r="5438" spans="2:18" x14ac:dyDescent="0.35">
      <c r="B5438" s="113">
        <v>46352</v>
      </c>
      <c r="C5438" s="4" t="s">
        <v>3729</v>
      </c>
      <c r="D5438" s="4" t="s">
        <v>4613</v>
      </c>
      <c r="E5438" s="1" t="str">
        <f>_xlfn.XLOOKUP(tblSales[[#This Row],[Customer ID]],tblCustomers[Customer ID],tblCustomers[Customer Name],"⚠ Unknown")</f>
        <v>PT Mega Prima Distribusi</v>
      </c>
      <c r="F5438" s="4" t="s">
        <v>8</v>
      </c>
      <c r="G5438" s="1" t="str">
        <f>_xlfn.XLOOKUP(tblSales[[#This Row],[Product Code]],tblProducts[Code],tblProducts[Product / Service Name],"⚠ Unknown")</f>
        <v>Casual Shorts</v>
      </c>
      <c r="H5438" s="1" t="str">
        <f>_xlfn.XLOOKUP(tblSales[[#This Row],[Product Code]],tblProducts[Code],tblProducts[Category],"")</f>
        <v>Accessories &amp; Basics</v>
      </c>
      <c r="I5438" s="4">
        <v>24</v>
      </c>
      <c r="J5438" s="5">
        <f>_xlfn.XLOOKUP(tblSales[[#This Row],[Product Code]],tblProducts[Code],tblProducts[Selling Price (excl. VAT)],0)</f>
        <v>85000</v>
      </c>
      <c r="K5438" s="5">
        <f>tblSales[[#This Row],[Qty]]*tblSales[[#This Row],[Unit Price]]</f>
        <v>2040000</v>
      </c>
      <c r="L5438" s="5">
        <f>ROUND(tblSales[[#This Row],[DPP (excl. VAT)]]*VATEff,0)</f>
        <v>224400</v>
      </c>
      <c r="M5438" s="5">
        <f>tblSales[[#This Row],[DPP (excl. VAT)]]+tblSales[[#This Row],[Output VAT]]</f>
        <v>2264400</v>
      </c>
      <c r="N5438" s="5">
        <f>tblSales[[#This Row],[Qty]]*_xlfn.XLOOKUP(tblSales[[#This Row],[Product Code]],tblProducts[Code],tblProducts[Unit Cost],0)</f>
        <v>1200000</v>
      </c>
      <c r="O5438" s="4" t="s">
        <v>4867</v>
      </c>
      <c r="P5438" s="4" t="s">
        <v>4860</v>
      </c>
      <c r="Q5438" s="1" t="str">
        <f>_xlfn.XLOOKUP(tblSales[[#This Row],[Channel Code]],tblChannels[Channel Code],tblChannels[Channel Name],"")</f>
        <v>In-store</v>
      </c>
      <c r="R5438" s="1">
        <f>MONTH(tblSales[[#This Row],[Date]])</f>
        <v>11</v>
      </c>
    </row>
    <row r="5439" spans="2:18" x14ac:dyDescent="0.35">
      <c r="B5439" s="113">
        <v>46352</v>
      </c>
      <c r="C5439" s="4" t="s">
        <v>3730</v>
      </c>
      <c r="D5439" s="4" t="s">
        <v>4578</v>
      </c>
      <c r="E5439" s="1" t="str">
        <f>_xlfn.XLOOKUP(tblSales[[#This Row],[Customer ID]],tblCustomers[Customer ID],tblCustomers[Customer Name],"⚠ Unknown")</f>
        <v>PT Bintang Timur Sejahtera</v>
      </c>
      <c r="F5439" s="4" t="s">
        <v>6</v>
      </c>
      <c r="G5439" s="1" t="str">
        <f>_xlfn.XLOOKUP(tblSales[[#This Row],[Product Code]],tblProducts[Code],tblProducts[Product / Service Name],"⚠ Unknown")</f>
        <v>Socks &amp; Accessories</v>
      </c>
      <c r="H5439" s="1" t="str">
        <f>_xlfn.XLOOKUP(tblSales[[#This Row],[Product Code]],tblProducts[Code],tblProducts[Category],"")</f>
        <v>Accessories &amp; Basics</v>
      </c>
      <c r="I5439" s="4">
        <v>88</v>
      </c>
      <c r="J5439" s="5">
        <f>_xlfn.XLOOKUP(tblSales[[#This Row],[Product Code]],tblProducts[Code],tblProducts[Selling Price (excl. VAT)],0)</f>
        <v>45000</v>
      </c>
      <c r="K5439" s="5">
        <f>tblSales[[#This Row],[Qty]]*tblSales[[#This Row],[Unit Price]]</f>
        <v>3960000</v>
      </c>
      <c r="L5439" s="5">
        <f>ROUND(tblSales[[#This Row],[DPP (excl. VAT)]]*VATEff,0)</f>
        <v>435600</v>
      </c>
      <c r="M5439" s="5">
        <f>tblSales[[#This Row],[DPP (excl. VAT)]]+tblSales[[#This Row],[Output VAT]]</f>
        <v>4395600</v>
      </c>
      <c r="N5439" s="5">
        <f>tblSales[[#This Row],[Qty]]*_xlfn.XLOOKUP(tblSales[[#This Row],[Product Code]],tblProducts[Code],tblProducts[Unit Cost],0)</f>
        <v>2112000</v>
      </c>
      <c r="O5439" s="4" t="s">
        <v>4867</v>
      </c>
      <c r="P5439" s="4" t="s">
        <v>4860</v>
      </c>
      <c r="Q5439" s="1" t="str">
        <f>_xlfn.XLOOKUP(tblSales[[#This Row],[Channel Code]],tblChannels[Channel Code],tblChannels[Channel Name],"")</f>
        <v>In-store</v>
      </c>
      <c r="R5439" s="1">
        <f>MONTH(tblSales[[#This Row],[Date]])</f>
        <v>11</v>
      </c>
    </row>
    <row r="5440" spans="2:18" x14ac:dyDescent="0.35">
      <c r="B5440" s="113">
        <v>46352</v>
      </c>
      <c r="C5440" s="4" t="s">
        <v>3730</v>
      </c>
      <c r="D5440" s="4" t="s">
        <v>4578</v>
      </c>
      <c r="E5440" s="1" t="str">
        <f>_xlfn.XLOOKUP(tblSales[[#This Row],[Customer ID]],tblCustomers[Customer ID],tblCustomers[Customer Name],"⚠ Unknown")</f>
        <v>PT Bintang Timur Sejahtera</v>
      </c>
      <c r="F5440" s="4" t="s">
        <v>8</v>
      </c>
      <c r="G5440" s="1" t="str">
        <f>_xlfn.XLOOKUP(tblSales[[#This Row],[Product Code]],tblProducts[Code],tblProducts[Product / Service Name],"⚠ Unknown")</f>
        <v>Casual Shorts</v>
      </c>
      <c r="H5440" s="1" t="str">
        <f>_xlfn.XLOOKUP(tblSales[[#This Row],[Product Code]],tblProducts[Code],tblProducts[Category],"")</f>
        <v>Accessories &amp; Basics</v>
      </c>
      <c r="I5440" s="4">
        <v>8</v>
      </c>
      <c r="J5440" s="5">
        <f>_xlfn.XLOOKUP(tblSales[[#This Row],[Product Code]],tblProducts[Code],tblProducts[Selling Price (excl. VAT)],0)</f>
        <v>85000</v>
      </c>
      <c r="K5440" s="5">
        <f>tblSales[[#This Row],[Qty]]*tblSales[[#This Row],[Unit Price]]</f>
        <v>680000</v>
      </c>
      <c r="L5440" s="5">
        <f>ROUND(tblSales[[#This Row],[DPP (excl. VAT)]]*VATEff,0)</f>
        <v>74800</v>
      </c>
      <c r="M5440" s="5">
        <f>tblSales[[#This Row],[DPP (excl. VAT)]]+tblSales[[#This Row],[Output VAT]]</f>
        <v>754800</v>
      </c>
      <c r="N5440" s="5">
        <f>tblSales[[#This Row],[Qty]]*_xlfn.XLOOKUP(tblSales[[#This Row],[Product Code]],tblProducts[Code],tblProducts[Unit Cost],0)</f>
        <v>400000</v>
      </c>
      <c r="O5440" s="4" t="s">
        <v>4867</v>
      </c>
      <c r="P5440" s="4" t="s">
        <v>4860</v>
      </c>
      <c r="Q5440" s="1" t="str">
        <f>_xlfn.XLOOKUP(tblSales[[#This Row],[Channel Code]],tblChannels[Channel Code],tblChannels[Channel Name],"")</f>
        <v>In-store</v>
      </c>
      <c r="R5440" s="1">
        <f>MONTH(tblSales[[#This Row],[Date]])</f>
        <v>11</v>
      </c>
    </row>
    <row r="5441" spans="2:18" x14ac:dyDescent="0.35">
      <c r="B5441" s="113">
        <v>46352</v>
      </c>
      <c r="C5441" s="4" t="s">
        <v>3730</v>
      </c>
      <c r="D5441" s="4" t="s">
        <v>4578</v>
      </c>
      <c r="E5441" s="1" t="str">
        <f>_xlfn.XLOOKUP(tblSales[[#This Row],[Customer ID]],tblCustomers[Customer ID],tblCustomers[Customer Name],"⚠ Unknown")</f>
        <v>PT Bintang Timur Sejahtera</v>
      </c>
      <c r="F5441" s="4" t="s">
        <v>9</v>
      </c>
      <c r="G5441" s="1" t="str">
        <f>_xlfn.XLOOKUP(tblSales[[#This Row],[Product Code]],tblProducts[Code],tblProducts[Product / Service Name],"⚠ Unknown")</f>
        <v>Casual Shirt</v>
      </c>
      <c r="H5441" s="1" t="str">
        <f>_xlfn.XLOOKUP(tblSales[[#This Row],[Product Code]],tblProducts[Code],tblProducts[Category],"")</f>
        <v>Apparel &amp; Footwear</v>
      </c>
      <c r="I5441" s="4">
        <v>48</v>
      </c>
      <c r="J5441" s="5">
        <f>_xlfn.XLOOKUP(tblSales[[#This Row],[Product Code]],tblProducts[Code],tblProducts[Selling Price (excl. VAT)],0)</f>
        <v>120000</v>
      </c>
      <c r="K5441" s="5">
        <f>tblSales[[#This Row],[Qty]]*tblSales[[#This Row],[Unit Price]]</f>
        <v>5760000</v>
      </c>
      <c r="L5441" s="5">
        <f>ROUND(tblSales[[#This Row],[DPP (excl. VAT)]]*VATEff,0)</f>
        <v>633600</v>
      </c>
      <c r="M5441" s="5">
        <f>tblSales[[#This Row],[DPP (excl. VAT)]]+tblSales[[#This Row],[Output VAT]]</f>
        <v>6393600</v>
      </c>
      <c r="N5441" s="5">
        <f>tblSales[[#This Row],[Qty]]*_xlfn.XLOOKUP(tblSales[[#This Row],[Product Code]],tblProducts[Code],tblProducts[Unit Cost],0)</f>
        <v>3456000</v>
      </c>
      <c r="O5441" s="4" t="s">
        <v>4867</v>
      </c>
      <c r="P5441" s="4" t="s">
        <v>4860</v>
      </c>
      <c r="Q5441" s="1" t="str">
        <f>_xlfn.XLOOKUP(tblSales[[#This Row],[Channel Code]],tblChannels[Channel Code],tblChannels[Channel Name],"")</f>
        <v>In-store</v>
      </c>
      <c r="R5441" s="1">
        <f>MONTH(tblSales[[#This Row],[Date]])</f>
        <v>11</v>
      </c>
    </row>
    <row r="5442" spans="2:18" x14ac:dyDescent="0.35">
      <c r="B5442" s="113">
        <v>46352</v>
      </c>
      <c r="C5442" s="4" t="s">
        <v>3731</v>
      </c>
      <c r="D5442" s="4" t="s">
        <v>4568</v>
      </c>
      <c r="E5442" s="1" t="str">
        <f>_xlfn.XLOOKUP(tblSales[[#This Row],[Customer ID]],tblCustomers[Customer ID],tblCustomers[Customer Name],"⚠ Unknown")</f>
        <v>Walk-in Customer</v>
      </c>
      <c r="F5442" s="4" t="s">
        <v>6</v>
      </c>
      <c r="G5442" s="1" t="str">
        <f>_xlfn.XLOOKUP(tblSales[[#This Row],[Product Code]],tblProducts[Code],tblProducts[Product / Service Name],"⚠ Unknown")</f>
        <v>Socks &amp; Accessories</v>
      </c>
      <c r="H5442" s="1" t="str">
        <f>_xlfn.XLOOKUP(tblSales[[#This Row],[Product Code]],tblProducts[Code],tblProducts[Category],"")</f>
        <v>Accessories &amp; Basics</v>
      </c>
      <c r="I5442" s="4">
        <v>6</v>
      </c>
      <c r="J5442" s="5">
        <f>_xlfn.XLOOKUP(tblSales[[#This Row],[Product Code]],tblProducts[Code],tblProducts[Selling Price (excl. VAT)],0)</f>
        <v>45000</v>
      </c>
      <c r="K5442" s="5">
        <f>tblSales[[#This Row],[Qty]]*tblSales[[#This Row],[Unit Price]]</f>
        <v>270000</v>
      </c>
      <c r="L5442" s="5">
        <f>ROUND(tblSales[[#This Row],[DPP (excl. VAT)]]*VATEff,0)</f>
        <v>29700</v>
      </c>
      <c r="M5442" s="5">
        <f>tblSales[[#This Row],[DPP (excl. VAT)]]+tblSales[[#This Row],[Output VAT]]</f>
        <v>299700</v>
      </c>
      <c r="N5442" s="5">
        <f>tblSales[[#This Row],[Qty]]*_xlfn.XLOOKUP(tblSales[[#This Row],[Product Code]],tblProducts[Code],tblProducts[Unit Cost],0)</f>
        <v>144000</v>
      </c>
      <c r="O5442" s="4" t="s">
        <v>4866</v>
      </c>
      <c r="P5442" s="4" t="s">
        <v>4862</v>
      </c>
      <c r="Q5442" s="1" t="str">
        <f>_xlfn.XLOOKUP(tblSales[[#This Row],[Channel Code]],tblChannels[Channel Code],tblChannels[Channel Name],"")</f>
        <v>Website &amp; Social Media</v>
      </c>
      <c r="R5442" s="1">
        <f>MONTH(tblSales[[#This Row],[Date]])</f>
        <v>11</v>
      </c>
    </row>
    <row r="5443" spans="2:18" x14ac:dyDescent="0.35">
      <c r="B5443" s="113">
        <v>46352</v>
      </c>
      <c r="C5443" s="4" t="s">
        <v>3731</v>
      </c>
      <c r="D5443" s="4" t="s">
        <v>4568</v>
      </c>
      <c r="E5443" s="1" t="str">
        <f>_xlfn.XLOOKUP(tblSales[[#This Row],[Customer ID]],tblCustomers[Customer ID],tblCustomers[Customer Name],"⚠ Unknown")</f>
        <v>Walk-in Customer</v>
      </c>
      <c r="F5443" s="4" t="s">
        <v>10</v>
      </c>
      <c r="G5443" s="1" t="str">
        <f>_xlfn.XLOOKUP(tblSales[[#This Row],[Product Code]],tblProducts[Code],tblProducts[Product / Service Name],"⚠ Unknown")</f>
        <v>Chino Pants</v>
      </c>
      <c r="H5443" s="1" t="str">
        <f>_xlfn.XLOOKUP(tblSales[[#This Row],[Product Code]],tblProducts[Code],tblProducts[Category],"")</f>
        <v>Apparel &amp; Footwear</v>
      </c>
      <c r="I5443" s="4">
        <v>11</v>
      </c>
      <c r="J5443" s="5">
        <f>_xlfn.XLOOKUP(tblSales[[#This Row],[Product Code]],tblProducts[Code],tblProducts[Selling Price (excl. VAT)],0)</f>
        <v>150000</v>
      </c>
      <c r="K5443" s="5">
        <f>tblSales[[#This Row],[Qty]]*tblSales[[#This Row],[Unit Price]]</f>
        <v>1650000</v>
      </c>
      <c r="L5443" s="5">
        <f>ROUND(tblSales[[#This Row],[DPP (excl. VAT)]]*VATEff,0)</f>
        <v>181500</v>
      </c>
      <c r="M5443" s="5">
        <f>tblSales[[#This Row],[DPP (excl. VAT)]]+tblSales[[#This Row],[Output VAT]]</f>
        <v>1831500</v>
      </c>
      <c r="N5443" s="5">
        <f>tblSales[[#This Row],[Qty]]*_xlfn.XLOOKUP(tblSales[[#This Row],[Product Code]],tblProducts[Code],tblProducts[Unit Cost],0)</f>
        <v>968000</v>
      </c>
      <c r="O5443" s="4" t="s">
        <v>4866</v>
      </c>
      <c r="P5443" s="4" t="s">
        <v>4862</v>
      </c>
      <c r="Q5443" s="1" t="str">
        <f>_xlfn.XLOOKUP(tblSales[[#This Row],[Channel Code]],tblChannels[Channel Code],tblChannels[Channel Name],"")</f>
        <v>Website &amp; Social Media</v>
      </c>
      <c r="R5443" s="1">
        <f>MONTH(tblSales[[#This Row],[Date]])</f>
        <v>11</v>
      </c>
    </row>
    <row r="5444" spans="2:18" x14ac:dyDescent="0.35">
      <c r="B5444" s="113">
        <v>46352</v>
      </c>
      <c r="C5444" s="4" t="s">
        <v>3731</v>
      </c>
      <c r="D5444" s="4" t="s">
        <v>4568</v>
      </c>
      <c r="E5444" s="1" t="str">
        <f>_xlfn.XLOOKUP(tblSales[[#This Row],[Customer ID]],tblCustomers[Customer ID],tblCustomers[Customer Name],"⚠ Unknown")</f>
        <v>Walk-in Customer</v>
      </c>
      <c r="F5444" s="4" t="s">
        <v>7</v>
      </c>
      <c r="G5444" s="1" t="str">
        <f>_xlfn.XLOOKUP(tblSales[[#This Row],[Product Code]],tblProducts[Code],tblProducts[Product / Service Name],"⚠ Unknown")</f>
        <v>Premium Basic T-shirt</v>
      </c>
      <c r="H5444" s="1" t="str">
        <f>_xlfn.XLOOKUP(tblSales[[#This Row],[Product Code]],tblProducts[Code],tblProducts[Category],"")</f>
        <v>Accessories &amp; Basics</v>
      </c>
      <c r="I5444" s="4">
        <v>12</v>
      </c>
      <c r="J5444" s="5">
        <f>_xlfn.XLOOKUP(tblSales[[#This Row],[Product Code]],tblProducts[Code],tblProducts[Selling Price (excl. VAT)],0)</f>
        <v>65000</v>
      </c>
      <c r="K5444" s="5">
        <f>tblSales[[#This Row],[Qty]]*tblSales[[#This Row],[Unit Price]]</f>
        <v>780000</v>
      </c>
      <c r="L5444" s="5">
        <f>ROUND(tblSales[[#This Row],[DPP (excl. VAT)]]*VATEff,0)</f>
        <v>85800</v>
      </c>
      <c r="M5444" s="5">
        <f>tblSales[[#This Row],[DPP (excl. VAT)]]+tblSales[[#This Row],[Output VAT]]</f>
        <v>865800</v>
      </c>
      <c r="N5444" s="5">
        <f>tblSales[[#This Row],[Qty]]*_xlfn.XLOOKUP(tblSales[[#This Row],[Product Code]],tblProducts[Code],tblProducts[Unit Cost],0)</f>
        <v>444000</v>
      </c>
      <c r="O5444" s="4" t="s">
        <v>4866</v>
      </c>
      <c r="P5444" s="4" t="s">
        <v>4862</v>
      </c>
      <c r="Q5444" s="1" t="str">
        <f>_xlfn.XLOOKUP(tblSales[[#This Row],[Channel Code]],tblChannels[Channel Code],tblChannels[Channel Name],"")</f>
        <v>Website &amp; Social Media</v>
      </c>
      <c r="R5444" s="1">
        <f>MONTH(tblSales[[#This Row],[Date]])</f>
        <v>11</v>
      </c>
    </row>
    <row r="5445" spans="2:18" x14ac:dyDescent="0.35">
      <c r="B5445" s="113">
        <v>46352</v>
      </c>
      <c r="C5445" s="4" t="s">
        <v>3732</v>
      </c>
      <c r="D5445" s="4" t="s">
        <v>4568</v>
      </c>
      <c r="E5445" s="1" t="str">
        <f>_xlfn.XLOOKUP(tblSales[[#This Row],[Customer ID]],tblCustomers[Customer ID],tblCustomers[Customer Name],"⚠ Unknown")</f>
        <v>Walk-in Customer</v>
      </c>
      <c r="F5445" s="4" t="s">
        <v>6</v>
      </c>
      <c r="G5445" s="1" t="str">
        <f>_xlfn.XLOOKUP(tblSales[[#This Row],[Product Code]],tblProducts[Code],tblProducts[Product / Service Name],"⚠ Unknown")</f>
        <v>Socks &amp; Accessories</v>
      </c>
      <c r="H5445" s="1" t="str">
        <f>_xlfn.XLOOKUP(tblSales[[#This Row],[Product Code]],tblProducts[Code],tblProducts[Category],"")</f>
        <v>Accessories &amp; Basics</v>
      </c>
      <c r="I5445" s="4">
        <v>1</v>
      </c>
      <c r="J5445" s="5">
        <f>_xlfn.XLOOKUP(tblSales[[#This Row],[Product Code]],tblProducts[Code],tblProducts[Selling Price (excl. VAT)],0)</f>
        <v>45000</v>
      </c>
      <c r="K5445" s="5">
        <f>tblSales[[#This Row],[Qty]]*tblSales[[#This Row],[Unit Price]]</f>
        <v>45000</v>
      </c>
      <c r="L5445" s="5">
        <f>ROUND(tblSales[[#This Row],[DPP (excl. VAT)]]*VATEff,0)</f>
        <v>4950</v>
      </c>
      <c r="M5445" s="5">
        <f>tblSales[[#This Row],[DPP (excl. VAT)]]+tblSales[[#This Row],[Output VAT]]</f>
        <v>49950</v>
      </c>
      <c r="N5445" s="5">
        <f>tblSales[[#This Row],[Qty]]*_xlfn.XLOOKUP(tblSales[[#This Row],[Product Code]],tblProducts[Code],tblProducts[Unit Cost],0)</f>
        <v>24000</v>
      </c>
      <c r="O5445" s="4" t="s">
        <v>4866</v>
      </c>
      <c r="P5445" s="4" t="s">
        <v>4860</v>
      </c>
      <c r="Q5445" s="1" t="str">
        <f>_xlfn.XLOOKUP(tblSales[[#This Row],[Channel Code]],tblChannels[Channel Code],tblChannels[Channel Name],"")</f>
        <v>In-store</v>
      </c>
      <c r="R5445" s="1">
        <f>MONTH(tblSales[[#This Row],[Date]])</f>
        <v>11</v>
      </c>
    </row>
    <row r="5446" spans="2:18" x14ac:dyDescent="0.35">
      <c r="B5446" s="113">
        <v>46352</v>
      </c>
      <c r="C5446" s="4" t="s">
        <v>3733</v>
      </c>
      <c r="D5446" s="4" t="s">
        <v>4568</v>
      </c>
      <c r="E5446" s="1" t="str">
        <f>_xlfn.XLOOKUP(tblSales[[#This Row],[Customer ID]],tblCustomers[Customer ID],tblCustomers[Customer Name],"⚠ Unknown")</f>
        <v>Walk-in Customer</v>
      </c>
      <c r="F5446" s="4" t="s">
        <v>9</v>
      </c>
      <c r="G5446" s="1" t="str">
        <f>_xlfn.XLOOKUP(tblSales[[#This Row],[Product Code]],tblProducts[Code],tblProducts[Product / Service Name],"⚠ Unknown")</f>
        <v>Casual Shirt</v>
      </c>
      <c r="H5446" s="1" t="str">
        <f>_xlfn.XLOOKUP(tblSales[[#This Row],[Product Code]],tblProducts[Code],tblProducts[Category],"")</f>
        <v>Apparel &amp; Footwear</v>
      </c>
      <c r="I5446" s="4">
        <v>3</v>
      </c>
      <c r="J5446" s="5">
        <f>_xlfn.XLOOKUP(tblSales[[#This Row],[Product Code]],tblProducts[Code],tblProducts[Selling Price (excl. VAT)],0)</f>
        <v>120000</v>
      </c>
      <c r="K5446" s="5">
        <f>tblSales[[#This Row],[Qty]]*tblSales[[#This Row],[Unit Price]]</f>
        <v>360000</v>
      </c>
      <c r="L5446" s="5">
        <f>ROUND(tblSales[[#This Row],[DPP (excl. VAT)]]*VATEff,0)</f>
        <v>39600</v>
      </c>
      <c r="M5446" s="5">
        <f>tblSales[[#This Row],[DPP (excl. VAT)]]+tblSales[[#This Row],[Output VAT]]</f>
        <v>399600</v>
      </c>
      <c r="N5446" s="5">
        <f>tblSales[[#This Row],[Qty]]*_xlfn.XLOOKUP(tblSales[[#This Row],[Product Code]],tblProducts[Code],tblProducts[Unit Cost],0)</f>
        <v>216000</v>
      </c>
      <c r="O5446" s="4" t="s">
        <v>4866</v>
      </c>
      <c r="P5446" s="4" t="s">
        <v>4861</v>
      </c>
      <c r="Q5446" s="1" t="str">
        <f>_xlfn.XLOOKUP(tblSales[[#This Row],[Channel Code]],tblChannels[Channel Code],tblChannels[Channel Name],"")</f>
        <v>Marketplace</v>
      </c>
      <c r="R5446" s="1">
        <f>MONTH(tblSales[[#This Row],[Date]])</f>
        <v>11</v>
      </c>
    </row>
    <row r="5447" spans="2:18" x14ac:dyDescent="0.35">
      <c r="B5447" s="113">
        <v>46352</v>
      </c>
      <c r="C5447" s="4" t="s">
        <v>3734</v>
      </c>
      <c r="D5447" s="4" t="s">
        <v>4568</v>
      </c>
      <c r="E5447" s="1" t="str">
        <f>_xlfn.XLOOKUP(tblSales[[#This Row],[Customer ID]],tblCustomers[Customer ID],tblCustomers[Customer Name],"⚠ Unknown")</f>
        <v>Walk-in Customer</v>
      </c>
      <c r="F5447" s="4" t="s">
        <v>9</v>
      </c>
      <c r="G5447" s="1" t="str">
        <f>_xlfn.XLOOKUP(tblSales[[#This Row],[Product Code]],tblProducts[Code],tblProducts[Product / Service Name],"⚠ Unknown")</f>
        <v>Casual Shirt</v>
      </c>
      <c r="H5447" s="1" t="str">
        <f>_xlfn.XLOOKUP(tblSales[[#This Row],[Product Code]],tblProducts[Code],tblProducts[Category],"")</f>
        <v>Apparel &amp; Footwear</v>
      </c>
      <c r="I5447" s="4">
        <v>7</v>
      </c>
      <c r="J5447" s="5">
        <f>_xlfn.XLOOKUP(tblSales[[#This Row],[Product Code]],tblProducts[Code],tblProducts[Selling Price (excl. VAT)],0)</f>
        <v>120000</v>
      </c>
      <c r="K5447" s="5">
        <f>tblSales[[#This Row],[Qty]]*tblSales[[#This Row],[Unit Price]]</f>
        <v>840000</v>
      </c>
      <c r="L5447" s="5">
        <f>ROUND(tblSales[[#This Row],[DPP (excl. VAT)]]*VATEff,0)</f>
        <v>92400</v>
      </c>
      <c r="M5447" s="5">
        <f>tblSales[[#This Row],[DPP (excl. VAT)]]+tblSales[[#This Row],[Output VAT]]</f>
        <v>932400</v>
      </c>
      <c r="N5447" s="5">
        <f>tblSales[[#This Row],[Qty]]*_xlfn.XLOOKUP(tblSales[[#This Row],[Product Code]],tblProducts[Code],tblProducts[Unit Cost],0)</f>
        <v>504000</v>
      </c>
      <c r="O5447" s="4" t="s">
        <v>4866</v>
      </c>
      <c r="P5447" s="4" t="s">
        <v>4861</v>
      </c>
      <c r="Q5447" s="1" t="str">
        <f>_xlfn.XLOOKUP(tblSales[[#This Row],[Channel Code]],tblChannels[Channel Code],tblChannels[Channel Name],"")</f>
        <v>Marketplace</v>
      </c>
      <c r="R5447" s="1">
        <f>MONTH(tblSales[[#This Row],[Date]])</f>
        <v>11</v>
      </c>
    </row>
    <row r="5448" spans="2:18" x14ac:dyDescent="0.35">
      <c r="B5448" s="113">
        <v>46352</v>
      </c>
      <c r="C5448" s="4" t="s">
        <v>3735</v>
      </c>
      <c r="D5448" s="4" t="s">
        <v>4568</v>
      </c>
      <c r="E5448" s="1" t="str">
        <f>_xlfn.XLOOKUP(tblSales[[#This Row],[Customer ID]],tblCustomers[Customer ID],tblCustomers[Customer Name],"⚠ Unknown")</f>
        <v>Walk-in Customer</v>
      </c>
      <c r="F5448" s="4" t="s">
        <v>11</v>
      </c>
      <c r="G5448" s="1" t="str">
        <f>_xlfn.XLOOKUP(tblSales[[#This Row],[Product Code]],tblProducts[Code],tblProducts[Product / Service Name],"⚠ Unknown")</f>
        <v>Sneakers</v>
      </c>
      <c r="H5448" s="1" t="str">
        <f>_xlfn.XLOOKUP(tblSales[[#This Row],[Product Code]],tblProducts[Code],tblProducts[Category],"")</f>
        <v>Apparel &amp; Footwear</v>
      </c>
      <c r="I5448" s="4">
        <v>4</v>
      </c>
      <c r="J5448" s="5">
        <f>_xlfn.XLOOKUP(tblSales[[#This Row],[Product Code]],tblProducts[Code],tblProducts[Selling Price (excl. VAT)],0)</f>
        <v>250000</v>
      </c>
      <c r="K5448" s="5">
        <f>tblSales[[#This Row],[Qty]]*tblSales[[#This Row],[Unit Price]]</f>
        <v>1000000</v>
      </c>
      <c r="L5448" s="5">
        <f>ROUND(tblSales[[#This Row],[DPP (excl. VAT)]]*VATEff,0)</f>
        <v>110000</v>
      </c>
      <c r="M5448" s="5">
        <f>tblSales[[#This Row],[DPP (excl. VAT)]]+tblSales[[#This Row],[Output VAT]]</f>
        <v>1110000</v>
      </c>
      <c r="N5448" s="5">
        <f>tblSales[[#This Row],[Qty]]*_xlfn.XLOOKUP(tblSales[[#This Row],[Product Code]],tblProducts[Code],tblProducts[Unit Cost],0)</f>
        <v>620000</v>
      </c>
      <c r="O5448" s="4" t="s">
        <v>4866</v>
      </c>
      <c r="P5448" s="4" t="s">
        <v>4861</v>
      </c>
      <c r="Q5448" s="1" t="str">
        <f>_xlfn.XLOOKUP(tblSales[[#This Row],[Channel Code]],tblChannels[Channel Code],tblChannels[Channel Name],"")</f>
        <v>Marketplace</v>
      </c>
      <c r="R5448" s="1">
        <f>MONTH(tblSales[[#This Row],[Date]])</f>
        <v>11</v>
      </c>
    </row>
    <row r="5449" spans="2:18" x14ac:dyDescent="0.35">
      <c r="B5449" s="113">
        <v>46352</v>
      </c>
      <c r="C5449" s="4" t="s">
        <v>3735</v>
      </c>
      <c r="D5449" s="4" t="s">
        <v>4568</v>
      </c>
      <c r="E5449" s="1" t="str">
        <f>_xlfn.XLOOKUP(tblSales[[#This Row],[Customer ID]],tblCustomers[Customer ID],tblCustomers[Customer Name],"⚠ Unknown")</f>
        <v>Walk-in Customer</v>
      </c>
      <c r="F5449" s="4" t="s">
        <v>7</v>
      </c>
      <c r="G5449" s="1" t="str">
        <f>_xlfn.XLOOKUP(tblSales[[#This Row],[Product Code]],tblProducts[Code],tblProducts[Product / Service Name],"⚠ Unknown")</f>
        <v>Premium Basic T-shirt</v>
      </c>
      <c r="H5449" s="1" t="str">
        <f>_xlfn.XLOOKUP(tblSales[[#This Row],[Product Code]],tblProducts[Code],tblProducts[Category],"")</f>
        <v>Accessories &amp; Basics</v>
      </c>
      <c r="I5449" s="4">
        <v>6</v>
      </c>
      <c r="J5449" s="5">
        <f>_xlfn.XLOOKUP(tblSales[[#This Row],[Product Code]],tblProducts[Code],tblProducts[Selling Price (excl. VAT)],0)</f>
        <v>65000</v>
      </c>
      <c r="K5449" s="5">
        <f>tblSales[[#This Row],[Qty]]*tblSales[[#This Row],[Unit Price]]</f>
        <v>390000</v>
      </c>
      <c r="L5449" s="5">
        <f>ROUND(tblSales[[#This Row],[DPP (excl. VAT)]]*VATEff,0)</f>
        <v>42900</v>
      </c>
      <c r="M5449" s="5">
        <f>tblSales[[#This Row],[DPP (excl. VAT)]]+tblSales[[#This Row],[Output VAT]]</f>
        <v>432900</v>
      </c>
      <c r="N5449" s="5">
        <f>tblSales[[#This Row],[Qty]]*_xlfn.XLOOKUP(tblSales[[#This Row],[Product Code]],tblProducts[Code],tblProducts[Unit Cost],0)</f>
        <v>222000</v>
      </c>
      <c r="O5449" s="4" t="s">
        <v>4866</v>
      </c>
      <c r="P5449" s="4" t="s">
        <v>4861</v>
      </c>
      <c r="Q5449" s="1" t="str">
        <f>_xlfn.XLOOKUP(tblSales[[#This Row],[Channel Code]],tblChannels[Channel Code],tblChannels[Channel Name],"")</f>
        <v>Marketplace</v>
      </c>
      <c r="R5449" s="1">
        <f>MONTH(tblSales[[#This Row],[Date]])</f>
        <v>11</v>
      </c>
    </row>
    <row r="5450" spans="2:18" x14ac:dyDescent="0.35">
      <c r="B5450" s="113">
        <v>46352</v>
      </c>
      <c r="C5450" s="4" t="s">
        <v>3736</v>
      </c>
      <c r="D5450" s="4" t="s">
        <v>4568</v>
      </c>
      <c r="E5450" s="1" t="str">
        <f>_xlfn.XLOOKUP(tblSales[[#This Row],[Customer ID]],tblCustomers[Customer ID],tblCustomers[Customer Name],"⚠ Unknown")</f>
        <v>Walk-in Customer</v>
      </c>
      <c r="F5450" s="4" t="s">
        <v>13</v>
      </c>
      <c r="G5450" s="1" t="str">
        <f>_xlfn.XLOOKUP(tblSales[[#This Row],[Product Code]],tblProducts[Code],tblProducts[Product / Service Name],"⚠ Unknown")</f>
        <v>Backpack</v>
      </c>
      <c r="H5450" s="1" t="str">
        <f>_xlfn.XLOOKUP(tblSales[[#This Row],[Product Code]],tblProducts[Code],tblProducts[Category],"")</f>
        <v>Bags &amp; Gadgets</v>
      </c>
      <c r="I5450" s="4">
        <v>5</v>
      </c>
      <c r="J5450" s="5">
        <f>_xlfn.XLOOKUP(tblSales[[#This Row],[Product Code]],tblProducts[Code],tblProducts[Selling Price (excl. VAT)],0)</f>
        <v>500000</v>
      </c>
      <c r="K5450" s="5">
        <f>tblSales[[#This Row],[Qty]]*tblSales[[#This Row],[Unit Price]]</f>
        <v>2500000</v>
      </c>
      <c r="L5450" s="5">
        <f>ROUND(tblSales[[#This Row],[DPP (excl. VAT)]]*VATEff,0)</f>
        <v>275000</v>
      </c>
      <c r="M5450" s="5">
        <f>tblSales[[#This Row],[DPP (excl. VAT)]]+tblSales[[#This Row],[Output VAT]]</f>
        <v>2775000</v>
      </c>
      <c r="N5450" s="5">
        <f>tblSales[[#This Row],[Qty]]*_xlfn.XLOOKUP(tblSales[[#This Row],[Product Code]],tblProducts[Code],tblProducts[Unit Cost],0)</f>
        <v>1450000</v>
      </c>
      <c r="O5450" s="4" t="s">
        <v>4866</v>
      </c>
      <c r="P5450" s="4" t="s">
        <v>4862</v>
      </c>
      <c r="Q5450" s="1" t="str">
        <f>_xlfn.XLOOKUP(tblSales[[#This Row],[Channel Code]],tblChannels[Channel Code],tblChannels[Channel Name],"")</f>
        <v>Website &amp; Social Media</v>
      </c>
      <c r="R5450" s="1">
        <f>MONTH(tblSales[[#This Row],[Date]])</f>
        <v>11</v>
      </c>
    </row>
    <row r="5451" spans="2:18" x14ac:dyDescent="0.35">
      <c r="B5451" s="113">
        <v>46353</v>
      </c>
      <c r="C5451" s="4" t="s">
        <v>3737</v>
      </c>
      <c r="D5451" s="4" t="s">
        <v>4568</v>
      </c>
      <c r="E5451" s="1" t="str">
        <f>_xlfn.XLOOKUP(tblSales[[#This Row],[Customer ID]],tblCustomers[Customer ID],tblCustomers[Customer Name],"⚠ Unknown")</f>
        <v>Walk-in Customer</v>
      </c>
      <c r="F5451" s="4" t="s">
        <v>6</v>
      </c>
      <c r="G5451" s="1" t="str">
        <f>_xlfn.XLOOKUP(tblSales[[#This Row],[Product Code]],tblProducts[Code],tblProducts[Product / Service Name],"⚠ Unknown")</f>
        <v>Socks &amp; Accessories</v>
      </c>
      <c r="H5451" s="1" t="str">
        <f>_xlfn.XLOOKUP(tblSales[[#This Row],[Product Code]],tblProducts[Code],tblProducts[Category],"")</f>
        <v>Accessories &amp; Basics</v>
      </c>
      <c r="I5451" s="4">
        <v>6</v>
      </c>
      <c r="J5451" s="5">
        <f>_xlfn.XLOOKUP(tblSales[[#This Row],[Product Code]],tblProducts[Code],tblProducts[Selling Price (excl. VAT)],0)</f>
        <v>45000</v>
      </c>
      <c r="K5451" s="5">
        <f>tblSales[[#This Row],[Qty]]*tblSales[[#This Row],[Unit Price]]</f>
        <v>270000</v>
      </c>
      <c r="L5451" s="5">
        <f>ROUND(tblSales[[#This Row],[DPP (excl. VAT)]]*VATEff,0)</f>
        <v>29700</v>
      </c>
      <c r="M5451" s="5">
        <f>tblSales[[#This Row],[DPP (excl. VAT)]]+tblSales[[#This Row],[Output VAT]]</f>
        <v>299700</v>
      </c>
      <c r="N5451" s="5">
        <f>tblSales[[#This Row],[Qty]]*_xlfn.XLOOKUP(tblSales[[#This Row],[Product Code]],tblProducts[Code],tblProducts[Unit Cost],0)</f>
        <v>144000</v>
      </c>
      <c r="O5451" s="4" t="s">
        <v>4866</v>
      </c>
      <c r="P5451" s="4" t="s">
        <v>4860</v>
      </c>
      <c r="Q5451" s="1" t="str">
        <f>_xlfn.XLOOKUP(tblSales[[#This Row],[Channel Code]],tblChannels[Channel Code],tblChannels[Channel Name],"")</f>
        <v>In-store</v>
      </c>
      <c r="R5451" s="1">
        <f>MONTH(tblSales[[#This Row],[Date]])</f>
        <v>11</v>
      </c>
    </row>
    <row r="5452" spans="2:18" x14ac:dyDescent="0.35">
      <c r="B5452" s="113">
        <v>46353</v>
      </c>
      <c r="C5452" s="4" t="s">
        <v>3738</v>
      </c>
      <c r="D5452" s="4" t="s">
        <v>4568</v>
      </c>
      <c r="E5452" s="1" t="str">
        <f>_xlfn.XLOOKUP(tblSales[[#This Row],[Customer ID]],tblCustomers[Customer ID],tblCustomers[Customer Name],"⚠ Unknown")</f>
        <v>Walk-in Customer</v>
      </c>
      <c r="F5452" s="4" t="s">
        <v>13</v>
      </c>
      <c r="G5452" s="1" t="str">
        <f>_xlfn.XLOOKUP(tblSales[[#This Row],[Product Code]],tblProducts[Code],tblProducts[Product / Service Name],"⚠ Unknown")</f>
        <v>Backpack</v>
      </c>
      <c r="H5452" s="1" t="str">
        <f>_xlfn.XLOOKUP(tblSales[[#This Row],[Product Code]],tblProducts[Code],tblProducts[Category],"")</f>
        <v>Bags &amp; Gadgets</v>
      </c>
      <c r="I5452" s="4">
        <v>6</v>
      </c>
      <c r="J5452" s="5">
        <f>_xlfn.XLOOKUP(tblSales[[#This Row],[Product Code]],tblProducts[Code],tblProducts[Selling Price (excl. VAT)],0)</f>
        <v>500000</v>
      </c>
      <c r="K5452" s="5">
        <f>tblSales[[#This Row],[Qty]]*tblSales[[#This Row],[Unit Price]]</f>
        <v>3000000</v>
      </c>
      <c r="L5452" s="5">
        <f>ROUND(tblSales[[#This Row],[DPP (excl. VAT)]]*VATEff,0)</f>
        <v>330000</v>
      </c>
      <c r="M5452" s="5">
        <f>tblSales[[#This Row],[DPP (excl. VAT)]]+tblSales[[#This Row],[Output VAT]]</f>
        <v>3330000</v>
      </c>
      <c r="N5452" s="5">
        <f>tblSales[[#This Row],[Qty]]*_xlfn.XLOOKUP(tblSales[[#This Row],[Product Code]],tblProducts[Code],tblProducts[Unit Cost],0)</f>
        <v>1740000</v>
      </c>
      <c r="O5452" s="4" t="s">
        <v>4865</v>
      </c>
      <c r="P5452" s="4" t="s">
        <v>4860</v>
      </c>
      <c r="Q5452" s="1" t="str">
        <f>_xlfn.XLOOKUP(tblSales[[#This Row],[Channel Code]],tblChannels[Channel Code],tblChannels[Channel Name],"")</f>
        <v>In-store</v>
      </c>
      <c r="R5452" s="1">
        <f>MONTH(tblSales[[#This Row],[Date]])</f>
        <v>11</v>
      </c>
    </row>
    <row r="5453" spans="2:18" x14ac:dyDescent="0.35">
      <c r="B5453" s="113">
        <v>46353</v>
      </c>
      <c r="C5453" s="4" t="s">
        <v>3739</v>
      </c>
      <c r="D5453" s="4" t="s">
        <v>4568</v>
      </c>
      <c r="E5453" s="1" t="str">
        <f>_xlfn.XLOOKUP(tblSales[[#This Row],[Customer ID]],tblCustomers[Customer ID],tblCustomers[Customer Name],"⚠ Unknown")</f>
        <v>Walk-in Customer</v>
      </c>
      <c r="F5453" s="4" t="s">
        <v>10</v>
      </c>
      <c r="G5453" s="1" t="str">
        <f>_xlfn.XLOOKUP(tblSales[[#This Row],[Product Code]],tblProducts[Code],tblProducts[Product / Service Name],"⚠ Unknown")</f>
        <v>Chino Pants</v>
      </c>
      <c r="H5453" s="1" t="str">
        <f>_xlfn.XLOOKUP(tblSales[[#This Row],[Product Code]],tblProducts[Code],tblProducts[Category],"")</f>
        <v>Apparel &amp; Footwear</v>
      </c>
      <c r="I5453" s="4">
        <v>6</v>
      </c>
      <c r="J5453" s="5">
        <f>_xlfn.XLOOKUP(tblSales[[#This Row],[Product Code]],tblProducts[Code],tblProducts[Selling Price (excl. VAT)],0)</f>
        <v>150000</v>
      </c>
      <c r="K5453" s="5">
        <f>tblSales[[#This Row],[Qty]]*tblSales[[#This Row],[Unit Price]]</f>
        <v>900000</v>
      </c>
      <c r="L5453" s="5">
        <f>ROUND(tblSales[[#This Row],[DPP (excl. VAT)]]*VATEff,0)</f>
        <v>99000</v>
      </c>
      <c r="M5453" s="5">
        <f>tblSales[[#This Row],[DPP (excl. VAT)]]+tblSales[[#This Row],[Output VAT]]</f>
        <v>999000</v>
      </c>
      <c r="N5453" s="5">
        <f>tblSales[[#This Row],[Qty]]*_xlfn.XLOOKUP(tblSales[[#This Row],[Product Code]],tblProducts[Code],tblProducts[Unit Cost],0)</f>
        <v>528000</v>
      </c>
      <c r="O5453" s="4" t="s">
        <v>4866</v>
      </c>
      <c r="P5453" s="4" t="s">
        <v>4862</v>
      </c>
      <c r="Q5453" s="1" t="str">
        <f>_xlfn.XLOOKUP(tblSales[[#This Row],[Channel Code]],tblChannels[Channel Code],tblChannels[Channel Name],"")</f>
        <v>Website &amp; Social Media</v>
      </c>
      <c r="R5453" s="1">
        <f>MONTH(tblSales[[#This Row],[Date]])</f>
        <v>11</v>
      </c>
    </row>
    <row r="5454" spans="2:18" x14ac:dyDescent="0.35">
      <c r="B5454" s="113">
        <v>46353</v>
      </c>
      <c r="C5454" s="4" t="s">
        <v>3739</v>
      </c>
      <c r="D5454" s="4" t="s">
        <v>4568</v>
      </c>
      <c r="E5454" s="1" t="str">
        <f>_xlfn.XLOOKUP(tblSales[[#This Row],[Customer ID]],tblCustomers[Customer ID],tblCustomers[Customer Name],"⚠ Unknown")</f>
        <v>Walk-in Customer</v>
      </c>
      <c r="F5454" s="4" t="s">
        <v>7</v>
      </c>
      <c r="G5454" s="1" t="str">
        <f>_xlfn.XLOOKUP(tblSales[[#This Row],[Product Code]],tblProducts[Code],tblProducts[Product / Service Name],"⚠ Unknown")</f>
        <v>Premium Basic T-shirt</v>
      </c>
      <c r="H5454" s="1" t="str">
        <f>_xlfn.XLOOKUP(tblSales[[#This Row],[Product Code]],tblProducts[Code],tblProducts[Category],"")</f>
        <v>Accessories &amp; Basics</v>
      </c>
      <c r="I5454" s="4">
        <v>5</v>
      </c>
      <c r="J5454" s="5">
        <f>_xlfn.XLOOKUP(tblSales[[#This Row],[Product Code]],tblProducts[Code],tblProducts[Selling Price (excl. VAT)],0)</f>
        <v>65000</v>
      </c>
      <c r="K5454" s="5">
        <f>tblSales[[#This Row],[Qty]]*tblSales[[#This Row],[Unit Price]]</f>
        <v>325000</v>
      </c>
      <c r="L5454" s="5">
        <f>ROUND(tblSales[[#This Row],[DPP (excl. VAT)]]*VATEff,0)</f>
        <v>35750</v>
      </c>
      <c r="M5454" s="5">
        <f>tblSales[[#This Row],[DPP (excl. VAT)]]+tblSales[[#This Row],[Output VAT]]</f>
        <v>360750</v>
      </c>
      <c r="N5454" s="5">
        <f>tblSales[[#This Row],[Qty]]*_xlfn.XLOOKUP(tblSales[[#This Row],[Product Code]],tblProducts[Code],tblProducts[Unit Cost],0)</f>
        <v>185000</v>
      </c>
      <c r="O5454" s="4" t="s">
        <v>4866</v>
      </c>
      <c r="P5454" s="4" t="s">
        <v>4862</v>
      </c>
      <c r="Q5454" s="1" t="str">
        <f>_xlfn.XLOOKUP(tblSales[[#This Row],[Channel Code]],tblChannels[Channel Code],tblChannels[Channel Name],"")</f>
        <v>Website &amp; Social Media</v>
      </c>
      <c r="R5454" s="1">
        <f>MONTH(tblSales[[#This Row],[Date]])</f>
        <v>11</v>
      </c>
    </row>
    <row r="5455" spans="2:18" x14ac:dyDescent="0.35">
      <c r="B5455" s="113">
        <v>46353</v>
      </c>
      <c r="C5455" s="4" t="s">
        <v>3739</v>
      </c>
      <c r="D5455" s="4" t="s">
        <v>4568</v>
      </c>
      <c r="E5455" s="1" t="str">
        <f>_xlfn.XLOOKUP(tblSales[[#This Row],[Customer ID]],tblCustomers[Customer ID],tblCustomers[Customer Name],"⚠ Unknown")</f>
        <v>Walk-in Customer</v>
      </c>
      <c r="F5455" s="4" t="s">
        <v>11</v>
      </c>
      <c r="G5455" s="1" t="str">
        <f>_xlfn.XLOOKUP(tblSales[[#This Row],[Product Code]],tblProducts[Code],tblProducts[Product / Service Name],"⚠ Unknown")</f>
        <v>Sneakers</v>
      </c>
      <c r="H5455" s="1" t="str">
        <f>_xlfn.XLOOKUP(tblSales[[#This Row],[Product Code]],tblProducts[Code],tblProducts[Category],"")</f>
        <v>Apparel &amp; Footwear</v>
      </c>
      <c r="I5455" s="4">
        <v>5</v>
      </c>
      <c r="J5455" s="5">
        <f>_xlfn.XLOOKUP(tblSales[[#This Row],[Product Code]],tblProducts[Code],tblProducts[Selling Price (excl. VAT)],0)</f>
        <v>250000</v>
      </c>
      <c r="K5455" s="5">
        <f>tblSales[[#This Row],[Qty]]*tblSales[[#This Row],[Unit Price]]</f>
        <v>1250000</v>
      </c>
      <c r="L5455" s="5">
        <f>ROUND(tblSales[[#This Row],[DPP (excl. VAT)]]*VATEff,0)</f>
        <v>137500</v>
      </c>
      <c r="M5455" s="5">
        <f>tblSales[[#This Row],[DPP (excl. VAT)]]+tblSales[[#This Row],[Output VAT]]</f>
        <v>1387500</v>
      </c>
      <c r="N5455" s="5">
        <f>tblSales[[#This Row],[Qty]]*_xlfn.XLOOKUP(tblSales[[#This Row],[Product Code]],tblProducts[Code],tblProducts[Unit Cost],0)</f>
        <v>775000</v>
      </c>
      <c r="O5455" s="4" t="s">
        <v>4866</v>
      </c>
      <c r="P5455" s="4" t="s">
        <v>4862</v>
      </c>
      <c r="Q5455" s="1" t="str">
        <f>_xlfn.XLOOKUP(tblSales[[#This Row],[Channel Code]],tblChannels[Channel Code],tblChannels[Channel Name],"")</f>
        <v>Website &amp; Social Media</v>
      </c>
      <c r="R5455" s="1">
        <f>MONTH(tblSales[[#This Row],[Date]])</f>
        <v>11</v>
      </c>
    </row>
    <row r="5456" spans="2:18" x14ac:dyDescent="0.35">
      <c r="B5456" s="113">
        <v>46353</v>
      </c>
      <c r="C5456" s="4" t="s">
        <v>3740</v>
      </c>
      <c r="D5456" s="4" t="s">
        <v>4606</v>
      </c>
      <c r="E5456" s="1" t="str">
        <f>_xlfn.XLOOKUP(tblSales[[#This Row],[Customer ID]],tblCustomers[Customer ID],tblCustomers[Customer Name],"⚠ Unknown")</f>
        <v>PT Arunika Digital Kreatif</v>
      </c>
      <c r="F5456" s="4" t="s">
        <v>7</v>
      </c>
      <c r="G5456" s="1" t="str">
        <f>_xlfn.XLOOKUP(tblSales[[#This Row],[Product Code]],tblProducts[Code],tblProducts[Product / Service Name],"⚠ Unknown")</f>
        <v>Premium Basic T-shirt</v>
      </c>
      <c r="H5456" s="1" t="str">
        <f>_xlfn.XLOOKUP(tblSales[[#This Row],[Product Code]],tblProducts[Code],tblProducts[Category],"")</f>
        <v>Accessories &amp; Basics</v>
      </c>
      <c r="I5456" s="4">
        <v>64</v>
      </c>
      <c r="J5456" s="5">
        <f>_xlfn.XLOOKUP(tblSales[[#This Row],[Product Code]],tblProducts[Code],tblProducts[Selling Price (excl. VAT)],0)</f>
        <v>65000</v>
      </c>
      <c r="K5456" s="5">
        <f>tblSales[[#This Row],[Qty]]*tblSales[[#This Row],[Unit Price]]</f>
        <v>4160000</v>
      </c>
      <c r="L5456" s="5">
        <f>ROUND(tblSales[[#This Row],[DPP (excl. VAT)]]*VATEff,0)</f>
        <v>457600</v>
      </c>
      <c r="M5456" s="5">
        <f>tblSales[[#This Row],[DPP (excl. VAT)]]+tblSales[[#This Row],[Output VAT]]</f>
        <v>4617600</v>
      </c>
      <c r="N5456" s="5">
        <f>tblSales[[#This Row],[Qty]]*_xlfn.XLOOKUP(tblSales[[#This Row],[Product Code]],tblProducts[Code],tblProducts[Unit Cost],0)</f>
        <v>2368000</v>
      </c>
      <c r="O5456" s="4" t="s">
        <v>4867</v>
      </c>
      <c r="P5456" s="4" t="s">
        <v>4860</v>
      </c>
      <c r="Q5456" s="1" t="str">
        <f>_xlfn.XLOOKUP(tblSales[[#This Row],[Channel Code]],tblChannels[Channel Code],tblChannels[Channel Name],"")</f>
        <v>In-store</v>
      </c>
      <c r="R5456" s="1">
        <f>MONTH(tblSales[[#This Row],[Date]])</f>
        <v>11</v>
      </c>
    </row>
    <row r="5457" spans="2:18" x14ac:dyDescent="0.35">
      <c r="B5457" s="113">
        <v>46353</v>
      </c>
      <c r="C5457" s="4" t="s">
        <v>3741</v>
      </c>
      <c r="D5457" s="4" t="s">
        <v>4568</v>
      </c>
      <c r="E5457" s="1" t="str">
        <f>_xlfn.XLOOKUP(tblSales[[#This Row],[Customer ID]],tblCustomers[Customer ID],tblCustomers[Customer Name],"⚠ Unknown")</f>
        <v>Walk-in Customer</v>
      </c>
      <c r="F5457" s="4" t="s">
        <v>7</v>
      </c>
      <c r="G5457" s="1" t="str">
        <f>_xlfn.XLOOKUP(tblSales[[#This Row],[Product Code]],tblProducts[Code],tblProducts[Product / Service Name],"⚠ Unknown")</f>
        <v>Premium Basic T-shirt</v>
      </c>
      <c r="H5457" s="1" t="str">
        <f>_xlfn.XLOOKUP(tblSales[[#This Row],[Product Code]],tblProducts[Code],tblProducts[Category],"")</f>
        <v>Accessories &amp; Basics</v>
      </c>
      <c r="I5457" s="4">
        <v>2</v>
      </c>
      <c r="J5457" s="5">
        <f>_xlfn.XLOOKUP(tblSales[[#This Row],[Product Code]],tblProducts[Code],tblProducts[Selling Price (excl. VAT)],0)</f>
        <v>65000</v>
      </c>
      <c r="K5457" s="5">
        <f>tblSales[[#This Row],[Qty]]*tblSales[[#This Row],[Unit Price]]</f>
        <v>130000</v>
      </c>
      <c r="L5457" s="5">
        <f>ROUND(tblSales[[#This Row],[DPP (excl. VAT)]]*VATEff,0)</f>
        <v>14300</v>
      </c>
      <c r="M5457" s="5">
        <f>tblSales[[#This Row],[DPP (excl. VAT)]]+tblSales[[#This Row],[Output VAT]]</f>
        <v>144300</v>
      </c>
      <c r="N5457" s="5">
        <f>tblSales[[#This Row],[Qty]]*_xlfn.XLOOKUP(tblSales[[#This Row],[Product Code]],tblProducts[Code],tblProducts[Unit Cost],0)</f>
        <v>74000</v>
      </c>
      <c r="O5457" s="4" t="s">
        <v>4865</v>
      </c>
      <c r="P5457" s="4" t="s">
        <v>4860</v>
      </c>
      <c r="Q5457" s="1" t="str">
        <f>_xlfn.XLOOKUP(tblSales[[#This Row],[Channel Code]],tblChannels[Channel Code],tblChannels[Channel Name],"")</f>
        <v>In-store</v>
      </c>
      <c r="R5457" s="1">
        <f>MONTH(tblSales[[#This Row],[Date]])</f>
        <v>11</v>
      </c>
    </row>
    <row r="5458" spans="2:18" x14ac:dyDescent="0.35">
      <c r="B5458" s="113">
        <v>46353</v>
      </c>
      <c r="C5458" s="4" t="s">
        <v>3741</v>
      </c>
      <c r="D5458" s="4" t="s">
        <v>4568</v>
      </c>
      <c r="E5458" s="1" t="str">
        <f>_xlfn.XLOOKUP(tblSales[[#This Row],[Customer ID]],tblCustomers[Customer ID],tblCustomers[Customer Name],"⚠ Unknown")</f>
        <v>Walk-in Customer</v>
      </c>
      <c r="F5458" s="4" t="s">
        <v>10</v>
      </c>
      <c r="G5458" s="1" t="str">
        <f>_xlfn.XLOOKUP(tblSales[[#This Row],[Product Code]],tblProducts[Code],tblProducts[Product / Service Name],"⚠ Unknown")</f>
        <v>Chino Pants</v>
      </c>
      <c r="H5458" s="1" t="str">
        <f>_xlfn.XLOOKUP(tblSales[[#This Row],[Product Code]],tblProducts[Code],tblProducts[Category],"")</f>
        <v>Apparel &amp; Footwear</v>
      </c>
      <c r="I5458" s="4">
        <v>11</v>
      </c>
      <c r="J5458" s="5">
        <f>_xlfn.XLOOKUP(tblSales[[#This Row],[Product Code]],tblProducts[Code],tblProducts[Selling Price (excl. VAT)],0)</f>
        <v>150000</v>
      </c>
      <c r="K5458" s="5">
        <f>tblSales[[#This Row],[Qty]]*tblSales[[#This Row],[Unit Price]]</f>
        <v>1650000</v>
      </c>
      <c r="L5458" s="5">
        <f>ROUND(tblSales[[#This Row],[DPP (excl. VAT)]]*VATEff,0)</f>
        <v>181500</v>
      </c>
      <c r="M5458" s="5">
        <f>tblSales[[#This Row],[DPP (excl. VAT)]]+tblSales[[#This Row],[Output VAT]]</f>
        <v>1831500</v>
      </c>
      <c r="N5458" s="5">
        <f>tblSales[[#This Row],[Qty]]*_xlfn.XLOOKUP(tblSales[[#This Row],[Product Code]],tblProducts[Code],tblProducts[Unit Cost],0)</f>
        <v>968000</v>
      </c>
      <c r="O5458" s="4" t="s">
        <v>4865</v>
      </c>
      <c r="P5458" s="4" t="s">
        <v>4860</v>
      </c>
      <c r="Q5458" s="1" t="str">
        <f>_xlfn.XLOOKUP(tblSales[[#This Row],[Channel Code]],tblChannels[Channel Code],tblChannels[Channel Name],"")</f>
        <v>In-store</v>
      </c>
      <c r="R5458" s="1">
        <f>MONTH(tblSales[[#This Row],[Date]])</f>
        <v>11</v>
      </c>
    </row>
    <row r="5459" spans="2:18" x14ac:dyDescent="0.35">
      <c r="B5459" s="113">
        <v>46353</v>
      </c>
      <c r="C5459" s="4" t="s">
        <v>3742</v>
      </c>
      <c r="D5459" s="4" t="s">
        <v>4568</v>
      </c>
      <c r="E5459" s="1" t="str">
        <f>_xlfn.XLOOKUP(tblSales[[#This Row],[Customer ID]],tblCustomers[Customer ID],tblCustomers[Customer Name],"⚠ Unknown")</f>
        <v>Walk-in Customer</v>
      </c>
      <c r="F5459" s="4" t="s">
        <v>8</v>
      </c>
      <c r="G5459" s="1" t="str">
        <f>_xlfn.XLOOKUP(tblSales[[#This Row],[Product Code]],tblProducts[Code],tblProducts[Product / Service Name],"⚠ Unknown")</f>
        <v>Casual Shorts</v>
      </c>
      <c r="H5459" s="1" t="str">
        <f>_xlfn.XLOOKUP(tblSales[[#This Row],[Product Code]],tblProducts[Code],tblProducts[Category],"")</f>
        <v>Accessories &amp; Basics</v>
      </c>
      <c r="I5459" s="4">
        <v>4</v>
      </c>
      <c r="J5459" s="5">
        <f>_xlfn.XLOOKUP(tblSales[[#This Row],[Product Code]],tblProducts[Code],tblProducts[Selling Price (excl. VAT)],0)</f>
        <v>85000</v>
      </c>
      <c r="K5459" s="5">
        <f>tblSales[[#This Row],[Qty]]*tblSales[[#This Row],[Unit Price]]</f>
        <v>340000</v>
      </c>
      <c r="L5459" s="5">
        <f>ROUND(tblSales[[#This Row],[DPP (excl. VAT)]]*VATEff,0)</f>
        <v>37400</v>
      </c>
      <c r="M5459" s="5">
        <f>tblSales[[#This Row],[DPP (excl. VAT)]]+tblSales[[#This Row],[Output VAT]]</f>
        <v>377400</v>
      </c>
      <c r="N5459" s="5">
        <f>tblSales[[#This Row],[Qty]]*_xlfn.XLOOKUP(tblSales[[#This Row],[Product Code]],tblProducts[Code],tblProducts[Unit Cost],0)</f>
        <v>200000</v>
      </c>
      <c r="O5459" s="4" t="s">
        <v>4866</v>
      </c>
      <c r="P5459" s="4" t="s">
        <v>4860</v>
      </c>
      <c r="Q5459" s="1" t="str">
        <f>_xlfn.XLOOKUP(tblSales[[#This Row],[Channel Code]],tblChannels[Channel Code],tblChannels[Channel Name],"")</f>
        <v>In-store</v>
      </c>
      <c r="R5459" s="1">
        <f>MONTH(tblSales[[#This Row],[Date]])</f>
        <v>11</v>
      </c>
    </row>
    <row r="5460" spans="2:18" x14ac:dyDescent="0.35">
      <c r="B5460" s="113">
        <v>46353</v>
      </c>
      <c r="C5460" s="4" t="s">
        <v>3742</v>
      </c>
      <c r="D5460" s="4" t="s">
        <v>4568</v>
      </c>
      <c r="E5460" s="1" t="str">
        <f>_xlfn.XLOOKUP(tblSales[[#This Row],[Customer ID]],tblCustomers[Customer ID],tblCustomers[Customer Name],"⚠ Unknown")</f>
        <v>Walk-in Customer</v>
      </c>
      <c r="F5460" s="4" t="s">
        <v>10</v>
      </c>
      <c r="G5460" s="1" t="str">
        <f>_xlfn.XLOOKUP(tblSales[[#This Row],[Product Code]],tblProducts[Code],tblProducts[Product / Service Name],"⚠ Unknown")</f>
        <v>Chino Pants</v>
      </c>
      <c r="H5460" s="1" t="str">
        <f>_xlfn.XLOOKUP(tblSales[[#This Row],[Product Code]],tblProducts[Code],tblProducts[Category],"")</f>
        <v>Apparel &amp; Footwear</v>
      </c>
      <c r="I5460" s="4">
        <v>10</v>
      </c>
      <c r="J5460" s="5">
        <f>_xlfn.XLOOKUP(tblSales[[#This Row],[Product Code]],tblProducts[Code],tblProducts[Selling Price (excl. VAT)],0)</f>
        <v>150000</v>
      </c>
      <c r="K5460" s="5">
        <f>tblSales[[#This Row],[Qty]]*tblSales[[#This Row],[Unit Price]]</f>
        <v>1500000</v>
      </c>
      <c r="L5460" s="5">
        <f>ROUND(tblSales[[#This Row],[DPP (excl. VAT)]]*VATEff,0)</f>
        <v>165000</v>
      </c>
      <c r="M5460" s="5">
        <f>tblSales[[#This Row],[DPP (excl. VAT)]]+tblSales[[#This Row],[Output VAT]]</f>
        <v>1665000</v>
      </c>
      <c r="N5460" s="5">
        <f>tblSales[[#This Row],[Qty]]*_xlfn.XLOOKUP(tblSales[[#This Row],[Product Code]],tblProducts[Code],tblProducts[Unit Cost],0)</f>
        <v>880000</v>
      </c>
      <c r="O5460" s="4" t="s">
        <v>4866</v>
      </c>
      <c r="P5460" s="4" t="s">
        <v>4860</v>
      </c>
      <c r="Q5460" s="1" t="str">
        <f>_xlfn.XLOOKUP(tblSales[[#This Row],[Channel Code]],tblChannels[Channel Code],tblChannels[Channel Name],"")</f>
        <v>In-store</v>
      </c>
      <c r="R5460" s="1">
        <f>MONTH(tblSales[[#This Row],[Date]])</f>
        <v>11</v>
      </c>
    </row>
    <row r="5461" spans="2:18" x14ac:dyDescent="0.35">
      <c r="B5461" s="113">
        <v>46353</v>
      </c>
      <c r="C5461" s="4" t="s">
        <v>3742</v>
      </c>
      <c r="D5461" s="4" t="s">
        <v>4568</v>
      </c>
      <c r="E5461" s="1" t="str">
        <f>_xlfn.XLOOKUP(tblSales[[#This Row],[Customer ID]],tblCustomers[Customer ID],tblCustomers[Customer Name],"⚠ Unknown")</f>
        <v>Walk-in Customer</v>
      </c>
      <c r="F5461" s="4" t="s">
        <v>7</v>
      </c>
      <c r="G5461" s="1" t="str">
        <f>_xlfn.XLOOKUP(tblSales[[#This Row],[Product Code]],tblProducts[Code],tblProducts[Product / Service Name],"⚠ Unknown")</f>
        <v>Premium Basic T-shirt</v>
      </c>
      <c r="H5461" s="1" t="str">
        <f>_xlfn.XLOOKUP(tblSales[[#This Row],[Product Code]],tblProducts[Code],tblProducts[Category],"")</f>
        <v>Accessories &amp; Basics</v>
      </c>
      <c r="I5461" s="4">
        <v>9</v>
      </c>
      <c r="J5461" s="5">
        <f>_xlfn.XLOOKUP(tblSales[[#This Row],[Product Code]],tblProducts[Code],tblProducts[Selling Price (excl. VAT)],0)</f>
        <v>65000</v>
      </c>
      <c r="K5461" s="5">
        <f>tblSales[[#This Row],[Qty]]*tblSales[[#This Row],[Unit Price]]</f>
        <v>585000</v>
      </c>
      <c r="L5461" s="5">
        <f>ROUND(tblSales[[#This Row],[DPP (excl. VAT)]]*VATEff,0)</f>
        <v>64350</v>
      </c>
      <c r="M5461" s="5">
        <f>tblSales[[#This Row],[DPP (excl. VAT)]]+tblSales[[#This Row],[Output VAT]]</f>
        <v>649350</v>
      </c>
      <c r="N5461" s="5">
        <f>tblSales[[#This Row],[Qty]]*_xlfn.XLOOKUP(tblSales[[#This Row],[Product Code]],tblProducts[Code],tblProducts[Unit Cost],0)</f>
        <v>333000</v>
      </c>
      <c r="O5461" s="4" t="s">
        <v>4866</v>
      </c>
      <c r="P5461" s="4" t="s">
        <v>4860</v>
      </c>
      <c r="Q5461" s="1" t="str">
        <f>_xlfn.XLOOKUP(tblSales[[#This Row],[Channel Code]],tblChannels[Channel Code],tblChannels[Channel Name],"")</f>
        <v>In-store</v>
      </c>
      <c r="R5461" s="1">
        <f>MONTH(tblSales[[#This Row],[Date]])</f>
        <v>11</v>
      </c>
    </row>
    <row r="5462" spans="2:18" x14ac:dyDescent="0.35">
      <c r="B5462" s="113">
        <v>46353</v>
      </c>
      <c r="C5462" s="4" t="s">
        <v>3743</v>
      </c>
      <c r="D5462" s="4" t="s">
        <v>4599</v>
      </c>
      <c r="E5462" s="1" t="str">
        <f>_xlfn.XLOOKUP(tblSales[[#This Row],[Customer ID]],tblCustomers[Customer ID],tblCustomers[Customer Name],"⚠ Unknown")</f>
        <v>PT Samudra Jaya Logistik</v>
      </c>
      <c r="F5462" s="4" t="s">
        <v>6</v>
      </c>
      <c r="G5462" s="1" t="str">
        <f>_xlfn.XLOOKUP(tblSales[[#This Row],[Product Code]],tblProducts[Code],tblProducts[Product / Service Name],"⚠ Unknown")</f>
        <v>Socks &amp; Accessories</v>
      </c>
      <c r="H5462" s="1" t="str">
        <f>_xlfn.XLOOKUP(tblSales[[#This Row],[Product Code]],tblProducts[Code],tblProducts[Category],"")</f>
        <v>Accessories &amp; Basics</v>
      </c>
      <c r="I5462" s="4">
        <v>8</v>
      </c>
      <c r="J5462" s="5">
        <f>_xlfn.XLOOKUP(tblSales[[#This Row],[Product Code]],tblProducts[Code],tblProducts[Selling Price (excl. VAT)],0)</f>
        <v>45000</v>
      </c>
      <c r="K5462" s="5">
        <f>tblSales[[#This Row],[Qty]]*tblSales[[#This Row],[Unit Price]]</f>
        <v>360000</v>
      </c>
      <c r="L5462" s="5">
        <f>ROUND(tblSales[[#This Row],[DPP (excl. VAT)]]*VATEff,0)</f>
        <v>39600</v>
      </c>
      <c r="M5462" s="5">
        <f>tblSales[[#This Row],[DPP (excl. VAT)]]+tblSales[[#This Row],[Output VAT]]</f>
        <v>399600</v>
      </c>
      <c r="N5462" s="5">
        <f>tblSales[[#This Row],[Qty]]*_xlfn.XLOOKUP(tblSales[[#This Row],[Product Code]],tblProducts[Code],tblProducts[Unit Cost],0)</f>
        <v>192000</v>
      </c>
      <c r="O5462" s="4" t="s">
        <v>4867</v>
      </c>
      <c r="P5462" s="4" t="s">
        <v>4860</v>
      </c>
      <c r="Q5462" s="1" t="str">
        <f>_xlfn.XLOOKUP(tblSales[[#This Row],[Channel Code]],tblChannels[Channel Code],tblChannels[Channel Name],"")</f>
        <v>In-store</v>
      </c>
      <c r="R5462" s="1">
        <f>MONTH(tblSales[[#This Row],[Date]])</f>
        <v>11</v>
      </c>
    </row>
    <row r="5463" spans="2:18" x14ac:dyDescent="0.35">
      <c r="B5463" s="113">
        <v>46353</v>
      </c>
      <c r="C5463" s="4" t="s">
        <v>3743</v>
      </c>
      <c r="D5463" s="4" t="s">
        <v>4599</v>
      </c>
      <c r="E5463" s="1" t="str">
        <f>_xlfn.XLOOKUP(tblSales[[#This Row],[Customer ID]],tblCustomers[Customer ID],tblCustomers[Customer Name],"⚠ Unknown")</f>
        <v>PT Samudra Jaya Logistik</v>
      </c>
      <c r="F5463" s="4" t="s">
        <v>11</v>
      </c>
      <c r="G5463" s="1" t="str">
        <f>_xlfn.XLOOKUP(tblSales[[#This Row],[Product Code]],tblProducts[Code],tblProducts[Product / Service Name],"⚠ Unknown")</f>
        <v>Sneakers</v>
      </c>
      <c r="H5463" s="1" t="str">
        <f>_xlfn.XLOOKUP(tblSales[[#This Row],[Product Code]],tblProducts[Code],tblProducts[Category],"")</f>
        <v>Apparel &amp; Footwear</v>
      </c>
      <c r="I5463" s="4">
        <v>16</v>
      </c>
      <c r="J5463" s="5">
        <f>_xlfn.XLOOKUP(tblSales[[#This Row],[Product Code]],tblProducts[Code],tblProducts[Selling Price (excl. VAT)],0)</f>
        <v>250000</v>
      </c>
      <c r="K5463" s="5">
        <f>tblSales[[#This Row],[Qty]]*tblSales[[#This Row],[Unit Price]]</f>
        <v>4000000</v>
      </c>
      <c r="L5463" s="5">
        <f>ROUND(tblSales[[#This Row],[DPP (excl. VAT)]]*VATEff,0)</f>
        <v>440000</v>
      </c>
      <c r="M5463" s="5">
        <f>tblSales[[#This Row],[DPP (excl. VAT)]]+tblSales[[#This Row],[Output VAT]]</f>
        <v>4440000</v>
      </c>
      <c r="N5463" s="5">
        <f>tblSales[[#This Row],[Qty]]*_xlfn.XLOOKUP(tblSales[[#This Row],[Product Code]],tblProducts[Code],tblProducts[Unit Cost],0)</f>
        <v>2480000</v>
      </c>
      <c r="O5463" s="4" t="s">
        <v>4867</v>
      </c>
      <c r="P5463" s="4" t="s">
        <v>4860</v>
      </c>
      <c r="Q5463" s="1" t="str">
        <f>_xlfn.XLOOKUP(tblSales[[#This Row],[Channel Code]],tblChannels[Channel Code],tblChannels[Channel Name],"")</f>
        <v>In-store</v>
      </c>
      <c r="R5463" s="1">
        <f>MONTH(tblSales[[#This Row],[Date]])</f>
        <v>11</v>
      </c>
    </row>
    <row r="5464" spans="2:18" x14ac:dyDescent="0.35">
      <c r="B5464" s="113">
        <v>46353</v>
      </c>
      <c r="C5464" s="4" t="s">
        <v>3743</v>
      </c>
      <c r="D5464" s="4" t="s">
        <v>4599</v>
      </c>
      <c r="E5464" s="1" t="str">
        <f>_xlfn.XLOOKUP(tblSales[[#This Row],[Customer ID]],tblCustomers[Customer ID],tblCustomers[Customer Name],"⚠ Unknown")</f>
        <v>PT Samudra Jaya Logistik</v>
      </c>
      <c r="F5464" s="4" t="s">
        <v>8</v>
      </c>
      <c r="G5464" s="1" t="str">
        <f>_xlfn.XLOOKUP(tblSales[[#This Row],[Product Code]],tblProducts[Code],tblProducts[Product / Service Name],"⚠ Unknown")</f>
        <v>Casual Shorts</v>
      </c>
      <c r="H5464" s="1" t="str">
        <f>_xlfn.XLOOKUP(tblSales[[#This Row],[Product Code]],tblProducts[Code],tblProducts[Category],"")</f>
        <v>Accessories &amp; Basics</v>
      </c>
      <c r="I5464" s="4">
        <v>64</v>
      </c>
      <c r="J5464" s="5">
        <f>_xlfn.XLOOKUP(tblSales[[#This Row],[Product Code]],tblProducts[Code],tblProducts[Selling Price (excl. VAT)],0)</f>
        <v>85000</v>
      </c>
      <c r="K5464" s="5">
        <f>tblSales[[#This Row],[Qty]]*tblSales[[#This Row],[Unit Price]]</f>
        <v>5440000</v>
      </c>
      <c r="L5464" s="5">
        <f>ROUND(tblSales[[#This Row],[DPP (excl. VAT)]]*VATEff,0)</f>
        <v>598400</v>
      </c>
      <c r="M5464" s="5">
        <f>tblSales[[#This Row],[DPP (excl. VAT)]]+tblSales[[#This Row],[Output VAT]]</f>
        <v>6038400</v>
      </c>
      <c r="N5464" s="5">
        <f>tblSales[[#This Row],[Qty]]*_xlfn.XLOOKUP(tblSales[[#This Row],[Product Code]],tblProducts[Code],tblProducts[Unit Cost],0)</f>
        <v>3200000</v>
      </c>
      <c r="O5464" s="4" t="s">
        <v>4867</v>
      </c>
      <c r="P5464" s="4" t="s">
        <v>4860</v>
      </c>
      <c r="Q5464" s="1" t="str">
        <f>_xlfn.XLOOKUP(tblSales[[#This Row],[Channel Code]],tblChannels[Channel Code],tblChannels[Channel Name],"")</f>
        <v>In-store</v>
      </c>
      <c r="R5464" s="1">
        <f>MONTH(tblSales[[#This Row],[Date]])</f>
        <v>11</v>
      </c>
    </row>
    <row r="5465" spans="2:18" x14ac:dyDescent="0.35">
      <c r="B5465" s="113">
        <v>46353</v>
      </c>
      <c r="C5465" s="4" t="s">
        <v>3744</v>
      </c>
      <c r="D5465" s="4" t="s">
        <v>4568</v>
      </c>
      <c r="E5465" s="1" t="str">
        <f>_xlfn.XLOOKUP(tblSales[[#This Row],[Customer ID]],tblCustomers[Customer ID],tblCustomers[Customer Name],"⚠ Unknown")</f>
        <v>Walk-in Customer</v>
      </c>
      <c r="F5465" s="4" t="s">
        <v>8</v>
      </c>
      <c r="G5465" s="1" t="str">
        <f>_xlfn.XLOOKUP(tblSales[[#This Row],[Product Code]],tblProducts[Code],tblProducts[Product / Service Name],"⚠ Unknown")</f>
        <v>Casual Shorts</v>
      </c>
      <c r="H5465" s="1" t="str">
        <f>_xlfn.XLOOKUP(tblSales[[#This Row],[Product Code]],tblProducts[Code],tblProducts[Category],"")</f>
        <v>Accessories &amp; Basics</v>
      </c>
      <c r="I5465" s="4">
        <v>9</v>
      </c>
      <c r="J5465" s="5">
        <f>_xlfn.XLOOKUP(tblSales[[#This Row],[Product Code]],tblProducts[Code],tblProducts[Selling Price (excl. VAT)],0)</f>
        <v>85000</v>
      </c>
      <c r="K5465" s="5">
        <f>tblSales[[#This Row],[Qty]]*tblSales[[#This Row],[Unit Price]]</f>
        <v>765000</v>
      </c>
      <c r="L5465" s="5">
        <f>ROUND(tblSales[[#This Row],[DPP (excl. VAT)]]*VATEff,0)</f>
        <v>84150</v>
      </c>
      <c r="M5465" s="5">
        <f>tblSales[[#This Row],[DPP (excl. VAT)]]+tblSales[[#This Row],[Output VAT]]</f>
        <v>849150</v>
      </c>
      <c r="N5465" s="5">
        <f>tblSales[[#This Row],[Qty]]*_xlfn.XLOOKUP(tblSales[[#This Row],[Product Code]],tblProducts[Code],tblProducts[Unit Cost],0)</f>
        <v>450000</v>
      </c>
      <c r="O5465" s="4" t="s">
        <v>4866</v>
      </c>
      <c r="P5465" s="4" t="s">
        <v>4860</v>
      </c>
      <c r="Q5465" s="1" t="str">
        <f>_xlfn.XLOOKUP(tblSales[[#This Row],[Channel Code]],tblChannels[Channel Code],tblChannels[Channel Name],"")</f>
        <v>In-store</v>
      </c>
      <c r="R5465" s="1">
        <f>MONTH(tblSales[[#This Row],[Date]])</f>
        <v>11</v>
      </c>
    </row>
    <row r="5466" spans="2:18" x14ac:dyDescent="0.35">
      <c r="B5466" s="113">
        <v>46353</v>
      </c>
      <c r="C5466" s="4" t="s">
        <v>3744</v>
      </c>
      <c r="D5466" s="4" t="s">
        <v>4568</v>
      </c>
      <c r="E5466" s="1" t="str">
        <f>_xlfn.XLOOKUP(tblSales[[#This Row],[Customer ID]],tblCustomers[Customer ID],tblCustomers[Customer Name],"⚠ Unknown")</f>
        <v>Walk-in Customer</v>
      </c>
      <c r="F5466" s="4" t="s">
        <v>10</v>
      </c>
      <c r="G5466" s="1" t="str">
        <f>_xlfn.XLOOKUP(tblSales[[#This Row],[Product Code]],tblProducts[Code],tblProducts[Product / Service Name],"⚠ Unknown")</f>
        <v>Chino Pants</v>
      </c>
      <c r="H5466" s="1" t="str">
        <f>_xlfn.XLOOKUP(tblSales[[#This Row],[Product Code]],tblProducts[Code],tblProducts[Category],"")</f>
        <v>Apparel &amp; Footwear</v>
      </c>
      <c r="I5466" s="4">
        <v>9</v>
      </c>
      <c r="J5466" s="5">
        <f>_xlfn.XLOOKUP(tblSales[[#This Row],[Product Code]],tblProducts[Code],tblProducts[Selling Price (excl. VAT)],0)</f>
        <v>150000</v>
      </c>
      <c r="K5466" s="5">
        <f>tblSales[[#This Row],[Qty]]*tblSales[[#This Row],[Unit Price]]</f>
        <v>1350000</v>
      </c>
      <c r="L5466" s="5">
        <f>ROUND(tblSales[[#This Row],[DPP (excl. VAT)]]*VATEff,0)</f>
        <v>148500</v>
      </c>
      <c r="M5466" s="5">
        <f>tblSales[[#This Row],[DPP (excl. VAT)]]+tblSales[[#This Row],[Output VAT]]</f>
        <v>1498500</v>
      </c>
      <c r="N5466" s="5">
        <f>tblSales[[#This Row],[Qty]]*_xlfn.XLOOKUP(tblSales[[#This Row],[Product Code]],tblProducts[Code],tblProducts[Unit Cost],0)</f>
        <v>792000</v>
      </c>
      <c r="O5466" s="4" t="s">
        <v>4866</v>
      </c>
      <c r="P5466" s="4" t="s">
        <v>4860</v>
      </c>
      <c r="Q5466" s="1" t="str">
        <f>_xlfn.XLOOKUP(tblSales[[#This Row],[Channel Code]],tblChannels[Channel Code],tblChannels[Channel Name],"")</f>
        <v>In-store</v>
      </c>
      <c r="R5466" s="1">
        <f>MONTH(tblSales[[#This Row],[Date]])</f>
        <v>11</v>
      </c>
    </row>
    <row r="5467" spans="2:18" x14ac:dyDescent="0.35">
      <c r="B5467" s="113">
        <v>46353</v>
      </c>
      <c r="C5467" s="4" t="s">
        <v>3745</v>
      </c>
      <c r="D5467" s="4" t="s">
        <v>4568</v>
      </c>
      <c r="E5467" s="1" t="str">
        <f>_xlfn.XLOOKUP(tblSales[[#This Row],[Customer ID]],tblCustomers[Customer ID],tblCustomers[Customer Name],"⚠ Unknown")</f>
        <v>Walk-in Customer</v>
      </c>
      <c r="F5467" s="4" t="s">
        <v>8</v>
      </c>
      <c r="G5467" s="1" t="str">
        <f>_xlfn.XLOOKUP(tblSales[[#This Row],[Product Code]],tblProducts[Code],tblProducts[Product / Service Name],"⚠ Unknown")</f>
        <v>Casual Shorts</v>
      </c>
      <c r="H5467" s="1" t="str">
        <f>_xlfn.XLOOKUP(tblSales[[#This Row],[Product Code]],tblProducts[Code],tblProducts[Category],"")</f>
        <v>Accessories &amp; Basics</v>
      </c>
      <c r="I5467" s="4">
        <v>4</v>
      </c>
      <c r="J5467" s="5">
        <f>_xlfn.XLOOKUP(tblSales[[#This Row],[Product Code]],tblProducts[Code],tblProducts[Selling Price (excl. VAT)],0)</f>
        <v>85000</v>
      </c>
      <c r="K5467" s="5">
        <f>tblSales[[#This Row],[Qty]]*tblSales[[#This Row],[Unit Price]]</f>
        <v>340000</v>
      </c>
      <c r="L5467" s="5">
        <f>ROUND(tblSales[[#This Row],[DPP (excl. VAT)]]*VATEff,0)</f>
        <v>37400</v>
      </c>
      <c r="M5467" s="5">
        <f>tblSales[[#This Row],[DPP (excl. VAT)]]+tblSales[[#This Row],[Output VAT]]</f>
        <v>377400</v>
      </c>
      <c r="N5467" s="5">
        <f>tblSales[[#This Row],[Qty]]*_xlfn.XLOOKUP(tblSales[[#This Row],[Product Code]],tblProducts[Code],tblProducts[Unit Cost],0)</f>
        <v>200000</v>
      </c>
      <c r="O5467" s="4" t="s">
        <v>4865</v>
      </c>
      <c r="P5467" s="4" t="s">
        <v>4860</v>
      </c>
      <c r="Q5467" s="1" t="str">
        <f>_xlfn.XLOOKUP(tblSales[[#This Row],[Channel Code]],tblChannels[Channel Code],tblChannels[Channel Name],"")</f>
        <v>In-store</v>
      </c>
      <c r="R5467" s="1">
        <f>MONTH(tblSales[[#This Row],[Date]])</f>
        <v>11</v>
      </c>
    </row>
    <row r="5468" spans="2:18" x14ac:dyDescent="0.35">
      <c r="B5468" s="113">
        <v>46353</v>
      </c>
      <c r="C5468" s="4" t="s">
        <v>3746</v>
      </c>
      <c r="D5468" s="4" t="s">
        <v>4634</v>
      </c>
      <c r="E5468" s="1" t="str">
        <f>_xlfn.XLOOKUP(tblSales[[#This Row],[Customer ID]],tblCustomers[Customer ID],tblCustomers[Customer Name],"⚠ Unknown")</f>
        <v>PT Delta Inti Selaras</v>
      </c>
      <c r="F5468" s="4" t="s">
        <v>9</v>
      </c>
      <c r="G5468" s="1" t="str">
        <f>_xlfn.XLOOKUP(tblSales[[#This Row],[Product Code]],tblProducts[Code],tblProducts[Product / Service Name],"⚠ Unknown")</f>
        <v>Casual Shirt</v>
      </c>
      <c r="H5468" s="1" t="str">
        <f>_xlfn.XLOOKUP(tblSales[[#This Row],[Product Code]],tblProducts[Code],tblProducts[Category],"")</f>
        <v>Apparel &amp; Footwear</v>
      </c>
      <c r="I5468" s="4">
        <v>64</v>
      </c>
      <c r="J5468" s="5">
        <f>_xlfn.XLOOKUP(tblSales[[#This Row],[Product Code]],tblProducts[Code],tblProducts[Selling Price (excl. VAT)],0)</f>
        <v>120000</v>
      </c>
      <c r="K5468" s="5">
        <f>tblSales[[#This Row],[Qty]]*tblSales[[#This Row],[Unit Price]]</f>
        <v>7680000</v>
      </c>
      <c r="L5468" s="5">
        <f>ROUND(tblSales[[#This Row],[DPP (excl. VAT)]]*VATEff,0)</f>
        <v>844800</v>
      </c>
      <c r="M5468" s="5">
        <f>tblSales[[#This Row],[DPP (excl. VAT)]]+tblSales[[#This Row],[Output VAT]]</f>
        <v>8524800</v>
      </c>
      <c r="N5468" s="5">
        <f>tblSales[[#This Row],[Qty]]*_xlfn.XLOOKUP(tblSales[[#This Row],[Product Code]],tblProducts[Code],tblProducts[Unit Cost],0)</f>
        <v>4608000</v>
      </c>
      <c r="O5468" s="4" t="s">
        <v>4867</v>
      </c>
      <c r="P5468" s="4" t="s">
        <v>4860</v>
      </c>
      <c r="Q5468" s="1" t="str">
        <f>_xlfn.XLOOKUP(tblSales[[#This Row],[Channel Code]],tblChannels[Channel Code],tblChannels[Channel Name],"")</f>
        <v>In-store</v>
      </c>
      <c r="R5468" s="1">
        <f>MONTH(tblSales[[#This Row],[Date]])</f>
        <v>11</v>
      </c>
    </row>
    <row r="5469" spans="2:18" x14ac:dyDescent="0.35">
      <c r="B5469" s="113">
        <v>46353</v>
      </c>
      <c r="C5469" s="4" t="s">
        <v>3746</v>
      </c>
      <c r="D5469" s="4" t="s">
        <v>4634</v>
      </c>
      <c r="E5469" s="1" t="str">
        <f>_xlfn.XLOOKUP(tblSales[[#This Row],[Customer ID]],tblCustomers[Customer ID],tblCustomers[Customer Name],"⚠ Unknown")</f>
        <v>PT Delta Inti Selaras</v>
      </c>
      <c r="F5469" s="4" t="s">
        <v>8</v>
      </c>
      <c r="G5469" s="1" t="str">
        <f>_xlfn.XLOOKUP(tblSales[[#This Row],[Product Code]],tblProducts[Code],tblProducts[Product / Service Name],"⚠ Unknown")</f>
        <v>Casual Shorts</v>
      </c>
      <c r="H5469" s="1" t="str">
        <f>_xlfn.XLOOKUP(tblSales[[#This Row],[Product Code]],tblProducts[Code],tblProducts[Category],"")</f>
        <v>Accessories &amp; Basics</v>
      </c>
      <c r="I5469" s="4">
        <v>80</v>
      </c>
      <c r="J5469" s="5">
        <f>_xlfn.XLOOKUP(tblSales[[#This Row],[Product Code]],tblProducts[Code],tblProducts[Selling Price (excl. VAT)],0)</f>
        <v>85000</v>
      </c>
      <c r="K5469" s="5">
        <f>tblSales[[#This Row],[Qty]]*tblSales[[#This Row],[Unit Price]]</f>
        <v>6800000</v>
      </c>
      <c r="L5469" s="5">
        <f>ROUND(tblSales[[#This Row],[DPP (excl. VAT)]]*VATEff,0)</f>
        <v>748000</v>
      </c>
      <c r="M5469" s="5">
        <f>tblSales[[#This Row],[DPP (excl. VAT)]]+tblSales[[#This Row],[Output VAT]]</f>
        <v>7548000</v>
      </c>
      <c r="N5469" s="5">
        <f>tblSales[[#This Row],[Qty]]*_xlfn.XLOOKUP(tblSales[[#This Row],[Product Code]],tblProducts[Code],tblProducts[Unit Cost],0)</f>
        <v>4000000</v>
      </c>
      <c r="O5469" s="4" t="s">
        <v>4867</v>
      </c>
      <c r="P5469" s="4" t="s">
        <v>4860</v>
      </c>
      <c r="Q5469" s="1" t="str">
        <f>_xlfn.XLOOKUP(tblSales[[#This Row],[Channel Code]],tblChannels[Channel Code],tblChannels[Channel Name],"")</f>
        <v>In-store</v>
      </c>
      <c r="R5469" s="1">
        <f>MONTH(tblSales[[#This Row],[Date]])</f>
        <v>11</v>
      </c>
    </row>
    <row r="5470" spans="2:18" x14ac:dyDescent="0.35">
      <c r="B5470" s="113">
        <v>46353</v>
      </c>
      <c r="C5470" s="4" t="s">
        <v>3746</v>
      </c>
      <c r="D5470" s="4" t="s">
        <v>4634</v>
      </c>
      <c r="E5470" s="1" t="str">
        <f>_xlfn.XLOOKUP(tblSales[[#This Row],[Customer ID]],tblCustomers[Customer ID],tblCustomers[Customer Name],"⚠ Unknown")</f>
        <v>PT Delta Inti Selaras</v>
      </c>
      <c r="F5470" s="4" t="s">
        <v>6</v>
      </c>
      <c r="G5470" s="1" t="str">
        <f>_xlfn.XLOOKUP(tblSales[[#This Row],[Product Code]],tblProducts[Code],tblProducts[Product / Service Name],"⚠ Unknown")</f>
        <v>Socks &amp; Accessories</v>
      </c>
      <c r="H5470" s="1" t="str">
        <f>_xlfn.XLOOKUP(tblSales[[#This Row],[Product Code]],tblProducts[Code],tblProducts[Category],"")</f>
        <v>Accessories &amp; Basics</v>
      </c>
      <c r="I5470" s="4">
        <v>40</v>
      </c>
      <c r="J5470" s="5">
        <f>_xlfn.XLOOKUP(tblSales[[#This Row],[Product Code]],tblProducts[Code],tblProducts[Selling Price (excl. VAT)],0)</f>
        <v>45000</v>
      </c>
      <c r="K5470" s="5">
        <f>tblSales[[#This Row],[Qty]]*tblSales[[#This Row],[Unit Price]]</f>
        <v>1800000</v>
      </c>
      <c r="L5470" s="5">
        <f>ROUND(tblSales[[#This Row],[DPP (excl. VAT)]]*VATEff,0)</f>
        <v>198000</v>
      </c>
      <c r="M5470" s="5">
        <f>tblSales[[#This Row],[DPP (excl. VAT)]]+tblSales[[#This Row],[Output VAT]]</f>
        <v>1998000</v>
      </c>
      <c r="N5470" s="5">
        <f>tblSales[[#This Row],[Qty]]*_xlfn.XLOOKUP(tblSales[[#This Row],[Product Code]],tblProducts[Code],tblProducts[Unit Cost],0)</f>
        <v>960000</v>
      </c>
      <c r="O5470" s="4" t="s">
        <v>4867</v>
      </c>
      <c r="P5470" s="4" t="s">
        <v>4860</v>
      </c>
      <c r="Q5470" s="1" t="str">
        <f>_xlfn.XLOOKUP(tblSales[[#This Row],[Channel Code]],tblChannels[Channel Code],tblChannels[Channel Name],"")</f>
        <v>In-store</v>
      </c>
      <c r="R5470" s="1">
        <f>MONTH(tblSales[[#This Row],[Date]])</f>
        <v>11</v>
      </c>
    </row>
    <row r="5471" spans="2:18" x14ac:dyDescent="0.35">
      <c r="B5471" s="113">
        <v>46353</v>
      </c>
      <c r="C5471" s="4" t="s">
        <v>3747</v>
      </c>
      <c r="D5471" s="4" t="s">
        <v>4568</v>
      </c>
      <c r="E5471" s="1" t="str">
        <f>_xlfn.XLOOKUP(tblSales[[#This Row],[Customer ID]],tblCustomers[Customer ID],tblCustomers[Customer Name],"⚠ Unknown")</f>
        <v>Walk-in Customer</v>
      </c>
      <c r="F5471" s="4" t="s">
        <v>13</v>
      </c>
      <c r="G5471" s="1" t="str">
        <f>_xlfn.XLOOKUP(tblSales[[#This Row],[Product Code]],tblProducts[Code],tblProducts[Product / Service Name],"⚠ Unknown")</f>
        <v>Backpack</v>
      </c>
      <c r="H5471" s="1" t="str">
        <f>_xlfn.XLOOKUP(tblSales[[#This Row],[Product Code]],tblProducts[Code],tblProducts[Category],"")</f>
        <v>Bags &amp; Gadgets</v>
      </c>
      <c r="I5471" s="4">
        <v>2</v>
      </c>
      <c r="J5471" s="5">
        <f>_xlfn.XLOOKUP(tblSales[[#This Row],[Product Code]],tblProducts[Code],tblProducts[Selling Price (excl. VAT)],0)</f>
        <v>500000</v>
      </c>
      <c r="K5471" s="5">
        <f>tblSales[[#This Row],[Qty]]*tblSales[[#This Row],[Unit Price]]</f>
        <v>1000000</v>
      </c>
      <c r="L5471" s="5">
        <f>ROUND(tblSales[[#This Row],[DPP (excl. VAT)]]*VATEff,0)</f>
        <v>110000</v>
      </c>
      <c r="M5471" s="5">
        <f>tblSales[[#This Row],[DPP (excl. VAT)]]+tblSales[[#This Row],[Output VAT]]</f>
        <v>1110000</v>
      </c>
      <c r="N5471" s="5">
        <f>tblSales[[#This Row],[Qty]]*_xlfn.XLOOKUP(tblSales[[#This Row],[Product Code]],tblProducts[Code],tblProducts[Unit Cost],0)</f>
        <v>580000</v>
      </c>
      <c r="O5471" s="4" t="s">
        <v>4865</v>
      </c>
      <c r="P5471" s="4" t="s">
        <v>4860</v>
      </c>
      <c r="Q5471" s="1" t="str">
        <f>_xlfn.XLOOKUP(tblSales[[#This Row],[Channel Code]],tblChannels[Channel Code],tblChannels[Channel Name],"")</f>
        <v>In-store</v>
      </c>
      <c r="R5471" s="1">
        <f>MONTH(tblSales[[#This Row],[Date]])</f>
        <v>11</v>
      </c>
    </row>
    <row r="5472" spans="2:18" x14ac:dyDescent="0.35">
      <c r="B5472" s="113">
        <v>46353</v>
      </c>
      <c r="C5472" s="4" t="s">
        <v>3747</v>
      </c>
      <c r="D5472" s="4" t="s">
        <v>4568</v>
      </c>
      <c r="E5472" s="1" t="str">
        <f>_xlfn.XLOOKUP(tblSales[[#This Row],[Customer ID]],tblCustomers[Customer ID],tblCustomers[Customer Name],"⚠ Unknown")</f>
        <v>Walk-in Customer</v>
      </c>
      <c r="F5472" s="4" t="s">
        <v>14</v>
      </c>
      <c r="G5472" s="1" t="str">
        <f>_xlfn.XLOOKUP(tblSales[[#This Row],[Product Code]],tblProducts[Code],tblProducts[Product / Service Name],"⚠ Unknown")</f>
        <v>Smartwatch</v>
      </c>
      <c r="H5472" s="1" t="str">
        <f>_xlfn.XLOOKUP(tblSales[[#This Row],[Product Code]],tblProducts[Code],tblProducts[Category],"")</f>
        <v>Bags &amp; Gadgets</v>
      </c>
      <c r="I5472" s="4">
        <v>1</v>
      </c>
      <c r="J5472" s="5">
        <f>_xlfn.XLOOKUP(tblSales[[#This Row],[Product Code]],tblProducts[Code],tblProducts[Selling Price (excl. VAT)],0)</f>
        <v>850000</v>
      </c>
      <c r="K5472" s="5">
        <f>tblSales[[#This Row],[Qty]]*tblSales[[#This Row],[Unit Price]]</f>
        <v>850000</v>
      </c>
      <c r="L5472" s="5">
        <f>ROUND(tblSales[[#This Row],[DPP (excl. VAT)]]*VATEff,0)</f>
        <v>93500</v>
      </c>
      <c r="M5472" s="5">
        <f>tblSales[[#This Row],[DPP (excl. VAT)]]+tblSales[[#This Row],[Output VAT]]</f>
        <v>943500</v>
      </c>
      <c r="N5472" s="5">
        <f>tblSales[[#This Row],[Qty]]*_xlfn.XLOOKUP(tblSales[[#This Row],[Product Code]],tblProducts[Code],tblProducts[Unit Cost],0)</f>
        <v>560000</v>
      </c>
      <c r="O5472" s="4" t="s">
        <v>4865</v>
      </c>
      <c r="P5472" s="4" t="s">
        <v>4860</v>
      </c>
      <c r="Q5472" s="1" t="str">
        <f>_xlfn.XLOOKUP(tblSales[[#This Row],[Channel Code]],tblChannels[Channel Code],tblChannels[Channel Name],"")</f>
        <v>In-store</v>
      </c>
      <c r="R5472" s="1">
        <f>MONTH(tblSales[[#This Row],[Date]])</f>
        <v>11</v>
      </c>
    </row>
    <row r="5473" spans="2:18" x14ac:dyDescent="0.35">
      <c r="B5473" s="113">
        <v>46353</v>
      </c>
      <c r="C5473" s="4" t="s">
        <v>3748</v>
      </c>
      <c r="D5473" s="4" t="s">
        <v>4648</v>
      </c>
      <c r="E5473" s="1" t="str">
        <f>_xlfn.XLOOKUP(tblSales[[#This Row],[Customer ID]],tblCustomers[Customer ID],tblCustomers[Customer Name],"⚠ Unknown")</f>
        <v>PT Lintas Benua Niaga</v>
      </c>
      <c r="F5473" s="4" t="s">
        <v>6</v>
      </c>
      <c r="G5473" s="1" t="str">
        <f>_xlfn.XLOOKUP(tblSales[[#This Row],[Product Code]],tblProducts[Code],tblProducts[Product / Service Name],"⚠ Unknown")</f>
        <v>Socks &amp; Accessories</v>
      </c>
      <c r="H5473" s="1" t="str">
        <f>_xlfn.XLOOKUP(tblSales[[#This Row],[Product Code]],tblProducts[Code],tblProducts[Category],"")</f>
        <v>Accessories &amp; Basics</v>
      </c>
      <c r="I5473" s="4">
        <v>24</v>
      </c>
      <c r="J5473" s="5">
        <f>_xlfn.XLOOKUP(tblSales[[#This Row],[Product Code]],tblProducts[Code],tblProducts[Selling Price (excl. VAT)],0)</f>
        <v>45000</v>
      </c>
      <c r="K5473" s="5">
        <f>tblSales[[#This Row],[Qty]]*tblSales[[#This Row],[Unit Price]]</f>
        <v>1080000</v>
      </c>
      <c r="L5473" s="5">
        <f>ROUND(tblSales[[#This Row],[DPP (excl. VAT)]]*VATEff,0)</f>
        <v>118800</v>
      </c>
      <c r="M5473" s="5">
        <f>tblSales[[#This Row],[DPP (excl. VAT)]]+tblSales[[#This Row],[Output VAT]]</f>
        <v>1198800</v>
      </c>
      <c r="N5473" s="5">
        <f>tblSales[[#This Row],[Qty]]*_xlfn.XLOOKUP(tblSales[[#This Row],[Product Code]],tblProducts[Code],tblProducts[Unit Cost],0)</f>
        <v>576000</v>
      </c>
      <c r="O5473" s="4" t="s">
        <v>4867</v>
      </c>
      <c r="P5473" s="4" t="s">
        <v>4860</v>
      </c>
      <c r="Q5473" s="1" t="str">
        <f>_xlfn.XLOOKUP(tblSales[[#This Row],[Channel Code]],tblChannels[Channel Code],tblChannels[Channel Name],"")</f>
        <v>In-store</v>
      </c>
      <c r="R5473" s="1">
        <f>MONTH(tblSales[[#This Row],[Date]])</f>
        <v>11</v>
      </c>
    </row>
    <row r="5474" spans="2:18" x14ac:dyDescent="0.35">
      <c r="B5474" s="113">
        <v>46353</v>
      </c>
      <c r="C5474" s="4" t="s">
        <v>3748</v>
      </c>
      <c r="D5474" s="4" t="s">
        <v>4648</v>
      </c>
      <c r="E5474" s="1" t="str">
        <f>_xlfn.XLOOKUP(tblSales[[#This Row],[Customer ID]],tblCustomers[Customer ID],tblCustomers[Customer Name],"⚠ Unknown")</f>
        <v>PT Lintas Benua Niaga</v>
      </c>
      <c r="F5474" s="4" t="s">
        <v>15</v>
      </c>
      <c r="G5474" s="1" t="str">
        <f>_xlfn.XLOOKUP(tblSales[[#This Row],[Product Code]],tblProducts[Code],tblProducts[Product / Service Name],"⚠ Unknown")</f>
        <v>Wireless Earbuds Pro</v>
      </c>
      <c r="H5474" s="1" t="str">
        <f>_xlfn.XLOOKUP(tblSales[[#This Row],[Product Code]],tblProducts[Code],tblProducts[Category],"")</f>
        <v>Bags &amp; Gadgets</v>
      </c>
      <c r="I5474" s="4">
        <v>16</v>
      </c>
      <c r="J5474" s="5">
        <f>_xlfn.XLOOKUP(tblSales[[#This Row],[Product Code]],tblProducts[Code],tblProducts[Selling Price (excl. VAT)],0)</f>
        <v>1250000</v>
      </c>
      <c r="K5474" s="5">
        <f>tblSales[[#This Row],[Qty]]*tblSales[[#This Row],[Unit Price]]</f>
        <v>20000000</v>
      </c>
      <c r="L5474" s="5">
        <f>ROUND(tblSales[[#This Row],[DPP (excl. VAT)]]*VATEff,0)</f>
        <v>2200000</v>
      </c>
      <c r="M5474" s="5">
        <f>tblSales[[#This Row],[DPP (excl. VAT)]]+tblSales[[#This Row],[Output VAT]]</f>
        <v>22200000</v>
      </c>
      <c r="N5474" s="5">
        <f>tblSales[[#This Row],[Qty]]*_xlfn.XLOOKUP(tblSales[[#This Row],[Product Code]],tblProducts[Code],tblProducts[Unit Cost],0)</f>
        <v>13120000</v>
      </c>
      <c r="O5474" s="4" t="s">
        <v>4867</v>
      </c>
      <c r="P5474" s="4" t="s">
        <v>4860</v>
      </c>
      <c r="Q5474" s="1" t="str">
        <f>_xlfn.XLOOKUP(tblSales[[#This Row],[Channel Code]],tblChannels[Channel Code],tblChannels[Channel Name],"")</f>
        <v>In-store</v>
      </c>
      <c r="R5474" s="1">
        <f>MONTH(tblSales[[#This Row],[Date]])</f>
        <v>11</v>
      </c>
    </row>
    <row r="5475" spans="2:18" x14ac:dyDescent="0.35">
      <c r="B5475" s="113">
        <v>46353</v>
      </c>
      <c r="C5475" s="4" t="s">
        <v>3749</v>
      </c>
      <c r="D5475" s="4" t="s">
        <v>4568</v>
      </c>
      <c r="E5475" s="1" t="str">
        <f>_xlfn.XLOOKUP(tblSales[[#This Row],[Customer ID]],tblCustomers[Customer ID],tblCustomers[Customer Name],"⚠ Unknown")</f>
        <v>Walk-in Customer</v>
      </c>
      <c r="F5475" s="4" t="s">
        <v>12</v>
      </c>
      <c r="G5475" s="1" t="str">
        <f>_xlfn.XLOOKUP(tblSales[[#This Row],[Product Code]],tblProducts[Code],tblProducts[Product / Service Name],"⚠ Unknown")</f>
        <v>Bomber Jacket</v>
      </c>
      <c r="H5475" s="1" t="str">
        <f>_xlfn.XLOOKUP(tblSales[[#This Row],[Product Code]],tblProducts[Code],tblProducts[Category],"")</f>
        <v>Apparel &amp; Footwear</v>
      </c>
      <c r="I5475" s="4">
        <v>4</v>
      </c>
      <c r="J5475" s="5">
        <f>_xlfn.XLOOKUP(tblSales[[#This Row],[Product Code]],tblProducts[Code],tblProducts[Selling Price (excl. VAT)],0)</f>
        <v>350000</v>
      </c>
      <c r="K5475" s="5">
        <f>tblSales[[#This Row],[Qty]]*tblSales[[#This Row],[Unit Price]]</f>
        <v>1400000</v>
      </c>
      <c r="L5475" s="5">
        <f>ROUND(tblSales[[#This Row],[DPP (excl. VAT)]]*VATEff,0)</f>
        <v>154000</v>
      </c>
      <c r="M5475" s="5">
        <f>tblSales[[#This Row],[DPP (excl. VAT)]]+tblSales[[#This Row],[Output VAT]]</f>
        <v>1554000</v>
      </c>
      <c r="N5475" s="5">
        <f>tblSales[[#This Row],[Qty]]*_xlfn.XLOOKUP(tblSales[[#This Row],[Product Code]],tblProducts[Code],tblProducts[Unit Cost],0)</f>
        <v>840000</v>
      </c>
      <c r="O5475" s="4" t="s">
        <v>4866</v>
      </c>
      <c r="P5475" s="4" t="s">
        <v>4862</v>
      </c>
      <c r="Q5475" s="1" t="str">
        <f>_xlfn.XLOOKUP(tblSales[[#This Row],[Channel Code]],tblChannels[Channel Code],tblChannels[Channel Name],"")</f>
        <v>Website &amp; Social Media</v>
      </c>
      <c r="R5475" s="1">
        <f>MONTH(tblSales[[#This Row],[Date]])</f>
        <v>11</v>
      </c>
    </row>
    <row r="5476" spans="2:18" x14ac:dyDescent="0.35">
      <c r="B5476" s="113">
        <v>46354</v>
      </c>
      <c r="C5476" s="4" t="s">
        <v>3750</v>
      </c>
      <c r="D5476" s="4" t="s">
        <v>4568</v>
      </c>
      <c r="E5476" s="1" t="str">
        <f>_xlfn.XLOOKUP(tblSales[[#This Row],[Customer ID]],tblCustomers[Customer ID],tblCustomers[Customer Name],"⚠ Unknown")</f>
        <v>Walk-in Customer</v>
      </c>
      <c r="F5476" s="4" t="s">
        <v>7</v>
      </c>
      <c r="G5476" s="1" t="str">
        <f>_xlfn.XLOOKUP(tblSales[[#This Row],[Product Code]],tblProducts[Code],tblProducts[Product / Service Name],"⚠ Unknown")</f>
        <v>Premium Basic T-shirt</v>
      </c>
      <c r="H5476" s="1" t="str">
        <f>_xlfn.XLOOKUP(tblSales[[#This Row],[Product Code]],tblProducts[Code],tblProducts[Category],"")</f>
        <v>Accessories &amp; Basics</v>
      </c>
      <c r="I5476" s="4">
        <v>5</v>
      </c>
      <c r="J5476" s="5">
        <f>_xlfn.XLOOKUP(tblSales[[#This Row],[Product Code]],tblProducts[Code],tblProducts[Selling Price (excl. VAT)],0)</f>
        <v>65000</v>
      </c>
      <c r="K5476" s="5">
        <f>tblSales[[#This Row],[Qty]]*tblSales[[#This Row],[Unit Price]]</f>
        <v>325000</v>
      </c>
      <c r="L5476" s="5">
        <f>ROUND(tblSales[[#This Row],[DPP (excl. VAT)]]*VATEff,0)</f>
        <v>35750</v>
      </c>
      <c r="M5476" s="5">
        <f>tblSales[[#This Row],[DPP (excl. VAT)]]+tblSales[[#This Row],[Output VAT]]</f>
        <v>360750</v>
      </c>
      <c r="N5476" s="5">
        <f>tblSales[[#This Row],[Qty]]*_xlfn.XLOOKUP(tblSales[[#This Row],[Product Code]],tblProducts[Code],tblProducts[Unit Cost],0)</f>
        <v>185000</v>
      </c>
      <c r="O5476" s="4" t="s">
        <v>4865</v>
      </c>
      <c r="P5476" s="4" t="s">
        <v>4860</v>
      </c>
      <c r="Q5476" s="1" t="str">
        <f>_xlfn.XLOOKUP(tblSales[[#This Row],[Channel Code]],tblChannels[Channel Code],tblChannels[Channel Name],"")</f>
        <v>In-store</v>
      </c>
      <c r="R5476" s="1">
        <f>MONTH(tblSales[[#This Row],[Date]])</f>
        <v>11</v>
      </c>
    </row>
    <row r="5477" spans="2:18" x14ac:dyDescent="0.35">
      <c r="B5477" s="113">
        <v>46354</v>
      </c>
      <c r="C5477" s="4" t="s">
        <v>3750</v>
      </c>
      <c r="D5477" s="4" t="s">
        <v>4568</v>
      </c>
      <c r="E5477" s="1" t="str">
        <f>_xlfn.XLOOKUP(tblSales[[#This Row],[Customer ID]],tblCustomers[Customer ID],tblCustomers[Customer Name],"⚠ Unknown")</f>
        <v>Walk-in Customer</v>
      </c>
      <c r="F5477" s="4" t="s">
        <v>10</v>
      </c>
      <c r="G5477" s="1" t="str">
        <f>_xlfn.XLOOKUP(tblSales[[#This Row],[Product Code]],tblProducts[Code],tblProducts[Product / Service Name],"⚠ Unknown")</f>
        <v>Chino Pants</v>
      </c>
      <c r="H5477" s="1" t="str">
        <f>_xlfn.XLOOKUP(tblSales[[#This Row],[Product Code]],tblProducts[Code],tblProducts[Category],"")</f>
        <v>Apparel &amp; Footwear</v>
      </c>
      <c r="I5477" s="4">
        <v>5</v>
      </c>
      <c r="J5477" s="5">
        <f>_xlfn.XLOOKUP(tblSales[[#This Row],[Product Code]],tblProducts[Code],tblProducts[Selling Price (excl. VAT)],0)</f>
        <v>150000</v>
      </c>
      <c r="K5477" s="5">
        <f>tblSales[[#This Row],[Qty]]*tblSales[[#This Row],[Unit Price]]</f>
        <v>750000</v>
      </c>
      <c r="L5477" s="5">
        <f>ROUND(tblSales[[#This Row],[DPP (excl. VAT)]]*VATEff,0)</f>
        <v>82500</v>
      </c>
      <c r="M5477" s="5">
        <f>tblSales[[#This Row],[DPP (excl. VAT)]]+tblSales[[#This Row],[Output VAT]]</f>
        <v>832500</v>
      </c>
      <c r="N5477" s="5">
        <f>tblSales[[#This Row],[Qty]]*_xlfn.XLOOKUP(tblSales[[#This Row],[Product Code]],tblProducts[Code],tblProducts[Unit Cost],0)</f>
        <v>440000</v>
      </c>
      <c r="O5477" s="4" t="s">
        <v>4865</v>
      </c>
      <c r="P5477" s="4" t="s">
        <v>4860</v>
      </c>
      <c r="Q5477" s="1" t="str">
        <f>_xlfn.XLOOKUP(tblSales[[#This Row],[Channel Code]],tblChannels[Channel Code],tblChannels[Channel Name],"")</f>
        <v>In-store</v>
      </c>
      <c r="R5477" s="1">
        <f>MONTH(tblSales[[#This Row],[Date]])</f>
        <v>11</v>
      </c>
    </row>
    <row r="5478" spans="2:18" x14ac:dyDescent="0.35">
      <c r="B5478" s="113">
        <v>46354</v>
      </c>
      <c r="C5478" s="4" t="s">
        <v>3751</v>
      </c>
      <c r="D5478" s="4" t="s">
        <v>4568</v>
      </c>
      <c r="E5478" s="1" t="str">
        <f>_xlfn.XLOOKUP(tblSales[[#This Row],[Customer ID]],tblCustomers[Customer ID],tblCustomers[Customer Name],"⚠ Unknown")</f>
        <v>Walk-in Customer</v>
      </c>
      <c r="F5478" s="4" t="s">
        <v>8</v>
      </c>
      <c r="G5478" s="1" t="str">
        <f>_xlfn.XLOOKUP(tblSales[[#This Row],[Product Code]],tblProducts[Code],tblProducts[Product / Service Name],"⚠ Unknown")</f>
        <v>Casual Shorts</v>
      </c>
      <c r="H5478" s="1" t="str">
        <f>_xlfn.XLOOKUP(tblSales[[#This Row],[Product Code]],tblProducts[Code],tblProducts[Category],"")</f>
        <v>Accessories &amp; Basics</v>
      </c>
      <c r="I5478" s="4">
        <v>6</v>
      </c>
      <c r="J5478" s="5">
        <f>_xlfn.XLOOKUP(tblSales[[#This Row],[Product Code]],tblProducts[Code],tblProducts[Selling Price (excl. VAT)],0)</f>
        <v>85000</v>
      </c>
      <c r="K5478" s="5">
        <f>tblSales[[#This Row],[Qty]]*tblSales[[#This Row],[Unit Price]]</f>
        <v>510000</v>
      </c>
      <c r="L5478" s="5">
        <f>ROUND(tblSales[[#This Row],[DPP (excl. VAT)]]*VATEff,0)</f>
        <v>56100</v>
      </c>
      <c r="M5478" s="5">
        <f>tblSales[[#This Row],[DPP (excl. VAT)]]+tblSales[[#This Row],[Output VAT]]</f>
        <v>566100</v>
      </c>
      <c r="N5478" s="5">
        <f>tblSales[[#This Row],[Qty]]*_xlfn.XLOOKUP(tblSales[[#This Row],[Product Code]],tblProducts[Code],tblProducts[Unit Cost],0)</f>
        <v>300000</v>
      </c>
      <c r="O5478" s="4" t="s">
        <v>4866</v>
      </c>
      <c r="P5478" s="4" t="s">
        <v>4860</v>
      </c>
      <c r="Q5478" s="1" t="str">
        <f>_xlfn.XLOOKUP(tblSales[[#This Row],[Channel Code]],tblChannels[Channel Code],tblChannels[Channel Name],"")</f>
        <v>In-store</v>
      </c>
      <c r="R5478" s="1">
        <f>MONTH(tblSales[[#This Row],[Date]])</f>
        <v>11</v>
      </c>
    </row>
    <row r="5479" spans="2:18" x14ac:dyDescent="0.35">
      <c r="B5479" s="113">
        <v>46354</v>
      </c>
      <c r="C5479" s="4" t="s">
        <v>3752</v>
      </c>
      <c r="D5479" s="4" t="s">
        <v>4568</v>
      </c>
      <c r="E5479" s="1" t="str">
        <f>_xlfn.XLOOKUP(tblSales[[#This Row],[Customer ID]],tblCustomers[Customer ID],tblCustomers[Customer Name],"⚠ Unknown")</f>
        <v>Walk-in Customer</v>
      </c>
      <c r="F5479" s="4" t="s">
        <v>6</v>
      </c>
      <c r="G5479" s="1" t="str">
        <f>_xlfn.XLOOKUP(tblSales[[#This Row],[Product Code]],tblProducts[Code],tblProducts[Product / Service Name],"⚠ Unknown")</f>
        <v>Socks &amp; Accessories</v>
      </c>
      <c r="H5479" s="1" t="str">
        <f>_xlfn.XLOOKUP(tblSales[[#This Row],[Product Code]],tblProducts[Code],tblProducts[Category],"")</f>
        <v>Accessories &amp; Basics</v>
      </c>
      <c r="I5479" s="4">
        <v>3</v>
      </c>
      <c r="J5479" s="5">
        <f>_xlfn.XLOOKUP(tblSales[[#This Row],[Product Code]],tblProducts[Code],tblProducts[Selling Price (excl. VAT)],0)</f>
        <v>45000</v>
      </c>
      <c r="K5479" s="5">
        <f>tblSales[[#This Row],[Qty]]*tblSales[[#This Row],[Unit Price]]</f>
        <v>135000</v>
      </c>
      <c r="L5479" s="5">
        <f>ROUND(tblSales[[#This Row],[DPP (excl. VAT)]]*VATEff,0)</f>
        <v>14850</v>
      </c>
      <c r="M5479" s="5">
        <f>tblSales[[#This Row],[DPP (excl. VAT)]]+tblSales[[#This Row],[Output VAT]]</f>
        <v>149850</v>
      </c>
      <c r="N5479" s="5">
        <f>tblSales[[#This Row],[Qty]]*_xlfn.XLOOKUP(tblSales[[#This Row],[Product Code]],tblProducts[Code],tblProducts[Unit Cost],0)</f>
        <v>72000</v>
      </c>
      <c r="O5479" s="4" t="s">
        <v>4866</v>
      </c>
      <c r="P5479" s="4" t="s">
        <v>4861</v>
      </c>
      <c r="Q5479" s="1" t="str">
        <f>_xlfn.XLOOKUP(tblSales[[#This Row],[Channel Code]],tblChannels[Channel Code],tblChannels[Channel Name],"")</f>
        <v>Marketplace</v>
      </c>
      <c r="R5479" s="1">
        <f>MONTH(tblSales[[#This Row],[Date]])</f>
        <v>11</v>
      </c>
    </row>
    <row r="5480" spans="2:18" x14ac:dyDescent="0.35">
      <c r="B5480" s="113">
        <v>46354</v>
      </c>
      <c r="C5480" s="4" t="s">
        <v>3753</v>
      </c>
      <c r="D5480" s="4" t="s">
        <v>4568</v>
      </c>
      <c r="E5480" s="1" t="str">
        <f>_xlfn.XLOOKUP(tblSales[[#This Row],[Customer ID]],tblCustomers[Customer ID],tblCustomers[Customer Name],"⚠ Unknown")</f>
        <v>Walk-in Customer</v>
      </c>
      <c r="F5480" s="4" t="s">
        <v>14</v>
      </c>
      <c r="G5480" s="1" t="str">
        <f>_xlfn.XLOOKUP(tblSales[[#This Row],[Product Code]],tblProducts[Code],tblProducts[Product / Service Name],"⚠ Unknown")</f>
        <v>Smartwatch</v>
      </c>
      <c r="H5480" s="1" t="str">
        <f>_xlfn.XLOOKUP(tblSales[[#This Row],[Product Code]],tblProducts[Code],tblProducts[Category],"")</f>
        <v>Bags &amp; Gadgets</v>
      </c>
      <c r="I5480" s="4">
        <v>2</v>
      </c>
      <c r="J5480" s="5">
        <f>_xlfn.XLOOKUP(tblSales[[#This Row],[Product Code]],tblProducts[Code],tblProducts[Selling Price (excl. VAT)],0)</f>
        <v>850000</v>
      </c>
      <c r="K5480" s="5">
        <f>tblSales[[#This Row],[Qty]]*tblSales[[#This Row],[Unit Price]]</f>
        <v>1700000</v>
      </c>
      <c r="L5480" s="5">
        <f>ROUND(tblSales[[#This Row],[DPP (excl. VAT)]]*VATEff,0)</f>
        <v>187000</v>
      </c>
      <c r="M5480" s="5">
        <f>tblSales[[#This Row],[DPP (excl. VAT)]]+tblSales[[#This Row],[Output VAT]]</f>
        <v>1887000</v>
      </c>
      <c r="N5480" s="5">
        <f>tblSales[[#This Row],[Qty]]*_xlfn.XLOOKUP(tblSales[[#This Row],[Product Code]],tblProducts[Code],tblProducts[Unit Cost],0)</f>
        <v>1120000</v>
      </c>
      <c r="O5480" s="4" t="s">
        <v>4866</v>
      </c>
      <c r="P5480" s="4" t="s">
        <v>4862</v>
      </c>
      <c r="Q5480" s="1" t="str">
        <f>_xlfn.XLOOKUP(tblSales[[#This Row],[Channel Code]],tblChannels[Channel Code],tblChannels[Channel Name],"")</f>
        <v>Website &amp; Social Media</v>
      </c>
      <c r="R5480" s="1">
        <f>MONTH(tblSales[[#This Row],[Date]])</f>
        <v>11</v>
      </c>
    </row>
    <row r="5481" spans="2:18" x14ac:dyDescent="0.35">
      <c r="B5481" s="113">
        <v>46354</v>
      </c>
      <c r="C5481" s="4" t="s">
        <v>3754</v>
      </c>
      <c r="D5481" s="4" t="s">
        <v>4568</v>
      </c>
      <c r="E5481" s="1" t="str">
        <f>_xlfn.XLOOKUP(tblSales[[#This Row],[Customer ID]],tblCustomers[Customer ID],tblCustomers[Customer Name],"⚠ Unknown")</f>
        <v>Walk-in Customer</v>
      </c>
      <c r="F5481" s="4" t="s">
        <v>9</v>
      </c>
      <c r="G5481" s="1" t="str">
        <f>_xlfn.XLOOKUP(tblSales[[#This Row],[Product Code]],tblProducts[Code],tblProducts[Product / Service Name],"⚠ Unknown")</f>
        <v>Casual Shirt</v>
      </c>
      <c r="H5481" s="1" t="str">
        <f>_xlfn.XLOOKUP(tblSales[[#This Row],[Product Code]],tblProducts[Code],tblProducts[Category],"")</f>
        <v>Apparel &amp; Footwear</v>
      </c>
      <c r="I5481" s="4">
        <v>1</v>
      </c>
      <c r="J5481" s="5">
        <f>_xlfn.XLOOKUP(tblSales[[#This Row],[Product Code]],tblProducts[Code],tblProducts[Selling Price (excl. VAT)],0)</f>
        <v>120000</v>
      </c>
      <c r="K5481" s="5">
        <f>tblSales[[#This Row],[Qty]]*tblSales[[#This Row],[Unit Price]]</f>
        <v>120000</v>
      </c>
      <c r="L5481" s="5">
        <f>ROUND(tblSales[[#This Row],[DPP (excl. VAT)]]*VATEff,0)</f>
        <v>13200</v>
      </c>
      <c r="M5481" s="5">
        <f>tblSales[[#This Row],[DPP (excl. VAT)]]+tblSales[[#This Row],[Output VAT]]</f>
        <v>133200</v>
      </c>
      <c r="N5481" s="5">
        <f>tblSales[[#This Row],[Qty]]*_xlfn.XLOOKUP(tblSales[[#This Row],[Product Code]],tblProducts[Code],tblProducts[Unit Cost],0)</f>
        <v>72000</v>
      </c>
      <c r="O5481" s="4" t="s">
        <v>4865</v>
      </c>
      <c r="P5481" s="4" t="s">
        <v>4860</v>
      </c>
      <c r="Q5481" s="1" t="str">
        <f>_xlfn.XLOOKUP(tblSales[[#This Row],[Channel Code]],tblChannels[Channel Code],tblChannels[Channel Name],"")</f>
        <v>In-store</v>
      </c>
      <c r="R5481" s="1">
        <f>MONTH(tblSales[[#This Row],[Date]])</f>
        <v>11</v>
      </c>
    </row>
    <row r="5482" spans="2:18" x14ac:dyDescent="0.35">
      <c r="B5482" s="113">
        <v>46354</v>
      </c>
      <c r="C5482" s="4" t="s">
        <v>3755</v>
      </c>
      <c r="D5482" s="4" t="s">
        <v>4568</v>
      </c>
      <c r="E5482" s="1" t="str">
        <f>_xlfn.XLOOKUP(tblSales[[#This Row],[Customer ID]],tblCustomers[Customer ID],tblCustomers[Customer Name],"⚠ Unknown")</f>
        <v>Walk-in Customer</v>
      </c>
      <c r="F5482" s="4" t="s">
        <v>6</v>
      </c>
      <c r="G5482" s="1" t="str">
        <f>_xlfn.XLOOKUP(tblSales[[#This Row],[Product Code]],tblProducts[Code],tblProducts[Product / Service Name],"⚠ Unknown")</f>
        <v>Socks &amp; Accessories</v>
      </c>
      <c r="H5482" s="1" t="str">
        <f>_xlfn.XLOOKUP(tblSales[[#This Row],[Product Code]],tblProducts[Code],tblProducts[Category],"")</f>
        <v>Accessories &amp; Basics</v>
      </c>
      <c r="I5482" s="4">
        <v>7</v>
      </c>
      <c r="J5482" s="5">
        <f>_xlfn.XLOOKUP(tblSales[[#This Row],[Product Code]],tblProducts[Code],tblProducts[Selling Price (excl. VAT)],0)</f>
        <v>45000</v>
      </c>
      <c r="K5482" s="5">
        <f>tblSales[[#This Row],[Qty]]*tblSales[[#This Row],[Unit Price]]</f>
        <v>315000</v>
      </c>
      <c r="L5482" s="5">
        <f>ROUND(tblSales[[#This Row],[DPP (excl. VAT)]]*VATEff,0)</f>
        <v>34650</v>
      </c>
      <c r="M5482" s="5">
        <f>tblSales[[#This Row],[DPP (excl. VAT)]]+tblSales[[#This Row],[Output VAT]]</f>
        <v>349650</v>
      </c>
      <c r="N5482" s="5">
        <f>tblSales[[#This Row],[Qty]]*_xlfn.XLOOKUP(tblSales[[#This Row],[Product Code]],tblProducts[Code],tblProducts[Unit Cost],0)</f>
        <v>168000</v>
      </c>
      <c r="O5482" s="4" t="s">
        <v>4866</v>
      </c>
      <c r="P5482" s="4" t="s">
        <v>4861</v>
      </c>
      <c r="Q5482" s="1" t="str">
        <f>_xlfn.XLOOKUP(tblSales[[#This Row],[Channel Code]],tblChannels[Channel Code],tblChannels[Channel Name],"")</f>
        <v>Marketplace</v>
      </c>
      <c r="R5482" s="1">
        <f>MONTH(tblSales[[#This Row],[Date]])</f>
        <v>11</v>
      </c>
    </row>
    <row r="5483" spans="2:18" x14ac:dyDescent="0.35">
      <c r="B5483" s="113">
        <v>46354</v>
      </c>
      <c r="C5483" s="4" t="s">
        <v>3756</v>
      </c>
      <c r="D5483" s="4" t="s">
        <v>4568</v>
      </c>
      <c r="E5483" s="1" t="str">
        <f>_xlfn.XLOOKUP(tblSales[[#This Row],[Customer ID]],tblCustomers[Customer ID],tblCustomers[Customer Name],"⚠ Unknown")</f>
        <v>Walk-in Customer</v>
      </c>
      <c r="F5483" s="4" t="s">
        <v>10</v>
      </c>
      <c r="G5483" s="1" t="str">
        <f>_xlfn.XLOOKUP(tblSales[[#This Row],[Product Code]],tblProducts[Code],tblProducts[Product / Service Name],"⚠ Unknown")</f>
        <v>Chino Pants</v>
      </c>
      <c r="H5483" s="1" t="str">
        <f>_xlfn.XLOOKUP(tblSales[[#This Row],[Product Code]],tblProducts[Code],tblProducts[Category],"")</f>
        <v>Apparel &amp; Footwear</v>
      </c>
      <c r="I5483" s="4">
        <v>11</v>
      </c>
      <c r="J5483" s="5">
        <f>_xlfn.XLOOKUP(tblSales[[#This Row],[Product Code]],tblProducts[Code],tblProducts[Selling Price (excl. VAT)],0)</f>
        <v>150000</v>
      </c>
      <c r="K5483" s="5">
        <f>tblSales[[#This Row],[Qty]]*tblSales[[#This Row],[Unit Price]]</f>
        <v>1650000</v>
      </c>
      <c r="L5483" s="5">
        <f>ROUND(tblSales[[#This Row],[DPP (excl. VAT)]]*VATEff,0)</f>
        <v>181500</v>
      </c>
      <c r="M5483" s="5">
        <f>tblSales[[#This Row],[DPP (excl. VAT)]]+tblSales[[#This Row],[Output VAT]]</f>
        <v>1831500</v>
      </c>
      <c r="N5483" s="5">
        <f>tblSales[[#This Row],[Qty]]*_xlfn.XLOOKUP(tblSales[[#This Row],[Product Code]],tblProducts[Code],tblProducts[Unit Cost],0)</f>
        <v>968000</v>
      </c>
      <c r="O5483" s="4" t="s">
        <v>4866</v>
      </c>
      <c r="P5483" s="4" t="s">
        <v>4861</v>
      </c>
      <c r="Q5483" s="1" t="str">
        <f>_xlfn.XLOOKUP(tblSales[[#This Row],[Channel Code]],tblChannels[Channel Code],tblChannels[Channel Name],"")</f>
        <v>Marketplace</v>
      </c>
      <c r="R5483" s="1">
        <f>MONTH(tblSales[[#This Row],[Date]])</f>
        <v>11</v>
      </c>
    </row>
    <row r="5484" spans="2:18" x14ac:dyDescent="0.35">
      <c r="B5484" s="113">
        <v>46354</v>
      </c>
      <c r="C5484" s="4" t="s">
        <v>3757</v>
      </c>
      <c r="D5484" s="4" t="s">
        <v>4634</v>
      </c>
      <c r="E5484" s="1" t="str">
        <f>_xlfn.XLOOKUP(tblSales[[#This Row],[Customer ID]],tblCustomers[Customer ID],tblCustomers[Customer Name],"⚠ Unknown")</f>
        <v>PT Delta Inti Selaras</v>
      </c>
      <c r="F5484" s="4" t="s">
        <v>9</v>
      </c>
      <c r="G5484" s="1" t="str">
        <f>_xlfn.XLOOKUP(tblSales[[#This Row],[Product Code]],tblProducts[Code],tblProducts[Product / Service Name],"⚠ Unknown")</f>
        <v>Casual Shirt</v>
      </c>
      <c r="H5484" s="1" t="str">
        <f>_xlfn.XLOOKUP(tblSales[[#This Row],[Product Code]],tblProducts[Code],tblProducts[Category],"")</f>
        <v>Apparel &amp; Footwear</v>
      </c>
      <c r="I5484" s="4">
        <v>56</v>
      </c>
      <c r="J5484" s="5">
        <f>_xlfn.XLOOKUP(tblSales[[#This Row],[Product Code]],tblProducts[Code],tblProducts[Selling Price (excl. VAT)],0)</f>
        <v>120000</v>
      </c>
      <c r="K5484" s="5">
        <f>tblSales[[#This Row],[Qty]]*tblSales[[#This Row],[Unit Price]]</f>
        <v>6720000</v>
      </c>
      <c r="L5484" s="5">
        <f>ROUND(tblSales[[#This Row],[DPP (excl. VAT)]]*VATEff,0)</f>
        <v>739200</v>
      </c>
      <c r="M5484" s="5">
        <f>tblSales[[#This Row],[DPP (excl. VAT)]]+tblSales[[#This Row],[Output VAT]]</f>
        <v>7459200</v>
      </c>
      <c r="N5484" s="5">
        <f>tblSales[[#This Row],[Qty]]*_xlfn.XLOOKUP(tblSales[[#This Row],[Product Code]],tblProducts[Code],tblProducts[Unit Cost],0)</f>
        <v>4032000</v>
      </c>
      <c r="O5484" s="4" t="s">
        <v>4867</v>
      </c>
      <c r="P5484" s="4" t="s">
        <v>4862</v>
      </c>
      <c r="Q5484" s="1" t="str">
        <f>_xlfn.XLOOKUP(tblSales[[#This Row],[Channel Code]],tblChannels[Channel Code],tblChannels[Channel Name],"")</f>
        <v>Website &amp; Social Media</v>
      </c>
      <c r="R5484" s="1">
        <f>MONTH(tblSales[[#This Row],[Date]])</f>
        <v>11</v>
      </c>
    </row>
    <row r="5485" spans="2:18" x14ac:dyDescent="0.35">
      <c r="B5485" s="113">
        <v>46354</v>
      </c>
      <c r="C5485" s="4" t="s">
        <v>3758</v>
      </c>
      <c r="D5485" s="4" t="s">
        <v>4568</v>
      </c>
      <c r="E5485" s="1" t="str">
        <f>_xlfn.XLOOKUP(tblSales[[#This Row],[Customer ID]],tblCustomers[Customer ID],tblCustomers[Customer Name],"⚠ Unknown")</f>
        <v>Walk-in Customer</v>
      </c>
      <c r="F5485" s="4" t="s">
        <v>6</v>
      </c>
      <c r="G5485" s="1" t="str">
        <f>_xlfn.XLOOKUP(tblSales[[#This Row],[Product Code]],tblProducts[Code],tblProducts[Product / Service Name],"⚠ Unknown")</f>
        <v>Socks &amp; Accessories</v>
      </c>
      <c r="H5485" s="1" t="str">
        <f>_xlfn.XLOOKUP(tblSales[[#This Row],[Product Code]],tblProducts[Code],tblProducts[Category],"")</f>
        <v>Accessories &amp; Basics</v>
      </c>
      <c r="I5485" s="4">
        <v>12</v>
      </c>
      <c r="J5485" s="5">
        <f>_xlfn.XLOOKUP(tblSales[[#This Row],[Product Code]],tblProducts[Code],tblProducts[Selling Price (excl. VAT)],0)</f>
        <v>45000</v>
      </c>
      <c r="K5485" s="5">
        <f>tblSales[[#This Row],[Qty]]*tblSales[[#This Row],[Unit Price]]</f>
        <v>540000</v>
      </c>
      <c r="L5485" s="5">
        <f>ROUND(tblSales[[#This Row],[DPP (excl. VAT)]]*VATEff,0)</f>
        <v>59400</v>
      </c>
      <c r="M5485" s="5">
        <f>tblSales[[#This Row],[DPP (excl. VAT)]]+tblSales[[#This Row],[Output VAT]]</f>
        <v>599400</v>
      </c>
      <c r="N5485" s="5">
        <f>tblSales[[#This Row],[Qty]]*_xlfn.XLOOKUP(tblSales[[#This Row],[Product Code]],tblProducts[Code],tblProducts[Unit Cost],0)</f>
        <v>288000</v>
      </c>
      <c r="O5485" s="4" t="s">
        <v>4866</v>
      </c>
      <c r="P5485" s="4" t="s">
        <v>4862</v>
      </c>
      <c r="Q5485" s="1" t="str">
        <f>_xlfn.XLOOKUP(tblSales[[#This Row],[Channel Code]],tblChannels[Channel Code],tblChannels[Channel Name],"")</f>
        <v>Website &amp; Social Media</v>
      </c>
      <c r="R5485" s="1">
        <f>MONTH(tblSales[[#This Row],[Date]])</f>
        <v>11</v>
      </c>
    </row>
    <row r="5486" spans="2:18" x14ac:dyDescent="0.35">
      <c r="B5486" s="113">
        <v>46354</v>
      </c>
      <c r="C5486" s="4" t="s">
        <v>3758</v>
      </c>
      <c r="D5486" s="4" t="s">
        <v>4568</v>
      </c>
      <c r="E5486" s="1" t="str">
        <f>_xlfn.XLOOKUP(tblSales[[#This Row],[Customer ID]],tblCustomers[Customer ID],tblCustomers[Customer Name],"⚠ Unknown")</f>
        <v>Walk-in Customer</v>
      </c>
      <c r="F5486" s="4" t="s">
        <v>9</v>
      </c>
      <c r="G5486" s="1" t="str">
        <f>_xlfn.XLOOKUP(tblSales[[#This Row],[Product Code]],tblProducts[Code],tblProducts[Product / Service Name],"⚠ Unknown")</f>
        <v>Casual Shirt</v>
      </c>
      <c r="H5486" s="1" t="str">
        <f>_xlfn.XLOOKUP(tblSales[[#This Row],[Product Code]],tblProducts[Code],tblProducts[Category],"")</f>
        <v>Apparel &amp; Footwear</v>
      </c>
      <c r="I5486" s="4">
        <v>2</v>
      </c>
      <c r="J5486" s="5">
        <f>_xlfn.XLOOKUP(tblSales[[#This Row],[Product Code]],tblProducts[Code],tblProducts[Selling Price (excl. VAT)],0)</f>
        <v>120000</v>
      </c>
      <c r="K5486" s="5">
        <f>tblSales[[#This Row],[Qty]]*tblSales[[#This Row],[Unit Price]]</f>
        <v>240000</v>
      </c>
      <c r="L5486" s="5">
        <f>ROUND(tblSales[[#This Row],[DPP (excl. VAT)]]*VATEff,0)</f>
        <v>26400</v>
      </c>
      <c r="M5486" s="5">
        <f>tblSales[[#This Row],[DPP (excl. VAT)]]+tblSales[[#This Row],[Output VAT]]</f>
        <v>266400</v>
      </c>
      <c r="N5486" s="5">
        <f>tblSales[[#This Row],[Qty]]*_xlfn.XLOOKUP(tblSales[[#This Row],[Product Code]],tblProducts[Code],tblProducts[Unit Cost],0)</f>
        <v>144000</v>
      </c>
      <c r="O5486" s="4" t="s">
        <v>4866</v>
      </c>
      <c r="P5486" s="4" t="s">
        <v>4862</v>
      </c>
      <c r="Q5486" s="1" t="str">
        <f>_xlfn.XLOOKUP(tblSales[[#This Row],[Channel Code]],tblChannels[Channel Code],tblChannels[Channel Name],"")</f>
        <v>Website &amp; Social Media</v>
      </c>
      <c r="R5486" s="1">
        <f>MONTH(tblSales[[#This Row],[Date]])</f>
        <v>11</v>
      </c>
    </row>
    <row r="5487" spans="2:18" x14ac:dyDescent="0.35">
      <c r="B5487" s="113">
        <v>46354</v>
      </c>
      <c r="C5487" s="4" t="s">
        <v>3759</v>
      </c>
      <c r="D5487" s="4" t="s">
        <v>4568</v>
      </c>
      <c r="E5487" s="1" t="str">
        <f>_xlfn.XLOOKUP(tblSales[[#This Row],[Customer ID]],tblCustomers[Customer ID],tblCustomers[Customer Name],"⚠ Unknown")</f>
        <v>Walk-in Customer</v>
      </c>
      <c r="F5487" s="4" t="s">
        <v>6</v>
      </c>
      <c r="G5487" s="1" t="str">
        <f>_xlfn.XLOOKUP(tblSales[[#This Row],[Product Code]],tblProducts[Code],tblProducts[Product / Service Name],"⚠ Unknown")</f>
        <v>Socks &amp; Accessories</v>
      </c>
      <c r="H5487" s="1" t="str">
        <f>_xlfn.XLOOKUP(tblSales[[#This Row],[Product Code]],tblProducts[Code],tblProducts[Category],"")</f>
        <v>Accessories &amp; Basics</v>
      </c>
      <c r="I5487" s="4">
        <v>6</v>
      </c>
      <c r="J5487" s="5">
        <f>_xlfn.XLOOKUP(tblSales[[#This Row],[Product Code]],tblProducts[Code],tblProducts[Selling Price (excl. VAT)],0)</f>
        <v>45000</v>
      </c>
      <c r="K5487" s="5">
        <f>tblSales[[#This Row],[Qty]]*tblSales[[#This Row],[Unit Price]]</f>
        <v>270000</v>
      </c>
      <c r="L5487" s="5">
        <f>ROUND(tblSales[[#This Row],[DPP (excl. VAT)]]*VATEff,0)</f>
        <v>29700</v>
      </c>
      <c r="M5487" s="5">
        <f>tblSales[[#This Row],[DPP (excl. VAT)]]+tblSales[[#This Row],[Output VAT]]</f>
        <v>299700</v>
      </c>
      <c r="N5487" s="5">
        <f>tblSales[[#This Row],[Qty]]*_xlfn.XLOOKUP(tblSales[[#This Row],[Product Code]],tblProducts[Code],tblProducts[Unit Cost],0)</f>
        <v>144000</v>
      </c>
      <c r="O5487" s="4" t="s">
        <v>4865</v>
      </c>
      <c r="P5487" s="4" t="s">
        <v>4860</v>
      </c>
      <c r="Q5487" s="1" t="str">
        <f>_xlfn.XLOOKUP(tblSales[[#This Row],[Channel Code]],tblChannels[Channel Code],tblChannels[Channel Name],"")</f>
        <v>In-store</v>
      </c>
      <c r="R5487" s="1">
        <f>MONTH(tblSales[[#This Row],[Date]])</f>
        <v>11</v>
      </c>
    </row>
    <row r="5488" spans="2:18" x14ac:dyDescent="0.35">
      <c r="B5488" s="113">
        <v>46354</v>
      </c>
      <c r="C5488" s="4" t="s">
        <v>3760</v>
      </c>
      <c r="D5488" s="4" t="s">
        <v>4568</v>
      </c>
      <c r="E5488" s="1" t="str">
        <f>_xlfn.XLOOKUP(tblSales[[#This Row],[Customer ID]],tblCustomers[Customer ID],tblCustomers[Customer Name],"⚠ Unknown")</f>
        <v>Walk-in Customer</v>
      </c>
      <c r="F5488" s="4" t="s">
        <v>9</v>
      </c>
      <c r="G5488" s="1" t="str">
        <f>_xlfn.XLOOKUP(tblSales[[#This Row],[Product Code]],tblProducts[Code],tblProducts[Product / Service Name],"⚠ Unknown")</f>
        <v>Casual Shirt</v>
      </c>
      <c r="H5488" s="1" t="str">
        <f>_xlfn.XLOOKUP(tblSales[[#This Row],[Product Code]],tblProducts[Code],tblProducts[Category],"")</f>
        <v>Apparel &amp; Footwear</v>
      </c>
      <c r="I5488" s="4">
        <v>4</v>
      </c>
      <c r="J5488" s="5">
        <f>_xlfn.XLOOKUP(tblSales[[#This Row],[Product Code]],tblProducts[Code],tblProducts[Selling Price (excl. VAT)],0)</f>
        <v>120000</v>
      </c>
      <c r="K5488" s="5">
        <f>tblSales[[#This Row],[Qty]]*tblSales[[#This Row],[Unit Price]]</f>
        <v>480000</v>
      </c>
      <c r="L5488" s="5">
        <f>ROUND(tblSales[[#This Row],[DPP (excl. VAT)]]*VATEff,0)</f>
        <v>52800</v>
      </c>
      <c r="M5488" s="5">
        <f>tblSales[[#This Row],[DPP (excl. VAT)]]+tblSales[[#This Row],[Output VAT]]</f>
        <v>532800</v>
      </c>
      <c r="N5488" s="5">
        <f>tblSales[[#This Row],[Qty]]*_xlfn.XLOOKUP(tblSales[[#This Row],[Product Code]],tblProducts[Code],tblProducts[Unit Cost],0)</f>
        <v>288000</v>
      </c>
      <c r="O5488" s="4" t="s">
        <v>4866</v>
      </c>
      <c r="P5488" s="4" t="s">
        <v>4860</v>
      </c>
      <c r="Q5488" s="1" t="str">
        <f>_xlfn.XLOOKUP(tblSales[[#This Row],[Channel Code]],tblChannels[Channel Code],tblChannels[Channel Name],"")</f>
        <v>In-store</v>
      </c>
      <c r="R5488" s="1">
        <f>MONTH(tblSales[[#This Row],[Date]])</f>
        <v>11</v>
      </c>
    </row>
    <row r="5489" spans="2:18" x14ac:dyDescent="0.35">
      <c r="B5489" s="113">
        <v>46354</v>
      </c>
      <c r="C5489" s="4" t="s">
        <v>3761</v>
      </c>
      <c r="D5489" s="4" t="s">
        <v>4593</v>
      </c>
      <c r="E5489" s="1" t="str">
        <f>_xlfn.XLOOKUP(tblSales[[#This Row],[Customer ID]],tblCustomers[Customer ID],tblCustomers[Customer Name],"⚠ Unknown")</f>
        <v>PT Graha Nusa Persada</v>
      </c>
      <c r="F5489" s="4" t="s">
        <v>8</v>
      </c>
      <c r="G5489" s="1" t="str">
        <f>_xlfn.XLOOKUP(tblSales[[#This Row],[Product Code]],tblProducts[Code],tblProducts[Product / Service Name],"⚠ Unknown")</f>
        <v>Casual Shorts</v>
      </c>
      <c r="H5489" s="1" t="str">
        <f>_xlfn.XLOOKUP(tblSales[[#This Row],[Product Code]],tblProducts[Code],tblProducts[Category],"")</f>
        <v>Accessories &amp; Basics</v>
      </c>
      <c r="I5489" s="4">
        <v>24</v>
      </c>
      <c r="J5489" s="5">
        <f>_xlfn.XLOOKUP(tblSales[[#This Row],[Product Code]],tblProducts[Code],tblProducts[Selling Price (excl. VAT)],0)</f>
        <v>85000</v>
      </c>
      <c r="K5489" s="5">
        <f>tblSales[[#This Row],[Qty]]*tblSales[[#This Row],[Unit Price]]</f>
        <v>2040000</v>
      </c>
      <c r="L5489" s="5">
        <f>ROUND(tblSales[[#This Row],[DPP (excl. VAT)]]*VATEff,0)</f>
        <v>224400</v>
      </c>
      <c r="M5489" s="5">
        <f>tblSales[[#This Row],[DPP (excl. VAT)]]+tblSales[[#This Row],[Output VAT]]</f>
        <v>2264400</v>
      </c>
      <c r="N5489" s="5">
        <f>tblSales[[#This Row],[Qty]]*_xlfn.XLOOKUP(tblSales[[#This Row],[Product Code]],tblProducts[Code],tblProducts[Unit Cost],0)</f>
        <v>1200000</v>
      </c>
      <c r="O5489" s="4" t="s">
        <v>4867</v>
      </c>
      <c r="P5489" s="4" t="s">
        <v>4860</v>
      </c>
      <c r="Q5489" s="1" t="str">
        <f>_xlfn.XLOOKUP(tblSales[[#This Row],[Channel Code]],tblChannels[Channel Code],tblChannels[Channel Name],"")</f>
        <v>In-store</v>
      </c>
      <c r="R5489" s="1">
        <f>MONTH(tblSales[[#This Row],[Date]])</f>
        <v>11</v>
      </c>
    </row>
    <row r="5490" spans="2:18" x14ac:dyDescent="0.35">
      <c r="B5490" s="113">
        <v>46354</v>
      </c>
      <c r="C5490" s="4" t="s">
        <v>3762</v>
      </c>
      <c r="D5490" s="4" t="s">
        <v>4568</v>
      </c>
      <c r="E5490" s="1" t="str">
        <f>_xlfn.XLOOKUP(tblSales[[#This Row],[Customer ID]],tblCustomers[Customer ID],tblCustomers[Customer Name],"⚠ Unknown")</f>
        <v>Walk-in Customer</v>
      </c>
      <c r="F5490" s="4" t="s">
        <v>10</v>
      </c>
      <c r="G5490" s="1" t="str">
        <f>_xlfn.XLOOKUP(tblSales[[#This Row],[Product Code]],tblProducts[Code],tblProducts[Product / Service Name],"⚠ Unknown")</f>
        <v>Chino Pants</v>
      </c>
      <c r="H5490" s="1" t="str">
        <f>_xlfn.XLOOKUP(tblSales[[#This Row],[Product Code]],tblProducts[Code],tblProducts[Category],"")</f>
        <v>Apparel &amp; Footwear</v>
      </c>
      <c r="I5490" s="4">
        <v>10</v>
      </c>
      <c r="J5490" s="5">
        <f>_xlfn.XLOOKUP(tblSales[[#This Row],[Product Code]],tblProducts[Code],tblProducts[Selling Price (excl. VAT)],0)</f>
        <v>150000</v>
      </c>
      <c r="K5490" s="5">
        <f>tblSales[[#This Row],[Qty]]*tblSales[[#This Row],[Unit Price]]</f>
        <v>1500000</v>
      </c>
      <c r="L5490" s="5">
        <f>ROUND(tblSales[[#This Row],[DPP (excl. VAT)]]*VATEff,0)</f>
        <v>165000</v>
      </c>
      <c r="M5490" s="5">
        <f>tblSales[[#This Row],[DPP (excl. VAT)]]+tblSales[[#This Row],[Output VAT]]</f>
        <v>1665000</v>
      </c>
      <c r="N5490" s="5">
        <f>tblSales[[#This Row],[Qty]]*_xlfn.XLOOKUP(tblSales[[#This Row],[Product Code]],tblProducts[Code],tblProducts[Unit Cost],0)</f>
        <v>880000</v>
      </c>
      <c r="O5490" s="4" t="s">
        <v>4866</v>
      </c>
      <c r="P5490" s="4" t="s">
        <v>4861</v>
      </c>
      <c r="Q5490" s="1" t="str">
        <f>_xlfn.XLOOKUP(tblSales[[#This Row],[Channel Code]],tblChannels[Channel Code],tblChannels[Channel Name],"")</f>
        <v>Marketplace</v>
      </c>
      <c r="R5490" s="1">
        <f>MONTH(tblSales[[#This Row],[Date]])</f>
        <v>11</v>
      </c>
    </row>
    <row r="5491" spans="2:18" x14ac:dyDescent="0.35">
      <c r="B5491" s="113">
        <v>46355</v>
      </c>
      <c r="C5491" s="4" t="s">
        <v>3763</v>
      </c>
      <c r="D5491" s="4" t="s">
        <v>4568</v>
      </c>
      <c r="E5491" s="1" t="str">
        <f>_xlfn.XLOOKUP(tblSales[[#This Row],[Customer ID]],tblCustomers[Customer ID],tblCustomers[Customer Name],"⚠ Unknown")</f>
        <v>Walk-in Customer</v>
      </c>
      <c r="F5491" s="4" t="s">
        <v>7</v>
      </c>
      <c r="G5491" s="1" t="str">
        <f>_xlfn.XLOOKUP(tblSales[[#This Row],[Product Code]],tblProducts[Code],tblProducts[Product / Service Name],"⚠ Unknown")</f>
        <v>Premium Basic T-shirt</v>
      </c>
      <c r="H5491" s="1" t="str">
        <f>_xlfn.XLOOKUP(tblSales[[#This Row],[Product Code]],tblProducts[Code],tblProducts[Category],"")</f>
        <v>Accessories &amp; Basics</v>
      </c>
      <c r="I5491" s="4">
        <v>12</v>
      </c>
      <c r="J5491" s="5">
        <f>_xlfn.XLOOKUP(tblSales[[#This Row],[Product Code]],tblProducts[Code],tblProducts[Selling Price (excl. VAT)],0)</f>
        <v>65000</v>
      </c>
      <c r="K5491" s="5">
        <f>tblSales[[#This Row],[Qty]]*tblSales[[#This Row],[Unit Price]]</f>
        <v>780000</v>
      </c>
      <c r="L5491" s="5">
        <f>ROUND(tblSales[[#This Row],[DPP (excl. VAT)]]*VATEff,0)</f>
        <v>85800</v>
      </c>
      <c r="M5491" s="5">
        <f>tblSales[[#This Row],[DPP (excl. VAT)]]+tblSales[[#This Row],[Output VAT]]</f>
        <v>865800</v>
      </c>
      <c r="N5491" s="5">
        <f>tblSales[[#This Row],[Qty]]*_xlfn.XLOOKUP(tblSales[[#This Row],[Product Code]],tblProducts[Code],tblProducts[Unit Cost],0)</f>
        <v>444000</v>
      </c>
      <c r="O5491" s="4" t="s">
        <v>4865</v>
      </c>
      <c r="P5491" s="4" t="s">
        <v>4860</v>
      </c>
      <c r="Q5491" s="1" t="str">
        <f>_xlfn.XLOOKUP(tblSales[[#This Row],[Channel Code]],tblChannels[Channel Code],tblChannels[Channel Name],"")</f>
        <v>In-store</v>
      </c>
      <c r="R5491" s="1">
        <f>MONTH(tblSales[[#This Row],[Date]])</f>
        <v>11</v>
      </c>
    </row>
    <row r="5492" spans="2:18" x14ac:dyDescent="0.35">
      <c r="B5492" s="113">
        <v>46355</v>
      </c>
      <c r="C5492" s="4" t="s">
        <v>3763</v>
      </c>
      <c r="D5492" s="4" t="s">
        <v>4568</v>
      </c>
      <c r="E5492" s="1" t="str">
        <f>_xlfn.XLOOKUP(tblSales[[#This Row],[Customer ID]],tblCustomers[Customer ID],tblCustomers[Customer Name],"⚠ Unknown")</f>
        <v>Walk-in Customer</v>
      </c>
      <c r="F5492" s="4" t="s">
        <v>11</v>
      </c>
      <c r="G5492" s="1" t="str">
        <f>_xlfn.XLOOKUP(tblSales[[#This Row],[Product Code]],tblProducts[Code],tblProducts[Product / Service Name],"⚠ Unknown")</f>
        <v>Sneakers</v>
      </c>
      <c r="H5492" s="1" t="str">
        <f>_xlfn.XLOOKUP(tblSales[[#This Row],[Product Code]],tblProducts[Code],tblProducts[Category],"")</f>
        <v>Apparel &amp; Footwear</v>
      </c>
      <c r="I5492" s="4">
        <v>1</v>
      </c>
      <c r="J5492" s="5">
        <f>_xlfn.XLOOKUP(tblSales[[#This Row],[Product Code]],tblProducts[Code],tblProducts[Selling Price (excl. VAT)],0)</f>
        <v>250000</v>
      </c>
      <c r="K5492" s="5">
        <f>tblSales[[#This Row],[Qty]]*tblSales[[#This Row],[Unit Price]]</f>
        <v>250000</v>
      </c>
      <c r="L5492" s="5">
        <f>ROUND(tblSales[[#This Row],[DPP (excl. VAT)]]*VATEff,0)</f>
        <v>27500</v>
      </c>
      <c r="M5492" s="5">
        <f>tblSales[[#This Row],[DPP (excl. VAT)]]+tblSales[[#This Row],[Output VAT]]</f>
        <v>277500</v>
      </c>
      <c r="N5492" s="5">
        <f>tblSales[[#This Row],[Qty]]*_xlfn.XLOOKUP(tblSales[[#This Row],[Product Code]],tblProducts[Code],tblProducts[Unit Cost],0)</f>
        <v>155000</v>
      </c>
      <c r="O5492" s="4" t="s">
        <v>4865</v>
      </c>
      <c r="P5492" s="4" t="s">
        <v>4860</v>
      </c>
      <c r="Q5492" s="1" t="str">
        <f>_xlfn.XLOOKUP(tblSales[[#This Row],[Channel Code]],tblChannels[Channel Code],tblChannels[Channel Name],"")</f>
        <v>In-store</v>
      </c>
      <c r="R5492" s="1">
        <f>MONTH(tblSales[[#This Row],[Date]])</f>
        <v>11</v>
      </c>
    </row>
    <row r="5493" spans="2:18" x14ac:dyDescent="0.35">
      <c r="B5493" s="113">
        <v>46355</v>
      </c>
      <c r="C5493" s="4" t="s">
        <v>3763</v>
      </c>
      <c r="D5493" s="4" t="s">
        <v>4568</v>
      </c>
      <c r="E5493" s="1" t="str">
        <f>_xlfn.XLOOKUP(tblSales[[#This Row],[Customer ID]],tblCustomers[Customer ID],tblCustomers[Customer Name],"⚠ Unknown")</f>
        <v>Walk-in Customer</v>
      </c>
      <c r="F5493" s="4" t="s">
        <v>6</v>
      </c>
      <c r="G5493" s="1" t="str">
        <f>_xlfn.XLOOKUP(tblSales[[#This Row],[Product Code]],tblProducts[Code],tblProducts[Product / Service Name],"⚠ Unknown")</f>
        <v>Socks &amp; Accessories</v>
      </c>
      <c r="H5493" s="1" t="str">
        <f>_xlfn.XLOOKUP(tblSales[[#This Row],[Product Code]],tblProducts[Code],tblProducts[Category],"")</f>
        <v>Accessories &amp; Basics</v>
      </c>
      <c r="I5493" s="4">
        <v>11</v>
      </c>
      <c r="J5493" s="5">
        <f>_xlfn.XLOOKUP(tblSales[[#This Row],[Product Code]],tblProducts[Code],tblProducts[Selling Price (excl. VAT)],0)</f>
        <v>45000</v>
      </c>
      <c r="K5493" s="5">
        <f>tblSales[[#This Row],[Qty]]*tblSales[[#This Row],[Unit Price]]</f>
        <v>495000</v>
      </c>
      <c r="L5493" s="5">
        <f>ROUND(tblSales[[#This Row],[DPP (excl. VAT)]]*VATEff,0)</f>
        <v>54450</v>
      </c>
      <c r="M5493" s="5">
        <f>tblSales[[#This Row],[DPP (excl. VAT)]]+tblSales[[#This Row],[Output VAT]]</f>
        <v>549450</v>
      </c>
      <c r="N5493" s="5">
        <f>tblSales[[#This Row],[Qty]]*_xlfn.XLOOKUP(tblSales[[#This Row],[Product Code]],tblProducts[Code],tblProducts[Unit Cost],0)</f>
        <v>264000</v>
      </c>
      <c r="O5493" s="4" t="s">
        <v>4865</v>
      </c>
      <c r="P5493" s="4" t="s">
        <v>4860</v>
      </c>
      <c r="Q5493" s="1" t="str">
        <f>_xlfn.XLOOKUP(tblSales[[#This Row],[Channel Code]],tblChannels[Channel Code],tblChannels[Channel Name],"")</f>
        <v>In-store</v>
      </c>
      <c r="R5493" s="1">
        <f>MONTH(tblSales[[#This Row],[Date]])</f>
        <v>11</v>
      </c>
    </row>
    <row r="5494" spans="2:18" x14ac:dyDescent="0.35">
      <c r="B5494" s="113">
        <v>46355</v>
      </c>
      <c r="C5494" s="4" t="s">
        <v>3764</v>
      </c>
      <c r="D5494" s="4" t="s">
        <v>4568</v>
      </c>
      <c r="E5494" s="1" t="str">
        <f>_xlfn.XLOOKUP(tblSales[[#This Row],[Customer ID]],tblCustomers[Customer ID],tblCustomers[Customer Name],"⚠ Unknown")</f>
        <v>Walk-in Customer</v>
      </c>
      <c r="F5494" s="4" t="s">
        <v>6</v>
      </c>
      <c r="G5494" s="1" t="str">
        <f>_xlfn.XLOOKUP(tblSales[[#This Row],[Product Code]],tblProducts[Code],tblProducts[Product / Service Name],"⚠ Unknown")</f>
        <v>Socks &amp; Accessories</v>
      </c>
      <c r="H5494" s="1" t="str">
        <f>_xlfn.XLOOKUP(tblSales[[#This Row],[Product Code]],tblProducts[Code],tblProducts[Category],"")</f>
        <v>Accessories &amp; Basics</v>
      </c>
      <c r="I5494" s="4">
        <v>11</v>
      </c>
      <c r="J5494" s="5">
        <f>_xlfn.XLOOKUP(tblSales[[#This Row],[Product Code]],tblProducts[Code],tblProducts[Selling Price (excl. VAT)],0)</f>
        <v>45000</v>
      </c>
      <c r="K5494" s="5">
        <f>tblSales[[#This Row],[Qty]]*tblSales[[#This Row],[Unit Price]]</f>
        <v>495000</v>
      </c>
      <c r="L5494" s="5">
        <f>ROUND(tblSales[[#This Row],[DPP (excl. VAT)]]*VATEff,0)</f>
        <v>54450</v>
      </c>
      <c r="M5494" s="5">
        <f>tblSales[[#This Row],[DPP (excl. VAT)]]+tblSales[[#This Row],[Output VAT]]</f>
        <v>549450</v>
      </c>
      <c r="N5494" s="5">
        <f>tblSales[[#This Row],[Qty]]*_xlfn.XLOOKUP(tblSales[[#This Row],[Product Code]],tblProducts[Code],tblProducts[Unit Cost],0)</f>
        <v>264000</v>
      </c>
      <c r="O5494" s="4" t="s">
        <v>4865</v>
      </c>
      <c r="P5494" s="4" t="s">
        <v>4860</v>
      </c>
      <c r="Q5494" s="1" t="str">
        <f>_xlfn.XLOOKUP(tblSales[[#This Row],[Channel Code]],tblChannels[Channel Code],tblChannels[Channel Name],"")</f>
        <v>In-store</v>
      </c>
      <c r="R5494" s="1">
        <f>MONTH(tblSales[[#This Row],[Date]])</f>
        <v>11</v>
      </c>
    </row>
    <row r="5495" spans="2:18" x14ac:dyDescent="0.35">
      <c r="B5495" s="113">
        <v>46355</v>
      </c>
      <c r="C5495" s="4" t="s">
        <v>3765</v>
      </c>
      <c r="D5495" s="4" t="s">
        <v>4568</v>
      </c>
      <c r="E5495" s="1" t="str">
        <f>_xlfn.XLOOKUP(tblSales[[#This Row],[Customer ID]],tblCustomers[Customer ID],tblCustomers[Customer Name],"⚠ Unknown")</f>
        <v>Walk-in Customer</v>
      </c>
      <c r="F5495" s="4" t="s">
        <v>8</v>
      </c>
      <c r="G5495" s="1" t="str">
        <f>_xlfn.XLOOKUP(tblSales[[#This Row],[Product Code]],tblProducts[Code],tblProducts[Product / Service Name],"⚠ Unknown")</f>
        <v>Casual Shorts</v>
      </c>
      <c r="H5495" s="1" t="str">
        <f>_xlfn.XLOOKUP(tblSales[[#This Row],[Product Code]],tblProducts[Code],tblProducts[Category],"")</f>
        <v>Accessories &amp; Basics</v>
      </c>
      <c r="I5495" s="4">
        <v>10</v>
      </c>
      <c r="J5495" s="5">
        <f>_xlfn.XLOOKUP(tblSales[[#This Row],[Product Code]],tblProducts[Code],tblProducts[Selling Price (excl. VAT)],0)</f>
        <v>85000</v>
      </c>
      <c r="K5495" s="5">
        <f>tblSales[[#This Row],[Qty]]*tblSales[[#This Row],[Unit Price]]</f>
        <v>850000</v>
      </c>
      <c r="L5495" s="5">
        <f>ROUND(tblSales[[#This Row],[DPP (excl. VAT)]]*VATEff,0)</f>
        <v>93500</v>
      </c>
      <c r="M5495" s="5">
        <f>tblSales[[#This Row],[DPP (excl. VAT)]]+tblSales[[#This Row],[Output VAT]]</f>
        <v>943500</v>
      </c>
      <c r="N5495" s="5">
        <f>tblSales[[#This Row],[Qty]]*_xlfn.XLOOKUP(tblSales[[#This Row],[Product Code]],tblProducts[Code],tblProducts[Unit Cost],0)</f>
        <v>500000</v>
      </c>
      <c r="O5495" s="4" t="s">
        <v>4866</v>
      </c>
      <c r="P5495" s="4" t="s">
        <v>4860</v>
      </c>
      <c r="Q5495" s="1" t="str">
        <f>_xlfn.XLOOKUP(tblSales[[#This Row],[Channel Code]],tblChannels[Channel Code],tblChannels[Channel Name],"")</f>
        <v>In-store</v>
      </c>
      <c r="R5495" s="1">
        <f>MONTH(tblSales[[#This Row],[Date]])</f>
        <v>11</v>
      </c>
    </row>
    <row r="5496" spans="2:18" x14ac:dyDescent="0.35">
      <c r="B5496" s="113">
        <v>46355</v>
      </c>
      <c r="C5496" s="4" t="s">
        <v>3766</v>
      </c>
      <c r="D5496" s="4" t="s">
        <v>4568</v>
      </c>
      <c r="E5496" s="1" t="str">
        <f>_xlfn.XLOOKUP(tblSales[[#This Row],[Customer ID]],tblCustomers[Customer ID],tblCustomers[Customer Name],"⚠ Unknown")</f>
        <v>Walk-in Customer</v>
      </c>
      <c r="F5496" s="4" t="s">
        <v>9</v>
      </c>
      <c r="G5496" s="1" t="str">
        <f>_xlfn.XLOOKUP(tblSales[[#This Row],[Product Code]],tblProducts[Code],tblProducts[Product / Service Name],"⚠ Unknown")</f>
        <v>Casual Shirt</v>
      </c>
      <c r="H5496" s="1" t="str">
        <f>_xlfn.XLOOKUP(tblSales[[#This Row],[Product Code]],tblProducts[Code],tblProducts[Category],"")</f>
        <v>Apparel &amp; Footwear</v>
      </c>
      <c r="I5496" s="4">
        <v>1</v>
      </c>
      <c r="J5496" s="5">
        <f>_xlfn.XLOOKUP(tblSales[[#This Row],[Product Code]],tblProducts[Code],tblProducts[Selling Price (excl. VAT)],0)</f>
        <v>120000</v>
      </c>
      <c r="K5496" s="5">
        <f>tblSales[[#This Row],[Qty]]*tblSales[[#This Row],[Unit Price]]</f>
        <v>120000</v>
      </c>
      <c r="L5496" s="5">
        <f>ROUND(tblSales[[#This Row],[DPP (excl. VAT)]]*VATEff,0)</f>
        <v>13200</v>
      </c>
      <c r="M5496" s="5">
        <f>tblSales[[#This Row],[DPP (excl. VAT)]]+tblSales[[#This Row],[Output VAT]]</f>
        <v>133200</v>
      </c>
      <c r="N5496" s="5">
        <f>tblSales[[#This Row],[Qty]]*_xlfn.XLOOKUP(tblSales[[#This Row],[Product Code]],tblProducts[Code],tblProducts[Unit Cost],0)</f>
        <v>72000</v>
      </c>
      <c r="O5496" s="4" t="s">
        <v>4866</v>
      </c>
      <c r="P5496" s="4" t="s">
        <v>4861</v>
      </c>
      <c r="Q5496" s="1" t="str">
        <f>_xlfn.XLOOKUP(tblSales[[#This Row],[Channel Code]],tblChannels[Channel Code],tblChannels[Channel Name],"")</f>
        <v>Marketplace</v>
      </c>
      <c r="R5496" s="1">
        <f>MONTH(tblSales[[#This Row],[Date]])</f>
        <v>11</v>
      </c>
    </row>
    <row r="5497" spans="2:18" x14ac:dyDescent="0.35">
      <c r="B5497" s="113">
        <v>46355</v>
      </c>
      <c r="C5497" s="4" t="s">
        <v>3767</v>
      </c>
      <c r="D5497" s="4" t="s">
        <v>4568</v>
      </c>
      <c r="E5497" s="1" t="str">
        <f>_xlfn.XLOOKUP(tblSales[[#This Row],[Customer ID]],tblCustomers[Customer ID],tblCustomers[Customer Name],"⚠ Unknown")</f>
        <v>Walk-in Customer</v>
      </c>
      <c r="F5497" s="4" t="s">
        <v>14</v>
      </c>
      <c r="G5497" s="1" t="str">
        <f>_xlfn.XLOOKUP(tblSales[[#This Row],[Product Code]],tblProducts[Code],tblProducts[Product / Service Name],"⚠ Unknown")</f>
        <v>Smartwatch</v>
      </c>
      <c r="H5497" s="1" t="str">
        <f>_xlfn.XLOOKUP(tblSales[[#This Row],[Product Code]],tblProducts[Code],tblProducts[Category],"")</f>
        <v>Bags &amp; Gadgets</v>
      </c>
      <c r="I5497" s="4">
        <v>2</v>
      </c>
      <c r="J5497" s="5">
        <f>_xlfn.XLOOKUP(tblSales[[#This Row],[Product Code]],tblProducts[Code],tblProducts[Selling Price (excl. VAT)],0)</f>
        <v>850000</v>
      </c>
      <c r="K5497" s="5">
        <f>tblSales[[#This Row],[Qty]]*tblSales[[#This Row],[Unit Price]]</f>
        <v>1700000</v>
      </c>
      <c r="L5497" s="5">
        <f>ROUND(tblSales[[#This Row],[DPP (excl. VAT)]]*VATEff,0)</f>
        <v>187000</v>
      </c>
      <c r="M5497" s="5">
        <f>tblSales[[#This Row],[DPP (excl. VAT)]]+tblSales[[#This Row],[Output VAT]]</f>
        <v>1887000</v>
      </c>
      <c r="N5497" s="5">
        <f>tblSales[[#This Row],[Qty]]*_xlfn.XLOOKUP(tblSales[[#This Row],[Product Code]],tblProducts[Code],tblProducts[Unit Cost],0)</f>
        <v>1120000</v>
      </c>
      <c r="O5497" s="4" t="s">
        <v>4866</v>
      </c>
      <c r="P5497" s="4" t="s">
        <v>4861</v>
      </c>
      <c r="Q5497" s="1" t="str">
        <f>_xlfn.XLOOKUP(tblSales[[#This Row],[Channel Code]],tblChannels[Channel Code],tblChannels[Channel Name],"")</f>
        <v>Marketplace</v>
      </c>
      <c r="R5497" s="1">
        <f>MONTH(tblSales[[#This Row],[Date]])</f>
        <v>11</v>
      </c>
    </row>
    <row r="5498" spans="2:18" x14ac:dyDescent="0.35">
      <c r="B5498" s="113">
        <v>46355</v>
      </c>
      <c r="C5498" s="4" t="s">
        <v>3768</v>
      </c>
      <c r="D5498" s="4" t="s">
        <v>4568</v>
      </c>
      <c r="E5498" s="1" t="str">
        <f>_xlfn.XLOOKUP(tblSales[[#This Row],[Customer ID]],tblCustomers[Customer ID],tblCustomers[Customer Name],"⚠ Unknown")</f>
        <v>Walk-in Customer</v>
      </c>
      <c r="F5498" s="4" t="s">
        <v>12</v>
      </c>
      <c r="G5498" s="1" t="str">
        <f>_xlfn.XLOOKUP(tblSales[[#This Row],[Product Code]],tblProducts[Code],tblProducts[Product / Service Name],"⚠ Unknown")</f>
        <v>Bomber Jacket</v>
      </c>
      <c r="H5498" s="1" t="str">
        <f>_xlfn.XLOOKUP(tblSales[[#This Row],[Product Code]],tblProducts[Code],tblProducts[Category],"")</f>
        <v>Apparel &amp; Footwear</v>
      </c>
      <c r="I5498" s="4">
        <v>5</v>
      </c>
      <c r="J5498" s="5">
        <f>_xlfn.XLOOKUP(tblSales[[#This Row],[Product Code]],tblProducts[Code],tblProducts[Selling Price (excl. VAT)],0)</f>
        <v>350000</v>
      </c>
      <c r="K5498" s="5">
        <f>tblSales[[#This Row],[Qty]]*tblSales[[#This Row],[Unit Price]]</f>
        <v>1750000</v>
      </c>
      <c r="L5498" s="5">
        <f>ROUND(tblSales[[#This Row],[DPP (excl. VAT)]]*VATEff,0)</f>
        <v>192500</v>
      </c>
      <c r="M5498" s="5">
        <f>tblSales[[#This Row],[DPP (excl. VAT)]]+tblSales[[#This Row],[Output VAT]]</f>
        <v>1942500</v>
      </c>
      <c r="N5498" s="5">
        <f>tblSales[[#This Row],[Qty]]*_xlfn.XLOOKUP(tblSales[[#This Row],[Product Code]],tblProducts[Code],tblProducts[Unit Cost],0)</f>
        <v>1050000</v>
      </c>
      <c r="O5498" s="4" t="s">
        <v>4865</v>
      </c>
      <c r="P5498" s="4" t="s">
        <v>4860</v>
      </c>
      <c r="Q5498" s="1" t="str">
        <f>_xlfn.XLOOKUP(tblSales[[#This Row],[Channel Code]],tblChannels[Channel Code],tblChannels[Channel Name],"")</f>
        <v>In-store</v>
      </c>
      <c r="R5498" s="1">
        <f>MONTH(tblSales[[#This Row],[Date]])</f>
        <v>11</v>
      </c>
    </row>
    <row r="5499" spans="2:18" x14ac:dyDescent="0.35">
      <c r="B5499" s="113">
        <v>46355</v>
      </c>
      <c r="C5499" s="4" t="s">
        <v>3769</v>
      </c>
      <c r="D5499" s="4" t="s">
        <v>4578</v>
      </c>
      <c r="E5499" s="1" t="str">
        <f>_xlfn.XLOOKUP(tblSales[[#This Row],[Customer ID]],tblCustomers[Customer ID],tblCustomers[Customer Name],"⚠ Unknown")</f>
        <v>PT Bintang Timur Sejahtera</v>
      </c>
      <c r="F5499" s="4" t="s">
        <v>7</v>
      </c>
      <c r="G5499" s="1" t="str">
        <f>_xlfn.XLOOKUP(tblSales[[#This Row],[Product Code]],tblProducts[Code],tblProducts[Product / Service Name],"⚠ Unknown")</f>
        <v>Premium Basic T-shirt</v>
      </c>
      <c r="H5499" s="1" t="str">
        <f>_xlfn.XLOOKUP(tblSales[[#This Row],[Product Code]],tblProducts[Code],tblProducts[Category],"")</f>
        <v>Accessories &amp; Basics</v>
      </c>
      <c r="I5499" s="4">
        <v>72</v>
      </c>
      <c r="J5499" s="5">
        <f>_xlfn.XLOOKUP(tblSales[[#This Row],[Product Code]],tblProducts[Code],tblProducts[Selling Price (excl. VAT)],0)</f>
        <v>65000</v>
      </c>
      <c r="K5499" s="5">
        <f>tblSales[[#This Row],[Qty]]*tblSales[[#This Row],[Unit Price]]</f>
        <v>4680000</v>
      </c>
      <c r="L5499" s="5">
        <f>ROUND(tblSales[[#This Row],[DPP (excl. VAT)]]*VATEff,0)</f>
        <v>514800</v>
      </c>
      <c r="M5499" s="5">
        <f>tblSales[[#This Row],[DPP (excl. VAT)]]+tblSales[[#This Row],[Output VAT]]</f>
        <v>5194800</v>
      </c>
      <c r="N5499" s="5">
        <f>tblSales[[#This Row],[Qty]]*_xlfn.XLOOKUP(tblSales[[#This Row],[Product Code]],tblProducts[Code],tblProducts[Unit Cost],0)</f>
        <v>2664000</v>
      </c>
      <c r="O5499" s="4" t="s">
        <v>4867</v>
      </c>
      <c r="P5499" s="4" t="s">
        <v>4860</v>
      </c>
      <c r="Q5499" s="1" t="str">
        <f>_xlfn.XLOOKUP(tblSales[[#This Row],[Channel Code]],tblChannels[Channel Code],tblChannels[Channel Name],"")</f>
        <v>In-store</v>
      </c>
      <c r="R5499" s="1">
        <f>MONTH(tblSales[[#This Row],[Date]])</f>
        <v>11</v>
      </c>
    </row>
    <row r="5500" spans="2:18" x14ac:dyDescent="0.35">
      <c r="B5500" s="113">
        <v>46355</v>
      </c>
      <c r="C5500" s="4" t="s">
        <v>3769</v>
      </c>
      <c r="D5500" s="4" t="s">
        <v>4578</v>
      </c>
      <c r="E5500" s="1" t="str">
        <f>_xlfn.XLOOKUP(tblSales[[#This Row],[Customer ID]],tblCustomers[Customer ID],tblCustomers[Customer Name],"⚠ Unknown")</f>
        <v>PT Bintang Timur Sejahtera</v>
      </c>
      <c r="F5500" s="4" t="s">
        <v>8</v>
      </c>
      <c r="G5500" s="1" t="str">
        <f>_xlfn.XLOOKUP(tblSales[[#This Row],[Product Code]],tblProducts[Code],tblProducts[Product / Service Name],"⚠ Unknown")</f>
        <v>Casual Shorts</v>
      </c>
      <c r="H5500" s="1" t="str">
        <f>_xlfn.XLOOKUP(tblSales[[#This Row],[Product Code]],tblProducts[Code],tblProducts[Category],"")</f>
        <v>Accessories &amp; Basics</v>
      </c>
      <c r="I5500" s="4">
        <v>56</v>
      </c>
      <c r="J5500" s="5">
        <f>_xlfn.XLOOKUP(tblSales[[#This Row],[Product Code]],tblProducts[Code],tblProducts[Selling Price (excl. VAT)],0)</f>
        <v>85000</v>
      </c>
      <c r="K5500" s="5">
        <f>tblSales[[#This Row],[Qty]]*tblSales[[#This Row],[Unit Price]]</f>
        <v>4760000</v>
      </c>
      <c r="L5500" s="5">
        <f>ROUND(tblSales[[#This Row],[DPP (excl. VAT)]]*VATEff,0)</f>
        <v>523600</v>
      </c>
      <c r="M5500" s="5">
        <f>tblSales[[#This Row],[DPP (excl. VAT)]]+tblSales[[#This Row],[Output VAT]]</f>
        <v>5283600</v>
      </c>
      <c r="N5500" s="5">
        <f>tblSales[[#This Row],[Qty]]*_xlfn.XLOOKUP(tblSales[[#This Row],[Product Code]],tblProducts[Code],tblProducts[Unit Cost],0)</f>
        <v>2800000</v>
      </c>
      <c r="O5500" s="4" t="s">
        <v>4867</v>
      </c>
      <c r="P5500" s="4" t="s">
        <v>4860</v>
      </c>
      <c r="Q5500" s="1" t="str">
        <f>_xlfn.XLOOKUP(tblSales[[#This Row],[Channel Code]],tblChannels[Channel Code],tblChannels[Channel Name],"")</f>
        <v>In-store</v>
      </c>
      <c r="R5500" s="1">
        <f>MONTH(tblSales[[#This Row],[Date]])</f>
        <v>11</v>
      </c>
    </row>
    <row r="5501" spans="2:18" x14ac:dyDescent="0.35">
      <c r="B5501" s="113">
        <v>46355</v>
      </c>
      <c r="C5501" s="4" t="s">
        <v>3770</v>
      </c>
      <c r="D5501" s="4" t="s">
        <v>4568</v>
      </c>
      <c r="E5501" s="1" t="str">
        <f>_xlfn.XLOOKUP(tblSales[[#This Row],[Customer ID]],tblCustomers[Customer ID],tblCustomers[Customer Name],"⚠ Unknown")</f>
        <v>Walk-in Customer</v>
      </c>
      <c r="F5501" s="4" t="s">
        <v>6</v>
      </c>
      <c r="G5501" s="1" t="str">
        <f>_xlfn.XLOOKUP(tblSales[[#This Row],[Product Code]],tblProducts[Code],tblProducts[Product / Service Name],"⚠ Unknown")</f>
        <v>Socks &amp; Accessories</v>
      </c>
      <c r="H5501" s="1" t="str">
        <f>_xlfn.XLOOKUP(tblSales[[#This Row],[Product Code]],tblProducts[Code],tblProducts[Category],"")</f>
        <v>Accessories &amp; Basics</v>
      </c>
      <c r="I5501" s="4">
        <v>10</v>
      </c>
      <c r="J5501" s="5">
        <f>_xlfn.XLOOKUP(tblSales[[#This Row],[Product Code]],tblProducts[Code],tblProducts[Selling Price (excl. VAT)],0)</f>
        <v>45000</v>
      </c>
      <c r="K5501" s="5">
        <f>tblSales[[#This Row],[Qty]]*tblSales[[#This Row],[Unit Price]]</f>
        <v>450000</v>
      </c>
      <c r="L5501" s="5">
        <f>ROUND(tblSales[[#This Row],[DPP (excl. VAT)]]*VATEff,0)</f>
        <v>49500</v>
      </c>
      <c r="M5501" s="5">
        <f>tblSales[[#This Row],[DPP (excl. VAT)]]+tblSales[[#This Row],[Output VAT]]</f>
        <v>499500</v>
      </c>
      <c r="N5501" s="5">
        <f>tblSales[[#This Row],[Qty]]*_xlfn.XLOOKUP(tblSales[[#This Row],[Product Code]],tblProducts[Code],tblProducts[Unit Cost],0)</f>
        <v>240000</v>
      </c>
      <c r="O5501" s="4" t="s">
        <v>4866</v>
      </c>
      <c r="P5501" s="4" t="s">
        <v>4862</v>
      </c>
      <c r="Q5501" s="1" t="str">
        <f>_xlfn.XLOOKUP(tblSales[[#This Row],[Channel Code]],tblChannels[Channel Code],tblChannels[Channel Name],"")</f>
        <v>Website &amp; Social Media</v>
      </c>
      <c r="R5501" s="1">
        <f>MONTH(tblSales[[#This Row],[Date]])</f>
        <v>11</v>
      </c>
    </row>
    <row r="5502" spans="2:18" x14ac:dyDescent="0.35">
      <c r="B5502" s="113">
        <v>46355</v>
      </c>
      <c r="C5502" s="4" t="s">
        <v>3770</v>
      </c>
      <c r="D5502" s="4" t="s">
        <v>4568</v>
      </c>
      <c r="E5502" s="1" t="str">
        <f>_xlfn.XLOOKUP(tblSales[[#This Row],[Customer ID]],tblCustomers[Customer ID],tblCustomers[Customer Name],"⚠ Unknown")</f>
        <v>Walk-in Customer</v>
      </c>
      <c r="F5502" s="4" t="s">
        <v>9</v>
      </c>
      <c r="G5502" s="1" t="str">
        <f>_xlfn.XLOOKUP(tblSales[[#This Row],[Product Code]],tblProducts[Code],tblProducts[Product / Service Name],"⚠ Unknown")</f>
        <v>Casual Shirt</v>
      </c>
      <c r="H5502" s="1" t="str">
        <f>_xlfn.XLOOKUP(tblSales[[#This Row],[Product Code]],tblProducts[Code],tblProducts[Category],"")</f>
        <v>Apparel &amp; Footwear</v>
      </c>
      <c r="I5502" s="4">
        <v>9</v>
      </c>
      <c r="J5502" s="5">
        <f>_xlfn.XLOOKUP(tblSales[[#This Row],[Product Code]],tblProducts[Code],tblProducts[Selling Price (excl. VAT)],0)</f>
        <v>120000</v>
      </c>
      <c r="K5502" s="5">
        <f>tblSales[[#This Row],[Qty]]*tblSales[[#This Row],[Unit Price]]</f>
        <v>1080000</v>
      </c>
      <c r="L5502" s="5">
        <f>ROUND(tblSales[[#This Row],[DPP (excl. VAT)]]*VATEff,0)</f>
        <v>118800</v>
      </c>
      <c r="M5502" s="5">
        <f>tblSales[[#This Row],[DPP (excl. VAT)]]+tblSales[[#This Row],[Output VAT]]</f>
        <v>1198800</v>
      </c>
      <c r="N5502" s="5">
        <f>tblSales[[#This Row],[Qty]]*_xlfn.XLOOKUP(tblSales[[#This Row],[Product Code]],tblProducts[Code],tblProducts[Unit Cost],0)</f>
        <v>648000</v>
      </c>
      <c r="O5502" s="4" t="s">
        <v>4866</v>
      </c>
      <c r="P5502" s="4" t="s">
        <v>4862</v>
      </c>
      <c r="Q5502" s="1" t="str">
        <f>_xlfn.XLOOKUP(tblSales[[#This Row],[Channel Code]],tblChannels[Channel Code],tblChannels[Channel Name],"")</f>
        <v>Website &amp; Social Media</v>
      </c>
      <c r="R5502" s="1">
        <f>MONTH(tblSales[[#This Row],[Date]])</f>
        <v>11</v>
      </c>
    </row>
    <row r="5503" spans="2:18" x14ac:dyDescent="0.35">
      <c r="B5503" s="113">
        <v>46355</v>
      </c>
      <c r="C5503" s="4" t="s">
        <v>3771</v>
      </c>
      <c r="D5503" s="4" t="s">
        <v>4568</v>
      </c>
      <c r="E5503" s="1" t="str">
        <f>_xlfn.XLOOKUP(tblSales[[#This Row],[Customer ID]],tblCustomers[Customer ID],tblCustomers[Customer Name],"⚠ Unknown")</f>
        <v>Walk-in Customer</v>
      </c>
      <c r="F5503" s="4" t="s">
        <v>6</v>
      </c>
      <c r="G5503" s="1" t="str">
        <f>_xlfn.XLOOKUP(tblSales[[#This Row],[Product Code]],tblProducts[Code],tblProducts[Product / Service Name],"⚠ Unknown")</f>
        <v>Socks &amp; Accessories</v>
      </c>
      <c r="H5503" s="1" t="str">
        <f>_xlfn.XLOOKUP(tblSales[[#This Row],[Product Code]],tblProducts[Code],tblProducts[Category],"")</f>
        <v>Accessories &amp; Basics</v>
      </c>
      <c r="I5503" s="4">
        <v>11</v>
      </c>
      <c r="J5503" s="5">
        <f>_xlfn.XLOOKUP(tblSales[[#This Row],[Product Code]],tblProducts[Code],tblProducts[Selling Price (excl. VAT)],0)</f>
        <v>45000</v>
      </c>
      <c r="K5503" s="5">
        <f>tblSales[[#This Row],[Qty]]*tblSales[[#This Row],[Unit Price]]</f>
        <v>495000</v>
      </c>
      <c r="L5503" s="5">
        <f>ROUND(tblSales[[#This Row],[DPP (excl. VAT)]]*VATEff,0)</f>
        <v>54450</v>
      </c>
      <c r="M5503" s="5">
        <f>tblSales[[#This Row],[DPP (excl. VAT)]]+tblSales[[#This Row],[Output VAT]]</f>
        <v>549450</v>
      </c>
      <c r="N5503" s="5">
        <f>tblSales[[#This Row],[Qty]]*_xlfn.XLOOKUP(tblSales[[#This Row],[Product Code]],tblProducts[Code],tblProducts[Unit Cost],0)</f>
        <v>264000</v>
      </c>
      <c r="O5503" s="4" t="s">
        <v>4866</v>
      </c>
      <c r="P5503" s="4" t="s">
        <v>4861</v>
      </c>
      <c r="Q5503" s="1" t="str">
        <f>_xlfn.XLOOKUP(tblSales[[#This Row],[Channel Code]],tblChannels[Channel Code],tblChannels[Channel Name],"")</f>
        <v>Marketplace</v>
      </c>
      <c r="R5503" s="1">
        <f>MONTH(tblSales[[#This Row],[Date]])</f>
        <v>11</v>
      </c>
    </row>
    <row r="5504" spans="2:18" x14ac:dyDescent="0.35">
      <c r="B5504" s="113">
        <v>46355</v>
      </c>
      <c r="C5504" s="4" t="s">
        <v>3772</v>
      </c>
      <c r="D5504" s="4" t="s">
        <v>4568</v>
      </c>
      <c r="E5504" s="1" t="str">
        <f>_xlfn.XLOOKUP(tblSales[[#This Row],[Customer ID]],tblCustomers[Customer ID],tblCustomers[Customer Name],"⚠ Unknown")</f>
        <v>Walk-in Customer</v>
      </c>
      <c r="F5504" s="4" t="s">
        <v>8</v>
      </c>
      <c r="G5504" s="1" t="str">
        <f>_xlfn.XLOOKUP(tblSales[[#This Row],[Product Code]],tblProducts[Code],tblProducts[Product / Service Name],"⚠ Unknown")</f>
        <v>Casual Shorts</v>
      </c>
      <c r="H5504" s="1" t="str">
        <f>_xlfn.XLOOKUP(tblSales[[#This Row],[Product Code]],tblProducts[Code],tblProducts[Category],"")</f>
        <v>Accessories &amp; Basics</v>
      </c>
      <c r="I5504" s="4">
        <v>10</v>
      </c>
      <c r="J5504" s="5">
        <f>_xlfn.XLOOKUP(tblSales[[#This Row],[Product Code]],tblProducts[Code],tblProducts[Selling Price (excl. VAT)],0)</f>
        <v>85000</v>
      </c>
      <c r="K5504" s="5">
        <f>tblSales[[#This Row],[Qty]]*tblSales[[#This Row],[Unit Price]]</f>
        <v>850000</v>
      </c>
      <c r="L5504" s="5">
        <f>ROUND(tblSales[[#This Row],[DPP (excl. VAT)]]*VATEff,0)</f>
        <v>93500</v>
      </c>
      <c r="M5504" s="5">
        <f>tblSales[[#This Row],[DPP (excl. VAT)]]+tblSales[[#This Row],[Output VAT]]</f>
        <v>943500</v>
      </c>
      <c r="N5504" s="5">
        <f>tblSales[[#This Row],[Qty]]*_xlfn.XLOOKUP(tblSales[[#This Row],[Product Code]],tblProducts[Code],tblProducts[Unit Cost],0)</f>
        <v>500000</v>
      </c>
      <c r="O5504" s="4" t="s">
        <v>4865</v>
      </c>
      <c r="P5504" s="4" t="s">
        <v>4860</v>
      </c>
      <c r="Q5504" s="1" t="str">
        <f>_xlfn.XLOOKUP(tblSales[[#This Row],[Channel Code]],tblChannels[Channel Code],tblChannels[Channel Name],"")</f>
        <v>In-store</v>
      </c>
      <c r="R5504" s="1">
        <f>MONTH(tblSales[[#This Row],[Date]])</f>
        <v>11</v>
      </c>
    </row>
    <row r="5505" spans="2:18" x14ac:dyDescent="0.35">
      <c r="B5505" s="113">
        <v>46355</v>
      </c>
      <c r="C5505" s="4" t="s">
        <v>3773</v>
      </c>
      <c r="D5505" s="4" t="s">
        <v>4568</v>
      </c>
      <c r="E5505" s="1" t="str">
        <f>_xlfn.XLOOKUP(tblSales[[#This Row],[Customer ID]],tblCustomers[Customer ID],tblCustomers[Customer Name],"⚠ Unknown")</f>
        <v>Walk-in Customer</v>
      </c>
      <c r="F5505" s="4" t="s">
        <v>7</v>
      </c>
      <c r="G5505" s="1" t="str">
        <f>_xlfn.XLOOKUP(tblSales[[#This Row],[Product Code]],tblProducts[Code],tblProducts[Product / Service Name],"⚠ Unknown")</f>
        <v>Premium Basic T-shirt</v>
      </c>
      <c r="H5505" s="1" t="str">
        <f>_xlfn.XLOOKUP(tblSales[[#This Row],[Product Code]],tblProducts[Code],tblProducts[Category],"")</f>
        <v>Accessories &amp; Basics</v>
      </c>
      <c r="I5505" s="4">
        <v>3</v>
      </c>
      <c r="J5505" s="5">
        <f>_xlfn.XLOOKUP(tblSales[[#This Row],[Product Code]],tblProducts[Code],tblProducts[Selling Price (excl. VAT)],0)</f>
        <v>65000</v>
      </c>
      <c r="K5505" s="5">
        <f>tblSales[[#This Row],[Qty]]*tblSales[[#This Row],[Unit Price]]</f>
        <v>195000</v>
      </c>
      <c r="L5505" s="5">
        <f>ROUND(tblSales[[#This Row],[DPP (excl. VAT)]]*VATEff,0)</f>
        <v>21450</v>
      </c>
      <c r="M5505" s="5">
        <f>tblSales[[#This Row],[DPP (excl. VAT)]]+tblSales[[#This Row],[Output VAT]]</f>
        <v>216450</v>
      </c>
      <c r="N5505" s="5">
        <f>tblSales[[#This Row],[Qty]]*_xlfn.XLOOKUP(tblSales[[#This Row],[Product Code]],tblProducts[Code],tblProducts[Unit Cost],0)</f>
        <v>111000</v>
      </c>
      <c r="O5505" s="4" t="s">
        <v>4866</v>
      </c>
      <c r="P5505" s="4" t="s">
        <v>4861</v>
      </c>
      <c r="Q5505" s="1" t="str">
        <f>_xlfn.XLOOKUP(tblSales[[#This Row],[Channel Code]],tblChannels[Channel Code],tblChannels[Channel Name],"")</f>
        <v>Marketplace</v>
      </c>
      <c r="R5505" s="1">
        <f>MONTH(tblSales[[#This Row],[Date]])</f>
        <v>11</v>
      </c>
    </row>
    <row r="5506" spans="2:18" x14ac:dyDescent="0.35">
      <c r="B5506" s="113">
        <v>46355</v>
      </c>
      <c r="C5506" s="4" t="s">
        <v>3774</v>
      </c>
      <c r="D5506" s="4" t="s">
        <v>4568</v>
      </c>
      <c r="E5506" s="1" t="str">
        <f>_xlfn.XLOOKUP(tblSales[[#This Row],[Customer ID]],tblCustomers[Customer ID],tblCustomers[Customer Name],"⚠ Unknown")</f>
        <v>Walk-in Customer</v>
      </c>
      <c r="F5506" s="4" t="s">
        <v>8</v>
      </c>
      <c r="G5506" s="1" t="str">
        <f>_xlfn.XLOOKUP(tblSales[[#This Row],[Product Code]],tblProducts[Code],tblProducts[Product / Service Name],"⚠ Unknown")</f>
        <v>Casual Shorts</v>
      </c>
      <c r="H5506" s="1" t="str">
        <f>_xlfn.XLOOKUP(tblSales[[#This Row],[Product Code]],tblProducts[Code],tblProducts[Category],"")</f>
        <v>Accessories &amp; Basics</v>
      </c>
      <c r="I5506" s="4">
        <v>3</v>
      </c>
      <c r="J5506" s="5">
        <f>_xlfn.XLOOKUP(tblSales[[#This Row],[Product Code]],tblProducts[Code],tblProducts[Selling Price (excl. VAT)],0)</f>
        <v>85000</v>
      </c>
      <c r="K5506" s="5">
        <f>tblSales[[#This Row],[Qty]]*tblSales[[#This Row],[Unit Price]]</f>
        <v>255000</v>
      </c>
      <c r="L5506" s="5">
        <f>ROUND(tblSales[[#This Row],[DPP (excl. VAT)]]*VATEff,0)</f>
        <v>28050</v>
      </c>
      <c r="M5506" s="5">
        <f>tblSales[[#This Row],[DPP (excl. VAT)]]+tblSales[[#This Row],[Output VAT]]</f>
        <v>283050</v>
      </c>
      <c r="N5506" s="5">
        <f>tblSales[[#This Row],[Qty]]*_xlfn.XLOOKUP(tblSales[[#This Row],[Product Code]],tblProducts[Code],tblProducts[Unit Cost],0)</f>
        <v>150000</v>
      </c>
      <c r="O5506" s="4" t="s">
        <v>4865</v>
      </c>
      <c r="P5506" s="4" t="s">
        <v>4860</v>
      </c>
      <c r="Q5506" s="1" t="str">
        <f>_xlfn.XLOOKUP(tblSales[[#This Row],[Channel Code]],tblChannels[Channel Code],tblChannels[Channel Name],"")</f>
        <v>In-store</v>
      </c>
      <c r="R5506" s="1">
        <f>MONTH(tblSales[[#This Row],[Date]])</f>
        <v>11</v>
      </c>
    </row>
    <row r="5507" spans="2:18" x14ac:dyDescent="0.35">
      <c r="B5507" s="113">
        <v>46355</v>
      </c>
      <c r="C5507" s="4" t="s">
        <v>3775</v>
      </c>
      <c r="D5507" s="4" t="s">
        <v>4568</v>
      </c>
      <c r="E5507" s="1" t="str">
        <f>_xlfn.XLOOKUP(tblSales[[#This Row],[Customer ID]],tblCustomers[Customer ID],tblCustomers[Customer Name],"⚠ Unknown")</f>
        <v>Walk-in Customer</v>
      </c>
      <c r="F5507" s="4" t="s">
        <v>11</v>
      </c>
      <c r="G5507" s="1" t="str">
        <f>_xlfn.XLOOKUP(tblSales[[#This Row],[Product Code]],tblProducts[Code],tblProducts[Product / Service Name],"⚠ Unknown")</f>
        <v>Sneakers</v>
      </c>
      <c r="H5507" s="1" t="str">
        <f>_xlfn.XLOOKUP(tblSales[[#This Row],[Product Code]],tblProducts[Code],tblProducts[Category],"")</f>
        <v>Apparel &amp; Footwear</v>
      </c>
      <c r="I5507" s="4">
        <v>1</v>
      </c>
      <c r="J5507" s="5">
        <f>_xlfn.XLOOKUP(tblSales[[#This Row],[Product Code]],tblProducts[Code],tblProducts[Selling Price (excl. VAT)],0)</f>
        <v>250000</v>
      </c>
      <c r="K5507" s="5">
        <f>tblSales[[#This Row],[Qty]]*tblSales[[#This Row],[Unit Price]]</f>
        <v>250000</v>
      </c>
      <c r="L5507" s="5">
        <f>ROUND(tblSales[[#This Row],[DPP (excl. VAT)]]*VATEff,0)</f>
        <v>27500</v>
      </c>
      <c r="M5507" s="5">
        <f>tblSales[[#This Row],[DPP (excl. VAT)]]+tblSales[[#This Row],[Output VAT]]</f>
        <v>277500</v>
      </c>
      <c r="N5507" s="5">
        <f>tblSales[[#This Row],[Qty]]*_xlfn.XLOOKUP(tblSales[[#This Row],[Product Code]],tblProducts[Code],tblProducts[Unit Cost],0)</f>
        <v>155000</v>
      </c>
      <c r="O5507" s="4" t="s">
        <v>4866</v>
      </c>
      <c r="P5507" s="4" t="s">
        <v>4862</v>
      </c>
      <c r="Q5507" s="1" t="str">
        <f>_xlfn.XLOOKUP(tblSales[[#This Row],[Channel Code]],tblChannels[Channel Code],tblChannels[Channel Name],"")</f>
        <v>Website &amp; Social Media</v>
      </c>
      <c r="R5507" s="1">
        <f>MONTH(tblSales[[#This Row],[Date]])</f>
        <v>11</v>
      </c>
    </row>
    <row r="5508" spans="2:18" x14ac:dyDescent="0.35">
      <c r="B5508" s="113">
        <v>46355</v>
      </c>
      <c r="C5508" s="4" t="s">
        <v>3775</v>
      </c>
      <c r="D5508" s="4" t="s">
        <v>4568</v>
      </c>
      <c r="E5508" s="1" t="str">
        <f>_xlfn.XLOOKUP(tblSales[[#This Row],[Customer ID]],tblCustomers[Customer ID],tblCustomers[Customer Name],"⚠ Unknown")</f>
        <v>Walk-in Customer</v>
      </c>
      <c r="F5508" s="4" t="s">
        <v>15</v>
      </c>
      <c r="G5508" s="1" t="str">
        <f>_xlfn.XLOOKUP(tblSales[[#This Row],[Product Code]],tblProducts[Code],tblProducts[Product / Service Name],"⚠ Unknown")</f>
        <v>Wireless Earbuds Pro</v>
      </c>
      <c r="H5508" s="1" t="str">
        <f>_xlfn.XLOOKUP(tblSales[[#This Row],[Product Code]],tblProducts[Code],tblProducts[Category],"")</f>
        <v>Bags &amp; Gadgets</v>
      </c>
      <c r="I5508" s="4">
        <v>2</v>
      </c>
      <c r="J5508" s="5">
        <f>_xlfn.XLOOKUP(tblSales[[#This Row],[Product Code]],tblProducts[Code],tblProducts[Selling Price (excl. VAT)],0)</f>
        <v>1250000</v>
      </c>
      <c r="K5508" s="5">
        <f>tblSales[[#This Row],[Qty]]*tblSales[[#This Row],[Unit Price]]</f>
        <v>2500000</v>
      </c>
      <c r="L5508" s="5">
        <f>ROUND(tblSales[[#This Row],[DPP (excl. VAT)]]*VATEff,0)</f>
        <v>275000</v>
      </c>
      <c r="M5508" s="5">
        <f>tblSales[[#This Row],[DPP (excl. VAT)]]+tblSales[[#This Row],[Output VAT]]</f>
        <v>2775000</v>
      </c>
      <c r="N5508" s="5">
        <f>tblSales[[#This Row],[Qty]]*_xlfn.XLOOKUP(tblSales[[#This Row],[Product Code]],tblProducts[Code],tblProducts[Unit Cost],0)</f>
        <v>1640000</v>
      </c>
      <c r="O5508" s="4" t="s">
        <v>4866</v>
      </c>
      <c r="P5508" s="4" t="s">
        <v>4862</v>
      </c>
      <c r="Q5508" s="1" t="str">
        <f>_xlfn.XLOOKUP(tblSales[[#This Row],[Channel Code]],tblChannels[Channel Code],tblChannels[Channel Name],"")</f>
        <v>Website &amp; Social Media</v>
      </c>
      <c r="R5508" s="1">
        <f>MONTH(tblSales[[#This Row],[Date]])</f>
        <v>11</v>
      </c>
    </row>
    <row r="5509" spans="2:18" x14ac:dyDescent="0.35">
      <c r="B5509" s="113">
        <v>46356</v>
      </c>
      <c r="C5509" s="4" t="s">
        <v>3776</v>
      </c>
      <c r="D5509" s="4" t="s">
        <v>4568</v>
      </c>
      <c r="E5509" s="1" t="str">
        <f>_xlfn.XLOOKUP(tblSales[[#This Row],[Customer ID]],tblCustomers[Customer ID],tblCustomers[Customer Name],"⚠ Unknown")</f>
        <v>Walk-in Customer</v>
      </c>
      <c r="F5509" s="4" t="s">
        <v>8</v>
      </c>
      <c r="G5509" s="1" t="str">
        <f>_xlfn.XLOOKUP(tblSales[[#This Row],[Product Code]],tblProducts[Code],tblProducts[Product / Service Name],"⚠ Unknown")</f>
        <v>Casual Shorts</v>
      </c>
      <c r="H5509" s="1" t="str">
        <f>_xlfn.XLOOKUP(tblSales[[#This Row],[Product Code]],tblProducts[Code],tblProducts[Category],"")</f>
        <v>Accessories &amp; Basics</v>
      </c>
      <c r="I5509" s="4">
        <v>8</v>
      </c>
      <c r="J5509" s="5">
        <f>_xlfn.XLOOKUP(tblSales[[#This Row],[Product Code]],tblProducts[Code],tblProducts[Selling Price (excl. VAT)],0)</f>
        <v>85000</v>
      </c>
      <c r="K5509" s="5">
        <f>tblSales[[#This Row],[Qty]]*tblSales[[#This Row],[Unit Price]]</f>
        <v>680000</v>
      </c>
      <c r="L5509" s="5">
        <f>ROUND(tblSales[[#This Row],[DPP (excl. VAT)]]*VATEff,0)</f>
        <v>74800</v>
      </c>
      <c r="M5509" s="5">
        <f>tblSales[[#This Row],[DPP (excl. VAT)]]+tblSales[[#This Row],[Output VAT]]</f>
        <v>754800</v>
      </c>
      <c r="N5509" s="5">
        <f>tblSales[[#This Row],[Qty]]*_xlfn.XLOOKUP(tblSales[[#This Row],[Product Code]],tblProducts[Code],tblProducts[Unit Cost],0)</f>
        <v>400000</v>
      </c>
      <c r="O5509" s="4" t="s">
        <v>4866</v>
      </c>
      <c r="P5509" s="4" t="s">
        <v>4861</v>
      </c>
      <c r="Q5509" s="1" t="str">
        <f>_xlfn.XLOOKUP(tblSales[[#This Row],[Channel Code]],tblChannels[Channel Code],tblChannels[Channel Name],"")</f>
        <v>Marketplace</v>
      </c>
      <c r="R5509" s="1">
        <f>MONTH(tblSales[[#This Row],[Date]])</f>
        <v>11</v>
      </c>
    </row>
    <row r="5510" spans="2:18" x14ac:dyDescent="0.35">
      <c r="B5510" s="113">
        <v>46356</v>
      </c>
      <c r="C5510" s="4" t="s">
        <v>3776</v>
      </c>
      <c r="D5510" s="4" t="s">
        <v>4568</v>
      </c>
      <c r="E5510" s="1" t="str">
        <f>_xlfn.XLOOKUP(tblSales[[#This Row],[Customer ID]],tblCustomers[Customer ID],tblCustomers[Customer Name],"⚠ Unknown")</f>
        <v>Walk-in Customer</v>
      </c>
      <c r="F5510" s="4" t="s">
        <v>6</v>
      </c>
      <c r="G5510" s="1" t="str">
        <f>_xlfn.XLOOKUP(tblSales[[#This Row],[Product Code]],tblProducts[Code],tblProducts[Product / Service Name],"⚠ Unknown")</f>
        <v>Socks &amp; Accessories</v>
      </c>
      <c r="H5510" s="1" t="str">
        <f>_xlfn.XLOOKUP(tblSales[[#This Row],[Product Code]],tblProducts[Code],tblProducts[Category],"")</f>
        <v>Accessories &amp; Basics</v>
      </c>
      <c r="I5510" s="4">
        <v>2</v>
      </c>
      <c r="J5510" s="5">
        <f>_xlfn.XLOOKUP(tblSales[[#This Row],[Product Code]],tblProducts[Code],tblProducts[Selling Price (excl. VAT)],0)</f>
        <v>45000</v>
      </c>
      <c r="K5510" s="5">
        <f>tblSales[[#This Row],[Qty]]*tblSales[[#This Row],[Unit Price]]</f>
        <v>90000</v>
      </c>
      <c r="L5510" s="5">
        <f>ROUND(tblSales[[#This Row],[DPP (excl. VAT)]]*VATEff,0)</f>
        <v>9900</v>
      </c>
      <c r="M5510" s="5">
        <f>tblSales[[#This Row],[DPP (excl. VAT)]]+tblSales[[#This Row],[Output VAT]]</f>
        <v>99900</v>
      </c>
      <c r="N5510" s="5">
        <f>tblSales[[#This Row],[Qty]]*_xlfn.XLOOKUP(tblSales[[#This Row],[Product Code]],tblProducts[Code],tblProducts[Unit Cost],0)</f>
        <v>48000</v>
      </c>
      <c r="O5510" s="4" t="s">
        <v>4866</v>
      </c>
      <c r="P5510" s="4" t="s">
        <v>4861</v>
      </c>
      <c r="Q5510" s="1" t="str">
        <f>_xlfn.XLOOKUP(tblSales[[#This Row],[Channel Code]],tblChannels[Channel Code],tblChannels[Channel Name],"")</f>
        <v>Marketplace</v>
      </c>
      <c r="R5510" s="1">
        <f>MONTH(tblSales[[#This Row],[Date]])</f>
        <v>11</v>
      </c>
    </row>
    <row r="5511" spans="2:18" x14ac:dyDescent="0.35">
      <c r="B5511" s="113">
        <v>46356</v>
      </c>
      <c r="C5511" s="4" t="s">
        <v>3777</v>
      </c>
      <c r="D5511" s="4" t="s">
        <v>4568</v>
      </c>
      <c r="E5511" s="1" t="str">
        <f>_xlfn.XLOOKUP(tblSales[[#This Row],[Customer ID]],tblCustomers[Customer ID],tblCustomers[Customer Name],"⚠ Unknown")</f>
        <v>Walk-in Customer</v>
      </c>
      <c r="F5511" s="4" t="s">
        <v>12</v>
      </c>
      <c r="G5511" s="1" t="str">
        <f>_xlfn.XLOOKUP(tblSales[[#This Row],[Product Code]],tblProducts[Code],tblProducts[Product / Service Name],"⚠ Unknown")</f>
        <v>Bomber Jacket</v>
      </c>
      <c r="H5511" s="1" t="str">
        <f>_xlfn.XLOOKUP(tblSales[[#This Row],[Product Code]],tblProducts[Code],tblProducts[Category],"")</f>
        <v>Apparel &amp; Footwear</v>
      </c>
      <c r="I5511" s="4">
        <v>4</v>
      </c>
      <c r="J5511" s="5">
        <f>_xlfn.XLOOKUP(tblSales[[#This Row],[Product Code]],tblProducts[Code],tblProducts[Selling Price (excl. VAT)],0)</f>
        <v>350000</v>
      </c>
      <c r="K5511" s="5">
        <f>tblSales[[#This Row],[Qty]]*tblSales[[#This Row],[Unit Price]]</f>
        <v>1400000</v>
      </c>
      <c r="L5511" s="5">
        <f>ROUND(tblSales[[#This Row],[DPP (excl. VAT)]]*VATEff,0)</f>
        <v>154000</v>
      </c>
      <c r="M5511" s="5">
        <f>tblSales[[#This Row],[DPP (excl. VAT)]]+tblSales[[#This Row],[Output VAT]]</f>
        <v>1554000</v>
      </c>
      <c r="N5511" s="5">
        <f>tblSales[[#This Row],[Qty]]*_xlfn.XLOOKUP(tblSales[[#This Row],[Product Code]],tblProducts[Code],tblProducts[Unit Cost],0)</f>
        <v>840000</v>
      </c>
      <c r="O5511" s="4" t="s">
        <v>4866</v>
      </c>
      <c r="P5511" s="4" t="s">
        <v>4862</v>
      </c>
      <c r="Q5511" s="1" t="str">
        <f>_xlfn.XLOOKUP(tblSales[[#This Row],[Channel Code]],tblChannels[Channel Code],tblChannels[Channel Name],"")</f>
        <v>Website &amp; Social Media</v>
      </c>
      <c r="R5511" s="1">
        <f>MONTH(tblSales[[#This Row],[Date]])</f>
        <v>11</v>
      </c>
    </row>
    <row r="5512" spans="2:18" x14ac:dyDescent="0.35">
      <c r="B5512" s="113">
        <v>46356</v>
      </c>
      <c r="C5512" s="4" t="s">
        <v>3778</v>
      </c>
      <c r="D5512" s="4" t="s">
        <v>4568</v>
      </c>
      <c r="E5512" s="1" t="str">
        <f>_xlfn.XLOOKUP(tblSales[[#This Row],[Customer ID]],tblCustomers[Customer ID],tblCustomers[Customer Name],"⚠ Unknown")</f>
        <v>Walk-in Customer</v>
      </c>
      <c r="F5512" s="4" t="s">
        <v>13</v>
      </c>
      <c r="G5512" s="1" t="str">
        <f>_xlfn.XLOOKUP(tblSales[[#This Row],[Product Code]],tblProducts[Code],tblProducts[Product / Service Name],"⚠ Unknown")</f>
        <v>Backpack</v>
      </c>
      <c r="H5512" s="1" t="str">
        <f>_xlfn.XLOOKUP(tblSales[[#This Row],[Product Code]],tblProducts[Code],tblProducts[Category],"")</f>
        <v>Bags &amp; Gadgets</v>
      </c>
      <c r="I5512" s="4">
        <v>5</v>
      </c>
      <c r="J5512" s="5">
        <f>_xlfn.XLOOKUP(tblSales[[#This Row],[Product Code]],tblProducts[Code],tblProducts[Selling Price (excl. VAT)],0)</f>
        <v>500000</v>
      </c>
      <c r="K5512" s="5">
        <f>tblSales[[#This Row],[Qty]]*tblSales[[#This Row],[Unit Price]]</f>
        <v>2500000</v>
      </c>
      <c r="L5512" s="5">
        <f>ROUND(tblSales[[#This Row],[DPP (excl. VAT)]]*VATEff,0)</f>
        <v>275000</v>
      </c>
      <c r="M5512" s="5">
        <f>tblSales[[#This Row],[DPP (excl. VAT)]]+tblSales[[#This Row],[Output VAT]]</f>
        <v>2775000</v>
      </c>
      <c r="N5512" s="5">
        <f>tblSales[[#This Row],[Qty]]*_xlfn.XLOOKUP(tblSales[[#This Row],[Product Code]],tblProducts[Code],tblProducts[Unit Cost],0)</f>
        <v>1450000</v>
      </c>
      <c r="O5512" s="4" t="s">
        <v>4865</v>
      </c>
      <c r="P5512" s="4" t="s">
        <v>4860</v>
      </c>
      <c r="Q5512" s="1" t="str">
        <f>_xlfn.XLOOKUP(tblSales[[#This Row],[Channel Code]],tblChannels[Channel Code],tblChannels[Channel Name],"")</f>
        <v>In-store</v>
      </c>
      <c r="R5512" s="1">
        <f>MONTH(tblSales[[#This Row],[Date]])</f>
        <v>11</v>
      </c>
    </row>
    <row r="5513" spans="2:18" x14ac:dyDescent="0.35">
      <c r="B5513" s="113">
        <v>46356</v>
      </c>
      <c r="C5513" s="4" t="s">
        <v>3778</v>
      </c>
      <c r="D5513" s="4" t="s">
        <v>4568</v>
      </c>
      <c r="E5513" s="1" t="str">
        <f>_xlfn.XLOOKUP(tblSales[[#This Row],[Customer ID]],tblCustomers[Customer ID],tblCustomers[Customer Name],"⚠ Unknown")</f>
        <v>Walk-in Customer</v>
      </c>
      <c r="F5513" s="4" t="s">
        <v>7</v>
      </c>
      <c r="G5513" s="1" t="str">
        <f>_xlfn.XLOOKUP(tblSales[[#This Row],[Product Code]],tblProducts[Code],tblProducts[Product / Service Name],"⚠ Unknown")</f>
        <v>Premium Basic T-shirt</v>
      </c>
      <c r="H5513" s="1" t="str">
        <f>_xlfn.XLOOKUP(tblSales[[#This Row],[Product Code]],tblProducts[Code],tblProducts[Category],"")</f>
        <v>Accessories &amp; Basics</v>
      </c>
      <c r="I5513" s="4">
        <v>9</v>
      </c>
      <c r="J5513" s="5">
        <f>_xlfn.XLOOKUP(tblSales[[#This Row],[Product Code]],tblProducts[Code],tblProducts[Selling Price (excl. VAT)],0)</f>
        <v>65000</v>
      </c>
      <c r="K5513" s="5">
        <f>tblSales[[#This Row],[Qty]]*tblSales[[#This Row],[Unit Price]]</f>
        <v>585000</v>
      </c>
      <c r="L5513" s="5">
        <f>ROUND(tblSales[[#This Row],[DPP (excl. VAT)]]*VATEff,0)</f>
        <v>64350</v>
      </c>
      <c r="M5513" s="5">
        <f>tblSales[[#This Row],[DPP (excl. VAT)]]+tblSales[[#This Row],[Output VAT]]</f>
        <v>649350</v>
      </c>
      <c r="N5513" s="5">
        <f>tblSales[[#This Row],[Qty]]*_xlfn.XLOOKUP(tblSales[[#This Row],[Product Code]],tblProducts[Code],tblProducts[Unit Cost],0)</f>
        <v>333000</v>
      </c>
      <c r="O5513" s="4" t="s">
        <v>4865</v>
      </c>
      <c r="P5513" s="4" t="s">
        <v>4860</v>
      </c>
      <c r="Q5513" s="1" t="str">
        <f>_xlfn.XLOOKUP(tblSales[[#This Row],[Channel Code]],tblChannels[Channel Code],tblChannels[Channel Name],"")</f>
        <v>In-store</v>
      </c>
      <c r="R5513" s="1">
        <f>MONTH(tblSales[[#This Row],[Date]])</f>
        <v>11</v>
      </c>
    </row>
    <row r="5514" spans="2:18" x14ac:dyDescent="0.35">
      <c r="B5514" s="113">
        <v>46356</v>
      </c>
      <c r="C5514" s="4" t="s">
        <v>3779</v>
      </c>
      <c r="D5514" s="4" t="s">
        <v>4593</v>
      </c>
      <c r="E5514" s="1" t="str">
        <f>_xlfn.XLOOKUP(tblSales[[#This Row],[Customer ID]],tblCustomers[Customer ID],tblCustomers[Customer Name],"⚠ Unknown")</f>
        <v>PT Graha Nusa Persada</v>
      </c>
      <c r="F5514" s="4" t="s">
        <v>7</v>
      </c>
      <c r="G5514" s="1" t="str">
        <f>_xlfn.XLOOKUP(tblSales[[#This Row],[Product Code]],tblProducts[Code],tblProducts[Product / Service Name],"⚠ Unknown")</f>
        <v>Premium Basic T-shirt</v>
      </c>
      <c r="H5514" s="1" t="str">
        <f>_xlfn.XLOOKUP(tblSales[[#This Row],[Product Code]],tblProducts[Code],tblProducts[Category],"")</f>
        <v>Accessories &amp; Basics</v>
      </c>
      <c r="I5514" s="4">
        <v>64</v>
      </c>
      <c r="J5514" s="5">
        <f>_xlfn.XLOOKUP(tblSales[[#This Row],[Product Code]],tblProducts[Code],tblProducts[Selling Price (excl. VAT)],0)</f>
        <v>65000</v>
      </c>
      <c r="K5514" s="5">
        <f>tblSales[[#This Row],[Qty]]*tblSales[[#This Row],[Unit Price]]</f>
        <v>4160000</v>
      </c>
      <c r="L5514" s="5">
        <f>ROUND(tblSales[[#This Row],[DPP (excl. VAT)]]*VATEff,0)</f>
        <v>457600</v>
      </c>
      <c r="M5514" s="5">
        <f>tblSales[[#This Row],[DPP (excl. VAT)]]+tblSales[[#This Row],[Output VAT]]</f>
        <v>4617600</v>
      </c>
      <c r="N5514" s="5">
        <f>tblSales[[#This Row],[Qty]]*_xlfn.XLOOKUP(tblSales[[#This Row],[Product Code]],tblProducts[Code],tblProducts[Unit Cost],0)</f>
        <v>2368000</v>
      </c>
      <c r="O5514" s="4" t="s">
        <v>4867</v>
      </c>
      <c r="P5514" s="4" t="s">
        <v>4860</v>
      </c>
      <c r="Q5514" s="1" t="str">
        <f>_xlfn.XLOOKUP(tblSales[[#This Row],[Channel Code]],tblChannels[Channel Code],tblChannels[Channel Name],"")</f>
        <v>In-store</v>
      </c>
      <c r="R5514" s="1">
        <f>MONTH(tblSales[[#This Row],[Date]])</f>
        <v>11</v>
      </c>
    </row>
    <row r="5515" spans="2:18" x14ac:dyDescent="0.35">
      <c r="B5515" s="113">
        <v>46356</v>
      </c>
      <c r="C5515" s="4" t="s">
        <v>3779</v>
      </c>
      <c r="D5515" s="4" t="s">
        <v>4593</v>
      </c>
      <c r="E5515" s="1" t="str">
        <f>_xlfn.XLOOKUP(tblSales[[#This Row],[Customer ID]],tblCustomers[Customer ID],tblCustomers[Customer Name],"⚠ Unknown")</f>
        <v>PT Graha Nusa Persada</v>
      </c>
      <c r="F5515" s="4" t="s">
        <v>6</v>
      </c>
      <c r="G5515" s="1" t="str">
        <f>_xlfn.XLOOKUP(tblSales[[#This Row],[Product Code]],tblProducts[Code],tblProducts[Product / Service Name],"⚠ Unknown")</f>
        <v>Socks &amp; Accessories</v>
      </c>
      <c r="H5515" s="1" t="str">
        <f>_xlfn.XLOOKUP(tblSales[[#This Row],[Product Code]],tblProducts[Code],tblProducts[Category],"")</f>
        <v>Accessories &amp; Basics</v>
      </c>
      <c r="I5515" s="4">
        <v>64</v>
      </c>
      <c r="J5515" s="5">
        <f>_xlfn.XLOOKUP(tblSales[[#This Row],[Product Code]],tblProducts[Code],tblProducts[Selling Price (excl. VAT)],0)</f>
        <v>45000</v>
      </c>
      <c r="K5515" s="5">
        <f>tblSales[[#This Row],[Qty]]*tblSales[[#This Row],[Unit Price]]</f>
        <v>2880000</v>
      </c>
      <c r="L5515" s="5">
        <f>ROUND(tblSales[[#This Row],[DPP (excl. VAT)]]*VATEff,0)</f>
        <v>316800</v>
      </c>
      <c r="M5515" s="5">
        <f>tblSales[[#This Row],[DPP (excl. VAT)]]+tblSales[[#This Row],[Output VAT]]</f>
        <v>3196800</v>
      </c>
      <c r="N5515" s="5">
        <f>tblSales[[#This Row],[Qty]]*_xlfn.XLOOKUP(tblSales[[#This Row],[Product Code]],tblProducts[Code],tblProducts[Unit Cost],0)</f>
        <v>1536000</v>
      </c>
      <c r="O5515" s="4" t="s">
        <v>4867</v>
      </c>
      <c r="P5515" s="4" t="s">
        <v>4860</v>
      </c>
      <c r="Q5515" s="1" t="str">
        <f>_xlfn.XLOOKUP(tblSales[[#This Row],[Channel Code]],tblChannels[Channel Code],tblChannels[Channel Name],"")</f>
        <v>In-store</v>
      </c>
      <c r="R5515" s="1">
        <f>MONTH(tblSales[[#This Row],[Date]])</f>
        <v>11</v>
      </c>
    </row>
    <row r="5516" spans="2:18" x14ac:dyDescent="0.35">
      <c r="B5516" s="113">
        <v>46356</v>
      </c>
      <c r="C5516" s="4" t="s">
        <v>3779</v>
      </c>
      <c r="D5516" s="4" t="s">
        <v>4593</v>
      </c>
      <c r="E5516" s="1" t="str">
        <f>_xlfn.XLOOKUP(tblSales[[#This Row],[Customer ID]],tblCustomers[Customer ID],tblCustomers[Customer Name],"⚠ Unknown")</f>
        <v>PT Graha Nusa Persada</v>
      </c>
      <c r="F5516" s="4" t="s">
        <v>9</v>
      </c>
      <c r="G5516" s="1" t="str">
        <f>_xlfn.XLOOKUP(tblSales[[#This Row],[Product Code]],tblProducts[Code],tblProducts[Product / Service Name],"⚠ Unknown")</f>
        <v>Casual Shirt</v>
      </c>
      <c r="H5516" s="1" t="str">
        <f>_xlfn.XLOOKUP(tblSales[[#This Row],[Product Code]],tblProducts[Code],tblProducts[Category],"")</f>
        <v>Apparel &amp; Footwear</v>
      </c>
      <c r="I5516" s="4">
        <v>24</v>
      </c>
      <c r="J5516" s="5">
        <f>_xlfn.XLOOKUP(tblSales[[#This Row],[Product Code]],tblProducts[Code],tblProducts[Selling Price (excl. VAT)],0)</f>
        <v>120000</v>
      </c>
      <c r="K5516" s="5">
        <f>tblSales[[#This Row],[Qty]]*tblSales[[#This Row],[Unit Price]]</f>
        <v>2880000</v>
      </c>
      <c r="L5516" s="5">
        <f>ROUND(tblSales[[#This Row],[DPP (excl. VAT)]]*VATEff,0)</f>
        <v>316800</v>
      </c>
      <c r="M5516" s="5">
        <f>tblSales[[#This Row],[DPP (excl. VAT)]]+tblSales[[#This Row],[Output VAT]]</f>
        <v>3196800</v>
      </c>
      <c r="N5516" s="5">
        <f>tblSales[[#This Row],[Qty]]*_xlfn.XLOOKUP(tblSales[[#This Row],[Product Code]],tblProducts[Code],tblProducts[Unit Cost],0)</f>
        <v>1728000</v>
      </c>
      <c r="O5516" s="4" t="s">
        <v>4867</v>
      </c>
      <c r="P5516" s="4" t="s">
        <v>4860</v>
      </c>
      <c r="Q5516" s="1" t="str">
        <f>_xlfn.XLOOKUP(tblSales[[#This Row],[Channel Code]],tblChannels[Channel Code],tblChannels[Channel Name],"")</f>
        <v>In-store</v>
      </c>
      <c r="R5516" s="1">
        <f>MONTH(tblSales[[#This Row],[Date]])</f>
        <v>11</v>
      </c>
    </row>
    <row r="5517" spans="2:18" x14ac:dyDescent="0.35">
      <c r="B5517" s="113">
        <v>46356</v>
      </c>
      <c r="C5517" s="4" t="s">
        <v>3780</v>
      </c>
      <c r="D5517" s="4" t="s">
        <v>4568</v>
      </c>
      <c r="E5517" s="1" t="str">
        <f>_xlfn.XLOOKUP(tblSales[[#This Row],[Customer ID]],tblCustomers[Customer ID],tblCustomers[Customer Name],"⚠ Unknown")</f>
        <v>Walk-in Customer</v>
      </c>
      <c r="F5517" s="4" t="s">
        <v>12</v>
      </c>
      <c r="G5517" s="1" t="str">
        <f>_xlfn.XLOOKUP(tblSales[[#This Row],[Product Code]],tblProducts[Code],tblProducts[Product / Service Name],"⚠ Unknown")</f>
        <v>Bomber Jacket</v>
      </c>
      <c r="H5517" s="1" t="str">
        <f>_xlfn.XLOOKUP(tblSales[[#This Row],[Product Code]],tblProducts[Code],tblProducts[Category],"")</f>
        <v>Apparel &amp; Footwear</v>
      </c>
      <c r="I5517" s="4">
        <v>1</v>
      </c>
      <c r="J5517" s="5">
        <f>_xlfn.XLOOKUP(tblSales[[#This Row],[Product Code]],tblProducts[Code],tblProducts[Selling Price (excl. VAT)],0)</f>
        <v>350000</v>
      </c>
      <c r="K5517" s="5">
        <f>tblSales[[#This Row],[Qty]]*tblSales[[#This Row],[Unit Price]]</f>
        <v>350000</v>
      </c>
      <c r="L5517" s="5">
        <f>ROUND(tblSales[[#This Row],[DPP (excl. VAT)]]*VATEff,0)</f>
        <v>38500</v>
      </c>
      <c r="M5517" s="5">
        <f>tblSales[[#This Row],[DPP (excl. VAT)]]+tblSales[[#This Row],[Output VAT]]</f>
        <v>388500</v>
      </c>
      <c r="N5517" s="5">
        <f>tblSales[[#This Row],[Qty]]*_xlfn.XLOOKUP(tblSales[[#This Row],[Product Code]],tblProducts[Code],tblProducts[Unit Cost],0)</f>
        <v>210000</v>
      </c>
      <c r="O5517" s="4" t="s">
        <v>4866</v>
      </c>
      <c r="P5517" s="4" t="s">
        <v>4861</v>
      </c>
      <c r="Q5517" s="1" t="str">
        <f>_xlfn.XLOOKUP(tblSales[[#This Row],[Channel Code]],tblChannels[Channel Code],tblChannels[Channel Name],"")</f>
        <v>Marketplace</v>
      </c>
      <c r="R5517" s="1">
        <f>MONTH(tblSales[[#This Row],[Date]])</f>
        <v>11</v>
      </c>
    </row>
    <row r="5518" spans="2:18" x14ac:dyDescent="0.35">
      <c r="B5518" s="113">
        <v>46356</v>
      </c>
      <c r="C5518" s="4" t="s">
        <v>3781</v>
      </c>
      <c r="D5518" s="4" t="s">
        <v>4568</v>
      </c>
      <c r="E5518" s="1" t="str">
        <f>_xlfn.XLOOKUP(tblSales[[#This Row],[Customer ID]],tblCustomers[Customer ID],tblCustomers[Customer Name],"⚠ Unknown")</f>
        <v>Walk-in Customer</v>
      </c>
      <c r="F5518" s="4" t="s">
        <v>8</v>
      </c>
      <c r="G5518" s="1" t="str">
        <f>_xlfn.XLOOKUP(tblSales[[#This Row],[Product Code]],tblProducts[Code],tblProducts[Product / Service Name],"⚠ Unknown")</f>
        <v>Casual Shorts</v>
      </c>
      <c r="H5518" s="1" t="str">
        <f>_xlfn.XLOOKUP(tblSales[[#This Row],[Product Code]],tblProducts[Code],tblProducts[Category],"")</f>
        <v>Accessories &amp; Basics</v>
      </c>
      <c r="I5518" s="4">
        <v>3</v>
      </c>
      <c r="J5518" s="5">
        <f>_xlfn.XLOOKUP(tblSales[[#This Row],[Product Code]],tblProducts[Code],tblProducts[Selling Price (excl. VAT)],0)</f>
        <v>85000</v>
      </c>
      <c r="K5518" s="5">
        <f>tblSales[[#This Row],[Qty]]*tblSales[[#This Row],[Unit Price]]</f>
        <v>255000</v>
      </c>
      <c r="L5518" s="5">
        <f>ROUND(tblSales[[#This Row],[DPP (excl. VAT)]]*VATEff,0)</f>
        <v>28050</v>
      </c>
      <c r="M5518" s="5">
        <f>tblSales[[#This Row],[DPP (excl. VAT)]]+tblSales[[#This Row],[Output VAT]]</f>
        <v>283050</v>
      </c>
      <c r="N5518" s="5">
        <f>tblSales[[#This Row],[Qty]]*_xlfn.XLOOKUP(tblSales[[#This Row],[Product Code]],tblProducts[Code],tblProducts[Unit Cost],0)</f>
        <v>150000</v>
      </c>
      <c r="O5518" s="4" t="s">
        <v>4866</v>
      </c>
      <c r="P5518" s="4" t="s">
        <v>4861</v>
      </c>
      <c r="Q5518" s="1" t="str">
        <f>_xlfn.XLOOKUP(tblSales[[#This Row],[Channel Code]],tblChannels[Channel Code],tblChannels[Channel Name],"")</f>
        <v>Marketplace</v>
      </c>
      <c r="R5518" s="1">
        <f>MONTH(tblSales[[#This Row],[Date]])</f>
        <v>11</v>
      </c>
    </row>
    <row r="5519" spans="2:18" x14ac:dyDescent="0.35">
      <c r="B5519" s="113">
        <v>46356</v>
      </c>
      <c r="C5519" s="4" t="s">
        <v>3782</v>
      </c>
      <c r="D5519" s="4" t="s">
        <v>4648</v>
      </c>
      <c r="E5519" s="1" t="str">
        <f>_xlfn.XLOOKUP(tblSales[[#This Row],[Customer ID]],tblCustomers[Customer ID],tblCustomers[Customer Name],"⚠ Unknown")</f>
        <v>PT Lintas Benua Niaga</v>
      </c>
      <c r="F5519" s="4" t="s">
        <v>10</v>
      </c>
      <c r="G5519" s="1" t="str">
        <f>_xlfn.XLOOKUP(tblSales[[#This Row],[Product Code]],tblProducts[Code],tblProducts[Product / Service Name],"⚠ Unknown")</f>
        <v>Chino Pants</v>
      </c>
      <c r="H5519" s="1" t="str">
        <f>_xlfn.XLOOKUP(tblSales[[#This Row],[Product Code]],tblProducts[Code],tblProducts[Category],"")</f>
        <v>Apparel &amp; Footwear</v>
      </c>
      <c r="I5519" s="4">
        <v>96</v>
      </c>
      <c r="J5519" s="5">
        <f>_xlfn.XLOOKUP(tblSales[[#This Row],[Product Code]],tblProducts[Code],tblProducts[Selling Price (excl. VAT)],0)</f>
        <v>150000</v>
      </c>
      <c r="K5519" s="5">
        <f>tblSales[[#This Row],[Qty]]*tblSales[[#This Row],[Unit Price]]</f>
        <v>14400000</v>
      </c>
      <c r="L5519" s="5">
        <f>ROUND(tblSales[[#This Row],[DPP (excl. VAT)]]*VATEff,0)</f>
        <v>1584000</v>
      </c>
      <c r="M5519" s="5">
        <f>tblSales[[#This Row],[DPP (excl. VAT)]]+tblSales[[#This Row],[Output VAT]]</f>
        <v>15984000</v>
      </c>
      <c r="N5519" s="5">
        <f>tblSales[[#This Row],[Qty]]*_xlfn.XLOOKUP(tblSales[[#This Row],[Product Code]],tblProducts[Code],tblProducts[Unit Cost],0)</f>
        <v>8448000</v>
      </c>
      <c r="O5519" s="4" t="s">
        <v>4867</v>
      </c>
      <c r="P5519" s="4" t="s">
        <v>4860</v>
      </c>
      <c r="Q5519" s="1" t="str">
        <f>_xlfn.XLOOKUP(tblSales[[#This Row],[Channel Code]],tblChannels[Channel Code],tblChannels[Channel Name],"")</f>
        <v>In-store</v>
      </c>
      <c r="R5519" s="1">
        <f>MONTH(tblSales[[#This Row],[Date]])</f>
        <v>11</v>
      </c>
    </row>
    <row r="5520" spans="2:18" x14ac:dyDescent="0.35">
      <c r="B5520" s="113">
        <v>46356</v>
      </c>
      <c r="C5520" s="4" t="s">
        <v>3782</v>
      </c>
      <c r="D5520" s="4" t="s">
        <v>4648</v>
      </c>
      <c r="E5520" s="1" t="str">
        <f>_xlfn.XLOOKUP(tblSales[[#This Row],[Customer ID]],tblCustomers[Customer ID],tblCustomers[Customer Name],"⚠ Unknown")</f>
        <v>PT Lintas Benua Niaga</v>
      </c>
      <c r="F5520" s="4" t="s">
        <v>15</v>
      </c>
      <c r="G5520" s="1" t="str">
        <f>_xlfn.XLOOKUP(tblSales[[#This Row],[Product Code]],tblProducts[Code],tblProducts[Product / Service Name],"⚠ Unknown")</f>
        <v>Wireless Earbuds Pro</v>
      </c>
      <c r="H5520" s="1" t="str">
        <f>_xlfn.XLOOKUP(tblSales[[#This Row],[Product Code]],tblProducts[Code],tblProducts[Category],"")</f>
        <v>Bags &amp; Gadgets</v>
      </c>
      <c r="I5520" s="4">
        <v>16</v>
      </c>
      <c r="J5520" s="5">
        <f>_xlfn.XLOOKUP(tblSales[[#This Row],[Product Code]],tblProducts[Code],tblProducts[Selling Price (excl. VAT)],0)</f>
        <v>1250000</v>
      </c>
      <c r="K5520" s="5">
        <f>tblSales[[#This Row],[Qty]]*tblSales[[#This Row],[Unit Price]]</f>
        <v>20000000</v>
      </c>
      <c r="L5520" s="5">
        <f>ROUND(tblSales[[#This Row],[DPP (excl. VAT)]]*VATEff,0)</f>
        <v>2200000</v>
      </c>
      <c r="M5520" s="5">
        <f>tblSales[[#This Row],[DPP (excl. VAT)]]+tblSales[[#This Row],[Output VAT]]</f>
        <v>22200000</v>
      </c>
      <c r="N5520" s="5">
        <f>tblSales[[#This Row],[Qty]]*_xlfn.XLOOKUP(tblSales[[#This Row],[Product Code]],tblProducts[Code],tblProducts[Unit Cost],0)</f>
        <v>13120000</v>
      </c>
      <c r="O5520" s="4" t="s">
        <v>4867</v>
      </c>
      <c r="P5520" s="4" t="s">
        <v>4860</v>
      </c>
      <c r="Q5520" s="1" t="str">
        <f>_xlfn.XLOOKUP(tblSales[[#This Row],[Channel Code]],tblChannels[Channel Code],tblChannels[Channel Name],"")</f>
        <v>In-store</v>
      </c>
      <c r="R5520" s="1">
        <f>MONTH(tblSales[[#This Row],[Date]])</f>
        <v>11</v>
      </c>
    </row>
    <row r="5521" spans="2:18" x14ac:dyDescent="0.35">
      <c r="B5521" s="113">
        <v>46356</v>
      </c>
      <c r="C5521" s="4" t="s">
        <v>3783</v>
      </c>
      <c r="D5521" s="4" t="s">
        <v>4568</v>
      </c>
      <c r="E5521" s="1" t="str">
        <f>_xlfn.XLOOKUP(tblSales[[#This Row],[Customer ID]],tblCustomers[Customer ID],tblCustomers[Customer Name],"⚠ Unknown")</f>
        <v>Walk-in Customer</v>
      </c>
      <c r="F5521" s="4" t="s">
        <v>9</v>
      </c>
      <c r="G5521" s="1" t="str">
        <f>_xlfn.XLOOKUP(tblSales[[#This Row],[Product Code]],tblProducts[Code],tblProducts[Product / Service Name],"⚠ Unknown")</f>
        <v>Casual Shirt</v>
      </c>
      <c r="H5521" s="1" t="str">
        <f>_xlfn.XLOOKUP(tblSales[[#This Row],[Product Code]],tblProducts[Code],tblProducts[Category],"")</f>
        <v>Apparel &amp; Footwear</v>
      </c>
      <c r="I5521" s="4">
        <v>4</v>
      </c>
      <c r="J5521" s="5">
        <f>_xlfn.XLOOKUP(tblSales[[#This Row],[Product Code]],tblProducts[Code],tblProducts[Selling Price (excl. VAT)],0)</f>
        <v>120000</v>
      </c>
      <c r="K5521" s="5">
        <f>tblSales[[#This Row],[Qty]]*tblSales[[#This Row],[Unit Price]]</f>
        <v>480000</v>
      </c>
      <c r="L5521" s="5">
        <f>ROUND(tblSales[[#This Row],[DPP (excl. VAT)]]*VATEff,0)</f>
        <v>52800</v>
      </c>
      <c r="M5521" s="5">
        <f>tblSales[[#This Row],[DPP (excl. VAT)]]+tblSales[[#This Row],[Output VAT]]</f>
        <v>532800</v>
      </c>
      <c r="N5521" s="5">
        <f>tblSales[[#This Row],[Qty]]*_xlfn.XLOOKUP(tblSales[[#This Row],[Product Code]],tblProducts[Code],tblProducts[Unit Cost],0)</f>
        <v>288000</v>
      </c>
      <c r="O5521" s="4" t="s">
        <v>4866</v>
      </c>
      <c r="P5521" s="4" t="s">
        <v>4862</v>
      </c>
      <c r="Q5521" s="1" t="str">
        <f>_xlfn.XLOOKUP(tblSales[[#This Row],[Channel Code]],tblChannels[Channel Code],tblChannels[Channel Name],"")</f>
        <v>Website &amp; Social Media</v>
      </c>
      <c r="R5521" s="1">
        <f>MONTH(tblSales[[#This Row],[Date]])</f>
        <v>11</v>
      </c>
    </row>
    <row r="5522" spans="2:18" x14ac:dyDescent="0.35">
      <c r="B5522" s="113">
        <v>46356</v>
      </c>
      <c r="C5522" s="4" t="s">
        <v>3783</v>
      </c>
      <c r="D5522" s="4" t="s">
        <v>4568</v>
      </c>
      <c r="E5522" s="1" t="str">
        <f>_xlfn.XLOOKUP(tblSales[[#This Row],[Customer ID]],tblCustomers[Customer ID],tblCustomers[Customer Name],"⚠ Unknown")</f>
        <v>Walk-in Customer</v>
      </c>
      <c r="F5522" s="4" t="s">
        <v>10</v>
      </c>
      <c r="G5522" s="1" t="str">
        <f>_xlfn.XLOOKUP(tblSales[[#This Row],[Product Code]],tblProducts[Code],tblProducts[Product / Service Name],"⚠ Unknown")</f>
        <v>Chino Pants</v>
      </c>
      <c r="H5522" s="1" t="str">
        <f>_xlfn.XLOOKUP(tblSales[[#This Row],[Product Code]],tblProducts[Code],tblProducts[Category],"")</f>
        <v>Apparel &amp; Footwear</v>
      </c>
      <c r="I5522" s="4">
        <v>3</v>
      </c>
      <c r="J5522" s="5">
        <f>_xlfn.XLOOKUP(tblSales[[#This Row],[Product Code]],tblProducts[Code],tblProducts[Selling Price (excl. VAT)],0)</f>
        <v>150000</v>
      </c>
      <c r="K5522" s="5">
        <f>tblSales[[#This Row],[Qty]]*tblSales[[#This Row],[Unit Price]]</f>
        <v>450000</v>
      </c>
      <c r="L5522" s="5">
        <f>ROUND(tblSales[[#This Row],[DPP (excl. VAT)]]*VATEff,0)</f>
        <v>49500</v>
      </c>
      <c r="M5522" s="5">
        <f>tblSales[[#This Row],[DPP (excl. VAT)]]+tblSales[[#This Row],[Output VAT]]</f>
        <v>499500</v>
      </c>
      <c r="N5522" s="5">
        <f>tblSales[[#This Row],[Qty]]*_xlfn.XLOOKUP(tblSales[[#This Row],[Product Code]],tblProducts[Code],tblProducts[Unit Cost],0)</f>
        <v>264000</v>
      </c>
      <c r="O5522" s="4" t="s">
        <v>4866</v>
      </c>
      <c r="P5522" s="4" t="s">
        <v>4862</v>
      </c>
      <c r="Q5522" s="1" t="str">
        <f>_xlfn.XLOOKUP(tblSales[[#This Row],[Channel Code]],tblChannels[Channel Code],tblChannels[Channel Name],"")</f>
        <v>Website &amp; Social Media</v>
      </c>
      <c r="R5522" s="1">
        <f>MONTH(tblSales[[#This Row],[Date]])</f>
        <v>11</v>
      </c>
    </row>
    <row r="5523" spans="2:18" x14ac:dyDescent="0.35">
      <c r="B5523" s="113">
        <v>46356</v>
      </c>
      <c r="C5523" s="4" t="s">
        <v>3784</v>
      </c>
      <c r="D5523" s="4" t="s">
        <v>4568</v>
      </c>
      <c r="E5523" s="1" t="str">
        <f>_xlfn.XLOOKUP(tblSales[[#This Row],[Customer ID]],tblCustomers[Customer ID],tblCustomers[Customer Name],"⚠ Unknown")</f>
        <v>Walk-in Customer</v>
      </c>
      <c r="F5523" s="4" t="s">
        <v>11</v>
      </c>
      <c r="G5523" s="1" t="str">
        <f>_xlfn.XLOOKUP(tblSales[[#This Row],[Product Code]],tblProducts[Code],tblProducts[Product / Service Name],"⚠ Unknown")</f>
        <v>Sneakers</v>
      </c>
      <c r="H5523" s="1" t="str">
        <f>_xlfn.XLOOKUP(tblSales[[#This Row],[Product Code]],tblProducts[Code],tblProducts[Category],"")</f>
        <v>Apparel &amp; Footwear</v>
      </c>
      <c r="I5523" s="4">
        <v>2</v>
      </c>
      <c r="J5523" s="5">
        <f>_xlfn.XLOOKUP(tblSales[[#This Row],[Product Code]],tblProducts[Code],tblProducts[Selling Price (excl. VAT)],0)</f>
        <v>250000</v>
      </c>
      <c r="K5523" s="5">
        <f>tblSales[[#This Row],[Qty]]*tblSales[[#This Row],[Unit Price]]</f>
        <v>500000</v>
      </c>
      <c r="L5523" s="5">
        <f>ROUND(tblSales[[#This Row],[DPP (excl. VAT)]]*VATEff,0)</f>
        <v>55000</v>
      </c>
      <c r="M5523" s="5">
        <f>tblSales[[#This Row],[DPP (excl. VAT)]]+tblSales[[#This Row],[Output VAT]]</f>
        <v>555000</v>
      </c>
      <c r="N5523" s="5">
        <f>tblSales[[#This Row],[Qty]]*_xlfn.XLOOKUP(tblSales[[#This Row],[Product Code]],tblProducts[Code],tblProducts[Unit Cost],0)</f>
        <v>310000</v>
      </c>
      <c r="O5523" s="4" t="s">
        <v>4866</v>
      </c>
      <c r="P5523" s="4" t="s">
        <v>4862</v>
      </c>
      <c r="Q5523" s="1" t="str">
        <f>_xlfn.XLOOKUP(tblSales[[#This Row],[Channel Code]],tblChannels[Channel Code],tblChannels[Channel Name],"")</f>
        <v>Website &amp; Social Media</v>
      </c>
      <c r="R5523" s="1">
        <f>MONTH(tblSales[[#This Row],[Date]])</f>
        <v>11</v>
      </c>
    </row>
    <row r="5524" spans="2:18" x14ac:dyDescent="0.35">
      <c r="B5524" s="113">
        <v>46356</v>
      </c>
      <c r="C5524" s="4" t="s">
        <v>3784</v>
      </c>
      <c r="D5524" s="4" t="s">
        <v>4568</v>
      </c>
      <c r="E5524" s="1" t="str">
        <f>_xlfn.XLOOKUP(tblSales[[#This Row],[Customer ID]],tblCustomers[Customer ID],tblCustomers[Customer Name],"⚠ Unknown")</f>
        <v>Walk-in Customer</v>
      </c>
      <c r="F5524" s="4" t="s">
        <v>9</v>
      </c>
      <c r="G5524" s="1" t="str">
        <f>_xlfn.XLOOKUP(tblSales[[#This Row],[Product Code]],tblProducts[Code],tblProducts[Product / Service Name],"⚠ Unknown")</f>
        <v>Casual Shirt</v>
      </c>
      <c r="H5524" s="1" t="str">
        <f>_xlfn.XLOOKUP(tblSales[[#This Row],[Product Code]],tblProducts[Code],tblProducts[Category],"")</f>
        <v>Apparel &amp; Footwear</v>
      </c>
      <c r="I5524" s="4">
        <v>7</v>
      </c>
      <c r="J5524" s="5">
        <f>_xlfn.XLOOKUP(tblSales[[#This Row],[Product Code]],tblProducts[Code],tblProducts[Selling Price (excl. VAT)],0)</f>
        <v>120000</v>
      </c>
      <c r="K5524" s="5">
        <f>tblSales[[#This Row],[Qty]]*tblSales[[#This Row],[Unit Price]]</f>
        <v>840000</v>
      </c>
      <c r="L5524" s="5">
        <f>ROUND(tblSales[[#This Row],[DPP (excl. VAT)]]*VATEff,0)</f>
        <v>92400</v>
      </c>
      <c r="M5524" s="5">
        <f>tblSales[[#This Row],[DPP (excl. VAT)]]+tblSales[[#This Row],[Output VAT]]</f>
        <v>932400</v>
      </c>
      <c r="N5524" s="5">
        <f>tblSales[[#This Row],[Qty]]*_xlfn.XLOOKUP(tblSales[[#This Row],[Product Code]],tblProducts[Code],tblProducts[Unit Cost],0)</f>
        <v>504000</v>
      </c>
      <c r="O5524" s="4" t="s">
        <v>4866</v>
      </c>
      <c r="P5524" s="4" t="s">
        <v>4862</v>
      </c>
      <c r="Q5524" s="1" t="str">
        <f>_xlfn.XLOOKUP(tblSales[[#This Row],[Channel Code]],tblChannels[Channel Code],tblChannels[Channel Name],"")</f>
        <v>Website &amp; Social Media</v>
      </c>
      <c r="R5524" s="1">
        <f>MONTH(tblSales[[#This Row],[Date]])</f>
        <v>11</v>
      </c>
    </row>
    <row r="5525" spans="2:18" x14ac:dyDescent="0.35">
      <c r="B5525" s="113">
        <v>46356</v>
      </c>
      <c r="C5525" s="4" t="s">
        <v>3785</v>
      </c>
      <c r="D5525" s="4" t="s">
        <v>4568</v>
      </c>
      <c r="E5525" s="1" t="str">
        <f>_xlfn.XLOOKUP(tblSales[[#This Row],[Customer ID]],tblCustomers[Customer ID],tblCustomers[Customer Name],"⚠ Unknown")</f>
        <v>Walk-in Customer</v>
      </c>
      <c r="F5525" s="4" t="s">
        <v>10</v>
      </c>
      <c r="G5525" s="1" t="str">
        <f>_xlfn.XLOOKUP(tblSales[[#This Row],[Product Code]],tblProducts[Code],tblProducts[Product / Service Name],"⚠ Unknown")</f>
        <v>Chino Pants</v>
      </c>
      <c r="H5525" s="1" t="str">
        <f>_xlfn.XLOOKUP(tblSales[[#This Row],[Product Code]],tblProducts[Code],tblProducts[Category],"")</f>
        <v>Apparel &amp; Footwear</v>
      </c>
      <c r="I5525" s="4">
        <v>11</v>
      </c>
      <c r="J5525" s="5">
        <f>_xlfn.XLOOKUP(tblSales[[#This Row],[Product Code]],tblProducts[Code],tblProducts[Selling Price (excl. VAT)],0)</f>
        <v>150000</v>
      </c>
      <c r="K5525" s="5">
        <f>tblSales[[#This Row],[Qty]]*tblSales[[#This Row],[Unit Price]]</f>
        <v>1650000</v>
      </c>
      <c r="L5525" s="5">
        <f>ROUND(tblSales[[#This Row],[DPP (excl. VAT)]]*VATEff,0)</f>
        <v>181500</v>
      </c>
      <c r="M5525" s="5">
        <f>tblSales[[#This Row],[DPP (excl. VAT)]]+tblSales[[#This Row],[Output VAT]]</f>
        <v>1831500</v>
      </c>
      <c r="N5525" s="5">
        <f>tblSales[[#This Row],[Qty]]*_xlfn.XLOOKUP(tblSales[[#This Row],[Product Code]],tblProducts[Code],tblProducts[Unit Cost],0)</f>
        <v>968000</v>
      </c>
      <c r="O5525" s="4" t="s">
        <v>4866</v>
      </c>
      <c r="P5525" s="4" t="s">
        <v>4861</v>
      </c>
      <c r="Q5525" s="1" t="str">
        <f>_xlfn.XLOOKUP(tblSales[[#This Row],[Channel Code]],tblChannels[Channel Code],tblChannels[Channel Name],"")</f>
        <v>Marketplace</v>
      </c>
      <c r="R5525" s="1">
        <f>MONTH(tblSales[[#This Row],[Date]])</f>
        <v>11</v>
      </c>
    </row>
    <row r="5526" spans="2:18" x14ac:dyDescent="0.35">
      <c r="B5526" s="113">
        <v>46356</v>
      </c>
      <c r="C5526" s="4" t="s">
        <v>3785</v>
      </c>
      <c r="D5526" s="4" t="s">
        <v>4568</v>
      </c>
      <c r="E5526" s="1" t="str">
        <f>_xlfn.XLOOKUP(tblSales[[#This Row],[Customer ID]],tblCustomers[Customer ID],tblCustomers[Customer Name],"⚠ Unknown")</f>
        <v>Walk-in Customer</v>
      </c>
      <c r="F5526" s="4" t="s">
        <v>14</v>
      </c>
      <c r="G5526" s="1" t="str">
        <f>_xlfn.XLOOKUP(tblSales[[#This Row],[Product Code]],tblProducts[Code],tblProducts[Product / Service Name],"⚠ Unknown")</f>
        <v>Smartwatch</v>
      </c>
      <c r="H5526" s="1" t="str">
        <f>_xlfn.XLOOKUP(tblSales[[#This Row],[Product Code]],tblProducts[Code],tblProducts[Category],"")</f>
        <v>Bags &amp; Gadgets</v>
      </c>
      <c r="I5526" s="4">
        <v>2</v>
      </c>
      <c r="J5526" s="5">
        <f>_xlfn.XLOOKUP(tblSales[[#This Row],[Product Code]],tblProducts[Code],tblProducts[Selling Price (excl. VAT)],0)</f>
        <v>850000</v>
      </c>
      <c r="K5526" s="5">
        <f>tblSales[[#This Row],[Qty]]*tblSales[[#This Row],[Unit Price]]</f>
        <v>1700000</v>
      </c>
      <c r="L5526" s="5">
        <f>ROUND(tblSales[[#This Row],[DPP (excl. VAT)]]*VATEff,0)</f>
        <v>187000</v>
      </c>
      <c r="M5526" s="5">
        <f>tblSales[[#This Row],[DPP (excl. VAT)]]+tblSales[[#This Row],[Output VAT]]</f>
        <v>1887000</v>
      </c>
      <c r="N5526" s="5">
        <f>tblSales[[#This Row],[Qty]]*_xlfn.XLOOKUP(tblSales[[#This Row],[Product Code]],tblProducts[Code],tblProducts[Unit Cost],0)</f>
        <v>1120000</v>
      </c>
      <c r="O5526" s="4" t="s">
        <v>4866</v>
      </c>
      <c r="P5526" s="4" t="s">
        <v>4861</v>
      </c>
      <c r="Q5526" s="1" t="str">
        <f>_xlfn.XLOOKUP(tblSales[[#This Row],[Channel Code]],tblChannels[Channel Code],tblChannels[Channel Name],"")</f>
        <v>Marketplace</v>
      </c>
      <c r="R5526" s="1">
        <f>MONTH(tblSales[[#This Row],[Date]])</f>
        <v>11</v>
      </c>
    </row>
    <row r="5527" spans="2:18" x14ac:dyDescent="0.35">
      <c r="B5527" s="113">
        <v>46357</v>
      </c>
      <c r="C5527" s="4" t="s">
        <v>3786</v>
      </c>
      <c r="D5527" s="4" t="s">
        <v>4613</v>
      </c>
      <c r="E5527" s="1" t="str">
        <f>_xlfn.XLOOKUP(tblSales[[#This Row],[Customer ID]],tblCustomers[Customer ID],tblCustomers[Customer Name],"⚠ Unknown")</f>
        <v>PT Mega Prima Distribusi</v>
      </c>
      <c r="F5527" s="4" t="s">
        <v>10</v>
      </c>
      <c r="G5527" s="1" t="str">
        <f>_xlfn.XLOOKUP(tblSales[[#This Row],[Product Code]],tblProducts[Code],tblProducts[Product / Service Name],"⚠ Unknown")</f>
        <v>Chino Pants</v>
      </c>
      <c r="H5527" s="1" t="str">
        <f>_xlfn.XLOOKUP(tblSales[[#This Row],[Product Code]],tblProducts[Code],tblProducts[Category],"")</f>
        <v>Apparel &amp; Footwear</v>
      </c>
      <c r="I5527" s="4">
        <v>24</v>
      </c>
      <c r="J5527" s="5">
        <f>_xlfn.XLOOKUP(tblSales[[#This Row],[Product Code]],tblProducts[Code],tblProducts[Selling Price (excl. VAT)],0)</f>
        <v>150000</v>
      </c>
      <c r="K5527" s="5">
        <f>tblSales[[#This Row],[Qty]]*tblSales[[#This Row],[Unit Price]]</f>
        <v>3600000</v>
      </c>
      <c r="L5527" s="5">
        <f>ROUND(tblSales[[#This Row],[DPP (excl. VAT)]]*VATEff,0)</f>
        <v>396000</v>
      </c>
      <c r="M5527" s="5">
        <f>tblSales[[#This Row],[DPP (excl. VAT)]]+tblSales[[#This Row],[Output VAT]]</f>
        <v>3996000</v>
      </c>
      <c r="N5527" s="5">
        <f>tblSales[[#This Row],[Qty]]*_xlfn.XLOOKUP(tblSales[[#This Row],[Product Code]],tblProducts[Code],tblProducts[Unit Cost],0)</f>
        <v>2112000</v>
      </c>
      <c r="O5527" s="4" t="s">
        <v>4867</v>
      </c>
      <c r="P5527" s="4" t="s">
        <v>4862</v>
      </c>
      <c r="Q5527" s="1" t="str">
        <f>_xlfn.XLOOKUP(tblSales[[#This Row],[Channel Code]],tblChannels[Channel Code],tblChannels[Channel Name],"")</f>
        <v>Website &amp; Social Media</v>
      </c>
      <c r="R5527" s="1">
        <f>MONTH(tblSales[[#This Row],[Date]])</f>
        <v>12</v>
      </c>
    </row>
    <row r="5528" spans="2:18" x14ac:dyDescent="0.35">
      <c r="B5528" s="113">
        <v>46357</v>
      </c>
      <c r="C5528" s="4" t="s">
        <v>3787</v>
      </c>
      <c r="D5528" s="4" t="s">
        <v>4568</v>
      </c>
      <c r="E5528" s="1" t="str">
        <f>_xlfn.XLOOKUP(tblSales[[#This Row],[Customer ID]],tblCustomers[Customer ID],tblCustomers[Customer Name],"⚠ Unknown")</f>
        <v>Walk-in Customer</v>
      </c>
      <c r="F5528" s="4" t="s">
        <v>11</v>
      </c>
      <c r="G5528" s="1" t="str">
        <f>_xlfn.XLOOKUP(tblSales[[#This Row],[Product Code]],tblProducts[Code],tblProducts[Product / Service Name],"⚠ Unknown")</f>
        <v>Sneakers</v>
      </c>
      <c r="H5528" s="1" t="str">
        <f>_xlfn.XLOOKUP(tblSales[[#This Row],[Product Code]],tblProducts[Code],tblProducts[Category],"")</f>
        <v>Apparel &amp; Footwear</v>
      </c>
      <c r="I5528" s="4">
        <v>5</v>
      </c>
      <c r="J5528" s="5">
        <f>_xlfn.XLOOKUP(tblSales[[#This Row],[Product Code]],tblProducts[Code],tblProducts[Selling Price (excl. VAT)],0)</f>
        <v>250000</v>
      </c>
      <c r="K5528" s="5">
        <f>tblSales[[#This Row],[Qty]]*tblSales[[#This Row],[Unit Price]]</f>
        <v>1250000</v>
      </c>
      <c r="L5528" s="5">
        <f>ROUND(tblSales[[#This Row],[DPP (excl. VAT)]]*VATEff,0)</f>
        <v>137500</v>
      </c>
      <c r="M5528" s="5">
        <f>tblSales[[#This Row],[DPP (excl. VAT)]]+tblSales[[#This Row],[Output VAT]]</f>
        <v>1387500</v>
      </c>
      <c r="N5528" s="5">
        <f>tblSales[[#This Row],[Qty]]*_xlfn.XLOOKUP(tblSales[[#This Row],[Product Code]],tblProducts[Code],tblProducts[Unit Cost],0)</f>
        <v>775000</v>
      </c>
      <c r="O5528" s="4" t="s">
        <v>4866</v>
      </c>
      <c r="P5528" s="4" t="s">
        <v>4860</v>
      </c>
      <c r="Q5528" s="1" t="str">
        <f>_xlfn.XLOOKUP(tblSales[[#This Row],[Channel Code]],tblChannels[Channel Code],tblChannels[Channel Name],"")</f>
        <v>In-store</v>
      </c>
      <c r="R5528" s="1">
        <f>MONTH(tblSales[[#This Row],[Date]])</f>
        <v>12</v>
      </c>
    </row>
    <row r="5529" spans="2:18" x14ac:dyDescent="0.35">
      <c r="B5529" s="113">
        <v>46357</v>
      </c>
      <c r="C5529" s="4" t="s">
        <v>3788</v>
      </c>
      <c r="D5529" s="4" t="s">
        <v>4585</v>
      </c>
      <c r="E5529" s="1" t="str">
        <f>_xlfn.XLOOKUP(tblSales[[#This Row],[Customer ID]],tblCustomers[Customer ID],tblCustomers[Customer Name],"⚠ Unknown")</f>
        <v>CV Mitra Karya Mandiri</v>
      </c>
      <c r="F5529" s="4" t="s">
        <v>9</v>
      </c>
      <c r="G5529" s="1" t="str">
        <f>_xlfn.XLOOKUP(tblSales[[#This Row],[Product Code]],tblProducts[Code],tblProducts[Product / Service Name],"⚠ Unknown")</f>
        <v>Casual Shirt</v>
      </c>
      <c r="H5529" s="1" t="str">
        <f>_xlfn.XLOOKUP(tblSales[[#This Row],[Product Code]],tblProducts[Code],tblProducts[Category],"")</f>
        <v>Apparel &amp; Footwear</v>
      </c>
      <c r="I5529" s="4">
        <v>24</v>
      </c>
      <c r="J5529" s="5">
        <f>_xlfn.XLOOKUP(tblSales[[#This Row],[Product Code]],tblProducts[Code],tblProducts[Selling Price (excl. VAT)],0)</f>
        <v>120000</v>
      </c>
      <c r="K5529" s="5">
        <f>tblSales[[#This Row],[Qty]]*tblSales[[#This Row],[Unit Price]]</f>
        <v>2880000</v>
      </c>
      <c r="L5529" s="5">
        <f>ROUND(tblSales[[#This Row],[DPP (excl. VAT)]]*VATEff,0)</f>
        <v>316800</v>
      </c>
      <c r="M5529" s="5">
        <f>tblSales[[#This Row],[DPP (excl. VAT)]]+tblSales[[#This Row],[Output VAT]]</f>
        <v>3196800</v>
      </c>
      <c r="N5529" s="5">
        <f>tblSales[[#This Row],[Qty]]*_xlfn.XLOOKUP(tblSales[[#This Row],[Product Code]],tblProducts[Code],tblProducts[Unit Cost],0)</f>
        <v>1728000</v>
      </c>
      <c r="O5529" s="4" t="s">
        <v>4867</v>
      </c>
      <c r="P5529" s="4" t="s">
        <v>4860</v>
      </c>
      <c r="Q5529" s="1" t="str">
        <f>_xlfn.XLOOKUP(tblSales[[#This Row],[Channel Code]],tblChannels[Channel Code],tblChannels[Channel Name],"")</f>
        <v>In-store</v>
      </c>
      <c r="R5529" s="1">
        <f>MONTH(tblSales[[#This Row],[Date]])</f>
        <v>12</v>
      </c>
    </row>
    <row r="5530" spans="2:18" x14ac:dyDescent="0.35">
      <c r="B5530" s="113">
        <v>46357</v>
      </c>
      <c r="C5530" s="4" t="s">
        <v>3789</v>
      </c>
      <c r="D5530" s="4" t="s">
        <v>4568</v>
      </c>
      <c r="E5530" s="1" t="str">
        <f>_xlfn.XLOOKUP(tblSales[[#This Row],[Customer ID]],tblCustomers[Customer ID],tblCustomers[Customer Name],"⚠ Unknown")</f>
        <v>Walk-in Customer</v>
      </c>
      <c r="F5530" s="4" t="s">
        <v>6</v>
      </c>
      <c r="G5530" s="1" t="str">
        <f>_xlfn.XLOOKUP(tblSales[[#This Row],[Product Code]],tblProducts[Code],tblProducts[Product / Service Name],"⚠ Unknown")</f>
        <v>Socks &amp; Accessories</v>
      </c>
      <c r="H5530" s="1" t="str">
        <f>_xlfn.XLOOKUP(tblSales[[#This Row],[Product Code]],tblProducts[Code],tblProducts[Category],"")</f>
        <v>Accessories &amp; Basics</v>
      </c>
      <c r="I5530" s="4">
        <v>9</v>
      </c>
      <c r="J5530" s="5">
        <f>_xlfn.XLOOKUP(tblSales[[#This Row],[Product Code]],tblProducts[Code],tblProducts[Selling Price (excl. VAT)],0)</f>
        <v>45000</v>
      </c>
      <c r="K5530" s="5">
        <f>tblSales[[#This Row],[Qty]]*tblSales[[#This Row],[Unit Price]]</f>
        <v>405000</v>
      </c>
      <c r="L5530" s="5">
        <f>ROUND(tblSales[[#This Row],[DPP (excl. VAT)]]*VATEff,0)</f>
        <v>44550</v>
      </c>
      <c r="M5530" s="5">
        <f>tblSales[[#This Row],[DPP (excl. VAT)]]+tblSales[[#This Row],[Output VAT]]</f>
        <v>449550</v>
      </c>
      <c r="N5530" s="5">
        <f>tblSales[[#This Row],[Qty]]*_xlfn.XLOOKUP(tblSales[[#This Row],[Product Code]],tblProducts[Code],tblProducts[Unit Cost],0)</f>
        <v>216000</v>
      </c>
      <c r="O5530" s="4" t="s">
        <v>4866</v>
      </c>
      <c r="P5530" s="4" t="s">
        <v>4861</v>
      </c>
      <c r="Q5530" s="1" t="str">
        <f>_xlfn.XLOOKUP(tblSales[[#This Row],[Channel Code]],tblChannels[Channel Code],tblChannels[Channel Name],"")</f>
        <v>Marketplace</v>
      </c>
      <c r="R5530" s="1">
        <f>MONTH(tblSales[[#This Row],[Date]])</f>
        <v>12</v>
      </c>
    </row>
    <row r="5531" spans="2:18" x14ac:dyDescent="0.35">
      <c r="B5531" s="113">
        <v>46357</v>
      </c>
      <c r="C5531" s="4" t="s">
        <v>3789</v>
      </c>
      <c r="D5531" s="4" t="s">
        <v>4568</v>
      </c>
      <c r="E5531" s="1" t="str">
        <f>_xlfn.XLOOKUP(tblSales[[#This Row],[Customer ID]],tblCustomers[Customer ID],tblCustomers[Customer Name],"⚠ Unknown")</f>
        <v>Walk-in Customer</v>
      </c>
      <c r="F5531" s="4" t="s">
        <v>8</v>
      </c>
      <c r="G5531" s="1" t="str">
        <f>_xlfn.XLOOKUP(tblSales[[#This Row],[Product Code]],tblProducts[Code],tblProducts[Product / Service Name],"⚠ Unknown")</f>
        <v>Casual Shorts</v>
      </c>
      <c r="H5531" s="1" t="str">
        <f>_xlfn.XLOOKUP(tblSales[[#This Row],[Product Code]],tblProducts[Code],tblProducts[Category],"")</f>
        <v>Accessories &amp; Basics</v>
      </c>
      <c r="I5531" s="4">
        <v>10</v>
      </c>
      <c r="J5531" s="5">
        <f>_xlfn.XLOOKUP(tblSales[[#This Row],[Product Code]],tblProducts[Code],tblProducts[Selling Price (excl. VAT)],0)</f>
        <v>85000</v>
      </c>
      <c r="K5531" s="5">
        <f>tblSales[[#This Row],[Qty]]*tblSales[[#This Row],[Unit Price]]</f>
        <v>850000</v>
      </c>
      <c r="L5531" s="5">
        <f>ROUND(tblSales[[#This Row],[DPP (excl. VAT)]]*VATEff,0)</f>
        <v>93500</v>
      </c>
      <c r="M5531" s="5">
        <f>tblSales[[#This Row],[DPP (excl. VAT)]]+tblSales[[#This Row],[Output VAT]]</f>
        <v>943500</v>
      </c>
      <c r="N5531" s="5">
        <f>tblSales[[#This Row],[Qty]]*_xlfn.XLOOKUP(tblSales[[#This Row],[Product Code]],tblProducts[Code],tblProducts[Unit Cost],0)</f>
        <v>500000</v>
      </c>
      <c r="O5531" s="4" t="s">
        <v>4866</v>
      </c>
      <c r="P5531" s="4" t="s">
        <v>4861</v>
      </c>
      <c r="Q5531" s="1" t="str">
        <f>_xlfn.XLOOKUP(tblSales[[#This Row],[Channel Code]],tblChannels[Channel Code],tblChannels[Channel Name],"")</f>
        <v>Marketplace</v>
      </c>
      <c r="R5531" s="1">
        <f>MONTH(tblSales[[#This Row],[Date]])</f>
        <v>12</v>
      </c>
    </row>
    <row r="5532" spans="2:18" x14ac:dyDescent="0.35">
      <c r="B5532" s="113">
        <v>46357</v>
      </c>
      <c r="C5532" s="4" t="s">
        <v>3790</v>
      </c>
      <c r="D5532" s="4" t="s">
        <v>4568</v>
      </c>
      <c r="E5532" s="1" t="str">
        <f>_xlfn.XLOOKUP(tblSales[[#This Row],[Customer ID]],tblCustomers[Customer ID],tblCustomers[Customer Name],"⚠ Unknown")</f>
        <v>Walk-in Customer</v>
      </c>
      <c r="F5532" s="4" t="s">
        <v>7</v>
      </c>
      <c r="G5532" s="1" t="str">
        <f>_xlfn.XLOOKUP(tblSales[[#This Row],[Product Code]],tblProducts[Code],tblProducts[Product / Service Name],"⚠ Unknown")</f>
        <v>Premium Basic T-shirt</v>
      </c>
      <c r="H5532" s="1" t="str">
        <f>_xlfn.XLOOKUP(tblSales[[#This Row],[Product Code]],tblProducts[Code],tblProducts[Category],"")</f>
        <v>Accessories &amp; Basics</v>
      </c>
      <c r="I5532" s="4">
        <v>6</v>
      </c>
      <c r="J5532" s="5">
        <f>_xlfn.XLOOKUP(tblSales[[#This Row],[Product Code]],tblProducts[Code],tblProducts[Selling Price (excl. VAT)],0)</f>
        <v>65000</v>
      </c>
      <c r="K5532" s="5">
        <f>tblSales[[#This Row],[Qty]]*tblSales[[#This Row],[Unit Price]]</f>
        <v>390000</v>
      </c>
      <c r="L5532" s="5">
        <f>ROUND(tblSales[[#This Row],[DPP (excl. VAT)]]*VATEff,0)</f>
        <v>42900</v>
      </c>
      <c r="M5532" s="5">
        <f>tblSales[[#This Row],[DPP (excl. VAT)]]+tblSales[[#This Row],[Output VAT]]</f>
        <v>432900</v>
      </c>
      <c r="N5532" s="5">
        <f>tblSales[[#This Row],[Qty]]*_xlfn.XLOOKUP(tblSales[[#This Row],[Product Code]],tblProducts[Code],tblProducts[Unit Cost],0)</f>
        <v>222000</v>
      </c>
      <c r="O5532" s="4" t="s">
        <v>4866</v>
      </c>
      <c r="P5532" s="4" t="s">
        <v>4861</v>
      </c>
      <c r="Q5532" s="1" t="str">
        <f>_xlfn.XLOOKUP(tblSales[[#This Row],[Channel Code]],tblChannels[Channel Code],tblChannels[Channel Name],"")</f>
        <v>Marketplace</v>
      </c>
      <c r="R5532" s="1">
        <f>MONTH(tblSales[[#This Row],[Date]])</f>
        <v>12</v>
      </c>
    </row>
    <row r="5533" spans="2:18" x14ac:dyDescent="0.35">
      <c r="B5533" s="113">
        <v>46357</v>
      </c>
      <c r="C5533" s="4" t="s">
        <v>3791</v>
      </c>
      <c r="D5533" s="4" t="s">
        <v>4634</v>
      </c>
      <c r="E5533" s="1" t="str">
        <f>_xlfn.XLOOKUP(tblSales[[#This Row],[Customer ID]],tblCustomers[Customer ID],tblCustomers[Customer Name],"⚠ Unknown")</f>
        <v>PT Delta Inti Selaras</v>
      </c>
      <c r="F5533" s="4" t="s">
        <v>7</v>
      </c>
      <c r="G5533" s="1" t="str">
        <f>_xlfn.XLOOKUP(tblSales[[#This Row],[Product Code]],tblProducts[Code],tblProducts[Product / Service Name],"⚠ Unknown")</f>
        <v>Premium Basic T-shirt</v>
      </c>
      <c r="H5533" s="1" t="str">
        <f>_xlfn.XLOOKUP(tblSales[[#This Row],[Product Code]],tblProducts[Code],tblProducts[Category],"")</f>
        <v>Accessories &amp; Basics</v>
      </c>
      <c r="I5533" s="4">
        <v>64</v>
      </c>
      <c r="J5533" s="5">
        <f>_xlfn.XLOOKUP(tblSales[[#This Row],[Product Code]],tblProducts[Code],tblProducts[Selling Price (excl. VAT)],0)</f>
        <v>65000</v>
      </c>
      <c r="K5533" s="5">
        <f>tblSales[[#This Row],[Qty]]*tblSales[[#This Row],[Unit Price]]</f>
        <v>4160000</v>
      </c>
      <c r="L5533" s="5">
        <f>ROUND(tblSales[[#This Row],[DPP (excl. VAT)]]*VATEff,0)</f>
        <v>457600</v>
      </c>
      <c r="M5533" s="5">
        <f>tblSales[[#This Row],[DPP (excl. VAT)]]+tblSales[[#This Row],[Output VAT]]</f>
        <v>4617600</v>
      </c>
      <c r="N5533" s="5">
        <f>tblSales[[#This Row],[Qty]]*_xlfn.XLOOKUP(tblSales[[#This Row],[Product Code]],tblProducts[Code],tblProducts[Unit Cost],0)</f>
        <v>2368000</v>
      </c>
      <c r="O5533" s="4" t="s">
        <v>4867</v>
      </c>
      <c r="P5533" s="4" t="s">
        <v>4860</v>
      </c>
      <c r="Q5533" s="1" t="str">
        <f>_xlfn.XLOOKUP(tblSales[[#This Row],[Channel Code]],tblChannels[Channel Code],tblChannels[Channel Name],"")</f>
        <v>In-store</v>
      </c>
      <c r="R5533" s="1">
        <f>MONTH(tblSales[[#This Row],[Date]])</f>
        <v>12</v>
      </c>
    </row>
    <row r="5534" spans="2:18" x14ac:dyDescent="0.35">
      <c r="B5534" s="113">
        <v>46357</v>
      </c>
      <c r="C5534" s="4" t="s">
        <v>3791</v>
      </c>
      <c r="D5534" s="4" t="s">
        <v>4634</v>
      </c>
      <c r="E5534" s="1" t="str">
        <f>_xlfn.XLOOKUP(tblSales[[#This Row],[Customer ID]],tblCustomers[Customer ID],tblCustomers[Customer Name],"⚠ Unknown")</f>
        <v>PT Delta Inti Selaras</v>
      </c>
      <c r="F5534" s="4" t="s">
        <v>6</v>
      </c>
      <c r="G5534" s="1" t="str">
        <f>_xlfn.XLOOKUP(tblSales[[#This Row],[Product Code]],tblProducts[Code],tblProducts[Product / Service Name],"⚠ Unknown")</f>
        <v>Socks &amp; Accessories</v>
      </c>
      <c r="H5534" s="1" t="str">
        <f>_xlfn.XLOOKUP(tblSales[[#This Row],[Product Code]],tblProducts[Code],tblProducts[Category],"")</f>
        <v>Accessories &amp; Basics</v>
      </c>
      <c r="I5534" s="4">
        <v>88</v>
      </c>
      <c r="J5534" s="5">
        <f>_xlfn.XLOOKUP(tblSales[[#This Row],[Product Code]],tblProducts[Code],tblProducts[Selling Price (excl. VAT)],0)</f>
        <v>45000</v>
      </c>
      <c r="K5534" s="5">
        <f>tblSales[[#This Row],[Qty]]*tblSales[[#This Row],[Unit Price]]</f>
        <v>3960000</v>
      </c>
      <c r="L5534" s="5">
        <f>ROUND(tblSales[[#This Row],[DPP (excl. VAT)]]*VATEff,0)</f>
        <v>435600</v>
      </c>
      <c r="M5534" s="5">
        <f>tblSales[[#This Row],[DPP (excl. VAT)]]+tblSales[[#This Row],[Output VAT]]</f>
        <v>4395600</v>
      </c>
      <c r="N5534" s="5">
        <f>tblSales[[#This Row],[Qty]]*_xlfn.XLOOKUP(tblSales[[#This Row],[Product Code]],tblProducts[Code],tblProducts[Unit Cost],0)</f>
        <v>2112000</v>
      </c>
      <c r="O5534" s="4" t="s">
        <v>4867</v>
      </c>
      <c r="P5534" s="4" t="s">
        <v>4860</v>
      </c>
      <c r="Q5534" s="1" t="str">
        <f>_xlfn.XLOOKUP(tblSales[[#This Row],[Channel Code]],tblChannels[Channel Code],tblChannels[Channel Name],"")</f>
        <v>In-store</v>
      </c>
      <c r="R5534" s="1">
        <f>MONTH(tblSales[[#This Row],[Date]])</f>
        <v>12</v>
      </c>
    </row>
    <row r="5535" spans="2:18" x14ac:dyDescent="0.35">
      <c r="B5535" s="113">
        <v>46357</v>
      </c>
      <c r="C5535" s="4" t="s">
        <v>3792</v>
      </c>
      <c r="D5535" s="4" t="s">
        <v>4568</v>
      </c>
      <c r="E5535" s="1" t="str">
        <f>_xlfn.XLOOKUP(tblSales[[#This Row],[Customer ID]],tblCustomers[Customer ID],tblCustomers[Customer Name],"⚠ Unknown")</f>
        <v>Walk-in Customer</v>
      </c>
      <c r="F5535" s="4" t="s">
        <v>11</v>
      </c>
      <c r="G5535" s="1" t="str">
        <f>_xlfn.XLOOKUP(tblSales[[#This Row],[Product Code]],tblProducts[Code],tblProducts[Product / Service Name],"⚠ Unknown")</f>
        <v>Sneakers</v>
      </c>
      <c r="H5535" s="1" t="str">
        <f>_xlfn.XLOOKUP(tblSales[[#This Row],[Product Code]],tblProducts[Code],tblProducts[Category],"")</f>
        <v>Apparel &amp; Footwear</v>
      </c>
      <c r="I5535" s="4">
        <v>5</v>
      </c>
      <c r="J5535" s="5">
        <f>_xlfn.XLOOKUP(tblSales[[#This Row],[Product Code]],tblProducts[Code],tblProducts[Selling Price (excl. VAT)],0)</f>
        <v>250000</v>
      </c>
      <c r="K5535" s="5">
        <f>tblSales[[#This Row],[Qty]]*tblSales[[#This Row],[Unit Price]]</f>
        <v>1250000</v>
      </c>
      <c r="L5535" s="5">
        <f>ROUND(tblSales[[#This Row],[DPP (excl. VAT)]]*VATEff,0)</f>
        <v>137500</v>
      </c>
      <c r="M5535" s="5">
        <f>tblSales[[#This Row],[DPP (excl. VAT)]]+tblSales[[#This Row],[Output VAT]]</f>
        <v>1387500</v>
      </c>
      <c r="N5535" s="5">
        <f>tblSales[[#This Row],[Qty]]*_xlfn.XLOOKUP(tblSales[[#This Row],[Product Code]],tblProducts[Code],tblProducts[Unit Cost],0)</f>
        <v>775000</v>
      </c>
      <c r="O5535" s="4" t="s">
        <v>4865</v>
      </c>
      <c r="P5535" s="4" t="s">
        <v>4860</v>
      </c>
      <c r="Q5535" s="1" t="str">
        <f>_xlfn.XLOOKUP(tblSales[[#This Row],[Channel Code]],tblChannels[Channel Code],tblChannels[Channel Name],"")</f>
        <v>In-store</v>
      </c>
      <c r="R5535" s="1">
        <f>MONTH(tblSales[[#This Row],[Date]])</f>
        <v>12</v>
      </c>
    </row>
    <row r="5536" spans="2:18" x14ac:dyDescent="0.35">
      <c r="B5536" s="113">
        <v>46357</v>
      </c>
      <c r="C5536" s="4" t="s">
        <v>3793</v>
      </c>
      <c r="D5536" s="4" t="s">
        <v>4568</v>
      </c>
      <c r="E5536" s="1" t="str">
        <f>_xlfn.XLOOKUP(tblSales[[#This Row],[Customer ID]],tblCustomers[Customer ID],tblCustomers[Customer Name],"⚠ Unknown")</f>
        <v>Walk-in Customer</v>
      </c>
      <c r="F5536" s="4" t="s">
        <v>6</v>
      </c>
      <c r="G5536" s="1" t="str">
        <f>_xlfn.XLOOKUP(tblSales[[#This Row],[Product Code]],tblProducts[Code],tblProducts[Product / Service Name],"⚠ Unknown")</f>
        <v>Socks &amp; Accessories</v>
      </c>
      <c r="H5536" s="1" t="str">
        <f>_xlfn.XLOOKUP(tblSales[[#This Row],[Product Code]],tblProducts[Code],tblProducts[Category],"")</f>
        <v>Accessories &amp; Basics</v>
      </c>
      <c r="I5536" s="4">
        <v>1</v>
      </c>
      <c r="J5536" s="5">
        <f>_xlfn.XLOOKUP(tblSales[[#This Row],[Product Code]],tblProducts[Code],tblProducts[Selling Price (excl. VAT)],0)</f>
        <v>45000</v>
      </c>
      <c r="K5536" s="5">
        <f>tblSales[[#This Row],[Qty]]*tblSales[[#This Row],[Unit Price]]</f>
        <v>45000</v>
      </c>
      <c r="L5536" s="5">
        <f>ROUND(tblSales[[#This Row],[DPP (excl. VAT)]]*VATEff,0)</f>
        <v>4950</v>
      </c>
      <c r="M5536" s="5">
        <f>tblSales[[#This Row],[DPP (excl. VAT)]]+tblSales[[#This Row],[Output VAT]]</f>
        <v>49950</v>
      </c>
      <c r="N5536" s="5">
        <f>tblSales[[#This Row],[Qty]]*_xlfn.XLOOKUP(tblSales[[#This Row],[Product Code]],tblProducts[Code],tblProducts[Unit Cost],0)</f>
        <v>24000</v>
      </c>
      <c r="O5536" s="4" t="s">
        <v>4866</v>
      </c>
      <c r="P5536" s="4" t="s">
        <v>4861</v>
      </c>
      <c r="Q5536" s="1" t="str">
        <f>_xlfn.XLOOKUP(tblSales[[#This Row],[Channel Code]],tblChannels[Channel Code],tblChannels[Channel Name],"")</f>
        <v>Marketplace</v>
      </c>
      <c r="R5536" s="1">
        <f>MONTH(tblSales[[#This Row],[Date]])</f>
        <v>12</v>
      </c>
    </row>
    <row r="5537" spans="2:18" x14ac:dyDescent="0.35">
      <c r="B5537" s="113">
        <v>46357</v>
      </c>
      <c r="C5537" s="4" t="s">
        <v>3794</v>
      </c>
      <c r="D5537" s="4" t="s">
        <v>4568</v>
      </c>
      <c r="E5537" s="1" t="str">
        <f>_xlfn.XLOOKUP(tblSales[[#This Row],[Customer ID]],tblCustomers[Customer ID],tblCustomers[Customer Name],"⚠ Unknown")</f>
        <v>Walk-in Customer</v>
      </c>
      <c r="F5537" s="4" t="s">
        <v>15</v>
      </c>
      <c r="G5537" s="1" t="str">
        <f>_xlfn.XLOOKUP(tblSales[[#This Row],[Product Code]],tblProducts[Code],tblProducts[Product / Service Name],"⚠ Unknown")</f>
        <v>Wireless Earbuds Pro</v>
      </c>
      <c r="H5537" s="1" t="str">
        <f>_xlfn.XLOOKUP(tblSales[[#This Row],[Product Code]],tblProducts[Code],tblProducts[Category],"")</f>
        <v>Bags &amp; Gadgets</v>
      </c>
      <c r="I5537" s="4">
        <v>2</v>
      </c>
      <c r="J5537" s="5">
        <f>_xlfn.XLOOKUP(tblSales[[#This Row],[Product Code]],tblProducts[Code],tblProducts[Selling Price (excl. VAT)],0)</f>
        <v>1250000</v>
      </c>
      <c r="K5537" s="5">
        <f>tblSales[[#This Row],[Qty]]*tblSales[[#This Row],[Unit Price]]</f>
        <v>2500000</v>
      </c>
      <c r="L5537" s="5">
        <f>ROUND(tblSales[[#This Row],[DPP (excl. VAT)]]*VATEff,0)</f>
        <v>275000</v>
      </c>
      <c r="M5537" s="5">
        <f>tblSales[[#This Row],[DPP (excl. VAT)]]+tblSales[[#This Row],[Output VAT]]</f>
        <v>2775000</v>
      </c>
      <c r="N5537" s="5">
        <f>tblSales[[#This Row],[Qty]]*_xlfn.XLOOKUP(tblSales[[#This Row],[Product Code]],tblProducts[Code],tblProducts[Unit Cost],0)</f>
        <v>1640000</v>
      </c>
      <c r="O5537" s="4" t="s">
        <v>4865</v>
      </c>
      <c r="P5537" s="4" t="s">
        <v>4860</v>
      </c>
      <c r="Q5537" s="1" t="str">
        <f>_xlfn.XLOOKUP(tblSales[[#This Row],[Channel Code]],tblChannels[Channel Code],tblChannels[Channel Name],"")</f>
        <v>In-store</v>
      </c>
      <c r="R5537" s="1">
        <f>MONTH(tblSales[[#This Row],[Date]])</f>
        <v>12</v>
      </c>
    </row>
    <row r="5538" spans="2:18" x14ac:dyDescent="0.35">
      <c r="B5538" s="113">
        <v>46357</v>
      </c>
      <c r="C5538" s="4" t="s">
        <v>3794</v>
      </c>
      <c r="D5538" s="4" t="s">
        <v>4568</v>
      </c>
      <c r="E5538" s="1" t="str">
        <f>_xlfn.XLOOKUP(tblSales[[#This Row],[Customer ID]],tblCustomers[Customer ID],tblCustomers[Customer Name],"⚠ Unknown")</f>
        <v>Walk-in Customer</v>
      </c>
      <c r="F5538" s="4" t="s">
        <v>9</v>
      </c>
      <c r="G5538" s="1" t="str">
        <f>_xlfn.XLOOKUP(tblSales[[#This Row],[Product Code]],tblProducts[Code],tblProducts[Product / Service Name],"⚠ Unknown")</f>
        <v>Casual Shirt</v>
      </c>
      <c r="H5538" s="1" t="str">
        <f>_xlfn.XLOOKUP(tblSales[[#This Row],[Product Code]],tblProducts[Code],tblProducts[Category],"")</f>
        <v>Apparel &amp; Footwear</v>
      </c>
      <c r="I5538" s="4">
        <v>7</v>
      </c>
      <c r="J5538" s="5">
        <f>_xlfn.XLOOKUP(tblSales[[#This Row],[Product Code]],tblProducts[Code],tblProducts[Selling Price (excl. VAT)],0)</f>
        <v>120000</v>
      </c>
      <c r="K5538" s="5">
        <f>tblSales[[#This Row],[Qty]]*tblSales[[#This Row],[Unit Price]]</f>
        <v>840000</v>
      </c>
      <c r="L5538" s="5">
        <f>ROUND(tblSales[[#This Row],[DPP (excl. VAT)]]*VATEff,0)</f>
        <v>92400</v>
      </c>
      <c r="M5538" s="5">
        <f>tblSales[[#This Row],[DPP (excl. VAT)]]+tblSales[[#This Row],[Output VAT]]</f>
        <v>932400</v>
      </c>
      <c r="N5538" s="5">
        <f>tblSales[[#This Row],[Qty]]*_xlfn.XLOOKUP(tblSales[[#This Row],[Product Code]],tblProducts[Code],tblProducts[Unit Cost],0)</f>
        <v>504000</v>
      </c>
      <c r="O5538" s="4" t="s">
        <v>4865</v>
      </c>
      <c r="P5538" s="4" t="s">
        <v>4860</v>
      </c>
      <c r="Q5538" s="1" t="str">
        <f>_xlfn.XLOOKUP(tblSales[[#This Row],[Channel Code]],tblChannels[Channel Code],tblChannels[Channel Name],"")</f>
        <v>In-store</v>
      </c>
      <c r="R5538" s="1">
        <f>MONTH(tblSales[[#This Row],[Date]])</f>
        <v>12</v>
      </c>
    </row>
    <row r="5539" spans="2:18" x14ac:dyDescent="0.35">
      <c r="B5539" s="113">
        <v>46357</v>
      </c>
      <c r="C5539" s="4" t="s">
        <v>3795</v>
      </c>
      <c r="D5539" s="4" t="s">
        <v>4599</v>
      </c>
      <c r="E5539" s="1" t="str">
        <f>_xlfn.XLOOKUP(tblSales[[#This Row],[Customer ID]],tblCustomers[Customer ID],tblCustomers[Customer Name],"⚠ Unknown")</f>
        <v>PT Samudra Jaya Logistik</v>
      </c>
      <c r="F5539" s="4" t="s">
        <v>7</v>
      </c>
      <c r="G5539" s="1" t="str">
        <f>_xlfn.XLOOKUP(tblSales[[#This Row],[Product Code]],tblProducts[Code],tblProducts[Product / Service Name],"⚠ Unknown")</f>
        <v>Premium Basic T-shirt</v>
      </c>
      <c r="H5539" s="1" t="str">
        <f>_xlfn.XLOOKUP(tblSales[[#This Row],[Product Code]],tblProducts[Code],tblProducts[Category],"")</f>
        <v>Accessories &amp; Basics</v>
      </c>
      <c r="I5539" s="4">
        <v>80</v>
      </c>
      <c r="J5539" s="5">
        <f>_xlfn.XLOOKUP(tblSales[[#This Row],[Product Code]],tblProducts[Code],tblProducts[Selling Price (excl. VAT)],0)</f>
        <v>65000</v>
      </c>
      <c r="K5539" s="5">
        <f>tblSales[[#This Row],[Qty]]*tblSales[[#This Row],[Unit Price]]</f>
        <v>5200000</v>
      </c>
      <c r="L5539" s="5">
        <f>ROUND(tblSales[[#This Row],[DPP (excl. VAT)]]*VATEff,0)</f>
        <v>572000</v>
      </c>
      <c r="M5539" s="5">
        <f>tblSales[[#This Row],[DPP (excl. VAT)]]+tblSales[[#This Row],[Output VAT]]</f>
        <v>5772000</v>
      </c>
      <c r="N5539" s="5">
        <f>tblSales[[#This Row],[Qty]]*_xlfn.XLOOKUP(tblSales[[#This Row],[Product Code]],tblProducts[Code],tblProducts[Unit Cost],0)</f>
        <v>2960000</v>
      </c>
      <c r="O5539" s="4" t="s">
        <v>4867</v>
      </c>
      <c r="P5539" s="4" t="s">
        <v>4862</v>
      </c>
      <c r="Q5539" s="1" t="str">
        <f>_xlfn.XLOOKUP(tblSales[[#This Row],[Channel Code]],tblChannels[Channel Code],tblChannels[Channel Name],"")</f>
        <v>Website &amp; Social Media</v>
      </c>
      <c r="R5539" s="1">
        <f>MONTH(tblSales[[#This Row],[Date]])</f>
        <v>12</v>
      </c>
    </row>
    <row r="5540" spans="2:18" x14ac:dyDescent="0.35">
      <c r="B5540" s="113">
        <v>46357</v>
      </c>
      <c r="C5540" s="4" t="s">
        <v>3796</v>
      </c>
      <c r="D5540" s="4" t="s">
        <v>4648</v>
      </c>
      <c r="E5540" s="1" t="str">
        <f>_xlfn.XLOOKUP(tblSales[[#This Row],[Customer ID]],tblCustomers[Customer ID],tblCustomers[Customer Name],"⚠ Unknown")</f>
        <v>PT Lintas Benua Niaga</v>
      </c>
      <c r="F5540" s="4" t="s">
        <v>7</v>
      </c>
      <c r="G5540" s="1" t="str">
        <f>_xlfn.XLOOKUP(tblSales[[#This Row],[Product Code]],tblProducts[Code],tblProducts[Product / Service Name],"⚠ Unknown")</f>
        <v>Premium Basic T-shirt</v>
      </c>
      <c r="H5540" s="1" t="str">
        <f>_xlfn.XLOOKUP(tblSales[[#This Row],[Product Code]],tblProducts[Code],tblProducts[Category],"")</f>
        <v>Accessories &amp; Basics</v>
      </c>
      <c r="I5540" s="4">
        <v>56</v>
      </c>
      <c r="J5540" s="5">
        <f>_xlfn.XLOOKUP(tblSales[[#This Row],[Product Code]],tblProducts[Code],tblProducts[Selling Price (excl. VAT)],0)</f>
        <v>65000</v>
      </c>
      <c r="K5540" s="5">
        <f>tblSales[[#This Row],[Qty]]*tblSales[[#This Row],[Unit Price]]</f>
        <v>3640000</v>
      </c>
      <c r="L5540" s="5">
        <f>ROUND(tblSales[[#This Row],[DPP (excl. VAT)]]*VATEff,0)</f>
        <v>400400</v>
      </c>
      <c r="M5540" s="5">
        <f>tblSales[[#This Row],[DPP (excl. VAT)]]+tblSales[[#This Row],[Output VAT]]</f>
        <v>4040400</v>
      </c>
      <c r="N5540" s="5">
        <f>tblSales[[#This Row],[Qty]]*_xlfn.XLOOKUP(tblSales[[#This Row],[Product Code]],tblProducts[Code],tblProducts[Unit Cost],0)</f>
        <v>2072000</v>
      </c>
      <c r="O5540" s="4" t="s">
        <v>4867</v>
      </c>
      <c r="P5540" s="4" t="s">
        <v>4860</v>
      </c>
      <c r="Q5540" s="1" t="str">
        <f>_xlfn.XLOOKUP(tblSales[[#This Row],[Channel Code]],tblChannels[Channel Code],tblChannels[Channel Name],"")</f>
        <v>In-store</v>
      </c>
      <c r="R5540" s="1">
        <f>MONTH(tblSales[[#This Row],[Date]])</f>
        <v>12</v>
      </c>
    </row>
    <row r="5541" spans="2:18" x14ac:dyDescent="0.35">
      <c r="B5541" s="113">
        <v>46357</v>
      </c>
      <c r="C5541" s="4" t="s">
        <v>3797</v>
      </c>
      <c r="D5541" s="4" t="s">
        <v>4568</v>
      </c>
      <c r="E5541" s="1" t="str">
        <f>_xlfn.XLOOKUP(tblSales[[#This Row],[Customer ID]],tblCustomers[Customer ID],tblCustomers[Customer Name],"⚠ Unknown")</f>
        <v>Walk-in Customer</v>
      </c>
      <c r="F5541" s="4" t="s">
        <v>6</v>
      </c>
      <c r="G5541" s="1" t="str">
        <f>_xlfn.XLOOKUP(tblSales[[#This Row],[Product Code]],tblProducts[Code],tblProducts[Product / Service Name],"⚠ Unknown")</f>
        <v>Socks &amp; Accessories</v>
      </c>
      <c r="H5541" s="1" t="str">
        <f>_xlfn.XLOOKUP(tblSales[[#This Row],[Product Code]],tblProducts[Code],tblProducts[Category],"")</f>
        <v>Accessories &amp; Basics</v>
      </c>
      <c r="I5541" s="4">
        <v>9</v>
      </c>
      <c r="J5541" s="5">
        <f>_xlfn.XLOOKUP(tblSales[[#This Row],[Product Code]],tblProducts[Code],tblProducts[Selling Price (excl. VAT)],0)</f>
        <v>45000</v>
      </c>
      <c r="K5541" s="5">
        <f>tblSales[[#This Row],[Qty]]*tblSales[[#This Row],[Unit Price]]</f>
        <v>405000</v>
      </c>
      <c r="L5541" s="5">
        <f>ROUND(tblSales[[#This Row],[DPP (excl. VAT)]]*VATEff,0)</f>
        <v>44550</v>
      </c>
      <c r="M5541" s="5">
        <f>tblSales[[#This Row],[DPP (excl. VAT)]]+tblSales[[#This Row],[Output VAT]]</f>
        <v>449550</v>
      </c>
      <c r="N5541" s="5">
        <f>tblSales[[#This Row],[Qty]]*_xlfn.XLOOKUP(tblSales[[#This Row],[Product Code]],tblProducts[Code],tblProducts[Unit Cost],0)</f>
        <v>216000</v>
      </c>
      <c r="O5541" s="4" t="s">
        <v>4865</v>
      </c>
      <c r="P5541" s="4" t="s">
        <v>4860</v>
      </c>
      <c r="Q5541" s="1" t="str">
        <f>_xlfn.XLOOKUP(tblSales[[#This Row],[Channel Code]],tblChannels[Channel Code],tblChannels[Channel Name],"")</f>
        <v>In-store</v>
      </c>
      <c r="R5541" s="1">
        <f>MONTH(tblSales[[#This Row],[Date]])</f>
        <v>12</v>
      </c>
    </row>
    <row r="5542" spans="2:18" x14ac:dyDescent="0.35">
      <c r="B5542" s="113">
        <v>46357</v>
      </c>
      <c r="C5542" s="4" t="s">
        <v>3798</v>
      </c>
      <c r="D5542" s="4" t="s">
        <v>4593</v>
      </c>
      <c r="E5542" s="1" t="str">
        <f>_xlfn.XLOOKUP(tblSales[[#This Row],[Customer ID]],tblCustomers[Customer ID],tblCustomers[Customer Name],"⚠ Unknown")</f>
        <v>PT Graha Nusa Persada</v>
      </c>
      <c r="F5542" s="4" t="s">
        <v>8</v>
      </c>
      <c r="G5542" s="1" t="str">
        <f>_xlfn.XLOOKUP(tblSales[[#This Row],[Product Code]],tblProducts[Code],tblProducts[Product / Service Name],"⚠ Unknown")</f>
        <v>Casual Shorts</v>
      </c>
      <c r="H5542" s="1" t="str">
        <f>_xlfn.XLOOKUP(tblSales[[#This Row],[Product Code]],tblProducts[Code],tblProducts[Category],"")</f>
        <v>Accessories &amp; Basics</v>
      </c>
      <c r="I5542" s="4">
        <v>32</v>
      </c>
      <c r="J5542" s="5">
        <f>_xlfn.XLOOKUP(tblSales[[#This Row],[Product Code]],tblProducts[Code],tblProducts[Selling Price (excl. VAT)],0)</f>
        <v>85000</v>
      </c>
      <c r="K5542" s="5">
        <f>tblSales[[#This Row],[Qty]]*tblSales[[#This Row],[Unit Price]]</f>
        <v>2720000</v>
      </c>
      <c r="L5542" s="5">
        <f>ROUND(tblSales[[#This Row],[DPP (excl. VAT)]]*VATEff,0)</f>
        <v>299200</v>
      </c>
      <c r="M5542" s="5">
        <f>tblSales[[#This Row],[DPP (excl. VAT)]]+tblSales[[#This Row],[Output VAT]]</f>
        <v>3019200</v>
      </c>
      <c r="N5542" s="5">
        <f>tblSales[[#This Row],[Qty]]*_xlfn.XLOOKUP(tblSales[[#This Row],[Product Code]],tblProducts[Code],tblProducts[Unit Cost],0)</f>
        <v>1600000</v>
      </c>
      <c r="O5542" s="4" t="s">
        <v>4867</v>
      </c>
      <c r="P5542" s="4" t="s">
        <v>4860</v>
      </c>
      <c r="Q5542" s="1" t="str">
        <f>_xlfn.XLOOKUP(tblSales[[#This Row],[Channel Code]],tblChannels[Channel Code],tblChannels[Channel Name],"")</f>
        <v>In-store</v>
      </c>
      <c r="R5542" s="1">
        <f>MONTH(tblSales[[#This Row],[Date]])</f>
        <v>12</v>
      </c>
    </row>
    <row r="5543" spans="2:18" x14ac:dyDescent="0.35">
      <c r="B5543" s="113">
        <v>46358</v>
      </c>
      <c r="C5543" s="4" t="s">
        <v>3799</v>
      </c>
      <c r="D5543" s="4" t="s">
        <v>4593</v>
      </c>
      <c r="E5543" s="1" t="str">
        <f>_xlfn.XLOOKUP(tblSales[[#This Row],[Customer ID]],tblCustomers[Customer ID],tblCustomers[Customer Name],"⚠ Unknown")</f>
        <v>PT Graha Nusa Persada</v>
      </c>
      <c r="F5543" s="4" t="s">
        <v>12</v>
      </c>
      <c r="G5543" s="1" t="str">
        <f>_xlfn.XLOOKUP(tblSales[[#This Row],[Product Code]],tblProducts[Code],tblProducts[Product / Service Name],"⚠ Unknown")</f>
        <v>Bomber Jacket</v>
      </c>
      <c r="H5543" s="1" t="str">
        <f>_xlfn.XLOOKUP(tblSales[[#This Row],[Product Code]],tblProducts[Code],tblProducts[Category],"")</f>
        <v>Apparel &amp; Footwear</v>
      </c>
      <c r="I5543" s="4">
        <v>16</v>
      </c>
      <c r="J5543" s="5">
        <f>_xlfn.XLOOKUP(tblSales[[#This Row],[Product Code]],tblProducts[Code],tblProducts[Selling Price (excl. VAT)],0)</f>
        <v>350000</v>
      </c>
      <c r="K5543" s="5">
        <f>tblSales[[#This Row],[Qty]]*tblSales[[#This Row],[Unit Price]]</f>
        <v>5600000</v>
      </c>
      <c r="L5543" s="5">
        <f>ROUND(tblSales[[#This Row],[DPP (excl. VAT)]]*VATEff,0)</f>
        <v>616000</v>
      </c>
      <c r="M5543" s="5">
        <f>tblSales[[#This Row],[DPP (excl. VAT)]]+tblSales[[#This Row],[Output VAT]]</f>
        <v>6216000</v>
      </c>
      <c r="N5543" s="5">
        <f>tblSales[[#This Row],[Qty]]*_xlfn.XLOOKUP(tblSales[[#This Row],[Product Code]],tblProducts[Code],tblProducts[Unit Cost],0)</f>
        <v>3360000</v>
      </c>
      <c r="O5543" s="4" t="s">
        <v>4867</v>
      </c>
      <c r="P5543" s="4" t="s">
        <v>4860</v>
      </c>
      <c r="Q5543" s="1" t="str">
        <f>_xlfn.XLOOKUP(tblSales[[#This Row],[Channel Code]],tblChannels[Channel Code],tblChannels[Channel Name],"")</f>
        <v>In-store</v>
      </c>
      <c r="R5543" s="1">
        <f>MONTH(tblSales[[#This Row],[Date]])</f>
        <v>12</v>
      </c>
    </row>
    <row r="5544" spans="2:18" x14ac:dyDescent="0.35">
      <c r="B5544" s="113">
        <v>46358</v>
      </c>
      <c r="C5544" s="4" t="s">
        <v>3800</v>
      </c>
      <c r="D5544" s="4" t="s">
        <v>4568</v>
      </c>
      <c r="E5544" s="1" t="str">
        <f>_xlfn.XLOOKUP(tblSales[[#This Row],[Customer ID]],tblCustomers[Customer ID],tblCustomers[Customer Name],"⚠ Unknown")</f>
        <v>Walk-in Customer</v>
      </c>
      <c r="F5544" s="4" t="s">
        <v>6</v>
      </c>
      <c r="G5544" s="1" t="str">
        <f>_xlfn.XLOOKUP(tblSales[[#This Row],[Product Code]],tblProducts[Code],tblProducts[Product / Service Name],"⚠ Unknown")</f>
        <v>Socks &amp; Accessories</v>
      </c>
      <c r="H5544" s="1" t="str">
        <f>_xlfn.XLOOKUP(tblSales[[#This Row],[Product Code]],tblProducts[Code],tblProducts[Category],"")</f>
        <v>Accessories &amp; Basics</v>
      </c>
      <c r="I5544" s="4">
        <v>6</v>
      </c>
      <c r="J5544" s="5">
        <f>_xlfn.XLOOKUP(tblSales[[#This Row],[Product Code]],tblProducts[Code],tblProducts[Selling Price (excl. VAT)],0)</f>
        <v>45000</v>
      </c>
      <c r="K5544" s="5">
        <f>tblSales[[#This Row],[Qty]]*tblSales[[#This Row],[Unit Price]]</f>
        <v>270000</v>
      </c>
      <c r="L5544" s="5">
        <f>ROUND(tblSales[[#This Row],[DPP (excl. VAT)]]*VATEff,0)</f>
        <v>29700</v>
      </c>
      <c r="M5544" s="5">
        <f>tblSales[[#This Row],[DPP (excl. VAT)]]+tblSales[[#This Row],[Output VAT]]</f>
        <v>299700</v>
      </c>
      <c r="N5544" s="5">
        <f>tblSales[[#This Row],[Qty]]*_xlfn.XLOOKUP(tblSales[[#This Row],[Product Code]],tblProducts[Code],tblProducts[Unit Cost],0)</f>
        <v>144000</v>
      </c>
      <c r="O5544" s="4" t="s">
        <v>4865</v>
      </c>
      <c r="P5544" s="4" t="s">
        <v>4860</v>
      </c>
      <c r="Q5544" s="1" t="str">
        <f>_xlfn.XLOOKUP(tblSales[[#This Row],[Channel Code]],tblChannels[Channel Code],tblChannels[Channel Name],"")</f>
        <v>In-store</v>
      </c>
      <c r="R5544" s="1">
        <f>MONTH(tblSales[[#This Row],[Date]])</f>
        <v>12</v>
      </c>
    </row>
    <row r="5545" spans="2:18" x14ac:dyDescent="0.35">
      <c r="B5545" s="113">
        <v>46358</v>
      </c>
      <c r="C5545" s="4" t="s">
        <v>3800</v>
      </c>
      <c r="D5545" s="4" t="s">
        <v>4568</v>
      </c>
      <c r="E5545" s="1" t="str">
        <f>_xlfn.XLOOKUP(tblSales[[#This Row],[Customer ID]],tblCustomers[Customer ID],tblCustomers[Customer Name],"⚠ Unknown")</f>
        <v>Walk-in Customer</v>
      </c>
      <c r="F5545" s="4" t="s">
        <v>9</v>
      </c>
      <c r="G5545" s="1" t="str">
        <f>_xlfn.XLOOKUP(tblSales[[#This Row],[Product Code]],tblProducts[Code],tblProducts[Product / Service Name],"⚠ Unknown")</f>
        <v>Casual Shirt</v>
      </c>
      <c r="H5545" s="1" t="str">
        <f>_xlfn.XLOOKUP(tblSales[[#This Row],[Product Code]],tblProducts[Code],tblProducts[Category],"")</f>
        <v>Apparel &amp; Footwear</v>
      </c>
      <c r="I5545" s="4">
        <v>1</v>
      </c>
      <c r="J5545" s="5">
        <f>_xlfn.XLOOKUP(tblSales[[#This Row],[Product Code]],tblProducts[Code],tblProducts[Selling Price (excl. VAT)],0)</f>
        <v>120000</v>
      </c>
      <c r="K5545" s="5">
        <f>tblSales[[#This Row],[Qty]]*tblSales[[#This Row],[Unit Price]]</f>
        <v>120000</v>
      </c>
      <c r="L5545" s="5">
        <f>ROUND(tblSales[[#This Row],[DPP (excl. VAT)]]*VATEff,0)</f>
        <v>13200</v>
      </c>
      <c r="M5545" s="5">
        <f>tblSales[[#This Row],[DPP (excl. VAT)]]+tblSales[[#This Row],[Output VAT]]</f>
        <v>133200</v>
      </c>
      <c r="N5545" s="5">
        <f>tblSales[[#This Row],[Qty]]*_xlfn.XLOOKUP(tblSales[[#This Row],[Product Code]],tblProducts[Code],tblProducts[Unit Cost],0)</f>
        <v>72000</v>
      </c>
      <c r="O5545" s="4" t="s">
        <v>4865</v>
      </c>
      <c r="P5545" s="4" t="s">
        <v>4860</v>
      </c>
      <c r="Q5545" s="1" t="str">
        <f>_xlfn.XLOOKUP(tblSales[[#This Row],[Channel Code]],tblChannels[Channel Code],tblChannels[Channel Name],"")</f>
        <v>In-store</v>
      </c>
      <c r="R5545" s="1">
        <f>MONTH(tblSales[[#This Row],[Date]])</f>
        <v>12</v>
      </c>
    </row>
    <row r="5546" spans="2:18" x14ac:dyDescent="0.35">
      <c r="B5546" s="113">
        <v>46358</v>
      </c>
      <c r="C5546" s="4" t="s">
        <v>3801</v>
      </c>
      <c r="D5546" s="4" t="s">
        <v>4634</v>
      </c>
      <c r="E5546" s="1" t="str">
        <f>_xlfn.XLOOKUP(tblSales[[#This Row],[Customer ID]],tblCustomers[Customer ID],tblCustomers[Customer Name],"⚠ Unknown")</f>
        <v>PT Delta Inti Selaras</v>
      </c>
      <c r="F5546" s="4" t="s">
        <v>9</v>
      </c>
      <c r="G5546" s="1" t="str">
        <f>_xlfn.XLOOKUP(tblSales[[#This Row],[Product Code]],tblProducts[Code],tblProducts[Product / Service Name],"⚠ Unknown")</f>
        <v>Casual Shirt</v>
      </c>
      <c r="H5546" s="1" t="str">
        <f>_xlfn.XLOOKUP(tblSales[[#This Row],[Product Code]],tblProducts[Code],tblProducts[Category],"")</f>
        <v>Apparel &amp; Footwear</v>
      </c>
      <c r="I5546" s="4">
        <v>88</v>
      </c>
      <c r="J5546" s="5">
        <f>_xlfn.XLOOKUP(tblSales[[#This Row],[Product Code]],tblProducts[Code],tblProducts[Selling Price (excl. VAT)],0)</f>
        <v>120000</v>
      </c>
      <c r="K5546" s="5">
        <f>tblSales[[#This Row],[Qty]]*tblSales[[#This Row],[Unit Price]]</f>
        <v>10560000</v>
      </c>
      <c r="L5546" s="5">
        <f>ROUND(tblSales[[#This Row],[DPP (excl. VAT)]]*VATEff,0)</f>
        <v>1161600</v>
      </c>
      <c r="M5546" s="5">
        <f>tblSales[[#This Row],[DPP (excl. VAT)]]+tblSales[[#This Row],[Output VAT]]</f>
        <v>11721600</v>
      </c>
      <c r="N5546" s="5">
        <f>tblSales[[#This Row],[Qty]]*_xlfn.XLOOKUP(tblSales[[#This Row],[Product Code]],tblProducts[Code],tblProducts[Unit Cost],0)</f>
        <v>6336000</v>
      </c>
      <c r="O5546" s="4" t="s">
        <v>4867</v>
      </c>
      <c r="P5546" s="4" t="s">
        <v>4860</v>
      </c>
      <c r="Q5546" s="1" t="str">
        <f>_xlfn.XLOOKUP(tblSales[[#This Row],[Channel Code]],tblChannels[Channel Code],tblChannels[Channel Name],"")</f>
        <v>In-store</v>
      </c>
      <c r="R5546" s="1">
        <f>MONTH(tblSales[[#This Row],[Date]])</f>
        <v>12</v>
      </c>
    </row>
    <row r="5547" spans="2:18" x14ac:dyDescent="0.35">
      <c r="B5547" s="113">
        <v>46358</v>
      </c>
      <c r="C5547" s="4" t="s">
        <v>3802</v>
      </c>
      <c r="D5547" s="4" t="s">
        <v>4568</v>
      </c>
      <c r="E5547" s="1" t="str">
        <f>_xlfn.XLOOKUP(tblSales[[#This Row],[Customer ID]],tblCustomers[Customer ID],tblCustomers[Customer Name],"⚠ Unknown")</f>
        <v>Walk-in Customer</v>
      </c>
      <c r="F5547" s="4" t="s">
        <v>7</v>
      </c>
      <c r="G5547" s="1" t="str">
        <f>_xlfn.XLOOKUP(tblSales[[#This Row],[Product Code]],tblProducts[Code],tblProducts[Product / Service Name],"⚠ Unknown")</f>
        <v>Premium Basic T-shirt</v>
      </c>
      <c r="H5547" s="1" t="str">
        <f>_xlfn.XLOOKUP(tblSales[[#This Row],[Product Code]],tblProducts[Code],tblProducts[Category],"")</f>
        <v>Accessories &amp; Basics</v>
      </c>
      <c r="I5547" s="4">
        <v>9</v>
      </c>
      <c r="J5547" s="5">
        <f>_xlfn.XLOOKUP(tblSales[[#This Row],[Product Code]],tblProducts[Code],tblProducts[Selling Price (excl. VAT)],0)</f>
        <v>65000</v>
      </c>
      <c r="K5547" s="5">
        <f>tblSales[[#This Row],[Qty]]*tblSales[[#This Row],[Unit Price]]</f>
        <v>585000</v>
      </c>
      <c r="L5547" s="5">
        <f>ROUND(tblSales[[#This Row],[DPP (excl. VAT)]]*VATEff,0)</f>
        <v>64350</v>
      </c>
      <c r="M5547" s="5">
        <f>tblSales[[#This Row],[DPP (excl. VAT)]]+tblSales[[#This Row],[Output VAT]]</f>
        <v>649350</v>
      </c>
      <c r="N5547" s="5">
        <f>tblSales[[#This Row],[Qty]]*_xlfn.XLOOKUP(tblSales[[#This Row],[Product Code]],tblProducts[Code],tblProducts[Unit Cost],0)</f>
        <v>333000</v>
      </c>
      <c r="O5547" s="4" t="s">
        <v>4865</v>
      </c>
      <c r="P5547" s="4" t="s">
        <v>4860</v>
      </c>
      <c r="Q5547" s="1" t="str">
        <f>_xlfn.XLOOKUP(tblSales[[#This Row],[Channel Code]],tblChannels[Channel Code],tblChannels[Channel Name],"")</f>
        <v>In-store</v>
      </c>
      <c r="R5547" s="1">
        <f>MONTH(tblSales[[#This Row],[Date]])</f>
        <v>12</v>
      </c>
    </row>
    <row r="5548" spans="2:18" x14ac:dyDescent="0.35">
      <c r="B5548" s="113">
        <v>46358</v>
      </c>
      <c r="C5548" s="4" t="s">
        <v>3803</v>
      </c>
      <c r="D5548" s="4" t="s">
        <v>4568</v>
      </c>
      <c r="E5548" s="1" t="str">
        <f>_xlfn.XLOOKUP(tblSales[[#This Row],[Customer ID]],tblCustomers[Customer ID],tblCustomers[Customer Name],"⚠ Unknown")</f>
        <v>Walk-in Customer</v>
      </c>
      <c r="F5548" s="4" t="s">
        <v>7</v>
      </c>
      <c r="G5548" s="1" t="str">
        <f>_xlfn.XLOOKUP(tblSales[[#This Row],[Product Code]],tblProducts[Code],tblProducts[Product / Service Name],"⚠ Unknown")</f>
        <v>Premium Basic T-shirt</v>
      </c>
      <c r="H5548" s="1" t="str">
        <f>_xlfn.XLOOKUP(tblSales[[#This Row],[Product Code]],tblProducts[Code],tblProducts[Category],"")</f>
        <v>Accessories &amp; Basics</v>
      </c>
      <c r="I5548" s="4">
        <v>1</v>
      </c>
      <c r="J5548" s="5">
        <f>_xlfn.XLOOKUP(tblSales[[#This Row],[Product Code]],tblProducts[Code],tblProducts[Selling Price (excl. VAT)],0)</f>
        <v>65000</v>
      </c>
      <c r="K5548" s="5">
        <f>tblSales[[#This Row],[Qty]]*tblSales[[#This Row],[Unit Price]]</f>
        <v>65000</v>
      </c>
      <c r="L5548" s="5">
        <f>ROUND(tblSales[[#This Row],[DPP (excl. VAT)]]*VATEff,0)</f>
        <v>7150</v>
      </c>
      <c r="M5548" s="5">
        <f>tblSales[[#This Row],[DPP (excl. VAT)]]+tblSales[[#This Row],[Output VAT]]</f>
        <v>72150</v>
      </c>
      <c r="N5548" s="5">
        <f>tblSales[[#This Row],[Qty]]*_xlfn.XLOOKUP(tblSales[[#This Row],[Product Code]],tblProducts[Code],tblProducts[Unit Cost],0)</f>
        <v>37000</v>
      </c>
      <c r="O5548" s="4" t="s">
        <v>4866</v>
      </c>
      <c r="P5548" s="4" t="s">
        <v>4861</v>
      </c>
      <c r="Q5548" s="1" t="str">
        <f>_xlfn.XLOOKUP(tblSales[[#This Row],[Channel Code]],tblChannels[Channel Code],tblChannels[Channel Name],"")</f>
        <v>Marketplace</v>
      </c>
      <c r="R5548" s="1">
        <f>MONTH(tblSales[[#This Row],[Date]])</f>
        <v>12</v>
      </c>
    </row>
    <row r="5549" spans="2:18" x14ac:dyDescent="0.35">
      <c r="B5549" s="113">
        <v>46358</v>
      </c>
      <c r="C5549" s="4" t="s">
        <v>3804</v>
      </c>
      <c r="D5549" s="4" t="s">
        <v>4568</v>
      </c>
      <c r="E5549" s="1" t="str">
        <f>_xlfn.XLOOKUP(tblSales[[#This Row],[Customer ID]],tblCustomers[Customer ID],tblCustomers[Customer Name],"⚠ Unknown")</f>
        <v>Walk-in Customer</v>
      </c>
      <c r="F5549" s="4" t="s">
        <v>7</v>
      </c>
      <c r="G5549" s="1" t="str">
        <f>_xlfn.XLOOKUP(tblSales[[#This Row],[Product Code]],tblProducts[Code],tblProducts[Product / Service Name],"⚠ Unknown")</f>
        <v>Premium Basic T-shirt</v>
      </c>
      <c r="H5549" s="1" t="str">
        <f>_xlfn.XLOOKUP(tblSales[[#This Row],[Product Code]],tblProducts[Code],tblProducts[Category],"")</f>
        <v>Accessories &amp; Basics</v>
      </c>
      <c r="I5549" s="4">
        <v>7</v>
      </c>
      <c r="J5549" s="5">
        <f>_xlfn.XLOOKUP(tblSales[[#This Row],[Product Code]],tblProducts[Code],tblProducts[Selling Price (excl. VAT)],0)</f>
        <v>65000</v>
      </c>
      <c r="K5549" s="5">
        <f>tblSales[[#This Row],[Qty]]*tblSales[[#This Row],[Unit Price]]</f>
        <v>455000</v>
      </c>
      <c r="L5549" s="5">
        <f>ROUND(tblSales[[#This Row],[DPP (excl. VAT)]]*VATEff,0)</f>
        <v>50050</v>
      </c>
      <c r="M5549" s="5">
        <f>tblSales[[#This Row],[DPP (excl. VAT)]]+tblSales[[#This Row],[Output VAT]]</f>
        <v>505050</v>
      </c>
      <c r="N5549" s="5">
        <f>tblSales[[#This Row],[Qty]]*_xlfn.XLOOKUP(tblSales[[#This Row],[Product Code]],tblProducts[Code],tblProducts[Unit Cost],0)</f>
        <v>259000</v>
      </c>
      <c r="O5549" s="4" t="s">
        <v>4866</v>
      </c>
      <c r="P5549" s="4" t="s">
        <v>4862</v>
      </c>
      <c r="Q5549" s="1" t="str">
        <f>_xlfn.XLOOKUP(tblSales[[#This Row],[Channel Code]],tblChannels[Channel Code],tblChannels[Channel Name],"")</f>
        <v>Website &amp; Social Media</v>
      </c>
      <c r="R5549" s="1">
        <f>MONTH(tblSales[[#This Row],[Date]])</f>
        <v>12</v>
      </c>
    </row>
    <row r="5550" spans="2:18" x14ac:dyDescent="0.35">
      <c r="B5550" s="113">
        <v>46358</v>
      </c>
      <c r="C5550" s="4" t="s">
        <v>3804</v>
      </c>
      <c r="D5550" s="4" t="s">
        <v>4568</v>
      </c>
      <c r="E5550" s="1" t="str">
        <f>_xlfn.XLOOKUP(tblSales[[#This Row],[Customer ID]],tblCustomers[Customer ID],tblCustomers[Customer Name],"⚠ Unknown")</f>
        <v>Walk-in Customer</v>
      </c>
      <c r="F5550" s="4" t="s">
        <v>6</v>
      </c>
      <c r="G5550" s="1" t="str">
        <f>_xlfn.XLOOKUP(tblSales[[#This Row],[Product Code]],tblProducts[Code],tblProducts[Product / Service Name],"⚠ Unknown")</f>
        <v>Socks &amp; Accessories</v>
      </c>
      <c r="H5550" s="1" t="str">
        <f>_xlfn.XLOOKUP(tblSales[[#This Row],[Product Code]],tblProducts[Code],tblProducts[Category],"")</f>
        <v>Accessories &amp; Basics</v>
      </c>
      <c r="I5550" s="4">
        <v>1</v>
      </c>
      <c r="J5550" s="5">
        <f>_xlfn.XLOOKUP(tblSales[[#This Row],[Product Code]],tblProducts[Code],tblProducts[Selling Price (excl. VAT)],0)</f>
        <v>45000</v>
      </c>
      <c r="K5550" s="5">
        <f>tblSales[[#This Row],[Qty]]*tblSales[[#This Row],[Unit Price]]</f>
        <v>45000</v>
      </c>
      <c r="L5550" s="5">
        <f>ROUND(tblSales[[#This Row],[DPP (excl. VAT)]]*VATEff,0)</f>
        <v>4950</v>
      </c>
      <c r="M5550" s="5">
        <f>tblSales[[#This Row],[DPP (excl. VAT)]]+tblSales[[#This Row],[Output VAT]]</f>
        <v>49950</v>
      </c>
      <c r="N5550" s="5">
        <f>tblSales[[#This Row],[Qty]]*_xlfn.XLOOKUP(tblSales[[#This Row],[Product Code]],tblProducts[Code],tblProducts[Unit Cost],0)</f>
        <v>24000</v>
      </c>
      <c r="O5550" s="4" t="s">
        <v>4866</v>
      </c>
      <c r="P5550" s="4" t="s">
        <v>4862</v>
      </c>
      <c r="Q5550" s="1" t="str">
        <f>_xlfn.XLOOKUP(tblSales[[#This Row],[Channel Code]],tblChannels[Channel Code],tblChannels[Channel Name],"")</f>
        <v>Website &amp; Social Media</v>
      </c>
      <c r="R5550" s="1">
        <f>MONTH(tblSales[[#This Row],[Date]])</f>
        <v>12</v>
      </c>
    </row>
    <row r="5551" spans="2:18" x14ac:dyDescent="0.35">
      <c r="B5551" s="113">
        <v>46358</v>
      </c>
      <c r="C5551" s="4" t="s">
        <v>3805</v>
      </c>
      <c r="D5551" s="4" t="s">
        <v>4568</v>
      </c>
      <c r="E5551" s="1" t="str">
        <f>_xlfn.XLOOKUP(tblSales[[#This Row],[Customer ID]],tblCustomers[Customer ID],tblCustomers[Customer Name],"⚠ Unknown")</f>
        <v>Walk-in Customer</v>
      </c>
      <c r="F5551" s="4" t="s">
        <v>7</v>
      </c>
      <c r="G5551" s="1" t="str">
        <f>_xlfn.XLOOKUP(tblSales[[#This Row],[Product Code]],tblProducts[Code],tblProducts[Product / Service Name],"⚠ Unknown")</f>
        <v>Premium Basic T-shirt</v>
      </c>
      <c r="H5551" s="1" t="str">
        <f>_xlfn.XLOOKUP(tblSales[[#This Row],[Product Code]],tblProducts[Code],tblProducts[Category],"")</f>
        <v>Accessories &amp; Basics</v>
      </c>
      <c r="I5551" s="4">
        <v>1</v>
      </c>
      <c r="J5551" s="5">
        <f>_xlfn.XLOOKUP(tblSales[[#This Row],[Product Code]],tblProducts[Code],tblProducts[Selling Price (excl. VAT)],0)</f>
        <v>65000</v>
      </c>
      <c r="K5551" s="5">
        <f>tblSales[[#This Row],[Qty]]*tblSales[[#This Row],[Unit Price]]</f>
        <v>65000</v>
      </c>
      <c r="L5551" s="5">
        <f>ROUND(tblSales[[#This Row],[DPP (excl. VAT)]]*VATEff,0)</f>
        <v>7150</v>
      </c>
      <c r="M5551" s="5">
        <f>tblSales[[#This Row],[DPP (excl. VAT)]]+tblSales[[#This Row],[Output VAT]]</f>
        <v>72150</v>
      </c>
      <c r="N5551" s="5">
        <f>tblSales[[#This Row],[Qty]]*_xlfn.XLOOKUP(tblSales[[#This Row],[Product Code]],tblProducts[Code],tblProducts[Unit Cost],0)</f>
        <v>37000</v>
      </c>
      <c r="O5551" s="4" t="s">
        <v>4865</v>
      </c>
      <c r="P5551" s="4" t="s">
        <v>4860</v>
      </c>
      <c r="Q5551" s="1" t="str">
        <f>_xlfn.XLOOKUP(tblSales[[#This Row],[Channel Code]],tblChannels[Channel Code],tblChannels[Channel Name],"")</f>
        <v>In-store</v>
      </c>
      <c r="R5551" s="1">
        <f>MONTH(tblSales[[#This Row],[Date]])</f>
        <v>12</v>
      </c>
    </row>
    <row r="5552" spans="2:18" x14ac:dyDescent="0.35">
      <c r="B5552" s="113">
        <v>46358</v>
      </c>
      <c r="C5552" s="4" t="s">
        <v>3806</v>
      </c>
      <c r="D5552" s="4" t="s">
        <v>4568</v>
      </c>
      <c r="E5552" s="1" t="str">
        <f>_xlfn.XLOOKUP(tblSales[[#This Row],[Customer ID]],tblCustomers[Customer ID],tblCustomers[Customer Name],"⚠ Unknown")</f>
        <v>Walk-in Customer</v>
      </c>
      <c r="F5552" s="4" t="s">
        <v>7</v>
      </c>
      <c r="G5552" s="1" t="str">
        <f>_xlfn.XLOOKUP(tblSales[[#This Row],[Product Code]],tblProducts[Code],tblProducts[Product / Service Name],"⚠ Unknown")</f>
        <v>Premium Basic T-shirt</v>
      </c>
      <c r="H5552" s="1" t="str">
        <f>_xlfn.XLOOKUP(tblSales[[#This Row],[Product Code]],tblProducts[Code],tblProducts[Category],"")</f>
        <v>Accessories &amp; Basics</v>
      </c>
      <c r="I5552" s="4">
        <v>7</v>
      </c>
      <c r="J5552" s="5">
        <f>_xlfn.XLOOKUP(tblSales[[#This Row],[Product Code]],tblProducts[Code],tblProducts[Selling Price (excl. VAT)],0)</f>
        <v>65000</v>
      </c>
      <c r="K5552" s="5">
        <f>tblSales[[#This Row],[Qty]]*tblSales[[#This Row],[Unit Price]]</f>
        <v>455000</v>
      </c>
      <c r="L5552" s="5">
        <f>ROUND(tblSales[[#This Row],[DPP (excl. VAT)]]*VATEff,0)</f>
        <v>50050</v>
      </c>
      <c r="M5552" s="5">
        <f>tblSales[[#This Row],[DPP (excl. VAT)]]+tblSales[[#This Row],[Output VAT]]</f>
        <v>505050</v>
      </c>
      <c r="N5552" s="5">
        <f>tblSales[[#This Row],[Qty]]*_xlfn.XLOOKUP(tblSales[[#This Row],[Product Code]],tblProducts[Code],tblProducts[Unit Cost],0)</f>
        <v>259000</v>
      </c>
      <c r="O5552" s="4" t="s">
        <v>4865</v>
      </c>
      <c r="P5552" s="4" t="s">
        <v>4860</v>
      </c>
      <c r="Q5552" s="1" t="str">
        <f>_xlfn.XLOOKUP(tblSales[[#This Row],[Channel Code]],tblChannels[Channel Code],tblChannels[Channel Name],"")</f>
        <v>In-store</v>
      </c>
      <c r="R5552" s="1">
        <f>MONTH(tblSales[[#This Row],[Date]])</f>
        <v>12</v>
      </c>
    </row>
    <row r="5553" spans="2:18" x14ac:dyDescent="0.35">
      <c r="B5553" s="113">
        <v>46358</v>
      </c>
      <c r="C5553" s="4" t="s">
        <v>3807</v>
      </c>
      <c r="D5553" s="4" t="s">
        <v>4568</v>
      </c>
      <c r="E5553" s="1" t="str">
        <f>_xlfn.XLOOKUP(tblSales[[#This Row],[Customer ID]],tblCustomers[Customer ID],tblCustomers[Customer Name],"⚠ Unknown")</f>
        <v>Walk-in Customer</v>
      </c>
      <c r="F5553" s="4" t="s">
        <v>8</v>
      </c>
      <c r="G5553" s="1" t="str">
        <f>_xlfn.XLOOKUP(tblSales[[#This Row],[Product Code]],tblProducts[Code],tblProducts[Product / Service Name],"⚠ Unknown")</f>
        <v>Casual Shorts</v>
      </c>
      <c r="H5553" s="1" t="str">
        <f>_xlfn.XLOOKUP(tblSales[[#This Row],[Product Code]],tblProducts[Code],tblProducts[Category],"")</f>
        <v>Accessories &amp; Basics</v>
      </c>
      <c r="I5553" s="4">
        <v>1</v>
      </c>
      <c r="J5553" s="5">
        <f>_xlfn.XLOOKUP(tblSales[[#This Row],[Product Code]],tblProducts[Code],tblProducts[Selling Price (excl. VAT)],0)</f>
        <v>85000</v>
      </c>
      <c r="K5553" s="5">
        <f>tblSales[[#This Row],[Qty]]*tblSales[[#This Row],[Unit Price]]</f>
        <v>85000</v>
      </c>
      <c r="L5553" s="5">
        <f>ROUND(tblSales[[#This Row],[DPP (excl. VAT)]]*VATEff,0)</f>
        <v>9350</v>
      </c>
      <c r="M5553" s="5">
        <f>tblSales[[#This Row],[DPP (excl. VAT)]]+tblSales[[#This Row],[Output VAT]]</f>
        <v>94350</v>
      </c>
      <c r="N5553" s="5">
        <f>tblSales[[#This Row],[Qty]]*_xlfn.XLOOKUP(tblSales[[#This Row],[Product Code]],tblProducts[Code],tblProducts[Unit Cost],0)</f>
        <v>50000</v>
      </c>
      <c r="O5553" s="4" t="s">
        <v>4866</v>
      </c>
      <c r="P5553" s="4" t="s">
        <v>4860</v>
      </c>
      <c r="Q5553" s="1" t="str">
        <f>_xlfn.XLOOKUP(tblSales[[#This Row],[Channel Code]],tblChannels[Channel Code],tblChannels[Channel Name],"")</f>
        <v>In-store</v>
      </c>
      <c r="R5553" s="1">
        <f>MONTH(tblSales[[#This Row],[Date]])</f>
        <v>12</v>
      </c>
    </row>
    <row r="5554" spans="2:18" x14ac:dyDescent="0.35">
      <c r="B5554" s="113">
        <v>46358</v>
      </c>
      <c r="C5554" s="4" t="s">
        <v>3807</v>
      </c>
      <c r="D5554" s="4" t="s">
        <v>4568</v>
      </c>
      <c r="E5554" s="1" t="str">
        <f>_xlfn.XLOOKUP(tblSales[[#This Row],[Customer ID]],tblCustomers[Customer ID],tblCustomers[Customer Name],"⚠ Unknown")</f>
        <v>Walk-in Customer</v>
      </c>
      <c r="F5554" s="4" t="s">
        <v>6</v>
      </c>
      <c r="G5554" s="1" t="str">
        <f>_xlfn.XLOOKUP(tblSales[[#This Row],[Product Code]],tblProducts[Code],tblProducts[Product / Service Name],"⚠ Unknown")</f>
        <v>Socks &amp; Accessories</v>
      </c>
      <c r="H5554" s="1" t="str">
        <f>_xlfn.XLOOKUP(tblSales[[#This Row],[Product Code]],tblProducts[Code],tblProducts[Category],"")</f>
        <v>Accessories &amp; Basics</v>
      </c>
      <c r="I5554" s="4">
        <v>1</v>
      </c>
      <c r="J5554" s="5">
        <f>_xlfn.XLOOKUP(tblSales[[#This Row],[Product Code]],tblProducts[Code],tblProducts[Selling Price (excl. VAT)],0)</f>
        <v>45000</v>
      </c>
      <c r="K5554" s="5">
        <f>tblSales[[#This Row],[Qty]]*tblSales[[#This Row],[Unit Price]]</f>
        <v>45000</v>
      </c>
      <c r="L5554" s="5">
        <f>ROUND(tblSales[[#This Row],[DPP (excl. VAT)]]*VATEff,0)</f>
        <v>4950</v>
      </c>
      <c r="M5554" s="5">
        <f>tblSales[[#This Row],[DPP (excl. VAT)]]+tblSales[[#This Row],[Output VAT]]</f>
        <v>49950</v>
      </c>
      <c r="N5554" s="5">
        <f>tblSales[[#This Row],[Qty]]*_xlfn.XLOOKUP(tblSales[[#This Row],[Product Code]],tblProducts[Code],tblProducts[Unit Cost],0)</f>
        <v>24000</v>
      </c>
      <c r="O5554" s="4" t="s">
        <v>4866</v>
      </c>
      <c r="P5554" s="4" t="s">
        <v>4860</v>
      </c>
      <c r="Q5554" s="1" t="str">
        <f>_xlfn.XLOOKUP(tblSales[[#This Row],[Channel Code]],tblChannels[Channel Code],tblChannels[Channel Name],"")</f>
        <v>In-store</v>
      </c>
      <c r="R5554" s="1">
        <f>MONTH(tblSales[[#This Row],[Date]])</f>
        <v>12</v>
      </c>
    </row>
    <row r="5555" spans="2:18" x14ac:dyDescent="0.35">
      <c r="B5555" s="113">
        <v>46358</v>
      </c>
      <c r="C5555" s="4" t="s">
        <v>3807</v>
      </c>
      <c r="D5555" s="4" t="s">
        <v>4568</v>
      </c>
      <c r="E5555" s="1" t="str">
        <f>_xlfn.XLOOKUP(tblSales[[#This Row],[Customer ID]],tblCustomers[Customer ID],tblCustomers[Customer Name],"⚠ Unknown")</f>
        <v>Walk-in Customer</v>
      </c>
      <c r="F5555" s="4" t="s">
        <v>10</v>
      </c>
      <c r="G5555" s="1" t="str">
        <f>_xlfn.XLOOKUP(tblSales[[#This Row],[Product Code]],tblProducts[Code],tblProducts[Product / Service Name],"⚠ Unknown")</f>
        <v>Chino Pants</v>
      </c>
      <c r="H5555" s="1" t="str">
        <f>_xlfn.XLOOKUP(tblSales[[#This Row],[Product Code]],tblProducts[Code],tblProducts[Category],"")</f>
        <v>Apparel &amp; Footwear</v>
      </c>
      <c r="I5555" s="4">
        <v>6</v>
      </c>
      <c r="J5555" s="5">
        <f>_xlfn.XLOOKUP(tblSales[[#This Row],[Product Code]],tblProducts[Code],tblProducts[Selling Price (excl. VAT)],0)</f>
        <v>150000</v>
      </c>
      <c r="K5555" s="5">
        <f>tblSales[[#This Row],[Qty]]*tblSales[[#This Row],[Unit Price]]</f>
        <v>900000</v>
      </c>
      <c r="L5555" s="5">
        <f>ROUND(tblSales[[#This Row],[DPP (excl. VAT)]]*VATEff,0)</f>
        <v>99000</v>
      </c>
      <c r="M5555" s="5">
        <f>tblSales[[#This Row],[DPP (excl. VAT)]]+tblSales[[#This Row],[Output VAT]]</f>
        <v>999000</v>
      </c>
      <c r="N5555" s="5">
        <f>tblSales[[#This Row],[Qty]]*_xlfn.XLOOKUP(tblSales[[#This Row],[Product Code]],tblProducts[Code],tblProducts[Unit Cost],0)</f>
        <v>528000</v>
      </c>
      <c r="O5555" s="4" t="s">
        <v>4866</v>
      </c>
      <c r="P5555" s="4" t="s">
        <v>4860</v>
      </c>
      <c r="Q5555" s="1" t="str">
        <f>_xlfn.XLOOKUP(tblSales[[#This Row],[Channel Code]],tblChannels[Channel Code],tblChannels[Channel Name],"")</f>
        <v>In-store</v>
      </c>
      <c r="R5555" s="1">
        <f>MONTH(tblSales[[#This Row],[Date]])</f>
        <v>12</v>
      </c>
    </row>
    <row r="5556" spans="2:18" x14ac:dyDescent="0.35">
      <c r="B5556" s="113">
        <v>46358</v>
      </c>
      <c r="C5556" s="4" t="s">
        <v>3808</v>
      </c>
      <c r="D5556" s="4" t="s">
        <v>4568</v>
      </c>
      <c r="E5556" s="1" t="str">
        <f>_xlfn.XLOOKUP(tblSales[[#This Row],[Customer ID]],tblCustomers[Customer ID],tblCustomers[Customer Name],"⚠ Unknown")</f>
        <v>Walk-in Customer</v>
      </c>
      <c r="F5556" s="4" t="s">
        <v>12</v>
      </c>
      <c r="G5556" s="1" t="str">
        <f>_xlfn.XLOOKUP(tblSales[[#This Row],[Product Code]],tblProducts[Code],tblProducts[Product / Service Name],"⚠ Unknown")</f>
        <v>Bomber Jacket</v>
      </c>
      <c r="H5556" s="1" t="str">
        <f>_xlfn.XLOOKUP(tblSales[[#This Row],[Product Code]],tblProducts[Code],tblProducts[Category],"")</f>
        <v>Apparel &amp; Footwear</v>
      </c>
      <c r="I5556" s="4">
        <v>2</v>
      </c>
      <c r="J5556" s="5">
        <f>_xlfn.XLOOKUP(tblSales[[#This Row],[Product Code]],tblProducts[Code],tblProducts[Selling Price (excl. VAT)],0)</f>
        <v>350000</v>
      </c>
      <c r="K5556" s="5">
        <f>tblSales[[#This Row],[Qty]]*tblSales[[#This Row],[Unit Price]]</f>
        <v>700000</v>
      </c>
      <c r="L5556" s="5">
        <f>ROUND(tblSales[[#This Row],[DPP (excl. VAT)]]*VATEff,0)</f>
        <v>77000</v>
      </c>
      <c r="M5556" s="5">
        <f>tblSales[[#This Row],[DPP (excl. VAT)]]+tblSales[[#This Row],[Output VAT]]</f>
        <v>777000</v>
      </c>
      <c r="N5556" s="5">
        <f>tblSales[[#This Row],[Qty]]*_xlfn.XLOOKUP(tblSales[[#This Row],[Product Code]],tblProducts[Code],tblProducts[Unit Cost],0)</f>
        <v>420000</v>
      </c>
      <c r="O5556" s="4" t="s">
        <v>4865</v>
      </c>
      <c r="P5556" s="4" t="s">
        <v>4860</v>
      </c>
      <c r="Q5556" s="1" t="str">
        <f>_xlfn.XLOOKUP(tblSales[[#This Row],[Channel Code]],tblChannels[Channel Code],tblChannels[Channel Name],"")</f>
        <v>In-store</v>
      </c>
      <c r="R5556" s="1">
        <f>MONTH(tblSales[[#This Row],[Date]])</f>
        <v>12</v>
      </c>
    </row>
    <row r="5557" spans="2:18" x14ac:dyDescent="0.35">
      <c r="B5557" s="113">
        <v>46358</v>
      </c>
      <c r="C5557" s="4" t="s">
        <v>3809</v>
      </c>
      <c r="D5557" s="4" t="s">
        <v>4568</v>
      </c>
      <c r="E5557" s="1" t="str">
        <f>_xlfn.XLOOKUP(tblSales[[#This Row],[Customer ID]],tblCustomers[Customer ID],tblCustomers[Customer Name],"⚠ Unknown")</f>
        <v>Walk-in Customer</v>
      </c>
      <c r="F5557" s="4" t="s">
        <v>11</v>
      </c>
      <c r="G5557" s="1" t="str">
        <f>_xlfn.XLOOKUP(tblSales[[#This Row],[Product Code]],tblProducts[Code],tblProducts[Product / Service Name],"⚠ Unknown")</f>
        <v>Sneakers</v>
      </c>
      <c r="H5557" s="1" t="str">
        <f>_xlfn.XLOOKUP(tblSales[[#This Row],[Product Code]],tblProducts[Code],tblProducts[Category],"")</f>
        <v>Apparel &amp; Footwear</v>
      </c>
      <c r="I5557" s="4">
        <v>4</v>
      </c>
      <c r="J5557" s="5">
        <f>_xlfn.XLOOKUP(tblSales[[#This Row],[Product Code]],tblProducts[Code],tblProducts[Selling Price (excl. VAT)],0)</f>
        <v>250000</v>
      </c>
      <c r="K5557" s="5">
        <f>tblSales[[#This Row],[Qty]]*tblSales[[#This Row],[Unit Price]]</f>
        <v>1000000</v>
      </c>
      <c r="L5557" s="5">
        <f>ROUND(tblSales[[#This Row],[DPP (excl. VAT)]]*VATEff,0)</f>
        <v>110000</v>
      </c>
      <c r="M5557" s="5">
        <f>tblSales[[#This Row],[DPP (excl. VAT)]]+tblSales[[#This Row],[Output VAT]]</f>
        <v>1110000</v>
      </c>
      <c r="N5557" s="5">
        <f>tblSales[[#This Row],[Qty]]*_xlfn.XLOOKUP(tblSales[[#This Row],[Product Code]],tblProducts[Code],tblProducts[Unit Cost],0)</f>
        <v>620000</v>
      </c>
      <c r="O5557" s="4" t="s">
        <v>4866</v>
      </c>
      <c r="P5557" s="4" t="s">
        <v>4861</v>
      </c>
      <c r="Q5557" s="1" t="str">
        <f>_xlfn.XLOOKUP(tblSales[[#This Row],[Channel Code]],tblChannels[Channel Code],tblChannels[Channel Name],"")</f>
        <v>Marketplace</v>
      </c>
      <c r="R5557" s="1">
        <f>MONTH(tblSales[[#This Row],[Date]])</f>
        <v>12</v>
      </c>
    </row>
    <row r="5558" spans="2:18" x14ac:dyDescent="0.35">
      <c r="B5558" s="113">
        <v>46358</v>
      </c>
      <c r="C5558" s="4" t="s">
        <v>3810</v>
      </c>
      <c r="D5558" s="4" t="s">
        <v>4568</v>
      </c>
      <c r="E5558" s="1" t="str">
        <f>_xlfn.XLOOKUP(tblSales[[#This Row],[Customer ID]],tblCustomers[Customer ID],tblCustomers[Customer Name],"⚠ Unknown")</f>
        <v>Walk-in Customer</v>
      </c>
      <c r="F5558" s="4" t="s">
        <v>15</v>
      </c>
      <c r="G5558" s="1" t="str">
        <f>_xlfn.XLOOKUP(tblSales[[#This Row],[Product Code]],tblProducts[Code],tblProducts[Product / Service Name],"⚠ Unknown")</f>
        <v>Wireless Earbuds Pro</v>
      </c>
      <c r="H5558" s="1" t="str">
        <f>_xlfn.XLOOKUP(tblSales[[#This Row],[Product Code]],tblProducts[Code],tblProducts[Category],"")</f>
        <v>Bags &amp; Gadgets</v>
      </c>
      <c r="I5558" s="4">
        <v>1</v>
      </c>
      <c r="J5558" s="5">
        <f>_xlfn.XLOOKUP(tblSales[[#This Row],[Product Code]],tblProducts[Code],tblProducts[Selling Price (excl. VAT)],0)</f>
        <v>1250000</v>
      </c>
      <c r="K5558" s="5">
        <f>tblSales[[#This Row],[Qty]]*tblSales[[#This Row],[Unit Price]]</f>
        <v>1250000</v>
      </c>
      <c r="L5558" s="5">
        <f>ROUND(tblSales[[#This Row],[DPP (excl. VAT)]]*VATEff,0)</f>
        <v>137500</v>
      </c>
      <c r="M5558" s="5">
        <f>tblSales[[#This Row],[DPP (excl. VAT)]]+tblSales[[#This Row],[Output VAT]]</f>
        <v>1387500</v>
      </c>
      <c r="N5558" s="5">
        <f>tblSales[[#This Row],[Qty]]*_xlfn.XLOOKUP(tblSales[[#This Row],[Product Code]],tblProducts[Code],tblProducts[Unit Cost],0)</f>
        <v>820000</v>
      </c>
      <c r="O5558" s="4" t="s">
        <v>4865</v>
      </c>
      <c r="P5558" s="4" t="s">
        <v>4860</v>
      </c>
      <c r="Q5558" s="1" t="str">
        <f>_xlfn.XLOOKUP(tblSales[[#This Row],[Channel Code]],tblChannels[Channel Code],tblChannels[Channel Name],"")</f>
        <v>In-store</v>
      </c>
      <c r="R5558" s="1">
        <f>MONTH(tblSales[[#This Row],[Date]])</f>
        <v>12</v>
      </c>
    </row>
    <row r="5559" spans="2:18" x14ac:dyDescent="0.35">
      <c r="B5559" s="113">
        <v>46358</v>
      </c>
      <c r="C5559" s="4" t="s">
        <v>3811</v>
      </c>
      <c r="D5559" s="4" t="s">
        <v>4568</v>
      </c>
      <c r="E5559" s="1" t="str">
        <f>_xlfn.XLOOKUP(tblSales[[#This Row],[Customer ID]],tblCustomers[Customer ID],tblCustomers[Customer Name],"⚠ Unknown")</f>
        <v>Walk-in Customer</v>
      </c>
      <c r="F5559" s="4" t="s">
        <v>15</v>
      </c>
      <c r="G5559" s="1" t="str">
        <f>_xlfn.XLOOKUP(tblSales[[#This Row],[Product Code]],tblProducts[Code],tblProducts[Product / Service Name],"⚠ Unknown")</f>
        <v>Wireless Earbuds Pro</v>
      </c>
      <c r="H5559" s="1" t="str">
        <f>_xlfn.XLOOKUP(tblSales[[#This Row],[Product Code]],tblProducts[Code],tblProducts[Category],"")</f>
        <v>Bags &amp; Gadgets</v>
      </c>
      <c r="I5559" s="4">
        <v>1</v>
      </c>
      <c r="J5559" s="5">
        <f>_xlfn.XLOOKUP(tblSales[[#This Row],[Product Code]],tblProducts[Code],tblProducts[Selling Price (excl. VAT)],0)</f>
        <v>1250000</v>
      </c>
      <c r="K5559" s="5">
        <f>tblSales[[#This Row],[Qty]]*tblSales[[#This Row],[Unit Price]]</f>
        <v>1250000</v>
      </c>
      <c r="L5559" s="5">
        <f>ROUND(tblSales[[#This Row],[DPP (excl. VAT)]]*VATEff,0)</f>
        <v>137500</v>
      </c>
      <c r="M5559" s="5">
        <f>tblSales[[#This Row],[DPP (excl. VAT)]]+tblSales[[#This Row],[Output VAT]]</f>
        <v>1387500</v>
      </c>
      <c r="N5559" s="5">
        <f>tblSales[[#This Row],[Qty]]*_xlfn.XLOOKUP(tblSales[[#This Row],[Product Code]],tblProducts[Code],tblProducts[Unit Cost],0)</f>
        <v>820000</v>
      </c>
      <c r="O5559" s="4" t="s">
        <v>4865</v>
      </c>
      <c r="P5559" s="4" t="s">
        <v>4860</v>
      </c>
      <c r="Q5559" s="1" t="str">
        <f>_xlfn.XLOOKUP(tblSales[[#This Row],[Channel Code]],tblChannels[Channel Code],tblChannels[Channel Name],"")</f>
        <v>In-store</v>
      </c>
      <c r="R5559" s="1">
        <f>MONTH(tblSales[[#This Row],[Date]])</f>
        <v>12</v>
      </c>
    </row>
    <row r="5560" spans="2:18" x14ac:dyDescent="0.35">
      <c r="B5560" s="113">
        <v>46358</v>
      </c>
      <c r="C5560" s="4" t="s">
        <v>3811</v>
      </c>
      <c r="D5560" s="4" t="s">
        <v>4568</v>
      </c>
      <c r="E5560" s="1" t="str">
        <f>_xlfn.XLOOKUP(tblSales[[#This Row],[Customer ID]],tblCustomers[Customer ID],tblCustomers[Customer Name],"⚠ Unknown")</f>
        <v>Walk-in Customer</v>
      </c>
      <c r="F5560" s="4" t="s">
        <v>6</v>
      </c>
      <c r="G5560" s="1" t="str">
        <f>_xlfn.XLOOKUP(tblSales[[#This Row],[Product Code]],tblProducts[Code],tblProducts[Product / Service Name],"⚠ Unknown")</f>
        <v>Socks &amp; Accessories</v>
      </c>
      <c r="H5560" s="1" t="str">
        <f>_xlfn.XLOOKUP(tblSales[[#This Row],[Product Code]],tblProducts[Code],tblProducts[Category],"")</f>
        <v>Accessories &amp; Basics</v>
      </c>
      <c r="I5560" s="4">
        <v>12</v>
      </c>
      <c r="J5560" s="5">
        <f>_xlfn.XLOOKUP(tblSales[[#This Row],[Product Code]],tblProducts[Code],tblProducts[Selling Price (excl. VAT)],0)</f>
        <v>45000</v>
      </c>
      <c r="K5560" s="5">
        <f>tblSales[[#This Row],[Qty]]*tblSales[[#This Row],[Unit Price]]</f>
        <v>540000</v>
      </c>
      <c r="L5560" s="5">
        <f>ROUND(tblSales[[#This Row],[DPP (excl. VAT)]]*VATEff,0)</f>
        <v>59400</v>
      </c>
      <c r="M5560" s="5">
        <f>tblSales[[#This Row],[DPP (excl. VAT)]]+tblSales[[#This Row],[Output VAT]]</f>
        <v>599400</v>
      </c>
      <c r="N5560" s="5">
        <f>tblSales[[#This Row],[Qty]]*_xlfn.XLOOKUP(tblSales[[#This Row],[Product Code]],tblProducts[Code],tblProducts[Unit Cost],0)</f>
        <v>288000</v>
      </c>
      <c r="O5560" s="4" t="s">
        <v>4865</v>
      </c>
      <c r="P5560" s="4" t="s">
        <v>4860</v>
      </c>
      <c r="Q5560" s="1" t="str">
        <f>_xlfn.XLOOKUP(tblSales[[#This Row],[Channel Code]],tblChannels[Channel Code],tblChannels[Channel Name],"")</f>
        <v>In-store</v>
      </c>
      <c r="R5560" s="1">
        <f>MONTH(tblSales[[#This Row],[Date]])</f>
        <v>12</v>
      </c>
    </row>
    <row r="5561" spans="2:18" x14ac:dyDescent="0.35">
      <c r="B5561" s="113">
        <v>46358</v>
      </c>
      <c r="C5561" s="4" t="s">
        <v>3812</v>
      </c>
      <c r="D5561" s="4" t="s">
        <v>4568</v>
      </c>
      <c r="E5561" s="1" t="str">
        <f>_xlfn.XLOOKUP(tblSales[[#This Row],[Customer ID]],tblCustomers[Customer ID],tblCustomers[Customer Name],"⚠ Unknown")</f>
        <v>Walk-in Customer</v>
      </c>
      <c r="F5561" s="4" t="s">
        <v>8</v>
      </c>
      <c r="G5561" s="1" t="str">
        <f>_xlfn.XLOOKUP(tblSales[[#This Row],[Product Code]],tblProducts[Code],tblProducts[Product / Service Name],"⚠ Unknown")</f>
        <v>Casual Shorts</v>
      </c>
      <c r="H5561" s="1" t="str">
        <f>_xlfn.XLOOKUP(tblSales[[#This Row],[Product Code]],tblProducts[Code],tblProducts[Category],"")</f>
        <v>Accessories &amp; Basics</v>
      </c>
      <c r="I5561" s="4">
        <v>8</v>
      </c>
      <c r="J5561" s="5">
        <f>_xlfn.XLOOKUP(tblSales[[#This Row],[Product Code]],tblProducts[Code],tblProducts[Selling Price (excl. VAT)],0)</f>
        <v>85000</v>
      </c>
      <c r="K5561" s="5">
        <f>tblSales[[#This Row],[Qty]]*tblSales[[#This Row],[Unit Price]]</f>
        <v>680000</v>
      </c>
      <c r="L5561" s="5">
        <f>ROUND(tblSales[[#This Row],[DPP (excl. VAT)]]*VATEff,0)</f>
        <v>74800</v>
      </c>
      <c r="M5561" s="5">
        <f>tblSales[[#This Row],[DPP (excl. VAT)]]+tblSales[[#This Row],[Output VAT]]</f>
        <v>754800</v>
      </c>
      <c r="N5561" s="5">
        <f>tblSales[[#This Row],[Qty]]*_xlfn.XLOOKUP(tblSales[[#This Row],[Product Code]],tblProducts[Code],tblProducts[Unit Cost],0)</f>
        <v>400000</v>
      </c>
      <c r="O5561" s="4" t="s">
        <v>4866</v>
      </c>
      <c r="P5561" s="4" t="s">
        <v>4862</v>
      </c>
      <c r="Q5561" s="1" t="str">
        <f>_xlfn.XLOOKUP(tblSales[[#This Row],[Channel Code]],tblChannels[Channel Code],tblChannels[Channel Name],"")</f>
        <v>Website &amp; Social Media</v>
      </c>
      <c r="R5561" s="1">
        <f>MONTH(tblSales[[#This Row],[Date]])</f>
        <v>12</v>
      </c>
    </row>
    <row r="5562" spans="2:18" x14ac:dyDescent="0.35">
      <c r="B5562" s="113">
        <v>46358</v>
      </c>
      <c r="C5562" s="4" t="s">
        <v>3812</v>
      </c>
      <c r="D5562" s="4" t="s">
        <v>4568</v>
      </c>
      <c r="E5562" s="1" t="str">
        <f>_xlfn.XLOOKUP(tblSales[[#This Row],[Customer ID]],tblCustomers[Customer ID],tblCustomers[Customer Name],"⚠ Unknown")</f>
        <v>Walk-in Customer</v>
      </c>
      <c r="F5562" s="4" t="s">
        <v>13</v>
      </c>
      <c r="G5562" s="1" t="str">
        <f>_xlfn.XLOOKUP(tblSales[[#This Row],[Product Code]],tblProducts[Code],tblProducts[Product / Service Name],"⚠ Unknown")</f>
        <v>Backpack</v>
      </c>
      <c r="H5562" s="1" t="str">
        <f>_xlfn.XLOOKUP(tblSales[[#This Row],[Product Code]],tblProducts[Code],tblProducts[Category],"")</f>
        <v>Bags &amp; Gadgets</v>
      </c>
      <c r="I5562" s="4">
        <v>5</v>
      </c>
      <c r="J5562" s="5">
        <f>_xlfn.XLOOKUP(tblSales[[#This Row],[Product Code]],tblProducts[Code],tblProducts[Selling Price (excl. VAT)],0)</f>
        <v>500000</v>
      </c>
      <c r="K5562" s="5">
        <f>tblSales[[#This Row],[Qty]]*tblSales[[#This Row],[Unit Price]]</f>
        <v>2500000</v>
      </c>
      <c r="L5562" s="5">
        <f>ROUND(tblSales[[#This Row],[DPP (excl. VAT)]]*VATEff,0)</f>
        <v>275000</v>
      </c>
      <c r="M5562" s="5">
        <f>tblSales[[#This Row],[DPP (excl. VAT)]]+tblSales[[#This Row],[Output VAT]]</f>
        <v>2775000</v>
      </c>
      <c r="N5562" s="5">
        <f>tblSales[[#This Row],[Qty]]*_xlfn.XLOOKUP(tblSales[[#This Row],[Product Code]],tblProducts[Code],tblProducts[Unit Cost],0)</f>
        <v>1450000</v>
      </c>
      <c r="O5562" s="4" t="s">
        <v>4866</v>
      </c>
      <c r="P5562" s="4" t="s">
        <v>4862</v>
      </c>
      <c r="Q5562" s="1" t="str">
        <f>_xlfn.XLOOKUP(tblSales[[#This Row],[Channel Code]],tblChannels[Channel Code],tblChannels[Channel Name],"")</f>
        <v>Website &amp; Social Media</v>
      </c>
      <c r="R5562" s="1">
        <f>MONTH(tblSales[[#This Row],[Date]])</f>
        <v>12</v>
      </c>
    </row>
    <row r="5563" spans="2:18" x14ac:dyDescent="0.35">
      <c r="B5563" s="113">
        <v>46358</v>
      </c>
      <c r="C5563" s="4" t="s">
        <v>3812</v>
      </c>
      <c r="D5563" s="4" t="s">
        <v>4568</v>
      </c>
      <c r="E5563" s="1" t="str">
        <f>_xlfn.XLOOKUP(tblSales[[#This Row],[Customer ID]],tblCustomers[Customer ID],tblCustomers[Customer Name],"⚠ Unknown")</f>
        <v>Walk-in Customer</v>
      </c>
      <c r="F5563" s="4" t="s">
        <v>6</v>
      </c>
      <c r="G5563" s="1" t="str">
        <f>_xlfn.XLOOKUP(tblSales[[#This Row],[Product Code]],tblProducts[Code],tblProducts[Product / Service Name],"⚠ Unknown")</f>
        <v>Socks &amp; Accessories</v>
      </c>
      <c r="H5563" s="1" t="str">
        <f>_xlfn.XLOOKUP(tblSales[[#This Row],[Product Code]],tblProducts[Code],tblProducts[Category],"")</f>
        <v>Accessories &amp; Basics</v>
      </c>
      <c r="I5563" s="4">
        <v>6</v>
      </c>
      <c r="J5563" s="5">
        <f>_xlfn.XLOOKUP(tblSales[[#This Row],[Product Code]],tblProducts[Code],tblProducts[Selling Price (excl. VAT)],0)</f>
        <v>45000</v>
      </c>
      <c r="K5563" s="5">
        <f>tblSales[[#This Row],[Qty]]*tblSales[[#This Row],[Unit Price]]</f>
        <v>270000</v>
      </c>
      <c r="L5563" s="5">
        <f>ROUND(tblSales[[#This Row],[DPP (excl. VAT)]]*VATEff,0)</f>
        <v>29700</v>
      </c>
      <c r="M5563" s="5">
        <f>tblSales[[#This Row],[DPP (excl. VAT)]]+tblSales[[#This Row],[Output VAT]]</f>
        <v>299700</v>
      </c>
      <c r="N5563" s="5">
        <f>tblSales[[#This Row],[Qty]]*_xlfn.XLOOKUP(tblSales[[#This Row],[Product Code]],tblProducts[Code],tblProducts[Unit Cost],0)</f>
        <v>144000</v>
      </c>
      <c r="O5563" s="4" t="s">
        <v>4866</v>
      </c>
      <c r="P5563" s="4" t="s">
        <v>4862</v>
      </c>
      <c r="Q5563" s="1" t="str">
        <f>_xlfn.XLOOKUP(tblSales[[#This Row],[Channel Code]],tblChannels[Channel Code],tblChannels[Channel Name],"")</f>
        <v>Website &amp; Social Media</v>
      </c>
      <c r="R5563" s="1">
        <f>MONTH(tblSales[[#This Row],[Date]])</f>
        <v>12</v>
      </c>
    </row>
    <row r="5564" spans="2:18" x14ac:dyDescent="0.35">
      <c r="B5564" s="113">
        <v>46359</v>
      </c>
      <c r="C5564" s="4" t="s">
        <v>3813</v>
      </c>
      <c r="D5564" s="4" t="s">
        <v>4568</v>
      </c>
      <c r="E5564" s="1" t="str">
        <f>_xlfn.XLOOKUP(tblSales[[#This Row],[Customer ID]],tblCustomers[Customer ID],tblCustomers[Customer Name],"⚠ Unknown")</f>
        <v>Walk-in Customer</v>
      </c>
      <c r="F5564" s="4" t="s">
        <v>8</v>
      </c>
      <c r="G5564" s="1" t="str">
        <f>_xlfn.XLOOKUP(tblSales[[#This Row],[Product Code]],tblProducts[Code],tblProducts[Product / Service Name],"⚠ Unknown")</f>
        <v>Casual Shorts</v>
      </c>
      <c r="H5564" s="1" t="str">
        <f>_xlfn.XLOOKUP(tblSales[[#This Row],[Product Code]],tblProducts[Code],tblProducts[Category],"")</f>
        <v>Accessories &amp; Basics</v>
      </c>
      <c r="I5564" s="4">
        <v>3</v>
      </c>
      <c r="J5564" s="5">
        <f>_xlfn.XLOOKUP(tblSales[[#This Row],[Product Code]],tblProducts[Code],tblProducts[Selling Price (excl. VAT)],0)</f>
        <v>85000</v>
      </c>
      <c r="K5564" s="5">
        <f>tblSales[[#This Row],[Qty]]*tblSales[[#This Row],[Unit Price]]</f>
        <v>255000</v>
      </c>
      <c r="L5564" s="5">
        <f>ROUND(tblSales[[#This Row],[DPP (excl. VAT)]]*VATEff,0)</f>
        <v>28050</v>
      </c>
      <c r="M5564" s="5">
        <f>tblSales[[#This Row],[DPP (excl. VAT)]]+tblSales[[#This Row],[Output VAT]]</f>
        <v>283050</v>
      </c>
      <c r="N5564" s="5">
        <f>tblSales[[#This Row],[Qty]]*_xlfn.XLOOKUP(tblSales[[#This Row],[Product Code]],tblProducts[Code],tblProducts[Unit Cost],0)</f>
        <v>150000</v>
      </c>
      <c r="O5564" s="4" t="s">
        <v>4865</v>
      </c>
      <c r="P5564" s="4" t="s">
        <v>4860</v>
      </c>
      <c r="Q5564" s="1" t="str">
        <f>_xlfn.XLOOKUP(tblSales[[#This Row],[Channel Code]],tblChannels[Channel Code],tblChannels[Channel Name],"")</f>
        <v>In-store</v>
      </c>
      <c r="R5564" s="1">
        <f>MONTH(tblSales[[#This Row],[Date]])</f>
        <v>12</v>
      </c>
    </row>
    <row r="5565" spans="2:18" x14ac:dyDescent="0.35">
      <c r="B5565" s="113">
        <v>46359</v>
      </c>
      <c r="C5565" s="4" t="s">
        <v>3814</v>
      </c>
      <c r="D5565" s="4" t="s">
        <v>4568</v>
      </c>
      <c r="E5565" s="1" t="str">
        <f>_xlfn.XLOOKUP(tblSales[[#This Row],[Customer ID]],tblCustomers[Customer ID],tblCustomers[Customer Name],"⚠ Unknown")</f>
        <v>Walk-in Customer</v>
      </c>
      <c r="F5565" s="4" t="s">
        <v>9</v>
      </c>
      <c r="G5565" s="1" t="str">
        <f>_xlfn.XLOOKUP(tblSales[[#This Row],[Product Code]],tblProducts[Code],tblProducts[Product / Service Name],"⚠ Unknown")</f>
        <v>Casual Shirt</v>
      </c>
      <c r="H5565" s="1" t="str">
        <f>_xlfn.XLOOKUP(tblSales[[#This Row],[Product Code]],tblProducts[Code],tblProducts[Category],"")</f>
        <v>Apparel &amp; Footwear</v>
      </c>
      <c r="I5565" s="4">
        <v>12</v>
      </c>
      <c r="J5565" s="5">
        <f>_xlfn.XLOOKUP(tblSales[[#This Row],[Product Code]],tblProducts[Code],tblProducts[Selling Price (excl. VAT)],0)</f>
        <v>120000</v>
      </c>
      <c r="K5565" s="5">
        <f>tblSales[[#This Row],[Qty]]*tblSales[[#This Row],[Unit Price]]</f>
        <v>1440000</v>
      </c>
      <c r="L5565" s="5">
        <f>ROUND(tblSales[[#This Row],[DPP (excl. VAT)]]*VATEff,0)</f>
        <v>158400</v>
      </c>
      <c r="M5565" s="5">
        <f>tblSales[[#This Row],[DPP (excl. VAT)]]+tblSales[[#This Row],[Output VAT]]</f>
        <v>1598400</v>
      </c>
      <c r="N5565" s="5">
        <f>tblSales[[#This Row],[Qty]]*_xlfn.XLOOKUP(tblSales[[#This Row],[Product Code]],tblProducts[Code],tblProducts[Unit Cost],0)</f>
        <v>864000</v>
      </c>
      <c r="O5565" s="4" t="s">
        <v>4866</v>
      </c>
      <c r="P5565" s="4" t="s">
        <v>4861</v>
      </c>
      <c r="Q5565" s="1" t="str">
        <f>_xlfn.XLOOKUP(tblSales[[#This Row],[Channel Code]],tblChannels[Channel Code],tblChannels[Channel Name],"")</f>
        <v>Marketplace</v>
      </c>
      <c r="R5565" s="1">
        <f>MONTH(tblSales[[#This Row],[Date]])</f>
        <v>12</v>
      </c>
    </row>
    <row r="5566" spans="2:18" x14ac:dyDescent="0.35">
      <c r="B5566" s="113">
        <v>46359</v>
      </c>
      <c r="C5566" s="4" t="s">
        <v>3814</v>
      </c>
      <c r="D5566" s="4" t="s">
        <v>4568</v>
      </c>
      <c r="E5566" s="1" t="str">
        <f>_xlfn.XLOOKUP(tblSales[[#This Row],[Customer ID]],tblCustomers[Customer ID],tblCustomers[Customer Name],"⚠ Unknown")</f>
        <v>Walk-in Customer</v>
      </c>
      <c r="F5566" s="4" t="s">
        <v>13</v>
      </c>
      <c r="G5566" s="1" t="str">
        <f>_xlfn.XLOOKUP(tblSales[[#This Row],[Product Code]],tblProducts[Code],tblProducts[Product / Service Name],"⚠ Unknown")</f>
        <v>Backpack</v>
      </c>
      <c r="H5566" s="1" t="str">
        <f>_xlfn.XLOOKUP(tblSales[[#This Row],[Product Code]],tblProducts[Code],tblProducts[Category],"")</f>
        <v>Bags &amp; Gadgets</v>
      </c>
      <c r="I5566" s="4">
        <v>4</v>
      </c>
      <c r="J5566" s="5">
        <f>_xlfn.XLOOKUP(tblSales[[#This Row],[Product Code]],tblProducts[Code],tblProducts[Selling Price (excl. VAT)],0)</f>
        <v>500000</v>
      </c>
      <c r="K5566" s="5">
        <f>tblSales[[#This Row],[Qty]]*tblSales[[#This Row],[Unit Price]]</f>
        <v>2000000</v>
      </c>
      <c r="L5566" s="5">
        <f>ROUND(tblSales[[#This Row],[DPP (excl. VAT)]]*VATEff,0)</f>
        <v>220000</v>
      </c>
      <c r="M5566" s="5">
        <f>tblSales[[#This Row],[DPP (excl. VAT)]]+tblSales[[#This Row],[Output VAT]]</f>
        <v>2220000</v>
      </c>
      <c r="N5566" s="5">
        <f>tblSales[[#This Row],[Qty]]*_xlfn.XLOOKUP(tblSales[[#This Row],[Product Code]],tblProducts[Code],tblProducts[Unit Cost],0)</f>
        <v>1160000</v>
      </c>
      <c r="O5566" s="4" t="s">
        <v>4866</v>
      </c>
      <c r="P5566" s="4" t="s">
        <v>4861</v>
      </c>
      <c r="Q5566" s="1" t="str">
        <f>_xlfn.XLOOKUP(tblSales[[#This Row],[Channel Code]],tblChannels[Channel Code],tblChannels[Channel Name],"")</f>
        <v>Marketplace</v>
      </c>
      <c r="R5566" s="1">
        <f>MONTH(tblSales[[#This Row],[Date]])</f>
        <v>12</v>
      </c>
    </row>
    <row r="5567" spans="2:18" x14ac:dyDescent="0.35">
      <c r="B5567" s="113">
        <v>46359</v>
      </c>
      <c r="C5567" s="4" t="s">
        <v>3815</v>
      </c>
      <c r="D5567" s="4" t="s">
        <v>4572</v>
      </c>
      <c r="E5567" s="1" t="str">
        <f>_xlfn.XLOOKUP(tblSales[[#This Row],[Customer ID]],tblCustomers[Customer ID],tblCustomers[Customer Name],"⚠ Unknown")</f>
        <v>PT Cahaya Abadi Makmur</v>
      </c>
      <c r="F5567" s="4" t="s">
        <v>13</v>
      </c>
      <c r="G5567" s="1" t="str">
        <f>_xlfn.XLOOKUP(tblSales[[#This Row],[Product Code]],tblProducts[Code],tblProducts[Product / Service Name],"⚠ Unknown")</f>
        <v>Backpack</v>
      </c>
      <c r="H5567" s="1" t="str">
        <f>_xlfn.XLOOKUP(tblSales[[#This Row],[Product Code]],tblProducts[Code],tblProducts[Category],"")</f>
        <v>Bags &amp; Gadgets</v>
      </c>
      <c r="I5567" s="4">
        <v>32</v>
      </c>
      <c r="J5567" s="5">
        <f>_xlfn.XLOOKUP(tblSales[[#This Row],[Product Code]],tblProducts[Code],tblProducts[Selling Price (excl. VAT)],0)</f>
        <v>500000</v>
      </c>
      <c r="K5567" s="5">
        <f>tblSales[[#This Row],[Qty]]*tblSales[[#This Row],[Unit Price]]</f>
        <v>16000000</v>
      </c>
      <c r="L5567" s="5">
        <f>ROUND(tblSales[[#This Row],[DPP (excl. VAT)]]*VATEff,0)</f>
        <v>1760000</v>
      </c>
      <c r="M5567" s="5">
        <f>tblSales[[#This Row],[DPP (excl. VAT)]]+tblSales[[#This Row],[Output VAT]]</f>
        <v>17760000</v>
      </c>
      <c r="N5567" s="5">
        <f>tblSales[[#This Row],[Qty]]*_xlfn.XLOOKUP(tblSales[[#This Row],[Product Code]],tblProducts[Code],tblProducts[Unit Cost],0)</f>
        <v>9280000</v>
      </c>
      <c r="O5567" s="4" t="s">
        <v>4867</v>
      </c>
      <c r="P5567" s="4" t="s">
        <v>4860</v>
      </c>
      <c r="Q5567" s="1" t="str">
        <f>_xlfn.XLOOKUP(tblSales[[#This Row],[Channel Code]],tblChannels[Channel Code],tblChannels[Channel Name],"")</f>
        <v>In-store</v>
      </c>
      <c r="R5567" s="1">
        <f>MONTH(tblSales[[#This Row],[Date]])</f>
        <v>12</v>
      </c>
    </row>
    <row r="5568" spans="2:18" x14ac:dyDescent="0.35">
      <c r="B5568" s="113">
        <v>46359</v>
      </c>
      <c r="C5568" s="4" t="s">
        <v>3815</v>
      </c>
      <c r="D5568" s="4" t="s">
        <v>4572</v>
      </c>
      <c r="E5568" s="1" t="str">
        <f>_xlfn.XLOOKUP(tblSales[[#This Row],[Customer ID]],tblCustomers[Customer ID],tblCustomers[Customer Name],"⚠ Unknown")</f>
        <v>PT Cahaya Abadi Makmur</v>
      </c>
      <c r="F5568" s="4" t="s">
        <v>6</v>
      </c>
      <c r="G5568" s="1" t="str">
        <f>_xlfn.XLOOKUP(tblSales[[#This Row],[Product Code]],tblProducts[Code],tblProducts[Product / Service Name],"⚠ Unknown")</f>
        <v>Socks &amp; Accessories</v>
      </c>
      <c r="H5568" s="1" t="str">
        <f>_xlfn.XLOOKUP(tblSales[[#This Row],[Product Code]],tblProducts[Code],tblProducts[Category],"")</f>
        <v>Accessories &amp; Basics</v>
      </c>
      <c r="I5568" s="4">
        <v>72</v>
      </c>
      <c r="J5568" s="5">
        <f>_xlfn.XLOOKUP(tblSales[[#This Row],[Product Code]],tblProducts[Code],tblProducts[Selling Price (excl. VAT)],0)</f>
        <v>45000</v>
      </c>
      <c r="K5568" s="5">
        <f>tblSales[[#This Row],[Qty]]*tblSales[[#This Row],[Unit Price]]</f>
        <v>3240000</v>
      </c>
      <c r="L5568" s="5">
        <f>ROUND(tblSales[[#This Row],[DPP (excl. VAT)]]*VATEff,0)</f>
        <v>356400</v>
      </c>
      <c r="M5568" s="5">
        <f>tblSales[[#This Row],[DPP (excl. VAT)]]+tblSales[[#This Row],[Output VAT]]</f>
        <v>3596400</v>
      </c>
      <c r="N5568" s="5">
        <f>tblSales[[#This Row],[Qty]]*_xlfn.XLOOKUP(tblSales[[#This Row],[Product Code]],tblProducts[Code],tblProducts[Unit Cost],0)</f>
        <v>1728000</v>
      </c>
      <c r="O5568" s="4" t="s">
        <v>4867</v>
      </c>
      <c r="P5568" s="4" t="s">
        <v>4860</v>
      </c>
      <c r="Q5568" s="1" t="str">
        <f>_xlfn.XLOOKUP(tblSales[[#This Row],[Channel Code]],tblChannels[Channel Code],tblChannels[Channel Name],"")</f>
        <v>In-store</v>
      </c>
      <c r="R5568" s="1">
        <f>MONTH(tblSales[[#This Row],[Date]])</f>
        <v>12</v>
      </c>
    </row>
    <row r="5569" spans="2:18" x14ac:dyDescent="0.35">
      <c r="B5569" s="113">
        <v>46359</v>
      </c>
      <c r="C5569" s="4" t="s">
        <v>3815</v>
      </c>
      <c r="D5569" s="4" t="s">
        <v>4572</v>
      </c>
      <c r="E5569" s="1" t="str">
        <f>_xlfn.XLOOKUP(tblSales[[#This Row],[Customer ID]],tblCustomers[Customer ID],tblCustomers[Customer Name],"⚠ Unknown")</f>
        <v>PT Cahaya Abadi Makmur</v>
      </c>
      <c r="F5569" s="4" t="s">
        <v>10</v>
      </c>
      <c r="G5569" s="1" t="str">
        <f>_xlfn.XLOOKUP(tblSales[[#This Row],[Product Code]],tblProducts[Code],tblProducts[Product / Service Name],"⚠ Unknown")</f>
        <v>Chino Pants</v>
      </c>
      <c r="H5569" s="1" t="str">
        <f>_xlfn.XLOOKUP(tblSales[[#This Row],[Product Code]],tblProducts[Code],tblProducts[Category],"")</f>
        <v>Apparel &amp; Footwear</v>
      </c>
      <c r="I5569" s="4">
        <v>88</v>
      </c>
      <c r="J5569" s="5">
        <f>_xlfn.XLOOKUP(tblSales[[#This Row],[Product Code]],tblProducts[Code],tblProducts[Selling Price (excl. VAT)],0)</f>
        <v>150000</v>
      </c>
      <c r="K5569" s="5">
        <f>tblSales[[#This Row],[Qty]]*tblSales[[#This Row],[Unit Price]]</f>
        <v>13200000</v>
      </c>
      <c r="L5569" s="5">
        <f>ROUND(tblSales[[#This Row],[DPP (excl. VAT)]]*VATEff,0)</f>
        <v>1452000</v>
      </c>
      <c r="M5569" s="5">
        <f>tblSales[[#This Row],[DPP (excl. VAT)]]+tblSales[[#This Row],[Output VAT]]</f>
        <v>14652000</v>
      </c>
      <c r="N5569" s="5">
        <f>tblSales[[#This Row],[Qty]]*_xlfn.XLOOKUP(tblSales[[#This Row],[Product Code]],tblProducts[Code],tblProducts[Unit Cost],0)</f>
        <v>7744000</v>
      </c>
      <c r="O5569" s="4" t="s">
        <v>4867</v>
      </c>
      <c r="P5569" s="4" t="s">
        <v>4860</v>
      </c>
      <c r="Q5569" s="1" t="str">
        <f>_xlfn.XLOOKUP(tblSales[[#This Row],[Channel Code]],tblChannels[Channel Code],tblChannels[Channel Name],"")</f>
        <v>In-store</v>
      </c>
      <c r="R5569" s="1">
        <f>MONTH(tblSales[[#This Row],[Date]])</f>
        <v>12</v>
      </c>
    </row>
    <row r="5570" spans="2:18" x14ac:dyDescent="0.35">
      <c r="B5570" s="113">
        <v>46359</v>
      </c>
      <c r="C5570" s="4" t="s">
        <v>3816</v>
      </c>
      <c r="D5570" s="4" t="s">
        <v>4568</v>
      </c>
      <c r="E5570" s="1" t="str">
        <f>_xlfn.XLOOKUP(tblSales[[#This Row],[Customer ID]],tblCustomers[Customer ID],tblCustomers[Customer Name],"⚠ Unknown")</f>
        <v>Walk-in Customer</v>
      </c>
      <c r="F5570" s="4" t="s">
        <v>7</v>
      </c>
      <c r="G5570" s="1" t="str">
        <f>_xlfn.XLOOKUP(tblSales[[#This Row],[Product Code]],tblProducts[Code],tblProducts[Product / Service Name],"⚠ Unknown")</f>
        <v>Premium Basic T-shirt</v>
      </c>
      <c r="H5570" s="1" t="str">
        <f>_xlfn.XLOOKUP(tblSales[[#This Row],[Product Code]],tblProducts[Code],tblProducts[Category],"")</f>
        <v>Accessories &amp; Basics</v>
      </c>
      <c r="I5570" s="4">
        <v>4</v>
      </c>
      <c r="J5570" s="5">
        <f>_xlfn.XLOOKUP(tblSales[[#This Row],[Product Code]],tblProducts[Code],tblProducts[Selling Price (excl. VAT)],0)</f>
        <v>65000</v>
      </c>
      <c r="K5570" s="5">
        <f>tblSales[[#This Row],[Qty]]*tblSales[[#This Row],[Unit Price]]</f>
        <v>260000</v>
      </c>
      <c r="L5570" s="5">
        <f>ROUND(tblSales[[#This Row],[DPP (excl. VAT)]]*VATEff,0)</f>
        <v>28600</v>
      </c>
      <c r="M5570" s="5">
        <f>tblSales[[#This Row],[DPP (excl. VAT)]]+tblSales[[#This Row],[Output VAT]]</f>
        <v>288600</v>
      </c>
      <c r="N5570" s="5">
        <f>tblSales[[#This Row],[Qty]]*_xlfn.XLOOKUP(tblSales[[#This Row],[Product Code]],tblProducts[Code],tblProducts[Unit Cost],0)</f>
        <v>148000</v>
      </c>
      <c r="O5570" s="4" t="s">
        <v>4866</v>
      </c>
      <c r="P5570" s="4" t="s">
        <v>4862</v>
      </c>
      <c r="Q5570" s="1" t="str">
        <f>_xlfn.XLOOKUP(tblSales[[#This Row],[Channel Code]],tblChannels[Channel Code],tblChannels[Channel Name],"")</f>
        <v>Website &amp; Social Media</v>
      </c>
      <c r="R5570" s="1">
        <f>MONTH(tblSales[[#This Row],[Date]])</f>
        <v>12</v>
      </c>
    </row>
    <row r="5571" spans="2:18" x14ac:dyDescent="0.35">
      <c r="B5571" s="113">
        <v>46359</v>
      </c>
      <c r="C5571" s="4" t="s">
        <v>3816</v>
      </c>
      <c r="D5571" s="4" t="s">
        <v>4568</v>
      </c>
      <c r="E5571" s="1" t="str">
        <f>_xlfn.XLOOKUP(tblSales[[#This Row],[Customer ID]],tblCustomers[Customer ID],tblCustomers[Customer Name],"⚠ Unknown")</f>
        <v>Walk-in Customer</v>
      </c>
      <c r="F5571" s="4" t="s">
        <v>6</v>
      </c>
      <c r="G5571" s="1" t="str">
        <f>_xlfn.XLOOKUP(tblSales[[#This Row],[Product Code]],tblProducts[Code],tblProducts[Product / Service Name],"⚠ Unknown")</f>
        <v>Socks &amp; Accessories</v>
      </c>
      <c r="H5571" s="1" t="str">
        <f>_xlfn.XLOOKUP(tblSales[[#This Row],[Product Code]],tblProducts[Code],tblProducts[Category],"")</f>
        <v>Accessories &amp; Basics</v>
      </c>
      <c r="I5571" s="4">
        <v>5</v>
      </c>
      <c r="J5571" s="5">
        <f>_xlfn.XLOOKUP(tblSales[[#This Row],[Product Code]],tblProducts[Code],tblProducts[Selling Price (excl. VAT)],0)</f>
        <v>45000</v>
      </c>
      <c r="K5571" s="5">
        <f>tblSales[[#This Row],[Qty]]*tblSales[[#This Row],[Unit Price]]</f>
        <v>225000</v>
      </c>
      <c r="L5571" s="5">
        <f>ROUND(tblSales[[#This Row],[DPP (excl. VAT)]]*VATEff,0)</f>
        <v>24750</v>
      </c>
      <c r="M5571" s="5">
        <f>tblSales[[#This Row],[DPP (excl. VAT)]]+tblSales[[#This Row],[Output VAT]]</f>
        <v>249750</v>
      </c>
      <c r="N5571" s="5">
        <f>tblSales[[#This Row],[Qty]]*_xlfn.XLOOKUP(tblSales[[#This Row],[Product Code]],tblProducts[Code],tblProducts[Unit Cost],0)</f>
        <v>120000</v>
      </c>
      <c r="O5571" s="4" t="s">
        <v>4866</v>
      </c>
      <c r="P5571" s="4" t="s">
        <v>4862</v>
      </c>
      <c r="Q5571" s="1" t="str">
        <f>_xlfn.XLOOKUP(tblSales[[#This Row],[Channel Code]],tblChannels[Channel Code],tblChannels[Channel Name],"")</f>
        <v>Website &amp; Social Media</v>
      </c>
      <c r="R5571" s="1">
        <f>MONTH(tblSales[[#This Row],[Date]])</f>
        <v>12</v>
      </c>
    </row>
    <row r="5572" spans="2:18" x14ac:dyDescent="0.35">
      <c r="B5572" s="113">
        <v>46359</v>
      </c>
      <c r="C5572" s="4" t="s">
        <v>3817</v>
      </c>
      <c r="D5572" s="4" t="s">
        <v>4568</v>
      </c>
      <c r="E5572" s="1" t="str">
        <f>_xlfn.XLOOKUP(tblSales[[#This Row],[Customer ID]],tblCustomers[Customer ID],tblCustomers[Customer Name],"⚠ Unknown")</f>
        <v>Walk-in Customer</v>
      </c>
      <c r="F5572" s="4" t="s">
        <v>7</v>
      </c>
      <c r="G5572" s="1" t="str">
        <f>_xlfn.XLOOKUP(tblSales[[#This Row],[Product Code]],tblProducts[Code],tblProducts[Product / Service Name],"⚠ Unknown")</f>
        <v>Premium Basic T-shirt</v>
      </c>
      <c r="H5572" s="1" t="str">
        <f>_xlfn.XLOOKUP(tblSales[[#This Row],[Product Code]],tblProducts[Code],tblProducts[Category],"")</f>
        <v>Accessories &amp; Basics</v>
      </c>
      <c r="I5572" s="4">
        <v>9</v>
      </c>
      <c r="J5572" s="5">
        <f>_xlfn.XLOOKUP(tblSales[[#This Row],[Product Code]],tblProducts[Code],tblProducts[Selling Price (excl. VAT)],0)</f>
        <v>65000</v>
      </c>
      <c r="K5572" s="5">
        <f>tblSales[[#This Row],[Qty]]*tblSales[[#This Row],[Unit Price]]</f>
        <v>585000</v>
      </c>
      <c r="L5572" s="5">
        <f>ROUND(tblSales[[#This Row],[DPP (excl. VAT)]]*VATEff,0)</f>
        <v>64350</v>
      </c>
      <c r="M5572" s="5">
        <f>tblSales[[#This Row],[DPP (excl. VAT)]]+tblSales[[#This Row],[Output VAT]]</f>
        <v>649350</v>
      </c>
      <c r="N5572" s="5">
        <f>tblSales[[#This Row],[Qty]]*_xlfn.XLOOKUP(tblSales[[#This Row],[Product Code]],tblProducts[Code],tblProducts[Unit Cost],0)</f>
        <v>333000</v>
      </c>
      <c r="O5572" s="4" t="s">
        <v>4866</v>
      </c>
      <c r="P5572" s="4" t="s">
        <v>4862</v>
      </c>
      <c r="Q5572" s="1" t="str">
        <f>_xlfn.XLOOKUP(tblSales[[#This Row],[Channel Code]],tblChannels[Channel Code],tblChannels[Channel Name],"")</f>
        <v>Website &amp; Social Media</v>
      </c>
      <c r="R5572" s="1">
        <f>MONTH(tblSales[[#This Row],[Date]])</f>
        <v>12</v>
      </c>
    </row>
    <row r="5573" spans="2:18" x14ac:dyDescent="0.35">
      <c r="B5573" s="113">
        <v>46359</v>
      </c>
      <c r="C5573" s="4" t="s">
        <v>3818</v>
      </c>
      <c r="D5573" s="4" t="s">
        <v>4634</v>
      </c>
      <c r="E5573" s="1" t="str">
        <f>_xlfn.XLOOKUP(tblSales[[#This Row],[Customer ID]],tblCustomers[Customer ID],tblCustomers[Customer Name],"⚠ Unknown")</f>
        <v>PT Delta Inti Selaras</v>
      </c>
      <c r="F5573" s="4" t="s">
        <v>14</v>
      </c>
      <c r="G5573" s="1" t="str">
        <f>_xlfn.XLOOKUP(tblSales[[#This Row],[Product Code]],tblProducts[Code],tblProducts[Product / Service Name],"⚠ Unknown")</f>
        <v>Smartwatch</v>
      </c>
      <c r="H5573" s="1" t="str">
        <f>_xlfn.XLOOKUP(tblSales[[#This Row],[Product Code]],tblProducts[Code],tblProducts[Category],"")</f>
        <v>Bags &amp; Gadgets</v>
      </c>
      <c r="I5573" s="4">
        <v>16</v>
      </c>
      <c r="J5573" s="5">
        <f>_xlfn.XLOOKUP(tblSales[[#This Row],[Product Code]],tblProducts[Code],tblProducts[Selling Price (excl. VAT)],0)</f>
        <v>850000</v>
      </c>
      <c r="K5573" s="5">
        <f>tblSales[[#This Row],[Qty]]*tblSales[[#This Row],[Unit Price]]</f>
        <v>13600000</v>
      </c>
      <c r="L5573" s="5">
        <f>ROUND(tblSales[[#This Row],[DPP (excl. VAT)]]*VATEff,0)</f>
        <v>1496000</v>
      </c>
      <c r="M5573" s="5">
        <f>tblSales[[#This Row],[DPP (excl. VAT)]]+tblSales[[#This Row],[Output VAT]]</f>
        <v>15096000</v>
      </c>
      <c r="N5573" s="5">
        <f>tblSales[[#This Row],[Qty]]*_xlfn.XLOOKUP(tblSales[[#This Row],[Product Code]],tblProducts[Code],tblProducts[Unit Cost],0)</f>
        <v>8960000</v>
      </c>
      <c r="O5573" s="4" t="s">
        <v>4867</v>
      </c>
      <c r="P5573" s="4" t="s">
        <v>4860</v>
      </c>
      <c r="Q5573" s="1" t="str">
        <f>_xlfn.XLOOKUP(tblSales[[#This Row],[Channel Code]],tblChannels[Channel Code],tblChannels[Channel Name],"")</f>
        <v>In-store</v>
      </c>
      <c r="R5573" s="1">
        <f>MONTH(tblSales[[#This Row],[Date]])</f>
        <v>12</v>
      </c>
    </row>
    <row r="5574" spans="2:18" x14ac:dyDescent="0.35">
      <c r="B5574" s="113">
        <v>46359</v>
      </c>
      <c r="C5574" s="4" t="s">
        <v>3818</v>
      </c>
      <c r="D5574" s="4" t="s">
        <v>4634</v>
      </c>
      <c r="E5574" s="1" t="str">
        <f>_xlfn.XLOOKUP(tblSales[[#This Row],[Customer ID]],tblCustomers[Customer ID],tblCustomers[Customer Name],"⚠ Unknown")</f>
        <v>PT Delta Inti Selaras</v>
      </c>
      <c r="F5574" s="4" t="s">
        <v>11</v>
      </c>
      <c r="G5574" s="1" t="str">
        <f>_xlfn.XLOOKUP(tblSales[[#This Row],[Product Code]],tblProducts[Code],tblProducts[Product / Service Name],"⚠ Unknown")</f>
        <v>Sneakers</v>
      </c>
      <c r="H5574" s="1" t="str">
        <f>_xlfn.XLOOKUP(tblSales[[#This Row],[Product Code]],tblProducts[Code],tblProducts[Category],"")</f>
        <v>Apparel &amp; Footwear</v>
      </c>
      <c r="I5574" s="4">
        <v>8</v>
      </c>
      <c r="J5574" s="5">
        <f>_xlfn.XLOOKUP(tblSales[[#This Row],[Product Code]],tblProducts[Code],tblProducts[Selling Price (excl. VAT)],0)</f>
        <v>250000</v>
      </c>
      <c r="K5574" s="5">
        <f>tblSales[[#This Row],[Qty]]*tblSales[[#This Row],[Unit Price]]</f>
        <v>2000000</v>
      </c>
      <c r="L5574" s="5">
        <f>ROUND(tblSales[[#This Row],[DPP (excl. VAT)]]*VATEff,0)</f>
        <v>220000</v>
      </c>
      <c r="M5574" s="5">
        <f>tblSales[[#This Row],[DPP (excl. VAT)]]+tblSales[[#This Row],[Output VAT]]</f>
        <v>2220000</v>
      </c>
      <c r="N5574" s="5">
        <f>tblSales[[#This Row],[Qty]]*_xlfn.XLOOKUP(tblSales[[#This Row],[Product Code]],tblProducts[Code],tblProducts[Unit Cost],0)</f>
        <v>1240000</v>
      </c>
      <c r="O5574" s="4" t="s">
        <v>4867</v>
      </c>
      <c r="P5574" s="4" t="s">
        <v>4860</v>
      </c>
      <c r="Q5574" s="1" t="str">
        <f>_xlfn.XLOOKUP(tblSales[[#This Row],[Channel Code]],tblChannels[Channel Code],tblChannels[Channel Name],"")</f>
        <v>In-store</v>
      </c>
      <c r="R5574" s="1">
        <f>MONTH(tblSales[[#This Row],[Date]])</f>
        <v>12</v>
      </c>
    </row>
    <row r="5575" spans="2:18" x14ac:dyDescent="0.35">
      <c r="B5575" s="113">
        <v>46359</v>
      </c>
      <c r="C5575" s="4" t="s">
        <v>3819</v>
      </c>
      <c r="D5575" s="4" t="s">
        <v>4568</v>
      </c>
      <c r="E5575" s="1" t="str">
        <f>_xlfn.XLOOKUP(tblSales[[#This Row],[Customer ID]],tblCustomers[Customer ID],tblCustomers[Customer Name],"⚠ Unknown")</f>
        <v>Walk-in Customer</v>
      </c>
      <c r="F5575" s="4" t="s">
        <v>7</v>
      </c>
      <c r="G5575" s="1" t="str">
        <f>_xlfn.XLOOKUP(tblSales[[#This Row],[Product Code]],tblProducts[Code],tblProducts[Product / Service Name],"⚠ Unknown")</f>
        <v>Premium Basic T-shirt</v>
      </c>
      <c r="H5575" s="1" t="str">
        <f>_xlfn.XLOOKUP(tblSales[[#This Row],[Product Code]],tblProducts[Code],tblProducts[Category],"")</f>
        <v>Accessories &amp; Basics</v>
      </c>
      <c r="I5575" s="4">
        <v>8</v>
      </c>
      <c r="J5575" s="5">
        <f>_xlfn.XLOOKUP(tblSales[[#This Row],[Product Code]],tblProducts[Code],tblProducts[Selling Price (excl. VAT)],0)</f>
        <v>65000</v>
      </c>
      <c r="K5575" s="5">
        <f>tblSales[[#This Row],[Qty]]*tblSales[[#This Row],[Unit Price]]</f>
        <v>520000</v>
      </c>
      <c r="L5575" s="5">
        <f>ROUND(tblSales[[#This Row],[DPP (excl. VAT)]]*VATEff,0)</f>
        <v>57200</v>
      </c>
      <c r="M5575" s="5">
        <f>tblSales[[#This Row],[DPP (excl. VAT)]]+tblSales[[#This Row],[Output VAT]]</f>
        <v>577200</v>
      </c>
      <c r="N5575" s="5">
        <f>tblSales[[#This Row],[Qty]]*_xlfn.XLOOKUP(tblSales[[#This Row],[Product Code]],tblProducts[Code],tblProducts[Unit Cost],0)</f>
        <v>296000</v>
      </c>
      <c r="O5575" s="4" t="s">
        <v>4865</v>
      </c>
      <c r="P5575" s="4" t="s">
        <v>4860</v>
      </c>
      <c r="Q5575" s="1" t="str">
        <f>_xlfn.XLOOKUP(tblSales[[#This Row],[Channel Code]],tblChannels[Channel Code],tblChannels[Channel Name],"")</f>
        <v>In-store</v>
      </c>
      <c r="R5575" s="1">
        <f>MONTH(tblSales[[#This Row],[Date]])</f>
        <v>12</v>
      </c>
    </row>
    <row r="5576" spans="2:18" x14ac:dyDescent="0.35">
      <c r="B5576" s="113">
        <v>46359</v>
      </c>
      <c r="C5576" s="4" t="s">
        <v>3819</v>
      </c>
      <c r="D5576" s="4" t="s">
        <v>4568</v>
      </c>
      <c r="E5576" s="1" t="str">
        <f>_xlfn.XLOOKUP(tblSales[[#This Row],[Customer ID]],tblCustomers[Customer ID],tblCustomers[Customer Name],"⚠ Unknown")</f>
        <v>Walk-in Customer</v>
      </c>
      <c r="F5576" s="4" t="s">
        <v>6</v>
      </c>
      <c r="G5576" s="1" t="str">
        <f>_xlfn.XLOOKUP(tblSales[[#This Row],[Product Code]],tblProducts[Code],tblProducts[Product / Service Name],"⚠ Unknown")</f>
        <v>Socks &amp; Accessories</v>
      </c>
      <c r="H5576" s="1" t="str">
        <f>_xlfn.XLOOKUP(tblSales[[#This Row],[Product Code]],tblProducts[Code],tblProducts[Category],"")</f>
        <v>Accessories &amp; Basics</v>
      </c>
      <c r="I5576" s="4">
        <v>1</v>
      </c>
      <c r="J5576" s="5">
        <f>_xlfn.XLOOKUP(tblSales[[#This Row],[Product Code]],tblProducts[Code],tblProducts[Selling Price (excl. VAT)],0)</f>
        <v>45000</v>
      </c>
      <c r="K5576" s="5">
        <f>tblSales[[#This Row],[Qty]]*tblSales[[#This Row],[Unit Price]]</f>
        <v>45000</v>
      </c>
      <c r="L5576" s="5">
        <f>ROUND(tblSales[[#This Row],[DPP (excl. VAT)]]*VATEff,0)</f>
        <v>4950</v>
      </c>
      <c r="M5576" s="5">
        <f>tblSales[[#This Row],[DPP (excl. VAT)]]+tblSales[[#This Row],[Output VAT]]</f>
        <v>49950</v>
      </c>
      <c r="N5576" s="5">
        <f>tblSales[[#This Row],[Qty]]*_xlfn.XLOOKUP(tblSales[[#This Row],[Product Code]],tblProducts[Code],tblProducts[Unit Cost],0)</f>
        <v>24000</v>
      </c>
      <c r="O5576" s="4" t="s">
        <v>4865</v>
      </c>
      <c r="P5576" s="4" t="s">
        <v>4860</v>
      </c>
      <c r="Q5576" s="1" t="str">
        <f>_xlfn.XLOOKUP(tblSales[[#This Row],[Channel Code]],tblChannels[Channel Code],tblChannels[Channel Name],"")</f>
        <v>In-store</v>
      </c>
      <c r="R5576" s="1">
        <f>MONTH(tblSales[[#This Row],[Date]])</f>
        <v>12</v>
      </c>
    </row>
    <row r="5577" spans="2:18" x14ac:dyDescent="0.35">
      <c r="B5577" s="113">
        <v>46359</v>
      </c>
      <c r="C5577" s="4" t="s">
        <v>3820</v>
      </c>
      <c r="D5577" s="4" t="s">
        <v>4568</v>
      </c>
      <c r="E5577" s="1" t="str">
        <f>_xlfn.XLOOKUP(tblSales[[#This Row],[Customer ID]],tblCustomers[Customer ID],tblCustomers[Customer Name],"⚠ Unknown")</f>
        <v>Walk-in Customer</v>
      </c>
      <c r="F5577" s="4" t="s">
        <v>12</v>
      </c>
      <c r="G5577" s="1" t="str">
        <f>_xlfn.XLOOKUP(tblSales[[#This Row],[Product Code]],tblProducts[Code],tblProducts[Product / Service Name],"⚠ Unknown")</f>
        <v>Bomber Jacket</v>
      </c>
      <c r="H5577" s="1" t="str">
        <f>_xlfn.XLOOKUP(tblSales[[#This Row],[Product Code]],tblProducts[Code],tblProducts[Category],"")</f>
        <v>Apparel &amp; Footwear</v>
      </c>
      <c r="I5577" s="4">
        <v>5</v>
      </c>
      <c r="J5577" s="5">
        <f>_xlfn.XLOOKUP(tblSales[[#This Row],[Product Code]],tblProducts[Code],tblProducts[Selling Price (excl. VAT)],0)</f>
        <v>350000</v>
      </c>
      <c r="K5577" s="5">
        <f>tblSales[[#This Row],[Qty]]*tblSales[[#This Row],[Unit Price]]</f>
        <v>1750000</v>
      </c>
      <c r="L5577" s="5">
        <f>ROUND(tblSales[[#This Row],[DPP (excl. VAT)]]*VATEff,0)</f>
        <v>192500</v>
      </c>
      <c r="M5577" s="5">
        <f>tblSales[[#This Row],[DPP (excl. VAT)]]+tblSales[[#This Row],[Output VAT]]</f>
        <v>1942500</v>
      </c>
      <c r="N5577" s="5">
        <f>tblSales[[#This Row],[Qty]]*_xlfn.XLOOKUP(tblSales[[#This Row],[Product Code]],tblProducts[Code],tblProducts[Unit Cost],0)</f>
        <v>1050000</v>
      </c>
      <c r="O5577" s="4" t="s">
        <v>4866</v>
      </c>
      <c r="P5577" s="4" t="s">
        <v>4860</v>
      </c>
      <c r="Q5577" s="1" t="str">
        <f>_xlfn.XLOOKUP(tblSales[[#This Row],[Channel Code]],tblChannels[Channel Code],tblChannels[Channel Name],"")</f>
        <v>In-store</v>
      </c>
      <c r="R5577" s="1">
        <f>MONTH(tblSales[[#This Row],[Date]])</f>
        <v>12</v>
      </c>
    </row>
    <row r="5578" spans="2:18" x14ac:dyDescent="0.35">
      <c r="B5578" s="113">
        <v>46359</v>
      </c>
      <c r="C5578" s="4" t="s">
        <v>3821</v>
      </c>
      <c r="D5578" s="4" t="s">
        <v>4627</v>
      </c>
      <c r="E5578" s="1" t="str">
        <f>_xlfn.XLOOKUP(tblSales[[#This Row],[Customer ID]],tblCustomers[Customer ID],tblCustomers[Customer Name],"⚠ Unknown")</f>
        <v>PT Kencana Wira Usaha</v>
      </c>
      <c r="F5578" s="4" t="s">
        <v>11</v>
      </c>
      <c r="G5578" s="1" t="str">
        <f>_xlfn.XLOOKUP(tblSales[[#This Row],[Product Code]],tblProducts[Code],tblProducts[Product / Service Name],"⚠ Unknown")</f>
        <v>Sneakers</v>
      </c>
      <c r="H5578" s="1" t="str">
        <f>_xlfn.XLOOKUP(tblSales[[#This Row],[Product Code]],tblProducts[Code],tblProducts[Category],"")</f>
        <v>Apparel &amp; Footwear</v>
      </c>
      <c r="I5578" s="4">
        <v>40</v>
      </c>
      <c r="J5578" s="5">
        <f>_xlfn.XLOOKUP(tblSales[[#This Row],[Product Code]],tblProducts[Code],tblProducts[Selling Price (excl. VAT)],0)</f>
        <v>250000</v>
      </c>
      <c r="K5578" s="5">
        <f>tblSales[[#This Row],[Qty]]*tblSales[[#This Row],[Unit Price]]</f>
        <v>10000000</v>
      </c>
      <c r="L5578" s="5">
        <f>ROUND(tblSales[[#This Row],[DPP (excl. VAT)]]*VATEff,0)</f>
        <v>1100000</v>
      </c>
      <c r="M5578" s="5">
        <f>tblSales[[#This Row],[DPP (excl. VAT)]]+tblSales[[#This Row],[Output VAT]]</f>
        <v>11100000</v>
      </c>
      <c r="N5578" s="5">
        <f>tblSales[[#This Row],[Qty]]*_xlfn.XLOOKUP(tblSales[[#This Row],[Product Code]],tblProducts[Code],tblProducts[Unit Cost],0)</f>
        <v>6200000</v>
      </c>
      <c r="O5578" s="4" t="s">
        <v>4867</v>
      </c>
      <c r="P5578" s="4" t="s">
        <v>4860</v>
      </c>
      <c r="Q5578" s="1" t="str">
        <f>_xlfn.XLOOKUP(tblSales[[#This Row],[Channel Code]],tblChannels[Channel Code],tblChannels[Channel Name],"")</f>
        <v>In-store</v>
      </c>
      <c r="R5578" s="1">
        <f>MONTH(tblSales[[#This Row],[Date]])</f>
        <v>12</v>
      </c>
    </row>
    <row r="5579" spans="2:18" x14ac:dyDescent="0.35">
      <c r="B5579" s="113">
        <v>46359</v>
      </c>
      <c r="C5579" s="4" t="s">
        <v>3822</v>
      </c>
      <c r="D5579" s="4" t="s">
        <v>4620</v>
      </c>
      <c r="E5579" s="1" t="str">
        <f>_xlfn.XLOOKUP(tblSales[[#This Row],[Customer ID]],tblCustomers[Customer ID],tblCustomers[Customer Name],"⚠ Unknown")</f>
        <v>CV Sumber Rejeki Utama</v>
      </c>
      <c r="F5579" s="4" t="s">
        <v>9</v>
      </c>
      <c r="G5579" s="1" t="str">
        <f>_xlfn.XLOOKUP(tblSales[[#This Row],[Product Code]],tblProducts[Code],tblProducts[Product / Service Name],"⚠ Unknown")</f>
        <v>Casual Shirt</v>
      </c>
      <c r="H5579" s="1" t="str">
        <f>_xlfn.XLOOKUP(tblSales[[#This Row],[Product Code]],tblProducts[Code],tblProducts[Category],"")</f>
        <v>Apparel &amp; Footwear</v>
      </c>
      <c r="I5579" s="4">
        <v>16</v>
      </c>
      <c r="J5579" s="5">
        <f>_xlfn.XLOOKUP(tblSales[[#This Row],[Product Code]],tblProducts[Code],tblProducts[Selling Price (excl. VAT)],0)</f>
        <v>120000</v>
      </c>
      <c r="K5579" s="5">
        <f>tblSales[[#This Row],[Qty]]*tblSales[[#This Row],[Unit Price]]</f>
        <v>1920000</v>
      </c>
      <c r="L5579" s="5">
        <f>ROUND(tblSales[[#This Row],[DPP (excl. VAT)]]*VATEff,0)</f>
        <v>211200</v>
      </c>
      <c r="M5579" s="5">
        <f>tblSales[[#This Row],[DPP (excl. VAT)]]+tblSales[[#This Row],[Output VAT]]</f>
        <v>2131200</v>
      </c>
      <c r="N5579" s="5">
        <f>tblSales[[#This Row],[Qty]]*_xlfn.XLOOKUP(tblSales[[#This Row],[Product Code]],tblProducts[Code],tblProducts[Unit Cost],0)</f>
        <v>1152000</v>
      </c>
      <c r="O5579" s="4" t="s">
        <v>4867</v>
      </c>
      <c r="P5579" s="4" t="s">
        <v>4860</v>
      </c>
      <c r="Q5579" s="1" t="str">
        <f>_xlfn.XLOOKUP(tblSales[[#This Row],[Channel Code]],tblChannels[Channel Code],tblChannels[Channel Name],"")</f>
        <v>In-store</v>
      </c>
      <c r="R5579" s="1">
        <f>MONTH(tblSales[[#This Row],[Date]])</f>
        <v>12</v>
      </c>
    </row>
    <row r="5580" spans="2:18" x14ac:dyDescent="0.35">
      <c r="B5580" s="113">
        <v>46359</v>
      </c>
      <c r="C5580" s="4" t="s">
        <v>3823</v>
      </c>
      <c r="D5580" s="4" t="s">
        <v>4578</v>
      </c>
      <c r="E5580" s="1" t="str">
        <f>_xlfn.XLOOKUP(tblSales[[#This Row],[Customer ID]],tblCustomers[Customer ID],tblCustomers[Customer Name],"⚠ Unknown")</f>
        <v>PT Bintang Timur Sejahtera</v>
      </c>
      <c r="F5580" s="4" t="s">
        <v>9</v>
      </c>
      <c r="G5580" s="1" t="str">
        <f>_xlfn.XLOOKUP(tblSales[[#This Row],[Product Code]],tblProducts[Code],tblProducts[Product / Service Name],"⚠ Unknown")</f>
        <v>Casual Shirt</v>
      </c>
      <c r="H5580" s="1" t="str">
        <f>_xlfn.XLOOKUP(tblSales[[#This Row],[Product Code]],tblProducts[Code],tblProducts[Category],"")</f>
        <v>Apparel &amp; Footwear</v>
      </c>
      <c r="I5580" s="4">
        <v>80</v>
      </c>
      <c r="J5580" s="5">
        <f>_xlfn.XLOOKUP(tblSales[[#This Row],[Product Code]],tblProducts[Code],tblProducts[Selling Price (excl. VAT)],0)</f>
        <v>120000</v>
      </c>
      <c r="K5580" s="5">
        <f>tblSales[[#This Row],[Qty]]*tblSales[[#This Row],[Unit Price]]</f>
        <v>9600000</v>
      </c>
      <c r="L5580" s="5">
        <f>ROUND(tblSales[[#This Row],[DPP (excl. VAT)]]*VATEff,0)</f>
        <v>1056000</v>
      </c>
      <c r="M5580" s="5">
        <f>tblSales[[#This Row],[DPP (excl. VAT)]]+tblSales[[#This Row],[Output VAT]]</f>
        <v>10656000</v>
      </c>
      <c r="N5580" s="5">
        <f>tblSales[[#This Row],[Qty]]*_xlfn.XLOOKUP(tblSales[[#This Row],[Product Code]],tblProducts[Code],tblProducts[Unit Cost],0)</f>
        <v>5760000</v>
      </c>
      <c r="O5580" s="4" t="s">
        <v>4867</v>
      </c>
      <c r="P5580" s="4" t="s">
        <v>4860</v>
      </c>
      <c r="Q5580" s="1" t="str">
        <f>_xlfn.XLOOKUP(tblSales[[#This Row],[Channel Code]],tblChannels[Channel Code],tblChannels[Channel Name],"")</f>
        <v>In-store</v>
      </c>
      <c r="R5580" s="1">
        <f>MONTH(tblSales[[#This Row],[Date]])</f>
        <v>12</v>
      </c>
    </row>
    <row r="5581" spans="2:18" x14ac:dyDescent="0.35">
      <c r="B5581" s="113">
        <v>46359</v>
      </c>
      <c r="C5581" s="4" t="s">
        <v>3824</v>
      </c>
      <c r="D5581" s="4" t="s">
        <v>4568</v>
      </c>
      <c r="E5581" s="1" t="str">
        <f>_xlfn.XLOOKUP(tblSales[[#This Row],[Customer ID]],tblCustomers[Customer ID],tblCustomers[Customer Name],"⚠ Unknown")</f>
        <v>Walk-in Customer</v>
      </c>
      <c r="F5581" s="4" t="s">
        <v>8</v>
      </c>
      <c r="G5581" s="1" t="str">
        <f>_xlfn.XLOOKUP(tblSales[[#This Row],[Product Code]],tblProducts[Code],tblProducts[Product / Service Name],"⚠ Unknown")</f>
        <v>Casual Shorts</v>
      </c>
      <c r="H5581" s="1" t="str">
        <f>_xlfn.XLOOKUP(tblSales[[#This Row],[Product Code]],tblProducts[Code],tblProducts[Category],"")</f>
        <v>Accessories &amp; Basics</v>
      </c>
      <c r="I5581" s="4">
        <v>11</v>
      </c>
      <c r="J5581" s="5">
        <f>_xlfn.XLOOKUP(tblSales[[#This Row],[Product Code]],tblProducts[Code],tblProducts[Selling Price (excl. VAT)],0)</f>
        <v>85000</v>
      </c>
      <c r="K5581" s="5">
        <f>tblSales[[#This Row],[Qty]]*tblSales[[#This Row],[Unit Price]]</f>
        <v>935000</v>
      </c>
      <c r="L5581" s="5">
        <f>ROUND(tblSales[[#This Row],[DPP (excl. VAT)]]*VATEff,0)</f>
        <v>102850</v>
      </c>
      <c r="M5581" s="5">
        <f>tblSales[[#This Row],[DPP (excl. VAT)]]+tblSales[[#This Row],[Output VAT]]</f>
        <v>1037850</v>
      </c>
      <c r="N5581" s="5">
        <f>tblSales[[#This Row],[Qty]]*_xlfn.XLOOKUP(tblSales[[#This Row],[Product Code]],tblProducts[Code],tblProducts[Unit Cost],0)</f>
        <v>550000</v>
      </c>
      <c r="O5581" s="4" t="s">
        <v>4865</v>
      </c>
      <c r="P5581" s="4" t="s">
        <v>4860</v>
      </c>
      <c r="Q5581" s="1" t="str">
        <f>_xlfn.XLOOKUP(tblSales[[#This Row],[Channel Code]],tblChannels[Channel Code],tblChannels[Channel Name],"")</f>
        <v>In-store</v>
      </c>
      <c r="R5581" s="1">
        <f>MONTH(tblSales[[#This Row],[Date]])</f>
        <v>12</v>
      </c>
    </row>
    <row r="5582" spans="2:18" x14ac:dyDescent="0.35">
      <c r="B5582" s="113">
        <v>46359</v>
      </c>
      <c r="C5582" s="4" t="s">
        <v>3824</v>
      </c>
      <c r="D5582" s="4" t="s">
        <v>4568</v>
      </c>
      <c r="E5582" s="1" t="str">
        <f>_xlfn.XLOOKUP(tblSales[[#This Row],[Customer ID]],tblCustomers[Customer ID],tblCustomers[Customer Name],"⚠ Unknown")</f>
        <v>Walk-in Customer</v>
      </c>
      <c r="F5582" s="4" t="s">
        <v>6</v>
      </c>
      <c r="G5582" s="1" t="str">
        <f>_xlfn.XLOOKUP(tblSales[[#This Row],[Product Code]],tblProducts[Code],tblProducts[Product / Service Name],"⚠ Unknown")</f>
        <v>Socks &amp; Accessories</v>
      </c>
      <c r="H5582" s="1" t="str">
        <f>_xlfn.XLOOKUP(tblSales[[#This Row],[Product Code]],tblProducts[Code],tblProducts[Category],"")</f>
        <v>Accessories &amp; Basics</v>
      </c>
      <c r="I5582" s="4">
        <v>2</v>
      </c>
      <c r="J5582" s="5">
        <f>_xlfn.XLOOKUP(tblSales[[#This Row],[Product Code]],tblProducts[Code],tblProducts[Selling Price (excl. VAT)],0)</f>
        <v>45000</v>
      </c>
      <c r="K5582" s="5">
        <f>tblSales[[#This Row],[Qty]]*tblSales[[#This Row],[Unit Price]]</f>
        <v>90000</v>
      </c>
      <c r="L5582" s="5">
        <f>ROUND(tblSales[[#This Row],[DPP (excl. VAT)]]*VATEff,0)</f>
        <v>9900</v>
      </c>
      <c r="M5582" s="5">
        <f>tblSales[[#This Row],[DPP (excl. VAT)]]+tblSales[[#This Row],[Output VAT]]</f>
        <v>99900</v>
      </c>
      <c r="N5582" s="5">
        <f>tblSales[[#This Row],[Qty]]*_xlfn.XLOOKUP(tblSales[[#This Row],[Product Code]],tblProducts[Code],tblProducts[Unit Cost],0)</f>
        <v>48000</v>
      </c>
      <c r="O5582" s="4" t="s">
        <v>4865</v>
      </c>
      <c r="P5582" s="4" t="s">
        <v>4860</v>
      </c>
      <c r="Q5582" s="1" t="str">
        <f>_xlfn.XLOOKUP(tblSales[[#This Row],[Channel Code]],tblChannels[Channel Code],tblChannels[Channel Name],"")</f>
        <v>In-store</v>
      </c>
      <c r="R5582" s="1">
        <f>MONTH(tblSales[[#This Row],[Date]])</f>
        <v>12</v>
      </c>
    </row>
    <row r="5583" spans="2:18" x14ac:dyDescent="0.35">
      <c r="B5583" s="113">
        <v>46359</v>
      </c>
      <c r="C5583" s="4" t="s">
        <v>3825</v>
      </c>
      <c r="D5583" s="4" t="s">
        <v>4568</v>
      </c>
      <c r="E5583" s="1" t="str">
        <f>_xlfn.XLOOKUP(tblSales[[#This Row],[Customer ID]],tblCustomers[Customer ID],tblCustomers[Customer Name],"⚠ Unknown")</f>
        <v>Walk-in Customer</v>
      </c>
      <c r="F5583" s="4" t="s">
        <v>13</v>
      </c>
      <c r="G5583" s="1" t="str">
        <f>_xlfn.XLOOKUP(tblSales[[#This Row],[Product Code]],tblProducts[Code],tblProducts[Product / Service Name],"⚠ Unknown")</f>
        <v>Backpack</v>
      </c>
      <c r="H5583" s="1" t="str">
        <f>_xlfn.XLOOKUP(tblSales[[#This Row],[Product Code]],tblProducts[Code],tblProducts[Category],"")</f>
        <v>Bags &amp; Gadgets</v>
      </c>
      <c r="I5583" s="4">
        <v>2</v>
      </c>
      <c r="J5583" s="5">
        <f>_xlfn.XLOOKUP(tblSales[[#This Row],[Product Code]],tblProducts[Code],tblProducts[Selling Price (excl. VAT)],0)</f>
        <v>500000</v>
      </c>
      <c r="K5583" s="5">
        <f>tblSales[[#This Row],[Qty]]*tblSales[[#This Row],[Unit Price]]</f>
        <v>1000000</v>
      </c>
      <c r="L5583" s="5">
        <f>ROUND(tblSales[[#This Row],[DPP (excl. VAT)]]*VATEff,0)</f>
        <v>110000</v>
      </c>
      <c r="M5583" s="5">
        <f>tblSales[[#This Row],[DPP (excl. VAT)]]+tblSales[[#This Row],[Output VAT]]</f>
        <v>1110000</v>
      </c>
      <c r="N5583" s="5">
        <f>tblSales[[#This Row],[Qty]]*_xlfn.XLOOKUP(tblSales[[#This Row],[Product Code]],tblProducts[Code],tblProducts[Unit Cost],0)</f>
        <v>580000</v>
      </c>
      <c r="O5583" s="4" t="s">
        <v>4865</v>
      </c>
      <c r="P5583" s="4" t="s">
        <v>4860</v>
      </c>
      <c r="Q5583" s="1" t="str">
        <f>_xlfn.XLOOKUP(tblSales[[#This Row],[Channel Code]],tblChannels[Channel Code],tblChannels[Channel Name],"")</f>
        <v>In-store</v>
      </c>
      <c r="R5583" s="1">
        <f>MONTH(tblSales[[#This Row],[Date]])</f>
        <v>12</v>
      </c>
    </row>
    <row r="5584" spans="2:18" x14ac:dyDescent="0.35">
      <c r="B5584" s="113">
        <v>46359</v>
      </c>
      <c r="C5584" s="4" t="s">
        <v>3825</v>
      </c>
      <c r="D5584" s="4" t="s">
        <v>4568</v>
      </c>
      <c r="E5584" s="1" t="str">
        <f>_xlfn.XLOOKUP(tblSales[[#This Row],[Customer ID]],tblCustomers[Customer ID],tblCustomers[Customer Name],"⚠ Unknown")</f>
        <v>Walk-in Customer</v>
      </c>
      <c r="F5584" s="4" t="s">
        <v>7</v>
      </c>
      <c r="G5584" s="1" t="str">
        <f>_xlfn.XLOOKUP(tblSales[[#This Row],[Product Code]],tblProducts[Code],tblProducts[Product / Service Name],"⚠ Unknown")</f>
        <v>Premium Basic T-shirt</v>
      </c>
      <c r="H5584" s="1" t="str">
        <f>_xlfn.XLOOKUP(tblSales[[#This Row],[Product Code]],tblProducts[Code],tblProducts[Category],"")</f>
        <v>Accessories &amp; Basics</v>
      </c>
      <c r="I5584" s="4">
        <v>8</v>
      </c>
      <c r="J5584" s="5">
        <f>_xlfn.XLOOKUP(tblSales[[#This Row],[Product Code]],tblProducts[Code],tblProducts[Selling Price (excl. VAT)],0)</f>
        <v>65000</v>
      </c>
      <c r="K5584" s="5">
        <f>tblSales[[#This Row],[Qty]]*tblSales[[#This Row],[Unit Price]]</f>
        <v>520000</v>
      </c>
      <c r="L5584" s="5">
        <f>ROUND(tblSales[[#This Row],[DPP (excl. VAT)]]*VATEff,0)</f>
        <v>57200</v>
      </c>
      <c r="M5584" s="5">
        <f>tblSales[[#This Row],[DPP (excl. VAT)]]+tblSales[[#This Row],[Output VAT]]</f>
        <v>577200</v>
      </c>
      <c r="N5584" s="5">
        <f>tblSales[[#This Row],[Qty]]*_xlfn.XLOOKUP(tblSales[[#This Row],[Product Code]],tblProducts[Code],tblProducts[Unit Cost],0)</f>
        <v>296000</v>
      </c>
      <c r="O5584" s="4" t="s">
        <v>4865</v>
      </c>
      <c r="P5584" s="4" t="s">
        <v>4860</v>
      </c>
      <c r="Q5584" s="1" t="str">
        <f>_xlfn.XLOOKUP(tblSales[[#This Row],[Channel Code]],tblChannels[Channel Code],tblChannels[Channel Name],"")</f>
        <v>In-store</v>
      </c>
      <c r="R5584" s="1">
        <f>MONTH(tblSales[[#This Row],[Date]])</f>
        <v>12</v>
      </c>
    </row>
    <row r="5585" spans="2:18" x14ac:dyDescent="0.35">
      <c r="B5585" s="113">
        <v>46359</v>
      </c>
      <c r="C5585" s="4" t="s">
        <v>3826</v>
      </c>
      <c r="D5585" s="4" t="s">
        <v>4578</v>
      </c>
      <c r="E5585" s="1" t="str">
        <f>_xlfn.XLOOKUP(tblSales[[#This Row],[Customer ID]],tblCustomers[Customer ID],tblCustomers[Customer Name],"⚠ Unknown")</f>
        <v>PT Bintang Timur Sejahtera</v>
      </c>
      <c r="F5585" s="4" t="s">
        <v>8</v>
      </c>
      <c r="G5585" s="1" t="str">
        <f>_xlfn.XLOOKUP(tblSales[[#This Row],[Product Code]],tblProducts[Code],tblProducts[Product / Service Name],"⚠ Unknown")</f>
        <v>Casual Shorts</v>
      </c>
      <c r="H5585" s="1" t="str">
        <f>_xlfn.XLOOKUP(tblSales[[#This Row],[Product Code]],tblProducts[Code],tblProducts[Category],"")</f>
        <v>Accessories &amp; Basics</v>
      </c>
      <c r="I5585" s="4">
        <v>72</v>
      </c>
      <c r="J5585" s="5">
        <f>_xlfn.XLOOKUP(tblSales[[#This Row],[Product Code]],tblProducts[Code],tblProducts[Selling Price (excl. VAT)],0)</f>
        <v>85000</v>
      </c>
      <c r="K5585" s="5">
        <f>tblSales[[#This Row],[Qty]]*tblSales[[#This Row],[Unit Price]]</f>
        <v>6120000</v>
      </c>
      <c r="L5585" s="5">
        <f>ROUND(tblSales[[#This Row],[DPP (excl. VAT)]]*VATEff,0)</f>
        <v>673200</v>
      </c>
      <c r="M5585" s="5">
        <f>tblSales[[#This Row],[DPP (excl. VAT)]]+tblSales[[#This Row],[Output VAT]]</f>
        <v>6793200</v>
      </c>
      <c r="N5585" s="5">
        <f>tblSales[[#This Row],[Qty]]*_xlfn.XLOOKUP(tblSales[[#This Row],[Product Code]],tblProducts[Code],tblProducts[Unit Cost],0)</f>
        <v>3600000</v>
      </c>
      <c r="O5585" s="4" t="s">
        <v>4867</v>
      </c>
      <c r="P5585" s="4" t="s">
        <v>4860</v>
      </c>
      <c r="Q5585" s="1" t="str">
        <f>_xlfn.XLOOKUP(tblSales[[#This Row],[Channel Code]],tblChannels[Channel Code],tblChannels[Channel Name],"")</f>
        <v>In-store</v>
      </c>
      <c r="R5585" s="1">
        <f>MONTH(tblSales[[#This Row],[Date]])</f>
        <v>12</v>
      </c>
    </row>
    <row r="5586" spans="2:18" x14ac:dyDescent="0.35">
      <c r="B5586" s="113">
        <v>46360</v>
      </c>
      <c r="C5586" s="4" t="s">
        <v>3827</v>
      </c>
      <c r="D5586" s="4" t="s">
        <v>4568</v>
      </c>
      <c r="E5586" s="1" t="str">
        <f>_xlfn.XLOOKUP(tblSales[[#This Row],[Customer ID]],tblCustomers[Customer ID],tblCustomers[Customer Name],"⚠ Unknown")</f>
        <v>Walk-in Customer</v>
      </c>
      <c r="F5586" s="4" t="s">
        <v>10</v>
      </c>
      <c r="G5586" s="1" t="str">
        <f>_xlfn.XLOOKUP(tblSales[[#This Row],[Product Code]],tblProducts[Code],tblProducts[Product / Service Name],"⚠ Unknown")</f>
        <v>Chino Pants</v>
      </c>
      <c r="H5586" s="1" t="str">
        <f>_xlfn.XLOOKUP(tblSales[[#This Row],[Product Code]],tblProducts[Code],tblProducts[Category],"")</f>
        <v>Apparel &amp; Footwear</v>
      </c>
      <c r="I5586" s="4">
        <v>4</v>
      </c>
      <c r="J5586" s="5">
        <f>_xlfn.XLOOKUP(tblSales[[#This Row],[Product Code]],tblProducts[Code],tblProducts[Selling Price (excl. VAT)],0)</f>
        <v>150000</v>
      </c>
      <c r="K5586" s="5">
        <f>tblSales[[#This Row],[Qty]]*tblSales[[#This Row],[Unit Price]]</f>
        <v>600000</v>
      </c>
      <c r="L5586" s="5">
        <f>ROUND(tblSales[[#This Row],[DPP (excl. VAT)]]*VATEff,0)</f>
        <v>66000</v>
      </c>
      <c r="M5586" s="5">
        <f>tblSales[[#This Row],[DPP (excl. VAT)]]+tblSales[[#This Row],[Output VAT]]</f>
        <v>666000</v>
      </c>
      <c r="N5586" s="5">
        <f>tblSales[[#This Row],[Qty]]*_xlfn.XLOOKUP(tblSales[[#This Row],[Product Code]],tblProducts[Code],tblProducts[Unit Cost],0)</f>
        <v>352000</v>
      </c>
      <c r="O5586" s="4" t="s">
        <v>4865</v>
      </c>
      <c r="P5586" s="4" t="s">
        <v>4860</v>
      </c>
      <c r="Q5586" s="1" t="str">
        <f>_xlfn.XLOOKUP(tblSales[[#This Row],[Channel Code]],tblChannels[Channel Code],tblChannels[Channel Name],"")</f>
        <v>In-store</v>
      </c>
      <c r="R5586" s="1">
        <f>MONTH(tblSales[[#This Row],[Date]])</f>
        <v>12</v>
      </c>
    </row>
    <row r="5587" spans="2:18" x14ac:dyDescent="0.35">
      <c r="B5587" s="113">
        <v>46360</v>
      </c>
      <c r="C5587" s="4" t="s">
        <v>3827</v>
      </c>
      <c r="D5587" s="4" t="s">
        <v>4568</v>
      </c>
      <c r="E5587" s="1" t="str">
        <f>_xlfn.XLOOKUP(tblSales[[#This Row],[Customer ID]],tblCustomers[Customer ID],tblCustomers[Customer Name],"⚠ Unknown")</f>
        <v>Walk-in Customer</v>
      </c>
      <c r="F5587" s="4" t="s">
        <v>13</v>
      </c>
      <c r="G5587" s="1" t="str">
        <f>_xlfn.XLOOKUP(tblSales[[#This Row],[Product Code]],tblProducts[Code],tblProducts[Product / Service Name],"⚠ Unknown")</f>
        <v>Backpack</v>
      </c>
      <c r="H5587" s="1" t="str">
        <f>_xlfn.XLOOKUP(tblSales[[#This Row],[Product Code]],tblProducts[Code],tblProducts[Category],"")</f>
        <v>Bags &amp; Gadgets</v>
      </c>
      <c r="I5587" s="4">
        <v>4</v>
      </c>
      <c r="J5587" s="5">
        <f>_xlfn.XLOOKUP(tblSales[[#This Row],[Product Code]],tblProducts[Code],tblProducts[Selling Price (excl. VAT)],0)</f>
        <v>500000</v>
      </c>
      <c r="K5587" s="5">
        <f>tblSales[[#This Row],[Qty]]*tblSales[[#This Row],[Unit Price]]</f>
        <v>2000000</v>
      </c>
      <c r="L5587" s="5">
        <f>ROUND(tblSales[[#This Row],[DPP (excl. VAT)]]*VATEff,0)</f>
        <v>220000</v>
      </c>
      <c r="M5587" s="5">
        <f>tblSales[[#This Row],[DPP (excl. VAT)]]+tblSales[[#This Row],[Output VAT]]</f>
        <v>2220000</v>
      </c>
      <c r="N5587" s="5">
        <f>tblSales[[#This Row],[Qty]]*_xlfn.XLOOKUP(tblSales[[#This Row],[Product Code]],tblProducts[Code],tblProducts[Unit Cost],0)</f>
        <v>1160000</v>
      </c>
      <c r="O5587" s="4" t="s">
        <v>4865</v>
      </c>
      <c r="P5587" s="4" t="s">
        <v>4860</v>
      </c>
      <c r="Q5587" s="1" t="str">
        <f>_xlfn.XLOOKUP(tblSales[[#This Row],[Channel Code]],tblChannels[Channel Code],tblChannels[Channel Name],"")</f>
        <v>In-store</v>
      </c>
      <c r="R5587" s="1">
        <f>MONTH(tblSales[[#This Row],[Date]])</f>
        <v>12</v>
      </c>
    </row>
    <row r="5588" spans="2:18" x14ac:dyDescent="0.35">
      <c r="B5588" s="113">
        <v>46360</v>
      </c>
      <c r="C5588" s="4" t="s">
        <v>3827</v>
      </c>
      <c r="D5588" s="4" t="s">
        <v>4568</v>
      </c>
      <c r="E5588" s="1" t="str">
        <f>_xlfn.XLOOKUP(tblSales[[#This Row],[Customer ID]],tblCustomers[Customer ID],tblCustomers[Customer Name],"⚠ Unknown")</f>
        <v>Walk-in Customer</v>
      </c>
      <c r="F5588" s="4" t="s">
        <v>11</v>
      </c>
      <c r="G5588" s="1" t="str">
        <f>_xlfn.XLOOKUP(tblSales[[#This Row],[Product Code]],tblProducts[Code],tblProducts[Product / Service Name],"⚠ Unknown")</f>
        <v>Sneakers</v>
      </c>
      <c r="H5588" s="1" t="str">
        <f>_xlfn.XLOOKUP(tblSales[[#This Row],[Product Code]],tblProducts[Code],tblProducts[Category],"")</f>
        <v>Apparel &amp; Footwear</v>
      </c>
      <c r="I5588" s="4">
        <v>4</v>
      </c>
      <c r="J5588" s="5">
        <f>_xlfn.XLOOKUP(tblSales[[#This Row],[Product Code]],tblProducts[Code],tblProducts[Selling Price (excl. VAT)],0)</f>
        <v>250000</v>
      </c>
      <c r="K5588" s="5">
        <f>tblSales[[#This Row],[Qty]]*tblSales[[#This Row],[Unit Price]]</f>
        <v>1000000</v>
      </c>
      <c r="L5588" s="5">
        <f>ROUND(tblSales[[#This Row],[DPP (excl. VAT)]]*VATEff,0)</f>
        <v>110000</v>
      </c>
      <c r="M5588" s="5">
        <f>tblSales[[#This Row],[DPP (excl. VAT)]]+tblSales[[#This Row],[Output VAT]]</f>
        <v>1110000</v>
      </c>
      <c r="N5588" s="5">
        <f>tblSales[[#This Row],[Qty]]*_xlfn.XLOOKUP(tblSales[[#This Row],[Product Code]],tblProducts[Code],tblProducts[Unit Cost],0)</f>
        <v>620000</v>
      </c>
      <c r="O5588" s="4" t="s">
        <v>4865</v>
      </c>
      <c r="P5588" s="4" t="s">
        <v>4860</v>
      </c>
      <c r="Q5588" s="1" t="str">
        <f>_xlfn.XLOOKUP(tblSales[[#This Row],[Channel Code]],tblChannels[Channel Code],tblChannels[Channel Name],"")</f>
        <v>In-store</v>
      </c>
      <c r="R5588" s="1">
        <f>MONTH(tblSales[[#This Row],[Date]])</f>
        <v>12</v>
      </c>
    </row>
    <row r="5589" spans="2:18" x14ac:dyDescent="0.35">
      <c r="B5589" s="113">
        <v>46360</v>
      </c>
      <c r="C5589" s="4" t="s">
        <v>3828</v>
      </c>
      <c r="D5589" s="4" t="s">
        <v>4568</v>
      </c>
      <c r="E5589" s="1" t="str">
        <f>_xlfn.XLOOKUP(tblSales[[#This Row],[Customer ID]],tblCustomers[Customer ID],tblCustomers[Customer Name],"⚠ Unknown")</f>
        <v>Walk-in Customer</v>
      </c>
      <c r="F5589" s="4" t="s">
        <v>7</v>
      </c>
      <c r="G5589" s="1" t="str">
        <f>_xlfn.XLOOKUP(tblSales[[#This Row],[Product Code]],tblProducts[Code],tblProducts[Product / Service Name],"⚠ Unknown")</f>
        <v>Premium Basic T-shirt</v>
      </c>
      <c r="H5589" s="1" t="str">
        <f>_xlfn.XLOOKUP(tblSales[[#This Row],[Product Code]],tblProducts[Code],tblProducts[Category],"")</f>
        <v>Accessories &amp; Basics</v>
      </c>
      <c r="I5589" s="4">
        <v>11</v>
      </c>
      <c r="J5589" s="5">
        <f>_xlfn.XLOOKUP(tblSales[[#This Row],[Product Code]],tblProducts[Code],tblProducts[Selling Price (excl. VAT)],0)</f>
        <v>65000</v>
      </c>
      <c r="K5589" s="5">
        <f>tblSales[[#This Row],[Qty]]*tblSales[[#This Row],[Unit Price]]</f>
        <v>715000</v>
      </c>
      <c r="L5589" s="5">
        <f>ROUND(tblSales[[#This Row],[DPP (excl. VAT)]]*VATEff,0)</f>
        <v>78650</v>
      </c>
      <c r="M5589" s="5">
        <f>tblSales[[#This Row],[DPP (excl. VAT)]]+tblSales[[#This Row],[Output VAT]]</f>
        <v>793650</v>
      </c>
      <c r="N5589" s="5">
        <f>tblSales[[#This Row],[Qty]]*_xlfn.XLOOKUP(tblSales[[#This Row],[Product Code]],tblProducts[Code],tblProducts[Unit Cost],0)</f>
        <v>407000</v>
      </c>
      <c r="O5589" s="4" t="s">
        <v>4866</v>
      </c>
      <c r="P5589" s="4" t="s">
        <v>4861</v>
      </c>
      <c r="Q5589" s="1" t="str">
        <f>_xlfn.XLOOKUP(tblSales[[#This Row],[Channel Code]],tblChannels[Channel Code],tblChannels[Channel Name],"")</f>
        <v>Marketplace</v>
      </c>
      <c r="R5589" s="1">
        <f>MONTH(tblSales[[#This Row],[Date]])</f>
        <v>12</v>
      </c>
    </row>
    <row r="5590" spans="2:18" x14ac:dyDescent="0.35">
      <c r="B5590" s="113">
        <v>46360</v>
      </c>
      <c r="C5590" s="4" t="s">
        <v>3829</v>
      </c>
      <c r="D5590" s="4" t="s">
        <v>4568</v>
      </c>
      <c r="E5590" s="1" t="str">
        <f>_xlfn.XLOOKUP(tblSales[[#This Row],[Customer ID]],tblCustomers[Customer ID],tblCustomers[Customer Name],"⚠ Unknown")</f>
        <v>Walk-in Customer</v>
      </c>
      <c r="F5590" s="4" t="s">
        <v>14</v>
      </c>
      <c r="G5590" s="1" t="str">
        <f>_xlfn.XLOOKUP(tblSales[[#This Row],[Product Code]],tblProducts[Code],tblProducts[Product / Service Name],"⚠ Unknown")</f>
        <v>Smartwatch</v>
      </c>
      <c r="H5590" s="1" t="str">
        <f>_xlfn.XLOOKUP(tblSales[[#This Row],[Product Code]],tblProducts[Code],tblProducts[Category],"")</f>
        <v>Bags &amp; Gadgets</v>
      </c>
      <c r="I5590" s="4">
        <v>3</v>
      </c>
      <c r="J5590" s="5">
        <f>_xlfn.XLOOKUP(tblSales[[#This Row],[Product Code]],tblProducts[Code],tblProducts[Selling Price (excl. VAT)],0)</f>
        <v>850000</v>
      </c>
      <c r="K5590" s="5">
        <f>tblSales[[#This Row],[Qty]]*tblSales[[#This Row],[Unit Price]]</f>
        <v>2550000</v>
      </c>
      <c r="L5590" s="5">
        <f>ROUND(tblSales[[#This Row],[DPP (excl. VAT)]]*VATEff,0)</f>
        <v>280500</v>
      </c>
      <c r="M5590" s="5">
        <f>tblSales[[#This Row],[DPP (excl. VAT)]]+tblSales[[#This Row],[Output VAT]]</f>
        <v>2830500</v>
      </c>
      <c r="N5590" s="5">
        <f>tblSales[[#This Row],[Qty]]*_xlfn.XLOOKUP(tblSales[[#This Row],[Product Code]],tblProducts[Code],tblProducts[Unit Cost],0)</f>
        <v>1680000</v>
      </c>
      <c r="O5590" s="4" t="s">
        <v>4866</v>
      </c>
      <c r="P5590" s="4" t="s">
        <v>4862</v>
      </c>
      <c r="Q5590" s="1" t="str">
        <f>_xlfn.XLOOKUP(tblSales[[#This Row],[Channel Code]],tblChannels[Channel Code],tblChannels[Channel Name],"")</f>
        <v>Website &amp; Social Media</v>
      </c>
      <c r="R5590" s="1">
        <f>MONTH(tblSales[[#This Row],[Date]])</f>
        <v>12</v>
      </c>
    </row>
    <row r="5591" spans="2:18" x14ac:dyDescent="0.35">
      <c r="B5591" s="113">
        <v>46360</v>
      </c>
      <c r="C5591" s="4" t="s">
        <v>3830</v>
      </c>
      <c r="D5591" s="4" t="s">
        <v>4568</v>
      </c>
      <c r="E5591" s="1" t="str">
        <f>_xlfn.XLOOKUP(tblSales[[#This Row],[Customer ID]],tblCustomers[Customer ID],tblCustomers[Customer Name],"⚠ Unknown")</f>
        <v>Walk-in Customer</v>
      </c>
      <c r="F5591" s="4" t="s">
        <v>10</v>
      </c>
      <c r="G5591" s="1" t="str">
        <f>_xlfn.XLOOKUP(tblSales[[#This Row],[Product Code]],tblProducts[Code],tblProducts[Product / Service Name],"⚠ Unknown")</f>
        <v>Chino Pants</v>
      </c>
      <c r="H5591" s="1" t="str">
        <f>_xlfn.XLOOKUP(tblSales[[#This Row],[Product Code]],tblProducts[Code],tblProducts[Category],"")</f>
        <v>Apparel &amp; Footwear</v>
      </c>
      <c r="I5591" s="4">
        <v>9</v>
      </c>
      <c r="J5591" s="5">
        <f>_xlfn.XLOOKUP(tblSales[[#This Row],[Product Code]],tblProducts[Code],tblProducts[Selling Price (excl. VAT)],0)</f>
        <v>150000</v>
      </c>
      <c r="K5591" s="5">
        <f>tblSales[[#This Row],[Qty]]*tblSales[[#This Row],[Unit Price]]</f>
        <v>1350000</v>
      </c>
      <c r="L5591" s="5">
        <f>ROUND(tblSales[[#This Row],[DPP (excl. VAT)]]*VATEff,0)</f>
        <v>148500</v>
      </c>
      <c r="M5591" s="5">
        <f>tblSales[[#This Row],[DPP (excl. VAT)]]+tblSales[[#This Row],[Output VAT]]</f>
        <v>1498500</v>
      </c>
      <c r="N5591" s="5">
        <f>tblSales[[#This Row],[Qty]]*_xlfn.XLOOKUP(tblSales[[#This Row],[Product Code]],tblProducts[Code],tblProducts[Unit Cost],0)</f>
        <v>792000</v>
      </c>
      <c r="O5591" s="4" t="s">
        <v>4866</v>
      </c>
      <c r="P5591" s="4" t="s">
        <v>4860</v>
      </c>
      <c r="Q5591" s="1" t="str">
        <f>_xlfn.XLOOKUP(tblSales[[#This Row],[Channel Code]],tblChannels[Channel Code],tblChannels[Channel Name],"")</f>
        <v>In-store</v>
      </c>
      <c r="R5591" s="1">
        <f>MONTH(tblSales[[#This Row],[Date]])</f>
        <v>12</v>
      </c>
    </row>
    <row r="5592" spans="2:18" x14ac:dyDescent="0.35">
      <c r="B5592" s="113">
        <v>46360</v>
      </c>
      <c r="C5592" s="4" t="s">
        <v>3830</v>
      </c>
      <c r="D5592" s="4" t="s">
        <v>4568</v>
      </c>
      <c r="E5592" s="1" t="str">
        <f>_xlfn.XLOOKUP(tblSales[[#This Row],[Customer ID]],tblCustomers[Customer ID],tblCustomers[Customer Name],"⚠ Unknown")</f>
        <v>Walk-in Customer</v>
      </c>
      <c r="F5592" s="4" t="s">
        <v>6</v>
      </c>
      <c r="G5592" s="1" t="str">
        <f>_xlfn.XLOOKUP(tblSales[[#This Row],[Product Code]],tblProducts[Code],tblProducts[Product / Service Name],"⚠ Unknown")</f>
        <v>Socks &amp; Accessories</v>
      </c>
      <c r="H5592" s="1" t="str">
        <f>_xlfn.XLOOKUP(tblSales[[#This Row],[Product Code]],tblProducts[Code],tblProducts[Category],"")</f>
        <v>Accessories &amp; Basics</v>
      </c>
      <c r="I5592" s="4">
        <v>4</v>
      </c>
      <c r="J5592" s="5">
        <f>_xlfn.XLOOKUP(tblSales[[#This Row],[Product Code]],tblProducts[Code],tblProducts[Selling Price (excl. VAT)],0)</f>
        <v>45000</v>
      </c>
      <c r="K5592" s="5">
        <f>tblSales[[#This Row],[Qty]]*tblSales[[#This Row],[Unit Price]]</f>
        <v>180000</v>
      </c>
      <c r="L5592" s="5">
        <f>ROUND(tblSales[[#This Row],[DPP (excl. VAT)]]*VATEff,0)</f>
        <v>19800</v>
      </c>
      <c r="M5592" s="5">
        <f>tblSales[[#This Row],[DPP (excl. VAT)]]+tblSales[[#This Row],[Output VAT]]</f>
        <v>199800</v>
      </c>
      <c r="N5592" s="5">
        <f>tblSales[[#This Row],[Qty]]*_xlfn.XLOOKUP(tblSales[[#This Row],[Product Code]],tblProducts[Code],tblProducts[Unit Cost],0)</f>
        <v>96000</v>
      </c>
      <c r="O5592" s="4" t="s">
        <v>4866</v>
      </c>
      <c r="P5592" s="4" t="s">
        <v>4860</v>
      </c>
      <c r="Q5592" s="1" t="str">
        <f>_xlfn.XLOOKUP(tblSales[[#This Row],[Channel Code]],tblChannels[Channel Code],tblChannels[Channel Name],"")</f>
        <v>In-store</v>
      </c>
      <c r="R5592" s="1">
        <f>MONTH(tblSales[[#This Row],[Date]])</f>
        <v>12</v>
      </c>
    </row>
    <row r="5593" spans="2:18" x14ac:dyDescent="0.35">
      <c r="B5593" s="113">
        <v>46360</v>
      </c>
      <c r="C5593" s="4" t="s">
        <v>3830</v>
      </c>
      <c r="D5593" s="4" t="s">
        <v>4568</v>
      </c>
      <c r="E5593" s="1" t="str">
        <f>_xlfn.XLOOKUP(tblSales[[#This Row],[Customer ID]],tblCustomers[Customer ID],tblCustomers[Customer Name],"⚠ Unknown")</f>
        <v>Walk-in Customer</v>
      </c>
      <c r="F5593" s="4" t="s">
        <v>8</v>
      </c>
      <c r="G5593" s="1" t="str">
        <f>_xlfn.XLOOKUP(tblSales[[#This Row],[Product Code]],tblProducts[Code],tblProducts[Product / Service Name],"⚠ Unknown")</f>
        <v>Casual Shorts</v>
      </c>
      <c r="H5593" s="1" t="str">
        <f>_xlfn.XLOOKUP(tblSales[[#This Row],[Product Code]],tblProducts[Code],tblProducts[Category],"")</f>
        <v>Accessories &amp; Basics</v>
      </c>
      <c r="I5593" s="4">
        <v>11</v>
      </c>
      <c r="J5593" s="5">
        <f>_xlfn.XLOOKUP(tblSales[[#This Row],[Product Code]],tblProducts[Code],tblProducts[Selling Price (excl. VAT)],0)</f>
        <v>85000</v>
      </c>
      <c r="K5593" s="5">
        <f>tblSales[[#This Row],[Qty]]*tblSales[[#This Row],[Unit Price]]</f>
        <v>935000</v>
      </c>
      <c r="L5593" s="5">
        <f>ROUND(tblSales[[#This Row],[DPP (excl. VAT)]]*VATEff,0)</f>
        <v>102850</v>
      </c>
      <c r="M5593" s="5">
        <f>tblSales[[#This Row],[DPP (excl. VAT)]]+tblSales[[#This Row],[Output VAT]]</f>
        <v>1037850</v>
      </c>
      <c r="N5593" s="5">
        <f>tblSales[[#This Row],[Qty]]*_xlfn.XLOOKUP(tblSales[[#This Row],[Product Code]],tblProducts[Code],tblProducts[Unit Cost],0)</f>
        <v>550000</v>
      </c>
      <c r="O5593" s="4" t="s">
        <v>4866</v>
      </c>
      <c r="P5593" s="4" t="s">
        <v>4860</v>
      </c>
      <c r="Q5593" s="1" t="str">
        <f>_xlfn.XLOOKUP(tblSales[[#This Row],[Channel Code]],tblChannels[Channel Code],tblChannels[Channel Name],"")</f>
        <v>In-store</v>
      </c>
      <c r="R5593" s="1">
        <f>MONTH(tblSales[[#This Row],[Date]])</f>
        <v>12</v>
      </c>
    </row>
    <row r="5594" spans="2:18" x14ac:dyDescent="0.35">
      <c r="B5594" s="113">
        <v>46360</v>
      </c>
      <c r="C5594" s="4" t="s">
        <v>3831</v>
      </c>
      <c r="D5594" s="4" t="s">
        <v>4568</v>
      </c>
      <c r="E5594" s="1" t="str">
        <f>_xlfn.XLOOKUP(tblSales[[#This Row],[Customer ID]],tblCustomers[Customer ID],tblCustomers[Customer Name],"⚠ Unknown")</f>
        <v>Walk-in Customer</v>
      </c>
      <c r="F5594" s="4" t="s">
        <v>9</v>
      </c>
      <c r="G5594" s="1" t="str">
        <f>_xlfn.XLOOKUP(tblSales[[#This Row],[Product Code]],tblProducts[Code],tblProducts[Product / Service Name],"⚠ Unknown")</f>
        <v>Casual Shirt</v>
      </c>
      <c r="H5594" s="1" t="str">
        <f>_xlfn.XLOOKUP(tblSales[[#This Row],[Product Code]],tblProducts[Code],tblProducts[Category],"")</f>
        <v>Apparel &amp; Footwear</v>
      </c>
      <c r="I5594" s="4">
        <v>3</v>
      </c>
      <c r="J5594" s="5">
        <f>_xlfn.XLOOKUP(tblSales[[#This Row],[Product Code]],tblProducts[Code],tblProducts[Selling Price (excl. VAT)],0)</f>
        <v>120000</v>
      </c>
      <c r="K5594" s="5">
        <f>tblSales[[#This Row],[Qty]]*tblSales[[#This Row],[Unit Price]]</f>
        <v>360000</v>
      </c>
      <c r="L5594" s="5">
        <f>ROUND(tblSales[[#This Row],[DPP (excl. VAT)]]*VATEff,0)</f>
        <v>39600</v>
      </c>
      <c r="M5594" s="5">
        <f>tblSales[[#This Row],[DPP (excl. VAT)]]+tblSales[[#This Row],[Output VAT]]</f>
        <v>399600</v>
      </c>
      <c r="N5594" s="5">
        <f>tblSales[[#This Row],[Qty]]*_xlfn.XLOOKUP(tblSales[[#This Row],[Product Code]],tblProducts[Code],tblProducts[Unit Cost],0)</f>
        <v>216000</v>
      </c>
      <c r="O5594" s="4" t="s">
        <v>4865</v>
      </c>
      <c r="P5594" s="4" t="s">
        <v>4860</v>
      </c>
      <c r="Q5594" s="1" t="str">
        <f>_xlfn.XLOOKUP(tblSales[[#This Row],[Channel Code]],tblChannels[Channel Code],tblChannels[Channel Name],"")</f>
        <v>In-store</v>
      </c>
      <c r="R5594" s="1">
        <f>MONTH(tblSales[[#This Row],[Date]])</f>
        <v>12</v>
      </c>
    </row>
    <row r="5595" spans="2:18" x14ac:dyDescent="0.35">
      <c r="B5595" s="113">
        <v>46360</v>
      </c>
      <c r="C5595" s="4" t="s">
        <v>3832</v>
      </c>
      <c r="D5595" s="4" t="s">
        <v>4568</v>
      </c>
      <c r="E5595" s="1" t="str">
        <f>_xlfn.XLOOKUP(tblSales[[#This Row],[Customer ID]],tblCustomers[Customer ID],tblCustomers[Customer Name],"⚠ Unknown")</f>
        <v>Walk-in Customer</v>
      </c>
      <c r="F5595" s="4" t="s">
        <v>9</v>
      </c>
      <c r="G5595" s="1" t="str">
        <f>_xlfn.XLOOKUP(tblSales[[#This Row],[Product Code]],tblProducts[Code],tblProducts[Product / Service Name],"⚠ Unknown")</f>
        <v>Casual Shirt</v>
      </c>
      <c r="H5595" s="1" t="str">
        <f>_xlfn.XLOOKUP(tblSales[[#This Row],[Product Code]],tblProducts[Code],tblProducts[Category],"")</f>
        <v>Apparel &amp; Footwear</v>
      </c>
      <c r="I5595" s="4">
        <v>12</v>
      </c>
      <c r="J5595" s="5">
        <f>_xlfn.XLOOKUP(tblSales[[#This Row],[Product Code]],tblProducts[Code],tblProducts[Selling Price (excl. VAT)],0)</f>
        <v>120000</v>
      </c>
      <c r="K5595" s="5">
        <f>tblSales[[#This Row],[Qty]]*tblSales[[#This Row],[Unit Price]]</f>
        <v>1440000</v>
      </c>
      <c r="L5595" s="5">
        <f>ROUND(tblSales[[#This Row],[DPP (excl. VAT)]]*VATEff,0)</f>
        <v>158400</v>
      </c>
      <c r="M5595" s="5">
        <f>tblSales[[#This Row],[DPP (excl. VAT)]]+tblSales[[#This Row],[Output VAT]]</f>
        <v>1598400</v>
      </c>
      <c r="N5595" s="5">
        <f>tblSales[[#This Row],[Qty]]*_xlfn.XLOOKUP(tblSales[[#This Row],[Product Code]],tblProducts[Code],tblProducts[Unit Cost],0)</f>
        <v>864000</v>
      </c>
      <c r="O5595" s="4" t="s">
        <v>4866</v>
      </c>
      <c r="P5595" s="4" t="s">
        <v>4861</v>
      </c>
      <c r="Q5595" s="1" t="str">
        <f>_xlfn.XLOOKUP(tblSales[[#This Row],[Channel Code]],tblChannels[Channel Code],tblChannels[Channel Name],"")</f>
        <v>Marketplace</v>
      </c>
      <c r="R5595" s="1">
        <f>MONTH(tblSales[[#This Row],[Date]])</f>
        <v>12</v>
      </c>
    </row>
    <row r="5596" spans="2:18" x14ac:dyDescent="0.35">
      <c r="B5596" s="113">
        <v>46360</v>
      </c>
      <c r="C5596" s="4" t="s">
        <v>3833</v>
      </c>
      <c r="D5596" s="4" t="s">
        <v>4568</v>
      </c>
      <c r="E5596" s="1" t="str">
        <f>_xlfn.XLOOKUP(tblSales[[#This Row],[Customer ID]],tblCustomers[Customer ID],tblCustomers[Customer Name],"⚠ Unknown")</f>
        <v>Walk-in Customer</v>
      </c>
      <c r="F5596" s="4" t="s">
        <v>7</v>
      </c>
      <c r="G5596" s="1" t="str">
        <f>_xlfn.XLOOKUP(tblSales[[#This Row],[Product Code]],tblProducts[Code],tblProducts[Product / Service Name],"⚠ Unknown")</f>
        <v>Premium Basic T-shirt</v>
      </c>
      <c r="H5596" s="1" t="str">
        <f>_xlfn.XLOOKUP(tblSales[[#This Row],[Product Code]],tblProducts[Code],tblProducts[Category],"")</f>
        <v>Accessories &amp; Basics</v>
      </c>
      <c r="I5596" s="4">
        <v>1</v>
      </c>
      <c r="J5596" s="5">
        <f>_xlfn.XLOOKUP(tblSales[[#This Row],[Product Code]],tblProducts[Code],tblProducts[Selling Price (excl. VAT)],0)</f>
        <v>65000</v>
      </c>
      <c r="K5596" s="5">
        <f>tblSales[[#This Row],[Qty]]*tblSales[[#This Row],[Unit Price]]</f>
        <v>65000</v>
      </c>
      <c r="L5596" s="5">
        <f>ROUND(tblSales[[#This Row],[DPP (excl. VAT)]]*VATEff,0)</f>
        <v>7150</v>
      </c>
      <c r="M5596" s="5">
        <f>tblSales[[#This Row],[DPP (excl. VAT)]]+tblSales[[#This Row],[Output VAT]]</f>
        <v>72150</v>
      </c>
      <c r="N5596" s="5">
        <f>tblSales[[#This Row],[Qty]]*_xlfn.XLOOKUP(tblSales[[#This Row],[Product Code]],tblProducts[Code],tblProducts[Unit Cost],0)</f>
        <v>37000</v>
      </c>
      <c r="O5596" s="4" t="s">
        <v>4865</v>
      </c>
      <c r="P5596" s="4" t="s">
        <v>4860</v>
      </c>
      <c r="Q5596" s="1" t="str">
        <f>_xlfn.XLOOKUP(tblSales[[#This Row],[Channel Code]],tblChannels[Channel Code],tblChannels[Channel Name],"")</f>
        <v>In-store</v>
      </c>
      <c r="R5596" s="1">
        <f>MONTH(tblSales[[#This Row],[Date]])</f>
        <v>12</v>
      </c>
    </row>
    <row r="5597" spans="2:18" x14ac:dyDescent="0.35">
      <c r="B5597" s="113">
        <v>46360</v>
      </c>
      <c r="C5597" s="4" t="s">
        <v>3833</v>
      </c>
      <c r="D5597" s="4" t="s">
        <v>4568</v>
      </c>
      <c r="E5597" s="1" t="str">
        <f>_xlfn.XLOOKUP(tblSales[[#This Row],[Customer ID]],tblCustomers[Customer ID],tblCustomers[Customer Name],"⚠ Unknown")</f>
        <v>Walk-in Customer</v>
      </c>
      <c r="F5597" s="4" t="s">
        <v>8</v>
      </c>
      <c r="G5597" s="1" t="str">
        <f>_xlfn.XLOOKUP(tblSales[[#This Row],[Product Code]],tblProducts[Code],tblProducts[Product / Service Name],"⚠ Unknown")</f>
        <v>Casual Shorts</v>
      </c>
      <c r="H5597" s="1" t="str">
        <f>_xlfn.XLOOKUP(tblSales[[#This Row],[Product Code]],tblProducts[Code],tblProducts[Category],"")</f>
        <v>Accessories &amp; Basics</v>
      </c>
      <c r="I5597" s="4">
        <v>3</v>
      </c>
      <c r="J5597" s="5">
        <f>_xlfn.XLOOKUP(tblSales[[#This Row],[Product Code]],tblProducts[Code],tblProducts[Selling Price (excl. VAT)],0)</f>
        <v>85000</v>
      </c>
      <c r="K5597" s="5">
        <f>tblSales[[#This Row],[Qty]]*tblSales[[#This Row],[Unit Price]]</f>
        <v>255000</v>
      </c>
      <c r="L5597" s="5">
        <f>ROUND(tblSales[[#This Row],[DPP (excl. VAT)]]*VATEff,0)</f>
        <v>28050</v>
      </c>
      <c r="M5597" s="5">
        <f>tblSales[[#This Row],[DPP (excl. VAT)]]+tblSales[[#This Row],[Output VAT]]</f>
        <v>283050</v>
      </c>
      <c r="N5597" s="5">
        <f>tblSales[[#This Row],[Qty]]*_xlfn.XLOOKUP(tblSales[[#This Row],[Product Code]],tblProducts[Code],tblProducts[Unit Cost],0)</f>
        <v>150000</v>
      </c>
      <c r="O5597" s="4" t="s">
        <v>4865</v>
      </c>
      <c r="P5597" s="4" t="s">
        <v>4860</v>
      </c>
      <c r="Q5597" s="1" t="str">
        <f>_xlfn.XLOOKUP(tblSales[[#This Row],[Channel Code]],tblChannels[Channel Code],tblChannels[Channel Name],"")</f>
        <v>In-store</v>
      </c>
      <c r="R5597" s="1">
        <f>MONTH(tblSales[[#This Row],[Date]])</f>
        <v>12</v>
      </c>
    </row>
    <row r="5598" spans="2:18" x14ac:dyDescent="0.35">
      <c r="B5598" s="113">
        <v>46360</v>
      </c>
      <c r="C5598" s="4" t="s">
        <v>3834</v>
      </c>
      <c r="D5598" s="4" t="s">
        <v>4568</v>
      </c>
      <c r="E5598" s="1" t="str">
        <f>_xlfn.XLOOKUP(tblSales[[#This Row],[Customer ID]],tblCustomers[Customer ID],tblCustomers[Customer Name],"⚠ Unknown")</f>
        <v>Walk-in Customer</v>
      </c>
      <c r="F5598" s="4" t="s">
        <v>8</v>
      </c>
      <c r="G5598" s="1" t="str">
        <f>_xlfn.XLOOKUP(tblSales[[#This Row],[Product Code]],tblProducts[Code],tblProducts[Product / Service Name],"⚠ Unknown")</f>
        <v>Casual Shorts</v>
      </c>
      <c r="H5598" s="1" t="str">
        <f>_xlfn.XLOOKUP(tblSales[[#This Row],[Product Code]],tblProducts[Code],tblProducts[Category],"")</f>
        <v>Accessories &amp; Basics</v>
      </c>
      <c r="I5598" s="4">
        <v>3</v>
      </c>
      <c r="J5598" s="5">
        <f>_xlfn.XLOOKUP(tblSales[[#This Row],[Product Code]],tblProducts[Code],tblProducts[Selling Price (excl. VAT)],0)</f>
        <v>85000</v>
      </c>
      <c r="K5598" s="5">
        <f>tblSales[[#This Row],[Qty]]*tblSales[[#This Row],[Unit Price]]</f>
        <v>255000</v>
      </c>
      <c r="L5598" s="5">
        <f>ROUND(tblSales[[#This Row],[DPP (excl. VAT)]]*VATEff,0)</f>
        <v>28050</v>
      </c>
      <c r="M5598" s="5">
        <f>tblSales[[#This Row],[DPP (excl. VAT)]]+tblSales[[#This Row],[Output VAT]]</f>
        <v>283050</v>
      </c>
      <c r="N5598" s="5">
        <f>tblSales[[#This Row],[Qty]]*_xlfn.XLOOKUP(tblSales[[#This Row],[Product Code]],tblProducts[Code],tblProducts[Unit Cost],0)</f>
        <v>150000</v>
      </c>
      <c r="O5598" s="4" t="s">
        <v>4866</v>
      </c>
      <c r="P5598" s="4" t="s">
        <v>4860</v>
      </c>
      <c r="Q5598" s="1" t="str">
        <f>_xlfn.XLOOKUP(tblSales[[#This Row],[Channel Code]],tblChannels[Channel Code],tblChannels[Channel Name],"")</f>
        <v>In-store</v>
      </c>
      <c r="R5598" s="1">
        <f>MONTH(tblSales[[#This Row],[Date]])</f>
        <v>12</v>
      </c>
    </row>
    <row r="5599" spans="2:18" x14ac:dyDescent="0.35">
      <c r="B5599" s="113">
        <v>46360</v>
      </c>
      <c r="C5599" s="4" t="s">
        <v>3834</v>
      </c>
      <c r="D5599" s="4" t="s">
        <v>4568</v>
      </c>
      <c r="E5599" s="1" t="str">
        <f>_xlfn.XLOOKUP(tblSales[[#This Row],[Customer ID]],tblCustomers[Customer ID],tblCustomers[Customer Name],"⚠ Unknown")</f>
        <v>Walk-in Customer</v>
      </c>
      <c r="F5599" s="4" t="s">
        <v>7</v>
      </c>
      <c r="G5599" s="1" t="str">
        <f>_xlfn.XLOOKUP(tblSales[[#This Row],[Product Code]],tblProducts[Code],tblProducts[Product / Service Name],"⚠ Unknown")</f>
        <v>Premium Basic T-shirt</v>
      </c>
      <c r="H5599" s="1" t="str">
        <f>_xlfn.XLOOKUP(tblSales[[#This Row],[Product Code]],tblProducts[Code],tblProducts[Category],"")</f>
        <v>Accessories &amp; Basics</v>
      </c>
      <c r="I5599" s="4">
        <v>9</v>
      </c>
      <c r="J5599" s="5">
        <f>_xlfn.XLOOKUP(tblSales[[#This Row],[Product Code]],tblProducts[Code],tblProducts[Selling Price (excl. VAT)],0)</f>
        <v>65000</v>
      </c>
      <c r="K5599" s="5">
        <f>tblSales[[#This Row],[Qty]]*tblSales[[#This Row],[Unit Price]]</f>
        <v>585000</v>
      </c>
      <c r="L5599" s="5">
        <f>ROUND(tblSales[[#This Row],[DPP (excl. VAT)]]*VATEff,0)</f>
        <v>64350</v>
      </c>
      <c r="M5599" s="5">
        <f>tblSales[[#This Row],[DPP (excl. VAT)]]+tblSales[[#This Row],[Output VAT]]</f>
        <v>649350</v>
      </c>
      <c r="N5599" s="5">
        <f>tblSales[[#This Row],[Qty]]*_xlfn.XLOOKUP(tblSales[[#This Row],[Product Code]],tblProducts[Code],tblProducts[Unit Cost],0)</f>
        <v>333000</v>
      </c>
      <c r="O5599" s="4" t="s">
        <v>4866</v>
      </c>
      <c r="P5599" s="4" t="s">
        <v>4860</v>
      </c>
      <c r="Q5599" s="1" t="str">
        <f>_xlfn.XLOOKUP(tblSales[[#This Row],[Channel Code]],tblChannels[Channel Code],tblChannels[Channel Name],"")</f>
        <v>In-store</v>
      </c>
      <c r="R5599" s="1">
        <f>MONTH(tblSales[[#This Row],[Date]])</f>
        <v>12</v>
      </c>
    </row>
    <row r="5600" spans="2:18" x14ac:dyDescent="0.35">
      <c r="B5600" s="113">
        <v>46360</v>
      </c>
      <c r="C5600" s="4" t="s">
        <v>3834</v>
      </c>
      <c r="D5600" s="4" t="s">
        <v>4568</v>
      </c>
      <c r="E5600" s="1" t="str">
        <f>_xlfn.XLOOKUP(tblSales[[#This Row],[Customer ID]],tblCustomers[Customer ID],tblCustomers[Customer Name],"⚠ Unknown")</f>
        <v>Walk-in Customer</v>
      </c>
      <c r="F5600" s="4" t="s">
        <v>6</v>
      </c>
      <c r="G5600" s="1" t="str">
        <f>_xlfn.XLOOKUP(tblSales[[#This Row],[Product Code]],tblProducts[Code],tblProducts[Product / Service Name],"⚠ Unknown")</f>
        <v>Socks &amp; Accessories</v>
      </c>
      <c r="H5600" s="1" t="str">
        <f>_xlfn.XLOOKUP(tblSales[[#This Row],[Product Code]],tblProducts[Code],tblProducts[Category],"")</f>
        <v>Accessories &amp; Basics</v>
      </c>
      <c r="I5600" s="4">
        <v>11</v>
      </c>
      <c r="J5600" s="5">
        <f>_xlfn.XLOOKUP(tblSales[[#This Row],[Product Code]],tblProducts[Code],tblProducts[Selling Price (excl. VAT)],0)</f>
        <v>45000</v>
      </c>
      <c r="K5600" s="5">
        <f>tblSales[[#This Row],[Qty]]*tblSales[[#This Row],[Unit Price]]</f>
        <v>495000</v>
      </c>
      <c r="L5600" s="5">
        <f>ROUND(tblSales[[#This Row],[DPP (excl. VAT)]]*VATEff,0)</f>
        <v>54450</v>
      </c>
      <c r="M5600" s="5">
        <f>tblSales[[#This Row],[DPP (excl. VAT)]]+tblSales[[#This Row],[Output VAT]]</f>
        <v>549450</v>
      </c>
      <c r="N5600" s="5">
        <f>tblSales[[#This Row],[Qty]]*_xlfn.XLOOKUP(tblSales[[#This Row],[Product Code]],tblProducts[Code],tblProducts[Unit Cost],0)</f>
        <v>264000</v>
      </c>
      <c r="O5600" s="4" t="s">
        <v>4866</v>
      </c>
      <c r="P5600" s="4" t="s">
        <v>4860</v>
      </c>
      <c r="Q5600" s="1" t="str">
        <f>_xlfn.XLOOKUP(tblSales[[#This Row],[Channel Code]],tblChannels[Channel Code],tblChannels[Channel Name],"")</f>
        <v>In-store</v>
      </c>
      <c r="R5600" s="1">
        <f>MONTH(tblSales[[#This Row],[Date]])</f>
        <v>12</v>
      </c>
    </row>
    <row r="5601" spans="2:18" x14ac:dyDescent="0.35">
      <c r="B5601" s="113">
        <v>46360</v>
      </c>
      <c r="C5601" s="4" t="s">
        <v>3835</v>
      </c>
      <c r="D5601" s="4" t="s">
        <v>4568</v>
      </c>
      <c r="E5601" s="1" t="str">
        <f>_xlfn.XLOOKUP(tblSales[[#This Row],[Customer ID]],tblCustomers[Customer ID],tblCustomers[Customer Name],"⚠ Unknown")</f>
        <v>Walk-in Customer</v>
      </c>
      <c r="F5601" s="4" t="s">
        <v>7</v>
      </c>
      <c r="G5601" s="1" t="str">
        <f>_xlfn.XLOOKUP(tblSales[[#This Row],[Product Code]],tblProducts[Code],tblProducts[Product / Service Name],"⚠ Unknown")</f>
        <v>Premium Basic T-shirt</v>
      </c>
      <c r="H5601" s="1" t="str">
        <f>_xlfn.XLOOKUP(tblSales[[#This Row],[Product Code]],tblProducts[Code],tblProducts[Category],"")</f>
        <v>Accessories &amp; Basics</v>
      </c>
      <c r="I5601" s="4">
        <v>8</v>
      </c>
      <c r="J5601" s="5">
        <f>_xlfn.XLOOKUP(tblSales[[#This Row],[Product Code]],tblProducts[Code],tblProducts[Selling Price (excl. VAT)],0)</f>
        <v>65000</v>
      </c>
      <c r="K5601" s="5">
        <f>tblSales[[#This Row],[Qty]]*tblSales[[#This Row],[Unit Price]]</f>
        <v>520000</v>
      </c>
      <c r="L5601" s="5">
        <f>ROUND(tblSales[[#This Row],[DPP (excl. VAT)]]*VATEff,0)</f>
        <v>57200</v>
      </c>
      <c r="M5601" s="5">
        <f>tblSales[[#This Row],[DPP (excl. VAT)]]+tblSales[[#This Row],[Output VAT]]</f>
        <v>577200</v>
      </c>
      <c r="N5601" s="5">
        <f>tblSales[[#This Row],[Qty]]*_xlfn.XLOOKUP(tblSales[[#This Row],[Product Code]],tblProducts[Code],tblProducts[Unit Cost],0)</f>
        <v>296000</v>
      </c>
      <c r="O5601" s="4" t="s">
        <v>4866</v>
      </c>
      <c r="P5601" s="4" t="s">
        <v>4860</v>
      </c>
      <c r="Q5601" s="1" t="str">
        <f>_xlfn.XLOOKUP(tblSales[[#This Row],[Channel Code]],tblChannels[Channel Code],tblChannels[Channel Name],"")</f>
        <v>In-store</v>
      </c>
      <c r="R5601" s="1">
        <f>MONTH(tblSales[[#This Row],[Date]])</f>
        <v>12</v>
      </c>
    </row>
    <row r="5602" spans="2:18" x14ac:dyDescent="0.35">
      <c r="B5602" s="113">
        <v>46360</v>
      </c>
      <c r="C5602" s="4" t="s">
        <v>3836</v>
      </c>
      <c r="D5602" s="4" t="s">
        <v>4568</v>
      </c>
      <c r="E5602" s="1" t="str">
        <f>_xlfn.XLOOKUP(tblSales[[#This Row],[Customer ID]],tblCustomers[Customer ID],tblCustomers[Customer Name],"⚠ Unknown")</f>
        <v>Walk-in Customer</v>
      </c>
      <c r="F5602" s="4" t="s">
        <v>11</v>
      </c>
      <c r="G5602" s="1" t="str">
        <f>_xlfn.XLOOKUP(tblSales[[#This Row],[Product Code]],tblProducts[Code],tblProducts[Product / Service Name],"⚠ Unknown")</f>
        <v>Sneakers</v>
      </c>
      <c r="H5602" s="1" t="str">
        <f>_xlfn.XLOOKUP(tblSales[[#This Row],[Product Code]],tblProducts[Code],tblProducts[Category],"")</f>
        <v>Apparel &amp; Footwear</v>
      </c>
      <c r="I5602" s="4">
        <v>5</v>
      </c>
      <c r="J5602" s="5">
        <f>_xlfn.XLOOKUP(tblSales[[#This Row],[Product Code]],tblProducts[Code],tblProducts[Selling Price (excl. VAT)],0)</f>
        <v>250000</v>
      </c>
      <c r="K5602" s="5">
        <f>tblSales[[#This Row],[Qty]]*tblSales[[#This Row],[Unit Price]]</f>
        <v>1250000</v>
      </c>
      <c r="L5602" s="5">
        <f>ROUND(tblSales[[#This Row],[DPP (excl. VAT)]]*VATEff,0)</f>
        <v>137500</v>
      </c>
      <c r="M5602" s="5">
        <f>tblSales[[#This Row],[DPP (excl. VAT)]]+tblSales[[#This Row],[Output VAT]]</f>
        <v>1387500</v>
      </c>
      <c r="N5602" s="5">
        <f>tblSales[[#This Row],[Qty]]*_xlfn.XLOOKUP(tblSales[[#This Row],[Product Code]],tblProducts[Code],tblProducts[Unit Cost],0)</f>
        <v>775000</v>
      </c>
      <c r="O5602" s="4" t="s">
        <v>4866</v>
      </c>
      <c r="P5602" s="4" t="s">
        <v>4860</v>
      </c>
      <c r="Q5602" s="1" t="str">
        <f>_xlfn.XLOOKUP(tblSales[[#This Row],[Channel Code]],tblChannels[Channel Code],tblChannels[Channel Name],"")</f>
        <v>In-store</v>
      </c>
      <c r="R5602" s="1">
        <f>MONTH(tblSales[[#This Row],[Date]])</f>
        <v>12</v>
      </c>
    </row>
    <row r="5603" spans="2:18" x14ac:dyDescent="0.35">
      <c r="B5603" s="113">
        <v>46360</v>
      </c>
      <c r="C5603" s="4" t="s">
        <v>3837</v>
      </c>
      <c r="D5603" s="4" t="s">
        <v>4641</v>
      </c>
      <c r="E5603" s="1" t="str">
        <f>_xlfn.XLOOKUP(tblSales[[#This Row],[Customer ID]],tblCustomers[Customer ID],tblCustomers[Customer Name],"⚠ Unknown")</f>
        <v>PT Harmoni Pangan Lestari</v>
      </c>
      <c r="F5603" s="4" t="s">
        <v>10</v>
      </c>
      <c r="G5603" s="1" t="str">
        <f>_xlfn.XLOOKUP(tblSales[[#This Row],[Product Code]],tblProducts[Code],tblProducts[Product / Service Name],"⚠ Unknown")</f>
        <v>Chino Pants</v>
      </c>
      <c r="H5603" s="1" t="str">
        <f>_xlfn.XLOOKUP(tblSales[[#This Row],[Product Code]],tblProducts[Code],tblProducts[Category],"")</f>
        <v>Apparel &amp; Footwear</v>
      </c>
      <c r="I5603" s="4">
        <v>56</v>
      </c>
      <c r="J5603" s="5">
        <f>_xlfn.XLOOKUP(tblSales[[#This Row],[Product Code]],tblProducts[Code],tblProducts[Selling Price (excl. VAT)],0)</f>
        <v>150000</v>
      </c>
      <c r="K5603" s="5">
        <f>tblSales[[#This Row],[Qty]]*tblSales[[#This Row],[Unit Price]]</f>
        <v>8400000</v>
      </c>
      <c r="L5603" s="5">
        <f>ROUND(tblSales[[#This Row],[DPP (excl. VAT)]]*VATEff,0)</f>
        <v>924000</v>
      </c>
      <c r="M5603" s="5">
        <f>tblSales[[#This Row],[DPP (excl. VAT)]]+tblSales[[#This Row],[Output VAT]]</f>
        <v>9324000</v>
      </c>
      <c r="N5603" s="5">
        <f>tblSales[[#This Row],[Qty]]*_xlfn.XLOOKUP(tblSales[[#This Row],[Product Code]],tblProducts[Code],tblProducts[Unit Cost],0)</f>
        <v>4928000</v>
      </c>
      <c r="O5603" s="4" t="s">
        <v>4867</v>
      </c>
      <c r="P5603" s="4" t="s">
        <v>4860</v>
      </c>
      <c r="Q5603" s="1" t="str">
        <f>_xlfn.XLOOKUP(tblSales[[#This Row],[Channel Code]],tblChannels[Channel Code],tblChannels[Channel Name],"")</f>
        <v>In-store</v>
      </c>
      <c r="R5603" s="1">
        <f>MONTH(tblSales[[#This Row],[Date]])</f>
        <v>12</v>
      </c>
    </row>
    <row r="5604" spans="2:18" x14ac:dyDescent="0.35">
      <c r="B5604" s="113">
        <v>46360</v>
      </c>
      <c r="C5604" s="4" t="s">
        <v>3838</v>
      </c>
      <c r="D5604" s="4" t="s">
        <v>4641</v>
      </c>
      <c r="E5604" s="1" t="str">
        <f>_xlfn.XLOOKUP(tblSales[[#This Row],[Customer ID]],tblCustomers[Customer ID],tblCustomers[Customer Name],"⚠ Unknown")</f>
        <v>PT Harmoni Pangan Lestari</v>
      </c>
      <c r="F5604" s="4" t="s">
        <v>13</v>
      </c>
      <c r="G5604" s="1" t="str">
        <f>_xlfn.XLOOKUP(tblSales[[#This Row],[Product Code]],tblProducts[Code],tblProducts[Product / Service Name],"⚠ Unknown")</f>
        <v>Backpack</v>
      </c>
      <c r="H5604" s="1" t="str">
        <f>_xlfn.XLOOKUP(tblSales[[#This Row],[Product Code]],tblProducts[Code],tblProducts[Category],"")</f>
        <v>Bags &amp; Gadgets</v>
      </c>
      <c r="I5604" s="4">
        <v>32</v>
      </c>
      <c r="J5604" s="5">
        <f>_xlfn.XLOOKUP(tblSales[[#This Row],[Product Code]],tblProducts[Code],tblProducts[Selling Price (excl. VAT)],0)</f>
        <v>500000</v>
      </c>
      <c r="K5604" s="5">
        <f>tblSales[[#This Row],[Qty]]*tblSales[[#This Row],[Unit Price]]</f>
        <v>16000000</v>
      </c>
      <c r="L5604" s="5">
        <f>ROUND(tblSales[[#This Row],[DPP (excl. VAT)]]*VATEff,0)</f>
        <v>1760000</v>
      </c>
      <c r="M5604" s="5">
        <f>tblSales[[#This Row],[DPP (excl. VAT)]]+tblSales[[#This Row],[Output VAT]]</f>
        <v>17760000</v>
      </c>
      <c r="N5604" s="5">
        <f>tblSales[[#This Row],[Qty]]*_xlfn.XLOOKUP(tblSales[[#This Row],[Product Code]],tblProducts[Code],tblProducts[Unit Cost],0)</f>
        <v>9280000</v>
      </c>
      <c r="O5604" s="4" t="s">
        <v>4867</v>
      </c>
      <c r="P5604" s="4" t="s">
        <v>4860</v>
      </c>
      <c r="Q5604" s="1" t="str">
        <f>_xlfn.XLOOKUP(tblSales[[#This Row],[Channel Code]],tblChannels[Channel Code],tblChannels[Channel Name],"")</f>
        <v>In-store</v>
      </c>
      <c r="R5604" s="1">
        <f>MONTH(tblSales[[#This Row],[Date]])</f>
        <v>12</v>
      </c>
    </row>
    <row r="5605" spans="2:18" x14ac:dyDescent="0.35">
      <c r="B5605" s="113">
        <v>46360</v>
      </c>
      <c r="C5605" s="4" t="s">
        <v>3839</v>
      </c>
      <c r="D5605" s="4" t="s">
        <v>4568</v>
      </c>
      <c r="E5605" s="1" t="str">
        <f>_xlfn.XLOOKUP(tblSales[[#This Row],[Customer ID]],tblCustomers[Customer ID],tblCustomers[Customer Name],"⚠ Unknown")</f>
        <v>Walk-in Customer</v>
      </c>
      <c r="F5605" s="4" t="s">
        <v>6</v>
      </c>
      <c r="G5605" s="1" t="str">
        <f>_xlfn.XLOOKUP(tblSales[[#This Row],[Product Code]],tblProducts[Code],tblProducts[Product / Service Name],"⚠ Unknown")</f>
        <v>Socks &amp; Accessories</v>
      </c>
      <c r="H5605" s="1" t="str">
        <f>_xlfn.XLOOKUP(tblSales[[#This Row],[Product Code]],tblProducts[Code],tblProducts[Category],"")</f>
        <v>Accessories &amp; Basics</v>
      </c>
      <c r="I5605" s="4">
        <v>6</v>
      </c>
      <c r="J5605" s="5">
        <f>_xlfn.XLOOKUP(tblSales[[#This Row],[Product Code]],tblProducts[Code],tblProducts[Selling Price (excl. VAT)],0)</f>
        <v>45000</v>
      </c>
      <c r="K5605" s="5">
        <f>tblSales[[#This Row],[Qty]]*tblSales[[#This Row],[Unit Price]]</f>
        <v>270000</v>
      </c>
      <c r="L5605" s="5">
        <f>ROUND(tblSales[[#This Row],[DPP (excl. VAT)]]*VATEff,0)</f>
        <v>29700</v>
      </c>
      <c r="M5605" s="5">
        <f>tblSales[[#This Row],[DPP (excl. VAT)]]+tblSales[[#This Row],[Output VAT]]</f>
        <v>299700</v>
      </c>
      <c r="N5605" s="5">
        <f>tblSales[[#This Row],[Qty]]*_xlfn.XLOOKUP(tblSales[[#This Row],[Product Code]],tblProducts[Code],tblProducts[Unit Cost],0)</f>
        <v>144000</v>
      </c>
      <c r="O5605" s="4" t="s">
        <v>4866</v>
      </c>
      <c r="P5605" s="4" t="s">
        <v>4862</v>
      </c>
      <c r="Q5605" s="1" t="str">
        <f>_xlfn.XLOOKUP(tblSales[[#This Row],[Channel Code]],tblChannels[Channel Code],tblChannels[Channel Name],"")</f>
        <v>Website &amp; Social Media</v>
      </c>
      <c r="R5605" s="1">
        <f>MONTH(tblSales[[#This Row],[Date]])</f>
        <v>12</v>
      </c>
    </row>
    <row r="5606" spans="2:18" x14ac:dyDescent="0.35">
      <c r="B5606" s="113">
        <v>46361</v>
      </c>
      <c r="C5606" s="4" t="s">
        <v>3840</v>
      </c>
      <c r="D5606" s="4" t="s">
        <v>4568</v>
      </c>
      <c r="E5606" s="1" t="str">
        <f>_xlfn.XLOOKUP(tblSales[[#This Row],[Customer ID]],tblCustomers[Customer ID],tblCustomers[Customer Name],"⚠ Unknown")</f>
        <v>Walk-in Customer</v>
      </c>
      <c r="F5606" s="4" t="s">
        <v>9</v>
      </c>
      <c r="G5606" s="1" t="str">
        <f>_xlfn.XLOOKUP(tblSales[[#This Row],[Product Code]],tblProducts[Code],tblProducts[Product / Service Name],"⚠ Unknown")</f>
        <v>Casual Shirt</v>
      </c>
      <c r="H5606" s="1" t="str">
        <f>_xlfn.XLOOKUP(tblSales[[#This Row],[Product Code]],tblProducts[Code],tblProducts[Category],"")</f>
        <v>Apparel &amp; Footwear</v>
      </c>
      <c r="I5606" s="4">
        <v>12</v>
      </c>
      <c r="J5606" s="5">
        <f>_xlfn.XLOOKUP(tblSales[[#This Row],[Product Code]],tblProducts[Code],tblProducts[Selling Price (excl. VAT)],0)</f>
        <v>120000</v>
      </c>
      <c r="K5606" s="5">
        <f>tblSales[[#This Row],[Qty]]*tblSales[[#This Row],[Unit Price]]</f>
        <v>1440000</v>
      </c>
      <c r="L5606" s="5">
        <f>ROUND(tblSales[[#This Row],[DPP (excl. VAT)]]*VATEff,0)</f>
        <v>158400</v>
      </c>
      <c r="M5606" s="5">
        <f>tblSales[[#This Row],[DPP (excl. VAT)]]+tblSales[[#This Row],[Output VAT]]</f>
        <v>1598400</v>
      </c>
      <c r="N5606" s="5">
        <f>tblSales[[#This Row],[Qty]]*_xlfn.XLOOKUP(tblSales[[#This Row],[Product Code]],tblProducts[Code],tblProducts[Unit Cost],0)</f>
        <v>864000</v>
      </c>
      <c r="O5606" s="4" t="s">
        <v>4865</v>
      </c>
      <c r="P5606" s="4" t="s">
        <v>4860</v>
      </c>
      <c r="Q5606" s="1" t="str">
        <f>_xlfn.XLOOKUP(tblSales[[#This Row],[Channel Code]],tblChannels[Channel Code],tblChannels[Channel Name],"")</f>
        <v>In-store</v>
      </c>
      <c r="R5606" s="1">
        <f>MONTH(tblSales[[#This Row],[Date]])</f>
        <v>12</v>
      </c>
    </row>
    <row r="5607" spans="2:18" x14ac:dyDescent="0.35">
      <c r="B5607" s="113">
        <v>46361</v>
      </c>
      <c r="C5607" s="4" t="s">
        <v>3840</v>
      </c>
      <c r="D5607" s="4" t="s">
        <v>4568</v>
      </c>
      <c r="E5607" s="1" t="str">
        <f>_xlfn.XLOOKUP(tblSales[[#This Row],[Customer ID]],tblCustomers[Customer ID],tblCustomers[Customer Name],"⚠ Unknown")</f>
        <v>Walk-in Customer</v>
      </c>
      <c r="F5607" s="4" t="s">
        <v>8</v>
      </c>
      <c r="G5607" s="1" t="str">
        <f>_xlfn.XLOOKUP(tblSales[[#This Row],[Product Code]],tblProducts[Code],tblProducts[Product / Service Name],"⚠ Unknown")</f>
        <v>Casual Shorts</v>
      </c>
      <c r="H5607" s="1" t="str">
        <f>_xlfn.XLOOKUP(tblSales[[#This Row],[Product Code]],tblProducts[Code],tblProducts[Category],"")</f>
        <v>Accessories &amp; Basics</v>
      </c>
      <c r="I5607" s="4">
        <v>3</v>
      </c>
      <c r="J5607" s="5">
        <f>_xlfn.XLOOKUP(tblSales[[#This Row],[Product Code]],tblProducts[Code],tblProducts[Selling Price (excl. VAT)],0)</f>
        <v>85000</v>
      </c>
      <c r="K5607" s="5">
        <f>tblSales[[#This Row],[Qty]]*tblSales[[#This Row],[Unit Price]]</f>
        <v>255000</v>
      </c>
      <c r="L5607" s="5">
        <f>ROUND(tblSales[[#This Row],[DPP (excl. VAT)]]*VATEff,0)</f>
        <v>28050</v>
      </c>
      <c r="M5607" s="5">
        <f>tblSales[[#This Row],[DPP (excl. VAT)]]+tblSales[[#This Row],[Output VAT]]</f>
        <v>283050</v>
      </c>
      <c r="N5607" s="5">
        <f>tblSales[[#This Row],[Qty]]*_xlfn.XLOOKUP(tblSales[[#This Row],[Product Code]],tblProducts[Code],tblProducts[Unit Cost],0)</f>
        <v>150000</v>
      </c>
      <c r="O5607" s="4" t="s">
        <v>4865</v>
      </c>
      <c r="P5607" s="4" t="s">
        <v>4860</v>
      </c>
      <c r="Q5607" s="1" t="str">
        <f>_xlfn.XLOOKUP(tblSales[[#This Row],[Channel Code]],tblChannels[Channel Code],tblChannels[Channel Name],"")</f>
        <v>In-store</v>
      </c>
      <c r="R5607" s="1">
        <f>MONTH(tblSales[[#This Row],[Date]])</f>
        <v>12</v>
      </c>
    </row>
    <row r="5608" spans="2:18" x14ac:dyDescent="0.35">
      <c r="B5608" s="113">
        <v>46361</v>
      </c>
      <c r="C5608" s="4" t="s">
        <v>3841</v>
      </c>
      <c r="D5608" s="4" t="s">
        <v>4568</v>
      </c>
      <c r="E5608" s="1" t="str">
        <f>_xlfn.XLOOKUP(tblSales[[#This Row],[Customer ID]],tblCustomers[Customer ID],tblCustomers[Customer Name],"⚠ Unknown")</f>
        <v>Walk-in Customer</v>
      </c>
      <c r="F5608" s="4" t="s">
        <v>11</v>
      </c>
      <c r="G5608" s="1" t="str">
        <f>_xlfn.XLOOKUP(tblSales[[#This Row],[Product Code]],tblProducts[Code],tblProducts[Product / Service Name],"⚠ Unknown")</f>
        <v>Sneakers</v>
      </c>
      <c r="H5608" s="1" t="str">
        <f>_xlfn.XLOOKUP(tblSales[[#This Row],[Product Code]],tblProducts[Code],tblProducts[Category],"")</f>
        <v>Apparel &amp; Footwear</v>
      </c>
      <c r="I5608" s="4">
        <v>1</v>
      </c>
      <c r="J5608" s="5">
        <f>_xlfn.XLOOKUP(tblSales[[#This Row],[Product Code]],tblProducts[Code],tblProducts[Selling Price (excl. VAT)],0)</f>
        <v>250000</v>
      </c>
      <c r="K5608" s="5">
        <f>tblSales[[#This Row],[Qty]]*tblSales[[#This Row],[Unit Price]]</f>
        <v>250000</v>
      </c>
      <c r="L5608" s="5">
        <f>ROUND(tblSales[[#This Row],[DPP (excl. VAT)]]*VATEff,0)</f>
        <v>27500</v>
      </c>
      <c r="M5608" s="5">
        <f>tblSales[[#This Row],[DPP (excl. VAT)]]+tblSales[[#This Row],[Output VAT]]</f>
        <v>277500</v>
      </c>
      <c r="N5608" s="5">
        <f>tblSales[[#This Row],[Qty]]*_xlfn.XLOOKUP(tblSales[[#This Row],[Product Code]],tblProducts[Code],tblProducts[Unit Cost],0)</f>
        <v>155000</v>
      </c>
      <c r="O5608" s="4" t="s">
        <v>4866</v>
      </c>
      <c r="P5608" s="4" t="s">
        <v>4860</v>
      </c>
      <c r="Q5608" s="1" t="str">
        <f>_xlfn.XLOOKUP(tblSales[[#This Row],[Channel Code]],tblChannels[Channel Code],tblChannels[Channel Name],"")</f>
        <v>In-store</v>
      </c>
      <c r="R5608" s="1">
        <f>MONTH(tblSales[[#This Row],[Date]])</f>
        <v>12</v>
      </c>
    </row>
    <row r="5609" spans="2:18" x14ac:dyDescent="0.35">
      <c r="B5609" s="113">
        <v>46361</v>
      </c>
      <c r="C5609" s="4" t="s">
        <v>3842</v>
      </c>
      <c r="D5609" s="4" t="s">
        <v>4568</v>
      </c>
      <c r="E5609" s="1" t="str">
        <f>_xlfn.XLOOKUP(tblSales[[#This Row],[Customer ID]],tblCustomers[Customer ID],tblCustomers[Customer Name],"⚠ Unknown")</f>
        <v>Walk-in Customer</v>
      </c>
      <c r="F5609" s="4" t="s">
        <v>8</v>
      </c>
      <c r="G5609" s="1" t="str">
        <f>_xlfn.XLOOKUP(tblSales[[#This Row],[Product Code]],tblProducts[Code],tblProducts[Product / Service Name],"⚠ Unknown")</f>
        <v>Casual Shorts</v>
      </c>
      <c r="H5609" s="1" t="str">
        <f>_xlfn.XLOOKUP(tblSales[[#This Row],[Product Code]],tblProducts[Code],tblProducts[Category],"")</f>
        <v>Accessories &amp; Basics</v>
      </c>
      <c r="I5609" s="4">
        <v>3</v>
      </c>
      <c r="J5609" s="5">
        <f>_xlfn.XLOOKUP(tblSales[[#This Row],[Product Code]],tblProducts[Code],tblProducts[Selling Price (excl. VAT)],0)</f>
        <v>85000</v>
      </c>
      <c r="K5609" s="5">
        <f>tblSales[[#This Row],[Qty]]*tblSales[[#This Row],[Unit Price]]</f>
        <v>255000</v>
      </c>
      <c r="L5609" s="5">
        <f>ROUND(tblSales[[#This Row],[DPP (excl. VAT)]]*VATEff,0)</f>
        <v>28050</v>
      </c>
      <c r="M5609" s="5">
        <f>tblSales[[#This Row],[DPP (excl. VAT)]]+tblSales[[#This Row],[Output VAT]]</f>
        <v>283050</v>
      </c>
      <c r="N5609" s="5">
        <f>tblSales[[#This Row],[Qty]]*_xlfn.XLOOKUP(tblSales[[#This Row],[Product Code]],tblProducts[Code],tblProducts[Unit Cost],0)</f>
        <v>150000</v>
      </c>
      <c r="O5609" s="4" t="s">
        <v>4865</v>
      </c>
      <c r="P5609" s="4" t="s">
        <v>4860</v>
      </c>
      <c r="Q5609" s="1" t="str">
        <f>_xlfn.XLOOKUP(tblSales[[#This Row],[Channel Code]],tblChannels[Channel Code],tblChannels[Channel Name],"")</f>
        <v>In-store</v>
      </c>
      <c r="R5609" s="1">
        <f>MONTH(tblSales[[#This Row],[Date]])</f>
        <v>12</v>
      </c>
    </row>
    <row r="5610" spans="2:18" x14ac:dyDescent="0.35">
      <c r="B5610" s="113">
        <v>46361</v>
      </c>
      <c r="C5610" s="4" t="s">
        <v>3843</v>
      </c>
      <c r="D5610" s="4" t="s">
        <v>4568</v>
      </c>
      <c r="E5610" s="1" t="str">
        <f>_xlfn.XLOOKUP(tblSales[[#This Row],[Customer ID]],tblCustomers[Customer ID],tblCustomers[Customer Name],"⚠ Unknown")</f>
        <v>Walk-in Customer</v>
      </c>
      <c r="F5610" s="4" t="s">
        <v>7</v>
      </c>
      <c r="G5610" s="1" t="str">
        <f>_xlfn.XLOOKUP(tblSales[[#This Row],[Product Code]],tblProducts[Code],tblProducts[Product / Service Name],"⚠ Unknown")</f>
        <v>Premium Basic T-shirt</v>
      </c>
      <c r="H5610" s="1" t="str">
        <f>_xlfn.XLOOKUP(tblSales[[#This Row],[Product Code]],tblProducts[Code],tblProducts[Category],"")</f>
        <v>Accessories &amp; Basics</v>
      </c>
      <c r="I5610" s="4">
        <v>11</v>
      </c>
      <c r="J5610" s="5">
        <f>_xlfn.XLOOKUP(tblSales[[#This Row],[Product Code]],tblProducts[Code],tblProducts[Selling Price (excl. VAT)],0)</f>
        <v>65000</v>
      </c>
      <c r="K5610" s="5">
        <f>tblSales[[#This Row],[Qty]]*tblSales[[#This Row],[Unit Price]]</f>
        <v>715000</v>
      </c>
      <c r="L5610" s="5">
        <f>ROUND(tblSales[[#This Row],[DPP (excl. VAT)]]*VATEff,0)</f>
        <v>78650</v>
      </c>
      <c r="M5610" s="5">
        <f>tblSales[[#This Row],[DPP (excl. VAT)]]+tblSales[[#This Row],[Output VAT]]</f>
        <v>793650</v>
      </c>
      <c r="N5610" s="5">
        <f>tblSales[[#This Row],[Qty]]*_xlfn.XLOOKUP(tblSales[[#This Row],[Product Code]],tblProducts[Code],tblProducts[Unit Cost],0)</f>
        <v>407000</v>
      </c>
      <c r="O5610" s="4" t="s">
        <v>4866</v>
      </c>
      <c r="P5610" s="4" t="s">
        <v>4861</v>
      </c>
      <c r="Q5610" s="1" t="str">
        <f>_xlfn.XLOOKUP(tblSales[[#This Row],[Channel Code]],tblChannels[Channel Code],tblChannels[Channel Name],"")</f>
        <v>Marketplace</v>
      </c>
      <c r="R5610" s="1">
        <f>MONTH(tblSales[[#This Row],[Date]])</f>
        <v>12</v>
      </c>
    </row>
    <row r="5611" spans="2:18" x14ac:dyDescent="0.35">
      <c r="B5611" s="113">
        <v>46361</v>
      </c>
      <c r="C5611" s="4" t="s">
        <v>3844</v>
      </c>
      <c r="D5611" s="4" t="s">
        <v>4568</v>
      </c>
      <c r="E5611" s="1" t="str">
        <f>_xlfn.XLOOKUP(tblSales[[#This Row],[Customer ID]],tblCustomers[Customer ID],tblCustomers[Customer Name],"⚠ Unknown")</f>
        <v>Walk-in Customer</v>
      </c>
      <c r="F5611" s="4" t="s">
        <v>14</v>
      </c>
      <c r="G5611" s="1" t="str">
        <f>_xlfn.XLOOKUP(tblSales[[#This Row],[Product Code]],tblProducts[Code],tblProducts[Product / Service Name],"⚠ Unknown")</f>
        <v>Smartwatch</v>
      </c>
      <c r="H5611" s="1" t="str">
        <f>_xlfn.XLOOKUP(tblSales[[#This Row],[Product Code]],tblProducts[Code],tblProducts[Category],"")</f>
        <v>Bags &amp; Gadgets</v>
      </c>
      <c r="I5611" s="4">
        <v>1</v>
      </c>
      <c r="J5611" s="5">
        <f>_xlfn.XLOOKUP(tblSales[[#This Row],[Product Code]],tblProducts[Code],tblProducts[Selling Price (excl. VAT)],0)</f>
        <v>850000</v>
      </c>
      <c r="K5611" s="5">
        <f>tblSales[[#This Row],[Qty]]*tblSales[[#This Row],[Unit Price]]</f>
        <v>850000</v>
      </c>
      <c r="L5611" s="5">
        <f>ROUND(tblSales[[#This Row],[DPP (excl. VAT)]]*VATEff,0)</f>
        <v>93500</v>
      </c>
      <c r="M5611" s="5">
        <f>tblSales[[#This Row],[DPP (excl. VAT)]]+tblSales[[#This Row],[Output VAT]]</f>
        <v>943500</v>
      </c>
      <c r="N5611" s="5">
        <f>tblSales[[#This Row],[Qty]]*_xlfn.XLOOKUP(tblSales[[#This Row],[Product Code]],tblProducts[Code],tblProducts[Unit Cost],0)</f>
        <v>560000</v>
      </c>
      <c r="O5611" s="4" t="s">
        <v>4866</v>
      </c>
      <c r="P5611" s="4" t="s">
        <v>4861</v>
      </c>
      <c r="Q5611" s="1" t="str">
        <f>_xlfn.XLOOKUP(tblSales[[#This Row],[Channel Code]],tblChannels[Channel Code],tblChannels[Channel Name],"")</f>
        <v>Marketplace</v>
      </c>
      <c r="R5611" s="1">
        <f>MONTH(tblSales[[#This Row],[Date]])</f>
        <v>12</v>
      </c>
    </row>
    <row r="5612" spans="2:18" x14ac:dyDescent="0.35">
      <c r="B5612" s="113">
        <v>46361</v>
      </c>
      <c r="C5612" s="4" t="s">
        <v>3845</v>
      </c>
      <c r="D5612" s="4" t="s">
        <v>4578</v>
      </c>
      <c r="E5612" s="1" t="str">
        <f>_xlfn.XLOOKUP(tblSales[[#This Row],[Customer ID]],tblCustomers[Customer ID],tblCustomers[Customer Name],"⚠ Unknown")</f>
        <v>PT Bintang Timur Sejahtera</v>
      </c>
      <c r="F5612" s="4" t="s">
        <v>12</v>
      </c>
      <c r="G5612" s="1" t="str">
        <f>_xlfn.XLOOKUP(tblSales[[#This Row],[Product Code]],tblProducts[Code],tblProducts[Product / Service Name],"⚠ Unknown")</f>
        <v>Bomber Jacket</v>
      </c>
      <c r="H5612" s="1" t="str">
        <f>_xlfn.XLOOKUP(tblSales[[#This Row],[Product Code]],tblProducts[Code],tblProducts[Category],"")</f>
        <v>Apparel &amp; Footwear</v>
      </c>
      <c r="I5612" s="4">
        <v>32</v>
      </c>
      <c r="J5612" s="5">
        <f>_xlfn.XLOOKUP(tblSales[[#This Row],[Product Code]],tblProducts[Code],tblProducts[Selling Price (excl. VAT)],0)</f>
        <v>350000</v>
      </c>
      <c r="K5612" s="5">
        <f>tblSales[[#This Row],[Qty]]*tblSales[[#This Row],[Unit Price]]</f>
        <v>11200000</v>
      </c>
      <c r="L5612" s="5">
        <f>ROUND(tblSales[[#This Row],[DPP (excl. VAT)]]*VATEff,0)</f>
        <v>1232000</v>
      </c>
      <c r="M5612" s="5">
        <f>tblSales[[#This Row],[DPP (excl. VAT)]]+tblSales[[#This Row],[Output VAT]]</f>
        <v>12432000</v>
      </c>
      <c r="N5612" s="5">
        <f>tblSales[[#This Row],[Qty]]*_xlfn.XLOOKUP(tblSales[[#This Row],[Product Code]],tblProducts[Code],tblProducts[Unit Cost],0)</f>
        <v>6720000</v>
      </c>
      <c r="O5612" s="4" t="s">
        <v>4867</v>
      </c>
      <c r="P5612" s="4" t="s">
        <v>4860</v>
      </c>
      <c r="Q5612" s="1" t="str">
        <f>_xlfn.XLOOKUP(tblSales[[#This Row],[Channel Code]],tblChannels[Channel Code],tblChannels[Channel Name],"")</f>
        <v>In-store</v>
      </c>
      <c r="R5612" s="1">
        <f>MONTH(tblSales[[#This Row],[Date]])</f>
        <v>12</v>
      </c>
    </row>
    <row r="5613" spans="2:18" x14ac:dyDescent="0.35">
      <c r="B5613" s="113">
        <v>46361</v>
      </c>
      <c r="C5613" s="4" t="s">
        <v>3846</v>
      </c>
      <c r="D5613" s="4" t="s">
        <v>4585</v>
      </c>
      <c r="E5613" s="1" t="str">
        <f>_xlfn.XLOOKUP(tblSales[[#This Row],[Customer ID]],tblCustomers[Customer ID],tblCustomers[Customer Name],"⚠ Unknown")</f>
        <v>CV Mitra Karya Mandiri</v>
      </c>
      <c r="F5613" s="4" t="s">
        <v>9</v>
      </c>
      <c r="G5613" s="1" t="str">
        <f>_xlfn.XLOOKUP(tblSales[[#This Row],[Product Code]],tblProducts[Code],tblProducts[Product / Service Name],"⚠ Unknown")</f>
        <v>Casual Shirt</v>
      </c>
      <c r="H5613" s="1" t="str">
        <f>_xlfn.XLOOKUP(tblSales[[#This Row],[Product Code]],tblProducts[Code],tblProducts[Category],"")</f>
        <v>Apparel &amp; Footwear</v>
      </c>
      <c r="I5613" s="4">
        <v>56</v>
      </c>
      <c r="J5613" s="5">
        <f>_xlfn.XLOOKUP(tblSales[[#This Row],[Product Code]],tblProducts[Code],tblProducts[Selling Price (excl. VAT)],0)</f>
        <v>120000</v>
      </c>
      <c r="K5613" s="5">
        <f>tblSales[[#This Row],[Qty]]*tblSales[[#This Row],[Unit Price]]</f>
        <v>6720000</v>
      </c>
      <c r="L5613" s="5">
        <f>ROUND(tblSales[[#This Row],[DPP (excl. VAT)]]*VATEff,0)</f>
        <v>739200</v>
      </c>
      <c r="M5613" s="5">
        <f>tblSales[[#This Row],[DPP (excl. VAT)]]+tblSales[[#This Row],[Output VAT]]</f>
        <v>7459200</v>
      </c>
      <c r="N5613" s="5">
        <f>tblSales[[#This Row],[Qty]]*_xlfn.XLOOKUP(tblSales[[#This Row],[Product Code]],tblProducts[Code],tblProducts[Unit Cost],0)</f>
        <v>4032000</v>
      </c>
      <c r="O5613" s="4" t="s">
        <v>4867</v>
      </c>
      <c r="P5613" s="4" t="s">
        <v>4860</v>
      </c>
      <c r="Q5613" s="1" t="str">
        <f>_xlfn.XLOOKUP(tblSales[[#This Row],[Channel Code]],tblChannels[Channel Code],tblChannels[Channel Name],"")</f>
        <v>In-store</v>
      </c>
      <c r="R5613" s="1">
        <f>MONTH(tblSales[[#This Row],[Date]])</f>
        <v>12</v>
      </c>
    </row>
    <row r="5614" spans="2:18" x14ac:dyDescent="0.35">
      <c r="B5614" s="113">
        <v>46361</v>
      </c>
      <c r="C5614" s="4" t="s">
        <v>3847</v>
      </c>
      <c r="D5614" s="4" t="s">
        <v>4568</v>
      </c>
      <c r="E5614" s="1" t="str">
        <f>_xlfn.XLOOKUP(tblSales[[#This Row],[Customer ID]],tblCustomers[Customer ID],tblCustomers[Customer Name],"⚠ Unknown")</f>
        <v>Walk-in Customer</v>
      </c>
      <c r="F5614" s="4" t="s">
        <v>10</v>
      </c>
      <c r="G5614" s="1" t="str">
        <f>_xlfn.XLOOKUP(tblSales[[#This Row],[Product Code]],tblProducts[Code],tblProducts[Product / Service Name],"⚠ Unknown")</f>
        <v>Chino Pants</v>
      </c>
      <c r="H5614" s="1" t="str">
        <f>_xlfn.XLOOKUP(tblSales[[#This Row],[Product Code]],tblProducts[Code],tblProducts[Category],"")</f>
        <v>Apparel &amp; Footwear</v>
      </c>
      <c r="I5614" s="4">
        <v>12</v>
      </c>
      <c r="J5614" s="5">
        <f>_xlfn.XLOOKUP(tblSales[[#This Row],[Product Code]],tblProducts[Code],tblProducts[Selling Price (excl. VAT)],0)</f>
        <v>150000</v>
      </c>
      <c r="K5614" s="5">
        <f>tblSales[[#This Row],[Qty]]*tblSales[[#This Row],[Unit Price]]</f>
        <v>1800000</v>
      </c>
      <c r="L5614" s="5">
        <f>ROUND(tblSales[[#This Row],[DPP (excl. VAT)]]*VATEff,0)</f>
        <v>198000</v>
      </c>
      <c r="M5614" s="5">
        <f>tblSales[[#This Row],[DPP (excl. VAT)]]+tblSales[[#This Row],[Output VAT]]</f>
        <v>1998000</v>
      </c>
      <c r="N5614" s="5">
        <f>tblSales[[#This Row],[Qty]]*_xlfn.XLOOKUP(tblSales[[#This Row],[Product Code]],tblProducts[Code],tblProducts[Unit Cost],0)</f>
        <v>1056000</v>
      </c>
      <c r="O5614" s="4" t="s">
        <v>4865</v>
      </c>
      <c r="P5614" s="4" t="s">
        <v>4860</v>
      </c>
      <c r="Q5614" s="1" t="str">
        <f>_xlfn.XLOOKUP(tblSales[[#This Row],[Channel Code]],tblChannels[Channel Code],tblChannels[Channel Name],"")</f>
        <v>In-store</v>
      </c>
      <c r="R5614" s="1">
        <f>MONTH(tblSales[[#This Row],[Date]])</f>
        <v>12</v>
      </c>
    </row>
    <row r="5615" spans="2:18" x14ac:dyDescent="0.35">
      <c r="B5615" s="113">
        <v>46361</v>
      </c>
      <c r="C5615" s="4" t="s">
        <v>3848</v>
      </c>
      <c r="D5615" s="4" t="s">
        <v>4627</v>
      </c>
      <c r="E5615" s="1" t="str">
        <f>_xlfn.XLOOKUP(tblSales[[#This Row],[Customer ID]],tblCustomers[Customer ID],tblCustomers[Customer Name],"⚠ Unknown")</f>
        <v>PT Kencana Wira Usaha</v>
      </c>
      <c r="F5615" s="4" t="s">
        <v>6</v>
      </c>
      <c r="G5615" s="1" t="str">
        <f>_xlfn.XLOOKUP(tblSales[[#This Row],[Product Code]],tblProducts[Code],tblProducts[Product / Service Name],"⚠ Unknown")</f>
        <v>Socks &amp; Accessories</v>
      </c>
      <c r="H5615" s="1" t="str">
        <f>_xlfn.XLOOKUP(tblSales[[#This Row],[Product Code]],tblProducts[Code],tblProducts[Category],"")</f>
        <v>Accessories &amp; Basics</v>
      </c>
      <c r="I5615" s="4">
        <v>24</v>
      </c>
      <c r="J5615" s="5">
        <f>_xlfn.XLOOKUP(tblSales[[#This Row],[Product Code]],tblProducts[Code],tblProducts[Selling Price (excl. VAT)],0)</f>
        <v>45000</v>
      </c>
      <c r="K5615" s="5">
        <f>tblSales[[#This Row],[Qty]]*tblSales[[#This Row],[Unit Price]]</f>
        <v>1080000</v>
      </c>
      <c r="L5615" s="5">
        <f>ROUND(tblSales[[#This Row],[DPP (excl. VAT)]]*VATEff,0)</f>
        <v>118800</v>
      </c>
      <c r="M5615" s="5">
        <f>tblSales[[#This Row],[DPP (excl. VAT)]]+tblSales[[#This Row],[Output VAT]]</f>
        <v>1198800</v>
      </c>
      <c r="N5615" s="5">
        <f>tblSales[[#This Row],[Qty]]*_xlfn.XLOOKUP(tblSales[[#This Row],[Product Code]],tblProducts[Code],tblProducts[Unit Cost],0)</f>
        <v>576000</v>
      </c>
      <c r="O5615" s="4" t="s">
        <v>4867</v>
      </c>
      <c r="P5615" s="4" t="s">
        <v>4860</v>
      </c>
      <c r="Q5615" s="1" t="str">
        <f>_xlfn.XLOOKUP(tblSales[[#This Row],[Channel Code]],tblChannels[Channel Code],tblChannels[Channel Name],"")</f>
        <v>In-store</v>
      </c>
      <c r="R5615" s="1">
        <f>MONTH(tblSales[[#This Row],[Date]])</f>
        <v>12</v>
      </c>
    </row>
    <row r="5616" spans="2:18" x14ac:dyDescent="0.35">
      <c r="B5616" s="113">
        <v>46361</v>
      </c>
      <c r="C5616" s="4" t="s">
        <v>3849</v>
      </c>
      <c r="D5616" s="4" t="s">
        <v>4568</v>
      </c>
      <c r="E5616" s="1" t="str">
        <f>_xlfn.XLOOKUP(tblSales[[#This Row],[Customer ID]],tblCustomers[Customer ID],tblCustomers[Customer Name],"⚠ Unknown")</f>
        <v>Walk-in Customer</v>
      </c>
      <c r="F5616" s="4" t="s">
        <v>14</v>
      </c>
      <c r="G5616" s="1" t="str">
        <f>_xlfn.XLOOKUP(tblSales[[#This Row],[Product Code]],tblProducts[Code],tblProducts[Product / Service Name],"⚠ Unknown")</f>
        <v>Smartwatch</v>
      </c>
      <c r="H5616" s="1" t="str">
        <f>_xlfn.XLOOKUP(tblSales[[#This Row],[Product Code]],tblProducts[Code],tblProducts[Category],"")</f>
        <v>Bags &amp; Gadgets</v>
      </c>
      <c r="I5616" s="4">
        <v>2</v>
      </c>
      <c r="J5616" s="5">
        <f>_xlfn.XLOOKUP(tblSales[[#This Row],[Product Code]],tblProducts[Code],tblProducts[Selling Price (excl. VAT)],0)</f>
        <v>850000</v>
      </c>
      <c r="K5616" s="5">
        <f>tblSales[[#This Row],[Qty]]*tblSales[[#This Row],[Unit Price]]</f>
        <v>1700000</v>
      </c>
      <c r="L5616" s="5">
        <f>ROUND(tblSales[[#This Row],[DPP (excl. VAT)]]*VATEff,0)</f>
        <v>187000</v>
      </c>
      <c r="M5616" s="5">
        <f>tblSales[[#This Row],[DPP (excl. VAT)]]+tblSales[[#This Row],[Output VAT]]</f>
        <v>1887000</v>
      </c>
      <c r="N5616" s="5">
        <f>tblSales[[#This Row],[Qty]]*_xlfn.XLOOKUP(tblSales[[#This Row],[Product Code]],tblProducts[Code],tblProducts[Unit Cost],0)</f>
        <v>1120000</v>
      </c>
      <c r="O5616" s="4" t="s">
        <v>4866</v>
      </c>
      <c r="P5616" s="4" t="s">
        <v>4862</v>
      </c>
      <c r="Q5616" s="1" t="str">
        <f>_xlfn.XLOOKUP(tblSales[[#This Row],[Channel Code]],tblChannels[Channel Code],tblChannels[Channel Name],"")</f>
        <v>Website &amp; Social Media</v>
      </c>
      <c r="R5616" s="1">
        <f>MONTH(tblSales[[#This Row],[Date]])</f>
        <v>12</v>
      </c>
    </row>
    <row r="5617" spans="2:18" x14ac:dyDescent="0.35">
      <c r="B5617" s="113">
        <v>46361</v>
      </c>
      <c r="C5617" s="4" t="s">
        <v>3849</v>
      </c>
      <c r="D5617" s="4" t="s">
        <v>4568</v>
      </c>
      <c r="E5617" s="1" t="str">
        <f>_xlfn.XLOOKUP(tblSales[[#This Row],[Customer ID]],tblCustomers[Customer ID],tblCustomers[Customer Name],"⚠ Unknown")</f>
        <v>Walk-in Customer</v>
      </c>
      <c r="F5617" s="4" t="s">
        <v>11</v>
      </c>
      <c r="G5617" s="1" t="str">
        <f>_xlfn.XLOOKUP(tblSales[[#This Row],[Product Code]],tblProducts[Code],tblProducts[Product / Service Name],"⚠ Unknown")</f>
        <v>Sneakers</v>
      </c>
      <c r="H5617" s="1" t="str">
        <f>_xlfn.XLOOKUP(tblSales[[#This Row],[Product Code]],tblProducts[Code],tblProducts[Category],"")</f>
        <v>Apparel &amp; Footwear</v>
      </c>
      <c r="I5617" s="4">
        <v>4</v>
      </c>
      <c r="J5617" s="5">
        <f>_xlfn.XLOOKUP(tblSales[[#This Row],[Product Code]],tblProducts[Code],tblProducts[Selling Price (excl. VAT)],0)</f>
        <v>250000</v>
      </c>
      <c r="K5617" s="5">
        <f>tblSales[[#This Row],[Qty]]*tblSales[[#This Row],[Unit Price]]</f>
        <v>1000000</v>
      </c>
      <c r="L5617" s="5">
        <f>ROUND(tblSales[[#This Row],[DPP (excl. VAT)]]*VATEff,0)</f>
        <v>110000</v>
      </c>
      <c r="M5617" s="5">
        <f>tblSales[[#This Row],[DPP (excl. VAT)]]+tblSales[[#This Row],[Output VAT]]</f>
        <v>1110000</v>
      </c>
      <c r="N5617" s="5">
        <f>tblSales[[#This Row],[Qty]]*_xlfn.XLOOKUP(tblSales[[#This Row],[Product Code]],tblProducts[Code],tblProducts[Unit Cost],0)</f>
        <v>620000</v>
      </c>
      <c r="O5617" s="4" t="s">
        <v>4866</v>
      </c>
      <c r="P5617" s="4" t="s">
        <v>4862</v>
      </c>
      <c r="Q5617" s="1" t="str">
        <f>_xlfn.XLOOKUP(tblSales[[#This Row],[Channel Code]],tblChannels[Channel Code],tblChannels[Channel Name],"")</f>
        <v>Website &amp; Social Media</v>
      </c>
      <c r="R5617" s="1">
        <f>MONTH(tblSales[[#This Row],[Date]])</f>
        <v>12</v>
      </c>
    </row>
    <row r="5618" spans="2:18" x14ac:dyDescent="0.35">
      <c r="B5618" s="113">
        <v>46361</v>
      </c>
      <c r="C5618" s="4" t="s">
        <v>3849</v>
      </c>
      <c r="D5618" s="4" t="s">
        <v>4568</v>
      </c>
      <c r="E5618" s="1" t="str">
        <f>_xlfn.XLOOKUP(tblSales[[#This Row],[Customer ID]],tblCustomers[Customer ID],tblCustomers[Customer Name],"⚠ Unknown")</f>
        <v>Walk-in Customer</v>
      </c>
      <c r="F5618" s="4" t="s">
        <v>6</v>
      </c>
      <c r="G5618" s="1" t="str">
        <f>_xlfn.XLOOKUP(tblSales[[#This Row],[Product Code]],tblProducts[Code],tblProducts[Product / Service Name],"⚠ Unknown")</f>
        <v>Socks &amp; Accessories</v>
      </c>
      <c r="H5618" s="1" t="str">
        <f>_xlfn.XLOOKUP(tblSales[[#This Row],[Product Code]],tblProducts[Code],tblProducts[Category],"")</f>
        <v>Accessories &amp; Basics</v>
      </c>
      <c r="I5618" s="4">
        <v>11</v>
      </c>
      <c r="J5618" s="5">
        <f>_xlfn.XLOOKUP(tblSales[[#This Row],[Product Code]],tblProducts[Code],tblProducts[Selling Price (excl. VAT)],0)</f>
        <v>45000</v>
      </c>
      <c r="K5618" s="5">
        <f>tblSales[[#This Row],[Qty]]*tblSales[[#This Row],[Unit Price]]</f>
        <v>495000</v>
      </c>
      <c r="L5618" s="5">
        <f>ROUND(tblSales[[#This Row],[DPP (excl. VAT)]]*VATEff,0)</f>
        <v>54450</v>
      </c>
      <c r="M5618" s="5">
        <f>tblSales[[#This Row],[DPP (excl. VAT)]]+tblSales[[#This Row],[Output VAT]]</f>
        <v>549450</v>
      </c>
      <c r="N5618" s="5">
        <f>tblSales[[#This Row],[Qty]]*_xlfn.XLOOKUP(tblSales[[#This Row],[Product Code]],tblProducts[Code],tblProducts[Unit Cost],0)</f>
        <v>264000</v>
      </c>
      <c r="O5618" s="4" t="s">
        <v>4866</v>
      </c>
      <c r="P5618" s="4" t="s">
        <v>4862</v>
      </c>
      <c r="Q5618" s="1" t="str">
        <f>_xlfn.XLOOKUP(tblSales[[#This Row],[Channel Code]],tblChannels[Channel Code],tblChannels[Channel Name],"")</f>
        <v>Website &amp; Social Media</v>
      </c>
      <c r="R5618" s="1">
        <f>MONTH(tblSales[[#This Row],[Date]])</f>
        <v>12</v>
      </c>
    </row>
    <row r="5619" spans="2:18" x14ac:dyDescent="0.35">
      <c r="B5619" s="113">
        <v>46361</v>
      </c>
      <c r="C5619" s="4" t="s">
        <v>3850</v>
      </c>
      <c r="D5619" s="4" t="s">
        <v>4568</v>
      </c>
      <c r="E5619" s="1" t="str">
        <f>_xlfn.XLOOKUP(tblSales[[#This Row],[Customer ID]],tblCustomers[Customer ID],tblCustomers[Customer Name],"⚠ Unknown")</f>
        <v>Walk-in Customer</v>
      </c>
      <c r="F5619" s="4" t="s">
        <v>8</v>
      </c>
      <c r="G5619" s="1" t="str">
        <f>_xlfn.XLOOKUP(tblSales[[#This Row],[Product Code]],tblProducts[Code],tblProducts[Product / Service Name],"⚠ Unknown")</f>
        <v>Casual Shorts</v>
      </c>
      <c r="H5619" s="1" t="str">
        <f>_xlfn.XLOOKUP(tblSales[[#This Row],[Product Code]],tblProducts[Code],tblProducts[Category],"")</f>
        <v>Accessories &amp; Basics</v>
      </c>
      <c r="I5619" s="4">
        <v>4</v>
      </c>
      <c r="J5619" s="5">
        <f>_xlfn.XLOOKUP(tblSales[[#This Row],[Product Code]],tblProducts[Code],tblProducts[Selling Price (excl. VAT)],0)</f>
        <v>85000</v>
      </c>
      <c r="K5619" s="5">
        <f>tblSales[[#This Row],[Qty]]*tblSales[[#This Row],[Unit Price]]</f>
        <v>340000</v>
      </c>
      <c r="L5619" s="5">
        <f>ROUND(tblSales[[#This Row],[DPP (excl. VAT)]]*VATEff,0)</f>
        <v>37400</v>
      </c>
      <c r="M5619" s="5">
        <f>tblSales[[#This Row],[DPP (excl. VAT)]]+tblSales[[#This Row],[Output VAT]]</f>
        <v>377400</v>
      </c>
      <c r="N5619" s="5">
        <f>tblSales[[#This Row],[Qty]]*_xlfn.XLOOKUP(tblSales[[#This Row],[Product Code]],tblProducts[Code],tblProducts[Unit Cost],0)</f>
        <v>200000</v>
      </c>
      <c r="O5619" s="4" t="s">
        <v>4865</v>
      </c>
      <c r="P5619" s="4" t="s">
        <v>4860</v>
      </c>
      <c r="Q5619" s="1" t="str">
        <f>_xlfn.XLOOKUP(tblSales[[#This Row],[Channel Code]],tblChannels[Channel Code],tblChannels[Channel Name],"")</f>
        <v>In-store</v>
      </c>
      <c r="R5619" s="1">
        <f>MONTH(tblSales[[#This Row],[Date]])</f>
        <v>12</v>
      </c>
    </row>
    <row r="5620" spans="2:18" x14ac:dyDescent="0.35">
      <c r="B5620" s="113">
        <v>46361</v>
      </c>
      <c r="C5620" s="4" t="s">
        <v>3850</v>
      </c>
      <c r="D5620" s="4" t="s">
        <v>4568</v>
      </c>
      <c r="E5620" s="1" t="str">
        <f>_xlfn.XLOOKUP(tblSales[[#This Row],[Customer ID]],tblCustomers[Customer ID],tblCustomers[Customer Name],"⚠ Unknown")</f>
        <v>Walk-in Customer</v>
      </c>
      <c r="F5620" s="4" t="s">
        <v>10</v>
      </c>
      <c r="G5620" s="1" t="str">
        <f>_xlfn.XLOOKUP(tblSales[[#This Row],[Product Code]],tblProducts[Code],tblProducts[Product / Service Name],"⚠ Unknown")</f>
        <v>Chino Pants</v>
      </c>
      <c r="H5620" s="1" t="str">
        <f>_xlfn.XLOOKUP(tblSales[[#This Row],[Product Code]],tblProducts[Code],tblProducts[Category],"")</f>
        <v>Apparel &amp; Footwear</v>
      </c>
      <c r="I5620" s="4">
        <v>3</v>
      </c>
      <c r="J5620" s="5">
        <f>_xlfn.XLOOKUP(tblSales[[#This Row],[Product Code]],tblProducts[Code],tblProducts[Selling Price (excl. VAT)],0)</f>
        <v>150000</v>
      </c>
      <c r="K5620" s="5">
        <f>tblSales[[#This Row],[Qty]]*tblSales[[#This Row],[Unit Price]]</f>
        <v>450000</v>
      </c>
      <c r="L5620" s="5">
        <f>ROUND(tblSales[[#This Row],[DPP (excl. VAT)]]*VATEff,0)</f>
        <v>49500</v>
      </c>
      <c r="M5620" s="5">
        <f>tblSales[[#This Row],[DPP (excl. VAT)]]+tblSales[[#This Row],[Output VAT]]</f>
        <v>499500</v>
      </c>
      <c r="N5620" s="5">
        <f>tblSales[[#This Row],[Qty]]*_xlfn.XLOOKUP(tblSales[[#This Row],[Product Code]],tblProducts[Code],tblProducts[Unit Cost],0)</f>
        <v>264000</v>
      </c>
      <c r="O5620" s="4" t="s">
        <v>4865</v>
      </c>
      <c r="P5620" s="4" t="s">
        <v>4860</v>
      </c>
      <c r="Q5620" s="1" t="str">
        <f>_xlfn.XLOOKUP(tblSales[[#This Row],[Channel Code]],tblChannels[Channel Code],tblChannels[Channel Name],"")</f>
        <v>In-store</v>
      </c>
      <c r="R5620" s="1">
        <f>MONTH(tblSales[[#This Row],[Date]])</f>
        <v>12</v>
      </c>
    </row>
    <row r="5621" spans="2:18" x14ac:dyDescent="0.35">
      <c r="B5621" s="113">
        <v>46361</v>
      </c>
      <c r="C5621" s="4" t="s">
        <v>3851</v>
      </c>
      <c r="D5621" s="4" t="s">
        <v>4568</v>
      </c>
      <c r="E5621" s="1" t="str">
        <f>_xlfn.XLOOKUP(tblSales[[#This Row],[Customer ID]],tblCustomers[Customer ID],tblCustomers[Customer Name],"⚠ Unknown")</f>
        <v>Walk-in Customer</v>
      </c>
      <c r="F5621" s="4" t="s">
        <v>8</v>
      </c>
      <c r="G5621" s="1" t="str">
        <f>_xlfn.XLOOKUP(tblSales[[#This Row],[Product Code]],tblProducts[Code],tblProducts[Product / Service Name],"⚠ Unknown")</f>
        <v>Casual Shorts</v>
      </c>
      <c r="H5621" s="1" t="str">
        <f>_xlfn.XLOOKUP(tblSales[[#This Row],[Product Code]],tblProducts[Code],tblProducts[Category],"")</f>
        <v>Accessories &amp; Basics</v>
      </c>
      <c r="I5621" s="4">
        <v>9</v>
      </c>
      <c r="J5621" s="5">
        <f>_xlfn.XLOOKUP(tblSales[[#This Row],[Product Code]],tblProducts[Code],tblProducts[Selling Price (excl. VAT)],0)</f>
        <v>85000</v>
      </c>
      <c r="K5621" s="5">
        <f>tblSales[[#This Row],[Qty]]*tblSales[[#This Row],[Unit Price]]</f>
        <v>765000</v>
      </c>
      <c r="L5621" s="5">
        <f>ROUND(tblSales[[#This Row],[DPP (excl. VAT)]]*VATEff,0)</f>
        <v>84150</v>
      </c>
      <c r="M5621" s="5">
        <f>tblSales[[#This Row],[DPP (excl. VAT)]]+tblSales[[#This Row],[Output VAT]]</f>
        <v>849150</v>
      </c>
      <c r="N5621" s="5">
        <f>tblSales[[#This Row],[Qty]]*_xlfn.XLOOKUP(tblSales[[#This Row],[Product Code]],tblProducts[Code],tblProducts[Unit Cost],0)</f>
        <v>450000</v>
      </c>
      <c r="O5621" s="4" t="s">
        <v>4865</v>
      </c>
      <c r="P5621" s="4" t="s">
        <v>4860</v>
      </c>
      <c r="Q5621" s="1" t="str">
        <f>_xlfn.XLOOKUP(tblSales[[#This Row],[Channel Code]],tblChannels[Channel Code],tblChannels[Channel Name],"")</f>
        <v>In-store</v>
      </c>
      <c r="R5621" s="1">
        <f>MONTH(tblSales[[#This Row],[Date]])</f>
        <v>12</v>
      </c>
    </row>
    <row r="5622" spans="2:18" x14ac:dyDescent="0.35">
      <c r="B5622" s="113">
        <v>46361</v>
      </c>
      <c r="C5622" s="4" t="s">
        <v>3851</v>
      </c>
      <c r="D5622" s="4" t="s">
        <v>4568</v>
      </c>
      <c r="E5622" s="1" t="str">
        <f>_xlfn.XLOOKUP(tblSales[[#This Row],[Customer ID]],tblCustomers[Customer ID],tblCustomers[Customer Name],"⚠ Unknown")</f>
        <v>Walk-in Customer</v>
      </c>
      <c r="F5622" s="4" t="s">
        <v>9</v>
      </c>
      <c r="G5622" s="1" t="str">
        <f>_xlfn.XLOOKUP(tblSales[[#This Row],[Product Code]],tblProducts[Code],tblProducts[Product / Service Name],"⚠ Unknown")</f>
        <v>Casual Shirt</v>
      </c>
      <c r="H5622" s="1" t="str">
        <f>_xlfn.XLOOKUP(tblSales[[#This Row],[Product Code]],tblProducts[Code],tblProducts[Category],"")</f>
        <v>Apparel &amp; Footwear</v>
      </c>
      <c r="I5622" s="4">
        <v>4</v>
      </c>
      <c r="J5622" s="5">
        <f>_xlfn.XLOOKUP(tblSales[[#This Row],[Product Code]],tblProducts[Code],tblProducts[Selling Price (excl. VAT)],0)</f>
        <v>120000</v>
      </c>
      <c r="K5622" s="5">
        <f>tblSales[[#This Row],[Qty]]*tblSales[[#This Row],[Unit Price]]</f>
        <v>480000</v>
      </c>
      <c r="L5622" s="5">
        <f>ROUND(tblSales[[#This Row],[DPP (excl. VAT)]]*VATEff,0)</f>
        <v>52800</v>
      </c>
      <c r="M5622" s="5">
        <f>tblSales[[#This Row],[DPP (excl. VAT)]]+tblSales[[#This Row],[Output VAT]]</f>
        <v>532800</v>
      </c>
      <c r="N5622" s="5">
        <f>tblSales[[#This Row],[Qty]]*_xlfn.XLOOKUP(tblSales[[#This Row],[Product Code]],tblProducts[Code],tblProducts[Unit Cost],0)</f>
        <v>288000</v>
      </c>
      <c r="O5622" s="4" t="s">
        <v>4865</v>
      </c>
      <c r="P5622" s="4" t="s">
        <v>4860</v>
      </c>
      <c r="Q5622" s="1" t="str">
        <f>_xlfn.XLOOKUP(tblSales[[#This Row],[Channel Code]],tblChannels[Channel Code],tblChannels[Channel Name],"")</f>
        <v>In-store</v>
      </c>
      <c r="R5622" s="1">
        <f>MONTH(tblSales[[#This Row],[Date]])</f>
        <v>12</v>
      </c>
    </row>
    <row r="5623" spans="2:18" x14ac:dyDescent="0.35">
      <c r="B5623" s="113">
        <v>46361</v>
      </c>
      <c r="C5623" s="4" t="s">
        <v>3852</v>
      </c>
      <c r="D5623" s="4" t="s">
        <v>4568</v>
      </c>
      <c r="E5623" s="1" t="str">
        <f>_xlfn.XLOOKUP(tblSales[[#This Row],[Customer ID]],tblCustomers[Customer ID],tblCustomers[Customer Name],"⚠ Unknown")</f>
        <v>Walk-in Customer</v>
      </c>
      <c r="F5623" s="4" t="s">
        <v>6</v>
      </c>
      <c r="G5623" s="1" t="str">
        <f>_xlfn.XLOOKUP(tblSales[[#This Row],[Product Code]],tblProducts[Code],tblProducts[Product / Service Name],"⚠ Unknown")</f>
        <v>Socks &amp; Accessories</v>
      </c>
      <c r="H5623" s="1" t="str">
        <f>_xlfn.XLOOKUP(tblSales[[#This Row],[Product Code]],tblProducts[Code],tblProducts[Category],"")</f>
        <v>Accessories &amp; Basics</v>
      </c>
      <c r="I5623" s="4">
        <v>4</v>
      </c>
      <c r="J5623" s="5">
        <f>_xlfn.XLOOKUP(tblSales[[#This Row],[Product Code]],tblProducts[Code],tblProducts[Selling Price (excl. VAT)],0)</f>
        <v>45000</v>
      </c>
      <c r="K5623" s="5">
        <f>tblSales[[#This Row],[Qty]]*tblSales[[#This Row],[Unit Price]]</f>
        <v>180000</v>
      </c>
      <c r="L5623" s="5">
        <f>ROUND(tblSales[[#This Row],[DPP (excl. VAT)]]*VATEff,0)</f>
        <v>19800</v>
      </c>
      <c r="M5623" s="5">
        <f>tblSales[[#This Row],[DPP (excl. VAT)]]+tblSales[[#This Row],[Output VAT]]</f>
        <v>199800</v>
      </c>
      <c r="N5623" s="5">
        <f>tblSales[[#This Row],[Qty]]*_xlfn.XLOOKUP(tblSales[[#This Row],[Product Code]],tblProducts[Code],tblProducts[Unit Cost],0)</f>
        <v>96000</v>
      </c>
      <c r="O5623" s="4" t="s">
        <v>4866</v>
      </c>
      <c r="P5623" s="4" t="s">
        <v>4860</v>
      </c>
      <c r="Q5623" s="1" t="str">
        <f>_xlfn.XLOOKUP(tblSales[[#This Row],[Channel Code]],tblChannels[Channel Code],tblChannels[Channel Name],"")</f>
        <v>In-store</v>
      </c>
      <c r="R5623" s="1">
        <f>MONTH(tblSales[[#This Row],[Date]])</f>
        <v>12</v>
      </c>
    </row>
    <row r="5624" spans="2:18" x14ac:dyDescent="0.35">
      <c r="B5624" s="113">
        <v>46361</v>
      </c>
      <c r="C5624" s="4" t="s">
        <v>3853</v>
      </c>
      <c r="D5624" s="4" t="s">
        <v>4578</v>
      </c>
      <c r="E5624" s="1" t="str">
        <f>_xlfn.XLOOKUP(tblSales[[#This Row],[Customer ID]],tblCustomers[Customer ID],tblCustomers[Customer Name],"⚠ Unknown")</f>
        <v>PT Bintang Timur Sejahtera</v>
      </c>
      <c r="F5624" s="4" t="s">
        <v>6</v>
      </c>
      <c r="G5624" s="1" t="str">
        <f>_xlfn.XLOOKUP(tblSales[[#This Row],[Product Code]],tblProducts[Code],tblProducts[Product / Service Name],"⚠ Unknown")</f>
        <v>Socks &amp; Accessories</v>
      </c>
      <c r="H5624" s="1" t="str">
        <f>_xlfn.XLOOKUP(tblSales[[#This Row],[Product Code]],tblProducts[Code],tblProducts[Category],"")</f>
        <v>Accessories &amp; Basics</v>
      </c>
      <c r="I5624" s="4">
        <v>72</v>
      </c>
      <c r="J5624" s="5">
        <f>_xlfn.XLOOKUP(tblSales[[#This Row],[Product Code]],tblProducts[Code],tblProducts[Selling Price (excl. VAT)],0)</f>
        <v>45000</v>
      </c>
      <c r="K5624" s="5">
        <f>tblSales[[#This Row],[Qty]]*tblSales[[#This Row],[Unit Price]]</f>
        <v>3240000</v>
      </c>
      <c r="L5624" s="5">
        <f>ROUND(tblSales[[#This Row],[DPP (excl. VAT)]]*VATEff,0)</f>
        <v>356400</v>
      </c>
      <c r="M5624" s="5">
        <f>tblSales[[#This Row],[DPP (excl. VAT)]]+tblSales[[#This Row],[Output VAT]]</f>
        <v>3596400</v>
      </c>
      <c r="N5624" s="5">
        <f>tblSales[[#This Row],[Qty]]*_xlfn.XLOOKUP(tblSales[[#This Row],[Product Code]],tblProducts[Code],tblProducts[Unit Cost],0)</f>
        <v>1728000</v>
      </c>
      <c r="O5624" s="4" t="s">
        <v>4867</v>
      </c>
      <c r="P5624" s="4" t="s">
        <v>4860</v>
      </c>
      <c r="Q5624" s="1" t="str">
        <f>_xlfn.XLOOKUP(tblSales[[#This Row],[Channel Code]],tblChannels[Channel Code],tblChannels[Channel Name],"")</f>
        <v>In-store</v>
      </c>
      <c r="R5624" s="1">
        <f>MONTH(tblSales[[#This Row],[Date]])</f>
        <v>12</v>
      </c>
    </row>
    <row r="5625" spans="2:18" x14ac:dyDescent="0.35">
      <c r="B5625" s="113">
        <v>46361</v>
      </c>
      <c r="C5625" s="4" t="s">
        <v>3853</v>
      </c>
      <c r="D5625" s="4" t="s">
        <v>4578</v>
      </c>
      <c r="E5625" s="1" t="str">
        <f>_xlfn.XLOOKUP(tblSales[[#This Row],[Customer ID]],tblCustomers[Customer ID],tblCustomers[Customer Name],"⚠ Unknown")</f>
        <v>PT Bintang Timur Sejahtera</v>
      </c>
      <c r="F5625" s="4" t="s">
        <v>13</v>
      </c>
      <c r="G5625" s="1" t="str">
        <f>_xlfn.XLOOKUP(tblSales[[#This Row],[Product Code]],tblProducts[Code],tblProducts[Product / Service Name],"⚠ Unknown")</f>
        <v>Backpack</v>
      </c>
      <c r="H5625" s="1" t="str">
        <f>_xlfn.XLOOKUP(tblSales[[#This Row],[Product Code]],tblProducts[Code],tblProducts[Category],"")</f>
        <v>Bags &amp; Gadgets</v>
      </c>
      <c r="I5625" s="4">
        <v>16</v>
      </c>
      <c r="J5625" s="5">
        <f>_xlfn.XLOOKUP(tblSales[[#This Row],[Product Code]],tblProducts[Code],tblProducts[Selling Price (excl. VAT)],0)</f>
        <v>500000</v>
      </c>
      <c r="K5625" s="5">
        <f>tblSales[[#This Row],[Qty]]*tblSales[[#This Row],[Unit Price]]</f>
        <v>8000000</v>
      </c>
      <c r="L5625" s="5">
        <f>ROUND(tblSales[[#This Row],[DPP (excl. VAT)]]*VATEff,0)</f>
        <v>880000</v>
      </c>
      <c r="M5625" s="5">
        <f>tblSales[[#This Row],[DPP (excl. VAT)]]+tblSales[[#This Row],[Output VAT]]</f>
        <v>8880000</v>
      </c>
      <c r="N5625" s="5">
        <f>tblSales[[#This Row],[Qty]]*_xlfn.XLOOKUP(tblSales[[#This Row],[Product Code]],tblProducts[Code],tblProducts[Unit Cost],0)</f>
        <v>4640000</v>
      </c>
      <c r="O5625" s="4" t="s">
        <v>4867</v>
      </c>
      <c r="P5625" s="4" t="s">
        <v>4860</v>
      </c>
      <c r="Q5625" s="1" t="str">
        <f>_xlfn.XLOOKUP(tblSales[[#This Row],[Channel Code]],tblChannels[Channel Code],tblChannels[Channel Name],"")</f>
        <v>In-store</v>
      </c>
      <c r="R5625" s="1">
        <f>MONTH(tblSales[[#This Row],[Date]])</f>
        <v>12</v>
      </c>
    </row>
    <row r="5626" spans="2:18" x14ac:dyDescent="0.35">
      <c r="B5626" s="113">
        <v>46361</v>
      </c>
      <c r="C5626" s="4" t="s">
        <v>3854</v>
      </c>
      <c r="D5626" s="4" t="s">
        <v>4568</v>
      </c>
      <c r="E5626" s="1" t="str">
        <f>_xlfn.XLOOKUP(tblSales[[#This Row],[Customer ID]],tblCustomers[Customer ID],tblCustomers[Customer Name],"⚠ Unknown")</f>
        <v>Walk-in Customer</v>
      </c>
      <c r="F5626" s="4" t="s">
        <v>9</v>
      </c>
      <c r="G5626" s="1" t="str">
        <f>_xlfn.XLOOKUP(tblSales[[#This Row],[Product Code]],tblProducts[Code],tblProducts[Product / Service Name],"⚠ Unknown")</f>
        <v>Casual Shirt</v>
      </c>
      <c r="H5626" s="1" t="str">
        <f>_xlfn.XLOOKUP(tblSales[[#This Row],[Product Code]],tblProducts[Code],tblProducts[Category],"")</f>
        <v>Apparel &amp; Footwear</v>
      </c>
      <c r="I5626" s="4">
        <v>11</v>
      </c>
      <c r="J5626" s="5">
        <f>_xlfn.XLOOKUP(tblSales[[#This Row],[Product Code]],tblProducts[Code],tblProducts[Selling Price (excl. VAT)],0)</f>
        <v>120000</v>
      </c>
      <c r="K5626" s="5">
        <f>tblSales[[#This Row],[Qty]]*tblSales[[#This Row],[Unit Price]]</f>
        <v>1320000</v>
      </c>
      <c r="L5626" s="5">
        <f>ROUND(tblSales[[#This Row],[DPP (excl. VAT)]]*VATEff,0)</f>
        <v>145200</v>
      </c>
      <c r="M5626" s="5">
        <f>tblSales[[#This Row],[DPP (excl. VAT)]]+tblSales[[#This Row],[Output VAT]]</f>
        <v>1465200</v>
      </c>
      <c r="N5626" s="5">
        <f>tblSales[[#This Row],[Qty]]*_xlfn.XLOOKUP(tblSales[[#This Row],[Product Code]],tblProducts[Code],tblProducts[Unit Cost],0)</f>
        <v>792000</v>
      </c>
      <c r="O5626" s="4" t="s">
        <v>4865</v>
      </c>
      <c r="P5626" s="4" t="s">
        <v>4860</v>
      </c>
      <c r="Q5626" s="1" t="str">
        <f>_xlfn.XLOOKUP(tblSales[[#This Row],[Channel Code]],tblChannels[Channel Code],tblChannels[Channel Name],"")</f>
        <v>In-store</v>
      </c>
      <c r="R5626" s="1">
        <f>MONTH(tblSales[[#This Row],[Date]])</f>
        <v>12</v>
      </c>
    </row>
    <row r="5627" spans="2:18" x14ac:dyDescent="0.35">
      <c r="B5627" s="113">
        <v>46361</v>
      </c>
      <c r="C5627" s="4" t="s">
        <v>3855</v>
      </c>
      <c r="D5627" s="4" t="s">
        <v>4568</v>
      </c>
      <c r="E5627" s="1" t="str">
        <f>_xlfn.XLOOKUP(tblSales[[#This Row],[Customer ID]],tblCustomers[Customer ID],tblCustomers[Customer Name],"⚠ Unknown")</f>
        <v>Walk-in Customer</v>
      </c>
      <c r="F5627" s="4" t="s">
        <v>8</v>
      </c>
      <c r="G5627" s="1" t="str">
        <f>_xlfn.XLOOKUP(tblSales[[#This Row],[Product Code]],tblProducts[Code],tblProducts[Product / Service Name],"⚠ Unknown")</f>
        <v>Casual Shorts</v>
      </c>
      <c r="H5627" s="1" t="str">
        <f>_xlfn.XLOOKUP(tblSales[[#This Row],[Product Code]],tblProducts[Code],tblProducts[Category],"")</f>
        <v>Accessories &amp; Basics</v>
      </c>
      <c r="I5627" s="4">
        <v>4</v>
      </c>
      <c r="J5627" s="5">
        <f>_xlfn.XLOOKUP(tblSales[[#This Row],[Product Code]],tblProducts[Code],tblProducts[Selling Price (excl. VAT)],0)</f>
        <v>85000</v>
      </c>
      <c r="K5627" s="5">
        <f>tblSales[[#This Row],[Qty]]*tblSales[[#This Row],[Unit Price]]</f>
        <v>340000</v>
      </c>
      <c r="L5627" s="5">
        <f>ROUND(tblSales[[#This Row],[DPP (excl. VAT)]]*VATEff,0)</f>
        <v>37400</v>
      </c>
      <c r="M5627" s="5">
        <f>tblSales[[#This Row],[DPP (excl. VAT)]]+tblSales[[#This Row],[Output VAT]]</f>
        <v>377400</v>
      </c>
      <c r="N5627" s="5">
        <f>tblSales[[#This Row],[Qty]]*_xlfn.XLOOKUP(tblSales[[#This Row],[Product Code]],tblProducts[Code],tblProducts[Unit Cost],0)</f>
        <v>200000</v>
      </c>
      <c r="O5627" s="4" t="s">
        <v>4866</v>
      </c>
      <c r="P5627" s="4" t="s">
        <v>4861</v>
      </c>
      <c r="Q5627" s="1" t="str">
        <f>_xlfn.XLOOKUP(tblSales[[#This Row],[Channel Code]],tblChannels[Channel Code],tblChannels[Channel Name],"")</f>
        <v>Marketplace</v>
      </c>
      <c r="R5627" s="1">
        <f>MONTH(tblSales[[#This Row],[Date]])</f>
        <v>12</v>
      </c>
    </row>
    <row r="5628" spans="2:18" x14ac:dyDescent="0.35">
      <c r="B5628" s="113">
        <v>46361</v>
      </c>
      <c r="C5628" s="4" t="s">
        <v>3856</v>
      </c>
      <c r="D5628" s="4" t="s">
        <v>4568</v>
      </c>
      <c r="E5628" s="1" t="str">
        <f>_xlfn.XLOOKUP(tblSales[[#This Row],[Customer ID]],tblCustomers[Customer ID],tblCustomers[Customer Name],"⚠ Unknown")</f>
        <v>Walk-in Customer</v>
      </c>
      <c r="F5628" s="4" t="s">
        <v>14</v>
      </c>
      <c r="G5628" s="1" t="str">
        <f>_xlfn.XLOOKUP(tblSales[[#This Row],[Product Code]],tblProducts[Code],tblProducts[Product / Service Name],"⚠ Unknown")</f>
        <v>Smartwatch</v>
      </c>
      <c r="H5628" s="1" t="str">
        <f>_xlfn.XLOOKUP(tblSales[[#This Row],[Product Code]],tblProducts[Code],tblProducts[Category],"")</f>
        <v>Bags &amp; Gadgets</v>
      </c>
      <c r="I5628" s="4">
        <v>2</v>
      </c>
      <c r="J5628" s="5">
        <f>_xlfn.XLOOKUP(tblSales[[#This Row],[Product Code]],tblProducts[Code],tblProducts[Selling Price (excl. VAT)],0)</f>
        <v>850000</v>
      </c>
      <c r="K5628" s="5">
        <f>tblSales[[#This Row],[Qty]]*tblSales[[#This Row],[Unit Price]]</f>
        <v>1700000</v>
      </c>
      <c r="L5628" s="5">
        <f>ROUND(tblSales[[#This Row],[DPP (excl. VAT)]]*VATEff,0)</f>
        <v>187000</v>
      </c>
      <c r="M5628" s="5">
        <f>tblSales[[#This Row],[DPP (excl. VAT)]]+tblSales[[#This Row],[Output VAT]]</f>
        <v>1887000</v>
      </c>
      <c r="N5628" s="5">
        <f>tblSales[[#This Row],[Qty]]*_xlfn.XLOOKUP(tblSales[[#This Row],[Product Code]],tblProducts[Code],tblProducts[Unit Cost],0)</f>
        <v>1120000</v>
      </c>
      <c r="O5628" s="4" t="s">
        <v>4865</v>
      </c>
      <c r="P5628" s="4" t="s">
        <v>4860</v>
      </c>
      <c r="Q5628" s="1" t="str">
        <f>_xlfn.XLOOKUP(tblSales[[#This Row],[Channel Code]],tblChannels[Channel Code],tblChannels[Channel Name],"")</f>
        <v>In-store</v>
      </c>
      <c r="R5628" s="1">
        <f>MONTH(tblSales[[#This Row],[Date]])</f>
        <v>12</v>
      </c>
    </row>
    <row r="5629" spans="2:18" x14ac:dyDescent="0.35">
      <c r="B5629" s="113">
        <v>46361</v>
      </c>
      <c r="C5629" s="4" t="s">
        <v>3857</v>
      </c>
      <c r="D5629" s="4" t="s">
        <v>4568</v>
      </c>
      <c r="E5629" s="1" t="str">
        <f>_xlfn.XLOOKUP(tblSales[[#This Row],[Customer ID]],tblCustomers[Customer ID],tblCustomers[Customer Name],"⚠ Unknown")</f>
        <v>Walk-in Customer</v>
      </c>
      <c r="F5629" s="4" t="s">
        <v>7</v>
      </c>
      <c r="G5629" s="1" t="str">
        <f>_xlfn.XLOOKUP(tblSales[[#This Row],[Product Code]],tblProducts[Code],tblProducts[Product / Service Name],"⚠ Unknown")</f>
        <v>Premium Basic T-shirt</v>
      </c>
      <c r="H5629" s="1" t="str">
        <f>_xlfn.XLOOKUP(tblSales[[#This Row],[Product Code]],tblProducts[Code],tblProducts[Category],"")</f>
        <v>Accessories &amp; Basics</v>
      </c>
      <c r="I5629" s="4">
        <v>11</v>
      </c>
      <c r="J5629" s="5">
        <f>_xlfn.XLOOKUP(tblSales[[#This Row],[Product Code]],tblProducts[Code],tblProducts[Selling Price (excl. VAT)],0)</f>
        <v>65000</v>
      </c>
      <c r="K5629" s="5">
        <f>tblSales[[#This Row],[Qty]]*tblSales[[#This Row],[Unit Price]]</f>
        <v>715000</v>
      </c>
      <c r="L5629" s="5">
        <f>ROUND(tblSales[[#This Row],[DPP (excl. VAT)]]*VATEff,0)</f>
        <v>78650</v>
      </c>
      <c r="M5629" s="5">
        <f>tblSales[[#This Row],[DPP (excl. VAT)]]+tblSales[[#This Row],[Output VAT]]</f>
        <v>793650</v>
      </c>
      <c r="N5629" s="5">
        <f>tblSales[[#This Row],[Qty]]*_xlfn.XLOOKUP(tblSales[[#This Row],[Product Code]],tblProducts[Code],tblProducts[Unit Cost],0)</f>
        <v>407000</v>
      </c>
      <c r="O5629" s="4" t="s">
        <v>4865</v>
      </c>
      <c r="P5629" s="4" t="s">
        <v>4860</v>
      </c>
      <c r="Q5629" s="1" t="str">
        <f>_xlfn.XLOOKUP(tblSales[[#This Row],[Channel Code]],tblChannels[Channel Code],tblChannels[Channel Name],"")</f>
        <v>In-store</v>
      </c>
      <c r="R5629" s="1">
        <f>MONTH(tblSales[[#This Row],[Date]])</f>
        <v>12</v>
      </c>
    </row>
    <row r="5630" spans="2:18" x14ac:dyDescent="0.35">
      <c r="B5630" s="113">
        <v>46361</v>
      </c>
      <c r="C5630" s="4" t="s">
        <v>3857</v>
      </c>
      <c r="D5630" s="4" t="s">
        <v>4568</v>
      </c>
      <c r="E5630" s="1" t="str">
        <f>_xlfn.XLOOKUP(tblSales[[#This Row],[Customer ID]],tblCustomers[Customer ID],tblCustomers[Customer Name],"⚠ Unknown")</f>
        <v>Walk-in Customer</v>
      </c>
      <c r="F5630" s="4" t="s">
        <v>6</v>
      </c>
      <c r="G5630" s="1" t="str">
        <f>_xlfn.XLOOKUP(tblSales[[#This Row],[Product Code]],tblProducts[Code],tblProducts[Product / Service Name],"⚠ Unknown")</f>
        <v>Socks &amp; Accessories</v>
      </c>
      <c r="H5630" s="1" t="str">
        <f>_xlfn.XLOOKUP(tblSales[[#This Row],[Product Code]],tblProducts[Code],tblProducts[Category],"")</f>
        <v>Accessories &amp; Basics</v>
      </c>
      <c r="I5630" s="4">
        <v>9</v>
      </c>
      <c r="J5630" s="5">
        <f>_xlfn.XLOOKUP(tblSales[[#This Row],[Product Code]],tblProducts[Code],tblProducts[Selling Price (excl. VAT)],0)</f>
        <v>45000</v>
      </c>
      <c r="K5630" s="5">
        <f>tblSales[[#This Row],[Qty]]*tblSales[[#This Row],[Unit Price]]</f>
        <v>405000</v>
      </c>
      <c r="L5630" s="5">
        <f>ROUND(tblSales[[#This Row],[DPP (excl. VAT)]]*VATEff,0)</f>
        <v>44550</v>
      </c>
      <c r="M5630" s="5">
        <f>tblSales[[#This Row],[DPP (excl. VAT)]]+tblSales[[#This Row],[Output VAT]]</f>
        <v>449550</v>
      </c>
      <c r="N5630" s="5">
        <f>tblSales[[#This Row],[Qty]]*_xlfn.XLOOKUP(tblSales[[#This Row],[Product Code]],tblProducts[Code],tblProducts[Unit Cost],0)</f>
        <v>216000</v>
      </c>
      <c r="O5630" s="4" t="s">
        <v>4865</v>
      </c>
      <c r="P5630" s="4" t="s">
        <v>4860</v>
      </c>
      <c r="Q5630" s="1" t="str">
        <f>_xlfn.XLOOKUP(tblSales[[#This Row],[Channel Code]],tblChannels[Channel Code],tblChannels[Channel Name],"")</f>
        <v>In-store</v>
      </c>
      <c r="R5630" s="1">
        <f>MONTH(tblSales[[#This Row],[Date]])</f>
        <v>12</v>
      </c>
    </row>
    <row r="5631" spans="2:18" x14ac:dyDescent="0.35">
      <c r="B5631" s="113">
        <v>46361</v>
      </c>
      <c r="C5631" s="4" t="s">
        <v>3858</v>
      </c>
      <c r="D5631" s="4" t="s">
        <v>4578</v>
      </c>
      <c r="E5631" s="1" t="str">
        <f>_xlfn.XLOOKUP(tblSales[[#This Row],[Customer ID]],tblCustomers[Customer ID],tblCustomers[Customer Name],"⚠ Unknown")</f>
        <v>PT Bintang Timur Sejahtera</v>
      </c>
      <c r="F5631" s="4" t="s">
        <v>7</v>
      </c>
      <c r="G5631" s="1" t="str">
        <f>_xlfn.XLOOKUP(tblSales[[#This Row],[Product Code]],tblProducts[Code],tblProducts[Product / Service Name],"⚠ Unknown")</f>
        <v>Premium Basic T-shirt</v>
      </c>
      <c r="H5631" s="1" t="str">
        <f>_xlfn.XLOOKUP(tblSales[[#This Row],[Product Code]],tblProducts[Code],tblProducts[Category],"")</f>
        <v>Accessories &amp; Basics</v>
      </c>
      <c r="I5631" s="4">
        <v>16</v>
      </c>
      <c r="J5631" s="5">
        <f>_xlfn.XLOOKUP(tblSales[[#This Row],[Product Code]],tblProducts[Code],tblProducts[Selling Price (excl. VAT)],0)</f>
        <v>65000</v>
      </c>
      <c r="K5631" s="5">
        <f>tblSales[[#This Row],[Qty]]*tblSales[[#This Row],[Unit Price]]</f>
        <v>1040000</v>
      </c>
      <c r="L5631" s="5">
        <f>ROUND(tblSales[[#This Row],[DPP (excl. VAT)]]*VATEff,0)</f>
        <v>114400</v>
      </c>
      <c r="M5631" s="5">
        <f>tblSales[[#This Row],[DPP (excl. VAT)]]+tblSales[[#This Row],[Output VAT]]</f>
        <v>1154400</v>
      </c>
      <c r="N5631" s="5">
        <f>tblSales[[#This Row],[Qty]]*_xlfn.XLOOKUP(tblSales[[#This Row],[Product Code]],tblProducts[Code],tblProducts[Unit Cost],0)</f>
        <v>592000</v>
      </c>
      <c r="O5631" s="4" t="s">
        <v>4867</v>
      </c>
      <c r="P5631" s="4" t="s">
        <v>4860</v>
      </c>
      <c r="Q5631" s="1" t="str">
        <f>_xlfn.XLOOKUP(tblSales[[#This Row],[Channel Code]],tblChannels[Channel Code],tblChannels[Channel Name],"")</f>
        <v>In-store</v>
      </c>
      <c r="R5631" s="1">
        <f>MONTH(tblSales[[#This Row],[Date]])</f>
        <v>12</v>
      </c>
    </row>
    <row r="5632" spans="2:18" x14ac:dyDescent="0.35">
      <c r="B5632" s="113">
        <v>46361</v>
      </c>
      <c r="C5632" s="4" t="s">
        <v>3858</v>
      </c>
      <c r="D5632" s="4" t="s">
        <v>4578</v>
      </c>
      <c r="E5632" s="1" t="str">
        <f>_xlfn.XLOOKUP(tblSales[[#This Row],[Customer ID]],tblCustomers[Customer ID],tblCustomers[Customer Name],"⚠ Unknown")</f>
        <v>PT Bintang Timur Sejahtera</v>
      </c>
      <c r="F5632" s="4" t="s">
        <v>14</v>
      </c>
      <c r="G5632" s="1" t="str">
        <f>_xlfn.XLOOKUP(tblSales[[#This Row],[Product Code]],tblProducts[Code],tblProducts[Product / Service Name],"⚠ Unknown")</f>
        <v>Smartwatch</v>
      </c>
      <c r="H5632" s="1" t="str">
        <f>_xlfn.XLOOKUP(tblSales[[#This Row],[Product Code]],tblProducts[Code],tblProducts[Category],"")</f>
        <v>Bags &amp; Gadgets</v>
      </c>
      <c r="I5632" s="4">
        <v>8</v>
      </c>
      <c r="J5632" s="5">
        <f>_xlfn.XLOOKUP(tblSales[[#This Row],[Product Code]],tblProducts[Code],tblProducts[Selling Price (excl. VAT)],0)</f>
        <v>850000</v>
      </c>
      <c r="K5632" s="5">
        <f>tblSales[[#This Row],[Qty]]*tblSales[[#This Row],[Unit Price]]</f>
        <v>6800000</v>
      </c>
      <c r="L5632" s="5">
        <f>ROUND(tblSales[[#This Row],[DPP (excl. VAT)]]*VATEff,0)</f>
        <v>748000</v>
      </c>
      <c r="M5632" s="5">
        <f>tblSales[[#This Row],[DPP (excl. VAT)]]+tblSales[[#This Row],[Output VAT]]</f>
        <v>7548000</v>
      </c>
      <c r="N5632" s="5">
        <f>tblSales[[#This Row],[Qty]]*_xlfn.XLOOKUP(tblSales[[#This Row],[Product Code]],tblProducts[Code],tblProducts[Unit Cost],0)</f>
        <v>4480000</v>
      </c>
      <c r="O5632" s="4" t="s">
        <v>4867</v>
      </c>
      <c r="P5632" s="4" t="s">
        <v>4860</v>
      </c>
      <c r="Q5632" s="1" t="str">
        <f>_xlfn.XLOOKUP(tblSales[[#This Row],[Channel Code]],tblChannels[Channel Code],tblChannels[Channel Name],"")</f>
        <v>In-store</v>
      </c>
      <c r="R5632" s="1">
        <f>MONTH(tblSales[[#This Row],[Date]])</f>
        <v>12</v>
      </c>
    </row>
    <row r="5633" spans="2:18" x14ac:dyDescent="0.35">
      <c r="B5633" s="113">
        <v>46362</v>
      </c>
      <c r="C5633" s="4" t="s">
        <v>3859</v>
      </c>
      <c r="D5633" s="4" t="s">
        <v>4568</v>
      </c>
      <c r="E5633" s="1" t="str">
        <f>_xlfn.XLOOKUP(tblSales[[#This Row],[Customer ID]],tblCustomers[Customer ID],tblCustomers[Customer Name],"⚠ Unknown")</f>
        <v>Walk-in Customer</v>
      </c>
      <c r="F5633" s="4" t="s">
        <v>9</v>
      </c>
      <c r="G5633" s="1" t="str">
        <f>_xlfn.XLOOKUP(tblSales[[#This Row],[Product Code]],tblProducts[Code],tblProducts[Product / Service Name],"⚠ Unknown")</f>
        <v>Casual Shirt</v>
      </c>
      <c r="H5633" s="1" t="str">
        <f>_xlfn.XLOOKUP(tblSales[[#This Row],[Product Code]],tblProducts[Code],tblProducts[Category],"")</f>
        <v>Apparel &amp; Footwear</v>
      </c>
      <c r="I5633" s="4">
        <v>3</v>
      </c>
      <c r="J5633" s="5">
        <f>_xlfn.XLOOKUP(tblSales[[#This Row],[Product Code]],tblProducts[Code],tblProducts[Selling Price (excl. VAT)],0)</f>
        <v>120000</v>
      </c>
      <c r="K5633" s="5">
        <f>tblSales[[#This Row],[Qty]]*tblSales[[#This Row],[Unit Price]]</f>
        <v>360000</v>
      </c>
      <c r="L5633" s="5">
        <f>ROUND(tblSales[[#This Row],[DPP (excl. VAT)]]*VATEff,0)</f>
        <v>39600</v>
      </c>
      <c r="M5633" s="5">
        <f>tblSales[[#This Row],[DPP (excl. VAT)]]+tblSales[[#This Row],[Output VAT]]</f>
        <v>399600</v>
      </c>
      <c r="N5633" s="5">
        <f>tblSales[[#This Row],[Qty]]*_xlfn.XLOOKUP(tblSales[[#This Row],[Product Code]],tblProducts[Code],tblProducts[Unit Cost],0)</f>
        <v>216000</v>
      </c>
      <c r="O5633" s="4" t="s">
        <v>4866</v>
      </c>
      <c r="P5633" s="4" t="s">
        <v>4861</v>
      </c>
      <c r="Q5633" s="1" t="str">
        <f>_xlfn.XLOOKUP(tblSales[[#This Row],[Channel Code]],tblChannels[Channel Code],tblChannels[Channel Name],"")</f>
        <v>Marketplace</v>
      </c>
      <c r="R5633" s="1">
        <f>MONTH(tblSales[[#This Row],[Date]])</f>
        <v>12</v>
      </c>
    </row>
    <row r="5634" spans="2:18" x14ac:dyDescent="0.35">
      <c r="B5634" s="113">
        <v>46362</v>
      </c>
      <c r="C5634" s="4" t="s">
        <v>3860</v>
      </c>
      <c r="D5634" s="4" t="s">
        <v>4568</v>
      </c>
      <c r="E5634" s="1" t="str">
        <f>_xlfn.XLOOKUP(tblSales[[#This Row],[Customer ID]],tblCustomers[Customer ID],tblCustomers[Customer Name],"⚠ Unknown")</f>
        <v>Walk-in Customer</v>
      </c>
      <c r="F5634" s="4" t="s">
        <v>11</v>
      </c>
      <c r="G5634" s="1" t="str">
        <f>_xlfn.XLOOKUP(tblSales[[#This Row],[Product Code]],tblProducts[Code],tblProducts[Product / Service Name],"⚠ Unknown")</f>
        <v>Sneakers</v>
      </c>
      <c r="H5634" s="1" t="str">
        <f>_xlfn.XLOOKUP(tblSales[[#This Row],[Product Code]],tblProducts[Code],tblProducts[Category],"")</f>
        <v>Apparel &amp; Footwear</v>
      </c>
      <c r="I5634" s="4">
        <v>3</v>
      </c>
      <c r="J5634" s="5">
        <f>_xlfn.XLOOKUP(tblSales[[#This Row],[Product Code]],tblProducts[Code],tblProducts[Selling Price (excl. VAT)],0)</f>
        <v>250000</v>
      </c>
      <c r="K5634" s="5">
        <f>tblSales[[#This Row],[Qty]]*tblSales[[#This Row],[Unit Price]]</f>
        <v>750000</v>
      </c>
      <c r="L5634" s="5">
        <f>ROUND(tblSales[[#This Row],[DPP (excl. VAT)]]*VATEff,0)</f>
        <v>82500</v>
      </c>
      <c r="M5634" s="5">
        <f>tblSales[[#This Row],[DPP (excl. VAT)]]+tblSales[[#This Row],[Output VAT]]</f>
        <v>832500</v>
      </c>
      <c r="N5634" s="5">
        <f>tblSales[[#This Row],[Qty]]*_xlfn.XLOOKUP(tblSales[[#This Row],[Product Code]],tblProducts[Code],tblProducts[Unit Cost],0)</f>
        <v>465000</v>
      </c>
      <c r="O5634" s="4" t="s">
        <v>4865</v>
      </c>
      <c r="P5634" s="4" t="s">
        <v>4860</v>
      </c>
      <c r="Q5634" s="1" t="str">
        <f>_xlfn.XLOOKUP(tblSales[[#This Row],[Channel Code]],tblChannels[Channel Code],tblChannels[Channel Name],"")</f>
        <v>In-store</v>
      </c>
      <c r="R5634" s="1">
        <f>MONTH(tblSales[[#This Row],[Date]])</f>
        <v>12</v>
      </c>
    </row>
    <row r="5635" spans="2:18" x14ac:dyDescent="0.35">
      <c r="B5635" s="113">
        <v>46362</v>
      </c>
      <c r="C5635" s="4" t="s">
        <v>3861</v>
      </c>
      <c r="D5635" s="4" t="s">
        <v>4568</v>
      </c>
      <c r="E5635" s="1" t="str">
        <f>_xlfn.XLOOKUP(tblSales[[#This Row],[Customer ID]],tblCustomers[Customer ID],tblCustomers[Customer Name],"⚠ Unknown")</f>
        <v>Walk-in Customer</v>
      </c>
      <c r="F5635" s="4" t="s">
        <v>10</v>
      </c>
      <c r="G5635" s="1" t="str">
        <f>_xlfn.XLOOKUP(tblSales[[#This Row],[Product Code]],tblProducts[Code],tblProducts[Product / Service Name],"⚠ Unknown")</f>
        <v>Chino Pants</v>
      </c>
      <c r="H5635" s="1" t="str">
        <f>_xlfn.XLOOKUP(tblSales[[#This Row],[Product Code]],tblProducts[Code],tblProducts[Category],"")</f>
        <v>Apparel &amp; Footwear</v>
      </c>
      <c r="I5635" s="4">
        <v>2</v>
      </c>
      <c r="J5635" s="5">
        <f>_xlfn.XLOOKUP(tblSales[[#This Row],[Product Code]],tblProducts[Code],tblProducts[Selling Price (excl. VAT)],0)</f>
        <v>150000</v>
      </c>
      <c r="K5635" s="5">
        <f>tblSales[[#This Row],[Qty]]*tblSales[[#This Row],[Unit Price]]</f>
        <v>300000</v>
      </c>
      <c r="L5635" s="5">
        <f>ROUND(tblSales[[#This Row],[DPP (excl. VAT)]]*VATEff,0)</f>
        <v>33000</v>
      </c>
      <c r="M5635" s="5">
        <f>tblSales[[#This Row],[DPP (excl. VAT)]]+tblSales[[#This Row],[Output VAT]]</f>
        <v>333000</v>
      </c>
      <c r="N5635" s="5">
        <f>tblSales[[#This Row],[Qty]]*_xlfn.XLOOKUP(tblSales[[#This Row],[Product Code]],tblProducts[Code],tblProducts[Unit Cost],0)</f>
        <v>176000</v>
      </c>
      <c r="O5635" s="4" t="s">
        <v>4866</v>
      </c>
      <c r="P5635" s="4" t="s">
        <v>4860</v>
      </c>
      <c r="Q5635" s="1" t="str">
        <f>_xlfn.XLOOKUP(tblSales[[#This Row],[Channel Code]],tblChannels[Channel Code],tblChannels[Channel Name],"")</f>
        <v>In-store</v>
      </c>
      <c r="R5635" s="1">
        <f>MONTH(tblSales[[#This Row],[Date]])</f>
        <v>12</v>
      </c>
    </row>
    <row r="5636" spans="2:18" x14ac:dyDescent="0.35">
      <c r="B5636" s="113">
        <v>46362</v>
      </c>
      <c r="C5636" s="4" t="s">
        <v>3862</v>
      </c>
      <c r="D5636" s="4" t="s">
        <v>4568</v>
      </c>
      <c r="E5636" s="1" t="str">
        <f>_xlfn.XLOOKUP(tblSales[[#This Row],[Customer ID]],tblCustomers[Customer ID],tblCustomers[Customer Name],"⚠ Unknown")</f>
        <v>Walk-in Customer</v>
      </c>
      <c r="F5636" s="4" t="s">
        <v>8</v>
      </c>
      <c r="G5636" s="1" t="str">
        <f>_xlfn.XLOOKUP(tblSales[[#This Row],[Product Code]],tblProducts[Code],tblProducts[Product / Service Name],"⚠ Unknown")</f>
        <v>Casual Shorts</v>
      </c>
      <c r="H5636" s="1" t="str">
        <f>_xlfn.XLOOKUP(tblSales[[#This Row],[Product Code]],tblProducts[Code],tblProducts[Category],"")</f>
        <v>Accessories &amp; Basics</v>
      </c>
      <c r="I5636" s="4">
        <v>11</v>
      </c>
      <c r="J5636" s="5">
        <f>_xlfn.XLOOKUP(tblSales[[#This Row],[Product Code]],tblProducts[Code],tblProducts[Selling Price (excl. VAT)],0)</f>
        <v>85000</v>
      </c>
      <c r="K5636" s="5">
        <f>tblSales[[#This Row],[Qty]]*tblSales[[#This Row],[Unit Price]]</f>
        <v>935000</v>
      </c>
      <c r="L5636" s="5">
        <f>ROUND(tblSales[[#This Row],[DPP (excl. VAT)]]*VATEff,0)</f>
        <v>102850</v>
      </c>
      <c r="M5636" s="5">
        <f>tblSales[[#This Row],[DPP (excl. VAT)]]+tblSales[[#This Row],[Output VAT]]</f>
        <v>1037850</v>
      </c>
      <c r="N5636" s="5">
        <f>tblSales[[#This Row],[Qty]]*_xlfn.XLOOKUP(tblSales[[#This Row],[Product Code]],tblProducts[Code],tblProducts[Unit Cost],0)</f>
        <v>550000</v>
      </c>
      <c r="O5636" s="4" t="s">
        <v>4866</v>
      </c>
      <c r="P5636" s="4" t="s">
        <v>4860</v>
      </c>
      <c r="Q5636" s="1" t="str">
        <f>_xlfn.XLOOKUP(tblSales[[#This Row],[Channel Code]],tblChannels[Channel Code],tblChannels[Channel Name],"")</f>
        <v>In-store</v>
      </c>
      <c r="R5636" s="1">
        <f>MONTH(tblSales[[#This Row],[Date]])</f>
        <v>12</v>
      </c>
    </row>
    <row r="5637" spans="2:18" x14ac:dyDescent="0.35">
      <c r="B5637" s="113">
        <v>46362</v>
      </c>
      <c r="C5637" s="4" t="s">
        <v>3862</v>
      </c>
      <c r="D5637" s="4" t="s">
        <v>4568</v>
      </c>
      <c r="E5637" s="1" t="str">
        <f>_xlfn.XLOOKUP(tblSales[[#This Row],[Customer ID]],tblCustomers[Customer ID],tblCustomers[Customer Name],"⚠ Unknown")</f>
        <v>Walk-in Customer</v>
      </c>
      <c r="F5637" s="4" t="s">
        <v>9</v>
      </c>
      <c r="G5637" s="1" t="str">
        <f>_xlfn.XLOOKUP(tblSales[[#This Row],[Product Code]],tblProducts[Code],tblProducts[Product / Service Name],"⚠ Unknown")</f>
        <v>Casual Shirt</v>
      </c>
      <c r="H5637" s="1" t="str">
        <f>_xlfn.XLOOKUP(tblSales[[#This Row],[Product Code]],tblProducts[Code],tblProducts[Category],"")</f>
        <v>Apparel &amp; Footwear</v>
      </c>
      <c r="I5637" s="4">
        <v>4</v>
      </c>
      <c r="J5637" s="5">
        <f>_xlfn.XLOOKUP(tblSales[[#This Row],[Product Code]],tblProducts[Code],tblProducts[Selling Price (excl. VAT)],0)</f>
        <v>120000</v>
      </c>
      <c r="K5637" s="5">
        <f>tblSales[[#This Row],[Qty]]*tblSales[[#This Row],[Unit Price]]</f>
        <v>480000</v>
      </c>
      <c r="L5637" s="5">
        <f>ROUND(tblSales[[#This Row],[DPP (excl. VAT)]]*VATEff,0)</f>
        <v>52800</v>
      </c>
      <c r="M5637" s="5">
        <f>tblSales[[#This Row],[DPP (excl. VAT)]]+tblSales[[#This Row],[Output VAT]]</f>
        <v>532800</v>
      </c>
      <c r="N5637" s="5">
        <f>tblSales[[#This Row],[Qty]]*_xlfn.XLOOKUP(tblSales[[#This Row],[Product Code]],tblProducts[Code],tblProducts[Unit Cost],0)</f>
        <v>288000</v>
      </c>
      <c r="O5637" s="4" t="s">
        <v>4866</v>
      </c>
      <c r="P5637" s="4" t="s">
        <v>4860</v>
      </c>
      <c r="Q5637" s="1" t="str">
        <f>_xlfn.XLOOKUP(tblSales[[#This Row],[Channel Code]],tblChannels[Channel Code],tblChannels[Channel Name],"")</f>
        <v>In-store</v>
      </c>
      <c r="R5637" s="1">
        <f>MONTH(tblSales[[#This Row],[Date]])</f>
        <v>12</v>
      </c>
    </row>
    <row r="5638" spans="2:18" x14ac:dyDescent="0.35">
      <c r="B5638" s="113">
        <v>46362</v>
      </c>
      <c r="C5638" s="4" t="s">
        <v>3863</v>
      </c>
      <c r="D5638" s="4" t="s">
        <v>4613</v>
      </c>
      <c r="E5638" s="1" t="str">
        <f>_xlfn.XLOOKUP(tblSales[[#This Row],[Customer ID]],tblCustomers[Customer ID],tblCustomers[Customer Name],"⚠ Unknown")</f>
        <v>PT Mega Prima Distribusi</v>
      </c>
      <c r="F5638" s="4" t="s">
        <v>7</v>
      </c>
      <c r="G5638" s="1" t="str">
        <f>_xlfn.XLOOKUP(tblSales[[#This Row],[Product Code]],tblProducts[Code],tblProducts[Product / Service Name],"⚠ Unknown")</f>
        <v>Premium Basic T-shirt</v>
      </c>
      <c r="H5638" s="1" t="str">
        <f>_xlfn.XLOOKUP(tblSales[[#This Row],[Product Code]],tblProducts[Code],tblProducts[Category],"")</f>
        <v>Accessories &amp; Basics</v>
      </c>
      <c r="I5638" s="4">
        <v>96</v>
      </c>
      <c r="J5638" s="5">
        <f>_xlfn.XLOOKUP(tblSales[[#This Row],[Product Code]],tblProducts[Code],tblProducts[Selling Price (excl. VAT)],0)</f>
        <v>65000</v>
      </c>
      <c r="K5638" s="5">
        <f>tblSales[[#This Row],[Qty]]*tblSales[[#This Row],[Unit Price]]</f>
        <v>6240000</v>
      </c>
      <c r="L5638" s="5">
        <f>ROUND(tblSales[[#This Row],[DPP (excl. VAT)]]*VATEff,0)</f>
        <v>686400</v>
      </c>
      <c r="M5638" s="5">
        <f>tblSales[[#This Row],[DPP (excl. VAT)]]+tblSales[[#This Row],[Output VAT]]</f>
        <v>6926400</v>
      </c>
      <c r="N5638" s="5">
        <f>tblSales[[#This Row],[Qty]]*_xlfn.XLOOKUP(tblSales[[#This Row],[Product Code]],tblProducts[Code],tblProducts[Unit Cost],0)</f>
        <v>3552000</v>
      </c>
      <c r="O5638" s="4" t="s">
        <v>4867</v>
      </c>
      <c r="P5638" s="4" t="s">
        <v>4862</v>
      </c>
      <c r="Q5638" s="1" t="str">
        <f>_xlfn.XLOOKUP(tblSales[[#This Row],[Channel Code]],tblChannels[Channel Code],tblChannels[Channel Name],"")</f>
        <v>Website &amp; Social Media</v>
      </c>
      <c r="R5638" s="1">
        <f>MONTH(tblSales[[#This Row],[Date]])</f>
        <v>12</v>
      </c>
    </row>
    <row r="5639" spans="2:18" x14ac:dyDescent="0.35">
      <c r="B5639" s="113">
        <v>46362</v>
      </c>
      <c r="C5639" s="4" t="s">
        <v>3863</v>
      </c>
      <c r="D5639" s="4" t="s">
        <v>4613</v>
      </c>
      <c r="E5639" s="1" t="str">
        <f>_xlfn.XLOOKUP(tblSales[[#This Row],[Customer ID]],tblCustomers[Customer ID],tblCustomers[Customer Name],"⚠ Unknown")</f>
        <v>PT Mega Prima Distribusi</v>
      </c>
      <c r="F5639" s="4" t="s">
        <v>6</v>
      </c>
      <c r="G5639" s="1" t="str">
        <f>_xlfn.XLOOKUP(tblSales[[#This Row],[Product Code]],tblProducts[Code],tblProducts[Product / Service Name],"⚠ Unknown")</f>
        <v>Socks &amp; Accessories</v>
      </c>
      <c r="H5639" s="1" t="str">
        <f>_xlfn.XLOOKUP(tblSales[[#This Row],[Product Code]],tblProducts[Code],tblProducts[Category],"")</f>
        <v>Accessories &amp; Basics</v>
      </c>
      <c r="I5639" s="4">
        <v>48</v>
      </c>
      <c r="J5639" s="5">
        <f>_xlfn.XLOOKUP(tblSales[[#This Row],[Product Code]],tblProducts[Code],tblProducts[Selling Price (excl. VAT)],0)</f>
        <v>45000</v>
      </c>
      <c r="K5639" s="5">
        <f>tblSales[[#This Row],[Qty]]*tblSales[[#This Row],[Unit Price]]</f>
        <v>2160000</v>
      </c>
      <c r="L5639" s="5">
        <f>ROUND(tblSales[[#This Row],[DPP (excl. VAT)]]*VATEff,0)</f>
        <v>237600</v>
      </c>
      <c r="M5639" s="5">
        <f>tblSales[[#This Row],[DPP (excl. VAT)]]+tblSales[[#This Row],[Output VAT]]</f>
        <v>2397600</v>
      </c>
      <c r="N5639" s="5">
        <f>tblSales[[#This Row],[Qty]]*_xlfn.XLOOKUP(tblSales[[#This Row],[Product Code]],tblProducts[Code],tblProducts[Unit Cost],0)</f>
        <v>1152000</v>
      </c>
      <c r="O5639" s="4" t="s">
        <v>4867</v>
      </c>
      <c r="P5639" s="4" t="s">
        <v>4862</v>
      </c>
      <c r="Q5639" s="1" t="str">
        <f>_xlfn.XLOOKUP(tblSales[[#This Row],[Channel Code]],tblChannels[Channel Code],tblChannels[Channel Name],"")</f>
        <v>Website &amp; Social Media</v>
      </c>
      <c r="R5639" s="1">
        <f>MONTH(tblSales[[#This Row],[Date]])</f>
        <v>12</v>
      </c>
    </row>
    <row r="5640" spans="2:18" x14ac:dyDescent="0.35">
      <c r="B5640" s="113">
        <v>46362</v>
      </c>
      <c r="C5640" s="4" t="s">
        <v>3864</v>
      </c>
      <c r="D5640" s="4" t="s">
        <v>4568</v>
      </c>
      <c r="E5640" s="1" t="str">
        <f>_xlfn.XLOOKUP(tblSales[[#This Row],[Customer ID]],tblCustomers[Customer ID],tblCustomers[Customer Name],"⚠ Unknown")</f>
        <v>Walk-in Customer</v>
      </c>
      <c r="F5640" s="4" t="s">
        <v>8</v>
      </c>
      <c r="G5640" s="1" t="str">
        <f>_xlfn.XLOOKUP(tblSales[[#This Row],[Product Code]],tblProducts[Code],tblProducts[Product / Service Name],"⚠ Unknown")</f>
        <v>Casual Shorts</v>
      </c>
      <c r="H5640" s="1" t="str">
        <f>_xlfn.XLOOKUP(tblSales[[#This Row],[Product Code]],tblProducts[Code],tblProducts[Category],"")</f>
        <v>Accessories &amp; Basics</v>
      </c>
      <c r="I5640" s="4">
        <v>9</v>
      </c>
      <c r="J5640" s="5">
        <f>_xlfn.XLOOKUP(tblSales[[#This Row],[Product Code]],tblProducts[Code],tblProducts[Selling Price (excl. VAT)],0)</f>
        <v>85000</v>
      </c>
      <c r="K5640" s="5">
        <f>tblSales[[#This Row],[Qty]]*tblSales[[#This Row],[Unit Price]]</f>
        <v>765000</v>
      </c>
      <c r="L5640" s="5">
        <f>ROUND(tblSales[[#This Row],[DPP (excl. VAT)]]*VATEff,0)</f>
        <v>84150</v>
      </c>
      <c r="M5640" s="5">
        <f>tblSales[[#This Row],[DPP (excl. VAT)]]+tblSales[[#This Row],[Output VAT]]</f>
        <v>849150</v>
      </c>
      <c r="N5640" s="5">
        <f>tblSales[[#This Row],[Qty]]*_xlfn.XLOOKUP(tblSales[[#This Row],[Product Code]],tblProducts[Code],tblProducts[Unit Cost],0)</f>
        <v>450000</v>
      </c>
      <c r="O5640" s="4" t="s">
        <v>4866</v>
      </c>
      <c r="P5640" s="4" t="s">
        <v>4862</v>
      </c>
      <c r="Q5640" s="1" t="str">
        <f>_xlfn.XLOOKUP(tblSales[[#This Row],[Channel Code]],tblChannels[Channel Code],tblChannels[Channel Name],"")</f>
        <v>Website &amp; Social Media</v>
      </c>
      <c r="R5640" s="1">
        <f>MONTH(tblSales[[#This Row],[Date]])</f>
        <v>12</v>
      </c>
    </row>
    <row r="5641" spans="2:18" x14ac:dyDescent="0.35">
      <c r="B5641" s="113">
        <v>46362</v>
      </c>
      <c r="C5641" s="4" t="s">
        <v>3865</v>
      </c>
      <c r="D5641" s="4" t="s">
        <v>4593</v>
      </c>
      <c r="E5641" s="1" t="str">
        <f>_xlfn.XLOOKUP(tblSales[[#This Row],[Customer ID]],tblCustomers[Customer ID],tblCustomers[Customer Name],"⚠ Unknown")</f>
        <v>PT Graha Nusa Persada</v>
      </c>
      <c r="F5641" s="4" t="s">
        <v>9</v>
      </c>
      <c r="G5641" s="1" t="str">
        <f>_xlfn.XLOOKUP(tblSales[[#This Row],[Product Code]],tblProducts[Code],tblProducts[Product / Service Name],"⚠ Unknown")</f>
        <v>Casual Shirt</v>
      </c>
      <c r="H5641" s="1" t="str">
        <f>_xlfn.XLOOKUP(tblSales[[#This Row],[Product Code]],tblProducts[Code],tblProducts[Category],"")</f>
        <v>Apparel &amp; Footwear</v>
      </c>
      <c r="I5641" s="4">
        <v>24</v>
      </c>
      <c r="J5641" s="5">
        <f>_xlfn.XLOOKUP(tblSales[[#This Row],[Product Code]],tblProducts[Code],tblProducts[Selling Price (excl. VAT)],0)</f>
        <v>120000</v>
      </c>
      <c r="K5641" s="5">
        <f>tblSales[[#This Row],[Qty]]*tblSales[[#This Row],[Unit Price]]</f>
        <v>2880000</v>
      </c>
      <c r="L5641" s="5">
        <f>ROUND(tblSales[[#This Row],[DPP (excl. VAT)]]*VATEff,0)</f>
        <v>316800</v>
      </c>
      <c r="M5641" s="5">
        <f>tblSales[[#This Row],[DPP (excl. VAT)]]+tblSales[[#This Row],[Output VAT]]</f>
        <v>3196800</v>
      </c>
      <c r="N5641" s="5">
        <f>tblSales[[#This Row],[Qty]]*_xlfn.XLOOKUP(tblSales[[#This Row],[Product Code]],tblProducts[Code],tblProducts[Unit Cost],0)</f>
        <v>1728000</v>
      </c>
      <c r="O5641" s="4" t="s">
        <v>4867</v>
      </c>
      <c r="P5641" s="4" t="s">
        <v>4860</v>
      </c>
      <c r="Q5641" s="1" t="str">
        <f>_xlfn.XLOOKUP(tblSales[[#This Row],[Channel Code]],tblChannels[Channel Code],tblChannels[Channel Name],"")</f>
        <v>In-store</v>
      </c>
      <c r="R5641" s="1">
        <f>MONTH(tblSales[[#This Row],[Date]])</f>
        <v>12</v>
      </c>
    </row>
    <row r="5642" spans="2:18" x14ac:dyDescent="0.35">
      <c r="B5642" s="113">
        <v>46362</v>
      </c>
      <c r="C5642" s="4" t="s">
        <v>3865</v>
      </c>
      <c r="D5642" s="4" t="s">
        <v>4593</v>
      </c>
      <c r="E5642" s="1" t="str">
        <f>_xlfn.XLOOKUP(tblSales[[#This Row],[Customer ID]],tblCustomers[Customer ID],tblCustomers[Customer Name],"⚠ Unknown")</f>
        <v>PT Graha Nusa Persada</v>
      </c>
      <c r="F5642" s="4" t="s">
        <v>11</v>
      </c>
      <c r="G5642" s="1" t="str">
        <f>_xlfn.XLOOKUP(tblSales[[#This Row],[Product Code]],tblProducts[Code],tblProducts[Product / Service Name],"⚠ Unknown")</f>
        <v>Sneakers</v>
      </c>
      <c r="H5642" s="1" t="str">
        <f>_xlfn.XLOOKUP(tblSales[[#This Row],[Product Code]],tblProducts[Code],tblProducts[Category],"")</f>
        <v>Apparel &amp; Footwear</v>
      </c>
      <c r="I5642" s="4">
        <v>8</v>
      </c>
      <c r="J5642" s="5">
        <f>_xlfn.XLOOKUP(tblSales[[#This Row],[Product Code]],tblProducts[Code],tblProducts[Selling Price (excl. VAT)],0)</f>
        <v>250000</v>
      </c>
      <c r="K5642" s="5">
        <f>tblSales[[#This Row],[Qty]]*tblSales[[#This Row],[Unit Price]]</f>
        <v>2000000</v>
      </c>
      <c r="L5642" s="5">
        <f>ROUND(tblSales[[#This Row],[DPP (excl. VAT)]]*VATEff,0)</f>
        <v>220000</v>
      </c>
      <c r="M5642" s="5">
        <f>tblSales[[#This Row],[DPP (excl. VAT)]]+tblSales[[#This Row],[Output VAT]]</f>
        <v>2220000</v>
      </c>
      <c r="N5642" s="5">
        <f>tblSales[[#This Row],[Qty]]*_xlfn.XLOOKUP(tblSales[[#This Row],[Product Code]],tblProducts[Code],tblProducts[Unit Cost],0)</f>
        <v>1240000</v>
      </c>
      <c r="O5642" s="4" t="s">
        <v>4867</v>
      </c>
      <c r="P5642" s="4" t="s">
        <v>4860</v>
      </c>
      <c r="Q5642" s="1" t="str">
        <f>_xlfn.XLOOKUP(tblSales[[#This Row],[Channel Code]],tblChannels[Channel Code],tblChannels[Channel Name],"")</f>
        <v>In-store</v>
      </c>
      <c r="R5642" s="1">
        <f>MONTH(tblSales[[#This Row],[Date]])</f>
        <v>12</v>
      </c>
    </row>
    <row r="5643" spans="2:18" x14ac:dyDescent="0.35">
      <c r="B5643" s="113">
        <v>46362</v>
      </c>
      <c r="C5643" s="4" t="s">
        <v>3865</v>
      </c>
      <c r="D5643" s="4" t="s">
        <v>4593</v>
      </c>
      <c r="E5643" s="1" t="str">
        <f>_xlfn.XLOOKUP(tblSales[[#This Row],[Customer ID]],tblCustomers[Customer ID],tblCustomers[Customer Name],"⚠ Unknown")</f>
        <v>PT Graha Nusa Persada</v>
      </c>
      <c r="F5643" s="4" t="s">
        <v>14</v>
      </c>
      <c r="G5643" s="1" t="str">
        <f>_xlfn.XLOOKUP(tblSales[[#This Row],[Product Code]],tblProducts[Code],tblProducts[Product / Service Name],"⚠ Unknown")</f>
        <v>Smartwatch</v>
      </c>
      <c r="H5643" s="1" t="str">
        <f>_xlfn.XLOOKUP(tblSales[[#This Row],[Product Code]],tblProducts[Code],tblProducts[Category],"")</f>
        <v>Bags &amp; Gadgets</v>
      </c>
      <c r="I5643" s="4">
        <v>8</v>
      </c>
      <c r="J5643" s="5">
        <f>_xlfn.XLOOKUP(tblSales[[#This Row],[Product Code]],tblProducts[Code],tblProducts[Selling Price (excl. VAT)],0)</f>
        <v>850000</v>
      </c>
      <c r="K5643" s="5">
        <f>tblSales[[#This Row],[Qty]]*tblSales[[#This Row],[Unit Price]]</f>
        <v>6800000</v>
      </c>
      <c r="L5643" s="5">
        <f>ROUND(tblSales[[#This Row],[DPP (excl. VAT)]]*VATEff,0)</f>
        <v>748000</v>
      </c>
      <c r="M5643" s="5">
        <f>tblSales[[#This Row],[DPP (excl. VAT)]]+tblSales[[#This Row],[Output VAT]]</f>
        <v>7548000</v>
      </c>
      <c r="N5643" s="5">
        <f>tblSales[[#This Row],[Qty]]*_xlfn.XLOOKUP(tblSales[[#This Row],[Product Code]],tblProducts[Code],tblProducts[Unit Cost],0)</f>
        <v>4480000</v>
      </c>
      <c r="O5643" s="4" t="s">
        <v>4867</v>
      </c>
      <c r="P5643" s="4" t="s">
        <v>4860</v>
      </c>
      <c r="Q5643" s="1" t="str">
        <f>_xlfn.XLOOKUP(tblSales[[#This Row],[Channel Code]],tblChannels[Channel Code],tblChannels[Channel Name],"")</f>
        <v>In-store</v>
      </c>
      <c r="R5643" s="1">
        <f>MONTH(tblSales[[#This Row],[Date]])</f>
        <v>12</v>
      </c>
    </row>
    <row r="5644" spans="2:18" x14ac:dyDescent="0.35">
      <c r="B5644" s="113">
        <v>46362</v>
      </c>
      <c r="C5644" s="4" t="s">
        <v>3866</v>
      </c>
      <c r="D5644" s="4" t="s">
        <v>4568</v>
      </c>
      <c r="E5644" s="1" t="str">
        <f>_xlfn.XLOOKUP(tblSales[[#This Row],[Customer ID]],tblCustomers[Customer ID],tblCustomers[Customer Name],"⚠ Unknown")</f>
        <v>Walk-in Customer</v>
      </c>
      <c r="F5644" s="4" t="s">
        <v>13</v>
      </c>
      <c r="G5644" s="1" t="str">
        <f>_xlfn.XLOOKUP(tblSales[[#This Row],[Product Code]],tblProducts[Code],tblProducts[Product / Service Name],"⚠ Unknown")</f>
        <v>Backpack</v>
      </c>
      <c r="H5644" s="1" t="str">
        <f>_xlfn.XLOOKUP(tblSales[[#This Row],[Product Code]],tblProducts[Code],tblProducts[Category],"")</f>
        <v>Bags &amp; Gadgets</v>
      </c>
      <c r="I5644" s="4">
        <v>5</v>
      </c>
      <c r="J5644" s="5">
        <f>_xlfn.XLOOKUP(tblSales[[#This Row],[Product Code]],tblProducts[Code],tblProducts[Selling Price (excl. VAT)],0)</f>
        <v>500000</v>
      </c>
      <c r="K5644" s="5">
        <f>tblSales[[#This Row],[Qty]]*tblSales[[#This Row],[Unit Price]]</f>
        <v>2500000</v>
      </c>
      <c r="L5644" s="5">
        <f>ROUND(tblSales[[#This Row],[DPP (excl. VAT)]]*VATEff,0)</f>
        <v>275000</v>
      </c>
      <c r="M5644" s="5">
        <f>tblSales[[#This Row],[DPP (excl. VAT)]]+tblSales[[#This Row],[Output VAT]]</f>
        <v>2775000</v>
      </c>
      <c r="N5644" s="5">
        <f>tblSales[[#This Row],[Qty]]*_xlfn.XLOOKUP(tblSales[[#This Row],[Product Code]],tblProducts[Code],tblProducts[Unit Cost],0)</f>
        <v>1450000</v>
      </c>
      <c r="O5644" s="4" t="s">
        <v>4865</v>
      </c>
      <c r="P5644" s="4" t="s">
        <v>4860</v>
      </c>
      <c r="Q5644" s="1" t="str">
        <f>_xlfn.XLOOKUP(tblSales[[#This Row],[Channel Code]],tblChannels[Channel Code],tblChannels[Channel Name],"")</f>
        <v>In-store</v>
      </c>
      <c r="R5644" s="1">
        <f>MONTH(tblSales[[#This Row],[Date]])</f>
        <v>12</v>
      </c>
    </row>
    <row r="5645" spans="2:18" x14ac:dyDescent="0.35">
      <c r="B5645" s="113">
        <v>46362</v>
      </c>
      <c r="C5645" s="4" t="s">
        <v>3867</v>
      </c>
      <c r="D5645" s="4" t="s">
        <v>4568</v>
      </c>
      <c r="E5645" s="1" t="str">
        <f>_xlfn.XLOOKUP(tblSales[[#This Row],[Customer ID]],tblCustomers[Customer ID],tblCustomers[Customer Name],"⚠ Unknown")</f>
        <v>Walk-in Customer</v>
      </c>
      <c r="F5645" s="4" t="s">
        <v>11</v>
      </c>
      <c r="G5645" s="1" t="str">
        <f>_xlfn.XLOOKUP(tblSales[[#This Row],[Product Code]],tblProducts[Code],tblProducts[Product / Service Name],"⚠ Unknown")</f>
        <v>Sneakers</v>
      </c>
      <c r="H5645" s="1" t="str">
        <f>_xlfn.XLOOKUP(tblSales[[#This Row],[Product Code]],tblProducts[Code],tblProducts[Category],"")</f>
        <v>Apparel &amp; Footwear</v>
      </c>
      <c r="I5645" s="4">
        <v>2</v>
      </c>
      <c r="J5645" s="5">
        <f>_xlfn.XLOOKUP(tblSales[[#This Row],[Product Code]],tblProducts[Code],tblProducts[Selling Price (excl. VAT)],0)</f>
        <v>250000</v>
      </c>
      <c r="K5645" s="5">
        <f>tblSales[[#This Row],[Qty]]*tblSales[[#This Row],[Unit Price]]</f>
        <v>500000</v>
      </c>
      <c r="L5645" s="5">
        <f>ROUND(tblSales[[#This Row],[DPP (excl. VAT)]]*VATEff,0)</f>
        <v>55000</v>
      </c>
      <c r="M5645" s="5">
        <f>tblSales[[#This Row],[DPP (excl. VAT)]]+tblSales[[#This Row],[Output VAT]]</f>
        <v>555000</v>
      </c>
      <c r="N5645" s="5">
        <f>tblSales[[#This Row],[Qty]]*_xlfn.XLOOKUP(tblSales[[#This Row],[Product Code]],tblProducts[Code],tblProducts[Unit Cost],0)</f>
        <v>310000</v>
      </c>
      <c r="O5645" s="4" t="s">
        <v>4865</v>
      </c>
      <c r="P5645" s="4" t="s">
        <v>4860</v>
      </c>
      <c r="Q5645" s="1" t="str">
        <f>_xlfn.XLOOKUP(tblSales[[#This Row],[Channel Code]],tblChannels[Channel Code],tblChannels[Channel Name],"")</f>
        <v>In-store</v>
      </c>
      <c r="R5645" s="1">
        <f>MONTH(tblSales[[#This Row],[Date]])</f>
        <v>12</v>
      </c>
    </row>
    <row r="5646" spans="2:18" x14ac:dyDescent="0.35">
      <c r="B5646" s="113">
        <v>46362</v>
      </c>
      <c r="C5646" s="4" t="s">
        <v>3867</v>
      </c>
      <c r="D5646" s="4" t="s">
        <v>4568</v>
      </c>
      <c r="E5646" s="1" t="str">
        <f>_xlfn.XLOOKUP(tblSales[[#This Row],[Customer ID]],tblCustomers[Customer ID],tblCustomers[Customer Name],"⚠ Unknown")</f>
        <v>Walk-in Customer</v>
      </c>
      <c r="F5646" s="4" t="s">
        <v>10</v>
      </c>
      <c r="G5646" s="1" t="str">
        <f>_xlfn.XLOOKUP(tblSales[[#This Row],[Product Code]],tblProducts[Code],tblProducts[Product / Service Name],"⚠ Unknown")</f>
        <v>Chino Pants</v>
      </c>
      <c r="H5646" s="1" t="str">
        <f>_xlfn.XLOOKUP(tblSales[[#This Row],[Product Code]],tblProducts[Code],tblProducts[Category],"")</f>
        <v>Apparel &amp; Footwear</v>
      </c>
      <c r="I5646" s="4">
        <v>12</v>
      </c>
      <c r="J5646" s="5">
        <f>_xlfn.XLOOKUP(tblSales[[#This Row],[Product Code]],tblProducts[Code],tblProducts[Selling Price (excl. VAT)],0)</f>
        <v>150000</v>
      </c>
      <c r="K5646" s="5">
        <f>tblSales[[#This Row],[Qty]]*tblSales[[#This Row],[Unit Price]]</f>
        <v>1800000</v>
      </c>
      <c r="L5646" s="5">
        <f>ROUND(tblSales[[#This Row],[DPP (excl. VAT)]]*VATEff,0)</f>
        <v>198000</v>
      </c>
      <c r="M5646" s="5">
        <f>tblSales[[#This Row],[DPP (excl. VAT)]]+tblSales[[#This Row],[Output VAT]]</f>
        <v>1998000</v>
      </c>
      <c r="N5646" s="5">
        <f>tblSales[[#This Row],[Qty]]*_xlfn.XLOOKUP(tblSales[[#This Row],[Product Code]],tblProducts[Code],tblProducts[Unit Cost],0)</f>
        <v>1056000</v>
      </c>
      <c r="O5646" s="4" t="s">
        <v>4865</v>
      </c>
      <c r="P5646" s="4" t="s">
        <v>4860</v>
      </c>
      <c r="Q5646" s="1" t="str">
        <f>_xlfn.XLOOKUP(tblSales[[#This Row],[Channel Code]],tblChannels[Channel Code],tblChannels[Channel Name],"")</f>
        <v>In-store</v>
      </c>
      <c r="R5646" s="1">
        <f>MONTH(tblSales[[#This Row],[Date]])</f>
        <v>12</v>
      </c>
    </row>
    <row r="5647" spans="2:18" x14ac:dyDescent="0.35">
      <c r="B5647" s="113">
        <v>46362</v>
      </c>
      <c r="C5647" s="4" t="s">
        <v>3868</v>
      </c>
      <c r="D5647" s="4" t="s">
        <v>4606</v>
      </c>
      <c r="E5647" s="1" t="str">
        <f>_xlfn.XLOOKUP(tblSales[[#This Row],[Customer ID]],tblCustomers[Customer ID],tblCustomers[Customer Name],"⚠ Unknown")</f>
        <v>PT Arunika Digital Kreatif</v>
      </c>
      <c r="F5647" s="4" t="s">
        <v>11</v>
      </c>
      <c r="G5647" s="1" t="str">
        <f>_xlfn.XLOOKUP(tblSales[[#This Row],[Product Code]],tblProducts[Code],tblProducts[Product / Service Name],"⚠ Unknown")</f>
        <v>Sneakers</v>
      </c>
      <c r="H5647" s="1" t="str">
        <f>_xlfn.XLOOKUP(tblSales[[#This Row],[Product Code]],tblProducts[Code],tblProducts[Category],"")</f>
        <v>Apparel &amp; Footwear</v>
      </c>
      <c r="I5647" s="4">
        <v>8</v>
      </c>
      <c r="J5647" s="5">
        <f>_xlfn.XLOOKUP(tblSales[[#This Row],[Product Code]],tblProducts[Code],tblProducts[Selling Price (excl. VAT)],0)</f>
        <v>250000</v>
      </c>
      <c r="K5647" s="5">
        <f>tblSales[[#This Row],[Qty]]*tblSales[[#This Row],[Unit Price]]</f>
        <v>2000000</v>
      </c>
      <c r="L5647" s="5">
        <f>ROUND(tblSales[[#This Row],[DPP (excl. VAT)]]*VATEff,0)</f>
        <v>220000</v>
      </c>
      <c r="M5647" s="5">
        <f>tblSales[[#This Row],[DPP (excl. VAT)]]+tblSales[[#This Row],[Output VAT]]</f>
        <v>2220000</v>
      </c>
      <c r="N5647" s="5">
        <f>tblSales[[#This Row],[Qty]]*_xlfn.XLOOKUP(tblSales[[#This Row],[Product Code]],tblProducts[Code],tblProducts[Unit Cost],0)</f>
        <v>1240000</v>
      </c>
      <c r="O5647" s="4" t="s">
        <v>4867</v>
      </c>
      <c r="P5647" s="4" t="s">
        <v>4860</v>
      </c>
      <c r="Q5647" s="1" t="str">
        <f>_xlfn.XLOOKUP(tblSales[[#This Row],[Channel Code]],tblChannels[Channel Code],tblChannels[Channel Name],"")</f>
        <v>In-store</v>
      </c>
      <c r="R5647" s="1">
        <f>MONTH(tblSales[[#This Row],[Date]])</f>
        <v>12</v>
      </c>
    </row>
    <row r="5648" spans="2:18" x14ac:dyDescent="0.35">
      <c r="B5648" s="113">
        <v>46362</v>
      </c>
      <c r="C5648" s="4" t="s">
        <v>3868</v>
      </c>
      <c r="D5648" s="4" t="s">
        <v>4606</v>
      </c>
      <c r="E5648" s="1" t="str">
        <f>_xlfn.XLOOKUP(tblSales[[#This Row],[Customer ID]],tblCustomers[Customer ID],tblCustomers[Customer Name],"⚠ Unknown")</f>
        <v>PT Arunika Digital Kreatif</v>
      </c>
      <c r="F5648" s="4" t="s">
        <v>6</v>
      </c>
      <c r="G5648" s="1" t="str">
        <f>_xlfn.XLOOKUP(tblSales[[#This Row],[Product Code]],tblProducts[Code],tblProducts[Product / Service Name],"⚠ Unknown")</f>
        <v>Socks &amp; Accessories</v>
      </c>
      <c r="H5648" s="1" t="str">
        <f>_xlfn.XLOOKUP(tblSales[[#This Row],[Product Code]],tblProducts[Code],tblProducts[Category],"")</f>
        <v>Accessories &amp; Basics</v>
      </c>
      <c r="I5648" s="4">
        <v>48</v>
      </c>
      <c r="J5648" s="5">
        <f>_xlfn.XLOOKUP(tblSales[[#This Row],[Product Code]],tblProducts[Code],tblProducts[Selling Price (excl. VAT)],0)</f>
        <v>45000</v>
      </c>
      <c r="K5648" s="5">
        <f>tblSales[[#This Row],[Qty]]*tblSales[[#This Row],[Unit Price]]</f>
        <v>2160000</v>
      </c>
      <c r="L5648" s="5">
        <f>ROUND(tblSales[[#This Row],[DPP (excl. VAT)]]*VATEff,0)</f>
        <v>237600</v>
      </c>
      <c r="M5648" s="5">
        <f>tblSales[[#This Row],[DPP (excl. VAT)]]+tblSales[[#This Row],[Output VAT]]</f>
        <v>2397600</v>
      </c>
      <c r="N5648" s="5">
        <f>tblSales[[#This Row],[Qty]]*_xlfn.XLOOKUP(tblSales[[#This Row],[Product Code]],tblProducts[Code],tblProducts[Unit Cost],0)</f>
        <v>1152000</v>
      </c>
      <c r="O5648" s="4" t="s">
        <v>4867</v>
      </c>
      <c r="P5648" s="4" t="s">
        <v>4860</v>
      </c>
      <c r="Q5648" s="1" t="str">
        <f>_xlfn.XLOOKUP(tblSales[[#This Row],[Channel Code]],tblChannels[Channel Code],tblChannels[Channel Name],"")</f>
        <v>In-store</v>
      </c>
      <c r="R5648" s="1">
        <f>MONTH(tblSales[[#This Row],[Date]])</f>
        <v>12</v>
      </c>
    </row>
    <row r="5649" spans="2:18" x14ac:dyDescent="0.35">
      <c r="B5649" s="113">
        <v>46362</v>
      </c>
      <c r="C5649" s="4" t="s">
        <v>3869</v>
      </c>
      <c r="D5649" s="4" t="s">
        <v>4568</v>
      </c>
      <c r="E5649" s="1" t="str">
        <f>_xlfn.XLOOKUP(tblSales[[#This Row],[Customer ID]],tblCustomers[Customer ID],tblCustomers[Customer Name],"⚠ Unknown")</f>
        <v>Walk-in Customer</v>
      </c>
      <c r="F5649" s="4" t="s">
        <v>12</v>
      </c>
      <c r="G5649" s="1" t="str">
        <f>_xlfn.XLOOKUP(tblSales[[#This Row],[Product Code]],tblProducts[Code],tblProducts[Product / Service Name],"⚠ Unknown")</f>
        <v>Bomber Jacket</v>
      </c>
      <c r="H5649" s="1" t="str">
        <f>_xlfn.XLOOKUP(tblSales[[#This Row],[Product Code]],tblProducts[Code],tblProducts[Category],"")</f>
        <v>Apparel &amp; Footwear</v>
      </c>
      <c r="I5649" s="4">
        <v>4</v>
      </c>
      <c r="J5649" s="5">
        <f>_xlfn.XLOOKUP(tblSales[[#This Row],[Product Code]],tblProducts[Code],tblProducts[Selling Price (excl. VAT)],0)</f>
        <v>350000</v>
      </c>
      <c r="K5649" s="5">
        <f>tblSales[[#This Row],[Qty]]*tblSales[[#This Row],[Unit Price]]</f>
        <v>1400000</v>
      </c>
      <c r="L5649" s="5">
        <f>ROUND(tblSales[[#This Row],[DPP (excl. VAT)]]*VATEff,0)</f>
        <v>154000</v>
      </c>
      <c r="M5649" s="5">
        <f>tblSales[[#This Row],[DPP (excl. VAT)]]+tblSales[[#This Row],[Output VAT]]</f>
        <v>1554000</v>
      </c>
      <c r="N5649" s="5">
        <f>tblSales[[#This Row],[Qty]]*_xlfn.XLOOKUP(tblSales[[#This Row],[Product Code]],tblProducts[Code],tblProducts[Unit Cost],0)</f>
        <v>840000</v>
      </c>
      <c r="O5649" s="4" t="s">
        <v>4866</v>
      </c>
      <c r="P5649" s="4" t="s">
        <v>4860</v>
      </c>
      <c r="Q5649" s="1" t="str">
        <f>_xlfn.XLOOKUP(tblSales[[#This Row],[Channel Code]],tblChannels[Channel Code],tblChannels[Channel Name],"")</f>
        <v>In-store</v>
      </c>
      <c r="R5649" s="1">
        <f>MONTH(tblSales[[#This Row],[Date]])</f>
        <v>12</v>
      </c>
    </row>
    <row r="5650" spans="2:18" x14ac:dyDescent="0.35">
      <c r="B5650" s="113">
        <v>46362</v>
      </c>
      <c r="C5650" s="4" t="s">
        <v>3870</v>
      </c>
      <c r="D5650" s="4" t="s">
        <v>4568</v>
      </c>
      <c r="E5650" s="1" t="str">
        <f>_xlfn.XLOOKUP(tblSales[[#This Row],[Customer ID]],tblCustomers[Customer ID],tblCustomers[Customer Name],"⚠ Unknown")</f>
        <v>Walk-in Customer</v>
      </c>
      <c r="F5650" s="4" t="s">
        <v>13</v>
      </c>
      <c r="G5650" s="1" t="str">
        <f>_xlfn.XLOOKUP(tblSales[[#This Row],[Product Code]],tblProducts[Code],tblProducts[Product / Service Name],"⚠ Unknown")</f>
        <v>Backpack</v>
      </c>
      <c r="H5650" s="1" t="str">
        <f>_xlfn.XLOOKUP(tblSales[[#This Row],[Product Code]],tblProducts[Code],tblProducts[Category],"")</f>
        <v>Bags &amp; Gadgets</v>
      </c>
      <c r="I5650" s="4">
        <v>1</v>
      </c>
      <c r="J5650" s="5">
        <f>_xlfn.XLOOKUP(tblSales[[#This Row],[Product Code]],tblProducts[Code],tblProducts[Selling Price (excl. VAT)],0)</f>
        <v>500000</v>
      </c>
      <c r="K5650" s="5">
        <f>tblSales[[#This Row],[Qty]]*tblSales[[#This Row],[Unit Price]]</f>
        <v>500000</v>
      </c>
      <c r="L5650" s="5">
        <f>ROUND(tblSales[[#This Row],[DPP (excl. VAT)]]*VATEff,0)</f>
        <v>55000</v>
      </c>
      <c r="M5650" s="5">
        <f>tblSales[[#This Row],[DPP (excl. VAT)]]+tblSales[[#This Row],[Output VAT]]</f>
        <v>555000</v>
      </c>
      <c r="N5650" s="5">
        <f>tblSales[[#This Row],[Qty]]*_xlfn.XLOOKUP(tblSales[[#This Row],[Product Code]],tblProducts[Code],tblProducts[Unit Cost],0)</f>
        <v>290000</v>
      </c>
      <c r="O5650" s="4" t="s">
        <v>4865</v>
      </c>
      <c r="P5650" s="4" t="s">
        <v>4860</v>
      </c>
      <c r="Q5650" s="1" t="str">
        <f>_xlfn.XLOOKUP(tblSales[[#This Row],[Channel Code]],tblChannels[Channel Code],tblChannels[Channel Name],"")</f>
        <v>In-store</v>
      </c>
      <c r="R5650" s="1">
        <f>MONTH(tblSales[[#This Row],[Date]])</f>
        <v>12</v>
      </c>
    </row>
    <row r="5651" spans="2:18" x14ac:dyDescent="0.35">
      <c r="B5651" s="113">
        <v>46362</v>
      </c>
      <c r="C5651" s="4" t="s">
        <v>3870</v>
      </c>
      <c r="D5651" s="4" t="s">
        <v>4568</v>
      </c>
      <c r="E5651" s="1" t="str">
        <f>_xlfn.XLOOKUP(tblSales[[#This Row],[Customer ID]],tblCustomers[Customer ID],tblCustomers[Customer Name],"⚠ Unknown")</f>
        <v>Walk-in Customer</v>
      </c>
      <c r="F5651" s="4" t="s">
        <v>7</v>
      </c>
      <c r="G5651" s="1" t="str">
        <f>_xlfn.XLOOKUP(tblSales[[#This Row],[Product Code]],tblProducts[Code],tblProducts[Product / Service Name],"⚠ Unknown")</f>
        <v>Premium Basic T-shirt</v>
      </c>
      <c r="H5651" s="1" t="str">
        <f>_xlfn.XLOOKUP(tblSales[[#This Row],[Product Code]],tblProducts[Code],tblProducts[Category],"")</f>
        <v>Accessories &amp; Basics</v>
      </c>
      <c r="I5651" s="4">
        <v>6</v>
      </c>
      <c r="J5651" s="5">
        <f>_xlfn.XLOOKUP(tblSales[[#This Row],[Product Code]],tblProducts[Code],tblProducts[Selling Price (excl. VAT)],0)</f>
        <v>65000</v>
      </c>
      <c r="K5651" s="5">
        <f>tblSales[[#This Row],[Qty]]*tblSales[[#This Row],[Unit Price]]</f>
        <v>390000</v>
      </c>
      <c r="L5651" s="5">
        <f>ROUND(tblSales[[#This Row],[DPP (excl. VAT)]]*VATEff,0)</f>
        <v>42900</v>
      </c>
      <c r="M5651" s="5">
        <f>tblSales[[#This Row],[DPP (excl. VAT)]]+tblSales[[#This Row],[Output VAT]]</f>
        <v>432900</v>
      </c>
      <c r="N5651" s="5">
        <f>tblSales[[#This Row],[Qty]]*_xlfn.XLOOKUP(tblSales[[#This Row],[Product Code]],tblProducts[Code],tblProducts[Unit Cost],0)</f>
        <v>222000</v>
      </c>
      <c r="O5651" s="4" t="s">
        <v>4865</v>
      </c>
      <c r="P5651" s="4" t="s">
        <v>4860</v>
      </c>
      <c r="Q5651" s="1" t="str">
        <f>_xlfn.XLOOKUP(tblSales[[#This Row],[Channel Code]],tblChannels[Channel Code],tblChannels[Channel Name],"")</f>
        <v>In-store</v>
      </c>
      <c r="R5651" s="1">
        <f>MONTH(tblSales[[#This Row],[Date]])</f>
        <v>12</v>
      </c>
    </row>
    <row r="5652" spans="2:18" x14ac:dyDescent="0.35">
      <c r="B5652" s="113">
        <v>46362</v>
      </c>
      <c r="C5652" s="4" t="s">
        <v>3871</v>
      </c>
      <c r="D5652" s="4" t="s">
        <v>4568</v>
      </c>
      <c r="E5652" s="1" t="str">
        <f>_xlfn.XLOOKUP(tblSales[[#This Row],[Customer ID]],tblCustomers[Customer ID],tblCustomers[Customer Name],"⚠ Unknown")</f>
        <v>Walk-in Customer</v>
      </c>
      <c r="F5652" s="4" t="s">
        <v>12</v>
      </c>
      <c r="G5652" s="1" t="str">
        <f>_xlfn.XLOOKUP(tblSales[[#This Row],[Product Code]],tblProducts[Code],tblProducts[Product / Service Name],"⚠ Unknown")</f>
        <v>Bomber Jacket</v>
      </c>
      <c r="H5652" s="1" t="str">
        <f>_xlfn.XLOOKUP(tblSales[[#This Row],[Product Code]],tblProducts[Code],tblProducts[Category],"")</f>
        <v>Apparel &amp; Footwear</v>
      </c>
      <c r="I5652" s="4">
        <v>1</v>
      </c>
      <c r="J5652" s="5">
        <f>_xlfn.XLOOKUP(tblSales[[#This Row],[Product Code]],tblProducts[Code],tblProducts[Selling Price (excl. VAT)],0)</f>
        <v>350000</v>
      </c>
      <c r="K5652" s="5">
        <f>tblSales[[#This Row],[Qty]]*tblSales[[#This Row],[Unit Price]]</f>
        <v>350000</v>
      </c>
      <c r="L5652" s="5">
        <f>ROUND(tblSales[[#This Row],[DPP (excl. VAT)]]*VATEff,0)</f>
        <v>38500</v>
      </c>
      <c r="M5652" s="5">
        <f>tblSales[[#This Row],[DPP (excl. VAT)]]+tblSales[[#This Row],[Output VAT]]</f>
        <v>388500</v>
      </c>
      <c r="N5652" s="5">
        <f>tblSales[[#This Row],[Qty]]*_xlfn.XLOOKUP(tblSales[[#This Row],[Product Code]],tblProducts[Code],tblProducts[Unit Cost],0)</f>
        <v>210000</v>
      </c>
      <c r="O5652" s="4" t="s">
        <v>4866</v>
      </c>
      <c r="P5652" s="4" t="s">
        <v>4860</v>
      </c>
      <c r="Q5652" s="1" t="str">
        <f>_xlfn.XLOOKUP(tblSales[[#This Row],[Channel Code]],tblChannels[Channel Code],tblChannels[Channel Name],"")</f>
        <v>In-store</v>
      </c>
      <c r="R5652" s="1">
        <f>MONTH(tblSales[[#This Row],[Date]])</f>
        <v>12</v>
      </c>
    </row>
    <row r="5653" spans="2:18" x14ac:dyDescent="0.35">
      <c r="B5653" s="113">
        <v>46362</v>
      </c>
      <c r="C5653" s="4" t="s">
        <v>3871</v>
      </c>
      <c r="D5653" s="4" t="s">
        <v>4568</v>
      </c>
      <c r="E5653" s="1" t="str">
        <f>_xlfn.XLOOKUP(tblSales[[#This Row],[Customer ID]],tblCustomers[Customer ID],tblCustomers[Customer Name],"⚠ Unknown")</f>
        <v>Walk-in Customer</v>
      </c>
      <c r="F5653" s="4" t="s">
        <v>13</v>
      </c>
      <c r="G5653" s="1" t="str">
        <f>_xlfn.XLOOKUP(tblSales[[#This Row],[Product Code]],tblProducts[Code],tblProducts[Product / Service Name],"⚠ Unknown")</f>
        <v>Backpack</v>
      </c>
      <c r="H5653" s="1" t="str">
        <f>_xlfn.XLOOKUP(tblSales[[#This Row],[Product Code]],tblProducts[Code],tblProducts[Category],"")</f>
        <v>Bags &amp; Gadgets</v>
      </c>
      <c r="I5653" s="4">
        <v>4</v>
      </c>
      <c r="J5653" s="5">
        <f>_xlfn.XLOOKUP(tblSales[[#This Row],[Product Code]],tblProducts[Code],tblProducts[Selling Price (excl. VAT)],0)</f>
        <v>500000</v>
      </c>
      <c r="K5653" s="5">
        <f>tblSales[[#This Row],[Qty]]*tblSales[[#This Row],[Unit Price]]</f>
        <v>2000000</v>
      </c>
      <c r="L5653" s="5">
        <f>ROUND(tblSales[[#This Row],[DPP (excl. VAT)]]*VATEff,0)</f>
        <v>220000</v>
      </c>
      <c r="M5653" s="5">
        <f>tblSales[[#This Row],[DPP (excl. VAT)]]+tblSales[[#This Row],[Output VAT]]</f>
        <v>2220000</v>
      </c>
      <c r="N5653" s="5">
        <f>tblSales[[#This Row],[Qty]]*_xlfn.XLOOKUP(tblSales[[#This Row],[Product Code]],tblProducts[Code],tblProducts[Unit Cost],0)</f>
        <v>1160000</v>
      </c>
      <c r="O5653" s="4" t="s">
        <v>4866</v>
      </c>
      <c r="P5653" s="4" t="s">
        <v>4860</v>
      </c>
      <c r="Q5653" s="1" t="str">
        <f>_xlfn.XLOOKUP(tblSales[[#This Row],[Channel Code]],tblChannels[Channel Code],tblChannels[Channel Name],"")</f>
        <v>In-store</v>
      </c>
      <c r="R5653" s="1">
        <f>MONTH(tblSales[[#This Row],[Date]])</f>
        <v>12</v>
      </c>
    </row>
    <row r="5654" spans="2:18" x14ac:dyDescent="0.35">
      <c r="B5654" s="113">
        <v>46362</v>
      </c>
      <c r="C5654" s="4" t="s">
        <v>3872</v>
      </c>
      <c r="D5654" s="4" t="s">
        <v>4568</v>
      </c>
      <c r="E5654" s="1" t="str">
        <f>_xlfn.XLOOKUP(tblSales[[#This Row],[Customer ID]],tblCustomers[Customer ID],tblCustomers[Customer Name],"⚠ Unknown")</f>
        <v>Walk-in Customer</v>
      </c>
      <c r="F5654" s="4" t="s">
        <v>6</v>
      </c>
      <c r="G5654" s="1" t="str">
        <f>_xlfn.XLOOKUP(tblSales[[#This Row],[Product Code]],tblProducts[Code],tblProducts[Product / Service Name],"⚠ Unknown")</f>
        <v>Socks &amp; Accessories</v>
      </c>
      <c r="H5654" s="1" t="str">
        <f>_xlfn.XLOOKUP(tblSales[[#This Row],[Product Code]],tblProducts[Code],tblProducts[Category],"")</f>
        <v>Accessories &amp; Basics</v>
      </c>
      <c r="I5654" s="4">
        <v>10</v>
      </c>
      <c r="J5654" s="5">
        <f>_xlfn.XLOOKUP(tblSales[[#This Row],[Product Code]],tblProducts[Code],tblProducts[Selling Price (excl. VAT)],0)</f>
        <v>45000</v>
      </c>
      <c r="K5654" s="5">
        <f>tblSales[[#This Row],[Qty]]*tblSales[[#This Row],[Unit Price]]</f>
        <v>450000</v>
      </c>
      <c r="L5654" s="5">
        <f>ROUND(tblSales[[#This Row],[DPP (excl. VAT)]]*VATEff,0)</f>
        <v>49500</v>
      </c>
      <c r="M5654" s="5">
        <f>tblSales[[#This Row],[DPP (excl. VAT)]]+tblSales[[#This Row],[Output VAT]]</f>
        <v>499500</v>
      </c>
      <c r="N5654" s="5">
        <f>tblSales[[#This Row],[Qty]]*_xlfn.XLOOKUP(tblSales[[#This Row],[Product Code]],tblProducts[Code],tblProducts[Unit Cost],0)</f>
        <v>240000</v>
      </c>
      <c r="O5654" s="4" t="s">
        <v>4865</v>
      </c>
      <c r="P5654" s="4" t="s">
        <v>4860</v>
      </c>
      <c r="Q5654" s="1" t="str">
        <f>_xlfn.XLOOKUP(tblSales[[#This Row],[Channel Code]],tblChannels[Channel Code],tblChannels[Channel Name],"")</f>
        <v>In-store</v>
      </c>
      <c r="R5654" s="1">
        <f>MONTH(tblSales[[#This Row],[Date]])</f>
        <v>12</v>
      </c>
    </row>
    <row r="5655" spans="2:18" x14ac:dyDescent="0.35">
      <c r="B5655" s="113">
        <v>46362</v>
      </c>
      <c r="C5655" s="4" t="s">
        <v>3872</v>
      </c>
      <c r="D5655" s="4" t="s">
        <v>4568</v>
      </c>
      <c r="E5655" s="1" t="str">
        <f>_xlfn.XLOOKUP(tblSales[[#This Row],[Customer ID]],tblCustomers[Customer ID],tblCustomers[Customer Name],"⚠ Unknown")</f>
        <v>Walk-in Customer</v>
      </c>
      <c r="F5655" s="4" t="s">
        <v>7</v>
      </c>
      <c r="G5655" s="1" t="str">
        <f>_xlfn.XLOOKUP(tblSales[[#This Row],[Product Code]],tblProducts[Code],tblProducts[Product / Service Name],"⚠ Unknown")</f>
        <v>Premium Basic T-shirt</v>
      </c>
      <c r="H5655" s="1" t="str">
        <f>_xlfn.XLOOKUP(tblSales[[#This Row],[Product Code]],tblProducts[Code],tblProducts[Category],"")</f>
        <v>Accessories &amp; Basics</v>
      </c>
      <c r="I5655" s="4">
        <v>6</v>
      </c>
      <c r="J5655" s="5">
        <f>_xlfn.XLOOKUP(tblSales[[#This Row],[Product Code]],tblProducts[Code],tblProducts[Selling Price (excl. VAT)],0)</f>
        <v>65000</v>
      </c>
      <c r="K5655" s="5">
        <f>tblSales[[#This Row],[Qty]]*tblSales[[#This Row],[Unit Price]]</f>
        <v>390000</v>
      </c>
      <c r="L5655" s="5">
        <f>ROUND(tblSales[[#This Row],[DPP (excl. VAT)]]*VATEff,0)</f>
        <v>42900</v>
      </c>
      <c r="M5655" s="5">
        <f>tblSales[[#This Row],[DPP (excl. VAT)]]+tblSales[[#This Row],[Output VAT]]</f>
        <v>432900</v>
      </c>
      <c r="N5655" s="5">
        <f>tblSales[[#This Row],[Qty]]*_xlfn.XLOOKUP(tblSales[[#This Row],[Product Code]],tblProducts[Code],tblProducts[Unit Cost],0)</f>
        <v>222000</v>
      </c>
      <c r="O5655" s="4" t="s">
        <v>4865</v>
      </c>
      <c r="P5655" s="4" t="s">
        <v>4860</v>
      </c>
      <c r="Q5655" s="1" t="str">
        <f>_xlfn.XLOOKUP(tblSales[[#This Row],[Channel Code]],tblChannels[Channel Code],tblChannels[Channel Name],"")</f>
        <v>In-store</v>
      </c>
      <c r="R5655" s="1">
        <f>MONTH(tblSales[[#This Row],[Date]])</f>
        <v>12</v>
      </c>
    </row>
    <row r="5656" spans="2:18" x14ac:dyDescent="0.35">
      <c r="B5656" s="113">
        <v>46362</v>
      </c>
      <c r="C5656" s="4" t="s">
        <v>3873</v>
      </c>
      <c r="D5656" s="4" t="s">
        <v>4572</v>
      </c>
      <c r="E5656" s="1" t="str">
        <f>_xlfn.XLOOKUP(tblSales[[#This Row],[Customer ID]],tblCustomers[Customer ID],tblCustomers[Customer Name],"⚠ Unknown")</f>
        <v>PT Cahaya Abadi Makmur</v>
      </c>
      <c r="F5656" s="4" t="s">
        <v>10</v>
      </c>
      <c r="G5656" s="1" t="str">
        <f>_xlfn.XLOOKUP(tblSales[[#This Row],[Product Code]],tblProducts[Code],tblProducts[Product / Service Name],"⚠ Unknown")</f>
        <v>Chino Pants</v>
      </c>
      <c r="H5656" s="1" t="str">
        <f>_xlfn.XLOOKUP(tblSales[[#This Row],[Product Code]],tblProducts[Code],tblProducts[Category],"")</f>
        <v>Apparel &amp; Footwear</v>
      </c>
      <c r="I5656" s="4">
        <v>16</v>
      </c>
      <c r="J5656" s="5">
        <f>_xlfn.XLOOKUP(tblSales[[#This Row],[Product Code]],tblProducts[Code],tblProducts[Selling Price (excl. VAT)],0)</f>
        <v>150000</v>
      </c>
      <c r="K5656" s="5">
        <f>tblSales[[#This Row],[Qty]]*tblSales[[#This Row],[Unit Price]]</f>
        <v>2400000</v>
      </c>
      <c r="L5656" s="5">
        <f>ROUND(tblSales[[#This Row],[DPP (excl. VAT)]]*VATEff,0)</f>
        <v>264000</v>
      </c>
      <c r="M5656" s="5">
        <f>tblSales[[#This Row],[DPP (excl. VAT)]]+tblSales[[#This Row],[Output VAT]]</f>
        <v>2664000</v>
      </c>
      <c r="N5656" s="5">
        <f>tblSales[[#This Row],[Qty]]*_xlfn.XLOOKUP(tblSales[[#This Row],[Product Code]],tblProducts[Code],tblProducts[Unit Cost],0)</f>
        <v>1408000</v>
      </c>
      <c r="O5656" s="4" t="s">
        <v>4867</v>
      </c>
      <c r="P5656" s="4" t="s">
        <v>4860</v>
      </c>
      <c r="Q5656" s="1" t="str">
        <f>_xlfn.XLOOKUP(tblSales[[#This Row],[Channel Code]],tblChannels[Channel Code],tblChannels[Channel Name],"")</f>
        <v>In-store</v>
      </c>
      <c r="R5656" s="1">
        <f>MONTH(tblSales[[#This Row],[Date]])</f>
        <v>12</v>
      </c>
    </row>
    <row r="5657" spans="2:18" x14ac:dyDescent="0.35">
      <c r="B5657" s="113">
        <v>46362</v>
      </c>
      <c r="C5657" s="4" t="s">
        <v>3874</v>
      </c>
      <c r="D5657" s="4" t="s">
        <v>4568</v>
      </c>
      <c r="E5657" s="1" t="str">
        <f>_xlfn.XLOOKUP(tblSales[[#This Row],[Customer ID]],tblCustomers[Customer ID],tblCustomers[Customer Name],"⚠ Unknown")</f>
        <v>Walk-in Customer</v>
      </c>
      <c r="F5657" s="4" t="s">
        <v>11</v>
      </c>
      <c r="G5657" s="1" t="str">
        <f>_xlfn.XLOOKUP(tblSales[[#This Row],[Product Code]],tblProducts[Code],tblProducts[Product / Service Name],"⚠ Unknown")</f>
        <v>Sneakers</v>
      </c>
      <c r="H5657" s="1" t="str">
        <f>_xlfn.XLOOKUP(tblSales[[#This Row],[Product Code]],tblProducts[Code],tblProducts[Category],"")</f>
        <v>Apparel &amp; Footwear</v>
      </c>
      <c r="I5657" s="4">
        <v>1</v>
      </c>
      <c r="J5657" s="5">
        <f>_xlfn.XLOOKUP(tblSales[[#This Row],[Product Code]],tblProducts[Code],tblProducts[Selling Price (excl. VAT)],0)</f>
        <v>250000</v>
      </c>
      <c r="K5657" s="5">
        <f>tblSales[[#This Row],[Qty]]*tblSales[[#This Row],[Unit Price]]</f>
        <v>250000</v>
      </c>
      <c r="L5657" s="5">
        <f>ROUND(tblSales[[#This Row],[DPP (excl. VAT)]]*VATEff,0)</f>
        <v>27500</v>
      </c>
      <c r="M5657" s="5">
        <f>tblSales[[#This Row],[DPP (excl. VAT)]]+tblSales[[#This Row],[Output VAT]]</f>
        <v>277500</v>
      </c>
      <c r="N5657" s="5">
        <f>tblSales[[#This Row],[Qty]]*_xlfn.XLOOKUP(tblSales[[#This Row],[Product Code]],tblProducts[Code],tblProducts[Unit Cost],0)</f>
        <v>155000</v>
      </c>
      <c r="O5657" s="4" t="s">
        <v>4865</v>
      </c>
      <c r="P5657" s="4" t="s">
        <v>4860</v>
      </c>
      <c r="Q5657" s="1" t="str">
        <f>_xlfn.XLOOKUP(tblSales[[#This Row],[Channel Code]],tblChannels[Channel Code],tblChannels[Channel Name],"")</f>
        <v>In-store</v>
      </c>
      <c r="R5657" s="1">
        <f>MONTH(tblSales[[#This Row],[Date]])</f>
        <v>12</v>
      </c>
    </row>
    <row r="5658" spans="2:18" x14ac:dyDescent="0.35">
      <c r="B5658" s="113">
        <v>46362</v>
      </c>
      <c r="C5658" s="4" t="s">
        <v>3875</v>
      </c>
      <c r="D5658" s="4" t="s">
        <v>4568</v>
      </c>
      <c r="E5658" s="1" t="str">
        <f>_xlfn.XLOOKUP(tblSales[[#This Row],[Customer ID]],tblCustomers[Customer ID],tblCustomers[Customer Name],"⚠ Unknown")</f>
        <v>Walk-in Customer</v>
      </c>
      <c r="F5658" s="4" t="s">
        <v>10</v>
      </c>
      <c r="G5658" s="1" t="str">
        <f>_xlfn.XLOOKUP(tblSales[[#This Row],[Product Code]],tblProducts[Code],tblProducts[Product / Service Name],"⚠ Unknown")</f>
        <v>Chino Pants</v>
      </c>
      <c r="H5658" s="1" t="str">
        <f>_xlfn.XLOOKUP(tblSales[[#This Row],[Product Code]],tblProducts[Code],tblProducts[Category],"")</f>
        <v>Apparel &amp; Footwear</v>
      </c>
      <c r="I5658" s="4">
        <v>10</v>
      </c>
      <c r="J5658" s="5">
        <f>_xlfn.XLOOKUP(tblSales[[#This Row],[Product Code]],tblProducts[Code],tblProducts[Selling Price (excl. VAT)],0)</f>
        <v>150000</v>
      </c>
      <c r="K5658" s="5">
        <f>tblSales[[#This Row],[Qty]]*tblSales[[#This Row],[Unit Price]]</f>
        <v>1500000</v>
      </c>
      <c r="L5658" s="5">
        <f>ROUND(tblSales[[#This Row],[DPP (excl. VAT)]]*VATEff,0)</f>
        <v>165000</v>
      </c>
      <c r="M5658" s="5">
        <f>tblSales[[#This Row],[DPP (excl. VAT)]]+tblSales[[#This Row],[Output VAT]]</f>
        <v>1665000</v>
      </c>
      <c r="N5658" s="5">
        <f>tblSales[[#This Row],[Qty]]*_xlfn.XLOOKUP(tblSales[[#This Row],[Product Code]],tblProducts[Code],tblProducts[Unit Cost],0)</f>
        <v>880000</v>
      </c>
      <c r="O5658" s="4" t="s">
        <v>4865</v>
      </c>
      <c r="P5658" s="4" t="s">
        <v>4860</v>
      </c>
      <c r="Q5658" s="1" t="str">
        <f>_xlfn.XLOOKUP(tblSales[[#This Row],[Channel Code]],tblChannels[Channel Code],tblChannels[Channel Name],"")</f>
        <v>In-store</v>
      </c>
      <c r="R5658" s="1">
        <f>MONTH(tblSales[[#This Row],[Date]])</f>
        <v>12</v>
      </c>
    </row>
    <row r="5659" spans="2:18" x14ac:dyDescent="0.35">
      <c r="B5659" s="113">
        <v>46362</v>
      </c>
      <c r="C5659" s="4" t="s">
        <v>3876</v>
      </c>
      <c r="D5659" s="4" t="s">
        <v>4568</v>
      </c>
      <c r="E5659" s="1" t="str">
        <f>_xlfn.XLOOKUP(tblSales[[#This Row],[Customer ID]],tblCustomers[Customer ID],tblCustomers[Customer Name],"⚠ Unknown")</f>
        <v>Walk-in Customer</v>
      </c>
      <c r="F5659" s="4" t="s">
        <v>15</v>
      </c>
      <c r="G5659" s="1" t="str">
        <f>_xlfn.XLOOKUP(tblSales[[#This Row],[Product Code]],tblProducts[Code],tblProducts[Product / Service Name],"⚠ Unknown")</f>
        <v>Wireless Earbuds Pro</v>
      </c>
      <c r="H5659" s="1" t="str">
        <f>_xlfn.XLOOKUP(tblSales[[#This Row],[Product Code]],tblProducts[Code],tblProducts[Category],"")</f>
        <v>Bags &amp; Gadgets</v>
      </c>
      <c r="I5659" s="4">
        <v>2</v>
      </c>
      <c r="J5659" s="5">
        <f>_xlfn.XLOOKUP(tblSales[[#This Row],[Product Code]],tblProducts[Code],tblProducts[Selling Price (excl. VAT)],0)</f>
        <v>1250000</v>
      </c>
      <c r="K5659" s="5">
        <f>tblSales[[#This Row],[Qty]]*tblSales[[#This Row],[Unit Price]]</f>
        <v>2500000</v>
      </c>
      <c r="L5659" s="5">
        <f>ROUND(tblSales[[#This Row],[DPP (excl. VAT)]]*VATEff,0)</f>
        <v>275000</v>
      </c>
      <c r="M5659" s="5">
        <f>tblSales[[#This Row],[DPP (excl. VAT)]]+tblSales[[#This Row],[Output VAT]]</f>
        <v>2775000</v>
      </c>
      <c r="N5659" s="5">
        <f>tblSales[[#This Row],[Qty]]*_xlfn.XLOOKUP(tblSales[[#This Row],[Product Code]],tblProducts[Code],tblProducts[Unit Cost],0)</f>
        <v>1640000</v>
      </c>
      <c r="O5659" s="4" t="s">
        <v>4866</v>
      </c>
      <c r="P5659" s="4" t="s">
        <v>4860</v>
      </c>
      <c r="Q5659" s="1" t="str">
        <f>_xlfn.XLOOKUP(tblSales[[#This Row],[Channel Code]],tblChannels[Channel Code],tblChannels[Channel Name],"")</f>
        <v>In-store</v>
      </c>
      <c r="R5659" s="1">
        <f>MONTH(tblSales[[#This Row],[Date]])</f>
        <v>12</v>
      </c>
    </row>
    <row r="5660" spans="2:18" x14ac:dyDescent="0.35">
      <c r="B5660" s="113">
        <v>46362</v>
      </c>
      <c r="C5660" s="4" t="s">
        <v>3876</v>
      </c>
      <c r="D5660" s="4" t="s">
        <v>4568</v>
      </c>
      <c r="E5660" s="1" t="str">
        <f>_xlfn.XLOOKUP(tblSales[[#This Row],[Customer ID]],tblCustomers[Customer ID],tblCustomers[Customer Name],"⚠ Unknown")</f>
        <v>Walk-in Customer</v>
      </c>
      <c r="F5660" s="4" t="s">
        <v>9</v>
      </c>
      <c r="G5660" s="1" t="str">
        <f>_xlfn.XLOOKUP(tblSales[[#This Row],[Product Code]],tblProducts[Code],tblProducts[Product / Service Name],"⚠ Unknown")</f>
        <v>Casual Shirt</v>
      </c>
      <c r="H5660" s="1" t="str">
        <f>_xlfn.XLOOKUP(tblSales[[#This Row],[Product Code]],tblProducts[Code],tblProducts[Category],"")</f>
        <v>Apparel &amp; Footwear</v>
      </c>
      <c r="I5660" s="4">
        <v>11</v>
      </c>
      <c r="J5660" s="5">
        <f>_xlfn.XLOOKUP(tblSales[[#This Row],[Product Code]],tblProducts[Code],tblProducts[Selling Price (excl. VAT)],0)</f>
        <v>120000</v>
      </c>
      <c r="K5660" s="5">
        <f>tblSales[[#This Row],[Qty]]*tblSales[[#This Row],[Unit Price]]</f>
        <v>1320000</v>
      </c>
      <c r="L5660" s="5">
        <f>ROUND(tblSales[[#This Row],[DPP (excl. VAT)]]*VATEff,0)</f>
        <v>145200</v>
      </c>
      <c r="M5660" s="5">
        <f>tblSales[[#This Row],[DPP (excl. VAT)]]+tblSales[[#This Row],[Output VAT]]</f>
        <v>1465200</v>
      </c>
      <c r="N5660" s="5">
        <f>tblSales[[#This Row],[Qty]]*_xlfn.XLOOKUP(tblSales[[#This Row],[Product Code]],tblProducts[Code],tblProducts[Unit Cost],0)</f>
        <v>792000</v>
      </c>
      <c r="O5660" s="4" t="s">
        <v>4866</v>
      </c>
      <c r="P5660" s="4" t="s">
        <v>4860</v>
      </c>
      <c r="Q5660" s="1" t="str">
        <f>_xlfn.XLOOKUP(tblSales[[#This Row],[Channel Code]],tblChannels[Channel Code],tblChannels[Channel Name],"")</f>
        <v>In-store</v>
      </c>
      <c r="R5660" s="1">
        <f>MONTH(tblSales[[#This Row],[Date]])</f>
        <v>12</v>
      </c>
    </row>
    <row r="5661" spans="2:18" x14ac:dyDescent="0.35">
      <c r="B5661" s="113">
        <v>46362</v>
      </c>
      <c r="C5661" s="4" t="s">
        <v>3876</v>
      </c>
      <c r="D5661" s="4" t="s">
        <v>4568</v>
      </c>
      <c r="E5661" s="1" t="str">
        <f>_xlfn.XLOOKUP(tblSales[[#This Row],[Customer ID]],tblCustomers[Customer ID],tblCustomers[Customer Name],"⚠ Unknown")</f>
        <v>Walk-in Customer</v>
      </c>
      <c r="F5661" s="4" t="s">
        <v>7</v>
      </c>
      <c r="G5661" s="1" t="str">
        <f>_xlfn.XLOOKUP(tblSales[[#This Row],[Product Code]],tblProducts[Code],tblProducts[Product / Service Name],"⚠ Unknown")</f>
        <v>Premium Basic T-shirt</v>
      </c>
      <c r="H5661" s="1" t="str">
        <f>_xlfn.XLOOKUP(tblSales[[#This Row],[Product Code]],tblProducts[Code],tblProducts[Category],"")</f>
        <v>Accessories &amp; Basics</v>
      </c>
      <c r="I5661" s="4">
        <v>1</v>
      </c>
      <c r="J5661" s="5">
        <f>_xlfn.XLOOKUP(tblSales[[#This Row],[Product Code]],tblProducts[Code],tblProducts[Selling Price (excl. VAT)],0)</f>
        <v>65000</v>
      </c>
      <c r="K5661" s="5">
        <f>tblSales[[#This Row],[Qty]]*tblSales[[#This Row],[Unit Price]]</f>
        <v>65000</v>
      </c>
      <c r="L5661" s="5">
        <f>ROUND(tblSales[[#This Row],[DPP (excl. VAT)]]*VATEff,0)</f>
        <v>7150</v>
      </c>
      <c r="M5661" s="5">
        <f>tblSales[[#This Row],[DPP (excl. VAT)]]+tblSales[[#This Row],[Output VAT]]</f>
        <v>72150</v>
      </c>
      <c r="N5661" s="5">
        <f>tblSales[[#This Row],[Qty]]*_xlfn.XLOOKUP(tblSales[[#This Row],[Product Code]],tblProducts[Code],tblProducts[Unit Cost],0)</f>
        <v>37000</v>
      </c>
      <c r="O5661" s="4" t="s">
        <v>4866</v>
      </c>
      <c r="P5661" s="4" t="s">
        <v>4860</v>
      </c>
      <c r="Q5661" s="1" t="str">
        <f>_xlfn.XLOOKUP(tblSales[[#This Row],[Channel Code]],tblChannels[Channel Code],tblChannels[Channel Name],"")</f>
        <v>In-store</v>
      </c>
      <c r="R5661" s="1">
        <f>MONTH(tblSales[[#This Row],[Date]])</f>
        <v>12</v>
      </c>
    </row>
    <row r="5662" spans="2:18" x14ac:dyDescent="0.35">
      <c r="B5662" s="113">
        <v>46363</v>
      </c>
      <c r="C5662" s="4" t="s">
        <v>3877</v>
      </c>
      <c r="D5662" s="4" t="s">
        <v>4568</v>
      </c>
      <c r="E5662" s="1" t="str">
        <f>_xlfn.XLOOKUP(tblSales[[#This Row],[Customer ID]],tblCustomers[Customer ID],tblCustomers[Customer Name],"⚠ Unknown")</f>
        <v>Walk-in Customer</v>
      </c>
      <c r="F5662" s="4" t="s">
        <v>6</v>
      </c>
      <c r="G5662" s="1" t="str">
        <f>_xlfn.XLOOKUP(tblSales[[#This Row],[Product Code]],tblProducts[Code],tblProducts[Product / Service Name],"⚠ Unknown")</f>
        <v>Socks &amp; Accessories</v>
      </c>
      <c r="H5662" s="1" t="str">
        <f>_xlfn.XLOOKUP(tblSales[[#This Row],[Product Code]],tblProducts[Code],tblProducts[Category],"")</f>
        <v>Accessories &amp; Basics</v>
      </c>
      <c r="I5662" s="4">
        <v>9</v>
      </c>
      <c r="J5662" s="5">
        <f>_xlfn.XLOOKUP(tblSales[[#This Row],[Product Code]],tblProducts[Code],tblProducts[Selling Price (excl. VAT)],0)</f>
        <v>45000</v>
      </c>
      <c r="K5662" s="5">
        <f>tblSales[[#This Row],[Qty]]*tblSales[[#This Row],[Unit Price]]</f>
        <v>405000</v>
      </c>
      <c r="L5662" s="5">
        <f>ROUND(tblSales[[#This Row],[DPP (excl. VAT)]]*VATEff,0)</f>
        <v>44550</v>
      </c>
      <c r="M5662" s="5">
        <f>tblSales[[#This Row],[DPP (excl. VAT)]]+tblSales[[#This Row],[Output VAT]]</f>
        <v>449550</v>
      </c>
      <c r="N5662" s="5">
        <f>tblSales[[#This Row],[Qty]]*_xlfn.XLOOKUP(tblSales[[#This Row],[Product Code]],tblProducts[Code],tblProducts[Unit Cost],0)</f>
        <v>216000</v>
      </c>
      <c r="O5662" s="4" t="s">
        <v>4866</v>
      </c>
      <c r="P5662" s="4" t="s">
        <v>4861</v>
      </c>
      <c r="Q5662" s="1" t="str">
        <f>_xlfn.XLOOKUP(tblSales[[#This Row],[Channel Code]],tblChannels[Channel Code],tblChannels[Channel Name],"")</f>
        <v>Marketplace</v>
      </c>
      <c r="R5662" s="1">
        <f>MONTH(tblSales[[#This Row],[Date]])</f>
        <v>12</v>
      </c>
    </row>
    <row r="5663" spans="2:18" x14ac:dyDescent="0.35">
      <c r="B5663" s="113">
        <v>46363</v>
      </c>
      <c r="C5663" s="4" t="s">
        <v>3878</v>
      </c>
      <c r="D5663" s="4" t="s">
        <v>4568</v>
      </c>
      <c r="E5663" s="1" t="str">
        <f>_xlfn.XLOOKUP(tblSales[[#This Row],[Customer ID]],tblCustomers[Customer ID],tblCustomers[Customer Name],"⚠ Unknown")</f>
        <v>Walk-in Customer</v>
      </c>
      <c r="F5663" s="4" t="s">
        <v>9</v>
      </c>
      <c r="G5663" s="1" t="str">
        <f>_xlfn.XLOOKUP(tblSales[[#This Row],[Product Code]],tblProducts[Code],tblProducts[Product / Service Name],"⚠ Unknown")</f>
        <v>Casual Shirt</v>
      </c>
      <c r="H5663" s="1" t="str">
        <f>_xlfn.XLOOKUP(tblSales[[#This Row],[Product Code]],tblProducts[Code],tblProducts[Category],"")</f>
        <v>Apparel &amp; Footwear</v>
      </c>
      <c r="I5663" s="4">
        <v>10</v>
      </c>
      <c r="J5663" s="5">
        <f>_xlfn.XLOOKUP(tblSales[[#This Row],[Product Code]],tblProducts[Code],tblProducts[Selling Price (excl. VAT)],0)</f>
        <v>120000</v>
      </c>
      <c r="K5663" s="5">
        <f>tblSales[[#This Row],[Qty]]*tblSales[[#This Row],[Unit Price]]</f>
        <v>1200000</v>
      </c>
      <c r="L5663" s="5">
        <f>ROUND(tblSales[[#This Row],[DPP (excl. VAT)]]*VATEff,0)</f>
        <v>132000</v>
      </c>
      <c r="M5663" s="5">
        <f>tblSales[[#This Row],[DPP (excl. VAT)]]+tblSales[[#This Row],[Output VAT]]</f>
        <v>1332000</v>
      </c>
      <c r="N5663" s="5">
        <f>tblSales[[#This Row],[Qty]]*_xlfn.XLOOKUP(tblSales[[#This Row],[Product Code]],tblProducts[Code],tblProducts[Unit Cost],0)</f>
        <v>720000</v>
      </c>
      <c r="O5663" s="4" t="s">
        <v>4866</v>
      </c>
      <c r="P5663" s="4" t="s">
        <v>4862</v>
      </c>
      <c r="Q5663" s="1" t="str">
        <f>_xlfn.XLOOKUP(tblSales[[#This Row],[Channel Code]],tblChannels[Channel Code],tblChannels[Channel Name],"")</f>
        <v>Website &amp; Social Media</v>
      </c>
      <c r="R5663" s="1">
        <f>MONTH(tblSales[[#This Row],[Date]])</f>
        <v>12</v>
      </c>
    </row>
    <row r="5664" spans="2:18" x14ac:dyDescent="0.35">
      <c r="B5664" s="113">
        <v>46363</v>
      </c>
      <c r="C5664" s="4" t="s">
        <v>3878</v>
      </c>
      <c r="D5664" s="4" t="s">
        <v>4568</v>
      </c>
      <c r="E5664" s="1" t="str">
        <f>_xlfn.XLOOKUP(tblSales[[#This Row],[Customer ID]],tblCustomers[Customer ID],tblCustomers[Customer Name],"⚠ Unknown")</f>
        <v>Walk-in Customer</v>
      </c>
      <c r="F5664" s="4" t="s">
        <v>12</v>
      </c>
      <c r="G5664" s="1" t="str">
        <f>_xlfn.XLOOKUP(tblSales[[#This Row],[Product Code]],tblProducts[Code],tblProducts[Product / Service Name],"⚠ Unknown")</f>
        <v>Bomber Jacket</v>
      </c>
      <c r="H5664" s="1" t="str">
        <f>_xlfn.XLOOKUP(tblSales[[#This Row],[Product Code]],tblProducts[Code],tblProducts[Category],"")</f>
        <v>Apparel &amp; Footwear</v>
      </c>
      <c r="I5664" s="4">
        <v>3</v>
      </c>
      <c r="J5664" s="5">
        <f>_xlfn.XLOOKUP(tblSales[[#This Row],[Product Code]],tblProducts[Code],tblProducts[Selling Price (excl. VAT)],0)</f>
        <v>350000</v>
      </c>
      <c r="K5664" s="5">
        <f>tblSales[[#This Row],[Qty]]*tblSales[[#This Row],[Unit Price]]</f>
        <v>1050000</v>
      </c>
      <c r="L5664" s="5">
        <f>ROUND(tblSales[[#This Row],[DPP (excl. VAT)]]*VATEff,0)</f>
        <v>115500</v>
      </c>
      <c r="M5664" s="5">
        <f>tblSales[[#This Row],[DPP (excl. VAT)]]+tblSales[[#This Row],[Output VAT]]</f>
        <v>1165500</v>
      </c>
      <c r="N5664" s="5">
        <f>tblSales[[#This Row],[Qty]]*_xlfn.XLOOKUP(tblSales[[#This Row],[Product Code]],tblProducts[Code],tblProducts[Unit Cost],0)</f>
        <v>630000</v>
      </c>
      <c r="O5664" s="4" t="s">
        <v>4866</v>
      </c>
      <c r="P5664" s="4" t="s">
        <v>4862</v>
      </c>
      <c r="Q5664" s="1" t="str">
        <f>_xlfn.XLOOKUP(tblSales[[#This Row],[Channel Code]],tblChannels[Channel Code],tblChannels[Channel Name],"")</f>
        <v>Website &amp; Social Media</v>
      </c>
      <c r="R5664" s="1">
        <f>MONTH(tblSales[[#This Row],[Date]])</f>
        <v>12</v>
      </c>
    </row>
    <row r="5665" spans="2:18" x14ac:dyDescent="0.35">
      <c r="B5665" s="113">
        <v>46363</v>
      </c>
      <c r="C5665" s="4" t="s">
        <v>3878</v>
      </c>
      <c r="D5665" s="4" t="s">
        <v>4568</v>
      </c>
      <c r="E5665" s="1" t="str">
        <f>_xlfn.XLOOKUP(tblSales[[#This Row],[Customer ID]],tblCustomers[Customer ID],tblCustomers[Customer Name],"⚠ Unknown")</f>
        <v>Walk-in Customer</v>
      </c>
      <c r="F5665" s="4" t="s">
        <v>6</v>
      </c>
      <c r="G5665" s="1" t="str">
        <f>_xlfn.XLOOKUP(tblSales[[#This Row],[Product Code]],tblProducts[Code],tblProducts[Product / Service Name],"⚠ Unknown")</f>
        <v>Socks &amp; Accessories</v>
      </c>
      <c r="H5665" s="1" t="str">
        <f>_xlfn.XLOOKUP(tblSales[[#This Row],[Product Code]],tblProducts[Code],tblProducts[Category],"")</f>
        <v>Accessories &amp; Basics</v>
      </c>
      <c r="I5665" s="4">
        <v>9</v>
      </c>
      <c r="J5665" s="5">
        <f>_xlfn.XLOOKUP(tblSales[[#This Row],[Product Code]],tblProducts[Code],tblProducts[Selling Price (excl. VAT)],0)</f>
        <v>45000</v>
      </c>
      <c r="K5665" s="5">
        <f>tblSales[[#This Row],[Qty]]*tblSales[[#This Row],[Unit Price]]</f>
        <v>405000</v>
      </c>
      <c r="L5665" s="5">
        <f>ROUND(tblSales[[#This Row],[DPP (excl. VAT)]]*VATEff,0)</f>
        <v>44550</v>
      </c>
      <c r="M5665" s="5">
        <f>tblSales[[#This Row],[DPP (excl. VAT)]]+tblSales[[#This Row],[Output VAT]]</f>
        <v>449550</v>
      </c>
      <c r="N5665" s="5">
        <f>tblSales[[#This Row],[Qty]]*_xlfn.XLOOKUP(tblSales[[#This Row],[Product Code]],tblProducts[Code],tblProducts[Unit Cost],0)</f>
        <v>216000</v>
      </c>
      <c r="O5665" s="4" t="s">
        <v>4866</v>
      </c>
      <c r="P5665" s="4" t="s">
        <v>4862</v>
      </c>
      <c r="Q5665" s="1" t="str">
        <f>_xlfn.XLOOKUP(tblSales[[#This Row],[Channel Code]],tblChannels[Channel Code],tblChannels[Channel Name],"")</f>
        <v>Website &amp; Social Media</v>
      </c>
      <c r="R5665" s="1">
        <f>MONTH(tblSales[[#This Row],[Date]])</f>
        <v>12</v>
      </c>
    </row>
    <row r="5666" spans="2:18" x14ac:dyDescent="0.35">
      <c r="B5666" s="113">
        <v>46363</v>
      </c>
      <c r="C5666" s="4" t="s">
        <v>3879</v>
      </c>
      <c r="D5666" s="4" t="s">
        <v>4568</v>
      </c>
      <c r="E5666" s="1" t="str">
        <f>_xlfn.XLOOKUP(tblSales[[#This Row],[Customer ID]],tblCustomers[Customer ID],tblCustomers[Customer Name],"⚠ Unknown")</f>
        <v>Walk-in Customer</v>
      </c>
      <c r="F5666" s="4" t="s">
        <v>6</v>
      </c>
      <c r="G5666" s="1" t="str">
        <f>_xlfn.XLOOKUP(tblSales[[#This Row],[Product Code]],tblProducts[Code],tblProducts[Product / Service Name],"⚠ Unknown")</f>
        <v>Socks &amp; Accessories</v>
      </c>
      <c r="H5666" s="1" t="str">
        <f>_xlfn.XLOOKUP(tblSales[[#This Row],[Product Code]],tblProducts[Code],tblProducts[Category],"")</f>
        <v>Accessories &amp; Basics</v>
      </c>
      <c r="I5666" s="4">
        <v>2</v>
      </c>
      <c r="J5666" s="5">
        <f>_xlfn.XLOOKUP(tblSales[[#This Row],[Product Code]],tblProducts[Code],tblProducts[Selling Price (excl. VAT)],0)</f>
        <v>45000</v>
      </c>
      <c r="K5666" s="5">
        <f>tblSales[[#This Row],[Qty]]*tblSales[[#This Row],[Unit Price]]</f>
        <v>90000</v>
      </c>
      <c r="L5666" s="5">
        <f>ROUND(tblSales[[#This Row],[DPP (excl. VAT)]]*VATEff,0)</f>
        <v>9900</v>
      </c>
      <c r="M5666" s="5">
        <f>tblSales[[#This Row],[DPP (excl. VAT)]]+tblSales[[#This Row],[Output VAT]]</f>
        <v>99900</v>
      </c>
      <c r="N5666" s="5">
        <f>tblSales[[#This Row],[Qty]]*_xlfn.XLOOKUP(tblSales[[#This Row],[Product Code]],tblProducts[Code],tblProducts[Unit Cost],0)</f>
        <v>48000</v>
      </c>
      <c r="O5666" s="4" t="s">
        <v>4865</v>
      </c>
      <c r="P5666" s="4" t="s">
        <v>4860</v>
      </c>
      <c r="Q5666" s="1" t="str">
        <f>_xlfn.XLOOKUP(tblSales[[#This Row],[Channel Code]],tblChannels[Channel Code],tblChannels[Channel Name],"")</f>
        <v>In-store</v>
      </c>
      <c r="R5666" s="1">
        <f>MONTH(tblSales[[#This Row],[Date]])</f>
        <v>12</v>
      </c>
    </row>
    <row r="5667" spans="2:18" x14ac:dyDescent="0.35">
      <c r="B5667" s="113">
        <v>46363</v>
      </c>
      <c r="C5667" s="4" t="s">
        <v>3880</v>
      </c>
      <c r="D5667" s="4" t="s">
        <v>4568</v>
      </c>
      <c r="E5667" s="1" t="str">
        <f>_xlfn.XLOOKUP(tblSales[[#This Row],[Customer ID]],tblCustomers[Customer ID],tblCustomers[Customer Name],"⚠ Unknown")</f>
        <v>Walk-in Customer</v>
      </c>
      <c r="F5667" s="4" t="s">
        <v>15</v>
      </c>
      <c r="G5667" s="1" t="str">
        <f>_xlfn.XLOOKUP(tblSales[[#This Row],[Product Code]],tblProducts[Code],tblProducts[Product / Service Name],"⚠ Unknown")</f>
        <v>Wireless Earbuds Pro</v>
      </c>
      <c r="H5667" s="1" t="str">
        <f>_xlfn.XLOOKUP(tblSales[[#This Row],[Product Code]],tblProducts[Code],tblProducts[Category],"")</f>
        <v>Bags &amp; Gadgets</v>
      </c>
      <c r="I5667" s="4">
        <v>3</v>
      </c>
      <c r="J5667" s="5">
        <f>_xlfn.XLOOKUP(tblSales[[#This Row],[Product Code]],tblProducts[Code],tblProducts[Selling Price (excl. VAT)],0)</f>
        <v>1250000</v>
      </c>
      <c r="K5667" s="5">
        <f>tblSales[[#This Row],[Qty]]*tblSales[[#This Row],[Unit Price]]</f>
        <v>3750000</v>
      </c>
      <c r="L5667" s="5">
        <f>ROUND(tblSales[[#This Row],[DPP (excl. VAT)]]*VATEff,0)</f>
        <v>412500</v>
      </c>
      <c r="M5667" s="5">
        <f>tblSales[[#This Row],[DPP (excl. VAT)]]+tblSales[[#This Row],[Output VAT]]</f>
        <v>4162500</v>
      </c>
      <c r="N5667" s="5">
        <f>tblSales[[#This Row],[Qty]]*_xlfn.XLOOKUP(tblSales[[#This Row],[Product Code]],tblProducts[Code],tblProducts[Unit Cost],0)</f>
        <v>2460000</v>
      </c>
      <c r="O5667" s="4" t="s">
        <v>4866</v>
      </c>
      <c r="P5667" s="4" t="s">
        <v>4860</v>
      </c>
      <c r="Q5667" s="1" t="str">
        <f>_xlfn.XLOOKUP(tblSales[[#This Row],[Channel Code]],tblChannels[Channel Code],tblChannels[Channel Name],"")</f>
        <v>In-store</v>
      </c>
      <c r="R5667" s="1">
        <f>MONTH(tblSales[[#This Row],[Date]])</f>
        <v>12</v>
      </c>
    </row>
    <row r="5668" spans="2:18" x14ac:dyDescent="0.35">
      <c r="B5668" s="113">
        <v>46363</v>
      </c>
      <c r="C5668" s="4" t="s">
        <v>3880</v>
      </c>
      <c r="D5668" s="4" t="s">
        <v>4568</v>
      </c>
      <c r="E5668" s="1" t="str">
        <f>_xlfn.XLOOKUP(tblSales[[#This Row],[Customer ID]],tblCustomers[Customer ID],tblCustomers[Customer Name],"⚠ Unknown")</f>
        <v>Walk-in Customer</v>
      </c>
      <c r="F5668" s="4" t="s">
        <v>7</v>
      </c>
      <c r="G5668" s="1" t="str">
        <f>_xlfn.XLOOKUP(tblSales[[#This Row],[Product Code]],tblProducts[Code],tblProducts[Product / Service Name],"⚠ Unknown")</f>
        <v>Premium Basic T-shirt</v>
      </c>
      <c r="H5668" s="1" t="str">
        <f>_xlfn.XLOOKUP(tblSales[[#This Row],[Product Code]],tblProducts[Code],tblProducts[Category],"")</f>
        <v>Accessories &amp; Basics</v>
      </c>
      <c r="I5668" s="4">
        <v>10</v>
      </c>
      <c r="J5668" s="5">
        <f>_xlfn.XLOOKUP(tblSales[[#This Row],[Product Code]],tblProducts[Code],tblProducts[Selling Price (excl. VAT)],0)</f>
        <v>65000</v>
      </c>
      <c r="K5668" s="5">
        <f>tblSales[[#This Row],[Qty]]*tblSales[[#This Row],[Unit Price]]</f>
        <v>650000</v>
      </c>
      <c r="L5668" s="5">
        <f>ROUND(tblSales[[#This Row],[DPP (excl. VAT)]]*VATEff,0)</f>
        <v>71500</v>
      </c>
      <c r="M5668" s="5">
        <f>tblSales[[#This Row],[DPP (excl. VAT)]]+tblSales[[#This Row],[Output VAT]]</f>
        <v>721500</v>
      </c>
      <c r="N5668" s="5">
        <f>tblSales[[#This Row],[Qty]]*_xlfn.XLOOKUP(tblSales[[#This Row],[Product Code]],tblProducts[Code],tblProducts[Unit Cost],0)</f>
        <v>370000</v>
      </c>
      <c r="O5668" s="4" t="s">
        <v>4866</v>
      </c>
      <c r="P5668" s="4" t="s">
        <v>4860</v>
      </c>
      <c r="Q5668" s="1" t="str">
        <f>_xlfn.XLOOKUP(tblSales[[#This Row],[Channel Code]],tblChannels[Channel Code],tblChannels[Channel Name],"")</f>
        <v>In-store</v>
      </c>
      <c r="R5668" s="1">
        <f>MONTH(tblSales[[#This Row],[Date]])</f>
        <v>12</v>
      </c>
    </row>
    <row r="5669" spans="2:18" x14ac:dyDescent="0.35">
      <c r="B5669" s="113">
        <v>46363</v>
      </c>
      <c r="C5669" s="4" t="s">
        <v>3881</v>
      </c>
      <c r="D5669" s="4" t="s">
        <v>4568</v>
      </c>
      <c r="E5669" s="1" t="str">
        <f>_xlfn.XLOOKUP(tblSales[[#This Row],[Customer ID]],tblCustomers[Customer ID],tblCustomers[Customer Name],"⚠ Unknown")</f>
        <v>Walk-in Customer</v>
      </c>
      <c r="F5669" s="4" t="s">
        <v>9</v>
      </c>
      <c r="G5669" s="1" t="str">
        <f>_xlfn.XLOOKUP(tblSales[[#This Row],[Product Code]],tblProducts[Code],tblProducts[Product / Service Name],"⚠ Unknown")</f>
        <v>Casual Shirt</v>
      </c>
      <c r="H5669" s="1" t="str">
        <f>_xlfn.XLOOKUP(tblSales[[#This Row],[Product Code]],tblProducts[Code],tblProducts[Category],"")</f>
        <v>Apparel &amp; Footwear</v>
      </c>
      <c r="I5669" s="4">
        <v>10</v>
      </c>
      <c r="J5669" s="5">
        <f>_xlfn.XLOOKUP(tblSales[[#This Row],[Product Code]],tblProducts[Code],tblProducts[Selling Price (excl. VAT)],0)</f>
        <v>120000</v>
      </c>
      <c r="K5669" s="5">
        <f>tblSales[[#This Row],[Qty]]*tblSales[[#This Row],[Unit Price]]</f>
        <v>1200000</v>
      </c>
      <c r="L5669" s="5">
        <f>ROUND(tblSales[[#This Row],[DPP (excl. VAT)]]*VATEff,0)</f>
        <v>132000</v>
      </c>
      <c r="M5669" s="5">
        <f>tblSales[[#This Row],[DPP (excl. VAT)]]+tblSales[[#This Row],[Output VAT]]</f>
        <v>1332000</v>
      </c>
      <c r="N5669" s="5">
        <f>tblSales[[#This Row],[Qty]]*_xlfn.XLOOKUP(tblSales[[#This Row],[Product Code]],tblProducts[Code],tblProducts[Unit Cost],0)</f>
        <v>720000</v>
      </c>
      <c r="O5669" s="4" t="s">
        <v>4865</v>
      </c>
      <c r="P5669" s="4" t="s">
        <v>4860</v>
      </c>
      <c r="Q5669" s="1" t="str">
        <f>_xlfn.XLOOKUP(tblSales[[#This Row],[Channel Code]],tblChannels[Channel Code],tblChannels[Channel Name],"")</f>
        <v>In-store</v>
      </c>
      <c r="R5669" s="1">
        <f>MONTH(tblSales[[#This Row],[Date]])</f>
        <v>12</v>
      </c>
    </row>
    <row r="5670" spans="2:18" x14ac:dyDescent="0.35">
      <c r="B5670" s="113">
        <v>46363</v>
      </c>
      <c r="C5670" s="4" t="s">
        <v>3882</v>
      </c>
      <c r="D5670" s="4" t="s">
        <v>4568</v>
      </c>
      <c r="E5670" s="1" t="str">
        <f>_xlfn.XLOOKUP(tblSales[[#This Row],[Customer ID]],tblCustomers[Customer ID],tblCustomers[Customer Name],"⚠ Unknown")</f>
        <v>Walk-in Customer</v>
      </c>
      <c r="F5670" s="4" t="s">
        <v>14</v>
      </c>
      <c r="G5670" s="1" t="str">
        <f>_xlfn.XLOOKUP(tblSales[[#This Row],[Product Code]],tblProducts[Code],tblProducts[Product / Service Name],"⚠ Unknown")</f>
        <v>Smartwatch</v>
      </c>
      <c r="H5670" s="1" t="str">
        <f>_xlfn.XLOOKUP(tblSales[[#This Row],[Product Code]],tblProducts[Code],tblProducts[Category],"")</f>
        <v>Bags &amp; Gadgets</v>
      </c>
      <c r="I5670" s="4">
        <v>1</v>
      </c>
      <c r="J5670" s="5">
        <f>_xlfn.XLOOKUP(tblSales[[#This Row],[Product Code]],tblProducts[Code],tblProducts[Selling Price (excl. VAT)],0)</f>
        <v>850000</v>
      </c>
      <c r="K5670" s="5">
        <f>tblSales[[#This Row],[Qty]]*tblSales[[#This Row],[Unit Price]]</f>
        <v>850000</v>
      </c>
      <c r="L5670" s="5">
        <f>ROUND(tblSales[[#This Row],[DPP (excl. VAT)]]*VATEff,0)</f>
        <v>93500</v>
      </c>
      <c r="M5670" s="5">
        <f>tblSales[[#This Row],[DPP (excl. VAT)]]+tblSales[[#This Row],[Output VAT]]</f>
        <v>943500</v>
      </c>
      <c r="N5670" s="5">
        <f>tblSales[[#This Row],[Qty]]*_xlfn.XLOOKUP(tblSales[[#This Row],[Product Code]],tblProducts[Code],tblProducts[Unit Cost],0)</f>
        <v>560000</v>
      </c>
      <c r="O5670" s="4" t="s">
        <v>4865</v>
      </c>
      <c r="P5670" s="4" t="s">
        <v>4860</v>
      </c>
      <c r="Q5670" s="1" t="str">
        <f>_xlfn.XLOOKUP(tblSales[[#This Row],[Channel Code]],tblChannels[Channel Code],tblChannels[Channel Name],"")</f>
        <v>In-store</v>
      </c>
      <c r="R5670" s="1">
        <f>MONTH(tblSales[[#This Row],[Date]])</f>
        <v>12</v>
      </c>
    </row>
    <row r="5671" spans="2:18" x14ac:dyDescent="0.35">
      <c r="B5671" s="113">
        <v>46363</v>
      </c>
      <c r="C5671" s="4" t="s">
        <v>3883</v>
      </c>
      <c r="D5671" s="4" t="s">
        <v>4568</v>
      </c>
      <c r="E5671" s="1" t="str">
        <f>_xlfn.XLOOKUP(tblSales[[#This Row],[Customer ID]],tblCustomers[Customer ID],tblCustomers[Customer Name],"⚠ Unknown")</f>
        <v>Walk-in Customer</v>
      </c>
      <c r="F5671" s="4" t="s">
        <v>7</v>
      </c>
      <c r="G5671" s="1" t="str">
        <f>_xlfn.XLOOKUP(tblSales[[#This Row],[Product Code]],tblProducts[Code],tblProducts[Product / Service Name],"⚠ Unknown")</f>
        <v>Premium Basic T-shirt</v>
      </c>
      <c r="H5671" s="1" t="str">
        <f>_xlfn.XLOOKUP(tblSales[[#This Row],[Product Code]],tblProducts[Code],tblProducts[Category],"")</f>
        <v>Accessories &amp; Basics</v>
      </c>
      <c r="I5671" s="4">
        <v>11</v>
      </c>
      <c r="J5671" s="5">
        <f>_xlfn.XLOOKUP(tblSales[[#This Row],[Product Code]],tblProducts[Code],tblProducts[Selling Price (excl. VAT)],0)</f>
        <v>65000</v>
      </c>
      <c r="K5671" s="5">
        <f>tblSales[[#This Row],[Qty]]*tblSales[[#This Row],[Unit Price]]</f>
        <v>715000</v>
      </c>
      <c r="L5671" s="5">
        <f>ROUND(tblSales[[#This Row],[DPP (excl. VAT)]]*VATEff,0)</f>
        <v>78650</v>
      </c>
      <c r="M5671" s="5">
        <f>tblSales[[#This Row],[DPP (excl. VAT)]]+tblSales[[#This Row],[Output VAT]]</f>
        <v>793650</v>
      </c>
      <c r="N5671" s="5">
        <f>tblSales[[#This Row],[Qty]]*_xlfn.XLOOKUP(tblSales[[#This Row],[Product Code]],tblProducts[Code],tblProducts[Unit Cost],0)</f>
        <v>407000</v>
      </c>
      <c r="O5671" s="4" t="s">
        <v>4865</v>
      </c>
      <c r="P5671" s="4" t="s">
        <v>4860</v>
      </c>
      <c r="Q5671" s="1" t="str">
        <f>_xlfn.XLOOKUP(tblSales[[#This Row],[Channel Code]],tblChannels[Channel Code],tblChannels[Channel Name],"")</f>
        <v>In-store</v>
      </c>
      <c r="R5671" s="1">
        <f>MONTH(tblSales[[#This Row],[Date]])</f>
        <v>12</v>
      </c>
    </row>
    <row r="5672" spans="2:18" x14ac:dyDescent="0.35">
      <c r="B5672" s="113">
        <v>46363</v>
      </c>
      <c r="C5672" s="4" t="s">
        <v>3883</v>
      </c>
      <c r="D5672" s="4" t="s">
        <v>4568</v>
      </c>
      <c r="E5672" s="1" t="str">
        <f>_xlfn.XLOOKUP(tblSales[[#This Row],[Customer ID]],tblCustomers[Customer ID],tblCustomers[Customer Name],"⚠ Unknown")</f>
        <v>Walk-in Customer</v>
      </c>
      <c r="F5672" s="4" t="s">
        <v>9</v>
      </c>
      <c r="G5672" s="1" t="str">
        <f>_xlfn.XLOOKUP(tblSales[[#This Row],[Product Code]],tblProducts[Code],tblProducts[Product / Service Name],"⚠ Unknown")</f>
        <v>Casual Shirt</v>
      </c>
      <c r="H5672" s="1" t="str">
        <f>_xlfn.XLOOKUP(tblSales[[#This Row],[Product Code]],tblProducts[Code],tblProducts[Category],"")</f>
        <v>Apparel &amp; Footwear</v>
      </c>
      <c r="I5672" s="4">
        <v>1</v>
      </c>
      <c r="J5672" s="5">
        <f>_xlfn.XLOOKUP(tblSales[[#This Row],[Product Code]],tblProducts[Code],tblProducts[Selling Price (excl. VAT)],0)</f>
        <v>120000</v>
      </c>
      <c r="K5672" s="5">
        <f>tblSales[[#This Row],[Qty]]*tblSales[[#This Row],[Unit Price]]</f>
        <v>120000</v>
      </c>
      <c r="L5672" s="5">
        <f>ROUND(tblSales[[#This Row],[DPP (excl. VAT)]]*VATEff,0)</f>
        <v>13200</v>
      </c>
      <c r="M5672" s="5">
        <f>tblSales[[#This Row],[DPP (excl. VAT)]]+tblSales[[#This Row],[Output VAT]]</f>
        <v>133200</v>
      </c>
      <c r="N5672" s="5">
        <f>tblSales[[#This Row],[Qty]]*_xlfn.XLOOKUP(tblSales[[#This Row],[Product Code]],tblProducts[Code],tblProducts[Unit Cost],0)</f>
        <v>72000</v>
      </c>
      <c r="O5672" s="4" t="s">
        <v>4865</v>
      </c>
      <c r="P5672" s="4" t="s">
        <v>4860</v>
      </c>
      <c r="Q5672" s="1" t="str">
        <f>_xlfn.XLOOKUP(tblSales[[#This Row],[Channel Code]],tblChannels[Channel Code],tblChannels[Channel Name],"")</f>
        <v>In-store</v>
      </c>
      <c r="R5672" s="1">
        <f>MONTH(tblSales[[#This Row],[Date]])</f>
        <v>12</v>
      </c>
    </row>
    <row r="5673" spans="2:18" x14ac:dyDescent="0.35">
      <c r="B5673" s="113">
        <v>46363</v>
      </c>
      <c r="C5673" s="4" t="s">
        <v>3884</v>
      </c>
      <c r="D5673" s="4" t="s">
        <v>4568</v>
      </c>
      <c r="E5673" s="1" t="str">
        <f>_xlfn.XLOOKUP(tblSales[[#This Row],[Customer ID]],tblCustomers[Customer ID],tblCustomers[Customer Name],"⚠ Unknown")</f>
        <v>Walk-in Customer</v>
      </c>
      <c r="F5673" s="4" t="s">
        <v>7</v>
      </c>
      <c r="G5673" s="1" t="str">
        <f>_xlfn.XLOOKUP(tblSales[[#This Row],[Product Code]],tblProducts[Code],tblProducts[Product / Service Name],"⚠ Unknown")</f>
        <v>Premium Basic T-shirt</v>
      </c>
      <c r="H5673" s="1" t="str">
        <f>_xlfn.XLOOKUP(tblSales[[#This Row],[Product Code]],tblProducts[Code],tblProducts[Category],"")</f>
        <v>Accessories &amp; Basics</v>
      </c>
      <c r="I5673" s="4">
        <v>8</v>
      </c>
      <c r="J5673" s="5">
        <f>_xlfn.XLOOKUP(tblSales[[#This Row],[Product Code]],tblProducts[Code],tblProducts[Selling Price (excl. VAT)],0)</f>
        <v>65000</v>
      </c>
      <c r="K5673" s="5">
        <f>tblSales[[#This Row],[Qty]]*tblSales[[#This Row],[Unit Price]]</f>
        <v>520000</v>
      </c>
      <c r="L5673" s="5">
        <f>ROUND(tblSales[[#This Row],[DPP (excl. VAT)]]*VATEff,0)</f>
        <v>57200</v>
      </c>
      <c r="M5673" s="5">
        <f>tblSales[[#This Row],[DPP (excl. VAT)]]+tblSales[[#This Row],[Output VAT]]</f>
        <v>577200</v>
      </c>
      <c r="N5673" s="5">
        <f>tblSales[[#This Row],[Qty]]*_xlfn.XLOOKUP(tblSales[[#This Row],[Product Code]],tblProducts[Code],tblProducts[Unit Cost],0)</f>
        <v>296000</v>
      </c>
      <c r="O5673" s="4" t="s">
        <v>4866</v>
      </c>
      <c r="P5673" s="4" t="s">
        <v>4861</v>
      </c>
      <c r="Q5673" s="1" t="str">
        <f>_xlfn.XLOOKUP(tblSales[[#This Row],[Channel Code]],tblChannels[Channel Code],tblChannels[Channel Name],"")</f>
        <v>Marketplace</v>
      </c>
      <c r="R5673" s="1">
        <f>MONTH(tblSales[[#This Row],[Date]])</f>
        <v>12</v>
      </c>
    </row>
    <row r="5674" spans="2:18" x14ac:dyDescent="0.35">
      <c r="B5674" s="113">
        <v>46363</v>
      </c>
      <c r="C5674" s="4" t="s">
        <v>3885</v>
      </c>
      <c r="D5674" s="4" t="s">
        <v>4568</v>
      </c>
      <c r="E5674" s="1" t="str">
        <f>_xlfn.XLOOKUP(tblSales[[#This Row],[Customer ID]],tblCustomers[Customer ID],tblCustomers[Customer Name],"⚠ Unknown")</f>
        <v>Walk-in Customer</v>
      </c>
      <c r="F5674" s="4" t="s">
        <v>7</v>
      </c>
      <c r="G5674" s="1" t="str">
        <f>_xlfn.XLOOKUP(tblSales[[#This Row],[Product Code]],tblProducts[Code],tblProducts[Product / Service Name],"⚠ Unknown")</f>
        <v>Premium Basic T-shirt</v>
      </c>
      <c r="H5674" s="1" t="str">
        <f>_xlfn.XLOOKUP(tblSales[[#This Row],[Product Code]],tblProducts[Code],tblProducts[Category],"")</f>
        <v>Accessories &amp; Basics</v>
      </c>
      <c r="I5674" s="4">
        <v>7</v>
      </c>
      <c r="J5674" s="5">
        <f>_xlfn.XLOOKUP(tblSales[[#This Row],[Product Code]],tblProducts[Code],tblProducts[Selling Price (excl. VAT)],0)</f>
        <v>65000</v>
      </c>
      <c r="K5674" s="5">
        <f>tblSales[[#This Row],[Qty]]*tblSales[[#This Row],[Unit Price]]</f>
        <v>455000</v>
      </c>
      <c r="L5674" s="5">
        <f>ROUND(tblSales[[#This Row],[DPP (excl. VAT)]]*VATEff,0)</f>
        <v>50050</v>
      </c>
      <c r="M5674" s="5">
        <f>tblSales[[#This Row],[DPP (excl. VAT)]]+tblSales[[#This Row],[Output VAT]]</f>
        <v>505050</v>
      </c>
      <c r="N5674" s="5">
        <f>tblSales[[#This Row],[Qty]]*_xlfn.XLOOKUP(tblSales[[#This Row],[Product Code]],tblProducts[Code],tblProducts[Unit Cost],0)</f>
        <v>259000</v>
      </c>
      <c r="O5674" s="4" t="s">
        <v>4866</v>
      </c>
      <c r="P5674" s="4" t="s">
        <v>4860</v>
      </c>
      <c r="Q5674" s="1" t="str">
        <f>_xlfn.XLOOKUP(tblSales[[#This Row],[Channel Code]],tblChannels[Channel Code],tblChannels[Channel Name],"")</f>
        <v>In-store</v>
      </c>
      <c r="R5674" s="1">
        <f>MONTH(tblSales[[#This Row],[Date]])</f>
        <v>12</v>
      </c>
    </row>
    <row r="5675" spans="2:18" x14ac:dyDescent="0.35">
      <c r="B5675" s="113">
        <v>46363</v>
      </c>
      <c r="C5675" s="4" t="s">
        <v>3886</v>
      </c>
      <c r="D5675" s="4" t="s">
        <v>4568</v>
      </c>
      <c r="E5675" s="1" t="str">
        <f>_xlfn.XLOOKUP(tblSales[[#This Row],[Customer ID]],tblCustomers[Customer ID],tblCustomers[Customer Name],"⚠ Unknown")</f>
        <v>Walk-in Customer</v>
      </c>
      <c r="F5675" s="4" t="s">
        <v>10</v>
      </c>
      <c r="G5675" s="1" t="str">
        <f>_xlfn.XLOOKUP(tblSales[[#This Row],[Product Code]],tblProducts[Code],tblProducts[Product / Service Name],"⚠ Unknown")</f>
        <v>Chino Pants</v>
      </c>
      <c r="H5675" s="1" t="str">
        <f>_xlfn.XLOOKUP(tblSales[[#This Row],[Product Code]],tblProducts[Code],tblProducts[Category],"")</f>
        <v>Apparel &amp; Footwear</v>
      </c>
      <c r="I5675" s="4">
        <v>3</v>
      </c>
      <c r="J5675" s="5">
        <f>_xlfn.XLOOKUP(tblSales[[#This Row],[Product Code]],tblProducts[Code],tblProducts[Selling Price (excl. VAT)],0)</f>
        <v>150000</v>
      </c>
      <c r="K5675" s="5">
        <f>tblSales[[#This Row],[Qty]]*tblSales[[#This Row],[Unit Price]]</f>
        <v>450000</v>
      </c>
      <c r="L5675" s="5">
        <f>ROUND(tblSales[[#This Row],[DPP (excl. VAT)]]*VATEff,0)</f>
        <v>49500</v>
      </c>
      <c r="M5675" s="5">
        <f>tblSales[[#This Row],[DPP (excl. VAT)]]+tblSales[[#This Row],[Output VAT]]</f>
        <v>499500</v>
      </c>
      <c r="N5675" s="5">
        <f>tblSales[[#This Row],[Qty]]*_xlfn.XLOOKUP(tblSales[[#This Row],[Product Code]],tblProducts[Code],tblProducts[Unit Cost],0)</f>
        <v>264000</v>
      </c>
      <c r="O5675" s="4" t="s">
        <v>4866</v>
      </c>
      <c r="P5675" s="4" t="s">
        <v>4862</v>
      </c>
      <c r="Q5675" s="1" t="str">
        <f>_xlfn.XLOOKUP(tblSales[[#This Row],[Channel Code]],tblChannels[Channel Code],tblChannels[Channel Name],"")</f>
        <v>Website &amp; Social Media</v>
      </c>
      <c r="R5675" s="1">
        <f>MONTH(tblSales[[#This Row],[Date]])</f>
        <v>12</v>
      </c>
    </row>
    <row r="5676" spans="2:18" x14ac:dyDescent="0.35">
      <c r="B5676" s="113">
        <v>46363</v>
      </c>
      <c r="C5676" s="4" t="s">
        <v>3887</v>
      </c>
      <c r="D5676" s="4" t="s">
        <v>4568</v>
      </c>
      <c r="E5676" s="1" t="str">
        <f>_xlfn.XLOOKUP(tblSales[[#This Row],[Customer ID]],tblCustomers[Customer ID],tblCustomers[Customer Name],"⚠ Unknown")</f>
        <v>Walk-in Customer</v>
      </c>
      <c r="F5676" s="4" t="s">
        <v>10</v>
      </c>
      <c r="G5676" s="1" t="str">
        <f>_xlfn.XLOOKUP(tblSales[[#This Row],[Product Code]],tblProducts[Code],tblProducts[Product / Service Name],"⚠ Unknown")</f>
        <v>Chino Pants</v>
      </c>
      <c r="H5676" s="1" t="str">
        <f>_xlfn.XLOOKUP(tblSales[[#This Row],[Product Code]],tblProducts[Code],tblProducts[Category],"")</f>
        <v>Apparel &amp; Footwear</v>
      </c>
      <c r="I5676" s="4">
        <v>4</v>
      </c>
      <c r="J5676" s="5">
        <f>_xlfn.XLOOKUP(tblSales[[#This Row],[Product Code]],tblProducts[Code],tblProducts[Selling Price (excl. VAT)],0)</f>
        <v>150000</v>
      </c>
      <c r="K5676" s="5">
        <f>tblSales[[#This Row],[Qty]]*tblSales[[#This Row],[Unit Price]]</f>
        <v>600000</v>
      </c>
      <c r="L5676" s="5">
        <f>ROUND(tblSales[[#This Row],[DPP (excl. VAT)]]*VATEff,0)</f>
        <v>66000</v>
      </c>
      <c r="M5676" s="5">
        <f>tblSales[[#This Row],[DPP (excl. VAT)]]+tblSales[[#This Row],[Output VAT]]</f>
        <v>666000</v>
      </c>
      <c r="N5676" s="5">
        <f>tblSales[[#This Row],[Qty]]*_xlfn.XLOOKUP(tblSales[[#This Row],[Product Code]],tblProducts[Code],tblProducts[Unit Cost],0)</f>
        <v>352000</v>
      </c>
      <c r="O5676" s="4" t="s">
        <v>4865</v>
      </c>
      <c r="P5676" s="4" t="s">
        <v>4860</v>
      </c>
      <c r="Q5676" s="1" t="str">
        <f>_xlfn.XLOOKUP(tblSales[[#This Row],[Channel Code]],tblChannels[Channel Code],tblChannels[Channel Name],"")</f>
        <v>In-store</v>
      </c>
      <c r="R5676" s="1">
        <f>MONTH(tblSales[[#This Row],[Date]])</f>
        <v>12</v>
      </c>
    </row>
    <row r="5677" spans="2:18" x14ac:dyDescent="0.35">
      <c r="B5677" s="113">
        <v>46363</v>
      </c>
      <c r="C5677" s="4" t="s">
        <v>3888</v>
      </c>
      <c r="D5677" s="4" t="s">
        <v>4568</v>
      </c>
      <c r="E5677" s="1" t="str">
        <f>_xlfn.XLOOKUP(tblSales[[#This Row],[Customer ID]],tblCustomers[Customer ID],tblCustomers[Customer Name],"⚠ Unknown")</f>
        <v>Walk-in Customer</v>
      </c>
      <c r="F5677" s="4" t="s">
        <v>14</v>
      </c>
      <c r="G5677" s="1" t="str">
        <f>_xlfn.XLOOKUP(tblSales[[#This Row],[Product Code]],tblProducts[Code],tblProducts[Product / Service Name],"⚠ Unknown")</f>
        <v>Smartwatch</v>
      </c>
      <c r="H5677" s="1" t="str">
        <f>_xlfn.XLOOKUP(tblSales[[#This Row],[Product Code]],tblProducts[Code],tblProducts[Category],"")</f>
        <v>Bags &amp; Gadgets</v>
      </c>
      <c r="I5677" s="4">
        <v>1</v>
      </c>
      <c r="J5677" s="5">
        <f>_xlfn.XLOOKUP(tblSales[[#This Row],[Product Code]],tblProducts[Code],tblProducts[Selling Price (excl. VAT)],0)</f>
        <v>850000</v>
      </c>
      <c r="K5677" s="5">
        <f>tblSales[[#This Row],[Qty]]*tblSales[[#This Row],[Unit Price]]</f>
        <v>850000</v>
      </c>
      <c r="L5677" s="5">
        <f>ROUND(tblSales[[#This Row],[DPP (excl. VAT)]]*VATEff,0)</f>
        <v>93500</v>
      </c>
      <c r="M5677" s="5">
        <f>tblSales[[#This Row],[DPP (excl. VAT)]]+tblSales[[#This Row],[Output VAT]]</f>
        <v>943500</v>
      </c>
      <c r="N5677" s="5">
        <f>tblSales[[#This Row],[Qty]]*_xlfn.XLOOKUP(tblSales[[#This Row],[Product Code]],tblProducts[Code],tblProducts[Unit Cost],0)</f>
        <v>560000</v>
      </c>
      <c r="O5677" s="4" t="s">
        <v>4866</v>
      </c>
      <c r="P5677" s="4" t="s">
        <v>4861</v>
      </c>
      <c r="Q5677" s="1" t="str">
        <f>_xlfn.XLOOKUP(tblSales[[#This Row],[Channel Code]],tblChannels[Channel Code],tblChannels[Channel Name],"")</f>
        <v>Marketplace</v>
      </c>
      <c r="R5677" s="1">
        <f>MONTH(tblSales[[#This Row],[Date]])</f>
        <v>12</v>
      </c>
    </row>
    <row r="5678" spans="2:18" x14ac:dyDescent="0.35">
      <c r="B5678" s="113">
        <v>46363</v>
      </c>
      <c r="C5678" s="4" t="s">
        <v>3889</v>
      </c>
      <c r="D5678" s="4" t="s">
        <v>4599</v>
      </c>
      <c r="E5678" s="1" t="str">
        <f>_xlfn.XLOOKUP(tblSales[[#This Row],[Customer ID]],tblCustomers[Customer ID],tblCustomers[Customer Name],"⚠ Unknown")</f>
        <v>PT Samudra Jaya Logistik</v>
      </c>
      <c r="F5678" s="4" t="s">
        <v>8</v>
      </c>
      <c r="G5678" s="1" t="str">
        <f>_xlfn.XLOOKUP(tblSales[[#This Row],[Product Code]],tblProducts[Code],tblProducts[Product / Service Name],"⚠ Unknown")</f>
        <v>Casual Shorts</v>
      </c>
      <c r="H5678" s="1" t="str">
        <f>_xlfn.XLOOKUP(tblSales[[#This Row],[Product Code]],tblProducts[Code],tblProducts[Category],"")</f>
        <v>Accessories &amp; Basics</v>
      </c>
      <c r="I5678" s="4">
        <v>32</v>
      </c>
      <c r="J5678" s="5">
        <f>_xlfn.XLOOKUP(tblSales[[#This Row],[Product Code]],tblProducts[Code],tblProducts[Selling Price (excl. VAT)],0)</f>
        <v>85000</v>
      </c>
      <c r="K5678" s="5">
        <f>tblSales[[#This Row],[Qty]]*tblSales[[#This Row],[Unit Price]]</f>
        <v>2720000</v>
      </c>
      <c r="L5678" s="5">
        <f>ROUND(tblSales[[#This Row],[DPP (excl. VAT)]]*VATEff,0)</f>
        <v>299200</v>
      </c>
      <c r="M5678" s="5">
        <f>tblSales[[#This Row],[DPP (excl. VAT)]]+tblSales[[#This Row],[Output VAT]]</f>
        <v>3019200</v>
      </c>
      <c r="N5678" s="5">
        <f>tblSales[[#This Row],[Qty]]*_xlfn.XLOOKUP(tblSales[[#This Row],[Product Code]],tblProducts[Code],tblProducts[Unit Cost],0)</f>
        <v>1600000</v>
      </c>
      <c r="O5678" s="4" t="s">
        <v>4867</v>
      </c>
      <c r="P5678" s="4" t="s">
        <v>4860</v>
      </c>
      <c r="Q5678" s="1" t="str">
        <f>_xlfn.XLOOKUP(tblSales[[#This Row],[Channel Code]],tblChannels[Channel Code],tblChannels[Channel Name],"")</f>
        <v>In-store</v>
      </c>
      <c r="R5678" s="1">
        <f>MONTH(tblSales[[#This Row],[Date]])</f>
        <v>12</v>
      </c>
    </row>
    <row r="5679" spans="2:18" x14ac:dyDescent="0.35">
      <c r="B5679" s="113">
        <v>46363</v>
      </c>
      <c r="C5679" s="4" t="s">
        <v>3889</v>
      </c>
      <c r="D5679" s="4" t="s">
        <v>4599</v>
      </c>
      <c r="E5679" s="1" t="str">
        <f>_xlfn.XLOOKUP(tblSales[[#This Row],[Customer ID]],tblCustomers[Customer ID],tblCustomers[Customer Name],"⚠ Unknown")</f>
        <v>PT Samudra Jaya Logistik</v>
      </c>
      <c r="F5679" s="4" t="s">
        <v>6</v>
      </c>
      <c r="G5679" s="1" t="str">
        <f>_xlfn.XLOOKUP(tblSales[[#This Row],[Product Code]],tblProducts[Code],tblProducts[Product / Service Name],"⚠ Unknown")</f>
        <v>Socks &amp; Accessories</v>
      </c>
      <c r="H5679" s="1" t="str">
        <f>_xlfn.XLOOKUP(tblSales[[#This Row],[Product Code]],tblProducts[Code],tblProducts[Category],"")</f>
        <v>Accessories &amp; Basics</v>
      </c>
      <c r="I5679" s="4">
        <v>64</v>
      </c>
      <c r="J5679" s="5">
        <f>_xlfn.XLOOKUP(tblSales[[#This Row],[Product Code]],tblProducts[Code],tblProducts[Selling Price (excl. VAT)],0)</f>
        <v>45000</v>
      </c>
      <c r="K5679" s="5">
        <f>tblSales[[#This Row],[Qty]]*tblSales[[#This Row],[Unit Price]]</f>
        <v>2880000</v>
      </c>
      <c r="L5679" s="5">
        <f>ROUND(tblSales[[#This Row],[DPP (excl. VAT)]]*VATEff,0)</f>
        <v>316800</v>
      </c>
      <c r="M5679" s="5">
        <f>tblSales[[#This Row],[DPP (excl. VAT)]]+tblSales[[#This Row],[Output VAT]]</f>
        <v>3196800</v>
      </c>
      <c r="N5679" s="5">
        <f>tblSales[[#This Row],[Qty]]*_xlfn.XLOOKUP(tblSales[[#This Row],[Product Code]],tblProducts[Code],tblProducts[Unit Cost],0)</f>
        <v>1536000</v>
      </c>
      <c r="O5679" s="4" t="s">
        <v>4867</v>
      </c>
      <c r="P5679" s="4" t="s">
        <v>4860</v>
      </c>
      <c r="Q5679" s="1" t="str">
        <f>_xlfn.XLOOKUP(tblSales[[#This Row],[Channel Code]],tblChannels[Channel Code],tblChannels[Channel Name],"")</f>
        <v>In-store</v>
      </c>
      <c r="R5679" s="1">
        <f>MONTH(tblSales[[#This Row],[Date]])</f>
        <v>12</v>
      </c>
    </row>
    <row r="5680" spans="2:18" x14ac:dyDescent="0.35">
      <c r="B5680" s="113">
        <v>46363</v>
      </c>
      <c r="C5680" s="4" t="s">
        <v>3889</v>
      </c>
      <c r="D5680" s="4" t="s">
        <v>4599</v>
      </c>
      <c r="E5680" s="1" t="str">
        <f>_xlfn.XLOOKUP(tblSales[[#This Row],[Customer ID]],tblCustomers[Customer ID],tblCustomers[Customer Name],"⚠ Unknown")</f>
        <v>PT Samudra Jaya Logistik</v>
      </c>
      <c r="F5680" s="4" t="s">
        <v>9</v>
      </c>
      <c r="G5680" s="1" t="str">
        <f>_xlfn.XLOOKUP(tblSales[[#This Row],[Product Code]],tblProducts[Code],tblProducts[Product / Service Name],"⚠ Unknown")</f>
        <v>Casual Shirt</v>
      </c>
      <c r="H5680" s="1" t="str">
        <f>_xlfn.XLOOKUP(tblSales[[#This Row],[Product Code]],tblProducts[Code],tblProducts[Category],"")</f>
        <v>Apparel &amp; Footwear</v>
      </c>
      <c r="I5680" s="4">
        <v>96</v>
      </c>
      <c r="J5680" s="5">
        <f>_xlfn.XLOOKUP(tblSales[[#This Row],[Product Code]],tblProducts[Code],tblProducts[Selling Price (excl. VAT)],0)</f>
        <v>120000</v>
      </c>
      <c r="K5680" s="5">
        <f>tblSales[[#This Row],[Qty]]*tblSales[[#This Row],[Unit Price]]</f>
        <v>11520000</v>
      </c>
      <c r="L5680" s="5">
        <f>ROUND(tblSales[[#This Row],[DPP (excl. VAT)]]*VATEff,0)</f>
        <v>1267200</v>
      </c>
      <c r="M5680" s="5">
        <f>tblSales[[#This Row],[DPP (excl. VAT)]]+tblSales[[#This Row],[Output VAT]]</f>
        <v>12787200</v>
      </c>
      <c r="N5680" s="5">
        <f>tblSales[[#This Row],[Qty]]*_xlfn.XLOOKUP(tblSales[[#This Row],[Product Code]],tblProducts[Code],tblProducts[Unit Cost],0)</f>
        <v>6912000</v>
      </c>
      <c r="O5680" s="4" t="s">
        <v>4867</v>
      </c>
      <c r="P5680" s="4" t="s">
        <v>4860</v>
      </c>
      <c r="Q5680" s="1" t="str">
        <f>_xlfn.XLOOKUP(tblSales[[#This Row],[Channel Code]],tblChannels[Channel Code],tblChannels[Channel Name],"")</f>
        <v>In-store</v>
      </c>
      <c r="R5680" s="1">
        <f>MONTH(tblSales[[#This Row],[Date]])</f>
        <v>12</v>
      </c>
    </row>
    <row r="5681" spans="2:18" x14ac:dyDescent="0.35">
      <c r="B5681" s="113">
        <v>46364</v>
      </c>
      <c r="C5681" s="4" t="s">
        <v>3890</v>
      </c>
      <c r="D5681" s="4" t="s">
        <v>4568</v>
      </c>
      <c r="E5681" s="1" t="str">
        <f>_xlfn.XLOOKUP(tblSales[[#This Row],[Customer ID]],tblCustomers[Customer ID],tblCustomers[Customer Name],"⚠ Unknown")</f>
        <v>Walk-in Customer</v>
      </c>
      <c r="F5681" s="4" t="s">
        <v>8</v>
      </c>
      <c r="G5681" s="1" t="str">
        <f>_xlfn.XLOOKUP(tblSales[[#This Row],[Product Code]],tblProducts[Code],tblProducts[Product / Service Name],"⚠ Unknown")</f>
        <v>Casual Shorts</v>
      </c>
      <c r="H5681" s="1" t="str">
        <f>_xlfn.XLOOKUP(tblSales[[#This Row],[Product Code]],tblProducts[Code],tblProducts[Category],"")</f>
        <v>Accessories &amp; Basics</v>
      </c>
      <c r="I5681" s="4">
        <v>5</v>
      </c>
      <c r="J5681" s="5">
        <f>_xlfn.XLOOKUP(tblSales[[#This Row],[Product Code]],tblProducts[Code],tblProducts[Selling Price (excl. VAT)],0)</f>
        <v>85000</v>
      </c>
      <c r="K5681" s="5">
        <f>tblSales[[#This Row],[Qty]]*tblSales[[#This Row],[Unit Price]]</f>
        <v>425000</v>
      </c>
      <c r="L5681" s="5">
        <f>ROUND(tblSales[[#This Row],[DPP (excl. VAT)]]*VATEff,0)</f>
        <v>46750</v>
      </c>
      <c r="M5681" s="5">
        <f>tblSales[[#This Row],[DPP (excl. VAT)]]+tblSales[[#This Row],[Output VAT]]</f>
        <v>471750</v>
      </c>
      <c r="N5681" s="5">
        <f>tblSales[[#This Row],[Qty]]*_xlfn.XLOOKUP(tblSales[[#This Row],[Product Code]],tblProducts[Code],tblProducts[Unit Cost],0)</f>
        <v>250000</v>
      </c>
      <c r="O5681" s="4" t="s">
        <v>4866</v>
      </c>
      <c r="P5681" s="4" t="s">
        <v>4861</v>
      </c>
      <c r="Q5681" s="1" t="str">
        <f>_xlfn.XLOOKUP(tblSales[[#This Row],[Channel Code]],tblChannels[Channel Code],tblChannels[Channel Name],"")</f>
        <v>Marketplace</v>
      </c>
      <c r="R5681" s="1">
        <f>MONTH(tblSales[[#This Row],[Date]])</f>
        <v>12</v>
      </c>
    </row>
    <row r="5682" spans="2:18" x14ac:dyDescent="0.35">
      <c r="B5682" s="113">
        <v>46364</v>
      </c>
      <c r="C5682" s="4" t="s">
        <v>3891</v>
      </c>
      <c r="D5682" s="4" t="s">
        <v>4568</v>
      </c>
      <c r="E5682" s="1" t="str">
        <f>_xlfn.XLOOKUP(tblSales[[#This Row],[Customer ID]],tblCustomers[Customer ID],tblCustomers[Customer Name],"⚠ Unknown")</f>
        <v>Walk-in Customer</v>
      </c>
      <c r="F5682" s="4" t="s">
        <v>9</v>
      </c>
      <c r="G5682" s="1" t="str">
        <f>_xlfn.XLOOKUP(tblSales[[#This Row],[Product Code]],tblProducts[Code],tblProducts[Product / Service Name],"⚠ Unknown")</f>
        <v>Casual Shirt</v>
      </c>
      <c r="H5682" s="1" t="str">
        <f>_xlfn.XLOOKUP(tblSales[[#This Row],[Product Code]],tblProducts[Code],tblProducts[Category],"")</f>
        <v>Apparel &amp; Footwear</v>
      </c>
      <c r="I5682" s="4">
        <v>7</v>
      </c>
      <c r="J5682" s="5">
        <f>_xlfn.XLOOKUP(tblSales[[#This Row],[Product Code]],tblProducts[Code],tblProducts[Selling Price (excl. VAT)],0)</f>
        <v>120000</v>
      </c>
      <c r="K5682" s="5">
        <f>tblSales[[#This Row],[Qty]]*tblSales[[#This Row],[Unit Price]]</f>
        <v>840000</v>
      </c>
      <c r="L5682" s="5">
        <f>ROUND(tblSales[[#This Row],[DPP (excl. VAT)]]*VATEff,0)</f>
        <v>92400</v>
      </c>
      <c r="M5682" s="5">
        <f>tblSales[[#This Row],[DPP (excl. VAT)]]+tblSales[[#This Row],[Output VAT]]</f>
        <v>932400</v>
      </c>
      <c r="N5682" s="5">
        <f>tblSales[[#This Row],[Qty]]*_xlfn.XLOOKUP(tblSales[[#This Row],[Product Code]],tblProducts[Code],tblProducts[Unit Cost],0)</f>
        <v>504000</v>
      </c>
      <c r="O5682" s="4" t="s">
        <v>4865</v>
      </c>
      <c r="P5682" s="4" t="s">
        <v>4860</v>
      </c>
      <c r="Q5682" s="1" t="str">
        <f>_xlfn.XLOOKUP(tblSales[[#This Row],[Channel Code]],tblChannels[Channel Code],tblChannels[Channel Name],"")</f>
        <v>In-store</v>
      </c>
      <c r="R5682" s="1">
        <f>MONTH(tblSales[[#This Row],[Date]])</f>
        <v>12</v>
      </c>
    </row>
    <row r="5683" spans="2:18" x14ac:dyDescent="0.35">
      <c r="B5683" s="113">
        <v>46364</v>
      </c>
      <c r="C5683" s="4" t="s">
        <v>3892</v>
      </c>
      <c r="D5683" s="4" t="s">
        <v>4568</v>
      </c>
      <c r="E5683" s="1" t="str">
        <f>_xlfn.XLOOKUP(tblSales[[#This Row],[Customer ID]],tblCustomers[Customer ID],tblCustomers[Customer Name],"⚠ Unknown")</f>
        <v>Walk-in Customer</v>
      </c>
      <c r="F5683" s="4" t="s">
        <v>10</v>
      </c>
      <c r="G5683" s="1" t="str">
        <f>_xlfn.XLOOKUP(tblSales[[#This Row],[Product Code]],tblProducts[Code],tblProducts[Product / Service Name],"⚠ Unknown")</f>
        <v>Chino Pants</v>
      </c>
      <c r="H5683" s="1" t="str">
        <f>_xlfn.XLOOKUP(tblSales[[#This Row],[Product Code]],tblProducts[Code],tblProducts[Category],"")</f>
        <v>Apparel &amp; Footwear</v>
      </c>
      <c r="I5683" s="4">
        <v>2</v>
      </c>
      <c r="J5683" s="5">
        <f>_xlfn.XLOOKUP(tblSales[[#This Row],[Product Code]],tblProducts[Code],tblProducts[Selling Price (excl. VAT)],0)</f>
        <v>150000</v>
      </c>
      <c r="K5683" s="5">
        <f>tblSales[[#This Row],[Qty]]*tblSales[[#This Row],[Unit Price]]</f>
        <v>300000</v>
      </c>
      <c r="L5683" s="5">
        <f>ROUND(tblSales[[#This Row],[DPP (excl. VAT)]]*VATEff,0)</f>
        <v>33000</v>
      </c>
      <c r="M5683" s="5">
        <f>tblSales[[#This Row],[DPP (excl. VAT)]]+tblSales[[#This Row],[Output VAT]]</f>
        <v>333000</v>
      </c>
      <c r="N5683" s="5">
        <f>tblSales[[#This Row],[Qty]]*_xlfn.XLOOKUP(tblSales[[#This Row],[Product Code]],tblProducts[Code],tblProducts[Unit Cost],0)</f>
        <v>176000</v>
      </c>
      <c r="O5683" s="4" t="s">
        <v>4866</v>
      </c>
      <c r="P5683" s="4" t="s">
        <v>4860</v>
      </c>
      <c r="Q5683" s="1" t="str">
        <f>_xlfn.XLOOKUP(tblSales[[#This Row],[Channel Code]],tblChannels[Channel Code],tblChannels[Channel Name],"")</f>
        <v>In-store</v>
      </c>
      <c r="R5683" s="1">
        <f>MONTH(tblSales[[#This Row],[Date]])</f>
        <v>12</v>
      </c>
    </row>
    <row r="5684" spans="2:18" x14ac:dyDescent="0.35">
      <c r="B5684" s="113">
        <v>46364</v>
      </c>
      <c r="C5684" s="4" t="s">
        <v>3893</v>
      </c>
      <c r="D5684" s="4" t="s">
        <v>4613</v>
      </c>
      <c r="E5684" s="1" t="str">
        <f>_xlfn.XLOOKUP(tblSales[[#This Row],[Customer ID]],tblCustomers[Customer ID],tblCustomers[Customer Name],"⚠ Unknown")</f>
        <v>PT Mega Prima Distribusi</v>
      </c>
      <c r="F5684" s="4" t="s">
        <v>9</v>
      </c>
      <c r="G5684" s="1" t="str">
        <f>_xlfn.XLOOKUP(tblSales[[#This Row],[Product Code]],tblProducts[Code],tblProducts[Product / Service Name],"⚠ Unknown")</f>
        <v>Casual Shirt</v>
      </c>
      <c r="H5684" s="1" t="str">
        <f>_xlfn.XLOOKUP(tblSales[[#This Row],[Product Code]],tblProducts[Code],tblProducts[Category],"")</f>
        <v>Apparel &amp; Footwear</v>
      </c>
      <c r="I5684" s="4">
        <v>56</v>
      </c>
      <c r="J5684" s="5">
        <f>_xlfn.XLOOKUP(tblSales[[#This Row],[Product Code]],tblProducts[Code],tblProducts[Selling Price (excl. VAT)],0)</f>
        <v>120000</v>
      </c>
      <c r="K5684" s="5">
        <f>tblSales[[#This Row],[Qty]]*tblSales[[#This Row],[Unit Price]]</f>
        <v>6720000</v>
      </c>
      <c r="L5684" s="5">
        <f>ROUND(tblSales[[#This Row],[DPP (excl. VAT)]]*VATEff,0)</f>
        <v>739200</v>
      </c>
      <c r="M5684" s="5">
        <f>tblSales[[#This Row],[DPP (excl. VAT)]]+tblSales[[#This Row],[Output VAT]]</f>
        <v>7459200</v>
      </c>
      <c r="N5684" s="5">
        <f>tblSales[[#This Row],[Qty]]*_xlfn.XLOOKUP(tblSales[[#This Row],[Product Code]],tblProducts[Code],tblProducts[Unit Cost],0)</f>
        <v>4032000</v>
      </c>
      <c r="O5684" s="4" t="s">
        <v>4867</v>
      </c>
      <c r="P5684" s="4" t="s">
        <v>4860</v>
      </c>
      <c r="Q5684" s="1" t="str">
        <f>_xlfn.XLOOKUP(tblSales[[#This Row],[Channel Code]],tblChannels[Channel Code],tblChannels[Channel Name],"")</f>
        <v>In-store</v>
      </c>
      <c r="R5684" s="1">
        <f>MONTH(tblSales[[#This Row],[Date]])</f>
        <v>12</v>
      </c>
    </row>
    <row r="5685" spans="2:18" x14ac:dyDescent="0.35">
      <c r="B5685" s="113">
        <v>46364</v>
      </c>
      <c r="C5685" s="4" t="s">
        <v>3894</v>
      </c>
      <c r="D5685" s="4" t="s">
        <v>4568</v>
      </c>
      <c r="E5685" s="1" t="str">
        <f>_xlfn.XLOOKUP(tblSales[[#This Row],[Customer ID]],tblCustomers[Customer ID],tblCustomers[Customer Name],"⚠ Unknown")</f>
        <v>Walk-in Customer</v>
      </c>
      <c r="F5685" s="4" t="s">
        <v>8</v>
      </c>
      <c r="G5685" s="1" t="str">
        <f>_xlfn.XLOOKUP(tblSales[[#This Row],[Product Code]],tblProducts[Code],tblProducts[Product / Service Name],"⚠ Unknown")</f>
        <v>Casual Shorts</v>
      </c>
      <c r="H5685" s="1" t="str">
        <f>_xlfn.XLOOKUP(tblSales[[#This Row],[Product Code]],tblProducts[Code],tblProducts[Category],"")</f>
        <v>Accessories &amp; Basics</v>
      </c>
      <c r="I5685" s="4">
        <v>12</v>
      </c>
      <c r="J5685" s="5">
        <f>_xlfn.XLOOKUP(tblSales[[#This Row],[Product Code]],tblProducts[Code],tblProducts[Selling Price (excl. VAT)],0)</f>
        <v>85000</v>
      </c>
      <c r="K5685" s="5">
        <f>tblSales[[#This Row],[Qty]]*tblSales[[#This Row],[Unit Price]]</f>
        <v>1020000</v>
      </c>
      <c r="L5685" s="5">
        <f>ROUND(tblSales[[#This Row],[DPP (excl. VAT)]]*VATEff,0)</f>
        <v>112200</v>
      </c>
      <c r="M5685" s="5">
        <f>tblSales[[#This Row],[DPP (excl. VAT)]]+tblSales[[#This Row],[Output VAT]]</f>
        <v>1132200</v>
      </c>
      <c r="N5685" s="5">
        <f>tblSales[[#This Row],[Qty]]*_xlfn.XLOOKUP(tblSales[[#This Row],[Product Code]],tblProducts[Code],tblProducts[Unit Cost],0)</f>
        <v>600000</v>
      </c>
      <c r="O5685" s="4" t="s">
        <v>4865</v>
      </c>
      <c r="P5685" s="4" t="s">
        <v>4860</v>
      </c>
      <c r="Q5685" s="1" t="str">
        <f>_xlfn.XLOOKUP(tblSales[[#This Row],[Channel Code]],tblChannels[Channel Code],tblChannels[Channel Name],"")</f>
        <v>In-store</v>
      </c>
      <c r="R5685" s="1">
        <f>MONTH(tblSales[[#This Row],[Date]])</f>
        <v>12</v>
      </c>
    </row>
    <row r="5686" spans="2:18" x14ac:dyDescent="0.35">
      <c r="B5686" s="113">
        <v>46364</v>
      </c>
      <c r="C5686" s="4" t="s">
        <v>3895</v>
      </c>
      <c r="D5686" s="4" t="s">
        <v>4568</v>
      </c>
      <c r="E5686" s="1" t="str">
        <f>_xlfn.XLOOKUP(tblSales[[#This Row],[Customer ID]],tblCustomers[Customer ID],tblCustomers[Customer Name],"⚠ Unknown")</f>
        <v>Walk-in Customer</v>
      </c>
      <c r="F5686" s="4" t="s">
        <v>15</v>
      </c>
      <c r="G5686" s="1" t="str">
        <f>_xlfn.XLOOKUP(tblSales[[#This Row],[Product Code]],tblProducts[Code],tblProducts[Product / Service Name],"⚠ Unknown")</f>
        <v>Wireless Earbuds Pro</v>
      </c>
      <c r="H5686" s="1" t="str">
        <f>_xlfn.XLOOKUP(tblSales[[#This Row],[Product Code]],tblProducts[Code],tblProducts[Category],"")</f>
        <v>Bags &amp; Gadgets</v>
      </c>
      <c r="I5686" s="4">
        <v>1</v>
      </c>
      <c r="J5686" s="5">
        <f>_xlfn.XLOOKUP(tblSales[[#This Row],[Product Code]],tblProducts[Code],tblProducts[Selling Price (excl. VAT)],0)</f>
        <v>1250000</v>
      </c>
      <c r="K5686" s="5">
        <f>tblSales[[#This Row],[Qty]]*tblSales[[#This Row],[Unit Price]]</f>
        <v>1250000</v>
      </c>
      <c r="L5686" s="5">
        <f>ROUND(tblSales[[#This Row],[DPP (excl. VAT)]]*VATEff,0)</f>
        <v>137500</v>
      </c>
      <c r="M5686" s="5">
        <f>tblSales[[#This Row],[DPP (excl. VAT)]]+tblSales[[#This Row],[Output VAT]]</f>
        <v>1387500</v>
      </c>
      <c r="N5686" s="5">
        <f>tblSales[[#This Row],[Qty]]*_xlfn.XLOOKUP(tblSales[[#This Row],[Product Code]],tblProducts[Code],tblProducts[Unit Cost],0)</f>
        <v>820000</v>
      </c>
      <c r="O5686" s="4" t="s">
        <v>4865</v>
      </c>
      <c r="P5686" s="4" t="s">
        <v>4860</v>
      </c>
      <c r="Q5686" s="1" t="str">
        <f>_xlfn.XLOOKUP(tblSales[[#This Row],[Channel Code]],tblChannels[Channel Code],tblChannels[Channel Name],"")</f>
        <v>In-store</v>
      </c>
      <c r="R5686" s="1">
        <f>MONTH(tblSales[[#This Row],[Date]])</f>
        <v>12</v>
      </c>
    </row>
    <row r="5687" spans="2:18" x14ac:dyDescent="0.35">
      <c r="B5687" s="113">
        <v>46364</v>
      </c>
      <c r="C5687" s="4" t="s">
        <v>3895</v>
      </c>
      <c r="D5687" s="4" t="s">
        <v>4568</v>
      </c>
      <c r="E5687" s="1" t="str">
        <f>_xlfn.XLOOKUP(tblSales[[#This Row],[Customer ID]],tblCustomers[Customer ID],tblCustomers[Customer Name],"⚠ Unknown")</f>
        <v>Walk-in Customer</v>
      </c>
      <c r="F5687" s="4" t="s">
        <v>12</v>
      </c>
      <c r="G5687" s="1" t="str">
        <f>_xlfn.XLOOKUP(tblSales[[#This Row],[Product Code]],tblProducts[Code],tblProducts[Product / Service Name],"⚠ Unknown")</f>
        <v>Bomber Jacket</v>
      </c>
      <c r="H5687" s="1" t="str">
        <f>_xlfn.XLOOKUP(tblSales[[#This Row],[Product Code]],tblProducts[Code],tblProducts[Category],"")</f>
        <v>Apparel &amp; Footwear</v>
      </c>
      <c r="I5687" s="4">
        <v>2</v>
      </c>
      <c r="J5687" s="5">
        <f>_xlfn.XLOOKUP(tblSales[[#This Row],[Product Code]],tblProducts[Code],tblProducts[Selling Price (excl. VAT)],0)</f>
        <v>350000</v>
      </c>
      <c r="K5687" s="5">
        <f>tblSales[[#This Row],[Qty]]*tblSales[[#This Row],[Unit Price]]</f>
        <v>700000</v>
      </c>
      <c r="L5687" s="5">
        <f>ROUND(tblSales[[#This Row],[DPP (excl. VAT)]]*VATEff,0)</f>
        <v>77000</v>
      </c>
      <c r="M5687" s="5">
        <f>tblSales[[#This Row],[DPP (excl. VAT)]]+tblSales[[#This Row],[Output VAT]]</f>
        <v>777000</v>
      </c>
      <c r="N5687" s="5">
        <f>tblSales[[#This Row],[Qty]]*_xlfn.XLOOKUP(tblSales[[#This Row],[Product Code]],tblProducts[Code],tblProducts[Unit Cost],0)</f>
        <v>420000</v>
      </c>
      <c r="O5687" s="4" t="s">
        <v>4865</v>
      </c>
      <c r="P5687" s="4" t="s">
        <v>4860</v>
      </c>
      <c r="Q5687" s="1" t="str">
        <f>_xlfn.XLOOKUP(tblSales[[#This Row],[Channel Code]],tblChannels[Channel Code],tblChannels[Channel Name],"")</f>
        <v>In-store</v>
      </c>
      <c r="R5687" s="1">
        <f>MONTH(tblSales[[#This Row],[Date]])</f>
        <v>12</v>
      </c>
    </row>
    <row r="5688" spans="2:18" x14ac:dyDescent="0.35">
      <c r="B5688" s="113">
        <v>46364</v>
      </c>
      <c r="C5688" s="4" t="s">
        <v>3896</v>
      </c>
      <c r="D5688" s="4" t="s">
        <v>4568</v>
      </c>
      <c r="E5688" s="1" t="str">
        <f>_xlfn.XLOOKUP(tblSales[[#This Row],[Customer ID]],tblCustomers[Customer ID],tblCustomers[Customer Name],"⚠ Unknown")</f>
        <v>Walk-in Customer</v>
      </c>
      <c r="F5688" s="4" t="s">
        <v>13</v>
      </c>
      <c r="G5688" s="1" t="str">
        <f>_xlfn.XLOOKUP(tblSales[[#This Row],[Product Code]],tblProducts[Code],tblProducts[Product / Service Name],"⚠ Unknown")</f>
        <v>Backpack</v>
      </c>
      <c r="H5688" s="1" t="str">
        <f>_xlfn.XLOOKUP(tblSales[[#This Row],[Product Code]],tblProducts[Code],tblProducts[Category],"")</f>
        <v>Bags &amp; Gadgets</v>
      </c>
      <c r="I5688" s="4">
        <v>1</v>
      </c>
      <c r="J5688" s="5">
        <f>_xlfn.XLOOKUP(tblSales[[#This Row],[Product Code]],tblProducts[Code],tblProducts[Selling Price (excl. VAT)],0)</f>
        <v>500000</v>
      </c>
      <c r="K5688" s="5">
        <f>tblSales[[#This Row],[Qty]]*tblSales[[#This Row],[Unit Price]]</f>
        <v>500000</v>
      </c>
      <c r="L5688" s="5">
        <f>ROUND(tblSales[[#This Row],[DPP (excl. VAT)]]*VATEff,0)</f>
        <v>55000</v>
      </c>
      <c r="M5688" s="5">
        <f>tblSales[[#This Row],[DPP (excl. VAT)]]+tblSales[[#This Row],[Output VAT]]</f>
        <v>555000</v>
      </c>
      <c r="N5688" s="5">
        <f>tblSales[[#This Row],[Qty]]*_xlfn.XLOOKUP(tblSales[[#This Row],[Product Code]],tblProducts[Code],tblProducts[Unit Cost],0)</f>
        <v>290000</v>
      </c>
      <c r="O5688" s="4" t="s">
        <v>4866</v>
      </c>
      <c r="P5688" s="4" t="s">
        <v>4860</v>
      </c>
      <c r="Q5688" s="1" t="str">
        <f>_xlfn.XLOOKUP(tblSales[[#This Row],[Channel Code]],tblChannels[Channel Code],tblChannels[Channel Name],"")</f>
        <v>In-store</v>
      </c>
      <c r="R5688" s="1">
        <f>MONTH(tblSales[[#This Row],[Date]])</f>
        <v>12</v>
      </c>
    </row>
    <row r="5689" spans="2:18" x14ac:dyDescent="0.35">
      <c r="B5689" s="113">
        <v>46364</v>
      </c>
      <c r="C5689" s="4" t="s">
        <v>3896</v>
      </c>
      <c r="D5689" s="4" t="s">
        <v>4568</v>
      </c>
      <c r="E5689" s="1" t="str">
        <f>_xlfn.XLOOKUP(tblSales[[#This Row],[Customer ID]],tblCustomers[Customer ID],tblCustomers[Customer Name],"⚠ Unknown")</f>
        <v>Walk-in Customer</v>
      </c>
      <c r="F5689" s="4" t="s">
        <v>9</v>
      </c>
      <c r="G5689" s="1" t="str">
        <f>_xlfn.XLOOKUP(tblSales[[#This Row],[Product Code]],tblProducts[Code],tblProducts[Product / Service Name],"⚠ Unknown")</f>
        <v>Casual Shirt</v>
      </c>
      <c r="H5689" s="1" t="str">
        <f>_xlfn.XLOOKUP(tblSales[[#This Row],[Product Code]],tblProducts[Code],tblProducts[Category],"")</f>
        <v>Apparel &amp; Footwear</v>
      </c>
      <c r="I5689" s="4">
        <v>6</v>
      </c>
      <c r="J5689" s="5">
        <f>_xlfn.XLOOKUP(tblSales[[#This Row],[Product Code]],tblProducts[Code],tblProducts[Selling Price (excl. VAT)],0)</f>
        <v>120000</v>
      </c>
      <c r="K5689" s="5">
        <f>tblSales[[#This Row],[Qty]]*tblSales[[#This Row],[Unit Price]]</f>
        <v>720000</v>
      </c>
      <c r="L5689" s="5">
        <f>ROUND(tblSales[[#This Row],[DPP (excl. VAT)]]*VATEff,0)</f>
        <v>79200</v>
      </c>
      <c r="M5689" s="5">
        <f>tblSales[[#This Row],[DPP (excl. VAT)]]+tblSales[[#This Row],[Output VAT]]</f>
        <v>799200</v>
      </c>
      <c r="N5689" s="5">
        <f>tblSales[[#This Row],[Qty]]*_xlfn.XLOOKUP(tblSales[[#This Row],[Product Code]],tblProducts[Code],tblProducts[Unit Cost],0)</f>
        <v>432000</v>
      </c>
      <c r="O5689" s="4" t="s">
        <v>4866</v>
      </c>
      <c r="P5689" s="4" t="s">
        <v>4860</v>
      </c>
      <c r="Q5689" s="1" t="str">
        <f>_xlfn.XLOOKUP(tblSales[[#This Row],[Channel Code]],tblChannels[Channel Code],tblChannels[Channel Name],"")</f>
        <v>In-store</v>
      </c>
      <c r="R5689" s="1">
        <f>MONTH(tblSales[[#This Row],[Date]])</f>
        <v>12</v>
      </c>
    </row>
    <row r="5690" spans="2:18" x14ac:dyDescent="0.35">
      <c r="B5690" s="113">
        <v>46364</v>
      </c>
      <c r="C5690" s="4" t="s">
        <v>3897</v>
      </c>
      <c r="D5690" s="4" t="s">
        <v>4634</v>
      </c>
      <c r="E5690" s="1" t="str">
        <f>_xlfn.XLOOKUP(tblSales[[#This Row],[Customer ID]],tblCustomers[Customer ID],tblCustomers[Customer Name],"⚠ Unknown")</f>
        <v>PT Delta Inti Selaras</v>
      </c>
      <c r="F5690" s="4" t="s">
        <v>8</v>
      </c>
      <c r="G5690" s="1" t="str">
        <f>_xlfn.XLOOKUP(tblSales[[#This Row],[Product Code]],tblProducts[Code],tblProducts[Product / Service Name],"⚠ Unknown")</f>
        <v>Casual Shorts</v>
      </c>
      <c r="H5690" s="1" t="str">
        <f>_xlfn.XLOOKUP(tblSales[[#This Row],[Product Code]],tblProducts[Code],tblProducts[Category],"")</f>
        <v>Accessories &amp; Basics</v>
      </c>
      <c r="I5690" s="4">
        <v>64</v>
      </c>
      <c r="J5690" s="5">
        <f>_xlfn.XLOOKUP(tblSales[[#This Row],[Product Code]],tblProducts[Code],tblProducts[Selling Price (excl. VAT)],0)</f>
        <v>85000</v>
      </c>
      <c r="K5690" s="5">
        <f>tblSales[[#This Row],[Qty]]*tblSales[[#This Row],[Unit Price]]</f>
        <v>5440000</v>
      </c>
      <c r="L5690" s="5">
        <f>ROUND(tblSales[[#This Row],[DPP (excl. VAT)]]*VATEff,0)</f>
        <v>598400</v>
      </c>
      <c r="M5690" s="5">
        <f>tblSales[[#This Row],[DPP (excl. VAT)]]+tblSales[[#This Row],[Output VAT]]</f>
        <v>6038400</v>
      </c>
      <c r="N5690" s="5">
        <f>tblSales[[#This Row],[Qty]]*_xlfn.XLOOKUP(tblSales[[#This Row],[Product Code]],tblProducts[Code],tblProducts[Unit Cost],0)</f>
        <v>3200000</v>
      </c>
      <c r="O5690" s="4" t="s">
        <v>4867</v>
      </c>
      <c r="P5690" s="4" t="s">
        <v>4860</v>
      </c>
      <c r="Q5690" s="1" t="str">
        <f>_xlfn.XLOOKUP(tblSales[[#This Row],[Channel Code]],tblChannels[Channel Code],tblChannels[Channel Name],"")</f>
        <v>In-store</v>
      </c>
      <c r="R5690" s="1">
        <f>MONTH(tblSales[[#This Row],[Date]])</f>
        <v>12</v>
      </c>
    </row>
    <row r="5691" spans="2:18" x14ac:dyDescent="0.35">
      <c r="B5691" s="113">
        <v>46364</v>
      </c>
      <c r="C5691" s="4" t="s">
        <v>3897</v>
      </c>
      <c r="D5691" s="4" t="s">
        <v>4634</v>
      </c>
      <c r="E5691" s="1" t="str">
        <f>_xlfn.XLOOKUP(tblSales[[#This Row],[Customer ID]],tblCustomers[Customer ID],tblCustomers[Customer Name],"⚠ Unknown")</f>
        <v>PT Delta Inti Selaras</v>
      </c>
      <c r="F5691" s="4" t="s">
        <v>11</v>
      </c>
      <c r="G5691" s="1" t="str">
        <f>_xlfn.XLOOKUP(tblSales[[#This Row],[Product Code]],tblProducts[Code],tblProducts[Product / Service Name],"⚠ Unknown")</f>
        <v>Sneakers</v>
      </c>
      <c r="H5691" s="1" t="str">
        <f>_xlfn.XLOOKUP(tblSales[[#This Row],[Product Code]],tblProducts[Code],tblProducts[Category],"")</f>
        <v>Apparel &amp; Footwear</v>
      </c>
      <c r="I5691" s="4">
        <v>16</v>
      </c>
      <c r="J5691" s="5">
        <f>_xlfn.XLOOKUP(tblSales[[#This Row],[Product Code]],tblProducts[Code],tblProducts[Selling Price (excl. VAT)],0)</f>
        <v>250000</v>
      </c>
      <c r="K5691" s="5">
        <f>tblSales[[#This Row],[Qty]]*tblSales[[#This Row],[Unit Price]]</f>
        <v>4000000</v>
      </c>
      <c r="L5691" s="5">
        <f>ROUND(tblSales[[#This Row],[DPP (excl. VAT)]]*VATEff,0)</f>
        <v>440000</v>
      </c>
      <c r="M5691" s="5">
        <f>tblSales[[#This Row],[DPP (excl. VAT)]]+tblSales[[#This Row],[Output VAT]]</f>
        <v>4440000</v>
      </c>
      <c r="N5691" s="5">
        <f>tblSales[[#This Row],[Qty]]*_xlfn.XLOOKUP(tblSales[[#This Row],[Product Code]],tblProducts[Code],tblProducts[Unit Cost],0)</f>
        <v>2480000</v>
      </c>
      <c r="O5691" s="4" t="s">
        <v>4867</v>
      </c>
      <c r="P5691" s="4" t="s">
        <v>4860</v>
      </c>
      <c r="Q5691" s="1" t="str">
        <f>_xlfn.XLOOKUP(tblSales[[#This Row],[Channel Code]],tblChannels[Channel Code],tblChannels[Channel Name],"")</f>
        <v>In-store</v>
      </c>
      <c r="R5691" s="1">
        <f>MONTH(tblSales[[#This Row],[Date]])</f>
        <v>12</v>
      </c>
    </row>
    <row r="5692" spans="2:18" x14ac:dyDescent="0.35">
      <c r="B5692" s="113">
        <v>46364</v>
      </c>
      <c r="C5692" s="4" t="s">
        <v>3897</v>
      </c>
      <c r="D5692" s="4" t="s">
        <v>4634</v>
      </c>
      <c r="E5692" s="1" t="str">
        <f>_xlfn.XLOOKUP(tblSales[[#This Row],[Customer ID]],tblCustomers[Customer ID],tblCustomers[Customer Name],"⚠ Unknown")</f>
        <v>PT Delta Inti Selaras</v>
      </c>
      <c r="F5692" s="4" t="s">
        <v>6</v>
      </c>
      <c r="G5692" s="1" t="str">
        <f>_xlfn.XLOOKUP(tblSales[[#This Row],[Product Code]],tblProducts[Code],tblProducts[Product / Service Name],"⚠ Unknown")</f>
        <v>Socks &amp; Accessories</v>
      </c>
      <c r="H5692" s="1" t="str">
        <f>_xlfn.XLOOKUP(tblSales[[#This Row],[Product Code]],tblProducts[Code],tblProducts[Category],"")</f>
        <v>Accessories &amp; Basics</v>
      </c>
      <c r="I5692" s="4">
        <v>16</v>
      </c>
      <c r="J5692" s="5">
        <f>_xlfn.XLOOKUP(tblSales[[#This Row],[Product Code]],tblProducts[Code],tblProducts[Selling Price (excl. VAT)],0)</f>
        <v>45000</v>
      </c>
      <c r="K5692" s="5">
        <f>tblSales[[#This Row],[Qty]]*tblSales[[#This Row],[Unit Price]]</f>
        <v>720000</v>
      </c>
      <c r="L5692" s="5">
        <f>ROUND(tblSales[[#This Row],[DPP (excl. VAT)]]*VATEff,0)</f>
        <v>79200</v>
      </c>
      <c r="M5692" s="5">
        <f>tblSales[[#This Row],[DPP (excl. VAT)]]+tblSales[[#This Row],[Output VAT]]</f>
        <v>799200</v>
      </c>
      <c r="N5692" s="5">
        <f>tblSales[[#This Row],[Qty]]*_xlfn.XLOOKUP(tblSales[[#This Row],[Product Code]],tblProducts[Code],tblProducts[Unit Cost],0)</f>
        <v>384000</v>
      </c>
      <c r="O5692" s="4" t="s">
        <v>4867</v>
      </c>
      <c r="P5692" s="4" t="s">
        <v>4860</v>
      </c>
      <c r="Q5692" s="1" t="str">
        <f>_xlfn.XLOOKUP(tblSales[[#This Row],[Channel Code]],tblChannels[Channel Code],tblChannels[Channel Name],"")</f>
        <v>In-store</v>
      </c>
      <c r="R5692" s="1">
        <f>MONTH(tblSales[[#This Row],[Date]])</f>
        <v>12</v>
      </c>
    </row>
    <row r="5693" spans="2:18" x14ac:dyDescent="0.35">
      <c r="B5693" s="113">
        <v>46364</v>
      </c>
      <c r="C5693" s="4" t="s">
        <v>3898</v>
      </c>
      <c r="D5693" s="4" t="s">
        <v>4568</v>
      </c>
      <c r="E5693" s="1" t="str">
        <f>_xlfn.XLOOKUP(tblSales[[#This Row],[Customer ID]],tblCustomers[Customer ID],tblCustomers[Customer Name],"⚠ Unknown")</f>
        <v>Walk-in Customer</v>
      </c>
      <c r="F5693" s="4" t="s">
        <v>9</v>
      </c>
      <c r="G5693" s="1" t="str">
        <f>_xlfn.XLOOKUP(tblSales[[#This Row],[Product Code]],tblProducts[Code],tblProducts[Product / Service Name],"⚠ Unknown")</f>
        <v>Casual Shirt</v>
      </c>
      <c r="H5693" s="1" t="str">
        <f>_xlfn.XLOOKUP(tblSales[[#This Row],[Product Code]],tblProducts[Code],tblProducts[Category],"")</f>
        <v>Apparel &amp; Footwear</v>
      </c>
      <c r="I5693" s="4">
        <v>2</v>
      </c>
      <c r="J5693" s="5">
        <f>_xlfn.XLOOKUP(tblSales[[#This Row],[Product Code]],tblProducts[Code],tblProducts[Selling Price (excl. VAT)],0)</f>
        <v>120000</v>
      </c>
      <c r="K5693" s="5">
        <f>tblSales[[#This Row],[Qty]]*tblSales[[#This Row],[Unit Price]]</f>
        <v>240000</v>
      </c>
      <c r="L5693" s="5">
        <f>ROUND(tblSales[[#This Row],[DPP (excl. VAT)]]*VATEff,0)</f>
        <v>26400</v>
      </c>
      <c r="M5693" s="5">
        <f>tblSales[[#This Row],[DPP (excl. VAT)]]+tblSales[[#This Row],[Output VAT]]</f>
        <v>266400</v>
      </c>
      <c r="N5693" s="5">
        <f>tblSales[[#This Row],[Qty]]*_xlfn.XLOOKUP(tblSales[[#This Row],[Product Code]],tblProducts[Code],tblProducts[Unit Cost],0)</f>
        <v>144000</v>
      </c>
      <c r="O5693" s="4" t="s">
        <v>4865</v>
      </c>
      <c r="P5693" s="4" t="s">
        <v>4860</v>
      </c>
      <c r="Q5693" s="1" t="str">
        <f>_xlfn.XLOOKUP(tblSales[[#This Row],[Channel Code]],tblChannels[Channel Code],tblChannels[Channel Name],"")</f>
        <v>In-store</v>
      </c>
      <c r="R5693" s="1">
        <f>MONTH(tblSales[[#This Row],[Date]])</f>
        <v>12</v>
      </c>
    </row>
    <row r="5694" spans="2:18" x14ac:dyDescent="0.35">
      <c r="B5694" s="113">
        <v>46364</v>
      </c>
      <c r="C5694" s="4" t="s">
        <v>3899</v>
      </c>
      <c r="D5694" s="4" t="s">
        <v>4568</v>
      </c>
      <c r="E5694" s="1" t="str">
        <f>_xlfn.XLOOKUP(tblSales[[#This Row],[Customer ID]],tblCustomers[Customer ID],tblCustomers[Customer Name],"⚠ Unknown")</f>
        <v>Walk-in Customer</v>
      </c>
      <c r="F5694" s="4" t="s">
        <v>10</v>
      </c>
      <c r="G5694" s="1" t="str">
        <f>_xlfn.XLOOKUP(tblSales[[#This Row],[Product Code]],tblProducts[Code],tblProducts[Product / Service Name],"⚠ Unknown")</f>
        <v>Chino Pants</v>
      </c>
      <c r="H5694" s="1" t="str">
        <f>_xlfn.XLOOKUP(tblSales[[#This Row],[Product Code]],tblProducts[Code],tblProducts[Category],"")</f>
        <v>Apparel &amp; Footwear</v>
      </c>
      <c r="I5694" s="4">
        <v>3</v>
      </c>
      <c r="J5694" s="5">
        <f>_xlfn.XLOOKUP(tblSales[[#This Row],[Product Code]],tblProducts[Code],tblProducts[Selling Price (excl. VAT)],0)</f>
        <v>150000</v>
      </c>
      <c r="K5694" s="5">
        <f>tblSales[[#This Row],[Qty]]*tblSales[[#This Row],[Unit Price]]</f>
        <v>450000</v>
      </c>
      <c r="L5694" s="5">
        <f>ROUND(tblSales[[#This Row],[DPP (excl. VAT)]]*VATEff,0)</f>
        <v>49500</v>
      </c>
      <c r="M5694" s="5">
        <f>tblSales[[#This Row],[DPP (excl. VAT)]]+tblSales[[#This Row],[Output VAT]]</f>
        <v>499500</v>
      </c>
      <c r="N5694" s="5">
        <f>tblSales[[#This Row],[Qty]]*_xlfn.XLOOKUP(tblSales[[#This Row],[Product Code]],tblProducts[Code],tblProducts[Unit Cost],0)</f>
        <v>264000</v>
      </c>
      <c r="O5694" s="4" t="s">
        <v>4866</v>
      </c>
      <c r="P5694" s="4" t="s">
        <v>4860</v>
      </c>
      <c r="Q5694" s="1" t="str">
        <f>_xlfn.XLOOKUP(tblSales[[#This Row],[Channel Code]],tblChannels[Channel Code],tblChannels[Channel Name],"")</f>
        <v>In-store</v>
      </c>
      <c r="R5694" s="1">
        <f>MONTH(tblSales[[#This Row],[Date]])</f>
        <v>12</v>
      </c>
    </row>
    <row r="5695" spans="2:18" x14ac:dyDescent="0.35">
      <c r="B5695" s="113">
        <v>46364</v>
      </c>
      <c r="C5695" s="4" t="s">
        <v>3900</v>
      </c>
      <c r="D5695" s="4" t="s">
        <v>4568</v>
      </c>
      <c r="E5695" s="1" t="str">
        <f>_xlfn.XLOOKUP(tblSales[[#This Row],[Customer ID]],tblCustomers[Customer ID],tblCustomers[Customer Name],"⚠ Unknown")</f>
        <v>Walk-in Customer</v>
      </c>
      <c r="F5695" s="4" t="s">
        <v>9</v>
      </c>
      <c r="G5695" s="1" t="str">
        <f>_xlfn.XLOOKUP(tblSales[[#This Row],[Product Code]],tblProducts[Code],tblProducts[Product / Service Name],"⚠ Unknown")</f>
        <v>Casual Shirt</v>
      </c>
      <c r="H5695" s="1" t="str">
        <f>_xlfn.XLOOKUP(tblSales[[#This Row],[Product Code]],tblProducts[Code],tblProducts[Category],"")</f>
        <v>Apparel &amp; Footwear</v>
      </c>
      <c r="I5695" s="4">
        <v>1</v>
      </c>
      <c r="J5695" s="5">
        <f>_xlfn.XLOOKUP(tblSales[[#This Row],[Product Code]],tblProducts[Code],tblProducts[Selling Price (excl. VAT)],0)</f>
        <v>120000</v>
      </c>
      <c r="K5695" s="5">
        <f>tblSales[[#This Row],[Qty]]*tblSales[[#This Row],[Unit Price]]</f>
        <v>120000</v>
      </c>
      <c r="L5695" s="5">
        <f>ROUND(tblSales[[#This Row],[DPP (excl. VAT)]]*VATEff,0)</f>
        <v>13200</v>
      </c>
      <c r="M5695" s="5">
        <f>tblSales[[#This Row],[DPP (excl. VAT)]]+tblSales[[#This Row],[Output VAT]]</f>
        <v>133200</v>
      </c>
      <c r="N5695" s="5">
        <f>tblSales[[#This Row],[Qty]]*_xlfn.XLOOKUP(tblSales[[#This Row],[Product Code]],tblProducts[Code],tblProducts[Unit Cost],0)</f>
        <v>72000</v>
      </c>
      <c r="O5695" s="4" t="s">
        <v>4866</v>
      </c>
      <c r="P5695" s="4" t="s">
        <v>4860</v>
      </c>
      <c r="Q5695" s="1" t="str">
        <f>_xlfn.XLOOKUP(tblSales[[#This Row],[Channel Code]],tblChannels[Channel Code],tblChannels[Channel Name],"")</f>
        <v>In-store</v>
      </c>
      <c r="R5695" s="1">
        <f>MONTH(tblSales[[#This Row],[Date]])</f>
        <v>12</v>
      </c>
    </row>
    <row r="5696" spans="2:18" x14ac:dyDescent="0.35">
      <c r="B5696" s="113">
        <v>46364</v>
      </c>
      <c r="C5696" s="4" t="s">
        <v>3901</v>
      </c>
      <c r="D5696" s="4" t="s">
        <v>4620</v>
      </c>
      <c r="E5696" s="1" t="str">
        <f>_xlfn.XLOOKUP(tblSales[[#This Row],[Customer ID]],tblCustomers[Customer ID],tblCustomers[Customer Name],"⚠ Unknown")</f>
        <v>CV Sumber Rejeki Utama</v>
      </c>
      <c r="F5696" s="4" t="s">
        <v>14</v>
      </c>
      <c r="G5696" s="1" t="str">
        <f>_xlfn.XLOOKUP(tblSales[[#This Row],[Product Code]],tblProducts[Code],tblProducts[Product / Service Name],"⚠ Unknown")</f>
        <v>Smartwatch</v>
      </c>
      <c r="H5696" s="1" t="str">
        <f>_xlfn.XLOOKUP(tblSales[[#This Row],[Product Code]],tblProducts[Code],tblProducts[Category],"")</f>
        <v>Bags &amp; Gadgets</v>
      </c>
      <c r="I5696" s="4">
        <v>8</v>
      </c>
      <c r="J5696" s="5">
        <f>_xlfn.XLOOKUP(tblSales[[#This Row],[Product Code]],tblProducts[Code],tblProducts[Selling Price (excl. VAT)],0)</f>
        <v>850000</v>
      </c>
      <c r="K5696" s="5">
        <f>tblSales[[#This Row],[Qty]]*tblSales[[#This Row],[Unit Price]]</f>
        <v>6800000</v>
      </c>
      <c r="L5696" s="5">
        <f>ROUND(tblSales[[#This Row],[DPP (excl. VAT)]]*VATEff,0)</f>
        <v>748000</v>
      </c>
      <c r="M5696" s="5">
        <f>tblSales[[#This Row],[DPP (excl. VAT)]]+tblSales[[#This Row],[Output VAT]]</f>
        <v>7548000</v>
      </c>
      <c r="N5696" s="5">
        <f>tblSales[[#This Row],[Qty]]*_xlfn.XLOOKUP(tblSales[[#This Row],[Product Code]],tblProducts[Code],tblProducts[Unit Cost],0)</f>
        <v>4480000</v>
      </c>
      <c r="O5696" s="4" t="s">
        <v>4867</v>
      </c>
      <c r="P5696" s="4" t="s">
        <v>4860</v>
      </c>
      <c r="Q5696" s="1" t="str">
        <f>_xlfn.XLOOKUP(tblSales[[#This Row],[Channel Code]],tblChannels[Channel Code],tblChannels[Channel Name],"")</f>
        <v>In-store</v>
      </c>
      <c r="R5696" s="1">
        <f>MONTH(tblSales[[#This Row],[Date]])</f>
        <v>12</v>
      </c>
    </row>
    <row r="5697" spans="2:18" x14ac:dyDescent="0.35">
      <c r="B5697" s="113">
        <v>46364</v>
      </c>
      <c r="C5697" s="4" t="s">
        <v>3902</v>
      </c>
      <c r="D5697" s="4" t="s">
        <v>4568</v>
      </c>
      <c r="E5697" s="1" t="str">
        <f>_xlfn.XLOOKUP(tblSales[[#This Row],[Customer ID]],tblCustomers[Customer ID],tblCustomers[Customer Name],"⚠ Unknown")</f>
        <v>Walk-in Customer</v>
      </c>
      <c r="F5697" s="4" t="s">
        <v>12</v>
      </c>
      <c r="G5697" s="1" t="str">
        <f>_xlfn.XLOOKUP(tblSales[[#This Row],[Product Code]],tblProducts[Code],tblProducts[Product / Service Name],"⚠ Unknown")</f>
        <v>Bomber Jacket</v>
      </c>
      <c r="H5697" s="1" t="str">
        <f>_xlfn.XLOOKUP(tblSales[[#This Row],[Product Code]],tblProducts[Code],tblProducts[Category],"")</f>
        <v>Apparel &amp; Footwear</v>
      </c>
      <c r="I5697" s="4">
        <v>5</v>
      </c>
      <c r="J5697" s="5">
        <f>_xlfn.XLOOKUP(tblSales[[#This Row],[Product Code]],tblProducts[Code],tblProducts[Selling Price (excl. VAT)],0)</f>
        <v>350000</v>
      </c>
      <c r="K5697" s="5">
        <f>tblSales[[#This Row],[Qty]]*tblSales[[#This Row],[Unit Price]]</f>
        <v>1750000</v>
      </c>
      <c r="L5697" s="5">
        <f>ROUND(tblSales[[#This Row],[DPP (excl. VAT)]]*VATEff,0)</f>
        <v>192500</v>
      </c>
      <c r="M5697" s="5">
        <f>tblSales[[#This Row],[DPP (excl. VAT)]]+tblSales[[#This Row],[Output VAT]]</f>
        <v>1942500</v>
      </c>
      <c r="N5697" s="5">
        <f>tblSales[[#This Row],[Qty]]*_xlfn.XLOOKUP(tblSales[[#This Row],[Product Code]],tblProducts[Code],tblProducts[Unit Cost],0)</f>
        <v>1050000</v>
      </c>
      <c r="O5697" s="4" t="s">
        <v>4866</v>
      </c>
      <c r="P5697" s="4" t="s">
        <v>4860</v>
      </c>
      <c r="Q5697" s="1" t="str">
        <f>_xlfn.XLOOKUP(tblSales[[#This Row],[Channel Code]],tblChannels[Channel Code],tblChannels[Channel Name],"")</f>
        <v>In-store</v>
      </c>
      <c r="R5697" s="1">
        <f>MONTH(tblSales[[#This Row],[Date]])</f>
        <v>12</v>
      </c>
    </row>
    <row r="5698" spans="2:18" x14ac:dyDescent="0.35">
      <c r="B5698" s="113">
        <v>46365</v>
      </c>
      <c r="C5698" s="4" t="s">
        <v>3903</v>
      </c>
      <c r="D5698" s="4" t="s">
        <v>4599</v>
      </c>
      <c r="E5698" s="1" t="str">
        <f>_xlfn.XLOOKUP(tblSales[[#This Row],[Customer ID]],tblCustomers[Customer ID],tblCustomers[Customer Name],"⚠ Unknown")</f>
        <v>PT Samudra Jaya Logistik</v>
      </c>
      <c r="F5698" s="4" t="s">
        <v>11</v>
      </c>
      <c r="G5698" s="1" t="str">
        <f>_xlfn.XLOOKUP(tblSales[[#This Row],[Product Code]],tblProducts[Code],tblProducts[Product / Service Name],"⚠ Unknown")</f>
        <v>Sneakers</v>
      </c>
      <c r="H5698" s="1" t="str">
        <f>_xlfn.XLOOKUP(tblSales[[#This Row],[Product Code]],tblProducts[Code],tblProducts[Category],"")</f>
        <v>Apparel &amp; Footwear</v>
      </c>
      <c r="I5698" s="4">
        <v>24</v>
      </c>
      <c r="J5698" s="5">
        <f>_xlfn.XLOOKUP(tblSales[[#This Row],[Product Code]],tblProducts[Code],tblProducts[Selling Price (excl. VAT)],0)</f>
        <v>250000</v>
      </c>
      <c r="K5698" s="5">
        <f>tblSales[[#This Row],[Qty]]*tblSales[[#This Row],[Unit Price]]</f>
        <v>6000000</v>
      </c>
      <c r="L5698" s="5">
        <f>ROUND(tblSales[[#This Row],[DPP (excl. VAT)]]*VATEff,0)</f>
        <v>660000</v>
      </c>
      <c r="M5698" s="5">
        <f>tblSales[[#This Row],[DPP (excl. VAT)]]+tblSales[[#This Row],[Output VAT]]</f>
        <v>6660000</v>
      </c>
      <c r="N5698" s="5">
        <f>tblSales[[#This Row],[Qty]]*_xlfn.XLOOKUP(tblSales[[#This Row],[Product Code]],tblProducts[Code],tblProducts[Unit Cost],0)</f>
        <v>3720000</v>
      </c>
      <c r="O5698" s="4" t="s">
        <v>4867</v>
      </c>
      <c r="P5698" s="4" t="s">
        <v>4860</v>
      </c>
      <c r="Q5698" s="1" t="str">
        <f>_xlfn.XLOOKUP(tblSales[[#This Row],[Channel Code]],tblChannels[Channel Code],tblChannels[Channel Name],"")</f>
        <v>In-store</v>
      </c>
      <c r="R5698" s="1">
        <f>MONTH(tblSales[[#This Row],[Date]])</f>
        <v>12</v>
      </c>
    </row>
    <row r="5699" spans="2:18" x14ac:dyDescent="0.35">
      <c r="B5699" s="113">
        <v>46365</v>
      </c>
      <c r="C5699" s="4" t="s">
        <v>3903</v>
      </c>
      <c r="D5699" s="4" t="s">
        <v>4599</v>
      </c>
      <c r="E5699" s="1" t="str">
        <f>_xlfn.XLOOKUP(tblSales[[#This Row],[Customer ID]],tblCustomers[Customer ID],tblCustomers[Customer Name],"⚠ Unknown")</f>
        <v>PT Samudra Jaya Logistik</v>
      </c>
      <c r="F5699" s="4" t="s">
        <v>6</v>
      </c>
      <c r="G5699" s="1" t="str">
        <f>_xlfn.XLOOKUP(tblSales[[#This Row],[Product Code]],tblProducts[Code],tblProducts[Product / Service Name],"⚠ Unknown")</f>
        <v>Socks &amp; Accessories</v>
      </c>
      <c r="H5699" s="1" t="str">
        <f>_xlfn.XLOOKUP(tblSales[[#This Row],[Product Code]],tblProducts[Code],tblProducts[Category],"")</f>
        <v>Accessories &amp; Basics</v>
      </c>
      <c r="I5699" s="4">
        <v>40</v>
      </c>
      <c r="J5699" s="5">
        <f>_xlfn.XLOOKUP(tblSales[[#This Row],[Product Code]],tblProducts[Code],tblProducts[Selling Price (excl. VAT)],0)</f>
        <v>45000</v>
      </c>
      <c r="K5699" s="5">
        <f>tblSales[[#This Row],[Qty]]*tblSales[[#This Row],[Unit Price]]</f>
        <v>1800000</v>
      </c>
      <c r="L5699" s="5">
        <f>ROUND(tblSales[[#This Row],[DPP (excl. VAT)]]*VATEff,0)</f>
        <v>198000</v>
      </c>
      <c r="M5699" s="5">
        <f>tblSales[[#This Row],[DPP (excl. VAT)]]+tblSales[[#This Row],[Output VAT]]</f>
        <v>1998000</v>
      </c>
      <c r="N5699" s="5">
        <f>tblSales[[#This Row],[Qty]]*_xlfn.XLOOKUP(tblSales[[#This Row],[Product Code]],tblProducts[Code],tblProducts[Unit Cost],0)</f>
        <v>960000</v>
      </c>
      <c r="O5699" s="4" t="s">
        <v>4867</v>
      </c>
      <c r="P5699" s="4" t="s">
        <v>4860</v>
      </c>
      <c r="Q5699" s="1" t="str">
        <f>_xlfn.XLOOKUP(tblSales[[#This Row],[Channel Code]],tblChannels[Channel Code],tblChannels[Channel Name],"")</f>
        <v>In-store</v>
      </c>
      <c r="R5699" s="1">
        <f>MONTH(tblSales[[#This Row],[Date]])</f>
        <v>12</v>
      </c>
    </row>
    <row r="5700" spans="2:18" x14ac:dyDescent="0.35">
      <c r="B5700" s="113">
        <v>46365</v>
      </c>
      <c r="C5700" s="4" t="s">
        <v>3904</v>
      </c>
      <c r="D5700" s="4" t="s">
        <v>4568</v>
      </c>
      <c r="E5700" s="1" t="str">
        <f>_xlfn.XLOOKUP(tblSales[[#This Row],[Customer ID]],tblCustomers[Customer ID],tblCustomers[Customer Name],"⚠ Unknown")</f>
        <v>Walk-in Customer</v>
      </c>
      <c r="F5700" s="4" t="s">
        <v>10</v>
      </c>
      <c r="G5700" s="1" t="str">
        <f>_xlfn.XLOOKUP(tblSales[[#This Row],[Product Code]],tblProducts[Code],tblProducts[Product / Service Name],"⚠ Unknown")</f>
        <v>Chino Pants</v>
      </c>
      <c r="H5700" s="1" t="str">
        <f>_xlfn.XLOOKUP(tblSales[[#This Row],[Product Code]],tblProducts[Code],tblProducts[Category],"")</f>
        <v>Apparel &amp; Footwear</v>
      </c>
      <c r="I5700" s="4">
        <v>7</v>
      </c>
      <c r="J5700" s="5">
        <f>_xlfn.XLOOKUP(tblSales[[#This Row],[Product Code]],tblProducts[Code],tblProducts[Selling Price (excl. VAT)],0)</f>
        <v>150000</v>
      </c>
      <c r="K5700" s="5">
        <f>tblSales[[#This Row],[Qty]]*tblSales[[#This Row],[Unit Price]]</f>
        <v>1050000</v>
      </c>
      <c r="L5700" s="5">
        <f>ROUND(tblSales[[#This Row],[DPP (excl. VAT)]]*VATEff,0)</f>
        <v>115500</v>
      </c>
      <c r="M5700" s="5">
        <f>tblSales[[#This Row],[DPP (excl. VAT)]]+tblSales[[#This Row],[Output VAT]]</f>
        <v>1165500</v>
      </c>
      <c r="N5700" s="5">
        <f>tblSales[[#This Row],[Qty]]*_xlfn.XLOOKUP(tblSales[[#This Row],[Product Code]],tblProducts[Code],tblProducts[Unit Cost],0)</f>
        <v>616000</v>
      </c>
      <c r="O5700" s="4" t="s">
        <v>4866</v>
      </c>
      <c r="P5700" s="4" t="s">
        <v>4860</v>
      </c>
      <c r="Q5700" s="1" t="str">
        <f>_xlfn.XLOOKUP(tblSales[[#This Row],[Channel Code]],tblChannels[Channel Code],tblChannels[Channel Name],"")</f>
        <v>In-store</v>
      </c>
      <c r="R5700" s="1">
        <f>MONTH(tblSales[[#This Row],[Date]])</f>
        <v>12</v>
      </c>
    </row>
    <row r="5701" spans="2:18" x14ac:dyDescent="0.35">
      <c r="B5701" s="113">
        <v>46365</v>
      </c>
      <c r="C5701" s="4" t="s">
        <v>3904</v>
      </c>
      <c r="D5701" s="4" t="s">
        <v>4568</v>
      </c>
      <c r="E5701" s="1" t="str">
        <f>_xlfn.XLOOKUP(tblSales[[#This Row],[Customer ID]],tblCustomers[Customer ID],tblCustomers[Customer Name],"⚠ Unknown")</f>
        <v>Walk-in Customer</v>
      </c>
      <c r="F5701" s="4" t="s">
        <v>8</v>
      </c>
      <c r="G5701" s="1" t="str">
        <f>_xlfn.XLOOKUP(tblSales[[#This Row],[Product Code]],tblProducts[Code],tblProducts[Product / Service Name],"⚠ Unknown")</f>
        <v>Casual Shorts</v>
      </c>
      <c r="H5701" s="1" t="str">
        <f>_xlfn.XLOOKUP(tblSales[[#This Row],[Product Code]],tblProducts[Code],tblProducts[Category],"")</f>
        <v>Accessories &amp; Basics</v>
      </c>
      <c r="I5701" s="4">
        <v>7</v>
      </c>
      <c r="J5701" s="5">
        <f>_xlfn.XLOOKUP(tblSales[[#This Row],[Product Code]],tblProducts[Code],tblProducts[Selling Price (excl. VAT)],0)</f>
        <v>85000</v>
      </c>
      <c r="K5701" s="5">
        <f>tblSales[[#This Row],[Qty]]*tblSales[[#This Row],[Unit Price]]</f>
        <v>595000</v>
      </c>
      <c r="L5701" s="5">
        <f>ROUND(tblSales[[#This Row],[DPP (excl. VAT)]]*VATEff,0)</f>
        <v>65450</v>
      </c>
      <c r="M5701" s="5">
        <f>tblSales[[#This Row],[DPP (excl. VAT)]]+tblSales[[#This Row],[Output VAT]]</f>
        <v>660450</v>
      </c>
      <c r="N5701" s="5">
        <f>tblSales[[#This Row],[Qty]]*_xlfn.XLOOKUP(tblSales[[#This Row],[Product Code]],tblProducts[Code],tblProducts[Unit Cost],0)</f>
        <v>350000</v>
      </c>
      <c r="O5701" s="4" t="s">
        <v>4866</v>
      </c>
      <c r="P5701" s="4" t="s">
        <v>4860</v>
      </c>
      <c r="Q5701" s="1" t="str">
        <f>_xlfn.XLOOKUP(tblSales[[#This Row],[Channel Code]],tblChannels[Channel Code],tblChannels[Channel Name],"")</f>
        <v>In-store</v>
      </c>
      <c r="R5701" s="1">
        <f>MONTH(tblSales[[#This Row],[Date]])</f>
        <v>12</v>
      </c>
    </row>
    <row r="5702" spans="2:18" x14ac:dyDescent="0.35">
      <c r="B5702" s="113">
        <v>46365</v>
      </c>
      <c r="C5702" s="4" t="s">
        <v>3905</v>
      </c>
      <c r="D5702" s="4" t="s">
        <v>4613</v>
      </c>
      <c r="E5702" s="1" t="str">
        <f>_xlfn.XLOOKUP(tblSales[[#This Row],[Customer ID]],tblCustomers[Customer ID],tblCustomers[Customer Name],"⚠ Unknown")</f>
        <v>PT Mega Prima Distribusi</v>
      </c>
      <c r="F5702" s="4" t="s">
        <v>8</v>
      </c>
      <c r="G5702" s="1" t="str">
        <f>_xlfn.XLOOKUP(tblSales[[#This Row],[Product Code]],tblProducts[Code],tblProducts[Product / Service Name],"⚠ Unknown")</f>
        <v>Casual Shorts</v>
      </c>
      <c r="H5702" s="1" t="str">
        <f>_xlfn.XLOOKUP(tblSales[[#This Row],[Product Code]],tblProducts[Code],tblProducts[Category],"")</f>
        <v>Accessories &amp; Basics</v>
      </c>
      <c r="I5702" s="4">
        <v>72</v>
      </c>
      <c r="J5702" s="5">
        <f>_xlfn.XLOOKUP(tblSales[[#This Row],[Product Code]],tblProducts[Code],tblProducts[Selling Price (excl. VAT)],0)</f>
        <v>85000</v>
      </c>
      <c r="K5702" s="5">
        <f>tblSales[[#This Row],[Qty]]*tblSales[[#This Row],[Unit Price]]</f>
        <v>6120000</v>
      </c>
      <c r="L5702" s="5">
        <f>ROUND(tblSales[[#This Row],[DPP (excl. VAT)]]*VATEff,0)</f>
        <v>673200</v>
      </c>
      <c r="M5702" s="5">
        <f>tblSales[[#This Row],[DPP (excl. VAT)]]+tblSales[[#This Row],[Output VAT]]</f>
        <v>6793200</v>
      </c>
      <c r="N5702" s="5">
        <f>tblSales[[#This Row],[Qty]]*_xlfn.XLOOKUP(tblSales[[#This Row],[Product Code]],tblProducts[Code],tblProducts[Unit Cost],0)</f>
        <v>3600000</v>
      </c>
      <c r="O5702" s="4" t="s">
        <v>4867</v>
      </c>
      <c r="P5702" s="4" t="s">
        <v>4860</v>
      </c>
      <c r="Q5702" s="1" t="str">
        <f>_xlfn.XLOOKUP(tblSales[[#This Row],[Channel Code]],tblChannels[Channel Code],tblChannels[Channel Name],"")</f>
        <v>In-store</v>
      </c>
      <c r="R5702" s="1">
        <f>MONTH(tblSales[[#This Row],[Date]])</f>
        <v>12</v>
      </c>
    </row>
    <row r="5703" spans="2:18" x14ac:dyDescent="0.35">
      <c r="B5703" s="113">
        <v>46365</v>
      </c>
      <c r="C5703" s="4" t="s">
        <v>3906</v>
      </c>
      <c r="D5703" s="4" t="s">
        <v>4568</v>
      </c>
      <c r="E5703" s="1" t="str">
        <f>_xlfn.XLOOKUP(tblSales[[#This Row],[Customer ID]],tblCustomers[Customer ID],tblCustomers[Customer Name],"⚠ Unknown")</f>
        <v>Walk-in Customer</v>
      </c>
      <c r="F5703" s="4" t="s">
        <v>6</v>
      </c>
      <c r="G5703" s="1" t="str">
        <f>_xlfn.XLOOKUP(tblSales[[#This Row],[Product Code]],tblProducts[Code],tblProducts[Product / Service Name],"⚠ Unknown")</f>
        <v>Socks &amp; Accessories</v>
      </c>
      <c r="H5703" s="1" t="str">
        <f>_xlfn.XLOOKUP(tblSales[[#This Row],[Product Code]],tblProducts[Code],tblProducts[Category],"")</f>
        <v>Accessories &amp; Basics</v>
      </c>
      <c r="I5703" s="4">
        <v>12</v>
      </c>
      <c r="J5703" s="5">
        <f>_xlfn.XLOOKUP(tblSales[[#This Row],[Product Code]],tblProducts[Code],tblProducts[Selling Price (excl. VAT)],0)</f>
        <v>45000</v>
      </c>
      <c r="K5703" s="5">
        <f>tblSales[[#This Row],[Qty]]*tblSales[[#This Row],[Unit Price]]</f>
        <v>540000</v>
      </c>
      <c r="L5703" s="5">
        <f>ROUND(tblSales[[#This Row],[DPP (excl. VAT)]]*VATEff,0)</f>
        <v>59400</v>
      </c>
      <c r="M5703" s="5">
        <f>tblSales[[#This Row],[DPP (excl. VAT)]]+tblSales[[#This Row],[Output VAT]]</f>
        <v>599400</v>
      </c>
      <c r="N5703" s="5">
        <f>tblSales[[#This Row],[Qty]]*_xlfn.XLOOKUP(tblSales[[#This Row],[Product Code]],tblProducts[Code],tblProducts[Unit Cost],0)</f>
        <v>288000</v>
      </c>
      <c r="O5703" s="4" t="s">
        <v>4865</v>
      </c>
      <c r="P5703" s="4" t="s">
        <v>4860</v>
      </c>
      <c r="Q5703" s="1" t="str">
        <f>_xlfn.XLOOKUP(tblSales[[#This Row],[Channel Code]],tblChannels[Channel Code],tblChannels[Channel Name],"")</f>
        <v>In-store</v>
      </c>
      <c r="R5703" s="1">
        <f>MONTH(tblSales[[#This Row],[Date]])</f>
        <v>12</v>
      </c>
    </row>
    <row r="5704" spans="2:18" x14ac:dyDescent="0.35">
      <c r="B5704" s="113">
        <v>46365</v>
      </c>
      <c r="C5704" s="4" t="s">
        <v>3907</v>
      </c>
      <c r="D5704" s="4" t="s">
        <v>4568</v>
      </c>
      <c r="E5704" s="1" t="str">
        <f>_xlfn.XLOOKUP(tblSales[[#This Row],[Customer ID]],tblCustomers[Customer ID],tblCustomers[Customer Name],"⚠ Unknown")</f>
        <v>Walk-in Customer</v>
      </c>
      <c r="F5704" s="4" t="s">
        <v>7</v>
      </c>
      <c r="G5704" s="1" t="str">
        <f>_xlfn.XLOOKUP(tblSales[[#This Row],[Product Code]],tblProducts[Code],tblProducts[Product / Service Name],"⚠ Unknown")</f>
        <v>Premium Basic T-shirt</v>
      </c>
      <c r="H5704" s="1" t="str">
        <f>_xlfn.XLOOKUP(tblSales[[#This Row],[Product Code]],tblProducts[Code],tblProducts[Category],"")</f>
        <v>Accessories &amp; Basics</v>
      </c>
      <c r="I5704" s="4">
        <v>11</v>
      </c>
      <c r="J5704" s="5">
        <f>_xlfn.XLOOKUP(tblSales[[#This Row],[Product Code]],tblProducts[Code],tblProducts[Selling Price (excl. VAT)],0)</f>
        <v>65000</v>
      </c>
      <c r="K5704" s="5">
        <f>tblSales[[#This Row],[Qty]]*tblSales[[#This Row],[Unit Price]]</f>
        <v>715000</v>
      </c>
      <c r="L5704" s="5">
        <f>ROUND(tblSales[[#This Row],[DPP (excl. VAT)]]*VATEff,0)</f>
        <v>78650</v>
      </c>
      <c r="M5704" s="5">
        <f>tblSales[[#This Row],[DPP (excl. VAT)]]+tblSales[[#This Row],[Output VAT]]</f>
        <v>793650</v>
      </c>
      <c r="N5704" s="5">
        <f>tblSales[[#This Row],[Qty]]*_xlfn.XLOOKUP(tblSales[[#This Row],[Product Code]],tblProducts[Code],tblProducts[Unit Cost],0)</f>
        <v>407000</v>
      </c>
      <c r="O5704" s="4" t="s">
        <v>4865</v>
      </c>
      <c r="P5704" s="4" t="s">
        <v>4860</v>
      </c>
      <c r="Q5704" s="1" t="str">
        <f>_xlfn.XLOOKUP(tblSales[[#This Row],[Channel Code]],tblChannels[Channel Code],tblChannels[Channel Name],"")</f>
        <v>In-store</v>
      </c>
      <c r="R5704" s="1">
        <f>MONTH(tblSales[[#This Row],[Date]])</f>
        <v>12</v>
      </c>
    </row>
    <row r="5705" spans="2:18" x14ac:dyDescent="0.35">
      <c r="B5705" s="113">
        <v>46365</v>
      </c>
      <c r="C5705" s="4" t="s">
        <v>3908</v>
      </c>
      <c r="D5705" s="4" t="s">
        <v>4568</v>
      </c>
      <c r="E5705" s="1" t="str">
        <f>_xlfn.XLOOKUP(tblSales[[#This Row],[Customer ID]],tblCustomers[Customer ID],tblCustomers[Customer Name],"⚠ Unknown")</f>
        <v>Walk-in Customer</v>
      </c>
      <c r="F5705" s="4" t="s">
        <v>13</v>
      </c>
      <c r="G5705" s="1" t="str">
        <f>_xlfn.XLOOKUP(tblSales[[#This Row],[Product Code]],tblProducts[Code],tblProducts[Product / Service Name],"⚠ Unknown")</f>
        <v>Backpack</v>
      </c>
      <c r="H5705" s="1" t="str">
        <f>_xlfn.XLOOKUP(tblSales[[#This Row],[Product Code]],tblProducts[Code],tblProducts[Category],"")</f>
        <v>Bags &amp; Gadgets</v>
      </c>
      <c r="I5705" s="4">
        <v>2</v>
      </c>
      <c r="J5705" s="5">
        <f>_xlfn.XLOOKUP(tblSales[[#This Row],[Product Code]],tblProducts[Code],tblProducts[Selling Price (excl. VAT)],0)</f>
        <v>500000</v>
      </c>
      <c r="K5705" s="5">
        <f>tblSales[[#This Row],[Qty]]*tblSales[[#This Row],[Unit Price]]</f>
        <v>1000000</v>
      </c>
      <c r="L5705" s="5">
        <f>ROUND(tblSales[[#This Row],[DPP (excl. VAT)]]*VATEff,0)</f>
        <v>110000</v>
      </c>
      <c r="M5705" s="5">
        <f>tblSales[[#This Row],[DPP (excl. VAT)]]+tblSales[[#This Row],[Output VAT]]</f>
        <v>1110000</v>
      </c>
      <c r="N5705" s="5">
        <f>tblSales[[#This Row],[Qty]]*_xlfn.XLOOKUP(tblSales[[#This Row],[Product Code]],tblProducts[Code],tblProducts[Unit Cost],0)</f>
        <v>580000</v>
      </c>
      <c r="O5705" s="4" t="s">
        <v>4866</v>
      </c>
      <c r="P5705" s="4" t="s">
        <v>4861</v>
      </c>
      <c r="Q5705" s="1" t="str">
        <f>_xlfn.XLOOKUP(tblSales[[#This Row],[Channel Code]],tblChannels[Channel Code],tblChannels[Channel Name],"")</f>
        <v>Marketplace</v>
      </c>
      <c r="R5705" s="1">
        <f>MONTH(tblSales[[#This Row],[Date]])</f>
        <v>12</v>
      </c>
    </row>
    <row r="5706" spans="2:18" x14ac:dyDescent="0.35">
      <c r="B5706" s="113">
        <v>46365</v>
      </c>
      <c r="C5706" s="4" t="s">
        <v>3909</v>
      </c>
      <c r="D5706" s="4" t="s">
        <v>4568</v>
      </c>
      <c r="E5706" s="1" t="str">
        <f>_xlfn.XLOOKUP(tblSales[[#This Row],[Customer ID]],tblCustomers[Customer ID],tblCustomers[Customer Name],"⚠ Unknown")</f>
        <v>Walk-in Customer</v>
      </c>
      <c r="F5706" s="4" t="s">
        <v>6</v>
      </c>
      <c r="G5706" s="1" t="str">
        <f>_xlfn.XLOOKUP(tblSales[[#This Row],[Product Code]],tblProducts[Code],tblProducts[Product / Service Name],"⚠ Unknown")</f>
        <v>Socks &amp; Accessories</v>
      </c>
      <c r="H5706" s="1" t="str">
        <f>_xlfn.XLOOKUP(tblSales[[#This Row],[Product Code]],tblProducts[Code],tblProducts[Category],"")</f>
        <v>Accessories &amp; Basics</v>
      </c>
      <c r="I5706" s="4">
        <v>10</v>
      </c>
      <c r="J5706" s="5">
        <f>_xlfn.XLOOKUP(tblSales[[#This Row],[Product Code]],tblProducts[Code],tblProducts[Selling Price (excl. VAT)],0)</f>
        <v>45000</v>
      </c>
      <c r="K5706" s="5">
        <f>tblSales[[#This Row],[Qty]]*tblSales[[#This Row],[Unit Price]]</f>
        <v>450000</v>
      </c>
      <c r="L5706" s="5">
        <f>ROUND(tblSales[[#This Row],[DPP (excl. VAT)]]*VATEff,0)</f>
        <v>49500</v>
      </c>
      <c r="M5706" s="5">
        <f>tblSales[[#This Row],[DPP (excl. VAT)]]+tblSales[[#This Row],[Output VAT]]</f>
        <v>499500</v>
      </c>
      <c r="N5706" s="5">
        <f>tblSales[[#This Row],[Qty]]*_xlfn.XLOOKUP(tblSales[[#This Row],[Product Code]],tblProducts[Code],tblProducts[Unit Cost],0)</f>
        <v>240000</v>
      </c>
      <c r="O5706" s="4" t="s">
        <v>4866</v>
      </c>
      <c r="P5706" s="4" t="s">
        <v>4860</v>
      </c>
      <c r="Q5706" s="1" t="str">
        <f>_xlfn.XLOOKUP(tblSales[[#This Row],[Channel Code]],tblChannels[Channel Code],tblChannels[Channel Name],"")</f>
        <v>In-store</v>
      </c>
      <c r="R5706" s="1">
        <f>MONTH(tblSales[[#This Row],[Date]])</f>
        <v>12</v>
      </c>
    </row>
    <row r="5707" spans="2:18" x14ac:dyDescent="0.35">
      <c r="B5707" s="113">
        <v>46365</v>
      </c>
      <c r="C5707" s="4" t="s">
        <v>3910</v>
      </c>
      <c r="D5707" s="4" t="s">
        <v>4568</v>
      </c>
      <c r="E5707" s="1" t="str">
        <f>_xlfn.XLOOKUP(tblSales[[#This Row],[Customer ID]],tblCustomers[Customer ID],tblCustomers[Customer Name],"⚠ Unknown")</f>
        <v>Walk-in Customer</v>
      </c>
      <c r="F5707" s="4" t="s">
        <v>10</v>
      </c>
      <c r="G5707" s="1" t="str">
        <f>_xlfn.XLOOKUP(tblSales[[#This Row],[Product Code]],tblProducts[Code],tblProducts[Product / Service Name],"⚠ Unknown")</f>
        <v>Chino Pants</v>
      </c>
      <c r="H5707" s="1" t="str">
        <f>_xlfn.XLOOKUP(tblSales[[#This Row],[Product Code]],tblProducts[Code],tblProducts[Category],"")</f>
        <v>Apparel &amp; Footwear</v>
      </c>
      <c r="I5707" s="4">
        <v>4</v>
      </c>
      <c r="J5707" s="5">
        <f>_xlfn.XLOOKUP(tblSales[[#This Row],[Product Code]],tblProducts[Code],tblProducts[Selling Price (excl. VAT)],0)</f>
        <v>150000</v>
      </c>
      <c r="K5707" s="5">
        <f>tblSales[[#This Row],[Qty]]*tblSales[[#This Row],[Unit Price]]</f>
        <v>600000</v>
      </c>
      <c r="L5707" s="5">
        <f>ROUND(tblSales[[#This Row],[DPP (excl. VAT)]]*VATEff,0)</f>
        <v>66000</v>
      </c>
      <c r="M5707" s="5">
        <f>tblSales[[#This Row],[DPP (excl. VAT)]]+tblSales[[#This Row],[Output VAT]]</f>
        <v>666000</v>
      </c>
      <c r="N5707" s="5">
        <f>tblSales[[#This Row],[Qty]]*_xlfn.XLOOKUP(tblSales[[#This Row],[Product Code]],tblProducts[Code],tblProducts[Unit Cost],0)</f>
        <v>352000</v>
      </c>
      <c r="O5707" s="4" t="s">
        <v>4866</v>
      </c>
      <c r="P5707" s="4" t="s">
        <v>4861</v>
      </c>
      <c r="Q5707" s="1" t="str">
        <f>_xlfn.XLOOKUP(tblSales[[#This Row],[Channel Code]],tblChannels[Channel Code],tblChannels[Channel Name],"")</f>
        <v>Marketplace</v>
      </c>
      <c r="R5707" s="1">
        <f>MONTH(tblSales[[#This Row],[Date]])</f>
        <v>12</v>
      </c>
    </row>
    <row r="5708" spans="2:18" x14ac:dyDescent="0.35">
      <c r="B5708" s="113">
        <v>46365</v>
      </c>
      <c r="C5708" s="4" t="s">
        <v>3911</v>
      </c>
      <c r="D5708" s="4" t="s">
        <v>4568</v>
      </c>
      <c r="E5708" s="1" t="str">
        <f>_xlfn.XLOOKUP(tblSales[[#This Row],[Customer ID]],tblCustomers[Customer ID],tblCustomers[Customer Name],"⚠ Unknown")</f>
        <v>Walk-in Customer</v>
      </c>
      <c r="F5708" s="4" t="s">
        <v>6</v>
      </c>
      <c r="G5708" s="1" t="str">
        <f>_xlfn.XLOOKUP(tblSales[[#This Row],[Product Code]],tblProducts[Code],tblProducts[Product / Service Name],"⚠ Unknown")</f>
        <v>Socks &amp; Accessories</v>
      </c>
      <c r="H5708" s="1" t="str">
        <f>_xlfn.XLOOKUP(tblSales[[#This Row],[Product Code]],tblProducts[Code],tblProducts[Category],"")</f>
        <v>Accessories &amp; Basics</v>
      </c>
      <c r="I5708" s="4">
        <v>5</v>
      </c>
      <c r="J5708" s="5">
        <f>_xlfn.XLOOKUP(tblSales[[#This Row],[Product Code]],tblProducts[Code],tblProducts[Selling Price (excl. VAT)],0)</f>
        <v>45000</v>
      </c>
      <c r="K5708" s="5">
        <f>tblSales[[#This Row],[Qty]]*tblSales[[#This Row],[Unit Price]]</f>
        <v>225000</v>
      </c>
      <c r="L5708" s="5">
        <f>ROUND(tblSales[[#This Row],[DPP (excl. VAT)]]*VATEff,0)</f>
        <v>24750</v>
      </c>
      <c r="M5708" s="5">
        <f>tblSales[[#This Row],[DPP (excl. VAT)]]+tblSales[[#This Row],[Output VAT]]</f>
        <v>249750</v>
      </c>
      <c r="N5708" s="5">
        <f>tblSales[[#This Row],[Qty]]*_xlfn.XLOOKUP(tblSales[[#This Row],[Product Code]],tblProducts[Code],tblProducts[Unit Cost],0)</f>
        <v>120000</v>
      </c>
      <c r="O5708" s="4" t="s">
        <v>4866</v>
      </c>
      <c r="P5708" s="4" t="s">
        <v>4861</v>
      </c>
      <c r="Q5708" s="1" t="str">
        <f>_xlfn.XLOOKUP(tblSales[[#This Row],[Channel Code]],tblChannels[Channel Code],tblChannels[Channel Name],"")</f>
        <v>Marketplace</v>
      </c>
      <c r="R5708" s="1">
        <f>MONTH(tblSales[[#This Row],[Date]])</f>
        <v>12</v>
      </c>
    </row>
    <row r="5709" spans="2:18" x14ac:dyDescent="0.35">
      <c r="B5709" s="113">
        <v>46365</v>
      </c>
      <c r="C5709" s="4" t="s">
        <v>3912</v>
      </c>
      <c r="D5709" s="4" t="s">
        <v>4568</v>
      </c>
      <c r="E5709" s="1" t="str">
        <f>_xlfn.XLOOKUP(tblSales[[#This Row],[Customer ID]],tblCustomers[Customer ID],tblCustomers[Customer Name],"⚠ Unknown")</f>
        <v>Walk-in Customer</v>
      </c>
      <c r="F5709" s="4" t="s">
        <v>6</v>
      </c>
      <c r="G5709" s="1" t="str">
        <f>_xlfn.XLOOKUP(tblSales[[#This Row],[Product Code]],tblProducts[Code],tblProducts[Product / Service Name],"⚠ Unknown")</f>
        <v>Socks &amp; Accessories</v>
      </c>
      <c r="H5709" s="1" t="str">
        <f>_xlfn.XLOOKUP(tblSales[[#This Row],[Product Code]],tblProducts[Code],tblProducts[Category],"")</f>
        <v>Accessories &amp; Basics</v>
      </c>
      <c r="I5709" s="4">
        <v>7</v>
      </c>
      <c r="J5709" s="5">
        <f>_xlfn.XLOOKUP(tblSales[[#This Row],[Product Code]],tblProducts[Code],tblProducts[Selling Price (excl. VAT)],0)</f>
        <v>45000</v>
      </c>
      <c r="K5709" s="5">
        <f>tblSales[[#This Row],[Qty]]*tblSales[[#This Row],[Unit Price]]</f>
        <v>315000</v>
      </c>
      <c r="L5709" s="5">
        <f>ROUND(tblSales[[#This Row],[DPP (excl. VAT)]]*VATEff,0)</f>
        <v>34650</v>
      </c>
      <c r="M5709" s="5">
        <f>tblSales[[#This Row],[DPP (excl. VAT)]]+tblSales[[#This Row],[Output VAT]]</f>
        <v>349650</v>
      </c>
      <c r="N5709" s="5">
        <f>tblSales[[#This Row],[Qty]]*_xlfn.XLOOKUP(tblSales[[#This Row],[Product Code]],tblProducts[Code],tblProducts[Unit Cost],0)</f>
        <v>168000</v>
      </c>
      <c r="O5709" s="4" t="s">
        <v>4866</v>
      </c>
      <c r="P5709" s="4" t="s">
        <v>4861</v>
      </c>
      <c r="Q5709" s="1" t="str">
        <f>_xlfn.XLOOKUP(tblSales[[#This Row],[Channel Code]],tblChannels[Channel Code],tblChannels[Channel Name],"")</f>
        <v>Marketplace</v>
      </c>
      <c r="R5709" s="1">
        <f>MONTH(tblSales[[#This Row],[Date]])</f>
        <v>12</v>
      </c>
    </row>
    <row r="5710" spans="2:18" x14ac:dyDescent="0.35">
      <c r="B5710" s="113">
        <v>46365</v>
      </c>
      <c r="C5710" s="4" t="s">
        <v>3912</v>
      </c>
      <c r="D5710" s="4" t="s">
        <v>4568</v>
      </c>
      <c r="E5710" s="1" t="str">
        <f>_xlfn.XLOOKUP(tblSales[[#This Row],[Customer ID]],tblCustomers[Customer ID],tblCustomers[Customer Name],"⚠ Unknown")</f>
        <v>Walk-in Customer</v>
      </c>
      <c r="F5710" s="4" t="s">
        <v>8</v>
      </c>
      <c r="G5710" s="1" t="str">
        <f>_xlfn.XLOOKUP(tblSales[[#This Row],[Product Code]],tblProducts[Code],tblProducts[Product / Service Name],"⚠ Unknown")</f>
        <v>Casual Shorts</v>
      </c>
      <c r="H5710" s="1" t="str">
        <f>_xlfn.XLOOKUP(tblSales[[#This Row],[Product Code]],tblProducts[Code],tblProducts[Category],"")</f>
        <v>Accessories &amp; Basics</v>
      </c>
      <c r="I5710" s="4">
        <v>4</v>
      </c>
      <c r="J5710" s="5">
        <f>_xlfn.XLOOKUP(tblSales[[#This Row],[Product Code]],tblProducts[Code],tblProducts[Selling Price (excl. VAT)],0)</f>
        <v>85000</v>
      </c>
      <c r="K5710" s="5">
        <f>tblSales[[#This Row],[Qty]]*tblSales[[#This Row],[Unit Price]]</f>
        <v>340000</v>
      </c>
      <c r="L5710" s="5">
        <f>ROUND(tblSales[[#This Row],[DPP (excl. VAT)]]*VATEff,0)</f>
        <v>37400</v>
      </c>
      <c r="M5710" s="5">
        <f>tblSales[[#This Row],[DPP (excl. VAT)]]+tblSales[[#This Row],[Output VAT]]</f>
        <v>377400</v>
      </c>
      <c r="N5710" s="5">
        <f>tblSales[[#This Row],[Qty]]*_xlfn.XLOOKUP(tblSales[[#This Row],[Product Code]],tblProducts[Code],tblProducts[Unit Cost],0)</f>
        <v>200000</v>
      </c>
      <c r="O5710" s="4" t="s">
        <v>4866</v>
      </c>
      <c r="P5710" s="4" t="s">
        <v>4861</v>
      </c>
      <c r="Q5710" s="1" t="str">
        <f>_xlfn.XLOOKUP(tblSales[[#This Row],[Channel Code]],tblChannels[Channel Code],tblChannels[Channel Name],"")</f>
        <v>Marketplace</v>
      </c>
      <c r="R5710" s="1">
        <f>MONTH(tblSales[[#This Row],[Date]])</f>
        <v>12</v>
      </c>
    </row>
    <row r="5711" spans="2:18" x14ac:dyDescent="0.35">
      <c r="B5711" s="113">
        <v>46365</v>
      </c>
      <c r="C5711" s="4" t="s">
        <v>3912</v>
      </c>
      <c r="D5711" s="4" t="s">
        <v>4568</v>
      </c>
      <c r="E5711" s="1" t="str">
        <f>_xlfn.XLOOKUP(tblSales[[#This Row],[Customer ID]],tblCustomers[Customer ID],tblCustomers[Customer Name],"⚠ Unknown")</f>
        <v>Walk-in Customer</v>
      </c>
      <c r="F5711" s="4" t="s">
        <v>10</v>
      </c>
      <c r="G5711" s="1" t="str">
        <f>_xlfn.XLOOKUP(tblSales[[#This Row],[Product Code]],tblProducts[Code],tblProducts[Product / Service Name],"⚠ Unknown")</f>
        <v>Chino Pants</v>
      </c>
      <c r="H5711" s="1" t="str">
        <f>_xlfn.XLOOKUP(tblSales[[#This Row],[Product Code]],tblProducts[Code],tblProducts[Category],"")</f>
        <v>Apparel &amp; Footwear</v>
      </c>
      <c r="I5711" s="4">
        <v>8</v>
      </c>
      <c r="J5711" s="5">
        <f>_xlfn.XLOOKUP(tblSales[[#This Row],[Product Code]],tblProducts[Code],tblProducts[Selling Price (excl. VAT)],0)</f>
        <v>150000</v>
      </c>
      <c r="K5711" s="5">
        <f>tblSales[[#This Row],[Qty]]*tblSales[[#This Row],[Unit Price]]</f>
        <v>1200000</v>
      </c>
      <c r="L5711" s="5">
        <f>ROUND(tblSales[[#This Row],[DPP (excl. VAT)]]*VATEff,0)</f>
        <v>132000</v>
      </c>
      <c r="M5711" s="5">
        <f>tblSales[[#This Row],[DPP (excl. VAT)]]+tblSales[[#This Row],[Output VAT]]</f>
        <v>1332000</v>
      </c>
      <c r="N5711" s="5">
        <f>tblSales[[#This Row],[Qty]]*_xlfn.XLOOKUP(tblSales[[#This Row],[Product Code]],tblProducts[Code],tblProducts[Unit Cost],0)</f>
        <v>704000</v>
      </c>
      <c r="O5711" s="4" t="s">
        <v>4866</v>
      </c>
      <c r="P5711" s="4" t="s">
        <v>4861</v>
      </c>
      <c r="Q5711" s="1" t="str">
        <f>_xlfn.XLOOKUP(tblSales[[#This Row],[Channel Code]],tblChannels[Channel Code],tblChannels[Channel Name],"")</f>
        <v>Marketplace</v>
      </c>
      <c r="R5711" s="1">
        <f>MONTH(tblSales[[#This Row],[Date]])</f>
        <v>12</v>
      </c>
    </row>
    <row r="5712" spans="2:18" x14ac:dyDescent="0.35">
      <c r="B5712" s="113">
        <v>46365</v>
      </c>
      <c r="C5712" s="4" t="s">
        <v>3913</v>
      </c>
      <c r="D5712" s="4" t="s">
        <v>4568</v>
      </c>
      <c r="E5712" s="1" t="str">
        <f>_xlfn.XLOOKUP(tblSales[[#This Row],[Customer ID]],tblCustomers[Customer ID],tblCustomers[Customer Name],"⚠ Unknown")</f>
        <v>Walk-in Customer</v>
      </c>
      <c r="F5712" s="4" t="s">
        <v>10</v>
      </c>
      <c r="G5712" s="1" t="str">
        <f>_xlfn.XLOOKUP(tblSales[[#This Row],[Product Code]],tblProducts[Code],tblProducts[Product / Service Name],"⚠ Unknown")</f>
        <v>Chino Pants</v>
      </c>
      <c r="H5712" s="1" t="str">
        <f>_xlfn.XLOOKUP(tblSales[[#This Row],[Product Code]],tblProducts[Code],tblProducts[Category],"")</f>
        <v>Apparel &amp; Footwear</v>
      </c>
      <c r="I5712" s="4">
        <v>4</v>
      </c>
      <c r="J5712" s="5">
        <f>_xlfn.XLOOKUP(tblSales[[#This Row],[Product Code]],tblProducts[Code],tblProducts[Selling Price (excl. VAT)],0)</f>
        <v>150000</v>
      </c>
      <c r="K5712" s="5">
        <f>tblSales[[#This Row],[Qty]]*tblSales[[#This Row],[Unit Price]]</f>
        <v>600000</v>
      </c>
      <c r="L5712" s="5">
        <f>ROUND(tblSales[[#This Row],[DPP (excl. VAT)]]*VATEff,0)</f>
        <v>66000</v>
      </c>
      <c r="M5712" s="5">
        <f>tblSales[[#This Row],[DPP (excl. VAT)]]+tblSales[[#This Row],[Output VAT]]</f>
        <v>666000</v>
      </c>
      <c r="N5712" s="5">
        <f>tblSales[[#This Row],[Qty]]*_xlfn.XLOOKUP(tblSales[[#This Row],[Product Code]],tblProducts[Code],tblProducts[Unit Cost],0)</f>
        <v>352000</v>
      </c>
      <c r="O5712" s="4" t="s">
        <v>4866</v>
      </c>
      <c r="P5712" s="4" t="s">
        <v>4861</v>
      </c>
      <c r="Q5712" s="1" t="str">
        <f>_xlfn.XLOOKUP(tblSales[[#This Row],[Channel Code]],tblChannels[Channel Code],tblChannels[Channel Name],"")</f>
        <v>Marketplace</v>
      </c>
      <c r="R5712" s="1">
        <f>MONTH(tblSales[[#This Row],[Date]])</f>
        <v>12</v>
      </c>
    </row>
    <row r="5713" spans="2:18" x14ac:dyDescent="0.35">
      <c r="B5713" s="113">
        <v>46365</v>
      </c>
      <c r="C5713" s="4" t="s">
        <v>3914</v>
      </c>
      <c r="D5713" s="4" t="s">
        <v>4568</v>
      </c>
      <c r="E5713" s="1" t="str">
        <f>_xlfn.XLOOKUP(tblSales[[#This Row],[Customer ID]],tblCustomers[Customer ID],tblCustomers[Customer Name],"⚠ Unknown")</f>
        <v>Walk-in Customer</v>
      </c>
      <c r="F5713" s="4" t="s">
        <v>7</v>
      </c>
      <c r="G5713" s="1" t="str">
        <f>_xlfn.XLOOKUP(tblSales[[#This Row],[Product Code]],tblProducts[Code],tblProducts[Product / Service Name],"⚠ Unknown")</f>
        <v>Premium Basic T-shirt</v>
      </c>
      <c r="H5713" s="1" t="str">
        <f>_xlfn.XLOOKUP(tblSales[[#This Row],[Product Code]],tblProducts[Code],tblProducts[Category],"")</f>
        <v>Accessories &amp; Basics</v>
      </c>
      <c r="I5713" s="4">
        <v>6</v>
      </c>
      <c r="J5713" s="5">
        <f>_xlfn.XLOOKUP(tblSales[[#This Row],[Product Code]],tblProducts[Code],tblProducts[Selling Price (excl. VAT)],0)</f>
        <v>65000</v>
      </c>
      <c r="K5713" s="5">
        <f>tblSales[[#This Row],[Qty]]*tblSales[[#This Row],[Unit Price]]</f>
        <v>390000</v>
      </c>
      <c r="L5713" s="5">
        <f>ROUND(tblSales[[#This Row],[DPP (excl. VAT)]]*VATEff,0)</f>
        <v>42900</v>
      </c>
      <c r="M5713" s="5">
        <f>tblSales[[#This Row],[DPP (excl. VAT)]]+tblSales[[#This Row],[Output VAT]]</f>
        <v>432900</v>
      </c>
      <c r="N5713" s="5">
        <f>tblSales[[#This Row],[Qty]]*_xlfn.XLOOKUP(tblSales[[#This Row],[Product Code]],tblProducts[Code],tblProducts[Unit Cost],0)</f>
        <v>222000</v>
      </c>
      <c r="O5713" s="4" t="s">
        <v>4865</v>
      </c>
      <c r="P5713" s="4" t="s">
        <v>4860</v>
      </c>
      <c r="Q5713" s="1" t="str">
        <f>_xlfn.XLOOKUP(tblSales[[#This Row],[Channel Code]],tblChannels[Channel Code],tblChannels[Channel Name],"")</f>
        <v>In-store</v>
      </c>
      <c r="R5713" s="1">
        <f>MONTH(tblSales[[#This Row],[Date]])</f>
        <v>12</v>
      </c>
    </row>
    <row r="5714" spans="2:18" x14ac:dyDescent="0.35">
      <c r="B5714" s="113">
        <v>46366</v>
      </c>
      <c r="C5714" s="4" t="s">
        <v>3915</v>
      </c>
      <c r="D5714" s="4" t="s">
        <v>4568</v>
      </c>
      <c r="E5714" s="1" t="str">
        <f>_xlfn.XLOOKUP(tblSales[[#This Row],[Customer ID]],tblCustomers[Customer ID],tblCustomers[Customer Name],"⚠ Unknown")</f>
        <v>Walk-in Customer</v>
      </c>
      <c r="F5714" s="4" t="s">
        <v>11</v>
      </c>
      <c r="G5714" s="1" t="str">
        <f>_xlfn.XLOOKUP(tblSales[[#This Row],[Product Code]],tblProducts[Code],tblProducts[Product / Service Name],"⚠ Unknown")</f>
        <v>Sneakers</v>
      </c>
      <c r="H5714" s="1" t="str">
        <f>_xlfn.XLOOKUP(tblSales[[#This Row],[Product Code]],tblProducts[Code],tblProducts[Category],"")</f>
        <v>Apparel &amp; Footwear</v>
      </c>
      <c r="I5714" s="4">
        <v>1</v>
      </c>
      <c r="J5714" s="5">
        <f>_xlfn.XLOOKUP(tblSales[[#This Row],[Product Code]],tblProducts[Code],tblProducts[Selling Price (excl. VAT)],0)</f>
        <v>250000</v>
      </c>
      <c r="K5714" s="5">
        <f>tblSales[[#This Row],[Qty]]*tblSales[[#This Row],[Unit Price]]</f>
        <v>250000</v>
      </c>
      <c r="L5714" s="5">
        <f>ROUND(tblSales[[#This Row],[DPP (excl. VAT)]]*VATEff,0)</f>
        <v>27500</v>
      </c>
      <c r="M5714" s="5">
        <f>tblSales[[#This Row],[DPP (excl. VAT)]]+tblSales[[#This Row],[Output VAT]]</f>
        <v>277500</v>
      </c>
      <c r="N5714" s="5">
        <f>tblSales[[#This Row],[Qty]]*_xlfn.XLOOKUP(tblSales[[#This Row],[Product Code]],tblProducts[Code],tblProducts[Unit Cost],0)</f>
        <v>155000</v>
      </c>
      <c r="O5714" s="4" t="s">
        <v>4866</v>
      </c>
      <c r="P5714" s="4" t="s">
        <v>4861</v>
      </c>
      <c r="Q5714" s="1" t="str">
        <f>_xlfn.XLOOKUP(tblSales[[#This Row],[Channel Code]],tblChannels[Channel Code],tblChannels[Channel Name],"")</f>
        <v>Marketplace</v>
      </c>
      <c r="R5714" s="1">
        <f>MONTH(tblSales[[#This Row],[Date]])</f>
        <v>12</v>
      </c>
    </row>
    <row r="5715" spans="2:18" x14ac:dyDescent="0.35">
      <c r="B5715" s="113">
        <v>46366</v>
      </c>
      <c r="C5715" s="4" t="s">
        <v>3915</v>
      </c>
      <c r="D5715" s="4" t="s">
        <v>4568</v>
      </c>
      <c r="E5715" s="1" t="str">
        <f>_xlfn.XLOOKUP(tblSales[[#This Row],[Customer ID]],tblCustomers[Customer ID],tblCustomers[Customer Name],"⚠ Unknown")</f>
        <v>Walk-in Customer</v>
      </c>
      <c r="F5715" s="4" t="s">
        <v>10</v>
      </c>
      <c r="G5715" s="1" t="str">
        <f>_xlfn.XLOOKUP(tblSales[[#This Row],[Product Code]],tblProducts[Code],tblProducts[Product / Service Name],"⚠ Unknown")</f>
        <v>Chino Pants</v>
      </c>
      <c r="H5715" s="1" t="str">
        <f>_xlfn.XLOOKUP(tblSales[[#This Row],[Product Code]],tblProducts[Code],tblProducts[Category],"")</f>
        <v>Apparel &amp; Footwear</v>
      </c>
      <c r="I5715" s="4">
        <v>3</v>
      </c>
      <c r="J5715" s="5">
        <f>_xlfn.XLOOKUP(tblSales[[#This Row],[Product Code]],tblProducts[Code],tblProducts[Selling Price (excl. VAT)],0)</f>
        <v>150000</v>
      </c>
      <c r="K5715" s="5">
        <f>tblSales[[#This Row],[Qty]]*tblSales[[#This Row],[Unit Price]]</f>
        <v>450000</v>
      </c>
      <c r="L5715" s="5">
        <f>ROUND(tblSales[[#This Row],[DPP (excl. VAT)]]*VATEff,0)</f>
        <v>49500</v>
      </c>
      <c r="M5715" s="5">
        <f>tblSales[[#This Row],[DPP (excl. VAT)]]+tblSales[[#This Row],[Output VAT]]</f>
        <v>499500</v>
      </c>
      <c r="N5715" s="5">
        <f>tblSales[[#This Row],[Qty]]*_xlfn.XLOOKUP(tblSales[[#This Row],[Product Code]],tblProducts[Code],tblProducts[Unit Cost],0)</f>
        <v>264000</v>
      </c>
      <c r="O5715" s="4" t="s">
        <v>4866</v>
      </c>
      <c r="P5715" s="4" t="s">
        <v>4861</v>
      </c>
      <c r="Q5715" s="1" t="str">
        <f>_xlfn.XLOOKUP(tblSales[[#This Row],[Channel Code]],tblChannels[Channel Code],tblChannels[Channel Name],"")</f>
        <v>Marketplace</v>
      </c>
      <c r="R5715" s="1">
        <f>MONTH(tblSales[[#This Row],[Date]])</f>
        <v>12</v>
      </c>
    </row>
    <row r="5716" spans="2:18" x14ac:dyDescent="0.35">
      <c r="B5716" s="113">
        <v>46366</v>
      </c>
      <c r="C5716" s="4" t="s">
        <v>3916</v>
      </c>
      <c r="D5716" s="4" t="s">
        <v>4568</v>
      </c>
      <c r="E5716" s="1" t="str">
        <f>_xlfn.XLOOKUP(tblSales[[#This Row],[Customer ID]],tblCustomers[Customer ID],tblCustomers[Customer Name],"⚠ Unknown")</f>
        <v>Walk-in Customer</v>
      </c>
      <c r="F5716" s="4" t="s">
        <v>10</v>
      </c>
      <c r="G5716" s="1" t="str">
        <f>_xlfn.XLOOKUP(tblSales[[#This Row],[Product Code]],tblProducts[Code],tblProducts[Product / Service Name],"⚠ Unknown")</f>
        <v>Chino Pants</v>
      </c>
      <c r="H5716" s="1" t="str">
        <f>_xlfn.XLOOKUP(tblSales[[#This Row],[Product Code]],tblProducts[Code],tblProducts[Category],"")</f>
        <v>Apparel &amp; Footwear</v>
      </c>
      <c r="I5716" s="4">
        <v>9</v>
      </c>
      <c r="J5716" s="5">
        <f>_xlfn.XLOOKUP(tblSales[[#This Row],[Product Code]],tblProducts[Code],tblProducts[Selling Price (excl. VAT)],0)</f>
        <v>150000</v>
      </c>
      <c r="K5716" s="5">
        <f>tblSales[[#This Row],[Qty]]*tblSales[[#This Row],[Unit Price]]</f>
        <v>1350000</v>
      </c>
      <c r="L5716" s="5">
        <f>ROUND(tblSales[[#This Row],[DPP (excl. VAT)]]*VATEff,0)</f>
        <v>148500</v>
      </c>
      <c r="M5716" s="5">
        <f>tblSales[[#This Row],[DPP (excl. VAT)]]+tblSales[[#This Row],[Output VAT]]</f>
        <v>1498500</v>
      </c>
      <c r="N5716" s="5">
        <f>tblSales[[#This Row],[Qty]]*_xlfn.XLOOKUP(tblSales[[#This Row],[Product Code]],tblProducts[Code],tblProducts[Unit Cost],0)</f>
        <v>792000</v>
      </c>
      <c r="O5716" s="4" t="s">
        <v>4865</v>
      </c>
      <c r="P5716" s="4" t="s">
        <v>4860</v>
      </c>
      <c r="Q5716" s="1" t="str">
        <f>_xlfn.XLOOKUP(tblSales[[#This Row],[Channel Code]],tblChannels[Channel Code],tblChannels[Channel Name],"")</f>
        <v>In-store</v>
      </c>
      <c r="R5716" s="1">
        <f>MONTH(tblSales[[#This Row],[Date]])</f>
        <v>12</v>
      </c>
    </row>
    <row r="5717" spans="2:18" x14ac:dyDescent="0.35">
      <c r="B5717" s="113">
        <v>46366</v>
      </c>
      <c r="C5717" s="4" t="s">
        <v>3916</v>
      </c>
      <c r="D5717" s="4" t="s">
        <v>4568</v>
      </c>
      <c r="E5717" s="1" t="str">
        <f>_xlfn.XLOOKUP(tblSales[[#This Row],[Customer ID]],tblCustomers[Customer ID],tblCustomers[Customer Name],"⚠ Unknown")</f>
        <v>Walk-in Customer</v>
      </c>
      <c r="F5717" s="4" t="s">
        <v>12</v>
      </c>
      <c r="G5717" s="1" t="str">
        <f>_xlfn.XLOOKUP(tblSales[[#This Row],[Product Code]],tblProducts[Code],tblProducts[Product / Service Name],"⚠ Unknown")</f>
        <v>Bomber Jacket</v>
      </c>
      <c r="H5717" s="1" t="str">
        <f>_xlfn.XLOOKUP(tblSales[[#This Row],[Product Code]],tblProducts[Code],tblProducts[Category],"")</f>
        <v>Apparel &amp; Footwear</v>
      </c>
      <c r="I5717" s="4">
        <v>3</v>
      </c>
      <c r="J5717" s="5">
        <f>_xlfn.XLOOKUP(tblSales[[#This Row],[Product Code]],tblProducts[Code],tblProducts[Selling Price (excl. VAT)],0)</f>
        <v>350000</v>
      </c>
      <c r="K5717" s="5">
        <f>tblSales[[#This Row],[Qty]]*tblSales[[#This Row],[Unit Price]]</f>
        <v>1050000</v>
      </c>
      <c r="L5717" s="5">
        <f>ROUND(tblSales[[#This Row],[DPP (excl. VAT)]]*VATEff,0)</f>
        <v>115500</v>
      </c>
      <c r="M5717" s="5">
        <f>tblSales[[#This Row],[DPP (excl. VAT)]]+tblSales[[#This Row],[Output VAT]]</f>
        <v>1165500</v>
      </c>
      <c r="N5717" s="5">
        <f>tblSales[[#This Row],[Qty]]*_xlfn.XLOOKUP(tblSales[[#This Row],[Product Code]],tblProducts[Code],tblProducts[Unit Cost],0)</f>
        <v>630000</v>
      </c>
      <c r="O5717" s="4" t="s">
        <v>4865</v>
      </c>
      <c r="P5717" s="4" t="s">
        <v>4860</v>
      </c>
      <c r="Q5717" s="1" t="str">
        <f>_xlfn.XLOOKUP(tblSales[[#This Row],[Channel Code]],tblChannels[Channel Code],tblChannels[Channel Name],"")</f>
        <v>In-store</v>
      </c>
      <c r="R5717" s="1">
        <f>MONTH(tblSales[[#This Row],[Date]])</f>
        <v>12</v>
      </c>
    </row>
    <row r="5718" spans="2:18" x14ac:dyDescent="0.35">
      <c r="B5718" s="113">
        <v>46366</v>
      </c>
      <c r="C5718" s="4" t="s">
        <v>3917</v>
      </c>
      <c r="D5718" s="4" t="s">
        <v>4568</v>
      </c>
      <c r="E5718" s="1" t="str">
        <f>_xlfn.XLOOKUP(tblSales[[#This Row],[Customer ID]],tblCustomers[Customer ID],tblCustomers[Customer Name],"⚠ Unknown")</f>
        <v>Walk-in Customer</v>
      </c>
      <c r="F5718" s="4" t="s">
        <v>6</v>
      </c>
      <c r="G5718" s="1" t="str">
        <f>_xlfn.XLOOKUP(tblSales[[#This Row],[Product Code]],tblProducts[Code],tblProducts[Product / Service Name],"⚠ Unknown")</f>
        <v>Socks &amp; Accessories</v>
      </c>
      <c r="H5718" s="1" t="str">
        <f>_xlfn.XLOOKUP(tblSales[[#This Row],[Product Code]],tblProducts[Code],tblProducts[Category],"")</f>
        <v>Accessories &amp; Basics</v>
      </c>
      <c r="I5718" s="4">
        <v>10</v>
      </c>
      <c r="J5718" s="5">
        <f>_xlfn.XLOOKUP(tblSales[[#This Row],[Product Code]],tblProducts[Code],tblProducts[Selling Price (excl. VAT)],0)</f>
        <v>45000</v>
      </c>
      <c r="K5718" s="5">
        <f>tblSales[[#This Row],[Qty]]*tblSales[[#This Row],[Unit Price]]</f>
        <v>450000</v>
      </c>
      <c r="L5718" s="5">
        <f>ROUND(tblSales[[#This Row],[DPP (excl. VAT)]]*VATEff,0)</f>
        <v>49500</v>
      </c>
      <c r="M5718" s="5">
        <f>tblSales[[#This Row],[DPP (excl. VAT)]]+tblSales[[#This Row],[Output VAT]]</f>
        <v>499500</v>
      </c>
      <c r="N5718" s="5">
        <f>tblSales[[#This Row],[Qty]]*_xlfn.XLOOKUP(tblSales[[#This Row],[Product Code]],tblProducts[Code],tblProducts[Unit Cost],0)</f>
        <v>240000</v>
      </c>
      <c r="O5718" s="4" t="s">
        <v>4865</v>
      </c>
      <c r="P5718" s="4" t="s">
        <v>4860</v>
      </c>
      <c r="Q5718" s="1" t="str">
        <f>_xlfn.XLOOKUP(tblSales[[#This Row],[Channel Code]],tblChannels[Channel Code],tblChannels[Channel Name],"")</f>
        <v>In-store</v>
      </c>
      <c r="R5718" s="1">
        <f>MONTH(tblSales[[#This Row],[Date]])</f>
        <v>12</v>
      </c>
    </row>
    <row r="5719" spans="2:18" x14ac:dyDescent="0.35">
      <c r="B5719" s="113">
        <v>46366</v>
      </c>
      <c r="C5719" s="4" t="s">
        <v>3917</v>
      </c>
      <c r="D5719" s="4" t="s">
        <v>4568</v>
      </c>
      <c r="E5719" s="1" t="str">
        <f>_xlfn.XLOOKUP(tblSales[[#This Row],[Customer ID]],tblCustomers[Customer ID],tblCustomers[Customer Name],"⚠ Unknown")</f>
        <v>Walk-in Customer</v>
      </c>
      <c r="F5719" s="4" t="s">
        <v>7</v>
      </c>
      <c r="G5719" s="1" t="str">
        <f>_xlfn.XLOOKUP(tblSales[[#This Row],[Product Code]],tblProducts[Code],tblProducts[Product / Service Name],"⚠ Unknown")</f>
        <v>Premium Basic T-shirt</v>
      </c>
      <c r="H5719" s="1" t="str">
        <f>_xlfn.XLOOKUP(tblSales[[#This Row],[Product Code]],tblProducts[Code],tblProducts[Category],"")</f>
        <v>Accessories &amp; Basics</v>
      </c>
      <c r="I5719" s="4">
        <v>7</v>
      </c>
      <c r="J5719" s="5">
        <f>_xlfn.XLOOKUP(tblSales[[#This Row],[Product Code]],tblProducts[Code],tblProducts[Selling Price (excl. VAT)],0)</f>
        <v>65000</v>
      </c>
      <c r="K5719" s="5">
        <f>tblSales[[#This Row],[Qty]]*tblSales[[#This Row],[Unit Price]]</f>
        <v>455000</v>
      </c>
      <c r="L5719" s="5">
        <f>ROUND(tblSales[[#This Row],[DPP (excl. VAT)]]*VATEff,0)</f>
        <v>50050</v>
      </c>
      <c r="M5719" s="5">
        <f>tblSales[[#This Row],[DPP (excl. VAT)]]+tblSales[[#This Row],[Output VAT]]</f>
        <v>505050</v>
      </c>
      <c r="N5719" s="5">
        <f>tblSales[[#This Row],[Qty]]*_xlfn.XLOOKUP(tblSales[[#This Row],[Product Code]],tblProducts[Code],tblProducts[Unit Cost],0)</f>
        <v>259000</v>
      </c>
      <c r="O5719" s="4" t="s">
        <v>4865</v>
      </c>
      <c r="P5719" s="4" t="s">
        <v>4860</v>
      </c>
      <c r="Q5719" s="1" t="str">
        <f>_xlfn.XLOOKUP(tblSales[[#This Row],[Channel Code]],tblChannels[Channel Code],tblChannels[Channel Name],"")</f>
        <v>In-store</v>
      </c>
      <c r="R5719" s="1">
        <f>MONTH(tblSales[[#This Row],[Date]])</f>
        <v>12</v>
      </c>
    </row>
    <row r="5720" spans="2:18" x14ac:dyDescent="0.35">
      <c r="B5720" s="113">
        <v>46366</v>
      </c>
      <c r="C5720" s="4" t="s">
        <v>3918</v>
      </c>
      <c r="D5720" s="4" t="s">
        <v>4568</v>
      </c>
      <c r="E5720" s="1" t="str">
        <f>_xlfn.XLOOKUP(tblSales[[#This Row],[Customer ID]],tblCustomers[Customer ID],tblCustomers[Customer Name],"⚠ Unknown")</f>
        <v>Walk-in Customer</v>
      </c>
      <c r="F5720" s="4" t="s">
        <v>15</v>
      </c>
      <c r="G5720" s="1" t="str">
        <f>_xlfn.XLOOKUP(tblSales[[#This Row],[Product Code]],tblProducts[Code],tblProducts[Product / Service Name],"⚠ Unknown")</f>
        <v>Wireless Earbuds Pro</v>
      </c>
      <c r="H5720" s="1" t="str">
        <f>_xlfn.XLOOKUP(tblSales[[#This Row],[Product Code]],tblProducts[Code],tblProducts[Category],"")</f>
        <v>Bags &amp; Gadgets</v>
      </c>
      <c r="I5720" s="4">
        <v>2</v>
      </c>
      <c r="J5720" s="5">
        <f>_xlfn.XLOOKUP(tblSales[[#This Row],[Product Code]],tblProducts[Code],tblProducts[Selling Price (excl. VAT)],0)</f>
        <v>1250000</v>
      </c>
      <c r="K5720" s="5">
        <f>tblSales[[#This Row],[Qty]]*tblSales[[#This Row],[Unit Price]]</f>
        <v>2500000</v>
      </c>
      <c r="L5720" s="5">
        <f>ROUND(tblSales[[#This Row],[DPP (excl. VAT)]]*VATEff,0)</f>
        <v>275000</v>
      </c>
      <c r="M5720" s="5">
        <f>tblSales[[#This Row],[DPP (excl. VAT)]]+tblSales[[#This Row],[Output VAT]]</f>
        <v>2775000</v>
      </c>
      <c r="N5720" s="5">
        <f>tblSales[[#This Row],[Qty]]*_xlfn.XLOOKUP(tblSales[[#This Row],[Product Code]],tblProducts[Code],tblProducts[Unit Cost],0)</f>
        <v>1640000</v>
      </c>
      <c r="O5720" s="4" t="s">
        <v>4865</v>
      </c>
      <c r="P5720" s="4" t="s">
        <v>4860</v>
      </c>
      <c r="Q5720" s="1" t="str">
        <f>_xlfn.XLOOKUP(tblSales[[#This Row],[Channel Code]],tblChannels[Channel Code],tblChannels[Channel Name],"")</f>
        <v>In-store</v>
      </c>
      <c r="R5720" s="1">
        <f>MONTH(tblSales[[#This Row],[Date]])</f>
        <v>12</v>
      </c>
    </row>
    <row r="5721" spans="2:18" x14ac:dyDescent="0.35">
      <c r="B5721" s="113">
        <v>46366</v>
      </c>
      <c r="C5721" s="4" t="s">
        <v>3918</v>
      </c>
      <c r="D5721" s="4" t="s">
        <v>4568</v>
      </c>
      <c r="E5721" s="1" t="str">
        <f>_xlfn.XLOOKUP(tblSales[[#This Row],[Customer ID]],tblCustomers[Customer ID],tblCustomers[Customer Name],"⚠ Unknown")</f>
        <v>Walk-in Customer</v>
      </c>
      <c r="F5721" s="4" t="s">
        <v>13</v>
      </c>
      <c r="G5721" s="1" t="str">
        <f>_xlfn.XLOOKUP(tblSales[[#This Row],[Product Code]],tblProducts[Code],tblProducts[Product / Service Name],"⚠ Unknown")</f>
        <v>Backpack</v>
      </c>
      <c r="H5721" s="1" t="str">
        <f>_xlfn.XLOOKUP(tblSales[[#This Row],[Product Code]],tblProducts[Code],tblProducts[Category],"")</f>
        <v>Bags &amp; Gadgets</v>
      </c>
      <c r="I5721" s="4">
        <v>4</v>
      </c>
      <c r="J5721" s="5">
        <f>_xlfn.XLOOKUP(tblSales[[#This Row],[Product Code]],tblProducts[Code],tblProducts[Selling Price (excl. VAT)],0)</f>
        <v>500000</v>
      </c>
      <c r="K5721" s="5">
        <f>tblSales[[#This Row],[Qty]]*tblSales[[#This Row],[Unit Price]]</f>
        <v>2000000</v>
      </c>
      <c r="L5721" s="5">
        <f>ROUND(tblSales[[#This Row],[DPP (excl. VAT)]]*VATEff,0)</f>
        <v>220000</v>
      </c>
      <c r="M5721" s="5">
        <f>tblSales[[#This Row],[DPP (excl. VAT)]]+tblSales[[#This Row],[Output VAT]]</f>
        <v>2220000</v>
      </c>
      <c r="N5721" s="5">
        <f>tblSales[[#This Row],[Qty]]*_xlfn.XLOOKUP(tblSales[[#This Row],[Product Code]],tblProducts[Code],tblProducts[Unit Cost],0)</f>
        <v>1160000</v>
      </c>
      <c r="O5721" s="4" t="s">
        <v>4865</v>
      </c>
      <c r="P5721" s="4" t="s">
        <v>4860</v>
      </c>
      <c r="Q5721" s="1" t="str">
        <f>_xlfn.XLOOKUP(tblSales[[#This Row],[Channel Code]],tblChannels[Channel Code],tblChannels[Channel Name],"")</f>
        <v>In-store</v>
      </c>
      <c r="R5721" s="1">
        <f>MONTH(tblSales[[#This Row],[Date]])</f>
        <v>12</v>
      </c>
    </row>
    <row r="5722" spans="2:18" x14ac:dyDescent="0.35">
      <c r="B5722" s="113">
        <v>46366</v>
      </c>
      <c r="C5722" s="4" t="s">
        <v>3919</v>
      </c>
      <c r="D5722" s="4" t="s">
        <v>4568</v>
      </c>
      <c r="E5722" s="1" t="str">
        <f>_xlfn.XLOOKUP(tblSales[[#This Row],[Customer ID]],tblCustomers[Customer ID],tblCustomers[Customer Name],"⚠ Unknown")</f>
        <v>Walk-in Customer</v>
      </c>
      <c r="F5722" s="4" t="s">
        <v>6</v>
      </c>
      <c r="G5722" s="1" t="str">
        <f>_xlfn.XLOOKUP(tblSales[[#This Row],[Product Code]],tblProducts[Code],tblProducts[Product / Service Name],"⚠ Unknown")</f>
        <v>Socks &amp; Accessories</v>
      </c>
      <c r="H5722" s="1" t="str">
        <f>_xlfn.XLOOKUP(tblSales[[#This Row],[Product Code]],tblProducts[Code],tblProducts[Category],"")</f>
        <v>Accessories &amp; Basics</v>
      </c>
      <c r="I5722" s="4">
        <v>2</v>
      </c>
      <c r="J5722" s="5">
        <f>_xlfn.XLOOKUP(tblSales[[#This Row],[Product Code]],tblProducts[Code],tblProducts[Selling Price (excl. VAT)],0)</f>
        <v>45000</v>
      </c>
      <c r="K5722" s="5">
        <f>tblSales[[#This Row],[Qty]]*tblSales[[#This Row],[Unit Price]]</f>
        <v>90000</v>
      </c>
      <c r="L5722" s="5">
        <f>ROUND(tblSales[[#This Row],[DPP (excl. VAT)]]*VATEff,0)</f>
        <v>9900</v>
      </c>
      <c r="M5722" s="5">
        <f>tblSales[[#This Row],[DPP (excl. VAT)]]+tblSales[[#This Row],[Output VAT]]</f>
        <v>99900</v>
      </c>
      <c r="N5722" s="5">
        <f>tblSales[[#This Row],[Qty]]*_xlfn.XLOOKUP(tblSales[[#This Row],[Product Code]],tblProducts[Code],tblProducts[Unit Cost],0)</f>
        <v>48000</v>
      </c>
      <c r="O5722" s="4" t="s">
        <v>4866</v>
      </c>
      <c r="P5722" s="4" t="s">
        <v>4862</v>
      </c>
      <c r="Q5722" s="1" t="str">
        <f>_xlfn.XLOOKUP(tblSales[[#This Row],[Channel Code]],tblChannels[Channel Code],tblChannels[Channel Name],"")</f>
        <v>Website &amp; Social Media</v>
      </c>
      <c r="R5722" s="1">
        <f>MONTH(tblSales[[#This Row],[Date]])</f>
        <v>12</v>
      </c>
    </row>
    <row r="5723" spans="2:18" x14ac:dyDescent="0.35">
      <c r="B5723" s="113">
        <v>46366</v>
      </c>
      <c r="C5723" s="4" t="s">
        <v>3920</v>
      </c>
      <c r="D5723" s="4" t="s">
        <v>4568</v>
      </c>
      <c r="E5723" s="1" t="str">
        <f>_xlfn.XLOOKUP(tblSales[[#This Row],[Customer ID]],tblCustomers[Customer ID],tblCustomers[Customer Name],"⚠ Unknown")</f>
        <v>Walk-in Customer</v>
      </c>
      <c r="F5723" s="4" t="s">
        <v>13</v>
      </c>
      <c r="G5723" s="1" t="str">
        <f>_xlfn.XLOOKUP(tblSales[[#This Row],[Product Code]],tblProducts[Code],tblProducts[Product / Service Name],"⚠ Unknown")</f>
        <v>Backpack</v>
      </c>
      <c r="H5723" s="1" t="str">
        <f>_xlfn.XLOOKUP(tblSales[[#This Row],[Product Code]],tblProducts[Code],tblProducts[Category],"")</f>
        <v>Bags &amp; Gadgets</v>
      </c>
      <c r="I5723" s="4">
        <v>2</v>
      </c>
      <c r="J5723" s="5">
        <f>_xlfn.XLOOKUP(tblSales[[#This Row],[Product Code]],tblProducts[Code],tblProducts[Selling Price (excl. VAT)],0)</f>
        <v>500000</v>
      </c>
      <c r="K5723" s="5">
        <f>tblSales[[#This Row],[Qty]]*tblSales[[#This Row],[Unit Price]]</f>
        <v>1000000</v>
      </c>
      <c r="L5723" s="5">
        <f>ROUND(tblSales[[#This Row],[DPP (excl. VAT)]]*VATEff,0)</f>
        <v>110000</v>
      </c>
      <c r="M5723" s="5">
        <f>tblSales[[#This Row],[DPP (excl. VAT)]]+tblSales[[#This Row],[Output VAT]]</f>
        <v>1110000</v>
      </c>
      <c r="N5723" s="5">
        <f>tblSales[[#This Row],[Qty]]*_xlfn.XLOOKUP(tblSales[[#This Row],[Product Code]],tblProducts[Code],tblProducts[Unit Cost],0)</f>
        <v>580000</v>
      </c>
      <c r="O5723" s="4" t="s">
        <v>4865</v>
      </c>
      <c r="P5723" s="4" t="s">
        <v>4860</v>
      </c>
      <c r="Q5723" s="1" t="str">
        <f>_xlfn.XLOOKUP(tblSales[[#This Row],[Channel Code]],tblChannels[Channel Code],tblChannels[Channel Name],"")</f>
        <v>In-store</v>
      </c>
      <c r="R5723" s="1">
        <f>MONTH(tblSales[[#This Row],[Date]])</f>
        <v>12</v>
      </c>
    </row>
    <row r="5724" spans="2:18" x14ac:dyDescent="0.35">
      <c r="B5724" s="113">
        <v>46366</v>
      </c>
      <c r="C5724" s="4" t="s">
        <v>3921</v>
      </c>
      <c r="D5724" s="4" t="s">
        <v>4568</v>
      </c>
      <c r="E5724" s="1" t="str">
        <f>_xlfn.XLOOKUP(tblSales[[#This Row],[Customer ID]],tblCustomers[Customer ID],tblCustomers[Customer Name],"⚠ Unknown")</f>
        <v>Walk-in Customer</v>
      </c>
      <c r="F5724" s="4" t="s">
        <v>7</v>
      </c>
      <c r="G5724" s="1" t="str">
        <f>_xlfn.XLOOKUP(tblSales[[#This Row],[Product Code]],tblProducts[Code],tblProducts[Product / Service Name],"⚠ Unknown")</f>
        <v>Premium Basic T-shirt</v>
      </c>
      <c r="H5724" s="1" t="str">
        <f>_xlfn.XLOOKUP(tblSales[[#This Row],[Product Code]],tblProducts[Code],tblProducts[Category],"")</f>
        <v>Accessories &amp; Basics</v>
      </c>
      <c r="I5724" s="4">
        <v>1</v>
      </c>
      <c r="J5724" s="5">
        <f>_xlfn.XLOOKUP(tblSales[[#This Row],[Product Code]],tblProducts[Code],tblProducts[Selling Price (excl. VAT)],0)</f>
        <v>65000</v>
      </c>
      <c r="K5724" s="5">
        <f>tblSales[[#This Row],[Qty]]*tblSales[[#This Row],[Unit Price]]</f>
        <v>65000</v>
      </c>
      <c r="L5724" s="5">
        <f>ROUND(tblSales[[#This Row],[DPP (excl. VAT)]]*VATEff,0)</f>
        <v>7150</v>
      </c>
      <c r="M5724" s="5">
        <f>tblSales[[#This Row],[DPP (excl. VAT)]]+tblSales[[#This Row],[Output VAT]]</f>
        <v>72150</v>
      </c>
      <c r="N5724" s="5">
        <f>tblSales[[#This Row],[Qty]]*_xlfn.XLOOKUP(tblSales[[#This Row],[Product Code]],tblProducts[Code],tblProducts[Unit Cost],0)</f>
        <v>37000</v>
      </c>
      <c r="O5724" s="4" t="s">
        <v>4866</v>
      </c>
      <c r="P5724" s="4" t="s">
        <v>4862</v>
      </c>
      <c r="Q5724" s="1" t="str">
        <f>_xlfn.XLOOKUP(tblSales[[#This Row],[Channel Code]],tblChannels[Channel Code],tblChannels[Channel Name],"")</f>
        <v>Website &amp; Social Media</v>
      </c>
      <c r="R5724" s="1">
        <f>MONTH(tblSales[[#This Row],[Date]])</f>
        <v>12</v>
      </c>
    </row>
    <row r="5725" spans="2:18" x14ac:dyDescent="0.35">
      <c r="B5725" s="113">
        <v>46366</v>
      </c>
      <c r="C5725" s="4" t="s">
        <v>3921</v>
      </c>
      <c r="D5725" s="4" t="s">
        <v>4568</v>
      </c>
      <c r="E5725" s="1" t="str">
        <f>_xlfn.XLOOKUP(tblSales[[#This Row],[Customer ID]],tblCustomers[Customer ID],tblCustomers[Customer Name],"⚠ Unknown")</f>
        <v>Walk-in Customer</v>
      </c>
      <c r="F5725" s="4" t="s">
        <v>6</v>
      </c>
      <c r="G5725" s="1" t="str">
        <f>_xlfn.XLOOKUP(tblSales[[#This Row],[Product Code]],tblProducts[Code],tblProducts[Product / Service Name],"⚠ Unknown")</f>
        <v>Socks &amp; Accessories</v>
      </c>
      <c r="H5725" s="1" t="str">
        <f>_xlfn.XLOOKUP(tblSales[[#This Row],[Product Code]],tblProducts[Code],tblProducts[Category],"")</f>
        <v>Accessories &amp; Basics</v>
      </c>
      <c r="I5725" s="4">
        <v>7</v>
      </c>
      <c r="J5725" s="5">
        <f>_xlfn.XLOOKUP(tblSales[[#This Row],[Product Code]],tblProducts[Code],tblProducts[Selling Price (excl. VAT)],0)</f>
        <v>45000</v>
      </c>
      <c r="K5725" s="5">
        <f>tblSales[[#This Row],[Qty]]*tblSales[[#This Row],[Unit Price]]</f>
        <v>315000</v>
      </c>
      <c r="L5725" s="5">
        <f>ROUND(tblSales[[#This Row],[DPP (excl. VAT)]]*VATEff,0)</f>
        <v>34650</v>
      </c>
      <c r="M5725" s="5">
        <f>tblSales[[#This Row],[DPP (excl. VAT)]]+tblSales[[#This Row],[Output VAT]]</f>
        <v>349650</v>
      </c>
      <c r="N5725" s="5">
        <f>tblSales[[#This Row],[Qty]]*_xlfn.XLOOKUP(tblSales[[#This Row],[Product Code]],tblProducts[Code],tblProducts[Unit Cost],0)</f>
        <v>168000</v>
      </c>
      <c r="O5725" s="4" t="s">
        <v>4866</v>
      </c>
      <c r="P5725" s="4" t="s">
        <v>4862</v>
      </c>
      <c r="Q5725" s="1" t="str">
        <f>_xlfn.XLOOKUP(tblSales[[#This Row],[Channel Code]],tblChannels[Channel Code],tblChannels[Channel Name],"")</f>
        <v>Website &amp; Social Media</v>
      </c>
      <c r="R5725" s="1">
        <f>MONTH(tblSales[[#This Row],[Date]])</f>
        <v>12</v>
      </c>
    </row>
    <row r="5726" spans="2:18" x14ac:dyDescent="0.35">
      <c r="B5726" s="113">
        <v>46366</v>
      </c>
      <c r="C5726" s="4" t="s">
        <v>3921</v>
      </c>
      <c r="D5726" s="4" t="s">
        <v>4568</v>
      </c>
      <c r="E5726" s="1" t="str">
        <f>_xlfn.XLOOKUP(tblSales[[#This Row],[Customer ID]],tblCustomers[Customer ID],tblCustomers[Customer Name],"⚠ Unknown")</f>
        <v>Walk-in Customer</v>
      </c>
      <c r="F5726" s="4" t="s">
        <v>15</v>
      </c>
      <c r="G5726" s="1" t="str">
        <f>_xlfn.XLOOKUP(tblSales[[#This Row],[Product Code]],tblProducts[Code],tblProducts[Product / Service Name],"⚠ Unknown")</f>
        <v>Wireless Earbuds Pro</v>
      </c>
      <c r="H5726" s="1" t="str">
        <f>_xlfn.XLOOKUP(tblSales[[#This Row],[Product Code]],tblProducts[Code],tblProducts[Category],"")</f>
        <v>Bags &amp; Gadgets</v>
      </c>
      <c r="I5726" s="4">
        <v>2</v>
      </c>
      <c r="J5726" s="5">
        <f>_xlfn.XLOOKUP(tblSales[[#This Row],[Product Code]],tblProducts[Code],tblProducts[Selling Price (excl. VAT)],0)</f>
        <v>1250000</v>
      </c>
      <c r="K5726" s="5">
        <f>tblSales[[#This Row],[Qty]]*tblSales[[#This Row],[Unit Price]]</f>
        <v>2500000</v>
      </c>
      <c r="L5726" s="5">
        <f>ROUND(tblSales[[#This Row],[DPP (excl. VAT)]]*VATEff,0)</f>
        <v>275000</v>
      </c>
      <c r="M5726" s="5">
        <f>tblSales[[#This Row],[DPP (excl. VAT)]]+tblSales[[#This Row],[Output VAT]]</f>
        <v>2775000</v>
      </c>
      <c r="N5726" s="5">
        <f>tblSales[[#This Row],[Qty]]*_xlfn.XLOOKUP(tblSales[[#This Row],[Product Code]],tblProducts[Code],tblProducts[Unit Cost],0)</f>
        <v>1640000</v>
      </c>
      <c r="O5726" s="4" t="s">
        <v>4866</v>
      </c>
      <c r="P5726" s="4" t="s">
        <v>4862</v>
      </c>
      <c r="Q5726" s="1" t="str">
        <f>_xlfn.XLOOKUP(tblSales[[#This Row],[Channel Code]],tblChannels[Channel Code],tblChannels[Channel Name],"")</f>
        <v>Website &amp; Social Media</v>
      </c>
      <c r="R5726" s="1">
        <f>MONTH(tblSales[[#This Row],[Date]])</f>
        <v>12</v>
      </c>
    </row>
    <row r="5727" spans="2:18" x14ac:dyDescent="0.35">
      <c r="B5727" s="113">
        <v>46366</v>
      </c>
      <c r="C5727" s="4" t="s">
        <v>3922</v>
      </c>
      <c r="D5727" s="4" t="s">
        <v>4613</v>
      </c>
      <c r="E5727" s="1" t="str">
        <f>_xlfn.XLOOKUP(tblSales[[#This Row],[Customer ID]],tblCustomers[Customer ID],tblCustomers[Customer Name],"⚠ Unknown")</f>
        <v>PT Mega Prima Distribusi</v>
      </c>
      <c r="F5727" s="4" t="s">
        <v>6</v>
      </c>
      <c r="G5727" s="1" t="str">
        <f>_xlfn.XLOOKUP(tblSales[[#This Row],[Product Code]],tblProducts[Code],tblProducts[Product / Service Name],"⚠ Unknown")</f>
        <v>Socks &amp; Accessories</v>
      </c>
      <c r="H5727" s="1" t="str">
        <f>_xlfn.XLOOKUP(tblSales[[#This Row],[Product Code]],tblProducts[Code],tblProducts[Category],"")</f>
        <v>Accessories &amp; Basics</v>
      </c>
      <c r="I5727" s="4">
        <v>8</v>
      </c>
      <c r="J5727" s="5">
        <f>_xlfn.XLOOKUP(tblSales[[#This Row],[Product Code]],tblProducts[Code],tblProducts[Selling Price (excl. VAT)],0)</f>
        <v>45000</v>
      </c>
      <c r="K5727" s="5">
        <f>tblSales[[#This Row],[Qty]]*tblSales[[#This Row],[Unit Price]]</f>
        <v>360000</v>
      </c>
      <c r="L5727" s="5">
        <f>ROUND(tblSales[[#This Row],[DPP (excl. VAT)]]*VATEff,0)</f>
        <v>39600</v>
      </c>
      <c r="M5727" s="5">
        <f>tblSales[[#This Row],[DPP (excl. VAT)]]+tblSales[[#This Row],[Output VAT]]</f>
        <v>399600</v>
      </c>
      <c r="N5727" s="5">
        <f>tblSales[[#This Row],[Qty]]*_xlfn.XLOOKUP(tblSales[[#This Row],[Product Code]],tblProducts[Code],tblProducts[Unit Cost],0)</f>
        <v>192000</v>
      </c>
      <c r="O5727" s="4" t="s">
        <v>4867</v>
      </c>
      <c r="P5727" s="4" t="s">
        <v>4860</v>
      </c>
      <c r="Q5727" s="1" t="str">
        <f>_xlfn.XLOOKUP(tblSales[[#This Row],[Channel Code]],tblChannels[Channel Code],tblChannels[Channel Name],"")</f>
        <v>In-store</v>
      </c>
      <c r="R5727" s="1">
        <f>MONTH(tblSales[[#This Row],[Date]])</f>
        <v>12</v>
      </c>
    </row>
    <row r="5728" spans="2:18" x14ac:dyDescent="0.35">
      <c r="B5728" s="113">
        <v>46366</v>
      </c>
      <c r="C5728" s="4" t="s">
        <v>3923</v>
      </c>
      <c r="D5728" s="4" t="s">
        <v>4568</v>
      </c>
      <c r="E5728" s="1" t="str">
        <f>_xlfn.XLOOKUP(tblSales[[#This Row],[Customer ID]],tblCustomers[Customer ID],tblCustomers[Customer Name],"⚠ Unknown")</f>
        <v>Walk-in Customer</v>
      </c>
      <c r="F5728" s="4" t="s">
        <v>8</v>
      </c>
      <c r="G5728" s="1" t="str">
        <f>_xlfn.XLOOKUP(tblSales[[#This Row],[Product Code]],tblProducts[Code],tblProducts[Product / Service Name],"⚠ Unknown")</f>
        <v>Casual Shorts</v>
      </c>
      <c r="H5728" s="1" t="str">
        <f>_xlfn.XLOOKUP(tblSales[[#This Row],[Product Code]],tblProducts[Code],tblProducts[Category],"")</f>
        <v>Accessories &amp; Basics</v>
      </c>
      <c r="I5728" s="4">
        <v>2</v>
      </c>
      <c r="J5728" s="5">
        <f>_xlfn.XLOOKUP(tblSales[[#This Row],[Product Code]],tblProducts[Code],tblProducts[Selling Price (excl. VAT)],0)</f>
        <v>85000</v>
      </c>
      <c r="K5728" s="5">
        <f>tblSales[[#This Row],[Qty]]*tblSales[[#This Row],[Unit Price]]</f>
        <v>170000</v>
      </c>
      <c r="L5728" s="5">
        <f>ROUND(tblSales[[#This Row],[DPP (excl. VAT)]]*VATEff,0)</f>
        <v>18700</v>
      </c>
      <c r="M5728" s="5">
        <f>tblSales[[#This Row],[DPP (excl. VAT)]]+tblSales[[#This Row],[Output VAT]]</f>
        <v>188700</v>
      </c>
      <c r="N5728" s="5">
        <f>tblSales[[#This Row],[Qty]]*_xlfn.XLOOKUP(tblSales[[#This Row],[Product Code]],tblProducts[Code],tblProducts[Unit Cost],0)</f>
        <v>100000</v>
      </c>
      <c r="O5728" s="4" t="s">
        <v>4866</v>
      </c>
      <c r="P5728" s="4" t="s">
        <v>4860</v>
      </c>
      <c r="Q5728" s="1" t="str">
        <f>_xlfn.XLOOKUP(tblSales[[#This Row],[Channel Code]],tblChannels[Channel Code],tblChannels[Channel Name],"")</f>
        <v>In-store</v>
      </c>
      <c r="R5728" s="1">
        <f>MONTH(tblSales[[#This Row],[Date]])</f>
        <v>12</v>
      </c>
    </row>
    <row r="5729" spans="2:18" x14ac:dyDescent="0.35">
      <c r="B5729" s="113">
        <v>46366</v>
      </c>
      <c r="C5729" s="4" t="s">
        <v>3924</v>
      </c>
      <c r="D5729" s="4" t="s">
        <v>4648</v>
      </c>
      <c r="E5729" s="1" t="str">
        <f>_xlfn.XLOOKUP(tblSales[[#This Row],[Customer ID]],tblCustomers[Customer ID],tblCustomers[Customer Name],"⚠ Unknown")</f>
        <v>PT Lintas Benua Niaga</v>
      </c>
      <c r="F5729" s="4" t="s">
        <v>7</v>
      </c>
      <c r="G5729" s="1" t="str">
        <f>_xlfn.XLOOKUP(tblSales[[#This Row],[Product Code]],tblProducts[Code],tblProducts[Product / Service Name],"⚠ Unknown")</f>
        <v>Premium Basic T-shirt</v>
      </c>
      <c r="H5729" s="1" t="str">
        <f>_xlfn.XLOOKUP(tblSales[[#This Row],[Product Code]],tblProducts[Code],tblProducts[Category],"")</f>
        <v>Accessories &amp; Basics</v>
      </c>
      <c r="I5729" s="4">
        <v>64</v>
      </c>
      <c r="J5729" s="5">
        <f>_xlfn.XLOOKUP(tblSales[[#This Row],[Product Code]],tblProducts[Code],tblProducts[Selling Price (excl. VAT)],0)</f>
        <v>65000</v>
      </c>
      <c r="K5729" s="5">
        <f>tblSales[[#This Row],[Qty]]*tblSales[[#This Row],[Unit Price]]</f>
        <v>4160000</v>
      </c>
      <c r="L5729" s="5">
        <f>ROUND(tblSales[[#This Row],[DPP (excl. VAT)]]*VATEff,0)</f>
        <v>457600</v>
      </c>
      <c r="M5729" s="5">
        <f>tblSales[[#This Row],[DPP (excl. VAT)]]+tblSales[[#This Row],[Output VAT]]</f>
        <v>4617600</v>
      </c>
      <c r="N5729" s="5">
        <f>tblSales[[#This Row],[Qty]]*_xlfn.XLOOKUP(tblSales[[#This Row],[Product Code]],tblProducts[Code],tblProducts[Unit Cost],0)</f>
        <v>2368000</v>
      </c>
      <c r="O5729" s="4" t="s">
        <v>4867</v>
      </c>
      <c r="P5729" s="4" t="s">
        <v>4862</v>
      </c>
      <c r="Q5729" s="1" t="str">
        <f>_xlfn.XLOOKUP(tblSales[[#This Row],[Channel Code]],tblChannels[Channel Code],tblChannels[Channel Name],"")</f>
        <v>Website &amp; Social Media</v>
      </c>
      <c r="R5729" s="1">
        <f>MONTH(tblSales[[#This Row],[Date]])</f>
        <v>12</v>
      </c>
    </row>
    <row r="5730" spans="2:18" x14ac:dyDescent="0.35">
      <c r="B5730" s="113">
        <v>46366</v>
      </c>
      <c r="C5730" s="4" t="s">
        <v>3925</v>
      </c>
      <c r="D5730" s="4" t="s">
        <v>4568</v>
      </c>
      <c r="E5730" s="1" t="str">
        <f>_xlfn.XLOOKUP(tblSales[[#This Row],[Customer ID]],tblCustomers[Customer ID],tblCustomers[Customer Name],"⚠ Unknown")</f>
        <v>Walk-in Customer</v>
      </c>
      <c r="F5730" s="4" t="s">
        <v>7</v>
      </c>
      <c r="G5730" s="1" t="str">
        <f>_xlfn.XLOOKUP(tblSales[[#This Row],[Product Code]],tblProducts[Code],tblProducts[Product / Service Name],"⚠ Unknown")</f>
        <v>Premium Basic T-shirt</v>
      </c>
      <c r="H5730" s="1" t="str">
        <f>_xlfn.XLOOKUP(tblSales[[#This Row],[Product Code]],tblProducts[Code],tblProducts[Category],"")</f>
        <v>Accessories &amp; Basics</v>
      </c>
      <c r="I5730" s="4">
        <v>8</v>
      </c>
      <c r="J5730" s="5">
        <f>_xlfn.XLOOKUP(tblSales[[#This Row],[Product Code]],tblProducts[Code],tblProducts[Selling Price (excl. VAT)],0)</f>
        <v>65000</v>
      </c>
      <c r="K5730" s="5">
        <f>tblSales[[#This Row],[Qty]]*tblSales[[#This Row],[Unit Price]]</f>
        <v>520000</v>
      </c>
      <c r="L5730" s="5">
        <f>ROUND(tblSales[[#This Row],[DPP (excl. VAT)]]*VATEff,0)</f>
        <v>57200</v>
      </c>
      <c r="M5730" s="5">
        <f>tblSales[[#This Row],[DPP (excl. VAT)]]+tblSales[[#This Row],[Output VAT]]</f>
        <v>577200</v>
      </c>
      <c r="N5730" s="5">
        <f>tblSales[[#This Row],[Qty]]*_xlfn.XLOOKUP(tblSales[[#This Row],[Product Code]],tblProducts[Code],tblProducts[Unit Cost],0)</f>
        <v>296000</v>
      </c>
      <c r="O5730" s="4" t="s">
        <v>4865</v>
      </c>
      <c r="P5730" s="4" t="s">
        <v>4860</v>
      </c>
      <c r="Q5730" s="1" t="str">
        <f>_xlfn.XLOOKUP(tblSales[[#This Row],[Channel Code]],tblChannels[Channel Code],tblChannels[Channel Name],"")</f>
        <v>In-store</v>
      </c>
      <c r="R5730" s="1">
        <f>MONTH(tblSales[[#This Row],[Date]])</f>
        <v>12</v>
      </c>
    </row>
    <row r="5731" spans="2:18" x14ac:dyDescent="0.35">
      <c r="B5731" s="113">
        <v>46366</v>
      </c>
      <c r="C5731" s="4" t="s">
        <v>3925</v>
      </c>
      <c r="D5731" s="4" t="s">
        <v>4568</v>
      </c>
      <c r="E5731" s="1" t="str">
        <f>_xlfn.XLOOKUP(tblSales[[#This Row],[Customer ID]],tblCustomers[Customer ID],tblCustomers[Customer Name],"⚠ Unknown")</f>
        <v>Walk-in Customer</v>
      </c>
      <c r="F5731" s="4" t="s">
        <v>6</v>
      </c>
      <c r="G5731" s="1" t="str">
        <f>_xlfn.XLOOKUP(tblSales[[#This Row],[Product Code]],tblProducts[Code],tblProducts[Product / Service Name],"⚠ Unknown")</f>
        <v>Socks &amp; Accessories</v>
      </c>
      <c r="H5731" s="1" t="str">
        <f>_xlfn.XLOOKUP(tblSales[[#This Row],[Product Code]],tblProducts[Code],tblProducts[Category],"")</f>
        <v>Accessories &amp; Basics</v>
      </c>
      <c r="I5731" s="4">
        <v>6</v>
      </c>
      <c r="J5731" s="5">
        <f>_xlfn.XLOOKUP(tblSales[[#This Row],[Product Code]],tblProducts[Code],tblProducts[Selling Price (excl. VAT)],0)</f>
        <v>45000</v>
      </c>
      <c r="K5731" s="5">
        <f>tblSales[[#This Row],[Qty]]*tblSales[[#This Row],[Unit Price]]</f>
        <v>270000</v>
      </c>
      <c r="L5731" s="5">
        <f>ROUND(tblSales[[#This Row],[DPP (excl. VAT)]]*VATEff,0)</f>
        <v>29700</v>
      </c>
      <c r="M5731" s="5">
        <f>tblSales[[#This Row],[DPP (excl. VAT)]]+tblSales[[#This Row],[Output VAT]]</f>
        <v>299700</v>
      </c>
      <c r="N5731" s="5">
        <f>tblSales[[#This Row],[Qty]]*_xlfn.XLOOKUP(tblSales[[#This Row],[Product Code]],tblProducts[Code],tblProducts[Unit Cost],0)</f>
        <v>144000</v>
      </c>
      <c r="O5731" s="4" t="s">
        <v>4865</v>
      </c>
      <c r="P5731" s="4" t="s">
        <v>4860</v>
      </c>
      <c r="Q5731" s="1" t="str">
        <f>_xlfn.XLOOKUP(tblSales[[#This Row],[Channel Code]],tblChannels[Channel Code],tblChannels[Channel Name],"")</f>
        <v>In-store</v>
      </c>
      <c r="R5731" s="1">
        <f>MONTH(tblSales[[#This Row],[Date]])</f>
        <v>12</v>
      </c>
    </row>
    <row r="5732" spans="2:18" x14ac:dyDescent="0.35">
      <c r="B5732" s="113">
        <v>46366</v>
      </c>
      <c r="C5732" s="4" t="s">
        <v>3926</v>
      </c>
      <c r="D5732" s="4" t="s">
        <v>4568</v>
      </c>
      <c r="E5732" s="1" t="str">
        <f>_xlfn.XLOOKUP(tblSales[[#This Row],[Customer ID]],tblCustomers[Customer ID],tblCustomers[Customer Name],"⚠ Unknown")</f>
        <v>Walk-in Customer</v>
      </c>
      <c r="F5732" s="4" t="s">
        <v>12</v>
      </c>
      <c r="G5732" s="1" t="str">
        <f>_xlfn.XLOOKUP(tblSales[[#This Row],[Product Code]],tblProducts[Code],tblProducts[Product / Service Name],"⚠ Unknown")</f>
        <v>Bomber Jacket</v>
      </c>
      <c r="H5732" s="1" t="str">
        <f>_xlfn.XLOOKUP(tblSales[[#This Row],[Product Code]],tblProducts[Code],tblProducts[Category],"")</f>
        <v>Apparel &amp; Footwear</v>
      </c>
      <c r="I5732" s="4">
        <v>6</v>
      </c>
      <c r="J5732" s="5">
        <f>_xlfn.XLOOKUP(tblSales[[#This Row],[Product Code]],tblProducts[Code],tblProducts[Selling Price (excl. VAT)],0)</f>
        <v>350000</v>
      </c>
      <c r="K5732" s="5">
        <f>tblSales[[#This Row],[Qty]]*tblSales[[#This Row],[Unit Price]]</f>
        <v>2100000</v>
      </c>
      <c r="L5732" s="5">
        <f>ROUND(tblSales[[#This Row],[DPP (excl. VAT)]]*VATEff,0)</f>
        <v>231000</v>
      </c>
      <c r="M5732" s="5">
        <f>tblSales[[#This Row],[DPP (excl. VAT)]]+tblSales[[#This Row],[Output VAT]]</f>
        <v>2331000</v>
      </c>
      <c r="N5732" s="5">
        <f>tblSales[[#This Row],[Qty]]*_xlfn.XLOOKUP(tblSales[[#This Row],[Product Code]],tblProducts[Code],tblProducts[Unit Cost],0)</f>
        <v>1260000</v>
      </c>
      <c r="O5732" s="4" t="s">
        <v>4866</v>
      </c>
      <c r="P5732" s="4" t="s">
        <v>4860</v>
      </c>
      <c r="Q5732" s="1" t="str">
        <f>_xlfn.XLOOKUP(tblSales[[#This Row],[Channel Code]],tblChannels[Channel Code],tblChannels[Channel Name],"")</f>
        <v>In-store</v>
      </c>
      <c r="R5732" s="1">
        <f>MONTH(tblSales[[#This Row],[Date]])</f>
        <v>12</v>
      </c>
    </row>
    <row r="5733" spans="2:18" x14ac:dyDescent="0.35">
      <c r="B5733" s="113">
        <v>46366</v>
      </c>
      <c r="C5733" s="4" t="s">
        <v>3927</v>
      </c>
      <c r="D5733" s="4" t="s">
        <v>4593</v>
      </c>
      <c r="E5733" s="1" t="str">
        <f>_xlfn.XLOOKUP(tblSales[[#This Row],[Customer ID]],tblCustomers[Customer ID],tblCustomers[Customer Name],"⚠ Unknown")</f>
        <v>PT Graha Nusa Persada</v>
      </c>
      <c r="F5733" s="4" t="s">
        <v>9</v>
      </c>
      <c r="G5733" s="1" t="str">
        <f>_xlfn.XLOOKUP(tblSales[[#This Row],[Product Code]],tblProducts[Code],tblProducts[Product / Service Name],"⚠ Unknown")</f>
        <v>Casual Shirt</v>
      </c>
      <c r="H5733" s="1" t="str">
        <f>_xlfn.XLOOKUP(tblSales[[#This Row],[Product Code]],tblProducts[Code],tblProducts[Category],"")</f>
        <v>Apparel &amp; Footwear</v>
      </c>
      <c r="I5733" s="4">
        <v>72</v>
      </c>
      <c r="J5733" s="5">
        <f>_xlfn.XLOOKUP(tblSales[[#This Row],[Product Code]],tblProducts[Code],tblProducts[Selling Price (excl. VAT)],0)</f>
        <v>120000</v>
      </c>
      <c r="K5733" s="5">
        <f>tblSales[[#This Row],[Qty]]*tblSales[[#This Row],[Unit Price]]</f>
        <v>8640000</v>
      </c>
      <c r="L5733" s="5">
        <f>ROUND(tblSales[[#This Row],[DPP (excl. VAT)]]*VATEff,0)</f>
        <v>950400</v>
      </c>
      <c r="M5733" s="5">
        <f>tblSales[[#This Row],[DPP (excl. VAT)]]+tblSales[[#This Row],[Output VAT]]</f>
        <v>9590400</v>
      </c>
      <c r="N5733" s="5">
        <f>tblSales[[#This Row],[Qty]]*_xlfn.XLOOKUP(tblSales[[#This Row],[Product Code]],tblProducts[Code],tblProducts[Unit Cost],0)</f>
        <v>5184000</v>
      </c>
      <c r="O5733" s="4" t="s">
        <v>4867</v>
      </c>
      <c r="P5733" s="4" t="s">
        <v>4860</v>
      </c>
      <c r="Q5733" s="1" t="str">
        <f>_xlfn.XLOOKUP(tblSales[[#This Row],[Channel Code]],tblChannels[Channel Code],tblChannels[Channel Name],"")</f>
        <v>In-store</v>
      </c>
      <c r="R5733" s="1">
        <f>MONTH(tblSales[[#This Row],[Date]])</f>
        <v>12</v>
      </c>
    </row>
    <row r="5734" spans="2:18" x14ac:dyDescent="0.35">
      <c r="B5734" s="113">
        <v>46366</v>
      </c>
      <c r="C5734" s="4" t="s">
        <v>3927</v>
      </c>
      <c r="D5734" s="4" t="s">
        <v>4593</v>
      </c>
      <c r="E5734" s="1" t="str">
        <f>_xlfn.XLOOKUP(tblSales[[#This Row],[Customer ID]],tblCustomers[Customer ID],tblCustomers[Customer Name],"⚠ Unknown")</f>
        <v>PT Graha Nusa Persada</v>
      </c>
      <c r="F5734" s="4" t="s">
        <v>7</v>
      </c>
      <c r="G5734" s="1" t="str">
        <f>_xlfn.XLOOKUP(tblSales[[#This Row],[Product Code]],tblProducts[Code],tblProducts[Product / Service Name],"⚠ Unknown")</f>
        <v>Premium Basic T-shirt</v>
      </c>
      <c r="H5734" s="1" t="str">
        <f>_xlfn.XLOOKUP(tblSales[[#This Row],[Product Code]],tblProducts[Code],tblProducts[Category],"")</f>
        <v>Accessories &amp; Basics</v>
      </c>
      <c r="I5734" s="4">
        <v>96</v>
      </c>
      <c r="J5734" s="5">
        <f>_xlfn.XLOOKUP(tblSales[[#This Row],[Product Code]],tblProducts[Code],tblProducts[Selling Price (excl. VAT)],0)</f>
        <v>65000</v>
      </c>
      <c r="K5734" s="5">
        <f>tblSales[[#This Row],[Qty]]*tblSales[[#This Row],[Unit Price]]</f>
        <v>6240000</v>
      </c>
      <c r="L5734" s="5">
        <f>ROUND(tblSales[[#This Row],[DPP (excl. VAT)]]*VATEff,0)</f>
        <v>686400</v>
      </c>
      <c r="M5734" s="5">
        <f>tblSales[[#This Row],[DPP (excl. VAT)]]+tblSales[[#This Row],[Output VAT]]</f>
        <v>6926400</v>
      </c>
      <c r="N5734" s="5">
        <f>tblSales[[#This Row],[Qty]]*_xlfn.XLOOKUP(tblSales[[#This Row],[Product Code]],tblProducts[Code],tblProducts[Unit Cost],0)</f>
        <v>3552000</v>
      </c>
      <c r="O5734" s="4" t="s">
        <v>4867</v>
      </c>
      <c r="P5734" s="4" t="s">
        <v>4860</v>
      </c>
      <c r="Q5734" s="1" t="str">
        <f>_xlfn.XLOOKUP(tblSales[[#This Row],[Channel Code]],tblChannels[Channel Code],tblChannels[Channel Name],"")</f>
        <v>In-store</v>
      </c>
      <c r="R5734" s="1">
        <f>MONTH(tblSales[[#This Row],[Date]])</f>
        <v>12</v>
      </c>
    </row>
    <row r="5735" spans="2:18" x14ac:dyDescent="0.35">
      <c r="B5735" s="113">
        <v>46366</v>
      </c>
      <c r="C5735" s="4" t="s">
        <v>3927</v>
      </c>
      <c r="D5735" s="4" t="s">
        <v>4593</v>
      </c>
      <c r="E5735" s="1" t="str">
        <f>_xlfn.XLOOKUP(tblSales[[#This Row],[Customer ID]],tblCustomers[Customer ID],tblCustomers[Customer Name],"⚠ Unknown")</f>
        <v>PT Graha Nusa Persada</v>
      </c>
      <c r="F5735" s="4" t="s">
        <v>14</v>
      </c>
      <c r="G5735" s="1" t="str">
        <f>_xlfn.XLOOKUP(tblSales[[#This Row],[Product Code]],tblProducts[Code],tblProducts[Product / Service Name],"⚠ Unknown")</f>
        <v>Smartwatch</v>
      </c>
      <c r="H5735" s="1" t="str">
        <f>_xlfn.XLOOKUP(tblSales[[#This Row],[Product Code]],tblProducts[Code],tblProducts[Category],"")</f>
        <v>Bags &amp; Gadgets</v>
      </c>
      <c r="I5735" s="4">
        <v>8</v>
      </c>
      <c r="J5735" s="5">
        <f>_xlfn.XLOOKUP(tblSales[[#This Row],[Product Code]],tblProducts[Code],tblProducts[Selling Price (excl. VAT)],0)</f>
        <v>850000</v>
      </c>
      <c r="K5735" s="5">
        <f>tblSales[[#This Row],[Qty]]*tblSales[[#This Row],[Unit Price]]</f>
        <v>6800000</v>
      </c>
      <c r="L5735" s="5">
        <f>ROUND(tblSales[[#This Row],[DPP (excl. VAT)]]*VATEff,0)</f>
        <v>748000</v>
      </c>
      <c r="M5735" s="5">
        <f>tblSales[[#This Row],[DPP (excl. VAT)]]+tblSales[[#This Row],[Output VAT]]</f>
        <v>7548000</v>
      </c>
      <c r="N5735" s="5">
        <f>tblSales[[#This Row],[Qty]]*_xlfn.XLOOKUP(tblSales[[#This Row],[Product Code]],tblProducts[Code],tblProducts[Unit Cost],0)</f>
        <v>4480000</v>
      </c>
      <c r="O5735" s="4" t="s">
        <v>4867</v>
      </c>
      <c r="P5735" s="4" t="s">
        <v>4860</v>
      </c>
      <c r="Q5735" s="1" t="str">
        <f>_xlfn.XLOOKUP(tblSales[[#This Row],[Channel Code]],tblChannels[Channel Code],tblChannels[Channel Name],"")</f>
        <v>In-store</v>
      </c>
      <c r="R5735" s="1">
        <f>MONTH(tblSales[[#This Row],[Date]])</f>
        <v>12</v>
      </c>
    </row>
    <row r="5736" spans="2:18" x14ac:dyDescent="0.35">
      <c r="B5736" s="113">
        <v>46366</v>
      </c>
      <c r="C5736" s="4" t="s">
        <v>3928</v>
      </c>
      <c r="D5736" s="4" t="s">
        <v>4568</v>
      </c>
      <c r="E5736" s="1" t="str">
        <f>_xlfn.XLOOKUP(tblSales[[#This Row],[Customer ID]],tblCustomers[Customer ID],tblCustomers[Customer Name],"⚠ Unknown")</f>
        <v>Walk-in Customer</v>
      </c>
      <c r="F5736" s="4" t="s">
        <v>11</v>
      </c>
      <c r="G5736" s="1" t="str">
        <f>_xlfn.XLOOKUP(tblSales[[#This Row],[Product Code]],tblProducts[Code],tblProducts[Product / Service Name],"⚠ Unknown")</f>
        <v>Sneakers</v>
      </c>
      <c r="H5736" s="1" t="str">
        <f>_xlfn.XLOOKUP(tblSales[[#This Row],[Product Code]],tblProducts[Code],tblProducts[Category],"")</f>
        <v>Apparel &amp; Footwear</v>
      </c>
      <c r="I5736" s="4">
        <v>4</v>
      </c>
      <c r="J5736" s="5">
        <f>_xlfn.XLOOKUP(tblSales[[#This Row],[Product Code]],tblProducts[Code],tblProducts[Selling Price (excl. VAT)],0)</f>
        <v>250000</v>
      </c>
      <c r="K5736" s="5">
        <f>tblSales[[#This Row],[Qty]]*tblSales[[#This Row],[Unit Price]]</f>
        <v>1000000</v>
      </c>
      <c r="L5736" s="5">
        <f>ROUND(tblSales[[#This Row],[DPP (excl. VAT)]]*VATEff,0)</f>
        <v>110000</v>
      </c>
      <c r="M5736" s="5">
        <f>tblSales[[#This Row],[DPP (excl. VAT)]]+tblSales[[#This Row],[Output VAT]]</f>
        <v>1110000</v>
      </c>
      <c r="N5736" s="5">
        <f>tblSales[[#This Row],[Qty]]*_xlfn.XLOOKUP(tblSales[[#This Row],[Product Code]],tblProducts[Code],tblProducts[Unit Cost],0)</f>
        <v>620000</v>
      </c>
      <c r="O5736" s="4" t="s">
        <v>4866</v>
      </c>
      <c r="P5736" s="4" t="s">
        <v>4861</v>
      </c>
      <c r="Q5736" s="1" t="str">
        <f>_xlfn.XLOOKUP(tblSales[[#This Row],[Channel Code]],tblChannels[Channel Code],tblChannels[Channel Name],"")</f>
        <v>Marketplace</v>
      </c>
      <c r="R5736" s="1">
        <f>MONTH(tblSales[[#This Row],[Date]])</f>
        <v>12</v>
      </c>
    </row>
    <row r="5737" spans="2:18" x14ac:dyDescent="0.35">
      <c r="B5737" s="113">
        <v>46367</v>
      </c>
      <c r="C5737" s="4" t="s">
        <v>3929</v>
      </c>
      <c r="D5737" s="4" t="s">
        <v>4568</v>
      </c>
      <c r="E5737" s="1" t="str">
        <f>_xlfn.XLOOKUP(tblSales[[#This Row],[Customer ID]],tblCustomers[Customer ID],tblCustomers[Customer Name],"⚠ Unknown")</f>
        <v>Walk-in Customer</v>
      </c>
      <c r="F5737" s="4" t="s">
        <v>11</v>
      </c>
      <c r="G5737" s="1" t="str">
        <f>_xlfn.XLOOKUP(tblSales[[#This Row],[Product Code]],tblProducts[Code],tblProducts[Product / Service Name],"⚠ Unknown")</f>
        <v>Sneakers</v>
      </c>
      <c r="H5737" s="1" t="str">
        <f>_xlfn.XLOOKUP(tblSales[[#This Row],[Product Code]],tblProducts[Code],tblProducts[Category],"")</f>
        <v>Apparel &amp; Footwear</v>
      </c>
      <c r="I5737" s="4">
        <v>1</v>
      </c>
      <c r="J5737" s="5">
        <f>_xlfn.XLOOKUP(tblSales[[#This Row],[Product Code]],tblProducts[Code],tblProducts[Selling Price (excl. VAT)],0)</f>
        <v>250000</v>
      </c>
      <c r="K5737" s="5">
        <f>tblSales[[#This Row],[Qty]]*tblSales[[#This Row],[Unit Price]]</f>
        <v>250000</v>
      </c>
      <c r="L5737" s="5">
        <f>ROUND(tblSales[[#This Row],[DPP (excl. VAT)]]*VATEff,0)</f>
        <v>27500</v>
      </c>
      <c r="M5737" s="5">
        <f>tblSales[[#This Row],[DPP (excl. VAT)]]+tblSales[[#This Row],[Output VAT]]</f>
        <v>277500</v>
      </c>
      <c r="N5737" s="5">
        <f>tblSales[[#This Row],[Qty]]*_xlfn.XLOOKUP(tblSales[[#This Row],[Product Code]],tblProducts[Code],tblProducts[Unit Cost],0)</f>
        <v>155000</v>
      </c>
      <c r="O5737" s="4" t="s">
        <v>4865</v>
      </c>
      <c r="P5737" s="4" t="s">
        <v>4860</v>
      </c>
      <c r="Q5737" s="1" t="str">
        <f>_xlfn.XLOOKUP(tblSales[[#This Row],[Channel Code]],tblChannels[Channel Code],tblChannels[Channel Name],"")</f>
        <v>In-store</v>
      </c>
      <c r="R5737" s="1">
        <f>MONTH(tblSales[[#This Row],[Date]])</f>
        <v>12</v>
      </c>
    </row>
    <row r="5738" spans="2:18" x14ac:dyDescent="0.35">
      <c r="B5738" s="113">
        <v>46367</v>
      </c>
      <c r="C5738" s="4" t="s">
        <v>3929</v>
      </c>
      <c r="D5738" s="4" t="s">
        <v>4568</v>
      </c>
      <c r="E5738" s="1" t="str">
        <f>_xlfn.XLOOKUP(tblSales[[#This Row],[Customer ID]],tblCustomers[Customer ID],tblCustomers[Customer Name],"⚠ Unknown")</f>
        <v>Walk-in Customer</v>
      </c>
      <c r="F5738" s="4" t="s">
        <v>9</v>
      </c>
      <c r="G5738" s="1" t="str">
        <f>_xlfn.XLOOKUP(tblSales[[#This Row],[Product Code]],tblProducts[Code],tblProducts[Product / Service Name],"⚠ Unknown")</f>
        <v>Casual Shirt</v>
      </c>
      <c r="H5738" s="1" t="str">
        <f>_xlfn.XLOOKUP(tblSales[[#This Row],[Product Code]],tblProducts[Code],tblProducts[Category],"")</f>
        <v>Apparel &amp; Footwear</v>
      </c>
      <c r="I5738" s="4">
        <v>12</v>
      </c>
      <c r="J5738" s="5">
        <f>_xlfn.XLOOKUP(tblSales[[#This Row],[Product Code]],tblProducts[Code],tblProducts[Selling Price (excl. VAT)],0)</f>
        <v>120000</v>
      </c>
      <c r="K5738" s="5">
        <f>tblSales[[#This Row],[Qty]]*tblSales[[#This Row],[Unit Price]]</f>
        <v>1440000</v>
      </c>
      <c r="L5738" s="5">
        <f>ROUND(tblSales[[#This Row],[DPP (excl. VAT)]]*VATEff,0)</f>
        <v>158400</v>
      </c>
      <c r="M5738" s="5">
        <f>tblSales[[#This Row],[DPP (excl. VAT)]]+tblSales[[#This Row],[Output VAT]]</f>
        <v>1598400</v>
      </c>
      <c r="N5738" s="5">
        <f>tblSales[[#This Row],[Qty]]*_xlfn.XLOOKUP(tblSales[[#This Row],[Product Code]],tblProducts[Code],tblProducts[Unit Cost],0)</f>
        <v>864000</v>
      </c>
      <c r="O5738" s="4" t="s">
        <v>4865</v>
      </c>
      <c r="P5738" s="4" t="s">
        <v>4860</v>
      </c>
      <c r="Q5738" s="1" t="str">
        <f>_xlfn.XLOOKUP(tblSales[[#This Row],[Channel Code]],tblChannels[Channel Code],tblChannels[Channel Name],"")</f>
        <v>In-store</v>
      </c>
      <c r="R5738" s="1">
        <f>MONTH(tblSales[[#This Row],[Date]])</f>
        <v>12</v>
      </c>
    </row>
    <row r="5739" spans="2:18" x14ac:dyDescent="0.35">
      <c r="B5739" s="113">
        <v>46367</v>
      </c>
      <c r="C5739" s="4" t="s">
        <v>3930</v>
      </c>
      <c r="D5739" s="4" t="s">
        <v>4620</v>
      </c>
      <c r="E5739" s="1" t="str">
        <f>_xlfn.XLOOKUP(tblSales[[#This Row],[Customer ID]],tblCustomers[Customer ID],tblCustomers[Customer Name],"⚠ Unknown")</f>
        <v>CV Sumber Rejeki Utama</v>
      </c>
      <c r="F5739" s="4" t="s">
        <v>15</v>
      </c>
      <c r="G5739" s="1" t="str">
        <f>_xlfn.XLOOKUP(tblSales[[#This Row],[Product Code]],tblProducts[Code],tblProducts[Product / Service Name],"⚠ Unknown")</f>
        <v>Wireless Earbuds Pro</v>
      </c>
      <c r="H5739" s="1" t="str">
        <f>_xlfn.XLOOKUP(tblSales[[#This Row],[Product Code]],tblProducts[Code],tblProducts[Category],"")</f>
        <v>Bags &amp; Gadgets</v>
      </c>
      <c r="I5739" s="4">
        <v>24</v>
      </c>
      <c r="J5739" s="5">
        <f>_xlfn.XLOOKUP(tblSales[[#This Row],[Product Code]],tblProducts[Code],tblProducts[Selling Price (excl. VAT)],0)</f>
        <v>1250000</v>
      </c>
      <c r="K5739" s="5">
        <f>tblSales[[#This Row],[Qty]]*tblSales[[#This Row],[Unit Price]]</f>
        <v>30000000</v>
      </c>
      <c r="L5739" s="5">
        <f>ROUND(tblSales[[#This Row],[DPP (excl. VAT)]]*VATEff,0)</f>
        <v>3300000</v>
      </c>
      <c r="M5739" s="5">
        <f>tblSales[[#This Row],[DPP (excl. VAT)]]+tblSales[[#This Row],[Output VAT]]</f>
        <v>33300000</v>
      </c>
      <c r="N5739" s="5">
        <f>tblSales[[#This Row],[Qty]]*_xlfn.XLOOKUP(tblSales[[#This Row],[Product Code]],tblProducts[Code],tblProducts[Unit Cost],0)</f>
        <v>19680000</v>
      </c>
      <c r="O5739" s="4" t="s">
        <v>4867</v>
      </c>
      <c r="P5739" s="4" t="s">
        <v>4860</v>
      </c>
      <c r="Q5739" s="1" t="str">
        <f>_xlfn.XLOOKUP(tblSales[[#This Row],[Channel Code]],tblChannels[Channel Code],tblChannels[Channel Name],"")</f>
        <v>In-store</v>
      </c>
      <c r="R5739" s="1">
        <f>MONTH(tblSales[[#This Row],[Date]])</f>
        <v>12</v>
      </c>
    </row>
    <row r="5740" spans="2:18" x14ac:dyDescent="0.35">
      <c r="B5740" s="113">
        <v>46367</v>
      </c>
      <c r="C5740" s="4" t="s">
        <v>3931</v>
      </c>
      <c r="D5740" s="4" t="s">
        <v>4568</v>
      </c>
      <c r="E5740" s="1" t="str">
        <f>_xlfn.XLOOKUP(tblSales[[#This Row],[Customer ID]],tblCustomers[Customer ID],tblCustomers[Customer Name],"⚠ Unknown")</f>
        <v>Walk-in Customer</v>
      </c>
      <c r="F5740" s="4" t="s">
        <v>9</v>
      </c>
      <c r="G5740" s="1" t="str">
        <f>_xlfn.XLOOKUP(tblSales[[#This Row],[Product Code]],tblProducts[Code],tblProducts[Product / Service Name],"⚠ Unknown")</f>
        <v>Casual Shirt</v>
      </c>
      <c r="H5740" s="1" t="str">
        <f>_xlfn.XLOOKUP(tblSales[[#This Row],[Product Code]],tblProducts[Code],tblProducts[Category],"")</f>
        <v>Apparel &amp; Footwear</v>
      </c>
      <c r="I5740" s="4">
        <v>7</v>
      </c>
      <c r="J5740" s="5">
        <f>_xlfn.XLOOKUP(tblSales[[#This Row],[Product Code]],tblProducts[Code],tblProducts[Selling Price (excl. VAT)],0)</f>
        <v>120000</v>
      </c>
      <c r="K5740" s="5">
        <f>tblSales[[#This Row],[Qty]]*tblSales[[#This Row],[Unit Price]]</f>
        <v>840000</v>
      </c>
      <c r="L5740" s="5">
        <f>ROUND(tblSales[[#This Row],[DPP (excl. VAT)]]*VATEff,0)</f>
        <v>92400</v>
      </c>
      <c r="M5740" s="5">
        <f>tblSales[[#This Row],[DPP (excl. VAT)]]+tblSales[[#This Row],[Output VAT]]</f>
        <v>932400</v>
      </c>
      <c r="N5740" s="5">
        <f>tblSales[[#This Row],[Qty]]*_xlfn.XLOOKUP(tblSales[[#This Row],[Product Code]],tblProducts[Code],tblProducts[Unit Cost],0)</f>
        <v>504000</v>
      </c>
      <c r="O5740" s="4" t="s">
        <v>4865</v>
      </c>
      <c r="P5740" s="4" t="s">
        <v>4860</v>
      </c>
      <c r="Q5740" s="1" t="str">
        <f>_xlfn.XLOOKUP(tblSales[[#This Row],[Channel Code]],tblChannels[Channel Code],tblChannels[Channel Name],"")</f>
        <v>In-store</v>
      </c>
      <c r="R5740" s="1">
        <f>MONTH(tblSales[[#This Row],[Date]])</f>
        <v>12</v>
      </c>
    </row>
    <row r="5741" spans="2:18" x14ac:dyDescent="0.35">
      <c r="B5741" s="113">
        <v>46367</v>
      </c>
      <c r="C5741" s="4" t="s">
        <v>3931</v>
      </c>
      <c r="D5741" s="4" t="s">
        <v>4568</v>
      </c>
      <c r="E5741" s="1" t="str">
        <f>_xlfn.XLOOKUP(tblSales[[#This Row],[Customer ID]],tblCustomers[Customer ID],tblCustomers[Customer Name],"⚠ Unknown")</f>
        <v>Walk-in Customer</v>
      </c>
      <c r="F5741" s="4" t="s">
        <v>12</v>
      </c>
      <c r="G5741" s="1" t="str">
        <f>_xlfn.XLOOKUP(tblSales[[#This Row],[Product Code]],tblProducts[Code],tblProducts[Product / Service Name],"⚠ Unknown")</f>
        <v>Bomber Jacket</v>
      </c>
      <c r="H5741" s="1" t="str">
        <f>_xlfn.XLOOKUP(tblSales[[#This Row],[Product Code]],tblProducts[Code],tblProducts[Category],"")</f>
        <v>Apparel &amp; Footwear</v>
      </c>
      <c r="I5741" s="4">
        <v>5</v>
      </c>
      <c r="J5741" s="5">
        <f>_xlfn.XLOOKUP(tblSales[[#This Row],[Product Code]],tblProducts[Code],tblProducts[Selling Price (excl. VAT)],0)</f>
        <v>350000</v>
      </c>
      <c r="K5741" s="5">
        <f>tblSales[[#This Row],[Qty]]*tblSales[[#This Row],[Unit Price]]</f>
        <v>1750000</v>
      </c>
      <c r="L5741" s="5">
        <f>ROUND(tblSales[[#This Row],[DPP (excl. VAT)]]*VATEff,0)</f>
        <v>192500</v>
      </c>
      <c r="M5741" s="5">
        <f>tblSales[[#This Row],[DPP (excl. VAT)]]+tblSales[[#This Row],[Output VAT]]</f>
        <v>1942500</v>
      </c>
      <c r="N5741" s="5">
        <f>tblSales[[#This Row],[Qty]]*_xlfn.XLOOKUP(tblSales[[#This Row],[Product Code]],tblProducts[Code],tblProducts[Unit Cost],0)</f>
        <v>1050000</v>
      </c>
      <c r="O5741" s="4" t="s">
        <v>4865</v>
      </c>
      <c r="P5741" s="4" t="s">
        <v>4860</v>
      </c>
      <c r="Q5741" s="1" t="str">
        <f>_xlfn.XLOOKUP(tblSales[[#This Row],[Channel Code]],tblChannels[Channel Code],tblChannels[Channel Name],"")</f>
        <v>In-store</v>
      </c>
      <c r="R5741" s="1">
        <f>MONTH(tblSales[[#This Row],[Date]])</f>
        <v>12</v>
      </c>
    </row>
    <row r="5742" spans="2:18" x14ac:dyDescent="0.35">
      <c r="B5742" s="113">
        <v>46367</v>
      </c>
      <c r="C5742" s="4" t="s">
        <v>3931</v>
      </c>
      <c r="D5742" s="4" t="s">
        <v>4568</v>
      </c>
      <c r="E5742" s="1" t="str">
        <f>_xlfn.XLOOKUP(tblSales[[#This Row],[Customer ID]],tblCustomers[Customer ID],tblCustomers[Customer Name],"⚠ Unknown")</f>
        <v>Walk-in Customer</v>
      </c>
      <c r="F5742" s="4" t="s">
        <v>6</v>
      </c>
      <c r="G5742" s="1" t="str">
        <f>_xlfn.XLOOKUP(tblSales[[#This Row],[Product Code]],tblProducts[Code],tblProducts[Product / Service Name],"⚠ Unknown")</f>
        <v>Socks &amp; Accessories</v>
      </c>
      <c r="H5742" s="1" t="str">
        <f>_xlfn.XLOOKUP(tblSales[[#This Row],[Product Code]],tblProducts[Code],tblProducts[Category],"")</f>
        <v>Accessories &amp; Basics</v>
      </c>
      <c r="I5742" s="4">
        <v>1</v>
      </c>
      <c r="J5742" s="5">
        <f>_xlfn.XLOOKUP(tblSales[[#This Row],[Product Code]],tblProducts[Code],tblProducts[Selling Price (excl. VAT)],0)</f>
        <v>45000</v>
      </c>
      <c r="K5742" s="5">
        <f>tblSales[[#This Row],[Qty]]*tblSales[[#This Row],[Unit Price]]</f>
        <v>45000</v>
      </c>
      <c r="L5742" s="5">
        <f>ROUND(tblSales[[#This Row],[DPP (excl. VAT)]]*VATEff,0)</f>
        <v>4950</v>
      </c>
      <c r="M5742" s="5">
        <f>tblSales[[#This Row],[DPP (excl. VAT)]]+tblSales[[#This Row],[Output VAT]]</f>
        <v>49950</v>
      </c>
      <c r="N5742" s="5">
        <f>tblSales[[#This Row],[Qty]]*_xlfn.XLOOKUP(tblSales[[#This Row],[Product Code]],tblProducts[Code],tblProducts[Unit Cost],0)</f>
        <v>24000</v>
      </c>
      <c r="O5742" s="4" t="s">
        <v>4865</v>
      </c>
      <c r="P5742" s="4" t="s">
        <v>4860</v>
      </c>
      <c r="Q5742" s="1" t="str">
        <f>_xlfn.XLOOKUP(tblSales[[#This Row],[Channel Code]],tblChannels[Channel Code],tblChannels[Channel Name],"")</f>
        <v>In-store</v>
      </c>
      <c r="R5742" s="1">
        <f>MONTH(tblSales[[#This Row],[Date]])</f>
        <v>12</v>
      </c>
    </row>
    <row r="5743" spans="2:18" x14ac:dyDescent="0.35">
      <c r="B5743" s="113">
        <v>46367</v>
      </c>
      <c r="C5743" s="4" t="s">
        <v>3932</v>
      </c>
      <c r="D5743" s="4" t="s">
        <v>4568</v>
      </c>
      <c r="E5743" s="1" t="str">
        <f>_xlfn.XLOOKUP(tblSales[[#This Row],[Customer ID]],tblCustomers[Customer ID],tblCustomers[Customer Name],"⚠ Unknown")</f>
        <v>Walk-in Customer</v>
      </c>
      <c r="F5743" s="4" t="s">
        <v>8</v>
      </c>
      <c r="G5743" s="1" t="str">
        <f>_xlfn.XLOOKUP(tblSales[[#This Row],[Product Code]],tblProducts[Code],tblProducts[Product / Service Name],"⚠ Unknown")</f>
        <v>Casual Shorts</v>
      </c>
      <c r="H5743" s="1" t="str">
        <f>_xlfn.XLOOKUP(tblSales[[#This Row],[Product Code]],tblProducts[Code],tblProducts[Category],"")</f>
        <v>Accessories &amp; Basics</v>
      </c>
      <c r="I5743" s="4">
        <v>3</v>
      </c>
      <c r="J5743" s="5">
        <f>_xlfn.XLOOKUP(tblSales[[#This Row],[Product Code]],tblProducts[Code],tblProducts[Selling Price (excl. VAT)],0)</f>
        <v>85000</v>
      </c>
      <c r="K5743" s="5">
        <f>tblSales[[#This Row],[Qty]]*tblSales[[#This Row],[Unit Price]]</f>
        <v>255000</v>
      </c>
      <c r="L5743" s="5">
        <f>ROUND(tblSales[[#This Row],[DPP (excl. VAT)]]*VATEff,0)</f>
        <v>28050</v>
      </c>
      <c r="M5743" s="5">
        <f>tblSales[[#This Row],[DPP (excl. VAT)]]+tblSales[[#This Row],[Output VAT]]</f>
        <v>283050</v>
      </c>
      <c r="N5743" s="5">
        <f>tblSales[[#This Row],[Qty]]*_xlfn.XLOOKUP(tblSales[[#This Row],[Product Code]],tblProducts[Code],tblProducts[Unit Cost],0)</f>
        <v>150000</v>
      </c>
      <c r="O5743" s="4" t="s">
        <v>4866</v>
      </c>
      <c r="P5743" s="4" t="s">
        <v>4861</v>
      </c>
      <c r="Q5743" s="1" t="str">
        <f>_xlfn.XLOOKUP(tblSales[[#This Row],[Channel Code]],tblChannels[Channel Code],tblChannels[Channel Name],"")</f>
        <v>Marketplace</v>
      </c>
      <c r="R5743" s="1">
        <f>MONTH(tblSales[[#This Row],[Date]])</f>
        <v>12</v>
      </c>
    </row>
    <row r="5744" spans="2:18" x14ac:dyDescent="0.35">
      <c r="B5744" s="113">
        <v>46367</v>
      </c>
      <c r="C5744" s="4" t="s">
        <v>3933</v>
      </c>
      <c r="D5744" s="4" t="s">
        <v>4568</v>
      </c>
      <c r="E5744" s="1" t="str">
        <f>_xlfn.XLOOKUP(tblSales[[#This Row],[Customer ID]],tblCustomers[Customer ID],tblCustomers[Customer Name],"⚠ Unknown")</f>
        <v>Walk-in Customer</v>
      </c>
      <c r="F5744" s="4" t="s">
        <v>6</v>
      </c>
      <c r="G5744" s="1" t="str">
        <f>_xlfn.XLOOKUP(tblSales[[#This Row],[Product Code]],tblProducts[Code],tblProducts[Product / Service Name],"⚠ Unknown")</f>
        <v>Socks &amp; Accessories</v>
      </c>
      <c r="H5744" s="1" t="str">
        <f>_xlfn.XLOOKUP(tblSales[[#This Row],[Product Code]],tblProducts[Code],tblProducts[Category],"")</f>
        <v>Accessories &amp; Basics</v>
      </c>
      <c r="I5744" s="4">
        <v>7</v>
      </c>
      <c r="J5744" s="5">
        <f>_xlfn.XLOOKUP(tblSales[[#This Row],[Product Code]],tblProducts[Code],tblProducts[Selling Price (excl. VAT)],0)</f>
        <v>45000</v>
      </c>
      <c r="K5744" s="5">
        <f>tblSales[[#This Row],[Qty]]*tblSales[[#This Row],[Unit Price]]</f>
        <v>315000</v>
      </c>
      <c r="L5744" s="5">
        <f>ROUND(tblSales[[#This Row],[DPP (excl. VAT)]]*VATEff,0)</f>
        <v>34650</v>
      </c>
      <c r="M5744" s="5">
        <f>tblSales[[#This Row],[DPP (excl. VAT)]]+tblSales[[#This Row],[Output VAT]]</f>
        <v>349650</v>
      </c>
      <c r="N5744" s="5">
        <f>tblSales[[#This Row],[Qty]]*_xlfn.XLOOKUP(tblSales[[#This Row],[Product Code]],tblProducts[Code],tblProducts[Unit Cost],0)</f>
        <v>168000</v>
      </c>
      <c r="O5744" s="4" t="s">
        <v>4866</v>
      </c>
      <c r="P5744" s="4" t="s">
        <v>4860</v>
      </c>
      <c r="Q5744" s="1" t="str">
        <f>_xlfn.XLOOKUP(tblSales[[#This Row],[Channel Code]],tblChannels[Channel Code],tblChannels[Channel Name],"")</f>
        <v>In-store</v>
      </c>
      <c r="R5744" s="1">
        <f>MONTH(tblSales[[#This Row],[Date]])</f>
        <v>12</v>
      </c>
    </row>
    <row r="5745" spans="2:18" x14ac:dyDescent="0.35">
      <c r="B5745" s="113">
        <v>46367</v>
      </c>
      <c r="C5745" s="4" t="s">
        <v>3933</v>
      </c>
      <c r="D5745" s="4" t="s">
        <v>4568</v>
      </c>
      <c r="E5745" s="1" t="str">
        <f>_xlfn.XLOOKUP(tblSales[[#This Row],[Customer ID]],tblCustomers[Customer ID],tblCustomers[Customer Name],"⚠ Unknown")</f>
        <v>Walk-in Customer</v>
      </c>
      <c r="F5745" s="4" t="s">
        <v>13</v>
      </c>
      <c r="G5745" s="1" t="str">
        <f>_xlfn.XLOOKUP(tblSales[[#This Row],[Product Code]],tblProducts[Code],tblProducts[Product / Service Name],"⚠ Unknown")</f>
        <v>Backpack</v>
      </c>
      <c r="H5745" s="1" t="str">
        <f>_xlfn.XLOOKUP(tblSales[[#This Row],[Product Code]],tblProducts[Code],tblProducts[Category],"")</f>
        <v>Bags &amp; Gadgets</v>
      </c>
      <c r="I5745" s="4">
        <v>1</v>
      </c>
      <c r="J5745" s="5">
        <f>_xlfn.XLOOKUP(tblSales[[#This Row],[Product Code]],tblProducts[Code],tblProducts[Selling Price (excl. VAT)],0)</f>
        <v>500000</v>
      </c>
      <c r="K5745" s="5">
        <f>tblSales[[#This Row],[Qty]]*tblSales[[#This Row],[Unit Price]]</f>
        <v>500000</v>
      </c>
      <c r="L5745" s="5">
        <f>ROUND(tblSales[[#This Row],[DPP (excl. VAT)]]*VATEff,0)</f>
        <v>55000</v>
      </c>
      <c r="M5745" s="5">
        <f>tblSales[[#This Row],[DPP (excl. VAT)]]+tblSales[[#This Row],[Output VAT]]</f>
        <v>555000</v>
      </c>
      <c r="N5745" s="5">
        <f>tblSales[[#This Row],[Qty]]*_xlfn.XLOOKUP(tblSales[[#This Row],[Product Code]],tblProducts[Code],tblProducts[Unit Cost],0)</f>
        <v>290000</v>
      </c>
      <c r="O5745" s="4" t="s">
        <v>4866</v>
      </c>
      <c r="P5745" s="4" t="s">
        <v>4860</v>
      </c>
      <c r="Q5745" s="1" t="str">
        <f>_xlfn.XLOOKUP(tblSales[[#This Row],[Channel Code]],tblChannels[Channel Code],tblChannels[Channel Name],"")</f>
        <v>In-store</v>
      </c>
      <c r="R5745" s="1">
        <f>MONTH(tblSales[[#This Row],[Date]])</f>
        <v>12</v>
      </c>
    </row>
    <row r="5746" spans="2:18" x14ac:dyDescent="0.35">
      <c r="B5746" s="113">
        <v>46367</v>
      </c>
      <c r="C5746" s="4" t="s">
        <v>3934</v>
      </c>
      <c r="D5746" s="4" t="s">
        <v>4568</v>
      </c>
      <c r="E5746" s="1" t="str">
        <f>_xlfn.XLOOKUP(tblSales[[#This Row],[Customer ID]],tblCustomers[Customer ID],tblCustomers[Customer Name],"⚠ Unknown")</f>
        <v>Walk-in Customer</v>
      </c>
      <c r="F5746" s="4" t="s">
        <v>6</v>
      </c>
      <c r="G5746" s="1" t="str">
        <f>_xlfn.XLOOKUP(tblSales[[#This Row],[Product Code]],tblProducts[Code],tblProducts[Product / Service Name],"⚠ Unknown")</f>
        <v>Socks &amp; Accessories</v>
      </c>
      <c r="H5746" s="1" t="str">
        <f>_xlfn.XLOOKUP(tblSales[[#This Row],[Product Code]],tblProducts[Code],tblProducts[Category],"")</f>
        <v>Accessories &amp; Basics</v>
      </c>
      <c r="I5746" s="4">
        <v>9</v>
      </c>
      <c r="J5746" s="5">
        <f>_xlfn.XLOOKUP(tblSales[[#This Row],[Product Code]],tblProducts[Code],tblProducts[Selling Price (excl. VAT)],0)</f>
        <v>45000</v>
      </c>
      <c r="K5746" s="5">
        <f>tblSales[[#This Row],[Qty]]*tblSales[[#This Row],[Unit Price]]</f>
        <v>405000</v>
      </c>
      <c r="L5746" s="5">
        <f>ROUND(tblSales[[#This Row],[DPP (excl. VAT)]]*VATEff,0)</f>
        <v>44550</v>
      </c>
      <c r="M5746" s="5">
        <f>tblSales[[#This Row],[DPP (excl. VAT)]]+tblSales[[#This Row],[Output VAT]]</f>
        <v>449550</v>
      </c>
      <c r="N5746" s="5">
        <f>tblSales[[#This Row],[Qty]]*_xlfn.XLOOKUP(tblSales[[#This Row],[Product Code]],tblProducts[Code],tblProducts[Unit Cost],0)</f>
        <v>216000</v>
      </c>
      <c r="O5746" s="4" t="s">
        <v>4865</v>
      </c>
      <c r="P5746" s="4" t="s">
        <v>4860</v>
      </c>
      <c r="Q5746" s="1" t="str">
        <f>_xlfn.XLOOKUP(tblSales[[#This Row],[Channel Code]],tblChannels[Channel Code],tblChannels[Channel Name],"")</f>
        <v>In-store</v>
      </c>
      <c r="R5746" s="1">
        <f>MONTH(tblSales[[#This Row],[Date]])</f>
        <v>12</v>
      </c>
    </row>
    <row r="5747" spans="2:18" x14ac:dyDescent="0.35">
      <c r="B5747" s="113">
        <v>46367</v>
      </c>
      <c r="C5747" s="4" t="s">
        <v>3935</v>
      </c>
      <c r="D5747" s="4" t="s">
        <v>4568</v>
      </c>
      <c r="E5747" s="1" t="str">
        <f>_xlfn.XLOOKUP(tblSales[[#This Row],[Customer ID]],tblCustomers[Customer ID],tblCustomers[Customer Name],"⚠ Unknown")</f>
        <v>Walk-in Customer</v>
      </c>
      <c r="F5747" s="4" t="s">
        <v>9</v>
      </c>
      <c r="G5747" s="1" t="str">
        <f>_xlfn.XLOOKUP(tblSales[[#This Row],[Product Code]],tblProducts[Code],tblProducts[Product / Service Name],"⚠ Unknown")</f>
        <v>Casual Shirt</v>
      </c>
      <c r="H5747" s="1" t="str">
        <f>_xlfn.XLOOKUP(tblSales[[#This Row],[Product Code]],tblProducts[Code],tblProducts[Category],"")</f>
        <v>Apparel &amp; Footwear</v>
      </c>
      <c r="I5747" s="4">
        <v>12</v>
      </c>
      <c r="J5747" s="5">
        <f>_xlfn.XLOOKUP(tblSales[[#This Row],[Product Code]],tblProducts[Code],tblProducts[Selling Price (excl. VAT)],0)</f>
        <v>120000</v>
      </c>
      <c r="K5747" s="5">
        <f>tblSales[[#This Row],[Qty]]*tblSales[[#This Row],[Unit Price]]</f>
        <v>1440000</v>
      </c>
      <c r="L5747" s="5">
        <f>ROUND(tblSales[[#This Row],[DPP (excl. VAT)]]*VATEff,0)</f>
        <v>158400</v>
      </c>
      <c r="M5747" s="5">
        <f>tblSales[[#This Row],[DPP (excl. VAT)]]+tblSales[[#This Row],[Output VAT]]</f>
        <v>1598400</v>
      </c>
      <c r="N5747" s="5">
        <f>tblSales[[#This Row],[Qty]]*_xlfn.XLOOKUP(tblSales[[#This Row],[Product Code]],tblProducts[Code],tblProducts[Unit Cost],0)</f>
        <v>864000</v>
      </c>
      <c r="O5747" s="4" t="s">
        <v>4866</v>
      </c>
      <c r="P5747" s="4" t="s">
        <v>4862</v>
      </c>
      <c r="Q5747" s="1" t="str">
        <f>_xlfn.XLOOKUP(tblSales[[#This Row],[Channel Code]],tblChannels[Channel Code],tblChannels[Channel Name],"")</f>
        <v>Website &amp; Social Media</v>
      </c>
      <c r="R5747" s="1">
        <f>MONTH(tblSales[[#This Row],[Date]])</f>
        <v>12</v>
      </c>
    </row>
    <row r="5748" spans="2:18" x14ac:dyDescent="0.35">
      <c r="B5748" s="113">
        <v>46367</v>
      </c>
      <c r="C5748" s="4" t="s">
        <v>3936</v>
      </c>
      <c r="D5748" s="4" t="s">
        <v>4585</v>
      </c>
      <c r="E5748" s="1" t="str">
        <f>_xlfn.XLOOKUP(tblSales[[#This Row],[Customer ID]],tblCustomers[Customer ID],tblCustomers[Customer Name],"⚠ Unknown")</f>
        <v>CV Mitra Karya Mandiri</v>
      </c>
      <c r="F5748" s="4" t="s">
        <v>8</v>
      </c>
      <c r="G5748" s="1" t="str">
        <f>_xlfn.XLOOKUP(tblSales[[#This Row],[Product Code]],tblProducts[Code],tblProducts[Product / Service Name],"⚠ Unknown")</f>
        <v>Casual Shorts</v>
      </c>
      <c r="H5748" s="1" t="str">
        <f>_xlfn.XLOOKUP(tblSales[[#This Row],[Product Code]],tblProducts[Code],tblProducts[Category],"")</f>
        <v>Accessories &amp; Basics</v>
      </c>
      <c r="I5748" s="4">
        <v>80</v>
      </c>
      <c r="J5748" s="5">
        <f>_xlfn.XLOOKUP(tblSales[[#This Row],[Product Code]],tblProducts[Code],tblProducts[Selling Price (excl. VAT)],0)</f>
        <v>85000</v>
      </c>
      <c r="K5748" s="5">
        <f>tblSales[[#This Row],[Qty]]*tblSales[[#This Row],[Unit Price]]</f>
        <v>6800000</v>
      </c>
      <c r="L5748" s="5">
        <f>ROUND(tblSales[[#This Row],[DPP (excl. VAT)]]*VATEff,0)</f>
        <v>748000</v>
      </c>
      <c r="M5748" s="5">
        <f>tblSales[[#This Row],[DPP (excl. VAT)]]+tblSales[[#This Row],[Output VAT]]</f>
        <v>7548000</v>
      </c>
      <c r="N5748" s="5">
        <f>tblSales[[#This Row],[Qty]]*_xlfn.XLOOKUP(tblSales[[#This Row],[Product Code]],tblProducts[Code],tblProducts[Unit Cost],0)</f>
        <v>4000000</v>
      </c>
      <c r="O5748" s="4" t="s">
        <v>4867</v>
      </c>
      <c r="P5748" s="4" t="s">
        <v>4862</v>
      </c>
      <c r="Q5748" s="1" t="str">
        <f>_xlfn.XLOOKUP(tblSales[[#This Row],[Channel Code]],tblChannels[Channel Code],tblChannels[Channel Name],"")</f>
        <v>Website &amp; Social Media</v>
      </c>
      <c r="R5748" s="1">
        <f>MONTH(tblSales[[#This Row],[Date]])</f>
        <v>12</v>
      </c>
    </row>
    <row r="5749" spans="2:18" x14ac:dyDescent="0.35">
      <c r="B5749" s="113">
        <v>46367</v>
      </c>
      <c r="C5749" s="4" t="s">
        <v>3937</v>
      </c>
      <c r="D5749" s="4" t="s">
        <v>4568</v>
      </c>
      <c r="E5749" s="1" t="str">
        <f>_xlfn.XLOOKUP(tblSales[[#This Row],[Customer ID]],tblCustomers[Customer ID],tblCustomers[Customer Name],"⚠ Unknown")</f>
        <v>Walk-in Customer</v>
      </c>
      <c r="F5749" s="4" t="s">
        <v>7</v>
      </c>
      <c r="G5749" s="1" t="str">
        <f>_xlfn.XLOOKUP(tblSales[[#This Row],[Product Code]],tblProducts[Code],tblProducts[Product / Service Name],"⚠ Unknown")</f>
        <v>Premium Basic T-shirt</v>
      </c>
      <c r="H5749" s="1" t="str">
        <f>_xlfn.XLOOKUP(tblSales[[#This Row],[Product Code]],tblProducts[Code],tblProducts[Category],"")</f>
        <v>Accessories &amp; Basics</v>
      </c>
      <c r="I5749" s="4">
        <v>5</v>
      </c>
      <c r="J5749" s="5">
        <f>_xlfn.XLOOKUP(tblSales[[#This Row],[Product Code]],tblProducts[Code],tblProducts[Selling Price (excl. VAT)],0)</f>
        <v>65000</v>
      </c>
      <c r="K5749" s="5">
        <f>tblSales[[#This Row],[Qty]]*tblSales[[#This Row],[Unit Price]]</f>
        <v>325000</v>
      </c>
      <c r="L5749" s="5">
        <f>ROUND(tblSales[[#This Row],[DPP (excl. VAT)]]*VATEff,0)</f>
        <v>35750</v>
      </c>
      <c r="M5749" s="5">
        <f>tblSales[[#This Row],[DPP (excl. VAT)]]+tblSales[[#This Row],[Output VAT]]</f>
        <v>360750</v>
      </c>
      <c r="N5749" s="5">
        <f>tblSales[[#This Row],[Qty]]*_xlfn.XLOOKUP(tblSales[[#This Row],[Product Code]],tblProducts[Code],tblProducts[Unit Cost],0)</f>
        <v>185000</v>
      </c>
      <c r="O5749" s="4" t="s">
        <v>4865</v>
      </c>
      <c r="P5749" s="4" t="s">
        <v>4860</v>
      </c>
      <c r="Q5749" s="1" t="str">
        <f>_xlfn.XLOOKUP(tblSales[[#This Row],[Channel Code]],tblChannels[Channel Code],tblChannels[Channel Name],"")</f>
        <v>In-store</v>
      </c>
      <c r="R5749" s="1">
        <f>MONTH(tblSales[[#This Row],[Date]])</f>
        <v>12</v>
      </c>
    </row>
    <row r="5750" spans="2:18" x14ac:dyDescent="0.35">
      <c r="B5750" s="113">
        <v>46367</v>
      </c>
      <c r="C5750" s="4" t="s">
        <v>3938</v>
      </c>
      <c r="D5750" s="4" t="s">
        <v>4572</v>
      </c>
      <c r="E5750" s="1" t="str">
        <f>_xlfn.XLOOKUP(tblSales[[#This Row],[Customer ID]],tblCustomers[Customer ID],tblCustomers[Customer Name],"⚠ Unknown")</f>
        <v>PT Cahaya Abadi Makmur</v>
      </c>
      <c r="F5750" s="4" t="s">
        <v>9</v>
      </c>
      <c r="G5750" s="1" t="str">
        <f>_xlfn.XLOOKUP(tblSales[[#This Row],[Product Code]],tblProducts[Code],tblProducts[Product / Service Name],"⚠ Unknown")</f>
        <v>Casual Shirt</v>
      </c>
      <c r="H5750" s="1" t="str">
        <f>_xlfn.XLOOKUP(tblSales[[#This Row],[Product Code]],tblProducts[Code],tblProducts[Category],"")</f>
        <v>Apparel &amp; Footwear</v>
      </c>
      <c r="I5750" s="4">
        <v>88</v>
      </c>
      <c r="J5750" s="5">
        <f>_xlfn.XLOOKUP(tblSales[[#This Row],[Product Code]],tblProducts[Code],tblProducts[Selling Price (excl. VAT)],0)</f>
        <v>120000</v>
      </c>
      <c r="K5750" s="5">
        <f>tblSales[[#This Row],[Qty]]*tblSales[[#This Row],[Unit Price]]</f>
        <v>10560000</v>
      </c>
      <c r="L5750" s="5">
        <f>ROUND(tblSales[[#This Row],[DPP (excl. VAT)]]*VATEff,0)</f>
        <v>1161600</v>
      </c>
      <c r="M5750" s="5">
        <f>tblSales[[#This Row],[DPP (excl. VAT)]]+tblSales[[#This Row],[Output VAT]]</f>
        <v>11721600</v>
      </c>
      <c r="N5750" s="5">
        <f>tblSales[[#This Row],[Qty]]*_xlfn.XLOOKUP(tblSales[[#This Row],[Product Code]],tblProducts[Code],tblProducts[Unit Cost],0)</f>
        <v>6336000</v>
      </c>
      <c r="O5750" s="4" t="s">
        <v>4867</v>
      </c>
      <c r="P5750" s="4" t="s">
        <v>4860</v>
      </c>
      <c r="Q5750" s="1" t="str">
        <f>_xlfn.XLOOKUP(tblSales[[#This Row],[Channel Code]],tblChannels[Channel Code],tblChannels[Channel Name],"")</f>
        <v>In-store</v>
      </c>
      <c r="R5750" s="1">
        <f>MONTH(tblSales[[#This Row],[Date]])</f>
        <v>12</v>
      </c>
    </row>
    <row r="5751" spans="2:18" x14ac:dyDescent="0.35">
      <c r="B5751" s="113">
        <v>46367</v>
      </c>
      <c r="C5751" s="4" t="s">
        <v>3938</v>
      </c>
      <c r="D5751" s="4" t="s">
        <v>4572</v>
      </c>
      <c r="E5751" s="1" t="str">
        <f>_xlfn.XLOOKUP(tblSales[[#This Row],[Customer ID]],tblCustomers[Customer ID],tblCustomers[Customer Name],"⚠ Unknown")</f>
        <v>PT Cahaya Abadi Makmur</v>
      </c>
      <c r="F5751" s="4" t="s">
        <v>10</v>
      </c>
      <c r="G5751" s="1" t="str">
        <f>_xlfn.XLOOKUP(tblSales[[#This Row],[Product Code]],tblProducts[Code],tblProducts[Product / Service Name],"⚠ Unknown")</f>
        <v>Chino Pants</v>
      </c>
      <c r="H5751" s="1" t="str">
        <f>_xlfn.XLOOKUP(tblSales[[#This Row],[Product Code]],tblProducts[Code],tblProducts[Category],"")</f>
        <v>Apparel &amp; Footwear</v>
      </c>
      <c r="I5751" s="4">
        <v>64</v>
      </c>
      <c r="J5751" s="5">
        <f>_xlfn.XLOOKUP(tblSales[[#This Row],[Product Code]],tblProducts[Code],tblProducts[Selling Price (excl. VAT)],0)</f>
        <v>150000</v>
      </c>
      <c r="K5751" s="5">
        <f>tblSales[[#This Row],[Qty]]*tblSales[[#This Row],[Unit Price]]</f>
        <v>9600000</v>
      </c>
      <c r="L5751" s="5">
        <f>ROUND(tblSales[[#This Row],[DPP (excl. VAT)]]*VATEff,0)</f>
        <v>1056000</v>
      </c>
      <c r="M5751" s="5">
        <f>tblSales[[#This Row],[DPP (excl. VAT)]]+tblSales[[#This Row],[Output VAT]]</f>
        <v>10656000</v>
      </c>
      <c r="N5751" s="5">
        <f>tblSales[[#This Row],[Qty]]*_xlfn.XLOOKUP(tblSales[[#This Row],[Product Code]],tblProducts[Code],tblProducts[Unit Cost],0)</f>
        <v>5632000</v>
      </c>
      <c r="O5751" s="4" t="s">
        <v>4867</v>
      </c>
      <c r="P5751" s="4" t="s">
        <v>4860</v>
      </c>
      <c r="Q5751" s="1" t="str">
        <f>_xlfn.XLOOKUP(tblSales[[#This Row],[Channel Code]],tblChannels[Channel Code],tblChannels[Channel Name],"")</f>
        <v>In-store</v>
      </c>
      <c r="R5751" s="1">
        <f>MONTH(tblSales[[#This Row],[Date]])</f>
        <v>12</v>
      </c>
    </row>
    <row r="5752" spans="2:18" x14ac:dyDescent="0.35">
      <c r="B5752" s="113">
        <v>46367</v>
      </c>
      <c r="C5752" s="4" t="s">
        <v>3938</v>
      </c>
      <c r="D5752" s="4" t="s">
        <v>4572</v>
      </c>
      <c r="E5752" s="1" t="str">
        <f>_xlfn.XLOOKUP(tblSales[[#This Row],[Customer ID]],tblCustomers[Customer ID],tblCustomers[Customer Name],"⚠ Unknown")</f>
        <v>PT Cahaya Abadi Makmur</v>
      </c>
      <c r="F5752" s="4" t="s">
        <v>8</v>
      </c>
      <c r="G5752" s="1" t="str">
        <f>_xlfn.XLOOKUP(tblSales[[#This Row],[Product Code]],tblProducts[Code],tblProducts[Product / Service Name],"⚠ Unknown")</f>
        <v>Casual Shorts</v>
      </c>
      <c r="H5752" s="1" t="str">
        <f>_xlfn.XLOOKUP(tblSales[[#This Row],[Product Code]],tblProducts[Code],tblProducts[Category],"")</f>
        <v>Accessories &amp; Basics</v>
      </c>
      <c r="I5752" s="4">
        <v>80</v>
      </c>
      <c r="J5752" s="5">
        <f>_xlfn.XLOOKUP(tblSales[[#This Row],[Product Code]],tblProducts[Code],tblProducts[Selling Price (excl. VAT)],0)</f>
        <v>85000</v>
      </c>
      <c r="K5752" s="5">
        <f>tblSales[[#This Row],[Qty]]*tblSales[[#This Row],[Unit Price]]</f>
        <v>6800000</v>
      </c>
      <c r="L5752" s="5">
        <f>ROUND(tblSales[[#This Row],[DPP (excl. VAT)]]*VATEff,0)</f>
        <v>748000</v>
      </c>
      <c r="M5752" s="5">
        <f>tblSales[[#This Row],[DPP (excl. VAT)]]+tblSales[[#This Row],[Output VAT]]</f>
        <v>7548000</v>
      </c>
      <c r="N5752" s="5">
        <f>tblSales[[#This Row],[Qty]]*_xlfn.XLOOKUP(tblSales[[#This Row],[Product Code]],tblProducts[Code],tblProducts[Unit Cost],0)</f>
        <v>4000000</v>
      </c>
      <c r="O5752" s="4" t="s">
        <v>4867</v>
      </c>
      <c r="P5752" s="4" t="s">
        <v>4860</v>
      </c>
      <c r="Q5752" s="1" t="str">
        <f>_xlfn.XLOOKUP(tblSales[[#This Row],[Channel Code]],tblChannels[Channel Code],tblChannels[Channel Name],"")</f>
        <v>In-store</v>
      </c>
      <c r="R5752" s="1">
        <f>MONTH(tblSales[[#This Row],[Date]])</f>
        <v>12</v>
      </c>
    </row>
    <row r="5753" spans="2:18" x14ac:dyDescent="0.35">
      <c r="B5753" s="113">
        <v>46367</v>
      </c>
      <c r="C5753" s="4" t="s">
        <v>3939</v>
      </c>
      <c r="D5753" s="4" t="s">
        <v>4568</v>
      </c>
      <c r="E5753" s="1" t="str">
        <f>_xlfn.XLOOKUP(tblSales[[#This Row],[Customer ID]],tblCustomers[Customer ID],tblCustomers[Customer Name],"⚠ Unknown")</f>
        <v>Walk-in Customer</v>
      </c>
      <c r="F5753" s="4" t="s">
        <v>9</v>
      </c>
      <c r="G5753" s="1" t="str">
        <f>_xlfn.XLOOKUP(tblSales[[#This Row],[Product Code]],tblProducts[Code],tblProducts[Product / Service Name],"⚠ Unknown")</f>
        <v>Casual Shirt</v>
      </c>
      <c r="H5753" s="1" t="str">
        <f>_xlfn.XLOOKUP(tblSales[[#This Row],[Product Code]],tblProducts[Code],tblProducts[Category],"")</f>
        <v>Apparel &amp; Footwear</v>
      </c>
      <c r="I5753" s="4">
        <v>12</v>
      </c>
      <c r="J5753" s="5">
        <f>_xlfn.XLOOKUP(tblSales[[#This Row],[Product Code]],tblProducts[Code],tblProducts[Selling Price (excl. VAT)],0)</f>
        <v>120000</v>
      </c>
      <c r="K5753" s="5">
        <f>tblSales[[#This Row],[Qty]]*tblSales[[#This Row],[Unit Price]]</f>
        <v>1440000</v>
      </c>
      <c r="L5753" s="5">
        <f>ROUND(tblSales[[#This Row],[DPP (excl. VAT)]]*VATEff,0)</f>
        <v>158400</v>
      </c>
      <c r="M5753" s="5">
        <f>tblSales[[#This Row],[DPP (excl. VAT)]]+tblSales[[#This Row],[Output VAT]]</f>
        <v>1598400</v>
      </c>
      <c r="N5753" s="5">
        <f>tblSales[[#This Row],[Qty]]*_xlfn.XLOOKUP(tblSales[[#This Row],[Product Code]],tblProducts[Code],tblProducts[Unit Cost],0)</f>
        <v>864000</v>
      </c>
      <c r="O5753" s="4" t="s">
        <v>4866</v>
      </c>
      <c r="P5753" s="4" t="s">
        <v>4861</v>
      </c>
      <c r="Q5753" s="1" t="str">
        <f>_xlfn.XLOOKUP(tblSales[[#This Row],[Channel Code]],tblChannels[Channel Code],tblChannels[Channel Name],"")</f>
        <v>Marketplace</v>
      </c>
      <c r="R5753" s="1">
        <f>MONTH(tblSales[[#This Row],[Date]])</f>
        <v>12</v>
      </c>
    </row>
    <row r="5754" spans="2:18" x14ac:dyDescent="0.35">
      <c r="B5754" s="113">
        <v>46367</v>
      </c>
      <c r="C5754" s="4" t="s">
        <v>3939</v>
      </c>
      <c r="D5754" s="4" t="s">
        <v>4568</v>
      </c>
      <c r="E5754" s="1" t="str">
        <f>_xlfn.XLOOKUP(tblSales[[#This Row],[Customer ID]],tblCustomers[Customer ID],tblCustomers[Customer Name],"⚠ Unknown")</f>
        <v>Walk-in Customer</v>
      </c>
      <c r="F5754" s="4" t="s">
        <v>6</v>
      </c>
      <c r="G5754" s="1" t="str">
        <f>_xlfn.XLOOKUP(tblSales[[#This Row],[Product Code]],tblProducts[Code],tblProducts[Product / Service Name],"⚠ Unknown")</f>
        <v>Socks &amp; Accessories</v>
      </c>
      <c r="H5754" s="1" t="str">
        <f>_xlfn.XLOOKUP(tblSales[[#This Row],[Product Code]],tblProducts[Code],tblProducts[Category],"")</f>
        <v>Accessories &amp; Basics</v>
      </c>
      <c r="I5754" s="4">
        <v>12</v>
      </c>
      <c r="J5754" s="5">
        <f>_xlfn.XLOOKUP(tblSales[[#This Row],[Product Code]],tblProducts[Code],tblProducts[Selling Price (excl. VAT)],0)</f>
        <v>45000</v>
      </c>
      <c r="K5754" s="5">
        <f>tblSales[[#This Row],[Qty]]*tblSales[[#This Row],[Unit Price]]</f>
        <v>540000</v>
      </c>
      <c r="L5754" s="5">
        <f>ROUND(tblSales[[#This Row],[DPP (excl. VAT)]]*VATEff,0)</f>
        <v>59400</v>
      </c>
      <c r="M5754" s="5">
        <f>tblSales[[#This Row],[DPP (excl. VAT)]]+tblSales[[#This Row],[Output VAT]]</f>
        <v>599400</v>
      </c>
      <c r="N5754" s="5">
        <f>tblSales[[#This Row],[Qty]]*_xlfn.XLOOKUP(tblSales[[#This Row],[Product Code]],tblProducts[Code],tblProducts[Unit Cost],0)</f>
        <v>288000</v>
      </c>
      <c r="O5754" s="4" t="s">
        <v>4866</v>
      </c>
      <c r="P5754" s="4" t="s">
        <v>4861</v>
      </c>
      <c r="Q5754" s="1" t="str">
        <f>_xlfn.XLOOKUP(tblSales[[#This Row],[Channel Code]],tblChannels[Channel Code],tblChannels[Channel Name],"")</f>
        <v>Marketplace</v>
      </c>
      <c r="R5754" s="1">
        <f>MONTH(tblSales[[#This Row],[Date]])</f>
        <v>12</v>
      </c>
    </row>
    <row r="5755" spans="2:18" x14ac:dyDescent="0.35">
      <c r="B5755" s="113">
        <v>46367</v>
      </c>
      <c r="C5755" s="4" t="s">
        <v>3940</v>
      </c>
      <c r="D5755" s="4" t="s">
        <v>4568</v>
      </c>
      <c r="E5755" s="1" t="str">
        <f>_xlfn.XLOOKUP(tblSales[[#This Row],[Customer ID]],tblCustomers[Customer ID],tblCustomers[Customer Name],"⚠ Unknown")</f>
        <v>Walk-in Customer</v>
      </c>
      <c r="F5755" s="4" t="s">
        <v>10</v>
      </c>
      <c r="G5755" s="1" t="str">
        <f>_xlfn.XLOOKUP(tblSales[[#This Row],[Product Code]],tblProducts[Code],tblProducts[Product / Service Name],"⚠ Unknown")</f>
        <v>Chino Pants</v>
      </c>
      <c r="H5755" s="1" t="str">
        <f>_xlfn.XLOOKUP(tblSales[[#This Row],[Product Code]],tblProducts[Code],tblProducts[Category],"")</f>
        <v>Apparel &amp; Footwear</v>
      </c>
      <c r="I5755" s="4">
        <v>9</v>
      </c>
      <c r="J5755" s="5">
        <f>_xlfn.XLOOKUP(tblSales[[#This Row],[Product Code]],tblProducts[Code],tblProducts[Selling Price (excl. VAT)],0)</f>
        <v>150000</v>
      </c>
      <c r="K5755" s="5">
        <f>tblSales[[#This Row],[Qty]]*tblSales[[#This Row],[Unit Price]]</f>
        <v>1350000</v>
      </c>
      <c r="L5755" s="5">
        <f>ROUND(tblSales[[#This Row],[DPP (excl. VAT)]]*VATEff,0)</f>
        <v>148500</v>
      </c>
      <c r="M5755" s="5">
        <f>tblSales[[#This Row],[DPP (excl. VAT)]]+tblSales[[#This Row],[Output VAT]]</f>
        <v>1498500</v>
      </c>
      <c r="N5755" s="5">
        <f>tblSales[[#This Row],[Qty]]*_xlfn.XLOOKUP(tblSales[[#This Row],[Product Code]],tblProducts[Code],tblProducts[Unit Cost],0)</f>
        <v>792000</v>
      </c>
      <c r="O5755" s="4" t="s">
        <v>4866</v>
      </c>
      <c r="P5755" s="4" t="s">
        <v>4861</v>
      </c>
      <c r="Q5755" s="1" t="str">
        <f>_xlfn.XLOOKUP(tblSales[[#This Row],[Channel Code]],tblChannels[Channel Code],tblChannels[Channel Name],"")</f>
        <v>Marketplace</v>
      </c>
      <c r="R5755" s="1">
        <f>MONTH(tblSales[[#This Row],[Date]])</f>
        <v>12</v>
      </c>
    </row>
    <row r="5756" spans="2:18" x14ac:dyDescent="0.35">
      <c r="B5756" s="113">
        <v>46367</v>
      </c>
      <c r="C5756" s="4" t="s">
        <v>3941</v>
      </c>
      <c r="D5756" s="4" t="s">
        <v>4568</v>
      </c>
      <c r="E5756" s="1" t="str">
        <f>_xlfn.XLOOKUP(tblSales[[#This Row],[Customer ID]],tblCustomers[Customer ID],tblCustomers[Customer Name],"⚠ Unknown")</f>
        <v>Walk-in Customer</v>
      </c>
      <c r="F5756" s="4" t="s">
        <v>7</v>
      </c>
      <c r="G5756" s="1" t="str">
        <f>_xlfn.XLOOKUP(tblSales[[#This Row],[Product Code]],tblProducts[Code],tblProducts[Product / Service Name],"⚠ Unknown")</f>
        <v>Premium Basic T-shirt</v>
      </c>
      <c r="H5756" s="1" t="str">
        <f>_xlfn.XLOOKUP(tblSales[[#This Row],[Product Code]],tblProducts[Code],tblProducts[Category],"")</f>
        <v>Accessories &amp; Basics</v>
      </c>
      <c r="I5756" s="4">
        <v>7</v>
      </c>
      <c r="J5756" s="5">
        <f>_xlfn.XLOOKUP(tblSales[[#This Row],[Product Code]],tblProducts[Code],tblProducts[Selling Price (excl. VAT)],0)</f>
        <v>65000</v>
      </c>
      <c r="K5756" s="5">
        <f>tblSales[[#This Row],[Qty]]*tblSales[[#This Row],[Unit Price]]</f>
        <v>455000</v>
      </c>
      <c r="L5756" s="5">
        <f>ROUND(tblSales[[#This Row],[DPP (excl. VAT)]]*VATEff,0)</f>
        <v>50050</v>
      </c>
      <c r="M5756" s="5">
        <f>tblSales[[#This Row],[DPP (excl. VAT)]]+tblSales[[#This Row],[Output VAT]]</f>
        <v>505050</v>
      </c>
      <c r="N5756" s="5">
        <f>tblSales[[#This Row],[Qty]]*_xlfn.XLOOKUP(tblSales[[#This Row],[Product Code]],tblProducts[Code],tblProducts[Unit Cost],0)</f>
        <v>259000</v>
      </c>
      <c r="O5756" s="4" t="s">
        <v>4866</v>
      </c>
      <c r="P5756" s="4" t="s">
        <v>4860</v>
      </c>
      <c r="Q5756" s="1" t="str">
        <f>_xlfn.XLOOKUP(tblSales[[#This Row],[Channel Code]],tblChannels[Channel Code],tblChannels[Channel Name],"")</f>
        <v>In-store</v>
      </c>
      <c r="R5756" s="1">
        <f>MONTH(tblSales[[#This Row],[Date]])</f>
        <v>12</v>
      </c>
    </row>
    <row r="5757" spans="2:18" x14ac:dyDescent="0.35">
      <c r="B5757" s="113">
        <v>46367</v>
      </c>
      <c r="C5757" s="4" t="s">
        <v>3942</v>
      </c>
      <c r="D5757" s="4" t="s">
        <v>4568</v>
      </c>
      <c r="E5757" s="1" t="str">
        <f>_xlfn.XLOOKUP(tblSales[[#This Row],[Customer ID]],tblCustomers[Customer ID],tblCustomers[Customer Name],"⚠ Unknown")</f>
        <v>Walk-in Customer</v>
      </c>
      <c r="F5757" s="4" t="s">
        <v>6</v>
      </c>
      <c r="G5757" s="1" t="str">
        <f>_xlfn.XLOOKUP(tblSales[[#This Row],[Product Code]],tblProducts[Code],tblProducts[Product / Service Name],"⚠ Unknown")</f>
        <v>Socks &amp; Accessories</v>
      </c>
      <c r="H5757" s="1" t="str">
        <f>_xlfn.XLOOKUP(tblSales[[#This Row],[Product Code]],tblProducts[Code],tblProducts[Category],"")</f>
        <v>Accessories &amp; Basics</v>
      </c>
      <c r="I5757" s="4">
        <v>6</v>
      </c>
      <c r="J5757" s="5">
        <f>_xlfn.XLOOKUP(tblSales[[#This Row],[Product Code]],tblProducts[Code],tblProducts[Selling Price (excl. VAT)],0)</f>
        <v>45000</v>
      </c>
      <c r="K5757" s="5">
        <f>tblSales[[#This Row],[Qty]]*tblSales[[#This Row],[Unit Price]]</f>
        <v>270000</v>
      </c>
      <c r="L5757" s="5">
        <f>ROUND(tblSales[[#This Row],[DPP (excl. VAT)]]*VATEff,0)</f>
        <v>29700</v>
      </c>
      <c r="M5757" s="5">
        <f>tblSales[[#This Row],[DPP (excl. VAT)]]+tblSales[[#This Row],[Output VAT]]</f>
        <v>299700</v>
      </c>
      <c r="N5757" s="5">
        <f>tblSales[[#This Row],[Qty]]*_xlfn.XLOOKUP(tblSales[[#This Row],[Product Code]],tblProducts[Code],tblProducts[Unit Cost],0)</f>
        <v>144000</v>
      </c>
      <c r="O5757" s="4" t="s">
        <v>4866</v>
      </c>
      <c r="P5757" s="4" t="s">
        <v>4861</v>
      </c>
      <c r="Q5757" s="1" t="str">
        <f>_xlfn.XLOOKUP(tblSales[[#This Row],[Channel Code]],tblChannels[Channel Code],tblChannels[Channel Name],"")</f>
        <v>Marketplace</v>
      </c>
      <c r="R5757" s="1">
        <f>MONTH(tblSales[[#This Row],[Date]])</f>
        <v>12</v>
      </c>
    </row>
    <row r="5758" spans="2:18" x14ac:dyDescent="0.35">
      <c r="B5758" s="113">
        <v>46367</v>
      </c>
      <c r="C5758" s="4" t="s">
        <v>3943</v>
      </c>
      <c r="D5758" s="4" t="s">
        <v>4568</v>
      </c>
      <c r="E5758" s="1" t="str">
        <f>_xlfn.XLOOKUP(tblSales[[#This Row],[Customer ID]],tblCustomers[Customer ID],tblCustomers[Customer Name],"⚠ Unknown")</f>
        <v>Walk-in Customer</v>
      </c>
      <c r="F5758" s="4" t="s">
        <v>11</v>
      </c>
      <c r="G5758" s="1" t="str">
        <f>_xlfn.XLOOKUP(tblSales[[#This Row],[Product Code]],tblProducts[Code],tblProducts[Product / Service Name],"⚠ Unknown")</f>
        <v>Sneakers</v>
      </c>
      <c r="H5758" s="1" t="str">
        <f>_xlfn.XLOOKUP(tblSales[[#This Row],[Product Code]],tblProducts[Code],tblProducts[Category],"")</f>
        <v>Apparel &amp; Footwear</v>
      </c>
      <c r="I5758" s="4">
        <v>1</v>
      </c>
      <c r="J5758" s="5">
        <f>_xlfn.XLOOKUP(tblSales[[#This Row],[Product Code]],tblProducts[Code],tblProducts[Selling Price (excl. VAT)],0)</f>
        <v>250000</v>
      </c>
      <c r="K5758" s="5">
        <f>tblSales[[#This Row],[Qty]]*tblSales[[#This Row],[Unit Price]]</f>
        <v>250000</v>
      </c>
      <c r="L5758" s="5">
        <f>ROUND(tblSales[[#This Row],[DPP (excl. VAT)]]*VATEff,0)</f>
        <v>27500</v>
      </c>
      <c r="M5758" s="5">
        <f>tblSales[[#This Row],[DPP (excl. VAT)]]+tblSales[[#This Row],[Output VAT]]</f>
        <v>277500</v>
      </c>
      <c r="N5758" s="5">
        <f>tblSales[[#This Row],[Qty]]*_xlfn.XLOOKUP(tblSales[[#This Row],[Product Code]],tblProducts[Code],tblProducts[Unit Cost],0)</f>
        <v>155000</v>
      </c>
      <c r="O5758" s="4" t="s">
        <v>4866</v>
      </c>
      <c r="P5758" s="4" t="s">
        <v>4860</v>
      </c>
      <c r="Q5758" s="1" t="str">
        <f>_xlfn.XLOOKUP(tblSales[[#This Row],[Channel Code]],tblChannels[Channel Code],tblChannels[Channel Name],"")</f>
        <v>In-store</v>
      </c>
      <c r="R5758" s="1">
        <f>MONTH(tblSales[[#This Row],[Date]])</f>
        <v>12</v>
      </c>
    </row>
    <row r="5759" spans="2:18" x14ac:dyDescent="0.35">
      <c r="B5759" s="113">
        <v>46367</v>
      </c>
      <c r="C5759" s="4" t="s">
        <v>3943</v>
      </c>
      <c r="D5759" s="4" t="s">
        <v>4568</v>
      </c>
      <c r="E5759" s="1" t="str">
        <f>_xlfn.XLOOKUP(tblSales[[#This Row],[Customer ID]],tblCustomers[Customer ID],tblCustomers[Customer Name],"⚠ Unknown")</f>
        <v>Walk-in Customer</v>
      </c>
      <c r="F5759" s="4" t="s">
        <v>7</v>
      </c>
      <c r="G5759" s="1" t="str">
        <f>_xlfn.XLOOKUP(tblSales[[#This Row],[Product Code]],tblProducts[Code],tblProducts[Product / Service Name],"⚠ Unknown")</f>
        <v>Premium Basic T-shirt</v>
      </c>
      <c r="H5759" s="1" t="str">
        <f>_xlfn.XLOOKUP(tblSales[[#This Row],[Product Code]],tblProducts[Code],tblProducts[Category],"")</f>
        <v>Accessories &amp; Basics</v>
      </c>
      <c r="I5759" s="4">
        <v>3</v>
      </c>
      <c r="J5759" s="5">
        <f>_xlfn.XLOOKUP(tblSales[[#This Row],[Product Code]],tblProducts[Code],tblProducts[Selling Price (excl. VAT)],0)</f>
        <v>65000</v>
      </c>
      <c r="K5759" s="5">
        <f>tblSales[[#This Row],[Qty]]*tblSales[[#This Row],[Unit Price]]</f>
        <v>195000</v>
      </c>
      <c r="L5759" s="5">
        <f>ROUND(tblSales[[#This Row],[DPP (excl. VAT)]]*VATEff,0)</f>
        <v>21450</v>
      </c>
      <c r="M5759" s="5">
        <f>tblSales[[#This Row],[DPP (excl. VAT)]]+tblSales[[#This Row],[Output VAT]]</f>
        <v>216450</v>
      </c>
      <c r="N5759" s="5">
        <f>tblSales[[#This Row],[Qty]]*_xlfn.XLOOKUP(tblSales[[#This Row],[Product Code]],tblProducts[Code],tblProducts[Unit Cost],0)</f>
        <v>111000</v>
      </c>
      <c r="O5759" s="4" t="s">
        <v>4866</v>
      </c>
      <c r="P5759" s="4" t="s">
        <v>4860</v>
      </c>
      <c r="Q5759" s="1" t="str">
        <f>_xlfn.XLOOKUP(tblSales[[#This Row],[Channel Code]],tblChannels[Channel Code],tblChannels[Channel Name],"")</f>
        <v>In-store</v>
      </c>
      <c r="R5759" s="1">
        <f>MONTH(tblSales[[#This Row],[Date]])</f>
        <v>12</v>
      </c>
    </row>
    <row r="5760" spans="2:18" x14ac:dyDescent="0.35">
      <c r="B5760" s="113">
        <v>46367</v>
      </c>
      <c r="C5760" s="4" t="s">
        <v>3943</v>
      </c>
      <c r="D5760" s="4" t="s">
        <v>4568</v>
      </c>
      <c r="E5760" s="1" t="str">
        <f>_xlfn.XLOOKUP(tblSales[[#This Row],[Customer ID]],tblCustomers[Customer ID],tblCustomers[Customer Name],"⚠ Unknown")</f>
        <v>Walk-in Customer</v>
      </c>
      <c r="F5760" s="4" t="s">
        <v>12</v>
      </c>
      <c r="G5760" s="1" t="str">
        <f>_xlfn.XLOOKUP(tblSales[[#This Row],[Product Code]],tblProducts[Code],tblProducts[Product / Service Name],"⚠ Unknown")</f>
        <v>Bomber Jacket</v>
      </c>
      <c r="H5760" s="1" t="str">
        <f>_xlfn.XLOOKUP(tblSales[[#This Row],[Product Code]],tblProducts[Code],tblProducts[Category],"")</f>
        <v>Apparel &amp; Footwear</v>
      </c>
      <c r="I5760" s="4">
        <v>3</v>
      </c>
      <c r="J5760" s="5">
        <f>_xlfn.XLOOKUP(tblSales[[#This Row],[Product Code]],tblProducts[Code],tblProducts[Selling Price (excl. VAT)],0)</f>
        <v>350000</v>
      </c>
      <c r="K5760" s="5">
        <f>tblSales[[#This Row],[Qty]]*tblSales[[#This Row],[Unit Price]]</f>
        <v>1050000</v>
      </c>
      <c r="L5760" s="5">
        <f>ROUND(tblSales[[#This Row],[DPP (excl. VAT)]]*VATEff,0)</f>
        <v>115500</v>
      </c>
      <c r="M5760" s="5">
        <f>tblSales[[#This Row],[DPP (excl. VAT)]]+tblSales[[#This Row],[Output VAT]]</f>
        <v>1165500</v>
      </c>
      <c r="N5760" s="5">
        <f>tblSales[[#This Row],[Qty]]*_xlfn.XLOOKUP(tblSales[[#This Row],[Product Code]],tblProducts[Code],tblProducts[Unit Cost],0)</f>
        <v>630000</v>
      </c>
      <c r="O5760" s="4" t="s">
        <v>4866</v>
      </c>
      <c r="P5760" s="4" t="s">
        <v>4860</v>
      </c>
      <c r="Q5760" s="1" t="str">
        <f>_xlfn.XLOOKUP(tblSales[[#This Row],[Channel Code]],tblChannels[Channel Code],tblChannels[Channel Name],"")</f>
        <v>In-store</v>
      </c>
      <c r="R5760" s="1">
        <f>MONTH(tblSales[[#This Row],[Date]])</f>
        <v>12</v>
      </c>
    </row>
    <row r="5761" spans="2:18" x14ac:dyDescent="0.35">
      <c r="B5761" s="113">
        <v>46367</v>
      </c>
      <c r="C5761" s="4" t="s">
        <v>3944</v>
      </c>
      <c r="D5761" s="4" t="s">
        <v>4568</v>
      </c>
      <c r="E5761" s="1" t="str">
        <f>_xlfn.XLOOKUP(tblSales[[#This Row],[Customer ID]],tblCustomers[Customer ID],tblCustomers[Customer Name],"⚠ Unknown")</f>
        <v>Walk-in Customer</v>
      </c>
      <c r="F5761" s="4" t="s">
        <v>6</v>
      </c>
      <c r="G5761" s="1" t="str">
        <f>_xlfn.XLOOKUP(tblSales[[#This Row],[Product Code]],tblProducts[Code],tblProducts[Product / Service Name],"⚠ Unknown")</f>
        <v>Socks &amp; Accessories</v>
      </c>
      <c r="H5761" s="1" t="str">
        <f>_xlfn.XLOOKUP(tblSales[[#This Row],[Product Code]],tblProducts[Code],tblProducts[Category],"")</f>
        <v>Accessories &amp; Basics</v>
      </c>
      <c r="I5761" s="4">
        <v>3</v>
      </c>
      <c r="J5761" s="5">
        <f>_xlfn.XLOOKUP(tblSales[[#This Row],[Product Code]],tblProducts[Code],tblProducts[Selling Price (excl. VAT)],0)</f>
        <v>45000</v>
      </c>
      <c r="K5761" s="5">
        <f>tblSales[[#This Row],[Qty]]*tblSales[[#This Row],[Unit Price]]</f>
        <v>135000</v>
      </c>
      <c r="L5761" s="5">
        <f>ROUND(tblSales[[#This Row],[DPP (excl. VAT)]]*VATEff,0)</f>
        <v>14850</v>
      </c>
      <c r="M5761" s="5">
        <f>tblSales[[#This Row],[DPP (excl. VAT)]]+tblSales[[#This Row],[Output VAT]]</f>
        <v>149850</v>
      </c>
      <c r="N5761" s="5">
        <f>tblSales[[#This Row],[Qty]]*_xlfn.XLOOKUP(tblSales[[#This Row],[Product Code]],tblProducts[Code],tblProducts[Unit Cost],0)</f>
        <v>72000</v>
      </c>
      <c r="O5761" s="4" t="s">
        <v>4866</v>
      </c>
      <c r="P5761" s="4" t="s">
        <v>4862</v>
      </c>
      <c r="Q5761" s="1" t="str">
        <f>_xlfn.XLOOKUP(tblSales[[#This Row],[Channel Code]],tblChannels[Channel Code],tblChannels[Channel Name],"")</f>
        <v>Website &amp; Social Media</v>
      </c>
      <c r="R5761" s="1">
        <f>MONTH(tblSales[[#This Row],[Date]])</f>
        <v>12</v>
      </c>
    </row>
    <row r="5762" spans="2:18" x14ac:dyDescent="0.35">
      <c r="B5762" s="113">
        <v>46367</v>
      </c>
      <c r="C5762" s="4" t="s">
        <v>3945</v>
      </c>
      <c r="D5762" s="4" t="s">
        <v>4634</v>
      </c>
      <c r="E5762" s="1" t="str">
        <f>_xlfn.XLOOKUP(tblSales[[#This Row],[Customer ID]],tblCustomers[Customer ID],tblCustomers[Customer Name],"⚠ Unknown")</f>
        <v>PT Delta Inti Selaras</v>
      </c>
      <c r="F5762" s="4" t="s">
        <v>6</v>
      </c>
      <c r="G5762" s="1" t="str">
        <f>_xlfn.XLOOKUP(tblSales[[#This Row],[Product Code]],tblProducts[Code],tblProducts[Product / Service Name],"⚠ Unknown")</f>
        <v>Socks &amp; Accessories</v>
      </c>
      <c r="H5762" s="1" t="str">
        <f>_xlfn.XLOOKUP(tblSales[[#This Row],[Product Code]],tblProducts[Code],tblProducts[Category],"")</f>
        <v>Accessories &amp; Basics</v>
      </c>
      <c r="I5762" s="4">
        <v>56</v>
      </c>
      <c r="J5762" s="5">
        <f>_xlfn.XLOOKUP(tblSales[[#This Row],[Product Code]],tblProducts[Code],tblProducts[Selling Price (excl. VAT)],0)</f>
        <v>45000</v>
      </c>
      <c r="K5762" s="5">
        <f>tblSales[[#This Row],[Qty]]*tblSales[[#This Row],[Unit Price]]</f>
        <v>2520000</v>
      </c>
      <c r="L5762" s="5">
        <f>ROUND(tblSales[[#This Row],[DPP (excl. VAT)]]*VATEff,0)</f>
        <v>277200</v>
      </c>
      <c r="M5762" s="5">
        <f>tblSales[[#This Row],[DPP (excl. VAT)]]+tblSales[[#This Row],[Output VAT]]</f>
        <v>2797200</v>
      </c>
      <c r="N5762" s="5">
        <f>tblSales[[#This Row],[Qty]]*_xlfn.XLOOKUP(tblSales[[#This Row],[Product Code]],tblProducts[Code],tblProducts[Unit Cost],0)</f>
        <v>1344000</v>
      </c>
      <c r="O5762" s="4" t="s">
        <v>4867</v>
      </c>
      <c r="P5762" s="4" t="s">
        <v>4860</v>
      </c>
      <c r="Q5762" s="1" t="str">
        <f>_xlfn.XLOOKUP(tblSales[[#This Row],[Channel Code]],tblChannels[Channel Code],tblChannels[Channel Name],"")</f>
        <v>In-store</v>
      </c>
      <c r="R5762" s="1">
        <f>MONTH(tblSales[[#This Row],[Date]])</f>
        <v>12</v>
      </c>
    </row>
    <row r="5763" spans="2:18" x14ac:dyDescent="0.35">
      <c r="B5763" s="113">
        <v>46368</v>
      </c>
      <c r="C5763" s="4" t="s">
        <v>3946</v>
      </c>
      <c r="D5763" s="4" t="s">
        <v>4568</v>
      </c>
      <c r="E5763" s="1" t="str">
        <f>_xlfn.XLOOKUP(tblSales[[#This Row],[Customer ID]],tblCustomers[Customer ID],tblCustomers[Customer Name],"⚠ Unknown")</f>
        <v>Walk-in Customer</v>
      </c>
      <c r="F5763" s="4" t="s">
        <v>6</v>
      </c>
      <c r="G5763" s="1" t="str">
        <f>_xlfn.XLOOKUP(tblSales[[#This Row],[Product Code]],tblProducts[Code],tblProducts[Product / Service Name],"⚠ Unknown")</f>
        <v>Socks &amp; Accessories</v>
      </c>
      <c r="H5763" s="1" t="str">
        <f>_xlfn.XLOOKUP(tblSales[[#This Row],[Product Code]],tblProducts[Code],tblProducts[Category],"")</f>
        <v>Accessories &amp; Basics</v>
      </c>
      <c r="I5763" s="4">
        <v>4</v>
      </c>
      <c r="J5763" s="5">
        <f>_xlfn.XLOOKUP(tblSales[[#This Row],[Product Code]],tblProducts[Code],tblProducts[Selling Price (excl. VAT)],0)</f>
        <v>45000</v>
      </c>
      <c r="K5763" s="5">
        <f>tblSales[[#This Row],[Qty]]*tblSales[[#This Row],[Unit Price]]</f>
        <v>180000</v>
      </c>
      <c r="L5763" s="5">
        <f>ROUND(tblSales[[#This Row],[DPP (excl. VAT)]]*VATEff,0)</f>
        <v>19800</v>
      </c>
      <c r="M5763" s="5">
        <f>tblSales[[#This Row],[DPP (excl. VAT)]]+tblSales[[#This Row],[Output VAT]]</f>
        <v>199800</v>
      </c>
      <c r="N5763" s="5">
        <f>tblSales[[#This Row],[Qty]]*_xlfn.XLOOKUP(tblSales[[#This Row],[Product Code]],tblProducts[Code],tblProducts[Unit Cost],0)</f>
        <v>96000</v>
      </c>
      <c r="O5763" s="4" t="s">
        <v>4866</v>
      </c>
      <c r="P5763" s="4" t="s">
        <v>4862</v>
      </c>
      <c r="Q5763" s="1" t="str">
        <f>_xlfn.XLOOKUP(tblSales[[#This Row],[Channel Code]],tblChannels[Channel Code],tblChannels[Channel Name],"")</f>
        <v>Website &amp; Social Media</v>
      </c>
      <c r="R5763" s="1">
        <f>MONTH(tblSales[[#This Row],[Date]])</f>
        <v>12</v>
      </c>
    </row>
    <row r="5764" spans="2:18" x14ac:dyDescent="0.35">
      <c r="B5764" s="113">
        <v>46368</v>
      </c>
      <c r="C5764" s="4" t="s">
        <v>3946</v>
      </c>
      <c r="D5764" s="4" t="s">
        <v>4568</v>
      </c>
      <c r="E5764" s="1" t="str">
        <f>_xlfn.XLOOKUP(tblSales[[#This Row],[Customer ID]],tblCustomers[Customer ID],tblCustomers[Customer Name],"⚠ Unknown")</f>
        <v>Walk-in Customer</v>
      </c>
      <c r="F5764" s="4" t="s">
        <v>15</v>
      </c>
      <c r="G5764" s="1" t="str">
        <f>_xlfn.XLOOKUP(tblSales[[#This Row],[Product Code]],tblProducts[Code],tblProducts[Product / Service Name],"⚠ Unknown")</f>
        <v>Wireless Earbuds Pro</v>
      </c>
      <c r="H5764" s="1" t="str">
        <f>_xlfn.XLOOKUP(tblSales[[#This Row],[Product Code]],tblProducts[Code],tblProducts[Category],"")</f>
        <v>Bags &amp; Gadgets</v>
      </c>
      <c r="I5764" s="4">
        <v>2</v>
      </c>
      <c r="J5764" s="5">
        <f>_xlfn.XLOOKUP(tblSales[[#This Row],[Product Code]],tblProducts[Code],tblProducts[Selling Price (excl. VAT)],0)</f>
        <v>1250000</v>
      </c>
      <c r="K5764" s="5">
        <f>tblSales[[#This Row],[Qty]]*tblSales[[#This Row],[Unit Price]]</f>
        <v>2500000</v>
      </c>
      <c r="L5764" s="5">
        <f>ROUND(tblSales[[#This Row],[DPP (excl. VAT)]]*VATEff,0)</f>
        <v>275000</v>
      </c>
      <c r="M5764" s="5">
        <f>tblSales[[#This Row],[DPP (excl. VAT)]]+tblSales[[#This Row],[Output VAT]]</f>
        <v>2775000</v>
      </c>
      <c r="N5764" s="5">
        <f>tblSales[[#This Row],[Qty]]*_xlfn.XLOOKUP(tblSales[[#This Row],[Product Code]],tblProducts[Code],tblProducts[Unit Cost],0)</f>
        <v>1640000</v>
      </c>
      <c r="O5764" s="4" t="s">
        <v>4866</v>
      </c>
      <c r="P5764" s="4" t="s">
        <v>4862</v>
      </c>
      <c r="Q5764" s="1" t="str">
        <f>_xlfn.XLOOKUP(tblSales[[#This Row],[Channel Code]],tblChannels[Channel Code],tblChannels[Channel Name],"")</f>
        <v>Website &amp; Social Media</v>
      </c>
      <c r="R5764" s="1">
        <f>MONTH(tblSales[[#This Row],[Date]])</f>
        <v>12</v>
      </c>
    </row>
    <row r="5765" spans="2:18" x14ac:dyDescent="0.35">
      <c r="B5765" s="113">
        <v>46368</v>
      </c>
      <c r="C5765" s="4" t="s">
        <v>3947</v>
      </c>
      <c r="D5765" s="4" t="s">
        <v>4568</v>
      </c>
      <c r="E5765" s="1" t="str">
        <f>_xlfn.XLOOKUP(tblSales[[#This Row],[Customer ID]],tblCustomers[Customer ID],tblCustomers[Customer Name],"⚠ Unknown")</f>
        <v>Walk-in Customer</v>
      </c>
      <c r="F5765" s="4" t="s">
        <v>13</v>
      </c>
      <c r="G5765" s="1" t="str">
        <f>_xlfn.XLOOKUP(tblSales[[#This Row],[Product Code]],tblProducts[Code],tblProducts[Product / Service Name],"⚠ Unknown")</f>
        <v>Backpack</v>
      </c>
      <c r="H5765" s="1" t="str">
        <f>_xlfn.XLOOKUP(tblSales[[#This Row],[Product Code]],tblProducts[Code],tblProducts[Category],"")</f>
        <v>Bags &amp; Gadgets</v>
      </c>
      <c r="I5765" s="4">
        <v>2</v>
      </c>
      <c r="J5765" s="5">
        <f>_xlfn.XLOOKUP(tblSales[[#This Row],[Product Code]],tblProducts[Code],tblProducts[Selling Price (excl. VAT)],0)</f>
        <v>500000</v>
      </c>
      <c r="K5765" s="5">
        <f>tblSales[[#This Row],[Qty]]*tblSales[[#This Row],[Unit Price]]</f>
        <v>1000000</v>
      </c>
      <c r="L5765" s="5">
        <f>ROUND(tblSales[[#This Row],[DPP (excl. VAT)]]*VATEff,0)</f>
        <v>110000</v>
      </c>
      <c r="M5765" s="5">
        <f>tblSales[[#This Row],[DPP (excl. VAT)]]+tblSales[[#This Row],[Output VAT]]</f>
        <v>1110000</v>
      </c>
      <c r="N5765" s="5">
        <f>tblSales[[#This Row],[Qty]]*_xlfn.XLOOKUP(tblSales[[#This Row],[Product Code]],tblProducts[Code],tblProducts[Unit Cost],0)</f>
        <v>580000</v>
      </c>
      <c r="O5765" s="4" t="s">
        <v>4865</v>
      </c>
      <c r="P5765" s="4" t="s">
        <v>4860</v>
      </c>
      <c r="Q5765" s="1" t="str">
        <f>_xlfn.XLOOKUP(tblSales[[#This Row],[Channel Code]],tblChannels[Channel Code],tblChannels[Channel Name],"")</f>
        <v>In-store</v>
      </c>
      <c r="R5765" s="1">
        <f>MONTH(tblSales[[#This Row],[Date]])</f>
        <v>12</v>
      </c>
    </row>
    <row r="5766" spans="2:18" x14ac:dyDescent="0.35">
      <c r="B5766" s="113">
        <v>46368</v>
      </c>
      <c r="C5766" s="4" t="s">
        <v>3947</v>
      </c>
      <c r="D5766" s="4" t="s">
        <v>4568</v>
      </c>
      <c r="E5766" s="1" t="str">
        <f>_xlfn.XLOOKUP(tblSales[[#This Row],[Customer ID]],tblCustomers[Customer ID],tblCustomers[Customer Name],"⚠ Unknown")</f>
        <v>Walk-in Customer</v>
      </c>
      <c r="F5766" s="4" t="s">
        <v>14</v>
      </c>
      <c r="G5766" s="1" t="str">
        <f>_xlfn.XLOOKUP(tblSales[[#This Row],[Product Code]],tblProducts[Code],tblProducts[Product / Service Name],"⚠ Unknown")</f>
        <v>Smartwatch</v>
      </c>
      <c r="H5766" s="1" t="str">
        <f>_xlfn.XLOOKUP(tblSales[[#This Row],[Product Code]],tblProducts[Code],tblProducts[Category],"")</f>
        <v>Bags &amp; Gadgets</v>
      </c>
      <c r="I5766" s="4">
        <v>1</v>
      </c>
      <c r="J5766" s="5">
        <f>_xlfn.XLOOKUP(tblSales[[#This Row],[Product Code]],tblProducts[Code],tblProducts[Selling Price (excl. VAT)],0)</f>
        <v>850000</v>
      </c>
      <c r="K5766" s="5">
        <f>tblSales[[#This Row],[Qty]]*tblSales[[#This Row],[Unit Price]]</f>
        <v>850000</v>
      </c>
      <c r="L5766" s="5">
        <f>ROUND(tblSales[[#This Row],[DPP (excl. VAT)]]*VATEff,0)</f>
        <v>93500</v>
      </c>
      <c r="M5766" s="5">
        <f>tblSales[[#This Row],[DPP (excl. VAT)]]+tblSales[[#This Row],[Output VAT]]</f>
        <v>943500</v>
      </c>
      <c r="N5766" s="5">
        <f>tblSales[[#This Row],[Qty]]*_xlfn.XLOOKUP(tblSales[[#This Row],[Product Code]],tblProducts[Code],tblProducts[Unit Cost],0)</f>
        <v>560000</v>
      </c>
      <c r="O5766" s="4" t="s">
        <v>4865</v>
      </c>
      <c r="P5766" s="4" t="s">
        <v>4860</v>
      </c>
      <c r="Q5766" s="1" t="str">
        <f>_xlfn.XLOOKUP(tblSales[[#This Row],[Channel Code]],tblChannels[Channel Code],tblChannels[Channel Name],"")</f>
        <v>In-store</v>
      </c>
      <c r="R5766" s="1">
        <f>MONTH(tblSales[[#This Row],[Date]])</f>
        <v>12</v>
      </c>
    </row>
    <row r="5767" spans="2:18" x14ac:dyDescent="0.35">
      <c r="B5767" s="113">
        <v>46368</v>
      </c>
      <c r="C5767" s="4" t="s">
        <v>3948</v>
      </c>
      <c r="D5767" s="4" t="s">
        <v>4613</v>
      </c>
      <c r="E5767" s="1" t="str">
        <f>_xlfn.XLOOKUP(tblSales[[#This Row],[Customer ID]],tblCustomers[Customer ID],tblCustomers[Customer Name],"⚠ Unknown")</f>
        <v>PT Mega Prima Distribusi</v>
      </c>
      <c r="F5767" s="4" t="s">
        <v>11</v>
      </c>
      <c r="G5767" s="1" t="str">
        <f>_xlfn.XLOOKUP(tblSales[[#This Row],[Product Code]],tblProducts[Code],tblProducts[Product / Service Name],"⚠ Unknown")</f>
        <v>Sneakers</v>
      </c>
      <c r="H5767" s="1" t="str">
        <f>_xlfn.XLOOKUP(tblSales[[#This Row],[Product Code]],tblProducts[Code],tblProducts[Category],"")</f>
        <v>Apparel &amp; Footwear</v>
      </c>
      <c r="I5767" s="4">
        <v>16</v>
      </c>
      <c r="J5767" s="5">
        <f>_xlfn.XLOOKUP(tblSales[[#This Row],[Product Code]],tblProducts[Code],tblProducts[Selling Price (excl. VAT)],0)</f>
        <v>250000</v>
      </c>
      <c r="K5767" s="5">
        <f>tblSales[[#This Row],[Qty]]*tblSales[[#This Row],[Unit Price]]</f>
        <v>4000000</v>
      </c>
      <c r="L5767" s="5">
        <f>ROUND(tblSales[[#This Row],[DPP (excl. VAT)]]*VATEff,0)</f>
        <v>440000</v>
      </c>
      <c r="M5767" s="5">
        <f>tblSales[[#This Row],[DPP (excl. VAT)]]+tblSales[[#This Row],[Output VAT]]</f>
        <v>4440000</v>
      </c>
      <c r="N5767" s="5">
        <f>tblSales[[#This Row],[Qty]]*_xlfn.XLOOKUP(tblSales[[#This Row],[Product Code]],tblProducts[Code],tblProducts[Unit Cost],0)</f>
        <v>2480000</v>
      </c>
      <c r="O5767" s="4" t="s">
        <v>4867</v>
      </c>
      <c r="P5767" s="4" t="s">
        <v>4860</v>
      </c>
      <c r="Q5767" s="1" t="str">
        <f>_xlfn.XLOOKUP(tblSales[[#This Row],[Channel Code]],tblChannels[Channel Code],tblChannels[Channel Name],"")</f>
        <v>In-store</v>
      </c>
      <c r="R5767" s="1">
        <f>MONTH(tblSales[[#This Row],[Date]])</f>
        <v>12</v>
      </c>
    </row>
    <row r="5768" spans="2:18" x14ac:dyDescent="0.35">
      <c r="B5768" s="113">
        <v>46368</v>
      </c>
      <c r="C5768" s="4" t="s">
        <v>3949</v>
      </c>
      <c r="D5768" s="4" t="s">
        <v>4568</v>
      </c>
      <c r="E5768" s="1" t="str">
        <f>_xlfn.XLOOKUP(tblSales[[#This Row],[Customer ID]],tblCustomers[Customer ID],tblCustomers[Customer Name],"⚠ Unknown")</f>
        <v>Walk-in Customer</v>
      </c>
      <c r="F5768" s="4" t="s">
        <v>7</v>
      </c>
      <c r="G5768" s="1" t="str">
        <f>_xlfn.XLOOKUP(tblSales[[#This Row],[Product Code]],tblProducts[Code],tblProducts[Product / Service Name],"⚠ Unknown")</f>
        <v>Premium Basic T-shirt</v>
      </c>
      <c r="H5768" s="1" t="str">
        <f>_xlfn.XLOOKUP(tblSales[[#This Row],[Product Code]],tblProducts[Code],tblProducts[Category],"")</f>
        <v>Accessories &amp; Basics</v>
      </c>
      <c r="I5768" s="4">
        <v>3</v>
      </c>
      <c r="J5768" s="5">
        <f>_xlfn.XLOOKUP(tblSales[[#This Row],[Product Code]],tblProducts[Code],tblProducts[Selling Price (excl. VAT)],0)</f>
        <v>65000</v>
      </c>
      <c r="K5768" s="5">
        <f>tblSales[[#This Row],[Qty]]*tblSales[[#This Row],[Unit Price]]</f>
        <v>195000</v>
      </c>
      <c r="L5768" s="5">
        <f>ROUND(tblSales[[#This Row],[DPP (excl. VAT)]]*VATEff,0)</f>
        <v>21450</v>
      </c>
      <c r="M5768" s="5">
        <f>tblSales[[#This Row],[DPP (excl. VAT)]]+tblSales[[#This Row],[Output VAT]]</f>
        <v>216450</v>
      </c>
      <c r="N5768" s="5">
        <f>tblSales[[#This Row],[Qty]]*_xlfn.XLOOKUP(tblSales[[#This Row],[Product Code]],tblProducts[Code],tblProducts[Unit Cost],0)</f>
        <v>111000</v>
      </c>
      <c r="O5768" s="4" t="s">
        <v>4866</v>
      </c>
      <c r="P5768" s="4" t="s">
        <v>4861</v>
      </c>
      <c r="Q5768" s="1" t="str">
        <f>_xlfn.XLOOKUP(tblSales[[#This Row],[Channel Code]],tblChannels[Channel Code],tblChannels[Channel Name],"")</f>
        <v>Marketplace</v>
      </c>
      <c r="R5768" s="1">
        <f>MONTH(tblSales[[#This Row],[Date]])</f>
        <v>12</v>
      </c>
    </row>
    <row r="5769" spans="2:18" x14ac:dyDescent="0.35">
      <c r="B5769" s="113">
        <v>46368</v>
      </c>
      <c r="C5769" s="4" t="s">
        <v>3950</v>
      </c>
      <c r="D5769" s="4" t="s">
        <v>4568</v>
      </c>
      <c r="E5769" s="1" t="str">
        <f>_xlfn.XLOOKUP(tblSales[[#This Row],[Customer ID]],tblCustomers[Customer ID],tblCustomers[Customer Name],"⚠ Unknown")</f>
        <v>Walk-in Customer</v>
      </c>
      <c r="F5769" s="4" t="s">
        <v>15</v>
      </c>
      <c r="G5769" s="1" t="str">
        <f>_xlfn.XLOOKUP(tblSales[[#This Row],[Product Code]],tblProducts[Code],tblProducts[Product / Service Name],"⚠ Unknown")</f>
        <v>Wireless Earbuds Pro</v>
      </c>
      <c r="H5769" s="1" t="str">
        <f>_xlfn.XLOOKUP(tblSales[[#This Row],[Product Code]],tblProducts[Code],tblProducts[Category],"")</f>
        <v>Bags &amp; Gadgets</v>
      </c>
      <c r="I5769" s="4">
        <v>1</v>
      </c>
      <c r="J5769" s="5">
        <f>_xlfn.XLOOKUP(tblSales[[#This Row],[Product Code]],tblProducts[Code],tblProducts[Selling Price (excl. VAT)],0)</f>
        <v>1250000</v>
      </c>
      <c r="K5769" s="5">
        <f>tblSales[[#This Row],[Qty]]*tblSales[[#This Row],[Unit Price]]</f>
        <v>1250000</v>
      </c>
      <c r="L5769" s="5">
        <f>ROUND(tblSales[[#This Row],[DPP (excl. VAT)]]*VATEff,0)</f>
        <v>137500</v>
      </c>
      <c r="M5769" s="5">
        <f>tblSales[[#This Row],[DPP (excl. VAT)]]+tblSales[[#This Row],[Output VAT]]</f>
        <v>1387500</v>
      </c>
      <c r="N5769" s="5">
        <f>tblSales[[#This Row],[Qty]]*_xlfn.XLOOKUP(tblSales[[#This Row],[Product Code]],tblProducts[Code],tblProducts[Unit Cost],0)</f>
        <v>820000</v>
      </c>
      <c r="O5769" s="4" t="s">
        <v>4865</v>
      </c>
      <c r="P5769" s="4" t="s">
        <v>4860</v>
      </c>
      <c r="Q5769" s="1" t="str">
        <f>_xlfn.XLOOKUP(tblSales[[#This Row],[Channel Code]],tblChannels[Channel Code],tblChannels[Channel Name],"")</f>
        <v>In-store</v>
      </c>
      <c r="R5769" s="1">
        <f>MONTH(tblSales[[#This Row],[Date]])</f>
        <v>12</v>
      </c>
    </row>
    <row r="5770" spans="2:18" x14ac:dyDescent="0.35">
      <c r="B5770" s="113">
        <v>46368</v>
      </c>
      <c r="C5770" s="4" t="s">
        <v>3951</v>
      </c>
      <c r="D5770" s="4" t="s">
        <v>4568</v>
      </c>
      <c r="E5770" s="1" t="str">
        <f>_xlfn.XLOOKUP(tblSales[[#This Row],[Customer ID]],tblCustomers[Customer ID],tblCustomers[Customer Name],"⚠ Unknown")</f>
        <v>Walk-in Customer</v>
      </c>
      <c r="F5770" s="4" t="s">
        <v>6</v>
      </c>
      <c r="G5770" s="1" t="str">
        <f>_xlfn.XLOOKUP(tblSales[[#This Row],[Product Code]],tblProducts[Code],tblProducts[Product / Service Name],"⚠ Unknown")</f>
        <v>Socks &amp; Accessories</v>
      </c>
      <c r="H5770" s="1" t="str">
        <f>_xlfn.XLOOKUP(tblSales[[#This Row],[Product Code]],tblProducts[Code],tblProducts[Category],"")</f>
        <v>Accessories &amp; Basics</v>
      </c>
      <c r="I5770" s="4">
        <v>1</v>
      </c>
      <c r="J5770" s="5">
        <f>_xlfn.XLOOKUP(tblSales[[#This Row],[Product Code]],tblProducts[Code],tblProducts[Selling Price (excl. VAT)],0)</f>
        <v>45000</v>
      </c>
      <c r="K5770" s="5">
        <f>tblSales[[#This Row],[Qty]]*tblSales[[#This Row],[Unit Price]]</f>
        <v>45000</v>
      </c>
      <c r="L5770" s="5">
        <f>ROUND(tblSales[[#This Row],[DPP (excl. VAT)]]*VATEff,0)</f>
        <v>4950</v>
      </c>
      <c r="M5770" s="5">
        <f>tblSales[[#This Row],[DPP (excl. VAT)]]+tblSales[[#This Row],[Output VAT]]</f>
        <v>49950</v>
      </c>
      <c r="N5770" s="5">
        <f>tblSales[[#This Row],[Qty]]*_xlfn.XLOOKUP(tblSales[[#This Row],[Product Code]],tblProducts[Code],tblProducts[Unit Cost],0)</f>
        <v>24000</v>
      </c>
      <c r="O5770" s="4" t="s">
        <v>4865</v>
      </c>
      <c r="P5770" s="4" t="s">
        <v>4860</v>
      </c>
      <c r="Q5770" s="1" t="str">
        <f>_xlfn.XLOOKUP(tblSales[[#This Row],[Channel Code]],tblChannels[Channel Code],tblChannels[Channel Name],"")</f>
        <v>In-store</v>
      </c>
      <c r="R5770" s="1">
        <f>MONTH(tblSales[[#This Row],[Date]])</f>
        <v>12</v>
      </c>
    </row>
    <row r="5771" spans="2:18" x14ac:dyDescent="0.35">
      <c r="B5771" s="113">
        <v>46368</v>
      </c>
      <c r="C5771" s="4" t="s">
        <v>3952</v>
      </c>
      <c r="D5771" s="4" t="s">
        <v>4568</v>
      </c>
      <c r="E5771" s="1" t="str">
        <f>_xlfn.XLOOKUP(tblSales[[#This Row],[Customer ID]],tblCustomers[Customer ID],tblCustomers[Customer Name],"⚠ Unknown")</f>
        <v>Walk-in Customer</v>
      </c>
      <c r="F5771" s="4" t="s">
        <v>9</v>
      </c>
      <c r="G5771" s="1" t="str">
        <f>_xlfn.XLOOKUP(tblSales[[#This Row],[Product Code]],tblProducts[Code],tblProducts[Product / Service Name],"⚠ Unknown")</f>
        <v>Casual Shirt</v>
      </c>
      <c r="H5771" s="1" t="str">
        <f>_xlfn.XLOOKUP(tblSales[[#This Row],[Product Code]],tblProducts[Code],tblProducts[Category],"")</f>
        <v>Apparel &amp; Footwear</v>
      </c>
      <c r="I5771" s="4">
        <v>11</v>
      </c>
      <c r="J5771" s="5">
        <f>_xlfn.XLOOKUP(tblSales[[#This Row],[Product Code]],tblProducts[Code],tblProducts[Selling Price (excl. VAT)],0)</f>
        <v>120000</v>
      </c>
      <c r="K5771" s="5">
        <f>tblSales[[#This Row],[Qty]]*tblSales[[#This Row],[Unit Price]]</f>
        <v>1320000</v>
      </c>
      <c r="L5771" s="5">
        <f>ROUND(tblSales[[#This Row],[DPP (excl. VAT)]]*VATEff,0)</f>
        <v>145200</v>
      </c>
      <c r="M5771" s="5">
        <f>tblSales[[#This Row],[DPP (excl. VAT)]]+tblSales[[#This Row],[Output VAT]]</f>
        <v>1465200</v>
      </c>
      <c r="N5771" s="5">
        <f>tblSales[[#This Row],[Qty]]*_xlfn.XLOOKUP(tblSales[[#This Row],[Product Code]],tblProducts[Code],tblProducts[Unit Cost],0)</f>
        <v>792000</v>
      </c>
      <c r="O5771" s="4" t="s">
        <v>4865</v>
      </c>
      <c r="P5771" s="4" t="s">
        <v>4860</v>
      </c>
      <c r="Q5771" s="1" t="str">
        <f>_xlfn.XLOOKUP(tblSales[[#This Row],[Channel Code]],tblChannels[Channel Code],tblChannels[Channel Name],"")</f>
        <v>In-store</v>
      </c>
      <c r="R5771" s="1">
        <f>MONTH(tblSales[[#This Row],[Date]])</f>
        <v>12</v>
      </c>
    </row>
    <row r="5772" spans="2:18" x14ac:dyDescent="0.35">
      <c r="B5772" s="113">
        <v>46368</v>
      </c>
      <c r="C5772" s="4" t="s">
        <v>3953</v>
      </c>
      <c r="D5772" s="4" t="s">
        <v>4568</v>
      </c>
      <c r="E5772" s="1" t="str">
        <f>_xlfn.XLOOKUP(tblSales[[#This Row],[Customer ID]],tblCustomers[Customer ID],tblCustomers[Customer Name],"⚠ Unknown")</f>
        <v>Walk-in Customer</v>
      </c>
      <c r="F5772" s="4" t="s">
        <v>8</v>
      </c>
      <c r="G5772" s="1" t="str">
        <f>_xlfn.XLOOKUP(tblSales[[#This Row],[Product Code]],tblProducts[Code],tblProducts[Product / Service Name],"⚠ Unknown")</f>
        <v>Casual Shorts</v>
      </c>
      <c r="H5772" s="1" t="str">
        <f>_xlfn.XLOOKUP(tblSales[[#This Row],[Product Code]],tblProducts[Code],tblProducts[Category],"")</f>
        <v>Accessories &amp; Basics</v>
      </c>
      <c r="I5772" s="4">
        <v>1</v>
      </c>
      <c r="J5772" s="5">
        <f>_xlfn.XLOOKUP(tblSales[[#This Row],[Product Code]],tblProducts[Code],tblProducts[Selling Price (excl. VAT)],0)</f>
        <v>85000</v>
      </c>
      <c r="K5772" s="5">
        <f>tblSales[[#This Row],[Qty]]*tblSales[[#This Row],[Unit Price]]</f>
        <v>85000</v>
      </c>
      <c r="L5772" s="5">
        <f>ROUND(tblSales[[#This Row],[DPP (excl. VAT)]]*VATEff,0)</f>
        <v>9350</v>
      </c>
      <c r="M5772" s="5">
        <f>tblSales[[#This Row],[DPP (excl. VAT)]]+tblSales[[#This Row],[Output VAT]]</f>
        <v>94350</v>
      </c>
      <c r="N5772" s="5">
        <f>tblSales[[#This Row],[Qty]]*_xlfn.XLOOKUP(tblSales[[#This Row],[Product Code]],tblProducts[Code],tblProducts[Unit Cost],0)</f>
        <v>50000</v>
      </c>
      <c r="O5772" s="4" t="s">
        <v>4866</v>
      </c>
      <c r="P5772" s="4" t="s">
        <v>4861</v>
      </c>
      <c r="Q5772" s="1" t="str">
        <f>_xlfn.XLOOKUP(tblSales[[#This Row],[Channel Code]],tblChannels[Channel Code],tblChannels[Channel Name],"")</f>
        <v>Marketplace</v>
      </c>
      <c r="R5772" s="1">
        <f>MONTH(tblSales[[#This Row],[Date]])</f>
        <v>12</v>
      </c>
    </row>
    <row r="5773" spans="2:18" x14ac:dyDescent="0.35">
      <c r="B5773" s="113">
        <v>46368</v>
      </c>
      <c r="C5773" s="4" t="s">
        <v>3954</v>
      </c>
      <c r="D5773" s="4" t="s">
        <v>4568</v>
      </c>
      <c r="E5773" s="1" t="str">
        <f>_xlfn.XLOOKUP(tblSales[[#This Row],[Customer ID]],tblCustomers[Customer ID],tblCustomers[Customer Name],"⚠ Unknown")</f>
        <v>Walk-in Customer</v>
      </c>
      <c r="F5773" s="4" t="s">
        <v>11</v>
      </c>
      <c r="G5773" s="1" t="str">
        <f>_xlfn.XLOOKUP(tblSales[[#This Row],[Product Code]],tblProducts[Code],tblProducts[Product / Service Name],"⚠ Unknown")</f>
        <v>Sneakers</v>
      </c>
      <c r="H5773" s="1" t="str">
        <f>_xlfn.XLOOKUP(tblSales[[#This Row],[Product Code]],tblProducts[Code],tblProducts[Category],"")</f>
        <v>Apparel &amp; Footwear</v>
      </c>
      <c r="I5773" s="4">
        <v>5</v>
      </c>
      <c r="J5773" s="5">
        <f>_xlfn.XLOOKUP(tblSales[[#This Row],[Product Code]],tblProducts[Code],tblProducts[Selling Price (excl. VAT)],0)</f>
        <v>250000</v>
      </c>
      <c r="K5773" s="5">
        <f>tblSales[[#This Row],[Qty]]*tblSales[[#This Row],[Unit Price]]</f>
        <v>1250000</v>
      </c>
      <c r="L5773" s="5">
        <f>ROUND(tblSales[[#This Row],[DPP (excl. VAT)]]*VATEff,0)</f>
        <v>137500</v>
      </c>
      <c r="M5773" s="5">
        <f>tblSales[[#This Row],[DPP (excl. VAT)]]+tblSales[[#This Row],[Output VAT]]</f>
        <v>1387500</v>
      </c>
      <c r="N5773" s="5">
        <f>tblSales[[#This Row],[Qty]]*_xlfn.XLOOKUP(tblSales[[#This Row],[Product Code]],tblProducts[Code],tblProducts[Unit Cost],0)</f>
        <v>775000</v>
      </c>
      <c r="O5773" s="4" t="s">
        <v>4865</v>
      </c>
      <c r="P5773" s="4" t="s">
        <v>4860</v>
      </c>
      <c r="Q5773" s="1" t="str">
        <f>_xlfn.XLOOKUP(tblSales[[#This Row],[Channel Code]],tblChannels[Channel Code],tblChannels[Channel Name],"")</f>
        <v>In-store</v>
      </c>
      <c r="R5773" s="1">
        <f>MONTH(tblSales[[#This Row],[Date]])</f>
        <v>12</v>
      </c>
    </row>
    <row r="5774" spans="2:18" x14ac:dyDescent="0.35">
      <c r="B5774" s="113">
        <v>46368</v>
      </c>
      <c r="C5774" s="4" t="s">
        <v>3955</v>
      </c>
      <c r="D5774" s="4" t="s">
        <v>4613</v>
      </c>
      <c r="E5774" s="1" t="str">
        <f>_xlfn.XLOOKUP(tblSales[[#This Row],[Customer ID]],tblCustomers[Customer ID],tblCustomers[Customer Name],"⚠ Unknown")</f>
        <v>PT Mega Prima Distribusi</v>
      </c>
      <c r="F5774" s="4" t="s">
        <v>9</v>
      </c>
      <c r="G5774" s="1" t="str">
        <f>_xlfn.XLOOKUP(tblSales[[#This Row],[Product Code]],tblProducts[Code],tblProducts[Product / Service Name],"⚠ Unknown")</f>
        <v>Casual Shirt</v>
      </c>
      <c r="H5774" s="1" t="str">
        <f>_xlfn.XLOOKUP(tblSales[[#This Row],[Product Code]],tblProducts[Code],tblProducts[Category],"")</f>
        <v>Apparel &amp; Footwear</v>
      </c>
      <c r="I5774" s="4">
        <v>56</v>
      </c>
      <c r="J5774" s="5">
        <f>_xlfn.XLOOKUP(tblSales[[#This Row],[Product Code]],tblProducts[Code],tblProducts[Selling Price (excl. VAT)],0)</f>
        <v>120000</v>
      </c>
      <c r="K5774" s="5">
        <f>tblSales[[#This Row],[Qty]]*tblSales[[#This Row],[Unit Price]]</f>
        <v>6720000</v>
      </c>
      <c r="L5774" s="5">
        <f>ROUND(tblSales[[#This Row],[DPP (excl. VAT)]]*VATEff,0)</f>
        <v>739200</v>
      </c>
      <c r="M5774" s="5">
        <f>tblSales[[#This Row],[DPP (excl. VAT)]]+tblSales[[#This Row],[Output VAT]]</f>
        <v>7459200</v>
      </c>
      <c r="N5774" s="5">
        <f>tblSales[[#This Row],[Qty]]*_xlfn.XLOOKUP(tblSales[[#This Row],[Product Code]],tblProducts[Code],tblProducts[Unit Cost],0)</f>
        <v>4032000</v>
      </c>
      <c r="O5774" s="4" t="s">
        <v>4867</v>
      </c>
      <c r="P5774" s="4" t="s">
        <v>4862</v>
      </c>
      <c r="Q5774" s="1" t="str">
        <f>_xlfn.XLOOKUP(tblSales[[#This Row],[Channel Code]],tblChannels[Channel Code],tblChannels[Channel Name],"")</f>
        <v>Website &amp; Social Media</v>
      </c>
      <c r="R5774" s="1">
        <f>MONTH(tblSales[[#This Row],[Date]])</f>
        <v>12</v>
      </c>
    </row>
    <row r="5775" spans="2:18" x14ac:dyDescent="0.35">
      <c r="B5775" s="113">
        <v>46368</v>
      </c>
      <c r="C5775" s="4" t="s">
        <v>3956</v>
      </c>
      <c r="D5775" s="4" t="s">
        <v>4568</v>
      </c>
      <c r="E5775" s="1" t="str">
        <f>_xlfn.XLOOKUP(tblSales[[#This Row],[Customer ID]],tblCustomers[Customer ID],tblCustomers[Customer Name],"⚠ Unknown")</f>
        <v>Walk-in Customer</v>
      </c>
      <c r="F5775" s="4" t="s">
        <v>8</v>
      </c>
      <c r="G5775" s="1" t="str">
        <f>_xlfn.XLOOKUP(tblSales[[#This Row],[Product Code]],tblProducts[Code],tblProducts[Product / Service Name],"⚠ Unknown")</f>
        <v>Casual Shorts</v>
      </c>
      <c r="H5775" s="1" t="str">
        <f>_xlfn.XLOOKUP(tblSales[[#This Row],[Product Code]],tblProducts[Code],tblProducts[Category],"")</f>
        <v>Accessories &amp; Basics</v>
      </c>
      <c r="I5775" s="4">
        <v>4</v>
      </c>
      <c r="J5775" s="5">
        <f>_xlfn.XLOOKUP(tblSales[[#This Row],[Product Code]],tblProducts[Code],tblProducts[Selling Price (excl. VAT)],0)</f>
        <v>85000</v>
      </c>
      <c r="K5775" s="5">
        <f>tblSales[[#This Row],[Qty]]*tblSales[[#This Row],[Unit Price]]</f>
        <v>340000</v>
      </c>
      <c r="L5775" s="5">
        <f>ROUND(tblSales[[#This Row],[DPP (excl. VAT)]]*VATEff,0)</f>
        <v>37400</v>
      </c>
      <c r="M5775" s="5">
        <f>tblSales[[#This Row],[DPP (excl. VAT)]]+tblSales[[#This Row],[Output VAT]]</f>
        <v>377400</v>
      </c>
      <c r="N5775" s="5">
        <f>tblSales[[#This Row],[Qty]]*_xlfn.XLOOKUP(tblSales[[#This Row],[Product Code]],tblProducts[Code],tblProducts[Unit Cost],0)</f>
        <v>200000</v>
      </c>
      <c r="O5775" s="4" t="s">
        <v>4865</v>
      </c>
      <c r="P5775" s="4" t="s">
        <v>4860</v>
      </c>
      <c r="Q5775" s="1" t="str">
        <f>_xlfn.XLOOKUP(tblSales[[#This Row],[Channel Code]],tblChannels[Channel Code],tblChannels[Channel Name],"")</f>
        <v>In-store</v>
      </c>
      <c r="R5775" s="1">
        <f>MONTH(tblSales[[#This Row],[Date]])</f>
        <v>12</v>
      </c>
    </row>
    <row r="5776" spans="2:18" x14ac:dyDescent="0.35">
      <c r="B5776" s="113">
        <v>46368</v>
      </c>
      <c r="C5776" s="4" t="s">
        <v>3957</v>
      </c>
      <c r="D5776" s="4" t="s">
        <v>4568</v>
      </c>
      <c r="E5776" s="1" t="str">
        <f>_xlfn.XLOOKUP(tblSales[[#This Row],[Customer ID]],tblCustomers[Customer ID],tblCustomers[Customer Name],"⚠ Unknown")</f>
        <v>Walk-in Customer</v>
      </c>
      <c r="F5776" s="4" t="s">
        <v>13</v>
      </c>
      <c r="G5776" s="1" t="str">
        <f>_xlfn.XLOOKUP(tblSales[[#This Row],[Product Code]],tblProducts[Code],tblProducts[Product / Service Name],"⚠ Unknown")</f>
        <v>Backpack</v>
      </c>
      <c r="H5776" s="1" t="str">
        <f>_xlfn.XLOOKUP(tblSales[[#This Row],[Product Code]],tblProducts[Code],tblProducts[Category],"")</f>
        <v>Bags &amp; Gadgets</v>
      </c>
      <c r="I5776" s="4">
        <v>5</v>
      </c>
      <c r="J5776" s="5">
        <f>_xlfn.XLOOKUP(tblSales[[#This Row],[Product Code]],tblProducts[Code],tblProducts[Selling Price (excl. VAT)],0)</f>
        <v>500000</v>
      </c>
      <c r="K5776" s="5">
        <f>tblSales[[#This Row],[Qty]]*tblSales[[#This Row],[Unit Price]]</f>
        <v>2500000</v>
      </c>
      <c r="L5776" s="5">
        <f>ROUND(tblSales[[#This Row],[DPP (excl. VAT)]]*VATEff,0)</f>
        <v>275000</v>
      </c>
      <c r="M5776" s="5">
        <f>tblSales[[#This Row],[DPP (excl. VAT)]]+tblSales[[#This Row],[Output VAT]]</f>
        <v>2775000</v>
      </c>
      <c r="N5776" s="5">
        <f>tblSales[[#This Row],[Qty]]*_xlfn.XLOOKUP(tblSales[[#This Row],[Product Code]],tblProducts[Code],tblProducts[Unit Cost],0)</f>
        <v>1450000</v>
      </c>
      <c r="O5776" s="4" t="s">
        <v>4866</v>
      </c>
      <c r="P5776" s="4" t="s">
        <v>4860</v>
      </c>
      <c r="Q5776" s="1" t="str">
        <f>_xlfn.XLOOKUP(tblSales[[#This Row],[Channel Code]],tblChannels[Channel Code],tblChannels[Channel Name],"")</f>
        <v>In-store</v>
      </c>
      <c r="R5776" s="1">
        <f>MONTH(tblSales[[#This Row],[Date]])</f>
        <v>12</v>
      </c>
    </row>
    <row r="5777" spans="2:18" x14ac:dyDescent="0.35">
      <c r="B5777" s="113">
        <v>46368</v>
      </c>
      <c r="C5777" s="4" t="s">
        <v>3958</v>
      </c>
      <c r="D5777" s="4" t="s">
        <v>4568</v>
      </c>
      <c r="E5777" s="1" t="str">
        <f>_xlfn.XLOOKUP(tblSales[[#This Row],[Customer ID]],tblCustomers[Customer ID],tblCustomers[Customer Name],"⚠ Unknown")</f>
        <v>Walk-in Customer</v>
      </c>
      <c r="F5777" s="4" t="s">
        <v>14</v>
      </c>
      <c r="G5777" s="1" t="str">
        <f>_xlfn.XLOOKUP(tblSales[[#This Row],[Product Code]],tblProducts[Code],tblProducts[Product / Service Name],"⚠ Unknown")</f>
        <v>Smartwatch</v>
      </c>
      <c r="H5777" s="1" t="str">
        <f>_xlfn.XLOOKUP(tblSales[[#This Row],[Product Code]],tblProducts[Code],tblProducts[Category],"")</f>
        <v>Bags &amp; Gadgets</v>
      </c>
      <c r="I5777" s="4">
        <v>2</v>
      </c>
      <c r="J5777" s="5">
        <f>_xlfn.XLOOKUP(tblSales[[#This Row],[Product Code]],tblProducts[Code],tblProducts[Selling Price (excl. VAT)],0)</f>
        <v>850000</v>
      </c>
      <c r="K5777" s="5">
        <f>tblSales[[#This Row],[Qty]]*tblSales[[#This Row],[Unit Price]]</f>
        <v>1700000</v>
      </c>
      <c r="L5777" s="5">
        <f>ROUND(tblSales[[#This Row],[DPP (excl. VAT)]]*VATEff,0)</f>
        <v>187000</v>
      </c>
      <c r="M5777" s="5">
        <f>tblSales[[#This Row],[DPP (excl. VAT)]]+tblSales[[#This Row],[Output VAT]]</f>
        <v>1887000</v>
      </c>
      <c r="N5777" s="5">
        <f>tblSales[[#This Row],[Qty]]*_xlfn.XLOOKUP(tblSales[[#This Row],[Product Code]],tblProducts[Code],tblProducts[Unit Cost],0)</f>
        <v>1120000</v>
      </c>
      <c r="O5777" s="4" t="s">
        <v>4866</v>
      </c>
      <c r="P5777" s="4" t="s">
        <v>4862</v>
      </c>
      <c r="Q5777" s="1" t="str">
        <f>_xlfn.XLOOKUP(tblSales[[#This Row],[Channel Code]],tblChannels[Channel Code],tblChannels[Channel Name],"")</f>
        <v>Website &amp; Social Media</v>
      </c>
      <c r="R5777" s="1">
        <f>MONTH(tblSales[[#This Row],[Date]])</f>
        <v>12</v>
      </c>
    </row>
    <row r="5778" spans="2:18" x14ac:dyDescent="0.35">
      <c r="B5778" s="113">
        <v>46368</v>
      </c>
      <c r="C5778" s="4" t="s">
        <v>3958</v>
      </c>
      <c r="D5778" s="4" t="s">
        <v>4568</v>
      </c>
      <c r="E5778" s="1" t="str">
        <f>_xlfn.XLOOKUP(tblSales[[#This Row],[Customer ID]],tblCustomers[Customer ID],tblCustomers[Customer Name],"⚠ Unknown")</f>
        <v>Walk-in Customer</v>
      </c>
      <c r="F5778" s="4" t="s">
        <v>6</v>
      </c>
      <c r="G5778" s="1" t="str">
        <f>_xlfn.XLOOKUP(tblSales[[#This Row],[Product Code]],tblProducts[Code],tblProducts[Product / Service Name],"⚠ Unknown")</f>
        <v>Socks &amp; Accessories</v>
      </c>
      <c r="H5778" s="1" t="str">
        <f>_xlfn.XLOOKUP(tblSales[[#This Row],[Product Code]],tblProducts[Code],tblProducts[Category],"")</f>
        <v>Accessories &amp; Basics</v>
      </c>
      <c r="I5778" s="4">
        <v>11</v>
      </c>
      <c r="J5778" s="5">
        <f>_xlfn.XLOOKUP(tblSales[[#This Row],[Product Code]],tblProducts[Code],tblProducts[Selling Price (excl. VAT)],0)</f>
        <v>45000</v>
      </c>
      <c r="K5778" s="5">
        <f>tblSales[[#This Row],[Qty]]*tblSales[[#This Row],[Unit Price]]</f>
        <v>495000</v>
      </c>
      <c r="L5778" s="5">
        <f>ROUND(tblSales[[#This Row],[DPP (excl. VAT)]]*VATEff,0)</f>
        <v>54450</v>
      </c>
      <c r="M5778" s="5">
        <f>tblSales[[#This Row],[DPP (excl. VAT)]]+tblSales[[#This Row],[Output VAT]]</f>
        <v>549450</v>
      </c>
      <c r="N5778" s="5">
        <f>tblSales[[#This Row],[Qty]]*_xlfn.XLOOKUP(tblSales[[#This Row],[Product Code]],tblProducts[Code],tblProducts[Unit Cost],0)</f>
        <v>264000</v>
      </c>
      <c r="O5778" s="4" t="s">
        <v>4866</v>
      </c>
      <c r="P5778" s="4" t="s">
        <v>4862</v>
      </c>
      <c r="Q5778" s="1" t="str">
        <f>_xlfn.XLOOKUP(tblSales[[#This Row],[Channel Code]],tblChannels[Channel Code],tblChannels[Channel Name],"")</f>
        <v>Website &amp; Social Media</v>
      </c>
      <c r="R5778" s="1">
        <f>MONTH(tblSales[[#This Row],[Date]])</f>
        <v>12</v>
      </c>
    </row>
    <row r="5779" spans="2:18" x14ac:dyDescent="0.35">
      <c r="B5779" s="113">
        <v>46368</v>
      </c>
      <c r="C5779" s="4" t="s">
        <v>3959</v>
      </c>
      <c r="D5779" s="4" t="s">
        <v>4568</v>
      </c>
      <c r="E5779" s="1" t="str">
        <f>_xlfn.XLOOKUP(tblSales[[#This Row],[Customer ID]],tblCustomers[Customer ID],tblCustomers[Customer Name],"⚠ Unknown")</f>
        <v>Walk-in Customer</v>
      </c>
      <c r="F5779" s="4" t="s">
        <v>6</v>
      </c>
      <c r="G5779" s="1" t="str">
        <f>_xlfn.XLOOKUP(tblSales[[#This Row],[Product Code]],tblProducts[Code],tblProducts[Product / Service Name],"⚠ Unknown")</f>
        <v>Socks &amp; Accessories</v>
      </c>
      <c r="H5779" s="1" t="str">
        <f>_xlfn.XLOOKUP(tblSales[[#This Row],[Product Code]],tblProducts[Code],tblProducts[Category],"")</f>
        <v>Accessories &amp; Basics</v>
      </c>
      <c r="I5779" s="4">
        <v>5</v>
      </c>
      <c r="J5779" s="5">
        <f>_xlfn.XLOOKUP(tblSales[[#This Row],[Product Code]],tblProducts[Code],tblProducts[Selling Price (excl. VAT)],0)</f>
        <v>45000</v>
      </c>
      <c r="K5779" s="5">
        <f>tblSales[[#This Row],[Qty]]*tblSales[[#This Row],[Unit Price]]</f>
        <v>225000</v>
      </c>
      <c r="L5779" s="5">
        <f>ROUND(tblSales[[#This Row],[DPP (excl. VAT)]]*VATEff,0)</f>
        <v>24750</v>
      </c>
      <c r="M5779" s="5">
        <f>tblSales[[#This Row],[DPP (excl. VAT)]]+tblSales[[#This Row],[Output VAT]]</f>
        <v>249750</v>
      </c>
      <c r="N5779" s="5">
        <f>tblSales[[#This Row],[Qty]]*_xlfn.XLOOKUP(tblSales[[#This Row],[Product Code]],tblProducts[Code],tblProducts[Unit Cost],0)</f>
        <v>120000</v>
      </c>
      <c r="O5779" s="4" t="s">
        <v>4865</v>
      </c>
      <c r="P5779" s="4" t="s">
        <v>4860</v>
      </c>
      <c r="Q5779" s="1" t="str">
        <f>_xlfn.XLOOKUP(tblSales[[#This Row],[Channel Code]],tblChannels[Channel Code],tblChannels[Channel Name],"")</f>
        <v>In-store</v>
      </c>
      <c r="R5779" s="1">
        <f>MONTH(tblSales[[#This Row],[Date]])</f>
        <v>12</v>
      </c>
    </row>
    <row r="5780" spans="2:18" x14ac:dyDescent="0.35">
      <c r="B5780" s="113">
        <v>46368</v>
      </c>
      <c r="C5780" s="4" t="s">
        <v>3960</v>
      </c>
      <c r="D5780" s="4" t="s">
        <v>4568</v>
      </c>
      <c r="E5780" s="1" t="str">
        <f>_xlfn.XLOOKUP(tblSales[[#This Row],[Customer ID]],tblCustomers[Customer ID],tblCustomers[Customer Name],"⚠ Unknown")</f>
        <v>Walk-in Customer</v>
      </c>
      <c r="F5780" s="4" t="s">
        <v>14</v>
      </c>
      <c r="G5780" s="1" t="str">
        <f>_xlfn.XLOOKUP(tblSales[[#This Row],[Product Code]],tblProducts[Code],tblProducts[Product / Service Name],"⚠ Unknown")</f>
        <v>Smartwatch</v>
      </c>
      <c r="H5780" s="1" t="str">
        <f>_xlfn.XLOOKUP(tblSales[[#This Row],[Product Code]],tblProducts[Code],tblProducts[Category],"")</f>
        <v>Bags &amp; Gadgets</v>
      </c>
      <c r="I5780" s="4">
        <v>3</v>
      </c>
      <c r="J5780" s="5">
        <f>_xlfn.XLOOKUP(tblSales[[#This Row],[Product Code]],tblProducts[Code],tblProducts[Selling Price (excl. VAT)],0)</f>
        <v>850000</v>
      </c>
      <c r="K5780" s="5">
        <f>tblSales[[#This Row],[Qty]]*tblSales[[#This Row],[Unit Price]]</f>
        <v>2550000</v>
      </c>
      <c r="L5780" s="5">
        <f>ROUND(tblSales[[#This Row],[DPP (excl. VAT)]]*VATEff,0)</f>
        <v>280500</v>
      </c>
      <c r="M5780" s="5">
        <f>tblSales[[#This Row],[DPP (excl. VAT)]]+tblSales[[#This Row],[Output VAT]]</f>
        <v>2830500</v>
      </c>
      <c r="N5780" s="5">
        <f>tblSales[[#This Row],[Qty]]*_xlfn.XLOOKUP(tblSales[[#This Row],[Product Code]],tblProducts[Code],tblProducts[Unit Cost],0)</f>
        <v>1680000</v>
      </c>
      <c r="O5780" s="4" t="s">
        <v>4866</v>
      </c>
      <c r="P5780" s="4" t="s">
        <v>4861</v>
      </c>
      <c r="Q5780" s="1" t="str">
        <f>_xlfn.XLOOKUP(tblSales[[#This Row],[Channel Code]],tblChannels[Channel Code],tblChannels[Channel Name],"")</f>
        <v>Marketplace</v>
      </c>
      <c r="R5780" s="1">
        <f>MONTH(tblSales[[#This Row],[Date]])</f>
        <v>12</v>
      </c>
    </row>
    <row r="5781" spans="2:18" x14ac:dyDescent="0.35">
      <c r="B5781" s="113">
        <v>46368</v>
      </c>
      <c r="C5781" s="4" t="s">
        <v>3961</v>
      </c>
      <c r="D5781" s="4" t="s">
        <v>4593</v>
      </c>
      <c r="E5781" s="1" t="str">
        <f>_xlfn.XLOOKUP(tblSales[[#This Row],[Customer ID]],tblCustomers[Customer ID],tblCustomers[Customer Name],"⚠ Unknown")</f>
        <v>PT Graha Nusa Persada</v>
      </c>
      <c r="F5781" s="4" t="s">
        <v>10</v>
      </c>
      <c r="G5781" s="1" t="str">
        <f>_xlfn.XLOOKUP(tblSales[[#This Row],[Product Code]],tblProducts[Code],tblProducts[Product / Service Name],"⚠ Unknown")</f>
        <v>Chino Pants</v>
      </c>
      <c r="H5781" s="1" t="str">
        <f>_xlfn.XLOOKUP(tblSales[[#This Row],[Product Code]],tblProducts[Code],tblProducts[Category],"")</f>
        <v>Apparel &amp; Footwear</v>
      </c>
      <c r="I5781" s="4">
        <v>32</v>
      </c>
      <c r="J5781" s="5">
        <f>_xlfn.XLOOKUP(tblSales[[#This Row],[Product Code]],tblProducts[Code],tblProducts[Selling Price (excl. VAT)],0)</f>
        <v>150000</v>
      </c>
      <c r="K5781" s="5">
        <f>tblSales[[#This Row],[Qty]]*tblSales[[#This Row],[Unit Price]]</f>
        <v>4800000</v>
      </c>
      <c r="L5781" s="5">
        <f>ROUND(tblSales[[#This Row],[DPP (excl. VAT)]]*VATEff,0)</f>
        <v>528000</v>
      </c>
      <c r="M5781" s="5">
        <f>tblSales[[#This Row],[DPP (excl. VAT)]]+tblSales[[#This Row],[Output VAT]]</f>
        <v>5328000</v>
      </c>
      <c r="N5781" s="5">
        <f>tblSales[[#This Row],[Qty]]*_xlfn.XLOOKUP(tblSales[[#This Row],[Product Code]],tblProducts[Code],tblProducts[Unit Cost],0)</f>
        <v>2816000</v>
      </c>
      <c r="O5781" s="4" t="s">
        <v>4867</v>
      </c>
      <c r="P5781" s="4" t="s">
        <v>4860</v>
      </c>
      <c r="Q5781" s="1" t="str">
        <f>_xlfn.XLOOKUP(tblSales[[#This Row],[Channel Code]],tblChannels[Channel Code],tblChannels[Channel Name],"")</f>
        <v>In-store</v>
      </c>
      <c r="R5781" s="1">
        <f>MONTH(tblSales[[#This Row],[Date]])</f>
        <v>12</v>
      </c>
    </row>
    <row r="5782" spans="2:18" x14ac:dyDescent="0.35">
      <c r="B5782" s="113">
        <v>46368</v>
      </c>
      <c r="C5782" s="4" t="s">
        <v>3962</v>
      </c>
      <c r="D5782" s="4" t="s">
        <v>4568</v>
      </c>
      <c r="E5782" s="1" t="str">
        <f>_xlfn.XLOOKUP(tblSales[[#This Row],[Customer ID]],tblCustomers[Customer ID],tblCustomers[Customer Name],"⚠ Unknown")</f>
        <v>Walk-in Customer</v>
      </c>
      <c r="F5782" s="4" t="s">
        <v>12</v>
      </c>
      <c r="G5782" s="1" t="str">
        <f>_xlfn.XLOOKUP(tblSales[[#This Row],[Product Code]],tblProducts[Code],tblProducts[Product / Service Name],"⚠ Unknown")</f>
        <v>Bomber Jacket</v>
      </c>
      <c r="H5782" s="1" t="str">
        <f>_xlfn.XLOOKUP(tblSales[[#This Row],[Product Code]],tblProducts[Code],tblProducts[Category],"")</f>
        <v>Apparel &amp; Footwear</v>
      </c>
      <c r="I5782" s="4">
        <v>2</v>
      </c>
      <c r="J5782" s="5">
        <f>_xlfn.XLOOKUP(tblSales[[#This Row],[Product Code]],tblProducts[Code],tblProducts[Selling Price (excl. VAT)],0)</f>
        <v>350000</v>
      </c>
      <c r="K5782" s="5">
        <f>tblSales[[#This Row],[Qty]]*tblSales[[#This Row],[Unit Price]]</f>
        <v>700000</v>
      </c>
      <c r="L5782" s="5">
        <f>ROUND(tblSales[[#This Row],[DPP (excl. VAT)]]*VATEff,0)</f>
        <v>77000</v>
      </c>
      <c r="M5782" s="5">
        <f>tblSales[[#This Row],[DPP (excl. VAT)]]+tblSales[[#This Row],[Output VAT]]</f>
        <v>777000</v>
      </c>
      <c r="N5782" s="5">
        <f>tblSales[[#This Row],[Qty]]*_xlfn.XLOOKUP(tblSales[[#This Row],[Product Code]],tblProducts[Code],tblProducts[Unit Cost],0)</f>
        <v>420000</v>
      </c>
      <c r="O5782" s="4" t="s">
        <v>4865</v>
      </c>
      <c r="P5782" s="4" t="s">
        <v>4860</v>
      </c>
      <c r="Q5782" s="1" t="str">
        <f>_xlfn.XLOOKUP(tblSales[[#This Row],[Channel Code]],tblChannels[Channel Code],tblChannels[Channel Name],"")</f>
        <v>In-store</v>
      </c>
      <c r="R5782" s="1">
        <f>MONTH(tblSales[[#This Row],[Date]])</f>
        <v>12</v>
      </c>
    </row>
    <row r="5783" spans="2:18" x14ac:dyDescent="0.35">
      <c r="B5783" s="113">
        <v>46368</v>
      </c>
      <c r="C5783" s="4" t="s">
        <v>3963</v>
      </c>
      <c r="D5783" s="4" t="s">
        <v>4568</v>
      </c>
      <c r="E5783" s="1" t="str">
        <f>_xlfn.XLOOKUP(tblSales[[#This Row],[Customer ID]],tblCustomers[Customer ID],tblCustomers[Customer Name],"⚠ Unknown")</f>
        <v>Walk-in Customer</v>
      </c>
      <c r="F5783" s="4" t="s">
        <v>8</v>
      </c>
      <c r="G5783" s="1" t="str">
        <f>_xlfn.XLOOKUP(tblSales[[#This Row],[Product Code]],tblProducts[Code],tblProducts[Product / Service Name],"⚠ Unknown")</f>
        <v>Casual Shorts</v>
      </c>
      <c r="H5783" s="1" t="str">
        <f>_xlfn.XLOOKUP(tblSales[[#This Row],[Product Code]],tblProducts[Code],tblProducts[Category],"")</f>
        <v>Accessories &amp; Basics</v>
      </c>
      <c r="I5783" s="4">
        <v>4</v>
      </c>
      <c r="J5783" s="5">
        <f>_xlfn.XLOOKUP(tblSales[[#This Row],[Product Code]],tblProducts[Code],tblProducts[Selling Price (excl. VAT)],0)</f>
        <v>85000</v>
      </c>
      <c r="K5783" s="5">
        <f>tblSales[[#This Row],[Qty]]*tblSales[[#This Row],[Unit Price]]</f>
        <v>340000</v>
      </c>
      <c r="L5783" s="5">
        <f>ROUND(tblSales[[#This Row],[DPP (excl. VAT)]]*VATEff,0)</f>
        <v>37400</v>
      </c>
      <c r="M5783" s="5">
        <f>tblSales[[#This Row],[DPP (excl. VAT)]]+tblSales[[#This Row],[Output VAT]]</f>
        <v>377400</v>
      </c>
      <c r="N5783" s="5">
        <f>tblSales[[#This Row],[Qty]]*_xlfn.XLOOKUP(tblSales[[#This Row],[Product Code]],tblProducts[Code],tblProducts[Unit Cost],0)</f>
        <v>200000</v>
      </c>
      <c r="O5783" s="4" t="s">
        <v>4865</v>
      </c>
      <c r="P5783" s="4" t="s">
        <v>4860</v>
      </c>
      <c r="Q5783" s="1" t="str">
        <f>_xlfn.XLOOKUP(tblSales[[#This Row],[Channel Code]],tblChannels[Channel Code],tblChannels[Channel Name],"")</f>
        <v>In-store</v>
      </c>
      <c r="R5783" s="1">
        <f>MONTH(tblSales[[#This Row],[Date]])</f>
        <v>12</v>
      </c>
    </row>
    <row r="5784" spans="2:18" x14ac:dyDescent="0.35">
      <c r="B5784" s="113">
        <v>46368</v>
      </c>
      <c r="C5784" s="4" t="s">
        <v>3963</v>
      </c>
      <c r="D5784" s="4" t="s">
        <v>4568</v>
      </c>
      <c r="E5784" s="1" t="str">
        <f>_xlfn.XLOOKUP(tblSales[[#This Row],[Customer ID]],tblCustomers[Customer ID],tblCustomers[Customer Name],"⚠ Unknown")</f>
        <v>Walk-in Customer</v>
      </c>
      <c r="F5784" s="4" t="s">
        <v>6</v>
      </c>
      <c r="G5784" s="1" t="str">
        <f>_xlfn.XLOOKUP(tblSales[[#This Row],[Product Code]],tblProducts[Code],tblProducts[Product / Service Name],"⚠ Unknown")</f>
        <v>Socks &amp; Accessories</v>
      </c>
      <c r="H5784" s="1" t="str">
        <f>_xlfn.XLOOKUP(tblSales[[#This Row],[Product Code]],tblProducts[Code],tblProducts[Category],"")</f>
        <v>Accessories &amp; Basics</v>
      </c>
      <c r="I5784" s="4">
        <v>6</v>
      </c>
      <c r="J5784" s="5">
        <f>_xlfn.XLOOKUP(tblSales[[#This Row],[Product Code]],tblProducts[Code],tblProducts[Selling Price (excl. VAT)],0)</f>
        <v>45000</v>
      </c>
      <c r="K5784" s="5">
        <f>tblSales[[#This Row],[Qty]]*tblSales[[#This Row],[Unit Price]]</f>
        <v>270000</v>
      </c>
      <c r="L5784" s="5">
        <f>ROUND(tblSales[[#This Row],[DPP (excl. VAT)]]*VATEff,0)</f>
        <v>29700</v>
      </c>
      <c r="M5784" s="5">
        <f>tblSales[[#This Row],[DPP (excl. VAT)]]+tblSales[[#This Row],[Output VAT]]</f>
        <v>299700</v>
      </c>
      <c r="N5784" s="5">
        <f>tblSales[[#This Row],[Qty]]*_xlfn.XLOOKUP(tblSales[[#This Row],[Product Code]],tblProducts[Code],tblProducts[Unit Cost],0)</f>
        <v>144000</v>
      </c>
      <c r="O5784" s="4" t="s">
        <v>4865</v>
      </c>
      <c r="P5784" s="4" t="s">
        <v>4860</v>
      </c>
      <c r="Q5784" s="1" t="str">
        <f>_xlfn.XLOOKUP(tblSales[[#This Row],[Channel Code]],tblChannels[Channel Code],tblChannels[Channel Name],"")</f>
        <v>In-store</v>
      </c>
      <c r="R5784" s="1">
        <f>MONTH(tblSales[[#This Row],[Date]])</f>
        <v>12</v>
      </c>
    </row>
    <row r="5785" spans="2:18" x14ac:dyDescent="0.35">
      <c r="B5785" s="113">
        <v>46368</v>
      </c>
      <c r="C5785" s="4" t="s">
        <v>3964</v>
      </c>
      <c r="D5785" s="4" t="s">
        <v>4568</v>
      </c>
      <c r="E5785" s="1" t="str">
        <f>_xlfn.XLOOKUP(tblSales[[#This Row],[Customer ID]],tblCustomers[Customer ID],tblCustomers[Customer Name],"⚠ Unknown")</f>
        <v>Walk-in Customer</v>
      </c>
      <c r="F5785" s="4" t="s">
        <v>7</v>
      </c>
      <c r="G5785" s="1" t="str">
        <f>_xlfn.XLOOKUP(tblSales[[#This Row],[Product Code]],tblProducts[Code],tblProducts[Product / Service Name],"⚠ Unknown")</f>
        <v>Premium Basic T-shirt</v>
      </c>
      <c r="H5785" s="1" t="str">
        <f>_xlfn.XLOOKUP(tblSales[[#This Row],[Product Code]],tblProducts[Code],tblProducts[Category],"")</f>
        <v>Accessories &amp; Basics</v>
      </c>
      <c r="I5785" s="4">
        <v>2</v>
      </c>
      <c r="J5785" s="5">
        <f>_xlfn.XLOOKUP(tblSales[[#This Row],[Product Code]],tblProducts[Code],tblProducts[Selling Price (excl. VAT)],0)</f>
        <v>65000</v>
      </c>
      <c r="K5785" s="5">
        <f>tblSales[[#This Row],[Qty]]*tblSales[[#This Row],[Unit Price]]</f>
        <v>130000</v>
      </c>
      <c r="L5785" s="5">
        <f>ROUND(tblSales[[#This Row],[DPP (excl. VAT)]]*VATEff,0)</f>
        <v>14300</v>
      </c>
      <c r="M5785" s="5">
        <f>tblSales[[#This Row],[DPP (excl. VAT)]]+tblSales[[#This Row],[Output VAT]]</f>
        <v>144300</v>
      </c>
      <c r="N5785" s="5">
        <f>tblSales[[#This Row],[Qty]]*_xlfn.XLOOKUP(tblSales[[#This Row],[Product Code]],tblProducts[Code],tblProducts[Unit Cost],0)</f>
        <v>74000</v>
      </c>
      <c r="O5785" s="4" t="s">
        <v>4865</v>
      </c>
      <c r="P5785" s="4" t="s">
        <v>4860</v>
      </c>
      <c r="Q5785" s="1" t="str">
        <f>_xlfn.XLOOKUP(tblSales[[#This Row],[Channel Code]],tblChannels[Channel Code],tblChannels[Channel Name],"")</f>
        <v>In-store</v>
      </c>
      <c r="R5785" s="1">
        <f>MONTH(tblSales[[#This Row],[Date]])</f>
        <v>12</v>
      </c>
    </row>
    <row r="5786" spans="2:18" x14ac:dyDescent="0.35">
      <c r="B5786" s="113">
        <v>46368</v>
      </c>
      <c r="C5786" s="4" t="s">
        <v>3964</v>
      </c>
      <c r="D5786" s="4" t="s">
        <v>4568</v>
      </c>
      <c r="E5786" s="1" t="str">
        <f>_xlfn.XLOOKUP(tblSales[[#This Row],[Customer ID]],tblCustomers[Customer ID],tblCustomers[Customer Name],"⚠ Unknown")</f>
        <v>Walk-in Customer</v>
      </c>
      <c r="F5786" s="4" t="s">
        <v>6</v>
      </c>
      <c r="G5786" s="1" t="str">
        <f>_xlfn.XLOOKUP(tblSales[[#This Row],[Product Code]],tblProducts[Code],tblProducts[Product / Service Name],"⚠ Unknown")</f>
        <v>Socks &amp; Accessories</v>
      </c>
      <c r="H5786" s="1" t="str">
        <f>_xlfn.XLOOKUP(tblSales[[#This Row],[Product Code]],tblProducts[Code],tblProducts[Category],"")</f>
        <v>Accessories &amp; Basics</v>
      </c>
      <c r="I5786" s="4">
        <v>6</v>
      </c>
      <c r="J5786" s="5">
        <f>_xlfn.XLOOKUP(tblSales[[#This Row],[Product Code]],tblProducts[Code],tblProducts[Selling Price (excl. VAT)],0)</f>
        <v>45000</v>
      </c>
      <c r="K5786" s="5">
        <f>tblSales[[#This Row],[Qty]]*tblSales[[#This Row],[Unit Price]]</f>
        <v>270000</v>
      </c>
      <c r="L5786" s="5">
        <f>ROUND(tblSales[[#This Row],[DPP (excl. VAT)]]*VATEff,0)</f>
        <v>29700</v>
      </c>
      <c r="M5786" s="5">
        <f>tblSales[[#This Row],[DPP (excl. VAT)]]+tblSales[[#This Row],[Output VAT]]</f>
        <v>299700</v>
      </c>
      <c r="N5786" s="5">
        <f>tblSales[[#This Row],[Qty]]*_xlfn.XLOOKUP(tblSales[[#This Row],[Product Code]],tblProducts[Code],tblProducts[Unit Cost],0)</f>
        <v>144000</v>
      </c>
      <c r="O5786" s="4" t="s">
        <v>4865</v>
      </c>
      <c r="P5786" s="4" t="s">
        <v>4860</v>
      </c>
      <c r="Q5786" s="1" t="str">
        <f>_xlfn.XLOOKUP(tblSales[[#This Row],[Channel Code]],tblChannels[Channel Code],tblChannels[Channel Name],"")</f>
        <v>In-store</v>
      </c>
      <c r="R5786" s="1">
        <f>MONTH(tblSales[[#This Row],[Date]])</f>
        <v>12</v>
      </c>
    </row>
    <row r="5787" spans="2:18" x14ac:dyDescent="0.35">
      <c r="B5787" s="113">
        <v>46368</v>
      </c>
      <c r="C5787" s="4" t="s">
        <v>3964</v>
      </c>
      <c r="D5787" s="4" t="s">
        <v>4568</v>
      </c>
      <c r="E5787" s="1" t="str">
        <f>_xlfn.XLOOKUP(tblSales[[#This Row],[Customer ID]],tblCustomers[Customer ID],tblCustomers[Customer Name],"⚠ Unknown")</f>
        <v>Walk-in Customer</v>
      </c>
      <c r="F5787" s="4" t="s">
        <v>13</v>
      </c>
      <c r="G5787" s="1" t="str">
        <f>_xlfn.XLOOKUP(tblSales[[#This Row],[Product Code]],tblProducts[Code],tblProducts[Product / Service Name],"⚠ Unknown")</f>
        <v>Backpack</v>
      </c>
      <c r="H5787" s="1" t="str">
        <f>_xlfn.XLOOKUP(tblSales[[#This Row],[Product Code]],tblProducts[Code],tblProducts[Category],"")</f>
        <v>Bags &amp; Gadgets</v>
      </c>
      <c r="I5787" s="4">
        <v>2</v>
      </c>
      <c r="J5787" s="5">
        <f>_xlfn.XLOOKUP(tblSales[[#This Row],[Product Code]],tblProducts[Code],tblProducts[Selling Price (excl. VAT)],0)</f>
        <v>500000</v>
      </c>
      <c r="K5787" s="5">
        <f>tblSales[[#This Row],[Qty]]*tblSales[[#This Row],[Unit Price]]</f>
        <v>1000000</v>
      </c>
      <c r="L5787" s="5">
        <f>ROUND(tblSales[[#This Row],[DPP (excl. VAT)]]*VATEff,0)</f>
        <v>110000</v>
      </c>
      <c r="M5787" s="5">
        <f>tblSales[[#This Row],[DPP (excl. VAT)]]+tblSales[[#This Row],[Output VAT]]</f>
        <v>1110000</v>
      </c>
      <c r="N5787" s="5">
        <f>tblSales[[#This Row],[Qty]]*_xlfn.XLOOKUP(tblSales[[#This Row],[Product Code]],tblProducts[Code],tblProducts[Unit Cost],0)</f>
        <v>580000</v>
      </c>
      <c r="O5787" s="4" t="s">
        <v>4865</v>
      </c>
      <c r="P5787" s="4" t="s">
        <v>4860</v>
      </c>
      <c r="Q5787" s="1" t="str">
        <f>_xlfn.XLOOKUP(tblSales[[#This Row],[Channel Code]],tblChannels[Channel Code],tblChannels[Channel Name],"")</f>
        <v>In-store</v>
      </c>
      <c r="R5787" s="1">
        <f>MONTH(tblSales[[#This Row],[Date]])</f>
        <v>12</v>
      </c>
    </row>
    <row r="5788" spans="2:18" x14ac:dyDescent="0.35">
      <c r="B5788" s="113">
        <v>46369</v>
      </c>
      <c r="C5788" s="4" t="s">
        <v>3965</v>
      </c>
      <c r="D5788" s="4" t="s">
        <v>4568</v>
      </c>
      <c r="E5788" s="1" t="str">
        <f>_xlfn.XLOOKUP(tblSales[[#This Row],[Customer ID]],tblCustomers[Customer ID],tblCustomers[Customer Name],"⚠ Unknown")</f>
        <v>Walk-in Customer</v>
      </c>
      <c r="F5788" s="4" t="s">
        <v>7</v>
      </c>
      <c r="G5788" s="1" t="str">
        <f>_xlfn.XLOOKUP(tblSales[[#This Row],[Product Code]],tblProducts[Code],tblProducts[Product / Service Name],"⚠ Unknown")</f>
        <v>Premium Basic T-shirt</v>
      </c>
      <c r="H5788" s="1" t="str">
        <f>_xlfn.XLOOKUP(tblSales[[#This Row],[Product Code]],tblProducts[Code],tblProducts[Category],"")</f>
        <v>Accessories &amp; Basics</v>
      </c>
      <c r="I5788" s="4">
        <v>8</v>
      </c>
      <c r="J5788" s="5">
        <f>_xlfn.XLOOKUP(tblSales[[#This Row],[Product Code]],tblProducts[Code],tblProducts[Selling Price (excl. VAT)],0)</f>
        <v>65000</v>
      </c>
      <c r="K5788" s="5">
        <f>tblSales[[#This Row],[Qty]]*tblSales[[#This Row],[Unit Price]]</f>
        <v>520000</v>
      </c>
      <c r="L5788" s="5">
        <f>ROUND(tblSales[[#This Row],[DPP (excl. VAT)]]*VATEff,0)</f>
        <v>57200</v>
      </c>
      <c r="M5788" s="5">
        <f>tblSales[[#This Row],[DPP (excl. VAT)]]+tblSales[[#This Row],[Output VAT]]</f>
        <v>577200</v>
      </c>
      <c r="N5788" s="5">
        <f>tblSales[[#This Row],[Qty]]*_xlfn.XLOOKUP(tblSales[[#This Row],[Product Code]],tblProducts[Code],tblProducts[Unit Cost],0)</f>
        <v>296000</v>
      </c>
      <c r="O5788" s="4" t="s">
        <v>4866</v>
      </c>
      <c r="P5788" s="4" t="s">
        <v>4862</v>
      </c>
      <c r="Q5788" s="1" t="str">
        <f>_xlfn.XLOOKUP(tblSales[[#This Row],[Channel Code]],tblChannels[Channel Code],tblChannels[Channel Name],"")</f>
        <v>Website &amp; Social Media</v>
      </c>
      <c r="R5788" s="1">
        <f>MONTH(tblSales[[#This Row],[Date]])</f>
        <v>12</v>
      </c>
    </row>
    <row r="5789" spans="2:18" x14ac:dyDescent="0.35">
      <c r="B5789" s="113">
        <v>46369</v>
      </c>
      <c r="C5789" s="4" t="s">
        <v>3966</v>
      </c>
      <c r="D5789" s="4" t="s">
        <v>4568</v>
      </c>
      <c r="E5789" s="1" t="str">
        <f>_xlfn.XLOOKUP(tblSales[[#This Row],[Customer ID]],tblCustomers[Customer ID],tblCustomers[Customer Name],"⚠ Unknown")</f>
        <v>Walk-in Customer</v>
      </c>
      <c r="F5789" s="4" t="s">
        <v>10</v>
      </c>
      <c r="G5789" s="1" t="str">
        <f>_xlfn.XLOOKUP(tblSales[[#This Row],[Product Code]],tblProducts[Code],tblProducts[Product / Service Name],"⚠ Unknown")</f>
        <v>Chino Pants</v>
      </c>
      <c r="H5789" s="1" t="str">
        <f>_xlfn.XLOOKUP(tblSales[[#This Row],[Product Code]],tblProducts[Code],tblProducts[Category],"")</f>
        <v>Apparel &amp; Footwear</v>
      </c>
      <c r="I5789" s="4">
        <v>12</v>
      </c>
      <c r="J5789" s="5">
        <f>_xlfn.XLOOKUP(tblSales[[#This Row],[Product Code]],tblProducts[Code],tblProducts[Selling Price (excl. VAT)],0)</f>
        <v>150000</v>
      </c>
      <c r="K5789" s="5">
        <f>tblSales[[#This Row],[Qty]]*tblSales[[#This Row],[Unit Price]]</f>
        <v>1800000</v>
      </c>
      <c r="L5789" s="5">
        <f>ROUND(tblSales[[#This Row],[DPP (excl. VAT)]]*VATEff,0)</f>
        <v>198000</v>
      </c>
      <c r="M5789" s="5">
        <f>tblSales[[#This Row],[DPP (excl. VAT)]]+tblSales[[#This Row],[Output VAT]]</f>
        <v>1998000</v>
      </c>
      <c r="N5789" s="5">
        <f>tblSales[[#This Row],[Qty]]*_xlfn.XLOOKUP(tblSales[[#This Row],[Product Code]],tblProducts[Code],tblProducts[Unit Cost],0)</f>
        <v>1056000</v>
      </c>
      <c r="O5789" s="4" t="s">
        <v>4866</v>
      </c>
      <c r="P5789" s="4" t="s">
        <v>4860</v>
      </c>
      <c r="Q5789" s="1" t="str">
        <f>_xlfn.XLOOKUP(tblSales[[#This Row],[Channel Code]],tblChannels[Channel Code],tblChannels[Channel Name],"")</f>
        <v>In-store</v>
      </c>
      <c r="R5789" s="1">
        <f>MONTH(tblSales[[#This Row],[Date]])</f>
        <v>12</v>
      </c>
    </row>
    <row r="5790" spans="2:18" x14ac:dyDescent="0.35">
      <c r="B5790" s="113">
        <v>46369</v>
      </c>
      <c r="C5790" s="4" t="s">
        <v>3967</v>
      </c>
      <c r="D5790" s="4" t="s">
        <v>4568</v>
      </c>
      <c r="E5790" s="1" t="str">
        <f>_xlfn.XLOOKUP(tblSales[[#This Row],[Customer ID]],tblCustomers[Customer ID],tblCustomers[Customer Name],"⚠ Unknown")</f>
        <v>Walk-in Customer</v>
      </c>
      <c r="F5790" s="4" t="s">
        <v>8</v>
      </c>
      <c r="G5790" s="1" t="str">
        <f>_xlfn.XLOOKUP(tblSales[[#This Row],[Product Code]],tblProducts[Code],tblProducts[Product / Service Name],"⚠ Unknown")</f>
        <v>Casual Shorts</v>
      </c>
      <c r="H5790" s="1" t="str">
        <f>_xlfn.XLOOKUP(tblSales[[#This Row],[Product Code]],tblProducts[Code],tblProducts[Category],"")</f>
        <v>Accessories &amp; Basics</v>
      </c>
      <c r="I5790" s="4">
        <v>4</v>
      </c>
      <c r="J5790" s="5">
        <f>_xlfn.XLOOKUP(tblSales[[#This Row],[Product Code]],tblProducts[Code],tblProducts[Selling Price (excl. VAT)],0)</f>
        <v>85000</v>
      </c>
      <c r="K5790" s="5">
        <f>tblSales[[#This Row],[Qty]]*tblSales[[#This Row],[Unit Price]]</f>
        <v>340000</v>
      </c>
      <c r="L5790" s="5">
        <f>ROUND(tblSales[[#This Row],[DPP (excl. VAT)]]*VATEff,0)</f>
        <v>37400</v>
      </c>
      <c r="M5790" s="5">
        <f>tblSales[[#This Row],[DPP (excl. VAT)]]+tblSales[[#This Row],[Output VAT]]</f>
        <v>377400</v>
      </c>
      <c r="N5790" s="5">
        <f>tblSales[[#This Row],[Qty]]*_xlfn.XLOOKUP(tblSales[[#This Row],[Product Code]],tblProducts[Code],tblProducts[Unit Cost],0)</f>
        <v>200000</v>
      </c>
      <c r="O5790" s="4" t="s">
        <v>4866</v>
      </c>
      <c r="P5790" s="4" t="s">
        <v>4861</v>
      </c>
      <c r="Q5790" s="1" t="str">
        <f>_xlfn.XLOOKUP(tblSales[[#This Row],[Channel Code]],tblChannels[Channel Code],tblChannels[Channel Name],"")</f>
        <v>Marketplace</v>
      </c>
      <c r="R5790" s="1">
        <f>MONTH(tblSales[[#This Row],[Date]])</f>
        <v>12</v>
      </c>
    </row>
    <row r="5791" spans="2:18" x14ac:dyDescent="0.35">
      <c r="B5791" s="113">
        <v>46369</v>
      </c>
      <c r="C5791" s="4" t="s">
        <v>3968</v>
      </c>
      <c r="D5791" s="4" t="s">
        <v>4568</v>
      </c>
      <c r="E5791" s="1" t="str">
        <f>_xlfn.XLOOKUP(tblSales[[#This Row],[Customer ID]],tblCustomers[Customer ID],tblCustomers[Customer Name],"⚠ Unknown")</f>
        <v>Walk-in Customer</v>
      </c>
      <c r="F5791" s="4" t="s">
        <v>6</v>
      </c>
      <c r="G5791" s="1" t="str">
        <f>_xlfn.XLOOKUP(tblSales[[#This Row],[Product Code]],tblProducts[Code],tblProducts[Product / Service Name],"⚠ Unknown")</f>
        <v>Socks &amp; Accessories</v>
      </c>
      <c r="H5791" s="1" t="str">
        <f>_xlfn.XLOOKUP(tblSales[[#This Row],[Product Code]],tblProducts[Code],tblProducts[Category],"")</f>
        <v>Accessories &amp; Basics</v>
      </c>
      <c r="I5791" s="4">
        <v>6</v>
      </c>
      <c r="J5791" s="5">
        <f>_xlfn.XLOOKUP(tblSales[[#This Row],[Product Code]],tblProducts[Code],tblProducts[Selling Price (excl. VAT)],0)</f>
        <v>45000</v>
      </c>
      <c r="K5791" s="5">
        <f>tblSales[[#This Row],[Qty]]*tblSales[[#This Row],[Unit Price]]</f>
        <v>270000</v>
      </c>
      <c r="L5791" s="5">
        <f>ROUND(tblSales[[#This Row],[DPP (excl. VAT)]]*VATEff,0)</f>
        <v>29700</v>
      </c>
      <c r="M5791" s="5">
        <f>tblSales[[#This Row],[DPP (excl. VAT)]]+tblSales[[#This Row],[Output VAT]]</f>
        <v>299700</v>
      </c>
      <c r="N5791" s="5">
        <f>tblSales[[#This Row],[Qty]]*_xlfn.XLOOKUP(tblSales[[#This Row],[Product Code]],tblProducts[Code],tblProducts[Unit Cost],0)</f>
        <v>144000</v>
      </c>
      <c r="O5791" s="4" t="s">
        <v>4866</v>
      </c>
      <c r="P5791" s="4" t="s">
        <v>4860</v>
      </c>
      <c r="Q5791" s="1" t="str">
        <f>_xlfn.XLOOKUP(tblSales[[#This Row],[Channel Code]],tblChannels[Channel Code],tblChannels[Channel Name],"")</f>
        <v>In-store</v>
      </c>
      <c r="R5791" s="1">
        <f>MONTH(tblSales[[#This Row],[Date]])</f>
        <v>12</v>
      </c>
    </row>
    <row r="5792" spans="2:18" x14ac:dyDescent="0.35">
      <c r="B5792" s="113">
        <v>46369</v>
      </c>
      <c r="C5792" s="4" t="s">
        <v>3968</v>
      </c>
      <c r="D5792" s="4" t="s">
        <v>4568</v>
      </c>
      <c r="E5792" s="1" t="str">
        <f>_xlfn.XLOOKUP(tblSales[[#This Row],[Customer ID]],tblCustomers[Customer ID],tblCustomers[Customer Name],"⚠ Unknown")</f>
        <v>Walk-in Customer</v>
      </c>
      <c r="F5792" s="4" t="s">
        <v>14</v>
      </c>
      <c r="G5792" s="1" t="str">
        <f>_xlfn.XLOOKUP(tblSales[[#This Row],[Product Code]],tblProducts[Code],tblProducts[Product / Service Name],"⚠ Unknown")</f>
        <v>Smartwatch</v>
      </c>
      <c r="H5792" s="1" t="str">
        <f>_xlfn.XLOOKUP(tblSales[[#This Row],[Product Code]],tblProducts[Code],tblProducts[Category],"")</f>
        <v>Bags &amp; Gadgets</v>
      </c>
      <c r="I5792" s="4">
        <v>2</v>
      </c>
      <c r="J5792" s="5">
        <f>_xlfn.XLOOKUP(tblSales[[#This Row],[Product Code]],tblProducts[Code],tblProducts[Selling Price (excl. VAT)],0)</f>
        <v>850000</v>
      </c>
      <c r="K5792" s="5">
        <f>tblSales[[#This Row],[Qty]]*tblSales[[#This Row],[Unit Price]]</f>
        <v>1700000</v>
      </c>
      <c r="L5792" s="5">
        <f>ROUND(tblSales[[#This Row],[DPP (excl. VAT)]]*VATEff,0)</f>
        <v>187000</v>
      </c>
      <c r="M5792" s="5">
        <f>tblSales[[#This Row],[DPP (excl. VAT)]]+tblSales[[#This Row],[Output VAT]]</f>
        <v>1887000</v>
      </c>
      <c r="N5792" s="5">
        <f>tblSales[[#This Row],[Qty]]*_xlfn.XLOOKUP(tblSales[[#This Row],[Product Code]],tblProducts[Code],tblProducts[Unit Cost],0)</f>
        <v>1120000</v>
      </c>
      <c r="O5792" s="4" t="s">
        <v>4866</v>
      </c>
      <c r="P5792" s="4" t="s">
        <v>4860</v>
      </c>
      <c r="Q5792" s="1" t="str">
        <f>_xlfn.XLOOKUP(tblSales[[#This Row],[Channel Code]],tblChannels[Channel Code],tblChannels[Channel Name],"")</f>
        <v>In-store</v>
      </c>
      <c r="R5792" s="1">
        <f>MONTH(tblSales[[#This Row],[Date]])</f>
        <v>12</v>
      </c>
    </row>
    <row r="5793" spans="2:18" x14ac:dyDescent="0.35">
      <c r="B5793" s="113">
        <v>46369</v>
      </c>
      <c r="C5793" s="4" t="s">
        <v>3968</v>
      </c>
      <c r="D5793" s="4" t="s">
        <v>4568</v>
      </c>
      <c r="E5793" s="1" t="str">
        <f>_xlfn.XLOOKUP(tblSales[[#This Row],[Customer ID]],tblCustomers[Customer ID],tblCustomers[Customer Name],"⚠ Unknown")</f>
        <v>Walk-in Customer</v>
      </c>
      <c r="F5793" s="4" t="s">
        <v>7</v>
      </c>
      <c r="G5793" s="1" t="str">
        <f>_xlfn.XLOOKUP(tblSales[[#This Row],[Product Code]],tblProducts[Code],tblProducts[Product / Service Name],"⚠ Unknown")</f>
        <v>Premium Basic T-shirt</v>
      </c>
      <c r="H5793" s="1" t="str">
        <f>_xlfn.XLOOKUP(tblSales[[#This Row],[Product Code]],tblProducts[Code],tblProducts[Category],"")</f>
        <v>Accessories &amp; Basics</v>
      </c>
      <c r="I5793" s="4">
        <v>6</v>
      </c>
      <c r="J5793" s="5">
        <f>_xlfn.XLOOKUP(tblSales[[#This Row],[Product Code]],tblProducts[Code],tblProducts[Selling Price (excl. VAT)],0)</f>
        <v>65000</v>
      </c>
      <c r="K5793" s="5">
        <f>tblSales[[#This Row],[Qty]]*tblSales[[#This Row],[Unit Price]]</f>
        <v>390000</v>
      </c>
      <c r="L5793" s="5">
        <f>ROUND(tblSales[[#This Row],[DPP (excl. VAT)]]*VATEff,0)</f>
        <v>42900</v>
      </c>
      <c r="M5793" s="5">
        <f>tblSales[[#This Row],[DPP (excl. VAT)]]+tblSales[[#This Row],[Output VAT]]</f>
        <v>432900</v>
      </c>
      <c r="N5793" s="5">
        <f>tblSales[[#This Row],[Qty]]*_xlfn.XLOOKUP(tblSales[[#This Row],[Product Code]],tblProducts[Code],tblProducts[Unit Cost],0)</f>
        <v>222000</v>
      </c>
      <c r="O5793" s="4" t="s">
        <v>4866</v>
      </c>
      <c r="P5793" s="4" t="s">
        <v>4860</v>
      </c>
      <c r="Q5793" s="1" t="str">
        <f>_xlfn.XLOOKUP(tblSales[[#This Row],[Channel Code]],tblChannels[Channel Code],tblChannels[Channel Name],"")</f>
        <v>In-store</v>
      </c>
      <c r="R5793" s="1">
        <f>MONTH(tblSales[[#This Row],[Date]])</f>
        <v>12</v>
      </c>
    </row>
    <row r="5794" spans="2:18" x14ac:dyDescent="0.35">
      <c r="B5794" s="113">
        <v>46369</v>
      </c>
      <c r="C5794" s="4" t="s">
        <v>3969</v>
      </c>
      <c r="D5794" s="4" t="s">
        <v>4620</v>
      </c>
      <c r="E5794" s="1" t="str">
        <f>_xlfn.XLOOKUP(tblSales[[#This Row],[Customer ID]],tblCustomers[Customer ID],tblCustomers[Customer Name],"⚠ Unknown")</f>
        <v>CV Sumber Rejeki Utama</v>
      </c>
      <c r="F5794" s="4" t="s">
        <v>12</v>
      </c>
      <c r="G5794" s="1" t="str">
        <f>_xlfn.XLOOKUP(tblSales[[#This Row],[Product Code]],tblProducts[Code],tblProducts[Product / Service Name],"⚠ Unknown")</f>
        <v>Bomber Jacket</v>
      </c>
      <c r="H5794" s="1" t="str">
        <f>_xlfn.XLOOKUP(tblSales[[#This Row],[Product Code]],tblProducts[Code],tblProducts[Category],"")</f>
        <v>Apparel &amp; Footwear</v>
      </c>
      <c r="I5794" s="4">
        <v>32</v>
      </c>
      <c r="J5794" s="5">
        <f>_xlfn.XLOOKUP(tblSales[[#This Row],[Product Code]],tblProducts[Code],tblProducts[Selling Price (excl. VAT)],0)</f>
        <v>350000</v>
      </c>
      <c r="K5794" s="5">
        <f>tblSales[[#This Row],[Qty]]*tblSales[[#This Row],[Unit Price]]</f>
        <v>11200000</v>
      </c>
      <c r="L5794" s="5">
        <f>ROUND(tblSales[[#This Row],[DPP (excl. VAT)]]*VATEff,0)</f>
        <v>1232000</v>
      </c>
      <c r="M5794" s="5">
        <f>tblSales[[#This Row],[DPP (excl. VAT)]]+tblSales[[#This Row],[Output VAT]]</f>
        <v>12432000</v>
      </c>
      <c r="N5794" s="5">
        <f>tblSales[[#This Row],[Qty]]*_xlfn.XLOOKUP(tblSales[[#This Row],[Product Code]],tblProducts[Code],tblProducts[Unit Cost],0)</f>
        <v>6720000</v>
      </c>
      <c r="O5794" s="4" t="s">
        <v>4867</v>
      </c>
      <c r="P5794" s="4" t="s">
        <v>4860</v>
      </c>
      <c r="Q5794" s="1" t="str">
        <f>_xlfn.XLOOKUP(tblSales[[#This Row],[Channel Code]],tblChannels[Channel Code],tblChannels[Channel Name],"")</f>
        <v>In-store</v>
      </c>
      <c r="R5794" s="1">
        <f>MONTH(tblSales[[#This Row],[Date]])</f>
        <v>12</v>
      </c>
    </row>
    <row r="5795" spans="2:18" x14ac:dyDescent="0.35">
      <c r="B5795" s="113">
        <v>46369</v>
      </c>
      <c r="C5795" s="4" t="s">
        <v>3970</v>
      </c>
      <c r="D5795" s="4" t="s">
        <v>4568</v>
      </c>
      <c r="E5795" s="1" t="str">
        <f>_xlfn.XLOOKUP(tblSales[[#This Row],[Customer ID]],tblCustomers[Customer ID],tblCustomers[Customer Name],"⚠ Unknown")</f>
        <v>Walk-in Customer</v>
      </c>
      <c r="F5795" s="4" t="s">
        <v>6</v>
      </c>
      <c r="G5795" s="1" t="str">
        <f>_xlfn.XLOOKUP(tblSales[[#This Row],[Product Code]],tblProducts[Code],tblProducts[Product / Service Name],"⚠ Unknown")</f>
        <v>Socks &amp; Accessories</v>
      </c>
      <c r="H5795" s="1" t="str">
        <f>_xlfn.XLOOKUP(tblSales[[#This Row],[Product Code]],tblProducts[Code],tblProducts[Category],"")</f>
        <v>Accessories &amp; Basics</v>
      </c>
      <c r="I5795" s="4">
        <v>8</v>
      </c>
      <c r="J5795" s="5">
        <f>_xlfn.XLOOKUP(tblSales[[#This Row],[Product Code]],tblProducts[Code],tblProducts[Selling Price (excl. VAT)],0)</f>
        <v>45000</v>
      </c>
      <c r="K5795" s="5">
        <f>tblSales[[#This Row],[Qty]]*tblSales[[#This Row],[Unit Price]]</f>
        <v>360000</v>
      </c>
      <c r="L5795" s="5">
        <f>ROUND(tblSales[[#This Row],[DPP (excl. VAT)]]*VATEff,0)</f>
        <v>39600</v>
      </c>
      <c r="M5795" s="5">
        <f>tblSales[[#This Row],[DPP (excl. VAT)]]+tblSales[[#This Row],[Output VAT]]</f>
        <v>399600</v>
      </c>
      <c r="N5795" s="5">
        <f>tblSales[[#This Row],[Qty]]*_xlfn.XLOOKUP(tblSales[[#This Row],[Product Code]],tblProducts[Code],tblProducts[Unit Cost],0)</f>
        <v>192000</v>
      </c>
      <c r="O5795" s="4" t="s">
        <v>4866</v>
      </c>
      <c r="P5795" s="4" t="s">
        <v>4860</v>
      </c>
      <c r="Q5795" s="1" t="str">
        <f>_xlfn.XLOOKUP(tblSales[[#This Row],[Channel Code]],tblChannels[Channel Code],tblChannels[Channel Name],"")</f>
        <v>In-store</v>
      </c>
      <c r="R5795" s="1">
        <f>MONTH(tblSales[[#This Row],[Date]])</f>
        <v>12</v>
      </c>
    </row>
    <row r="5796" spans="2:18" x14ac:dyDescent="0.35">
      <c r="B5796" s="113">
        <v>46369</v>
      </c>
      <c r="C5796" s="4" t="s">
        <v>3970</v>
      </c>
      <c r="D5796" s="4" t="s">
        <v>4568</v>
      </c>
      <c r="E5796" s="1" t="str">
        <f>_xlfn.XLOOKUP(tblSales[[#This Row],[Customer ID]],tblCustomers[Customer ID],tblCustomers[Customer Name],"⚠ Unknown")</f>
        <v>Walk-in Customer</v>
      </c>
      <c r="F5796" s="4" t="s">
        <v>7</v>
      </c>
      <c r="G5796" s="1" t="str">
        <f>_xlfn.XLOOKUP(tblSales[[#This Row],[Product Code]],tblProducts[Code],tblProducts[Product / Service Name],"⚠ Unknown")</f>
        <v>Premium Basic T-shirt</v>
      </c>
      <c r="H5796" s="1" t="str">
        <f>_xlfn.XLOOKUP(tblSales[[#This Row],[Product Code]],tblProducts[Code],tblProducts[Category],"")</f>
        <v>Accessories &amp; Basics</v>
      </c>
      <c r="I5796" s="4">
        <v>5</v>
      </c>
      <c r="J5796" s="5">
        <f>_xlfn.XLOOKUP(tblSales[[#This Row],[Product Code]],tblProducts[Code],tblProducts[Selling Price (excl. VAT)],0)</f>
        <v>65000</v>
      </c>
      <c r="K5796" s="5">
        <f>tblSales[[#This Row],[Qty]]*tblSales[[#This Row],[Unit Price]]</f>
        <v>325000</v>
      </c>
      <c r="L5796" s="5">
        <f>ROUND(tblSales[[#This Row],[DPP (excl. VAT)]]*VATEff,0)</f>
        <v>35750</v>
      </c>
      <c r="M5796" s="5">
        <f>tblSales[[#This Row],[DPP (excl. VAT)]]+tblSales[[#This Row],[Output VAT]]</f>
        <v>360750</v>
      </c>
      <c r="N5796" s="5">
        <f>tblSales[[#This Row],[Qty]]*_xlfn.XLOOKUP(tblSales[[#This Row],[Product Code]],tblProducts[Code],tblProducts[Unit Cost],0)</f>
        <v>185000</v>
      </c>
      <c r="O5796" s="4" t="s">
        <v>4866</v>
      </c>
      <c r="P5796" s="4" t="s">
        <v>4860</v>
      </c>
      <c r="Q5796" s="1" t="str">
        <f>_xlfn.XLOOKUP(tblSales[[#This Row],[Channel Code]],tblChannels[Channel Code],tblChannels[Channel Name],"")</f>
        <v>In-store</v>
      </c>
      <c r="R5796" s="1">
        <f>MONTH(tblSales[[#This Row],[Date]])</f>
        <v>12</v>
      </c>
    </row>
    <row r="5797" spans="2:18" x14ac:dyDescent="0.35">
      <c r="B5797" s="113">
        <v>46369</v>
      </c>
      <c r="C5797" s="4" t="s">
        <v>3971</v>
      </c>
      <c r="D5797" s="4" t="s">
        <v>4568</v>
      </c>
      <c r="E5797" s="1" t="str">
        <f>_xlfn.XLOOKUP(tblSales[[#This Row],[Customer ID]],tblCustomers[Customer ID],tblCustomers[Customer Name],"⚠ Unknown")</f>
        <v>Walk-in Customer</v>
      </c>
      <c r="F5797" s="4" t="s">
        <v>15</v>
      </c>
      <c r="G5797" s="1" t="str">
        <f>_xlfn.XLOOKUP(tblSales[[#This Row],[Product Code]],tblProducts[Code],tblProducts[Product / Service Name],"⚠ Unknown")</f>
        <v>Wireless Earbuds Pro</v>
      </c>
      <c r="H5797" s="1" t="str">
        <f>_xlfn.XLOOKUP(tblSales[[#This Row],[Product Code]],tblProducts[Code],tblProducts[Category],"")</f>
        <v>Bags &amp; Gadgets</v>
      </c>
      <c r="I5797" s="4">
        <v>2</v>
      </c>
      <c r="J5797" s="5">
        <f>_xlfn.XLOOKUP(tblSales[[#This Row],[Product Code]],tblProducts[Code],tblProducts[Selling Price (excl. VAT)],0)</f>
        <v>1250000</v>
      </c>
      <c r="K5797" s="5">
        <f>tblSales[[#This Row],[Qty]]*tblSales[[#This Row],[Unit Price]]</f>
        <v>2500000</v>
      </c>
      <c r="L5797" s="5">
        <f>ROUND(tblSales[[#This Row],[DPP (excl. VAT)]]*VATEff,0)</f>
        <v>275000</v>
      </c>
      <c r="M5797" s="5">
        <f>tblSales[[#This Row],[DPP (excl. VAT)]]+tblSales[[#This Row],[Output VAT]]</f>
        <v>2775000</v>
      </c>
      <c r="N5797" s="5">
        <f>tblSales[[#This Row],[Qty]]*_xlfn.XLOOKUP(tblSales[[#This Row],[Product Code]],tblProducts[Code],tblProducts[Unit Cost],0)</f>
        <v>1640000</v>
      </c>
      <c r="O5797" s="4" t="s">
        <v>4865</v>
      </c>
      <c r="P5797" s="4" t="s">
        <v>4860</v>
      </c>
      <c r="Q5797" s="1" t="str">
        <f>_xlfn.XLOOKUP(tblSales[[#This Row],[Channel Code]],tblChannels[Channel Code],tblChannels[Channel Name],"")</f>
        <v>In-store</v>
      </c>
      <c r="R5797" s="1">
        <f>MONTH(tblSales[[#This Row],[Date]])</f>
        <v>12</v>
      </c>
    </row>
    <row r="5798" spans="2:18" x14ac:dyDescent="0.35">
      <c r="B5798" s="113">
        <v>46369</v>
      </c>
      <c r="C5798" s="4" t="s">
        <v>3972</v>
      </c>
      <c r="D5798" s="4" t="s">
        <v>4613</v>
      </c>
      <c r="E5798" s="1" t="str">
        <f>_xlfn.XLOOKUP(tblSales[[#This Row],[Customer ID]],tblCustomers[Customer ID],tblCustomers[Customer Name],"⚠ Unknown")</f>
        <v>PT Mega Prima Distribusi</v>
      </c>
      <c r="F5798" s="4" t="s">
        <v>7</v>
      </c>
      <c r="G5798" s="1" t="str">
        <f>_xlfn.XLOOKUP(tblSales[[#This Row],[Product Code]],tblProducts[Code],tblProducts[Product / Service Name],"⚠ Unknown")</f>
        <v>Premium Basic T-shirt</v>
      </c>
      <c r="H5798" s="1" t="str">
        <f>_xlfn.XLOOKUP(tblSales[[#This Row],[Product Code]],tblProducts[Code],tblProducts[Category],"")</f>
        <v>Accessories &amp; Basics</v>
      </c>
      <c r="I5798" s="4">
        <v>8</v>
      </c>
      <c r="J5798" s="5">
        <f>_xlfn.XLOOKUP(tblSales[[#This Row],[Product Code]],tblProducts[Code],tblProducts[Selling Price (excl. VAT)],0)</f>
        <v>65000</v>
      </c>
      <c r="K5798" s="5">
        <f>tblSales[[#This Row],[Qty]]*tblSales[[#This Row],[Unit Price]]</f>
        <v>520000</v>
      </c>
      <c r="L5798" s="5">
        <f>ROUND(tblSales[[#This Row],[DPP (excl. VAT)]]*VATEff,0)</f>
        <v>57200</v>
      </c>
      <c r="M5798" s="5">
        <f>tblSales[[#This Row],[DPP (excl. VAT)]]+tblSales[[#This Row],[Output VAT]]</f>
        <v>577200</v>
      </c>
      <c r="N5798" s="5">
        <f>tblSales[[#This Row],[Qty]]*_xlfn.XLOOKUP(tblSales[[#This Row],[Product Code]],tblProducts[Code],tblProducts[Unit Cost],0)</f>
        <v>296000</v>
      </c>
      <c r="O5798" s="4" t="s">
        <v>4867</v>
      </c>
      <c r="P5798" s="4" t="s">
        <v>4860</v>
      </c>
      <c r="Q5798" s="1" t="str">
        <f>_xlfn.XLOOKUP(tblSales[[#This Row],[Channel Code]],tblChannels[Channel Code],tblChannels[Channel Name],"")</f>
        <v>In-store</v>
      </c>
      <c r="R5798" s="1">
        <f>MONTH(tblSales[[#This Row],[Date]])</f>
        <v>12</v>
      </c>
    </row>
    <row r="5799" spans="2:18" x14ac:dyDescent="0.35">
      <c r="B5799" s="113">
        <v>46369</v>
      </c>
      <c r="C5799" s="4" t="s">
        <v>3972</v>
      </c>
      <c r="D5799" s="4" t="s">
        <v>4613</v>
      </c>
      <c r="E5799" s="1" t="str">
        <f>_xlfn.XLOOKUP(tblSales[[#This Row],[Customer ID]],tblCustomers[Customer ID],tblCustomers[Customer Name],"⚠ Unknown")</f>
        <v>PT Mega Prima Distribusi</v>
      </c>
      <c r="F5799" s="4" t="s">
        <v>12</v>
      </c>
      <c r="G5799" s="1" t="str">
        <f>_xlfn.XLOOKUP(tblSales[[#This Row],[Product Code]],tblProducts[Code],tblProducts[Product / Service Name],"⚠ Unknown")</f>
        <v>Bomber Jacket</v>
      </c>
      <c r="H5799" s="1" t="str">
        <f>_xlfn.XLOOKUP(tblSales[[#This Row],[Product Code]],tblProducts[Code],tblProducts[Category],"")</f>
        <v>Apparel &amp; Footwear</v>
      </c>
      <c r="I5799" s="4">
        <v>8</v>
      </c>
      <c r="J5799" s="5">
        <f>_xlfn.XLOOKUP(tblSales[[#This Row],[Product Code]],tblProducts[Code],tblProducts[Selling Price (excl. VAT)],0)</f>
        <v>350000</v>
      </c>
      <c r="K5799" s="5">
        <f>tblSales[[#This Row],[Qty]]*tblSales[[#This Row],[Unit Price]]</f>
        <v>2800000</v>
      </c>
      <c r="L5799" s="5">
        <f>ROUND(tblSales[[#This Row],[DPP (excl. VAT)]]*VATEff,0)</f>
        <v>308000</v>
      </c>
      <c r="M5799" s="5">
        <f>tblSales[[#This Row],[DPP (excl. VAT)]]+tblSales[[#This Row],[Output VAT]]</f>
        <v>3108000</v>
      </c>
      <c r="N5799" s="5">
        <f>tblSales[[#This Row],[Qty]]*_xlfn.XLOOKUP(tblSales[[#This Row],[Product Code]],tblProducts[Code],tblProducts[Unit Cost],0)</f>
        <v>1680000</v>
      </c>
      <c r="O5799" s="4" t="s">
        <v>4867</v>
      </c>
      <c r="P5799" s="4" t="s">
        <v>4860</v>
      </c>
      <c r="Q5799" s="1" t="str">
        <f>_xlfn.XLOOKUP(tblSales[[#This Row],[Channel Code]],tblChannels[Channel Code],tblChannels[Channel Name],"")</f>
        <v>In-store</v>
      </c>
      <c r="R5799" s="1">
        <f>MONTH(tblSales[[#This Row],[Date]])</f>
        <v>12</v>
      </c>
    </row>
    <row r="5800" spans="2:18" x14ac:dyDescent="0.35">
      <c r="B5800" s="113">
        <v>46369</v>
      </c>
      <c r="C5800" s="4" t="s">
        <v>3973</v>
      </c>
      <c r="D5800" s="4" t="s">
        <v>4641</v>
      </c>
      <c r="E5800" s="1" t="str">
        <f>_xlfn.XLOOKUP(tblSales[[#This Row],[Customer ID]],tblCustomers[Customer ID],tblCustomers[Customer Name],"⚠ Unknown")</f>
        <v>PT Harmoni Pangan Lestari</v>
      </c>
      <c r="F5800" s="4" t="s">
        <v>11</v>
      </c>
      <c r="G5800" s="1" t="str">
        <f>_xlfn.XLOOKUP(tblSales[[#This Row],[Product Code]],tblProducts[Code],tblProducts[Product / Service Name],"⚠ Unknown")</f>
        <v>Sneakers</v>
      </c>
      <c r="H5800" s="1" t="str">
        <f>_xlfn.XLOOKUP(tblSales[[#This Row],[Product Code]],tblProducts[Code],tblProducts[Category],"")</f>
        <v>Apparel &amp; Footwear</v>
      </c>
      <c r="I5800" s="4">
        <v>32</v>
      </c>
      <c r="J5800" s="5">
        <f>_xlfn.XLOOKUP(tblSales[[#This Row],[Product Code]],tblProducts[Code],tblProducts[Selling Price (excl. VAT)],0)</f>
        <v>250000</v>
      </c>
      <c r="K5800" s="5">
        <f>tblSales[[#This Row],[Qty]]*tblSales[[#This Row],[Unit Price]]</f>
        <v>8000000</v>
      </c>
      <c r="L5800" s="5">
        <f>ROUND(tblSales[[#This Row],[DPP (excl. VAT)]]*VATEff,0)</f>
        <v>880000</v>
      </c>
      <c r="M5800" s="5">
        <f>tblSales[[#This Row],[DPP (excl. VAT)]]+tblSales[[#This Row],[Output VAT]]</f>
        <v>8880000</v>
      </c>
      <c r="N5800" s="5">
        <f>tblSales[[#This Row],[Qty]]*_xlfn.XLOOKUP(tblSales[[#This Row],[Product Code]],tblProducts[Code],tblProducts[Unit Cost],0)</f>
        <v>4960000</v>
      </c>
      <c r="O5800" s="4" t="s">
        <v>4867</v>
      </c>
      <c r="P5800" s="4" t="s">
        <v>4860</v>
      </c>
      <c r="Q5800" s="1" t="str">
        <f>_xlfn.XLOOKUP(tblSales[[#This Row],[Channel Code]],tblChannels[Channel Code],tblChannels[Channel Name],"")</f>
        <v>In-store</v>
      </c>
      <c r="R5800" s="1">
        <f>MONTH(tblSales[[#This Row],[Date]])</f>
        <v>12</v>
      </c>
    </row>
    <row r="5801" spans="2:18" x14ac:dyDescent="0.35">
      <c r="B5801" s="113">
        <v>46369</v>
      </c>
      <c r="C5801" s="4" t="s">
        <v>3973</v>
      </c>
      <c r="D5801" s="4" t="s">
        <v>4641</v>
      </c>
      <c r="E5801" s="1" t="str">
        <f>_xlfn.XLOOKUP(tblSales[[#This Row],[Customer ID]],tblCustomers[Customer ID],tblCustomers[Customer Name],"⚠ Unknown")</f>
        <v>PT Harmoni Pangan Lestari</v>
      </c>
      <c r="F5801" s="4" t="s">
        <v>9</v>
      </c>
      <c r="G5801" s="1" t="str">
        <f>_xlfn.XLOOKUP(tblSales[[#This Row],[Product Code]],tblProducts[Code],tblProducts[Product / Service Name],"⚠ Unknown")</f>
        <v>Casual Shirt</v>
      </c>
      <c r="H5801" s="1" t="str">
        <f>_xlfn.XLOOKUP(tblSales[[#This Row],[Product Code]],tblProducts[Code],tblProducts[Category],"")</f>
        <v>Apparel &amp; Footwear</v>
      </c>
      <c r="I5801" s="4">
        <v>64</v>
      </c>
      <c r="J5801" s="5">
        <f>_xlfn.XLOOKUP(tblSales[[#This Row],[Product Code]],tblProducts[Code],tblProducts[Selling Price (excl. VAT)],0)</f>
        <v>120000</v>
      </c>
      <c r="K5801" s="5">
        <f>tblSales[[#This Row],[Qty]]*tblSales[[#This Row],[Unit Price]]</f>
        <v>7680000</v>
      </c>
      <c r="L5801" s="5">
        <f>ROUND(tblSales[[#This Row],[DPP (excl. VAT)]]*VATEff,0)</f>
        <v>844800</v>
      </c>
      <c r="M5801" s="5">
        <f>tblSales[[#This Row],[DPP (excl. VAT)]]+tblSales[[#This Row],[Output VAT]]</f>
        <v>8524800</v>
      </c>
      <c r="N5801" s="5">
        <f>tblSales[[#This Row],[Qty]]*_xlfn.XLOOKUP(tblSales[[#This Row],[Product Code]],tblProducts[Code],tblProducts[Unit Cost],0)</f>
        <v>4608000</v>
      </c>
      <c r="O5801" s="4" t="s">
        <v>4867</v>
      </c>
      <c r="P5801" s="4" t="s">
        <v>4860</v>
      </c>
      <c r="Q5801" s="1" t="str">
        <f>_xlfn.XLOOKUP(tblSales[[#This Row],[Channel Code]],tblChannels[Channel Code],tblChannels[Channel Name],"")</f>
        <v>In-store</v>
      </c>
      <c r="R5801" s="1">
        <f>MONTH(tblSales[[#This Row],[Date]])</f>
        <v>12</v>
      </c>
    </row>
    <row r="5802" spans="2:18" x14ac:dyDescent="0.35">
      <c r="B5802" s="113">
        <v>46369</v>
      </c>
      <c r="C5802" s="4" t="s">
        <v>3974</v>
      </c>
      <c r="D5802" s="4" t="s">
        <v>4568</v>
      </c>
      <c r="E5802" s="1" t="str">
        <f>_xlfn.XLOOKUP(tblSales[[#This Row],[Customer ID]],tblCustomers[Customer ID],tblCustomers[Customer Name],"⚠ Unknown")</f>
        <v>Walk-in Customer</v>
      </c>
      <c r="F5802" s="4" t="s">
        <v>13</v>
      </c>
      <c r="G5802" s="1" t="str">
        <f>_xlfn.XLOOKUP(tblSales[[#This Row],[Product Code]],tblProducts[Code],tblProducts[Product / Service Name],"⚠ Unknown")</f>
        <v>Backpack</v>
      </c>
      <c r="H5802" s="1" t="str">
        <f>_xlfn.XLOOKUP(tblSales[[#This Row],[Product Code]],tblProducts[Code],tblProducts[Category],"")</f>
        <v>Bags &amp; Gadgets</v>
      </c>
      <c r="I5802" s="4">
        <v>2</v>
      </c>
      <c r="J5802" s="5">
        <f>_xlfn.XLOOKUP(tblSales[[#This Row],[Product Code]],tblProducts[Code],tblProducts[Selling Price (excl. VAT)],0)</f>
        <v>500000</v>
      </c>
      <c r="K5802" s="5">
        <f>tblSales[[#This Row],[Qty]]*tblSales[[#This Row],[Unit Price]]</f>
        <v>1000000</v>
      </c>
      <c r="L5802" s="5">
        <f>ROUND(tblSales[[#This Row],[DPP (excl. VAT)]]*VATEff,0)</f>
        <v>110000</v>
      </c>
      <c r="M5802" s="5">
        <f>tblSales[[#This Row],[DPP (excl. VAT)]]+tblSales[[#This Row],[Output VAT]]</f>
        <v>1110000</v>
      </c>
      <c r="N5802" s="5">
        <f>tblSales[[#This Row],[Qty]]*_xlfn.XLOOKUP(tblSales[[#This Row],[Product Code]],tblProducts[Code],tblProducts[Unit Cost],0)</f>
        <v>580000</v>
      </c>
      <c r="O5802" s="4" t="s">
        <v>4865</v>
      </c>
      <c r="P5802" s="4" t="s">
        <v>4860</v>
      </c>
      <c r="Q5802" s="1" t="str">
        <f>_xlfn.XLOOKUP(tblSales[[#This Row],[Channel Code]],tblChannels[Channel Code],tblChannels[Channel Name],"")</f>
        <v>In-store</v>
      </c>
      <c r="R5802" s="1">
        <f>MONTH(tblSales[[#This Row],[Date]])</f>
        <v>12</v>
      </c>
    </row>
    <row r="5803" spans="2:18" x14ac:dyDescent="0.35">
      <c r="B5803" s="113">
        <v>46369</v>
      </c>
      <c r="C5803" s="4" t="s">
        <v>3974</v>
      </c>
      <c r="D5803" s="4" t="s">
        <v>4568</v>
      </c>
      <c r="E5803" s="1" t="str">
        <f>_xlfn.XLOOKUP(tblSales[[#This Row],[Customer ID]],tblCustomers[Customer ID],tblCustomers[Customer Name],"⚠ Unknown")</f>
        <v>Walk-in Customer</v>
      </c>
      <c r="F5803" s="4" t="s">
        <v>6</v>
      </c>
      <c r="G5803" s="1" t="str">
        <f>_xlfn.XLOOKUP(tblSales[[#This Row],[Product Code]],tblProducts[Code],tblProducts[Product / Service Name],"⚠ Unknown")</f>
        <v>Socks &amp; Accessories</v>
      </c>
      <c r="H5803" s="1" t="str">
        <f>_xlfn.XLOOKUP(tblSales[[#This Row],[Product Code]],tblProducts[Code],tblProducts[Category],"")</f>
        <v>Accessories &amp; Basics</v>
      </c>
      <c r="I5803" s="4">
        <v>3</v>
      </c>
      <c r="J5803" s="5">
        <f>_xlfn.XLOOKUP(tblSales[[#This Row],[Product Code]],tblProducts[Code],tblProducts[Selling Price (excl. VAT)],0)</f>
        <v>45000</v>
      </c>
      <c r="K5803" s="5">
        <f>tblSales[[#This Row],[Qty]]*tblSales[[#This Row],[Unit Price]]</f>
        <v>135000</v>
      </c>
      <c r="L5803" s="5">
        <f>ROUND(tblSales[[#This Row],[DPP (excl. VAT)]]*VATEff,0)</f>
        <v>14850</v>
      </c>
      <c r="M5803" s="5">
        <f>tblSales[[#This Row],[DPP (excl. VAT)]]+tblSales[[#This Row],[Output VAT]]</f>
        <v>149850</v>
      </c>
      <c r="N5803" s="5">
        <f>tblSales[[#This Row],[Qty]]*_xlfn.XLOOKUP(tblSales[[#This Row],[Product Code]],tblProducts[Code],tblProducts[Unit Cost],0)</f>
        <v>72000</v>
      </c>
      <c r="O5803" s="4" t="s">
        <v>4865</v>
      </c>
      <c r="P5803" s="4" t="s">
        <v>4860</v>
      </c>
      <c r="Q5803" s="1" t="str">
        <f>_xlfn.XLOOKUP(tblSales[[#This Row],[Channel Code]],tblChannels[Channel Code],tblChannels[Channel Name],"")</f>
        <v>In-store</v>
      </c>
      <c r="R5803" s="1">
        <f>MONTH(tblSales[[#This Row],[Date]])</f>
        <v>12</v>
      </c>
    </row>
    <row r="5804" spans="2:18" x14ac:dyDescent="0.35">
      <c r="B5804" s="113">
        <v>46369</v>
      </c>
      <c r="C5804" s="4" t="s">
        <v>3975</v>
      </c>
      <c r="D5804" s="4" t="s">
        <v>4568</v>
      </c>
      <c r="E5804" s="1" t="str">
        <f>_xlfn.XLOOKUP(tblSales[[#This Row],[Customer ID]],tblCustomers[Customer ID],tblCustomers[Customer Name],"⚠ Unknown")</f>
        <v>Walk-in Customer</v>
      </c>
      <c r="F5804" s="4" t="s">
        <v>13</v>
      </c>
      <c r="G5804" s="1" t="str">
        <f>_xlfn.XLOOKUP(tblSales[[#This Row],[Product Code]],tblProducts[Code],tblProducts[Product / Service Name],"⚠ Unknown")</f>
        <v>Backpack</v>
      </c>
      <c r="H5804" s="1" t="str">
        <f>_xlfn.XLOOKUP(tblSales[[#This Row],[Product Code]],tblProducts[Code],tblProducts[Category],"")</f>
        <v>Bags &amp; Gadgets</v>
      </c>
      <c r="I5804" s="4">
        <v>6</v>
      </c>
      <c r="J5804" s="5">
        <f>_xlfn.XLOOKUP(tblSales[[#This Row],[Product Code]],tblProducts[Code],tblProducts[Selling Price (excl. VAT)],0)</f>
        <v>500000</v>
      </c>
      <c r="K5804" s="5">
        <f>tblSales[[#This Row],[Qty]]*tblSales[[#This Row],[Unit Price]]</f>
        <v>3000000</v>
      </c>
      <c r="L5804" s="5">
        <f>ROUND(tblSales[[#This Row],[DPP (excl. VAT)]]*VATEff,0)</f>
        <v>330000</v>
      </c>
      <c r="M5804" s="5">
        <f>tblSales[[#This Row],[DPP (excl. VAT)]]+tblSales[[#This Row],[Output VAT]]</f>
        <v>3330000</v>
      </c>
      <c r="N5804" s="5">
        <f>tblSales[[#This Row],[Qty]]*_xlfn.XLOOKUP(tblSales[[#This Row],[Product Code]],tblProducts[Code],tblProducts[Unit Cost],0)</f>
        <v>1740000</v>
      </c>
      <c r="O5804" s="4" t="s">
        <v>4866</v>
      </c>
      <c r="P5804" s="4" t="s">
        <v>4861</v>
      </c>
      <c r="Q5804" s="1" t="str">
        <f>_xlfn.XLOOKUP(tblSales[[#This Row],[Channel Code]],tblChannels[Channel Code],tblChannels[Channel Name],"")</f>
        <v>Marketplace</v>
      </c>
      <c r="R5804" s="1">
        <f>MONTH(tblSales[[#This Row],[Date]])</f>
        <v>12</v>
      </c>
    </row>
    <row r="5805" spans="2:18" x14ac:dyDescent="0.35">
      <c r="B5805" s="113">
        <v>46369</v>
      </c>
      <c r="C5805" s="4" t="s">
        <v>3975</v>
      </c>
      <c r="D5805" s="4" t="s">
        <v>4568</v>
      </c>
      <c r="E5805" s="1" t="str">
        <f>_xlfn.XLOOKUP(tblSales[[#This Row],[Customer ID]],tblCustomers[Customer ID],tblCustomers[Customer Name],"⚠ Unknown")</f>
        <v>Walk-in Customer</v>
      </c>
      <c r="F5805" s="4" t="s">
        <v>8</v>
      </c>
      <c r="G5805" s="1" t="str">
        <f>_xlfn.XLOOKUP(tblSales[[#This Row],[Product Code]],tblProducts[Code],tblProducts[Product / Service Name],"⚠ Unknown")</f>
        <v>Casual Shorts</v>
      </c>
      <c r="H5805" s="1" t="str">
        <f>_xlfn.XLOOKUP(tblSales[[#This Row],[Product Code]],tblProducts[Code],tblProducts[Category],"")</f>
        <v>Accessories &amp; Basics</v>
      </c>
      <c r="I5805" s="4">
        <v>3</v>
      </c>
      <c r="J5805" s="5">
        <f>_xlfn.XLOOKUP(tblSales[[#This Row],[Product Code]],tblProducts[Code],tblProducts[Selling Price (excl. VAT)],0)</f>
        <v>85000</v>
      </c>
      <c r="K5805" s="5">
        <f>tblSales[[#This Row],[Qty]]*tblSales[[#This Row],[Unit Price]]</f>
        <v>255000</v>
      </c>
      <c r="L5805" s="5">
        <f>ROUND(tblSales[[#This Row],[DPP (excl. VAT)]]*VATEff,0)</f>
        <v>28050</v>
      </c>
      <c r="M5805" s="5">
        <f>tblSales[[#This Row],[DPP (excl. VAT)]]+tblSales[[#This Row],[Output VAT]]</f>
        <v>283050</v>
      </c>
      <c r="N5805" s="5">
        <f>tblSales[[#This Row],[Qty]]*_xlfn.XLOOKUP(tblSales[[#This Row],[Product Code]],tblProducts[Code],tblProducts[Unit Cost],0)</f>
        <v>150000</v>
      </c>
      <c r="O5805" s="4" t="s">
        <v>4866</v>
      </c>
      <c r="P5805" s="4" t="s">
        <v>4861</v>
      </c>
      <c r="Q5805" s="1" t="str">
        <f>_xlfn.XLOOKUP(tblSales[[#This Row],[Channel Code]],tblChannels[Channel Code],tblChannels[Channel Name],"")</f>
        <v>Marketplace</v>
      </c>
      <c r="R5805" s="1">
        <f>MONTH(tblSales[[#This Row],[Date]])</f>
        <v>12</v>
      </c>
    </row>
    <row r="5806" spans="2:18" x14ac:dyDescent="0.35">
      <c r="B5806" s="113">
        <v>46369</v>
      </c>
      <c r="C5806" s="4" t="s">
        <v>3975</v>
      </c>
      <c r="D5806" s="4" t="s">
        <v>4568</v>
      </c>
      <c r="E5806" s="1" t="str">
        <f>_xlfn.XLOOKUP(tblSales[[#This Row],[Customer ID]],tblCustomers[Customer ID],tblCustomers[Customer Name],"⚠ Unknown")</f>
        <v>Walk-in Customer</v>
      </c>
      <c r="F5806" s="4" t="s">
        <v>14</v>
      </c>
      <c r="G5806" s="1" t="str">
        <f>_xlfn.XLOOKUP(tblSales[[#This Row],[Product Code]],tblProducts[Code],tblProducts[Product / Service Name],"⚠ Unknown")</f>
        <v>Smartwatch</v>
      </c>
      <c r="H5806" s="1" t="str">
        <f>_xlfn.XLOOKUP(tblSales[[#This Row],[Product Code]],tblProducts[Code],tblProducts[Category],"")</f>
        <v>Bags &amp; Gadgets</v>
      </c>
      <c r="I5806" s="4">
        <v>3</v>
      </c>
      <c r="J5806" s="5">
        <f>_xlfn.XLOOKUP(tblSales[[#This Row],[Product Code]],tblProducts[Code],tblProducts[Selling Price (excl. VAT)],0)</f>
        <v>850000</v>
      </c>
      <c r="K5806" s="5">
        <f>tblSales[[#This Row],[Qty]]*tblSales[[#This Row],[Unit Price]]</f>
        <v>2550000</v>
      </c>
      <c r="L5806" s="5">
        <f>ROUND(tblSales[[#This Row],[DPP (excl. VAT)]]*VATEff,0)</f>
        <v>280500</v>
      </c>
      <c r="M5806" s="5">
        <f>tblSales[[#This Row],[DPP (excl. VAT)]]+tblSales[[#This Row],[Output VAT]]</f>
        <v>2830500</v>
      </c>
      <c r="N5806" s="5">
        <f>tblSales[[#This Row],[Qty]]*_xlfn.XLOOKUP(tblSales[[#This Row],[Product Code]],tblProducts[Code],tblProducts[Unit Cost],0)</f>
        <v>1680000</v>
      </c>
      <c r="O5806" s="4" t="s">
        <v>4866</v>
      </c>
      <c r="P5806" s="4" t="s">
        <v>4861</v>
      </c>
      <c r="Q5806" s="1" t="str">
        <f>_xlfn.XLOOKUP(tblSales[[#This Row],[Channel Code]],tblChannels[Channel Code],tblChannels[Channel Name],"")</f>
        <v>Marketplace</v>
      </c>
      <c r="R5806" s="1">
        <f>MONTH(tblSales[[#This Row],[Date]])</f>
        <v>12</v>
      </c>
    </row>
    <row r="5807" spans="2:18" x14ac:dyDescent="0.35">
      <c r="B5807" s="113">
        <v>46369</v>
      </c>
      <c r="C5807" s="4" t="s">
        <v>3976</v>
      </c>
      <c r="D5807" s="4" t="s">
        <v>4568</v>
      </c>
      <c r="E5807" s="1" t="str">
        <f>_xlfn.XLOOKUP(tblSales[[#This Row],[Customer ID]],tblCustomers[Customer ID],tblCustomers[Customer Name],"⚠ Unknown")</f>
        <v>Walk-in Customer</v>
      </c>
      <c r="F5807" s="4" t="s">
        <v>7</v>
      </c>
      <c r="G5807" s="1" t="str">
        <f>_xlfn.XLOOKUP(tblSales[[#This Row],[Product Code]],tblProducts[Code],tblProducts[Product / Service Name],"⚠ Unknown")</f>
        <v>Premium Basic T-shirt</v>
      </c>
      <c r="H5807" s="1" t="str">
        <f>_xlfn.XLOOKUP(tblSales[[#This Row],[Product Code]],tblProducts[Code],tblProducts[Category],"")</f>
        <v>Accessories &amp; Basics</v>
      </c>
      <c r="I5807" s="4">
        <v>8</v>
      </c>
      <c r="J5807" s="5">
        <f>_xlfn.XLOOKUP(tblSales[[#This Row],[Product Code]],tblProducts[Code],tblProducts[Selling Price (excl. VAT)],0)</f>
        <v>65000</v>
      </c>
      <c r="K5807" s="5">
        <f>tblSales[[#This Row],[Qty]]*tblSales[[#This Row],[Unit Price]]</f>
        <v>520000</v>
      </c>
      <c r="L5807" s="5">
        <f>ROUND(tblSales[[#This Row],[DPP (excl. VAT)]]*VATEff,0)</f>
        <v>57200</v>
      </c>
      <c r="M5807" s="5">
        <f>tblSales[[#This Row],[DPP (excl. VAT)]]+tblSales[[#This Row],[Output VAT]]</f>
        <v>577200</v>
      </c>
      <c r="N5807" s="5">
        <f>tblSales[[#This Row],[Qty]]*_xlfn.XLOOKUP(tblSales[[#This Row],[Product Code]],tblProducts[Code],tblProducts[Unit Cost],0)</f>
        <v>296000</v>
      </c>
      <c r="O5807" s="4" t="s">
        <v>4865</v>
      </c>
      <c r="P5807" s="4" t="s">
        <v>4860</v>
      </c>
      <c r="Q5807" s="1" t="str">
        <f>_xlfn.XLOOKUP(tblSales[[#This Row],[Channel Code]],tblChannels[Channel Code],tblChannels[Channel Name],"")</f>
        <v>In-store</v>
      </c>
      <c r="R5807" s="1">
        <f>MONTH(tblSales[[#This Row],[Date]])</f>
        <v>12</v>
      </c>
    </row>
    <row r="5808" spans="2:18" x14ac:dyDescent="0.35">
      <c r="B5808" s="113">
        <v>46369</v>
      </c>
      <c r="C5808" s="4" t="s">
        <v>3976</v>
      </c>
      <c r="D5808" s="4" t="s">
        <v>4568</v>
      </c>
      <c r="E5808" s="1" t="str">
        <f>_xlfn.XLOOKUP(tblSales[[#This Row],[Customer ID]],tblCustomers[Customer ID],tblCustomers[Customer Name],"⚠ Unknown")</f>
        <v>Walk-in Customer</v>
      </c>
      <c r="F5808" s="4" t="s">
        <v>6</v>
      </c>
      <c r="G5808" s="1" t="str">
        <f>_xlfn.XLOOKUP(tblSales[[#This Row],[Product Code]],tblProducts[Code],tblProducts[Product / Service Name],"⚠ Unknown")</f>
        <v>Socks &amp; Accessories</v>
      </c>
      <c r="H5808" s="1" t="str">
        <f>_xlfn.XLOOKUP(tblSales[[#This Row],[Product Code]],tblProducts[Code],tblProducts[Category],"")</f>
        <v>Accessories &amp; Basics</v>
      </c>
      <c r="I5808" s="4">
        <v>9</v>
      </c>
      <c r="J5808" s="5">
        <f>_xlfn.XLOOKUP(tblSales[[#This Row],[Product Code]],tblProducts[Code],tblProducts[Selling Price (excl. VAT)],0)</f>
        <v>45000</v>
      </c>
      <c r="K5808" s="5">
        <f>tblSales[[#This Row],[Qty]]*tblSales[[#This Row],[Unit Price]]</f>
        <v>405000</v>
      </c>
      <c r="L5808" s="5">
        <f>ROUND(tblSales[[#This Row],[DPP (excl. VAT)]]*VATEff,0)</f>
        <v>44550</v>
      </c>
      <c r="M5808" s="5">
        <f>tblSales[[#This Row],[DPP (excl. VAT)]]+tblSales[[#This Row],[Output VAT]]</f>
        <v>449550</v>
      </c>
      <c r="N5808" s="5">
        <f>tblSales[[#This Row],[Qty]]*_xlfn.XLOOKUP(tblSales[[#This Row],[Product Code]],tblProducts[Code],tblProducts[Unit Cost],0)</f>
        <v>216000</v>
      </c>
      <c r="O5808" s="4" t="s">
        <v>4865</v>
      </c>
      <c r="P5808" s="4" t="s">
        <v>4860</v>
      </c>
      <c r="Q5808" s="1" t="str">
        <f>_xlfn.XLOOKUP(tblSales[[#This Row],[Channel Code]],tblChannels[Channel Code],tblChannels[Channel Name],"")</f>
        <v>In-store</v>
      </c>
      <c r="R5808" s="1">
        <f>MONTH(tblSales[[#This Row],[Date]])</f>
        <v>12</v>
      </c>
    </row>
    <row r="5809" spans="2:18" x14ac:dyDescent="0.35">
      <c r="B5809" s="113">
        <v>46369</v>
      </c>
      <c r="C5809" s="4" t="s">
        <v>3977</v>
      </c>
      <c r="D5809" s="4" t="s">
        <v>4585</v>
      </c>
      <c r="E5809" s="1" t="str">
        <f>_xlfn.XLOOKUP(tblSales[[#This Row],[Customer ID]],tblCustomers[Customer ID],tblCustomers[Customer Name],"⚠ Unknown")</f>
        <v>CV Mitra Karya Mandiri</v>
      </c>
      <c r="F5809" s="4" t="s">
        <v>9</v>
      </c>
      <c r="G5809" s="1" t="str">
        <f>_xlfn.XLOOKUP(tblSales[[#This Row],[Product Code]],tblProducts[Code],tblProducts[Product / Service Name],"⚠ Unknown")</f>
        <v>Casual Shirt</v>
      </c>
      <c r="H5809" s="1" t="str">
        <f>_xlfn.XLOOKUP(tblSales[[#This Row],[Product Code]],tblProducts[Code],tblProducts[Category],"")</f>
        <v>Apparel &amp; Footwear</v>
      </c>
      <c r="I5809" s="4">
        <v>72</v>
      </c>
      <c r="J5809" s="5">
        <f>_xlfn.XLOOKUP(tblSales[[#This Row],[Product Code]],tblProducts[Code],tblProducts[Selling Price (excl. VAT)],0)</f>
        <v>120000</v>
      </c>
      <c r="K5809" s="5">
        <f>tblSales[[#This Row],[Qty]]*tblSales[[#This Row],[Unit Price]]</f>
        <v>8640000</v>
      </c>
      <c r="L5809" s="5">
        <f>ROUND(tblSales[[#This Row],[DPP (excl. VAT)]]*VATEff,0)</f>
        <v>950400</v>
      </c>
      <c r="M5809" s="5">
        <f>tblSales[[#This Row],[DPP (excl. VAT)]]+tblSales[[#This Row],[Output VAT]]</f>
        <v>9590400</v>
      </c>
      <c r="N5809" s="5">
        <f>tblSales[[#This Row],[Qty]]*_xlfn.XLOOKUP(tblSales[[#This Row],[Product Code]],tblProducts[Code],tblProducts[Unit Cost],0)</f>
        <v>5184000</v>
      </c>
      <c r="O5809" s="4" t="s">
        <v>4867</v>
      </c>
      <c r="P5809" s="4" t="s">
        <v>4860</v>
      </c>
      <c r="Q5809" s="1" t="str">
        <f>_xlfn.XLOOKUP(tblSales[[#This Row],[Channel Code]],tblChannels[Channel Code],tblChannels[Channel Name],"")</f>
        <v>In-store</v>
      </c>
      <c r="R5809" s="1">
        <f>MONTH(tblSales[[#This Row],[Date]])</f>
        <v>12</v>
      </c>
    </row>
    <row r="5810" spans="2:18" x14ac:dyDescent="0.35">
      <c r="B5810" s="113">
        <v>46369</v>
      </c>
      <c r="C5810" s="4" t="s">
        <v>3978</v>
      </c>
      <c r="D5810" s="4" t="s">
        <v>4599</v>
      </c>
      <c r="E5810" s="1" t="str">
        <f>_xlfn.XLOOKUP(tblSales[[#This Row],[Customer ID]],tblCustomers[Customer ID],tblCustomers[Customer Name],"⚠ Unknown")</f>
        <v>PT Samudra Jaya Logistik</v>
      </c>
      <c r="F5810" s="4" t="s">
        <v>14</v>
      </c>
      <c r="G5810" s="1" t="str">
        <f>_xlfn.XLOOKUP(tblSales[[#This Row],[Product Code]],tblProducts[Code],tblProducts[Product / Service Name],"⚠ Unknown")</f>
        <v>Smartwatch</v>
      </c>
      <c r="H5810" s="1" t="str">
        <f>_xlfn.XLOOKUP(tblSales[[#This Row],[Product Code]],tblProducts[Code],tblProducts[Category],"")</f>
        <v>Bags &amp; Gadgets</v>
      </c>
      <c r="I5810" s="4">
        <v>16</v>
      </c>
      <c r="J5810" s="5">
        <f>_xlfn.XLOOKUP(tblSales[[#This Row],[Product Code]],tblProducts[Code],tblProducts[Selling Price (excl. VAT)],0)</f>
        <v>850000</v>
      </c>
      <c r="K5810" s="5">
        <f>tblSales[[#This Row],[Qty]]*tblSales[[#This Row],[Unit Price]]</f>
        <v>13600000</v>
      </c>
      <c r="L5810" s="5">
        <f>ROUND(tblSales[[#This Row],[DPP (excl. VAT)]]*VATEff,0)</f>
        <v>1496000</v>
      </c>
      <c r="M5810" s="5">
        <f>tblSales[[#This Row],[DPP (excl. VAT)]]+tblSales[[#This Row],[Output VAT]]</f>
        <v>15096000</v>
      </c>
      <c r="N5810" s="5">
        <f>tblSales[[#This Row],[Qty]]*_xlfn.XLOOKUP(tblSales[[#This Row],[Product Code]],tblProducts[Code],tblProducts[Unit Cost],0)</f>
        <v>8960000</v>
      </c>
      <c r="O5810" s="4" t="s">
        <v>4867</v>
      </c>
      <c r="P5810" s="4" t="s">
        <v>4860</v>
      </c>
      <c r="Q5810" s="1" t="str">
        <f>_xlfn.XLOOKUP(tblSales[[#This Row],[Channel Code]],tblChannels[Channel Code],tblChannels[Channel Name],"")</f>
        <v>In-store</v>
      </c>
      <c r="R5810" s="1">
        <f>MONTH(tblSales[[#This Row],[Date]])</f>
        <v>12</v>
      </c>
    </row>
    <row r="5811" spans="2:18" x14ac:dyDescent="0.35">
      <c r="B5811" s="113">
        <v>46369</v>
      </c>
      <c r="C5811" s="4" t="s">
        <v>3979</v>
      </c>
      <c r="D5811" s="4" t="s">
        <v>4648</v>
      </c>
      <c r="E5811" s="1" t="str">
        <f>_xlfn.XLOOKUP(tblSales[[#This Row],[Customer ID]],tblCustomers[Customer ID],tblCustomers[Customer Name],"⚠ Unknown")</f>
        <v>PT Lintas Benua Niaga</v>
      </c>
      <c r="F5811" s="4" t="s">
        <v>11</v>
      </c>
      <c r="G5811" s="1" t="str">
        <f>_xlfn.XLOOKUP(tblSales[[#This Row],[Product Code]],tblProducts[Code],tblProducts[Product / Service Name],"⚠ Unknown")</f>
        <v>Sneakers</v>
      </c>
      <c r="H5811" s="1" t="str">
        <f>_xlfn.XLOOKUP(tblSales[[#This Row],[Product Code]],tblProducts[Code],tblProducts[Category],"")</f>
        <v>Apparel &amp; Footwear</v>
      </c>
      <c r="I5811" s="4">
        <v>24</v>
      </c>
      <c r="J5811" s="5">
        <f>_xlfn.XLOOKUP(tblSales[[#This Row],[Product Code]],tblProducts[Code],tblProducts[Selling Price (excl. VAT)],0)</f>
        <v>250000</v>
      </c>
      <c r="K5811" s="5">
        <f>tblSales[[#This Row],[Qty]]*tblSales[[#This Row],[Unit Price]]</f>
        <v>6000000</v>
      </c>
      <c r="L5811" s="5">
        <f>ROUND(tblSales[[#This Row],[DPP (excl. VAT)]]*VATEff,0)</f>
        <v>660000</v>
      </c>
      <c r="M5811" s="5">
        <f>tblSales[[#This Row],[DPP (excl. VAT)]]+tblSales[[#This Row],[Output VAT]]</f>
        <v>6660000</v>
      </c>
      <c r="N5811" s="5">
        <f>tblSales[[#This Row],[Qty]]*_xlfn.XLOOKUP(tblSales[[#This Row],[Product Code]],tblProducts[Code],tblProducts[Unit Cost],0)</f>
        <v>3720000</v>
      </c>
      <c r="O5811" s="4" t="s">
        <v>4867</v>
      </c>
      <c r="P5811" s="4" t="s">
        <v>4860</v>
      </c>
      <c r="Q5811" s="1" t="str">
        <f>_xlfn.XLOOKUP(tblSales[[#This Row],[Channel Code]],tblChannels[Channel Code],tblChannels[Channel Name],"")</f>
        <v>In-store</v>
      </c>
      <c r="R5811" s="1">
        <f>MONTH(tblSales[[#This Row],[Date]])</f>
        <v>12</v>
      </c>
    </row>
    <row r="5812" spans="2:18" x14ac:dyDescent="0.35">
      <c r="B5812" s="113">
        <v>46369</v>
      </c>
      <c r="C5812" s="4" t="s">
        <v>3980</v>
      </c>
      <c r="D5812" s="4" t="s">
        <v>4568</v>
      </c>
      <c r="E5812" s="1" t="str">
        <f>_xlfn.XLOOKUP(tblSales[[#This Row],[Customer ID]],tblCustomers[Customer ID],tblCustomers[Customer Name],"⚠ Unknown")</f>
        <v>Walk-in Customer</v>
      </c>
      <c r="F5812" s="4" t="s">
        <v>10</v>
      </c>
      <c r="G5812" s="1" t="str">
        <f>_xlfn.XLOOKUP(tblSales[[#This Row],[Product Code]],tblProducts[Code],tblProducts[Product / Service Name],"⚠ Unknown")</f>
        <v>Chino Pants</v>
      </c>
      <c r="H5812" s="1" t="str">
        <f>_xlfn.XLOOKUP(tblSales[[#This Row],[Product Code]],tblProducts[Code],tblProducts[Category],"")</f>
        <v>Apparel &amp; Footwear</v>
      </c>
      <c r="I5812" s="4">
        <v>6</v>
      </c>
      <c r="J5812" s="5">
        <f>_xlfn.XLOOKUP(tblSales[[#This Row],[Product Code]],tblProducts[Code],tblProducts[Selling Price (excl. VAT)],0)</f>
        <v>150000</v>
      </c>
      <c r="K5812" s="5">
        <f>tblSales[[#This Row],[Qty]]*tblSales[[#This Row],[Unit Price]]</f>
        <v>900000</v>
      </c>
      <c r="L5812" s="5">
        <f>ROUND(tblSales[[#This Row],[DPP (excl. VAT)]]*VATEff,0)</f>
        <v>99000</v>
      </c>
      <c r="M5812" s="5">
        <f>tblSales[[#This Row],[DPP (excl. VAT)]]+tblSales[[#This Row],[Output VAT]]</f>
        <v>999000</v>
      </c>
      <c r="N5812" s="5">
        <f>tblSales[[#This Row],[Qty]]*_xlfn.XLOOKUP(tblSales[[#This Row],[Product Code]],tblProducts[Code],tblProducts[Unit Cost],0)</f>
        <v>528000</v>
      </c>
      <c r="O5812" s="4" t="s">
        <v>4865</v>
      </c>
      <c r="P5812" s="4" t="s">
        <v>4860</v>
      </c>
      <c r="Q5812" s="1" t="str">
        <f>_xlfn.XLOOKUP(tblSales[[#This Row],[Channel Code]],tblChannels[Channel Code],tblChannels[Channel Name],"")</f>
        <v>In-store</v>
      </c>
      <c r="R5812" s="1">
        <f>MONTH(tblSales[[#This Row],[Date]])</f>
        <v>12</v>
      </c>
    </row>
    <row r="5813" spans="2:18" x14ac:dyDescent="0.35">
      <c r="B5813" s="113">
        <v>46369</v>
      </c>
      <c r="C5813" s="4" t="s">
        <v>3981</v>
      </c>
      <c r="D5813" s="4" t="s">
        <v>4568</v>
      </c>
      <c r="E5813" s="1" t="str">
        <f>_xlfn.XLOOKUP(tblSales[[#This Row],[Customer ID]],tblCustomers[Customer ID],tblCustomers[Customer Name],"⚠ Unknown")</f>
        <v>Walk-in Customer</v>
      </c>
      <c r="F5813" s="4" t="s">
        <v>13</v>
      </c>
      <c r="G5813" s="1" t="str">
        <f>_xlfn.XLOOKUP(tblSales[[#This Row],[Product Code]],tblProducts[Code],tblProducts[Product / Service Name],"⚠ Unknown")</f>
        <v>Backpack</v>
      </c>
      <c r="H5813" s="1" t="str">
        <f>_xlfn.XLOOKUP(tblSales[[#This Row],[Product Code]],tblProducts[Code],tblProducts[Category],"")</f>
        <v>Bags &amp; Gadgets</v>
      </c>
      <c r="I5813" s="4">
        <v>4</v>
      </c>
      <c r="J5813" s="5">
        <f>_xlfn.XLOOKUP(tblSales[[#This Row],[Product Code]],tblProducts[Code],tblProducts[Selling Price (excl. VAT)],0)</f>
        <v>500000</v>
      </c>
      <c r="K5813" s="5">
        <f>tblSales[[#This Row],[Qty]]*tblSales[[#This Row],[Unit Price]]</f>
        <v>2000000</v>
      </c>
      <c r="L5813" s="5">
        <f>ROUND(tblSales[[#This Row],[DPP (excl. VAT)]]*VATEff,0)</f>
        <v>220000</v>
      </c>
      <c r="M5813" s="5">
        <f>tblSales[[#This Row],[DPP (excl. VAT)]]+tblSales[[#This Row],[Output VAT]]</f>
        <v>2220000</v>
      </c>
      <c r="N5813" s="5">
        <f>tblSales[[#This Row],[Qty]]*_xlfn.XLOOKUP(tblSales[[#This Row],[Product Code]],tblProducts[Code],tblProducts[Unit Cost],0)</f>
        <v>1160000</v>
      </c>
      <c r="O5813" s="4" t="s">
        <v>4865</v>
      </c>
      <c r="P5813" s="4" t="s">
        <v>4860</v>
      </c>
      <c r="Q5813" s="1" t="str">
        <f>_xlfn.XLOOKUP(tblSales[[#This Row],[Channel Code]],tblChannels[Channel Code],tblChannels[Channel Name],"")</f>
        <v>In-store</v>
      </c>
      <c r="R5813" s="1">
        <f>MONTH(tblSales[[#This Row],[Date]])</f>
        <v>12</v>
      </c>
    </row>
    <row r="5814" spans="2:18" x14ac:dyDescent="0.35">
      <c r="B5814" s="113">
        <v>46369</v>
      </c>
      <c r="C5814" s="4" t="s">
        <v>3981</v>
      </c>
      <c r="D5814" s="4" t="s">
        <v>4568</v>
      </c>
      <c r="E5814" s="1" t="str">
        <f>_xlfn.XLOOKUP(tblSales[[#This Row],[Customer ID]],tblCustomers[Customer ID],tblCustomers[Customer Name],"⚠ Unknown")</f>
        <v>Walk-in Customer</v>
      </c>
      <c r="F5814" s="4" t="s">
        <v>7</v>
      </c>
      <c r="G5814" s="1" t="str">
        <f>_xlfn.XLOOKUP(tblSales[[#This Row],[Product Code]],tblProducts[Code],tblProducts[Product / Service Name],"⚠ Unknown")</f>
        <v>Premium Basic T-shirt</v>
      </c>
      <c r="H5814" s="1" t="str">
        <f>_xlfn.XLOOKUP(tblSales[[#This Row],[Product Code]],tblProducts[Code],tblProducts[Category],"")</f>
        <v>Accessories &amp; Basics</v>
      </c>
      <c r="I5814" s="4">
        <v>4</v>
      </c>
      <c r="J5814" s="5">
        <f>_xlfn.XLOOKUP(tblSales[[#This Row],[Product Code]],tblProducts[Code],tblProducts[Selling Price (excl. VAT)],0)</f>
        <v>65000</v>
      </c>
      <c r="K5814" s="5">
        <f>tblSales[[#This Row],[Qty]]*tblSales[[#This Row],[Unit Price]]</f>
        <v>260000</v>
      </c>
      <c r="L5814" s="5">
        <f>ROUND(tblSales[[#This Row],[DPP (excl. VAT)]]*VATEff,0)</f>
        <v>28600</v>
      </c>
      <c r="M5814" s="5">
        <f>tblSales[[#This Row],[DPP (excl. VAT)]]+tblSales[[#This Row],[Output VAT]]</f>
        <v>288600</v>
      </c>
      <c r="N5814" s="5">
        <f>tblSales[[#This Row],[Qty]]*_xlfn.XLOOKUP(tblSales[[#This Row],[Product Code]],tblProducts[Code],tblProducts[Unit Cost],0)</f>
        <v>148000</v>
      </c>
      <c r="O5814" s="4" t="s">
        <v>4865</v>
      </c>
      <c r="P5814" s="4" t="s">
        <v>4860</v>
      </c>
      <c r="Q5814" s="1" t="str">
        <f>_xlfn.XLOOKUP(tblSales[[#This Row],[Channel Code]],tblChannels[Channel Code],tblChannels[Channel Name],"")</f>
        <v>In-store</v>
      </c>
      <c r="R5814" s="1">
        <f>MONTH(tblSales[[#This Row],[Date]])</f>
        <v>12</v>
      </c>
    </row>
    <row r="5815" spans="2:18" x14ac:dyDescent="0.35">
      <c r="B5815" s="113">
        <v>46369</v>
      </c>
      <c r="C5815" s="4" t="s">
        <v>3982</v>
      </c>
      <c r="D5815" s="4" t="s">
        <v>4568</v>
      </c>
      <c r="E5815" s="1" t="str">
        <f>_xlfn.XLOOKUP(tblSales[[#This Row],[Customer ID]],tblCustomers[Customer ID],tblCustomers[Customer Name],"⚠ Unknown")</f>
        <v>Walk-in Customer</v>
      </c>
      <c r="F5815" s="4" t="s">
        <v>13</v>
      </c>
      <c r="G5815" s="1" t="str">
        <f>_xlfn.XLOOKUP(tblSales[[#This Row],[Product Code]],tblProducts[Code],tblProducts[Product / Service Name],"⚠ Unknown")</f>
        <v>Backpack</v>
      </c>
      <c r="H5815" s="1" t="str">
        <f>_xlfn.XLOOKUP(tblSales[[#This Row],[Product Code]],tblProducts[Code],tblProducts[Category],"")</f>
        <v>Bags &amp; Gadgets</v>
      </c>
      <c r="I5815" s="4">
        <v>2</v>
      </c>
      <c r="J5815" s="5">
        <f>_xlfn.XLOOKUP(tblSales[[#This Row],[Product Code]],tblProducts[Code],tblProducts[Selling Price (excl. VAT)],0)</f>
        <v>500000</v>
      </c>
      <c r="K5815" s="5">
        <f>tblSales[[#This Row],[Qty]]*tblSales[[#This Row],[Unit Price]]</f>
        <v>1000000</v>
      </c>
      <c r="L5815" s="5">
        <f>ROUND(tblSales[[#This Row],[DPP (excl. VAT)]]*VATEff,0)</f>
        <v>110000</v>
      </c>
      <c r="M5815" s="5">
        <f>tblSales[[#This Row],[DPP (excl. VAT)]]+tblSales[[#This Row],[Output VAT]]</f>
        <v>1110000</v>
      </c>
      <c r="N5815" s="5">
        <f>tblSales[[#This Row],[Qty]]*_xlfn.XLOOKUP(tblSales[[#This Row],[Product Code]],tblProducts[Code],tblProducts[Unit Cost],0)</f>
        <v>580000</v>
      </c>
      <c r="O5815" s="4" t="s">
        <v>4866</v>
      </c>
      <c r="P5815" s="4" t="s">
        <v>4861</v>
      </c>
      <c r="Q5815" s="1" t="str">
        <f>_xlfn.XLOOKUP(tblSales[[#This Row],[Channel Code]],tblChannels[Channel Code],tblChannels[Channel Name],"")</f>
        <v>Marketplace</v>
      </c>
      <c r="R5815" s="1">
        <f>MONTH(tblSales[[#This Row],[Date]])</f>
        <v>12</v>
      </c>
    </row>
    <row r="5816" spans="2:18" x14ac:dyDescent="0.35">
      <c r="B5816" s="113">
        <v>46369</v>
      </c>
      <c r="C5816" s="4" t="s">
        <v>3983</v>
      </c>
      <c r="D5816" s="4" t="s">
        <v>4568</v>
      </c>
      <c r="E5816" s="1" t="str">
        <f>_xlfn.XLOOKUP(tblSales[[#This Row],[Customer ID]],tblCustomers[Customer ID],tblCustomers[Customer Name],"⚠ Unknown")</f>
        <v>Walk-in Customer</v>
      </c>
      <c r="F5816" s="4" t="s">
        <v>6</v>
      </c>
      <c r="G5816" s="1" t="str">
        <f>_xlfn.XLOOKUP(tblSales[[#This Row],[Product Code]],tblProducts[Code],tblProducts[Product / Service Name],"⚠ Unknown")</f>
        <v>Socks &amp; Accessories</v>
      </c>
      <c r="H5816" s="1" t="str">
        <f>_xlfn.XLOOKUP(tblSales[[#This Row],[Product Code]],tblProducts[Code],tblProducts[Category],"")</f>
        <v>Accessories &amp; Basics</v>
      </c>
      <c r="I5816" s="4">
        <v>9</v>
      </c>
      <c r="J5816" s="5">
        <f>_xlfn.XLOOKUP(tblSales[[#This Row],[Product Code]],tblProducts[Code],tblProducts[Selling Price (excl. VAT)],0)</f>
        <v>45000</v>
      </c>
      <c r="K5816" s="5">
        <f>tblSales[[#This Row],[Qty]]*tblSales[[#This Row],[Unit Price]]</f>
        <v>405000</v>
      </c>
      <c r="L5816" s="5">
        <f>ROUND(tblSales[[#This Row],[DPP (excl. VAT)]]*VATEff,0)</f>
        <v>44550</v>
      </c>
      <c r="M5816" s="5">
        <f>tblSales[[#This Row],[DPP (excl. VAT)]]+tblSales[[#This Row],[Output VAT]]</f>
        <v>449550</v>
      </c>
      <c r="N5816" s="5">
        <f>tblSales[[#This Row],[Qty]]*_xlfn.XLOOKUP(tblSales[[#This Row],[Product Code]],tblProducts[Code],tblProducts[Unit Cost],0)</f>
        <v>216000</v>
      </c>
      <c r="O5816" s="4" t="s">
        <v>4865</v>
      </c>
      <c r="P5816" s="4" t="s">
        <v>4860</v>
      </c>
      <c r="Q5816" s="1" t="str">
        <f>_xlfn.XLOOKUP(tblSales[[#This Row],[Channel Code]],tblChannels[Channel Code],tblChannels[Channel Name],"")</f>
        <v>In-store</v>
      </c>
      <c r="R5816" s="1">
        <f>MONTH(tblSales[[#This Row],[Date]])</f>
        <v>12</v>
      </c>
    </row>
    <row r="5817" spans="2:18" x14ac:dyDescent="0.35">
      <c r="B5817" s="113">
        <v>46369</v>
      </c>
      <c r="C5817" s="4" t="s">
        <v>3983</v>
      </c>
      <c r="D5817" s="4" t="s">
        <v>4568</v>
      </c>
      <c r="E5817" s="1" t="str">
        <f>_xlfn.XLOOKUP(tblSales[[#This Row],[Customer ID]],tblCustomers[Customer ID],tblCustomers[Customer Name],"⚠ Unknown")</f>
        <v>Walk-in Customer</v>
      </c>
      <c r="F5817" s="4" t="s">
        <v>11</v>
      </c>
      <c r="G5817" s="1" t="str">
        <f>_xlfn.XLOOKUP(tblSales[[#This Row],[Product Code]],tblProducts[Code],tblProducts[Product / Service Name],"⚠ Unknown")</f>
        <v>Sneakers</v>
      </c>
      <c r="H5817" s="1" t="str">
        <f>_xlfn.XLOOKUP(tblSales[[#This Row],[Product Code]],tblProducts[Code],tblProducts[Category],"")</f>
        <v>Apparel &amp; Footwear</v>
      </c>
      <c r="I5817" s="4">
        <v>1</v>
      </c>
      <c r="J5817" s="5">
        <f>_xlfn.XLOOKUP(tblSales[[#This Row],[Product Code]],tblProducts[Code],tblProducts[Selling Price (excl. VAT)],0)</f>
        <v>250000</v>
      </c>
      <c r="K5817" s="5">
        <f>tblSales[[#This Row],[Qty]]*tblSales[[#This Row],[Unit Price]]</f>
        <v>250000</v>
      </c>
      <c r="L5817" s="5">
        <f>ROUND(tblSales[[#This Row],[DPP (excl. VAT)]]*VATEff,0)</f>
        <v>27500</v>
      </c>
      <c r="M5817" s="5">
        <f>tblSales[[#This Row],[DPP (excl. VAT)]]+tblSales[[#This Row],[Output VAT]]</f>
        <v>277500</v>
      </c>
      <c r="N5817" s="5">
        <f>tblSales[[#This Row],[Qty]]*_xlfn.XLOOKUP(tblSales[[#This Row],[Product Code]],tblProducts[Code],tblProducts[Unit Cost],0)</f>
        <v>155000</v>
      </c>
      <c r="O5817" s="4" t="s">
        <v>4865</v>
      </c>
      <c r="P5817" s="4" t="s">
        <v>4860</v>
      </c>
      <c r="Q5817" s="1" t="str">
        <f>_xlfn.XLOOKUP(tblSales[[#This Row],[Channel Code]],tblChannels[Channel Code],tblChannels[Channel Name],"")</f>
        <v>In-store</v>
      </c>
      <c r="R5817" s="1">
        <f>MONTH(tblSales[[#This Row],[Date]])</f>
        <v>12</v>
      </c>
    </row>
    <row r="5818" spans="2:18" x14ac:dyDescent="0.35">
      <c r="B5818" s="113">
        <v>46370</v>
      </c>
      <c r="C5818" s="4" t="s">
        <v>3984</v>
      </c>
      <c r="D5818" s="4" t="s">
        <v>4620</v>
      </c>
      <c r="E5818" s="1" t="str">
        <f>_xlfn.XLOOKUP(tblSales[[#This Row],[Customer ID]],tblCustomers[Customer ID],tblCustomers[Customer Name],"⚠ Unknown")</f>
        <v>CV Sumber Rejeki Utama</v>
      </c>
      <c r="F5818" s="4" t="s">
        <v>7</v>
      </c>
      <c r="G5818" s="1" t="str">
        <f>_xlfn.XLOOKUP(tblSales[[#This Row],[Product Code]],tblProducts[Code],tblProducts[Product / Service Name],"⚠ Unknown")</f>
        <v>Premium Basic T-shirt</v>
      </c>
      <c r="H5818" s="1" t="str">
        <f>_xlfn.XLOOKUP(tblSales[[#This Row],[Product Code]],tblProducts[Code],tblProducts[Category],"")</f>
        <v>Accessories &amp; Basics</v>
      </c>
      <c r="I5818" s="4">
        <v>40</v>
      </c>
      <c r="J5818" s="5">
        <f>_xlfn.XLOOKUP(tblSales[[#This Row],[Product Code]],tblProducts[Code],tblProducts[Selling Price (excl. VAT)],0)</f>
        <v>65000</v>
      </c>
      <c r="K5818" s="5">
        <f>tblSales[[#This Row],[Qty]]*tblSales[[#This Row],[Unit Price]]</f>
        <v>2600000</v>
      </c>
      <c r="L5818" s="5">
        <f>ROUND(tblSales[[#This Row],[DPP (excl. VAT)]]*VATEff,0)</f>
        <v>286000</v>
      </c>
      <c r="M5818" s="5">
        <f>tblSales[[#This Row],[DPP (excl. VAT)]]+tblSales[[#This Row],[Output VAT]]</f>
        <v>2886000</v>
      </c>
      <c r="N5818" s="5">
        <f>tblSales[[#This Row],[Qty]]*_xlfn.XLOOKUP(tblSales[[#This Row],[Product Code]],tblProducts[Code],tblProducts[Unit Cost],0)</f>
        <v>1480000</v>
      </c>
      <c r="O5818" s="4" t="s">
        <v>4867</v>
      </c>
      <c r="P5818" s="4" t="s">
        <v>4860</v>
      </c>
      <c r="Q5818" s="1" t="str">
        <f>_xlfn.XLOOKUP(tblSales[[#This Row],[Channel Code]],tblChannels[Channel Code],tblChannels[Channel Name],"")</f>
        <v>In-store</v>
      </c>
      <c r="R5818" s="1">
        <f>MONTH(tblSales[[#This Row],[Date]])</f>
        <v>12</v>
      </c>
    </row>
    <row r="5819" spans="2:18" x14ac:dyDescent="0.35">
      <c r="B5819" s="113">
        <v>46370</v>
      </c>
      <c r="C5819" s="4" t="s">
        <v>3984</v>
      </c>
      <c r="D5819" s="4" t="s">
        <v>4620</v>
      </c>
      <c r="E5819" s="1" t="str">
        <f>_xlfn.XLOOKUP(tblSales[[#This Row],[Customer ID]],tblCustomers[Customer ID],tblCustomers[Customer Name],"⚠ Unknown")</f>
        <v>CV Sumber Rejeki Utama</v>
      </c>
      <c r="F5819" s="4" t="s">
        <v>6</v>
      </c>
      <c r="G5819" s="1" t="str">
        <f>_xlfn.XLOOKUP(tblSales[[#This Row],[Product Code]],tblProducts[Code],tblProducts[Product / Service Name],"⚠ Unknown")</f>
        <v>Socks &amp; Accessories</v>
      </c>
      <c r="H5819" s="1" t="str">
        <f>_xlfn.XLOOKUP(tblSales[[#This Row],[Product Code]],tblProducts[Code],tblProducts[Category],"")</f>
        <v>Accessories &amp; Basics</v>
      </c>
      <c r="I5819" s="4">
        <v>16</v>
      </c>
      <c r="J5819" s="5">
        <f>_xlfn.XLOOKUP(tblSales[[#This Row],[Product Code]],tblProducts[Code],tblProducts[Selling Price (excl. VAT)],0)</f>
        <v>45000</v>
      </c>
      <c r="K5819" s="5">
        <f>tblSales[[#This Row],[Qty]]*tblSales[[#This Row],[Unit Price]]</f>
        <v>720000</v>
      </c>
      <c r="L5819" s="5">
        <f>ROUND(tblSales[[#This Row],[DPP (excl. VAT)]]*VATEff,0)</f>
        <v>79200</v>
      </c>
      <c r="M5819" s="5">
        <f>tblSales[[#This Row],[DPP (excl. VAT)]]+tblSales[[#This Row],[Output VAT]]</f>
        <v>799200</v>
      </c>
      <c r="N5819" s="5">
        <f>tblSales[[#This Row],[Qty]]*_xlfn.XLOOKUP(tblSales[[#This Row],[Product Code]],tblProducts[Code],tblProducts[Unit Cost],0)</f>
        <v>384000</v>
      </c>
      <c r="O5819" s="4" t="s">
        <v>4867</v>
      </c>
      <c r="P5819" s="4" t="s">
        <v>4860</v>
      </c>
      <c r="Q5819" s="1" t="str">
        <f>_xlfn.XLOOKUP(tblSales[[#This Row],[Channel Code]],tblChannels[Channel Code],tblChannels[Channel Name],"")</f>
        <v>In-store</v>
      </c>
      <c r="R5819" s="1">
        <f>MONTH(tblSales[[#This Row],[Date]])</f>
        <v>12</v>
      </c>
    </row>
    <row r="5820" spans="2:18" x14ac:dyDescent="0.35">
      <c r="B5820" s="113">
        <v>46370</v>
      </c>
      <c r="C5820" s="4" t="s">
        <v>3985</v>
      </c>
      <c r="D5820" s="4" t="s">
        <v>4572</v>
      </c>
      <c r="E5820" s="1" t="str">
        <f>_xlfn.XLOOKUP(tblSales[[#This Row],[Customer ID]],tblCustomers[Customer ID],tblCustomers[Customer Name],"⚠ Unknown")</f>
        <v>PT Cahaya Abadi Makmur</v>
      </c>
      <c r="F5820" s="4" t="s">
        <v>9</v>
      </c>
      <c r="G5820" s="1" t="str">
        <f>_xlfn.XLOOKUP(tblSales[[#This Row],[Product Code]],tblProducts[Code],tblProducts[Product / Service Name],"⚠ Unknown")</f>
        <v>Casual Shirt</v>
      </c>
      <c r="H5820" s="1" t="str">
        <f>_xlfn.XLOOKUP(tblSales[[#This Row],[Product Code]],tblProducts[Code],tblProducts[Category],"")</f>
        <v>Apparel &amp; Footwear</v>
      </c>
      <c r="I5820" s="4">
        <v>48</v>
      </c>
      <c r="J5820" s="5">
        <f>_xlfn.XLOOKUP(tblSales[[#This Row],[Product Code]],tblProducts[Code],tblProducts[Selling Price (excl. VAT)],0)</f>
        <v>120000</v>
      </c>
      <c r="K5820" s="5">
        <f>tblSales[[#This Row],[Qty]]*tblSales[[#This Row],[Unit Price]]</f>
        <v>5760000</v>
      </c>
      <c r="L5820" s="5">
        <f>ROUND(tblSales[[#This Row],[DPP (excl. VAT)]]*VATEff,0)</f>
        <v>633600</v>
      </c>
      <c r="M5820" s="5">
        <f>tblSales[[#This Row],[DPP (excl. VAT)]]+tblSales[[#This Row],[Output VAT]]</f>
        <v>6393600</v>
      </c>
      <c r="N5820" s="5">
        <f>tblSales[[#This Row],[Qty]]*_xlfn.XLOOKUP(tblSales[[#This Row],[Product Code]],tblProducts[Code],tblProducts[Unit Cost],0)</f>
        <v>3456000</v>
      </c>
      <c r="O5820" s="4" t="s">
        <v>4867</v>
      </c>
      <c r="P5820" s="4" t="s">
        <v>4860</v>
      </c>
      <c r="Q5820" s="1" t="str">
        <f>_xlfn.XLOOKUP(tblSales[[#This Row],[Channel Code]],tblChannels[Channel Code],tblChannels[Channel Name],"")</f>
        <v>In-store</v>
      </c>
      <c r="R5820" s="1">
        <f>MONTH(tblSales[[#This Row],[Date]])</f>
        <v>12</v>
      </c>
    </row>
    <row r="5821" spans="2:18" x14ac:dyDescent="0.35">
      <c r="B5821" s="113">
        <v>46370</v>
      </c>
      <c r="C5821" s="4" t="s">
        <v>3986</v>
      </c>
      <c r="D5821" s="4" t="s">
        <v>4568</v>
      </c>
      <c r="E5821" s="1" t="str">
        <f>_xlfn.XLOOKUP(tblSales[[#This Row],[Customer ID]],tblCustomers[Customer ID],tblCustomers[Customer Name],"⚠ Unknown")</f>
        <v>Walk-in Customer</v>
      </c>
      <c r="F5821" s="4" t="s">
        <v>6</v>
      </c>
      <c r="G5821" s="1" t="str">
        <f>_xlfn.XLOOKUP(tblSales[[#This Row],[Product Code]],tblProducts[Code],tblProducts[Product / Service Name],"⚠ Unknown")</f>
        <v>Socks &amp; Accessories</v>
      </c>
      <c r="H5821" s="1" t="str">
        <f>_xlfn.XLOOKUP(tblSales[[#This Row],[Product Code]],tblProducts[Code],tblProducts[Category],"")</f>
        <v>Accessories &amp; Basics</v>
      </c>
      <c r="I5821" s="4">
        <v>9</v>
      </c>
      <c r="J5821" s="5">
        <f>_xlfn.XLOOKUP(tblSales[[#This Row],[Product Code]],tblProducts[Code],tblProducts[Selling Price (excl. VAT)],0)</f>
        <v>45000</v>
      </c>
      <c r="K5821" s="5">
        <f>tblSales[[#This Row],[Qty]]*tblSales[[#This Row],[Unit Price]]</f>
        <v>405000</v>
      </c>
      <c r="L5821" s="5">
        <f>ROUND(tblSales[[#This Row],[DPP (excl. VAT)]]*VATEff,0)</f>
        <v>44550</v>
      </c>
      <c r="M5821" s="5">
        <f>tblSales[[#This Row],[DPP (excl. VAT)]]+tblSales[[#This Row],[Output VAT]]</f>
        <v>449550</v>
      </c>
      <c r="N5821" s="5">
        <f>tblSales[[#This Row],[Qty]]*_xlfn.XLOOKUP(tblSales[[#This Row],[Product Code]],tblProducts[Code],tblProducts[Unit Cost],0)</f>
        <v>216000</v>
      </c>
      <c r="O5821" s="4" t="s">
        <v>4866</v>
      </c>
      <c r="P5821" s="4" t="s">
        <v>4862</v>
      </c>
      <c r="Q5821" s="1" t="str">
        <f>_xlfn.XLOOKUP(tblSales[[#This Row],[Channel Code]],tblChannels[Channel Code],tblChannels[Channel Name],"")</f>
        <v>Website &amp; Social Media</v>
      </c>
      <c r="R5821" s="1">
        <f>MONTH(tblSales[[#This Row],[Date]])</f>
        <v>12</v>
      </c>
    </row>
    <row r="5822" spans="2:18" x14ac:dyDescent="0.35">
      <c r="B5822" s="113">
        <v>46370</v>
      </c>
      <c r="C5822" s="4" t="s">
        <v>3987</v>
      </c>
      <c r="D5822" s="4" t="s">
        <v>4568</v>
      </c>
      <c r="E5822" s="1" t="str">
        <f>_xlfn.XLOOKUP(tblSales[[#This Row],[Customer ID]],tblCustomers[Customer ID],tblCustomers[Customer Name],"⚠ Unknown")</f>
        <v>Walk-in Customer</v>
      </c>
      <c r="F5822" s="4" t="s">
        <v>6</v>
      </c>
      <c r="G5822" s="1" t="str">
        <f>_xlfn.XLOOKUP(tblSales[[#This Row],[Product Code]],tblProducts[Code],tblProducts[Product / Service Name],"⚠ Unknown")</f>
        <v>Socks &amp; Accessories</v>
      </c>
      <c r="H5822" s="1" t="str">
        <f>_xlfn.XLOOKUP(tblSales[[#This Row],[Product Code]],tblProducts[Code],tblProducts[Category],"")</f>
        <v>Accessories &amp; Basics</v>
      </c>
      <c r="I5822" s="4">
        <v>3</v>
      </c>
      <c r="J5822" s="5">
        <f>_xlfn.XLOOKUP(tblSales[[#This Row],[Product Code]],tblProducts[Code],tblProducts[Selling Price (excl. VAT)],0)</f>
        <v>45000</v>
      </c>
      <c r="K5822" s="5">
        <f>tblSales[[#This Row],[Qty]]*tblSales[[#This Row],[Unit Price]]</f>
        <v>135000</v>
      </c>
      <c r="L5822" s="5">
        <f>ROUND(tblSales[[#This Row],[DPP (excl. VAT)]]*VATEff,0)</f>
        <v>14850</v>
      </c>
      <c r="M5822" s="5">
        <f>tblSales[[#This Row],[DPP (excl. VAT)]]+tblSales[[#This Row],[Output VAT]]</f>
        <v>149850</v>
      </c>
      <c r="N5822" s="5">
        <f>tblSales[[#This Row],[Qty]]*_xlfn.XLOOKUP(tblSales[[#This Row],[Product Code]],tblProducts[Code],tblProducts[Unit Cost],0)</f>
        <v>72000</v>
      </c>
      <c r="O5822" s="4" t="s">
        <v>4866</v>
      </c>
      <c r="P5822" s="4" t="s">
        <v>4860</v>
      </c>
      <c r="Q5822" s="1" t="str">
        <f>_xlfn.XLOOKUP(tblSales[[#This Row],[Channel Code]],tblChannels[Channel Code],tblChannels[Channel Name],"")</f>
        <v>In-store</v>
      </c>
      <c r="R5822" s="1">
        <f>MONTH(tblSales[[#This Row],[Date]])</f>
        <v>12</v>
      </c>
    </row>
    <row r="5823" spans="2:18" x14ac:dyDescent="0.35">
      <c r="B5823" s="113">
        <v>46370</v>
      </c>
      <c r="C5823" s="4" t="s">
        <v>3987</v>
      </c>
      <c r="D5823" s="4" t="s">
        <v>4568</v>
      </c>
      <c r="E5823" s="1" t="str">
        <f>_xlfn.XLOOKUP(tblSales[[#This Row],[Customer ID]],tblCustomers[Customer ID],tblCustomers[Customer Name],"⚠ Unknown")</f>
        <v>Walk-in Customer</v>
      </c>
      <c r="F5823" s="4" t="s">
        <v>11</v>
      </c>
      <c r="G5823" s="1" t="str">
        <f>_xlfn.XLOOKUP(tblSales[[#This Row],[Product Code]],tblProducts[Code],tblProducts[Product / Service Name],"⚠ Unknown")</f>
        <v>Sneakers</v>
      </c>
      <c r="H5823" s="1" t="str">
        <f>_xlfn.XLOOKUP(tblSales[[#This Row],[Product Code]],tblProducts[Code],tblProducts[Category],"")</f>
        <v>Apparel &amp; Footwear</v>
      </c>
      <c r="I5823" s="4">
        <v>4</v>
      </c>
      <c r="J5823" s="5">
        <f>_xlfn.XLOOKUP(tblSales[[#This Row],[Product Code]],tblProducts[Code],tblProducts[Selling Price (excl. VAT)],0)</f>
        <v>250000</v>
      </c>
      <c r="K5823" s="5">
        <f>tblSales[[#This Row],[Qty]]*tblSales[[#This Row],[Unit Price]]</f>
        <v>1000000</v>
      </c>
      <c r="L5823" s="5">
        <f>ROUND(tblSales[[#This Row],[DPP (excl. VAT)]]*VATEff,0)</f>
        <v>110000</v>
      </c>
      <c r="M5823" s="5">
        <f>tblSales[[#This Row],[DPP (excl. VAT)]]+tblSales[[#This Row],[Output VAT]]</f>
        <v>1110000</v>
      </c>
      <c r="N5823" s="5">
        <f>tblSales[[#This Row],[Qty]]*_xlfn.XLOOKUP(tblSales[[#This Row],[Product Code]],tblProducts[Code],tblProducts[Unit Cost],0)</f>
        <v>620000</v>
      </c>
      <c r="O5823" s="4" t="s">
        <v>4866</v>
      </c>
      <c r="P5823" s="4" t="s">
        <v>4860</v>
      </c>
      <c r="Q5823" s="1" t="str">
        <f>_xlfn.XLOOKUP(tblSales[[#This Row],[Channel Code]],tblChannels[Channel Code],tblChannels[Channel Name],"")</f>
        <v>In-store</v>
      </c>
      <c r="R5823" s="1">
        <f>MONTH(tblSales[[#This Row],[Date]])</f>
        <v>12</v>
      </c>
    </row>
    <row r="5824" spans="2:18" x14ac:dyDescent="0.35">
      <c r="B5824" s="113">
        <v>46370</v>
      </c>
      <c r="C5824" s="4" t="s">
        <v>3988</v>
      </c>
      <c r="D5824" s="4" t="s">
        <v>4572</v>
      </c>
      <c r="E5824" s="1" t="str">
        <f>_xlfn.XLOOKUP(tblSales[[#This Row],[Customer ID]],tblCustomers[Customer ID],tblCustomers[Customer Name],"⚠ Unknown")</f>
        <v>PT Cahaya Abadi Makmur</v>
      </c>
      <c r="F5824" s="4" t="s">
        <v>11</v>
      </c>
      <c r="G5824" s="1" t="str">
        <f>_xlfn.XLOOKUP(tblSales[[#This Row],[Product Code]],tblProducts[Code],tblProducts[Product / Service Name],"⚠ Unknown")</f>
        <v>Sneakers</v>
      </c>
      <c r="H5824" s="1" t="str">
        <f>_xlfn.XLOOKUP(tblSales[[#This Row],[Product Code]],tblProducts[Code],tblProducts[Category],"")</f>
        <v>Apparel &amp; Footwear</v>
      </c>
      <c r="I5824" s="4">
        <v>48</v>
      </c>
      <c r="J5824" s="5">
        <f>_xlfn.XLOOKUP(tblSales[[#This Row],[Product Code]],tblProducts[Code],tblProducts[Selling Price (excl. VAT)],0)</f>
        <v>250000</v>
      </c>
      <c r="K5824" s="5">
        <f>tblSales[[#This Row],[Qty]]*tblSales[[#This Row],[Unit Price]]</f>
        <v>12000000</v>
      </c>
      <c r="L5824" s="5">
        <f>ROUND(tblSales[[#This Row],[DPP (excl. VAT)]]*VATEff,0)</f>
        <v>1320000</v>
      </c>
      <c r="M5824" s="5">
        <f>tblSales[[#This Row],[DPP (excl. VAT)]]+tblSales[[#This Row],[Output VAT]]</f>
        <v>13320000</v>
      </c>
      <c r="N5824" s="5">
        <f>tblSales[[#This Row],[Qty]]*_xlfn.XLOOKUP(tblSales[[#This Row],[Product Code]],tblProducts[Code],tblProducts[Unit Cost],0)</f>
        <v>7440000</v>
      </c>
      <c r="O5824" s="4" t="s">
        <v>4867</v>
      </c>
      <c r="P5824" s="4" t="s">
        <v>4860</v>
      </c>
      <c r="Q5824" s="1" t="str">
        <f>_xlfn.XLOOKUP(tblSales[[#This Row],[Channel Code]],tblChannels[Channel Code],tblChannels[Channel Name],"")</f>
        <v>In-store</v>
      </c>
      <c r="R5824" s="1">
        <f>MONTH(tblSales[[#This Row],[Date]])</f>
        <v>12</v>
      </c>
    </row>
    <row r="5825" spans="2:18" x14ac:dyDescent="0.35">
      <c r="B5825" s="113">
        <v>46370</v>
      </c>
      <c r="C5825" s="4" t="s">
        <v>3989</v>
      </c>
      <c r="D5825" s="4" t="s">
        <v>4568</v>
      </c>
      <c r="E5825" s="1" t="str">
        <f>_xlfn.XLOOKUP(tblSales[[#This Row],[Customer ID]],tblCustomers[Customer ID],tblCustomers[Customer Name],"⚠ Unknown")</f>
        <v>Walk-in Customer</v>
      </c>
      <c r="F5825" s="4" t="s">
        <v>8</v>
      </c>
      <c r="G5825" s="1" t="str">
        <f>_xlfn.XLOOKUP(tblSales[[#This Row],[Product Code]],tblProducts[Code],tblProducts[Product / Service Name],"⚠ Unknown")</f>
        <v>Casual Shorts</v>
      </c>
      <c r="H5825" s="1" t="str">
        <f>_xlfn.XLOOKUP(tblSales[[#This Row],[Product Code]],tblProducts[Code],tblProducts[Category],"")</f>
        <v>Accessories &amp; Basics</v>
      </c>
      <c r="I5825" s="4">
        <v>10</v>
      </c>
      <c r="J5825" s="5">
        <f>_xlfn.XLOOKUP(tblSales[[#This Row],[Product Code]],tblProducts[Code],tblProducts[Selling Price (excl. VAT)],0)</f>
        <v>85000</v>
      </c>
      <c r="K5825" s="5">
        <f>tblSales[[#This Row],[Qty]]*tblSales[[#This Row],[Unit Price]]</f>
        <v>850000</v>
      </c>
      <c r="L5825" s="5">
        <f>ROUND(tblSales[[#This Row],[DPP (excl. VAT)]]*VATEff,0)</f>
        <v>93500</v>
      </c>
      <c r="M5825" s="5">
        <f>tblSales[[#This Row],[DPP (excl. VAT)]]+tblSales[[#This Row],[Output VAT]]</f>
        <v>943500</v>
      </c>
      <c r="N5825" s="5">
        <f>tblSales[[#This Row],[Qty]]*_xlfn.XLOOKUP(tblSales[[#This Row],[Product Code]],tblProducts[Code],tblProducts[Unit Cost],0)</f>
        <v>500000</v>
      </c>
      <c r="O5825" s="4" t="s">
        <v>4866</v>
      </c>
      <c r="P5825" s="4" t="s">
        <v>4860</v>
      </c>
      <c r="Q5825" s="1" t="str">
        <f>_xlfn.XLOOKUP(tblSales[[#This Row],[Channel Code]],tblChannels[Channel Code],tblChannels[Channel Name],"")</f>
        <v>In-store</v>
      </c>
      <c r="R5825" s="1">
        <f>MONTH(tblSales[[#This Row],[Date]])</f>
        <v>12</v>
      </c>
    </row>
    <row r="5826" spans="2:18" x14ac:dyDescent="0.35">
      <c r="B5826" s="113">
        <v>46370</v>
      </c>
      <c r="C5826" s="4" t="s">
        <v>3990</v>
      </c>
      <c r="D5826" s="4" t="s">
        <v>4568</v>
      </c>
      <c r="E5826" s="1" t="str">
        <f>_xlfn.XLOOKUP(tblSales[[#This Row],[Customer ID]],tblCustomers[Customer ID],tblCustomers[Customer Name],"⚠ Unknown")</f>
        <v>Walk-in Customer</v>
      </c>
      <c r="F5826" s="4" t="s">
        <v>8</v>
      </c>
      <c r="G5826" s="1" t="str">
        <f>_xlfn.XLOOKUP(tblSales[[#This Row],[Product Code]],tblProducts[Code],tblProducts[Product / Service Name],"⚠ Unknown")</f>
        <v>Casual Shorts</v>
      </c>
      <c r="H5826" s="1" t="str">
        <f>_xlfn.XLOOKUP(tblSales[[#This Row],[Product Code]],tblProducts[Code],tblProducts[Category],"")</f>
        <v>Accessories &amp; Basics</v>
      </c>
      <c r="I5826" s="4">
        <v>2</v>
      </c>
      <c r="J5826" s="5">
        <f>_xlfn.XLOOKUP(tblSales[[#This Row],[Product Code]],tblProducts[Code],tblProducts[Selling Price (excl. VAT)],0)</f>
        <v>85000</v>
      </c>
      <c r="K5826" s="5">
        <f>tblSales[[#This Row],[Qty]]*tblSales[[#This Row],[Unit Price]]</f>
        <v>170000</v>
      </c>
      <c r="L5826" s="5">
        <f>ROUND(tblSales[[#This Row],[DPP (excl. VAT)]]*VATEff,0)</f>
        <v>18700</v>
      </c>
      <c r="M5826" s="5">
        <f>tblSales[[#This Row],[DPP (excl. VAT)]]+tblSales[[#This Row],[Output VAT]]</f>
        <v>188700</v>
      </c>
      <c r="N5826" s="5">
        <f>tblSales[[#This Row],[Qty]]*_xlfn.XLOOKUP(tblSales[[#This Row],[Product Code]],tblProducts[Code],tblProducts[Unit Cost],0)</f>
        <v>100000</v>
      </c>
      <c r="O5826" s="4" t="s">
        <v>4865</v>
      </c>
      <c r="P5826" s="4" t="s">
        <v>4860</v>
      </c>
      <c r="Q5826" s="1" t="str">
        <f>_xlfn.XLOOKUP(tblSales[[#This Row],[Channel Code]],tblChannels[Channel Code],tblChannels[Channel Name],"")</f>
        <v>In-store</v>
      </c>
      <c r="R5826" s="1">
        <f>MONTH(tblSales[[#This Row],[Date]])</f>
        <v>12</v>
      </c>
    </row>
    <row r="5827" spans="2:18" x14ac:dyDescent="0.35">
      <c r="B5827" s="113">
        <v>46370</v>
      </c>
      <c r="C5827" s="4" t="s">
        <v>3991</v>
      </c>
      <c r="D5827" s="4" t="s">
        <v>4568</v>
      </c>
      <c r="E5827" s="1" t="str">
        <f>_xlfn.XLOOKUP(tblSales[[#This Row],[Customer ID]],tblCustomers[Customer ID],tblCustomers[Customer Name],"⚠ Unknown")</f>
        <v>Walk-in Customer</v>
      </c>
      <c r="F5827" s="4" t="s">
        <v>6</v>
      </c>
      <c r="G5827" s="1" t="str">
        <f>_xlfn.XLOOKUP(tblSales[[#This Row],[Product Code]],tblProducts[Code],tblProducts[Product / Service Name],"⚠ Unknown")</f>
        <v>Socks &amp; Accessories</v>
      </c>
      <c r="H5827" s="1" t="str">
        <f>_xlfn.XLOOKUP(tblSales[[#This Row],[Product Code]],tblProducts[Code],tblProducts[Category],"")</f>
        <v>Accessories &amp; Basics</v>
      </c>
      <c r="I5827" s="4">
        <v>2</v>
      </c>
      <c r="J5827" s="5">
        <f>_xlfn.XLOOKUP(tblSales[[#This Row],[Product Code]],tblProducts[Code],tblProducts[Selling Price (excl. VAT)],0)</f>
        <v>45000</v>
      </c>
      <c r="K5827" s="5">
        <f>tblSales[[#This Row],[Qty]]*tblSales[[#This Row],[Unit Price]]</f>
        <v>90000</v>
      </c>
      <c r="L5827" s="5">
        <f>ROUND(tblSales[[#This Row],[DPP (excl. VAT)]]*VATEff,0)</f>
        <v>9900</v>
      </c>
      <c r="M5827" s="5">
        <f>tblSales[[#This Row],[DPP (excl. VAT)]]+tblSales[[#This Row],[Output VAT]]</f>
        <v>99900</v>
      </c>
      <c r="N5827" s="5">
        <f>tblSales[[#This Row],[Qty]]*_xlfn.XLOOKUP(tblSales[[#This Row],[Product Code]],tblProducts[Code],tblProducts[Unit Cost],0)</f>
        <v>48000</v>
      </c>
      <c r="O5827" s="4" t="s">
        <v>4866</v>
      </c>
      <c r="P5827" s="4" t="s">
        <v>4860</v>
      </c>
      <c r="Q5827" s="1" t="str">
        <f>_xlfn.XLOOKUP(tblSales[[#This Row],[Channel Code]],tblChannels[Channel Code],tblChannels[Channel Name],"")</f>
        <v>In-store</v>
      </c>
      <c r="R5827" s="1">
        <f>MONTH(tblSales[[#This Row],[Date]])</f>
        <v>12</v>
      </c>
    </row>
    <row r="5828" spans="2:18" x14ac:dyDescent="0.35">
      <c r="B5828" s="113">
        <v>46370</v>
      </c>
      <c r="C5828" s="4" t="s">
        <v>3991</v>
      </c>
      <c r="D5828" s="4" t="s">
        <v>4568</v>
      </c>
      <c r="E5828" s="1" t="str">
        <f>_xlfn.XLOOKUP(tblSales[[#This Row],[Customer ID]],tblCustomers[Customer ID],tblCustomers[Customer Name],"⚠ Unknown")</f>
        <v>Walk-in Customer</v>
      </c>
      <c r="F5828" s="4" t="s">
        <v>7</v>
      </c>
      <c r="G5828" s="1" t="str">
        <f>_xlfn.XLOOKUP(tblSales[[#This Row],[Product Code]],tblProducts[Code],tblProducts[Product / Service Name],"⚠ Unknown")</f>
        <v>Premium Basic T-shirt</v>
      </c>
      <c r="H5828" s="1" t="str">
        <f>_xlfn.XLOOKUP(tblSales[[#This Row],[Product Code]],tblProducts[Code],tblProducts[Category],"")</f>
        <v>Accessories &amp; Basics</v>
      </c>
      <c r="I5828" s="4">
        <v>10</v>
      </c>
      <c r="J5828" s="5">
        <f>_xlfn.XLOOKUP(tblSales[[#This Row],[Product Code]],tblProducts[Code],tblProducts[Selling Price (excl. VAT)],0)</f>
        <v>65000</v>
      </c>
      <c r="K5828" s="5">
        <f>tblSales[[#This Row],[Qty]]*tblSales[[#This Row],[Unit Price]]</f>
        <v>650000</v>
      </c>
      <c r="L5828" s="5">
        <f>ROUND(tblSales[[#This Row],[DPP (excl. VAT)]]*VATEff,0)</f>
        <v>71500</v>
      </c>
      <c r="M5828" s="5">
        <f>tblSales[[#This Row],[DPP (excl. VAT)]]+tblSales[[#This Row],[Output VAT]]</f>
        <v>721500</v>
      </c>
      <c r="N5828" s="5">
        <f>tblSales[[#This Row],[Qty]]*_xlfn.XLOOKUP(tblSales[[#This Row],[Product Code]],tblProducts[Code],tblProducts[Unit Cost],0)</f>
        <v>370000</v>
      </c>
      <c r="O5828" s="4" t="s">
        <v>4866</v>
      </c>
      <c r="P5828" s="4" t="s">
        <v>4860</v>
      </c>
      <c r="Q5828" s="1" t="str">
        <f>_xlfn.XLOOKUP(tblSales[[#This Row],[Channel Code]],tblChannels[Channel Code],tblChannels[Channel Name],"")</f>
        <v>In-store</v>
      </c>
      <c r="R5828" s="1">
        <f>MONTH(tblSales[[#This Row],[Date]])</f>
        <v>12</v>
      </c>
    </row>
    <row r="5829" spans="2:18" x14ac:dyDescent="0.35">
      <c r="B5829" s="113">
        <v>46370</v>
      </c>
      <c r="C5829" s="4" t="s">
        <v>3992</v>
      </c>
      <c r="D5829" s="4" t="s">
        <v>4578</v>
      </c>
      <c r="E5829" s="1" t="str">
        <f>_xlfn.XLOOKUP(tblSales[[#This Row],[Customer ID]],tblCustomers[Customer ID],tblCustomers[Customer Name],"⚠ Unknown")</f>
        <v>PT Bintang Timur Sejahtera</v>
      </c>
      <c r="F5829" s="4" t="s">
        <v>6</v>
      </c>
      <c r="G5829" s="1" t="str">
        <f>_xlfn.XLOOKUP(tblSales[[#This Row],[Product Code]],tblProducts[Code],tblProducts[Product / Service Name],"⚠ Unknown")</f>
        <v>Socks &amp; Accessories</v>
      </c>
      <c r="H5829" s="1" t="str">
        <f>_xlfn.XLOOKUP(tblSales[[#This Row],[Product Code]],tblProducts[Code],tblProducts[Category],"")</f>
        <v>Accessories &amp; Basics</v>
      </c>
      <c r="I5829" s="4">
        <v>16</v>
      </c>
      <c r="J5829" s="5">
        <f>_xlfn.XLOOKUP(tblSales[[#This Row],[Product Code]],tblProducts[Code],tblProducts[Selling Price (excl. VAT)],0)</f>
        <v>45000</v>
      </c>
      <c r="K5829" s="5">
        <f>tblSales[[#This Row],[Qty]]*tblSales[[#This Row],[Unit Price]]</f>
        <v>720000</v>
      </c>
      <c r="L5829" s="5">
        <f>ROUND(tblSales[[#This Row],[DPP (excl. VAT)]]*VATEff,0)</f>
        <v>79200</v>
      </c>
      <c r="M5829" s="5">
        <f>tblSales[[#This Row],[DPP (excl. VAT)]]+tblSales[[#This Row],[Output VAT]]</f>
        <v>799200</v>
      </c>
      <c r="N5829" s="5">
        <f>tblSales[[#This Row],[Qty]]*_xlfn.XLOOKUP(tblSales[[#This Row],[Product Code]],tblProducts[Code],tblProducts[Unit Cost],0)</f>
        <v>384000</v>
      </c>
      <c r="O5829" s="4" t="s">
        <v>4867</v>
      </c>
      <c r="P5829" s="4" t="s">
        <v>4860</v>
      </c>
      <c r="Q5829" s="1" t="str">
        <f>_xlfn.XLOOKUP(tblSales[[#This Row],[Channel Code]],tblChannels[Channel Code],tblChannels[Channel Name],"")</f>
        <v>In-store</v>
      </c>
      <c r="R5829" s="1">
        <f>MONTH(tblSales[[#This Row],[Date]])</f>
        <v>12</v>
      </c>
    </row>
    <row r="5830" spans="2:18" x14ac:dyDescent="0.35">
      <c r="B5830" s="113">
        <v>46370</v>
      </c>
      <c r="C5830" s="4" t="s">
        <v>3992</v>
      </c>
      <c r="D5830" s="4" t="s">
        <v>4578</v>
      </c>
      <c r="E5830" s="1" t="str">
        <f>_xlfn.XLOOKUP(tblSales[[#This Row],[Customer ID]],tblCustomers[Customer ID],tblCustomers[Customer Name],"⚠ Unknown")</f>
        <v>PT Bintang Timur Sejahtera</v>
      </c>
      <c r="F5830" s="4" t="s">
        <v>11</v>
      </c>
      <c r="G5830" s="1" t="str">
        <f>_xlfn.XLOOKUP(tblSales[[#This Row],[Product Code]],tblProducts[Code],tblProducts[Product / Service Name],"⚠ Unknown")</f>
        <v>Sneakers</v>
      </c>
      <c r="H5830" s="1" t="str">
        <f>_xlfn.XLOOKUP(tblSales[[#This Row],[Product Code]],tblProducts[Code],tblProducts[Category],"")</f>
        <v>Apparel &amp; Footwear</v>
      </c>
      <c r="I5830" s="4">
        <v>32</v>
      </c>
      <c r="J5830" s="5">
        <f>_xlfn.XLOOKUP(tblSales[[#This Row],[Product Code]],tblProducts[Code],tblProducts[Selling Price (excl. VAT)],0)</f>
        <v>250000</v>
      </c>
      <c r="K5830" s="5">
        <f>tblSales[[#This Row],[Qty]]*tblSales[[#This Row],[Unit Price]]</f>
        <v>8000000</v>
      </c>
      <c r="L5830" s="5">
        <f>ROUND(tblSales[[#This Row],[DPP (excl. VAT)]]*VATEff,0)</f>
        <v>880000</v>
      </c>
      <c r="M5830" s="5">
        <f>tblSales[[#This Row],[DPP (excl. VAT)]]+tblSales[[#This Row],[Output VAT]]</f>
        <v>8880000</v>
      </c>
      <c r="N5830" s="5">
        <f>tblSales[[#This Row],[Qty]]*_xlfn.XLOOKUP(tblSales[[#This Row],[Product Code]],tblProducts[Code],tblProducts[Unit Cost],0)</f>
        <v>4960000</v>
      </c>
      <c r="O5830" s="4" t="s">
        <v>4867</v>
      </c>
      <c r="P5830" s="4" t="s">
        <v>4860</v>
      </c>
      <c r="Q5830" s="1" t="str">
        <f>_xlfn.XLOOKUP(tblSales[[#This Row],[Channel Code]],tblChannels[Channel Code],tblChannels[Channel Name],"")</f>
        <v>In-store</v>
      </c>
      <c r="R5830" s="1">
        <f>MONTH(tblSales[[#This Row],[Date]])</f>
        <v>12</v>
      </c>
    </row>
    <row r="5831" spans="2:18" x14ac:dyDescent="0.35">
      <c r="B5831" s="113">
        <v>46370</v>
      </c>
      <c r="C5831" s="4" t="s">
        <v>3993</v>
      </c>
      <c r="D5831" s="4" t="s">
        <v>4568</v>
      </c>
      <c r="E5831" s="1" t="str">
        <f>_xlfn.XLOOKUP(tblSales[[#This Row],[Customer ID]],tblCustomers[Customer ID],tblCustomers[Customer Name],"⚠ Unknown")</f>
        <v>Walk-in Customer</v>
      </c>
      <c r="F5831" s="4" t="s">
        <v>6</v>
      </c>
      <c r="G5831" s="1" t="str">
        <f>_xlfn.XLOOKUP(tblSales[[#This Row],[Product Code]],tblProducts[Code],tblProducts[Product / Service Name],"⚠ Unknown")</f>
        <v>Socks &amp; Accessories</v>
      </c>
      <c r="H5831" s="1" t="str">
        <f>_xlfn.XLOOKUP(tblSales[[#This Row],[Product Code]],tblProducts[Code],tblProducts[Category],"")</f>
        <v>Accessories &amp; Basics</v>
      </c>
      <c r="I5831" s="4">
        <v>1</v>
      </c>
      <c r="J5831" s="5">
        <f>_xlfn.XLOOKUP(tblSales[[#This Row],[Product Code]],tblProducts[Code],tblProducts[Selling Price (excl. VAT)],0)</f>
        <v>45000</v>
      </c>
      <c r="K5831" s="5">
        <f>tblSales[[#This Row],[Qty]]*tblSales[[#This Row],[Unit Price]]</f>
        <v>45000</v>
      </c>
      <c r="L5831" s="5">
        <f>ROUND(tblSales[[#This Row],[DPP (excl. VAT)]]*VATEff,0)</f>
        <v>4950</v>
      </c>
      <c r="M5831" s="5">
        <f>tblSales[[#This Row],[DPP (excl. VAT)]]+tblSales[[#This Row],[Output VAT]]</f>
        <v>49950</v>
      </c>
      <c r="N5831" s="5">
        <f>tblSales[[#This Row],[Qty]]*_xlfn.XLOOKUP(tblSales[[#This Row],[Product Code]],tblProducts[Code],tblProducts[Unit Cost],0)</f>
        <v>24000</v>
      </c>
      <c r="O5831" s="4" t="s">
        <v>4866</v>
      </c>
      <c r="P5831" s="4" t="s">
        <v>4861</v>
      </c>
      <c r="Q5831" s="1" t="str">
        <f>_xlfn.XLOOKUP(tblSales[[#This Row],[Channel Code]],tblChannels[Channel Code],tblChannels[Channel Name],"")</f>
        <v>Marketplace</v>
      </c>
      <c r="R5831" s="1">
        <f>MONTH(tblSales[[#This Row],[Date]])</f>
        <v>12</v>
      </c>
    </row>
    <row r="5832" spans="2:18" x14ac:dyDescent="0.35">
      <c r="B5832" s="113">
        <v>46370</v>
      </c>
      <c r="C5832" s="4" t="s">
        <v>3994</v>
      </c>
      <c r="D5832" s="4" t="s">
        <v>4568</v>
      </c>
      <c r="E5832" s="1" t="str">
        <f>_xlfn.XLOOKUP(tblSales[[#This Row],[Customer ID]],tblCustomers[Customer ID],tblCustomers[Customer Name],"⚠ Unknown")</f>
        <v>Walk-in Customer</v>
      </c>
      <c r="F5832" s="4" t="s">
        <v>8</v>
      </c>
      <c r="G5832" s="1" t="str">
        <f>_xlfn.XLOOKUP(tblSales[[#This Row],[Product Code]],tblProducts[Code],tblProducts[Product / Service Name],"⚠ Unknown")</f>
        <v>Casual Shorts</v>
      </c>
      <c r="H5832" s="1" t="str">
        <f>_xlfn.XLOOKUP(tblSales[[#This Row],[Product Code]],tblProducts[Code],tblProducts[Category],"")</f>
        <v>Accessories &amp; Basics</v>
      </c>
      <c r="I5832" s="4">
        <v>10</v>
      </c>
      <c r="J5832" s="5">
        <f>_xlfn.XLOOKUP(tblSales[[#This Row],[Product Code]],tblProducts[Code],tblProducts[Selling Price (excl. VAT)],0)</f>
        <v>85000</v>
      </c>
      <c r="K5832" s="5">
        <f>tblSales[[#This Row],[Qty]]*tblSales[[#This Row],[Unit Price]]</f>
        <v>850000</v>
      </c>
      <c r="L5832" s="5">
        <f>ROUND(tblSales[[#This Row],[DPP (excl. VAT)]]*VATEff,0)</f>
        <v>93500</v>
      </c>
      <c r="M5832" s="5">
        <f>tblSales[[#This Row],[DPP (excl. VAT)]]+tblSales[[#This Row],[Output VAT]]</f>
        <v>943500</v>
      </c>
      <c r="N5832" s="5">
        <f>tblSales[[#This Row],[Qty]]*_xlfn.XLOOKUP(tblSales[[#This Row],[Product Code]],tblProducts[Code],tblProducts[Unit Cost],0)</f>
        <v>500000</v>
      </c>
      <c r="O5832" s="4" t="s">
        <v>4866</v>
      </c>
      <c r="P5832" s="4" t="s">
        <v>4861</v>
      </c>
      <c r="Q5832" s="1" t="str">
        <f>_xlfn.XLOOKUP(tblSales[[#This Row],[Channel Code]],tblChannels[Channel Code],tblChannels[Channel Name],"")</f>
        <v>Marketplace</v>
      </c>
      <c r="R5832" s="1">
        <f>MONTH(tblSales[[#This Row],[Date]])</f>
        <v>12</v>
      </c>
    </row>
    <row r="5833" spans="2:18" x14ac:dyDescent="0.35">
      <c r="B5833" s="113">
        <v>46370</v>
      </c>
      <c r="C5833" s="4" t="s">
        <v>3995</v>
      </c>
      <c r="D5833" s="4" t="s">
        <v>4568</v>
      </c>
      <c r="E5833" s="1" t="str">
        <f>_xlfn.XLOOKUP(tblSales[[#This Row],[Customer ID]],tblCustomers[Customer ID],tblCustomers[Customer Name],"⚠ Unknown")</f>
        <v>Walk-in Customer</v>
      </c>
      <c r="F5833" s="4" t="s">
        <v>10</v>
      </c>
      <c r="G5833" s="1" t="str">
        <f>_xlfn.XLOOKUP(tblSales[[#This Row],[Product Code]],tblProducts[Code],tblProducts[Product / Service Name],"⚠ Unknown")</f>
        <v>Chino Pants</v>
      </c>
      <c r="H5833" s="1" t="str">
        <f>_xlfn.XLOOKUP(tblSales[[#This Row],[Product Code]],tblProducts[Code],tblProducts[Category],"")</f>
        <v>Apparel &amp; Footwear</v>
      </c>
      <c r="I5833" s="4">
        <v>10</v>
      </c>
      <c r="J5833" s="5">
        <f>_xlfn.XLOOKUP(tblSales[[#This Row],[Product Code]],tblProducts[Code],tblProducts[Selling Price (excl. VAT)],0)</f>
        <v>150000</v>
      </c>
      <c r="K5833" s="5">
        <f>tblSales[[#This Row],[Qty]]*tblSales[[#This Row],[Unit Price]]</f>
        <v>1500000</v>
      </c>
      <c r="L5833" s="5">
        <f>ROUND(tblSales[[#This Row],[DPP (excl. VAT)]]*VATEff,0)</f>
        <v>165000</v>
      </c>
      <c r="M5833" s="5">
        <f>tblSales[[#This Row],[DPP (excl. VAT)]]+tblSales[[#This Row],[Output VAT]]</f>
        <v>1665000</v>
      </c>
      <c r="N5833" s="5">
        <f>tblSales[[#This Row],[Qty]]*_xlfn.XLOOKUP(tblSales[[#This Row],[Product Code]],tblProducts[Code],tblProducts[Unit Cost],0)</f>
        <v>880000</v>
      </c>
      <c r="O5833" s="4" t="s">
        <v>4866</v>
      </c>
      <c r="P5833" s="4" t="s">
        <v>4860</v>
      </c>
      <c r="Q5833" s="1" t="str">
        <f>_xlfn.XLOOKUP(tblSales[[#This Row],[Channel Code]],tblChannels[Channel Code],tblChannels[Channel Name],"")</f>
        <v>In-store</v>
      </c>
      <c r="R5833" s="1">
        <f>MONTH(tblSales[[#This Row],[Date]])</f>
        <v>12</v>
      </c>
    </row>
    <row r="5834" spans="2:18" x14ac:dyDescent="0.35">
      <c r="B5834" s="113">
        <v>46370</v>
      </c>
      <c r="C5834" s="4" t="s">
        <v>3996</v>
      </c>
      <c r="D5834" s="4" t="s">
        <v>4568</v>
      </c>
      <c r="E5834" s="1" t="str">
        <f>_xlfn.XLOOKUP(tblSales[[#This Row],[Customer ID]],tblCustomers[Customer ID],tblCustomers[Customer Name],"⚠ Unknown")</f>
        <v>Walk-in Customer</v>
      </c>
      <c r="F5834" s="4" t="s">
        <v>14</v>
      </c>
      <c r="G5834" s="1" t="str">
        <f>_xlfn.XLOOKUP(tblSales[[#This Row],[Product Code]],tblProducts[Code],tblProducts[Product / Service Name],"⚠ Unknown")</f>
        <v>Smartwatch</v>
      </c>
      <c r="H5834" s="1" t="str">
        <f>_xlfn.XLOOKUP(tblSales[[#This Row],[Product Code]],tblProducts[Code],tblProducts[Category],"")</f>
        <v>Bags &amp; Gadgets</v>
      </c>
      <c r="I5834" s="4">
        <v>3</v>
      </c>
      <c r="J5834" s="5">
        <f>_xlfn.XLOOKUP(tblSales[[#This Row],[Product Code]],tblProducts[Code],tblProducts[Selling Price (excl. VAT)],0)</f>
        <v>850000</v>
      </c>
      <c r="K5834" s="5">
        <f>tblSales[[#This Row],[Qty]]*tblSales[[#This Row],[Unit Price]]</f>
        <v>2550000</v>
      </c>
      <c r="L5834" s="5">
        <f>ROUND(tblSales[[#This Row],[DPP (excl. VAT)]]*VATEff,0)</f>
        <v>280500</v>
      </c>
      <c r="M5834" s="5">
        <f>tblSales[[#This Row],[DPP (excl. VAT)]]+tblSales[[#This Row],[Output VAT]]</f>
        <v>2830500</v>
      </c>
      <c r="N5834" s="5">
        <f>tblSales[[#This Row],[Qty]]*_xlfn.XLOOKUP(tblSales[[#This Row],[Product Code]],tblProducts[Code],tblProducts[Unit Cost],0)</f>
        <v>1680000</v>
      </c>
      <c r="O5834" s="4" t="s">
        <v>4866</v>
      </c>
      <c r="P5834" s="4" t="s">
        <v>4860</v>
      </c>
      <c r="Q5834" s="1" t="str">
        <f>_xlfn.XLOOKUP(tblSales[[#This Row],[Channel Code]],tblChannels[Channel Code],tblChannels[Channel Name],"")</f>
        <v>In-store</v>
      </c>
      <c r="R5834" s="1">
        <f>MONTH(tblSales[[#This Row],[Date]])</f>
        <v>12</v>
      </c>
    </row>
    <row r="5835" spans="2:18" x14ac:dyDescent="0.35">
      <c r="B5835" s="113">
        <v>46370</v>
      </c>
      <c r="C5835" s="4" t="s">
        <v>3996</v>
      </c>
      <c r="D5835" s="4" t="s">
        <v>4568</v>
      </c>
      <c r="E5835" s="1" t="str">
        <f>_xlfn.XLOOKUP(tblSales[[#This Row],[Customer ID]],tblCustomers[Customer ID],tblCustomers[Customer Name],"⚠ Unknown")</f>
        <v>Walk-in Customer</v>
      </c>
      <c r="F5835" s="4" t="s">
        <v>7</v>
      </c>
      <c r="G5835" s="1" t="str">
        <f>_xlfn.XLOOKUP(tblSales[[#This Row],[Product Code]],tblProducts[Code],tblProducts[Product / Service Name],"⚠ Unknown")</f>
        <v>Premium Basic T-shirt</v>
      </c>
      <c r="H5835" s="1" t="str">
        <f>_xlfn.XLOOKUP(tblSales[[#This Row],[Product Code]],tblProducts[Code],tblProducts[Category],"")</f>
        <v>Accessories &amp; Basics</v>
      </c>
      <c r="I5835" s="4">
        <v>6</v>
      </c>
      <c r="J5835" s="5">
        <f>_xlfn.XLOOKUP(tblSales[[#This Row],[Product Code]],tblProducts[Code],tblProducts[Selling Price (excl. VAT)],0)</f>
        <v>65000</v>
      </c>
      <c r="K5835" s="5">
        <f>tblSales[[#This Row],[Qty]]*tblSales[[#This Row],[Unit Price]]</f>
        <v>390000</v>
      </c>
      <c r="L5835" s="5">
        <f>ROUND(tblSales[[#This Row],[DPP (excl. VAT)]]*VATEff,0)</f>
        <v>42900</v>
      </c>
      <c r="M5835" s="5">
        <f>tblSales[[#This Row],[DPP (excl. VAT)]]+tblSales[[#This Row],[Output VAT]]</f>
        <v>432900</v>
      </c>
      <c r="N5835" s="5">
        <f>tblSales[[#This Row],[Qty]]*_xlfn.XLOOKUP(tblSales[[#This Row],[Product Code]],tblProducts[Code],tblProducts[Unit Cost],0)</f>
        <v>222000</v>
      </c>
      <c r="O5835" s="4" t="s">
        <v>4866</v>
      </c>
      <c r="P5835" s="4" t="s">
        <v>4860</v>
      </c>
      <c r="Q5835" s="1" t="str">
        <f>_xlfn.XLOOKUP(tblSales[[#This Row],[Channel Code]],tblChannels[Channel Code],tblChannels[Channel Name],"")</f>
        <v>In-store</v>
      </c>
      <c r="R5835" s="1">
        <f>MONTH(tblSales[[#This Row],[Date]])</f>
        <v>12</v>
      </c>
    </row>
    <row r="5836" spans="2:18" x14ac:dyDescent="0.35">
      <c r="B5836" s="113">
        <v>46370</v>
      </c>
      <c r="C5836" s="4" t="s">
        <v>3996</v>
      </c>
      <c r="D5836" s="4" t="s">
        <v>4568</v>
      </c>
      <c r="E5836" s="1" t="str">
        <f>_xlfn.XLOOKUP(tblSales[[#This Row],[Customer ID]],tblCustomers[Customer ID],tblCustomers[Customer Name],"⚠ Unknown")</f>
        <v>Walk-in Customer</v>
      </c>
      <c r="F5836" s="4" t="s">
        <v>10</v>
      </c>
      <c r="G5836" s="1" t="str">
        <f>_xlfn.XLOOKUP(tblSales[[#This Row],[Product Code]],tblProducts[Code],tblProducts[Product / Service Name],"⚠ Unknown")</f>
        <v>Chino Pants</v>
      </c>
      <c r="H5836" s="1" t="str">
        <f>_xlfn.XLOOKUP(tblSales[[#This Row],[Product Code]],tblProducts[Code],tblProducts[Category],"")</f>
        <v>Apparel &amp; Footwear</v>
      </c>
      <c r="I5836" s="4">
        <v>1</v>
      </c>
      <c r="J5836" s="5">
        <f>_xlfn.XLOOKUP(tblSales[[#This Row],[Product Code]],tblProducts[Code],tblProducts[Selling Price (excl. VAT)],0)</f>
        <v>150000</v>
      </c>
      <c r="K5836" s="5">
        <f>tblSales[[#This Row],[Qty]]*tblSales[[#This Row],[Unit Price]]</f>
        <v>150000</v>
      </c>
      <c r="L5836" s="5">
        <f>ROUND(tblSales[[#This Row],[DPP (excl. VAT)]]*VATEff,0)</f>
        <v>16500</v>
      </c>
      <c r="M5836" s="5">
        <f>tblSales[[#This Row],[DPP (excl. VAT)]]+tblSales[[#This Row],[Output VAT]]</f>
        <v>166500</v>
      </c>
      <c r="N5836" s="5">
        <f>tblSales[[#This Row],[Qty]]*_xlfn.XLOOKUP(tblSales[[#This Row],[Product Code]],tblProducts[Code],tblProducts[Unit Cost],0)</f>
        <v>88000</v>
      </c>
      <c r="O5836" s="4" t="s">
        <v>4866</v>
      </c>
      <c r="P5836" s="4" t="s">
        <v>4860</v>
      </c>
      <c r="Q5836" s="1" t="str">
        <f>_xlfn.XLOOKUP(tblSales[[#This Row],[Channel Code]],tblChannels[Channel Code],tblChannels[Channel Name],"")</f>
        <v>In-store</v>
      </c>
      <c r="R5836" s="1">
        <f>MONTH(tblSales[[#This Row],[Date]])</f>
        <v>12</v>
      </c>
    </row>
    <row r="5837" spans="2:18" x14ac:dyDescent="0.35">
      <c r="B5837" s="113">
        <v>46370</v>
      </c>
      <c r="C5837" s="4" t="s">
        <v>3997</v>
      </c>
      <c r="D5837" s="4" t="s">
        <v>4568</v>
      </c>
      <c r="E5837" s="1" t="str">
        <f>_xlfn.XLOOKUP(tblSales[[#This Row],[Customer ID]],tblCustomers[Customer ID],tblCustomers[Customer Name],"⚠ Unknown")</f>
        <v>Walk-in Customer</v>
      </c>
      <c r="F5837" s="4" t="s">
        <v>8</v>
      </c>
      <c r="G5837" s="1" t="str">
        <f>_xlfn.XLOOKUP(tblSales[[#This Row],[Product Code]],tblProducts[Code],tblProducts[Product / Service Name],"⚠ Unknown")</f>
        <v>Casual Shorts</v>
      </c>
      <c r="H5837" s="1" t="str">
        <f>_xlfn.XLOOKUP(tblSales[[#This Row],[Product Code]],tblProducts[Code],tblProducts[Category],"")</f>
        <v>Accessories &amp; Basics</v>
      </c>
      <c r="I5837" s="4">
        <v>5</v>
      </c>
      <c r="J5837" s="5">
        <f>_xlfn.XLOOKUP(tblSales[[#This Row],[Product Code]],tblProducts[Code],tblProducts[Selling Price (excl. VAT)],0)</f>
        <v>85000</v>
      </c>
      <c r="K5837" s="5">
        <f>tblSales[[#This Row],[Qty]]*tblSales[[#This Row],[Unit Price]]</f>
        <v>425000</v>
      </c>
      <c r="L5837" s="5">
        <f>ROUND(tblSales[[#This Row],[DPP (excl. VAT)]]*VATEff,0)</f>
        <v>46750</v>
      </c>
      <c r="M5837" s="5">
        <f>tblSales[[#This Row],[DPP (excl. VAT)]]+tblSales[[#This Row],[Output VAT]]</f>
        <v>471750</v>
      </c>
      <c r="N5837" s="5">
        <f>tblSales[[#This Row],[Qty]]*_xlfn.XLOOKUP(tblSales[[#This Row],[Product Code]],tblProducts[Code],tblProducts[Unit Cost],0)</f>
        <v>250000</v>
      </c>
      <c r="O5837" s="4" t="s">
        <v>4866</v>
      </c>
      <c r="P5837" s="4" t="s">
        <v>4861</v>
      </c>
      <c r="Q5837" s="1" t="str">
        <f>_xlfn.XLOOKUP(tblSales[[#This Row],[Channel Code]],tblChannels[Channel Code],tblChannels[Channel Name],"")</f>
        <v>Marketplace</v>
      </c>
      <c r="R5837" s="1">
        <f>MONTH(tblSales[[#This Row],[Date]])</f>
        <v>12</v>
      </c>
    </row>
    <row r="5838" spans="2:18" x14ac:dyDescent="0.35">
      <c r="B5838" s="113">
        <v>46370</v>
      </c>
      <c r="C5838" s="4" t="s">
        <v>3997</v>
      </c>
      <c r="D5838" s="4" t="s">
        <v>4568</v>
      </c>
      <c r="E5838" s="1" t="str">
        <f>_xlfn.XLOOKUP(tblSales[[#This Row],[Customer ID]],tblCustomers[Customer ID],tblCustomers[Customer Name],"⚠ Unknown")</f>
        <v>Walk-in Customer</v>
      </c>
      <c r="F5838" s="4" t="s">
        <v>7</v>
      </c>
      <c r="G5838" s="1" t="str">
        <f>_xlfn.XLOOKUP(tblSales[[#This Row],[Product Code]],tblProducts[Code],tblProducts[Product / Service Name],"⚠ Unknown")</f>
        <v>Premium Basic T-shirt</v>
      </c>
      <c r="H5838" s="1" t="str">
        <f>_xlfn.XLOOKUP(tblSales[[#This Row],[Product Code]],tblProducts[Code],tblProducts[Category],"")</f>
        <v>Accessories &amp; Basics</v>
      </c>
      <c r="I5838" s="4">
        <v>8</v>
      </c>
      <c r="J5838" s="5">
        <f>_xlfn.XLOOKUP(tblSales[[#This Row],[Product Code]],tblProducts[Code],tblProducts[Selling Price (excl. VAT)],0)</f>
        <v>65000</v>
      </c>
      <c r="K5838" s="5">
        <f>tblSales[[#This Row],[Qty]]*tblSales[[#This Row],[Unit Price]]</f>
        <v>520000</v>
      </c>
      <c r="L5838" s="5">
        <f>ROUND(tblSales[[#This Row],[DPP (excl. VAT)]]*VATEff,0)</f>
        <v>57200</v>
      </c>
      <c r="M5838" s="5">
        <f>tblSales[[#This Row],[DPP (excl. VAT)]]+tblSales[[#This Row],[Output VAT]]</f>
        <v>577200</v>
      </c>
      <c r="N5838" s="5">
        <f>tblSales[[#This Row],[Qty]]*_xlfn.XLOOKUP(tblSales[[#This Row],[Product Code]],tblProducts[Code],tblProducts[Unit Cost],0)</f>
        <v>296000</v>
      </c>
      <c r="O5838" s="4" t="s">
        <v>4866</v>
      </c>
      <c r="P5838" s="4" t="s">
        <v>4861</v>
      </c>
      <c r="Q5838" s="1" t="str">
        <f>_xlfn.XLOOKUP(tblSales[[#This Row],[Channel Code]],tblChannels[Channel Code],tblChannels[Channel Name],"")</f>
        <v>Marketplace</v>
      </c>
      <c r="R5838" s="1">
        <f>MONTH(tblSales[[#This Row],[Date]])</f>
        <v>12</v>
      </c>
    </row>
    <row r="5839" spans="2:18" x14ac:dyDescent="0.35">
      <c r="B5839" s="113">
        <v>46370</v>
      </c>
      <c r="C5839" s="4" t="s">
        <v>3998</v>
      </c>
      <c r="D5839" s="4" t="s">
        <v>4620</v>
      </c>
      <c r="E5839" s="1" t="str">
        <f>_xlfn.XLOOKUP(tblSales[[#This Row],[Customer ID]],tblCustomers[Customer ID],tblCustomers[Customer Name],"⚠ Unknown")</f>
        <v>CV Sumber Rejeki Utama</v>
      </c>
      <c r="F5839" s="4" t="s">
        <v>11</v>
      </c>
      <c r="G5839" s="1" t="str">
        <f>_xlfn.XLOOKUP(tblSales[[#This Row],[Product Code]],tblProducts[Code],tblProducts[Product / Service Name],"⚠ Unknown")</f>
        <v>Sneakers</v>
      </c>
      <c r="H5839" s="1" t="str">
        <f>_xlfn.XLOOKUP(tblSales[[#This Row],[Product Code]],tblProducts[Code],tblProducts[Category],"")</f>
        <v>Apparel &amp; Footwear</v>
      </c>
      <c r="I5839" s="4">
        <v>24</v>
      </c>
      <c r="J5839" s="5">
        <f>_xlfn.XLOOKUP(tblSales[[#This Row],[Product Code]],tblProducts[Code],tblProducts[Selling Price (excl. VAT)],0)</f>
        <v>250000</v>
      </c>
      <c r="K5839" s="5">
        <f>tblSales[[#This Row],[Qty]]*tblSales[[#This Row],[Unit Price]]</f>
        <v>6000000</v>
      </c>
      <c r="L5839" s="5">
        <f>ROUND(tblSales[[#This Row],[DPP (excl. VAT)]]*VATEff,0)</f>
        <v>660000</v>
      </c>
      <c r="M5839" s="5">
        <f>tblSales[[#This Row],[DPP (excl. VAT)]]+tblSales[[#This Row],[Output VAT]]</f>
        <v>6660000</v>
      </c>
      <c r="N5839" s="5">
        <f>tblSales[[#This Row],[Qty]]*_xlfn.XLOOKUP(tblSales[[#This Row],[Product Code]],tblProducts[Code],tblProducts[Unit Cost],0)</f>
        <v>3720000</v>
      </c>
      <c r="O5839" s="4" t="s">
        <v>4867</v>
      </c>
      <c r="P5839" s="4" t="s">
        <v>4860</v>
      </c>
      <c r="Q5839" s="1" t="str">
        <f>_xlfn.XLOOKUP(tblSales[[#This Row],[Channel Code]],tblChannels[Channel Code],tblChannels[Channel Name],"")</f>
        <v>In-store</v>
      </c>
      <c r="R5839" s="1">
        <f>MONTH(tblSales[[#This Row],[Date]])</f>
        <v>12</v>
      </c>
    </row>
    <row r="5840" spans="2:18" x14ac:dyDescent="0.35">
      <c r="B5840" s="113">
        <v>46370</v>
      </c>
      <c r="C5840" s="4" t="s">
        <v>3999</v>
      </c>
      <c r="D5840" s="4" t="s">
        <v>4568</v>
      </c>
      <c r="E5840" s="1" t="str">
        <f>_xlfn.XLOOKUP(tblSales[[#This Row],[Customer ID]],tblCustomers[Customer ID],tblCustomers[Customer Name],"⚠ Unknown")</f>
        <v>Walk-in Customer</v>
      </c>
      <c r="F5840" s="4" t="s">
        <v>9</v>
      </c>
      <c r="G5840" s="1" t="str">
        <f>_xlfn.XLOOKUP(tblSales[[#This Row],[Product Code]],tblProducts[Code],tblProducts[Product / Service Name],"⚠ Unknown")</f>
        <v>Casual Shirt</v>
      </c>
      <c r="H5840" s="1" t="str">
        <f>_xlfn.XLOOKUP(tblSales[[#This Row],[Product Code]],tblProducts[Code],tblProducts[Category],"")</f>
        <v>Apparel &amp; Footwear</v>
      </c>
      <c r="I5840" s="4">
        <v>2</v>
      </c>
      <c r="J5840" s="5">
        <f>_xlfn.XLOOKUP(tblSales[[#This Row],[Product Code]],tblProducts[Code],tblProducts[Selling Price (excl. VAT)],0)</f>
        <v>120000</v>
      </c>
      <c r="K5840" s="5">
        <f>tblSales[[#This Row],[Qty]]*tblSales[[#This Row],[Unit Price]]</f>
        <v>240000</v>
      </c>
      <c r="L5840" s="5">
        <f>ROUND(tblSales[[#This Row],[DPP (excl. VAT)]]*VATEff,0)</f>
        <v>26400</v>
      </c>
      <c r="M5840" s="5">
        <f>tblSales[[#This Row],[DPP (excl. VAT)]]+tblSales[[#This Row],[Output VAT]]</f>
        <v>266400</v>
      </c>
      <c r="N5840" s="5">
        <f>tblSales[[#This Row],[Qty]]*_xlfn.XLOOKUP(tblSales[[#This Row],[Product Code]],tblProducts[Code],tblProducts[Unit Cost],0)</f>
        <v>144000</v>
      </c>
      <c r="O5840" s="4" t="s">
        <v>4866</v>
      </c>
      <c r="P5840" s="4" t="s">
        <v>4860</v>
      </c>
      <c r="Q5840" s="1" t="str">
        <f>_xlfn.XLOOKUP(tblSales[[#This Row],[Channel Code]],tblChannels[Channel Code],tblChannels[Channel Name],"")</f>
        <v>In-store</v>
      </c>
      <c r="R5840" s="1">
        <f>MONTH(tblSales[[#This Row],[Date]])</f>
        <v>12</v>
      </c>
    </row>
    <row r="5841" spans="2:18" x14ac:dyDescent="0.35">
      <c r="B5841" s="113">
        <v>46371</v>
      </c>
      <c r="C5841" s="4" t="s">
        <v>4000</v>
      </c>
      <c r="D5841" s="4" t="s">
        <v>4568</v>
      </c>
      <c r="E5841" s="1" t="str">
        <f>_xlfn.XLOOKUP(tblSales[[#This Row],[Customer ID]],tblCustomers[Customer ID],tblCustomers[Customer Name],"⚠ Unknown")</f>
        <v>Walk-in Customer</v>
      </c>
      <c r="F5841" s="4" t="s">
        <v>15</v>
      </c>
      <c r="G5841" s="1" t="str">
        <f>_xlfn.XLOOKUP(tblSales[[#This Row],[Product Code]],tblProducts[Code],tblProducts[Product / Service Name],"⚠ Unknown")</f>
        <v>Wireless Earbuds Pro</v>
      </c>
      <c r="H5841" s="1" t="str">
        <f>_xlfn.XLOOKUP(tblSales[[#This Row],[Product Code]],tblProducts[Code],tblProducts[Category],"")</f>
        <v>Bags &amp; Gadgets</v>
      </c>
      <c r="I5841" s="4">
        <v>3</v>
      </c>
      <c r="J5841" s="5">
        <f>_xlfn.XLOOKUP(tblSales[[#This Row],[Product Code]],tblProducts[Code],tblProducts[Selling Price (excl. VAT)],0)</f>
        <v>1250000</v>
      </c>
      <c r="K5841" s="5">
        <f>tblSales[[#This Row],[Qty]]*tblSales[[#This Row],[Unit Price]]</f>
        <v>3750000</v>
      </c>
      <c r="L5841" s="5">
        <f>ROUND(tblSales[[#This Row],[DPP (excl. VAT)]]*VATEff,0)</f>
        <v>412500</v>
      </c>
      <c r="M5841" s="5">
        <f>tblSales[[#This Row],[DPP (excl. VAT)]]+tblSales[[#This Row],[Output VAT]]</f>
        <v>4162500</v>
      </c>
      <c r="N5841" s="5">
        <f>tblSales[[#This Row],[Qty]]*_xlfn.XLOOKUP(tblSales[[#This Row],[Product Code]],tblProducts[Code],tblProducts[Unit Cost],0)</f>
        <v>2460000</v>
      </c>
      <c r="O5841" s="4" t="s">
        <v>4865</v>
      </c>
      <c r="P5841" s="4" t="s">
        <v>4860</v>
      </c>
      <c r="Q5841" s="1" t="str">
        <f>_xlfn.XLOOKUP(tblSales[[#This Row],[Channel Code]],tblChannels[Channel Code],tblChannels[Channel Name],"")</f>
        <v>In-store</v>
      </c>
      <c r="R5841" s="1">
        <f>MONTH(tblSales[[#This Row],[Date]])</f>
        <v>12</v>
      </c>
    </row>
    <row r="5842" spans="2:18" x14ac:dyDescent="0.35">
      <c r="B5842" s="113">
        <v>46371</v>
      </c>
      <c r="C5842" s="4" t="s">
        <v>4001</v>
      </c>
      <c r="D5842" s="4" t="s">
        <v>4568</v>
      </c>
      <c r="E5842" s="1" t="str">
        <f>_xlfn.XLOOKUP(tblSales[[#This Row],[Customer ID]],tblCustomers[Customer ID],tblCustomers[Customer Name],"⚠ Unknown")</f>
        <v>Walk-in Customer</v>
      </c>
      <c r="F5842" s="4" t="s">
        <v>8</v>
      </c>
      <c r="G5842" s="1" t="str">
        <f>_xlfn.XLOOKUP(tblSales[[#This Row],[Product Code]],tblProducts[Code],tblProducts[Product / Service Name],"⚠ Unknown")</f>
        <v>Casual Shorts</v>
      </c>
      <c r="H5842" s="1" t="str">
        <f>_xlfn.XLOOKUP(tblSales[[#This Row],[Product Code]],tblProducts[Code],tblProducts[Category],"")</f>
        <v>Accessories &amp; Basics</v>
      </c>
      <c r="I5842" s="4">
        <v>7</v>
      </c>
      <c r="J5842" s="5">
        <f>_xlfn.XLOOKUP(tblSales[[#This Row],[Product Code]],tblProducts[Code],tblProducts[Selling Price (excl. VAT)],0)</f>
        <v>85000</v>
      </c>
      <c r="K5842" s="5">
        <f>tblSales[[#This Row],[Qty]]*tblSales[[#This Row],[Unit Price]]</f>
        <v>595000</v>
      </c>
      <c r="L5842" s="5">
        <f>ROUND(tblSales[[#This Row],[DPP (excl. VAT)]]*VATEff,0)</f>
        <v>65450</v>
      </c>
      <c r="M5842" s="5">
        <f>tblSales[[#This Row],[DPP (excl. VAT)]]+tblSales[[#This Row],[Output VAT]]</f>
        <v>660450</v>
      </c>
      <c r="N5842" s="5">
        <f>tblSales[[#This Row],[Qty]]*_xlfn.XLOOKUP(tblSales[[#This Row],[Product Code]],tblProducts[Code],tblProducts[Unit Cost],0)</f>
        <v>350000</v>
      </c>
      <c r="O5842" s="4" t="s">
        <v>4865</v>
      </c>
      <c r="P5842" s="4" t="s">
        <v>4860</v>
      </c>
      <c r="Q5842" s="1" t="str">
        <f>_xlfn.XLOOKUP(tblSales[[#This Row],[Channel Code]],tblChannels[Channel Code],tblChannels[Channel Name],"")</f>
        <v>In-store</v>
      </c>
      <c r="R5842" s="1">
        <f>MONTH(tblSales[[#This Row],[Date]])</f>
        <v>12</v>
      </c>
    </row>
    <row r="5843" spans="2:18" x14ac:dyDescent="0.35">
      <c r="B5843" s="113">
        <v>46371</v>
      </c>
      <c r="C5843" s="4" t="s">
        <v>4001</v>
      </c>
      <c r="D5843" s="4" t="s">
        <v>4568</v>
      </c>
      <c r="E5843" s="1" t="str">
        <f>_xlfn.XLOOKUP(tblSales[[#This Row],[Customer ID]],tblCustomers[Customer ID],tblCustomers[Customer Name],"⚠ Unknown")</f>
        <v>Walk-in Customer</v>
      </c>
      <c r="F5843" s="4" t="s">
        <v>7</v>
      </c>
      <c r="G5843" s="1" t="str">
        <f>_xlfn.XLOOKUP(tblSales[[#This Row],[Product Code]],tblProducts[Code],tblProducts[Product / Service Name],"⚠ Unknown")</f>
        <v>Premium Basic T-shirt</v>
      </c>
      <c r="H5843" s="1" t="str">
        <f>_xlfn.XLOOKUP(tblSales[[#This Row],[Product Code]],tblProducts[Code],tblProducts[Category],"")</f>
        <v>Accessories &amp; Basics</v>
      </c>
      <c r="I5843" s="4">
        <v>10</v>
      </c>
      <c r="J5843" s="5">
        <f>_xlfn.XLOOKUP(tblSales[[#This Row],[Product Code]],tblProducts[Code],tblProducts[Selling Price (excl. VAT)],0)</f>
        <v>65000</v>
      </c>
      <c r="K5843" s="5">
        <f>tblSales[[#This Row],[Qty]]*tblSales[[#This Row],[Unit Price]]</f>
        <v>650000</v>
      </c>
      <c r="L5843" s="5">
        <f>ROUND(tblSales[[#This Row],[DPP (excl. VAT)]]*VATEff,0)</f>
        <v>71500</v>
      </c>
      <c r="M5843" s="5">
        <f>tblSales[[#This Row],[DPP (excl. VAT)]]+tblSales[[#This Row],[Output VAT]]</f>
        <v>721500</v>
      </c>
      <c r="N5843" s="5">
        <f>tblSales[[#This Row],[Qty]]*_xlfn.XLOOKUP(tblSales[[#This Row],[Product Code]],tblProducts[Code],tblProducts[Unit Cost],0)</f>
        <v>370000</v>
      </c>
      <c r="O5843" s="4" t="s">
        <v>4865</v>
      </c>
      <c r="P5843" s="4" t="s">
        <v>4860</v>
      </c>
      <c r="Q5843" s="1" t="str">
        <f>_xlfn.XLOOKUP(tblSales[[#This Row],[Channel Code]],tblChannels[Channel Code],tblChannels[Channel Name],"")</f>
        <v>In-store</v>
      </c>
      <c r="R5843" s="1">
        <f>MONTH(tblSales[[#This Row],[Date]])</f>
        <v>12</v>
      </c>
    </row>
    <row r="5844" spans="2:18" x14ac:dyDescent="0.35">
      <c r="B5844" s="113">
        <v>46371</v>
      </c>
      <c r="C5844" s="4" t="s">
        <v>4001</v>
      </c>
      <c r="D5844" s="4" t="s">
        <v>4568</v>
      </c>
      <c r="E5844" s="1" t="str">
        <f>_xlfn.XLOOKUP(tblSales[[#This Row],[Customer ID]],tblCustomers[Customer ID],tblCustomers[Customer Name],"⚠ Unknown")</f>
        <v>Walk-in Customer</v>
      </c>
      <c r="F5844" s="4" t="s">
        <v>10</v>
      </c>
      <c r="G5844" s="1" t="str">
        <f>_xlfn.XLOOKUP(tblSales[[#This Row],[Product Code]],tblProducts[Code],tblProducts[Product / Service Name],"⚠ Unknown")</f>
        <v>Chino Pants</v>
      </c>
      <c r="H5844" s="1" t="str">
        <f>_xlfn.XLOOKUP(tblSales[[#This Row],[Product Code]],tblProducts[Code],tblProducts[Category],"")</f>
        <v>Apparel &amp; Footwear</v>
      </c>
      <c r="I5844" s="4">
        <v>8</v>
      </c>
      <c r="J5844" s="5">
        <f>_xlfn.XLOOKUP(tblSales[[#This Row],[Product Code]],tblProducts[Code],tblProducts[Selling Price (excl. VAT)],0)</f>
        <v>150000</v>
      </c>
      <c r="K5844" s="5">
        <f>tblSales[[#This Row],[Qty]]*tblSales[[#This Row],[Unit Price]]</f>
        <v>1200000</v>
      </c>
      <c r="L5844" s="5">
        <f>ROUND(tblSales[[#This Row],[DPP (excl. VAT)]]*VATEff,0)</f>
        <v>132000</v>
      </c>
      <c r="M5844" s="5">
        <f>tblSales[[#This Row],[DPP (excl. VAT)]]+tblSales[[#This Row],[Output VAT]]</f>
        <v>1332000</v>
      </c>
      <c r="N5844" s="5">
        <f>tblSales[[#This Row],[Qty]]*_xlfn.XLOOKUP(tblSales[[#This Row],[Product Code]],tblProducts[Code],tblProducts[Unit Cost],0)</f>
        <v>704000</v>
      </c>
      <c r="O5844" s="4" t="s">
        <v>4865</v>
      </c>
      <c r="P5844" s="4" t="s">
        <v>4860</v>
      </c>
      <c r="Q5844" s="1" t="str">
        <f>_xlfn.XLOOKUP(tblSales[[#This Row],[Channel Code]],tblChannels[Channel Code],tblChannels[Channel Name],"")</f>
        <v>In-store</v>
      </c>
      <c r="R5844" s="1">
        <f>MONTH(tblSales[[#This Row],[Date]])</f>
        <v>12</v>
      </c>
    </row>
    <row r="5845" spans="2:18" x14ac:dyDescent="0.35">
      <c r="B5845" s="113">
        <v>46371</v>
      </c>
      <c r="C5845" s="4" t="s">
        <v>4002</v>
      </c>
      <c r="D5845" s="4" t="s">
        <v>4568</v>
      </c>
      <c r="E5845" s="1" t="str">
        <f>_xlfn.XLOOKUP(tblSales[[#This Row],[Customer ID]],tblCustomers[Customer ID],tblCustomers[Customer Name],"⚠ Unknown")</f>
        <v>Walk-in Customer</v>
      </c>
      <c r="F5845" s="4" t="s">
        <v>9</v>
      </c>
      <c r="G5845" s="1" t="str">
        <f>_xlfn.XLOOKUP(tblSales[[#This Row],[Product Code]],tblProducts[Code],tblProducts[Product / Service Name],"⚠ Unknown")</f>
        <v>Casual Shirt</v>
      </c>
      <c r="H5845" s="1" t="str">
        <f>_xlfn.XLOOKUP(tblSales[[#This Row],[Product Code]],tblProducts[Code],tblProducts[Category],"")</f>
        <v>Apparel &amp; Footwear</v>
      </c>
      <c r="I5845" s="4">
        <v>11</v>
      </c>
      <c r="J5845" s="5">
        <f>_xlfn.XLOOKUP(tblSales[[#This Row],[Product Code]],tblProducts[Code],tblProducts[Selling Price (excl. VAT)],0)</f>
        <v>120000</v>
      </c>
      <c r="K5845" s="5">
        <f>tblSales[[#This Row],[Qty]]*tblSales[[#This Row],[Unit Price]]</f>
        <v>1320000</v>
      </c>
      <c r="L5845" s="5">
        <f>ROUND(tblSales[[#This Row],[DPP (excl. VAT)]]*VATEff,0)</f>
        <v>145200</v>
      </c>
      <c r="M5845" s="5">
        <f>tblSales[[#This Row],[DPP (excl. VAT)]]+tblSales[[#This Row],[Output VAT]]</f>
        <v>1465200</v>
      </c>
      <c r="N5845" s="5">
        <f>tblSales[[#This Row],[Qty]]*_xlfn.XLOOKUP(tblSales[[#This Row],[Product Code]],tblProducts[Code],tblProducts[Unit Cost],0)</f>
        <v>792000</v>
      </c>
      <c r="O5845" s="4" t="s">
        <v>4866</v>
      </c>
      <c r="P5845" s="4" t="s">
        <v>4861</v>
      </c>
      <c r="Q5845" s="1" t="str">
        <f>_xlfn.XLOOKUP(tblSales[[#This Row],[Channel Code]],tblChannels[Channel Code],tblChannels[Channel Name],"")</f>
        <v>Marketplace</v>
      </c>
      <c r="R5845" s="1">
        <f>MONTH(tblSales[[#This Row],[Date]])</f>
        <v>12</v>
      </c>
    </row>
    <row r="5846" spans="2:18" x14ac:dyDescent="0.35">
      <c r="B5846" s="113">
        <v>46371</v>
      </c>
      <c r="C5846" s="4" t="s">
        <v>4003</v>
      </c>
      <c r="D5846" s="4" t="s">
        <v>4568</v>
      </c>
      <c r="E5846" s="1" t="str">
        <f>_xlfn.XLOOKUP(tblSales[[#This Row],[Customer ID]],tblCustomers[Customer ID],tblCustomers[Customer Name],"⚠ Unknown")</f>
        <v>Walk-in Customer</v>
      </c>
      <c r="F5846" s="4" t="s">
        <v>10</v>
      </c>
      <c r="G5846" s="1" t="str">
        <f>_xlfn.XLOOKUP(tblSales[[#This Row],[Product Code]],tblProducts[Code],tblProducts[Product / Service Name],"⚠ Unknown")</f>
        <v>Chino Pants</v>
      </c>
      <c r="H5846" s="1" t="str">
        <f>_xlfn.XLOOKUP(tblSales[[#This Row],[Product Code]],tblProducts[Code],tblProducts[Category],"")</f>
        <v>Apparel &amp; Footwear</v>
      </c>
      <c r="I5846" s="4">
        <v>11</v>
      </c>
      <c r="J5846" s="5">
        <f>_xlfn.XLOOKUP(tblSales[[#This Row],[Product Code]],tblProducts[Code],tblProducts[Selling Price (excl. VAT)],0)</f>
        <v>150000</v>
      </c>
      <c r="K5846" s="5">
        <f>tblSales[[#This Row],[Qty]]*tblSales[[#This Row],[Unit Price]]</f>
        <v>1650000</v>
      </c>
      <c r="L5846" s="5">
        <f>ROUND(tblSales[[#This Row],[DPP (excl. VAT)]]*VATEff,0)</f>
        <v>181500</v>
      </c>
      <c r="M5846" s="5">
        <f>tblSales[[#This Row],[DPP (excl. VAT)]]+tblSales[[#This Row],[Output VAT]]</f>
        <v>1831500</v>
      </c>
      <c r="N5846" s="5">
        <f>tblSales[[#This Row],[Qty]]*_xlfn.XLOOKUP(tblSales[[#This Row],[Product Code]],tblProducts[Code],tblProducts[Unit Cost],0)</f>
        <v>968000</v>
      </c>
      <c r="O5846" s="4" t="s">
        <v>4866</v>
      </c>
      <c r="P5846" s="4" t="s">
        <v>4861</v>
      </c>
      <c r="Q5846" s="1" t="str">
        <f>_xlfn.XLOOKUP(tblSales[[#This Row],[Channel Code]],tblChannels[Channel Code],tblChannels[Channel Name],"")</f>
        <v>Marketplace</v>
      </c>
      <c r="R5846" s="1">
        <f>MONTH(tblSales[[#This Row],[Date]])</f>
        <v>12</v>
      </c>
    </row>
    <row r="5847" spans="2:18" x14ac:dyDescent="0.35">
      <c r="B5847" s="113">
        <v>46371</v>
      </c>
      <c r="C5847" s="4" t="s">
        <v>4004</v>
      </c>
      <c r="D5847" s="4" t="s">
        <v>4568</v>
      </c>
      <c r="E5847" s="1" t="str">
        <f>_xlfn.XLOOKUP(tblSales[[#This Row],[Customer ID]],tblCustomers[Customer ID],tblCustomers[Customer Name],"⚠ Unknown")</f>
        <v>Walk-in Customer</v>
      </c>
      <c r="F5847" s="4" t="s">
        <v>11</v>
      </c>
      <c r="G5847" s="1" t="str">
        <f>_xlfn.XLOOKUP(tblSales[[#This Row],[Product Code]],tblProducts[Code],tblProducts[Product / Service Name],"⚠ Unknown")</f>
        <v>Sneakers</v>
      </c>
      <c r="H5847" s="1" t="str">
        <f>_xlfn.XLOOKUP(tblSales[[#This Row],[Product Code]],tblProducts[Code],tblProducts[Category],"")</f>
        <v>Apparel &amp; Footwear</v>
      </c>
      <c r="I5847" s="4">
        <v>2</v>
      </c>
      <c r="J5847" s="5">
        <f>_xlfn.XLOOKUP(tblSales[[#This Row],[Product Code]],tblProducts[Code],tblProducts[Selling Price (excl. VAT)],0)</f>
        <v>250000</v>
      </c>
      <c r="K5847" s="5">
        <f>tblSales[[#This Row],[Qty]]*tblSales[[#This Row],[Unit Price]]</f>
        <v>500000</v>
      </c>
      <c r="L5847" s="5">
        <f>ROUND(tblSales[[#This Row],[DPP (excl. VAT)]]*VATEff,0)</f>
        <v>55000</v>
      </c>
      <c r="M5847" s="5">
        <f>tblSales[[#This Row],[DPP (excl. VAT)]]+tblSales[[#This Row],[Output VAT]]</f>
        <v>555000</v>
      </c>
      <c r="N5847" s="5">
        <f>tblSales[[#This Row],[Qty]]*_xlfn.XLOOKUP(tblSales[[#This Row],[Product Code]],tblProducts[Code],tblProducts[Unit Cost],0)</f>
        <v>310000</v>
      </c>
      <c r="O5847" s="4" t="s">
        <v>4866</v>
      </c>
      <c r="P5847" s="4" t="s">
        <v>4860</v>
      </c>
      <c r="Q5847" s="1" t="str">
        <f>_xlfn.XLOOKUP(tblSales[[#This Row],[Channel Code]],tblChannels[Channel Code],tblChannels[Channel Name],"")</f>
        <v>In-store</v>
      </c>
      <c r="R5847" s="1">
        <f>MONTH(tblSales[[#This Row],[Date]])</f>
        <v>12</v>
      </c>
    </row>
    <row r="5848" spans="2:18" x14ac:dyDescent="0.35">
      <c r="B5848" s="113">
        <v>46371</v>
      </c>
      <c r="C5848" s="4" t="s">
        <v>4004</v>
      </c>
      <c r="D5848" s="4" t="s">
        <v>4568</v>
      </c>
      <c r="E5848" s="1" t="str">
        <f>_xlfn.XLOOKUP(tblSales[[#This Row],[Customer ID]],tblCustomers[Customer ID],tblCustomers[Customer Name],"⚠ Unknown")</f>
        <v>Walk-in Customer</v>
      </c>
      <c r="F5848" s="4" t="s">
        <v>15</v>
      </c>
      <c r="G5848" s="1" t="str">
        <f>_xlfn.XLOOKUP(tblSales[[#This Row],[Product Code]],tblProducts[Code],tblProducts[Product / Service Name],"⚠ Unknown")</f>
        <v>Wireless Earbuds Pro</v>
      </c>
      <c r="H5848" s="1" t="str">
        <f>_xlfn.XLOOKUP(tblSales[[#This Row],[Product Code]],tblProducts[Code],tblProducts[Category],"")</f>
        <v>Bags &amp; Gadgets</v>
      </c>
      <c r="I5848" s="4">
        <v>1</v>
      </c>
      <c r="J5848" s="5">
        <f>_xlfn.XLOOKUP(tblSales[[#This Row],[Product Code]],tblProducts[Code],tblProducts[Selling Price (excl. VAT)],0)</f>
        <v>1250000</v>
      </c>
      <c r="K5848" s="5">
        <f>tblSales[[#This Row],[Qty]]*tblSales[[#This Row],[Unit Price]]</f>
        <v>1250000</v>
      </c>
      <c r="L5848" s="5">
        <f>ROUND(tblSales[[#This Row],[DPP (excl. VAT)]]*VATEff,0)</f>
        <v>137500</v>
      </c>
      <c r="M5848" s="5">
        <f>tblSales[[#This Row],[DPP (excl. VAT)]]+tblSales[[#This Row],[Output VAT]]</f>
        <v>1387500</v>
      </c>
      <c r="N5848" s="5">
        <f>tblSales[[#This Row],[Qty]]*_xlfn.XLOOKUP(tblSales[[#This Row],[Product Code]],tblProducts[Code],tblProducts[Unit Cost],0)</f>
        <v>820000</v>
      </c>
      <c r="O5848" s="4" t="s">
        <v>4866</v>
      </c>
      <c r="P5848" s="4" t="s">
        <v>4860</v>
      </c>
      <c r="Q5848" s="1" t="str">
        <f>_xlfn.XLOOKUP(tblSales[[#This Row],[Channel Code]],tblChannels[Channel Code],tblChannels[Channel Name],"")</f>
        <v>In-store</v>
      </c>
      <c r="R5848" s="1">
        <f>MONTH(tblSales[[#This Row],[Date]])</f>
        <v>12</v>
      </c>
    </row>
    <row r="5849" spans="2:18" x14ac:dyDescent="0.35">
      <c r="B5849" s="113">
        <v>46371</v>
      </c>
      <c r="C5849" s="4" t="s">
        <v>4005</v>
      </c>
      <c r="D5849" s="4" t="s">
        <v>4568</v>
      </c>
      <c r="E5849" s="1" t="str">
        <f>_xlfn.XLOOKUP(tblSales[[#This Row],[Customer ID]],tblCustomers[Customer ID],tblCustomers[Customer Name],"⚠ Unknown")</f>
        <v>Walk-in Customer</v>
      </c>
      <c r="F5849" s="4" t="s">
        <v>6</v>
      </c>
      <c r="G5849" s="1" t="str">
        <f>_xlfn.XLOOKUP(tblSales[[#This Row],[Product Code]],tblProducts[Code],tblProducts[Product / Service Name],"⚠ Unknown")</f>
        <v>Socks &amp; Accessories</v>
      </c>
      <c r="H5849" s="1" t="str">
        <f>_xlfn.XLOOKUP(tblSales[[#This Row],[Product Code]],tblProducts[Code],tblProducts[Category],"")</f>
        <v>Accessories &amp; Basics</v>
      </c>
      <c r="I5849" s="4">
        <v>10</v>
      </c>
      <c r="J5849" s="5">
        <f>_xlfn.XLOOKUP(tblSales[[#This Row],[Product Code]],tblProducts[Code],tblProducts[Selling Price (excl. VAT)],0)</f>
        <v>45000</v>
      </c>
      <c r="K5849" s="5">
        <f>tblSales[[#This Row],[Qty]]*tblSales[[#This Row],[Unit Price]]</f>
        <v>450000</v>
      </c>
      <c r="L5849" s="5">
        <f>ROUND(tblSales[[#This Row],[DPP (excl. VAT)]]*VATEff,0)</f>
        <v>49500</v>
      </c>
      <c r="M5849" s="5">
        <f>tblSales[[#This Row],[DPP (excl. VAT)]]+tblSales[[#This Row],[Output VAT]]</f>
        <v>499500</v>
      </c>
      <c r="N5849" s="5">
        <f>tblSales[[#This Row],[Qty]]*_xlfn.XLOOKUP(tblSales[[#This Row],[Product Code]],tblProducts[Code],tblProducts[Unit Cost],0)</f>
        <v>240000</v>
      </c>
      <c r="O5849" s="4" t="s">
        <v>4865</v>
      </c>
      <c r="P5849" s="4" t="s">
        <v>4860</v>
      </c>
      <c r="Q5849" s="1" t="str">
        <f>_xlfn.XLOOKUP(tblSales[[#This Row],[Channel Code]],tblChannels[Channel Code],tblChannels[Channel Name],"")</f>
        <v>In-store</v>
      </c>
      <c r="R5849" s="1">
        <f>MONTH(tblSales[[#This Row],[Date]])</f>
        <v>12</v>
      </c>
    </row>
    <row r="5850" spans="2:18" x14ac:dyDescent="0.35">
      <c r="B5850" s="113">
        <v>46371</v>
      </c>
      <c r="C5850" s="4" t="s">
        <v>4006</v>
      </c>
      <c r="D5850" s="4" t="s">
        <v>4585</v>
      </c>
      <c r="E5850" s="1" t="str">
        <f>_xlfn.XLOOKUP(tblSales[[#This Row],[Customer ID]],tblCustomers[Customer ID],tblCustomers[Customer Name],"⚠ Unknown")</f>
        <v>CV Mitra Karya Mandiri</v>
      </c>
      <c r="F5850" s="4" t="s">
        <v>9</v>
      </c>
      <c r="G5850" s="1" t="str">
        <f>_xlfn.XLOOKUP(tblSales[[#This Row],[Product Code]],tblProducts[Code],tblProducts[Product / Service Name],"⚠ Unknown")</f>
        <v>Casual Shirt</v>
      </c>
      <c r="H5850" s="1" t="str">
        <f>_xlfn.XLOOKUP(tblSales[[#This Row],[Product Code]],tblProducts[Code],tblProducts[Category],"")</f>
        <v>Apparel &amp; Footwear</v>
      </c>
      <c r="I5850" s="4">
        <v>88</v>
      </c>
      <c r="J5850" s="5">
        <f>_xlfn.XLOOKUP(tblSales[[#This Row],[Product Code]],tblProducts[Code],tblProducts[Selling Price (excl. VAT)],0)</f>
        <v>120000</v>
      </c>
      <c r="K5850" s="5">
        <f>tblSales[[#This Row],[Qty]]*tblSales[[#This Row],[Unit Price]]</f>
        <v>10560000</v>
      </c>
      <c r="L5850" s="5">
        <f>ROUND(tblSales[[#This Row],[DPP (excl. VAT)]]*VATEff,0)</f>
        <v>1161600</v>
      </c>
      <c r="M5850" s="5">
        <f>tblSales[[#This Row],[DPP (excl. VAT)]]+tblSales[[#This Row],[Output VAT]]</f>
        <v>11721600</v>
      </c>
      <c r="N5850" s="5">
        <f>tblSales[[#This Row],[Qty]]*_xlfn.XLOOKUP(tblSales[[#This Row],[Product Code]],tblProducts[Code],tblProducts[Unit Cost],0)</f>
        <v>6336000</v>
      </c>
      <c r="O5850" s="4" t="s">
        <v>4867</v>
      </c>
      <c r="P5850" s="4" t="s">
        <v>4860</v>
      </c>
      <c r="Q5850" s="1" t="str">
        <f>_xlfn.XLOOKUP(tblSales[[#This Row],[Channel Code]],tblChannels[Channel Code],tblChannels[Channel Name],"")</f>
        <v>In-store</v>
      </c>
      <c r="R5850" s="1">
        <f>MONTH(tblSales[[#This Row],[Date]])</f>
        <v>12</v>
      </c>
    </row>
    <row r="5851" spans="2:18" x14ac:dyDescent="0.35">
      <c r="B5851" s="113">
        <v>46371</v>
      </c>
      <c r="C5851" s="4" t="s">
        <v>4006</v>
      </c>
      <c r="D5851" s="4" t="s">
        <v>4585</v>
      </c>
      <c r="E5851" s="1" t="str">
        <f>_xlfn.XLOOKUP(tblSales[[#This Row],[Customer ID]],tblCustomers[Customer ID],tblCustomers[Customer Name],"⚠ Unknown")</f>
        <v>CV Mitra Karya Mandiri</v>
      </c>
      <c r="F5851" s="4" t="s">
        <v>7</v>
      </c>
      <c r="G5851" s="1" t="str">
        <f>_xlfn.XLOOKUP(tblSales[[#This Row],[Product Code]],tblProducts[Code],tblProducts[Product / Service Name],"⚠ Unknown")</f>
        <v>Premium Basic T-shirt</v>
      </c>
      <c r="H5851" s="1" t="str">
        <f>_xlfn.XLOOKUP(tblSales[[#This Row],[Product Code]],tblProducts[Code],tblProducts[Category],"")</f>
        <v>Accessories &amp; Basics</v>
      </c>
      <c r="I5851" s="4">
        <v>8</v>
      </c>
      <c r="J5851" s="5">
        <f>_xlfn.XLOOKUP(tblSales[[#This Row],[Product Code]],tblProducts[Code],tblProducts[Selling Price (excl. VAT)],0)</f>
        <v>65000</v>
      </c>
      <c r="K5851" s="5">
        <f>tblSales[[#This Row],[Qty]]*tblSales[[#This Row],[Unit Price]]</f>
        <v>520000</v>
      </c>
      <c r="L5851" s="5">
        <f>ROUND(tblSales[[#This Row],[DPP (excl. VAT)]]*VATEff,0)</f>
        <v>57200</v>
      </c>
      <c r="M5851" s="5">
        <f>tblSales[[#This Row],[DPP (excl. VAT)]]+tblSales[[#This Row],[Output VAT]]</f>
        <v>577200</v>
      </c>
      <c r="N5851" s="5">
        <f>tblSales[[#This Row],[Qty]]*_xlfn.XLOOKUP(tblSales[[#This Row],[Product Code]],tblProducts[Code],tblProducts[Unit Cost],0)</f>
        <v>296000</v>
      </c>
      <c r="O5851" s="4" t="s">
        <v>4867</v>
      </c>
      <c r="P5851" s="4" t="s">
        <v>4860</v>
      </c>
      <c r="Q5851" s="1" t="str">
        <f>_xlfn.XLOOKUP(tblSales[[#This Row],[Channel Code]],tblChannels[Channel Code],tblChannels[Channel Name],"")</f>
        <v>In-store</v>
      </c>
      <c r="R5851" s="1">
        <f>MONTH(tblSales[[#This Row],[Date]])</f>
        <v>12</v>
      </c>
    </row>
    <row r="5852" spans="2:18" x14ac:dyDescent="0.35">
      <c r="B5852" s="113">
        <v>46371</v>
      </c>
      <c r="C5852" s="4" t="s">
        <v>4007</v>
      </c>
      <c r="D5852" s="4" t="s">
        <v>4568</v>
      </c>
      <c r="E5852" s="1" t="str">
        <f>_xlfn.XLOOKUP(tblSales[[#This Row],[Customer ID]],tblCustomers[Customer ID],tblCustomers[Customer Name],"⚠ Unknown")</f>
        <v>Walk-in Customer</v>
      </c>
      <c r="F5852" s="4" t="s">
        <v>8</v>
      </c>
      <c r="G5852" s="1" t="str">
        <f>_xlfn.XLOOKUP(tblSales[[#This Row],[Product Code]],tblProducts[Code],tblProducts[Product / Service Name],"⚠ Unknown")</f>
        <v>Casual Shorts</v>
      </c>
      <c r="H5852" s="1" t="str">
        <f>_xlfn.XLOOKUP(tblSales[[#This Row],[Product Code]],tblProducts[Code],tblProducts[Category],"")</f>
        <v>Accessories &amp; Basics</v>
      </c>
      <c r="I5852" s="4">
        <v>5</v>
      </c>
      <c r="J5852" s="5">
        <f>_xlfn.XLOOKUP(tblSales[[#This Row],[Product Code]],tblProducts[Code],tblProducts[Selling Price (excl. VAT)],0)</f>
        <v>85000</v>
      </c>
      <c r="K5852" s="5">
        <f>tblSales[[#This Row],[Qty]]*tblSales[[#This Row],[Unit Price]]</f>
        <v>425000</v>
      </c>
      <c r="L5852" s="5">
        <f>ROUND(tblSales[[#This Row],[DPP (excl. VAT)]]*VATEff,0)</f>
        <v>46750</v>
      </c>
      <c r="M5852" s="5">
        <f>tblSales[[#This Row],[DPP (excl. VAT)]]+tblSales[[#This Row],[Output VAT]]</f>
        <v>471750</v>
      </c>
      <c r="N5852" s="5">
        <f>tblSales[[#This Row],[Qty]]*_xlfn.XLOOKUP(tblSales[[#This Row],[Product Code]],tblProducts[Code],tblProducts[Unit Cost],0)</f>
        <v>250000</v>
      </c>
      <c r="O5852" s="4" t="s">
        <v>4866</v>
      </c>
      <c r="P5852" s="4" t="s">
        <v>4860</v>
      </c>
      <c r="Q5852" s="1" t="str">
        <f>_xlfn.XLOOKUP(tblSales[[#This Row],[Channel Code]],tblChannels[Channel Code],tblChannels[Channel Name],"")</f>
        <v>In-store</v>
      </c>
      <c r="R5852" s="1">
        <f>MONTH(tblSales[[#This Row],[Date]])</f>
        <v>12</v>
      </c>
    </row>
    <row r="5853" spans="2:18" x14ac:dyDescent="0.35">
      <c r="B5853" s="113">
        <v>46371</v>
      </c>
      <c r="C5853" s="4" t="s">
        <v>4007</v>
      </c>
      <c r="D5853" s="4" t="s">
        <v>4568</v>
      </c>
      <c r="E5853" s="1" t="str">
        <f>_xlfn.XLOOKUP(tblSales[[#This Row],[Customer ID]],tblCustomers[Customer ID],tblCustomers[Customer Name],"⚠ Unknown")</f>
        <v>Walk-in Customer</v>
      </c>
      <c r="F5853" s="4" t="s">
        <v>10</v>
      </c>
      <c r="G5853" s="1" t="str">
        <f>_xlfn.XLOOKUP(tblSales[[#This Row],[Product Code]],tblProducts[Code],tblProducts[Product / Service Name],"⚠ Unknown")</f>
        <v>Chino Pants</v>
      </c>
      <c r="H5853" s="1" t="str">
        <f>_xlfn.XLOOKUP(tblSales[[#This Row],[Product Code]],tblProducts[Code],tblProducts[Category],"")</f>
        <v>Apparel &amp; Footwear</v>
      </c>
      <c r="I5853" s="4">
        <v>1</v>
      </c>
      <c r="J5853" s="5">
        <f>_xlfn.XLOOKUP(tblSales[[#This Row],[Product Code]],tblProducts[Code],tblProducts[Selling Price (excl. VAT)],0)</f>
        <v>150000</v>
      </c>
      <c r="K5853" s="5">
        <f>tblSales[[#This Row],[Qty]]*tblSales[[#This Row],[Unit Price]]</f>
        <v>150000</v>
      </c>
      <c r="L5853" s="5">
        <f>ROUND(tblSales[[#This Row],[DPP (excl. VAT)]]*VATEff,0)</f>
        <v>16500</v>
      </c>
      <c r="M5853" s="5">
        <f>tblSales[[#This Row],[DPP (excl. VAT)]]+tblSales[[#This Row],[Output VAT]]</f>
        <v>166500</v>
      </c>
      <c r="N5853" s="5">
        <f>tblSales[[#This Row],[Qty]]*_xlfn.XLOOKUP(tblSales[[#This Row],[Product Code]],tblProducts[Code],tblProducts[Unit Cost],0)</f>
        <v>88000</v>
      </c>
      <c r="O5853" s="4" t="s">
        <v>4866</v>
      </c>
      <c r="P5853" s="4" t="s">
        <v>4860</v>
      </c>
      <c r="Q5853" s="1" t="str">
        <f>_xlfn.XLOOKUP(tblSales[[#This Row],[Channel Code]],tblChannels[Channel Code],tblChannels[Channel Name],"")</f>
        <v>In-store</v>
      </c>
      <c r="R5853" s="1">
        <f>MONTH(tblSales[[#This Row],[Date]])</f>
        <v>12</v>
      </c>
    </row>
    <row r="5854" spans="2:18" x14ac:dyDescent="0.35">
      <c r="B5854" s="113">
        <v>46371</v>
      </c>
      <c r="C5854" s="4" t="s">
        <v>4008</v>
      </c>
      <c r="D5854" s="4" t="s">
        <v>4568</v>
      </c>
      <c r="E5854" s="1" t="str">
        <f>_xlfn.XLOOKUP(tblSales[[#This Row],[Customer ID]],tblCustomers[Customer ID],tblCustomers[Customer Name],"⚠ Unknown")</f>
        <v>Walk-in Customer</v>
      </c>
      <c r="F5854" s="4" t="s">
        <v>9</v>
      </c>
      <c r="G5854" s="1" t="str">
        <f>_xlfn.XLOOKUP(tblSales[[#This Row],[Product Code]],tblProducts[Code],tblProducts[Product / Service Name],"⚠ Unknown")</f>
        <v>Casual Shirt</v>
      </c>
      <c r="H5854" s="1" t="str">
        <f>_xlfn.XLOOKUP(tblSales[[#This Row],[Product Code]],tblProducts[Code],tblProducts[Category],"")</f>
        <v>Apparel &amp; Footwear</v>
      </c>
      <c r="I5854" s="4">
        <v>9</v>
      </c>
      <c r="J5854" s="5">
        <f>_xlfn.XLOOKUP(tblSales[[#This Row],[Product Code]],tblProducts[Code],tblProducts[Selling Price (excl. VAT)],0)</f>
        <v>120000</v>
      </c>
      <c r="K5854" s="5">
        <f>tblSales[[#This Row],[Qty]]*tblSales[[#This Row],[Unit Price]]</f>
        <v>1080000</v>
      </c>
      <c r="L5854" s="5">
        <f>ROUND(tblSales[[#This Row],[DPP (excl. VAT)]]*VATEff,0)</f>
        <v>118800</v>
      </c>
      <c r="M5854" s="5">
        <f>tblSales[[#This Row],[DPP (excl. VAT)]]+tblSales[[#This Row],[Output VAT]]</f>
        <v>1198800</v>
      </c>
      <c r="N5854" s="5">
        <f>tblSales[[#This Row],[Qty]]*_xlfn.XLOOKUP(tblSales[[#This Row],[Product Code]],tblProducts[Code],tblProducts[Unit Cost],0)</f>
        <v>648000</v>
      </c>
      <c r="O5854" s="4" t="s">
        <v>4865</v>
      </c>
      <c r="P5854" s="4" t="s">
        <v>4860</v>
      </c>
      <c r="Q5854" s="1" t="str">
        <f>_xlfn.XLOOKUP(tblSales[[#This Row],[Channel Code]],tblChannels[Channel Code],tblChannels[Channel Name],"")</f>
        <v>In-store</v>
      </c>
      <c r="R5854" s="1">
        <f>MONTH(tblSales[[#This Row],[Date]])</f>
        <v>12</v>
      </c>
    </row>
    <row r="5855" spans="2:18" x14ac:dyDescent="0.35">
      <c r="B5855" s="113">
        <v>46371</v>
      </c>
      <c r="C5855" s="4" t="s">
        <v>4009</v>
      </c>
      <c r="D5855" s="4" t="s">
        <v>4568</v>
      </c>
      <c r="E5855" s="1" t="str">
        <f>_xlfn.XLOOKUP(tblSales[[#This Row],[Customer ID]],tblCustomers[Customer ID],tblCustomers[Customer Name],"⚠ Unknown")</f>
        <v>Walk-in Customer</v>
      </c>
      <c r="F5855" s="4" t="s">
        <v>12</v>
      </c>
      <c r="G5855" s="1" t="str">
        <f>_xlfn.XLOOKUP(tblSales[[#This Row],[Product Code]],tblProducts[Code],tblProducts[Product / Service Name],"⚠ Unknown")</f>
        <v>Bomber Jacket</v>
      </c>
      <c r="H5855" s="1" t="str">
        <f>_xlfn.XLOOKUP(tblSales[[#This Row],[Product Code]],tblProducts[Code],tblProducts[Category],"")</f>
        <v>Apparel &amp; Footwear</v>
      </c>
      <c r="I5855" s="4">
        <v>2</v>
      </c>
      <c r="J5855" s="5">
        <f>_xlfn.XLOOKUP(tblSales[[#This Row],[Product Code]],tblProducts[Code],tblProducts[Selling Price (excl. VAT)],0)</f>
        <v>350000</v>
      </c>
      <c r="K5855" s="5">
        <f>tblSales[[#This Row],[Qty]]*tblSales[[#This Row],[Unit Price]]</f>
        <v>700000</v>
      </c>
      <c r="L5855" s="5">
        <f>ROUND(tblSales[[#This Row],[DPP (excl. VAT)]]*VATEff,0)</f>
        <v>77000</v>
      </c>
      <c r="M5855" s="5">
        <f>tblSales[[#This Row],[DPP (excl. VAT)]]+tblSales[[#This Row],[Output VAT]]</f>
        <v>777000</v>
      </c>
      <c r="N5855" s="5">
        <f>tblSales[[#This Row],[Qty]]*_xlfn.XLOOKUP(tblSales[[#This Row],[Product Code]],tblProducts[Code],tblProducts[Unit Cost],0)</f>
        <v>420000</v>
      </c>
      <c r="O5855" s="4" t="s">
        <v>4866</v>
      </c>
      <c r="P5855" s="4" t="s">
        <v>4861</v>
      </c>
      <c r="Q5855" s="1" t="str">
        <f>_xlfn.XLOOKUP(tblSales[[#This Row],[Channel Code]],tblChannels[Channel Code],tblChannels[Channel Name],"")</f>
        <v>Marketplace</v>
      </c>
      <c r="R5855" s="1">
        <f>MONTH(tblSales[[#This Row],[Date]])</f>
        <v>12</v>
      </c>
    </row>
    <row r="5856" spans="2:18" x14ac:dyDescent="0.35">
      <c r="B5856" s="113">
        <v>46371</v>
      </c>
      <c r="C5856" s="4" t="s">
        <v>4010</v>
      </c>
      <c r="D5856" s="4" t="s">
        <v>4599</v>
      </c>
      <c r="E5856" s="1" t="str">
        <f>_xlfn.XLOOKUP(tblSales[[#This Row],[Customer ID]],tblCustomers[Customer ID],tblCustomers[Customer Name],"⚠ Unknown")</f>
        <v>PT Samudra Jaya Logistik</v>
      </c>
      <c r="F5856" s="4" t="s">
        <v>10</v>
      </c>
      <c r="G5856" s="1" t="str">
        <f>_xlfn.XLOOKUP(tblSales[[#This Row],[Product Code]],tblProducts[Code],tblProducts[Product / Service Name],"⚠ Unknown")</f>
        <v>Chino Pants</v>
      </c>
      <c r="H5856" s="1" t="str">
        <f>_xlfn.XLOOKUP(tblSales[[#This Row],[Product Code]],tblProducts[Code],tblProducts[Category],"")</f>
        <v>Apparel &amp; Footwear</v>
      </c>
      <c r="I5856" s="4">
        <v>80</v>
      </c>
      <c r="J5856" s="5">
        <f>_xlfn.XLOOKUP(tblSales[[#This Row],[Product Code]],tblProducts[Code],tblProducts[Selling Price (excl. VAT)],0)</f>
        <v>150000</v>
      </c>
      <c r="K5856" s="5">
        <f>tblSales[[#This Row],[Qty]]*tblSales[[#This Row],[Unit Price]]</f>
        <v>12000000</v>
      </c>
      <c r="L5856" s="5">
        <f>ROUND(tblSales[[#This Row],[DPP (excl. VAT)]]*VATEff,0)</f>
        <v>1320000</v>
      </c>
      <c r="M5856" s="5">
        <f>tblSales[[#This Row],[DPP (excl. VAT)]]+tblSales[[#This Row],[Output VAT]]</f>
        <v>13320000</v>
      </c>
      <c r="N5856" s="5">
        <f>tblSales[[#This Row],[Qty]]*_xlfn.XLOOKUP(tblSales[[#This Row],[Product Code]],tblProducts[Code],tblProducts[Unit Cost],0)</f>
        <v>7040000</v>
      </c>
      <c r="O5856" s="4" t="s">
        <v>4867</v>
      </c>
      <c r="P5856" s="4" t="s">
        <v>4860</v>
      </c>
      <c r="Q5856" s="1" t="str">
        <f>_xlfn.XLOOKUP(tblSales[[#This Row],[Channel Code]],tblChannels[Channel Code],tblChannels[Channel Name],"")</f>
        <v>In-store</v>
      </c>
      <c r="R5856" s="1">
        <f>MONTH(tblSales[[#This Row],[Date]])</f>
        <v>12</v>
      </c>
    </row>
    <row r="5857" spans="2:18" x14ac:dyDescent="0.35">
      <c r="B5857" s="113">
        <v>46371</v>
      </c>
      <c r="C5857" s="4" t="s">
        <v>4011</v>
      </c>
      <c r="D5857" s="4" t="s">
        <v>4599</v>
      </c>
      <c r="E5857" s="1" t="str">
        <f>_xlfn.XLOOKUP(tblSales[[#This Row],[Customer ID]],tblCustomers[Customer ID],tblCustomers[Customer Name],"⚠ Unknown")</f>
        <v>PT Samudra Jaya Logistik</v>
      </c>
      <c r="F5857" s="4" t="s">
        <v>10</v>
      </c>
      <c r="G5857" s="1" t="str">
        <f>_xlfn.XLOOKUP(tblSales[[#This Row],[Product Code]],tblProducts[Code],tblProducts[Product / Service Name],"⚠ Unknown")</f>
        <v>Chino Pants</v>
      </c>
      <c r="H5857" s="1" t="str">
        <f>_xlfn.XLOOKUP(tblSales[[#This Row],[Product Code]],tblProducts[Code],tblProducts[Category],"")</f>
        <v>Apparel &amp; Footwear</v>
      </c>
      <c r="I5857" s="4">
        <v>64</v>
      </c>
      <c r="J5857" s="5">
        <f>_xlfn.XLOOKUP(tblSales[[#This Row],[Product Code]],tblProducts[Code],tblProducts[Selling Price (excl. VAT)],0)</f>
        <v>150000</v>
      </c>
      <c r="K5857" s="5">
        <f>tblSales[[#This Row],[Qty]]*tblSales[[#This Row],[Unit Price]]</f>
        <v>9600000</v>
      </c>
      <c r="L5857" s="5">
        <f>ROUND(tblSales[[#This Row],[DPP (excl. VAT)]]*VATEff,0)</f>
        <v>1056000</v>
      </c>
      <c r="M5857" s="5">
        <f>tblSales[[#This Row],[DPP (excl. VAT)]]+tblSales[[#This Row],[Output VAT]]</f>
        <v>10656000</v>
      </c>
      <c r="N5857" s="5">
        <f>tblSales[[#This Row],[Qty]]*_xlfn.XLOOKUP(tblSales[[#This Row],[Product Code]],tblProducts[Code],tblProducts[Unit Cost],0)</f>
        <v>5632000</v>
      </c>
      <c r="O5857" s="4" t="s">
        <v>4867</v>
      </c>
      <c r="P5857" s="4" t="s">
        <v>4860</v>
      </c>
      <c r="Q5857" s="1" t="str">
        <f>_xlfn.XLOOKUP(tblSales[[#This Row],[Channel Code]],tblChannels[Channel Code],tblChannels[Channel Name],"")</f>
        <v>In-store</v>
      </c>
      <c r="R5857" s="1">
        <f>MONTH(tblSales[[#This Row],[Date]])</f>
        <v>12</v>
      </c>
    </row>
    <row r="5858" spans="2:18" x14ac:dyDescent="0.35">
      <c r="B5858" s="113">
        <v>46371</v>
      </c>
      <c r="C5858" s="4" t="s">
        <v>4011</v>
      </c>
      <c r="D5858" s="4" t="s">
        <v>4599</v>
      </c>
      <c r="E5858" s="1" t="str">
        <f>_xlfn.XLOOKUP(tblSales[[#This Row],[Customer ID]],tblCustomers[Customer ID],tblCustomers[Customer Name],"⚠ Unknown")</f>
        <v>PT Samudra Jaya Logistik</v>
      </c>
      <c r="F5858" s="4" t="s">
        <v>7</v>
      </c>
      <c r="G5858" s="1" t="str">
        <f>_xlfn.XLOOKUP(tblSales[[#This Row],[Product Code]],tblProducts[Code],tblProducts[Product / Service Name],"⚠ Unknown")</f>
        <v>Premium Basic T-shirt</v>
      </c>
      <c r="H5858" s="1" t="str">
        <f>_xlfn.XLOOKUP(tblSales[[#This Row],[Product Code]],tblProducts[Code],tblProducts[Category],"")</f>
        <v>Accessories &amp; Basics</v>
      </c>
      <c r="I5858" s="4">
        <v>24</v>
      </c>
      <c r="J5858" s="5">
        <f>_xlfn.XLOOKUP(tblSales[[#This Row],[Product Code]],tblProducts[Code],tblProducts[Selling Price (excl. VAT)],0)</f>
        <v>65000</v>
      </c>
      <c r="K5858" s="5">
        <f>tblSales[[#This Row],[Qty]]*tblSales[[#This Row],[Unit Price]]</f>
        <v>1560000</v>
      </c>
      <c r="L5858" s="5">
        <f>ROUND(tblSales[[#This Row],[DPP (excl. VAT)]]*VATEff,0)</f>
        <v>171600</v>
      </c>
      <c r="M5858" s="5">
        <f>tblSales[[#This Row],[DPP (excl. VAT)]]+tblSales[[#This Row],[Output VAT]]</f>
        <v>1731600</v>
      </c>
      <c r="N5858" s="5">
        <f>tblSales[[#This Row],[Qty]]*_xlfn.XLOOKUP(tblSales[[#This Row],[Product Code]],tblProducts[Code],tblProducts[Unit Cost],0)</f>
        <v>888000</v>
      </c>
      <c r="O5858" s="4" t="s">
        <v>4867</v>
      </c>
      <c r="P5858" s="4" t="s">
        <v>4860</v>
      </c>
      <c r="Q5858" s="1" t="str">
        <f>_xlfn.XLOOKUP(tblSales[[#This Row],[Channel Code]],tblChannels[Channel Code],tblChannels[Channel Name],"")</f>
        <v>In-store</v>
      </c>
      <c r="R5858" s="1">
        <f>MONTH(tblSales[[#This Row],[Date]])</f>
        <v>12</v>
      </c>
    </row>
    <row r="5859" spans="2:18" x14ac:dyDescent="0.35">
      <c r="B5859" s="113">
        <v>46371</v>
      </c>
      <c r="C5859" s="4" t="s">
        <v>4011</v>
      </c>
      <c r="D5859" s="4" t="s">
        <v>4599</v>
      </c>
      <c r="E5859" s="1" t="str">
        <f>_xlfn.XLOOKUP(tblSales[[#This Row],[Customer ID]],tblCustomers[Customer ID],tblCustomers[Customer Name],"⚠ Unknown")</f>
        <v>PT Samudra Jaya Logistik</v>
      </c>
      <c r="F5859" s="4" t="s">
        <v>8</v>
      </c>
      <c r="G5859" s="1" t="str">
        <f>_xlfn.XLOOKUP(tblSales[[#This Row],[Product Code]],tblProducts[Code],tblProducts[Product / Service Name],"⚠ Unknown")</f>
        <v>Casual Shorts</v>
      </c>
      <c r="H5859" s="1" t="str">
        <f>_xlfn.XLOOKUP(tblSales[[#This Row],[Product Code]],tblProducts[Code],tblProducts[Category],"")</f>
        <v>Accessories &amp; Basics</v>
      </c>
      <c r="I5859" s="4">
        <v>48</v>
      </c>
      <c r="J5859" s="5">
        <f>_xlfn.XLOOKUP(tblSales[[#This Row],[Product Code]],tblProducts[Code],tblProducts[Selling Price (excl. VAT)],0)</f>
        <v>85000</v>
      </c>
      <c r="K5859" s="5">
        <f>tblSales[[#This Row],[Qty]]*tblSales[[#This Row],[Unit Price]]</f>
        <v>4080000</v>
      </c>
      <c r="L5859" s="5">
        <f>ROUND(tblSales[[#This Row],[DPP (excl. VAT)]]*VATEff,0)</f>
        <v>448800</v>
      </c>
      <c r="M5859" s="5">
        <f>tblSales[[#This Row],[DPP (excl. VAT)]]+tblSales[[#This Row],[Output VAT]]</f>
        <v>4528800</v>
      </c>
      <c r="N5859" s="5">
        <f>tblSales[[#This Row],[Qty]]*_xlfn.XLOOKUP(tblSales[[#This Row],[Product Code]],tblProducts[Code],tblProducts[Unit Cost],0)</f>
        <v>2400000</v>
      </c>
      <c r="O5859" s="4" t="s">
        <v>4867</v>
      </c>
      <c r="P5859" s="4" t="s">
        <v>4860</v>
      </c>
      <c r="Q5859" s="1" t="str">
        <f>_xlfn.XLOOKUP(tblSales[[#This Row],[Channel Code]],tblChannels[Channel Code],tblChannels[Channel Name],"")</f>
        <v>In-store</v>
      </c>
      <c r="R5859" s="1">
        <f>MONTH(tblSales[[#This Row],[Date]])</f>
        <v>12</v>
      </c>
    </row>
    <row r="5860" spans="2:18" x14ac:dyDescent="0.35">
      <c r="B5860" s="113">
        <v>46372</v>
      </c>
      <c r="C5860" s="4" t="s">
        <v>4012</v>
      </c>
      <c r="D5860" s="4" t="s">
        <v>4568</v>
      </c>
      <c r="E5860" s="1" t="str">
        <f>_xlfn.XLOOKUP(tblSales[[#This Row],[Customer ID]],tblCustomers[Customer ID],tblCustomers[Customer Name],"⚠ Unknown")</f>
        <v>Walk-in Customer</v>
      </c>
      <c r="F5860" s="4" t="s">
        <v>8</v>
      </c>
      <c r="G5860" s="1" t="str">
        <f>_xlfn.XLOOKUP(tblSales[[#This Row],[Product Code]],tblProducts[Code],tblProducts[Product / Service Name],"⚠ Unknown")</f>
        <v>Casual Shorts</v>
      </c>
      <c r="H5860" s="1" t="str">
        <f>_xlfn.XLOOKUP(tblSales[[#This Row],[Product Code]],tblProducts[Code],tblProducts[Category],"")</f>
        <v>Accessories &amp; Basics</v>
      </c>
      <c r="I5860" s="4">
        <v>11</v>
      </c>
      <c r="J5860" s="5">
        <f>_xlfn.XLOOKUP(tblSales[[#This Row],[Product Code]],tblProducts[Code],tblProducts[Selling Price (excl. VAT)],0)</f>
        <v>85000</v>
      </c>
      <c r="K5860" s="5">
        <f>tblSales[[#This Row],[Qty]]*tblSales[[#This Row],[Unit Price]]</f>
        <v>935000</v>
      </c>
      <c r="L5860" s="5">
        <f>ROUND(tblSales[[#This Row],[DPP (excl. VAT)]]*VATEff,0)</f>
        <v>102850</v>
      </c>
      <c r="M5860" s="5">
        <f>tblSales[[#This Row],[DPP (excl. VAT)]]+tblSales[[#This Row],[Output VAT]]</f>
        <v>1037850</v>
      </c>
      <c r="N5860" s="5">
        <f>tblSales[[#This Row],[Qty]]*_xlfn.XLOOKUP(tblSales[[#This Row],[Product Code]],tblProducts[Code],tblProducts[Unit Cost],0)</f>
        <v>550000</v>
      </c>
      <c r="O5860" s="4" t="s">
        <v>4865</v>
      </c>
      <c r="P5860" s="4" t="s">
        <v>4860</v>
      </c>
      <c r="Q5860" s="1" t="str">
        <f>_xlfn.XLOOKUP(tblSales[[#This Row],[Channel Code]],tblChannels[Channel Code],tblChannels[Channel Name],"")</f>
        <v>In-store</v>
      </c>
      <c r="R5860" s="1">
        <f>MONTH(tblSales[[#This Row],[Date]])</f>
        <v>12</v>
      </c>
    </row>
    <row r="5861" spans="2:18" x14ac:dyDescent="0.35">
      <c r="B5861" s="113">
        <v>46372</v>
      </c>
      <c r="C5861" s="4" t="s">
        <v>4013</v>
      </c>
      <c r="D5861" s="4" t="s">
        <v>4568</v>
      </c>
      <c r="E5861" s="1" t="str">
        <f>_xlfn.XLOOKUP(tblSales[[#This Row],[Customer ID]],tblCustomers[Customer ID],tblCustomers[Customer Name],"⚠ Unknown")</f>
        <v>Walk-in Customer</v>
      </c>
      <c r="F5861" s="4" t="s">
        <v>11</v>
      </c>
      <c r="G5861" s="1" t="str">
        <f>_xlfn.XLOOKUP(tblSales[[#This Row],[Product Code]],tblProducts[Code],tblProducts[Product / Service Name],"⚠ Unknown")</f>
        <v>Sneakers</v>
      </c>
      <c r="H5861" s="1" t="str">
        <f>_xlfn.XLOOKUP(tblSales[[#This Row],[Product Code]],tblProducts[Code],tblProducts[Category],"")</f>
        <v>Apparel &amp; Footwear</v>
      </c>
      <c r="I5861" s="4">
        <v>1</v>
      </c>
      <c r="J5861" s="5">
        <f>_xlfn.XLOOKUP(tblSales[[#This Row],[Product Code]],tblProducts[Code],tblProducts[Selling Price (excl. VAT)],0)</f>
        <v>250000</v>
      </c>
      <c r="K5861" s="5">
        <f>tblSales[[#This Row],[Qty]]*tblSales[[#This Row],[Unit Price]]</f>
        <v>250000</v>
      </c>
      <c r="L5861" s="5">
        <f>ROUND(tblSales[[#This Row],[DPP (excl. VAT)]]*VATEff,0)</f>
        <v>27500</v>
      </c>
      <c r="M5861" s="5">
        <f>tblSales[[#This Row],[DPP (excl. VAT)]]+tblSales[[#This Row],[Output VAT]]</f>
        <v>277500</v>
      </c>
      <c r="N5861" s="5">
        <f>tblSales[[#This Row],[Qty]]*_xlfn.XLOOKUP(tblSales[[#This Row],[Product Code]],tblProducts[Code],tblProducts[Unit Cost],0)</f>
        <v>155000</v>
      </c>
      <c r="O5861" s="4" t="s">
        <v>4865</v>
      </c>
      <c r="P5861" s="4" t="s">
        <v>4860</v>
      </c>
      <c r="Q5861" s="1" t="str">
        <f>_xlfn.XLOOKUP(tblSales[[#This Row],[Channel Code]],tblChannels[Channel Code],tblChannels[Channel Name],"")</f>
        <v>In-store</v>
      </c>
      <c r="R5861" s="1">
        <f>MONTH(tblSales[[#This Row],[Date]])</f>
        <v>12</v>
      </c>
    </row>
    <row r="5862" spans="2:18" x14ac:dyDescent="0.35">
      <c r="B5862" s="113">
        <v>46372</v>
      </c>
      <c r="C5862" s="4" t="s">
        <v>4014</v>
      </c>
      <c r="D5862" s="4" t="s">
        <v>4568</v>
      </c>
      <c r="E5862" s="1" t="str">
        <f>_xlfn.XLOOKUP(tblSales[[#This Row],[Customer ID]],tblCustomers[Customer ID],tblCustomers[Customer Name],"⚠ Unknown")</f>
        <v>Walk-in Customer</v>
      </c>
      <c r="F5862" s="4" t="s">
        <v>9</v>
      </c>
      <c r="G5862" s="1" t="str">
        <f>_xlfn.XLOOKUP(tblSales[[#This Row],[Product Code]],tblProducts[Code],tblProducts[Product / Service Name],"⚠ Unknown")</f>
        <v>Casual Shirt</v>
      </c>
      <c r="H5862" s="1" t="str">
        <f>_xlfn.XLOOKUP(tblSales[[#This Row],[Product Code]],tblProducts[Code],tblProducts[Category],"")</f>
        <v>Apparel &amp; Footwear</v>
      </c>
      <c r="I5862" s="4">
        <v>2</v>
      </c>
      <c r="J5862" s="5">
        <f>_xlfn.XLOOKUP(tblSales[[#This Row],[Product Code]],tblProducts[Code],tblProducts[Selling Price (excl. VAT)],0)</f>
        <v>120000</v>
      </c>
      <c r="K5862" s="5">
        <f>tblSales[[#This Row],[Qty]]*tblSales[[#This Row],[Unit Price]]</f>
        <v>240000</v>
      </c>
      <c r="L5862" s="5">
        <f>ROUND(tblSales[[#This Row],[DPP (excl. VAT)]]*VATEff,0)</f>
        <v>26400</v>
      </c>
      <c r="M5862" s="5">
        <f>tblSales[[#This Row],[DPP (excl. VAT)]]+tblSales[[#This Row],[Output VAT]]</f>
        <v>266400</v>
      </c>
      <c r="N5862" s="5">
        <f>tblSales[[#This Row],[Qty]]*_xlfn.XLOOKUP(tblSales[[#This Row],[Product Code]],tblProducts[Code],tblProducts[Unit Cost],0)</f>
        <v>144000</v>
      </c>
      <c r="O5862" s="4" t="s">
        <v>4866</v>
      </c>
      <c r="P5862" s="4" t="s">
        <v>4860</v>
      </c>
      <c r="Q5862" s="1" t="str">
        <f>_xlfn.XLOOKUP(tblSales[[#This Row],[Channel Code]],tblChannels[Channel Code],tblChannels[Channel Name],"")</f>
        <v>In-store</v>
      </c>
      <c r="R5862" s="1">
        <f>MONTH(tblSales[[#This Row],[Date]])</f>
        <v>12</v>
      </c>
    </row>
    <row r="5863" spans="2:18" x14ac:dyDescent="0.35">
      <c r="B5863" s="113">
        <v>46372</v>
      </c>
      <c r="C5863" s="4" t="s">
        <v>4014</v>
      </c>
      <c r="D5863" s="4" t="s">
        <v>4568</v>
      </c>
      <c r="E5863" s="1" t="str">
        <f>_xlfn.XLOOKUP(tblSales[[#This Row],[Customer ID]],tblCustomers[Customer ID],tblCustomers[Customer Name],"⚠ Unknown")</f>
        <v>Walk-in Customer</v>
      </c>
      <c r="F5863" s="4" t="s">
        <v>13</v>
      </c>
      <c r="G5863" s="1" t="str">
        <f>_xlfn.XLOOKUP(tblSales[[#This Row],[Product Code]],tblProducts[Code],tblProducts[Product / Service Name],"⚠ Unknown")</f>
        <v>Backpack</v>
      </c>
      <c r="H5863" s="1" t="str">
        <f>_xlfn.XLOOKUP(tblSales[[#This Row],[Product Code]],tblProducts[Code],tblProducts[Category],"")</f>
        <v>Bags &amp; Gadgets</v>
      </c>
      <c r="I5863" s="4">
        <v>5</v>
      </c>
      <c r="J5863" s="5">
        <f>_xlfn.XLOOKUP(tblSales[[#This Row],[Product Code]],tblProducts[Code],tblProducts[Selling Price (excl. VAT)],0)</f>
        <v>500000</v>
      </c>
      <c r="K5863" s="5">
        <f>tblSales[[#This Row],[Qty]]*tblSales[[#This Row],[Unit Price]]</f>
        <v>2500000</v>
      </c>
      <c r="L5863" s="5">
        <f>ROUND(tblSales[[#This Row],[DPP (excl. VAT)]]*VATEff,0)</f>
        <v>275000</v>
      </c>
      <c r="M5863" s="5">
        <f>tblSales[[#This Row],[DPP (excl. VAT)]]+tblSales[[#This Row],[Output VAT]]</f>
        <v>2775000</v>
      </c>
      <c r="N5863" s="5">
        <f>tblSales[[#This Row],[Qty]]*_xlfn.XLOOKUP(tblSales[[#This Row],[Product Code]],tblProducts[Code],tblProducts[Unit Cost],0)</f>
        <v>1450000</v>
      </c>
      <c r="O5863" s="4" t="s">
        <v>4866</v>
      </c>
      <c r="P5863" s="4" t="s">
        <v>4860</v>
      </c>
      <c r="Q5863" s="1" t="str">
        <f>_xlfn.XLOOKUP(tblSales[[#This Row],[Channel Code]],tblChannels[Channel Code],tblChannels[Channel Name],"")</f>
        <v>In-store</v>
      </c>
      <c r="R5863" s="1">
        <f>MONTH(tblSales[[#This Row],[Date]])</f>
        <v>12</v>
      </c>
    </row>
    <row r="5864" spans="2:18" x14ac:dyDescent="0.35">
      <c r="B5864" s="113">
        <v>46372</v>
      </c>
      <c r="C5864" s="4" t="s">
        <v>4015</v>
      </c>
      <c r="D5864" s="4" t="s">
        <v>4568</v>
      </c>
      <c r="E5864" s="1" t="str">
        <f>_xlfn.XLOOKUP(tblSales[[#This Row],[Customer ID]],tblCustomers[Customer ID],tblCustomers[Customer Name],"⚠ Unknown")</f>
        <v>Walk-in Customer</v>
      </c>
      <c r="F5864" s="4" t="s">
        <v>12</v>
      </c>
      <c r="G5864" s="1" t="str">
        <f>_xlfn.XLOOKUP(tblSales[[#This Row],[Product Code]],tblProducts[Code],tblProducts[Product / Service Name],"⚠ Unknown")</f>
        <v>Bomber Jacket</v>
      </c>
      <c r="H5864" s="1" t="str">
        <f>_xlfn.XLOOKUP(tblSales[[#This Row],[Product Code]],tblProducts[Code],tblProducts[Category],"")</f>
        <v>Apparel &amp; Footwear</v>
      </c>
      <c r="I5864" s="4">
        <v>1</v>
      </c>
      <c r="J5864" s="5">
        <f>_xlfn.XLOOKUP(tblSales[[#This Row],[Product Code]],tblProducts[Code],tblProducts[Selling Price (excl. VAT)],0)</f>
        <v>350000</v>
      </c>
      <c r="K5864" s="5">
        <f>tblSales[[#This Row],[Qty]]*tblSales[[#This Row],[Unit Price]]</f>
        <v>350000</v>
      </c>
      <c r="L5864" s="5">
        <f>ROUND(tblSales[[#This Row],[DPP (excl. VAT)]]*VATEff,0)</f>
        <v>38500</v>
      </c>
      <c r="M5864" s="5">
        <f>tblSales[[#This Row],[DPP (excl. VAT)]]+tblSales[[#This Row],[Output VAT]]</f>
        <v>388500</v>
      </c>
      <c r="N5864" s="5">
        <f>tblSales[[#This Row],[Qty]]*_xlfn.XLOOKUP(tblSales[[#This Row],[Product Code]],tblProducts[Code],tblProducts[Unit Cost],0)</f>
        <v>210000</v>
      </c>
      <c r="O5864" s="4" t="s">
        <v>4866</v>
      </c>
      <c r="P5864" s="4" t="s">
        <v>4860</v>
      </c>
      <c r="Q5864" s="1" t="str">
        <f>_xlfn.XLOOKUP(tblSales[[#This Row],[Channel Code]],tblChannels[Channel Code],tblChannels[Channel Name],"")</f>
        <v>In-store</v>
      </c>
      <c r="R5864" s="1">
        <f>MONTH(tblSales[[#This Row],[Date]])</f>
        <v>12</v>
      </c>
    </row>
    <row r="5865" spans="2:18" x14ac:dyDescent="0.35">
      <c r="B5865" s="113">
        <v>46372</v>
      </c>
      <c r="C5865" s="4" t="s">
        <v>4016</v>
      </c>
      <c r="D5865" s="4" t="s">
        <v>4585</v>
      </c>
      <c r="E5865" s="1" t="str">
        <f>_xlfn.XLOOKUP(tblSales[[#This Row],[Customer ID]],tblCustomers[Customer ID],tblCustomers[Customer Name],"⚠ Unknown")</f>
        <v>CV Mitra Karya Mandiri</v>
      </c>
      <c r="F5865" s="4" t="s">
        <v>6</v>
      </c>
      <c r="G5865" s="1" t="str">
        <f>_xlfn.XLOOKUP(tblSales[[#This Row],[Product Code]],tblProducts[Code],tblProducts[Product / Service Name],"⚠ Unknown")</f>
        <v>Socks &amp; Accessories</v>
      </c>
      <c r="H5865" s="1" t="str">
        <f>_xlfn.XLOOKUP(tblSales[[#This Row],[Product Code]],tblProducts[Code],tblProducts[Category],"")</f>
        <v>Accessories &amp; Basics</v>
      </c>
      <c r="I5865" s="4">
        <v>72</v>
      </c>
      <c r="J5865" s="5">
        <f>_xlfn.XLOOKUP(tblSales[[#This Row],[Product Code]],tblProducts[Code],tblProducts[Selling Price (excl. VAT)],0)</f>
        <v>45000</v>
      </c>
      <c r="K5865" s="5">
        <f>tblSales[[#This Row],[Qty]]*tblSales[[#This Row],[Unit Price]]</f>
        <v>3240000</v>
      </c>
      <c r="L5865" s="5">
        <f>ROUND(tblSales[[#This Row],[DPP (excl. VAT)]]*VATEff,0)</f>
        <v>356400</v>
      </c>
      <c r="M5865" s="5">
        <f>tblSales[[#This Row],[DPP (excl. VAT)]]+tblSales[[#This Row],[Output VAT]]</f>
        <v>3596400</v>
      </c>
      <c r="N5865" s="5">
        <f>tblSales[[#This Row],[Qty]]*_xlfn.XLOOKUP(tblSales[[#This Row],[Product Code]],tblProducts[Code],tblProducts[Unit Cost],0)</f>
        <v>1728000</v>
      </c>
      <c r="O5865" s="4" t="s">
        <v>4867</v>
      </c>
      <c r="P5865" s="4" t="s">
        <v>4860</v>
      </c>
      <c r="Q5865" s="1" t="str">
        <f>_xlfn.XLOOKUP(tblSales[[#This Row],[Channel Code]],tblChannels[Channel Code],tblChannels[Channel Name],"")</f>
        <v>In-store</v>
      </c>
      <c r="R5865" s="1">
        <f>MONTH(tblSales[[#This Row],[Date]])</f>
        <v>12</v>
      </c>
    </row>
    <row r="5866" spans="2:18" x14ac:dyDescent="0.35">
      <c r="B5866" s="113">
        <v>46372</v>
      </c>
      <c r="C5866" s="4" t="s">
        <v>4017</v>
      </c>
      <c r="D5866" s="4" t="s">
        <v>4593</v>
      </c>
      <c r="E5866" s="1" t="str">
        <f>_xlfn.XLOOKUP(tblSales[[#This Row],[Customer ID]],tblCustomers[Customer ID],tblCustomers[Customer Name],"⚠ Unknown")</f>
        <v>PT Graha Nusa Persada</v>
      </c>
      <c r="F5866" s="4" t="s">
        <v>10</v>
      </c>
      <c r="G5866" s="1" t="str">
        <f>_xlfn.XLOOKUP(tblSales[[#This Row],[Product Code]],tblProducts[Code],tblProducts[Product / Service Name],"⚠ Unknown")</f>
        <v>Chino Pants</v>
      </c>
      <c r="H5866" s="1" t="str">
        <f>_xlfn.XLOOKUP(tblSales[[#This Row],[Product Code]],tblProducts[Code],tblProducts[Category],"")</f>
        <v>Apparel &amp; Footwear</v>
      </c>
      <c r="I5866" s="4">
        <v>8</v>
      </c>
      <c r="J5866" s="5">
        <f>_xlfn.XLOOKUP(tblSales[[#This Row],[Product Code]],tblProducts[Code],tblProducts[Selling Price (excl. VAT)],0)</f>
        <v>150000</v>
      </c>
      <c r="K5866" s="5">
        <f>tblSales[[#This Row],[Qty]]*tblSales[[#This Row],[Unit Price]]</f>
        <v>1200000</v>
      </c>
      <c r="L5866" s="5">
        <f>ROUND(tblSales[[#This Row],[DPP (excl. VAT)]]*VATEff,0)</f>
        <v>132000</v>
      </c>
      <c r="M5866" s="5">
        <f>tblSales[[#This Row],[DPP (excl. VAT)]]+tblSales[[#This Row],[Output VAT]]</f>
        <v>1332000</v>
      </c>
      <c r="N5866" s="5">
        <f>tblSales[[#This Row],[Qty]]*_xlfn.XLOOKUP(tblSales[[#This Row],[Product Code]],tblProducts[Code],tblProducts[Unit Cost],0)</f>
        <v>704000</v>
      </c>
      <c r="O5866" s="4" t="s">
        <v>4867</v>
      </c>
      <c r="P5866" s="4" t="s">
        <v>4860</v>
      </c>
      <c r="Q5866" s="1" t="str">
        <f>_xlfn.XLOOKUP(tblSales[[#This Row],[Channel Code]],tblChannels[Channel Code],tblChannels[Channel Name],"")</f>
        <v>In-store</v>
      </c>
      <c r="R5866" s="1">
        <f>MONTH(tblSales[[#This Row],[Date]])</f>
        <v>12</v>
      </c>
    </row>
    <row r="5867" spans="2:18" x14ac:dyDescent="0.35">
      <c r="B5867" s="113">
        <v>46372</v>
      </c>
      <c r="C5867" s="4" t="s">
        <v>4017</v>
      </c>
      <c r="D5867" s="4" t="s">
        <v>4593</v>
      </c>
      <c r="E5867" s="1" t="str">
        <f>_xlfn.XLOOKUP(tblSales[[#This Row],[Customer ID]],tblCustomers[Customer ID],tblCustomers[Customer Name],"⚠ Unknown")</f>
        <v>PT Graha Nusa Persada</v>
      </c>
      <c r="F5867" s="4" t="s">
        <v>9</v>
      </c>
      <c r="G5867" s="1" t="str">
        <f>_xlfn.XLOOKUP(tblSales[[#This Row],[Product Code]],tblProducts[Code],tblProducts[Product / Service Name],"⚠ Unknown")</f>
        <v>Casual Shirt</v>
      </c>
      <c r="H5867" s="1" t="str">
        <f>_xlfn.XLOOKUP(tblSales[[#This Row],[Product Code]],tblProducts[Code],tblProducts[Category],"")</f>
        <v>Apparel &amp; Footwear</v>
      </c>
      <c r="I5867" s="4">
        <v>56</v>
      </c>
      <c r="J5867" s="5">
        <f>_xlfn.XLOOKUP(tblSales[[#This Row],[Product Code]],tblProducts[Code],tblProducts[Selling Price (excl. VAT)],0)</f>
        <v>120000</v>
      </c>
      <c r="K5867" s="5">
        <f>tblSales[[#This Row],[Qty]]*tblSales[[#This Row],[Unit Price]]</f>
        <v>6720000</v>
      </c>
      <c r="L5867" s="5">
        <f>ROUND(tblSales[[#This Row],[DPP (excl. VAT)]]*VATEff,0)</f>
        <v>739200</v>
      </c>
      <c r="M5867" s="5">
        <f>tblSales[[#This Row],[DPP (excl. VAT)]]+tblSales[[#This Row],[Output VAT]]</f>
        <v>7459200</v>
      </c>
      <c r="N5867" s="5">
        <f>tblSales[[#This Row],[Qty]]*_xlfn.XLOOKUP(tblSales[[#This Row],[Product Code]],tblProducts[Code],tblProducts[Unit Cost],0)</f>
        <v>4032000</v>
      </c>
      <c r="O5867" s="4" t="s">
        <v>4867</v>
      </c>
      <c r="P5867" s="4" t="s">
        <v>4860</v>
      </c>
      <c r="Q5867" s="1" t="str">
        <f>_xlfn.XLOOKUP(tblSales[[#This Row],[Channel Code]],tblChannels[Channel Code],tblChannels[Channel Name],"")</f>
        <v>In-store</v>
      </c>
      <c r="R5867" s="1">
        <f>MONTH(tblSales[[#This Row],[Date]])</f>
        <v>12</v>
      </c>
    </row>
    <row r="5868" spans="2:18" x14ac:dyDescent="0.35">
      <c r="B5868" s="113">
        <v>46372</v>
      </c>
      <c r="C5868" s="4" t="s">
        <v>4017</v>
      </c>
      <c r="D5868" s="4" t="s">
        <v>4593</v>
      </c>
      <c r="E5868" s="1" t="str">
        <f>_xlfn.XLOOKUP(tblSales[[#This Row],[Customer ID]],tblCustomers[Customer ID],tblCustomers[Customer Name],"⚠ Unknown")</f>
        <v>PT Graha Nusa Persada</v>
      </c>
      <c r="F5868" s="4" t="s">
        <v>12</v>
      </c>
      <c r="G5868" s="1" t="str">
        <f>_xlfn.XLOOKUP(tblSales[[#This Row],[Product Code]],tblProducts[Code],tblProducts[Product / Service Name],"⚠ Unknown")</f>
        <v>Bomber Jacket</v>
      </c>
      <c r="H5868" s="1" t="str">
        <f>_xlfn.XLOOKUP(tblSales[[#This Row],[Product Code]],tblProducts[Code],tblProducts[Category],"")</f>
        <v>Apparel &amp; Footwear</v>
      </c>
      <c r="I5868" s="4">
        <v>32</v>
      </c>
      <c r="J5868" s="5">
        <f>_xlfn.XLOOKUP(tblSales[[#This Row],[Product Code]],tblProducts[Code],tblProducts[Selling Price (excl. VAT)],0)</f>
        <v>350000</v>
      </c>
      <c r="K5868" s="5">
        <f>tblSales[[#This Row],[Qty]]*tblSales[[#This Row],[Unit Price]]</f>
        <v>11200000</v>
      </c>
      <c r="L5868" s="5">
        <f>ROUND(tblSales[[#This Row],[DPP (excl. VAT)]]*VATEff,0)</f>
        <v>1232000</v>
      </c>
      <c r="M5868" s="5">
        <f>tblSales[[#This Row],[DPP (excl. VAT)]]+tblSales[[#This Row],[Output VAT]]</f>
        <v>12432000</v>
      </c>
      <c r="N5868" s="5">
        <f>tblSales[[#This Row],[Qty]]*_xlfn.XLOOKUP(tblSales[[#This Row],[Product Code]],tblProducts[Code],tblProducts[Unit Cost],0)</f>
        <v>6720000</v>
      </c>
      <c r="O5868" s="4" t="s">
        <v>4867</v>
      </c>
      <c r="P5868" s="4" t="s">
        <v>4860</v>
      </c>
      <c r="Q5868" s="1" t="str">
        <f>_xlfn.XLOOKUP(tblSales[[#This Row],[Channel Code]],tblChannels[Channel Code],tblChannels[Channel Name],"")</f>
        <v>In-store</v>
      </c>
      <c r="R5868" s="1">
        <f>MONTH(tblSales[[#This Row],[Date]])</f>
        <v>12</v>
      </c>
    </row>
    <row r="5869" spans="2:18" x14ac:dyDescent="0.35">
      <c r="B5869" s="113">
        <v>46372</v>
      </c>
      <c r="C5869" s="4" t="s">
        <v>4018</v>
      </c>
      <c r="D5869" s="4" t="s">
        <v>4568</v>
      </c>
      <c r="E5869" s="1" t="str">
        <f>_xlfn.XLOOKUP(tblSales[[#This Row],[Customer ID]],tblCustomers[Customer ID],tblCustomers[Customer Name],"⚠ Unknown")</f>
        <v>Walk-in Customer</v>
      </c>
      <c r="F5869" s="4" t="s">
        <v>8</v>
      </c>
      <c r="G5869" s="1" t="str">
        <f>_xlfn.XLOOKUP(tblSales[[#This Row],[Product Code]],tblProducts[Code],tblProducts[Product / Service Name],"⚠ Unknown")</f>
        <v>Casual Shorts</v>
      </c>
      <c r="H5869" s="1" t="str">
        <f>_xlfn.XLOOKUP(tblSales[[#This Row],[Product Code]],tblProducts[Code],tblProducts[Category],"")</f>
        <v>Accessories &amp; Basics</v>
      </c>
      <c r="I5869" s="4">
        <v>5</v>
      </c>
      <c r="J5869" s="5">
        <f>_xlfn.XLOOKUP(tblSales[[#This Row],[Product Code]],tblProducts[Code],tblProducts[Selling Price (excl. VAT)],0)</f>
        <v>85000</v>
      </c>
      <c r="K5869" s="5">
        <f>tblSales[[#This Row],[Qty]]*tblSales[[#This Row],[Unit Price]]</f>
        <v>425000</v>
      </c>
      <c r="L5869" s="5">
        <f>ROUND(tblSales[[#This Row],[DPP (excl. VAT)]]*VATEff,0)</f>
        <v>46750</v>
      </c>
      <c r="M5869" s="5">
        <f>tblSales[[#This Row],[DPP (excl. VAT)]]+tblSales[[#This Row],[Output VAT]]</f>
        <v>471750</v>
      </c>
      <c r="N5869" s="5">
        <f>tblSales[[#This Row],[Qty]]*_xlfn.XLOOKUP(tblSales[[#This Row],[Product Code]],tblProducts[Code],tblProducts[Unit Cost],0)</f>
        <v>250000</v>
      </c>
      <c r="O5869" s="4" t="s">
        <v>4865</v>
      </c>
      <c r="P5869" s="4" t="s">
        <v>4860</v>
      </c>
      <c r="Q5869" s="1" t="str">
        <f>_xlfn.XLOOKUP(tblSales[[#This Row],[Channel Code]],tblChannels[Channel Code],tblChannels[Channel Name],"")</f>
        <v>In-store</v>
      </c>
      <c r="R5869" s="1">
        <f>MONTH(tblSales[[#This Row],[Date]])</f>
        <v>12</v>
      </c>
    </row>
    <row r="5870" spans="2:18" x14ac:dyDescent="0.35">
      <c r="B5870" s="113">
        <v>46372</v>
      </c>
      <c r="C5870" s="4" t="s">
        <v>4019</v>
      </c>
      <c r="D5870" s="4" t="s">
        <v>4568</v>
      </c>
      <c r="E5870" s="1" t="str">
        <f>_xlfn.XLOOKUP(tblSales[[#This Row],[Customer ID]],tblCustomers[Customer ID],tblCustomers[Customer Name],"⚠ Unknown")</f>
        <v>Walk-in Customer</v>
      </c>
      <c r="F5870" s="4" t="s">
        <v>6</v>
      </c>
      <c r="G5870" s="1" t="str">
        <f>_xlfn.XLOOKUP(tblSales[[#This Row],[Product Code]],tblProducts[Code],tblProducts[Product / Service Name],"⚠ Unknown")</f>
        <v>Socks &amp; Accessories</v>
      </c>
      <c r="H5870" s="1" t="str">
        <f>_xlfn.XLOOKUP(tblSales[[#This Row],[Product Code]],tblProducts[Code],tblProducts[Category],"")</f>
        <v>Accessories &amp; Basics</v>
      </c>
      <c r="I5870" s="4">
        <v>8</v>
      </c>
      <c r="J5870" s="5">
        <f>_xlfn.XLOOKUP(tblSales[[#This Row],[Product Code]],tblProducts[Code],tblProducts[Selling Price (excl. VAT)],0)</f>
        <v>45000</v>
      </c>
      <c r="K5870" s="5">
        <f>tblSales[[#This Row],[Qty]]*tblSales[[#This Row],[Unit Price]]</f>
        <v>360000</v>
      </c>
      <c r="L5870" s="5">
        <f>ROUND(tblSales[[#This Row],[DPP (excl. VAT)]]*VATEff,0)</f>
        <v>39600</v>
      </c>
      <c r="M5870" s="5">
        <f>tblSales[[#This Row],[DPP (excl. VAT)]]+tblSales[[#This Row],[Output VAT]]</f>
        <v>399600</v>
      </c>
      <c r="N5870" s="5">
        <f>tblSales[[#This Row],[Qty]]*_xlfn.XLOOKUP(tblSales[[#This Row],[Product Code]],tblProducts[Code],tblProducts[Unit Cost],0)</f>
        <v>192000</v>
      </c>
      <c r="O5870" s="4" t="s">
        <v>4865</v>
      </c>
      <c r="P5870" s="4" t="s">
        <v>4860</v>
      </c>
      <c r="Q5870" s="1" t="str">
        <f>_xlfn.XLOOKUP(tblSales[[#This Row],[Channel Code]],tblChannels[Channel Code],tblChannels[Channel Name],"")</f>
        <v>In-store</v>
      </c>
      <c r="R5870" s="1">
        <f>MONTH(tblSales[[#This Row],[Date]])</f>
        <v>12</v>
      </c>
    </row>
    <row r="5871" spans="2:18" x14ac:dyDescent="0.35">
      <c r="B5871" s="113">
        <v>46372</v>
      </c>
      <c r="C5871" s="4" t="s">
        <v>4020</v>
      </c>
      <c r="D5871" s="4" t="s">
        <v>4568</v>
      </c>
      <c r="E5871" s="1" t="str">
        <f>_xlfn.XLOOKUP(tblSales[[#This Row],[Customer ID]],tblCustomers[Customer ID],tblCustomers[Customer Name],"⚠ Unknown")</f>
        <v>Walk-in Customer</v>
      </c>
      <c r="F5871" s="4" t="s">
        <v>15</v>
      </c>
      <c r="G5871" s="1" t="str">
        <f>_xlfn.XLOOKUP(tblSales[[#This Row],[Product Code]],tblProducts[Code],tblProducts[Product / Service Name],"⚠ Unknown")</f>
        <v>Wireless Earbuds Pro</v>
      </c>
      <c r="H5871" s="1" t="str">
        <f>_xlfn.XLOOKUP(tblSales[[#This Row],[Product Code]],tblProducts[Code],tblProducts[Category],"")</f>
        <v>Bags &amp; Gadgets</v>
      </c>
      <c r="I5871" s="4">
        <v>1</v>
      </c>
      <c r="J5871" s="5">
        <f>_xlfn.XLOOKUP(tblSales[[#This Row],[Product Code]],tblProducts[Code],tblProducts[Selling Price (excl. VAT)],0)</f>
        <v>1250000</v>
      </c>
      <c r="K5871" s="5">
        <f>tblSales[[#This Row],[Qty]]*tblSales[[#This Row],[Unit Price]]</f>
        <v>1250000</v>
      </c>
      <c r="L5871" s="5">
        <f>ROUND(tblSales[[#This Row],[DPP (excl. VAT)]]*VATEff,0)</f>
        <v>137500</v>
      </c>
      <c r="M5871" s="5">
        <f>tblSales[[#This Row],[DPP (excl. VAT)]]+tblSales[[#This Row],[Output VAT]]</f>
        <v>1387500</v>
      </c>
      <c r="N5871" s="5">
        <f>tblSales[[#This Row],[Qty]]*_xlfn.XLOOKUP(tblSales[[#This Row],[Product Code]],tblProducts[Code],tblProducts[Unit Cost],0)</f>
        <v>820000</v>
      </c>
      <c r="O5871" s="4" t="s">
        <v>4866</v>
      </c>
      <c r="P5871" s="4" t="s">
        <v>4862</v>
      </c>
      <c r="Q5871" s="1" t="str">
        <f>_xlfn.XLOOKUP(tblSales[[#This Row],[Channel Code]],tblChannels[Channel Code],tblChannels[Channel Name],"")</f>
        <v>Website &amp; Social Media</v>
      </c>
      <c r="R5871" s="1">
        <f>MONTH(tblSales[[#This Row],[Date]])</f>
        <v>12</v>
      </c>
    </row>
    <row r="5872" spans="2:18" x14ac:dyDescent="0.35">
      <c r="B5872" s="113">
        <v>46372</v>
      </c>
      <c r="C5872" s="4" t="s">
        <v>4020</v>
      </c>
      <c r="D5872" s="4" t="s">
        <v>4568</v>
      </c>
      <c r="E5872" s="1" t="str">
        <f>_xlfn.XLOOKUP(tblSales[[#This Row],[Customer ID]],tblCustomers[Customer ID],tblCustomers[Customer Name],"⚠ Unknown")</f>
        <v>Walk-in Customer</v>
      </c>
      <c r="F5872" s="4" t="s">
        <v>8</v>
      </c>
      <c r="G5872" s="1" t="str">
        <f>_xlfn.XLOOKUP(tblSales[[#This Row],[Product Code]],tblProducts[Code],tblProducts[Product / Service Name],"⚠ Unknown")</f>
        <v>Casual Shorts</v>
      </c>
      <c r="H5872" s="1" t="str">
        <f>_xlfn.XLOOKUP(tblSales[[#This Row],[Product Code]],tblProducts[Code],tblProducts[Category],"")</f>
        <v>Accessories &amp; Basics</v>
      </c>
      <c r="I5872" s="4">
        <v>4</v>
      </c>
      <c r="J5872" s="5">
        <f>_xlfn.XLOOKUP(tblSales[[#This Row],[Product Code]],tblProducts[Code],tblProducts[Selling Price (excl. VAT)],0)</f>
        <v>85000</v>
      </c>
      <c r="K5872" s="5">
        <f>tblSales[[#This Row],[Qty]]*tblSales[[#This Row],[Unit Price]]</f>
        <v>340000</v>
      </c>
      <c r="L5872" s="5">
        <f>ROUND(tblSales[[#This Row],[DPP (excl. VAT)]]*VATEff,0)</f>
        <v>37400</v>
      </c>
      <c r="M5872" s="5">
        <f>tblSales[[#This Row],[DPP (excl. VAT)]]+tblSales[[#This Row],[Output VAT]]</f>
        <v>377400</v>
      </c>
      <c r="N5872" s="5">
        <f>tblSales[[#This Row],[Qty]]*_xlfn.XLOOKUP(tblSales[[#This Row],[Product Code]],tblProducts[Code],tblProducts[Unit Cost],0)</f>
        <v>200000</v>
      </c>
      <c r="O5872" s="4" t="s">
        <v>4866</v>
      </c>
      <c r="P5872" s="4" t="s">
        <v>4862</v>
      </c>
      <c r="Q5872" s="1" t="str">
        <f>_xlfn.XLOOKUP(tblSales[[#This Row],[Channel Code]],tblChannels[Channel Code],tblChannels[Channel Name],"")</f>
        <v>Website &amp; Social Media</v>
      </c>
      <c r="R5872" s="1">
        <f>MONTH(tblSales[[#This Row],[Date]])</f>
        <v>12</v>
      </c>
    </row>
    <row r="5873" spans="2:18" x14ac:dyDescent="0.35">
      <c r="B5873" s="113">
        <v>46372</v>
      </c>
      <c r="C5873" s="4" t="s">
        <v>4020</v>
      </c>
      <c r="D5873" s="4" t="s">
        <v>4568</v>
      </c>
      <c r="E5873" s="1" t="str">
        <f>_xlfn.XLOOKUP(tblSales[[#This Row],[Customer ID]],tblCustomers[Customer ID],tblCustomers[Customer Name],"⚠ Unknown")</f>
        <v>Walk-in Customer</v>
      </c>
      <c r="F5873" s="4" t="s">
        <v>13</v>
      </c>
      <c r="G5873" s="1" t="str">
        <f>_xlfn.XLOOKUP(tblSales[[#This Row],[Product Code]],tblProducts[Code],tblProducts[Product / Service Name],"⚠ Unknown")</f>
        <v>Backpack</v>
      </c>
      <c r="H5873" s="1" t="str">
        <f>_xlfn.XLOOKUP(tblSales[[#This Row],[Product Code]],tblProducts[Code],tblProducts[Category],"")</f>
        <v>Bags &amp; Gadgets</v>
      </c>
      <c r="I5873" s="4">
        <v>3</v>
      </c>
      <c r="J5873" s="5">
        <f>_xlfn.XLOOKUP(tblSales[[#This Row],[Product Code]],tblProducts[Code],tblProducts[Selling Price (excl. VAT)],0)</f>
        <v>500000</v>
      </c>
      <c r="K5873" s="5">
        <f>tblSales[[#This Row],[Qty]]*tblSales[[#This Row],[Unit Price]]</f>
        <v>1500000</v>
      </c>
      <c r="L5873" s="5">
        <f>ROUND(tblSales[[#This Row],[DPP (excl. VAT)]]*VATEff,0)</f>
        <v>165000</v>
      </c>
      <c r="M5873" s="5">
        <f>tblSales[[#This Row],[DPP (excl. VAT)]]+tblSales[[#This Row],[Output VAT]]</f>
        <v>1665000</v>
      </c>
      <c r="N5873" s="5">
        <f>tblSales[[#This Row],[Qty]]*_xlfn.XLOOKUP(tblSales[[#This Row],[Product Code]],tblProducts[Code],tblProducts[Unit Cost],0)</f>
        <v>870000</v>
      </c>
      <c r="O5873" s="4" t="s">
        <v>4866</v>
      </c>
      <c r="P5873" s="4" t="s">
        <v>4862</v>
      </c>
      <c r="Q5873" s="1" t="str">
        <f>_xlfn.XLOOKUP(tblSales[[#This Row],[Channel Code]],tblChannels[Channel Code],tblChannels[Channel Name],"")</f>
        <v>Website &amp; Social Media</v>
      </c>
      <c r="R5873" s="1">
        <f>MONTH(tblSales[[#This Row],[Date]])</f>
        <v>12</v>
      </c>
    </row>
    <row r="5874" spans="2:18" x14ac:dyDescent="0.35">
      <c r="B5874" s="113">
        <v>46372</v>
      </c>
      <c r="C5874" s="4" t="s">
        <v>4021</v>
      </c>
      <c r="D5874" s="4" t="s">
        <v>4648</v>
      </c>
      <c r="E5874" s="1" t="str">
        <f>_xlfn.XLOOKUP(tblSales[[#This Row],[Customer ID]],tblCustomers[Customer ID],tblCustomers[Customer Name],"⚠ Unknown")</f>
        <v>PT Lintas Benua Niaga</v>
      </c>
      <c r="F5874" s="4" t="s">
        <v>14</v>
      </c>
      <c r="G5874" s="1" t="str">
        <f>_xlfn.XLOOKUP(tblSales[[#This Row],[Product Code]],tblProducts[Code],tblProducts[Product / Service Name],"⚠ Unknown")</f>
        <v>Smartwatch</v>
      </c>
      <c r="H5874" s="1" t="str">
        <f>_xlfn.XLOOKUP(tblSales[[#This Row],[Product Code]],tblProducts[Code],tblProducts[Category],"")</f>
        <v>Bags &amp; Gadgets</v>
      </c>
      <c r="I5874" s="4">
        <v>24</v>
      </c>
      <c r="J5874" s="5">
        <f>_xlfn.XLOOKUP(tblSales[[#This Row],[Product Code]],tblProducts[Code],tblProducts[Selling Price (excl. VAT)],0)</f>
        <v>850000</v>
      </c>
      <c r="K5874" s="5">
        <f>tblSales[[#This Row],[Qty]]*tblSales[[#This Row],[Unit Price]]</f>
        <v>20400000</v>
      </c>
      <c r="L5874" s="5">
        <f>ROUND(tblSales[[#This Row],[DPP (excl. VAT)]]*VATEff,0)</f>
        <v>2244000</v>
      </c>
      <c r="M5874" s="5">
        <f>tblSales[[#This Row],[DPP (excl. VAT)]]+tblSales[[#This Row],[Output VAT]]</f>
        <v>22644000</v>
      </c>
      <c r="N5874" s="5">
        <f>tblSales[[#This Row],[Qty]]*_xlfn.XLOOKUP(tblSales[[#This Row],[Product Code]],tblProducts[Code],tblProducts[Unit Cost],0)</f>
        <v>13440000</v>
      </c>
      <c r="O5874" s="4" t="s">
        <v>4867</v>
      </c>
      <c r="P5874" s="4" t="s">
        <v>4860</v>
      </c>
      <c r="Q5874" s="1" t="str">
        <f>_xlfn.XLOOKUP(tblSales[[#This Row],[Channel Code]],tblChannels[Channel Code],tblChannels[Channel Name],"")</f>
        <v>In-store</v>
      </c>
      <c r="R5874" s="1">
        <f>MONTH(tblSales[[#This Row],[Date]])</f>
        <v>12</v>
      </c>
    </row>
    <row r="5875" spans="2:18" x14ac:dyDescent="0.35">
      <c r="B5875" s="113">
        <v>46372</v>
      </c>
      <c r="C5875" s="4" t="s">
        <v>4022</v>
      </c>
      <c r="D5875" s="4" t="s">
        <v>4568</v>
      </c>
      <c r="E5875" s="1" t="str">
        <f>_xlfn.XLOOKUP(tblSales[[#This Row],[Customer ID]],tblCustomers[Customer ID],tblCustomers[Customer Name],"⚠ Unknown")</f>
        <v>Walk-in Customer</v>
      </c>
      <c r="F5875" s="4" t="s">
        <v>7</v>
      </c>
      <c r="G5875" s="1" t="str">
        <f>_xlfn.XLOOKUP(tblSales[[#This Row],[Product Code]],tblProducts[Code],tblProducts[Product / Service Name],"⚠ Unknown")</f>
        <v>Premium Basic T-shirt</v>
      </c>
      <c r="H5875" s="1" t="str">
        <f>_xlfn.XLOOKUP(tblSales[[#This Row],[Product Code]],tblProducts[Code],tblProducts[Category],"")</f>
        <v>Accessories &amp; Basics</v>
      </c>
      <c r="I5875" s="4">
        <v>4</v>
      </c>
      <c r="J5875" s="5">
        <f>_xlfn.XLOOKUP(tblSales[[#This Row],[Product Code]],tblProducts[Code],tblProducts[Selling Price (excl. VAT)],0)</f>
        <v>65000</v>
      </c>
      <c r="K5875" s="5">
        <f>tblSales[[#This Row],[Qty]]*tblSales[[#This Row],[Unit Price]]</f>
        <v>260000</v>
      </c>
      <c r="L5875" s="5">
        <f>ROUND(tblSales[[#This Row],[DPP (excl. VAT)]]*VATEff,0)</f>
        <v>28600</v>
      </c>
      <c r="M5875" s="5">
        <f>tblSales[[#This Row],[DPP (excl. VAT)]]+tblSales[[#This Row],[Output VAT]]</f>
        <v>288600</v>
      </c>
      <c r="N5875" s="5">
        <f>tblSales[[#This Row],[Qty]]*_xlfn.XLOOKUP(tblSales[[#This Row],[Product Code]],tblProducts[Code],tblProducts[Unit Cost],0)</f>
        <v>148000</v>
      </c>
      <c r="O5875" s="4" t="s">
        <v>4866</v>
      </c>
      <c r="P5875" s="4" t="s">
        <v>4861</v>
      </c>
      <c r="Q5875" s="1" t="str">
        <f>_xlfn.XLOOKUP(tblSales[[#This Row],[Channel Code]],tblChannels[Channel Code],tblChannels[Channel Name],"")</f>
        <v>Marketplace</v>
      </c>
      <c r="R5875" s="1">
        <f>MONTH(tblSales[[#This Row],[Date]])</f>
        <v>12</v>
      </c>
    </row>
    <row r="5876" spans="2:18" x14ac:dyDescent="0.35">
      <c r="B5876" s="113">
        <v>46372</v>
      </c>
      <c r="C5876" s="4" t="s">
        <v>4023</v>
      </c>
      <c r="D5876" s="4" t="s">
        <v>4568</v>
      </c>
      <c r="E5876" s="1" t="str">
        <f>_xlfn.XLOOKUP(tblSales[[#This Row],[Customer ID]],tblCustomers[Customer ID],tblCustomers[Customer Name],"⚠ Unknown")</f>
        <v>Walk-in Customer</v>
      </c>
      <c r="F5876" s="4" t="s">
        <v>6</v>
      </c>
      <c r="G5876" s="1" t="str">
        <f>_xlfn.XLOOKUP(tblSales[[#This Row],[Product Code]],tblProducts[Code],tblProducts[Product / Service Name],"⚠ Unknown")</f>
        <v>Socks &amp; Accessories</v>
      </c>
      <c r="H5876" s="1" t="str">
        <f>_xlfn.XLOOKUP(tblSales[[#This Row],[Product Code]],tblProducts[Code],tblProducts[Category],"")</f>
        <v>Accessories &amp; Basics</v>
      </c>
      <c r="I5876" s="4">
        <v>4</v>
      </c>
      <c r="J5876" s="5">
        <f>_xlfn.XLOOKUP(tblSales[[#This Row],[Product Code]],tblProducts[Code],tblProducts[Selling Price (excl. VAT)],0)</f>
        <v>45000</v>
      </c>
      <c r="K5876" s="5">
        <f>tblSales[[#This Row],[Qty]]*tblSales[[#This Row],[Unit Price]]</f>
        <v>180000</v>
      </c>
      <c r="L5876" s="5">
        <f>ROUND(tblSales[[#This Row],[DPP (excl. VAT)]]*VATEff,0)</f>
        <v>19800</v>
      </c>
      <c r="M5876" s="5">
        <f>tblSales[[#This Row],[DPP (excl. VAT)]]+tblSales[[#This Row],[Output VAT]]</f>
        <v>199800</v>
      </c>
      <c r="N5876" s="5">
        <f>tblSales[[#This Row],[Qty]]*_xlfn.XLOOKUP(tblSales[[#This Row],[Product Code]],tblProducts[Code],tblProducts[Unit Cost],0)</f>
        <v>96000</v>
      </c>
      <c r="O5876" s="4" t="s">
        <v>4866</v>
      </c>
      <c r="P5876" s="4" t="s">
        <v>4861</v>
      </c>
      <c r="Q5876" s="1" t="str">
        <f>_xlfn.XLOOKUP(tblSales[[#This Row],[Channel Code]],tblChannels[Channel Code],tblChannels[Channel Name],"")</f>
        <v>Marketplace</v>
      </c>
      <c r="R5876" s="1">
        <f>MONTH(tblSales[[#This Row],[Date]])</f>
        <v>12</v>
      </c>
    </row>
    <row r="5877" spans="2:18" x14ac:dyDescent="0.35">
      <c r="B5877" s="113">
        <v>46372</v>
      </c>
      <c r="C5877" s="4" t="s">
        <v>4024</v>
      </c>
      <c r="D5877" s="4" t="s">
        <v>4593</v>
      </c>
      <c r="E5877" s="1" t="str">
        <f>_xlfn.XLOOKUP(tblSales[[#This Row],[Customer ID]],tblCustomers[Customer ID],tblCustomers[Customer Name],"⚠ Unknown")</f>
        <v>PT Graha Nusa Persada</v>
      </c>
      <c r="F5877" s="4" t="s">
        <v>8</v>
      </c>
      <c r="G5877" s="1" t="str">
        <f>_xlfn.XLOOKUP(tblSales[[#This Row],[Product Code]],tblProducts[Code],tblProducts[Product / Service Name],"⚠ Unknown")</f>
        <v>Casual Shorts</v>
      </c>
      <c r="H5877" s="1" t="str">
        <f>_xlfn.XLOOKUP(tblSales[[#This Row],[Product Code]],tblProducts[Code],tblProducts[Category],"")</f>
        <v>Accessories &amp; Basics</v>
      </c>
      <c r="I5877" s="4">
        <v>16</v>
      </c>
      <c r="J5877" s="5">
        <f>_xlfn.XLOOKUP(tblSales[[#This Row],[Product Code]],tblProducts[Code],tblProducts[Selling Price (excl. VAT)],0)</f>
        <v>85000</v>
      </c>
      <c r="K5877" s="5">
        <f>tblSales[[#This Row],[Qty]]*tblSales[[#This Row],[Unit Price]]</f>
        <v>1360000</v>
      </c>
      <c r="L5877" s="5">
        <f>ROUND(tblSales[[#This Row],[DPP (excl. VAT)]]*VATEff,0)</f>
        <v>149600</v>
      </c>
      <c r="M5877" s="5">
        <f>tblSales[[#This Row],[DPP (excl. VAT)]]+tblSales[[#This Row],[Output VAT]]</f>
        <v>1509600</v>
      </c>
      <c r="N5877" s="5">
        <f>tblSales[[#This Row],[Qty]]*_xlfn.XLOOKUP(tblSales[[#This Row],[Product Code]],tblProducts[Code],tblProducts[Unit Cost],0)</f>
        <v>800000</v>
      </c>
      <c r="O5877" s="4" t="s">
        <v>4867</v>
      </c>
      <c r="P5877" s="4" t="s">
        <v>4862</v>
      </c>
      <c r="Q5877" s="1" t="str">
        <f>_xlfn.XLOOKUP(tblSales[[#This Row],[Channel Code]],tblChannels[Channel Code],tblChannels[Channel Name],"")</f>
        <v>Website &amp; Social Media</v>
      </c>
      <c r="R5877" s="1">
        <f>MONTH(tblSales[[#This Row],[Date]])</f>
        <v>12</v>
      </c>
    </row>
    <row r="5878" spans="2:18" x14ac:dyDescent="0.35">
      <c r="B5878" s="113">
        <v>46372</v>
      </c>
      <c r="C5878" s="4" t="s">
        <v>4024</v>
      </c>
      <c r="D5878" s="4" t="s">
        <v>4593</v>
      </c>
      <c r="E5878" s="1" t="str">
        <f>_xlfn.XLOOKUP(tblSales[[#This Row],[Customer ID]],tblCustomers[Customer ID],tblCustomers[Customer Name],"⚠ Unknown")</f>
        <v>PT Graha Nusa Persada</v>
      </c>
      <c r="F5878" s="4" t="s">
        <v>13</v>
      </c>
      <c r="G5878" s="1" t="str">
        <f>_xlfn.XLOOKUP(tblSales[[#This Row],[Product Code]],tblProducts[Code],tblProducts[Product / Service Name],"⚠ Unknown")</f>
        <v>Backpack</v>
      </c>
      <c r="H5878" s="1" t="str">
        <f>_xlfn.XLOOKUP(tblSales[[#This Row],[Product Code]],tblProducts[Code],tblProducts[Category],"")</f>
        <v>Bags &amp; Gadgets</v>
      </c>
      <c r="I5878" s="4">
        <v>16</v>
      </c>
      <c r="J5878" s="5">
        <f>_xlfn.XLOOKUP(tblSales[[#This Row],[Product Code]],tblProducts[Code],tblProducts[Selling Price (excl. VAT)],0)</f>
        <v>500000</v>
      </c>
      <c r="K5878" s="5">
        <f>tblSales[[#This Row],[Qty]]*tblSales[[#This Row],[Unit Price]]</f>
        <v>8000000</v>
      </c>
      <c r="L5878" s="5">
        <f>ROUND(tblSales[[#This Row],[DPP (excl. VAT)]]*VATEff,0)</f>
        <v>880000</v>
      </c>
      <c r="M5878" s="5">
        <f>tblSales[[#This Row],[DPP (excl. VAT)]]+tblSales[[#This Row],[Output VAT]]</f>
        <v>8880000</v>
      </c>
      <c r="N5878" s="5">
        <f>tblSales[[#This Row],[Qty]]*_xlfn.XLOOKUP(tblSales[[#This Row],[Product Code]],tblProducts[Code],tblProducts[Unit Cost],0)</f>
        <v>4640000</v>
      </c>
      <c r="O5878" s="4" t="s">
        <v>4867</v>
      </c>
      <c r="P5878" s="4" t="s">
        <v>4862</v>
      </c>
      <c r="Q5878" s="1" t="str">
        <f>_xlfn.XLOOKUP(tblSales[[#This Row],[Channel Code]],tblChannels[Channel Code],tblChannels[Channel Name],"")</f>
        <v>Website &amp; Social Media</v>
      </c>
      <c r="R5878" s="1">
        <f>MONTH(tblSales[[#This Row],[Date]])</f>
        <v>12</v>
      </c>
    </row>
    <row r="5879" spans="2:18" x14ac:dyDescent="0.35">
      <c r="B5879" s="113">
        <v>46372</v>
      </c>
      <c r="C5879" s="4" t="s">
        <v>4025</v>
      </c>
      <c r="D5879" s="4" t="s">
        <v>4568</v>
      </c>
      <c r="E5879" s="1" t="str">
        <f>_xlfn.XLOOKUP(tblSales[[#This Row],[Customer ID]],tblCustomers[Customer ID],tblCustomers[Customer Name],"⚠ Unknown")</f>
        <v>Walk-in Customer</v>
      </c>
      <c r="F5879" s="4" t="s">
        <v>12</v>
      </c>
      <c r="G5879" s="1" t="str">
        <f>_xlfn.XLOOKUP(tblSales[[#This Row],[Product Code]],tblProducts[Code],tblProducts[Product / Service Name],"⚠ Unknown")</f>
        <v>Bomber Jacket</v>
      </c>
      <c r="H5879" s="1" t="str">
        <f>_xlfn.XLOOKUP(tblSales[[#This Row],[Product Code]],tblProducts[Code],tblProducts[Category],"")</f>
        <v>Apparel &amp; Footwear</v>
      </c>
      <c r="I5879" s="4">
        <v>6</v>
      </c>
      <c r="J5879" s="5">
        <f>_xlfn.XLOOKUP(tblSales[[#This Row],[Product Code]],tblProducts[Code],tblProducts[Selling Price (excl. VAT)],0)</f>
        <v>350000</v>
      </c>
      <c r="K5879" s="5">
        <f>tblSales[[#This Row],[Qty]]*tblSales[[#This Row],[Unit Price]]</f>
        <v>2100000</v>
      </c>
      <c r="L5879" s="5">
        <f>ROUND(tblSales[[#This Row],[DPP (excl. VAT)]]*VATEff,0)</f>
        <v>231000</v>
      </c>
      <c r="M5879" s="5">
        <f>tblSales[[#This Row],[DPP (excl. VAT)]]+tblSales[[#This Row],[Output VAT]]</f>
        <v>2331000</v>
      </c>
      <c r="N5879" s="5">
        <f>tblSales[[#This Row],[Qty]]*_xlfn.XLOOKUP(tblSales[[#This Row],[Product Code]],tblProducts[Code],tblProducts[Unit Cost],0)</f>
        <v>1260000</v>
      </c>
      <c r="O5879" s="4" t="s">
        <v>4866</v>
      </c>
      <c r="P5879" s="4" t="s">
        <v>4861</v>
      </c>
      <c r="Q5879" s="1" t="str">
        <f>_xlfn.XLOOKUP(tblSales[[#This Row],[Channel Code]],tblChannels[Channel Code],tblChannels[Channel Name],"")</f>
        <v>Marketplace</v>
      </c>
      <c r="R5879" s="1">
        <f>MONTH(tblSales[[#This Row],[Date]])</f>
        <v>12</v>
      </c>
    </row>
    <row r="5880" spans="2:18" x14ac:dyDescent="0.35">
      <c r="B5880" s="113">
        <v>46372</v>
      </c>
      <c r="C5880" s="4" t="s">
        <v>4026</v>
      </c>
      <c r="D5880" s="4" t="s">
        <v>4568</v>
      </c>
      <c r="E5880" s="1" t="str">
        <f>_xlfn.XLOOKUP(tblSales[[#This Row],[Customer ID]],tblCustomers[Customer ID],tblCustomers[Customer Name],"⚠ Unknown")</f>
        <v>Walk-in Customer</v>
      </c>
      <c r="F5880" s="4" t="s">
        <v>8</v>
      </c>
      <c r="G5880" s="1" t="str">
        <f>_xlfn.XLOOKUP(tblSales[[#This Row],[Product Code]],tblProducts[Code],tblProducts[Product / Service Name],"⚠ Unknown")</f>
        <v>Casual Shorts</v>
      </c>
      <c r="H5880" s="1" t="str">
        <f>_xlfn.XLOOKUP(tblSales[[#This Row],[Product Code]],tblProducts[Code],tblProducts[Category],"")</f>
        <v>Accessories &amp; Basics</v>
      </c>
      <c r="I5880" s="4">
        <v>6</v>
      </c>
      <c r="J5880" s="5">
        <f>_xlfn.XLOOKUP(tblSales[[#This Row],[Product Code]],tblProducts[Code],tblProducts[Selling Price (excl. VAT)],0)</f>
        <v>85000</v>
      </c>
      <c r="K5880" s="5">
        <f>tblSales[[#This Row],[Qty]]*tblSales[[#This Row],[Unit Price]]</f>
        <v>510000</v>
      </c>
      <c r="L5880" s="5">
        <f>ROUND(tblSales[[#This Row],[DPP (excl. VAT)]]*VATEff,0)</f>
        <v>56100</v>
      </c>
      <c r="M5880" s="5">
        <f>tblSales[[#This Row],[DPP (excl. VAT)]]+tblSales[[#This Row],[Output VAT]]</f>
        <v>566100</v>
      </c>
      <c r="N5880" s="5">
        <f>tblSales[[#This Row],[Qty]]*_xlfn.XLOOKUP(tblSales[[#This Row],[Product Code]],tblProducts[Code],tblProducts[Unit Cost],0)</f>
        <v>300000</v>
      </c>
      <c r="O5880" s="4" t="s">
        <v>4865</v>
      </c>
      <c r="P5880" s="4" t="s">
        <v>4860</v>
      </c>
      <c r="Q5880" s="1" t="str">
        <f>_xlfn.XLOOKUP(tblSales[[#This Row],[Channel Code]],tblChannels[Channel Code],tblChannels[Channel Name],"")</f>
        <v>In-store</v>
      </c>
      <c r="R5880" s="1">
        <f>MONTH(tblSales[[#This Row],[Date]])</f>
        <v>12</v>
      </c>
    </row>
    <row r="5881" spans="2:18" x14ac:dyDescent="0.35">
      <c r="B5881" s="113">
        <v>46372</v>
      </c>
      <c r="C5881" s="4" t="s">
        <v>4027</v>
      </c>
      <c r="D5881" s="4" t="s">
        <v>4568</v>
      </c>
      <c r="E5881" s="1" t="str">
        <f>_xlfn.XLOOKUP(tblSales[[#This Row],[Customer ID]],tblCustomers[Customer ID],tblCustomers[Customer Name],"⚠ Unknown")</f>
        <v>Walk-in Customer</v>
      </c>
      <c r="F5881" s="4" t="s">
        <v>7</v>
      </c>
      <c r="G5881" s="1" t="str">
        <f>_xlfn.XLOOKUP(tblSales[[#This Row],[Product Code]],tblProducts[Code],tblProducts[Product / Service Name],"⚠ Unknown")</f>
        <v>Premium Basic T-shirt</v>
      </c>
      <c r="H5881" s="1" t="str">
        <f>_xlfn.XLOOKUP(tblSales[[#This Row],[Product Code]],tblProducts[Code],tblProducts[Category],"")</f>
        <v>Accessories &amp; Basics</v>
      </c>
      <c r="I5881" s="4">
        <v>6</v>
      </c>
      <c r="J5881" s="5">
        <f>_xlfn.XLOOKUP(tblSales[[#This Row],[Product Code]],tblProducts[Code],tblProducts[Selling Price (excl. VAT)],0)</f>
        <v>65000</v>
      </c>
      <c r="K5881" s="5">
        <f>tblSales[[#This Row],[Qty]]*tblSales[[#This Row],[Unit Price]]</f>
        <v>390000</v>
      </c>
      <c r="L5881" s="5">
        <f>ROUND(tblSales[[#This Row],[DPP (excl. VAT)]]*VATEff,0)</f>
        <v>42900</v>
      </c>
      <c r="M5881" s="5">
        <f>tblSales[[#This Row],[DPP (excl. VAT)]]+tblSales[[#This Row],[Output VAT]]</f>
        <v>432900</v>
      </c>
      <c r="N5881" s="5">
        <f>tblSales[[#This Row],[Qty]]*_xlfn.XLOOKUP(tblSales[[#This Row],[Product Code]],tblProducts[Code],tblProducts[Unit Cost],0)</f>
        <v>222000</v>
      </c>
      <c r="O5881" s="4" t="s">
        <v>4865</v>
      </c>
      <c r="P5881" s="4" t="s">
        <v>4860</v>
      </c>
      <c r="Q5881" s="1" t="str">
        <f>_xlfn.XLOOKUP(tblSales[[#This Row],[Channel Code]],tblChannels[Channel Code],tblChannels[Channel Name],"")</f>
        <v>In-store</v>
      </c>
      <c r="R5881" s="1">
        <f>MONTH(tblSales[[#This Row],[Date]])</f>
        <v>12</v>
      </c>
    </row>
    <row r="5882" spans="2:18" x14ac:dyDescent="0.35">
      <c r="B5882" s="113">
        <v>46372</v>
      </c>
      <c r="C5882" s="4" t="s">
        <v>4027</v>
      </c>
      <c r="D5882" s="4" t="s">
        <v>4568</v>
      </c>
      <c r="E5882" s="1" t="str">
        <f>_xlfn.XLOOKUP(tblSales[[#This Row],[Customer ID]],tblCustomers[Customer ID],tblCustomers[Customer Name],"⚠ Unknown")</f>
        <v>Walk-in Customer</v>
      </c>
      <c r="F5882" s="4" t="s">
        <v>8</v>
      </c>
      <c r="G5882" s="1" t="str">
        <f>_xlfn.XLOOKUP(tblSales[[#This Row],[Product Code]],tblProducts[Code],tblProducts[Product / Service Name],"⚠ Unknown")</f>
        <v>Casual Shorts</v>
      </c>
      <c r="H5882" s="1" t="str">
        <f>_xlfn.XLOOKUP(tblSales[[#This Row],[Product Code]],tblProducts[Code],tblProducts[Category],"")</f>
        <v>Accessories &amp; Basics</v>
      </c>
      <c r="I5882" s="4">
        <v>9</v>
      </c>
      <c r="J5882" s="5">
        <f>_xlfn.XLOOKUP(tblSales[[#This Row],[Product Code]],tblProducts[Code],tblProducts[Selling Price (excl. VAT)],0)</f>
        <v>85000</v>
      </c>
      <c r="K5882" s="5">
        <f>tblSales[[#This Row],[Qty]]*tblSales[[#This Row],[Unit Price]]</f>
        <v>765000</v>
      </c>
      <c r="L5882" s="5">
        <f>ROUND(tblSales[[#This Row],[DPP (excl. VAT)]]*VATEff,0)</f>
        <v>84150</v>
      </c>
      <c r="M5882" s="5">
        <f>tblSales[[#This Row],[DPP (excl. VAT)]]+tblSales[[#This Row],[Output VAT]]</f>
        <v>849150</v>
      </c>
      <c r="N5882" s="5">
        <f>tblSales[[#This Row],[Qty]]*_xlfn.XLOOKUP(tblSales[[#This Row],[Product Code]],tblProducts[Code],tblProducts[Unit Cost],0)</f>
        <v>450000</v>
      </c>
      <c r="O5882" s="4" t="s">
        <v>4865</v>
      </c>
      <c r="P5882" s="4" t="s">
        <v>4860</v>
      </c>
      <c r="Q5882" s="1" t="str">
        <f>_xlfn.XLOOKUP(tblSales[[#This Row],[Channel Code]],tblChannels[Channel Code],tblChannels[Channel Name],"")</f>
        <v>In-store</v>
      </c>
      <c r="R5882" s="1">
        <f>MONTH(tblSales[[#This Row],[Date]])</f>
        <v>12</v>
      </c>
    </row>
    <row r="5883" spans="2:18" x14ac:dyDescent="0.35">
      <c r="B5883" s="113">
        <v>46372</v>
      </c>
      <c r="C5883" s="4" t="s">
        <v>4027</v>
      </c>
      <c r="D5883" s="4" t="s">
        <v>4568</v>
      </c>
      <c r="E5883" s="1" t="str">
        <f>_xlfn.XLOOKUP(tblSales[[#This Row],[Customer ID]],tblCustomers[Customer ID],tblCustomers[Customer Name],"⚠ Unknown")</f>
        <v>Walk-in Customer</v>
      </c>
      <c r="F5883" s="4" t="s">
        <v>10</v>
      </c>
      <c r="G5883" s="1" t="str">
        <f>_xlfn.XLOOKUP(tblSales[[#This Row],[Product Code]],tblProducts[Code],tblProducts[Product / Service Name],"⚠ Unknown")</f>
        <v>Chino Pants</v>
      </c>
      <c r="H5883" s="1" t="str">
        <f>_xlfn.XLOOKUP(tblSales[[#This Row],[Product Code]],tblProducts[Code],tblProducts[Category],"")</f>
        <v>Apparel &amp; Footwear</v>
      </c>
      <c r="I5883" s="4">
        <v>9</v>
      </c>
      <c r="J5883" s="5">
        <f>_xlfn.XLOOKUP(tblSales[[#This Row],[Product Code]],tblProducts[Code],tblProducts[Selling Price (excl. VAT)],0)</f>
        <v>150000</v>
      </c>
      <c r="K5883" s="5">
        <f>tblSales[[#This Row],[Qty]]*tblSales[[#This Row],[Unit Price]]</f>
        <v>1350000</v>
      </c>
      <c r="L5883" s="5">
        <f>ROUND(tblSales[[#This Row],[DPP (excl. VAT)]]*VATEff,0)</f>
        <v>148500</v>
      </c>
      <c r="M5883" s="5">
        <f>tblSales[[#This Row],[DPP (excl. VAT)]]+tblSales[[#This Row],[Output VAT]]</f>
        <v>1498500</v>
      </c>
      <c r="N5883" s="5">
        <f>tblSales[[#This Row],[Qty]]*_xlfn.XLOOKUP(tblSales[[#This Row],[Product Code]],tblProducts[Code],tblProducts[Unit Cost],0)</f>
        <v>792000</v>
      </c>
      <c r="O5883" s="4" t="s">
        <v>4865</v>
      </c>
      <c r="P5883" s="4" t="s">
        <v>4860</v>
      </c>
      <c r="Q5883" s="1" t="str">
        <f>_xlfn.XLOOKUP(tblSales[[#This Row],[Channel Code]],tblChannels[Channel Code],tblChannels[Channel Name],"")</f>
        <v>In-store</v>
      </c>
      <c r="R5883" s="1">
        <f>MONTH(tblSales[[#This Row],[Date]])</f>
        <v>12</v>
      </c>
    </row>
    <row r="5884" spans="2:18" x14ac:dyDescent="0.35">
      <c r="B5884" s="113">
        <v>46372</v>
      </c>
      <c r="C5884" s="4" t="s">
        <v>4028</v>
      </c>
      <c r="D5884" s="4" t="s">
        <v>4568</v>
      </c>
      <c r="E5884" s="1" t="str">
        <f>_xlfn.XLOOKUP(tblSales[[#This Row],[Customer ID]],tblCustomers[Customer ID],tblCustomers[Customer Name],"⚠ Unknown")</f>
        <v>Walk-in Customer</v>
      </c>
      <c r="F5884" s="4" t="s">
        <v>10</v>
      </c>
      <c r="G5884" s="1" t="str">
        <f>_xlfn.XLOOKUP(tblSales[[#This Row],[Product Code]],tblProducts[Code],tblProducts[Product / Service Name],"⚠ Unknown")</f>
        <v>Chino Pants</v>
      </c>
      <c r="H5884" s="1" t="str">
        <f>_xlfn.XLOOKUP(tblSales[[#This Row],[Product Code]],tblProducts[Code],tblProducts[Category],"")</f>
        <v>Apparel &amp; Footwear</v>
      </c>
      <c r="I5884" s="4">
        <v>5</v>
      </c>
      <c r="J5884" s="5">
        <f>_xlfn.XLOOKUP(tblSales[[#This Row],[Product Code]],tblProducts[Code],tblProducts[Selling Price (excl. VAT)],0)</f>
        <v>150000</v>
      </c>
      <c r="K5884" s="5">
        <f>tblSales[[#This Row],[Qty]]*tblSales[[#This Row],[Unit Price]]</f>
        <v>750000</v>
      </c>
      <c r="L5884" s="5">
        <f>ROUND(tblSales[[#This Row],[DPP (excl. VAT)]]*VATEff,0)</f>
        <v>82500</v>
      </c>
      <c r="M5884" s="5">
        <f>tblSales[[#This Row],[DPP (excl. VAT)]]+tblSales[[#This Row],[Output VAT]]</f>
        <v>832500</v>
      </c>
      <c r="N5884" s="5">
        <f>tblSales[[#This Row],[Qty]]*_xlfn.XLOOKUP(tblSales[[#This Row],[Product Code]],tblProducts[Code],tblProducts[Unit Cost],0)</f>
        <v>440000</v>
      </c>
      <c r="O5884" s="4" t="s">
        <v>4866</v>
      </c>
      <c r="P5884" s="4" t="s">
        <v>4862</v>
      </c>
      <c r="Q5884" s="1" t="str">
        <f>_xlfn.XLOOKUP(tblSales[[#This Row],[Channel Code]],tblChannels[Channel Code],tblChannels[Channel Name],"")</f>
        <v>Website &amp; Social Media</v>
      </c>
      <c r="R5884" s="1">
        <f>MONTH(tblSales[[#This Row],[Date]])</f>
        <v>12</v>
      </c>
    </row>
    <row r="5885" spans="2:18" x14ac:dyDescent="0.35">
      <c r="B5885" s="113">
        <v>46373</v>
      </c>
      <c r="C5885" s="4" t="s">
        <v>4029</v>
      </c>
      <c r="D5885" s="4" t="s">
        <v>4568</v>
      </c>
      <c r="E5885" s="1" t="str">
        <f>_xlfn.XLOOKUP(tblSales[[#This Row],[Customer ID]],tblCustomers[Customer ID],tblCustomers[Customer Name],"⚠ Unknown")</f>
        <v>Walk-in Customer</v>
      </c>
      <c r="F5885" s="4" t="s">
        <v>6</v>
      </c>
      <c r="G5885" s="1" t="str">
        <f>_xlfn.XLOOKUP(tblSales[[#This Row],[Product Code]],tblProducts[Code],tblProducts[Product / Service Name],"⚠ Unknown")</f>
        <v>Socks &amp; Accessories</v>
      </c>
      <c r="H5885" s="1" t="str">
        <f>_xlfn.XLOOKUP(tblSales[[#This Row],[Product Code]],tblProducts[Code],tblProducts[Category],"")</f>
        <v>Accessories &amp; Basics</v>
      </c>
      <c r="I5885" s="4">
        <v>12</v>
      </c>
      <c r="J5885" s="5">
        <f>_xlfn.XLOOKUP(tblSales[[#This Row],[Product Code]],tblProducts[Code],tblProducts[Selling Price (excl. VAT)],0)</f>
        <v>45000</v>
      </c>
      <c r="K5885" s="5">
        <f>tblSales[[#This Row],[Qty]]*tblSales[[#This Row],[Unit Price]]</f>
        <v>540000</v>
      </c>
      <c r="L5885" s="5">
        <f>ROUND(tblSales[[#This Row],[DPP (excl. VAT)]]*VATEff,0)</f>
        <v>59400</v>
      </c>
      <c r="M5885" s="5">
        <f>tblSales[[#This Row],[DPP (excl. VAT)]]+tblSales[[#This Row],[Output VAT]]</f>
        <v>599400</v>
      </c>
      <c r="N5885" s="5">
        <f>tblSales[[#This Row],[Qty]]*_xlfn.XLOOKUP(tblSales[[#This Row],[Product Code]],tblProducts[Code],tblProducts[Unit Cost],0)</f>
        <v>288000</v>
      </c>
      <c r="O5885" s="4" t="s">
        <v>4866</v>
      </c>
      <c r="P5885" s="4" t="s">
        <v>4860</v>
      </c>
      <c r="Q5885" s="1" t="str">
        <f>_xlfn.XLOOKUP(tblSales[[#This Row],[Channel Code]],tblChannels[Channel Code],tblChannels[Channel Name],"")</f>
        <v>In-store</v>
      </c>
      <c r="R5885" s="1">
        <f>MONTH(tblSales[[#This Row],[Date]])</f>
        <v>12</v>
      </c>
    </row>
    <row r="5886" spans="2:18" x14ac:dyDescent="0.35">
      <c r="B5886" s="113">
        <v>46373</v>
      </c>
      <c r="C5886" s="4" t="s">
        <v>4030</v>
      </c>
      <c r="D5886" s="4" t="s">
        <v>4613</v>
      </c>
      <c r="E5886" s="1" t="str">
        <f>_xlfn.XLOOKUP(tblSales[[#This Row],[Customer ID]],tblCustomers[Customer ID],tblCustomers[Customer Name],"⚠ Unknown")</f>
        <v>PT Mega Prima Distribusi</v>
      </c>
      <c r="F5886" s="4" t="s">
        <v>8</v>
      </c>
      <c r="G5886" s="1" t="str">
        <f>_xlfn.XLOOKUP(tblSales[[#This Row],[Product Code]],tblProducts[Code],tblProducts[Product / Service Name],"⚠ Unknown")</f>
        <v>Casual Shorts</v>
      </c>
      <c r="H5886" s="1" t="str">
        <f>_xlfn.XLOOKUP(tblSales[[#This Row],[Product Code]],tblProducts[Code],tblProducts[Category],"")</f>
        <v>Accessories &amp; Basics</v>
      </c>
      <c r="I5886" s="4">
        <v>32</v>
      </c>
      <c r="J5886" s="5">
        <f>_xlfn.XLOOKUP(tblSales[[#This Row],[Product Code]],tblProducts[Code],tblProducts[Selling Price (excl. VAT)],0)</f>
        <v>85000</v>
      </c>
      <c r="K5886" s="5">
        <f>tblSales[[#This Row],[Qty]]*tblSales[[#This Row],[Unit Price]]</f>
        <v>2720000</v>
      </c>
      <c r="L5886" s="5">
        <f>ROUND(tblSales[[#This Row],[DPP (excl. VAT)]]*VATEff,0)</f>
        <v>299200</v>
      </c>
      <c r="M5886" s="5">
        <f>tblSales[[#This Row],[DPP (excl. VAT)]]+tblSales[[#This Row],[Output VAT]]</f>
        <v>3019200</v>
      </c>
      <c r="N5886" s="5">
        <f>tblSales[[#This Row],[Qty]]*_xlfn.XLOOKUP(tblSales[[#This Row],[Product Code]],tblProducts[Code],tblProducts[Unit Cost],0)</f>
        <v>1600000</v>
      </c>
      <c r="O5886" s="4" t="s">
        <v>4867</v>
      </c>
      <c r="P5886" s="4" t="s">
        <v>4860</v>
      </c>
      <c r="Q5886" s="1" t="str">
        <f>_xlfn.XLOOKUP(tblSales[[#This Row],[Channel Code]],tblChannels[Channel Code],tblChannels[Channel Name],"")</f>
        <v>In-store</v>
      </c>
      <c r="R5886" s="1">
        <f>MONTH(tblSales[[#This Row],[Date]])</f>
        <v>12</v>
      </c>
    </row>
    <row r="5887" spans="2:18" x14ac:dyDescent="0.35">
      <c r="B5887" s="113">
        <v>46373</v>
      </c>
      <c r="C5887" s="4" t="s">
        <v>4031</v>
      </c>
      <c r="D5887" s="4" t="s">
        <v>4634</v>
      </c>
      <c r="E5887" s="1" t="str">
        <f>_xlfn.XLOOKUP(tblSales[[#This Row],[Customer ID]],tblCustomers[Customer ID],tblCustomers[Customer Name],"⚠ Unknown")</f>
        <v>PT Delta Inti Selaras</v>
      </c>
      <c r="F5887" s="4" t="s">
        <v>10</v>
      </c>
      <c r="G5887" s="1" t="str">
        <f>_xlfn.XLOOKUP(tblSales[[#This Row],[Product Code]],tblProducts[Code],tblProducts[Product / Service Name],"⚠ Unknown")</f>
        <v>Chino Pants</v>
      </c>
      <c r="H5887" s="1" t="str">
        <f>_xlfn.XLOOKUP(tblSales[[#This Row],[Product Code]],tblProducts[Code],tblProducts[Category],"")</f>
        <v>Apparel &amp; Footwear</v>
      </c>
      <c r="I5887" s="4">
        <v>56</v>
      </c>
      <c r="J5887" s="5">
        <f>_xlfn.XLOOKUP(tblSales[[#This Row],[Product Code]],tblProducts[Code],tblProducts[Selling Price (excl. VAT)],0)</f>
        <v>150000</v>
      </c>
      <c r="K5887" s="5">
        <f>tblSales[[#This Row],[Qty]]*tblSales[[#This Row],[Unit Price]]</f>
        <v>8400000</v>
      </c>
      <c r="L5887" s="5">
        <f>ROUND(tblSales[[#This Row],[DPP (excl. VAT)]]*VATEff,0)</f>
        <v>924000</v>
      </c>
      <c r="M5887" s="5">
        <f>tblSales[[#This Row],[DPP (excl. VAT)]]+tblSales[[#This Row],[Output VAT]]</f>
        <v>9324000</v>
      </c>
      <c r="N5887" s="5">
        <f>tblSales[[#This Row],[Qty]]*_xlfn.XLOOKUP(tblSales[[#This Row],[Product Code]],tblProducts[Code],tblProducts[Unit Cost],0)</f>
        <v>4928000</v>
      </c>
      <c r="O5887" s="4" t="s">
        <v>4867</v>
      </c>
      <c r="P5887" s="4" t="s">
        <v>4860</v>
      </c>
      <c r="Q5887" s="1" t="str">
        <f>_xlfn.XLOOKUP(tblSales[[#This Row],[Channel Code]],tblChannels[Channel Code],tblChannels[Channel Name],"")</f>
        <v>In-store</v>
      </c>
      <c r="R5887" s="1">
        <f>MONTH(tblSales[[#This Row],[Date]])</f>
        <v>12</v>
      </c>
    </row>
    <row r="5888" spans="2:18" x14ac:dyDescent="0.35">
      <c r="B5888" s="113">
        <v>46373</v>
      </c>
      <c r="C5888" s="4" t="s">
        <v>4032</v>
      </c>
      <c r="D5888" s="4" t="s">
        <v>4613</v>
      </c>
      <c r="E5888" s="1" t="str">
        <f>_xlfn.XLOOKUP(tblSales[[#This Row],[Customer ID]],tblCustomers[Customer ID],tblCustomers[Customer Name],"⚠ Unknown")</f>
        <v>PT Mega Prima Distribusi</v>
      </c>
      <c r="F5888" s="4" t="s">
        <v>8</v>
      </c>
      <c r="G5888" s="1" t="str">
        <f>_xlfn.XLOOKUP(tblSales[[#This Row],[Product Code]],tblProducts[Code],tblProducts[Product / Service Name],"⚠ Unknown")</f>
        <v>Casual Shorts</v>
      </c>
      <c r="H5888" s="1" t="str">
        <f>_xlfn.XLOOKUP(tblSales[[#This Row],[Product Code]],tblProducts[Code],tblProducts[Category],"")</f>
        <v>Accessories &amp; Basics</v>
      </c>
      <c r="I5888" s="4">
        <v>80</v>
      </c>
      <c r="J5888" s="5">
        <f>_xlfn.XLOOKUP(tblSales[[#This Row],[Product Code]],tblProducts[Code],tblProducts[Selling Price (excl. VAT)],0)</f>
        <v>85000</v>
      </c>
      <c r="K5888" s="5">
        <f>tblSales[[#This Row],[Qty]]*tblSales[[#This Row],[Unit Price]]</f>
        <v>6800000</v>
      </c>
      <c r="L5888" s="5">
        <f>ROUND(tblSales[[#This Row],[DPP (excl. VAT)]]*VATEff,0)</f>
        <v>748000</v>
      </c>
      <c r="M5888" s="5">
        <f>tblSales[[#This Row],[DPP (excl. VAT)]]+tblSales[[#This Row],[Output VAT]]</f>
        <v>7548000</v>
      </c>
      <c r="N5888" s="5">
        <f>tblSales[[#This Row],[Qty]]*_xlfn.XLOOKUP(tblSales[[#This Row],[Product Code]],tblProducts[Code],tblProducts[Unit Cost],0)</f>
        <v>4000000</v>
      </c>
      <c r="O5888" s="4" t="s">
        <v>4867</v>
      </c>
      <c r="P5888" s="4" t="s">
        <v>4860</v>
      </c>
      <c r="Q5888" s="1" t="str">
        <f>_xlfn.XLOOKUP(tblSales[[#This Row],[Channel Code]],tblChannels[Channel Code],tblChannels[Channel Name],"")</f>
        <v>In-store</v>
      </c>
      <c r="R5888" s="1">
        <f>MONTH(tblSales[[#This Row],[Date]])</f>
        <v>12</v>
      </c>
    </row>
    <row r="5889" spans="2:18" x14ac:dyDescent="0.35">
      <c r="B5889" s="113">
        <v>46373</v>
      </c>
      <c r="C5889" s="4" t="s">
        <v>4032</v>
      </c>
      <c r="D5889" s="4" t="s">
        <v>4613</v>
      </c>
      <c r="E5889" s="1" t="str">
        <f>_xlfn.XLOOKUP(tblSales[[#This Row],[Customer ID]],tblCustomers[Customer ID],tblCustomers[Customer Name],"⚠ Unknown")</f>
        <v>PT Mega Prima Distribusi</v>
      </c>
      <c r="F5889" s="4" t="s">
        <v>9</v>
      </c>
      <c r="G5889" s="1" t="str">
        <f>_xlfn.XLOOKUP(tblSales[[#This Row],[Product Code]],tblProducts[Code],tblProducts[Product / Service Name],"⚠ Unknown")</f>
        <v>Casual Shirt</v>
      </c>
      <c r="H5889" s="1" t="str">
        <f>_xlfn.XLOOKUP(tblSales[[#This Row],[Product Code]],tblProducts[Code],tblProducts[Category],"")</f>
        <v>Apparel &amp; Footwear</v>
      </c>
      <c r="I5889" s="4">
        <v>64</v>
      </c>
      <c r="J5889" s="5">
        <f>_xlfn.XLOOKUP(tblSales[[#This Row],[Product Code]],tblProducts[Code],tblProducts[Selling Price (excl. VAT)],0)</f>
        <v>120000</v>
      </c>
      <c r="K5889" s="5">
        <f>tblSales[[#This Row],[Qty]]*tblSales[[#This Row],[Unit Price]]</f>
        <v>7680000</v>
      </c>
      <c r="L5889" s="5">
        <f>ROUND(tblSales[[#This Row],[DPP (excl. VAT)]]*VATEff,0)</f>
        <v>844800</v>
      </c>
      <c r="M5889" s="5">
        <f>tblSales[[#This Row],[DPP (excl. VAT)]]+tblSales[[#This Row],[Output VAT]]</f>
        <v>8524800</v>
      </c>
      <c r="N5889" s="5">
        <f>tblSales[[#This Row],[Qty]]*_xlfn.XLOOKUP(tblSales[[#This Row],[Product Code]],tblProducts[Code],tblProducts[Unit Cost],0)</f>
        <v>4608000</v>
      </c>
      <c r="O5889" s="4" t="s">
        <v>4867</v>
      </c>
      <c r="P5889" s="4" t="s">
        <v>4860</v>
      </c>
      <c r="Q5889" s="1" t="str">
        <f>_xlfn.XLOOKUP(tblSales[[#This Row],[Channel Code]],tblChannels[Channel Code],tblChannels[Channel Name],"")</f>
        <v>In-store</v>
      </c>
      <c r="R5889" s="1">
        <f>MONTH(tblSales[[#This Row],[Date]])</f>
        <v>12</v>
      </c>
    </row>
    <row r="5890" spans="2:18" x14ac:dyDescent="0.35">
      <c r="B5890" s="113">
        <v>46373</v>
      </c>
      <c r="C5890" s="4" t="s">
        <v>4033</v>
      </c>
      <c r="D5890" s="4" t="s">
        <v>4568</v>
      </c>
      <c r="E5890" s="1" t="str">
        <f>_xlfn.XLOOKUP(tblSales[[#This Row],[Customer ID]],tblCustomers[Customer ID],tblCustomers[Customer Name],"⚠ Unknown")</f>
        <v>Walk-in Customer</v>
      </c>
      <c r="F5890" s="4" t="s">
        <v>12</v>
      </c>
      <c r="G5890" s="1" t="str">
        <f>_xlfn.XLOOKUP(tblSales[[#This Row],[Product Code]],tblProducts[Code],tblProducts[Product / Service Name],"⚠ Unknown")</f>
        <v>Bomber Jacket</v>
      </c>
      <c r="H5890" s="1" t="str">
        <f>_xlfn.XLOOKUP(tblSales[[#This Row],[Product Code]],tblProducts[Code],tblProducts[Category],"")</f>
        <v>Apparel &amp; Footwear</v>
      </c>
      <c r="I5890" s="4">
        <v>3</v>
      </c>
      <c r="J5890" s="5">
        <f>_xlfn.XLOOKUP(tblSales[[#This Row],[Product Code]],tblProducts[Code],tblProducts[Selling Price (excl. VAT)],0)</f>
        <v>350000</v>
      </c>
      <c r="K5890" s="5">
        <f>tblSales[[#This Row],[Qty]]*tblSales[[#This Row],[Unit Price]]</f>
        <v>1050000</v>
      </c>
      <c r="L5890" s="5">
        <f>ROUND(tblSales[[#This Row],[DPP (excl. VAT)]]*VATEff,0)</f>
        <v>115500</v>
      </c>
      <c r="M5890" s="5">
        <f>tblSales[[#This Row],[DPP (excl. VAT)]]+tblSales[[#This Row],[Output VAT]]</f>
        <v>1165500</v>
      </c>
      <c r="N5890" s="5">
        <f>tblSales[[#This Row],[Qty]]*_xlfn.XLOOKUP(tblSales[[#This Row],[Product Code]],tblProducts[Code],tblProducts[Unit Cost],0)</f>
        <v>630000</v>
      </c>
      <c r="O5890" s="4" t="s">
        <v>4866</v>
      </c>
      <c r="P5890" s="4" t="s">
        <v>4860</v>
      </c>
      <c r="Q5890" s="1" t="str">
        <f>_xlfn.XLOOKUP(tblSales[[#This Row],[Channel Code]],tblChannels[Channel Code],tblChannels[Channel Name],"")</f>
        <v>In-store</v>
      </c>
      <c r="R5890" s="1">
        <f>MONTH(tblSales[[#This Row],[Date]])</f>
        <v>12</v>
      </c>
    </row>
    <row r="5891" spans="2:18" x14ac:dyDescent="0.35">
      <c r="B5891" s="113">
        <v>46373</v>
      </c>
      <c r="C5891" s="4" t="s">
        <v>4034</v>
      </c>
      <c r="D5891" s="4" t="s">
        <v>4568</v>
      </c>
      <c r="E5891" s="1" t="str">
        <f>_xlfn.XLOOKUP(tblSales[[#This Row],[Customer ID]],tblCustomers[Customer ID],tblCustomers[Customer Name],"⚠ Unknown")</f>
        <v>Walk-in Customer</v>
      </c>
      <c r="F5891" s="4" t="s">
        <v>6</v>
      </c>
      <c r="G5891" s="1" t="str">
        <f>_xlfn.XLOOKUP(tblSales[[#This Row],[Product Code]],tblProducts[Code],tblProducts[Product / Service Name],"⚠ Unknown")</f>
        <v>Socks &amp; Accessories</v>
      </c>
      <c r="H5891" s="1" t="str">
        <f>_xlfn.XLOOKUP(tblSales[[#This Row],[Product Code]],tblProducts[Code],tblProducts[Category],"")</f>
        <v>Accessories &amp; Basics</v>
      </c>
      <c r="I5891" s="4">
        <v>12</v>
      </c>
      <c r="J5891" s="5">
        <f>_xlfn.XLOOKUP(tblSales[[#This Row],[Product Code]],tblProducts[Code],tblProducts[Selling Price (excl. VAT)],0)</f>
        <v>45000</v>
      </c>
      <c r="K5891" s="5">
        <f>tblSales[[#This Row],[Qty]]*tblSales[[#This Row],[Unit Price]]</f>
        <v>540000</v>
      </c>
      <c r="L5891" s="5">
        <f>ROUND(tblSales[[#This Row],[DPP (excl. VAT)]]*VATEff,0)</f>
        <v>59400</v>
      </c>
      <c r="M5891" s="5">
        <f>tblSales[[#This Row],[DPP (excl. VAT)]]+tblSales[[#This Row],[Output VAT]]</f>
        <v>599400</v>
      </c>
      <c r="N5891" s="5">
        <f>tblSales[[#This Row],[Qty]]*_xlfn.XLOOKUP(tblSales[[#This Row],[Product Code]],tblProducts[Code],tblProducts[Unit Cost],0)</f>
        <v>288000</v>
      </c>
      <c r="O5891" s="4" t="s">
        <v>4865</v>
      </c>
      <c r="P5891" s="4" t="s">
        <v>4860</v>
      </c>
      <c r="Q5891" s="1" t="str">
        <f>_xlfn.XLOOKUP(tblSales[[#This Row],[Channel Code]],tblChannels[Channel Code],tblChannels[Channel Name],"")</f>
        <v>In-store</v>
      </c>
      <c r="R5891" s="1">
        <f>MONTH(tblSales[[#This Row],[Date]])</f>
        <v>12</v>
      </c>
    </row>
    <row r="5892" spans="2:18" x14ac:dyDescent="0.35">
      <c r="B5892" s="113">
        <v>46373</v>
      </c>
      <c r="C5892" s="4" t="s">
        <v>4034</v>
      </c>
      <c r="D5892" s="4" t="s">
        <v>4568</v>
      </c>
      <c r="E5892" s="1" t="str">
        <f>_xlfn.XLOOKUP(tblSales[[#This Row],[Customer ID]],tblCustomers[Customer ID],tblCustomers[Customer Name],"⚠ Unknown")</f>
        <v>Walk-in Customer</v>
      </c>
      <c r="F5892" s="4" t="s">
        <v>9</v>
      </c>
      <c r="G5892" s="1" t="str">
        <f>_xlfn.XLOOKUP(tblSales[[#This Row],[Product Code]],tblProducts[Code],tblProducts[Product / Service Name],"⚠ Unknown")</f>
        <v>Casual Shirt</v>
      </c>
      <c r="H5892" s="1" t="str">
        <f>_xlfn.XLOOKUP(tblSales[[#This Row],[Product Code]],tblProducts[Code],tblProducts[Category],"")</f>
        <v>Apparel &amp; Footwear</v>
      </c>
      <c r="I5892" s="4">
        <v>1</v>
      </c>
      <c r="J5892" s="5">
        <f>_xlfn.XLOOKUP(tblSales[[#This Row],[Product Code]],tblProducts[Code],tblProducts[Selling Price (excl. VAT)],0)</f>
        <v>120000</v>
      </c>
      <c r="K5892" s="5">
        <f>tblSales[[#This Row],[Qty]]*tblSales[[#This Row],[Unit Price]]</f>
        <v>120000</v>
      </c>
      <c r="L5892" s="5">
        <f>ROUND(tblSales[[#This Row],[DPP (excl. VAT)]]*VATEff,0)</f>
        <v>13200</v>
      </c>
      <c r="M5892" s="5">
        <f>tblSales[[#This Row],[DPP (excl. VAT)]]+tblSales[[#This Row],[Output VAT]]</f>
        <v>133200</v>
      </c>
      <c r="N5892" s="5">
        <f>tblSales[[#This Row],[Qty]]*_xlfn.XLOOKUP(tblSales[[#This Row],[Product Code]],tblProducts[Code],tblProducts[Unit Cost],0)</f>
        <v>72000</v>
      </c>
      <c r="O5892" s="4" t="s">
        <v>4865</v>
      </c>
      <c r="P5892" s="4" t="s">
        <v>4860</v>
      </c>
      <c r="Q5892" s="1" t="str">
        <f>_xlfn.XLOOKUP(tblSales[[#This Row],[Channel Code]],tblChannels[Channel Code],tblChannels[Channel Name],"")</f>
        <v>In-store</v>
      </c>
      <c r="R5892" s="1">
        <f>MONTH(tblSales[[#This Row],[Date]])</f>
        <v>12</v>
      </c>
    </row>
    <row r="5893" spans="2:18" x14ac:dyDescent="0.35">
      <c r="B5893" s="113">
        <v>46373</v>
      </c>
      <c r="C5893" s="4" t="s">
        <v>4035</v>
      </c>
      <c r="D5893" s="4" t="s">
        <v>4568</v>
      </c>
      <c r="E5893" s="1" t="str">
        <f>_xlfn.XLOOKUP(tblSales[[#This Row],[Customer ID]],tblCustomers[Customer ID],tblCustomers[Customer Name],"⚠ Unknown")</f>
        <v>Walk-in Customer</v>
      </c>
      <c r="F5893" s="4" t="s">
        <v>7</v>
      </c>
      <c r="G5893" s="1" t="str">
        <f>_xlfn.XLOOKUP(tblSales[[#This Row],[Product Code]],tblProducts[Code],tblProducts[Product / Service Name],"⚠ Unknown")</f>
        <v>Premium Basic T-shirt</v>
      </c>
      <c r="H5893" s="1" t="str">
        <f>_xlfn.XLOOKUP(tblSales[[#This Row],[Product Code]],tblProducts[Code],tblProducts[Category],"")</f>
        <v>Accessories &amp; Basics</v>
      </c>
      <c r="I5893" s="4">
        <v>2</v>
      </c>
      <c r="J5893" s="5">
        <f>_xlfn.XLOOKUP(tblSales[[#This Row],[Product Code]],tblProducts[Code],tblProducts[Selling Price (excl. VAT)],0)</f>
        <v>65000</v>
      </c>
      <c r="K5893" s="5">
        <f>tblSales[[#This Row],[Qty]]*tblSales[[#This Row],[Unit Price]]</f>
        <v>130000</v>
      </c>
      <c r="L5893" s="5">
        <f>ROUND(tblSales[[#This Row],[DPP (excl. VAT)]]*VATEff,0)</f>
        <v>14300</v>
      </c>
      <c r="M5893" s="5">
        <f>tblSales[[#This Row],[DPP (excl. VAT)]]+tblSales[[#This Row],[Output VAT]]</f>
        <v>144300</v>
      </c>
      <c r="N5893" s="5">
        <f>tblSales[[#This Row],[Qty]]*_xlfn.XLOOKUP(tblSales[[#This Row],[Product Code]],tblProducts[Code],tblProducts[Unit Cost],0)</f>
        <v>74000</v>
      </c>
      <c r="O5893" s="4" t="s">
        <v>4866</v>
      </c>
      <c r="P5893" s="4" t="s">
        <v>4861</v>
      </c>
      <c r="Q5893" s="1" t="str">
        <f>_xlfn.XLOOKUP(tblSales[[#This Row],[Channel Code]],tblChannels[Channel Code],tblChannels[Channel Name],"")</f>
        <v>Marketplace</v>
      </c>
      <c r="R5893" s="1">
        <f>MONTH(tblSales[[#This Row],[Date]])</f>
        <v>12</v>
      </c>
    </row>
    <row r="5894" spans="2:18" x14ac:dyDescent="0.35">
      <c r="B5894" s="113">
        <v>46373</v>
      </c>
      <c r="C5894" s="4" t="s">
        <v>4036</v>
      </c>
      <c r="D5894" s="4" t="s">
        <v>4568</v>
      </c>
      <c r="E5894" s="1" t="str">
        <f>_xlfn.XLOOKUP(tblSales[[#This Row],[Customer ID]],tblCustomers[Customer ID],tblCustomers[Customer Name],"⚠ Unknown")</f>
        <v>Walk-in Customer</v>
      </c>
      <c r="F5894" s="4" t="s">
        <v>10</v>
      </c>
      <c r="G5894" s="1" t="str">
        <f>_xlfn.XLOOKUP(tblSales[[#This Row],[Product Code]],tblProducts[Code],tblProducts[Product / Service Name],"⚠ Unknown")</f>
        <v>Chino Pants</v>
      </c>
      <c r="H5894" s="1" t="str">
        <f>_xlfn.XLOOKUP(tblSales[[#This Row],[Product Code]],tblProducts[Code],tblProducts[Category],"")</f>
        <v>Apparel &amp; Footwear</v>
      </c>
      <c r="I5894" s="4">
        <v>5</v>
      </c>
      <c r="J5894" s="5">
        <f>_xlfn.XLOOKUP(tblSales[[#This Row],[Product Code]],tblProducts[Code],tblProducts[Selling Price (excl. VAT)],0)</f>
        <v>150000</v>
      </c>
      <c r="K5894" s="5">
        <f>tblSales[[#This Row],[Qty]]*tblSales[[#This Row],[Unit Price]]</f>
        <v>750000</v>
      </c>
      <c r="L5894" s="5">
        <f>ROUND(tblSales[[#This Row],[DPP (excl. VAT)]]*VATEff,0)</f>
        <v>82500</v>
      </c>
      <c r="M5894" s="5">
        <f>tblSales[[#This Row],[DPP (excl. VAT)]]+tblSales[[#This Row],[Output VAT]]</f>
        <v>832500</v>
      </c>
      <c r="N5894" s="5">
        <f>tblSales[[#This Row],[Qty]]*_xlfn.XLOOKUP(tblSales[[#This Row],[Product Code]],tblProducts[Code],tblProducts[Unit Cost],0)</f>
        <v>440000</v>
      </c>
      <c r="O5894" s="4" t="s">
        <v>4866</v>
      </c>
      <c r="P5894" s="4" t="s">
        <v>4860</v>
      </c>
      <c r="Q5894" s="1" t="str">
        <f>_xlfn.XLOOKUP(tblSales[[#This Row],[Channel Code]],tblChannels[Channel Code],tblChannels[Channel Name],"")</f>
        <v>In-store</v>
      </c>
      <c r="R5894" s="1">
        <f>MONTH(tblSales[[#This Row],[Date]])</f>
        <v>12</v>
      </c>
    </row>
    <row r="5895" spans="2:18" x14ac:dyDescent="0.35">
      <c r="B5895" s="113">
        <v>46373</v>
      </c>
      <c r="C5895" s="4" t="s">
        <v>4037</v>
      </c>
      <c r="D5895" s="4" t="s">
        <v>4568</v>
      </c>
      <c r="E5895" s="1" t="str">
        <f>_xlfn.XLOOKUP(tblSales[[#This Row],[Customer ID]],tblCustomers[Customer ID],tblCustomers[Customer Name],"⚠ Unknown")</f>
        <v>Walk-in Customer</v>
      </c>
      <c r="F5895" s="4" t="s">
        <v>15</v>
      </c>
      <c r="G5895" s="1" t="str">
        <f>_xlfn.XLOOKUP(tblSales[[#This Row],[Product Code]],tblProducts[Code],tblProducts[Product / Service Name],"⚠ Unknown")</f>
        <v>Wireless Earbuds Pro</v>
      </c>
      <c r="H5895" s="1" t="str">
        <f>_xlfn.XLOOKUP(tblSales[[#This Row],[Product Code]],tblProducts[Code],tblProducts[Category],"")</f>
        <v>Bags &amp; Gadgets</v>
      </c>
      <c r="I5895" s="4">
        <v>2</v>
      </c>
      <c r="J5895" s="5">
        <f>_xlfn.XLOOKUP(tblSales[[#This Row],[Product Code]],tblProducts[Code],tblProducts[Selling Price (excl. VAT)],0)</f>
        <v>1250000</v>
      </c>
      <c r="K5895" s="5">
        <f>tblSales[[#This Row],[Qty]]*tblSales[[#This Row],[Unit Price]]</f>
        <v>2500000</v>
      </c>
      <c r="L5895" s="5">
        <f>ROUND(tblSales[[#This Row],[DPP (excl. VAT)]]*VATEff,0)</f>
        <v>275000</v>
      </c>
      <c r="M5895" s="5">
        <f>tblSales[[#This Row],[DPP (excl. VAT)]]+tblSales[[#This Row],[Output VAT]]</f>
        <v>2775000</v>
      </c>
      <c r="N5895" s="5">
        <f>tblSales[[#This Row],[Qty]]*_xlfn.XLOOKUP(tblSales[[#This Row],[Product Code]],tblProducts[Code],tblProducts[Unit Cost],0)</f>
        <v>1640000</v>
      </c>
      <c r="O5895" s="4" t="s">
        <v>4866</v>
      </c>
      <c r="P5895" s="4" t="s">
        <v>4862</v>
      </c>
      <c r="Q5895" s="1" t="str">
        <f>_xlfn.XLOOKUP(tblSales[[#This Row],[Channel Code]],tblChannels[Channel Code],tblChannels[Channel Name],"")</f>
        <v>Website &amp; Social Media</v>
      </c>
      <c r="R5895" s="1">
        <f>MONTH(tblSales[[#This Row],[Date]])</f>
        <v>12</v>
      </c>
    </row>
    <row r="5896" spans="2:18" x14ac:dyDescent="0.35">
      <c r="B5896" s="113">
        <v>46373</v>
      </c>
      <c r="C5896" s="4" t="s">
        <v>4037</v>
      </c>
      <c r="D5896" s="4" t="s">
        <v>4568</v>
      </c>
      <c r="E5896" s="1" t="str">
        <f>_xlfn.XLOOKUP(tblSales[[#This Row],[Customer ID]],tblCustomers[Customer ID],tblCustomers[Customer Name],"⚠ Unknown")</f>
        <v>Walk-in Customer</v>
      </c>
      <c r="F5896" s="4" t="s">
        <v>7</v>
      </c>
      <c r="G5896" s="1" t="str">
        <f>_xlfn.XLOOKUP(tblSales[[#This Row],[Product Code]],tblProducts[Code],tblProducts[Product / Service Name],"⚠ Unknown")</f>
        <v>Premium Basic T-shirt</v>
      </c>
      <c r="H5896" s="1" t="str">
        <f>_xlfn.XLOOKUP(tblSales[[#This Row],[Product Code]],tblProducts[Code],tblProducts[Category],"")</f>
        <v>Accessories &amp; Basics</v>
      </c>
      <c r="I5896" s="4">
        <v>1</v>
      </c>
      <c r="J5896" s="5">
        <f>_xlfn.XLOOKUP(tblSales[[#This Row],[Product Code]],tblProducts[Code],tblProducts[Selling Price (excl. VAT)],0)</f>
        <v>65000</v>
      </c>
      <c r="K5896" s="5">
        <f>tblSales[[#This Row],[Qty]]*tblSales[[#This Row],[Unit Price]]</f>
        <v>65000</v>
      </c>
      <c r="L5896" s="5">
        <f>ROUND(tblSales[[#This Row],[DPP (excl. VAT)]]*VATEff,0)</f>
        <v>7150</v>
      </c>
      <c r="M5896" s="5">
        <f>tblSales[[#This Row],[DPP (excl. VAT)]]+tblSales[[#This Row],[Output VAT]]</f>
        <v>72150</v>
      </c>
      <c r="N5896" s="5">
        <f>tblSales[[#This Row],[Qty]]*_xlfn.XLOOKUP(tblSales[[#This Row],[Product Code]],tblProducts[Code],tblProducts[Unit Cost],0)</f>
        <v>37000</v>
      </c>
      <c r="O5896" s="4" t="s">
        <v>4866</v>
      </c>
      <c r="P5896" s="4" t="s">
        <v>4862</v>
      </c>
      <c r="Q5896" s="1" t="str">
        <f>_xlfn.XLOOKUP(tblSales[[#This Row],[Channel Code]],tblChannels[Channel Code],tblChannels[Channel Name],"")</f>
        <v>Website &amp; Social Media</v>
      </c>
      <c r="R5896" s="1">
        <f>MONTH(tblSales[[#This Row],[Date]])</f>
        <v>12</v>
      </c>
    </row>
    <row r="5897" spans="2:18" x14ac:dyDescent="0.35">
      <c r="B5897" s="113">
        <v>46373</v>
      </c>
      <c r="C5897" s="4" t="s">
        <v>4037</v>
      </c>
      <c r="D5897" s="4" t="s">
        <v>4568</v>
      </c>
      <c r="E5897" s="1" t="str">
        <f>_xlfn.XLOOKUP(tblSales[[#This Row],[Customer ID]],tblCustomers[Customer ID],tblCustomers[Customer Name],"⚠ Unknown")</f>
        <v>Walk-in Customer</v>
      </c>
      <c r="F5897" s="4" t="s">
        <v>9</v>
      </c>
      <c r="G5897" s="1" t="str">
        <f>_xlfn.XLOOKUP(tblSales[[#This Row],[Product Code]],tblProducts[Code],tblProducts[Product / Service Name],"⚠ Unknown")</f>
        <v>Casual Shirt</v>
      </c>
      <c r="H5897" s="1" t="str">
        <f>_xlfn.XLOOKUP(tblSales[[#This Row],[Product Code]],tblProducts[Code],tblProducts[Category],"")</f>
        <v>Apparel &amp; Footwear</v>
      </c>
      <c r="I5897" s="4">
        <v>12</v>
      </c>
      <c r="J5897" s="5">
        <f>_xlfn.XLOOKUP(tblSales[[#This Row],[Product Code]],tblProducts[Code],tblProducts[Selling Price (excl. VAT)],0)</f>
        <v>120000</v>
      </c>
      <c r="K5897" s="5">
        <f>tblSales[[#This Row],[Qty]]*tblSales[[#This Row],[Unit Price]]</f>
        <v>1440000</v>
      </c>
      <c r="L5897" s="5">
        <f>ROUND(tblSales[[#This Row],[DPP (excl. VAT)]]*VATEff,0)</f>
        <v>158400</v>
      </c>
      <c r="M5897" s="5">
        <f>tblSales[[#This Row],[DPP (excl. VAT)]]+tblSales[[#This Row],[Output VAT]]</f>
        <v>1598400</v>
      </c>
      <c r="N5897" s="5">
        <f>tblSales[[#This Row],[Qty]]*_xlfn.XLOOKUP(tblSales[[#This Row],[Product Code]],tblProducts[Code],tblProducts[Unit Cost],0)</f>
        <v>864000</v>
      </c>
      <c r="O5897" s="4" t="s">
        <v>4866</v>
      </c>
      <c r="P5897" s="4" t="s">
        <v>4862</v>
      </c>
      <c r="Q5897" s="1" t="str">
        <f>_xlfn.XLOOKUP(tblSales[[#This Row],[Channel Code]],tblChannels[Channel Code],tblChannels[Channel Name],"")</f>
        <v>Website &amp; Social Media</v>
      </c>
      <c r="R5897" s="1">
        <f>MONTH(tblSales[[#This Row],[Date]])</f>
        <v>12</v>
      </c>
    </row>
    <row r="5898" spans="2:18" x14ac:dyDescent="0.35">
      <c r="B5898" s="113">
        <v>46373</v>
      </c>
      <c r="C5898" s="4" t="s">
        <v>4038</v>
      </c>
      <c r="D5898" s="4" t="s">
        <v>4568</v>
      </c>
      <c r="E5898" s="1" t="str">
        <f>_xlfn.XLOOKUP(tblSales[[#This Row],[Customer ID]],tblCustomers[Customer ID],tblCustomers[Customer Name],"⚠ Unknown")</f>
        <v>Walk-in Customer</v>
      </c>
      <c r="F5898" s="4" t="s">
        <v>13</v>
      </c>
      <c r="G5898" s="1" t="str">
        <f>_xlfn.XLOOKUP(tblSales[[#This Row],[Product Code]],tblProducts[Code],tblProducts[Product / Service Name],"⚠ Unknown")</f>
        <v>Backpack</v>
      </c>
      <c r="H5898" s="1" t="str">
        <f>_xlfn.XLOOKUP(tblSales[[#This Row],[Product Code]],tblProducts[Code],tblProducts[Category],"")</f>
        <v>Bags &amp; Gadgets</v>
      </c>
      <c r="I5898" s="4">
        <v>5</v>
      </c>
      <c r="J5898" s="5">
        <f>_xlfn.XLOOKUP(tblSales[[#This Row],[Product Code]],tblProducts[Code],tblProducts[Selling Price (excl. VAT)],0)</f>
        <v>500000</v>
      </c>
      <c r="K5898" s="5">
        <f>tblSales[[#This Row],[Qty]]*tblSales[[#This Row],[Unit Price]]</f>
        <v>2500000</v>
      </c>
      <c r="L5898" s="5">
        <f>ROUND(tblSales[[#This Row],[DPP (excl. VAT)]]*VATEff,0)</f>
        <v>275000</v>
      </c>
      <c r="M5898" s="5">
        <f>tblSales[[#This Row],[DPP (excl. VAT)]]+tblSales[[#This Row],[Output VAT]]</f>
        <v>2775000</v>
      </c>
      <c r="N5898" s="5">
        <f>tblSales[[#This Row],[Qty]]*_xlfn.XLOOKUP(tblSales[[#This Row],[Product Code]],tblProducts[Code],tblProducts[Unit Cost],0)</f>
        <v>1450000</v>
      </c>
      <c r="O5898" s="4" t="s">
        <v>4866</v>
      </c>
      <c r="P5898" s="4" t="s">
        <v>4861</v>
      </c>
      <c r="Q5898" s="1" t="str">
        <f>_xlfn.XLOOKUP(tblSales[[#This Row],[Channel Code]],tblChannels[Channel Code],tblChannels[Channel Name],"")</f>
        <v>Marketplace</v>
      </c>
      <c r="R5898" s="1">
        <f>MONTH(tblSales[[#This Row],[Date]])</f>
        <v>12</v>
      </c>
    </row>
    <row r="5899" spans="2:18" x14ac:dyDescent="0.35">
      <c r="B5899" s="113">
        <v>46373</v>
      </c>
      <c r="C5899" s="4" t="s">
        <v>4038</v>
      </c>
      <c r="D5899" s="4" t="s">
        <v>4568</v>
      </c>
      <c r="E5899" s="1" t="str">
        <f>_xlfn.XLOOKUP(tblSales[[#This Row],[Customer ID]],tblCustomers[Customer ID],tblCustomers[Customer Name],"⚠ Unknown")</f>
        <v>Walk-in Customer</v>
      </c>
      <c r="F5899" s="4" t="s">
        <v>9</v>
      </c>
      <c r="G5899" s="1" t="str">
        <f>_xlfn.XLOOKUP(tblSales[[#This Row],[Product Code]],tblProducts[Code],tblProducts[Product / Service Name],"⚠ Unknown")</f>
        <v>Casual Shirt</v>
      </c>
      <c r="H5899" s="1" t="str">
        <f>_xlfn.XLOOKUP(tblSales[[#This Row],[Product Code]],tblProducts[Code],tblProducts[Category],"")</f>
        <v>Apparel &amp; Footwear</v>
      </c>
      <c r="I5899" s="4">
        <v>9</v>
      </c>
      <c r="J5899" s="5">
        <f>_xlfn.XLOOKUP(tblSales[[#This Row],[Product Code]],tblProducts[Code],tblProducts[Selling Price (excl. VAT)],0)</f>
        <v>120000</v>
      </c>
      <c r="K5899" s="5">
        <f>tblSales[[#This Row],[Qty]]*tblSales[[#This Row],[Unit Price]]</f>
        <v>1080000</v>
      </c>
      <c r="L5899" s="5">
        <f>ROUND(tblSales[[#This Row],[DPP (excl. VAT)]]*VATEff,0)</f>
        <v>118800</v>
      </c>
      <c r="M5899" s="5">
        <f>tblSales[[#This Row],[DPP (excl. VAT)]]+tblSales[[#This Row],[Output VAT]]</f>
        <v>1198800</v>
      </c>
      <c r="N5899" s="5">
        <f>tblSales[[#This Row],[Qty]]*_xlfn.XLOOKUP(tblSales[[#This Row],[Product Code]],tblProducts[Code],tblProducts[Unit Cost],0)</f>
        <v>648000</v>
      </c>
      <c r="O5899" s="4" t="s">
        <v>4866</v>
      </c>
      <c r="P5899" s="4" t="s">
        <v>4861</v>
      </c>
      <c r="Q5899" s="1" t="str">
        <f>_xlfn.XLOOKUP(tblSales[[#This Row],[Channel Code]],tblChannels[Channel Code],tblChannels[Channel Name],"")</f>
        <v>Marketplace</v>
      </c>
      <c r="R5899" s="1">
        <f>MONTH(tblSales[[#This Row],[Date]])</f>
        <v>12</v>
      </c>
    </row>
    <row r="5900" spans="2:18" x14ac:dyDescent="0.35">
      <c r="B5900" s="113">
        <v>46373</v>
      </c>
      <c r="C5900" s="4" t="s">
        <v>4039</v>
      </c>
      <c r="D5900" s="4" t="s">
        <v>4606</v>
      </c>
      <c r="E5900" s="1" t="str">
        <f>_xlfn.XLOOKUP(tblSales[[#This Row],[Customer ID]],tblCustomers[Customer ID],tblCustomers[Customer Name],"⚠ Unknown")</f>
        <v>PT Arunika Digital Kreatif</v>
      </c>
      <c r="F5900" s="4" t="s">
        <v>11</v>
      </c>
      <c r="G5900" s="1" t="str">
        <f>_xlfn.XLOOKUP(tblSales[[#This Row],[Product Code]],tblProducts[Code],tblProducts[Product / Service Name],"⚠ Unknown")</f>
        <v>Sneakers</v>
      </c>
      <c r="H5900" s="1" t="str">
        <f>_xlfn.XLOOKUP(tblSales[[#This Row],[Product Code]],tblProducts[Code],tblProducts[Category],"")</f>
        <v>Apparel &amp; Footwear</v>
      </c>
      <c r="I5900" s="4">
        <v>48</v>
      </c>
      <c r="J5900" s="5">
        <f>_xlfn.XLOOKUP(tblSales[[#This Row],[Product Code]],tblProducts[Code],tblProducts[Selling Price (excl. VAT)],0)</f>
        <v>250000</v>
      </c>
      <c r="K5900" s="5">
        <f>tblSales[[#This Row],[Qty]]*tblSales[[#This Row],[Unit Price]]</f>
        <v>12000000</v>
      </c>
      <c r="L5900" s="5">
        <f>ROUND(tblSales[[#This Row],[DPP (excl. VAT)]]*VATEff,0)</f>
        <v>1320000</v>
      </c>
      <c r="M5900" s="5">
        <f>tblSales[[#This Row],[DPP (excl. VAT)]]+tblSales[[#This Row],[Output VAT]]</f>
        <v>13320000</v>
      </c>
      <c r="N5900" s="5">
        <f>tblSales[[#This Row],[Qty]]*_xlfn.XLOOKUP(tblSales[[#This Row],[Product Code]],tblProducts[Code],tblProducts[Unit Cost],0)</f>
        <v>7440000</v>
      </c>
      <c r="O5900" s="4" t="s">
        <v>4867</v>
      </c>
      <c r="P5900" s="4" t="s">
        <v>4860</v>
      </c>
      <c r="Q5900" s="1" t="str">
        <f>_xlfn.XLOOKUP(tblSales[[#This Row],[Channel Code]],tblChannels[Channel Code],tblChannels[Channel Name],"")</f>
        <v>In-store</v>
      </c>
      <c r="R5900" s="1">
        <f>MONTH(tblSales[[#This Row],[Date]])</f>
        <v>12</v>
      </c>
    </row>
    <row r="5901" spans="2:18" x14ac:dyDescent="0.35">
      <c r="B5901" s="113">
        <v>46373</v>
      </c>
      <c r="C5901" s="4" t="s">
        <v>4040</v>
      </c>
      <c r="D5901" s="4" t="s">
        <v>4568</v>
      </c>
      <c r="E5901" s="1" t="str">
        <f>_xlfn.XLOOKUP(tblSales[[#This Row],[Customer ID]],tblCustomers[Customer ID],tblCustomers[Customer Name],"⚠ Unknown")</f>
        <v>Walk-in Customer</v>
      </c>
      <c r="F5901" s="4" t="s">
        <v>6</v>
      </c>
      <c r="G5901" s="1" t="str">
        <f>_xlfn.XLOOKUP(tblSales[[#This Row],[Product Code]],tblProducts[Code],tblProducts[Product / Service Name],"⚠ Unknown")</f>
        <v>Socks &amp; Accessories</v>
      </c>
      <c r="H5901" s="1" t="str">
        <f>_xlfn.XLOOKUP(tblSales[[#This Row],[Product Code]],tblProducts[Code],tblProducts[Category],"")</f>
        <v>Accessories &amp; Basics</v>
      </c>
      <c r="I5901" s="4">
        <v>6</v>
      </c>
      <c r="J5901" s="5">
        <f>_xlfn.XLOOKUP(tblSales[[#This Row],[Product Code]],tblProducts[Code],tblProducts[Selling Price (excl. VAT)],0)</f>
        <v>45000</v>
      </c>
      <c r="K5901" s="5">
        <f>tblSales[[#This Row],[Qty]]*tblSales[[#This Row],[Unit Price]]</f>
        <v>270000</v>
      </c>
      <c r="L5901" s="5">
        <f>ROUND(tblSales[[#This Row],[DPP (excl. VAT)]]*VATEff,0)</f>
        <v>29700</v>
      </c>
      <c r="M5901" s="5">
        <f>tblSales[[#This Row],[DPP (excl. VAT)]]+tblSales[[#This Row],[Output VAT]]</f>
        <v>299700</v>
      </c>
      <c r="N5901" s="5">
        <f>tblSales[[#This Row],[Qty]]*_xlfn.XLOOKUP(tblSales[[#This Row],[Product Code]],tblProducts[Code],tblProducts[Unit Cost],0)</f>
        <v>144000</v>
      </c>
      <c r="O5901" s="4" t="s">
        <v>4866</v>
      </c>
      <c r="P5901" s="4" t="s">
        <v>4862</v>
      </c>
      <c r="Q5901" s="1" t="str">
        <f>_xlfn.XLOOKUP(tblSales[[#This Row],[Channel Code]],tblChannels[Channel Code],tblChannels[Channel Name],"")</f>
        <v>Website &amp; Social Media</v>
      </c>
      <c r="R5901" s="1">
        <f>MONTH(tblSales[[#This Row],[Date]])</f>
        <v>12</v>
      </c>
    </row>
    <row r="5902" spans="2:18" x14ac:dyDescent="0.35">
      <c r="B5902" s="113">
        <v>46373</v>
      </c>
      <c r="C5902" s="4" t="s">
        <v>4040</v>
      </c>
      <c r="D5902" s="4" t="s">
        <v>4568</v>
      </c>
      <c r="E5902" s="1" t="str">
        <f>_xlfn.XLOOKUP(tblSales[[#This Row],[Customer ID]],tblCustomers[Customer ID],tblCustomers[Customer Name],"⚠ Unknown")</f>
        <v>Walk-in Customer</v>
      </c>
      <c r="F5902" s="4" t="s">
        <v>14</v>
      </c>
      <c r="G5902" s="1" t="str">
        <f>_xlfn.XLOOKUP(tblSales[[#This Row],[Product Code]],tblProducts[Code],tblProducts[Product / Service Name],"⚠ Unknown")</f>
        <v>Smartwatch</v>
      </c>
      <c r="H5902" s="1" t="str">
        <f>_xlfn.XLOOKUP(tblSales[[#This Row],[Product Code]],tblProducts[Code],tblProducts[Category],"")</f>
        <v>Bags &amp; Gadgets</v>
      </c>
      <c r="I5902" s="4">
        <v>2</v>
      </c>
      <c r="J5902" s="5">
        <f>_xlfn.XLOOKUP(tblSales[[#This Row],[Product Code]],tblProducts[Code],tblProducts[Selling Price (excl. VAT)],0)</f>
        <v>850000</v>
      </c>
      <c r="K5902" s="5">
        <f>tblSales[[#This Row],[Qty]]*tblSales[[#This Row],[Unit Price]]</f>
        <v>1700000</v>
      </c>
      <c r="L5902" s="5">
        <f>ROUND(tblSales[[#This Row],[DPP (excl. VAT)]]*VATEff,0)</f>
        <v>187000</v>
      </c>
      <c r="M5902" s="5">
        <f>tblSales[[#This Row],[DPP (excl. VAT)]]+tblSales[[#This Row],[Output VAT]]</f>
        <v>1887000</v>
      </c>
      <c r="N5902" s="5">
        <f>tblSales[[#This Row],[Qty]]*_xlfn.XLOOKUP(tblSales[[#This Row],[Product Code]],tblProducts[Code],tblProducts[Unit Cost],0)</f>
        <v>1120000</v>
      </c>
      <c r="O5902" s="4" t="s">
        <v>4866</v>
      </c>
      <c r="P5902" s="4" t="s">
        <v>4862</v>
      </c>
      <c r="Q5902" s="1" t="str">
        <f>_xlfn.XLOOKUP(tblSales[[#This Row],[Channel Code]],tblChannels[Channel Code],tblChannels[Channel Name],"")</f>
        <v>Website &amp; Social Media</v>
      </c>
      <c r="R5902" s="1">
        <f>MONTH(tblSales[[#This Row],[Date]])</f>
        <v>12</v>
      </c>
    </row>
    <row r="5903" spans="2:18" x14ac:dyDescent="0.35">
      <c r="B5903" s="113">
        <v>46373</v>
      </c>
      <c r="C5903" s="4" t="s">
        <v>4041</v>
      </c>
      <c r="D5903" s="4" t="s">
        <v>4568</v>
      </c>
      <c r="E5903" s="1" t="str">
        <f>_xlfn.XLOOKUP(tblSales[[#This Row],[Customer ID]],tblCustomers[Customer ID],tblCustomers[Customer Name],"⚠ Unknown")</f>
        <v>Walk-in Customer</v>
      </c>
      <c r="F5903" s="4" t="s">
        <v>10</v>
      </c>
      <c r="G5903" s="1" t="str">
        <f>_xlfn.XLOOKUP(tblSales[[#This Row],[Product Code]],tblProducts[Code],tblProducts[Product / Service Name],"⚠ Unknown")</f>
        <v>Chino Pants</v>
      </c>
      <c r="H5903" s="1" t="str">
        <f>_xlfn.XLOOKUP(tblSales[[#This Row],[Product Code]],tblProducts[Code],tblProducts[Category],"")</f>
        <v>Apparel &amp; Footwear</v>
      </c>
      <c r="I5903" s="4">
        <v>2</v>
      </c>
      <c r="J5903" s="5">
        <f>_xlfn.XLOOKUP(tblSales[[#This Row],[Product Code]],tblProducts[Code],tblProducts[Selling Price (excl. VAT)],0)</f>
        <v>150000</v>
      </c>
      <c r="K5903" s="5">
        <f>tblSales[[#This Row],[Qty]]*tblSales[[#This Row],[Unit Price]]</f>
        <v>300000</v>
      </c>
      <c r="L5903" s="5">
        <f>ROUND(tblSales[[#This Row],[DPP (excl. VAT)]]*VATEff,0)</f>
        <v>33000</v>
      </c>
      <c r="M5903" s="5">
        <f>tblSales[[#This Row],[DPP (excl. VAT)]]+tblSales[[#This Row],[Output VAT]]</f>
        <v>333000</v>
      </c>
      <c r="N5903" s="5">
        <f>tblSales[[#This Row],[Qty]]*_xlfn.XLOOKUP(tblSales[[#This Row],[Product Code]],tblProducts[Code],tblProducts[Unit Cost],0)</f>
        <v>176000</v>
      </c>
      <c r="O5903" s="4" t="s">
        <v>4865</v>
      </c>
      <c r="P5903" s="4" t="s">
        <v>4860</v>
      </c>
      <c r="Q5903" s="1" t="str">
        <f>_xlfn.XLOOKUP(tblSales[[#This Row],[Channel Code]],tblChannels[Channel Code],tblChannels[Channel Name],"")</f>
        <v>In-store</v>
      </c>
      <c r="R5903" s="1">
        <f>MONTH(tblSales[[#This Row],[Date]])</f>
        <v>12</v>
      </c>
    </row>
    <row r="5904" spans="2:18" x14ac:dyDescent="0.35">
      <c r="B5904" s="113">
        <v>46373</v>
      </c>
      <c r="C5904" s="4" t="s">
        <v>4042</v>
      </c>
      <c r="D5904" s="4" t="s">
        <v>4568</v>
      </c>
      <c r="E5904" s="1" t="str">
        <f>_xlfn.XLOOKUP(tblSales[[#This Row],[Customer ID]],tblCustomers[Customer ID],tblCustomers[Customer Name],"⚠ Unknown")</f>
        <v>Walk-in Customer</v>
      </c>
      <c r="F5904" s="4" t="s">
        <v>12</v>
      </c>
      <c r="G5904" s="1" t="str">
        <f>_xlfn.XLOOKUP(tblSales[[#This Row],[Product Code]],tblProducts[Code],tblProducts[Product / Service Name],"⚠ Unknown")</f>
        <v>Bomber Jacket</v>
      </c>
      <c r="H5904" s="1" t="str">
        <f>_xlfn.XLOOKUP(tblSales[[#This Row],[Product Code]],tblProducts[Code],tblProducts[Category],"")</f>
        <v>Apparel &amp; Footwear</v>
      </c>
      <c r="I5904" s="4">
        <v>3</v>
      </c>
      <c r="J5904" s="5">
        <f>_xlfn.XLOOKUP(tblSales[[#This Row],[Product Code]],tblProducts[Code],tblProducts[Selling Price (excl. VAT)],0)</f>
        <v>350000</v>
      </c>
      <c r="K5904" s="5">
        <f>tblSales[[#This Row],[Qty]]*tblSales[[#This Row],[Unit Price]]</f>
        <v>1050000</v>
      </c>
      <c r="L5904" s="5">
        <f>ROUND(tblSales[[#This Row],[DPP (excl. VAT)]]*VATEff,0)</f>
        <v>115500</v>
      </c>
      <c r="M5904" s="5">
        <f>tblSales[[#This Row],[DPP (excl. VAT)]]+tblSales[[#This Row],[Output VAT]]</f>
        <v>1165500</v>
      </c>
      <c r="N5904" s="5">
        <f>tblSales[[#This Row],[Qty]]*_xlfn.XLOOKUP(tblSales[[#This Row],[Product Code]],tblProducts[Code],tblProducts[Unit Cost],0)</f>
        <v>630000</v>
      </c>
      <c r="O5904" s="4" t="s">
        <v>4866</v>
      </c>
      <c r="P5904" s="4" t="s">
        <v>4861</v>
      </c>
      <c r="Q5904" s="1" t="str">
        <f>_xlfn.XLOOKUP(tblSales[[#This Row],[Channel Code]],tblChannels[Channel Code],tblChannels[Channel Name],"")</f>
        <v>Marketplace</v>
      </c>
      <c r="R5904" s="1">
        <f>MONTH(tblSales[[#This Row],[Date]])</f>
        <v>12</v>
      </c>
    </row>
    <row r="5905" spans="2:18" x14ac:dyDescent="0.35">
      <c r="B5905" s="113">
        <v>46374</v>
      </c>
      <c r="C5905" s="4" t="s">
        <v>4043</v>
      </c>
      <c r="D5905" s="4" t="s">
        <v>4568</v>
      </c>
      <c r="E5905" s="1" t="str">
        <f>_xlfn.XLOOKUP(tblSales[[#This Row],[Customer ID]],tblCustomers[Customer ID],tblCustomers[Customer Name],"⚠ Unknown")</f>
        <v>Walk-in Customer</v>
      </c>
      <c r="F5905" s="4" t="s">
        <v>14</v>
      </c>
      <c r="G5905" s="1" t="str">
        <f>_xlfn.XLOOKUP(tblSales[[#This Row],[Product Code]],tblProducts[Code],tblProducts[Product / Service Name],"⚠ Unknown")</f>
        <v>Smartwatch</v>
      </c>
      <c r="H5905" s="1" t="str">
        <f>_xlfn.XLOOKUP(tblSales[[#This Row],[Product Code]],tblProducts[Code],tblProducts[Category],"")</f>
        <v>Bags &amp; Gadgets</v>
      </c>
      <c r="I5905" s="4">
        <v>2</v>
      </c>
      <c r="J5905" s="5">
        <f>_xlfn.XLOOKUP(tblSales[[#This Row],[Product Code]],tblProducts[Code],tblProducts[Selling Price (excl. VAT)],0)</f>
        <v>850000</v>
      </c>
      <c r="K5905" s="5">
        <f>tblSales[[#This Row],[Qty]]*tblSales[[#This Row],[Unit Price]]</f>
        <v>1700000</v>
      </c>
      <c r="L5905" s="5">
        <f>ROUND(tblSales[[#This Row],[DPP (excl. VAT)]]*VATEff,0)</f>
        <v>187000</v>
      </c>
      <c r="M5905" s="5">
        <f>tblSales[[#This Row],[DPP (excl. VAT)]]+tblSales[[#This Row],[Output VAT]]</f>
        <v>1887000</v>
      </c>
      <c r="N5905" s="5">
        <f>tblSales[[#This Row],[Qty]]*_xlfn.XLOOKUP(tblSales[[#This Row],[Product Code]],tblProducts[Code],tblProducts[Unit Cost],0)</f>
        <v>1120000</v>
      </c>
      <c r="O5905" s="4" t="s">
        <v>4866</v>
      </c>
      <c r="P5905" s="4" t="s">
        <v>4861</v>
      </c>
      <c r="Q5905" s="1" t="str">
        <f>_xlfn.XLOOKUP(tblSales[[#This Row],[Channel Code]],tblChannels[Channel Code],tblChannels[Channel Name],"")</f>
        <v>Marketplace</v>
      </c>
      <c r="R5905" s="1">
        <f>MONTH(tblSales[[#This Row],[Date]])</f>
        <v>12</v>
      </c>
    </row>
    <row r="5906" spans="2:18" x14ac:dyDescent="0.35">
      <c r="B5906" s="113">
        <v>46374</v>
      </c>
      <c r="C5906" s="4" t="s">
        <v>4044</v>
      </c>
      <c r="D5906" s="4" t="s">
        <v>4568</v>
      </c>
      <c r="E5906" s="1" t="str">
        <f>_xlfn.XLOOKUP(tblSales[[#This Row],[Customer ID]],tblCustomers[Customer ID],tblCustomers[Customer Name],"⚠ Unknown")</f>
        <v>Walk-in Customer</v>
      </c>
      <c r="F5906" s="4" t="s">
        <v>6</v>
      </c>
      <c r="G5906" s="1" t="str">
        <f>_xlfn.XLOOKUP(tblSales[[#This Row],[Product Code]],tblProducts[Code],tblProducts[Product / Service Name],"⚠ Unknown")</f>
        <v>Socks &amp; Accessories</v>
      </c>
      <c r="H5906" s="1" t="str">
        <f>_xlfn.XLOOKUP(tblSales[[#This Row],[Product Code]],tblProducts[Code],tblProducts[Category],"")</f>
        <v>Accessories &amp; Basics</v>
      </c>
      <c r="I5906" s="4">
        <v>1</v>
      </c>
      <c r="J5906" s="5">
        <f>_xlfn.XLOOKUP(tblSales[[#This Row],[Product Code]],tblProducts[Code],tblProducts[Selling Price (excl. VAT)],0)</f>
        <v>45000</v>
      </c>
      <c r="K5906" s="5">
        <f>tblSales[[#This Row],[Qty]]*tblSales[[#This Row],[Unit Price]]</f>
        <v>45000</v>
      </c>
      <c r="L5906" s="5">
        <f>ROUND(tblSales[[#This Row],[DPP (excl. VAT)]]*VATEff,0)</f>
        <v>4950</v>
      </c>
      <c r="M5906" s="5">
        <f>tblSales[[#This Row],[DPP (excl. VAT)]]+tblSales[[#This Row],[Output VAT]]</f>
        <v>49950</v>
      </c>
      <c r="N5906" s="5">
        <f>tblSales[[#This Row],[Qty]]*_xlfn.XLOOKUP(tblSales[[#This Row],[Product Code]],tblProducts[Code],tblProducts[Unit Cost],0)</f>
        <v>24000</v>
      </c>
      <c r="O5906" s="4" t="s">
        <v>4866</v>
      </c>
      <c r="P5906" s="4" t="s">
        <v>4862</v>
      </c>
      <c r="Q5906" s="1" t="str">
        <f>_xlfn.XLOOKUP(tblSales[[#This Row],[Channel Code]],tblChannels[Channel Code],tblChannels[Channel Name],"")</f>
        <v>Website &amp; Social Media</v>
      </c>
      <c r="R5906" s="1">
        <f>MONTH(tblSales[[#This Row],[Date]])</f>
        <v>12</v>
      </c>
    </row>
    <row r="5907" spans="2:18" x14ac:dyDescent="0.35">
      <c r="B5907" s="113">
        <v>46374</v>
      </c>
      <c r="C5907" s="4" t="s">
        <v>4045</v>
      </c>
      <c r="D5907" s="4" t="s">
        <v>4568</v>
      </c>
      <c r="E5907" s="1" t="str">
        <f>_xlfn.XLOOKUP(tblSales[[#This Row],[Customer ID]],tblCustomers[Customer ID],tblCustomers[Customer Name],"⚠ Unknown")</f>
        <v>Walk-in Customer</v>
      </c>
      <c r="F5907" s="4" t="s">
        <v>7</v>
      </c>
      <c r="G5907" s="1" t="str">
        <f>_xlfn.XLOOKUP(tblSales[[#This Row],[Product Code]],tblProducts[Code],tblProducts[Product / Service Name],"⚠ Unknown")</f>
        <v>Premium Basic T-shirt</v>
      </c>
      <c r="H5907" s="1" t="str">
        <f>_xlfn.XLOOKUP(tblSales[[#This Row],[Product Code]],tblProducts[Code],tblProducts[Category],"")</f>
        <v>Accessories &amp; Basics</v>
      </c>
      <c r="I5907" s="4">
        <v>5</v>
      </c>
      <c r="J5907" s="5">
        <f>_xlfn.XLOOKUP(tblSales[[#This Row],[Product Code]],tblProducts[Code],tblProducts[Selling Price (excl. VAT)],0)</f>
        <v>65000</v>
      </c>
      <c r="K5907" s="5">
        <f>tblSales[[#This Row],[Qty]]*tblSales[[#This Row],[Unit Price]]</f>
        <v>325000</v>
      </c>
      <c r="L5907" s="5">
        <f>ROUND(tblSales[[#This Row],[DPP (excl. VAT)]]*VATEff,0)</f>
        <v>35750</v>
      </c>
      <c r="M5907" s="5">
        <f>tblSales[[#This Row],[DPP (excl. VAT)]]+tblSales[[#This Row],[Output VAT]]</f>
        <v>360750</v>
      </c>
      <c r="N5907" s="5">
        <f>tblSales[[#This Row],[Qty]]*_xlfn.XLOOKUP(tblSales[[#This Row],[Product Code]],tblProducts[Code],tblProducts[Unit Cost],0)</f>
        <v>185000</v>
      </c>
      <c r="O5907" s="4" t="s">
        <v>4866</v>
      </c>
      <c r="P5907" s="4" t="s">
        <v>4860</v>
      </c>
      <c r="Q5907" s="1" t="str">
        <f>_xlfn.XLOOKUP(tblSales[[#This Row],[Channel Code]],tblChannels[Channel Code],tblChannels[Channel Name],"")</f>
        <v>In-store</v>
      </c>
      <c r="R5907" s="1">
        <f>MONTH(tblSales[[#This Row],[Date]])</f>
        <v>12</v>
      </c>
    </row>
    <row r="5908" spans="2:18" x14ac:dyDescent="0.35">
      <c r="B5908" s="113">
        <v>46374</v>
      </c>
      <c r="C5908" s="4" t="s">
        <v>4046</v>
      </c>
      <c r="D5908" s="4" t="s">
        <v>4568</v>
      </c>
      <c r="E5908" s="1" t="str">
        <f>_xlfn.XLOOKUP(tblSales[[#This Row],[Customer ID]],tblCustomers[Customer ID],tblCustomers[Customer Name],"⚠ Unknown")</f>
        <v>Walk-in Customer</v>
      </c>
      <c r="F5908" s="4" t="s">
        <v>15</v>
      </c>
      <c r="G5908" s="1" t="str">
        <f>_xlfn.XLOOKUP(tblSales[[#This Row],[Product Code]],tblProducts[Code],tblProducts[Product / Service Name],"⚠ Unknown")</f>
        <v>Wireless Earbuds Pro</v>
      </c>
      <c r="H5908" s="1" t="str">
        <f>_xlfn.XLOOKUP(tblSales[[#This Row],[Product Code]],tblProducts[Code],tblProducts[Category],"")</f>
        <v>Bags &amp; Gadgets</v>
      </c>
      <c r="I5908" s="4">
        <v>1</v>
      </c>
      <c r="J5908" s="5">
        <f>_xlfn.XLOOKUP(tblSales[[#This Row],[Product Code]],tblProducts[Code],tblProducts[Selling Price (excl. VAT)],0)</f>
        <v>1250000</v>
      </c>
      <c r="K5908" s="5">
        <f>tblSales[[#This Row],[Qty]]*tblSales[[#This Row],[Unit Price]]</f>
        <v>1250000</v>
      </c>
      <c r="L5908" s="5">
        <f>ROUND(tblSales[[#This Row],[DPP (excl. VAT)]]*VATEff,0)</f>
        <v>137500</v>
      </c>
      <c r="M5908" s="5">
        <f>tblSales[[#This Row],[DPP (excl. VAT)]]+tblSales[[#This Row],[Output VAT]]</f>
        <v>1387500</v>
      </c>
      <c r="N5908" s="5">
        <f>tblSales[[#This Row],[Qty]]*_xlfn.XLOOKUP(tblSales[[#This Row],[Product Code]],tblProducts[Code],tblProducts[Unit Cost],0)</f>
        <v>820000</v>
      </c>
      <c r="O5908" s="4" t="s">
        <v>4865</v>
      </c>
      <c r="P5908" s="4" t="s">
        <v>4860</v>
      </c>
      <c r="Q5908" s="1" t="str">
        <f>_xlfn.XLOOKUP(tblSales[[#This Row],[Channel Code]],tblChannels[Channel Code],tblChannels[Channel Name],"")</f>
        <v>In-store</v>
      </c>
      <c r="R5908" s="1">
        <f>MONTH(tblSales[[#This Row],[Date]])</f>
        <v>12</v>
      </c>
    </row>
    <row r="5909" spans="2:18" x14ac:dyDescent="0.35">
      <c r="B5909" s="113">
        <v>46374</v>
      </c>
      <c r="C5909" s="4" t="s">
        <v>4046</v>
      </c>
      <c r="D5909" s="4" t="s">
        <v>4568</v>
      </c>
      <c r="E5909" s="1" t="str">
        <f>_xlfn.XLOOKUP(tblSales[[#This Row],[Customer ID]],tblCustomers[Customer ID],tblCustomers[Customer Name],"⚠ Unknown")</f>
        <v>Walk-in Customer</v>
      </c>
      <c r="F5909" s="4" t="s">
        <v>6</v>
      </c>
      <c r="G5909" s="1" t="str">
        <f>_xlfn.XLOOKUP(tblSales[[#This Row],[Product Code]],tblProducts[Code],tblProducts[Product / Service Name],"⚠ Unknown")</f>
        <v>Socks &amp; Accessories</v>
      </c>
      <c r="H5909" s="1" t="str">
        <f>_xlfn.XLOOKUP(tblSales[[#This Row],[Product Code]],tblProducts[Code],tblProducts[Category],"")</f>
        <v>Accessories &amp; Basics</v>
      </c>
      <c r="I5909" s="4">
        <v>3</v>
      </c>
      <c r="J5909" s="5">
        <f>_xlfn.XLOOKUP(tblSales[[#This Row],[Product Code]],tblProducts[Code],tblProducts[Selling Price (excl. VAT)],0)</f>
        <v>45000</v>
      </c>
      <c r="K5909" s="5">
        <f>tblSales[[#This Row],[Qty]]*tblSales[[#This Row],[Unit Price]]</f>
        <v>135000</v>
      </c>
      <c r="L5909" s="5">
        <f>ROUND(tblSales[[#This Row],[DPP (excl. VAT)]]*VATEff,0)</f>
        <v>14850</v>
      </c>
      <c r="M5909" s="5">
        <f>tblSales[[#This Row],[DPP (excl. VAT)]]+tblSales[[#This Row],[Output VAT]]</f>
        <v>149850</v>
      </c>
      <c r="N5909" s="5">
        <f>tblSales[[#This Row],[Qty]]*_xlfn.XLOOKUP(tblSales[[#This Row],[Product Code]],tblProducts[Code],tblProducts[Unit Cost],0)</f>
        <v>72000</v>
      </c>
      <c r="O5909" s="4" t="s">
        <v>4865</v>
      </c>
      <c r="P5909" s="4" t="s">
        <v>4860</v>
      </c>
      <c r="Q5909" s="1" t="str">
        <f>_xlfn.XLOOKUP(tblSales[[#This Row],[Channel Code]],tblChannels[Channel Code],tblChannels[Channel Name],"")</f>
        <v>In-store</v>
      </c>
      <c r="R5909" s="1">
        <f>MONTH(tblSales[[#This Row],[Date]])</f>
        <v>12</v>
      </c>
    </row>
    <row r="5910" spans="2:18" x14ac:dyDescent="0.35">
      <c r="B5910" s="113">
        <v>46374</v>
      </c>
      <c r="C5910" s="4" t="s">
        <v>4047</v>
      </c>
      <c r="D5910" s="4" t="s">
        <v>4568</v>
      </c>
      <c r="E5910" s="1" t="str">
        <f>_xlfn.XLOOKUP(tblSales[[#This Row],[Customer ID]],tblCustomers[Customer ID],tblCustomers[Customer Name],"⚠ Unknown")</f>
        <v>Walk-in Customer</v>
      </c>
      <c r="F5910" s="4" t="s">
        <v>7</v>
      </c>
      <c r="G5910" s="1" t="str">
        <f>_xlfn.XLOOKUP(tblSales[[#This Row],[Product Code]],tblProducts[Code],tblProducts[Product / Service Name],"⚠ Unknown")</f>
        <v>Premium Basic T-shirt</v>
      </c>
      <c r="H5910" s="1" t="str">
        <f>_xlfn.XLOOKUP(tblSales[[#This Row],[Product Code]],tblProducts[Code],tblProducts[Category],"")</f>
        <v>Accessories &amp; Basics</v>
      </c>
      <c r="I5910" s="4">
        <v>9</v>
      </c>
      <c r="J5910" s="5">
        <f>_xlfn.XLOOKUP(tblSales[[#This Row],[Product Code]],tblProducts[Code],tblProducts[Selling Price (excl. VAT)],0)</f>
        <v>65000</v>
      </c>
      <c r="K5910" s="5">
        <f>tblSales[[#This Row],[Qty]]*tblSales[[#This Row],[Unit Price]]</f>
        <v>585000</v>
      </c>
      <c r="L5910" s="5">
        <f>ROUND(tblSales[[#This Row],[DPP (excl. VAT)]]*VATEff,0)</f>
        <v>64350</v>
      </c>
      <c r="M5910" s="5">
        <f>tblSales[[#This Row],[DPP (excl. VAT)]]+tblSales[[#This Row],[Output VAT]]</f>
        <v>649350</v>
      </c>
      <c r="N5910" s="5">
        <f>tblSales[[#This Row],[Qty]]*_xlfn.XLOOKUP(tblSales[[#This Row],[Product Code]],tblProducts[Code],tblProducts[Unit Cost],0)</f>
        <v>333000</v>
      </c>
      <c r="O5910" s="4" t="s">
        <v>4866</v>
      </c>
      <c r="P5910" s="4" t="s">
        <v>4860</v>
      </c>
      <c r="Q5910" s="1" t="str">
        <f>_xlfn.XLOOKUP(tblSales[[#This Row],[Channel Code]],tblChannels[Channel Code],tblChannels[Channel Name],"")</f>
        <v>In-store</v>
      </c>
      <c r="R5910" s="1">
        <f>MONTH(tblSales[[#This Row],[Date]])</f>
        <v>12</v>
      </c>
    </row>
    <row r="5911" spans="2:18" x14ac:dyDescent="0.35">
      <c r="B5911" s="113">
        <v>46374</v>
      </c>
      <c r="C5911" s="4" t="s">
        <v>4047</v>
      </c>
      <c r="D5911" s="4" t="s">
        <v>4568</v>
      </c>
      <c r="E5911" s="1" t="str">
        <f>_xlfn.XLOOKUP(tblSales[[#This Row],[Customer ID]],tblCustomers[Customer ID],tblCustomers[Customer Name],"⚠ Unknown")</f>
        <v>Walk-in Customer</v>
      </c>
      <c r="F5911" s="4" t="s">
        <v>15</v>
      </c>
      <c r="G5911" s="1" t="str">
        <f>_xlfn.XLOOKUP(tblSales[[#This Row],[Product Code]],tblProducts[Code],tblProducts[Product / Service Name],"⚠ Unknown")</f>
        <v>Wireless Earbuds Pro</v>
      </c>
      <c r="H5911" s="1" t="str">
        <f>_xlfn.XLOOKUP(tblSales[[#This Row],[Product Code]],tblProducts[Code],tblProducts[Category],"")</f>
        <v>Bags &amp; Gadgets</v>
      </c>
      <c r="I5911" s="4">
        <v>1</v>
      </c>
      <c r="J5911" s="5">
        <f>_xlfn.XLOOKUP(tblSales[[#This Row],[Product Code]],tblProducts[Code],tblProducts[Selling Price (excl. VAT)],0)</f>
        <v>1250000</v>
      </c>
      <c r="K5911" s="5">
        <f>tblSales[[#This Row],[Qty]]*tblSales[[#This Row],[Unit Price]]</f>
        <v>1250000</v>
      </c>
      <c r="L5911" s="5">
        <f>ROUND(tblSales[[#This Row],[DPP (excl. VAT)]]*VATEff,0)</f>
        <v>137500</v>
      </c>
      <c r="M5911" s="5">
        <f>tblSales[[#This Row],[DPP (excl. VAT)]]+tblSales[[#This Row],[Output VAT]]</f>
        <v>1387500</v>
      </c>
      <c r="N5911" s="5">
        <f>tblSales[[#This Row],[Qty]]*_xlfn.XLOOKUP(tblSales[[#This Row],[Product Code]],tblProducts[Code],tblProducts[Unit Cost],0)</f>
        <v>820000</v>
      </c>
      <c r="O5911" s="4" t="s">
        <v>4866</v>
      </c>
      <c r="P5911" s="4" t="s">
        <v>4860</v>
      </c>
      <c r="Q5911" s="1" t="str">
        <f>_xlfn.XLOOKUP(tblSales[[#This Row],[Channel Code]],tblChannels[Channel Code],tblChannels[Channel Name],"")</f>
        <v>In-store</v>
      </c>
      <c r="R5911" s="1">
        <f>MONTH(tblSales[[#This Row],[Date]])</f>
        <v>12</v>
      </c>
    </row>
    <row r="5912" spans="2:18" x14ac:dyDescent="0.35">
      <c r="B5912" s="113">
        <v>46374</v>
      </c>
      <c r="C5912" s="4" t="s">
        <v>4048</v>
      </c>
      <c r="D5912" s="4" t="s">
        <v>4568</v>
      </c>
      <c r="E5912" s="1" t="str">
        <f>_xlfn.XLOOKUP(tblSales[[#This Row],[Customer ID]],tblCustomers[Customer ID],tblCustomers[Customer Name],"⚠ Unknown")</f>
        <v>Walk-in Customer</v>
      </c>
      <c r="F5912" s="4" t="s">
        <v>10</v>
      </c>
      <c r="G5912" s="1" t="str">
        <f>_xlfn.XLOOKUP(tblSales[[#This Row],[Product Code]],tblProducts[Code],tblProducts[Product / Service Name],"⚠ Unknown")</f>
        <v>Chino Pants</v>
      </c>
      <c r="H5912" s="1" t="str">
        <f>_xlfn.XLOOKUP(tblSales[[#This Row],[Product Code]],tblProducts[Code],tblProducts[Category],"")</f>
        <v>Apparel &amp; Footwear</v>
      </c>
      <c r="I5912" s="4">
        <v>12</v>
      </c>
      <c r="J5912" s="5">
        <f>_xlfn.XLOOKUP(tblSales[[#This Row],[Product Code]],tblProducts[Code],tblProducts[Selling Price (excl. VAT)],0)</f>
        <v>150000</v>
      </c>
      <c r="K5912" s="5">
        <f>tblSales[[#This Row],[Qty]]*tblSales[[#This Row],[Unit Price]]</f>
        <v>1800000</v>
      </c>
      <c r="L5912" s="5">
        <f>ROUND(tblSales[[#This Row],[DPP (excl. VAT)]]*VATEff,0)</f>
        <v>198000</v>
      </c>
      <c r="M5912" s="5">
        <f>tblSales[[#This Row],[DPP (excl. VAT)]]+tblSales[[#This Row],[Output VAT]]</f>
        <v>1998000</v>
      </c>
      <c r="N5912" s="5">
        <f>tblSales[[#This Row],[Qty]]*_xlfn.XLOOKUP(tblSales[[#This Row],[Product Code]],tblProducts[Code],tblProducts[Unit Cost],0)</f>
        <v>1056000</v>
      </c>
      <c r="O5912" s="4" t="s">
        <v>4866</v>
      </c>
      <c r="P5912" s="4" t="s">
        <v>4860</v>
      </c>
      <c r="Q5912" s="1" t="str">
        <f>_xlfn.XLOOKUP(tblSales[[#This Row],[Channel Code]],tblChannels[Channel Code],tblChannels[Channel Name],"")</f>
        <v>In-store</v>
      </c>
      <c r="R5912" s="1">
        <f>MONTH(tblSales[[#This Row],[Date]])</f>
        <v>12</v>
      </c>
    </row>
    <row r="5913" spans="2:18" x14ac:dyDescent="0.35">
      <c r="B5913" s="113">
        <v>46374</v>
      </c>
      <c r="C5913" s="4" t="s">
        <v>4048</v>
      </c>
      <c r="D5913" s="4" t="s">
        <v>4568</v>
      </c>
      <c r="E5913" s="1" t="str">
        <f>_xlfn.XLOOKUP(tblSales[[#This Row],[Customer ID]],tblCustomers[Customer ID],tblCustomers[Customer Name],"⚠ Unknown")</f>
        <v>Walk-in Customer</v>
      </c>
      <c r="F5913" s="4" t="s">
        <v>7</v>
      </c>
      <c r="G5913" s="1" t="str">
        <f>_xlfn.XLOOKUP(tblSales[[#This Row],[Product Code]],tblProducts[Code],tblProducts[Product / Service Name],"⚠ Unknown")</f>
        <v>Premium Basic T-shirt</v>
      </c>
      <c r="H5913" s="1" t="str">
        <f>_xlfn.XLOOKUP(tblSales[[#This Row],[Product Code]],tblProducts[Code],tblProducts[Category],"")</f>
        <v>Accessories &amp; Basics</v>
      </c>
      <c r="I5913" s="4">
        <v>2</v>
      </c>
      <c r="J5913" s="5">
        <f>_xlfn.XLOOKUP(tblSales[[#This Row],[Product Code]],tblProducts[Code],tblProducts[Selling Price (excl. VAT)],0)</f>
        <v>65000</v>
      </c>
      <c r="K5913" s="5">
        <f>tblSales[[#This Row],[Qty]]*tblSales[[#This Row],[Unit Price]]</f>
        <v>130000</v>
      </c>
      <c r="L5913" s="5">
        <f>ROUND(tblSales[[#This Row],[DPP (excl. VAT)]]*VATEff,0)</f>
        <v>14300</v>
      </c>
      <c r="M5913" s="5">
        <f>tblSales[[#This Row],[DPP (excl. VAT)]]+tblSales[[#This Row],[Output VAT]]</f>
        <v>144300</v>
      </c>
      <c r="N5913" s="5">
        <f>tblSales[[#This Row],[Qty]]*_xlfn.XLOOKUP(tblSales[[#This Row],[Product Code]],tblProducts[Code],tblProducts[Unit Cost],0)</f>
        <v>74000</v>
      </c>
      <c r="O5913" s="4" t="s">
        <v>4866</v>
      </c>
      <c r="P5913" s="4" t="s">
        <v>4860</v>
      </c>
      <c r="Q5913" s="1" t="str">
        <f>_xlfn.XLOOKUP(tblSales[[#This Row],[Channel Code]],tblChannels[Channel Code],tblChannels[Channel Name],"")</f>
        <v>In-store</v>
      </c>
      <c r="R5913" s="1">
        <f>MONTH(tblSales[[#This Row],[Date]])</f>
        <v>12</v>
      </c>
    </row>
    <row r="5914" spans="2:18" x14ac:dyDescent="0.35">
      <c r="B5914" s="113">
        <v>46374</v>
      </c>
      <c r="C5914" s="4" t="s">
        <v>4049</v>
      </c>
      <c r="D5914" s="4" t="s">
        <v>4593</v>
      </c>
      <c r="E5914" s="1" t="str">
        <f>_xlfn.XLOOKUP(tblSales[[#This Row],[Customer ID]],tblCustomers[Customer ID],tblCustomers[Customer Name],"⚠ Unknown")</f>
        <v>PT Graha Nusa Persada</v>
      </c>
      <c r="F5914" s="4" t="s">
        <v>7</v>
      </c>
      <c r="G5914" s="1" t="str">
        <f>_xlfn.XLOOKUP(tblSales[[#This Row],[Product Code]],tblProducts[Code],tblProducts[Product / Service Name],"⚠ Unknown")</f>
        <v>Premium Basic T-shirt</v>
      </c>
      <c r="H5914" s="1" t="str">
        <f>_xlfn.XLOOKUP(tblSales[[#This Row],[Product Code]],tblProducts[Code],tblProducts[Category],"")</f>
        <v>Accessories &amp; Basics</v>
      </c>
      <c r="I5914" s="4">
        <v>24</v>
      </c>
      <c r="J5914" s="5">
        <f>_xlfn.XLOOKUP(tblSales[[#This Row],[Product Code]],tblProducts[Code],tblProducts[Selling Price (excl. VAT)],0)</f>
        <v>65000</v>
      </c>
      <c r="K5914" s="5">
        <f>tblSales[[#This Row],[Qty]]*tblSales[[#This Row],[Unit Price]]</f>
        <v>1560000</v>
      </c>
      <c r="L5914" s="5">
        <f>ROUND(tblSales[[#This Row],[DPP (excl. VAT)]]*VATEff,0)</f>
        <v>171600</v>
      </c>
      <c r="M5914" s="5">
        <f>tblSales[[#This Row],[DPP (excl. VAT)]]+tblSales[[#This Row],[Output VAT]]</f>
        <v>1731600</v>
      </c>
      <c r="N5914" s="5">
        <f>tblSales[[#This Row],[Qty]]*_xlfn.XLOOKUP(tblSales[[#This Row],[Product Code]],tblProducts[Code],tblProducts[Unit Cost],0)</f>
        <v>888000</v>
      </c>
      <c r="O5914" s="4" t="s">
        <v>4867</v>
      </c>
      <c r="P5914" s="4" t="s">
        <v>4860</v>
      </c>
      <c r="Q5914" s="1" t="str">
        <f>_xlfn.XLOOKUP(tblSales[[#This Row],[Channel Code]],tblChannels[Channel Code],tblChannels[Channel Name],"")</f>
        <v>In-store</v>
      </c>
      <c r="R5914" s="1">
        <f>MONTH(tblSales[[#This Row],[Date]])</f>
        <v>12</v>
      </c>
    </row>
    <row r="5915" spans="2:18" x14ac:dyDescent="0.35">
      <c r="B5915" s="113">
        <v>46374</v>
      </c>
      <c r="C5915" s="4" t="s">
        <v>4050</v>
      </c>
      <c r="D5915" s="4" t="s">
        <v>4568</v>
      </c>
      <c r="E5915" s="1" t="str">
        <f>_xlfn.XLOOKUP(tblSales[[#This Row],[Customer ID]],tblCustomers[Customer ID],tblCustomers[Customer Name],"⚠ Unknown")</f>
        <v>Walk-in Customer</v>
      </c>
      <c r="F5915" s="4" t="s">
        <v>7</v>
      </c>
      <c r="G5915" s="1" t="str">
        <f>_xlfn.XLOOKUP(tblSales[[#This Row],[Product Code]],tblProducts[Code],tblProducts[Product / Service Name],"⚠ Unknown")</f>
        <v>Premium Basic T-shirt</v>
      </c>
      <c r="H5915" s="1" t="str">
        <f>_xlfn.XLOOKUP(tblSales[[#This Row],[Product Code]],tblProducts[Code],tblProducts[Category],"")</f>
        <v>Accessories &amp; Basics</v>
      </c>
      <c r="I5915" s="4">
        <v>9</v>
      </c>
      <c r="J5915" s="5">
        <f>_xlfn.XLOOKUP(tblSales[[#This Row],[Product Code]],tblProducts[Code],tblProducts[Selling Price (excl. VAT)],0)</f>
        <v>65000</v>
      </c>
      <c r="K5915" s="5">
        <f>tblSales[[#This Row],[Qty]]*tblSales[[#This Row],[Unit Price]]</f>
        <v>585000</v>
      </c>
      <c r="L5915" s="5">
        <f>ROUND(tblSales[[#This Row],[DPP (excl. VAT)]]*VATEff,0)</f>
        <v>64350</v>
      </c>
      <c r="M5915" s="5">
        <f>tblSales[[#This Row],[DPP (excl. VAT)]]+tblSales[[#This Row],[Output VAT]]</f>
        <v>649350</v>
      </c>
      <c r="N5915" s="5">
        <f>tblSales[[#This Row],[Qty]]*_xlfn.XLOOKUP(tblSales[[#This Row],[Product Code]],tblProducts[Code],tblProducts[Unit Cost],0)</f>
        <v>333000</v>
      </c>
      <c r="O5915" s="4" t="s">
        <v>4866</v>
      </c>
      <c r="P5915" s="4" t="s">
        <v>4861</v>
      </c>
      <c r="Q5915" s="1" t="str">
        <f>_xlfn.XLOOKUP(tblSales[[#This Row],[Channel Code]],tblChannels[Channel Code],tblChannels[Channel Name],"")</f>
        <v>Marketplace</v>
      </c>
      <c r="R5915" s="1">
        <f>MONTH(tblSales[[#This Row],[Date]])</f>
        <v>12</v>
      </c>
    </row>
    <row r="5916" spans="2:18" x14ac:dyDescent="0.35">
      <c r="B5916" s="113">
        <v>46374</v>
      </c>
      <c r="C5916" s="4" t="s">
        <v>4051</v>
      </c>
      <c r="D5916" s="4" t="s">
        <v>4568</v>
      </c>
      <c r="E5916" s="1" t="str">
        <f>_xlfn.XLOOKUP(tblSales[[#This Row],[Customer ID]],tblCustomers[Customer ID],tblCustomers[Customer Name],"⚠ Unknown")</f>
        <v>Walk-in Customer</v>
      </c>
      <c r="F5916" s="4" t="s">
        <v>6</v>
      </c>
      <c r="G5916" s="1" t="str">
        <f>_xlfn.XLOOKUP(tblSales[[#This Row],[Product Code]],tblProducts[Code],tblProducts[Product / Service Name],"⚠ Unknown")</f>
        <v>Socks &amp; Accessories</v>
      </c>
      <c r="H5916" s="1" t="str">
        <f>_xlfn.XLOOKUP(tblSales[[#This Row],[Product Code]],tblProducts[Code],tblProducts[Category],"")</f>
        <v>Accessories &amp; Basics</v>
      </c>
      <c r="I5916" s="4">
        <v>3</v>
      </c>
      <c r="J5916" s="5">
        <f>_xlfn.XLOOKUP(tblSales[[#This Row],[Product Code]],tblProducts[Code],tblProducts[Selling Price (excl. VAT)],0)</f>
        <v>45000</v>
      </c>
      <c r="K5916" s="5">
        <f>tblSales[[#This Row],[Qty]]*tblSales[[#This Row],[Unit Price]]</f>
        <v>135000</v>
      </c>
      <c r="L5916" s="5">
        <f>ROUND(tblSales[[#This Row],[DPP (excl. VAT)]]*VATEff,0)</f>
        <v>14850</v>
      </c>
      <c r="M5916" s="5">
        <f>tblSales[[#This Row],[DPP (excl. VAT)]]+tblSales[[#This Row],[Output VAT]]</f>
        <v>149850</v>
      </c>
      <c r="N5916" s="5">
        <f>tblSales[[#This Row],[Qty]]*_xlfn.XLOOKUP(tblSales[[#This Row],[Product Code]],tblProducts[Code],tblProducts[Unit Cost],0)</f>
        <v>72000</v>
      </c>
      <c r="O5916" s="4" t="s">
        <v>4865</v>
      </c>
      <c r="P5916" s="4" t="s">
        <v>4860</v>
      </c>
      <c r="Q5916" s="1" t="str">
        <f>_xlfn.XLOOKUP(tblSales[[#This Row],[Channel Code]],tblChannels[Channel Code],tblChannels[Channel Name],"")</f>
        <v>In-store</v>
      </c>
      <c r="R5916" s="1">
        <f>MONTH(tblSales[[#This Row],[Date]])</f>
        <v>12</v>
      </c>
    </row>
    <row r="5917" spans="2:18" x14ac:dyDescent="0.35">
      <c r="B5917" s="113">
        <v>46374</v>
      </c>
      <c r="C5917" s="4" t="s">
        <v>4052</v>
      </c>
      <c r="D5917" s="4" t="s">
        <v>4568</v>
      </c>
      <c r="E5917" s="1" t="str">
        <f>_xlfn.XLOOKUP(tblSales[[#This Row],[Customer ID]],tblCustomers[Customer ID],tblCustomers[Customer Name],"⚠ Unknown")</f>
        <v>Walk-in Customer</v>
      </c>
      <c r="F5917" s="4" t="s">
        <v>12</v>
      </c>
      <c r="G5917" s="1" t="str">
        <f>_xlfn.XLOOKUP(tblSales[[#This Row],[Product Code]],tblProducts[Code],tblProducts[Product / Service Name],"⚠ Unknown")</f>
        <v>Bomber Jacket</v>
      </c>
      <c r="H5917" s="1" t="str">
        <f>_xlfn.XLOOKUP(tblSales[[#This Row],[Product Code]],tblProducts[Code],tblProducts[Category],"")</f>
        <v>Apparel &amp; Footwear</v>
      </c>
      <c r="I5917" s="4">
        <v>6</v>
      </c>
      <c r="J5917" s="5">
        <f>_xlfn.XLOOKUP(tblSales[[#This Row],[Product Code]],tblProducts[Code],tblProducts[Selling Price (excl. VAT)],0)</f>
        <v>350000</v>
      </c>
      <c r="K5917" s="5">
        <f>tblSales[[#This Row],[Qty]]*tblSales[[#This Row],[Unit Price]]</f>
        <v>2100000</v>
      </c>
      <c r="L5917" s="5">
        <f>ROUND(tblSales[[#This Row],[DPP (excl. VAT)]]*VATEff,0)</f>
        <v>231000</v>
      </c>
      <c r="M5917" s="5">
        <f>tblSales[[#This Row],[DPP (excl. VAT)]]+tblSales[[#This Row],[Output VAT]]</f>
        <v>2331000</v>
      </c>
      <c r="N5917" s="5">
        <f>tblSales[[#This Row],[Qty]]*_xlfn.XLOOKUP(tblSales[[#This Row],[Product Code]],tblProducts[Code],tblProducts[Unit Cost],0)</f>
        <v>1260000</v>
      </c>
      <c r="O5917" s="4" t="s">
        <v>4866</v>
      </c>
      <c r="P5917" s="4" t="s">
        <v>4862</v>
      </c>
      <c r="Q5917" s="1" t="str">
        <f>_xlfn.XLOOKUP(tblSales[[#This Row],[Channel Code]],tblChannels[Channel Code],tblChannels[Channel Name],"")</f>
        <v>Website &amp; Social Media</v>
      </c>
      <c r="R5917" s="1">
        <f>MONTH(tblSales[[#This Row],[Date]])</f>
        <v>12</v>
      </c>
    </row>
    <row r="5918" spans="2:18" x14ac:dyDescent="0.35">
      <c r="B5918" s="113">
        <v>46374</v>
      </c>
      <c r="C5918" s="4" t="s">
        <v>4053</v>
      </c>
      <c r="D5918" s="4" t="s">
        <v>4568</v>
      </c>
      <c r="E5918" s="1" t="str">
        <f>_xlfn.XLOOKUP(tblSales[[#This Row],[Customer ID]],tblCustomers[Customer ID],tblCustomers[Customer Name],"⚠ Unknown")</f>
        <v>Walk-in Customer</v>
      </c>
      <c r="F5918" s="4" t="s">
        <v>8</v>
      </c>
      <c r="G5918" s="1" t="str">
        <f>_xlfn.XLOOKUP(tblSales[[#This Row],[Product Code]],tblProducts[Code],tblProducts[Product / Service Name],"⚠ Unknown")</f>
        <v>Casual Shorts</v>
      </c>
      <c r="H5918" s="1" t="str">
        <f>_xlfn.XLOOKUP(tblSales[[#This Row],[Product Code]],tblProducts[Code],tblProducts[Category],"")</f>
        <v>Accessories &amp; Basics</v>
      </c>
      <c r="I5918" s="4">
        <v>7</v>
      </c>
      <c r="J5918" s="5">
        <f>_xlfn.XLOOKUP(tblSales[[#This Row],[Product Code]],tblProducts[Code],tblProducts[Selling Price (excl. VAT)],0)</f>
        <v>85000</v>
      </c>
      <c r="K5918" s="5">
        <f>tblSales[[#This Row],[Qty]]*tblSales[[#This Row],[Unit Price]]</f>
        <v>595000</v>
      </c>
      <c r="L5918" s="5">
        <f>ROUND(tblSales[[#This Row],[DPP (excl. VAT)]]*VATEff,0)</f>
        <v>65450</v>
      </c>
      <c r="M5918" s="5">
        <f>tblSales[[#This Row],[DPP (excl. VAT)]]+tblSales[[#This Row],[Output VAT]]</f>
        <v>660450</v>
      </c>
      <c r="N5918" s="5">
        <f>tblSales[[#This Row],[Qty]]*_xlfn.XLOOKUP(tblSales[[#This Row],[Product Code]],tblProducts[Code],tblProducts[Unit Cost],0)</f>
        <v>350000</v>
      </c>
      <c r="O5918" s="4" t="s">
        <v>4866</v>
      </c>
      <c r="P5918" s="4" t="s">
        <v>4861</v>
      </c>
      <c r="Q5918" s="1" t="str">
        <f>_xlfn.XLOOKUP(tblSales[[#This Row],[Channel Code]],tblChannels[Channel Code],tblChannels[Channel Name],"")</f>
        <v>Marketplace</v>
      </c>
      <c r="R5918" s="1">
        <f>MONTH(tblSales[[#This Row],[Date]])</f>
        <v>12</v>
      </c>
    </row>
    <row r="5919" spans="2:18" x14ac:dyDescent="0.35">
      <c r="B5919" s="113">
        <v>46374</v>
      </c>
      <c r="C5919" s="4" t="s">
        <v>4054</v>
      </c>
      <c r="D5919" s="4" t="s">
        <v>4568</v>
      </c>
      <c r="E5919" s="1" t="str">
        <f>_xlfn.XLOOKUP(tblSales[[#This Row],[Customer ID]],tblCustomers[Customer ID],tblCustomers[Customer Name],"⚠ Unknown")</f>
        <v>Walk-in Customer</v>
      </c>
      <c r="F5919" s="4" t="s">
        <v>6</v>
      </c>
      <c r="G5919" s="1" t="str">
        <f>_xlfn.XLOOKUP(tblSales[[#This Row],[Product Code]],tblProducts[Code],tblProducts[Product / Service Name],"⚠ Unknown")</f>
        <v>Socks &amp; Accessories</v>
      </c>
      <c r="H5919" s="1" t="str">
        <f>_xlfn.XLOOKUP(tblSales[[#This Row],[Product Code]],tblProducts[Code],tblProducts[Category],"")</f>
        <v>Accessories &amp; Basics</v>
      </c>
      <c r="I5919" s="4">
        <v>10</v>
      </c>
      <c r="J5919" s="5">
        <f>_xlfn.XLOOKUP(tblSales[[#This Row],[Product Code]],tblProducts[Code],tblProducts[Selling Price (excl. VAT)],0)</f>
        <v>45000</v>
      </c>
      <c r="K5919" s="5">
        <f>tblSales[[#This Row],[Qty]]*tblSales[[#This Row],[Unit Price]]</f>
        <v>450000</v>
      </c>
      <c r="L5919" s="5">
        <f>ROUND(tblSales[[#This Row],[DPP (excl. VAT)]]*VATEff,0)</f>
        <v>49500</v>
      </c>
      <c r="M5919" s="5">
        <f>tblSales[[#This Row],[DPP (excl. VAT)]]+tblSales[[#This Row],[Output VAT]]</f>
        <v>499500</v>
      </c>
      <c r="N5919" s="5">
        <f>tblSales[[#This Row],[Qty]]*_xlfn.XLOOKUP(tblSales[[#This Row],[Product Code]],tblProducts[Code],tblProducts[Unit Cost],0)</f>
        <v>240000</v>
      </c>
      <c r="O5919" s="4" t="s">
        <v>4866</v>
      </c>
      <c r="P5919" s="4" t="s">
        <v>4861</v>
      </c>
      <c r="Q5919" s="1" t="str">
        <f>_xlfn.XLOOKUP(tblSales[[#This Row],[Channel Code]],tblChannels[Channel Code],tblChannels[Channel Name],"")</f>
        <v>Marketplace</v>
      </c>
      <c r="R5919" s="1">
        <f>MONTH(tblSales[[#This Row],[Date]])</f>
        <v>12</v>
      </c>
    </row>
    <row r="5920" spans="2:18" x14ac:dyDescent="0.35">
      <c r="B5920" s="113">
        <v>46374</v>
      </c>
      <c r="C5920" s="4" t="s">
        <v>4054</v>
      </c>
      <c r="D5920" s="4" t="s">
        <v>4568</v>
      </c>
      <c r="E5920" s="1" t="str">
        <f>_xlfn.XLOOKUP(tblSales[[#This Row],[Customer ID]],tblCustomers[Customer ID],tblCustomers[Customer Name],"⚠ Unknown")</f>
        <v>Walk-in Customer</v>
      </c>
      <c r="F5920" s="4" t="s">
        <v>10</v>
      </c>
      <c r="G5920" s="1" t="str">
        <f>_xlfn.XLOOKUP(tblSales[[#This Row],[Product Code]],tblProducts[Code],tblProducts[Product / Service Name],"⚠ Unknown")</f>
        <v>Chino Pants</v>
      </c>
      <c r="H5920" s="1" t="str">
        <f>_xlfn.XLOOKUP(tblSales[[#This Row],[Product Code]],tblProducts[Code],tblProducts[Category],"")</f>
        <v>Apparel &amp; Footwear</v>
      </c>
      <c r="I5920" s="4">
        <v>12</v>
      </c>
      <c r="J5920" s="5">
        <f>_xlfn.XLOOKUP(tblSales[[#This Row],[Product Code]],tblProducts[Code],tblProducts[Selling Price (excl. VAT)],0)</f>
        <v>150000</v>
      </c>
      <c r="K5920" s="5">
        <f>tblSales[[#This Row],[Qty]]*tblSales[[#This Row],[Unit Price]]</f>
        <v>1800000</v>
      </c>
      <c r="L5920" s="5">
        <f>ROUND(tblSales[[#This Row],[DPP (excl. VAT)]]*VATEff,0)</f>
        <v>198000</v>
      </c>
      <c r="M5920" s="5">
        <f>tblSales[[#This Row],[DPP (excl. VAT)]]+tblSales[[#This Row],[Output VAT]]</f>
        <v>1998000</v>
      </c>
      <c r="N5920" s="5">
        <f>tblSales[[#This Row],[Qty]]*_xlfn.XLOOKUP(tblSales[[#This Row],[Product Code]],tblProducts[Code],tblProducts[Unit Cost],0)</f>
        <v>1056000</v>
      </c>
      <c r="O5920" s="4" t="s">
        <v>4866</v>
      </c>
      <c r="P5920" s="4" t="s">
        <v>4861</v>
      </c>
      <c r="Q5920" s="1" t="str">
        <f>_xlfn.XLOOKUP(tblSales[[#This Row],[Channel Code]],tblChannels[Channel Code],tblChannels[Channel Name],"")</f>
        <v>Marketplace</v>
      </c>
      <c r="R5920" s="1">
        <f>MONTH(tblSales[[#This Row],[Date]])</f>
        <v>12</v>
      </c>
    </row>
    <row r="5921" spans="2:18" x14ac:dyDescent="0.35">
      <c r="B5921" s="113">
        <v>46374</v>
      </c>
      <c r="C5921" s="4" t="s">
        <v>4054</v>
      </c>
      <c r="D5921" s="4" t="s">
        <v>4568</v>
      </c>
      <c r="E5921" s="1" t="str">
        <f>_xlfn.XLOOKUP(tblSales[[#This Row],[Customer ID]],tblCustomers[Customer ID],tblCustomers[Customer Name],"⚠ Unknown")</f>
        <v>Walk-in Customer</v>
      </c>
      <c r="F5921" s="4" t="s">
        <v>11</v>
      </c>
      <c r="G5921" s="1" t="str">
        <f>_xlfn.XLOOKUP(tblSales[[#This Row],[Product Code]],tblProducts[Code],tblProducts[Product / Service Name],"⚠ Unknown")</f>
        <v>Sneakers</v>
      </c>
      <c r="H5921" s="1" t="str">
        <f>_xlfn.XLOOKUP(tblSales[[#This Row],[Product Code]],tblProducts[Code],tblProducts[Category],"")</f>
        <v>Apparel &amp; Footwear</v>
      </c>
      <c r="I5921" s="4">
        <v>6</v>
      </c>
      <c r="J5921" s="5">
        <f>_xlfn.XLOOKUP(tblSales[[#This Row],[Product Code]],tblProducts[Code],tblProducts[Selling Price (excl. VAT)],0)</f>
        <v>250000</v>
      </c>
      <c r="K5921" s="5">
        <f>tblSales[[#This Row],[Qty]]*tblSales[[#This Row],[Unit Price]]</f>
        <v>1500000</v>
      </c>
      <c r="L5921" s="5">
        <f>ROUND(tblSales[[#This Row],[DPP (excl. VAT)]]*VATEff,0)</f>
        <v>165000</v>
      </c>
      <c r="M5921" s="5">
        <f>tblSales[[#This Row],[DPP (excl. VAT)]]+tblSales[[#This Row],[Output VAT]]</f>
        <v>1665000</v>
      </c>
      <c r="N5921" s="5">
        <f>tblSales[[#This Row],[Qty]]*_xlfn.XLOOKUP(tblSales[[#This Row],[Product Code]],tblProducts[Code],tblProducts[Unit Cost],0)</f>
        <v>930000</v>
      </c>
      <c r="O5921" s="4" t="s">
        <v>4866</v>
      </c>
      <c r="P5921" s="4" t="s">
        <v>4861</v>
      </c>
      <c r="Q5921" s="1" t="str">
        <f>_xlfn.XLOOKUP(tblSales[[#This Row],[Channel Code]],tblChannels[Channel Code],tblChannels[Channel Name],"")</f>
        <v>Marketplace</v>
      </c>
      <c r="R5921" s="1">
        <f>MONTH(tblSales[[#This Row],[Date]])</f>
        <v>12</v>
      </c>
    </row>
    <row r="5922" spans="2:18" x14ac:dyDescent="0.35">
      <c r="B5922" s="113">
        <v>46374</v>
      </c>
      <c r="C5922" s="4" t="s">
        <v>4055</v>
      </c>
      <c r="D5922" s="4" t="s">
        <v>4568</v>
      </c>
      <c r="E5922" s="1" t="str">
        <f>_xlfn.XLOOKUP(tblSales[[#This Row],[Customer ID]],tblCustomers[Customer ID],tblCustomers[Customer Name],"⚠ Unknown")</f>
        <v>Walk-in Customer</v>
      </c>
      <c r="F5922" s="4" t="s">
        <v>8</v>
      </c>
      <c r="G5922" s="1" t="str">
        <f>_xlfn.XLOOKUP(tblSales[[#This Row],[Product Code]],tblProducts[Code],tblProducts[Product / Service Name],"⚠ Unknown")</f>
        <v>Casual Shorts</v>
      </c>
      <c r="H5922" s="1" t="str">
        <f>_xlfn.XLOOKUP(tblSales[[#This Row],[Product Code]],tblProducts[Code],tblProducts[Category],"")</f>
        <v>Accessories &amp; Basics</v>
      </c>
      <c r="I5922" s="4">
        <v>12</v>
      </c>
      <c r="J5922" s="5">
        <f>_xlfn.XLOOKUP(tblSales[[#This Row],[Product Code]],tblProducts[Code],tblProducts[Selling Price (excl. VAT)],0)</f>
        <v>85000</v>
      </c>
      <c r="K5922" s="5">
        <f>tblSales[[#This Row],[Qty]]*tblSales[[#This Row],[Unit Price]]</f>
        <v>1020000</v>
      </c>
      <c r="L5922" s="5">
        <f>ROUND(tblSales[[#This Row],[DPP (excl. VAT)]]*VATEff,0)</f>
        <v>112200</v>
      </c>
      <c r="M5922" s="5">
        <f>tblSales[[#This Row],[DPP (excl. VAT)]]+tblSales[[#This Row],[Output VAT]]</f>
        <v>1132200</v>
      </c>
      <c r="N5922" s="5">
        <f>tblSales[[#This Row],[Qty]]*_xlfn.XLOOKUP(tblSales[[#This Row],[Product Code]],tblProducts[Code],tblProducts[Unit Cost],0)</f>
        <v>600000</v>
      </c>
      <c r="O5922" s="4" t="s">
        <v>4866</v>
      </c>
      <c r="P5922" s="4" t="s">
        <v>4861</v>
      </c>
      <c r="Q5922" s="1" t="str">
        <f>_xlfn.XLOOKUP(tblSales[[#This Row],[Channel Code]],tblChannels[Channel Code],tblChannels[Channel Name],"")</f>
        <v>Marketplace</v>
      </c>
      <c r="R5922" s="1">
        <f>MONTH(tblSales[[#This Row],[Date]])</f>
        <v>12</v>
      </c>
    </row>
    <row r="5923" spans="2:18" x14ac:dyDescent="0.35">
      <c r="B5923" s="113">
        <v>46374</v>
      </c>
      <c r="C5923" s="4" t="s">
        <v>4055</v>
      </c>
      <c r="D5923" s="4" t="s">
        <v>4568</v>
      </c>
      <c r="E5923" s="1" t="str">
        <f>_xlfn.XLOOKUP(tblSales[[#This Row],[Customer ID]],tblCustomers[Customer ID],tblCustomers[Customer Name],"⚠ Unknown")</f>
        <v>Walk-in Customer</v>
      </c>
      <c r="F5923" s="4" t="s">
        <v>7</v>
      </c>
      <c r="G5923" s="1" t="str">
        <f>_xlfn.XLOOKUP(tblSales[[#This Row],[Product Code]],tblProducts[Code],tblProducts[Product / Service Name],"⚠ Unknown")</f>
        <v>Premium Basic T-shirt</v>
      </c>
      <c r="H5923" s="1" t="str">
        <f>_xlfn.XLOOKUP(tblSales[[#This Row],[Product Code]],tblProducts[Code],tblProducts[Category],"")</f>
        <v>Accessories &amp; Basics</v>
      </c>
      <c r="I5923" s="4">
        <v>8</v>
      </c>
      <c r="J5923" s="5">
        <f>_xlfn.XLOOKUP(tblSales[[#This Row],[Product Code]],tblProducts[Code],tblProducts[Selling Price (excl. VAT)],0)</f>
        <v>65000</v>
      </c>
      <c r="K5923" s="5">
        <f>tblSales[[#This Row],[Qty]]*tblSales[[#This Row],[Unit Price]]</f>
        <v>520000</v>
      </c>
      <c r="L5923" s="5">
        <f>ROUND(tblSales[[#This Row],[DPP (excl. VAT)]]*VATEff,0)</f>
        <v>57200</v>
      </c>
      <c r="M5923" s="5">
        <f>tblSales[[#This Row],[DPP (excl. VAT)]]+tblSales[[#This Row],[Output VAT]]</f>
        <v>577200</v>
      </c>
      <c r="N5923" s="5">
        <f>tblSales[[#This Row],[Qty]]*_xlfn.XLOOKUP(tblSales[[#This Row],[Product Code]],tblProducts[Code],tblProducts[Unit Cost],0)</f>
        <v>296000</v>
      </c>
      <c r="O5923" s="4" t="s">
        <v>4866</v>
      </c>
      <c r="P5923" s="4" t="s">
        <v>4861</v>
      </c>
      <c r="Q5923" s="1" t="str">
        <f>_xlfn.XLOOKUP(tblSales[[#This Row],[Channel Code]],tblChannels[Channel Code],tblChannels[Channel Name],"")</f>
        <v>Marketplace</v>
      </c>
      <c r="R5923" s="1">
        <f>MONTH(tblSales[[#This Row],[Date]])</f>
        <v>12</v>
      </c>
    </row>
    <row r="5924" spans="2:18" x14ac:dyDescent="0.35">
      <c r="B5924" s="113">
        <v>46374</v>
      </c>
      <c r="C5924" s="4" t="s">
        <v>4056</v>
      </c>
      <c r="D5924" s="4" t="s">
        <v>4568</v>
      </c>
      <c r="E5924" s="1" t="str">
        <f>_xlfn.XLOOKUP(tblSales[[#This Row],[Customer ID]],tblCustomers[Customer ID],tblCustomers[Customer Name],"⚠ Unknown")</f>
        <v>Walk-in Customer</v>
      </c>
      <c r="F5924" s="4" t="s">
        <v>8</v>
      </c>
      <c r="G5924" s="1" t="str">
        <f>_xlfn.XLOOKUP(tblSales[[#This Row],[Product Code]],tblProducts[Code],tblProducts[Product / Service Name],"⚠ Unknown")</f>
        <v>Casual Shorts</v>
      </c>
      <c r="H5924" s="1" t="str">
        <f>_xlfn.XLOOKUP(tblSales[[#This Row],[Product Code]],tblProducts[Code],tblProducts[Category],"")</f>
        <v>Accessories &amp; Basics</v>
      </c>
      <c r="I5924" s="4">
        <v>10</v>
      </c>
      <c r="J5924" s="5">
        <f>_xlfn.XLOOKUP(tblSales[[#This Row],[Product Code]],tblProducts[Code],tblProducts[Selling Price (excl. VAT)],0)</f>
        <v>85000</v>
      </c>
      <c r="K5924" s="5">
        <f>tblSales[[#This Row],[Qty]]*tblSales[[#This Row],[Unit Price]]</f>
        <v>850000</v>
      </c>
      <c r="L5924" s="5">
        <f>ROUND(tblSales[[#This Row],[DPP (excl. VAT)]]*VATEff,0)</f>
        <v>93500</v>
      </c>
      <c r="M5924" s="5">
        <f>tblSales[[#This Row],[DPP (excl. VAT)]]+tblSales[[#This Row],[Output VAT]]</f>
        <v>943500</v>
      </c>
      <c r="N5924" s="5">
        <f>tblSales[[#This Row],[Qty]]*_xlfn.XLOOKUP(tblSales[[#This Row],[Product Code]],tblProducts[Code],tblProducts[Unit Cost],0)</f>
        <v>500000</v>
      </c>
      <c r="O5924" s="4" t="s">
        <v>4866</v>
      </c>
      <c r="P5924" s="4" t="s">
        <v>4860</v>
      </c>
      <c r="Q5924" s="1" t="str">
        <f>_xlfn.XLOOKUP(tblSales[[#This Row],[Channel Code]],tblChannels[Channel Code],tblChannels[Channel Name],"")</f>
        <v>In-store</v>
      </c>
      <c r="R5924" s="1">
        <f>MONTH(tblSales[[#This Row],[Date]])</f>
        <v>12</v>
      </c>
    </row>
    <row r="5925" spans="2:18" x14ac:dyDescent="0.35">
      <c r="B5925" s="113">
        <v>46374</v>
      </c>
      <c r="C5925" s="4" t="s">
        <v>4057</v>
      </c>
      <c r="D5925" s="4" t="s">
        <v>4568</v>
      </c>
      <c r="E5925" s="1" t="str">
        <f>_xlfn.XLOOKUP(tblSales[[#This Row],[Customer ID]],tblCustomers[Customer ID],tblCustomers[Customer Name],"⚠ Unknown")</f>
        <v>Walk-in Customer</v>
      </c>
      <c r="F5925" s="4" t="s">
        <v>10</v>
      </c>
      <c r="G5925" s="1" t="str">
        <f>_xlfn.XLOOKUP(tblSales[[#This Row],[Product Code]],tblProducts[Code],tblProducts[Product / Service Name],"⚠ Unknown")</f>
        <v>Chino Pants</v>
      </c>
      <c r="H5925" s="1" t="str">
        <f>_xlfn.XLOOKUP(tblSales[[#This Row],[Product Code]],tblProducts[Code],tblProducts[Category],"")</f>
        <v>Apparel &amp; Footwear</v>
      </c>
      <c r="I5925" s="4">
        <v>11</v>
      </c>
      <c r="J5925" s="5">
        <f>_xlfn.XLOOKUP(tblSales[[#This Row],[Product Code]],tblProducts[Code],tblProducts[Selling Price (excl. VAT)],0)</f>
        <v>150000</v>
      </c>
      <c r="K5925" s="5">
        <f>tblSales[[#This Row],[Qty]]*tblSales[[#This Row],[Unit Price]]</f>
        <v>1650000</v>
      </c>
      <c r="L5925" s="5">
        <f>ROUND(tblSales[[#This Row],[DPP (excl. VAT)]]*VATEff,0)</f>
        <v>181500</v>
      </c>
      <c r="M5925" s="5">
        <f>tblSales[[#This Row],[DPP (excl. VAT)]]+tblSales[[#This Row],[Output VAT]]</f>
        <v>1831500</v>
      </c>
      <c r="N5925" s="5">
        <f>tblSales[[#This Row],[Qty]]*_xlfn.XLOOKUP(tblSales[[#This Row],[Product Code]],tblProducts[Code],tblProducts[Unit Cost],0)</f>
        <v>968000</v>
      </c>
      <c r="O5925" s="4" t="s">
        <v>4866</v>
      </c>
      <c r="P5925" s="4" t="s">
        <v>4861</v>
      </c>
      <c r="Q5925" s="1" t="str">
        <f>_xlfn.XLOOKUP(tblSales[[#This Row],[Channel Code]],tblChannels[Channel Code],tblChannels[Channel Name],"")</f>
        <v>Marketplace</v>
      </c>
      <c r="R5925" s="1">
        <f>MONTH(tblSales[[#This Row],[Date]])</f>
        <v>12</v>
      </c>
    </row>
    <row r="5926" spans="2:18" x14ac:dyDescent="0.35">
      <c r="B5926" s="113">
        <v>46375</v>
      </c>
      <c r="C5926" s="4" t="s">
        <v>4058</v>
      </c>
      <c r="D5926" s="4" t="s">
        <v>4572</v>
      </c>
      <c r="E5926" s="1" t="str">
        <f>_xlfn.XLOOKUP(tblSales[[#This Row],[Customer ID]],tblCustomers[Customer ID],tblCustomers[Customer Name],"⚠ Unknown")</f>
        <v>PT Cahaya Abadi Makmur</v>
      </c>
      <c r="F5926" s="4" t="s">
        <v>8</v>
      </c>
      <c r="G5926" s="1" t="str">
        <f>_xlfn.XLOOKUP(tblSales[[#This Row],[Product Code]],tblProducts[Code],tblProducts[Product / Service Name],"⚠ Unknown")</f>
        <v>Casual Shorts</v>
      </c>
      <c r="H5926" s="1" t="str">
        <f>_xlfn.XLOOKUP(tblSales[[#This Row],[Product Code]],tblProducts[Code],tblProducts[Category],"")</f>
        <v>Accessories &amp; Basics</v>
      </c>
      <c r="I5926" s="4">
        <v>88</v>
      </c>
      <c r="J5926" s="5">
        <f>_xlfn.XLOOKUP(tblSales[[#This Row],[Product Code]],tblProducts[Code],tblProducts[Selling Price (excl. VAT)],0)</f>
        <v>85000</v>
      </c>
      <c r="K5926" s="5">
        <f>tblSales[[#This Row],[Qty]]*tblSales[[#This Row],[Unit Price]]</f>
        <v>7480000</v>
      </c>
      <c r="L5926" s="5">
        <f>ROUND(tblSales[[#This Row],[DPP (excl. VAT)]]*VATEff,0)</f>
        <v>822800</v>
      </c>
      <c r="M5926" s="5">
        <f>tblSales[[#This Row],[DPP (excl. VAT)]]+tblSales[[#This Row],[Output VAT]]</f>
        <v>8302800</v>
      </c>
      <c r="N5926" s="5">
        <f>tblSales[[#This Row],[Qty]]*_xlfn.XLOOKUP(tblSales[[#This Row],[Product Code]],tblProducts[Code],tblProducts[Unit Cost],0)</f>
        <v>4400000</v>
      </c>
      <c r="O5926" s="4" t="s">
        <v>4867</v>
      </c>
      <c r="P5926" s="4" t="s">
        <v>4860</v>
      </c>
      <c r="Q5926" s="1" t="str">
        <f>_xlfn.XLOOKUP(tblSales[[#This Row],[Channel Code]],tblChannels[Channel Code],tblChannels[Channel Name],"")</f>
        <v>In-store</v>
      </c>
      <c r="R5926" s="1">
        <f>MONTH(tblSales[[#This Row],[Date]])</f>
        <v>12</v>
      </c>
    </row>
    <row r="5927" spans="2:18" x14ac:dyDescent="0.35">
      <c r="B5927" s="113">
        <v>46375</v>
      </c>
      <c r="C5927" s="4" t="s">
        <v>4059</v>
      </c>
      <c r="D5927" s="4" t="s">
        <v>4568</v>
      </c>
      <c r="E5927" s="1" t="str">
        <f>_xlfn.XLOOKUP(tblSales[[#This Row],[Customer ID]],tblCustomers[Customer ID],tblCustomers[Customer Name],"⚠ Unknown")</f>
        <v>Walk-in Customer</v>
      </c>
      <c r="F5927" s="4" t="s">
        <v>12</v>
      </c>
      <c r="G5927" s="1" t="str">
        <f>_xlfn.XLOOKUP(tblSales[[#This Row],[Product Code]],tblProducts[Code],tblProducts[Product / Service Name],"⚠ Unknown")</f>
        <v>Bomber Jacket</v>
      </c>
      <c r="H5927" s="1" t="str">
        <f>_xlfn.XLOOKUP(tblSales[[#This Row],[Product Code]],tblProducts[Code],tblProducts[Category],"")</f>
        <v>Apparel &amp; Footwear</v>
      </c>
      <c r="I5927" s="4">
        <v>2</v>
      </c>
      <c r="J5927" s="5">
        <f>_xlfn.XLOOKUP(tblSales[[#This Row],[Product Code]],tblProducts[Code],tblProducts[Selling Price (excl. VAT)],0)</f>
        <v>350000</v>
      </c>
      <c r="K5927" s="5">
        <f>tblSales[[#This Row],[Qty]]*tblSales[[#This Row],[Unit Price]]</f>
        <v>700000</v>
      </c>
      <c r="L5927" s="5">
        <f>ROUND(tblSales[[#This Row],[DPP (excl. VAT)]]*VATEff,0)</f>
        <v>77000</v>
      </c>
      <c r="M5927" s="5">
        <f>tblSales[[#This Row],[DPP (excl. VAT)]]+tblSales[[#This Row],[Output VAT]]</f>
        <v>777000</v>
      </c>
      <c r="N5927" s="5">
        <f>tblSales[[#This Row],[Qty]]*_xlfn.XLOOKUP(tblSales[[#This Row],[Product Code]],tblProducts[Code],tblProducts[Unit Cost],0)</f>
        <v>420000</v>
      </c>
      <c r="O5927" s="4" t="s">
        <v>4865</v>
      </c>
      <c r="P5927" s="4" t="s">
        <v>4860</v>
      </c>
      <c r="Q5927" s="1" t="str">
        <f>_xlfn.XLOOKUP(tblSales[[#This Row],[Channel Code]],tblChannels[Channel Code],tblChannels[Channel Name],"")</f>
        <v>In-store</v>
      </c>
      <c r="R5927" s="1">
        <f>MONTH(tblSales[[#This Row],[Date]])</f>
        <v>12</v>
      </c>
    </row>
    <row r="5928" spans="2:18" x14ac:dyDescent="0.35">
      <c r="B5928" s="113">
        <v>46375</v>
      </c>
      <c r="C5928" s="4" t="s">
        <v>4060</v>
      </c>
      <c r="D5928" s="4" t="s">
        <v>4572</v>
      </c>
      <c r="E5928" s="1" t="str">
        <f>_xlfn.XLOOKUP(tblSales[[#This Row],[Customer ID]],tblCustomers[Customer ID],tblCustomers[Customer Name],"⚠ Unknown")</f>
        <v>PT Cahaya Abadi Makmur</v>
      </c>
      <c r="F5928" s="4" t="s">
        <v>9</v>
      </c>
      <c r="G5928" s="1" t="str">
        <f>_xlfn.XLOOKUP(tblSales[[#This Row],[Product Code]],tblProducts[Code],tblProducts[Product / Service Name],"⚠ Unknown")</f>
        <v>Casual Shirt</v>
      </c>
      <c r="H5928" s="1" t="str">
        <f>_xlfn.XLOOKUP(tblSales[[#This Row],[Product Code]],tblProducts[Code],tblProducts[Category],"")</f>
        <v>Apparel &amp; Footwear</v>
      </c>
      <c r="I5928" s="4">
        <v>24</v>
      </c>
      <c r="J5928" s="5">
        <f>_xlfn.XLOOKUP(tblSales[[#This Row],[Product Code]],tblProducts[Code],tblProducts[Selling Price (excl. VAT)],0)</f>
        <v>120000</v>
      </c>
      <c r="K5928" s="5">
        <f>tblSales[[#This Row],[Qty]]*tblSales[[#This Row],[Unit Price]]</f>
        <v>2880000</v>
      </c>
      <c r="L5928" s="5">
        <f>ROUND(tblSales[[#This Row],[DPP (excl. VAT)]]*VATEff,0)</f>
        <v>316800</v>
      </c>
      <c r="M5928" s="5">
        <f>tblSales[[#This Row],[DPP (excl. VAT)]]+tblSales[[#This Row],[Output VAT]]</f>
        <v>3196800</v>
      </c>
      <c r="N5928" s="5">
        <f>tblSales[[#This Row],[Qty]]*_xlfn.XLOOKUP(tblSales[[#This Row],[Product Code]],tblProducts[Code],tblProducts[Unit Cost],0)</f>
        <v>1728000</v>
      </c>
      <c r="O5928" s="4" t="s">
        <v>4867</v>
      </c>
      <c r="P5928" s="4" t="s">
        <v>4860</v>
      </c>
      <c r="Q5928" s="1" t="str">
        <f>_xlfn.XLOOKUP(tblSales[[#This Row],[Channel Code]],tblChannels[Channel Code],tblChannels[Channel Name],"")</f>
        <v>In-store</v>
      </c>
      <c r="R5928" s="1">
        <f>MONTH(tblSales[[#This Row],[Date]])</f>
        <v>12</v>
      </c>
    </row>
    <row r="5929" spans="2:18" x14ac:dyDescent="0.35">
      <c r="B5929" s="113">
        <v>46375</v>
      </c>
      <c r="C5929" s="4" t="s">
        <v>4061</v>
      </c>
      <c r="D5929" s="4" t="s">
        <v>4568</v>
      </c>
      <c r="E5929" s="1" t="str">
        <f>_xlfn.XLOOKUP(tblSales[[#This Row],[Customer ID]],tblCustomers[Customer ID],tblCustomers[Customer Name],"⚠ Unknown")</f>
        <v>Walk-in Customer</v>
      </c>
      <c r="F5929" s="4" t="s">
        <v>6</v>
      </c>
      <c r="G5929" s="1" t="str">
        <f>_xlfn.XLOOKUP(tblSales[[#This Row],[Product Code]],tblProducts[Code],tblProducts[Product / Service Name],"⚠ Unknown")</f>
        <v>Socks &amp; Accessories</v>
      </c>
      <c r="H5929" s="1" t="str">
        <f>_xlfn.XLOOKUP(tblSales[[#This Row],[Product Code]],tblProducts[Code],tblProducts[Category],"")</f>
        <v>Accessories &amp; Basics</v>
      </c>
      <c r="I5929" s="4">
        <v>11</v>
      </c>
      <c r="J5929" s="5">
        <f>_xlfn.XLOOKUP(tblSales[[#This Row],[Product Code]],tblProducts[Code],tblProducts[Selling Price (excl. VAT)],0)</f>
        <v>45000</v>
      </c>
      <c r="K5929" s="5">
        <f>tblSales[[#This Row],[Qty]]*tblSales[[#This Row],[Unit Price]]</f>
        <v>495000</v>
      </c>
      <c r="L5929" s="5">
        <f>ROUND(tblSales[[#This Row],[DPP (excl. VAT)]]*VATEff,0)</f>
        <v>54450</v>
      </c>
      <c r="M5929" s="5">
        <f>tblSales[[#This Row],[DPP (excl. VAT)]]+tblSales[[#This Row],[Output VAT]]</f>
        <v>549450</v>
      </c>
      <c r="N5929" s="5">
        <f>tblSales[[#This Row],[Qty]]*_xlfn.XLOOKUP(tblSales[[#This Row],[Product Code]],tblProducts[Code],tblProducts[Unit Cost],0)</f>
        <v>264000</v>
      </c>
      <c r="O5929" s="4" t="s">
        <v>4866</v>
      </c>
      <c r="P5929" s="4" t="s">
        <v>4860</v>
      </c>
      <c r="Q5929" s="1" t="str">
        <f>_xlfn.XLOOKUP(tblSales[[#This Row],[Channel Code]],tblChannels[Channel Code],tblChannels[Channel Name],"")</f>
        <v>In-store</v>
      </c>
      <c r="R5929" s="1">
        <f>MONTH(tblSales[[#This Row],[Date]])</f>
        <v>12</v>
      </c>
    </row>
    <row r="5930" spans="2:18" x14ac:dyDescent="0.35">
      <c r="B5930" s="113">
        <v>46375</v>
      </c>
      <c r="C5930" s="4" t="s">
        <v>4062</v>
      </c>
      <c r="D5930" s="4" t="s">
        <v>4568</v>
      </c>
      <c r="E5930" s="1" t="str">
        <f>_xlfn.XLOOKUP(tblSales[[#This Row],[Customer ID]],tblCustomers[Customer ID],tblCustomers[Customer Name],"⚠ Unknown")</f>
        <v>Walk-in Customer</v>
      </c>
      <c r="F5930" s="4" t="s">
        <v>7</v>
      </c>
      <c r="G5930" s="1" t="str">
        <f>_xlfn.XLOOKUP(tblSales[[#This Row],[Product Code]],tblProducts[Code],tblProducts[Product / Service Name],"⚠ Unknown")</f>
        <v>Premium Basic T-shirt</v>
      </c>
      <c r="H5930" s="1" t="str">
        <f>_xlfn.XLOOKUP(tblSales[[#This Row],[Product Code]],tblProducts[Code],tblProducts[Category],"")</f>
        <v>Accessories &amp; Basics</v>
      </c>
      <c r="I5930" s="4">
        <v>5</v>
      </c>
      <c r="J5930" s="5">
        <f>_xlfn.XLOOKUP(tblSales[[#This Row],[Product Code]],tblProducts[Code],tblProducts[Selling Price (excl. VAT)],0)</f>
        <v>65000</v>
      </c>
      <c r="K5930" s="5">
        <f>tblSales[[#This Row],[Qty]]*tblSales[[#This Row],[Unit Price]]</f>
        <v>325000</v>
      </c>
      <c r="L5930" s="5">
        <f>ROUND(tblSales[[#This Row],[DPP (excl. VAT)]]*VATEff,0)</f>
        <v>35750</v>
      </c>
      <c r="M5930" s="5">
        <f>tblSales[[#This Row],[DPP (excl. VAT)]]+tblSales[[#This Row],[Output VAT]]</f>
        <v>360750</v>
      </c>
      <c r="N5930" s="5">
        <f>tblSales[[#This Row],[Qty]]*_xlfn.XLOOKUP(tblSales[[#This Row],[Product Code]],tblProducts[Code],tblProducts[Unit Cost],0)</f>
        <v>185000</v>
      </c>
      <c r="O5930" s="4" t="s">
        <v>4865</v>
      </c>
      <c r="P5930" s="4" t="s">
        <v>4860</v>
      </c>
      <c r="Q5930" s="1" t="str">
        <f>_xlfn.XLOOKUP(tblSales[[#This Row],[Channel Code]],tblChannels[Channel Code],tblChannels[Channel Name],"")</f>
        <v>In-store</v>
      </c>
      <c r="R5930" s="1">
        <f>MONTH(tblSales[[#This Row],[Date]])</f>
        <v>12</v>
      </c>
    </row>
    <row r="5931" spans="2:18" x14ac:dyDescent="0.35">
      <c r="B5931" s="113">
        <v>46375</v>
      </c>
      <c r="C5931" s="4" t="s">
        <v>4063</v>
      </c>
      <c r="D5931" s="4" t="s">
        <v>4568</v>
      </c>
      <c r="E5931" s="1" t="str">
        <f>_xlfn.XLOOKUP(tblSales[[#This Row],[Customer ID]],tblCustomers[Customer ID],tblCustomers[Customer Name],"⚠ Unknown")</f>
        <v>Walk-in Customer</v>
      </c>
      <c r="F5931" s="4" t="s">
        <v>15</v>
      </c>
      <c r="G5931" s="1" t="str">
        <f>_xlfn.XLOOKUP(tblSales[[#This Row],[Product Code]],tblProducts[Code],tblProducts[Product / Service Name],"⚠ Unknown")</f>
        <v>Wireless Earbuds Pro</v>
      </c>
      <c r="H5931" s="1" t="str">
        <f>_xlfn.XLOOKUP(tblSales[[#This Row],[Product Code]],tblProducts[Code],tblProducts[Category],"")</f>
        <v>Bags &amp; Gadgets</v>
      </c>
      <c r="I5931" s="4">
        <v>2</v>
      </c>
      <c r="J5931" s="5">
        <f>_xlfn.XLOOKUP(tblSales[[#This Row],[Product Code]],tblProducts[Code],tblProducts[Selling Price (excl. VAT)],0)</f>
        <v>1250000</v>
      </c>
      <c r="K5931" s="5">
        <f>tblSales[[#This Row],[Qty]]*tblSales[[#This Row],[Unit Price]]</f>
        <v>2500000</v>
      </c>
      <c r="L5931" s="5">
        <f>ROUND(tblSales[[#This Row],[DPP (excl. VAT)]]*VATEff,0)</f>
        <v>275000</v>
      </c>
      <c r="M5931" s="5">
        <f>tblSales[[#This Row],[DPP (excl. VAT)]]+tblSales[[#This Row],[Output VAT]]</f>
        <v>2775000</v>
      </c>
      <c r="N5931" s="5">
        <f>tblSales[[#This Row],[Qty]]*_xlfn.XLOOKUP(tblSales[[#This Row],[Product Code]],tblProducts[Code],tblProducts[Unit Cost],0)</f>
        <v>1640000</v>
      </c>
      <c r="O5931" s="4" t="s">
        <v>4866</v>
      </c>
      <c r="P5931" s="4" t="s">
        <v>4861</v>
      </c>
      <c r="Q5931" s="1" t="str">
        <f>_xlfn.XLOOKUP(tblSales[[#This Row],[Channel Code]],tblChannels[Channel Code],tblChannels[Channel Name],"")</f>
        <v>Marketplace</v>
      </c>
      <c r="R5931" s="1">
        <f>MONTH(tblSales[[#This Row],[Date]])</f>
        <v>12</v>
      </c>
    </row>
    <row r="5932" spans="2:18" x14ac:dyDescent="0.35">
      <c r="B5932" s="113">
        <v>46375</v>
      </c>
      <c r="C5932" s="4" t="s">
        <v>4063</v>
      </c>
      <c r="D5932" s="4" t="s">
        <v>4568</v>
      </c>
      <c r="E5932" s="1" t="str">
        <f>_xlfn.XLOOKUP(tblSales[[#This Row],[Customer ID]],tblCustomers[Customer ID],tblCustomers[Customer Name],"⚠ Unknown")</f>
        <v>Walk-in Customer</v>
      </c>
      <c r="F5932" s="4" t="s">
        <v>6</v>
      </c>
      <c r="G5932" s="1" t="str">
        <f>_xlfn.XLOOKUP(tblSales[[#This Row],[Product Code]],tblProducts[Code],tblProducts[Product / Service Name],"⚠ Unknown")</f>
        <v>Socks &amp; Accessories</v>
      </c>
      <c r="H5932" s="1" t="str">
        <f>_xlfn.XLOOKUP(tblSales[[#This Row],[Product Code]],tblProducts[Code],tblProducts[Category],"")</f>
        <v>Accessories &amp; Basics</v>
      </c>
      <c r="I5932" s="4">
        <v>12</v>
      </c>
      <c r="J5932" s="5">
        <f>_xlfn.XLOOKUP(tblSales[[#This Row],[Product Code]],tblProducts[Code],tblProducts[Selling Price (excl. VAT)],0)</f>
        <v>45000</v>
      </c>
      <c r="K5932" s="5">
        <f>tblSales[[#This Row],[Qty]]*tblSales[[#This Row],[Unit Price]]</f>
        <v>540000</v>
      </c>
      <c r="L5932" s="5">
        <f>ROUND(tblSales[[#This Row],[DPP (excl. VAT)]]*VATEff,0)</f>
        <v>59400</v>
      </c>
      <c r="M5932" s="5">
        <f>tblSales[[#This Row],[DPP (excl. VAT)]]+tblSales[[#This Row],[Output VAT]]</f>
        <v>599400</v>
      </c>
      <c r="N5932" s="5">
        <f>tblSales[[#This Row],[Qty]]*_xlfn.XLOOKUP(tblSales[[#This Row],[Product Code]],tblProducts[Code],tblProducts[Unit Cost],0)</f>
        <v>288000</v>
      </c>
      <c r="O5932" s="4" t="s">
        <v>4866</v>
      </c>
      <c r="P5932" s="4" t="s">
        <v>4861</v>
      </c>
      <c r="Q5932" s="1" t="str">
        <f>_xlfn.XLOOKUP(tblSales[[#This Row],[Channel Code]],tblChannels[Channel Code],tblChannels[Channel Name],"")</f>
        <v>Marketplace</v>
      </c>
      <c r="R5932" s="1">
        <f>MONTH(tblSales[[#This Row],[Date]])</f>
        <v>12</v>
      </c>
    </row>
    <row r="5933" spans="2:18" x14ac:dyDescent="0.35">
      <c r="B5933" s="113">
        <v>46375</v>
      </c>
      <c r="C5933" s="4" t="s">
        <v>4064</v>
      </c>
      <c r="D5933" s="4" t="s">
        <v>4568</v>
      </c>
      <c r="E5933" s="1" t="str">
        <f>_xlfn.XLOOKUP(tblSales[[#This Row],[Customer ID]],tblCustomers[Customer ID],tblCustomers[Customer Name],"⚠ Unknown")</f>
        <v>Walk-in Customer</v>
      </c>
      <c r="F5933" s="4" t="s">
        <v>13</v>
      </c>
      <c r="G5933" s="1" t="str">
        <f>_xlfn.XLOOKUP(tblSales[[#This Row],[Product Code]],tblProducts[Code],tblProducts[Product / Service Name],"⚠ Unknown")</f>
        <v>Backpack</v>
      </c>
      <c r="H5933" s="1" t="str">
        <f>_xlfn.XLOOKUP(tblSales[[#This Row],[Product Code]],tblProducts[Code],tblProducts[Category],"")</f>
        <v>Bags &amp; Gadgets</v>
      </c>
      <c r="I5933" s="4">
        <v>3</v>
      </c>
      <c r="J5933" s="5">
        <f>_xlfn.XLOOKUP(tblSales[[#This Row],[Product Code]],tblProducts[Code],tblProducts[Selling Price (excl. VAT)],0)</f>
        <v>500000</v>
      </c>
      <c r="K5933" s="5">
        <f>tblSales[[#This Row],[Qty]]*tblSales[[#This Row],[Unit Price]]</f>
        <v>1500000</v>
      </c>
      <c r="L5933" s="5">
        <f>ROUND(tblSales[[#This Row],[DPP (excl. VAT)]]*VATEff,0)</f>
        <v>165000</v>
      </c>
      <c r="M5933" s="5">
        <f>tblSales[[#This Row],[DPP (excl. VAT)]]+tblSales[[#This Row],[Output VAT]]</f>
        <v>1665000</v>
      </c>
      <c r="N5933" s="5">
        <f>tblSales[[#This Row],[Qty]]*_xlfn.XLOOKUP(tblSales[[#This Row],[Product Code]],tblProducts[Code],tblProducts[Unit Cost],0)</f>
        <v>870000</v>
      </c>
      <c r="O5933" s="4" t="s">
        <v>4865</v>
      </c>
      <c r="P5933" s="4" t="s">
        <v>4860</v>
      </c>
      <c r="Q5933" s="1" t="str">
        <f>_xlfn.XLOOKUP(tblSales[[#This Row],[Channel Code]],tblChannels[Channel Code],tblChannels[Channel Name],"")</f>
        <v>In-store</v>
      </c>
      <c r="R5933" s="1">
        <f>MONTH(tblSales[[#This Row],[Date]])</f>
        <v>12</v>
      </c>
    </row>
    <row r="5934" spans="2:18" x14ac:dyDescent="0.35">
      <c r="B5934" s="113">
        <v>46375</v>
      </c>
      <c r="C5934" s="4" t="s">
        <v>4065</v>
      </c>
      <c r="D5934" s="4" t="s">
        <v>4568</v>
      </c>
      <c r="E5934" s="1" t="str">
        <f>_xlfn.XLOOKUP(tblSales[[#This Row],[Customer ID]],tblCustomers[Customer ID],tblCustomers[Customer Name],"⚠ Unknown")</f>
        <v>Walk-in Customer</v>
      </c>
      <c r="F5934" s="4" t="s">
        <v>13</v>
      </c>
      <c r="G5934" s="1" t="str">
        <f>_xlfn.XLOOKUP(tblSales[[#This Row],[Product Code]],tblProducts[Code],tblProducts[Product / Service Name],"⚠ Unknown")</f>
        <v>Backpack</v>
      </c>
      <c r="H5934" s="1" t="str">
        <f>_xlfn.XLOOKUP(tblSales[[#This Row],[Product Code]],tblProducts[Code],tblProducts[Category],"")</f>
        <v>Bags &amp; Gadgets</v>
      </c>
      <c r="I5934" s="4">
        <v>3</v>
      </c>
      <c r="J5934" s="5">
        <f>_xlfn.XLOOKUP(tblSales[[#This Row],[Product Code]],tblProducts[Code],tblProducts[Selling Price (excl. VAT)],0)</f>
        <v>500000</v>
      </c>
      <c r="K5934" s="5">
        <f>tblSales[[#This Row],[Qty]]*tblSales[[#This Row],[Unit Price]]</f>
        <v>1500000</v>
      </c>
      <c r="L5934" s="5">
        <f>ROUND(tblSales[[#This Row],[DPP (excl. VAT)]]*VATEff,0)</f>
        <v>165000</v>
      </c>
      <c r="M5934" s="5">
        <f>tblSales[[#This Row],[DPP (excl. VAT)]]+tblSales[[#This Row],[Output VAT]]</f>
        <v>1665000</v>
      </c>
      <c r="N5934" s="5">
        <f>tblSales[[#This Row],[Qty]]*_xlfn.XLOOKUP(tblSales[[#This Row],[Product Code]],tblProducts[Code],tblProducts[Unit Cost],0)</f>
        <v>870000</v>
      </c>
      <c r="O5934" s="4" t="s">
        <v>4866</v>
      </c>
      <c r="P5934" s="4" t="s">
        <v>4862</v>
      </c>
      <c r="Q5934" s="1" t="str">
        <f>_xlfn.XLOOKUP(tblSales[[#This Row],[Channel Code]],tblChannels[Channel Code],tblChannels[Channel Name],"")</f>
        <v>Website &amp; Social Media</v>
      </c>
      <c r="R5934" s="1">
        <f>MONTH(tblSales[[#This Row],[Date]])</f>
        <v>12</v>
      </c>
    </row>
    <row r="5935" spans="2:18" x14ac:dyDescent="0.35">
      <c r="B5935" s="113">
        <v>46375</v>
      </c>
      <c r="C5935" s="4" t="s">
        <v>4065</v>
      </c>
      <c r="D5935" s="4" t="s">
        <v>4568</v>
      </c>
      <c r="E5935" s="1" t="str">
        <f>_xlfn.XLOOKUP(tblSales[[#This Row],[Customer ID]],tblCustomers[Customer ID],tblCustomers[Customer Name],"⚠ Unknown")</f>
        <v>Walk-in Customer</v>
      </c>
      <c r="F5935" s="4" t="s">
        <v>6</v>
      </c>
      <c r="G5935" s="1" t="str">
        <f>_xlfn.XLOOKUP(tblSales[[#This Row],[Product Code]],tblProducts[Code],tblProducts[Product / Service Name],"⚠ Unknown")</f>
        <v>Socks &amp; Accessories</v>
      </c>
      <c r="H5935" s="1" t="str">
        <f>_xlfn.XLOOKUP(tblSales[[#This Row],[Product Code]],tblProducts[Code],tblProducts[Category],"")</f>
        <v>Accessories &amp; Basics</v>
      </c>
      <c r="I5935" s="4">
        <v>2</v>
      </c>
      <c r="J5935" s="5">
        <f>_xlfn.XLOOKUP(tblSales[[#This Row],[Product Code]],tblProducts[Code],tblProducts[Selling Price (excl. VAT)],0)</f>
        <v>45000</v>
      </c>
      <c r="K5935" s="5">
        <f>tblSales[[#This Row],[Qty]]*tblSales[[#This Row],[Unit Price]]</f>
        <v>90000</v>
      </c>
      <c r="L5935" s="5">
        <f>ROUND(tblSales[[#This Row],[DPP (excl. VAT)]]*VATEff,0)</f>
        <v>9900</v>
      </c>
      <c r="M5935" s="5">
        <f>tblSales[[#This Row],[DPP (excl. VAT)]]+tblSales[[#This Row],[Output VAT]]</f>
        <v>99900</v>
      </c>
      <c r="N5935" s="5">
        <f>tblSales[[#This Row],[Qty]]*_xlfn.XLOOKUP(tblSales[[#This Row],[Product Code]],tblProducts[Code],tblProducts[Unit Cost],0)</f>
        <v>48000</v>
      </c>
      <c r="O5935" s="4" t="s">
        <v>4866</v>
      </c>
      <c r="P5935" s="4" t="s">
        <v>4862</v>
      </c>
      <c r="Q5935" s="1" t="str">
        <f>_xlfn.XLOOKUP(tblSales[[#This Row],[Channel Code]],tblChannels[Channel Code],tblChannels[Channel Name],"")</f>
        <v>Website &amp; Social Media</v>
      </c>
      <c r="R5935" s="1">
        <f>MONTH(tblSales[[#This Row],[Date]])</f>
        <v>12</v>
      </c>
    </row>
    <row r="5936" spans="2:18" x14ac:dyDescent="0.35">
      <c r="B5936" s="113">
        <v>46375</v>
      </c>
      <c r="C5936" s="4" t="s">
        <v>4066</v>
      </c>
      <c r="D5936" s="4" t="s">
        <v>4568</v>
      </c>
      <c r="E5936" s="1" t="str">
        <f>_xlfn.XLOOKUP(tblSales[[#This Row],[Customer ID]],tblCustomers[Customer ID],tblCustomers[Customer Name],"⚠ Unknown")</f>
        <v>Walk-in Customer</v>
      </c>
      <c r="F5936" s="4" t="s">
        <v>10</v>
      </c>
      <c r="G5936" s="1" t="str">
        <f>_xlfn.XLOOKUP(tblSales[[#This Row],[Product Code]],tblProducts[Code],tblProducts[Product / Service Name],"⚠ Unknown")</f>
        <v>Chino Pants</v>
      </c>
      <c r="H5936" s="1" t="str">
        <f>_xlfn.XLOOKUP(tblSales[[#This Row],[Product Code]],tblProducts[Code],tblProducts[Category],"")</f>
        <v>Apparel &amp; Footwear</v>
      </c>
      <c r="I5936" s="4">
        <v>8</v>
      </c>
      <c r="J5936" s="5">
        <f>_xlfn.XLOOKUP(tblSales[[#This Row],[Product Code]],tblProducts[Code],tblProducts[Selling Price (excl. VAT)],0)</f>
        <v>150000</v>
      </c>
      <c r="K5936" s="5">
        <f>tblSales[[#This Row],[Qty]]*tblSales[[#This Row],[Unit Price]]</f>
        <v>1200000</v>
      </c>
      <c r="L5936" s="5">
        <f>ROUND(tblSales[[#This Row],[DPP (excl. VAT)]]*VATEff,0)</f>
        <v>132000</v>
      </c>
      <c r="M5936" s="5">
        <f>tblSales[[#This Row],[DPP (excl. VAT)]]+tblSales[[#This Row],[Output VAT]]</f>
        <v>1332000</v>
      </c>
      <c r="N5936" s="5">
        <f>tblSales[[#This Row],[Qty]]*_xlfn.XLOOKUP(tblSales[[#This Row],[Product Code]],tblProducts[Code],tblProducts[Unit Cost],0)</f>
        <v>704000</v>
      </c>
      <c r="O5936" s="4" t="s">
        <v>4865</v>
      </c>
      <c r="P5936" s="4" t="s">
        <v>4860</v>
      </c>
      <c r="Q5936" s="1" t="str">
        <f>_xlfn.XLOOKUP(tblSales[[#This Row],[Channel Code]],tblChannels[Channel Code],tblChannels[Channel Name],"")</f>
        <v>In-store</v>
      </c>
      <c r="R5936" s="1">
        <f>MONTH(tblSales[[#This Row],[Date]])</f>
        <v>12</v>
      </c>
    </row>
    <row r="5937" spans="2:18" x14ac:dyDescent="0.35">
      <c r="B5937" s="113">
        <v>46375</v>
      </c>
      <c r="C5937" s="4" t="s">
        <v>4067</v>
      </c>
      <c r="D5937" s="4" t="s">
        <v>4568</v>
      </c>
      <c r="E5937" s="1" t="str">
        <f>_xlfn.XLOOKUP(tblSales[[#This Row],[Customer ID]],tblCustomers[Customer ID],tblCustomers[Customer Name],"⚠ Unknown")</f>
        <v>Walk-in Customer</v>
      </c>
      <c r="F5937" s="4" t="s">
        <v>6</v>
      </c>
      <c r="G5937" s="1" t="str">
        <f>_xlfn.XLOOKUP(tblSales[[#This Row],[Product Code]],tblProducts[Code],tblProducts[Product / Service Name],"⚠ Unknown")</f>
        <v>Socks &amp; Accessories</v>
      </c>
      <c r="H5937" s="1" t="str">
        <f>_xlfn.XLOOKUP(tblSales[[#This Row],[Product Code]],tblProducts[Code],tblProducts[Category],"")</f>
        <v>Accessories &amp; Basics</v>
      </c>
      <c r="I5937" s="4">
        <v>10</v>
      </c>
      <c r="J5937" s="5">
        <f>_xlfn.XLOOKUP(tblSales[[#This Row],[Product Code]],tblProducts[Code],tblProducts[Selling Price (excl. VAT)],0)</f>
        <v>45000</v>
      </c>
      <c r="K5937" s="5">
        <f>tblSales[[#This Row],[Qty]]*tblSales[[#This Row],[Unit Price]]</f>
        <v>450000</v>
      </c>
      <c r="L5937" s="5">
        <f>ROUND(tblSales[[#This Row],[DPP (excl. VAT)]]*VATEff,0)</f>
        <v>49500</v>
      </c>
      <c r="M5937" s="5">
        <f>tblSales[[#This Row],[DPP (excl. VAT)]]+tblSales[[#This Row],[Output VAT]]</f>
        <v>499500</v>
      </c>
      <c r="N5937" s="5">
        <f>tblSales[[#This Row],[Qty]]*_xlfn.XLOOKUP(tblSales[[#This Row],[Product Code]],tblProducts[Code],tblProducts[Unit Cost],0)</f>
        <v>240000</v>
      </c>
      <c r="O5937" s="4" t="s">
        <v>4866</v>
      </c>
      <c r="P5937" s="4" t="s">
        <v>4861</v>
      </c>
      <c r="Q5937" s="1" t="str">
        <f>_xlfn.XLOOKUP(tblSales[[#This Row],[Channel Code]],tblChannels[Channel Code],tblChannels[Channel Name],"")</f>
        <v>Marketplace</v>
      </c>
      <c r="R5937" s="1">
        <f>MONTH(tblSales[[#This Row],[Date]])</f>
        <v>12</v>
      </c>
    </row>
    <row r="5938" spans="2:18" x14ac:dyDescent="0.35">
      <c r="B5938" s="113">
        <v>46375</v>
      </c>
      <c r="C5938" s="4" t="s">
        <v>4067</v>
      </c>
      <c r="D5938" s="4" t="s">
        <v>4568</v>
      </c>
      <c r="E5938" s="1" t="str">
        <f>_xlfn.XLOOKUP(tblSales[[#This Row],[Customer ID]],tblCustomers[Customer ID],tblCustomers[Customer Name],"⚠ Unknown")</f>
        <v>Walk-in Customer</v>
      </c>
      <c r="F5938" s="4" t="s">
        <v>9</v>
      </c>
      <c r="G5938" s="1" t="str">
        <f>_xlfn.XLOOKUP(tblSales[[#This Row],[Product Code]],tblProducts[Code],tblProducts[Product / Service Name],"⚠ Unknown")</f>
        <v>Casual Shirt</v>
      </c>
      <c r="H5938" s="1" t="str">
        <f>_xlfn.XLOOKUP(tblSales[[#This Row],[Product Code]],tblProducts[Code],tblProducts[Category],"")</f>
        <v>Apparel &amp; Footwear</v>
      </c>
      <c r="I5938" s="4">
        <v>11</v>
      </c>
      <c r="J5938" s="5">
        <f>_xlfn.XLOOKUP(tblSales[[#This Row],[Product Code]],tblProducts[Code],tblProducts[Selling Price (excl. VAT)],0)</f>
        <v>120000</v>
      </c>
      <c r="K5938" s="5">
        <f>tblSales[[#This Row],[Qty]]*tblSales[[#This Row],[Unit Price]]</f>
        <v>1320000</v>
      </c>
      <c r="L5938" s="5">
        <f>ROUND(tblSales[[#This Row],[DPP (excl. VAT)]]*VATEff,0)</f>
        <v>145200</v>
      </c>
      <c r="M5938" s="5">
        <f>tblSales[[#This Row],[DPP (excl. VAT)]]+tblSales[[#This Row],[Output VAT]]</f>
        <v>1465200</v>
      </c>
      <c r="N5938" s="5">
        <f>tblSales[[#This Row],[Qty]]*_xlfn.XLOOKUP(tblSales[[#This Row],[Product Code]],tblProducts[Code],tblProducts[Unit Cost],0)</f>
        <v>792000</v>
      </c>
      <c r="O5938" s="4" t="s">
        <v>4866</v>
      </c>
      <c r="P5938" s="4" t="s">
        <v>4861</v>
      </c>
      <c r="Q5938" s="1" t="str">
        <f>_xlfn.XLOOKUP(tblSales[[#This Row],[Channel Code]],tblChannels[Channel Code],tblChannels[Channel Name],"")</f>
        <v>Marketplace</v>
      </c>
      <c r="R5938" s="1">
        <f>MONTH(tblSales[[#This Row],[Date]])</f>
        <v>12</v>
      </c>
    </row>
    <row r="5939" spans="2:18" x14ac:dyDescent="0.35">
      <c r="B5939" s="113">
        <v>46375</v>
      </c>
      <c r="C5939" s="4" t="s">
        <v>4068</v>
      </c>
      <c r="D5939" s="4" t="s">
        <v>4568</v>
      </c>
      <c r="E5939" s="1" t="str">
        <f>_xlfn.XLOOKUP(tblSales[[#This Row],[Customer ID]],tblCustomers[Customer ID],tblCustomers[Customer Name],"⚠ Unknown")</f>
        <v>Walk-in Customer</v>
      </c>
      <c r="F5939" s="4" t="s">
        <v>7</v>
      </c>
      <c r="G5939" s="1" t="str">
        <f>_xlfn.XLOOKUP(tblSales[[#This Row],[Product Code]],tblProducts[Code],tblProducts[Product / Service Name],"⚠ Unknown")</f>
        <v>Premium Basic T-shirt</v>
      </c>
      <c r="H5939" s="1" t="str">
        <f>_xlfn.XLOOKUP(tblSales[[#This Row],[Product Code]],tblProducts[Code],tblProducts[Category],"")</f>
        <v>Accessories &amp; Basics</v>
      </c>
      <c r="I5939" s="4">
        <v>9</v>
      </c>
      <c r="J5939" s="5">
        <f>_xlfn.XLOOKUP(tblSales[[#This Row],[Product Code]],tblProducts[Code],tblProducts[Selling Price (excl. VAT)],0)</f>
        <v>65000</v>
      </c>
      <c r="K5939" s="5">
        <f>tblSales[[#This Row],[Qty]]*tblSales[[#This Row],[Unit Price]]</f>
        <v>585000</v>
      </c>
      <c r="L5939" s="5">
        <f>ROUND(tblSales[[#This Row],[DPP (excl. VAT)]]*VATEff,0)</f>
        <v>64350</v>
      </c>
      <c r="M5939" s="5">
        <f>tblSales[[#This Row],[DPP (excl. VAT)]]+tblSales[[#This Row],[Output VAT]]</f>
        <v>649350</v>
      </c>
      <c r="N5939" s="5">
        <f>tblSales[[#This Row],[Qty]]*_xlfn.XLOOKUP(tblSales[[#This Row],[Product Code]],tblProducts[Code],tblProducts[Unit Cost],0)</f>
        <v>333000</v>
      </c>
      <c r="O5939" s="4" t="s">
        <v>4866</v>
      </c>
      <c r="P5939" s="4" t="s">
        <v>4861</v>
      </c>
      <c r="Q5939" s="1" t="str">
        <f>_xlfn.XLOOKUP(tblSales[[#This Row],[Channel Code]],tblChannels[Channel Code],tblChannels[Channel Name],"")</f>
        <v>Marketplace</v>
      </c>
      <c r="R5939" s="1">
        <f>MONTH(tblSales[[#This Row],[Date]])</f>
        <v>12</v>
      </c>
    </row>
    <row r="5940" spans="2:18" x14ac:dyDescent="0.35">
      <c r="B5940" s="113">
        <v>46375</v>
      </c>
      <c r="C5940" s="4" t="s">
        <v>4069</v>
      </c>
      <c r="D5940" s="4" t="s">
        <v>4568</v>
      </c>
      <c r="E5940" s="1" t="str">
        <f>_xlfn.XLOOKUP(tblSales[[#This Row],[Customer ID]],tblCustomers[Customer ID],tblCustomers[Customer Name],"⚠ Unknown")</f>
        <v>Walk-in Customer</v>
      </c>
      <c r="F5940" s="4" t="s">
        <v>7</v>
      </c>
      <c r="G5940" s="1" t="str">
        <f>_xlfn.XLOOKUP(tblSales[[#This Row],[Product Code]],tblProducts[Code],tblProducts[Product / Service Name],"⚠ Unknown")</f>
        <v>Premium Basic T-shirt</v>
      </c>
      <c r="H5940" s="1" t="str">
        <f>_xlfn.XLOOKUP(tblSales[[#This Row],[Product Code]],tblProducts[Code],tblProducts[Category],"")</f>
        <v>Accessories &amp; Basics</v>
      </c>
      <c r="I5940" s="4">
        <v>7</v>
      </c>
      <c r="J5940" s="5">
        <f>_xlfn.XLOOKUP(tblSales[[#This Row],[Product Code]],tblProducts[Code],tblProducts[Selling Price (excl. VAT)],0)</f>
        <v>65000</v>
      </c>
      <c r="K5940" s="5">
        <f>tblSales[[#This Row],[Qty]]*tblSales[[#This Row],[Unit Price]]</f>
        <v>455000</v>
      </c>
      <c r="L5940" s="5">
        <f>ROUND(tblSales[[#This Row],[DPP (excl. VAT)]]*VATEff,0)</f>
        <v>50050</v>
      </c>
      <c r="M5940" s="5">
        <f>tblSales[[#This Row],[DPP (excl. VAT)]]+tblSales[[#This Row],[Output VAT]]</f>
        <v>505050</v>
      </c>
      <c r="N5940" s="5">
        <f>tblSales[[#This Row],[Qty]]*_xlfn.XLOOKUP(tblSales[[#This Row],[Product Code]],tblProducts[Code],tblProducts[Unit Cost],0)</f>
        <v>259000</v>
      </c>
      <c r="O5940" s="4" t="s">
        <v>4865</v>
      </c>
      <c r="P5940" s="4" t="s">
        <v>4860</v>
      </c>
      <c r="Q5940" s="1" t="str">
        <f>_xlfn.XLOOKUP(tblSales[[#This Row],[Channel Code]],tblChannels[Channel Code],tblChannels[Channel Name],"")</f>
        <v>In-store</v>
      </c>
      <c r="R5940" s="1">
        <f>MONTH(tblSales[[#This Row],[Date]])</f>
        <v>12</v>
      </c>
    </row>
    <row r="5941" spans="2:18" x14ac:dyDescent="0.35">
      <c r="B5941" s="113">
        <v>46375</v>
      </c>
      <c r="C5941" s="4" t="s">
        <v>4070</v>
      </c>
      <c r="D5941" s="4" t="s">
        <v>4568</v>
      </c>
      <c r="E5941" s="1" t="str">
        <f>_xlfn.XLOOKUP(tblSales[[#This Row],[Customer ID]],tblCustomers[Customer ID],tblCustomers[Customer Name],"⚠ Unknown")</f>
        <v>Walk-in Customer</v>
      </c>
      <c r="F5941" s="4" t="s">
        <v>12</v>
      </c>
      <c r="G5941" s="1" t="str">
        <f>_xlfn.XLOOKUP(tblSales[[#This Row],[Product Code]],tblProducts[Code],tblProducts[Product / Service Name],"⚠ Unknown")</f>
        <v>Bomber Jacket</v>
      </c>
      <c r="H5941" s="1" t="str">
        <f>_xlfn.XLOOKUP(tblSales[[#This Row],[Product Code]],tblProducts[Code],tblProducts[Category],"")</f>
        <v>Apparel &amp; Footwear</v>
      </c>
      <c r="I5941" s="4">
        <v>6</v>
      </c>
      <c r="J5941" s="5">
        <f>_xlfn.XLOOKUP(tblSales[[#This Row],[Product Code]],tblProducts[Code],tblProducts[Selling Price (excl. VAT)],0)</f>
        <v>350000</v>
      </c>
      <c r="K5941" s="5">
        <f>tblSales[[#This Row],[Qty]]*tblSales[[#This Row],[Unit Price]]</f>
        <v>2100000</v>
      </c>
      <c r="L5941" s="5">
        <f>ROUND(tblSales[[#This Row],[DPP (excl. VAT)]]*VATEff,0)</f>
        <v>231000</v>
      </c>
      <c r="M5941" s="5">
        <f>tblSales[[#This Row],[DPP (excl. VAT)]]+tblSales[[#This Row],[Output VAT]]</f>
        <v>2331000</v>
      </c>
      <c r="N5941" s="5">
        <f>tblSales[[#This Row],[Qty]]*_xlfn.XLOOKUP(tblSales[[#This Row],[Product Code]],tblProducts[Code],tblProducts[Unit Cost],0)</f>
        <v>1260000</v>
      </c>
      <c r="O5941" s="4" t="s">
        <v>4865</v>
      </c>
      <c r="P5941" s="4" t="s">
        <v>4860</v>
      </c>
      <c r="Q5941" s="1" t="str">
        <f>_xlfn.XLOOKUP(tblSales[[#This Row],[Channel Code]],tblChannels[Channel Code],tblChannels[Channel Name],"")</f>
        <v>In-store</v>
      </c>
      <c r="R5941" s="1">
        <f>MONTH(tblSales[[#This Row],[Date]])</f>
        <v>12</v>
      </c>
    </row>
    <row r="5942" spans="2:18" x14ac:dyDescent="0.35">
      <c r="B5942" s="113">
        <v>46375</v>
      </c>
      <c r="C5942" s="4" t="s">
        <v>4070</v>
      </c>
      <c r="D5942" s="4" t="s">
        <v>4568</v>
      </c>
      <c r="E5942" s="1" t="str">
        <f>_xlfn.XLOOKUP(tblSales[[#This Row],[Customer ID]],tblCustomers[Customer ID],tblCustomers[Customer Name],"⚠ Unknown")</f>
        <v>Walk-in Customer</v>
      </c>
      <c r="F5942" s="4" t="s">
        <v>11</v>
      </c>
      <c r="G5942" s="1" t="str">
        <f>_xlfn.XLOOKUP(tblSales[[#This Row],[Product Code]],tblProducts[Code],tblProducts[Product / Service Name],"⚠ Unknown")</f>
        <v>Sneakers</v>
      </c>
      <c r="H5942" s="1" t="str">
        <f>_xlfn.XLOOKUP(tblSales[[#This Row],[Product Code]],tblProducts[Code],tblProducts[Category],"")</f>
        <v>Apparel &amp; Footwear</v>
      </c>
      <c r="I5942" s="4">
        <v>1</v>
      </c>
      <c r="J5942" s="5">
        <f>_xlfn.XLOOKUP(tblSales[[#This Row],[Product Code]],tblProducts[Code],tblProducts[Selling Price (excl. VAT)],0)</f>
        <v>250000</v>
      </c>
      <c r="K5942" s="5">
        <f>tblSales[[#This Row],[Qty]]*tblSales[[#This Row],[Unit Price]]</f>
        <v>250000</v>
      </c>
      <c r="L5942" s="5">
        <f>ROUND(tblSales[[#This Row],[DPP (excl. VAT)]]*VATEff,0)</f>
        <v>27500</v>
      </c>
      <c r="M5942" s="5">
        <f>tblSales[[#This Row],[DPP (excl. VAT)]]+tblSales[[#This Row],[Output VAT]]</f>
        <v>277500</v>
      </c>
      <c r="N5942" s="5">
        <f>tblSales[[#This Row],[Qty]]*_xlfn.XLOOKUP(tblSales[[#This Row],[Product Code]],tblProducts[Code],tblProducts[Unit Cost],0)</f>
        <v>155000</v>
      </c>
      <c r="O5942" s="4" t="s">
        <v>4865</v>
      </c>
      <c r="P5942" s="4" t="s">
        <v>4860</v>
      </c>
      <c r="Q5942" s="1" t="str">
        <f>_xlfn.XLOOKUP(tblSales[[#This Row],[Channel Code]],tblChannels[Channel Code],tblChannels[Channel Name],"")</f>
        <v>In-store</v>
      </c>
      <c r="R5942" s="1">
        <f>MONTH(tblSales[[#This Row],[Date]])</f>
        <v>12</v>
      </c>
    </row>
    <row r="5943" spans="2:18" x14ac:dyDescent="0.35">
      <c r="B5943" s="113">
        <v>46375</v>
      </c>
      <c r="C5943" s="4" t="s">
        <v>4071</v>
      </c>
      <c r="D5943" s="4" t="s">
        <v>4568</v>
      </c>
      <c r="E5943" s="1" t="str">
        <f>_xlfn.XLOOKUP(tblSales[[#This Row],[Customer ID]],tblCustomers[Customer ID],tblCustomers[Customer Name],"⚠ Unknown")</f>
        <v>Walk-in Customer</v>
      </c>
      <c r="F5943" s="4" t="s">
        <v>9</v>
      </c>
      <c r="G5943" s="1" t="str">
        <f>_xlfn.XLOOKUP(tblSales[[#This Row],[Product Code]],tblProducts[Code],tblProducts[Product / Service Name],"⚠ Unknown")</f>
        <v>Casual Shirt</v>
      </c>
      <c r="H5943" s="1" t="str">
        <f>_xlfn.XLOOKUP(tblSales[[#This Row],[Product Code]],tblProducts[Code],tblProducts[Category],"")</f>
        <v>Apparel &amp; Footwear</v>
      </c>
      <c r="I5943" s="4">
        <v>11</v>
      </c>
      <c r="J5943" s="5">
        <f>_xlfn.XLOOKUP(tblSales[[#This Row],[Product Code]],tblProducts[Code],tblProducts[Selling Price (excl. VAT)],0)</f>
        <v>120000</v>
      </c>
      <c r="K5943" s="5">
        <f>tblSales[[#This Row],[Qty]]*tblSales[[#This Row],[Unit Price]]</f>
        <v>1320000</v>
      </c>
      <c r="L5943" s="5">
        <f>ROUND(tblSales[[#This Row],[DPP (excl. VAT)]]*VATEff,0)</f>
        <v>145200</v>
      </c>
      <c r="M5943" s="5">
        <f>tblSales[[#This Row],[DPP (excl. VAT)]]+tblSales[[#This Row],[Output VAT]]</f>
        <v>1465200</v>
      </c>
      <c r="N5943" s="5">
        <f>tblSales[[#This Row],[Qty]]*_xlfn.XLOOKUP(tblSales[[#This Row],[Product Code]],tblProducts[Code],tblProducts[Unit Cost],0)</f>
        <v>792000</v>
      </c>
      <c r="O5943" s="4" t="s">
        <v>4866</v>
      </c>
      <c r="P5943" s="4" t="s">
        <v>4860</v>
      </c>
      <c r="Q5943" s="1" t="str">
        <f>_xlfn.XLOOKUP(tblSales[[#This Row],[Channel Code]],tblChannels[Channel Code],tblChannels[Channel Name],"")</f>
        <v>In-store</v>
      </c>
      <c r="R5943" s="1">
        <f>MONTH(tblSales[[#This Row],[Date]])</f>
        <v>12</v>
      </c>
    </row>
    <row r="5944" spans="2:18" x14ac:dyDescent="0.35">
      <c r="B5944" s="113">
        <v>46375</v>
      </c>
      <c r="C5944" s="4" t="s">
        <v>4072</v>
      </c>
      <c r="D5944" s="4" t="s">
        <v>4568</v>
      </c>
      <c r="E5944" s="1" t="str">
        <f>_xlfn.XLOOKUP(tblSales[[#This Row],[Customer ID]],tblCustomers[Customer ID],tblCustomers[Customer Name],"⚠ Unknown")</f>
        <v>Walk-in Customer</v>
      </c>
      <c r="F5944" s="4" t="s">
        <v>9</v>
      </c>
      <c r="G5944" s="1" t="str">
        <f>_xlfn.XLOOKUP(tblSales[[#This Row],[Product Code]],tblProducts[Code],tblProducts[Product / Service Name],"⚠ Unknown")</f>
        <v>Casual Shirt</v>
      </c>
      <c r="H5944" s="1" t="str">
        <f>_xlfn.XLOOKUP(tblSales[[#This Row],[Product Code]],tblProducts[Code],tblProducts[Category],"")</f>
        <v>Apparel &amp; Footwear</v>
      </c>
      <c r="I5944" s="4">
        <v>1</v>
      </c>
      <c r="J5944" s="5">
        <f>_xlfn.XLOOKUP(tblSales[[#This Row],[Product Code]],tblProducts[Code],tblProducts[Selling Price (excl. VAT)],0)</f>
        <v>120000</v>
      </c>
      <c r="K5944" s="5">
        <f>tblSales[[#This Row],[Qty]]*tblSales[[#This Row],[Unit Price]]</f>
        <v>120000</v>
      </c>
      <c r="L5944" s="5">
        <f>ROUND(tblSales[[#This Row],[DPP (excl. VAT)]]*VATEff,0)</f>
        <v>13200</v>
      </c>
      <c r="M5944" s="5">
        <f>tblSales[[#This Row],[DPP (excl. VAT)]]+tblSales[[#This Row],[Output VAT]]</f>
        <v>133200</v>
      </c>
      <c r="N5944" s="5">
        <f>tblSales[[#This Row],[Qty]]*_xlfn.XLOOKUP(tblSales[[#This Row],[Product Code]],tblProducts[Code],tblProducts[Unit Cost],0)</f>
        <v>72000</v>
      </c>
      <c r="O5944" s="4" t="s">
        <v>4866</v>
      </c>
      <c r="P5944" s="4" t="s">
        <v>4861</v>
      </c>
      <c r="Q5944" s="1" t="str">
        <f>_xlfn.XLOOKUP(tblSales[[#This Row],[Channel Code]],tblChannels[Channel Code],tblChannels[Channel Name],"")</f>
        <v>Marketplace</v>
      </c>
      <c r="R5944" s="1">
        <f>MONTH(tblSales[[#This Row],[Date]])</f>
        <v>12</v>
      </c>
    </row>
    <row r="5945" spans="2:18" x14ac:dyDescent="0.35">
      <c r="B5945" s="113">
        <v>46375</v>
      </c>
      <c r="C5945" s="4" t="s">
        <v>4073</v>
      </c>
      <c r="D5945" s="4" t="s">
        <v>4568</v>
      </c>
      <c r="E5945" s="1" t="str">
        <f>_xlfn.XLOOKUP(tblSales[[#This Row],[Customer ID]],tblCustomers[Customer ID],tblCustomers[Customer Name],"⚠ Unknown")</f>
        <v>Walk-in Customer</v>
      </c>
      <c r="F5945" s="4" t="s">
        <v>9</v>
      </c>
      <c r="G5945" s="1" t="str">
        <f>_xlfn.XLOOKUP(tblSales[[#This Row],[Product Code]],tblProducts[Code],tblProducts[Product / Service Name],"⚠ Unknown")</f>
        <v>Casual Shirt</v>
      </c>
      <c r="H5945" s="1" t="str">
        <f>_xlfn.XLOOKUP(tblSales[[#This Row],[Product Code]],tblProducts[Code],tblProducts[Category],"")</f>
        <v>Apparel &amp; Footwear</v>
      </c>
      <c r="I5945" s="4">
        <v>6</v>
      </c>
      <c r="J5945" s="5">
        <f>_xlfn.XLOOKUP(tblSales[[#This Row],[Product Code]],tblProducts[Code],tblProducts[Selling Price (excl. VAT)],0)</f>
        <v>120000</v>
      </c>
      <c r="K5945" s="5">
        <f>tblSales[[#This Row],[Qty]]*tblSales[[#This Row],[Unit Price]]</f>
        <v>720000</v>
      </c>
      <c r="L5945" s="5">
        <f>ROUND(tblSales[[#This Row],[DPP (excl. VAT)]]*VATEff,0)</f>
        <v>79200</v>
      </c>
      <c r="M5945" s="5">
        <f>tblSales[[#This Row],[DPP (excl. VAT)]]+tblSales[[#This Row],[Output VAT]]</f>
        <v>799200</v>
      </c>
      <c r="N5945" s="5">
        <f>tblSales[[#This Row],[Qty]]*_xlfn.XLOOKUP(tblSales[[#This Row],[Product Code]],tblProducts[Code],tblProducts[Unit Cost],0)</f>
        <v>432000</v>
      </c>
      <c r="O5945" s="4" t="s">
        <v>4865</v>
      </c>
      <c r="P5945" s="4" t="s">
        <v>4860</v>
      </c>
      <c r="Q5945" s="1" t="str">
        <f>_xlfn.XLOOKUP(tblSales[[#This Row],[Channel Code]],tblChannels[Channel Code],tblChannels[Channel Name],"")</f>
        <v>In-store</v>
      </c>
      <c r="R5945" s="1">
        <f>MONTH(tblSales[[#This Row],[Date]])</f>
        <v>12</v>
      </c>
    </row>
    <row r="5946" spans="2:18" x14ac:dyDescent="0.35">
      <c r="B5946" s="113">
        <v>46375</v>
      </c>
      <c r="C5946" s="4" t="s">
        <v>4074</v>
      </c>
      <c r="D5946" s="4" t="s">
        <v>4568</v>
      </c>
      <c r="E5946" s="1" t="str">
        <f>_xlfn.XLOOKUP(tblSales[[#This Row],[Customer ID]],tblCustomers[Customer ID],tblCustomers[Customer Name],"⚠ Unknown")</f>
        <v>Walk-in Customer</v>
      </c>
      <c r="F5946" s="4" t="s">
        <v>8</v>
      </c>
      <c r="G5946" s="1" t="str">
        <f>_xlfn.XLOOKUP(tblSales[[#This Row],[Product Code]],tblProducts[Code],tblProducts[Product / Service Name],"⚠ Unknown")</f>
        <v>Casual Shorts</v>
      </c>
      <c r="H5946" s="1" t="str">
        <f>_xlfn.XLOOKUP(tblSales[[#This Row],[Product Code]],tblProducts[Code],tblProducts[Category],"")</f>
        <v>Accessories &amp; Basics</v>
      </c>
      <c r="I5946" s="4">
        <v>8</v>
      </c>
      <c r="J5946" s="5">
        <f>_xlfn.XLOOKUP(tblSales[[#This Row],[Product Code]],tblProducts[Code],tblProducts[Selling Price (excl. VAT)],0)</f>
        <v>85000</v>
      </c>
      <c r="K5946" s="5">
        <f>tblSales[[#This Row],[Qty]]*tblSales[[#This Row],[Unit Price]]</f>
        <v>680000</v>
      </c>
      <c r="L5946" s="5">
        <f>ROUND(tblSales[[#This Row],[DPP (excl. VAT)]]*VATEff,0)</f>
        <v>74800</v>
      </c>
      <c r="M5946" s="5">
        <f>tblSales[[#This Row],[DPP (excl. VAT)]]+tblSales[[#This Row],[Output VAT]]</f>
        <v>754800</v>
      </c>
      <c r="N5946" s="5">
        <f>tblSales[[#This Row],[Qty]]*_xlfn.XLOOKUP(tblSales[[#This Row],[Product Code]],tblProducts[Code],tblProducts[Unit Cost],0)</f>
        <v>400000</v>
      </c>
      <c r="O5946" s="4" t="s">
        <v>4866</v>
      </c>
      <c r="P5946" s="4" t="s">
        <v>4862</v>
      </c>
      <c r="Q5946" s="1" t="str">
        <f>_xlfn.XLOOKUP(tblSales[[#This Row],[Channel Code]],tblChannels[Channel Code],tblChannels[Channel Name],"")</f>
        <v>Website &amp; Social Media</v>
      </c>
      <c r="R5946" s="1">
        <f>MONTH(tblSales[[#This Row],[Date]])</f>
        <v>12</v>
      </c>
    </row>
    <row r="5947" spans="2:18" x14ac:dyDescent="0.35">
      <c r="B5947" s="113">
        <v>46375</v>
      </c>
      <c r="C5947" s="4" t="s">
        <v>4074</v>
      </c>
      <c r="D5947" s="4" t="s">
        <v>4568</v>
      </c>
      <c r="E5947" s="1" t="str">
        <f>_xlfn.XLOOKUP(tblSales[[#This Row],[Customer ID]],tblCustomers[Customer ID],tblCustomers[Customer Name],"⚠ Unknown")</f>
        <v>Walk-in Customer</v>
      </c>
      <c r="F5947" s="4" t="s">
        <v>6</v>
      </c>
      <c r="G5947" s="1" t="str">
        <f>_xlfn.XLOOKUP(tblSales[[#This Row],[Product Code]],tblProducts[Code],tblProducts[Product / Service Name],"⚠ Unknown")</f>
        <v>Socks &amp; Accessories</v>
      </c>
      <c r="H5947" s="1" t="str">
        <f>_xlfn.XLOOKUP(tblSales[[#This Row],[Product Code]],tblProducts[Code],tblProducts[Category],"")</f>
        <v>Accessories &amp; Basics</v>
      </c>
      <c r="I5947" s="4">
        <v>6</v>
      </c>
      <c r="J5947" s="5">
        <f>_xlfn.XLOOKUP(tblSales[[#This Row],[Product Code]],tblProducts[Code],tblProducts[Selling Price (excl. VAT)],0)</f>
        <v>45000</v>
      </c>
      <c r="K5947" s="5">
        <f>tblSales[[#This Row],[Qty]]*tblSales[[#This Row],[Unit Price]]</f>
        <v>270000</v>
      </c>
      <c r="L5947" s="5">
        <f>ROUND(tblSales[[#This Row],[DPP (excl. VAT)]]*VATEff,0)</f>
        <v>29700</v>
      </c>
      <c r="M5947" s="5">
        <f>tblSales[[#This Row],[DPP (excl. VAT)]]+tblSales[[#This Row],[Output VAT]]</f>
        <v>299700</v>
      </c>
      <c r="N5947" s="5">
        <f>tblSales[[#This Row],[Qty]]*_xlfn.XLOOKUP(tblSales[[#This Row],[Product Code]],tblProducts[Code],tblProducts[Unit Cost],0)</f>
        <v>144000</v>
      </c>
      <c r="O5947" s="4" t="s">
        <v>4866</v>
      </c>
      <c r="P5947" s="4" t="s">
        <v>4862</v>
      </c>
      <c r="Q5947" s="1" t="str">
        <f>_xlfn.XLOOKUP(tblSales[[#This Row],[Channel Code]],tblChannels[Channel Code],tblChannels[Channel Name],"")</f>
        <v>Website &amp; Social Media</v>
      </c>
      <c r="R5947" s="1">
        <f>MONTH(tblSales[[#This Row],[Date]])</f>
        <v>12</v>
      </c>
    </row>
    <row r="5948" spans="2:18" x14ac:dyDescent="0.35">
      <c r="B5948" s="113">
        <v>46375</v>
      </c>
      <c r="C5948" s="4" t="s">
        <v>4075</v>
      </c>
      <c r="D5948" s="4" t="s">
        <v>4568</v>
      </c>
      <c r="E5948" s="1" t="str">
        <f>_xlfn.XLOOKUP(tblSales[[#This Row],[Customer ID]],tblCustomers[Customer ID],tblCustomers[Customer Name],"⚠ Unknown")</f>
        <v>Walk-in Customer</v>
      </c>
      <c r="F5948" s="4" t="s">
        <v>9</v>
      </c>
      <c r="G5948" s="1" t="str">
        <f>_xlfn.XLOOKUP(tblSales[[#This Row],[Product Code]],tblProducts[Code],tblProducts[Product / Service Name],"⚠ Unknown")</f>
        <v>Casual Shirt</v>
      </c>
      <c r="H5948" s="1" t="str">
        <f>_xlfn.XLOOKUP(tblSales[[#This Row],[Product Code]],tblProducts[Code],tblProducts[Category],"")</f>
        <v>Apparel &amp; Footwear</v>
      </c>
      <c r="I5948" s="4">
        <v>9</v>
      </c>
      <c r="J5948" s="5">
        <f>_xlfn.XLOOKUP(tblSales[[#This Row],[Product Code]],tblProducts[Code],tblProducts[Selling Price (excl. VAT)],0)</f>
        <v>120000</v>
      </c>
      <c r="K5948" s="5">
        <f>tblSales[[#This Row],[Qty]]*tblSales[[#This Row],[Unit Price]]</f>
        <v>1080000</v>
      </c>
      <c r="L5948" s="5">
        <f>ROUND(tblSales[[#This Row],[DPP (excl. VAT)]]*VATEff,0)</f>
        <v>118800</v>
      </c>
      <c r="M5948" s="5">
        <f>tblSales[[#This Row],[DPP (excl. VAT)]]+tblSales[[#This Row],[Output VAT]]</f>
        <v>1198800</v>
      </c>
      <c r="N5948" s="5">
        <f>tblSales[[#This Row],[Qty]]*_xlfn.XLOOKUP(tblSales[[#This Row],[Product Code]],tblProducts[Code],tblProducts[Unit Cost],0)</f>
        <v>648000</v>
      </c>
      <c r="O5948" s="4" t="s">
        <v>4865</v>
      </c>
      <c r="P5948" s="4" t="s">
        <v>4860</v>
      </c>
      <c r="Q5948" s="1" t="str">
        <f>_xlfn.XLOOKUP(tblSales[[#This Row],[Channel Code]],tblChannels[Channel Code],tblChannels[Channel Name],"")</f>
        <v>In-store</v>
      </c>
      <c r="R5948" s="1">
        <f>MONTH(tblSales[[#This Row],[Date]])</f>
        <v>12</v>
      </c>
    </row>
    <row r="5949" spans="2:18" x14ac:dyDescent="0.35">
      <c r="B5949" s="113">
        <v>46375</v>
      </c>
      <c r="C5949" s="4" t="s">
        <v>4076</v>
      </c>
      <c r="D5949" s="4" t="s">
        <v>4613</v>
      </c>
      <c r="E5949" s="1" t="str">
        <f>_xlfn.XLOOKUP(tblSales[[#This Row],[Customer ID]],tblCustomers[Customer ID],tblCustomers[Customer Name],"⚠ Unknown")</f>
        <v>PT Mega Prima Distribusi</v>
      </c>
      <c r="F5949" s="4" t="s">
        <v>9</v>
      </c>
      <c r="G5949" s="1" t="str">
        <f>_xlfn.XLOOKUP(tblSales[[#This Row],[Product Code]],tblProducts[Code],tblProducts[Product / Service Name],"⚠ Unknown")</f>
        <v>Casual Shirt</v>
      </c>
      <c r="H5949" s="1" t="str">
        <f>_xlfn.XLOOKUP(tblSales[[#This Row],[Product Code]],tblProducts[Code],tblProducts[Category],"")</f>
        <v>Apparel &amp; Footwear</v>
      </c>
      <c r="I5949" s="4">
        <v>32</v>
      </c>
      <c r="J5949" s="5">
        <f>_xlfn.XLOOKUP(tblSales[[#This Row],[Product Code]],tblProducts[Code],tblProducts[Selling Price (excl. VAT)],0)</f>
        <v>120000</v>
      </c>
      <c r="K5949" s="5">
        <f>tblSales[[#This Row],[Qty]]*tblSales[[#This Row],[Unit Price]]</f>
        <v>3840000</v>
      </c>
      <c r="L5949" s="5">
        <f>ROUND(tblSales[[#This Row],[DPP (excl. VAT)]]*VATEff,0)</f>
        <v>422400</v>
      </c>
      <c r="M5949" s="5">
        <f>tblSales[[#This Row],[DPP (excl. VAT)]]+tblSales[[#This Row],[Output VAT]]</f>
        <v>4262400</v>
      </c>
      <c r="N5949" s="5">
        <f>tblSales[[#This Row],[Qty]]*_xlfn.XLOOKUP(tblSales[[#This Row],[Product Code]],tblProducts[Code],tblProducts[Unit Cost],0)</f>
        <v>2304000</v>
      </c>
      <c r="O5949" s="4" t="s">
        <v>4867</v>
      </c>
      <c r="P5949" s="4" t="s">
        <v>4860</v>
      </c>
      <c r="Q5949" s="1" t="str">
        <f>_xlfn.XLOOKUP(tblSales[[#This Row],[Channel Code]],tblChannels[Channel Code],tblChannels[Channel Name],"")</f>
        <v>In-store</v>
      </c>
      <c r="R5949" s="1">
        <f>MONTH(tblSales[[#This Row],[Date]])</f>
        <v>12</v>
      </c>
    </row>
    <row r="5950" spans="2:18" x14ac:dyDescent="0.35">
      <c r="B5950" s="113">
        <v>46375</v>
      </c>
      <c r="C5950" s="4" t="s">
        <v>4077</v>
      </c>
      <c r="D5950" s="4" t="s">
        <v>4568</v>
      </c>
      <c r="E5950" s="1" t="str">
        <f>_xlfn.XLOOKUP(tblSales[[#This Row],[Customer ID]],tblCustomers[Customer ID],tblCustomers[Customer Name],"⚠ Unknown")</f>
        <v>Walk-in Customer</v>
      </c>
      <c r="F5950" s="4" t="s">
        <v>7</v>
      </c>
      <c r="G5950" s="1" t="str">
        <f>_xlfn.XLOOKUP(tblSales[[#This Row],[Product Code]],tblProducts[Code],tblProducts[Product / Service Name],"⚠ Unknown")</f>
        <v>Premium Basic T-shirt</v>
      </c>
      <c r="H5950" s="1" t="str">
        <f>_xlfn.XLOOKUP(tblSales[[#This Row],[Product Code]],tblProducts[Code],tblProducts[Category],"")</f>
        <v>Accessories &amp; Basics</v>
      </c>
      <c r="I5950" s="4">
        <v>9</v>
      </c>
      <c r="J5950" s="5">
        <f>_xlfn.XLOOKUP(tblSales[[#This Row],[Product Code]],tblProducts[Code],tblProducts[Selling Price (excl. VAT)],0)</f>
        <v>65000</v>
      </c>
      <c r="K5950" s="5">
        <f>tblSales[[#This Row],[Qty]]*tblSales[[#This Row],[Unit Price]]</f>
        <v>585000</v>
      </c>
      <c r="L5950" s="5">
        <f>ROUND(tblSales[[#This Row],[DPP (excl. VAT)]]*VATEff,0)</f>
        <v>64350</v>
      </c>
      <c r="M5950" s="5">
        <f>tblSales[[#This Row],[DPP (excl. VAT)]]+tblSales[[#This Row],[Output VAT]]</f>
        <v>649350</v>
      </c>
      <c r="N5950" s="5">
        <f>tblSales[[#This Row],[Qty]]*_xlfn.XLOOKUP(tblSales[[#This Row],[Product Code]],tblProducts[Code],tblProducts[Unit Cost],0)</f>
        <v>333000</v>
      </c>
      <c r="O5950" s="4" t="s">
        <v>4866</v>
      </c>
      <c r="P5950" s="4" t="s">
        <v>4861</v>
      </c>
      <c r="Q5950" s="1" t="str">
        <f>_xlfn.XLOOKUP(tblSales[[#This Row],[Channel Code]],tblChannels[Channel Code],tblChannels[Channel Name],"")</f>
        <v>Marketplace</v>
      </c>
      <c r="R5950" s="1">
        <f>MONTH(tblSales[[#This Row],[Date]])</f>
        <v>12</v>
      </c>
    </row>
    <row r="5951" spans="2:18" x14ac:dyDescent="0.35">
      <c r="B5951" s="113">
        <v>46375</v>
      </c>
      <c r="C5951" s="4" t="s">
        <v>4078</v>
      </c>
      <c r="D5951" s="4" t="s">
        <v>4568</v>
      </c>
      <c r="E5951" s="1" t="str">
        <f>_xlfn.XLOOKUP(tblSales[[#This Row],[Customer ID]],tblCustomers[Customer ID],tblCustomers[Customer Name],"⚠ Unknown")</f>
        <v>Walk-in Customer</v>
      </c>
      <c r="F5951" s="4" t="s">
        <v>13</v>
      </c>
      <c r="G5951" s="1" t="str">
        <f>_xlfn.XLOOKUP(tblSales[[#This Row],[Product Code]],tblProducts[Code],tblProducts[Product / Service Name],"⚠ Unknown")</f>
        <v>Backpack</v>
      </c>
      <c r="H5951" s="1" t="str">
        <f>_xlfn.XLOOKUP(tblSales[[#This Row],[Product Code]],tblProducts[Code],tblProducts[Category],"")</f>
        <v>Bags &amp; Gadgets</v>
      </c>
      <c r="I5951" s="4">
        <v>6</v>
      </c>
      <c r="J5951" s="5">
        <f>_xlfn.XLOOKUP(tblSales[[#This Row],[Product Code]],tblProducts[Code],tblProducts[Selling Price (excl. VAT)],0)</f>
        <v>500000</v>
      </c>
      <c r="K5951" s="5">
        <f>tblSales[[#This Row],[Qty]]*tblSales[[#This Row],[Unit Price]]</f>
        <v>3000000</v>
      </c>
      <c r="L5951" s="5">
        <f>ROUND(tblSales[[#This Row],[DPP (excl. VAT)]]*VATEff,0)</f>
        <v>330000</v>
      </c>
      <c r="M5951" s="5">
        <f>tblSales[[#This Row],[DPP (excl. VAT)]]+tblSales[[#This Row],[Output VAT]]</f>
        <v>3330000</v>
      </c>
      <c r="N5951" s="5">
        <f>tblSales[[#This Row],[Qty]]*_xlfn.XLOOKUP(tblSales[[#This Row],[Product Code]],tblProducts[Code],tblProducts[Unit Cost],0)</f>
        <v>1740000</v>
      </c>
      <c r="O5951" s="4" t="s">
        <v>4866</v>
      </c>
      <c r="P5951" s="4" t="s">
        <v>4861</v>
      </c>
      <c r="Q5951" s="1" t="str">
        <f>_xlfn.XLOOKUP(tblSales[[#This Row],[Channel Code]],tblChannels[Channel Code],tblChannels[Channel Name],"")</f>
        <v>Marketplace</v>
      </c>
      <c r="R5951" s="1">
        <f>MONTH(tblSales[[#This Row],[Date]])</f>
        <v>12</v>
      </c>
    </row>
    <row r="5952" spans="2:18" x14ac:dyDescent="0.35">
      <c r="B5952" s="113">
        <v>46375</v>
      </c>
      <c r="C5952" s="4" t="s">
        <v>4078</v>
      </c>
      <c r="D5952" s="4" t="s">
        <v>4568</v>
      </c>
      <c r="E5952" s="1" t="str">
        <f>_xlfn.XLOOKUP(tblSales[[#This Row],[Customer ID]],tblCustomers[Customer ID],tblCustomers[Customer Name],"⚠ Unknown")</f>
        <v>Walk-in Customer</v>
      </c>
      <c r="F5952" s="4" t="s">
        <v>12</v>
      </c>
      <c r="G5952" s="1" t="str">
        <f>_xlfn.XLOOKUP(tblSales[[#This Row],[Product Code]],tblProducts[Code],tblProducts[Product / Service Name],"⚠ Unknown")</f>
        <v>Bomber Jacket</v>
      </c>
      <c r="H5952" s="1" t="str">
        <f>_xlfn.XLOOKUP(tblSales[[#This Row],[Product Code]],tblProducts[Code],tblProducts[Category],"")</f>
        <v>Apparel &amp; Footwear</v>
      </c>
      <c r="I5952" s="4">
        <v>1</v>
      </c>
      <c r="J5952" s="5">
        <f>_xlfn.XLOOKUP(tblSales[[#This Row],[Product Code]],tblProducts[Code],tblProducts[Selling Price (excl. VAT)],0)</f>
        <v>350000</v>
      </c>
      <c r="K5952" s="5">
        <f>tblSales[[#This Row],[Qty]]*tblSales[[#This Row],[Unit Price]]</f>
        <v>350000</v>
      </c>
      <c r="L5952" s="5">
        <f>ROUND(tblSales[[#This Row],[DPP (excl. VAT)]]*VATEff,0)</f>
        <v>38500</v>
      </c>
      <c r="M5952" s="5">
        <f>tblSales[[#This Row],[DPP (excl. VAT)]]+tblSales[[#This Row],[Output VAT]]</f>
        <v>388500</v>
      </c>
      <c r="N5952" s="5">
        <f>tblSales[[#This Row],[Qty]]*_xlfn.XLOOKUP(tblSales[[#This Row],[Product Code]],tblProducts[Code],tblProducts[Unit Cost],0)</f>
        <v>210000</v>
      </c>
      <c r="O5952" s="4" t="s">
        <v>4866</v>
      </c>
      <c r="P5952" s="4" t="s">
        <v>4861</v>
      </c>
      <c r="Q5952" s="1" t="str">
        <f>_xlfn.XLOOKUP(tblSales[[#This Row],[Channel Code]],tblChannels[Channel Code],tblChannels[Channel Name],"")</f>
        <v>Marketplace</v>
      </c>
      <c r="R5952" s="1">
        <f>MONTH(tblSales[[#This Row],[Date]])</f>
        <v>12</v>
      </c>
    </row>
    <row r="5953" spans="2:18" x14ac:dyDescent="0.35">
      <c r="B5953" s="113">
        <v>46375</v>
      </c>
      <c r="C5953" s="4" t="s">
        <v>4078</v>
      </c>
      <c r="D5953" s="4" t="s">
        <v>4568</v>
      </c>
      <c r="E5953" s="1" t="str">
        <f>_xlfn.XLOOKUP(tblSales[[#This Row],[Customer ID]],tblCustomers[Customer ID],tblCustomers[Customer Name],"⚠ Unknown")</f>
        <v>Walk-in Customer</v>
      </c>
      <c r="F5953" s="4" t="s">
        <v>7</v>
      </c>
      <c r="G5953" s="1" t="str">
        <f>_xlfn.XLOOKUP(tblSales[[#This Row],[Product Code]],tblProducts[Code],tblProducts[Product / Service Name],"⚠ Unknown")</f>
        <v>Premium Basic T-shirt</v>
      </c>
      <c r="H5953" s="1" t="str">
        <f>_xlfn.XLOOKUP(tblSales[[#This Row],[Product Code]],tblProducts[Code],tblProducts[Category],"")</f>
        <v>Accessories &amp; Basics</v>
      </c>
      <c r="I5953" s="4">
        <v>1</v>
      </c>
      <c r="J5953" s="5">
        <f>_xlfn.XLOOKUP(tblSales[[#This Row],[Product Code]],tblProducts[Code],tblProducts[Selling Price (excl. VAT)],0)</f>
        <v>65000</v>
      </c>
      <c r="K5953" s="5">
        <f>tblSales[[#This Row],[Qty]]*tblSales[[#This Row],[Unit Price]]</f>
        <v>65000</v>
      </c>
      <c r="L5953" s="5">
        <f>ROUND(tblSales[[#This Row],[DPP (excl. VAT)]]*VATEff,0)</f>
        <v>7150</v>
      </c>
      <c r="M5953" s="5">
        <f>tblSales[[#This Row],[DPP (excl. VAT)]]+tblSales[[#This Row],[Output VAT]]</f>
        <v>72150</v>
      </c>
      <c r="N5953" s="5">
        <f>tblSales[[#This Row],[Qty]]*_xlfn.XLOOKUP(tblSales[[#This Row],[Product Code]],tblProducts[Code],tblProducts[Unit Cost],0)</f>
        <v>37000</v>
      </c>
      <c r="O5953" s="4" t="s">
        <v>4866</v>
      </c>
      <c r="P5953" s="4" t="s">
        <v>4861</v>
      </c>
      <c r="Q5953" s="1" t="str">
        <f>_xlfn.XLOOKUP(tblSales[[#This Row],[Channel Code]],tblChannels[Channel Code],tblChannels[Channel Name],"")</f>
        <v>Marketplace</v>
      </c>
      <c r="R5953" s="1">
        <f>MONTH(tblSales[[#This Row],[Date]])</f>
        <v>12</v>
      </c>
    </row>
    <row r="5954" spans="2:18" x14ac:dyDescent="0.35">
      <c r="B5954" s="113">
        <v>46375</v>
      </c>
      <c r="C5954" s="4" t="s">
        <v>4079</v>
      </c>
      <c r="D5954" s="4" t="s">
        <v>4568</v>
      </c>
      <c r="E5954" s="1" t="str">
        <f>_xlfn.XLOOKUP(tblSales[[#This Row],[Customer ID]],tblCustomers[Customer ID],tblCustomers[Customer Name],"⚠ Unknown")</f>
        <v>Walk-in Customer</v>
      </c>
      <c r="F5954" s="4" t="s">
        <v>10</v>
      </c>
      <c r="G5954" s="1" t="str">
        <f>_xlfn.XLOOKUP(tblSales[[#This Row],[Product Code]],tblProducts[Code],tblProducts[Product / Service Name],"⚠ Unknown")</f>
        <v>Chino Pants</v>
      </c>
      <c r="H5954" s="1" t="str">
        <f>_xlfn.XLOOKUP(tblSales[[#This Row],[Product Code]],tblProducts[Code],tblProducts[Category],"")</f>
        <v>Apparel &amp; Footwear</v>
      </c>
      <c r="I5954" s="4">
        <v>4</v>
      </c>
      <c r="J5954" s="5">
        <f>_xlfn.XLOOKUP(tblSales[[#This Row],[Product Code]],tblProducts[Code],tblProducts[Selling Price (excl. VAT)],0)</f>
        <v>150000</v>
      </c>
      <c r="K5954" s="5">
        <f>tblSales[[#This Row],[Qty]]*tblSales[[#This Row],[Unit Price]]</f>
        <v>600000</v>
      </c>
      <c r="L5954" s="5">
        <f>ROUND(tblSales[[#This Row],[DPP (excl. VAT)]]*VATEff,0)</f>
        <v>66000</v>
      </c>
      <c r="M5954" s="5">
        <f>tblSales[[#This Row],[DPP (excl. VAT)]]+tblSales[[#This Row],[Output VAT]]</f>
        <v>666000</v>
      </c>
      <c r="N5954" s="5">
        <f>tblSales[[#This Row],[Qty]]*_xlfn.XLOOKUP(tblSales[[#This Row],[Product Code]],tblProducts[Code],tblProducts[Unit Cost],0)</f>
        <v>352000</v>
      </c>
      <c r="O5954" s="4" t="s">
        <v>4866</v>
      </c>
      <c r="P5954" s="4" t="s">
        <v>4861</v>
      </c>
      <c r="Q5954" s="1" t="str">
        <f>_xlfn.XLOOKUP(tblSales[[#This Row],[Channel Code]],tblChannels[Channel Code],tblChannels[Channel Name],"")</f>
        <v>Marketplace</v>
      </c>
      <c r="R5954" s="1">
        <f>MONTH(tblSales[[#This Row],[Date]])</f>
        <v>12</v>
      </c>
    </row>
    <row r="5955" spans="2:18" x14ac:dyDescent="0.35">
      <c r="B5955" s="113">
        <v>46376</v>
      </c>
      <c r="C5955" s="4" t="s">
        <v>4080</v>
      </c>
      <c r="D5955" s="4" t="s">
        <v>4568</v>
      </c>
      <c r="E5955" s="1" t="str">
        <f>_xlfn.XLOOKUP(tblSales[[#This Row],[Customer ID]],tblCustomers[Customer ID],tblCustomers[Customer Name],"⚠ Unknown")</f>
        <v>Walk-in Customer</v>
      </c>
      <c r="F5955" s="4" t="s">
        <v>7</v>
      </c>
      <c r="G5955" s="1" t="str">
        <f>_xlfn.XLOOKUP(tblSales[[#This Row],[Product Code]],tblProducts[Code],tblProducts[Product / Service Name],"⚠ Unknown")</f>
        <v>Premium Basic T-shirt</v>
      </c>
      <c r="H5955" s="1" t="str">
        <f>_xlfn.XLOOKUP(tblSales[[#This Row],[Product Code]],tblProducts[Code],tblProducts[Category],"")</f>
        <v>Accessories &amp; Basics</v>
      </c>
      <c r="I5955" s="4">
        <v>9</v>
      </c>
      <c r="J5955" s="5">
        <f>_xlfn.XLOOKUP(tblSales[[#This Row],[Product Code]],tblProducts[Code],tblProducts[Selling Price (excl. VAT)],0)</f>
        <v>65000</v>
      </c>
      <c r="K5955" s="5">
        <f>tblSales[[#This Row],[Qty]]*tblSales[[#This Row],[Unit Price]]</f>
        <v>585000</v>
      </c>
      <c r="L5955" s="5">
        <f>ROUND(tblSales[[#This Row],[DPP (excl. VAT)]]*VATEff,0)</f>
        <v>64350</v>
      </c>
      <c r="M5955" s="5">
        <f>tblSales[[#This Row],[DPP (excl. VAT)]]+tblSales[[#This Row],[Output VAT]]</f>
        <v>649350</v>
      </c>
      <c r="N5955" s="5">
        <f>tblSales[[#This Row],[Qty]]*_xlfn.XLOOKUP(tblSales[[#This Row],[Product Code]],tblProducts[Code],tblProducts[Unit Cost],0)</f>
        <v>333000</v>
      </c>
      <c r="O5955" s="4" t="s">
        <v>4866</v>
      </c>
      <c r="P5955" s="4" t="s">
        <v>4862</v>
      </c>
      <c r="Q5955" s="1" t="str">
        <f>_xlfn.XLOOKUP(tblSales[[#This Row],[Channel Code]],tblChannels[Channel Code],tblChannels[Channel Name],"")</f>
        <v>Website &amp; Social Media</v>
      </c>
      <c r="R5955" s="1">
        <f>MONTH(tblSales[[#This Row],[Date]])</f>
        <v>12</v>
      </c>
    </row>
    <row r="5956" spans="2:18" x14ac:dyDescent="0.35">
      <c r="B5956" s="113">
        <v>46376</v>
      </c>
      <c r="C5956" s="4" t="s">
        <v>4081</v>
      </c>
      <c r="D5956" s="4" t="s">
        <v>4568</v>
      </c>
      <c r="E5956" s="1" t="str">
        <f>_xlfn.XLOOKUP(tblSales[[#This Row],[Customer ID]],tblCustomers[Customer ID],tblCustomers[Customer Name],"⚠ Unknown")</f>
        <v>Walk-in Customer</v>
      </c>
      <c r="F5956" s="4" t="s">
        <v>9</v>
      </c>
      <c r="G5956" s="1" t="str">
        <f>_xlfn.XLOOKUP(tblSales[[#This Row],[Product Code]],tblProducts[Code],tblProducts[Product / Service Name],"⚠ Unknown")</f>
        <v>Casual Shirt</v>
      </c>
      <c r="H5956" s="1" t="str">
        <f>_xlfn.XLOOKUP(tblSales[[#This Row],[Product Code]],tblProducts[Code],tblProducts[Category],"")</f>
        <v>Apparel &amp; Footwear</v>
      </c>
      <c r="I5956" s="4">
        <v>5</v>
      </c>
      <c r="J5956" s="5">
        <f>_xlfn.XLOOKUP(tblSales[[#This Row],[Product Code]],tblProducts[Code],tblProducts[Selling Price (excl. VAT)],0)</f>
        <v>120000</v>
      </c>
      <c r="K5956" s="5">
        <f>tblSales[[#This Row],[Qty]]*tblSales[[#This Row],[Unit Price]]</f>
        <v>600000</v>
      </c>
      <c r="L5956" s="5">
        <f>ROUND(tblSales[[#This Row],[DPP (excl. VAT)]]*VATEff,0)</f>
        <v>66000</v>
      </c>
      <c r="M5956" s="5">
        <f>tblSales[[#This Row],[DPP (excl. VAT)]]+tblSales[[#This Row],[Output VAT]]</f>
        <v>666000</v>
      </c>
      <c r="N5956" s="5">
        <f>tblSales[[#This Row],[Qty]]*_xlfn.XLOOKUP(tblSales[[#This Row],[Product Code]],tblProducts[Code],tblProducts[Unit Cost],0)</f>
        <v>360000</v>
      </c>
      <c r="O5956" s="4" t="s">
        <v>4866</v>
      </c>
      <c r="P5956" s="4" t="s">
        <v>4862</v>
      </c>
      <c r="Q5956" s="1" t="str">
        <f>_xlfn.XLOOKUP(tblSales[[#This Row],[Channel Code]],tblChannels[Channel Code],tblChannels[Channel Name],"")</f>
        <v>Website &amp; Social Media</v>
      </c>
      <c r="R5956" s="1">
        <f>MONTH(tblSales[[#This Row],[Date]])</f>
        <v>12</v>
      </c>
    </row>
    <row r="5957" spans="2:18" x14ac:dyDescent="0.35">
      <c r="B5957" s="113">
        <v>46376</v>
      </c>
      <c r="C5957" s="4" t="s">
        <v>4082</v>
      </c>
      <c r="D5957" s="4" t="s">
        <v>4585</v>
      </c>
      <c r="E5957" s="1" t="str">
        <f>_xlfn.XLOOKUP(tblSales[[#This Row],[Customer ID]],tblCustomers[Customer ID],tblCustomers[Customer Name],"⚠ Unknown")</f>
        <v>CV Mitra Karya Mandiri</v>
      </c>
      <c r="F5957" s="4" t="s">
        <v>8</v>
      </c>
      <c r="G5957" s="1" t="str">
        <f>_xlfn.XLOOKUP(tblSales[[#This Row],[Product Code]],tblProducts[Code],tblProducts[Product / Service Name],"⚠ Unknown")</f>
        <v>Casual Shorts</v>
      </c>
      <c r="H5957" s="1" t="str">
        <f>_xlfn.XLOOKUP(tblSales[[#This Row],[Product Code]],tblProducts[Code],tblProducts[Category],"")</f>
        <v>Accessories &amp; Basics</v>
      </c>
      <c r="I5957" s="4">
        <v>48</v>
      </c>
      <c r="J5957" s="5">
        <f>_xlfn.XLOOKUP(tblSales[[#This Row],[Product Code]],tblProducts[Code],tblProducts[Selling Price (excl. VAT)],0)</f>
        <v>85000</v>
      </c>
      <c r="K5957" s="5">
        <f>tblSales[[#This Row],[Qty]]*tblSales[[#This Row],[Unit Price]]</f>
        <v>4080000</v>
      </c>
      <c r="L5957" s="5">
        <f>ROUND(tblSales[[#This Row],[DPP (excl. VAT)]]*VATEff,0)</f>
        <v>448800</v>
      </c>
      <c r="M5957" s="5">
        <f>tblSales[[#This Row],[DPP (excl. VAT)]]+tblSales[[#This Row],[Output VAT]]</f>
        <v>4528800</v>
      </c>
      <c r="N5957" s="5">
        <f>tblSales[[#This Row],[Qty]]*_xlfn.XLOOKUP(tblSales[[#This Row],[Product Code]],tblProducts[Code],tblProducts[Unit Cost],0)</f>
        <v>2400000</v>
      </c>
      <c r="O5957" s="4" t="s">
        <v>4867</v>
      </c>
      <c r="P5957" s="4" t="s">
        <v>4860</v>
      </c>
      <c r="Q5957" s="1" t="str">
        <f>_xlfn.XLOOKUP(tblSales[[#This Row],[Channel Code]],tblChannels[Channel Code],tblChannels[Channel Name],"")</f>
        <v>In-store</v>
      </c>
      <c r="R5957" s="1">
        <f>MONTH(tblSales[[#This Row],[Date]])</f>
        <v>12</v>
      </c>
    </row>
    <row r="5958" spans="2:18" x14ac:dyDescent="0.35">
      <c r="B5958" s="113">
        <v>46376</v>
      </c>
      <c r="C5958" s="4" t="s">
        <v>4083</v>
      </c>
      <c r="D5958" s="4" t="s">
        <v>4568</v>
      </c>
      <c r="E5958" s="1" t="str">
        <f>_xlfn.XLOOKUP(tblSales[[#This Row],[Customer ID]],tblCustomers[Customer ID],tblCustomers[Customer Name],"⚠ Unknown")</f>
        <v>Walk-in Customer</v>
      </c>
      <c r="F5958" s="4" t="s">
        <v>8</v>
      </c>
      <c r="G5958" s="1" t="str">
        <f>_xlfn.XLOOKUP(tblSales[[#This Row],[Product Code]],tblProducts[Code],tblProducts[Product / Service Name],"⚠ Unknown")</f>
        <v>Casual Shorts</v>
      </c>
      <c r="H5958" s="1" t="str">
        <f>_xlfn.XLOOKUP(tblSales[[#This Row],[Product Code]],tblProducts[Code],tblProducts[Category],"")</f>
        <v>Accessories &amp; Basics</v>
      </c>
      <c r="I5958" s="4">
        <v>2</v>
      </c>
      <c r="J5958" s="5">
        <f>_xlfn.XLOOKUP(tblSales[[#This Row],[Product Code]],tblProducts[Code],tblProducts[Selling Price (excl. VAT)],0)</f>
        <v>85000</v>
      </c>
      <c r="K5958" s="5">
        <f>tblSales[[#This Row],[Qty]]*tblSales[[#This Row],[Unit Price]]</f>
        <v>170000</v>
      </c>
      <c r="L5958" s="5">
        <f>ROUND(tblSales[[#This Row],[DPP (excl. VAT)]]*VATEff,0)</f>
        <v>18700</v>
      </c>
      <c r="M5958" s="5">
        <f>tblSales[[#This Row],[DPP (excl. VAT)]]+tblSales[[#This Row],[Output VAT]]</f>
        <v>188700</v>
      </c>
      <c r="N5958" s="5">
        <f>tblSales[[#This Row],[Qty]]*_xlfn.XLOOKUP(tblSales[[#This Row],[Product Code]],tblProducts[Code],tblProducts[Unit Cost],0)</f>
        <v>100000</v>
      </c>
      <c r="O5958" s="4" t="s">
        <v>4865</v>
      </c>
      <c r="P5958" s="4" t="s">
        <v>4860</v>
      </c>
      <c r="Q5958" s="1" t="str">
        <f>_xlfn.XLOOKUP(tblSales[[#This Row],[Channel Code]],tblChannels[Channel Code],tblChannels[Channel Name],"")</f>
        <v>In-store</v>
      </c>
      <c r="R5958" s="1">
        <f>MONTH(tblSales[[#This Row],[Date]])</f>
        <v>12</v>
      </c>
    </row>
    <row r="5959" spans="2:18" x14ac:dyDescent="0.35">
      <c r="B5959" s="113">
        <v>46376</v>
      </c>
      <c r="C5959" s="4" t="s">
        <v>4083</v>
      </c>
      <c r="D5959" s="4" t="s">
        <v>4568</v>
      </c>
      <c r="E5959" s="1" t="str">
        <f>_xlfn.XLOOKUP(tblSales[[#This Row],[Customer ID]],tblCustomers[Customer ID],tblCustomers[Customer Name],"⚠ Unknown")</f>
        <v>Walk-in Customer</v>
      </c>
      <c r="F5959" s="4" t="s">
        <v>7</v>
      </c>
      <c r="G5959" s="1" t="str">
        <f>_xlfn.XLOOKUP(tblSales[[#This Row],[Product Code]],tblProducts[Code],tblProducts[Product / Service Name],"⚠ Unknown")</f>
        <v>Premium Basic T-shirt</v>
      </c>
      <c r="H5959" s="1" t="str">
        <f>_xlfn.XLOOKUP(tblSales[[#This Row],[Product Code]],tblProducts[Code],tblProducts[Category],"")</f>
        <v>Accessories &amp; Basics</v>
      </c>
      <c r="I5959" s="4">
        <v>2</v>
      </c>
      <c r="J5959" s="5">
        <f>_xlfn.XLOOKUP(tblSales[[#This Row],[Product Code]],tblProducts[Code],tblProducts[Selling Price (excl. VAT)],0)</f>
        <v>65000</v>
      </c>
      <c r="K5959" s="5">
        <f>tblSales[[#This Row],[Qty]]*tblSales[[#This Row],[Unit Price]]</f>
        <v>130000</v>
      </c>
      <c r="L5959" s="5">
        <f>ROUND(tblSales[[#This Row],[DPP (excl. VAT)]]*VATEff,0)</f>
        <v>14300</v>
      </c>
      <c r="M5959" s="5">
        <f>tblSales[[#This Row],[DPP (excl. VAT)]]+tblSales[[#This Row],[Output VAT]]</f>
        <v>144300</v>
      </c>
      <c r="N5959" s="5">
        <f>tblSales[[#This Row],[Qty]]*_xlfn.XLOOKUP(tblSales[[#This Row],[Product Code]],tblProducts[Code],tblProducts[Unit Cost],0)</f>
        <v>74000</v>
      </c>
      <c r="O5959" s="4" t="s">
        <v>4865</v>
      </c>
      <c r="P5959" s="4" t="s">
        <v>4860</v>
      </c>
      <c r="Q5959" s="1" t="str">
        <f>_xlfn.XLOOKUP(tblSales[[#This Row],[Channel Code]],tblChannels[Channel Code],tblChannels[Channel Name],"")</f>
        <v>In-store</v>
      </c>
      <c r="R5959" s="1">
        <f>MONTH(tblSales[[#This Row],[Date]])</f>
        <v>12</v>
      </c>
    </row>
    <row r="5960" spans="2:18" x14ac:dyDescent="0.35">
      <c r="B5960" s="113">
        <v>46376</v>
      </c>
      <c r="C5960" s="4" t="s">
        <v>4084</v>
      </c>
      <c r="D5960" s="4" t="s">
        <v>4627</v>
      </c>
      <c r="E5960" s="1" t="str">
        <f>_xlfn.XLOOKUP(tblSales[[#This Row],[Customer ID]],tblCustomers[Customer ID],tblCustomers[Customer Name],"⚠ Unknown")</f>
        <v>PT Kencana Wira Usaha</v>
      </c>
      <c r="F5960" s="4" t="s">
        <v>9</v>
      </c>
      <c r="G5960" s="1" t="str">
        <f>_xlfn.XLOOKUP(tblSales[[#This Row],[Product Code]],tblProducts[Code],tblProducts[Product / Service Name],"⚠ Unknown")</f>
        <v>Casual Shirt</v>
      </c>
      <c r="H5960" s="1" t="str">
        <f>_xlfn.XLOOKUP(tblSales[[#This Row],[Product Code]],tblProducts[Code],tblProducts[Category],"")</f>
        <v>Apparel &amp; Footwear</v>
      </c>
      <c r="I5960" s="4">
        <v>64</v>
      </c>
      <c r="J5960" s="5">
        <f>_xlfn.XLOOKUP(tblSales[[#This Row],[Product Code]],tblProducts[Code],tblProducts[Selling Price (excl. VAT)],0)</f>
        <v>120000</v>
      </c>
      <c r="K5960" s="5">
        <f>tblSales[[#This Row],[Qty]]*tblSales[[#This Row],[Unit Price]]</f>
        <v>7680000</v>
      </c>
      <c r="L5960" s="5">
        <f>ROUND(tblSales[[#This Row],[DPP (excl. VAT)]]*VATEff,0)</f>
        <v>844800</v>
      </c>
      <c r="M5960" s="5">
        <f>tblSales[[#This Row],[DPP (excl. VAT)]]+tblSales[[#This Row],[Output VAT]]</f>
        <v>8524800</v>
      </c>
      <c r="N5960" s="5">
        <f>tblSales[[#This Row],[Qty]]*_xlfn.XLOOKUP(tblSales[[#This Row],[Product Code]],tblProducts[Code],tblProducts[Unit Cost],0)</f>
        <v>4608000</v>
      </c>
      <c r="O5960" s="4" t="s">
        <v>4867</v>
      </c>
      <c r="P5960" s="4" t="s">
        <v>4860</v>
      </c>
      <c r="Q5960" s="1" t="str">
        <f>_xlfn.XLOOKUP(tblSales[[#This Row],[Channel Code]],tblChannels[Channel Code],tblChannels[Channel Name],"")</f>
        <v>In-store</v>
      </c>
      <c r="R5960" s="1">
        <f>MONTH(tblSales[[#This Row],[Date]])</f>
        <v>12</v>
      </c>
    </row>
    <row r="5961" spans="2:18" x14ac:dyDescent="0.35">
      <c r="B5961" s="113">
        <v>46376</v>
      </c>
      <c r="C5961" s="4" t="s">
        <v>4084</v>
      </c>
      <c r="D5961" s="4" t="s">
        <v>4627</v>
      </c>
      <c r="E5961" s="1" t="str">
        <f>_xlfn.XLOOKUP(tblSales[[#This Row],[Customer ID]],tblCustomers[Customer ID],tblCustomers[Customer Name],"⚠ Unknown")</f>
        <v>PT Kencana Wira Usaha</v>
      </c>
      <c r="F5961" s="4" t="s">
        <v>7</v>
      </c>
      <c r="G5961" s="1" t="str">
        <f>_xlfn.XLOOKUP(tblSales[[#This Row],[Product Code]],tblProducts[Code],tblProducts[Product / Service Name],"⚠ Unknown")</f>
        <v>Premium Basic T-shirt</v>
      </c>
      <c r="H5961" s="1" t="str">
        <f>_xlfn.XLOOKUP(tblSales[[#This Row],[Product Code]],tblProducts[Code],tblProducts[Category],"")</f>
        <v>Accessories &amp; Basics</v>
      </c>
      <c r="I5961" s="4">
        <v>16</v>
      </c>
      <c r="J5961" s="5">
        <f>_xlfn.XLOOKUP(tblSales[[#This Row],[Product Code]],tblProducts[Code],tblProducts[Selling Price (excl. VAT)],0)</f>
        <v>65000</v>
      </c>
      <c r="K5961" s="5">
        <f>tblSales[[#This Row],[Qty]]*tblSales[[#This Row],[Unit Price]]</f>
        <v>1040000</v>
      </c>
      <c r="L5961" s="5">
        <f>ROUND(tblSales[[#This Row],[DPP (excl. VAT)]]*VATEff,0)</f>
        <v>114400</v>
      </c>
      <c r="M5961" s="5">
        <f>tblSales[[#This Row],[DPP (excl. VAT)]]+tblSales[[#This Row],[Output VAT]]</f>
        <v>1154400</v>
      </c>
      <c r="N5961" s="5">
        <f>tblSales[[#This Row],[Qty]]*_xlfn.XLOOKUP(tblSales[[#This Row],[Product Code]],tblProducts[Code],tblProducts[Unit Cost],0)</f>
        <v>592000</v>
      </c>
      <c r="O5961" s="4" t="s">
        <v>4867</v>
      </c>
      <c r="P5961" s="4" t="s">
        <v>4860</v>
      </c>
      <c r="Q5961" s="1" t="str">
        <f>_xlfn.XLOOKUP(tblSales[[#This Row],[Channel Code]],tblChannels[Channel Code],tblChannels[Channel Name],"")</f>
        <v>In-store</v>
      </c>
      <c r="R5961" s="1">
        <f>MONTH(tblSales[[#This Row],[Date]])</f>
        <v>12</v>
      </c>
    </row>
    <row r="5962" spans="2:18" x14ac:dyDescent="0.35">
      <c r="B5962" s="113">
        <v>46376</v>
      </c>
      <c r="C5962" s="4" t="s">
        <v>4085</v>
      </c>
      <c r="D5962" s="4" t="s">
        <v>4568</v>
      </c>
      <c r="E5962" s="1" t="str">
        <f>_xlfn.XLOOKUP(tblSales[[#This Row],[Customer ID]],tblCustomers[Customer ID],tblCustomers[Customer Name],"⚠ Unknown")</f>
        <v>Walk-in Customer</v>
      </c>
      <c r="F5962" s="4" t="s">
        <v>6</v>
      </c>
      <c r="G5962" s="1" t="str">
        <f>_xlfn.XLOOKUP(tblSales[[#This Row],[Product Code]],tblProducts[Code],tblProducts[Product / Service Name],"⚠ Unknown")</f>
        <v>Socks &amp; Accessories</v>
      </c>
      <c r="H5962" s="1" t="str">
        <f>_xlfn.XLOOKUP(tblSales[[#This Row],[Product Code]],tblProducts[Code],tblProducts[Category],"")</f>
        <v>Accessories &amp; Basics</v>
      </c>
      <c r="I5962" s="4">
        <v>6</v>
      </c>
      <c r="J5962" s="5">
        <f>_xlfn.XLOOKUP(tblSales[[#This Row],[Product Code]],tblProducts[Code],tblProducts[Selling Price (excl. VAT)],0)</f>
        <v>45000</v>
      </c>
      <c r="K5962" s="5">
        <f>tblSales[[#This Row],[Qty]]*tblSales[[#This Row],[Unit Price]]</f>
        <v>270000</v>
      </c>
      <c r="L5962" s="5">
        <f>ROUND(tblSales[[#This Row],[DPP (excl. VAT)]]*VATEff,0)</f>
        <v>29700</v>
      </c>
      <c r="M5962" s="5">
        <f>tblSales[[#This Row],[DPP (excl. VAT)]]+tblSales[[#This Row],[Output VAT]]</f>
        <v>299700</v>
      </c>
      <c r="N5962" s="5">
        <f>tblSales[[#This Row],[Qty]]*_xlfn.XLOOKUP(tblSales[[#This Row],[Product Code]],tblProducts[Code],tblProducts[Unit Cost],0)</f>
        <v>144000</v>
      </c>
      <c r="O5962" s="4" t="s">
        <v>4865</v>
      </c>
      <c r="P5962" s="4" t="s">
        <v>4860</v>
      </c>
      <c r="Q5962" s="1" t="str">
        <f>_xlfn.XLOOKUP(tblSales[[#This Row],[Channel Code]],tblChannels[Channel Code],tblChannels[Channel Name],"")</f>
        <v>In-store</v>
      </c>
      <c r="R5962" s="1">
        <f>MONTH(tblSales[[#This Row],[Date]])</f>
        <v>12</v>
      </c>
    </row>
    <row r="5963" spans="2:18" x14ac:dyDescent="0.35">
      <c r="B5963" s="113">
        <v>46376</v>
      </c>
      <c r="C5963" s="4" t="s">
        <v>4086</v>
      </c>
      <c r="D5963" s="4" t="s">
        <v>4648</v>
      </c>
      <c r="E5963" s="1" t="str">
        <f>_xlfn.XLOOKUP(tblSales[[#This Row],[Customer ID]],tblCustomers[Customer ID],tblCustomers[Customer Name],"⚠ Unknown")</f>
        <v>PT Lintas Benua Niaga</v>
      </c>
      <c r="F5963" s="4" t="s">
        <v>10</v>
      </c>
      <c r="G5963" s="1" t="str">
        <f>_xlfn.XLOOKUP(tblSales[[#This Row],[Product Code]],tblProducts[Code],tblProducts[Product / Service Name],"⚠ Unknown")</f>
        <v>Chino Pants</v>
      </c>
      <c r="H5963" s="1" t="str">
        <f>_xlfn.XLOOKUP(tblSales[[#This Row],[Product Code]],tblProducts[Code],tblProducts[Category],"")</f>
        <v>Apparel &amp; Footwear</v>
      </c>
      <c r="I5963" s="4">
        <v>48</v>
      </c>
      <c r="J5963" s="5">
        <f>_xlfn.XLOOKUP(tblSales[[#This Row],[Product Code]],tblProducts[Code],tblProducts[Selling Price (excl. VAT)],0)</f>
        <v>150000</v>
      </c>
      <c r="K5963" s="5">
        <f>tblSales[[#This Row],[Qty]]*tblSales[[#This Row],[Unit Price]]</f>
        <v>7200000</v>
      </c>
      <c r="L5963" s="5">
        <f>ROUND(tblSales[[#This Row],[DPP (excl. VAT)]]*VATEff,0)</f>
        <v>792000</v>
      </c>
      <c r="M5963" s="5">
        <f>tblSales[[#This Row],[DPP (excl. VAT)]]+tblSales[[#This Row],[Output VAT]]</f>
        <v>7992000</v>
      </c>
      <c r="N5963" s="5">
        <f>tblSales[[#This Row],[Qty]]*_xlfn.XLOOKUP(tblSales[[#This Row],[Product Code]],tblProducts[Code],tblProducts[Unit Cost],0)</f>
        <v>4224000</v>
      </c>
      <c r="O5963" s="4" t="s">
        <v>4867</v>
      </c>
      <c r="P5963" s="4" t="s">
        <v>4860</v>
      </c>
      <c r="Q5963" s="1" t="str">
        <f>_xlfn.XLOOKUP(tblSales[[#This Row],[Channel Code]],tblChannels[Channel Code],tblChannels[Channel Name],"")</f>
        <v>In-store</v>
      </c>
      <c r="R5963" s="1">
        <f>MONTH(tblSales[[#This Row],[Date]])</f>
        <v>12</v>
      </c>
    </row>
    <row r="5964" spans="2:18" x14ac:dyDescent="0.35">
      <c r="B5964" s="113">
        <v>46376</v>
      </c>
      <c r="C5964" s="4" t="s">
        <v>4087</v>
      </c>
      <c r="D5964" s="4" t="s">
        <v>4572</v>
      </c>
      <c r="E5964" s="1" t="str">
        <f>_xlfn.XLOOKUP(tblSales[[#This Row],[Customer ID]],tblCustomers[Customer ID],tblCustomers[Customer Name],"⚠ Unknown")</f>
        <v>PT Cahaya Abadi Makmur</v>
      </c>
      <c r="F5964" s="4" t="s">
        <v>6</v>
      </c>
      <c r="G5964" s="1" t="str">
        <f>_xlfn.XLOOKUP(tblSales[[#This Row],[Product Code]],tblProducts[Code],tblProducts[Product / Service Name],"⚠ Unknown")</f>
        <v>Socks &amp; Accessories</v>
      </c>
      <c r="H5964" s="1" t="str">
        <f>_xlfn.XLOOKUP(tblSales[[#This Row],[Product Code]],tblProducts[Code],tblProducts[Category],"")</f>
        <v>Accessories &amp; Basics</v>
      </c>
      <c r="I5964" s="4">
        <v>80</v>
      </c>
      <c r="J5964" s="5">
        <f>_xlfn.XLOOKUP(tblSales[[#This Row],[Product Code]],tblProducts[Code],tblProducts[Selling Price (excl. VAT)],0)</f>
        <v>45000</v>
      </c>
      <c r="K5964" s="5">
        <f>tblSales[[#This Row],[Qty]]*tblSales[[#This Row],[Unit Price]]</f>
        <v>3600000</v>
      </c>
      <c r="L5964" s="5">
        <f>ROUND(tblSales[[#This Row],[DPP (excl. VAT)]]*VATEff,0)</f>
        <v>396000</v>
      </c>
      <c r="M5964" s="5">
        <f>tblSales[[#This Row],[DPP (excl. VAT)]]+tblSales[[#This Row],[Output VAT]]</f>
        <v>3996000</v>
      </c>
      <c r="N5964" s="5">
        <f>tblSales[[#This Row],[Qty]]*_xlfn.XLOOKUP(tblSales[[#This Row],[Product Code]],tblProducts[Code],tblProducts[Unit Cost],0)</f>
        <v>1920000</v>
      </c>
      <c r="O5964" s="4" t="s">
        <v>4867</v>
      </c>
      <c r="P5964" s="4" t="s">
        <v>4862</v>
      </c>
      <c r="Q5964" s="1" t="str">
        <f>_xlfn.XLOOKUP(tblSales[[#This Row],[Channel Code]],tblChannels[Channel Code],tblChannels[Channel Name],"")</f>
        <v>Website &amp; Social Media</v>
      </c>
      <c r="R5964" s="1">
        <f>MONTH(tblSales[[#This Row],[Date]])</f>
        <v>12</v>
      </c>
    </row>
    <row r="5965" spans="2:18" x14ac:dyDescent="0.35">
      <c r="B5965" s="113">
        <v>46376</v>
      </c>
      <c r="C5965" s="4" t="s">
        <v>4088</v>
      </c>
      <c r="D5965" s="4" t="s">
        <v>4568</v>
      </c>
      <c r="E5965" s="1" t="str">
        <f>_xlfn.XLOOKUP(tblSales[[#This Row],[Customer ID]],tblCustomers[Customer ID],tblCustomers[Customer Name],"⚠ Unknown")</f>
        <v>Walk-in Customer</v>
      </c>
      <c r="F5965" s="4" t="s">
        <v>12</v>
      </c>
      <c r="G5965" s="1" t="str">
        <f>_xlfn.XLOOKUP(tblSales[[#This Row],[Product Code]],tblProducts[Code],tblProducts[Product / Service Name],"⚠ Unknown")</f>
        <v>Bomber Jacket</v>
      </c>
      <c r="H5965" s="1" t="str">
        <f>_xlfn.XLOOKUP(tblSales[[#This Row],[Product Code]],tblProducts[Code],tblProducts[Category],"")</f>
        <v>Apparel &amp; Footwear</v>
      </c>
      <c r="I5965" s="4">
        <v>1</v>
      </c>
      <c r="J5965" s="5">
        <f>_xlfn.XLOOKUP(tblSales[[#This Row],[Product Code]],tblProducts[Code],tblProducts[Selling Price (excl. VAT)],0)</f>
        <v>350000</v>
      </c>
      <c r="K5965" s="5">
        <f>tblSales[[#This Row],[Qty]]*tblSales[[#This Row],[Unit Price]]</f>
        <v>350000</v>
      </c>
      <c r="L5965" s="5">
        <f>ROUND(tblSales[[#This Row],[DPP (excl. VAT)]]*VATEff,0)</f>
        <v>38500</v>
      </c>
      <c r="M5965" s="5">
        <f>tblSales[[#This Row],[DPP (excl. VAT)]]+tblSales[[#This Row],[Output VAT]]</f>
        <v>388500</v>
      </c>
      <c r="N5965" s="5">
        <f>tblSales[[#This Row],[Qty]]*_xlfn.XLOOKUP(tblSales[[#This Row],[Product Code]],tblProducts[Code],tblProducts[Unit Cost],0)</f>
        <v>210000</v>
      </c>
      <c r="O5965" s="4" t="s">
        <v>4866</v>
      </c>
      <c r="P5965" s="4" t="s">
        <v>4860</v>
      </c>
      <c r="Q5965" s="1" t="str">
        <f>_xlfn.XLOOKUP(tblSales[[#This Row],[Channel Code]],tblChannels[Channel Code],tblChannels[Channel Name],"")</f>
        <v>In-store</v>
      </c>
      <c r="R5965" s="1">
        <f>MONTH(tblSales[[#This Row],[Date]])</f>
        <v>12</v>
      </c>
    </row>
    <row r="5966" spans="2:18" x14ac:dyDescent="0.35">
      <c r="B5966" s="113">
        <v>46376</v>
      </c>
      <c r="C5966" s="4" t="s">
        <v>4089</v>
      </c>
      <c r="D5966" s="4" t="s">
        <v>4568</v>
      </c>
      <c r="E5966" s="1" t="str">
        <f>_xlfn.XLOOKUP(tblSales[[#This Row],[Customer ID]],tblCustomers[Customer ID],tblCustomers[Customer Name],"⚠ Unknown")</f>
        <v>Walk-in Customer</v>
      </c>
      <c r="F5966" s="4" t="s">
        <v>15</v>
      </c>
      <c r="G5966" s="1" t="str">
        <f>_xlfn.XLOOKUP(tblSales[[#This Row],[Product Code]],tblProducts[Code],tblProducts[Product / Service Name],"⚠ Unknown")</f>
        <v>Wireless Earbuds Pro</v>
      </c>
      <c r="H5966" s="1" t="str">
        <f>_xlfn.XLOOKUP(tblSales[[#This Row],[Product Code]],tblProducts[Code],tblProducts[Category],"")</f>
        <v>Bags &amp; Gadgets</v>
      </c>
      <c r="I5966" s="4">
        <v>1</v>
      </c>
      <c r="J5966" s="5">
        <f>_xlfn.XLOOKUP(tblSales[[#This Row],[Product Code]],tblProducts[Code],tblProducts[Selling Price (excl. VAT)],0)</f>
        <v>1250000</v>
      </c>
      <c r="K5966" s="5">
        <f>tblSales[[#This Row],[Qty]]*tblSales[[#This Row],[Unit Price]]</f>
        <v>1250000</v>
      </c>
      <c r="L5966" s="5">
        <f>ROUND(tblSales[[#This Row],[DPP (excl. VAT)]]*VATEff,0)</f>
        <v>137500</v>
      </c>
      <c r="M5966" s="5">
        <f>tblSales[[#This Row],[DPP (excl. VAT)]]+tblSales[[#This Row],[Output VAT]]</f>
        <v>1387500</v>
      </c>
      <c r="N5966" s="5">
        <f>tblSales[[#This Row],[Qty]]*_xlfn.XLOOKUP(tblSales[[#This Row],[Product Code]],tblProducts[Code],tblProducts[Unit Cost],0)</f>
        <v>820000</v>
      </c>
      <c r="O5966" s="4" t="s">
        <v>4866</v>
      </c>
      <c r="P5966" s="4" t="s">
        <v>4861</v>
      </c>
      <c r="Q5966" s="1" t="str">
        <f>_xlfn.XLOOKUP(tblSales[[#This Row],[Channel Code]],tblChannels[Channel Code],tblChannels[Channel Name],"")</f>
        <v>Marketplace</v>
      </c>
      <c r="R5966" s="1">
        <f>MONTH(tblSales[[#This Row],[Date]])</f>
        <v>12</v>
      </c>
    </row>
    <row r="5967" spans="2:18" x14ac:dyDescent="0.35">
      <c r="B5967" s="113">
        <v>46376</v>
      </c>
      <c r="C5967" s="4" t="s">
        <v>4089</v>
      </c>
      <c r="D5967" s="4" t="s">
        <v>4568</v>
      </c>
      <c r="E5967" s="1" t="str">
        <f>_xlfn.XLOOKUP(tblSales[[#This Row],[Customer ID]],tblCustomers[Customer ID],tblCustomers[Customer Name],"⚠ Unknown")</f>
        <v>Walk-in Customer</v>
      </c>
      <c r="F5967" s="4" t="s">
        <v>11</v>
      </c>
      <c r="G5967" s="1" t="str">
        <f>_xlfn.XLOOKUP(tblSales[[#This Row],[Product Code]],tblProducts[Code],tblProducts[Product / Service Name],"⚠ Unknown")</f>
        <v>Sneakers</v>
      </c>
      <c r="H5967" s="1" t="str">
        <f>_xlfn.XLOOKUP(tblSales[[#This Row],[Product Code]],tblProducts[Code],tblProducts[Category],"")</f>
        <v>Apparel &amp; Footwear</v>
      </c>
      <c r="I5967" s="4">
        <v>2</v>
      </c>
      <c r="J5967" s="5">
        <f>_xlfn.XLOOKUP(tblSales[[#This Row],[Product Code]],tblProducts[Code],tblProducts[Selling Price (excl. VAT)],0)</f>
        <v>250000</v>
      </c>
      <c r="K5967" s="5">
        <f>tblSales[[#This Row],[Qty]]*tblSales[[#This Row],[Unit Price]]</f>
        <v>500000</v>
      </c>
      <c r="L5967" s="5">
        <f>ROUND(tblSales[[#This Row],[DPP (excl. VAT)]]*VATEff,0)</f>
        <v>55000</v>
      </c>
      <c r="M5967" s="5">
        <f>tblSales[[#This Row],[DPP (excl. VAT)]]+tblSales[[#This Row],[Output VAT]]</f>
        <v>555000</v>
      </c>
      <c r="N5967" s="5">
        <f>tblSales[[#This Row],[Qty]]*_xlfn.XLOOKUP(tblSales[[#This Row],[Product Code]],tblProducts[Code],tblProducts[Unit Cost],0)</f>
        <v>310000</v>
      </c>
      <c r="O5967" s="4" t="s">
        <v>4866</v>
      </c>
      <c r="P5967" s="4" t="s">
        <v>4861</v>
      </c>
      <c r="Q5967" s="1" t="str">
        <f>_xlfn.XLOOKUP(tblSales[[#This Row],[Channel Code]],tblChannels[Channel Code],tblChannels[Channel Name],"")</f>
        <v>Marketplace</v>
      </c>
      <c r="R5967" s="1">
        <f>MONTH(tblSales[[#This Row],[Date]])</f>
        <v>12</v>
      </c>
    </row>
    <row r="5968" spans="2:18" x14ac:dyDescent="0.35">
      <c r="B5968" s="113">
        <v>46376</v>
      </c>
      <c r="C5968" s="4" t="s">
        <v>4090</v>
      </c>
      <c r="D5968" s="4" t="s">
        <v>4568</v>
      </c>
      <c r="E5968" s="1" t="str">
        <f>_xlfn.XLOOKUP(tblSales[[#This Row],[Customer ID]],tblCustomers[Customer ID],tblCustomers[Customer Name],"⚠ Unknown")</f>
        <v>Walk-in Customer</v>
      </c>
      <c r="F5968" s="4" t="s">
        <v>11</v>
      </c>
      <c r="G5968" s="1" t="str">
        <f>_xlfn.XLOOKUP(tblSales[[#This Row],[Product Code]],tblProducts[Code],tblProducts[Product / Service Name],"⚠ Unknown")</f>
        <v>Sneakers</v>
      </c>
      <c r="H5968" s="1" t="str">
        <f>_xlfn.XLOOKUP(tblSales[[#This Row],[Product Code]],tblProducts[Code],tblProducts[Category],"")</f>
        <v>Apparel &amp; Footwear</v>
      </c>
      <c r="I5968" s="4">
        <v>6</v>
      </c>
      <c r="J5968" s="5">
        <f>_xlfn.XLOOKUP(tblSales[[#This Row],[Product Code]],tblProducts[Code],tblProducts[Selling Price (excl. VAT)],0)</f>
        <v>250000</v>
      </c>
      <c r="K5968" s="5">
        <f>tblSales[[#This Row],[Qty]]*tblSales[[#This Row],[Unit Price]]</f>
        <v>1500000</v>
      </c>
      <c r="L5968" s="5">
        <f>ROUND(tblSales[[#This Row],[DPP (excl. VAT)]]*VATEff,0)</f>
        <v>165000</v>
      </c>
      <c r="M5968" s="5">
        <f>tblSales[[#This Row],[DPP (excl. VAT)]]+tblSales[[#This Row],[Output VAT]]</f>
        <v>1665000</v>
      </c>
      <c r="N5968" s="5">
        <f>tblSales[[#This Row],[Qty]]*_xlfn.XLOOKUP(tblSales[[#This Row],[Product Code]],tblProducts[Code],tblProducts[Unit Cost],0)</f>
        <v>930000</v>
      </c>
      <c r="O5968" s="4" t="s">
        <v>4866</v>
      </c>
      <c r="P5968" s="4" t="s">
        <v>4861</v>
      </c>
      <c r="Q5968" s="1" t="str">
        <f>_xlfn.XLOOKUP(tblSales[[#This Row],[Channel Code]],tblChannels[Channel Code],tblChannels[Channel Name],"")</f>
        <v>Marketplace</v>
      </c>
      <c r="R5968" s="1">
        <f>MONTH(tblSales[[#This Row],[Date]])</f>
        <v>12</v>
      </c>
    </row>
    <row r="5969" spans="2:18" x14ac:dyDescent="0.35">
      <c r="B5969" s="113">
        <v>46376</v>
      </c>
      <c r="C5969" s="4" t="s">
        <v>4091</v>
      </c>
      <c r="D5969" s="4" t="s">
        <v>4568</v>
      </c>
      <c r="E5969" s="1" t="str">
        <f>_xlfn.XLOOKUP(tblSales[[#This Row],[Customer ID]],tblCustomers[Customer ID],tblCustomers[Customer Name],"⚠ Unknown")</f>
        <v>Walk-in Customer</v>
      </c>
      <c r="F5969" s="4" t="s">
        <v>6</v>
      </c>
      <c r="G5969" s="1" t="str">
        <f>_xlfn.XLOOKUP(tblSales[[#This Row],[Product Code]],tblProducts[Code],tblProducts[Product / Service Name],"⚠ Unknown")</f>
        <v>Socks &amp; Accessories</v>
      </c>
      <c r="H5969" s="1" t="str">
        <f>_xlfn.XLOOKUP(tblSales[[#This Row],[Product Code]],tblProducts[Code],tblProducts[Category],"")</f>
        <v>Accessories &amp; Basics</v>
      </c>
      <c r="I5969" s="4">
        <v>8</v>
      </c>
      <c r="J5969" s="5">
        <f>_xlfn.XLOOKUP(tblSales[[#This Row],[Product Code]],tblProducts[Code],tblProducts[Selling Price (excl. VAT)],0)</f>
        <v>45000</v>
      </c>
      <c r="K5969" s="5">
        <f>tblSales[[#This Row],[Qty]]*tblSales[[#This Row],[Unit Price]]</f>
        <v>360000</v>
      </c>
      <c r="L5969" s="5">
        <f>ROUND(tblSales[[#This Row],[DPP (excl. VAT)]]*VATEff,0)</f>
        <v>39600</v>
      </c>
      <c r="M5969" s="5">
        <f>tblSales[[#This Row],[DPP (excl. VAT)]]+tblSales[[#This Row],[Output VAT]]</f>
        <v>399600</v>
      </c>
      <c r="N5969" s="5">
        <f>tblSales[[#This Row],[Qty]]*_xlfn.XLOOKUP(tblSales[[#This Row],[Product Code]],tblProducts[Code],tblProducts[Unit Cost],0)</f>
        <v>192000</v>
      </c>
      <c r="O5969" s="4" t="s">
        <v>4866</v>
      </c>
      <c r="P5969" s="4" t="s">
        <v>4860</v>
      </c>
      <c r="Q5969" s="1" t="str">
        <f>_xlfn.XLOOKUP(tblSales[[#This Row],[Channel Code]],tblChannels[Channel Code],tblChannels[Channel Name],"")</f>
        <v>In-store</v>
      </c>
      <c r="R5969" s="1">
        <f>MONTH(tblSales[[#This Row],[Date]])</f>
        <v>12</v>
      </c>
    </row>
    <row r="5970" spans="2:18" x14ac:dyDescent="0.35">
      <c r="B5970" s="113">
        <v>46376</v>
      </c>
      <c r="C5970" s="4" t="s">
        <v>4092</v>
      </c>
      <c r="D5970" s="4" t="s">
        <v>4568</v>
      </c>
      <c r="E5970" s="1" t="str">
        <f>_xlfn.XLOOKUP(tblSales[[#This Row],[Customer ID]],tblCustomers[Customer ID],tblCustomers[Customer Name],"⚠ Unknown")</f>
        <v>Walk-in Customer</v>
      </c>
      <c r="F5970" s="4" t="s">
        <v>8</v>
      </c>
      <c r="G5970" s="1" t="str">
        <f>_xlfn.XLOOKUP(tblSales[[#This Row],[Product Code]],tblProducts[Code],tblProducts[Product / Service Name],"⚠ Unknown")</f>
        <v>Casual Shorts</v>
      </c>
      <c r="H5970" s="1" t="str">
        <f>_xlfn.XLOOKUP(tblSales[[#This Row],[Product Code]],tblProducts[Code],tblProducts[Category],"")</f>
        <v>Accessories &amp; Basics</v>
      </c>
      <c r="I5970" s="4">
        <v>3</v>
      </c>
      <c r="J5970" s="5">
        <f>_xlfn.XLOOKUP(tblSales[[#This Row],[Product Code]],tblProducts[Code],tblProducts[Selling Price (excl. VAT)],0)</f>
        <v>85000</v>
      </c>
      <c r="K5970" s="5">
        <f>tblSales[[#This Row],[Qty]]*tblSales[[#This Row],[Unit Price]]</f>
        <v>255000</v>
      </c>
      <c r="L5970" s="5">
        <f>ROUND(tblSales[[#This Row],[DPP (excl. VAT)]]*VATEff,0)</f>
        <v>28050</v>
      </c>
      <c r="M5970" s="5">
        <f>tblSales[[#This Row],[DPP (excl. VAT)]]+tblSales[[#This Row],[Output VAT]]</f>
        <v>283050</v>
      </c>
      <c r="N5970" s="5">
        <f>tblSales[[#This Row],[Qty]]*_xlfn.XLOOKUP(tblSales[[#This Row],[Product Code]],tblProducts[Code],tblProducts[Unit Cost],0)</f>
        <v>150000</v>
      </c>
      <c r="O5970" s="4" t="s">
        <v>4865</v>
      </c>
      <c r="P5970" s="4" t="s">
        <v>4860</v>
      </c>
      <c r="Q5970" s="1" t="str">
        <f>_xlfn.XLOOKUP(tblSales[[#This Row],[Channel Code]],tblChannels[Channel Code],tblChannels[Channel Name],"")</f>
        <v>In-store</v>
      </c>
      <c r="R5970" s="1">
        <f>MONTH(tblSales[[#This Row],[Date]])</f>
        <v>12</v>
      </c>
    </row>
    <row r="5971" spans="2:18" x14ac:dyDescent="0.35">
      <c r="B5971" s="113">
        <v>46376</v>
      </c>
      <c r="C5971" s="4" t="s">
        <v>4093</v>
      </c>
      <c r="D5971" s="4" t="s">
        <v>4568</v>
      </c>
      <c r="E5971" s="1" t="str">
        <f>_xlfn.XLOOKUP(tblSales[[#This Row],[Customer ID]],tblCustomers[Customer ID],tblCustomers[Customer Name],"⚠ Unknown")</f>
        <v>Walk-in Customer</v>
      </c>
      <c r="F5971" s="4" t="s">
        <v>9</v>
      </c>
      <c r="G5971" s="1" t="str">
        <f>_xlfn.XLOOKUP(tblSales[[#This Row],[Product Code]],tblProducts[Code],tblProducts[Product / Service Name],"⚠ Unknown")</f>
        <v>Casual Shirt</v>
      </c>
      <c r="H5971" s="1" t="str">
        <f>_xlfn.XLOOKUP(tblSales[[#This Row],[Product Code]],tblProducts[Code],tblProducts[Category],"")</f>
        <v>Apparel &amp; Footwear</v>
      </c>
      <c r="I5971" s="4">
        <v>4</v>
      </c>
      <c r="J5971" s="5">
        <f>_xlfn.XLOOKUP(tblSales[[#This Row],[Product Code]],tblProducts[Code],tblProducts[Selling Price (excl. VAT)],0)</f>
        <v>120000</v>
      </c>
      <c r="K5971" s="5">
        <f>tblSales[[#This Row],[Qty]]*tblSales[[#This Row],[Unit Price]]</f>
        <v>480000</v>
      </c>
      <c r="L5971" s="5">
        <f>ROUND(tblSales[[#This Row],[DPP (excl. VAT)]]*VATEff,0)</f>
        <v>52800</v>
      </c>
      <c r="M5971" s="5">
        <f>tblSales[[#This Row],[DPP (excl. VAT)]]+tblSales[[#This Row],[Output VAT]]</f>
        <v>532800</v>
      </c>
      <c r="N5971" s="5">
        <f>tblSales[[#This Row],[Qty]]*_xlfn.XLOOKUP(tblSales[[#This Row],[Product Code]],tblProducts[Code],tblProducts[Unit Cost],0)</f>
        <v>288000</v>
      </c>
      <c r="O5971" s="4" t="s">
        <v>4866</v>
      </c>
      <c r="P5971" s="4" t="s">
        <v>4861</v>
      </c>
      <c r="Q5971" s="1" t="str">
        <f>_xlfn.XLOOKUP(tblSales[[#This Row],[Channel Code]],tblChannels[Channel Code],tblChannels[Channel Name],"")</f>
        <v>Marketplace</v>
      </c>
      <c r="R5971" s="1">
        <f>MONTH(tblSales[[#This Row],[Date]])</f>
        <v>12</v>
      </c>
    </row>
    <row r="5972" spans="2:18" x14ac:dyDescent="0.35">
      <c r="B5972" s="113">
        <v>46376</v>
      </c>
      <c r="C5972" s="4" t="s">
        <v>4094</v>
      </c>
      <c r="D5972" s="4" t="s">
        <v>4568</v>
      </c>
      <c r="E5972" s="1" t="str">
        <f>_xlfn.XLOOKUP(tblSales[[#This Row],[Customer ID]],tblCustomers[Customer ID],tblCustomers[Customer Name],"⚠ Unknown")</f>
        <v>Walk-in Customer</v>
      </c>
      <c r="F5972" s="4" t="s">
        <v>10</v>
      </c>
      <c r="G5972" s="1" t="str">
        <f>_xlfn.XLOOKUP(tblSales[[#This Row],[Product Code]],tblProducts[Code],tblProducts[Product / Service Name],"⚠ Unknown")</f>
        <v>Chino Pants</v>
      </c>
      <c r="H5972" s="1" t="str">
        <f>_xlfn.XLOOKUP(tblSales[[#This Row],[Product Code]],tblProducts[Code],tblProducts[Category],"")</f>
        <v>Apparel &amp; Footwear</v>
      </c>
      <c r="I5972" s="4">
        <v>11</v>
      </c>
      <c r="J5972" s="5">
        <f>_xlfn.XLOOKUP(tblSales[[#This Row],[Product Code]],tblProducts[Code],tblProducts[Selling Price (excl. VAT)],0)</f>
        <v>150000</v>
      </c>
      <c r="K5972" s="5">
        <f>tblSales[[#This Row],[Qty]]*tblSales[[#This Row],[Unit Price]]</f>
        <v>1650000</v>
      </c>
      <c r="L5972" s="5">
        <f>ROUND(tblSales[[#This Row],[DPP (excl. VAT)]]*VATEff,0)</f>
        <v>181500</v>
      </c>
      <c r="M5972" s="5">
        <f>tblSales[[#This Row],[DPP (excl. VAT)]]+tblSales[[#This Row],[Output VAT]]</f>
        <v>1831500</v>
      </c>
      <c r="N5972" s="5">
        <f>tblSales[[#This Row],[Qty]]*_xlfn.XLOOKUP(tblSales[[#This Row],[Product Code]],tblProducts[Code],tblProducts[Unit Cost],0)</f>
        <v>968000</v>
      </c>
      <c r="O5972" s="4" t="s">
        <v>4866</v>
      </c>
      <c r="P5972" s="4" t="s">
        <v>4861</v>
      </c>
      <c r="Q5972" s="1" t="str">
        <f>_xlfn.XLOOKUP(tblSales[[#This Row],[Channel Code]],tblChannels[Channel Code],tblChannels[Channel Name],"")</f>
        <v>Marketplace</v>
      </c>
      <c r="R5972" s="1">
        <f>MONTH(tblSales[[#This Row],[Date]])</f>
        <v>12</v>
      </c>
    </row>
    <row r="5973" spans="2:18" x14ac:dyDescent="0.35">
      <c r="B5973" s="113">
        <v>46376</v>
      </c>
      <c r="C5973" s="4" t="s">
        <v>4094</v>
      </c>
      <c r="D5973" s="4" t="s">
        <v>4568</v>
      </c>
      <c r="E5973" s="1" t="str">
        <f>_xlfn.XLOOKUP(tblSales[[#This Row],[Customer ID]],tblCustomers[Customer ID],tblCustomers[Customer Name],"⚠ Unknown")</f>
        <v>Walk-in Customer</v>
      </c>
      <c r="F5973" s="4" t="s">
        <v>12</v>
      </c>
      <c r="G5973" s="1" t="str">
        <f>_xlfn.XLOOKUP(tblSales[[#This Row],[Product Code]],tblProducts[Code],tblProducts[Product / Service Name],"⚠ Unknown")</f>
        <v>Bomber Jacket</v>
      </c>
      <c r="H5973" s="1" t="str">
        <f>_xlfn.XLOOKUP(tblSales[[#This Row],[Product Code]],tblProducts[Code],tblProducts[Category],"")</f>
        <v>Apparel &amp; Footwear</v>
      </c>
      <c r="I5973" s="4">
        <v>4</v>
      </c>
      <c r="J5973" s="5">
        <f>_xlfn.XLOOKUP(tblSales[[#This Row],[Product Code]],tblProducts[Code],tblProducts[Selling Price (excl. VAT)],0)</f>
        <v>350000</v>
      </c>
      <c r="K5973" s="5">
        <f>tblSales[[#This Row],[Qty]]*tblSales[[#This Row],[Unit Price]]</f>
        <v>1400000</v>
      </c>
      <c r="L5973" s="5">
        <f>ROUND(tblSales[[#This Row],[DPP (excl. VAT)]]*VATEff,0)</f>
        <v>154000</v>
      </c>
      <c r="M5973" s="5">
        <f>tblSales[[#This Row],[DPP (excl. VAT)]]+tblSales[[#This Row],[Output VAT]]</f>
        <v>1554000</v>
      </c>
      <c r="N5973" s="5">
        <f>tblSales[[#This Row],[Qty]]*_xlfn.XLOOKUP(tblSales[[#This Row],[Product Code]],tblProducts[Code],tblProducts[Unit Cost],0)</f>
        <v>840000</v>
      </c>
      <c r="O5973" s="4" t="s">
        <v>4866</v>
      </c>
      <c r="P5973" s="4" t="s">
        <v>4861</v>
      </c>
      <c r="Q5973" s="1" t="str">
        <f>_xlfn.XLOOKUP(tblSales[[#This Row],[Channel Code]],tblChannels[Channel Code],tblChannels[Channel Name],"")</f>
        <v>Marketplace</v>
      </c>
      <c r="R5973" s="1">
        <f>MONTH(tblSales[[#This Row],[Date]])</f>
        <v>12</v>
      </c>
    </row>
    <row r="5974" spans="2:18" x14ac:dyDescent="0.35">
      <c r="B5974" s="113">
        <v>46376</v>
      </c>
      <c r="C5974" s="4" t="s">
        <v>4094</v>
      </c>
      <c r="D5974" s="4" t="s">
        <v>4568</v>
      </c>
      <c r="E5974" s="1" t="str">
        <f>_xlfn.XLOOKUP(tblSales[[#This Row],[Customer ID]],tblCustomers[Customer ID],tblCustomers[Customer Name],"⚠ Unknown")</f>
        <v>Walk-in Customer</v>
      </c>
      <c r="F5974" s="4" t="s">
        <v>11</v>
      </c>
      <c r="G5974" s="1" t="str">
        <f>_xlfn.XLOOKUP(tblSales[[#This Row],[Product Code]],tblProducts[Code],tblProducts[Product / Service Name],"⚠ Unknown")</f>
        <v>Sneakers</v>
      </c>
      <c r="H5974" s="1" t="str">
        <f>_xlfn.XLOOKUP(tblSales[[#This Row],[Product Code]],tblProducts[Code],tblProducts[Category],"")</f>
        <v>Apparel &amp; Footwear</v>
      </c>
      <c r="I5974" s="4">
        <v>3</v>
      </c>
      <c r="J5974" s="5">
        <f>_xlfn.XLOOKUP(tblSales[[#This Row],[Product Code]],tblProducts[Code],tblProducts[Selling Price (excl. VAT)],0)</f>
        <v>250000</v>
      </c>
      <c r="K5974" s="5">
        <f>tblSales[[#This Row],[Qty]]*tblSales[[#This Row],[Unit Price]]</f>
        <v>750000</v>
      </c>
      <c r="L5974" s="5">
        <f>ROUND(tblSales[[#This Row],[DPP (excl. VAT)]]*VATEff,0)</f>
        <v>82500</v>
      </c>
      <c r="M5974" s="5">
        <f>tblSales[[#This Row],[DPP (excl. VAT)]]+tblSales[[#This Row],[Output VAT]]</f>
        <v>832500</v>
      </c>
      <c r="N5974" s="5">
        <f>tblSales[[#This Row],[Qty]]*_xlfn.XLOOKUP(tblSales[[#This Row],[Product Code]],tblProducts[Code],tblProducts[Unit Cost],0)</f>
        <v>465000</v>
      </c>
      <c r="O5974" s="4" t="s">
        <v>4866</v>
      </c>
      <c r="P5974" s="4" t="s">
        <v>4861</v>
      </c>
      <c r="Q5974" s="1" t="str">
        <f>_xlfn.XLOOKUP(tblSales[[#This Row],[Channel Code]],tblChannels[Channel Code],tblChannels[Channel Name],"")</f>
        <v>Marketplace</v>
      </c>
      <c r="R5974" s="1">
        <f>MONTH(tblSales[[#This Row],[Date]])</f>
        <v>12</v>
      </c>
    </row>
    <row r="5975" spans="2:18" x14ac:dyDescent="0.35">
      <c r="B5975" s="113">
        <v>46376</v>
      </c>
      <c r="C5975" s="4" t="s">
        <v>4095</v>
      </c>
      <c r="D5975" s="4" t="s">
        <v>4568</v>
      </c>
      <c r="E5975" s="1" t="str">
        <f>_xlfn.XLOOKUP(tblSales[[#This Row],[Customer ID]],tblCustomers[Customer ID],tblCustomers[Customer Name],"⚠ Unknown")</f>
        <v>Walk-in Customer</v>
      </c>
      <c r="F5975" s="4" t="s">
        <v>10</v>
      </c>
      <c r="G5975" s="1" t="str">
        <f>_xlfn.XLOOKUP(tblSales[[#This Row],[Product Code]],tblProducts[Code],tblProducts[Product / Service Name],"⚠ Unknown")</f>
        <v>Chino Pants</v>
      </c>
      <c r="H5975" s="1" t="str">
        <f>_xlfn.XLOOKUP(tblSales[[#This Row],[Product Code]],tblProducts[Code],tblProducts[Category],"")</f>
        <v>Apparel &amp; Footwear</v>
      </c>
      <c r="I5975" s="4">
        <v>4</v>
      </c>
      <c r="J5975" s="5">
        <f>_xlfn.XLOOKUP(tblSales[[#This Row],[Product Code]],tblProducts[Code],tblProducts[Selling Price (excl. VAT)],0)</f>
        <v>150000</v>
      </c>
      <c r="K5975" s="5">
        <f>tblSales[[#This Row],[Qty]]*tblSales[[#This Row],[Unit Price]]</f>
        <v>600000</v>
      </c>
      <c r="L5975" s="5">
        <f>ROUND(tblSales[[#This Row],[DPP (excl. VAT)]]*VATEff,0)</f>
        <v>66000</v>
      </c>
      <c r="M5975" s="5">
        <f>tblSales[[#This Row],[DPP (excl. VAT)]]+tblSales[[#This Row],[Output VAT]]</f>
        <v>666000</v>
      </c>
      <c r="N5975" s="5">
        <f>tblSales[[#This Row],[Qty]]*_xlfn.XLOOKUP(tblSales[[#This Row],[Product Code]],tblProducts[Code],tblProducts[Unit Cost],0)</f>
        <v>352000</v>
      </c>
      <c r="O5975" s="4" t="s">
        <v>4866</v>
      </c>
      <c r="P5975" s="4" t="s">
        <v>4862</v>
      </c>
      <c r="Q5975" s="1" t="str">
        <f>_xlfn.XLOOKUP(tblSales[[#This Row],[Channel Code]],tblChannels[Channel Code],tblChannels[Channel Name],"")</f>
        <v>Website &amp; Social Media</v>
      </c>
      <c r="R5975" s="1">
        <f>MONTH(tblSales[[#This Row],[Date]])</f>
        <v>12</v>
      </c>
    </row>
    <row r="5976" spans="2:18" x14ac:dyDescent="0.35">
      <c r="B5976" s="113">
        <v>46376</v>
      </c>
      <c r="C5976" s="4" t="s">
        <v>4095</v>
      </c>
      <c r="D5976" s="4" t="s">
        <v>4568</v>
      </c>
      <c r="E5976" s="1" t="str">
        <f>_xlfn.XLOOKUP(tblSales[[#This Row],[Customer ID]],tblCustomers[Customer ID],tblCustomers[Customer Name],"⚠ Unknown")</f>
        <v>Walk-in Customer</v>
      </c>
      <c r="F5976" s="4" t="s">
        <v>8</v>
      </c>
      <c r="G5976" s="1" t="str">
        <f>_xlfn.XLOOKUP(tblSales[[#This Row],[Product Code]],tblProducts[Code],tblProducts[Product / Service Name],"⚠ Unknown")</f>
        <v>Casual Shorts</v>
      </c>
      <c r="H5976" s="1" t="str">
        <f>_xlfn.XLOOKUP(tblSales[[#This Row],[Product Code]],tblProducts[Code],tblProducts[Category],"")</f>
        <v>Accessories &amp; Basics</v>
      </c>
      <c r="I5976" s="4">
        <v>7</v>
      </c>
      <c r="J5976" s="5">
        <f>_xlfn.XLOOKUP(tblSales[[#This Row],[Product Code]],tblProducts[Code],tblProducts[Selling Price (excl. VAT)],0)</f>
        <v>85000</v>
      </c>
      <c r="K5976" s="5">
        <f>tblSales[[#This Row],[Qty]]*tblSales[[#This Row],[Unit Price]]</f>
        <v>595000</v>
      </c>
      <c r="L5976" s="5">
        <f>ROUND(tblSales[[#This Row],[DPP (excl. VAT)]]*VATEff,0)</f>
        <v>65450</v>
      </c>
      <c r="M5976" s="5">
        <f>tblSales[[#This Row],[DPP (excl. VAT)]]+tblSales[[#This Row],[Output VAT]]</f>
        <v>660450</v>
      </c>
      <c r="N5976" s="5">
        <f>tblSales[[#This Row],[Qty]]*_xlfn.XLOOKUP(tblSales[[#This Row],[Product Code]],tblProducts[Code],tblProducts[Unit Cost],0)</f>
        <v>350000</v>
      </c>
      <c r="O5976" s="4" t="s">
        <v>4866</v>
      </c>
      <c r="P5976" s="4" t="s">
        <v>4862</v>
      </c>
      <c r="Q5976" s="1" t="str">
        <f>_xlfn.XLOOKUP(tblSales[[#This Row],[Channel Code]],tblChannels[Channel Code],tblChannels[Channel Name],"")</f>
        <v>Website &amp; Social Media</v>
      </c>
      <c r="R5976" s="1">
        <f>MONTH(tblSales[[#This Row],[Date]])</f>
        <v>12</v>
      </c>
    </row>
    <row r="5977" spans="2:18" x14ac:dyDescent="0.35">
      <c r="B5977" s="113">
        <v>46376</v>
      </c>
      <c r="C5977" s="4" t="s">
        <v>4096</v>
      </c>
      <c r="D5977" s="4" t="s">
        <v>4568</v>
      </c>
      <c r="E5977" s="1" t="str">
        <f>_xlfn.XLOOKUP(tblSales[[#This Row],[Customer ID]],tblCustomers[Customer ID],tblCustomers[Customer Name],"⚠ Unknown")</f>
        <v>Walk-in Customer</v>
      </c>
      <c r="F5977" s="4" t="s">
        <v>7</v>
      </c>
      <c r="G5977" s="1" t="str">
        <f>_xlfn.XLOOKUP(tblSales[[#This Row],[Product Code]],tblProducts[Code],tblProducts[Product / Service Name],"⚠ Unknown")</f>
        <v>Premium Basic T-shirt</v>
      </c>
      <c r="H5977" s="1" t="str">
        <f>_xlfn.XLOOKUP(tblSales[[#This Row],[Product Code]],tblProducts[Code],tblProducts[Category],"")</f>
        <v>Accessories &amp; Basics</v>
      </c>
      <c r="I5977" s="4">
        <v>6</v>
      </c>
      <c r="J5977" s="5">
        <f>_xlfn.XLOOKUP(tblSales[[#This Row],[Product Code]],tblProducts[Code],tblProducts[Selling Price (excl. VAT)],0)</f>
        <v>65000</v>
      </c>
      <c r="K5977" s="5">
        <f>tblSales[[#This Row],[Qty]]*tblSales[[#This Row],[Unit Price]]</f>
        <v>390000</v>
      </c>
      <c r="L5977" s="5">
        <f>ROUND(tblSales[[#This Row],[DPP (excl. VAT)]]*VATEff,0)</f>
        <v>42900</v>
      </c>
      <c r="M5977" s="5">
        <f>tblSales[[#This Row],[DPP (excl. VAT)]]+tblSales[[#This Row],[Output VAT]]</f>
        <v>432900</v>
      </c>
      <c r="N5977" s="5">
        <f>tblSales[[#This Row],[Qty]]*_xlfn.XLOOKUP(tblSales[[#This Row],[Product Code]],tblProducts[Code],tblProducts[Unit Cost],0)</f>
        <v>222000</v>
      </c>
      <c r="O5977" s="4" t="s">
        <v>4866</v>
      </c>
      <c r="P5977" s="4" t="s">
        <v>4861</v>
      </c>
      <c r="Q5977" s="1" t="str">
        <f>_xlfn.XLOOKUP(tblSales[[#This Row],[Channel Code]],tblChannels[Channel Code],tblChannels[Channel Name],"")</f>
        <v>Marketplace</v>
      </c>
      <c r="R5977" s="1">
        <f>MONTH(tblSales[[#This Row],[Date]])</f>
        <v>12</v>
      </c>
    </row>
    <row r="5978" spans="2:18" x14ac:dyDescent="0.35">
      <c r="B5978" s="113">
        <v>46376</v>
      </c>
      <c r="C5978" s="4" t="s">
        <v>4097</v>
      </c>
      <c r="D5978" s="4" t="s">
        <v>4568</v>
      </c>
      <c r="E5978" s="1" t="str">
        <f>_xlfn.XLOOKUP(tblSales[[#This Row],[Customer ID]],tblCustomers[Customer ID],tblCustomers[Customer Name],"⚠ Unknown")</f>
        <v>Walk-in Customer</v>
      </c>
      <c r="F5978" s="4" t="s">
        <v>7</v>
      </c>
      <c r="G5978" s="1" t="str">
        <f>_xlfn.XLOOKUP(tblSales[[#This Row],[Product Code]],tblProducts[Code],tblProducts[Product / Service Name],"⚠ Unknown")</f>
        <v>Premium Basic T-shirt</v>
      </c>
      <c r="H5978" s="1" t="str">
        <f>_xlfn.XLOOKUP(tblSales[[#This Row],[Product Code]],tblProducts[Code],tblProducts[Category],"")</f>
        <v>Accessories &amp; Basics</v>
      </c>
      <c r="I5978" s="4">
        <v>5</v>
      </c>
      <c r="J5978" s="5">
        <f>_xlfn.XLOOKUP(tblSales[[#This Row],[Product Code]],tblProducts[Code],tblProducts[Selling Price (excl. VAT)],0)</f>
        <v>65000</v>
      </c>
      <c r="K5978" s="5">
        <f>tblSales[[#This Row],[Qty]]*tblSales[[#This Row],[Unit Price]]</f>
        <v>325000</v>
      </c>
      <c r="L5978" s="5">
        <f>ROUND(tblSales[[#This Row],[DPP (excl. VAT)]]*VATEff,0)</f>
        <v>35750</v>
      </c>
      <c r="M5978" s="5">
        <f>tblSales[[#This Row],[DPP (excl. VAT)]]+tblSales[[#This Row],[Output VAT]]</f>
        <v>360750</v>
      </c>
      <c r="N5978" s="5">
        <f>tblSales[[#This Row],[Qty]]*_xlfn.XLOOKUP(tblSales[[#This Row],[Product Code]],tblProducts[Code],tblProducts[Unit Cost],0)</f>
        <v>185000</v>
      </c>
      <c r="O5978" s="4" t="s">
        <v>4866</v>
      </c>
      <c r="P5978" s="4" t="s">
        <v>4860</v>
      </c>
      <c r="Q5978" s="1" t="str">
        <f>_xlfn.XLOOKUP(tblSales[[#This Row],[Channel Code]],tblChannels[Channel Code],tblChannels[Channel Name],"")</f>
        <v>In-store</v>
      </c>
      <c r="R5978" s="1">
        <f>MONTH(tblSales[[#This Row],[Date]])</f>
        <v>12</v>
      </c>
    </row>
    <row r="5979" spans="2:18" x14ac:dyDescent="0.35">
      <c r="B5979" s="113">
        <v>46376</v>
      </c>
      <c r="C5979" s="4" t="s">
        <v>4098</v>
      </c>
      <c r="D5979" s="4" t="s">
        <v>4572</v>
      </c>
      <c r="E5979" s="1" t="str">
        <f>_xlfn.XLOOKUP(tblSales[[#This Row],[Customer ID]],tblCustomers[Customer ID],tblCustomers[Customer Name],"⚠ Unknown")</f>
        <v>PT Cahaya Abadi Makmur</v>
      </c>
      <c r="F5979" s="4" t="s">
        <v>13</v>
      </c>
      <c r="G5979" s="1" t="str">
        <f>_xlfn.XLOOKUP(tblSales[[#This Row],[Product Code]],tblProducts[Code],tblProducts[Product / Service Name],"⚠ Unknown")</f>
        <v>Backpack</v>
      </c>
      <c r="H5979" s="1" t="str">
        <f>_xlfn.XLOOKUP(tblSales[[#This Row],[Product Code]],tblProducts[Code],tblProducts[Category],"")</f>
        <v>Bags &amp; Gadgets</v>
      </c>
      <c r="I5979" s="4">
        <v>24</v>
      </c>
      <c r="J5979" s="5">
        <f>_xlfn.XLOOKUP(tblSales[[#This Row],[Product Code]],tblProducts[Code],tblProducts[Selling Price (excl. VAT)],0)</f>
        <v>500000</v>
      </c>
      <c r="K5979" s="5">
        <f>tblSales[[#This Row],[Qty]]*tblSales[[#This Row],[Unit Price]]</f>
        <v>12000000</v>
      </c>
      <c r="L5979" s="5">
        <f>ROUND(tblSales[[#This Row],[DPP (excl. VAT)]]*VATEff,0)</f>
        <v>1320000</v>
      </c>
      <c r="M5979" s="5">
        <f>tblSales[[#This Row],[DPP (excl. VAT)]]+tblSales[[#This Row],[Output VAT]]</f>
        <v>13320000</v>
      </c>
      <c r="N5979" s="5">
        <f>tblSales[[#This Row],[Qty]]*_xlfn.XLOOKUP(tblSales[[#This Row],[Product Code]],tblProducts[Code],tblProducts[Unit Cost],0)</f>
        <v>6960000</v>
      </c>
      <c r="O5979" s="4" t="s">
        <v>4867</v>
      </c>
      <c r="P5979" s="4" t="s">
        <v>4860</v>
      </c>
      <c r="Q5979" s="1" t="str">
        <f>_xlfn.XLOOKUP(tblSales[[#This Row],[Channel Code]],tblChannels[Channel Code],tblChannels[Channel Name],"")</f>
        <v>In-store</v>
      </c>
      <c r="R5979" s="1">
        <f>MONTH(tblSales[[#This Row],[Date]])</f>
        <v>12</v>
      </c>
    </row>
    <row r="5980" spans="2:18" x14ac:dyDescent="0.35">
      <c r="B5980" s="113">
        <v>46377</v>
      </c>
      <c r="C5980" s="4" t="s">
        <v>4099</v>
      </c>
      <c r="D5980" s="4" t="s">
        <v>4568</v>
      </c>
      <c r="E5980" s="1" t="str">
        <f>_xlfn.XLOOKUP(tblSales[[#This Row],[Customer ID]],tblCustomers[Customer ID],tblCustomers[Customer Name],"⚠ Unknown")</f>
        <v>Walk-in Customer</v>
      </c>
      <c r="F5980" s="4" t="s">
        <v>8</v>
      </c>
      <c r="G5980" s="1" t="str">
        <f>_xlfn.XLOOKUP(tblSales[[#This Row],[Product Code]],tblProducts[Code],tblProducts[Product / Service Name],"⚠ Unknown")</f>
        <v>Casual Shorts</v>
      </c>
      <c r="H5980" s="1" t="str">
        <f>_xlfn.XLOOKUP(tblSales[[#This Row],[Product Code]],tblProducts[Code],tblProducts[Category],"")</f>
        <v>Accessories &amp; Basics</v>
      </c>
      <c r="I5980" s="4">
        <v>11</v>
      </c>
      <c r="J5980" s="5">
        <f>_xlfn.XLOOKUP(tblSales[[#This Row],[Product Code]],tblProducts[Code],tblProducts[Selling Price (excl. VAT)],0)</f>
        <v>85000</v>
      </c>
      <c r="K5980" s="5">
        <f>tblSales[[#This Row],[Qty]]*tblSales[[#This Row],[Unit Price]]</f>
        <v>935000</v>
      </c>
      <c r="L5980" s="5">
        <f>ROUND(tblSales[[#This Row],[DPP (excl. VAT)]]*VATEff,0)</f>
        <v>102850</v>
      </c>
      <c r="M5980" s="5">
        <f>tblSales[[#This Row],[DPP (excl. VAT)]]+tblSales[[#This Row],[Output VAT]]</f>
        <v>1037850</v>
      </c>
      <c r="N5980" s="5">
        <f>tblSales[[#This Row],[Qty]]*_xlfn.XLOOKUP(tblSales[[#This Row],[Product Code]],tblProducts[Code],tblProducts[Unit Cost],0)</f>
        <v>550000</v>
      </c>
      <c r="O5980" s="4" t="s">
        <v>4865</v>
      </c>
      <c r="P5980" s="4" t="s">
        <v>4860</v>
      </c>
      <c r="Q5980" s="1" t="str">
        <f>_xlfn.XLOOKUP(tblSales[[#This Row],[Channel Code]],tblChannels[Channel Code],tblChannels[Channel Name],"")</f>
        <v>In-store</v>
      </c>
      <c r="R5980" s="1">
        <f>MONTH(tblSales[[#This Row],[Date]])</f>
        <v>12</v>
      </c>
    </row>
    <row r="5981" spans="2:18" x14ac:dyDescent="0.35">
      <c r="B5981" s="113">
        <v>46377</v>
      </c>
      <c r="C5981" s="4" t="s">
        <v>4099</v>
      </c>
      <c r="D5981" s="4" t="s">
        <v>4568</v>
      </c>
      <c r="E5981" s="1" t="str">
        <f>_xlfn.XLOOKUP(tblSales[[#This Row],[Customer ID]],tblCustomers[Customer ID],tblCustomers[Customer Name],"⚠ Unknown")</f>
        <v>Walk-in Customer</v>
      </c>
      <c r="F5981" s="4" t="s">
        <v>7</v>
      </c>
      <c r="G5981" s="1" t="str">
        <f>_xlfn.XLOOKUP(tblSales[[#This Row],[Product Code]],tblProducts[Code],tblProducts[Product / Service Name],"⚠ Unknown")</f>
        <v>Premium Basic T-shirt</v>
      </c>
      <c r="H5981" s="1" t="str">
        <f>_xlfn.XLOOKUP(tblSales[[#This Row],[Product Code]],tblProducts[Code],tblProducts[Category],"")</f>
        <v>Accessories &amp; Basics</v>
      </c>
      <c r="I5981" s="4">
        <v>3</v>
      </c>
      <c r="J5981" s="5">
        <f>_xlfn.XLOOKUP(tblSales[[#This Row],[Product Code]],tblProducts[Code],tblProducts[Selling Price (excl. VAT)],0)</f>
        <v>65000</v>
      </c>
      <c r="K5981" s="5">
        <f>tblSales[[#This Row],[Qty]]*tblSales[[#This Row],[Unit Price]]</f>
        <v>195000</v>
      </c>
      <c r="L5981" s="5">
        <f>ROUND(tblSales[[#This Row],[DPP (excl. VAT)]]*VATEff,0)</f>
        <v>21450</v>
      </c>
      <c r="M5981" s="5">
        <f>tblSales[[#This Row],[DPP (excl. VAT)]]+tblSales[[#This Row],[Output VAT]]</f>
        <v>216450</v>
      </c>
      <c r="N5981" s="5">
        <f>tblSales[[#This Row],[Qty]]*_xlfn.XLOOKUP(tblSales[[#This Row],[Product Code]],tblProducts[Code],tblProducts[Unit Cost],0)</f>
        <v>111000</v>
      </c>
      <c r="O5981" s="4" t="s">
        <v>4865</v>
      </c>
      <c r="P5981" s="4" t="s">
        <v>4860</v>
      </c>
      <c r="Q5981" s="1" t="str">
        <f>_xlfn.XLOOKUP(tblSales[[#This Row],[Channel Code]],tblChannels[Channel Code],tblChannels[Channel Name],"")</f>
        <v>In-store</v>
      </c>
      <c r="R5981" s="1">
        <f>MONTH(tblSales[[#This Row],[Date]])</f>
        <v>12</v>
      </c>
    </row>
    <row r="5982" spans="2:18" x14ac:dyDescent="0.35">
      <c r="B5982" s="113">
        <v>46377</v>
      </c>
      <c r="C5982" s="4" t="s">
        <v>4100</v>
      </c>
      <c r="D5982" s="4" t="s">
        <v>4568</v>
      </c>
      <c r="E5982" s="1" t="str">
        <f>_xlfn.XLOOKUP(tblSales[[#This Row],[Customer ID]],tblCustomers[Customer ID],tblCustomers[Customer Name],"⚠ Unknown")</f>
        <v>Walk-in Customer</v>
      </c>
      <c r="F5982" s="4" t="s">
        <v>7</v>
      </c>
      <c r="G5982" s="1" t="str">
        <f>_xlfn.XLOOKUP(tblSales[[#This Row],[Product Code]],tblProducts[Code],tblProducts[Product / Service Name],"⚠ Unknown")</f>
        <v>Premium Basic T-shirt</v>
      </c>
      <c r="H5982" s="1" t="str">
        <f>_xlfn.XLOOKUP(tblSales[[#This Row],[Product Code]],tblProducts[Code],tblProducts[Category],"")</f>
        <v>Accessories &amp; Basics</v>
      </c>
      <c r="I5982" s="4">
        <v>11</v>
      </c>
      <c r="J5982" s="5">
        <f>_xlfn.XLOOKUP(tblSales[[#This Row],[Product Code]],tblProducts[Code],tblProducts[Selling Price (excl. VAT)],0)</f>
        <v>65000</v>
      </c>
      <c r="K5982" s="5">
        <f>tblSales[[#This Row],[Qty]]*tblSales[[#This Row],[Unit Price]]</f>
        <v>715000</v>
      </c>
      <c r="L5982" s="5">
        <f>ROUND(tblSales[[#This Row],[DPP (excl. VAT)]]*VATEff,0)</f>
        <v>78650</v>
      </c>
      <c r="M5982" s="5">
        <f>tblSales[[#This Row],[DPP (excl. VAT)]]+tblSales[[#This Row],[Output VAT]]</f>
        <v>793650</v>
      </c>
      <c r="N5982" s="5">
        <f>tblSales[[#This Row],[Qty]]*_xlfn.XLOOKUP(tblSales[[#This Row],[Product Code]],tblProducts[Code],tblProducts[Unit Cost],0)</f>
        <v>407000</v>
      </c>
      <c r="O5982" s="4" t="s">
        <v>4866</v>
      </c>
      <c r="P5982" s="4" t="s">
        <v>4862</v>
      </c>
      <c r="Q5982" s="1" t="str">
        <f>_xlfn.XLOOKUP(tblSales[[#This Row],[Channel Code]],tblChannels[Channel Code],tblChannels[Channel Name],"")</f>
        <v>Website &amp; Social Media</v>
      </c>
      <c r="R5982" s="1">
        <f>MONTH(tblSales[[#This Row],[Date]])</f>
        <v>12</v>
      </c>
    </row>
    <row r="5983" spans="2:18" x14ac:dyDescent="0.35">
      <c r="B5983" s="113">
        <v>46377</v>
      </c>
      <c r="C5983" s="4" t="s">
        <v>4101</v>
      </c>
      <c r="D5983" s="4" t="s">
        <v>4568</v>
      </c>
      <c r="E5983" s="1" t="str">
        <f>_xlfn.XLOOKUP(tblSales[[#This Row],[Customer ID]],tblCustomers[Customer ID],tblCustomers[Customer Name],"⚠ Unknown")</f>
        <v>Walk-in Customer</v>
      </c>
      <c r="F5983" s="4" t="s">
        <v>7</v>
      </c>
      <c r="G5983" s="1" t="str">
        <f>_xlfn.XLOOKUP(tblSales[[#This Row],[Product Code]],tblProducts[Code],tblProducts[Product / Service Name],"⚠ Unknown")</f>
        <v>Premium Basic T-shirt</v>
      </c>
      <c r="H5983" s="1" t="str">
        <f>_xlfn.XLOOKUP(tblSales[[#This Row],[Product Code]],tblProducts[Code],tblProducts[Category],"")</f>
        <v>Accessories &amp; Basics</v>
      </c>
      <c r="I5983" s="4">
        <v>3</v>
      </c>
      <c r="J5983" s="5">
        <f>_xlfn.XLOOKUP(tblSales[[#This Row],[Product Code]],tblProducts[Code],tblProducts[Selling Price (excl. VAT)],0)</f>
        <v>65000</v>
      </c>
      <c r="K5983" s="5">
        <f>tblSales[[#This Row],[Qty]]*tblSales[[#This Row],[Unit Price]]</f>
        <v>195000</v>
      </c>
      <c r="L5983" s="5">
        <f>ROUND(tblSales[[#This Row],[DPP (excl. VAT)]]*VATEff,0)</f>
        <v>21450</v>
      </c>
      <c r="M5983" s="5">
        <f>tblSales[[#This Row],[DPP (excl. VAT)]]+tblSales[[#This Row],[Output VAT]]</f>
        <v>216450</v>
      </c>
      <c r="N5983" s="5">
        <f>tblSales[[#This Row],[Qty]]*_xlfn.XLOOKUP(tblSales[[#This Row],[Product Code]],tblProducts[Code],tblProducts[Unit Cost],0)</f>
        <v>111000</v>
      </c>
      <c r="O5983" s="4" t="s">
        <v>4866</v>
      </c>
      <c r="P5983" s="4" t="s">
        <v>4861</v>
      </c>
      <c r="Q5983" s="1" t="str">
        <f>_xlfn.XLOOKUP(tblSales[[#This Row],[Channel Code]],tblChannels[Channel Code],tblChannels[Channel Name],"")</f>
        <v>Marketplace</v>
      </c>
      <c r="R5983" s="1">
        <f>MONTH(tblSales[[#This Row],[Date]])</f>
        <v>12</v>
      </c>
    </row>
    <row r="5984" spans="2:18" x14ac:dyDescent="0.35">
      <c r="B5984" s="113">
        <v>46377</v>
      </c>
      <c r="C5984" s="4" t="s">
        <v>4102</v>
      </c>
      <c r="D5984" s="4" t="s">
        <v>4568</v>
      </c>
      <c r="E5984" s="1" t="str">
        <f>_xlfn.XLOOKUP(tblSales[[#This Row],[Customer ID]],tblCustomers[Customer ID],tblCustomers[Customer Name],"⚠ Unknown")</f>
        <v>Walk-in Customer</v>
      </c>
      <c r="F5984" s="4" t="s">
        <v>8</v>
      </c>
      <c r="G5984" s="1" t="str">
        <f>_xlfn.XLOOKUP(tblSales[[#This Row],[Product Code]],tblProducts[Code],tblProducts[Product / Service Name],"⚠ Unknown")</f>
        <v>Casual Shorts</v>
      </c>
      <c r="H5984" s="1" t="str">
        <f>_xlfn.XLOOKUP(tblSales[[#This Row],[Product Code]],tblProducts[Code],tblProducts[Category],"")</f>
        <v>Accessories &amp; Basics</v>
      </c>
      <c r="I5984" s="4">
        <v>4</v>
      </c>
      <c r="J5984" s="5">
        <f>_xlfn.XLOOKUP(tblSales[[#This Row],[Product Code]],tblProducts[Code],tblProducts[Selling Price (excl. VAT)],0)</f>
        <v>85000</v>
      </c>
      <c r="K5984" s="5">
        <f>tblSales[[#This Row],[Qty]]*tblSales[[#This Row],[Unit Price]]</f>
        <v>340000</v>
      </c>
      <c r="L5984" s="5">
        <f>ROUND(tblSales[[#This Row],[DPP (excl. VAT)]]*VATEff,0)</f>
        <v>37400</v>
      </c>
      <c r="M5984" s="5">
        <f>tblSales[[#This Row],[DPP (excl. VAT)]]+tblSales[[#This Row],[Output VAT]]</f>
        <v>377400</v>
      </c>
      <c r="N5984" s="5">
        <f>tblSales[[#This Row],[Qty]]*_xlfn.XLOOKUP(tblSales[[#This Row],[Product Code]],tblProducts[Code],tblProducts[Unit Cost],0)</f>
        <v>200000</v>
      </c>
      <c r="O5984" s="4" t="s">
        <v>4866</v>
      </c>
      <c r="P5984" s="4" t="s">
        <v>4862</v>
      </c>
      <c r="Q5984" s="1" t="str">
        <f>_xlfn.XLOOKUP(tblSales[[#This Row],[Channel Code]],tblChannels[Channel Code],tblChannels[Channel Name],"")</f>
        <v>Website &amp; Social Media</v>
      </c>
      <c r="R5984" s="1">
        <f>MONTH(tblSales[[#This Row],[Date]])</f>
        <v>12</v>
      </c>
    </row>
    <row r="5985" spans="2:18" x14ac:dyDescent="0.35">
      <c r="B5985" s="113">
        <v>46377</v>
      </c>
      <c r="C5985" s="4" t="s">
        <v>4103</v>
      </c>
      <c r="D5985" s="4" t="s">
        <v>4568</v>
      </c>
      <c r="E5985" s="1" t="str">
        <f>_xlfn.XLOOKUP(tblSales[[#This Row],[Customer ID]],tblCustomers[Customer ID],tblCustomers[Customer Name],"⚠ Unknown")</f>
        <v>Walk-in Customer</v>
      </c>
      <c r="F5985" s="4" t="s">
        <v>8</v>
      </c>
      <c r="G5985" s="1" t="str">
        <f>_xlfn.XLOOKUP(tblSales[[#This Row],[Product Code]],tblProducts[Code],tblProducts[Product / Service Name],"⚠ Unknown")</f>
        <v>Casual Shorts</v>
      </c>
      <c r="H5985" s="1" t="str">
        <f>_xlfn.XLOOKUP(tblSales[[#This Row],[Product Code]],tblProducts[Code],tblProducts[Category],"")</f>
        <v>Accessories &amp; Basics</v>
      </c>
      <c r="I5985" s="4">
        <v>7</v>
      </c>
      <c r="J5985" s="5">
        <f>_xlfn.XLOOKUP(tblSales[[#This Row],[Product Code]],tblProducts[Code],tblProducts[Selling Price (excl. VAT)],0)</f>
        <v>85000</v>
      </c>
      <c r="K5985" s="5">
        <f>tblSales[[#This Row],[Qty]]*tblSales[[#This Row],[Unit Price]]</f>
        <v>595000</v>
      </c>
      <c r="L5985" s="5">
        <f>ROUND(tblSales[[#This Row],[DPP (excl. VAT)]]*VATEff,0)</f>
        <v>65450</v>
      </c>
      <c r="M5985" s="5">
        <f>tblSales[[#This Row],[DPP (excl. VAT)]]+tblSales[[#This Row],[Output VAT]]</f>
        <v>660450</v>
      </c>
      <c r="N5985" s="5">
        <f>tblSales[[#This Row],[Qty]]*_xlfn.XLOOKUP(tblSales[[#This Row],[Product Code]],tblProducts[Code],tblProducts[Unit Cost],0)</f>
        <v>350000</v>
      </c>
      <c r="O5985" s="4" t="s">
        <v>4865</v>
      </c>
      <c r="P5985" s="4" t="s">
        <v>4860</v>
      </c>
      <c r="Q5985" s="1" t="str">
        <f>_xlfn.XLOOKUP(tblSales[[#This Row],[Channel Code]],tblChannels[Channel Code],tblChannels[Channel Name],"")</f>
        <v>In-store</v>
      </c>
      <c r="R5985" s="1">
        <f>MONTH(tblSales[[#This Row],[Date]])</f>
        <v>12</v>
      </c>
    </row>
    <row r="5986" spans="2:18" x14ac:dyDescent="0.35">
      <c r="B5986" s="113">
        <v>46377</v>
      </c>
      <c r="C5986" s="4" t="s">
        <v>4104</v>
      </c>
      <c r="D5986" s="4" t="s">
        <v>4613</v>
      </c>
      <c r="E5986" s="1" t="str">
        <f>_xlfn.XLOOKUP(tblSales[[#This Row],[Customer ID]],tblCustomers[Customer ID],tblCustomers[Customer Name],"⚠ Unknown")</f>
        <v>PT Mega Prima Distribusi</v>
      </c>
      <c r="F5986" s="4" t="s">
        <v>9</v>
      </c>
      <c r="G5986" s="1" t="str">
        <f>_xlfn.XLOOKUP(tblSales[[#This Row],[Product Code]],tblProducts[Code],tblProducts[Product / Service Name],"⚠ Unknown")</f>
        <v>Casual Shirt</v>
      </c>
      <c r="H5986" s="1" t="str">
        <f>_xlfn.XLOOKUP(tblSales[[#This Row],[Product Code]],tblProducts[Code],tblProducts[Category],"")</f>
        <v>Apparel &amp; Footwear</v>
      </c>
      <c r="I5986" s="4">
        <v>40</v>
      </c>
      <c r="J5986" s="5">
        <f>_xlfn.XLOOKUP(tblSales[[#This Row],[Product Code]],tblProducts[Code],tblProducts[Selling Price (excl. VAT)],0)</f>
        <v>120000</v>
      </c>
      <c r="K5986" s="5">
        <f>tblSales[[#This Row],[Qty]]*tblSales[[#This Row],[Unit Price]]</f>
        <v>4800000</v>
      </c>
      <c r="L5986" s="5">
        <f>ROUND(tblSales[[#This Row],[DPP (excl. VAT)]]*VATEff,0)</f>
        <v>528000</v>
      </c>
      <c r="M5986" s="5">
        <f>tblSales[[#This Row],[DPP (excl. VAT)]]+tblSales[[#This Row],[Output VAT]]</f>
        <v>5328000</v>
      </c>
      <c r="N5986" s="5">
        <f>tblSales[[#This Row],[Qty]]*_xlfn.XLOOKUP(tblSales[[#This Row],[Product Code]],tblProducts[Code],tblProducts[Unit Cost],0)</f>
        <v>2880000</v>
      </c>
      <c r="O5986" s="4" t="s">
        <v>4867</v>
      </c>
      <c r="P5986" s="4" t="s">
        <v>4860</v>
      </c>
      <c r="Q5986" s="1" t="str">
        <f>_xlfn.XLOOKUP(tblSales[[#This Row],[Channel Code]],tblChannels[Channel Code],tblChannels[Channel Name],"")</f>
        <v>In-store</v>
      </c>
      <c r="R5986" s="1">
        <f>MONTH(tblSales[[#This Row],[Date]])</f>
        <v>12</v>
      </c>
    </row>
    <row r="5987" spans="2:18" x14ac:dyDescent="0.35">
      <c r="B5987" s="113">
        <v>46377</v>
      </c>
      <c r="C5987" s="4" t="s">
        <v>4105</v>
      </c>
      <c r="D5987" s="4" t="s">
        <v>4568</v>
      </c>
      <c r="E5987" s="1" t="str">
        <f>_xlfn.XLOOKUP(tblSales[[#This Row],[Customer ID]],tblCustomers[Customer ID],tblCustomers[Customer Name],"⚠ Unknown")</f>
        <v>Walk-in Customer</v>
      </c>
      <c r="F5987" s="4" t="s">
        <v>15</v>
      </c>
      <c r="G5987" s="1" t="str">
        <f>_xlfn.XLOOKUP(tblSales[[#This Row],[Product Code]],tblProducts[Code],tblProducts[Product / Service Name],"⚠ Unknown")</f>
        <v>Wireless Earbuds Pro</v>
      </c>
      <c r="H5987" s="1" t="str">
        <f>_xlfn.XLOOKUP(tblSales[[#This Row],[Product Code]],tblProducts[Code],tblProducts[Category],"")</f>
        <v>Bags &amp; Gadgets</v>
      </c>
      <c r="I5987" s="4">
        <v>2</v>
      </c>
      <c r="J5987" s="5">
        <f>_xlfn.XLOOKUP(tblSales[[#This Row],[Product Code]],tblProducts[Code],tblProducts[Selling Price (excl. VAT)],0)</f>
        <v>1250000</v>
      </c>
      <c r="K5987" s="5">
        <f>tblSales[[#This Row],[Qty]]*tblSales[[#This Row],[Unit Price]]</f>
        <v>2500000</v>
      </c>
      <c r="L5987" s="5">
        <f>ROUND(tblSales[[#This Row],[DPP (excl. VAT)]]*VATEff,0)</f>
        <v>275000</v>
      </c>
      <c r="M5987" s="5">
        <f>tblSales[[#This Row],[DPP (excl. VAT)]]+tblSales[[#This Row],[Output VAT]]</f>
        <v>2775000</v>
      </c>
      <c r="N5987" s="5">
        <f>tblSales[[#This Row],[Qty]]*_xlfn.XLOOKUP(tblSales[[#This Row],[Product Code]],tblProducts[Code],tblProducts[Unit Cost],0)</f>
        <v>1640000</v>
      </c>
      <c r="O5987" s="4" t="s">
        <v>4866</v>
      </c>
      <c r="P5987" s="4" t="s">
        <v>4861</v>
      </c>
      <c r="Q5987" s="1" t="str">
        <f>_xlfn.XLOOKUP(tblSales[[#This Row],[Channel Code]],tblChannels[Channel Code],tblChannels[Channel Name],"")</f>
        <v>Marketplace</v>
      </c>
      <c r="R5987" s="1">
        <f>MONTH(tblSales[[#This Row],[Date]])</f>
        <v>12</v>
      </c>
    </row>
    <row r="5988" spans="2:18" x14ac:dyDescent="0.35">
      <c r="B5988" s="113">
        <v>46377</v>
      </c>
      <c r="C5988" s="4" t="s">
        <v>4106</v>
      </c>
      <c r="D5988" s="4" t="s">
        <v>4568</v>
      </c>
      <c r="E5988" s="1" t="str">
        <f>_xlfn.XLOOKUP(tblSales[[#This Row],[Customer ID]],tblCustomers[Customer ID],tblCustomers[Customer Name],"⚠ Unknown")</f>
        <v>Walk-in Customer</v>
      </c>
      <c r="F5988" s="4" t="s">
        <v>14</v>
      </c>
      <c r="G5988" s="1" t="str">
        <f>_xlfn.XLOOKUP(tblSales[[#This Row],[Product Code]],tblProducts[Code],tblProducts[Product / Service Name],"⚠ Unknown")</f>
        <v>Smartwatch</v>
      </c>
      <c r="H5988" s="1" t="str">
        <f>_xlfn.XLOOKUP(tblSales[[#This Row],[Product Code]],tblProducts[Code],tblProducts[Category],"")</f>
        <v>Bags &amp; Gadgets</v>
      </c>
      <c r="I5988" s="4">
        <v>3</v>
      </c>
      <c r="J5988" s="5">
        <f>_xlfn.XLOOKUP(tblSales[[#This Row],[Product Code]],tblProducts[Code],tblProducts[Selling Price (excl. VAT)],0)</f>
        <v>850000</v>
      </c>
      <c r="K5988" s="5">
        <f>tblSales[[#This Row],[Qty]]*tblSales[[#This Row],[Unit Price]]</f>
        <v>2550000</v>
      </c>
      <c r="L5988" s="5">
        <f>ROUND(tblSales[[#This Row],[DPP (excl. VAT)]]*VATEff,0)</f>
        <v>280500</v>
      </c>
      <c r="M5988" s="5">
        <f>tblSales[[#This Row],[DPP (excl. VAT)]]+tblSales[[#This Row],[Output VAT]]</f>
        <v>2830500</v>
      </c>
      <c r="N5988" s="5">
        <f>tblSales[[#This Row],[Qty]]*_xlfn.XLOOKUP(tblSales[[#This Row],[Product Code]],tblProducts[Code],tblProducts[Unit Cost],0)</f>
        <v>1680000</v>
      </c>
      <c r="O5988" s="4" t="s">
        <v>4866</v>
      </c>
      <c r="P5988" s="4" t="s">
        <v>4861</v>
      </c>
      <c r="Q5988" s="1" t="str">
        <f>_xlfn.XLOOKUP(tblSales[[#This Row],[Channel Code]],tblChannels[Channel Code],tblChannels[Channel Name],"")</f>
        <v>Marketplace</v>
      </c>
      <c r="R5988" s="1">
        <f>MONTH(tblSales[[#This Row],[Date]])</f>
        <v>12</v>
      </c>
    </row>
    <row r="5989" spans="2:18" x14ac:dyDescent="0.35">
      <c r="B5989" s="113">
        <v>46377</v>
      </c>
      <c r="C5989" s="4" t="s">
        <v>4107</v>
      </c>
      <c r="D5989" s="4" t="s">
        <v>4568</v>
      </c>
      <c r="E5989" s="1" t="str">
        <f>_xlfn.XLOOKUP(tblSales[[#This Row],[Customer ID]],tblCustomers[Customer ID],tblCustomers[Customer Name],"⚠ Unknown")</f>
        <v>Walk-in Customer</v>
      </c>
      <c r="F5989" s="4" t="s">
        <v>7</v>
      </c>
      <c r="G5989" s="1" t="str">
        <f>_xlfn.XLOOKUP(tblSales[[#This Row],[Product Code]],tblProducts[Code],tblProducts[Product / Service Name],"⚠ Unknown")</f>
        <v>Premium Basic T-shirt</v>
      </c>
      <c r="H5989" s="1" t="str">
        <f>_xlfn.XLOOKUP(tblSales[[#This Row],[Product Code]],tblProducts[Code],tblProducts[Category],"")</f>
        <v>Accessories &amp; Basics</v>
      </c>
      <c r="I5989" s="4">
        <v>10</v>
      </c>
      <c r="J5989" s="5">
        <f>_xlfn.XLOOKUP(tblSales[[#This Row],[Product Code]],tblProducts[Code],tblProducts[Selling Price (excl. VAT)],0)</f>
        <v>65000</v>
      </c>
      <c r="K5989" s="5">
        <f>tblSales[[#This Row],[Qty]]*tblSales[[#This Row],[Unit Price]]</f>
        <v>650000</v>
      </c>
      <c r="L5989" s="5">
        <f>ROUND(tblSales[[#This Row],[DPP (excl. VAT)]]*VATEff,0)</f>
        <v>71500</v>
      </c>
      <c r="M5989" s="5">
        <f>tblSales[[#This Row],[DPP (excl. VAT)]]+tblSales[[#This Row],[Output VAT]]</f>
        <v>721500</v>
      </c>
      <c r="N5989" s="5">
        <f>tblSales[[#This Row],[Qty]]*_xlfn.XLOOKUP(tblSales[[#This Row],[Product Code]],tblProducts[Code],tblProducts[Unit Cost],0)</f>
        <v>370000</v>
      </c>
      <c r="O5989" s="4" t="s">
        <v>4865</v>
      </c>
      <c r="P5989" s="4" t="s">
        <v>4860</v>
      </c>
      <c r="Q5989" s="1" t="str">
        <f>_xlfn.XLOOKUP(tblSales[[#This Row],[Channel Code]],tblChannels[Channel Code],tblChannels[Channel Name],"")</f>
        <v>In-store</v>
      </c>
      <c r="R5989" s="1">
        <f>MONTH(tblSales[[#This Row],[Date]])</f>
        <v>12</v>
      </c>
    </row>
    <row r="5990" spans="2:18" x14ac:dyDescent="0.35">
      <c r="B5990" s="113">
        <v>46377</v>
      </c>
      <c r="C5990" s="4" t="s">
        <v>4108</v>
      </c>
      <c r="D5990" s="4" t="s">
        <v>4568</v>
      </c>
      <c r="E5990" s="1" t="str">
        <f>_xlfn.XLOOKUP(tblSales[[#This Row],[Customer ID]],tblCustomers[Customer ID],tblCustomers[Customer Name],"⚠ Unknown")</f>
        <v>Walk-in Customer</v>
      </c>
      <c r="F5990" s="4" t="s">
        <v>7</v>
      </c>
      <c r="G5990" s="1" t="str">
        <f>_xlfn.XLOOKUP(tblSales[[#This Row],[Product Code]],tblProducts[Code],tblProducts[Product / Service Name],"⚠ Unknown")</f>
        <v>Premium Basic T-shirt</v>
      </c>
      <c r="H5990" s="1" t="str">
        <f>_xlfn.XLOOKUP(tblSales[[#This Row],[Product Code]],tblProducts[Code],tblProducts[Category],"")</f>
        <v>Accessories &amp; Basics</v>
      </c>
      <c r="I5990" s="4">
        <v>10</v>
      </c>
      <c r="J5990" s="5">
        <f>_xlfn.XLOOKUP(tblSales[[#This Row],[Product Code]],tblProducts[Code],tblProducts[Selling Price (excl. VAT)],0)</f>
        <v>65000</v>
      </c>
      <c r="K5990" s="5">
        <f>tblSales[[#This Row],[Qty]]*tblSales[[#This Row],[Unit Price]]</f>
        <v>650000</v>
      </c>
      <c r="L5990" s="5">
        <f>ROUND(tblSales[[#This Row],[DPP (excl. VAT)]]*VATEff,0)</f>
        <v>71500</v>
      </c>
      <c r="M5990" s="5">
        <f>tblSales[[#This Row],[DPP (excl. VAT)]]+tblSales[[#This Row],[Output VAT]]</f>
        <v>721500</v>
      </c>
      <c r="N5990" s="5">
        <f>tblSales[[#This Row],[Qty]]*_xlfn.XLOOKUP(tblSales[[#This Row],[Product Code]],tblProducts[Code],tblProducts[Unit Cost],0)</f>
        <v>370000</v>
      </c>
      <c r="O5990" s="4" t="s">
        <v>4866</v>
      </c>
      <c r="P5990" s="4" t="s">
        <v>4860</v>
      </c>
      <c r="Q5990" s="1" t="str">
        <f>_xlfn.XLOOKUP(tblSales[[#This Row],[Channel Code]],tblChannels[Channel Code],tblChannels[Channel Name],"")</f>
        <v>In-store</v>
      </c>
      <c r="R5990" s="1">
        <f>MONTH(tblSales[[#This Row],[Date]])</f>
        <v>12</v>
      </c>
    </row>
    <row r="5991" spans="2:18" x14ac:dyDescent="0.35">
      <c r="B5991" s="113">
        <v>46377</v>
      </c>
      <c r="C5991" s="4" t="s">
        <v>4109</v>
      </c>
      <c r="D5991" s="4" t="s">
        <v>4568</v>
      </c>
      <c r="E5991" s="1" t="str">
        <f>_xlfn.XLOOKUP(tblSales[[#This Row],[Customer ID]],tblCustomers[Customer ID],tblCustomers[Customer Name],"⚠ Unknown")</f>
        <v>Walk-in Customer</v>
      </c>
      <c r="F5991" s="4" t="s">
        <v>11</v>
      </c>
      <c r="G5991" s="1" t="str">
        <f>_xlfn.XLOOKUP(tblSales[[#This Row],[Product Code]],tblProducts[Code],tblProducts[Product / Service Name],"⚠ Unknown")</f>
        <v>Sneakers</v>
      </c>
      <c r="H5991" s="1" t="str">
        <f>_xlfn.XLOOKUP(tblSales[[#This Row],[Product Code]],tblProducts[Code],tblProducts[Category],"")</f>
        <v>Apparel &amp; Footwear</v>
      </c>
      <c r="I5991" s="4">
        <v>4</v>
      </c>
      <c r="J5991" s="5">
        <f>_xlfn.XLOOKUP(tblSales[[#This Row],[Product Code]],tblProducts[Code],tblProducts[Selling Price (excl. VAT)],0)</f>
        <v>250000</v>
      </c>
      <c r="K5991" s="5">
        <f>tblSales[[#This Row],[Qty]]*tblSales[[#This Row],[Unit Price]]</f>
        <v>1000000</v>
      </c>
      <c r="L5991" s="5">
        <f>ROUND(tblSales[[#This Row],[DPP (excl. VAT)]]*VATEff,0)</f>
        <v>110000</v>
      </c>
      <c r="M5991" s="5">
        <f>tblSales[[#This Row],[DPP (excl. VAT)]]+tblSales[[#This Row],[Output VAT]]</f>
        <v>1110000</v>
      </c>
      <c r="N5991" s="5">
        <f>tblSales[[#This Row],[Qty]]*_xlfn.XLOOKUP(tblSales[[#This Row],[Product Code]],tblProducts[Code],tblProducts[Unit Cost],0)</f>
        <v>620000</v>
      </c>
      <c r="O5991" s="4" t="s">
        <v>4865</v>
      </c>
      <c r="P5991" s="4" t="s">
        <v>4860</v>
      </c>
      <c r="Q5991" s="1" t="str">
        <f>_xlfn.XLOOKUP(tblSales[[#This Row],[Channel Code]],tblChannels[Channel Code],tblChannels[Channel Name],"")</f>
        <v>In-store</v>
      </c>
      <c r="R5991" s="1">
        <f>MONTH(tblSales[[#This Row],[Date]])</f>
        <v>12</v>
      </c>
    </row>
    <row r="5992" spans="2:18" x14ac:dyDescent="0.35">
      <c r="B5992" s="113">
        <v>46377</v>
      </c>
      <c r="C5992" s="4" t="s">
        <v>4110</v>
      </c>
      <c r="D5992" s="4" t="s">
        <v>4568</v>
      </c>
      <c r="E5992" s="1" t="str">
        <f>_xlfn.XLOOKUP(tblSales[[#This Row],[Customer ID]],tblCustomers[Customer ID],tblCustomers[Customer Name],"⚠ Unknown")</f>
        <v>Walk-in Customer</v>
      </c>
      <c r="F5992" s="4" t="s">
        <v>10</v>
      </c>
      <c r="G5992" s="1" t="str">
        <f>_xlfn.XLOOKUP(tblSales[[#This Row],[Product Code]],tblProducts[Code],tblProducts[Product / Service Name],"⚠ Unknown")</f>
        <v>Chino Pants</v>
      </c>
      <c r="H5992" s="1" t="str">
        <f>_xlfn.XLOOKUP(tblSales[[#This Row],[Product Code]],tblProducts[Code],tblProducts[Category],"")</f>
        <v>Apparel &amp; Footwear</v>
      </c>
      <c r="I5992" s="4">
        <v>8</v>
      </c>
      <c r="J5992" s="5">
        <f>_xlfn.XLOOKUP(tblSales[[#This Row],[Product Code]],tblProducts[Code],tblProducts[Selling Price (excl. VAT)],0)</f>
        <v>150000</v>
      </c>
      <c r="K5992" s="5">
        <f>tblSales[[#This Row],[Qty]]*tblSales[[#This Row],[Unit Price]]</f>
        <v>1200000</v>
      </c>
      <c r="L5992" s="5">
        <f>ROUND(tblSales[[#This Row],[DPP (excl. VAT)]]*VATEff,0)</f>
        <v>132000</v>
      </c>
      <c r="M5992" s="5">
        <f>tblSales[[#This Row],[DPP (excl. VAT)]]+tblSales[[#This Row],[Output VAT]]</f>
        <v>1332000</v>
      </c>
      <c r="N5992" s="5">
        <f>tblSales[[#This Row],[Qty]]*_xlfn.XLOOKUP(tblSales[[#This Row],[Product Code]],tblProducts[Code],tblProducts[Unit Cost],0)</f>
        <v>704000</v>
      </c>
      <c r="O5992" s="4" t="s">
        <v>4865</v>
      </c>
      <c r="P5992" s="4" t="s">
        <v>4860</v>
      </c>
      <c r="Q5992" s="1" t="str">
        <f>_xlfn.XLOOKUP(tblSales[[#This Row],[Channel Code]],tblChannels[Channel Code],tblChannels[Channel Name],"")</f>
        <v>In-store</v>
      </c>
      <c r="R5992" s="1">
        <f>MONTH(tblSales[[#This Row],[Date]])</f>
        <v>12</v>
      </c>
    </row>
    <row r="5993" spans="2:18" x14ac:dyDescent="0.35">
      <c r="B5993" s="113">
        <v>46377</v>
      </c>
      <c r="C5993" s="4" t="s">
        <v>4110</v>
      </c>
      <c r="D5993" s="4" t="s">
        <v>4568</v>
      </c>
      <c r="E5993" s="1" t="str">
        <f>_xlfn.XLOOKUP(tblSales[[#This Row],[Customer ID]],tblCustomers[Customer ID],tblCustomers[Customer Name],"⚠ Unknown")</f>
        <v>Walk-in Customer</v>
      </c>
      <c r="F5993" s="4" t="s">
        <v>13</v>
      </c>
      <c r="G5993" s="1" t="str">
        <f>_xlfn.XLOOKUP(tblSales[[#This Row],[Product Code]],tblProducts[Code],tblProducts[Product / Service Name],"⚠ Unknown")</f>
        <v>Backpack</v>
      </c>
      <c r="H5993" s="1" t="str">
        <f>_xlfn.XLOOKUP(tblSales[[#This Row],[Product Code]],tblProducts[Code],tblProducts[Category],"")</f>
        <v>Bags &amp; Gadgets</v>
      </c>
      <c r="I5993" s="4">
        <v>1</v>
      </c>
      <c r="J5993" s="5">
        <f>_xlfn.XLOOKUP(tblSales[[#This Row],[Product Code]],tblProducts[Code],tblProducts[Selling Price (excl. VAT)],0)</f>
        <v>500000</v>
      </c>
      <c r="K5993" s="5">
        <f>tblSales[[#This Row],[Qty]]*tblSales[[#This Row],[Unit Price]]</f>
        <v>500000</v>
      </c>
      <c r="L5993" s="5">
        <f>ROUND(tblSales[[#This Row],[DPP (excl. VAT)]]*VATEff,0)</f>
        <v>55000</v>
      </c>
      <c r="M5993" s="5">
        <f>tblSales[[#This Row],[DPP (excl. VAT)]]+tblSales[[#This Row],[Output VAT]]</f>
        <v>555000</v>
      </c>
      <c r="N5993" s="5">
        <f>tblSales[[#This Row],[Qty]]*_xlfn.XLOOKUP(tblSales[[#This Row],[Product Code]],tblProducts[Code],tblProducts[Unit Cost],0)</f>
        <v>290000</v>
      </c>
      <c r="O5993" s="4" t="s">
        <v>4865</v>
      </c>
      <c r="P5993" s="4" t="s">
        <v>4860</v>
      </c>
      <c r="Q5993" s="1" t="str">
        <f>_xlfn.XLOOKUP(tblSales[[#This Row],[Channel Code]],tblChannels[Channel Code],tblChannels[Channel Name],"")</f>
        <v>In-store</v>
      </c>
      <c r="R5993" s="1">
        <f>MONTH(tblSales[[#This Row],[Date]])</f>
        <v>12</v>
      </c>
    </row>
    <row r="5994" spans="2:18" x14ac:dyDescent="0.35">
      <c r="B5994" s="113">
        <v>46377</v>
      </c>
      <c r="C5994" s="4" t="s">
        <v>4110</v>
      </c>
      <c r="D5994" s="4" t="s">
        <v>4568</v>
      </c>
      <c r="E5994" s="1" t="str">
        <f>_xlfn.XLOOKUP(tblSales[[#This Row],[Customer ID]],tblCustomers[Customer ID],tblCustomers[Customer Name],"⚠ Unknown")</f>
        <v>Walk-in Customer</v>
      </c>
      <c r="F5994" s="4" t="s">
        <v>9</v>
      </c>
      <c r="G5994" s="1" t="str">
        <f>_xlfn.XLOOKUP(tblSales[[#This Row],[Product Code]],tblProducts[Code],tblProducts[Product / Service Name],"⚠ Unknown")</f>
        <v>Casual Shirt</v>
      </c>
      <c r="H5994" s="1" t="str">
        <f>_xlfn.XLOOKUP(tblSales[[#This Row],[Product Code]],tblProducts[Code],tblProducts[Category],"")</f>
        <v>Apparel &amp; Footwear</v>
      </c>
      <c r="I5994" s="4">
        <v>7</v>
      </c>
      <c r="J5994" s="5">
        <f>_xlfn.XLOOKUP(tblSales[[#This Row],[Product Code]],tblProducts[Code],tblProducts[Selling Price (excl. VAT)],0)</f>
        <v>120000</v>
      </c>
      <c r="K5994" s="5">
        <f>tblSales[[#This Row],[Qty]]*tblSales[[#This Row],[Unit Price]]</f>
        <v>840000</v>
      </c>
      <c r="L5994" s="5">
        <f>ROUND(tblSales[[#This Row],[DPP (excl. VAT)]]*VATEff,0)</f>
        <v>92400</v>
      </c>
      <c r="M5994" s="5">
        <f>tblSales[[#This Row],[DPP (excl. VAT)]]+tblSales[[#This Row],[Output VAT]]</f>
        <v>932400</v>
      </c>
      <c r="N5994" s="5">
        <f>tblSales[[#This Row],[Qty]]*_xlfn.XLOOKUP(tblSales[[#This Row],[Product Code]],tblProducts[Code],tblProducts[Unit Cost],0)</f>
        <v>504000</v>
      </c>
      <c r="O5994" s="4" t="s">
        <v>4865</v>
      </c>
      <c r="P5994" s="4" t="s">
        <v>4860</v>
      </c>
      <c r="Q5994" s="1" t="str">
        <f>_xlfn.XLOOKUP(tblSales[[#This Row],[Channel Code]],tblChannels[Channel Code],tblChannels[Channel Name],"")</f>
        <v>In-store</v>
      </c>
      <c r="R5994" s="1">
        <f>MONTH(tblSales[[#This Row],[Date]])</f>
        <v>12</v>
      </c>
    </row>
    <row r="5995" spans="2:18" x14ac:dyDescent="0.35">
      <c r="B5995" s="113">
        <v>46377</v>
      </c>
      <c r="C5995" s="4" t="s">
        <v>4111</v>
      </c>
      <c r="D5995" s="4" t="s">
        <v>4568</v>
      </c>
      <c r="E5995" s="1" t="str">
        <f>_xlfn.XLOOKUP(tblSales[[#This Row],[Customer ID]],tblCustomers[Customer ID],tblCustomers[Customer Name],"⚠ Unknown")</f>
        <v>Walk-in Customer</v>
      </c>
      <c r="F5995" s="4" t="s">
        <v>8</v>
      </c>
      <c r="G5995" s="1" t="str">
        <f>_xlfn.XLOOKUP(tblSales[[#This Row],[Product Code]],tblProducts[Code],tblProducts[Product / Service Name],"⚠ Unknown")</f>
        <v>Casual Shorts</v>
      </c>
      <c r="H5995" s="1" t="str">
        <f>_xlfn.XLOOKUP(tblSales[[#This Row],[Product Code]],tblProducts[Code],tblProducts[Category],"")</f>
        <v>Accessories &amp; Basics</v>
      </c>
      <c r="I5995" s="4">
        <v>7</v>
      </c>
      <c r="J5995" s="5">
        <f>_xlfn.XLOOKUP(tblSales[[#This Row],[Product Code]],tblProducts[Code],tblProducts[Selling Price (excl. VAT)],0)</f>
        <v>85000</v>
      </c>
      <c r="K5995" s="5">
        <f>tblSales[[#This Row],[Qty]]*tblSales[[#This Row],[Unit Price]]</f>
        <v>595000</v>
      </c>
      <c r="L5995" s="5">
        <f>ROUND(tblSales[[#This Row],[DPP (excl. VAT)]]*VATEff,0)</f>
        <v>65450</v>
      </c>
      <c r="M5995" s="5">
        <f>tblSales[[#This Row],[DPP (excl. VAT)]]+tblSales[[#This Row],[Output VAT]]</f>
        <v>660450</v>
      </c>
      <c r="N5995" s="5">
        <f>tblSales[[#This Row],[Qty]]*_xlfn.XLOOKUP(tblSales[[#This Row],[Product Code]],tblProducts[Code],tblProducts[Unit Cost],0)</f>
        <v>350000</v>
      </c>
      <c r="O5995" s="4" t="s">
        <v>4865</v>
      </c>
      <c r="P5995" s="4" t="s">
        <v>4860</v>
      </c>
      <c r="Q5995" s="1" t="str">
        <f>_xlfn.XLOOKUP(tblSales[[#This Row],[Channel Code]],tblChannels[Channel Code],tblChannels[Channel Name],"")</f>
        <v>In-store</v>
      </c>
      <c r="R5995" s="1">
        <f>MONTH(tblSales[[#This Row],[Date]])</f>
        <v>12</v>
      </c>
    </row>
    <row r="5996" spans="2:18" x14ac:dyDescent="0.35">
      <c r="B5996" s="113">
        <v>46377</v>
      </c>
      <c r="C5996" s="4" t="s">
        <v>4112</v>
      </c>
      <c r="D5996" s="4" t="s">
        <v>4568</v>
      </c>
      <c r="E5996" s="1" t="str">
        <f>_xlfn.XLOOKUP(tblSales[[#This Row],[Customer ID]],tblCustomers[Customer ID],tblCustomers[Customer Name],"⚠ Unknown")</f>
        <v>Walk-in Customer</v>
      </c>
      <c r="F5996" s="4" t="s">
        <v>11</v>
      </c>
      <c r="G5996" s="1" t="str">
        <f>_xlfn.XLOOKUP(tblSales[[#This Row],[Product Code]],tblProducts[Code],tblProducts[Product / Service Name],"⚠ Unknown")</f>
        <v>Sneakers</v>
      </c>
      <c r="H5996" s="1" t="str">
        <f>_xlfn.XLOOKUP(tblSales[[#This Row],[Product Code]],tblProducts[Code],tblProducts[Category],"")</f>
        <v>Apparel &amp; Footwear</v>
      </c>
      <c r="I5996" s="4">
        <v>6</v>
      </c>
      <c r="J5996" s="5">
        <f>_xlfn.XLOOKUP(tblSales[[#This Row],[Product Code]],tblProducts[Code],tblProducts[Selling Price (excl. VAT)],0)</f>
        <v>250000</v>
      </c>
      <c r="K5996" s="5">
        <f>tblSales[[#This Row],[Qty]]*tblSales[[#This Row],[Unit Price]]</f>
        <v>1500000</v>
      </c>
      <c r="L5996" s="5">
        <f>ROUND(tblSales[[#This Row],[DPP (excl. VAT)]]*VATEff,0)</f>
        <v>165000</v>
      </c>
      <c r="M5996" s="5">
        <f>tblSales[[#This Row],[DPP (excl. VAT)]]+tblSales[[#This Row],[Output VAT]]</f>
        <v>1665000</v>
      </c>
      <c r="N5996" s="5">
        <f>tblSales[[#This Row],[Qty]]*_xlfn.XLOOKUP(tblSales[[#This Row],[Product Code]],tblProducts[Code],tblProducts[Unit Cost],0)</f>
        <v>930000</v>
      </c>
      <c r="O5996" s="4" t="s">
        <v>4865</v>
      </c>
      <c r="P5996" s="4" t="s">
        <v>4860</v>
      </c>
      <c r="Q5996" s="1" t="str">
        <f>_xlfn.XLOOKUP(tblSales[[#This Row],[Channel Code]],tblChannels[Channel Code],tblChannels[Channel Name],"")</f>
        <v>In-store</v>
      </c>
      <c r="R5996" s="1">
        <f>MONTH(tblSales[[#This Row],[Date]])</f>
        <v>12</v>
      </c>
    </row>
    <row r="5997" spans="2:18" x14ac:dyDescent="0.35">
      <c r="B5997" s="113">
        <v>46377</v>
      </c>
      <c r="C5997" s="4" t="s">
        <v>4113</v>
      </c>
      <c r="D5997" s="4" t="s">
        <v>4648</v>
      </c>
      <c r="E5997" s="1" t="str">
        <f>_xlfn.XLOOKUP(tblSales[[#This Row],[Customer ID]],tblCustomers[Customer ID],tblCustomers[Customer Name],"⚠ Unknown")</f>
        <v>PT Lintas Benua Niaga</v>
      </c>
      <c r="F5997" s="4" t="s">
        <v>6</v>
      </c>
      <c r="G5997" s="1" t="str">
        <f>_xlfn.XLOOKUP(tblSales[[#This Row],[Product Code]],tblProducts[Code],tblProducts[Product / Service Name],"⚠ Unknown")</f>
        <v>Socks &amp; Accessories</v>
      </c>
      <c r="H5997" s="1" t="str">
        <f>_xlfn.XLOOKUP(tblSales[[#This Row],[Product Code]],tblProducts[Code],tblProducts[Category],"")</f>
        <v>Accessories &amp; Basics</v>
      </c>
      <c r="I5997" s="4">
        <v>24</v>
      </c>
      <c r="J5997" s="5">
        <f>_xlfn.XLOOKUP(tblSales[[#This Row],[Product Code]],tblProducts[Code],tblProducts[Selling Price (excl. VAT)],0)</f>
        <v>45000</v>
      </c>
      <c r="K5997" s="5">
        <f>tblSales[[#This Row],[Qty]]*tblSales[[#This Row],[Unit Price]]</f>
        <v>1080000</v>
      </c>
      <c r="L5997" s="5">
        <f>ROUND(tblSales[[#This Row],[DPP (excl. VAT)]]*VATEff,0)</f>
        <v>118800</v>
      </c>
      <c r="M5997" s="5">
        <f>tblSales[[#This Row],[DPP (excl. VAT)]]+tblSales[[#This Row],[Output VAT]]</f>
        <v>1198800</v>
      </c>
      <c r="N5997" s="5">
        <f>tblSales[[#This Row],[Qty]]*_xlfn.XLOOKUP(tblSales[[#This Row],[Product Code]],tblProducts[Code],tblProducts[Unit Cost],0)</f>
        <v>576000</v>
      </c>
      <c r="O5997" s="4" t="s">
        <v>4867</v>
      </c>
      <c r="P5997" s="4" t="s">
        <v>4860</v>
      </c>
      <c r="Q5997" s="1" t="str">
        <f>_xlfn.XLOOKUP(tblSales[[#This Row],[Channel Code]],tblChannels[Channel Code],tblChannels[Channel Name],"")</f>
        <v>In-store</v>
      </c>
      <c r="R5997" s="1">
        <f>MONTH(tblSales[[#This Row],[Date]])</f>
        <v>12</v>
      </c>
    </row>
    <row r="5998" spans="2:18" x14ac:dyDescent="0.35">
      <c r="B5998" s="113">
        <v>46378</v>
      </c>
      <c r="C5998" s="4" t="s">
        <v>4114</v>
      </c>
      <c r="D5998" s="4" t="s">
        <v>4568</v>
      </c>
      <c r="E5998" s="1" t="str">
        <f>_xlfn.XLOOKUP(tblSales[[#This Row],[Customer ID]],tblCustomers[Customer ID],tblCustomers[Customer Name],"⚠ Unknown")</f>
        <v>Walk-in Customer</v>
      </c>
      <c r="F5998" s="4" t="s">
        <v>14</v>
      </c>
      <c r="G5998" s="1" t="str">
        <f>_xlfn.XLOOKUP(tblSales[[#This Row],[Product Code]],tblProducts[Code],tblProducts[Product / Service Name],"⚠ Unknown")</f>
        <v>Smartwatch</v>
      </c>
      <c r="H5998" s="1" t="str">
        <f>_xlfn.XLOOKUP(tblSales[[#This Row],[Product Code]],tblProducts[Code],tblProducts[Category],"")</f>
        <v>Bags &amp; Gadgets</v>
      </c>
      <c r="I5998" s="4">
        <v>2</v>
      </c>
      <c r="J5998" s="5">
        <f>_xlfn.XLOOKUP(tblSales[[#This Row],[Product Code]],tblProducts[Code],tblProducts[Selling Price (excl. VAT)],0)</f>
        <v>850000</v>
      </c>
      <c r="K5998" s="5">
        <f>tblSales[[#This Row],[Qty]]*tblSales[[#This Row],[Unit Price]]</f>
        <v>1700000</v>
      </c>
      <c r="L5998" s="5">
        <f>ROUND(tblSales[[#This Row],[DPP (excl. VAT)]]*VATEff,0)</f>
        <v>187000</v>
      </c>
      <c r="M5998" s="5">
        <f>tblSales[[#This Row],[DPP (excl. VAT)]]+tblSales[[#This Row],[Output VAT]]</f>
        <v>1887000</v>
      </c>
      <c r="N5998" s="5">
        <f>tblSales[[#This Row],[Qty]]*_xlfn.XLOOKUP(tblSales[[#This Row],[Product Code]],tblProducts[Code],tblProducts[Unit Cost],0)</f>
        <v>1120000</v>
      </c>
      <c r="O5998" s="4" t="s">
        <v>4866</v>
      </c>
      <c r="P5998" s="4" t="s">
        <v>4860</v>
      </c>
      <c r="Q5998" s="1" t="str">
        <f>_xlfn.XLOOKUP(tblSales[[#This Row],[Channel Code]],tblChannels[Channel Code],tblChannels[Channel Name],"")</f>
        <v>In-store</v>
      </c>
      <c r="R5998" s="1">
        <f>MONTH(tblSales[[#This Row],[Date]])</f>
        <v>12</v>
      </c>
    </row>
    <row r="5999" spans="2:18" x14ac:dyDescent="0.35">
      <c r="B5999" s="113">
        <v>46378</v>
      </c>
      <c r="C5999" s="4" t="s">
        <v>4115</v>
      </c>
      <c r="D5999" s="4" t="s">
        <v>4568</v>
      </c>
      <c r="E5999" s="1" t="str">
        <f>_xlfn.XLOOKUP(tblSales[[#This Row],[Customer ID]],tblCustomers[Customer ID],tblCustomers[Customer Name],"⚠ Unknown")</f>
        <v>Walk-in Customer</v>
      </c>
      <c r="F5999" s="4" t="s">
        <v>10</v>
      </c>
      <c r="G5999" s="1" t="str">
        <f>_xlfn.XLOOKUP(tblSales[[#This Row],[Product Code]],tblProducts[Code],tblProducts[Product / Service Name],"⚠ Unknown")</f>
        <v>Chino Pants</v>
      </c>
      <c r="H5999" s="1" t="str">
        <f>_xlfn.XLOOKUP(tblSales[[#This Row],[Product Code]],tblProducts[Code],tblProducts[Category],"")</f>
        <v>Apparel &amp; Footwear</v>
      </c>
      <c r="I5999" s="4">
        <v>6</v>
      </c>
      <c r="J5999" s="5">
        <f>_xlfn.XLOOKUP(tblSales[[#This Row],[Product Code]],tblProducts[Code],tblProducts[Selling Price (excl. VAT)],0)</f>
        <v>150000</v>
      </c>
      <c r="K5999" s="5">
        <f>tblSales[[#This Row],[Qty]]*tblSales[[#This Row],[Unit Price]]</f>
        <v>900000</v>
      </c>
      <c r="L5999" s="5">
        <f>ROUND(tblSales[[#This Row],[DPP (excl. VAT)]]*VATEff,0)</f>
        <v>99000</v>
      </c>
      <c r="M5999" s="5">
        <f>tblSales[[#This Row],[DPP (excl. VAT)]]+tblSales[[#This Row],[Output VAT]]</f>
        <v>999000</v>
      </c>
      <c r="N5999" s="5">
        <f>tblSales[[#This Row],[Qty]]*_xlfn.XLOOKUP(tblSales[[#This Row],[Product Code]],tblProducts[Code],tblProducts[Unit Cost],0)</f>
        <v>528000</v>
      </c>
      <c r="O5999" s="4" t="s">
        <v>4865</v>
      </c>
      <c r="P5999" s="4" t="s">
        <v>4860</v>
      </c>
      <c r="Q5999" s="1" t="str">
        <f>_xlfn.XLOOKUP(tblSales[[#This Row],[Channel Code]],tblChannels[Channel Code],tblChannels[Channel Name],"")</f>
        <v>In-store</v>
      </c>
      <c r="R5999" s="1">
        <f>MONTH(tblSales[[#This Row],[Date]])</f>
        <v>12</v>
      </c>
    </row>
    <row r="6000" spans="2:18" x14ac:dyDescent="0.35">
      <c r="B6000" s="113">
        <v>46378</v>
      </c>
      <c r="C6000" s="4" t="s">
        <v>4115</v>
      </c>
      <c r="D6000" s="4" t="s">
        <v>4568</v>
      </c>
      <c r="E6000" s="1" t="str">
        <f>_xlfn.XLOOKUP(tblSales[[#This Row],[Customer ID]],tblCustomers[Customer ID],tblCustomers[Customer Name],"⚠ Unknown")</f>
        <v>Walk-in Customer</v>
      </c>
      <c r="F6000" s="4" t="s">
        <v>6</v>
      </c>
      <c r="G6000" s="1" t="str">
        <f>_xlfn.XLOOKUP(tblSales[[#This Row],[Product Code]],tblProducts[Code],tblProducts[Product / Service Name],"⚠ Unknown")</f>
        <v>Socks &amp; Accessories</v>
      </c>
      <c r="H6000" s="1" t="str">
        <f>_xlfn.XLOOKUP(tblSales[[#This Row],[Product Code]],tblProducts[Code],tblProducts[Category],"")</f>
        <v>Accessories &amp; Basics</v>
      </c>
      <c r="I6000" s="4">
        <v>11</v>
      </c>
      <c r="J6000" s="5">
        <f>_xlfn.XLOOKUP(tblSales[[#This Row],[Product Code]],tblProducts[Code],tblProducts[Selling Price (excl. VAT)],0)</f>
        <v>45000</v>
      </c>
      <c r="K6000" s="5">
        <f>tblSales[[#This Row],[Qty]]*tblSales[[#This Row],[Unit Price]]</f>
        <v>495000</v>
      </c>
      <c r="L6000" s="5">
        <f>ROUND(tblSales[[#This Row],[DPP (excl. VAT)]]*VATEff,0)</f>
        <v>54450</v>
      </c>
      <c r="M6000" s="5">
        <f>tblSales[[#This Row],[DPP (excl. VAT)]]+tblSales[[#This Row],[Output VAT]]</f>
        <v>549450</v>
      </c>
      <c r="N6000" s="5">
        <f>tblSales[[#This Row],[Qty]]*_xlfn.XLOOKUP(tblSales[[#This Row],[Product Code]],tblProducts[Code],tblProducts[Unit Cost],0)</f>
        <v>264000</v>
      </c>
      <c r="O6000" s="4" t="s">
        <v>4865</v>
      </c>
      <c r="P6000" s="4" t="s">
        <v>4860</v>
      </c>
      <c r="Q6000" s="1" t="str">
        <f>_xlfn.XLOOKUP(tblSales[[#This Row],[Channel Code]],tblChannels[Channel Code],tblChannels[Channel Name],"")</f>
        <v>In-store</v>
      </c>
      <c r="R6000" s="1">
        <f>MONTH(tblSales[[#This Row],[Date]])</f>
        <v>12</v>
      </c>
    </row>
    <row r="6001" spans="2:18" x14ac:dyDescent="0.35">
      <c r="B6001" s="113">
        <v>46378</v>
      </c>
      <c r="C6001" s="4" t="s">
        <v>4116</v>
      </c>
      <c r="D6001" s="4" t="s">
        <v>4578</v>
      </c>
      <c r="E6001" s="1" t="str">
        <f>_xlfn.XLOOKUP(tblSales[[#This Row],[Customer ID]],tblCustomers[Customer ID],tblCustomers[Customer Name],"⚠ Unknown")</f>
        <v>PT Bintang Timur Sejahtera</v>
      </c>
      <c r="F6001" s="4" t="s">
        <v>9</v>
      </c>
      <c r="G6001" s="1" t="str">
        <f>_xlfn.XLOOKUP(tblSales[[#This Row],[Product Code]],tblProducts[Code],tblProducts[Product / Service Name],"⚠ Unknown")</f>
        <v>Casual Shirt</v>
      </c>
      <c r="H6001" s="1" t="str">
        <f>_xlfn.XLOOKUP(tblSales[[#This Row],[Product Code]],tblProducts[Code],tblProducts[Category],"")</f>
        <v>Apparel &amp; Footwear</v>
      </c>
      <c r="I6001" s="4">
        <v>24</v>
      </c>
      <c r="J6001" s="5">
        <f>_xlfn.XLOOKUP(tblSales[[#This Row],[Product Code]],tblProducts[Code],tblProducts[Selling Price (excl. VAT)],0)</f>
        <v>120000</v>
      </c>
      <c r="K6001" s="5">
        <f>tblSales[[#This Row],[Qty]]*tblSales[[#This Row],[Unit Price]]</f>
        <v>2880000</v>
      </c>
      <c r="L6001" s="5">
        <f>ROUND(tblSales[[#This Row],[DPP (excl. VAT)]]*VATEff,0)</f>
        <v>316800</v>
      </c>
      <c r="M6001" s="5">
        <f>tblSales[[#This Row],[DPP (excl. VAT)]]+tblSales[[#This Row],[Output VAT]]</f>
        <v>3196800</v>
      </c>
      <c r="N6001" s="5">
        <f>tblSales[[#This Row],[Qty]]*_xlfn.XLOOKUP(tblSales[[#This Row],[Product Code]],tblProducts[Code],tblProducts[Unit Cost],0)</f>
        <v>1728000</v>
      </c>
      <c r="O6001" s="4" t="s">
        <v>4867</v>
      </c>
      <c r="P6001" s="4" t="s">
        <v>4860</v>
      </c>
      <c r="Q6001" s="1" t="str">
        <f>_xlfn.XLOOKUP(tblSales[[#This Row],[Channel Code]],tblChannels[Channel Code],tblChannels[Channel Name],"")</f>
        <v>In-store</v>
      </c>
      <c r="R6001" s="1">
        <f>MONTH(tblSales[[#This Row],[Date]])</f>
        <v>12</v>
      </c>
    </row>
    <row r="6002" spans="2:18" x14ac:dyDescent="0.35">
      <c r="B6002" s="113">
        <v>46378</v>
      </c>
      <c r="C6002" s="4" t="s">
        <v>4117</v>
      </c>
      <c r="D6002" s="4" t="s">
        <v>4568</v>
      </c>
      <c r="E6002" s="1" t="str">
        <f>_xlfn.XLOOKUP(tblSales[[#This Row],[Customer ID]],tblCustomers[Customer ID],tblCustomers[Customer Name],"⚠ Unknown")</f>
        <v>Walk-in Customer</v>
      </c>
      <c r="F6002" s="4" t="s">
        <v>11</v>
      </c>
      <c r="G6002" s="1" t="str">
        <f>_xlfn.XLOOKUP(tblSales[[#This Row],[Product Code]],tblProducts[Code],tblProducts[Product / Service Name],"⚠ Unknown")</f>
        <v>Sneakers</v>
      </c>
      <c r="H6002" s="1" t="str">
        <f>_xlfn.XLOOKUP(tblSales[[#This Row],[Product Code]],tblProducts[Code],tblProducts[Category],"")</f>
        <v>Apparel &amp; Footwear</v>
      </c>
      <c r="I6002" s="4">
        <v>5</v>
      </c>
      <c r="J6002" s="5">
        <f>_xlfn.XLOOKUP(tblSales[[#This Row],[Product Code]],tblProducts[Code],tblProducts[Selling Price (excl. VAT)],0)</f>
        <v>250000</v>
      </c>
      <c r="K6002" s="5">
        <f>tblSales[[#This Row],[Qty]]*tblSales[[#This Row],[Unit Price]]</f>
        <v>1250000</v>
      </c>
      <c r="L6002" s="5">
        <f>ROUND(tblSales[[#This Row],[DPP (excl. VAT)]]*VATEff,0)</f>
        <v>137500</v>
      </c>
      <c r="M6002" s="5">
        <f>tblSales[[#This Row],[DPP (excl. VAT)]]+tblSales[[#This Row],[Output VAT]]</f>
        <v>1387500</v>
      </c>
      <c r="N6002" s="5">
        <f>tblSales[[#This Row],[Qty]]*_xlfn.XLOOKUP(tblSales[[#This Row],[Product Code]],tblProducts[Code],tblProducts[Unit Cost],0)</f>
        <v>775000</v>
      </c>
      <c r="O6002" s="4" t="s">
        <v>4866</v>
      </c>
      <c r="P6002" s="4" t="s">
        <v>4860</v>
      </c>
      <c r="Q6002" s="1" t="str">
        <f>_xlfn.XLOOKUP(tblSales[[#This Row],[Channel Code]],tblChannels[Channel Code],tblChannels[Channel Name],"")</f>
        <v>In-store</v>
      </c>
      <c r="R6002" s="1">
        <f>MONTH(tblSales[[#This Row],[Date]])</f>
        <v>12</v>
      </c>
    </row>
    <row r="6003" spans="2:18" x14ac:dyDescent="0.35">
      <c r="B6003" s="113">
        <v>46378</v>
      </c>
      <c r="C6003" s="4" t="s">
        <v>4118</v>
      </c>
      <c r="D6003" s="4" t="s">
        <v>4568</v>
      </c>
      <c r="E6003" s="1" t="str">
        <f>_xlfn.XLOOKUP(tblSales[[#This Row],[Customer ID]],tblCustomers[Customer ID],tblCustomers[Customer Name],"⚠ Unknown")</f>
        <v>Walk-in Customer</v>
      </c>
      <c r="F6003" s="4" t="s">
        <v>10</v>
      </c>
      <c r="G6003" s="1" t="str">
        <f>_xlfn.XLOOKUP(tblSales[[#This Row],[Product Code]],tblProducts[Code],tblProducts[Product / Service Name],"⚠ Unknown")</f>
        <v>Chino Pants</v>
      </c>
      <c r="H6003" s="1" t="str">
        <f>_xlfn.XLOOKUP(tblSales[[#This Row],[Product Code]],tblProducts[Code],tblProducts[Category],"")</f>
        <v>Apparel &amp; Footwear</v>
      </c>
      <c r="I6003" s="4">
        <v>1</v>
      </c>
      <c r="J6003" s="5">
        <f>_xlfn.XLOOKUP(tblSales[[#This Row],[Product Code]],tblProducts[Code],tblProducts[Selling Price (excl. VAT)],0)</f>
        <v>150000</v>
      </c>
      <c r="K6003" s="5">
        <f>tblSales[[#This Row],[Qty]]*tblSales[[#This Row],[Unit Price]]</f>
        <v>150000</v>
      </c>
      <c r="L6003" s="5">
        <f>ROUND(tblSales[[#This Row],[DPP (excl. VAT)]]*VATEff,0)</f>
        <v>16500</v>
      </c>
      <c r="M6003" s="5">
        <f>tblSales[[#This Row],[DPP (excl. VAT)]]+tblSales[[#This Row],[Output VAT]]</f>
        <v>166500</v>
      </c>
      <c r="N6003" s="5">
        <f>tblSales[[#This Row],[Qty]]*_xlfn.XLOOKUP(tblSales[[#This Row],[Product Code]],tblProducts[Code],tblProducts[Unit Cost],0)</f>
        <v>88000</v>
      </c>
      <c r="O6003" s="4" t="s">
        <v>4865</v>
      </c>
      <c r="P6003" s="4" t="s">
        <v>4860</v>
      </c>
      <c r="Q6003" s="1" t="str">
        <f>_xlfn.XLOOKUP(tblSales[[#This Row],[Channel Code]],tblChannels[Channel Code],tblChannels[Channel Name],"")</f>
        <v>In-store</v>
      </c>
      <c r="R6003" s="1">
        <f>MONTH(tblSales[[#This Row],[Date]])</f>
        <v>12</v>
      </c>
    </row>
    <row r="6004" spans="2:18" x14ac:dyDescent="0.35">
      <c r="B6004" s="113">
        <v>46378</v>
      </c>
      <c r="C6004" s="4" t="s">
        <v>4119</v>
      </c>
      <c r="D6004" s="4" t="s">
        <v>4568</v>
      </c>
      <c r="E6004" s="1" t="str">
        <f>_xlfn.XLOOKUP(tblSales[[#This Row],[Customer ID]],tblCustomers[Customer ID],tblCustomers[Customer Name],"⚠ Unknown")</f>
        <v>Walk-in Customer</v>
      </c>
      <c r="F6004" s="4" t="s">
        <v>12</v>
      </c>
      <c r="G6004" s="1" t="str">
        <f>_xlfn.XLOOKUP(tblSales[[#This Row],[Product Code]],tblProducts[Code],tblProducts[Product / Service Name],"⚠ Unknown")</f>
        <v>Bomber Jacket</v>
      </c>
      <c r="H6004" s="1" t="str">
        <f>_xlfn.XLOOKUP(tblSales[[#This Row],[Product Code]],tblProducts[Code],tblProducts[Category],"")</f>
        <v>Apparel &amp; Footwear</v>
      </c>
      <c r="I6004" s="4">
        <v>6</v>
      </c>
      <c r="J6004" s="5">
        <f>_xlfn.XLOOKUP(tblSales[[#This Row],[Product Code]],tblProducts[Code],tblProducts[Selling Price (excl. VAT)],0)</f>
        <v>350000</v>
      </c>
      <c r="K6004" s="5">
        <f>tblSales[[#This Row],[Qty]]*tblSales[[#This Row],[Unit Price]]</f>
        <v>2100000</v>
      </c>
      <c r="L6004" s="5">
        <f>ROUND(tblSales[[#This Row],[DPP (excl. VAT)]]*VATEff,0)</f>
        <v>231000</v>
      </c>
      <c r="M6004" s="5">
        <f>tblSales[[#This Row],[DPP (excl. VAT)]]+tblSales[[#This Row],[Output VAT]]</f>
        <v>2331000</v>
      </c>
      <c r="N6004" s="5">
        <f>tblSales[[#This Row],[Qty]]*_xlfn.XLOOKUP(tblSales[[#This Row],[Product Code]],tblProducts[Code],tblProducts[Unit Cost],0)</f>
        <v>1260000</v>
      </c>
      <c r="O6004" s="4" t="s">
        <v>4865</v>
      </c>
      <c r="P6004" s="4" t="s">
        <v>4860</v>
      </c>
      <c r="Q6004" s="1" t="str">
        <f>_xlfn.XLOOKUP(tblSales[[#This Row],[Channel Code]],tblChannels[Channel Code],tblChannels[Channel Name],"")</f>
        <v>In-store</v>
      </c>
      <c r="R6004" s="1">
        <f>MONTH(tblSales[[#This Row],[Date]])</f>
        <v>12</v>
      </c>
    </row>
    <row r="6005" spans="2:18" x14ac:dyDescent="0.35">
      <c r="B6005" s="113">
        <v>46378</v>
      </c>
      <c r="C6005" s="4" t="s">
        <v>4120</v>
      </c>
      <c r="D6005" s="4" t="s">
        <v>4568</v>
      </c>
      <c r="E6005" s="1" t="str">
        <f>_xlfn.XLOOKUP(tblSales[[#This Row],[Customer ID]],tblCustomers[Customer ID],tblCustomers[Customer Name],"⚠ Unknown")</f>
        <v>Walk-in Customer</v>
      </c>
      <c r="F6005" s="4" t="s">
        <v>6</v>
      </c>
      <c r="G6005" s="1" t="str">
        <f>_xlfn.XLOOKUP(tblSales[[#This Row],[Product Code]],tblProducts[Code],tblProducts[Product / Service Name],"⚠ Unknown")</f>
        <v>Socks &amp; Accessories</v>
      </c>
      <c r="H6005" s="1" t="str">
        <f>_xlfn.XLOOKUP(tblSales[[#This Row],[Product Code]],tblProducts[Code],tblProducts[Category],"")</f>
        <v>Accessories &amp; Basics</v>
      </c>
      <c r="I6005" s="4">
        <v>11</v>
      </c>
      <c r="J6005" s="5">
        <f>_xlfn.XLOOKUP(tblSales[[#This Row],[Product Code]],tblProducts[Code],tblProducts[Selling Price (excl. VAT)],0)</f>
        <v>45000</v>
      </c>
      <c r="K6005" s="5">
        <f>tblSales[[#This Row],[Qty]]*tblSales[[#This Row],[Unit Price]]</f>
        <v>495000</v>
      </c>
      <c r="L6005" s="5">
        <f>ROUND(tblSales[[#This Row],[DPP (excl. VAT)]]*VATEff,0)</f>
        <v>54450</v>
      </c>
      <c r="M6005" s="5">
        <f>tblSales[[#This Row],[DPP (excl. VAT)]]+tblSales[[#This Row],[Output VAT]]</f>
        <v>549450</v>
      </c>
      <c r="N6005" s="5">
        <f>tblSales[[#This Row],[Qty]]*_xlfn.XLOOKUP(tblSales[[#This Row],[Product Code]],tblProducts[Code],tblProducts[Unit Cost],0)</f>
        <v>264000</v>
      </c>
      <c r="O6005" s="4" t="s">
        <v>4865</v>
      </c>
      <c r="P6005" s="4" t="s">
        <v>4860</v>
      </c>
      <c r="Q6005" s="1" t="str">
        <f>_xlfn.XLOOKUP(tblSales[[#This Row],[Channel Code]],tblChannels[Channel Code],tblChannels[Channel Name],"")</f>
        <v>In-store</v>
      </c>
      <c r="R6005" s="1">
        <f>MONTH(tblSales[[#This Row],[Date]])</f>
        <v>12</v>
      </c>
    </row>
    <row r="6006" spans="2:18" x14ac:dyDescent="0.35">
      <c r="B6006" s="113">
        <v>46378</v>
      </c>
      <c r="C6006" s="4" t="s">
        <v>4120</v>
      </c>
      <c r="D6006" s="4" t="s">
        <v>4568</v>
      </c>
      <c r="E6006" s="1" t="str">
        <f>_xlfn.XLOOKUP(tblSales[[#This Row],[Customer ID]],tblCustomers[Customer ID],tblCustomers[Customer Name],"⚠ Unknown")</f>
        <v>Walk-in Customer</v>
      </c>
      <c r="F6006" s="4" t="s">
        <v>8</v>
      </c>
      <c r="G6006" s="1" t="str">
        <f>_xlfn.XLOOKUP(tblSales[[#This Row],[Product Code]],tblProducts[Code],tblProducts[Product / Service Name],"⚠ Unknown")</f>
        <v>Casual Shorts</v>
      </c>
      <c r="H6006" s="1" t="str">
        <f>_xlfn.XLOOKUP(tblSales[[#This Row],[Product Code]],tblProducts[Code],tblProducts[Category],"")</f>
        <v>Accessories &amp; Basics</v>
      </c>
      <c r="I6006" s="4">
        <v>8</v>
      </c>
      <c r="J6006" s="5">
        <f>_xlfn.XLOOKUP(tblSales[[#This Row],[Product Code]],tblProducts[Code],tblProducts[Selling Price (excl. VAT)],0)</f>
        <v>85000</v>
      </c>
      <c r="K6006" s="5">
        <f>tblSales[[#This Row],[Qty]]*tblSales[[#This Row],[Unit Price]]</f>
        <v>680000</v>
      </c>
      <c r="L6006" s="5">
        <f>ROUND(tblSales[[#This Row],[DPP (excl. VAT)]]*VATEff,0)</f>
        <v>74800</v>
      </c>
      <c r="M6006" s="5">
        <f>tblSales[[#This Row],[DPP (excl. VAT)]]+tblSales[[#This Row],[Output VAT]]</f>
        <v>754800</v>
      </c>
      <c r="N6006" s="5">
        <f>tblSales[[#This Row],[Qty]]*_xlfn.XLOOKUP(tblSales[[#This Row],[Product Code]],tblProducts[Code],tblProducts[Unit Cost],0)</f>
        <v>400000</v>
      </c>
      <c r="O6006" s="4" t="s">
        <v>4865</v>
      </c>
      <c r="P6006" s="4" t="s">
        <v>4860</v>
      </c>
      <c r="Q6006" s="1" t="str">
        <f>_xlfn.XLOOKUP(tblSales[[#This Row],[Channel Code]],tblChannels[Channel Code],tblChannels[Channel Name],"")</f>
        <v>In-store</v>
      </c>
      <c r="R6006" s="1">
        <f>MONTH(tblSales[[#This Row],[Date]])</f>
        <v>12</v>
      </c>
    </row>
    <row r="6007" spans="2:18" x14ac:dyDescent="0.35">
      <c r="B6007" s="113">
        <v>46378</v>
      </c>
      <c r="C6007" s="4" t="s">
        <v>4120</v>
      </c>
      <c r="D6007" s="4" t="s">
        <v>4568</v>
      </c>
      <c r="E6007" s="1" t="str">
        <f>_xlfn.XLOOKUP(tblSales[[#This Row],[Customer ID]],tblCustomers[Customer ID],tblCustomers[Customer Name],"⚠ Unknown")</f>
        <v>Walk-in Customer</v>
      </c>
      <c r="F6007" s="4" t="s">
        <v>10</v>
      </c>
      <c r="G6007" s="1" t="str">
        <f>_xlfn.XLOOKUP(tblSales[[#This Row],[Product Code]],tblProducts[Code],tblProducts[Product / Service Name],"⚠ Unknown")</f>
        <v>Chino Pants</v>
      </c>
      <c r="H6007" s="1" t="str">
        <f>_xlfn.XLOOKUP(tblSales[[#This Row],[Product Code]],tblProducts[Code],tblProducts[Category],"")</f>
        <v>Apparel &amp; Footwear</v>
      </c>
      <c r="I6007" s="4">
        <v>10</v>
      </c>
      <c r="J6007" s="5">
        <f>_xlfn.XLOOKUP(tblSales[[#This Row],[Product Code]],tblProducts[Code],tblProducts[Selling Price (excl. VAT)],0)</f>
        <v>150000</v>
      </c>
      <c r="K6007" s="5">
        <f>tblSales[[#This Row],[Qty]]*tblSales[[#This Row],[Unit Price]]</f>
        <v>1500000</v>
      </c>
      <c r="L6007" s="5">
        <f>ROUND(tblSales[[#This Row],[DPP (excl. VAT)]]*VATEff,0)</f>
        <v>165000</v>
      </c>
      <c r="M6007" s="5">
        <f>tblSales[[#This Row],[DPP (excl. VAT)]]+tblSales[[#This Row],[Output VAT]]</f>
        <v>1665000</v>
      </c>
      <c r="N6007" s="5">
        <f>tblSales[[#This Row],[Qty]]*_xlfn.XLOOKUP(tblSales[[#This Row],[Product Code]],tblProducts[Code],tblProducts[Unit Cost],0)</f>
        <v>880000</v>
      </c>
      <c r="O6007" s="4" t="s">
        <v>4865</v>
      </c>
      <c r="P6007" s="4" t="s">
        <v>4860</v>
      </c>
      <c r="Q6007" s="1" t="str">
        <f>_xlfn.XLOOKUP(tblSales[[#This Row],[Channel Code]],tblChannels[Channel Code],tblChannels[Channel Name],"")</f>
        <v>In-store</v>
      </c>
      <c r="R6007" s="1">
        <f>MONTH(tblSales[[#This Row],[Date]])</f>
        <v>12</v>
      </c>
    </row>
    <row r="6008" spans="2:18" x14ac:dyDescent="0.35">
      <c r="B6008" s="113">
        <v>46378</v>
      </c>
      <c r="C6008" s="4" t="s">
        <v>4121</v>
      </c>
      <c r="D6008" s="4" t="s">
        <v>4572</v>
      </c>
      <c r="E6008" s="1" t="str">
        <f>_xlfn.XLOOKUP(tblSales[[#This Row],[Customer ID]],tblCustomers[Customer ID],tblCustomers[Customer Name],"⚠ Unknown")</f>
        <v>PT Cahaya Abadi Makmur</v>
      </c>
      <c r="F6008" s="4" t="s">
        <v>12</v>
      </c>
      <c r="G6008" s="1" t="str">
        <f>_xlfn.XLOOKUP(tblSales[[#This Row],[Product Code]],tblProducts[Code],tblProducts[Product / Service Name],"⚠ Unknown")</f>
        <v>Bomber Jacket</v>
      </c>
      <c r="H6008" s="1" t="str">
        <f>_xlfn.XLOOKUP(tblSales[[#This Row],[Product Code]],tblProducts[Code],tblProducts[Category],"")</f>
        <v>Apparel &amp; Footwear</v>
      </c>
      <c r="I6008" s="4">
        <v>40</v>
      </c>
      <c r="J6008" s="5">
        <f>_xlfn.XLOOKUP(tblSales[[#This Row],[Product Code]],tblProducts[Code],tblProducts[Selling Price (excl. VAT)],0)</f>
        <v>350000</v>
      </c>
      <c r="K6008" s="5">
        <f>tblSales[[#This Row],[Qty]]*tblSales[[#This Row],[Unit Price]]</f>
        <v>14000000</v>
      </c>
      <c r="L6008" s="5">
        <f>ROUND(tblSales[[#This Row],[DPP (excl. VAT)]]*VATEff,0)</f>
        <v>1540000</v>
      </c>
      <c r="M6008" s="5">
        <f>tblSales[[#This Row],[DPP (excl. VAT)]]+tblSales[[#This Row],[Output VAT]]</f>
        <v>15540000</v>
      </c>
      <c r="N6008" s="5">
        <f>tblSales[[#This Row],[Qty]]*_xlfn.XLOOKUP(tblSales[[#This Row],[Product Code]],tblProducts[Code],tblProducts[Unit Cost],0)</f>
        <v>8400000</v>
      </c>
      <c r="O6008" s="4" t="s">
        <v>4867</v>
      </c>
      <c r="P6008" s="4" t="s">
        <v>4860</v>
      </c>
      <c r="Q6008" s="1" t="str">
        <f>_xlfn.XLOOKUP(tblSales[[#This Row],[Channel Code]],tblChannels[Channel Code],tblChannels[Channel Name],"")</f>
        <v>In-store</v>
      </c>
      <c r="R6008" s="1">
        <f>MONTH(tblSales[[#This Row],[Date]])</f>
        <v>12</v>
      </c>
    </row>
    <row r="6009" spans="2:18" x14ac:dyDescent="0.35">
      <c r="B6009" s="113">
        <v>46378</v>
      </c>
      <c r="C6009" s="4" t="s">
        <v>4122</v>
      </c>
      <c r="D6009" s="4" t="s">
        <v>4568</v>
      </c>
      <c r="E6009" s="1" t="str">
        <f>_xlfn.XLOOKUP(tblSales[[#This Row],[Customer ID]],tblCustomers[Customer ID],tblCustomers[Customer Name],"⚠ Unknown")</f>
        <v>Walk-in Customer</v>
      </c>
      <c r="F6009" s="4" t="s">
        <v>7</v>
      </c>
      <c r="G6009" s="1" t="str">
        <f>_xlfn.XLOOKUP(tblSales[[#This Row],[Product Code]],tblProducts[Code],tblProducts[Product / Service Name],"⚠ Unknown")</f>
        <v>Premium Basic T-shirt</v>
      </c>
      <c r="H6009" s="1" t="str">
        <f>_xlfn.XLOOKUP(tblSales[[#This Row],[Product Code]],tblProducts[Code],tblProducts[Category],"")</f>
        <v>Accessories &amp; Basics</v>
      </c>
      <c r="I6009" s="4">
        <v>5</v>
      </c>
      <c r="J6009" s="5">
        <f>_xlfn.XLOOKUP(tblSales[[#This Row],[Product Code]],tblProducts[Code],tblProducts[Selling Price (excl. VAT)],0)</f>
        <v>65000</v>
      </c>
      <c r="K6009" s="5">
        <f>tblSales[[#This Row],[Qty]]*tblSales[[#This Row],[Unit Price]]</f>
        <v>325000</v>
      </c>
      <c r="L6009" s="5">
        <f>ROUND(tblSales[[#This Row],[DPP (excl. VAT)]]*VATEff,0)</f>
        <v>35750</v>
      </c>
      <c r="M6009" s="5">
        <f>tblSales[[#This Row],[DPP (excl. VAT)]]+tblSales[[#This Row],[Output VAT]]</f>
        <v>360750</v>
      </c>
      <c r="N6009" s="5">
        <f>tblSales[[#This Row],[Qty]]*_xlfn.XLOOKUP(tblSales[[#This Row],[Product Code]],tblProducts[Code],tblProducts[Unit Cost],0)</f>
        <v>185000</v>
      </c>
      <c r="O6009" s="4" t="s">
        <v>4866</v>
      </c>
      <c r="P6009" s="4" t="s">
        <v>4862</v>
      </c>
      <c r="Q6009" s="1" t="str">
        <f>_xlfn.XLOOKUP(tblSales[[#This Row],[Channel Code]],tblChannels[Channel Code],tblChannels[Channel Name],"")</f>
        <v>Website &amp; Social Media</v>
      </c>
      <c r="R6009" s="1">
        <f>MONTH(tblSales[[#This Row],[Date]])</f>
        <v>12</v>
      </c>
    </row>
    <row r="6010" spans="2:18" x14ac:dyDescent="0.35">
      <c r="B6010" s="113">
        <v>46378</v>
      </c>
      <c r="C6010" s="4" t="s">
        <v>4122</v>
      </c>
      <c r="D6010" s="4" t="s">
        <v>4568</v>
      </c>
      <c r="E6010" s="1" t="str">
        <f>_xlfn.XLOOKUP(tblSales[[#This Row],[Customer ID]],tblCustomers[Customer ID],tblCustomers[Customer Name],"⚠ Unknown")</f>
        <v>Walk-in Customer</v>
      </c>
      <c r="F6010" s="4" t="s">
        <v>13</v>
      </c>
      <c r="G6010" s="1" t="str">
        <f>_xlfn.XLOOKUP(tblSales[[#This Row],[Product Code]],tblProducts[Code],tblProducts[Product / Service Name],"⚠ Unknown")</f>
        <v>Backpack</v>
      </c>
      <c r="H6010" s="1" t="str">
        <f>_xlfn.XLOOKUP(tblSales[[#This Row],[Product Code]],tblProducts[Code],tblProducts[Category],"")</f>
        <v>Bags &amp; Gadgets</v>
      </c>
      <c r="I6010" s="4">
        <v>3</v>
      </c>
      <c r="J6010" s="5">
        <f>_xlfn.XLOOKUP(tblSales[[#This Row],[Product Code]],tblProducts[Code],tblProducts[Selling Price (excl. VAT)],0)</f>
        <v>500000</v>
      </c>
      <c r="K6010" s="5">
        <f>tblSales[[#This Row],[Qty]]*tblSales[[#This Row],[Unit Price]]</f>
        <v>1500000</v>
      </c>
      <c r="L6010" s="5">
        <f>ROUND(tblSales[[#This Row],[DPP (excl. VAT)]]*VATEff,0)</f>
        <v>165000</v>
      </c>
      <c r="M6010" s="5">
        <f>tblSales[[#This Row],[DPP (excl. VAT)]]+tblSales[[#This Row],[Output VAT]]</f>
        <v>1665000</v>
      </c>
      <c r="N6010" s="5">
        <f>tblSales[[#This Row],[Qty]]*_xlfn.XLOOKUP(tblSales[[#This Row],[Product Code]],tblProducts[Code],tblProducts[Unit Cost],0)</f>
        <v>870000</v>
      </c>
      <c r="O6010" s="4" t="s">
        <v>4866</v>
      </c>
      <c r="P6010" s="4" t="s">
        <v>4862</v>
      </c>
      <c r="Q6010" s="1" t="str">
        <f>_xlfn.XLOOKUP(tblSales[[#This Row],[Channel Code]],tblChannels[Channel Code],tblChannels[Channel Name],"")</f>
        <v>Website &amp; Social Media</v>
      </c>
      <c r="R6010" s="1">
        <f>MONTH(tblSales[[#This Row],[Date]])</f>
        <v>12</v>
      </c>
    </row>
    <row r="6011" spans="2:18" x14ac:dyDescent="0.35">
      <c r="B6011" s="113">
        <v>46378</v>
      </c>
      <c r="C6011" s="4" t="s">
        <v>4123</v>
      </c>
      <c r="D6011" s="4" t="s">
        <v>4568</v>
      </c>
      <c r="E6011" s="1" t="str">
        <f>_xlfn.XLOOKUP(tblSales[[#This Row],[Customer ID]],tblCustomers[Customer ID],tblCustomers[Customer Name],"⚠ Unknown")</f>
        <v>Walk-in Customer</v>
      </c>
      <c r="F6011" s="4" t="s">
        <v>13</v>
      </c>
      <c r="G6011" s="1" t="str">
        <f>_xlfn.XLOOKUP(tblSales[[#This Row],[Product Code]],tblProducts[Code],tblProducts[Product / Service Name],"⚠ Unknown")</f>
        <v>Backpack</v>
      </c>
      <c r="H6011" s="1" t="str">
        <f>_xlfn.XLOOKUP(tblSales[[#This Row],[Product Code]],tblProducts[Code],tblProducts[Category],"")</f>
        <v>Bags &amp; Gadgets</v>
      </c>
      <c r="I6011" s="4">
        <v>1</v>
      </c>
      <c r="J6011" s="5">
        <f>_xlfn.XLOOKUP(tblSales[[#This Row],[Product Code]],tblProducts[Code],tblProducts[Selling Price (excl. VAT)],0)</f>
        <v>500000</v>
      </c>
      <c r="K6011" s="5">
        <f>tblSales[[#This Row],[Qty]]*tblSales[[#This Row],[Unit Price]]</f>
        <v>500000</v>
      </c>
      <c r="L6011" s="5">
        <f>ROUND(tblSales[[#This Row],[DPP (excl. VAT)]]*VATEff,0)</f>
        <v>55000</v>
      </c>
      <c r="M6011" s="5">
        <f>tblSales[[#This Row],[DPP (excl. VAT)]]+tblSales[[#This Row],[Output VAT]]</f>
        <v>555000</v>
      </c>
      <c r="N6011" s="5">
        <f>tblSales[[#This Row],[Qty]]*_xlfn.XLOOKUP(tblSales[[#This Row],[Product Code]],tblProducts[Code],tblProducts[Unit Cost],0)</f>
        <v>290000</v>
      </c>
      <c r="O6011" s="4" t="s">
        <v>4866</v>
      </c>
      <c r="P6011" s="4" t="s">
        <v>4862</v>
      </c>
      <c r="Q6011" s="1" t="str">
        <f>_xlfn.XLOOKUP(tblSales[[#This Row],[Channel Code]],tblChannels[Channel Code],tblChannels[Channel Name],"")</f>
        <v>Website &amp; Social Media</v>
      </c>
      <c r="R6011" s="1">
        <f>MONTH(tblSales[[#This Row],[Date]])</f>
        <v>12</v>
      </c>
    </row>
    <row r="6012" spans="2:18" x14ac:dyDescent="0.35">
      <c r="B6012" s="113">
        <v>46378</v>
      </c>
      <c r="C6012" s="4" t="s">
        <v>4124</v>
      </c>
      <c r="D6012" s="4" t="s">
        <v>4568</v>
      </c>
      <c r="E6012" s="1" t="str">
        <f>_xlfn.XLOOKUP(tblSales[[#This Row],[Customer ID]],tblCustomers[Customer ID],tblCustomers[Customer Name],"⚠ Unknown")</f>
        <v>Walk-in Customer</v>
      </c>
      <c r="F6012" s="4" t="s">
        <v>8</v>
      </c>
      <c r="G6012" s="1" t="str">
        <f>_xlfn.XLOOKUP(tblSales[[#This Row],[Product Code]],tblProducts[Code],tblProducts[Product / Service Name],"⚠ Unknown")</f>
        <v>Casual Shorts</v>
      </c>
      <c r="H6012" s="1" t="str">
        <f>_xlfn.XLOOKUP(tblSales[[#This Row],[Product Code]],tblProducts[Code],tblProducts[Category],"")</f>
        <v>Accessories &amp; Basics</v>
      </c>
      <c r="I6012" s="4">
        <v>6</v>
      </c>
      <c r="J6012" s="5">
        <f>_xlfn.XLOOKUP(tblSales[[#This Row],[Product Code]],tblProducts[Code],tblProducts[Selling Price (excl. VAT)],0)</f>
        <v>85000</v>
      </c>
      <c r="K6012" s="5">
        <f>tblSales[[#This Row],[Qty]]*tblSales[[#This Row],[Unit Price]]</f>
        <v>510000</v>
      </c>
      <c r="L6012" s="5">
        <f>ROUND(tblSales[[#This Row],[DPP (excl. VAT)]]*VATEff,0)</f>
        <v>56100</v>
      </c>
      <c r="M6012" s="5">
        <f>tblSales[[#This Row],[DPP (excl. VAT)]]+tblSales[[#This Row],[Output VAT]]</f>
        <v>566100</v>
      </c>
      <c r="N6012" s="5">
        <f>tblSales[[#This Row],[Qty]]*_xlfn.XLOOKUP(tblSales[[#This Row],[Product Code]],tblProducts[Code],tblProducts[Unit Cost],0)</f>
        <v>300000</v>
      </c>
      <c r="O6012" s="4" t="s">
        <v>4866</v>
      </c>
      <c r="P6012" s="4" t="s">
        <v>4860</v>
      </c>
      <c r="Q6012" s="1" t="str">
        <f>_xlfn.XLOOKUP(tblSales[[#This Row],[Channel Code]],tblChannels[Channel Code],tblChannels[Channel Name],"")</f>
        <v>In-store</v>
      </c>
      <c r="R6012" s="1">
        <f>MONTH(tblSales[[#This Row],[Date]])</f>
        <v>12</v>
      </c>
    </row>
    <row r="6013" spans="2:18" x14ac:dyDescent="0.35">
      <c r="B6013" s="113">
        <v>46378</v>
      </c>
      <c r="C6013" s="4" t="s">
        <v>4124</v>
      </c>
      <c r="D6013" s="4" t="s">
        <v>4568</v>
      </c>
      <c r="E6013" s="1" t="str">
        <f>_xlfn.XLOOKUP(tblSales[[#This Row],[Customer ID]],tblCustomers[Customer ID],tblCustomers[Customer Name],"⚠ Unknown")</f>
        <v>Walk-in Customer</v>
      </c>
      <c r="F6013" s="4" t="s">
        <v>11</v>
      </c>
      <c r="G6013" s="1" t="str">
        <f>_xlfn.XLOOKUP(tblSales[[#This Row],[Product Code]],tblProducts[Code],tblProducts[Product / Service Name],"⚠ Unknown")</f>
        <v>Sneakers</v>
      </c>
      <c r="H6013" s="1" t="str">
        <f>_xlfn.XLOOKUP(tblSales[[#This Row],[Product Code]],tblProducts[Code],tblProducts[Category],"")</f>
        <v>Apparel &amp; Footwear</v>
      </c>
      <c r="I6013" s="4">
        <v>1</v>
      </c>
      <c r="J6013" s="5">
        <f>_xlfn.XLOOKUP(tblSales[[#This Row],[Product Code]],tblProducts[Code],tblProducts[Selling Price (excl. VAT)],0)</f>
        <v>250000</v>
      </c>
      <c r="K6013" s="5">
        <f>tblSales[[#This Row],[Qty]]*tblSales[[#This Row],[Unit Price]]</f>
        <v>250000</v>
      </c>
      <c r="L6013" s="5">
        <f>ROUND(tblSales[[#This Row],[DPP (excl. VAT)]]*VATEff,0)</f>
        <v>27500</v>
      </c>
      <c r="M6013" s="5">
        <f>tblSales[[#This Row],[DPP (excl. VAT)]]+tblSales[[#This Row],[Output VAT]]</f>
        <v>277500</v>
      </c>
      <c r="N6013" s="5">
        <f>tblSales[[#This Row],[Qty]]*_xlfn.XLOOKUP(tblSales[[#This Row],[Product Code]],tblProducts[Code],tblProducts[Unit Cost],0)</f>
        <v>155000</v>
      </c>
      <c r="O6013" s="4" t="s">
        <v>4866</v>
      </c>
      <c r="P6013" s="4" t="s">
        <v>4860</v>
      </c>
      <c r="Q6013" s="1" t="str">
        <f>_xlfn.XLOOKUP(tblSales[[#This Row],[Channel Code]],tblChannels[Channel Code],tblChannels[Channel Name],"")</f>
        <v>In-store</v>
      </c>
      <c r="R6013" s="1">
        <f>MONTH(tblSales[[#This Row],[Date]])</f>
        <v>12</v>
      </c>
    </row>
    <row r="6014" spans="2:18" x14ac:dyDescent="0.35">
      <c r="B6014" s="113">
        <v>46378</v>
      </c>
      <c r="C6014" s="4" t="s">
        <v>4125</v>
      </c>
      <c r="D6014" s="4" t="s">
        <v>4568</v>
      </c>
      <c r="E6014" s="1" t="str">
        <f>_xlfn.XLOOKUP(tblSales[[#This Row],[Customer ID]],tblCustomers[Customer ID],tblCustomers[Customer Name],"⚠ Unknown")</f>
        <v>Walk-in Customer</v>
      </c>
      <c r="F6014" s="4" t="s">
        <v>7</v>
      </c>
      <c r="G6014" s="1" t="str">
        <f>_xlfn.XLOOKUP(tblSales[[#This Row],[Product Code]],tblProducts[Code],tblProducts[Product / Service Name],"⚠ Unknown")</f>
        <v>Premium Basic T-shirt</v>
      </c>
      <c r="H6014" s="1" t="str">
        <f>_xlfn.XLOOKUP(tblSales[[#This Row],[Product Code]],tblProducts[Code],tblProducts[Category],"")</f>
        <v>Accessories &amp; Basics</v>
      </c>
      <c r="I6014" s="4">
        <v>12</v>
      </c>
      <c r="J6014" s="5">
        <f>_xlfn.XLOOKUP(tblSales[[#This Row],[Product Code]],tblProducts[Code],tblProducts[Selling Price (excl. VAT)],0)</f>
        <v>65000</v>
      </c>
      <c r="K6014" s="5">
        <f>tblSales[[#This Row],[Qty]]*tblSales[[#This Row],[Unit Price]]</f>
        <v>780000</v>
      </c>
      <c r="L6014" s="5">
        <f>ROUND(tblSales[[#This Row],[DPP (excl. VAT)]]*VATEff,0)</f>
        <v>85800</v>
      </c>
      <c r="M6014" s="5">
        <f>tblSales[[#This Row],[DPP (excl. VAT)]]+tblSales[[#This Row],[Output VAT]]</f>
        <v>865800</v>
      </c>
      <c r="N6014" s="5">
        <f>tblSales[[#This Row],[Qty]]*_xlfn.XLOOKUP(tblSales[[#This Row],[Product Code]],tblProducts[Code],tblProducts[Unit Cost],0)</f>
        <v>444000</v>
      </c>
      <c r="O6014" s="4" t="s">
        <v>4865</v>
      </c>
      <c r="P6014" s="4" t="s">
        <v>4860</v>
      </c>
      <c r="Q6014" s="1" t="str">
        <f>_xlfn.XLOOKUP(tblSales[[#This Row],[Channel Code]],tblChannels[Channel Code],tblChannels[Channel Name],"")</f>
        <v>In-store</v>
      </c>
      <c r="R6014" s="1">
        <f>MONTH(tblSales[[#This Row],[Date]])</f>
        <v>12</v>
      </c>
    </row>
    <row r="6015" spans="2:18" x14ac:dyDescent="0.35">
      <c r="B6015" s="113">
        <v>46378</v>
      </c>
      <c r="C6015" s="4" t="s">
        <v>4126</v>
      </c>
      <c r="D6015" s="4" t="s">
        <v>4599</v>
      </c>
      <c r="E6015" s="1" t="str">
        <f>_xlfn.XLOOKUP(tblSales[[#This Row],[Customer ID]],tblCustomers[Customer ID],tblCustomers[Customer Name],"⚠ Unknown")</f>
        <v>PT Samudra Jaya Logistik</v>
      </c>
      <c r="F6015" s="4" t="s">
        <v>9</v>
      </c>
      <c r="G6015" s="1" t="str">
        <f>_xlfn.XLOOKUP(tblSales[[#This Row],[Product Code]],tblProducts[Code],tblProducts[Product / Service Name],"⚠ Unknown")</f>
        <v>Casual Shirt</v>
      </c>
      <c r="H6015" s="1" t="str">
        <f>_xlfn.XLOOKUP(tblSales[[#This Row],[Product Code]],tblProducts[Code],tblProducts[Category],"")</f>
        <v>Apparel &amp; Footwear</v>
      </c>
      <c r="I6015" s="4">
        <v>32</v>
      </c>
      <c r="J6015" s="5">
        <f>_xlfn.XLOOKUP(tblSales[[#This Row],[Product Code]],tblProducts[Code],tblProducts[Selling Price (excl. VAT)],0)</f>
        <v>120000</v>
      </c>
      <c r="K6015" s="5">
        <f>tblSales[[#This Row],[Qty]]*tblSales[[#This Row],[Unit Price]]</f>
        <v>3840000</v>
      </c>
      <c r="L6015" s="5">
        <f>ROUND(tblSales[[#This Row],[DPP (excl. VAT)]]*VATEff,0)</f>
        <v>422400</v>
      </c>
      <c r="M6015" s="5">
        <f>tblSales[[#This Row],[DPP (excl. VAT)]]+tblSales[[#This Row],[Output VAT]]</f>
        <v>4262400</v>
      </c>
      <c r="N6015" s="5">
        <f>tblSales[[#This Row],[Qty]]*_xlfn.XLOOKUP(tblSales[[#This Row],[Product Code]],tblProducts[Code],tblProducts[Unit Cost],0)</f>
        <v>2304000</v>
      </c>
      <c r="O6015" s="4" t="s">
        <v>4867</v>
      </c>
      <c r="P6015" s="4" t="s">
        <v>4860</v>
      </c>
      <c r="Q6015" s="1" t="str">
        <f>_xlfn.XLOOKUP(tblSales[[#This Row],[Channel Code]],tblChannels[Channel Code],tblChannels[Channel Name],"")</f>
        <v>In-store</v>
      </c>
      <c r="R6015" s="1">
        <f>MONTH(tblSales[[#This Row],[Date]])</f>
        <v>12</v>
      </c>
    </row>
    <row r="6016" spans="2:18" x14ac:dyDescent="0.35">
      <c r="B6016" s="113">
        <v>46378</v>
      </c>
      <c r="C6016" s="4" t="s">
        <v>4127</v>
      </c>
      <c r="D6016" s="4" t="s">
        <v>4568</v>
      </c>
      <c r="E6016" s="1" t="str">
        <f>_xlfn.XLOOKUP(tblSales[[#This Row],[Customer ID]],tblCustomers[Customer ID],tblCustomers[Customer Name],"⚠ Unknown")</f>
        <v>Walk-in Customer</v>
      </c>
      <c r="F6016" s="4" t="s">
        <v>6</v>
      </c>
      <c r="G6016" s="1" t="str">
        <f>_xlfn.XLOOKUP(tblSales[[#This Row],[Product Code]],tblProducts[Code],tblProducts[Product / Service Name],"⚠ Unknown")</f>
        <v>Socks &amp; Accessories</v>
      </c>
      <c r="H6016" s="1" t="str">
        <f>_xlfn.XLOOKUP(tblSales[[#This Row],[Product Code]],tblProducts[Code],tblProducts[Category],"")</f>
        <v>Accessories &amp; Basics</v>
      </c>
      <c r="I6016" s="4">
        <v>4</v>
      </c>
      <c r="J6016" s="5">
        <f>_xlfn.XLOOKUP(tblSales[[#This Row],[Product Code]],tblProducts[Code],tblProducts[Selling Price (excl. VAT)],0)</f>
        <v>45000</v>
      </c>
      <c r="K6016" s="5">
        <f>tblSales[[#This Row],[Qty]]*tblSales[[#This Row],[Unit Price]]</f>
        <v>180000</v>
      </c>
      <c r="L6016" s="5">
        <f>ROUND(tblSales[[#This Row],[DPP (excl. VAT)]]*VATEff,0)</f>
        <v>19800</v>
      </c>
      <c r="M6016" s="5">
        <f>tblSales[[#This Row],[DPP (excl. VAT)]]+tblSales[[#This Row],[Output VAT]]</f>
        <v>199800</v>
      </c>
      <c r="N6016" s="5">
        <f>tblSales[[#This Row],[Qty]]*_xlfn.XLOOKUP(tblSales[[#This Row],[Product Code]],tblProducts[Code],tblProducts[Unit Cost],0)</f>
        <v>96000</v>
      </c>
      <c r="O6016" s="4" t="s">
        <v>4865</v>
      </c>
      <c r="P6016" s="4" t="s">
        <v>4860</v>
      </c>
      <c r="Q6016" s="1" t="str">
        <f>_xlfn.XLOOKUP(tblSales[[#This Row],[Channel Code]],tblChannels[Channel Code],tblChannels[Channel Name],"")</f>
        <v>In-store</v>
      </c>
      <c r="R6016" s="1">
        <f>MONTH(tblSales[[#This Row],[Date]])</f>
        <v>12</v>
      </c>
    </row>
    <row r="6017" spans="2:18" x14ac:dyDescent="0.35">
      <c r="B6017" s="113">
        <v>46378</v>
      </c>
      <c r="C6017" s="4" t="s">
        <v>4127</v>
      </c>
      <c r="D6017" s="4" t="s">
        <v>4568</v>
      </c>
      <c r="E6017" s="1" t="str">
        <f>_xlfn.XLOOKUP(tblSales[[#This Row],[Customer ID]],tblCustomers[Customer ID],tblCustomers[Customer Name],"⚠ Unknown")</f>
        <v>Walk-in Customer</v>
      </c>
      <c r="F6017" s="4" t="s">
        <v>14</v>
      </c>
      <c r="G6017" s="1" t="str">
        <f>_xlfn.XLOOKUP(tblSales[[#This Row],[Product Code]],tblProducts[Code],tblProducts[Product / Service Name],"⚠ Unknown")</f>
        <v>Smartwatch</v>
      </c>
      <c r="H6017" s="1" t="str">
        <f>_xlfn.XLOOKUP(tblSales[[#This Row],[Product Code]],tblProducts[Code],tblProducts[Category],"")</f>
        <v>Bags &amp; Gadgets</v>
      </c>
      <c r="I6017" s="4">
        <v>3</v>
      </c>
      <c r="J6017" s="5">
        <f>_xlfn.XLOOKUP(tblSales[[#This Row],[Product Code]],tblProducts[Code],tblProducts[Selling Price (excl. VAT)],0)</f>
        <v>850000</v>
      </c>
      <c r="K6017" s="5">
        <f>tblSales[[#This Row],[Qty]]*tblSales[[#This Row],[Unit Price]]</f>
        <v>2550000</v>
      </c>
      <c r="L6017" s="5">
        <f>ROUND(tblSales[[#This Row],[DPP (excl. VAT)]]*VATEff,0)</f>
        <v>280500</v>
      </c>
      <c r="M6017" s="5">
        <f>tblSales[[#This Row],[DPP (excl. VAT)]]+tblSales[[#This Row],[Output VAT]]</f>
        <v>2830500</v>
      </c>
      <c r="N6017" s="5">
        <f>tblSales[[#This Row],[Qty]]*_xlfn.XLOOKUP(tblSales[[#This Row],[Product Code]],tblProducts[Code],tblProducts[Unit Cost],0)</f>
        <v>1680000</v>
      </c>
      <c r="O6017" s="4" t="s">
        <v>4865</v>
      </c>
      <c r="P6017" s="4" t="s">
        <v>4860</v>
      </c>
      <c r="Q6017" s="1" t="str">
        <f>_xlfn.XLOOKUP(tblSales[[#This Row],[Channel Code]],tblChannels[Channel Code],tblChannels[Channel Name],"")</f>
        <v>In-store</v>
      </c>
      <c r="R6017" s="1">
        <f>MONTH(tblSales[[#This Row],[Date]])</f>
        <v>12</v>
      </c>
    </row>
    <row r="6018" spans="2:18" x14ac:dyDescent="0.35">
      <c r="B6018" s="113">
        <v>46379</v>
      </c>
      <c r="C6018" s="4" t="s">
        <v>4128</v>
      </c>
      <c r="D6018" s="4" t="s">
        <v>4568</v>
      </c>
      <c r="E6018" s="1" t="str">
        <f>_xlfn.XLOOKUP(tblSales[[#This Row],[Customer ID]],tblCustomers[Customer ID],tblCustomers[Customer Name],"⚠ Unknown")</f>
        <v>Walk-in Customer</v>
      </c>
      <c r="F6018" s="4" t="s">
        <v>9</v>
      </c>
      <c r="G6018" s="1" t="str">
        <f>_xlfn.XLOOKUP(tblSales[[#This Row],[Product Code]],tblProducts[Code],tblProducts[Product / Service Name],"⚠ Unknown")</f>
        <v>Casual Shirt</v>
      </c>
      <c r="H6018" s="1" t="str">
        <f>_xlfn.XLOOKUP(tblSales[[#This Row],[Product Code]],tblProducts[Code],tblProducts[Category],"")</f>
        <v>Apparel &amp; Footwear</v>
      </c>
      <c r="I6018" s="4">
        <v>6</v>
      </c>
      <c r="J6018" s="5">
        <f>_xlfn.XLOOKUP(tblSales[[#This Row],[Product Code]],tblProducts[Code],tblProducts[Selling Price (excl. VAT)],0)</f>
        <v>120000</v>
      </c>
      <c r="K6018" s="5">
        <f>tblSales[[#This Row],[Qty]]*tblSales[[#This Row],[Unit Price]]</f>
        <v>720000</v>
      </c>
      <c r="L6018" s="5">
        <f>ROUND(tblSales[[#This Row],[DPP (excl. VAT)]]*VATEff,0)</f>
        <v>79200</v>
      </c>
      <c r="M6018" s="5">
        <f>tblSales[[#This Row],[DPP (excl. VAT)]]+tblSales[[#This Row],[Output VAT]]</f>
        <v>799200</v>
      </c>
      <c r="N6018" s="5">
        <f>tblSales[[#This Row],[Qty]]*_xlfn.XLOOKUP(tblSales[[#This Row],[Product Code]],tblProducts[Code],tblProducts[Unit Cost],0)</f>
        <v>432000</v>
      </c>
      <c r="O6018" s="4" t="s">
        <v>4866</v>
      </c>
      <c r="P6018" s="4" t="s">
        <v>4861</v>
      </c>
      <c r="Q6018" s="1" t="str">
        <f>_xlfn.XLOOKUP(tblSales[[#This Row],[Channel Code]],tblChannels[Channel Code],tblChannels[Channel Name],"")</f>
        <v>Marketplace</v>
      </c>
      <c r="R6018" s="1">
        <f>MONTH(tblSales[[#This Row],[Date]])</f>
        <v>12</v>
      </c>
    </row>
    <row r="6019" spans="2:18" x14ac:dyDescent="0.35">
      <c r="B6019" s="113">
        <v>46379</v>
      </c>
      <c r="C6019" s="4" t="s">
        <v>4129</v>
      </c>
      <c r="D6019" s="4" t="s">
        <v>4568</v>
      </c>
      <c r="E6019" s="1" t="str">
        <f>_xlfn.XLOOKUP(tblSales[[#This Row],[Customer ID]],tblCustomers[Customer ID],tblCustomers[Customer Name],"⚠ Unknown")</f>
        <v>Walk-in Customer</v>
      </c>
      <c r="F6019" s="4" t="s">
        <v>6</v>
      </c>
      <c r="G6019" s="1" t="str">
        <f>_xlfn.XLOOKUP(tblSales[[#This Row],[Product Code]],tblProducts[Code],tblProducts[Product / Service Name],"⚠ Unknown")</f>
        <v>Socks &amp; Accessories</v>
      </c>
      <c r="H6019" s="1" t="str">
        <f>_xlfn.XLOOKUP(tblSales[[#This Row],[Product Code]],tblProducts[Code],tblProducts[Category],"")</f>
        <v>Accessories &amp; Basics</v>
      </c>
      <c r="I6019" s="4">
        <v>9</v>
      </c>
      <c r="J6019" s="5">
        <f>_xlfn.XLOOKUP(tblSales[[#This Row],[Product Code]],tblProducts[Code],tblProducts[Selling Price (excl. VAT)],0)</f>
        <v>45000</v>
      </c>
      <c r="K6019" s="5">
        <f>tblSales[[#This Row],[Qty]]*tblSales[[#This Row],[Unit Price]]</f>
        <v>405000</v>
      </c>
      <c r="L6019" s="5">
        <f>ROUND(tblSales[[#This Row],[DPP (excl. VAT)]]*VATEff,0)</f>
        <v>44550</v>
      </c>
      <c r="M6019" s="5">
        <f>tblSales[[#This Row],[DPP (excl. VAT)]]+tblSales[[#This Row],[Output VAT]]</f>
        <v>449550</v>
      </c>
      <c r="N6019" s="5">
        <f>tblSales[[#This Row],[Qty]]*_xlfn.XLOOKUP(tblSales[[#This Row],[Product Code]],tblProducts[Code],tblProducts[Unit Cost],0)</f>
        <v>216000</v>
      </c>
      <c r="O6019" s="4" t="s">
        <v>4866</v>
      </c>
      <c r="P6019" s="4" t="s">
        <v>4861</v>
      </c>
      <c r="Q6019" s="1" t="str">
        <f>_xlfn.XLOOKUP(tblSales[[#This Row],[Channel Code]],tblChannels[Channel Code],tblChannels[Channel Name],"")</f>
        <v>Marketplace</v>
      </c>
      <c r="R6019" s="1">
        <f>MONTH(tblSales[[#This Row],[Date]])</f>
        <v>12</v>
      </c>
    </row>
    <row r="6020" spans="2:18" x14ac:dyDescent="0.35">
      <c r="B6020" s="113">
        <v>46379</v>
      </c>
      <c r="C6020" s="4" t="s">
        <v>4130</v>
      </c>
      <c r="D6020" s="4" t="s">
        <v>4641</v>
      </c>
      <c r="E6020" s="1" t="str">
        <f>_xlfn.XLOOKUP(tblSales[[#This Row],[Customer ID]],tblCustomers[Customer ID],tblCustomers[Customer Name],"⚠ Unknown")</f>
        <v>PT Harmoni Pangan Lestari</v>
      </c>
      <c r="F6020" s="4" t="s">
        <v>7</v>
      </c>
      <c r="G6020" s="1" t="str">
        <f>_xlfn.XLOOKUP(tblSales[[#This Row],[Product Code]],tblProducts[Code],tblProducts[Product / Service Name],"⚠ Unknown")</f>
        <v>Premium Basic T-shirt</v>
      </c>
      <c r="H6020" s="1" t="str">
        <f>_xlfn.XLOOKUP(tblSales[[#This Row],[Product Code]],tblProducts[Code],tblProducts[Category],"")</f>
        <v>Accessories &amp; Basics</v>
      </c>
      <c r="I6020" s="4">
        <v>24</v>
      </c>
      <c r="J6020" s="5">
        <f>_xlfn.XLOOKUP(tblSales[[#This Row],[Product Code]],tblProducts[Code],tblProducts[Selling Price (excl. VAT)],0)</f>
        <v>65000</v>
      </c>
      <c r="K6020" s="5">
        <f>tblSales[[#This Row],[Qty]]*tblSales[[#This Row],[Unit Price]]</f>
        <v>1560000</v>
      </c>
      <c r="L6020" s="5">
        <f>ROUND(tblSales[[#This Row],[DPP (excl. VAT)]]*VATEff,0)</f>
        <v>171600</v>
      </c>
      <c r="M6020" s="5">
        <f>tblSales[[#This Row],[DPP (excl. VAT)]]+tblSales[[#This Row],[Output VAT]]</f>
        <v>1731600</v>
      </c>
      <c r="N6020" s="5">
        <f>tblSales[[#This Row],[Qty]]*_xlfn.XLOOKUP(tblSales[[#This Row],[Product Code]],tblProducts[Code],tblProducts[Unit Cost],0)</f>
        <v>888000</v>
      </c>
      <c r="O6020" s="4" t="s">
        <v>4867</v>
      </c>
      <c r="P6020" s="4" t="s">
        <v>4860</v>
      </c>
      <c r="Q6020" s="1" t="str">
        <f>_xlfn.XLOOKUP(tblSales[[#This Row],[Channel Code]],tblChannels[Channel Code],tblChannels[Channel Name],"")</f>
        <v>In-store</v>
      </c>
      <c r="R6020" s="1">
        <f>MONTH(tblSales[[#This Row],[Date]])</f>
        <v>12</v>
      </c>
    </row>
    <row r="6021" spans="2:18" x14ac:dyDescent="0.35">
      <c r="B6021" s="113">
        <v>46379</v>
      </c>
      <c r="C6021" s="4" t="s">
        <v>4130</v>
      </c>
      <c r="D6021" s="4" t="s">
        <v>4641</v>
      </c>
      <c r="E6021" s="1" t="str">
        <f>_xlfn.XLOOKUP(tblSales[[#This Row],[Customer ID]],tblCustomers[Customer ID],tblCustomers[Customer Name],"⚠ Unknown")</f>
        <v>PT Harmoni Pangan Lestari</v>
      </c>
      <c r="F6021" s="4" t="s">
        <v>11</v>
      </c>
      <c r="G6021" s="1" t="str">
        <f>_xlfn.XLOOKUP(tblSales[[#This Row],[Product Code]],tblProducts[Code],tblProducts[Product / Service Name],"⚠ Unknown")</f>
        <v>Sneakers</v>
      </c>
      <c r="H6021" s="1" t="str">
        <f>_xlfn.XLOOKUP(tblSales[[#This Row],[Product Code]],tblProducts[Code],tblProducts[Category],"")</f>
        <v>Apparel &amp; Footwear</v>
      </c>
      <c r="I6021" s="4">
        <v>24</v>
      </c>
      <c r="J6021" s="5">
        <f>_xlfn.XLOOKUP(tblSales[[#This Row],[Product Code]],tblProducts[Code],tblProducts[Selling Price (excl. VAT)],0)</f>
        <v>250000</v>
      </c>
      <c r="K6021" s="5">
        <f>tblSales[[#This Row],[Qty]]*tblSales[[#This Row],[Unit Price]]</f>
        <v>6000000</v>
      </c>
      <c r="L6021" s="5">
        <f>ROUND(tblSales[[#This Row],[DPP (excl. VAT)]]*VATEff,0)</f>
        <v>660000</v>
      </c>
      <c r="M6021" s="5">
        <f>tblSales[[#This Row],[DPP (excl. VAT)]]+tblSales[[#This Row],[Output VAT]]</f>
        <v>6660000</v>
      </c>
      <c r="N6021" s="5">
        <f>tblSales[[#This Row],[Qty]]*_xlfn.XLOOKUP(tblSales[[#This Row],[Product Code]],tblProducts[Code],tblProducts[Unit Cost],0)</f>
        <v>3720000</v>
      </c>
      <c r="O6021" s="4" t="s">
        <v>4867</v>
      </c>
      <c r="P6021" s="4" t="s">
        <v>4860</v>
      </c>
      <c r="Q6021" s="1" t="str">
        <f>_xlfn.XLOOKUP(tblSales[[#This Row],[Channel Code]],tblChannels[Channel Code],tblChannels[Channel Name],"")</f>
        <v>In-store</v>
      </c>
      <c r="R6021" s="1">
        <f>MONTH(tblSales[[#This Row],[Date]])</f>
        <v>12</v>
      </c>
    </row>
    <row r="6022" spans="2:18" x14ac:dyDescent="0.35">
      <c r="B6022" s="113">
        <v>46379</v>
      </c>
      <c r="C6022" s="4" t="s">
        <v>4130</v>
      </c>
      <c r="D6022" s="4" t="s">
        <v>4641</v>
      </c>
      <c r="E6022" s="1" t="str">
        <f>_xlfn.XLOOKUP(tblSales[[#This Row],[Customer ID]],tblCustomers[Customer ID],tblCustomers[Customer Name],"⚠ Unknown")</f>
        <v>PT Harmoni Pangan Lestari</v>
      </c>
      <c r="F6022" s="4" t="s">
        <v>6</v>
      </c>
      <c r="G6022" s="1" t="str">
        <f>_xlfn.XLOOKUP(tblSales[[#This Row],[Product Code]],tblProducts[Code],tblProducts[Product / Service Name],"⚠ Unknown")</f>
        <v>Socks &amp; Accessories</v>
      </c>
      <c r="H6022" s="1" t="str">
        <f>_xlfn.XLOOKUP(tblSales[[#This Row],[Product Code]],tblProducts[Code],tblProducts[Category],"")</f>
        <v>Accessories &amp; Basics</v>
      </c>
      <c r="I6022" s="4">
        <v>16</v>
      </c>
      <c r="J6022" s="5">
        <f>_xlfn.XLOOKUP(tblSales[[#This Row],[Product Code]],tblProducts[Code],tblProducts[Selling Price (excl. VAT)],0)</f>
        <v>45000</v>
      </c>
      <c r="K6022" s="5">
        <f>tblSales[[#This Row],[Qty]]*tblSales[[#This Row],[Unit Price]]</f>
        <v>720000</v>
      </c>
      <c r="L6022" s="5">
        <f>ROUND(tblSales[[#This Row],[DPP (excl. VAT)]]*VATEff,0)</f>
        <v>79200</v>
      </c>
      <c r="M6022" s="5">
        <f>tblSales[[#This Row],[DPP (excl. VAT)]]+tblSales[[#This Row],[Output VAT]]</f>
        <v>799200</v>
      </c>
      <c r="N6022" s="5">
        <f>tblSales[[#This Row],[Qty]]*_xlfn.XLOOKUP(tblSales[[#This Row],[Product Code]],tblProducts[Code],tblProducts[Unit Cost],0)</f>
        <v>384000</v>
      </c>
      <c r="O6022" s="4" t="s">
        <v>4867</v>
      </c>
      <c r="P6022" s="4" t="s">
        <v>4860</v>
      </c>
      <c r="Q6022" s="1" t="str">
        <f>_xlfn.XLOOKUP(tblSales[[#This Row],[Channel Code]],tblChannels[Channel Code],tblChannels[Channel Name],"")</f>
        <v>In-store</v>
      </c>
      <c r="R6022" s="1">
        <f>MONTH(tblSales[[#This Row],[Date]])</f>
        <v>12</v>
      </c>
    </row>
    <row r="6023" spans="2:18" x14ac:dyDescent="0.35">
      <c r="B6023" s="113">
        <v>46379</v>
      </c>
      <c r="C6023" s="4" t="s">
        <v>4131</v>
      </c>
      <c r="D6023" s="4" t="s">
        <v>4572</v>
      </c>
      <c r="E6023" s="1" t="str">
        <f>_xlfn.XLOOKUP(tblSales[[#This Row],[Customer ID]],tblCustomers[Customer ID],tblCustomers[Customer Name],"⚠ Unknown")</f>
        <v>PT Cahaya Abadi Makmur</v>
      </c>
      <c r="F6023" s="4" t="s">
        <v>14</v>
      </c>
      <c r="G6023" s="1" t="str">
        <f>_xlfn.XLOOKUP(tblSales[[#This Row],[Product Code]],tblProducts[Code],tblProducts[Product / Service Name],"⚠ Unknown")</f>
        <v>Smartwatch</v>
      </c>
      <c r="H6023" s="1" t="str">
        <f>_xlfn.XLOOKUP(tblSales[[#This Row],[Product Code]],tblProducts[Code],tblProducts[Category],"")</f>
        <v>Bags &amp; Gadgets</v>
      </c>
      <c r="I6023" s="4">
        <v>24</v>
      </c>
      <c r="J6023" s="5">
        <f>_xlfn.XLOOKUP(tblSales[[#This Row],[Product Code]],tblProducts[Code],tblProducts[Selling Price (excl. VAT)],0)</f>
        <v>850000</v>
      </c>
      <c r="K6023" s="5">
        <f>tblSales[[#This Row],[Qty]]*tblSales[[#This Row],[Unit Price]]</f>
        <v>20400000</v>
      </c>
      <c r="L6023" s="5">
        <f>ROUND(tblSales[[#This Row],[DPP (excl. VAT)]]*VATEff,0)</f>
        <v>2244000</v>
      </c>
      <c r="M6023" s="5">
        <f>tblSales[[#This Row],[DPP (excl. VAT)]]+tblSales[[#This Row],[Output VAT]]</f>
        <v>22644000</v>
      </c>
      <c r="N6023" s="5">
        <f>tblSales[[#This Row],[Qty]]*_xlfn.XLOOKUP(tblSales[[#This Row],[Product Code]],tblProducts[Code],tblProducts[Unit Cost],0)</f>
        <v>13440000</v>
      </c>
      <c r="O6023" s="4" t="s">
        <v>4867</v>
      </c>
      <c r="P6023" s="4" t="s">
        <v>4862</v>
      </c>
      <c r="Q6023" s="1" t="str">
        <f>_xlfn.XLOOKUP(tblSales[[#This Row],[Channel Code]],tblChannels[Channel Code],tblChannels[Channel Name],"")</f>
        <v>Website &amp; Social Media</v>
      </c>
      <c r="R6023" s="1">
        <f>MONTH(tblSales[[#This Row],[Date]])</f>
        <v>12</v>
      </c>
    </row>
    <row r="6024" spans="2:18" x14ac:dyDescent="0.35">
      <c r="B6024" s="113">
        <v>46379</v>
      </c>
      <c r="C6024" s="4" t="s">
        <v>4131</v>
      </c>
      <c r="D6024" s="4" t="s">
        <v>4572</v>
      </c>
      <c r="E6024" s="1" t="str">
        <f>_xlfn.XLOOKUP(tblSales[[#This Row],[Customer ID]],tblCustomers[Customer ID],tblCustomers[Customer Name],"⚠ Unknown")</f>
        <v>PT Cahaya Abadi Makmur</v>
      </c>
      <c r="F6024" s="4" t="s">
        <v>13</v>
      </c>
      <c r="G6024" s="1" t="str">
        <f>_xlfn.XLOOKUP(tblSales[[#This Row],[Product Code]],tblProducts[Code],tblProducts[Product / Service Name],"⚠ Unknown")</f>
        <v>Backpack</v>
      </c>
      <c r="H6024" s="1" t="str">
        <f>_xlfn.XLOOKUP(tblSales[[#This Row],[Product Code]],tblProducts[Code],tblProducts[Category],"")</f>
        <v>Bags &amp; Gadgets</v>
      </c>
      <c r="I6024" s="4">
        <v>8</v>
      </c>
      <c r="J6024" s="5">
        <f>_xlfn.XLOOKUP(tblSales[[#This Row],[Product Code]],tblProducts[Code],tblProducts[Selling Price (excl. VAT)],0)</f>
        <v>500000</v>
      </c>
      <c r="K6024" s="5">
        <f>tblSales[[#This Row],[Qty]]*tblSales[[#This Row],[Unit Price]]</f>
        <v>4000000</v>
      </c>
      <c r="L6024" s="5">
        <f>ROUND(tblSales[[#This Row],[DPP (excl. VAT)]]*VATEff,0)</f>
        <v>440000</v>
      </c>
      <c r="M6024" s="5">
        <f>tblSales[[#This Row],[DPP (excl. VAT)]]+tblSales[[#This Row],[Output VAT]]</f>
        <v>4440000</v>
      </c>
      <c r="N6024" s="5">
        <f>tblSales[[#This Row],[Qty]]*_xlfn.XLOOKUP(tblSales[[#This Row],[Product Code]],tblProducts[Code],tblProducts[Unit Cost],0)</f>
        <v>2320000</v>
      </c>
      <c r="O6024" s="4" t="s">
        <v>4867</v>
      </c>
      <c r="P6024" s="4" t="s">
        <v>4862</v>
      </c>
      <c r="Q6024" s="1" t="str">
        <f>_xlfn.XLOOKUP(tblSales[[#This Row],[Channel Code]],tblChannels[Channel Code],tblChannels[Channel Name],"")</f>
        <v>Website &amp; Social Media</v>
      </c>
      <c r="R6024" s="1">
        <f>MONTH(tblSales[[#This Row],[Date]])</f>
        <v>12</v>
      </c>
    </row>
    <row r="6025" spans="2:18" x14ac:dyDescent="0.35">
      <c r="B6025" s="113">
        <v>46379</v>
      </c>
      <c r="C6025" s="4" t="s">
        <v>4132</v>
      </c>
      <c r="D6025" s="4" t="s">
        <v>4568</v>
      </c>
      <c r="E6025" s="1" t="str">
        <f>_xlfn.XLOOKUP(tblSales[[#This Row],[Customer ID]],tblCustomers[Customer ID],tblCustomers[Customer Name],"⚠ Unknown")</f>
        <v>Walk-in Customer</v>
      </c>
      <c r="F6025" s="4" t="s">
        <v>9</v>
      </c>
      <c r="G6025" s="1" t="str">
        <f>_xlfn.XLOOKUP(tblSales[[#This Row],[Product Code]],tblProducts[Code],tblProducts[Product / Service Name],"⚠ Unknown")</f>
        <v>Casual Shirt</v>
      </c>
      <c r="H6025" s="1" t="str">
        <f>_xlfn.XLOOKUP(tblSales[[#This Row],[Product Code]],tblProducts[Code],tblProducts[Category],"")</f>
        <v>Apparel &amp; Footwear</v>
      </c>
      <c r="I6025" s="4">
        <v>9</v>
      </c>
      <c r="J6025" s="5">
        <f>_xlfn.XLOOKUP(tblSales[[#This Row],[Product Code]],tblProducts[Code],tblProducts[Selling Price (excl. VAT)],0)</f>
        <v>120000</v>
      </c>
      <c r="K6025" s="5">
        <f>tblSales[[#This Row],[Qty]]*tblSales[[#This Row],[Unit Price]]</f>
        <v>1080000</v>
      </c>
      <c r="L6025" s="5">
        <f>ROUND(tblSales[[#This Row],[DPP (excl. VAT)]]*VATEff,0)</f>
        <v>118800</v>
      </c>
      <c r="M6025" s="5">
        <f>tblSales[[#This Row],[DPP (excl. VAT)]]+tblSales[[#This Row],[Output VAT]]</f>
        <v>1198800</v>
      </c>
      <c r="N6025" s="5">
        <f>tblSales[[#This Row],[Qty]]*_xlfn.XLOOKUP(tblSales[[#This Row],[Product Code]],tblProducts[Code],tblProducts[Unit Cost],0)</f>
        <v>648000</v>
      </c>
      <c r="O6025" s="4" t="s">
        <v>4866</v>
      </c>
      <c r="P6025" s="4" t="s">
        <v>4862</v>
      </c>
      <c r="Q6025" s="1" t="str">
        <f>_xlfn.XLOOKUP(tblSales[[#This Row],[Channel Code]],tblChannels[Channel Code],tblChannels[Channel Name],"")</f>
        <v>Website &amp; Social Media</v>
      </c>
      <c r="R6025" s="1">
        <f>MONTH(tblSales[[#This Row],[Date]])</f>
        <v>12</v>
      </c>
    </row>
    <row r="6026" spans="2:18" x14ac:dyDescent="0.35">
      <c r="B6026" s="113">
        <v>46379</v>
      </c>
      <c r="C6026" s="4" t="s">
        <v>4133</v>
      </c>
      <c r="D6026" s="4" t="s">
        <v>4568</v>
      </c>
      <c r="E6026" s="1" t="str">
        <f>_xlfn.XLOOKUP(tblSales[[#This Row],[Customer ID]],tblCustomers[Customer ID],tblCustomers[Customer Name],"⚠ Unknown")</f>
        <v>Walk-in Customer</v>
      </c>
      <c r="F6026" s="4" t="s">
        <v>13</v>
      </c>
      <c r="G6026" s="1" t="str">
        <f>_xlfn.XLOOKUP(tblSales[[#This Row],[Product Code]],tblProducts[Code],tblProducts[Product / Service Name],"⚠ Unknown")</f>
        <v>Backpack</v>
      </c>
      <c r="H6026" s="1" t="str">
        <f>_xlfn.XLOOKUP(tblSales[[#This Row],[Product Code]],tblProducts[Code],tblProducts[Category],"")</f>
        <v>Bags &amp; Gadgets</v>
      </c>
      <c r="I6026" s="4">
        <v>3</v>
      </c>
      <c r="J6026" s="5">
        <f>_xlfn.XLOOKUP(tblSales[[#This Row],[Product Code]],tblProducts[Code],tblProducts[Selling Price (excl. VAT)],0)</f>
        <v>500000</v>
      </c>
      <c r="K6026" s="5">
        <f>tblSales[[#This Row],[Qty]]*tblSales[[#This Row],[Unit Price]]</f>
        <v>1500000</v>
      </c>
      <c r="L6026" s="5">
        <f>ROUND(tblSales[[#This Row],[DPP (excl. VAT)]]*VATEff,0)</f>
        <v>165000</v>
      </c>
      <c r="M6026" s="5">
        <f>tblSales[[#This Row],[DPP (excl. VAT)]]+tblSales[[#This Row],[Output VAT]]</f>
        <v>1665000</v>
      </c>
      <c r="N6026" s="5">
        <f>tblSales[[#This Row],[Qty]]*_xlfn.XLOOKUP(tblSales[[#This Row],[Product Code]],tblProducts[Code],tblProducts[Unit Cost],0)</f>
        <v>870000</v>
      </c>
      <c r="O6026" s="4" t="s">
        <v>4866</v>
      </c>
      <c r="P6026" s="4" t="s">
        <v>4860</v>
      </c>
      <c r="Q6026" s="1" t="str">
        <f>_xlfn.XLOOKUP(tblSales[[#This Row],[Channel Code]],tblChannels[Channel Code],tblChannels[Channel Name],"")</f>
        <v>In-store</v>
      </c>
      <c r="R6026" s="1">
        <f>MONTH(tblSales[[#This Row],[Date]])</f>
        <v>12</v>
      </c>
    </row>
    <row r="6027" spans="2:18" x14ac:dyDescent="0.35">
      <c r="B6027" s="113">
        <v>46379</v>
      </c>
      <c r="C6027" s="4" t="s">
        <v>4134</v>
      </c>
      <c r="D6027" s="4" t="s">
        <v>4568</v>
      </c>
      <c r="E6027" s="1" t="str">
        <f>_xlfn.XLOOKUP(tblSales[[#This Row],[Customer ID]],tblCustomers[Customer ID],tblCustomers[Customer Name],"⚠ Unknown")</f>
        <v>Walk-in Customer</v>
      </c>
      <c r="F6027" s="4" t="s">
        <v>8</v>
      </c>
      <c r="G6027" s="1" t="str">
        <f>_xlfn.XLOOKUP(tblSales[[#This Row],[Product Code]],tblProducts[Code],tblProducts[Product / Service Name],"⚠ Unknown")</f>
        <v>Casual Shorts</v>
      </c>
      <c r="H6027" s="1" t="str">
        <f>_xlfn.XLOOKUP(tblSales[[#This Row],[Product Code]],tblProducts[Code],tblProducts[Category],"")</f>
        <v>Accessories &amp; Basics</v>
      </c>
      <c r="I6027" s="4">
        <v>7</v>
      </c>
      <c r="J6027" s="5">
        <f>_xlfn.XLOOKUP(tblSales[[#This Row],[Product Code]],tblProducts[Code],tblProducts[Selling Price (excl. VAT)],0)</f>
        <v>85000</v>
      </c>
      <c r="K6027" s="5">
        <f>tblSales[[#This Row],[Qty]]*tblSales[[#This Row],[Unit Price]]</f>
        <v>595000</v>
      </c>
      <c r="L6027" s="5">
        <f>ROUND(tblSales[[#This Row],[DPP (excl. VAT)]]*VATEff,0)</f>
        <v>65450</v>
      </c>
      <c r="M6027" s="5">
        <f>tblSales[[#This Row],[DPP (excl. VAT)]]+tblSales[[#This Row],[Output VAT]]</f>
        <v>660450</v>
      </c>
      <c r="N6027" s="5">
        <f>tblSales[[#This Row],[Qty]]*_xlfn.XLOOKUP(tblSales[[#This Row],[Product Code]],tblProducts[Code],tblProducts[Unit Cost],0)</f>
        <v>350000</v>
      </c>
      <c r="O6027" s="4" t="s">
        <v>4865</v>
      </c>
      <c r="P6027" s="4" t="s">
        <v>4860</v>
      </c>
      <c r="Q6027" s="1" t="str">
        <f>_xlfn.XLOOKUP(tblSales[[#This Row],[Channel Code]],tblChannels[Channel Code],tblChannels[Channel Name],"")</f>
        <v>In-store</v>
      </c>
      <c r="R6027" s="1">
        <f>MONTH(tblSales[[#This Row],[Date]])</f>
        <v>12</v>
      </c>
    </row>
    <row r="6028" spans="2:18" x14ac:dyDescent="0.35">
      <c r="B6028" s="113">
        <v>46379</v>
      </c>
      <c r="C6028" s="4" t="s">
        <v>4135</v>
      </c>
      <c r="D6028" s="4" t="s">
        <v>4568</v>
      </c>
      <c r="E6028" s="1" t="str">
        <f>_xlfn.XLOOKUP(tblSales[[#This Row],[Customer ID]],tblCustomers[Customer ID],tblCustomers[Customer Name],"⚠ Unknown")</f>
        <v>Walk-in Customer</v>
      </c>
      <c r="F6028" s="4" t="s">
        <v>10</v>
      </c>
      <c r="G6028" s="1" t="str">
        <f>_xlfn.XLOOKUP(tblSales[[#This Row],[Product Code]],tblProducts[Code],tblProducts[Product / Service Name],"⚠ Unknown")</f>
        <v>Chino Pants</v>
      </c>
      <c r="H6028" s="1" t="str">
        <f>_xlfn.XLOOKUP(tblSales[[#This Row],[Product Code]],tblProducts[Code],tblProducts[Category],"")</f>
        <v>Apparel &amp; Footwear</v>
      </c>
      <c r="I6028" s="4">
        <v>6</v>
      </c>
      <c r="J6028" s="5">
        <f>_xlfn.XLOOKUP(tblSales[[#This Row],[Product Code]],tblProducts[Code],tblProducts[Selling Price (excl. VAT)],0)</f>
        <v>150000</v>
      </c>
      <c r="K6028" s="5">
        <f>tblSales[[#This Row],[Qty]]*tblSales[[#This Row],[Unit Price]]</f>
        <v>900000</v>
      </c>
      <c r="L6028" s="5">
        <f>ROUND(tblSales[[#This Row],[DPP (excl. VAT)]]*VATEff,0)</f>
        <v>99000</v>
      </c>
      <c r="M6028" s="5">
        <f>tblSales[[#This Row],[DPP (excl. VAT)]]+tblSales[[#This Row],[Output VAT]]</f>
        <v>999000</v>
      </c>
      <c r="N6028" s="5">
        <f>tblSales[[#This Row],[Qty]]*_xlfn.XLOOKUP(tblSales[[#This Row],[Product Code]],tblProducts[Code],tblProducts[Unit Cost],0)</f>
        <v>528000</v>
      </c>
      <c r="O6028" s="4" t="s">
        <v>4866</v>
      </c>
      <c r="P6028" s="4" t="s">
        <v>4862</v>
      </c>
      <c r="Q6028" s="1" t="str">
        <f>_xlfn.XLOOKUP(tblSales[[#This Row],[Channel Code]],tblChannels[Channel Code],tblChannels[Channel Name],"")</f>
        <v>Website &amp; Social Media</v>
      </c>
      <c r="R6028" s="1">
        <f>MONTH(tblSales[[#This Row],[Date]])</f>
        <v>12</v>
      </c>
    </row>
    <row r="6029" spans="2:18" x14ac:dyDescent="0.35">
      <c r="B6029" s="113">
        <v>46379</v>
      </c>
      <c r="C6029" s="4" t="s">
        <v>4136</v>
      </c>
      <c r="D6029" s="4" t="s">
        <v>4585</v>
      </c>
      <c r="E6029" s="1" t="str">
        <f>_xlfn.XLOOKUP(tblSales[[#This Row],[Customer ID]],tblCustomers[Customer ID],tblCustomers[Customer Name],"⚠ Unknown")</f>
        <v>CV Mitra Karya Mandiri</v>
      </c>
      <c r="F6029" s="4" t="s">
        <v>11</v>
      </c>
      <c r="G6029" s="1" t="str">
        <f>_xlfn.XLOOKUP(tblSales[[#This Row],[Product Code]],tblProducts[Code],tblProducts[Product / Service Name],"⚠ Unknown")</f>
        <v>Sneakers</v>
      </c>
      <c r="H6029" s="1" t="str">
        <f>_xlfn.XLOOKUP(tblSales[[#This Row],[Product Code]],tblProducts[Code],tblProducts[Category],"")</f>
        <v>Apparel &amp; Footwear</v>
      </c>
      <c r="I6029" s="4">
        <v>16</v>
      </c>
      <c r="J6029" s="5">
        <f>_xlfn.XLOOKUP(tblSales[[#This Row],[Product Code]],tblProducts[Code],tblProducts[Selling Price (excl. VAT)],0)</f>
        <v>250000</v>
      </c>
      <c r="K6029" s="5">
        <f>tblSales[[#This Row],[Qty]]*tblSales[[#This Row],[Unit Price]]</f>
        <v>4000000</v>
      </c>
      <c r="L6029" s="5">
        <f>ROUND(tblSales[[#This Row],[DPP (excl. VAT)]]*VATEff,0)</f>
        <v>440000</v>
      </c>
      <c r="M6029" s="5">
        <f>tblSales[[#This Row],[DPP (excl. VAT)]]+tblSales[[#This Row],[Output VAT]]</f>
        <v>4440000</v>
      </c>
      <c r="N6029" s="5">
        <f>tblSales[[#This Row],[Qty]]*_xlfn.XLOOKUP(tblSales[[#This Row],[Product Code]],tblProducts[Code],tblProducts[Unit Cost],0)</f>
        <v>2480000</v>
      </c>
      <c r="O6029" s="4" t="s">
        <v>4867</v>
      </c>
      <c r="P6029" s="4" t="s">
        <v>4860</v>
      </c>
      <c r="Q6029" s="1" t="str">
        <f>_xlfn.XLOOKUP(tblSales[[#This Row],[Channel Code]],tblChannels[Channel Code],tblChannels[Channel Name],"")</f>
        <v>In-store</v>
      </c>
      <c r="R6029" s="1">
        <f>MONTH(tblSales[[#This Row],[Date]])</f>
        <v>12</v>
      </c>
    </row>
    <row r="6030" spans="2:18" x14ac:dyDescent="0.35">
      <c r="B6030" s="113">
        <v>46379</v>
      </c>
      <c r="C6030" s="4" t="s">
        <v>4137</v>
      </c>
      <c r="D6030" s="4" t="s">
        <v>4568</v>
      </c>
      <c r="E6030" s="1" t="str">
        <f>_xlfn.XLOOKUP(tblSales[[#This Row],[Customer ID]],tblCustomers[Customer ID],tblCustomers[Customer Name],"⚠ Unknown")</f>
        <v>Walk-in Customer</v>
      </c>
      <c r="F6030" s="4" t="s">
        <v>9</v>
      </c>
      <c r="G6030" s="1" t="str">
        <f>_xlfn.XLOOKUP(tblSales[[#This Row],[Product Code]],tblProducts[Code],tblProducts[Product / Service Name],"⚠ Unknown")</f>
        <v>Casual Shirt</v>
      </c>
      <c r="H6030" s="1" t="str">
        <f>_xlfn.XLOOKUP(tblSales[[#This Row],[Product Code]],tblProducts[Code],tblProducts[Category],"")</f>
        <v>Apparel &amp; Footwear</v>
      </c>
      <c r="I6030" s="4">
        <v>11</v>
      </c>
      <c r="J6030" s="5">
        <f>_xlfn.XLOOKUP(tblSales[[#This Row],[Product Code]],tblProducts[Code],tblProducts[Selling Price (excl. VAT)],0)</f>
        <v>120000</v>
      </c>
      <c r="K6030" s="5">
        <f>tblSales[[#This Row],[Qty]]*tblSales[[#This Row],[Unit Price]]</f>
        <v>1320000</v>
      </c>
      <c r="L6030" s="5">
        <f>ROUND(tblSales[[#This Row],[DPP (excl. VAT)]]*VATEff,0)</f>
        <v>145200</v>
      </c>
      <c r="M6030" s="5">
        <f>tblSales[[#This Row],[DPP (excl. VAT)]]+tblSales[[#This Row],[Output VAT]]</f>
        <v>1465200</v>
      </c>
      <c r="N6030" s="5">
        <f>tblSales[[#This Row],[Qty]]*_xlfn.XLOOKUP(tblSales[[#This Row],[Product Code]],tblProducts[Code],tblProducts[Unit Cost],0)</f>
        <v>792000</v>
      </c>
      <c r="O6030" s="4" t="s">
        <v>4865</v>
      </c>
      <c r="P6030" s="4" t="s">
        <v>4860</v>
      </c>
      <c r="Q6030" s="1" t="str">
        <f>_xlfn.XLOOKUP(tblSales[[#This Row],[Channel Code]],tblChannels[Channel Code],tblChannels[Channel Name],"")</f>
        <v>In-store</v>
      </c>
      <c r="R6030" s="1">
        <f>MONTH(tblSales[[#This Row],[Date]])</f>
        <v>12</v>
      </c>
    </row>
    <row r="6031" spans="2:18" x14ac:dyDescent="0.35">
      <c r="B6031" s="113">
        <v>46379</v>
      </c>
      <c r="C6031" s="4" t="s">
        <v>4138</v>
      </c>
      <c r="D6031" s="4" t="s">
        <v>4568</v>
      </c>
      <c r="E6031" s="1" t="str">
        <f>_xlfn.XLOOKUP(tblSales[[#This Row],[Customer ID]],tblCustomers[Customer ID],tblCustomers[Customer Name],"⚠ Unknown")</f>
        <v>Walk-in Customer</v>
      </c>
      <c r="F6031" s="4" t="s">
        <v>13</v>
      </c>
      <c r="G6031" s="1" t="str">
        <f>_xlfn.XLOOKUP(tblSales[[#This Row],[Product Code]],tblProducts[Code],tblProducts[Product / Service Name],"⚠ Unknown")</f>
        <v>Backpack</v>
      </c>
      <c r="H6031" s="1" t="str">
        <f>_xlfn.XLOOKUP(tblSales[[#This Row],[Product Code]],tblProducts[Code],tblProducts[Category],"")</f>
        <v>Bags &amp; Gadgets</v>
      </c>
      <c r="I6031" s="4">
        <v>2</v>
      </c>
      <c r="J6031" s="5">
        <f>_xlfn.XLOOKUP(tblSales[[#This Row],[Product Code]],tblProducts[Code],tblProducts[Selling Price (excl. VAT)],0)</f>
        <v>500000</v>
      </c>
      <c r="K6031" s="5">
        <f>tblSales[[#This Row],[Qty]]*tblSales[[#This Row],[Unit Price]]</f>
        <v>1000000</v>
      </c>
      <c r="L6031" s="5">
        <f>ROUND(tblSales[[#This Row],[DPP (excl. VAT)]]*VATEff,0)</f>
        <v>110000</v>
      </c>
      <c r="M6031" s="5">
        <f>tblSales[[#This Row],[DPP (excl. VAT)]]+tblSales[[#This Row],[Output VAT]]</f>
        <v>1110000</v>
      </c>
      <c r="N6031" s="5">
        <f>tblSales[[#This Row],[Qty]]*_xlfn.XLOOKUP(tblSales[[#This Row],[Product Code]],tblProducts[Code],tblProducts[Unit Cost],0)</f>
        <v>580000</v>
      </c>
      <c r="O6031" s="4" t="s">
        <v>4866</v>
      </c>
      <c r="P6031" s="4" t="s">
        <v>4860</v>
      </c>
      <c r="Q6031" s="1" t="str">
        <f>_xlfn.XLOOKUP(tblSales[[#This Row],[Channel Code]],tblChannels[Channel Code],tblChannels[Channel Name],"")</f>
        <v>In-store</v>
      </c>
      <c r="R6031" s="1">
        <f>MONTH(tblSales[[#This Row],[Date]])</f>
        <v>12</v>
      </c>
    </row>
    <row r="6032" spans="2:18" x14ac:dyDescent="0.35">
      <c r="B6032" s="113">
        <v>46379</v>
      </c>
      <c r="C6032" s="4" t="s">
        <v>4139</v>
      </c>
      <c r="D6032" s="4" t="s">
        <v>4568</v>
      </c>
      <c r="E6032" s="1" t="str">
        <f>_xlfn.XLOOKUP(tblSales[[#This Row],[Customer ID]],tblCustomers[Customer ID],tblCustomers[Customer Name],"⚠ Unknown")</f>
        <v>Walk-in Customer</v>
      </c>
      <c r="F6032" s="4" t="s">
        <v>10</v>
      </c>
      <c r="G6032" s="1" t="str">
        <f>_xlfn.XLOOKUP(tblSales[[#This Row],[Product Code]],tblProducts[Code],tblProducts[Product / Service Name],"⚠ Unknown")</f>
        <v>Chino Pants</v>
      </c>
      <c r="H6032" s="1" t="str">
        <f>_xlfn.XLOOKUP(tblSales[[#This Row],[Product Code]],tblProducts[Code],tblProducts[Category],"")</f>
        <v>Apparel &amp; Footwear</v>
      </c>
      <c r="I6032" s="4">
        <v>4</v>
      </c>
      <c r="J6032" s="5">
        <f>_xlfn.XLOOKUP(tblSales[[#This Row],[Product Code]],tblProducts[Code],tblProducts[Selling Price (excl. VAT)],0)</f>
        <v>150000</v>
      </c>
      <c r="K6032" s="5">
        <f>tblSales[[#This Row],[Qty]]*tblSales[[#This Row],[Unit Price]]</f>
        <v>600000</v>
      </c>
      <c r="L6032" s="5">
        <f>ROUND(tblSales[[#This Row],[DPP (excl. VAT)]]*VATEff,0)</f>
        <v>66000</v>
      </c>
      <c r="M6032" s="5">
        <f>tblSales[[#This Row],[DPP (excl. VAT)]]+tblSales[[#This Row],[Output VAT]]</f>
        <v>666000</v>
      </c>
      <c r="N6032" s="5">
        <f>tblSales[[#This Row],[Qty]]*_xlfn.XLOOKUP(tblSales[[#This Row],[Product Code]],tblProducts[Code],tblProducts[Unit Cost],0)</f>
        <v>352000</v>
      </c>
      <c r="O6032" s="4" t="s">
        <v>4866</v>
      </c>
      <c r="P6032" s="4" t="s">
        <v>4861</v>
      </c>
      <c r="Q6032" s="1" t="str">
        <f>_xlfn.XLOOKUP(tblSales[[#This Row],[Channel Code]],tblChannels[Channel Code],tblChannels[Channel Name],"")</f>
        <v>Marketplace</v>
      </c>
      <c r="R6032" s="1">
        <f>MONTH(tblSales[[#This Row],[Date]])</f>
        <v>12</v>
      </c>
    </row>
    <row r="6033" spans="2:18" x14ac:dyDescent="0.35">
      <c r="B6033" s="113">
        <v>46379</v>
      </c>
      <c r="C6033" s="4" t="s">
        <v>4139</v>
      </c>
      <c r="D6033" s="4" t="s">
        <v>4568</v>
      </c>
      <c r="E6033" s="1" t="str">
        <f>_xlfn.XLOOKUP(tblSales[[#This Row],[Customer ID]],tblCustomers[Customer ID],tblCustomers[Customer Name],"⚠ Unknown")</f>
        <v>Walk-in Customer</v>
      </c>
      <c r="F6033" s="4" t="s">
        <v>8</v>
      </c>
      <c r="G6033" s="1" t="str">
        <f>_xlfn.XLOOKUP(tblSales[[#This Row],[Product Code]],tblProducts[Code],tblProducts[Product / Service Name],"⚠ Unknown")</f>
        <v>Casual Shorts</v>
      </c>
      <c r="H6033" s="1" t="str">
        <f>_xlfn.XLOOKUP(tblSales[[#This Row],[Product Code]],tblProducts[Code],tblProducts[Category],"")</f>
        <v>Accessories &amp; Basics</v>
      </c>
      <c r="I6033" s="4">
        <v>1</v>
      </c>
      <c r="J6033" s="5">
        <f>_xlfn.XLOOKUP(tblSales[[#This Row],[Product Code]],tblProducts[Code],tblProducts[Selling Price (excl. VAT)],0)</f>
        <v>85000</v>
      </c>
      <c r="K6033" s="5">
        <f>tblSales[[#This Row],[Qty]]*tblSales[[#This Row],[Unit Price]]</f>
        <v>85000</v>
      </c>
      <c r="L6033" s="5">
        <f>ROUND(tblSales[[#This Row],[DPP (excl. VAT)]]*VATEff,0)</f>
        <v>9350</v>
      </c>
      <c r="M6033" s="5">
        <f>tblSales[[#This Row],[DPP (excl. VAT)]]+tblSales[[#This Row],[Output VAT]]</f>
        <v>94350</v>
      </c>
      <c r="N6033" s="5">
        <f>tblSales[[#This Row],[Qty]]*_xlfn.XLOOKUP(tblSales[[#This Row],[Product Code]],tblProducts[Code],tblProducts[Unit Cost],0)</f>
        <v>50000</v>
      </c>
      <c r="O6033" s="4" t="s">
        <v>4866</v>
      </c>
      <c r="P6033" s="4" t="s">
        <v>4861</v>
      </c>
      <c r="Q6033" s="1" t="str">
        <f>_xlfn.XLOOKUP(tblSales[[#This Row],[Channel Code]],tblChannels[Channel Code],tblChannels[Channel Name],"")</f>
        <v>Marketplace</v>
      </c>
      <c r="R6033" s="1">
        <f>MONTH(tblSales[[#This Row],[Date]])</f>
        <v>12</v>
      </c>
    </row>
    <row r="6034" spans="2:18" x14ac:dyDescent="0.35">
      <c r="B6034" s="113">
        <v>46379</v>
      </c>
      <c r="C6034" s="4" t="s">
        <v>4139</v>
      </c>
      <c r="D6034" s="4" t="s">
        <v>4568</v>
      </c>
      <c r="E6034" s="1" t="str">
        <f>_xlfn.XLOOKUP(tblSales[[#This Row],[Customer ID]],tblCustomers[Customer ID],tblCustomers[Customer Name],"⚠ Unknown")</f>
        <v>Walk-in Customer</v>
      </c>
      <c r="F6034" s="4" t="s">
        <v>9</v>
      </c>
      <c r="G6034" s="1" t="str">
        <f>_xlfn.XLOOKUP(tblSales[[#This Row],[Product Code]],tblProducts[Code],tblProducts[Product / Service Name],"⚠ Unknown")</f>
        <v>Casual Shirt</v>
      </c>
      <c r="H6034" s="1" t="str">
        <f>_xlfn.XLOOKUP(tblSales[[#This Row],[Product Code]],tblProducts[Code],tblProducts[Category],"")</f>
        <v>Apparel &amp; Footwear</v>
      </c>
      <c r="I6034" s="4">
        <v>10</v>
      </c>
      <c r="J6034" s="5">
        <f>_xlfn.XLOOKUP(tblSales[[#This Row],[Product Code]],tblProducts[Code],tblProducts[Selling Price (excl. VAT)],0)</f>
        <v>120000</v>
      </c>
      <c r="K6034" s="5">
        <f>tblSales[[#This Row],[Qty]]*tblSales[[#This Row],[Unit Price]]</f>
        <v>1200000</v>
      </c>
      <c r="L6034" s="5">
        <f>ROUND(tblSales[[#This Row],[DPP (excl. VAT)]]*VATEff,0)</f>
        <v>132000</v>
      </c>
      <c r="M6034" s="5">
        <f>tblSales[[#This Row],[DPP (excl. VAT)]]+tblSales[[#This Row],[Output VAT]]</f>
        <v>1332000</v>
      </c>
      <c r="N6034" s="5">
        <f>tblSales[[#This Row],[Qty]]*_xlfn.XLOOKUP(tblSales[[#This Row],[Product Code]],tblProducts[Code],tblProducts[Unit Cost],0)</f>
        <v>720000</v>
      </c>
      <c r="O6034" s="4" t="s">
        <v>4866</v>
      </c>
      <c r="P6034" s="4" t="s">
        <v>4861</v>
      </c>
      <c r="Q6034" s="1" t="str">
        <f>_xlfn.XLOOKUP(tblSales[[#This Row],[Channel Code]],tblChannels[Channel Code],tblChannels[Channel Name],"")</f>
        <v>Marketplace</v>
      </c>
      <c r="R6034" s="1">
        <f>MONTH(tblSales[[#This Row],[Date]])</f>
        <v>12</v>
      </c>
    </row>
    <row r="6035" spans="2:18" x14ac:dyDescent="0.35">
      <c r="B6035" s="113">
        <v>46379</v>
      </c>
      <c r="C6035" s="4" t="s">
        <v>4140</v>
      </c>
      <c r="D6035" s="4" t="s">
        <v>4593</v>
      </c>
      <c r="E6035" s="1" t="str">
        <f>_xlfn.XLOOKUP(tblSales[[#This Row],[Customer ID]],tblCustomers[Customer ID],tblCustomers[Customer Name],"⚠ Unknown")</f>
        <v>PT Graha Nusa Persada</v>
      </c>
      <c r="F6035" s="4" t="s">
        <v>11</v>
      </c>
      <c r="G6035" s="1" t="str">
        <f>_xlfn.XLOOKUP(tblSales[[#This Row],[Product Code]],tblProducts[Code],tblProducts[Product / Service Name],"⚠ Unknown")</f>
        <v>Sneakers</v>
      </c>
      <c r="H6035" s="1" t="str">
        <f>_xlfn.XLOOKUP(tblSales[[#This Row],[Product Code]],tblProducts[Code],tblProducts[Category],"")</f>
        <v>Apparel &amp; Footwear</v>
      </c>
      <c r="I6035" s="4">
        <v>48</v>
      </c>
      <c r="J6035" s="5">
        <f>_xlfn.XLOOKUP(tblSales[[#This Row],[Product Code]],tblProducts[Code],tblProducts[Selling Price (excl. VAT)],0)</f>
        <v>250000</v>
      </c>
      <c r="K6035" s="5">
        <f>tblSales[[#This Row],[Qty]]*tblSales[[#This Row],[Unit Price]]</f>
        <v>12000000</v>
      </c>
      <c r="L6035" s="5">
        <f>ROUND(tblSales[[#This Row],[DPP (excl. VAT)]]*VATEff,0)</f>
        <v>1320000</v>
      </c>
      <c r="M6035" s="5">
        <f>tblSales[[#This Row],[DPP (excl. VAT)]]+tblSales[[#This Row],[Output VAT]]</f>
        <v>13320000</v>
      </c>
      <c r="N6035" s="5">
        <f>tblSales[[#This Row],[Qty]]*_xlfn.XLOOKUP(tblSales[[#This Row],[Product Code]],tblProducts[Code],tblProducts[Unit Cost],0)</f>
        <v>7440000</v>
      </c>
      <c r="O6035" s="4" t="s">
        <v>4867</v>
      </c>
      <c r="P6035" s="4" t="s">
        <v>4862</v>
      </c>
      <c r="Q6035" s="1" t="str">
        <f>_xlfn.XLOOKUP(tblSales[[#This Row],[Channel Code]],tblChannels[Channel Code],tblChannels[Channel Name],"")</f>
        <v>Website &amp; Social Media</v>
      </c>
      <c r="R6035" s="1">
        <f>MONTH(tblSales[[#This Row],[Date]])</f>
        <v>12</v>
      </c>
    </row>
    <row r="6036" spans="2:18" x14ac:dyDescent="0.35">
      <c r="B6036" s="113">
        <v>46379</v>
      </c>
      <c r="C6036" s="4" t="s">
        <v>4141</v>
      </c>
      <c r="D6036" s="4" t="s">
        <v>4606</v>
      </c>
      <c r="E6036" s="1" t="str">
        <f>_xlfn.XLOOKUP(tblSales[[#This Row],[Customer ID]],tblCustomers[Customer ID],tblCustomers[Customer Name],"⚠ Unknown")</f>
        <v>PT Arunika Digital Kreatif</v>
      </c>
      <c r="F6036" s="4" t="s">
        <v>7</v>
      </c>
      <c r="G6036" s="1" t="str">
        <f>_xlfn.XLOOKUP(tblSales[[#This Row],[Product Code]],tblProducts[Code],tblProducts[Product / Service Name],"⚠ Unknown")</f>
        <v>Premium Basic T-shirt</v>
      </c>
      <c r="H6036" s="1" t="str">
        <f>_xlfn.XLOOKUP(tblSales[[#This Row],[Product Code]],tblProducts[Code],tblProducts[Category],"")</f>
        <v>Accessories &amp; Basics</v>
      </c>
      <c r="I6036" s="4">
        <v>72</v>
      </c>
      <c r="J6036" s="5">
        <f>_xlfn.XLOOKUP(tblSales[[#This Row],[Product Code]],tblProducts[Code],tblProducts[Selling Price (excl. VAT)],0)</f>
        <v>65000</v>
      </c>
      <c r="K6036" s="5">
        <f>tblSales[[#This Row],[Qty]]*tblSales[[#This Row],[Unit Price]]</f>
        <v>4680000</v>
      </c>
      <c r="L6036" s="5">
        <f>ROUND(tblSales[[#This Row],[DPP (excl. VAT)]]*VATEff,0)</f>
        <v>514800</v>
      </c>
      <c r="M6036" s="5">
        <f>tblSales[[#This Row],[DPP (excl. VAT)]]+tblSales[[#This Row],[Output VAT]]</f>
        <v>5194800</v>
      </c>
      <c r="N6036" s="5">
        <f>tblSales[[#This Row],[Qty]]*_xlfn.XLOOKUP(tblSales[[#This Row],[Product Code]],tblProducts[Code],tblProducts[Unit Cost],0)</f>
        <v>2664000</v>
      </c>
      <c r="O6036" s="4" t="s">
        <v>4867</v>
      </c>
      <c r="P6036" s="4" t="s">
        <v>4860</v>
      </c>
      <c r="Q6036" s="1" t="str">
        <f>_xlfn.XLOOKUP(tblSales[[#This Row],[Channel Code]],tblChannels[Channel Code],tblChannels[Channel Name],"")</f>
        <v>In-store</v>
      </c>
      <c r="R6036" s="1">
        <f>MONTH(tblSales[[#This Row],[Date]])</f>
        <v>12</v>
      </c>
    </row>
    <row r="6037" spans="2:18" x14ac:dyDescent="0.35">
      <c r="B6037" s="113">
        <v>46379</v>
      </c>
      <c r="C6037" s="4" t="s">
        <v>4141</v>
      </c>
      <c r="D6037" s="4" t="s">
        <v>4606</v>
      </c>
      <c r="E6037" s="1" t="str">
        <f>_xlfn.XLOOKUP(tblSales[[#This Row],[Customer ID]],tblCustomers[Customer ID],tblCustomers[Customer Name],"⚠ Unknown")</f>
        <v>PT Arunika Digital Kreatif</v>
      </c>
      <c r="F6037" s="4" t="s">
        <v>6</v>
      </c>
      <c r="G6037" s="1" t="str">
        <f>_xlfn.XLOOKUP(tblSales[[#This Row],[Product Code]],tblProducts[Code],tblProducts[Product / Service Name],"⚠ Unknown")</f>
        <v>Socks &amp; Accessories</v>
      </c>
      <c r="H6037" s="1" t="str">
        <f>_xlfn.XLOOKUP(tblSales[[#This Row],[Product Code]],tblProducts[Code],tblProducts[Category],"")</f>
        <v>Accessories &amp; Basics</v>
      </c>
      <c r="I6037" s="4">
        <v>24</v>
      </c>
      <c r="J6037" s="5">
        <f>_xlfn.XLOOKUP(tblSales[[#This Row],[Product Code]],tblProducts[Code],tblProducts[Selling Price (excl. VAT)],0)</f>
        <v>45000</v>
      </c>
      <c r="K6037" s="5">
        <f>tblSales[[#This Row],[Qty]]*tblSales[[#This Row],[Unit Price]]</f>
        <v>1080000</v>
      </c>
      <c r="L6037" s="5">
        <f>ROUND(tblSales[[#This Row],[DPP (excl. VAT)]]*VATEff,0)</f>
        <v>118800</v>
      </c>
      <c r="M6037" s="5">
        <f>tblSales[[#This Row],[DPP (excl. VAT)]]+tblSales[[#This Row],[Output VAT]]</f>
        <v>1198800</v>
      </c>
      <c r="N6037" s="5">
        <f>tblSales[[#This Row],[Qty]]*_xlfn.XLOOKUP(tblSales[[#This Row],[Product Code]],tblProducts[Code],tblProducts[Unit Cost],0)</f>
        <v>576000</v>
      </c>
      <c r="O6037" s="4" t="s">
        <v>4867</v>
      </c>
      <c r="P6037" s="4" t="s">
        <v>4860</v>
      </c>
      <c r="Q6037" s="1" t="str">
        <f>_xlfn.XLOOKUP(tblSales[[#This Row],[Channel Code]],tblChannels[Channel Code],tblChannels[Channel Name],"")</f>
        <v>In-store</v>
      </c>
      <c r="R6037" s="1">
        <f>MONTH(tblSales[[#This Row],[Date]])</f>
        <v>12</v>
      </c>
    </row>
    <row r="6038" spans="2:18" x14ac:dyDescent="0.35">
      <c r="B6038" s="113">
        <v>46379</v>
      </c>
      <c r="C6038" s="4" t="s">
        <v>4142</v>
      </c>
      <c r="D6038" s="4" t="s">
        <v>4568</v>
      </c>
      <c r="E6038" s="1" t="str">
        <f>_xlfn.XLOOKUP(tblSales[[#This Row],[Customer ID]],tblCustomers[Customer ID],tblCustomers[Customer Name],"⚠ Unknown")</f>
        <v>Walk-in Customer</v>
      </c>
      <c r="F6038" s="4" t="s">
        <v>10</v>
      </c>
      <c r="G6038" s="1" t="str">
        <f>_xlfn.XLOOKUP(tblSales[[#This Row],[Product Code]],tblProducts[Code],tblProducts[Product / Service Name],"⚠ Unknown")</f>
        <v>Chino Pants</v>
      </c>
      <c r="H6038" s="1" t="str">
        <f>_xlfn.XLOOKUP(tblSales[[#This Row],[Product Code]],tblProducts[Code],tblProducts[Category],"")</f>
        <v>Apparel &amp; Footwear</v>
      </c>
      <c r="I6038" s="4">
        <v>7</v>
      </c>
      <c r="J6038" s="5">
        <f>_xlfn.XLOOKUP(tblSales[[#This Row],[Product Code]],tblProducts[Code],tblProducts[Selling Price (excl. VAT)],0)</f>
        <v>150000</v>
      </c>
      <c r="K6038" s="5">
        <f>tblSales[[#This Row],[Qty]]*tblSales[[#This Row],[Unit Price]]</f>
        <v>1050000</v>
      </c>
      <c r="L6038" s="5">
        <f>ROUND(tblSales[[#This Row],[DPP (excl. VAT)]]*VATEff,0)</f>
        <v>115500</v>
      </c>
      <c r="M6038" s="5">
        <f>tblSales[[#This Row],[DPP (excl. VAT)]]+tblSales[[#This Row],[Output VAT]]</f>
        <v>1165500</v>
      </c>
      <c r="N6038" s="5">
        <f>tblSales[[#This Row],[Qty]]*_xlfn.XLOOKUP(tblSales[[#This Row],[Product Code]],tblProducts[Code],tblProducts[Unit Cost],0)</f>
        <v>616000</v>
      </c>
      <c r="O6038" s="4" t="s">
        <v>4866</v>
      </c>
      <c r="P6038" s="4" t="s">
        <v>4860</v>
      </c>
      <c r="Q6038" s="1" t="str">
        <f>_xlfn.XLOOKUP(tblSales[[#This Row],[Channel Code]],tblChannels[Channel Code],tblChannels[Channel Name],"")</f>
        <v>In-store</v>
      </c>
      <c r="R6038" s="1">
        <f>MONTH(tblSales[[#This Row],[Date]])</f>
        <v>12</v>
      </c>
    </row>
    <row r="6039" spans="2:18" x14ac:dyDescent="0.35">
      <c r="B6039" s="113">
        <v>46379</v>
      </c>
      <c r="C6039" s="4" t="s">
        <v>4143</v>
      </c>
      <c r="D6039" s="4" t="s">
        <v>4568</v>
      </c>
      <c r="E6039" s="1" t="str">
        <f>_xlfn.XLOOKUP(tblSales[[#This Row],[Customer ID]],tblCustomers[Customer ID],tblCustomers[Customer Name],"⚠ Unknown")</f>
        <v>Walk-in Customer</v>
      </c>
      <c r="F6039" s="4" t="s">
        <v>8</v>
      </c>
      <c r="G6039" s="1" t="str">
        <f>_xlfn.XLOOKUP(tblSales[[#This Row],[Product Code]],tblProducts[Code],tblProducts[Product / Service Name],"⚠ Unknown")</f>
        <v>Casual Shorts</v>
      </c>
      <c r="H6039" s="1" t="str">
        <f>_xlfn.XLOOKUP(tblSales[[#This Row],[Product Code]],tblProducts[Code],tblProducts[Category],"")</f>
        <v>Accessories &amp; Basics</v>
      </c>
      <c r="I6039" s="4">
        <v>5</v>
      </c>
      <c r="J6039" s="5">
        <f>_xlfn.XLOOKUP(tblSales[[#This Row],[Product Code]],tblProducts[Code],tblProducts[Selling Price (excl. VAT)],0)</f>
        <v>85000</v>
      </c>
      <c r="K6039" s="5">
        <f>tblSales[[#This Row],[Qty]]*tblSales[[#This Row],[Unit Price]]</f>
        <v>425000</v>
      </c>
      <c r="L6039" s="5">
        <f>ROUND(tblSales[[#This Row],[DPP (excl. VAT)]]*VATEff,0)</f>
        <v>46750</v>
      </c>
      <c r="M6039" s="5">
        <f>tblSales[[#This Row],[DPP (excl. VAT)]]+tblSales[[#This Row],[Output VAT]]</f>
        <v>471750</v>
      </c>
      <c r="N6039" s="5">
        <f>tblSales[[#This Row],[Qty]]*_xlfn.XLOOKUP(tblSales[[#This Row],[Product Code]],tblProducts[Code],tblProducts[Unit Cost],0)</f>
        <v>250000</v>
      </c>
      <c r="O6039" s="4" t="s">
        <v>4865</v>
      </c>
      <c r="P6039" s="4" t="s">
        <v>4860</v>
      </c>
      <c r="Q6039" s="1" t="str">
        <f>_xlfn.XLOOKUP(tblSales[[#This Row],[Channel Code]],tblChannels[Channel Code],tblChannels[Channel Name],"")</f>
        <v>In-store</v>
      </c>
      <c r="R6039" s="1">
        <f>MONTH(tblSales[[#This Row],[Date]])</f>
        <v>12</v>
      </c>
    </row>
    <row r="6040" spans="2:18" x14ac:dyDescent="0.35">
      <c r="B6040" s="113">
        <v>46379</v>
      </c>
      <c r="C6040" s="4" t="s">
        <v>4143</v>
      </c>
      <c r="D6040" s="4" t="s">
        <v>4568</v>
      </c>
      <c r="E6040" s="1" t="str">
        <f>_xlfn.XLOOKUP(tblSales[[#This Row],[Customer ID]],tblCustomers[Customer ID],tblCustomers[Customer Name],"⚠ Unknown")</f>
        <v>Walk-in Customer</v>
      </c>
      <c r="F6040" s="4" t="s">
        <v>7</v>
      </c>
      <c r="G6040" s="1" t="str">
        <f>_xlfn.XLOOKUP(tblSales[[#This Row],[Product Code]],tblProducts[Code],tblProducts[Product / Service Name],"⚠ Unknown")</f>
        <v>Premium Basic T-shirt</v>
      </c>
      <c r="H6040" s="1" t="str">
        <f>_xlfn.XLOOKUP(tblSales[[#This Row],[Product Code]],tblProducts[Code],tblProducts[Category],"")</f>
        <v>Accessories &amp; Basics</v>
      </c>
      <c r="I6040" s="4">
        <v>3</v>
      </c>
      <c r="J6040" s="5">
        <f>_xlfn.XLOOKUP(tblSales[[#This Row],[Product Code]],tblProducts[Code],tblProducts[Selling Price (excl. VAT)],0)</f>
        <v>65000</v>
      </c>
      <c r="K6040" s="5">
        <f>tblSales[[#This Row],[Qty]]*tblSales[[#This Row],[Unit Price]]</f>
        <v>195000</v>
      </c>
      <c r="L6040" s="5">
        <f>ROUND(tblSales[[#This Row],[DPP (excl. VAT)]]*VATEff,0)</f>
        <v>21450</v>
      </c>
      <c r="M6040" s="5">
        <f>tblSales[[#This Row],[DPP (excl. VAT)]]+tblSales[[#This Row],[Output VAT]]</f>
        <v>216450</v>
      </c>
      <c r="N6040" s="5">
        <f>tblSales[[#This Row],[Qty]]*_xlfn.XLOOKUP(tblSales[[#This Row],[Product Code]],tblProducts[Code],tblProducts[Unit Cost],0)</f>
        <v>111000</v>
      </c>
      <c r="O6040" s="4" t="s">
        <v>4865</v>
      </c>
      <c r="P6040" s="4" t="s">
        <v>4860</v>
      </c>
      <c r="Q6040" s="1" t="str">
        <f>_xlfn.XLOOKUP(tblSales[[#This Row],[Channel Code]],tblChannels[Channel Code],tblChannels[Channel Name],"")</f>
        <v>In-store</v>
      </c>
      <c r="R6040" s="1">
        <f>MONTH(tblSales[[#This Row],[Date]])</f>
        <v>12</v>
      </c>
    </row>
    <row r="6041" spans="2:18" x14ac:dyDescent="0.35">
      <c r="B6041" s="113">
        <v>46380</v>
      </c>
      <c r="C6041" s="4" t="s">
        <v>4144</v>
      </c>
      <c r="D6041" s="4" t="s">
        <v>4568</v>
      </c>
      <c r="E6041" s="1" t="str">
        <f>_xlfn.XLOOKUP(tblSales[[#This Row],[Customer ID]],tblCustomers[Customer ID],tblCustomers[Customer Name],"⚠ Unknown")</f>
        <v>Walk-in Customer</v>
      </c>
      <c r="F6041" s="4" t="s">
        <v>9</v>
      </c>
      <c r="G6041" s="1" t="str">
        <f>_xlfn.XLOOKUP(tblSales[[#This Row],[Product Code]],tblProducts[Code],tblProducts[Product / Service Name],"⚠ Unknown")</f>
        <v>Casual Shirt</v>
      </c>
      <c r="H6041" s="1" t="str">
        <f>_xlfn.XLOOKUP(tblSales[[#This Row],[Product Code]],tblProducts[Code],tblProducts[Category],"")</f>
        <v>Apparel &amp; Footwear</v>
      </c>
      <c r="I6041" s="4">
        <v>12</v>
      </c>
      <c r="J6041" s="5">
        <f>_xlfn.XLOOKUP(tblSales[[#This Row],[Product Code]],tblProducts[Code],tblProducts[Selling Price (excl. VAT)],0)</f>
        <v>120000</v>
      </c>
      <c r="K6041" s="5">
        <f>tblSales[[#This Row],[Qty]]*tblSales[[#This Row],[Unit Price]]</f>
        <v>1440000</v>
      </c>
      <c r="L6041" s="5">
        <f>ROUND(tblSales[[#This Row],[DPP (excl. VAT)]]*VATEff,0)</f>
        <v>158400</v>
      </c>
      <c r="M6041" s="5">
        <f>tblSales[[#This Row],[DPP (excl. VAT)]]+tblSales[[#This Row],[Output VAT]]</f>
        <v>1598400</v>
      </c>
      <c r="N6041" s="5">
        <f>tblSales[[#This Row],[Qty]]*_xlfn.XLOOKUP(tblSales[[#This Row],[Product Code]],tblProducts[Code],tblProducts[Unit Cost],0)</f>
        <v>864000</v>
      </c>
      <c r="O6041" s="4" t="s">
        <v>4865</v>
      </c>
      <c r="P6041" s="4" t="s">
        <v>4860</v>
      </c>
      <c r="Q6041" s="1" t="str">
        <f>_xlfn.XLOOKUP(tblSales[[#This Row],[Channel Code]],tblChannels[Channel Code],tblChannels[Channel Name],"")</f>
        <v>In-store</v>
      </c>
      <c r="R6041" s="1">
        <f>MONTH(tblSales[[#This Row],[Date]])</f>
        <v>12</v>
      </c>
    </row>
    <row r="6042" spans="2:18" x14ac:dyDescent="0.35">
      <c r="B6042" s="113">
        <v>46380</v>
      </c>
      <c r="C6042" s="4" t="s">
        <v>4145</v>
      </c>
      <c r="D6042" s="4" t="s">
        <v>4568</v>
      </c>
      <c r="E6042" s="1" t="str">
        <f>_xlfn.XLOOKUP(tblSales[[#This Row],[Customer ID]],tblCustomers[Customer ID],tblCustomers[Customer Name],"⚠ Unknown")</f>
        <v>Walk-in Customer</v>
      </c>
      <c r="F6042" s="4" t="s">
        <v>14</v>
      </c>
      <c r="G6042" s="1" t="str">
        <f>_xlfn.XLOOKUP(tblSales[[#This Row],[Product Code]],tblProducts[Code],tblProducts[Product / Service Name],"⚠ Unknown")</f>
        <v>Smartwatch</v>
      </c>
      <c r="H6042" s="1" t="str">
        <f>_xlfn.XLOOKUP(tblSales[[#This Row],[Product Code]],tblProducts[Code],tblProducts[Category],"")</f>
        <v>Bags &amp; Gadgets</v>
      </c>
      <c r="I6042" s="4">
        <v>2</v>
      </c>
      <c r="J6042" s="5">
        <f>_xlfn.XLOOKUP(tblSales[[#This Row],[Product Code]],tblProducts[Code],tblProducts[Selling Price (excl. VAT)],0)</f>
        <v>850000</v>
      </c>
      <c r="K6042" s="5">
        <f>tblSales[[#This Row],[Qty]]*tblSales[[#This Row],[Unit Price]]</f>
        <v>1700000</v>
      </c>
      <c r="L6042" s="5">
        <f>ROUND(tblSales[[#This Row],[DPP (excl. VAT)]]*VATEff,0)</f>
        <v>187000</v>
      </c>
      <c r="M6042" s="5">
        <f>tblSales[[#This Row],[DPP (excl. VAT)]]+tblSales[[#This Row],[Output VAT]]</f>
        <v>1887000</v>
      </c>
      <c r="N6042" s="5">
        <f>tblSales[[#This Row],[Qty]]*_xlfn.XLOOKUP(tblSales[[#This Row],[Product Code]],tblProducts[Code],tblProducts[Unit Cost],0)</f>
        <v>1120000</v>
      </c>
      <c r="O6042" s="4" t="s">
        <v>4866</v>
      </c>
      <c r="P6042" s="4" t="s">
        <v>4861</v>
      </c>
      <c r="Q6042" s="1" t="str">
        <f>_xlfn.XLOOKUP(tblSales[[#This Row],[Channel Code]],tblChannels[Channel Code],tblChannels[Channel Name],"")</f>
        <v>Marketplace</v>
      </c>
      <c r="R6042" s="1">
        <f>MONTH(tblSales[[#This Row],[Date]])</f>
        <v>12</v>
      </c>
    </row>
    <row r="6043" spans="2:18" x14ac:dyDescent="0.35">
      <c r="B6043" s="113">
        <v>46380</v>
      </c>
      <c r="C6043" s="4" t="s">
        <v>4146</v>
      </c>
      <c r="D6043" s="4" t="s">
        <v>4568</v>
      </c>
      <c r="E6043" s="1" t="str">
        <f>_xlfn.XLOOKUP(tblSales[[#This Row],[Customer ID]],tblCustomers[Customer ID],tblCustomers[Customer Name],"⚠ Unknown")</f>
        <v>Walk-in Customer</v>
      </c>
      <c r="F6043" s="4" t="s">
        <v>14</v>
      </c>
      <c r="G6043" s="1" t="str">
        <f>_xlfn.XLOOKUP(tblSales[[#This Row],[Product Code]],tblProducts[Code],tblProducts[Product / Service Name],"⚠ Unknown")</f>
        <v>Smartwatch</v>
      </c>
      <c r="H6043" s="1" t="str">
        <f>_xlfn.XLOOKUP(tblSales[[#This Row],[Product Code]],tblProducts[Code],tblProducts[Category],"")</f>
        <v>Bags &amp; Gadgets</v>
      </c>
      <c r="I6043" s="4">
        <v>2</v>
      </c>
      <c r="J6043" s="5">
        <f>_xlfn.XLOOKUP(tblSales[[#This Row],[Product Code]],tblProducts[Code],tblProducts[Selling Price (excl. VAT)],0)</f>
        <v>850000</v>
      </c>
      <c r="K6043" s="5">
        <f>tblSales[[#This Row],[Qty]]*tblSales[[#This Row],[Unit Price]]</f>
        <v>1700000</v>
      </c>
      <c r="L6043" s="5">
        <f>ROUND(tblSales[[#This Row],[DPP (excl. VAT)]]*VATEff,0)</f>
        <v>187000</v>
      </c>
      <c r="M6043" s="5">
        <f>tblSales[[#This Row],[DPP (excl. VAT)]]+tblSales[[#This Row],[Output VAT]]</f>
        <v>1887000</v>
      </c>
      <c r="N6043" s="5">
        <f>tblSales[[#This Row],[Qty]]*_xlfn.XLOOKUP(tblSales[[#This Row],[Product Code]],tblProducts[Code],tblProducts[Unit Cost],0)</f>
        <v>1120000</v>
      </c>
      <c r="O6043" s="4" t="s">
        <v>4866</v>
      </c>
      <c r="P6043" s="4" t="s">
        <v>4860</v>
      </c>
      <c r="Q6043" s="1" t="str">
        <f>_xlfn.XLOOKUP(tblSales[[#This Row],[Channel Code]],tblChannels[Channel Code],tblChannels[Channel Name],"")</f>
        <v>In-store</v>
      </c>
      <c r="R6043" s="1">
        <f>MONTH(tblSales[[#This Row],[Date]])</f>
        <v>12</v>
      </c>
    </row>
    <row r="6044" spans="2:18" x14ac:dyDescent="0.35">
      <c r="B6044" s="113">
        <v>46380</v>
      </c>
      <c r="C6044" s="4" t="s">
        <v>4147</v>
      </c>
      <c r="D6044" s="4" t="s">
        <v>4641</v>
      </c>
      <c r="E6044" s="1" t="str">
        <f>_xlfn.XLOOKUP(tblSales[[#This Row],[Customer ID]],tblCustomers[Customer ID],tblCustomers[Customer Name],"⚠ Unknown")</f>
        <v>PT Harmoni Pangan Lestari</v>
      </c>
      <c r="F6044" s="4" t="s">
        <v>12</v>
      </c>
      <c r="G6044" s="1" t="str">
        <f>_xlfn.XLOOKUP(tblSales[[#This Row],[Product Code]],tblProducts[Code],tblProducts[Product / Service Name],"⚠ Unknown")</f>
        <v>Bomber Jacket</v>
      </c>
      <c r="H6044" s="1" t="str">
        <f>_xlfn.XLOOKUP(tblSales[[#This Row],[Product Code]],tblProducts[Code],tblProducts[Category],"")</f>
        <v>Apparel &amp; Footwear</v>
      </c>
      <c r="I6044" s="4">
        <v>24</v>
      </c>
      <c r="J6044" s="5">
        <f>_xlfn.XLOOKUP(tblSales[[#This Row],[Product Code]],tblProducts[Code],tblProducts[Selling Price (excl. VAT)],0)</f>
        <v>350000</v>
      </c>
      <c r="K6044" s="5">
        <f>tblSales[[#This Row],[Qty]]*tblSales[[#This Row],[Unit Price]]</f>
        <v>8400000</v>
      </c>
      <c r="L6044" s="5">
        <f>ROUND(tblSales[[#This Row],[DPP (excl. VAT)]]*VATEff,0)</f>
        <v>924000</v>
      </c>
      <c r="M6044" s="5">
        <f>tblSales[[#This Row],[DPP (excl. VAT)]]+tblSales[[#This Row],[Output VAT]]</f>
        <v>9324000</v>
      </c>
      <c r="N6044" s="5">
        <f>tblSales[[#This Row],[Qty]]*_xlfn.XLOOKUP(tblSales[[#This Row],[Product Code]],tblProducts[Code],tblProducts[Unit Cost],0)</f>
        <v>5040000</v>
      </c>
      <c r="O6044" s="4" t="s">
        <v>4867</v>
      </c>
      <c r="P6044" s="4" t="s">
        <v>4860</v>
      </c>
      <c r="Q6044" s="1" t="str">
        <f>_xlfn.XLOOKUP(tblSales[[#This Row],[Channel Code]],tblChannels[Channel Code],tblChannels[Channel Name],"")</f>
        <v>In-store</v>
      </c>
      <c r="R6044" s="1">
        <f>MONTH(tblSales[[#This Row],[Date]])</f>
        <v>12</v>
      </c>
    </row>
    <row r="6045" spans="2:18" x14ac:dyDescent="0.35">
      <c r="B6045" s="113">
        <v>46380</v>
      </c>
      <c r="C6045" s="4" t="s">
        <v>4148</v>
      </c>
      <c r="D6045" s="4" t="s">
        <v>4568</v>
      </c>
      <c r="E6045" s="1" t="str">
        <f>_xlfn.XLOOKUP(tblSales[[#This Row],[Customer ID]],tblCustomers[Customer ID],tblCustomers[Customer Name],"⚠ Unknown")</f>
        <v>Walk-in Customer</v>
      </c>
      <c r="F6045" s="4" t="s">
        <v>6</v>
      </c>
      <c r="G6045" s="1" t="str">
        <f>_xlfn.XLOOKUP(tblSales[[#This Row],[Product Code]],tblProducts[Code],tblProducts[Product / Service Name],"⚠ Unknown")</f>
        <v>Socks &amp; Accessories</v>
      </c>
      <c r="H6045" s="1" t="str">
        <f>_xlfn.XLOOKUP(tblSales[[#This Row],[Product Code]],tblProducts[Code],tblProducts[Category],"")</f>
        <v>Accessories &amp; Basics</v>
      </c>
      <c r="I6045" s="4">
        <v>7</v>
      </c>
      <c r="J6045" s="5">
        <f>_xlfn.XLOOKUP(tblSales[[#This Row],[Product Code]],tblProducts[Code],tblProducts[Selling Price (excl. VAT)],0)</f>
        <v>45000</v>
      </c>
      <c r="K6045" s="5">
        <f>tblSales[[#This Row],[Qty]]*tblSales[[#This Row],[Unit Price]]</f>
        <v>315000</v>
      </c>
      <c r="L6045" s="5">
        <f>ROUND(tblSales[[#This Row],[DPP (excl. VAT)]]*VATEff,0)</f>
        <v>34650</v>
      </c>
      <c r="M6045" s="5">
        <f>tblSales[[#This Row],[DPP (excl. VAT)]]+tblSales[[#This Row],[Output VAT]]</f>
        <v>349650</v>
      </c>
      <c r="N6045" s="5">
        <f>tblSales[[#This Row],[Qty]]*_xlfn.XLOOKUP(tblSales[[#This Row],[Product Code]],tblProducts[Code],tblProducts[Unit Cost],0)</f>
        <v>168000</v>
      </c>
      <c r="O6045" s="4" t="s">
        <v>4866</v>
      </c>
      <c r="P6045" s="4" t="s">
        <v>4860</v>
      </c>
      <c r="Q6045" s="1" t="str">
        <f>_xlfn.XLOOKUP(tblSales[[#This Row],[Channel Code]],tblChannels[Channel Code],tblChannels[Channel Name],"")</f>
        <v>In-store</v>
      </c>
      <c r="R6045" s="1">
        <f>MONTH(tblSales[[#This Row],[Date]])</f>
        <v>12</v>
      </c>
    </row>
    <row r="6046" spans="2:18" x14ac:dyDescent="0.35">
      <c r="B6046" s="113">
        <v>46380</v>
      </c>
      <c r="C6046" s="4" t="s">
        <v>4148</v>
      </c>
      <c r="D6046" s="4" t="s">
        <v>4568</v>
      </c>
      <c r="E6046" s="1" t="str">
        <f>_xlfn.XLOOKUP(tblSales[[#This Row],[Customer ID]],tblCustomers[Customer ID],tblCustomers[Customer Name],"⚠ Unknown")</f>
        <v>Walk-in Customer</v>
      </c>
      <c r="F6046" s="4" t="s">
        <v>7</v>
      </c>
      <c r="G6046" s="1" t="str">
        <f>_xlfn.XLOOKUP(tblSales[[#This Row],[Product Code]],tblProducts[Code],tblProducts[Product / Service Name],"⚠ Unknown")</f>
        <v>Premium Basic T-shirt</v>
      </c>
      <c r="H6046" s="1" t="str">
        <f>_xlfn.XLOOKUP(tblSales[[#This Row],[Product Code]],tblProducts[Code],tblProducts[Category],"")</f>
        <v>Accessories &amp; Basics</v>
      </c>
      <c r="I6046" s="4">
        <v>7</v>
      </c>
      <c r="J6046" s="5">
        <f>_xlfn.XLOOKUP(tblSales[[#This Row],[Product Code]],tblProducts[Code],tblProducts[Selling Price (excl. VAT)],0)</f>
        <v>65000</v>
      </c>
      <c r="K6046" s="5">
        <f>tblSales[[#This Row],[Qty]]*tblSales[[#This Row],[Unit Price]]</f>
        <v>455000</v>
      </c>
      <c r="L6046" s="5">
        <f>ROUND(tblSales[[#This Row],[DPP (excl. VAT)]]*VATEff,0)</f>
        <v>50050</v>
      </c>
      <c r="M6046" s="5">
        <f>tblSales[[#This Row],[DPP (excl. VAT)]]+tblSales[[#This Row],[Output VAT]]</f>
        <v>505050</v>
      </c>
      <c r="N6046" s="5">
        <f>tblSales[[#This Row],[Qty]]*_xlfn.XLOOKUP(tblSales[[#This Row],[Product Code]],tblProducts[Code],tblProducts[Unit Cost],0)</f>
        <v>259000</v>
      </c>
      <c r="O6046" s="4" t="s">
        <v>4866</v>
      </c>
      <c r="P6046" s="4" t="s">
        <v>4860</v>
      </c>
      <c r="Q6046" s="1" t="str">
        <f>_xlfn.XLOOKUP(tblSales[[#This Row],[Channel Code]],tblChannels[Channel Code],tblChannels[Channel Name],"")</f>
        <v>In-store</v>
      </c>
      <c r="R6046" s="1">
        <f>MONTH(tblSales[[#This Row],[Date]])</f>
        <v>12</v>
      </c>
    </row>
    <row r="6047" spans="2:18" x14ac:dyDescent="0.35">
      <c r="B6047" s="113">
        <v>46380</v>
      </c>
      <c r="C6047" s="4" t="s">
        <v>4149</v>
      </c>
      <c r="D6047" s="4" t="s">
        <v>4568</v>
      </c>
      <c r="E6047" s="1" t="str">
        <f>_xlfn.XLOOKUP(tblSales[[#This Row],[Customer ID]],tblCustomers[Customer ID],tblCustomers[Customer Name],"⚠ Unknown")</f>
        <v>Walk-in Customer</v>
      </c>
      <c r="F6047" s="4" t="s">
        <v>7</v>
      </c>
      <c r="G6047" s="1" t="str">
        <f>_xlfn.XLOOKUP(tblSales[[#This Row],[Product Code]],tblProducts[Code],tblProducts[Product / Service Name],"⚠ Unknown")</f>
        <v>Premium Basic T-shirt</v>
      </c>
      <c r="H6047" s="1" t="str">
        <f>_xlfn.XLOOKUP(tblSales[[#This Row],[Product Code]],tblProducts[Code],tblProducts[Category],"")</f>
        <v>Accessories &amp; Basics</v>
      </c>
      <c r="I6047" s="4">
        <v>6</v>
      </c>
      <c r="J6047" s="5">
        <f>_xlfn.XLOOKUP(tblSales[[#This Row],[Product Code]],tblProducts[Code],tblProducts[Selling Price (excl. VAT)],0)</f>
        <v>65000</v>
      </c>
      <c r="K6047" s="5">
        <f>tblSales[[#This Row],[Qty]]*tblSales[[#This Row],[Unit Price]]</f>
        <v>390000</v>
      </c>
      <c r="L6047" s="5">
        <f>ROUND(tblSales[[#This Row],[DPP (excl. VAT)]]*VATEff,0)</f>
        <v>42900</v>
      </c>
      <c r="M6047" s="5">
        <f>tblSales[[#This Row],[DPP (excl. VAT)]]+tblSales[[#This Row],[Output VAT]]</f>
        <v>432900</v>
      </c>
      <c r="N6047" s="5">
        <f>tblSales[[#This Row],[Qty]]*_xlfn.XLOOKUP(tblSales[[#This Row],[Product Code]],tblProducts[Code],tblProducts[Unit Cost],0)</f>
        <v>222000</v>
      </c>
      <c r="O6047" s="4" t="s">
        <v>4865</v>
      </c>
      <c r="P6047" s="4" t="s">
        <v>4860</v>
      </c>
      <c r="Q6047" s="1" t="str">
        <f>_xlfn.XLOOKUP(tblSales[[#This Row],[Channel Code]],tblChannels[Channel Code],tblChannels[Channel Name],"")</f>
        <v>In-store</v>
      </c>
      <c r="R6047" s="1">
        <f>MONTH(tblSales[[#This Row],[Date]])</f>
        <v>12</v>
      </c>
    </row>
    <row r="6048" spans="2:18" x14ac:dyDescent="0.35">
      <c r="B6048" s="113">
        <v>46380</v>
      </c>
      <c r="C6048" s="4" t="s">
        <v>4150</v>
      </c>
      <c r="D6048" s="4" t="s">
        <v>4568</v>
      </c>
      <c r="E6048" s="1" t="str">
        <f>_xlfn.XLOOKUP(tblSales[[#This Row],[Customer ID]],tblCustomers[Customer ID],tblCustomers[Customer Name],"⚠ Unknown")</f>
        <v>Walk-in Customer</v>
      </c>
      <c r="F6048" s="4" t="s">
        <v>7</v>
      </c>
      <c r="G6048" s="1" t="str">
        <f>_xlfn.XLOOKUP(tblSales[[#This Row],[Product Code]],tblProducts[Code],tblProducts[Product / Service Name],"⚠ Unknown")</f>
        <v>Premium Basic T-shirt</v>
      </c>
      <c r="H6048" s="1" t="str">
        <f>_xlfn.XLOOKUP(tblSales[[#This Row],[Product Code]],tblProducts[Code],tblProducts[Category],"")</f>
        <v>Accessories &amp; Basics</v>
      </c>
      <c r="I6048" s="4">
        <v>9</v>
      </c>
      <c r="J6048" s="5">
        <f>_xlfn.XLOOKUP(tblSales[[#This Row],[Product Code]],tblProducts[Code],tblProducts[Selling Price (excl. VAT)],0)</f>
        <v>65000</v>
      </c>
      <c r="K6048" s="5">
        <f>tblSales[[#This Row],[Qty]]*tblSales[[#This Row],[Unit Price]]</f>
        <v>585000</v>
      </c>
      <c r="L6048" s="5">
        <f>ROUND(tblSales[[#This Row],[DPP (excl. VAT)]]*VATEff,0)</f>
        <v>64350</v>
      </c>
      <c r="M6048" s="5">
        <f>tblSales[[#This Row],[DPP (excl. VAT)]]+tblSales[[#This Row],[Output VAT]]</f>
        <v>649350</v>
      </c>
      <c r="N6048" s="5">
        <f>tblSales[[#This Row],[Qty]]*_xlfn.XLOOKUP(tblSales[[#This Row],[Product Code]],tblProducts[Code],tblProducts[Unit Cost],0)</f>
        <v>333000</v>
      </c>
      <c r="O6048" s="4" t="s">
        <v>4866</v>
      </c>
      <c r="P6048" s="4" t="s">
        <v>4860</v>
      </c>
      <c r="Q6048" s="1" t="str">
        <f>_xlfn.XLOOKUP(tblSales[[#This Row],[Channel Code]],tblChannels[Channel Code],tblChannels[Channel Name],"")</f>
        <v>In-store</v>
      </c>
      <c r="R6048" s="1">
        <f>MONTH(tblSales[[#This Row],[Date]])</f>
        <v>12</v>
      </c>
    </row>
    <row r="6049" spans="2:18" x14ac:dyDescent="0.35">
      <c r="B6049" s="113">
        <v>46380</v>
      </c>
      <c r="C6049" s="4" t="s">
        <v>4151</v>
      </c>
      <c r="D6049" s="4" t="s">
        <v>4568</v>
      </c>
      <c r="E6049" s="1" t="str">
        <f>_xlfn.XLOOKUP(tblSales[[#This Row],[Customer ID]],tblCustomers[Customer ID],tblCustomers[Customer Name],"⚠ Unknown")</f>
        <v>Walk-in Customer</v>
      </c>
      <c r="F6049" s="4" t="s">
        <v>8</v>
      </c>
      <c r="G6049" s="1" t="str">
        <f>_xlfn.XLOOKUP(tblSales[[#This Row],[Product Code]],tblProducts[Code],tblProducts[Product / Service Name],"⚠ Unknown")</f>
        <v>Casual Shorts</v>
      </c>
      <c r="H6049" s="1" t="str">
        <f>_xlfn.XLOOKUP(tblSales[[#This Row],[Product Code]],tblProducts[Code],tblProducts[Category],"")</f>
        <v>Accessories &amp; Basics</v>
      </c>
      <c r="I6049" s="4">
        <v>9</v>
      </c>
      <c r="J6049" s="5">
        <f>_xlfn.XLOOKUP(tblSales[[#This Row],[Product Code]],tblProducts[Code],tblProducts[Selling Price (excl. VAT)],0)</f>
        <v>85000</v>
      </c>
      <c r="K6049" s="5">
        <f>tblSales[[#This Row],[Qty]]*tblSales[[#This Row],[Unit Price]]</f>
        <v>765000</v>
      </c>
      <c r="L6049" s="5">
        <f>ROUND(tblSales[[#This Row],[DPP (excl. VAT)]]*VATEff,0)</f>
        <v>84150</v>
      </c>
      <c r="M6049" s="5">
        <f>tblSales[[#This Row],[DPP (excl. VAT)]]+tblSales[[#This Row],[Output VAT]]</f>
        <v>849150</v>
      </c>
      <c r="N6049" s="5">
        <f>tblSales[[#This Row],[Qty]]*_xlfn.XLOOKUP(tblSales[[#This Row],[Product Code]],tblProducts[Code],tblProducts[Unit Cost],0)</f>
        <v>450000</v>
      </c>
      <c r="O6049" s="4" t="s">
        <v>4866</v>
      </c>
      <c r="P6049" s="4" t="s">
        <v>4860</v>
      </c>
      <c r="Q6049" s="1" t="str">
        <f>_xlfn.XLOOKUP(tblSales[[#This Row],[Channel Code]],tblChannels[Channel Code],tblChannels[Channel Name],"")</f>
        <v>In-store</v>
      </c>
      <c r="R6049" s="1">
        <f>MONTH(tblSales[[#This Row],[Date]])</f>
        <v>12</v>
      </c>
    </row>
    <row r="6050" spans="2:18" x14ac:dyDescent="0.35">
      <c r="B6050" s="113">
        <v>46380</v>
      </c>
      <c r="C6050" s="4" t="s">
        <v>4152</v>
      </c>
      <c r="D6050" s="4" t="s">
        <v>4613</v>
      </c>
      <c r="E6050" s="1" t="str">
        <f>_xlfn.XLOOKUP(tblSales[[#This Row],[Customer ID]],tblCustomers[Customer ID],tblCustomers[Customer Name],"⚠ Unknown")</f>
        <v>PT Mega Prima Distribusi</v>
      </c>
      <c r="F6050" s="4" t="s">
        <v>7</v>
      </c>
      <c r="G6050" s="1" t="str">
        <f>_xlfn.XLOOKUP(tblSales[[#This Row],[Product Code]],tblProducts[Code],tblProducts[Product / Service Name],"⚠ Unknown")</f>
        <v>Premium Basic T-shirt</v>
      </c>
      <c r="H6050" s="1" t="str">
        <f>_xlfn.XLOOKUP(tblSales[[#This Row],[Product Code]],tblProducts[Code],tblProducts[Category],"")</f>
        <v>Accessories &amp; Basics</v>
      </c>
      <c r="I6050" s="4">
        <v>48</v>
      </c>
      <c r="J6050" s="5">
        <f>_xlfn.XLOOKUP(tblSales[[#This Row],[Product Code]],tblProducts[Code],tblProducts[Selling Price (excl. VAT)],0)</f>
        <v>65000</v>
      </c>
      <c r="K6050" s="5">
        <f>tblSales[[#This Row],[Qty]]*tblSales[[#This Row],[Unit Price]]</f>
        <v>3120000</v>
      </c>
      <c r="L6050" s="5">
        <f>ROUND(tblSales[[#This Row],[DPP (excl. VAT)]]*VATEff,0)</f>
        <v>343200</v>
      </c>
      <c r="M6050" s="5">
        <f>tblSales[[#This Row],[DPP (excl. VAT)]]+tblSales[[#This Row],[Output VAT]]</f>
        <v>3463200</v>
      </c>
      <c r="N6050" s="5">
        <f>tblSales[[#This Row],[Qty]]*_xlfn.XLOOKUP(tblSales[[#This Row],[Product Code]],tblProducts[Code],tblProducts[Unit Cost],0)</f>
        <v>1776000</v>
      </c>
      <c r="O6050" s="4" t="s">
        <v>4867</v>
      </c>
      <c r="P6050" s="4" t="s">
        <v>4860</v>
      </c>
      <c r="Q6050" s="1" t="str">
        <f>_xlfn.XLOOKUP(tblSales[[#This Row],[Channel Code]],tblChannels[Channel Code],tblChannels[Channel Name],"")</f>
        <v>In-store</v>
      </c>
      <c r="R6050" s="1">
        <f>MONTH(tblSales[[#This Row],[Date]])</f>
        <v>12</v>
      </c>
    </row>
    <row r="6051" spans="2:18" x14ac:dyDescent="0.35">
      <c r="B6051" s="113">
        <v>46380</v>
      </c>
      <c r="C6051" s="4" t="s">
        <v>4153</v>
      </c>
      <c r="D6051" s="4" t="s">
        <v>4568</v>
      </c>
      <c r="E6051" s="1" t="str">
        <f>_xlfn.XLOOKUP(tblSales[[#This Row],[Customer ID]],tblCustomers[Customer ID],tblCustomers[Customer Name],"⚠ Unknown")</f>
        <v>Walk-in Customer</v>
      </c>
      <c r="F6051" s="4" t="s">
        <v>10</v>
      </c>
      <c r="G6051" s="1" t="str">
        <f>_xlfn.XLOOKUP(tblSales[[#This Row],[Product Code]],tblProducts[Code],tblProducts[Product / Service Name],"⚠ Unknown")</f>
        <v>Chino Pants</v>
      </c>
      <c r="H6051" s="1" t="str">
        <f>_xlfn.XLOOKUP(tblSales[[#This Row],[Product Code]],tblProducts[Code],tblProducts[Category],"")</f>
        <v>Apparel &amp; Footwear</v>
      </c>
      <c r="I6051" s="4">
        <v>8</v>
      </c>
      <c r="J6051" s="5">
        <f>_xlfn.XLOOKUP(tblSales[[#This Row],[Product Code]],tblProducts[Code],tblProducts[Selling Price (excl. VAT)],0)</f>
        <v>150000</v>
      </c>
      <c r="K6051" s="5">
        <f>tblSales[[#This Row],[Qty]]*tblSales[[#This Row],[Unit Price]]</f>
        <v>1200000</v>
      </c>
      <c r="L6051" s="5">
        <f>ROUND(tblSales[[#This Row],[DPP (excl. VAT)]]*VATEff,0)</f>
        <v>132000</v>
      </c>
      <c r="M6051" s="5">
        <f>tblSales[[#This Row],[DPP (excl. VAT)]]+tblSales[[#This Row],[Output VAT]]</f>
        <v>1332000</v>
      </c>
      <c r="N6051" s="5">
        <f>tblSales[[#This Row],[Qty]]*_xlfn.XLOOKUP(tblSales[[#This Row],[Product Code]],tblProducts[Code],tblProducts[Unit Cost],0)</f>
        <v>704000</v>
      </c>
      <c r="O6051" s="4" t="s">
        <v>4865</v>
      </c>
      <c r="P6051" s="4" t="s">
        <v>4860</v>
      </c>
      <c r="Q6051" s="1" t="str">
        <f>_xlfn.XLOOKUP(tblSales[[#This Row],[Channel Code]],tblChannels[Channel Code],tblChannels[Channel Name],"")</f>
        <v>In-store</v>
      </c>
      <c r="R6051" s="1">
        <f>MONTH(tblSales[[#This Row],[Date]])</f>
        <v>12</v>
      </c>
    </row>
    <row r="6052" spans="2:18" x14ac:dyDescent="0.35">
      <c r="B6052" s="113">
        <v>46380</v>
      </c>
      <c r="C6052" s="4" t="s">
        <v>4154</v>
      </c>
      <c r="D6052" s="4" t="s">
        <v>4568</v>
      </c>
      <c r="E6052" s="1" t="str">
        <f>_xlfn.XLOOKUP(tblSales[[#This Row],[Customer ID]],tblCustomers[Customer ID],tblCustomers[Customer Name],"⚠ Unknown")</f>
        <v>Walk-in Customer</v>
      </c>
      <c r="F6052" s="4" t="s">
        <v>7</v>
      </c>
      <c r="G6052" s="1" t="str">
        <f>_xlfn.XLOOKUP(tblSales[[#This Row],[Product Code]],tblProducts[Code],tblProducts[Product / Service Name],"⚠ Unknown")</f>
        <v>Premium Basic T-shirt</v>
      </c>
      <c r="H6052" s="1" t="str">
        <f>_xlfn.XLOOKUP(tblSales[[#This Row],[Product Code]],tblProducts[Code],tblProducts[Category],"")</f>
        <v>Accessories &amp; Basics</v>
      </c>
      <c r="I6052" s="4">
        <v>4</v>
      </c>
      <c r="J6052" s="5">
        <f>_xlfn.XLOOKUP(tblSales[[#This Row],[Product Code]],tblProducts[Code],tblProducts[Selling Price (excl. VAT)],0)</f>
        <v>65000</v>
      </c>
      <c r="K6052" s="5">
        <f>tblSales[[#This Row],[Qty]]*tblSales[[#This Row],[Unit Price]]</f>
        <v>260000</v>
      </c>
      <c r="L6052" s="5">
        <f>ROUND(tblSales[[#This Row],[DPP (excl. VAT)]]*VATEff,0)</f>
        <v>28600</v>
      </c>
      <c r="M6052" s="5">
        <f>tblSales[[#This Row],[DPP (excl. VAT)]]+tblSales[[#This Row],[Output VAT]]</f>
        <v>288600</v>
      </c>
      <c r="N6052" s="5">
        <f>tblSales[[#This Row],[Qty]]*_xlfn.XLOOKUP(tblSales[[#This Row],[Product Code]],tblProducts[Code],tblProducts[Unit Cost],0)</f>
        <v>148000</v>
      </c>
      <c r="O6052" s="4" t="s">
        <v>4865</v>
      </c>
      <c r="P6052" s="4" t="s">
        <v>4860</v>
      </c>
      <c r="Q6052" s="1" t="str">
        <f>_xlfn.XLOOKUP(tblSales[[#This Row],[Channel Code]],tblChannels[Channel Code],tblChannels[Channel Name],"")</f>
        <v>In-store</v>
      </c>
      <c r="R6052" s="1">
        <f>MONTH(tblSales[[#This Row],[Date]])</f>
        <v>12</v>
      </c>
    </row>
    <row r="6053" spans="2:18" x14ac:dyDescent="0.35">
      <c r="B6053" s="113">
        <v>46380</v>
      </c>
      <c r="C6053" s="4" t="s">
        <v>4154</v>
      </c>
      <c r="D6053" s="4" t="s">
        <v>4568</v>
      </c>
      <c r="E6053" s="1" t="str">
        <f>_xlfn.XLOOKUP(tblSales[[#This Row],[Customer ID]],tblCustomers[Customer ID],tblCustomers[Customer Name],"⚠ Unknown")</f>
        <v>Walk-in Customer</v>
      </c>
      <c r="F6053" s="4" t="s">
        <v>10</v>
      </c>
      <c r="G6053" s="1" t="str">
        <f>_xlfn.XLOOKUP(tblSales[[#This Row],[Product Code]],tblProducts[Code],tblProducts[Product / Service Name],"⚠ Unknown")</f>
        <v>Chino Pants</v>
      </c>
      <c r="H6053" s="1" t="str">
        <f>_xlfn.XLOOKUP(tblSales[[#This Row],[Product Code]],tblProducts[Code],tblProducts[Category],"")</f>
        <v>Apparel &amp; Footwear</v>
      </c>
      <c r="I6053" s="4">
        <v>5</v>
      </c>
      <c r="J6053" s="5">
        <f>_xlfn.XLOOKUP(tblSales[[#This Row],[Product Code]],tblProducts[Code],tblProducts[Selling Price (excl. VAT)],0)</f>
        <v>150000</v>
      </c>
      <c r="K6053" s="5">
        <f>tblSales[[#This Row],[Qty]]*tblSales[[#This Row],[Unit Price]]</f>
        <v>750000</v>
      </c>
      <c r="L6053" s="5">
        <f>ROUND(tblSales[[#This Row],[DPP (excl. VAT)]]*VATEff,0)</f>
        <v>82500</v>
      </c>
      <c r="M6053" s="5">
        <f>tblSales[[#This Row],[DPP (excl. VAT)]]+tblSales[[#This Row],[Output VAT]]</f>
        <v>832500</v>
      </c>
      <c r="N6053" s="5">
        <f>tblSales[[#This Row],[Qty]]*_xlfn.XLOOKUP(tblSales[[#This Row],[Product Code]],tblProducts[Code],tblProducts[Unit Cost],0)</f>
        <v>440000</v>
      </c>
      <c r="O6053" s="4" t="s">
        <v>4865</v>
      </c>
      <c r="P6053" s="4" t="s">
        <v>4860</v>
      </c>
      <c r="Q6053" s="1" t="str">
        <f>_xlfn.XLOOKUP(tblSales[[#This Row],[Channel Code]],tblChannels[Channel Code],tblChannels[Channel Name],"")</f>
        <v>In-store</v>
      </c>
      <c r="R6053" s="1">
        <f>MONTH(tblSales[[#This Row],[Date]])</f>
        <v>12</v>
      </c>
    </row>
    <row r="6054" spans="2:18" x14ac:dyDescent="0.35">
      <c r="B6054" s="113">
        <v>46380</v>
      </c>
      <c r="C6054" s="4" t="s">
        <v>4155</v>
      </c>
      <c r="D6054" s="4" t="s">
        <v>4568</v>
      </c>
      <c r="E6054" s="1" t="str">
        <f>_xlfn.XLOOKUP(tblSales[[#This Row],[Customer ID]],tblCustomers[Customer ID],tblCustomers[Customer Name],"⚠ Unknown")</f>
        <v>Walk-in Customer</v>
      </c>
      <c r="F6054" s="4" t="s">
        <v>11</v>
      </c>
      <c r="G6054" s="1" t="str">
        <f>_xlfn.XLOOKUP(tblSales[[#This Row],[Product Code]],tblProducts[Code],tblProducts[Product / Service Name],"⚠ Unknown")</f>
        <v>Sneakers</v>
      </c>
      <c r="H6054" s="1" t="str">
        <f>_xlfn.XLOOKUP(tblSales[[#This Row],[Product Code]],tblProducts[Code],tblProducts[Category],"")</f>
        <v>Apparel &amp; Footwear</v>
      </c>
      <c r="I6054" s="4">
        <v>4</v>
      </c>
      <c r="J6054" s="5">
        <f>_xlfn.XLOOKUP(tblSales[[#This Row],[Product Code]],tblProducts[Code],tblProducts[Selling Price (excl. VAT)],0)</f>
        <v>250000</v>
      </c>
      <c r="K6054" s="5">
        <f>tblSales[[#This Row],[Qty]]*tblSales[[#This Row],[Unit Price]]</f>
        <v>1000000</v>
      </c>
      <c r="L6054" s="5">
        <f>ROUND(tblSales[[#This Row],[DPP (excl. VAT)]]*VATEff,0)</f>
        <v>110000</v>
      </c>
      <c r="M6054" s="5">
        <f>tblSales[[#This Row],[DPP (excl. VAT)]]+tblSales[[#This Row],[Output VAT]]</f>
        <v>1110000</v>
      </c>
      <c r="N6054" s="5">
        <f>tblSales[[#This Row],[Qty]]*_xlfn.XLOOKUP(tblSales[[#This Row],[Product Code]],tblProducts[Code],tblProducts[Unit Cost],0)</f>
        <v>620000</v>
      </c>
      <c r="O6054" s="4" t="s">
        <v>4866</v>
      </c>
      <c r="P6054" s="4" t="s">
        <v>4861</v>
      </c>
      <c r="Q6054" s="1" t="str">
        <f>_xlfn.XLOOKUP(tblSales[[#This Row],[Channel Code]],tblChannels[Channel Code],tblChannels[Channel Name],"")</f>
        <v>Marketplace</v>
      </c>
      <c r="R6054" s="1">
        <f>MONTH(tblSales[[#This Row],[Date]])</f>
        <v>12</v>
      </c>
    </row>
    <row r="6055" spans="2:18" x14ac:dyDescent="0.35">
      <c r="B6055" s="113">
        <v>46380</v>
      </c>
      <c r="C6055" s="4" t="s">
        <v>4156</v>
      </c>
      <c r="D6055" s="4" t="s">
        <v>4568</v>
      </c>
      <c r="E6055" s="1" t="str">
        <f>_xlfn.XLOOKUP(tblSales[[#This Row],[Customer ID]],tblCustomers[Customer ID],tblCustomers[Customer Name],"⚠ Unknown")</f>
        <v>Walk-in Customer</v>
      </c>
      <c r="F6055" s="4" t="s">
        <v>8</v>
      </c>
      <c r="G6055" s="1" t="str">
        <f>_xlfn.XLOOKUP(tblSales[[#This Row],[Product Code]],tblProducts[Code],tblProducts[Product / Service Name],"⚠ Unknown")</f>
        <v>Casual Shorts</v>
      </c>
      <c r="H6055" s="1" t="str">
        <f>_xlfn.XLOOKUP(tblSales[[#This Row],[Product Code]],tblProducts[Code],tblProducts[Category],"")</f>
        <v>Accessories &amp; Basics</v>
      </c>
      <c r="I6055" s="4">
        <v>10</v>
      </c>
      <c r="J6055" s="5">
        <f>_xlfn.XLOOKUP(tblSales[[#This Row],[Product Code]],tblProducts[Code],tblProducts[Selling Price (excl. VAT)],0)</f>
        <v>85000</v>
      </c>
      <c r="K6055" s="5">
        <f>tblSales[[#This Row],[Qty]]*tblSales[[#This Row],[Unit Price]]</f>
        <v>850000</v>
      </c>
      <c r="L6055" s="5">
        <f>ROUND(tblSales[[#This Row],[DPP (excl. VAT)]]*VATEff,0)</f>
        <v>93500</v>
      </c>
      <c r="M6055" s="5">
        <f>tblSales[[#This Row],[DPP (excl. VAT)]]+tblSales[[#This Row],[Output VAT]]</f>
        <v>943500</v>
      </c>
      <c r="N6055" s="5">
        <f>tblSales[[#This Row],[Qty]]*_xlfn.XLOOKUP(tblSales[[#This Row],[Product Code]],tblProducts[Code],tblProducts[Unit Cost],0)</f>
        <v>500000</v>
      </c>
      <c r="O6055" s="4" t="s">
        <v>4865</v>
      </c>
      <c r="P6055" s="4" t="s">
        <v>4860</v>
      </c>
      <c r="Q6055" s="1" t="str">
        <f>_xlfn.XLOOKUP(tblSales[[#This Row],[Channel Code]],tblChannels[Channel Code],tblChannels[Channel Name],"")</f>
        <v>In-store</v>
      </c>
      <c r="R6055" s="1">
        <f>MONTH(tblSales[[#This Row],[Date]])</f>
        <v>12</v>
      </c>
    </row>
    <row r="6056" spans="2:18" x14ac:dyDescent="0.35">
      <c r="B6056" s="113">
        <v>46381</v>
      </c>
      <c r="C6056" s="4" t="s">
        <v>4157</v>
      </c>
      <c r="D6056" s="4" t="s">
        <v>4568</v>
      </c>
      <c r="E6056" s="1" t="str">
        <f>_xlfn.XLOOKUP(tblSales[[#This Row],[Customer ID]],tblCustomers[Customer ID],tblCustomers[Customer Name],"⚠ Unknown")</f>
        <v>Walk-in Customer</v>
      </c>
      <c r="F6056" s="4" t="s">
        <v>6</v>
      </c>
      <c r="G6056" s="1" t="str">
        <f>_xlfn.XLOOKUP(tblSales[[#This Row],[Product Code]],tblProducts[Code],tblProducts[Product / Service Name],"⚠ Unknown")</f>
        <v>Socks &amp; Accessories</v>
      </c>
      <c r="H6056" s="1" t="str">
        <f>_xlfn.XLOOKUP(tblSales[[#This Row],[Product Code]],tblProducts[Code],tblProducts[Category],"")</f>
        <v>Accessories &amp; Basics</v>
      </c>
      <c r="I6056" s="4">
        <v>11</v>
      </c>
      <c r="J6056" s="5">
        <f>_xlfn.XLOOKUP(tblSales[[#This Row],[Product Code]],tblProducts[Code],tblProducts[Selling Price (excl. VAT)],0)</f>
        <v>45000</v>
      </c>
      <c r="K6056" s="5">
        <f>tblSales[[#This Row],[Qty]]*tblSales[[#This Row],[Unit Price]]</f>
        <v>495000</v>
      </c>
      <c r="L6056" s="5">
        <f>ROUND(tblSales[[#This Row],[DPP (excl. VAT)]]*VATEff,0)</f>
        <v>54450</v>
      </c>
      <c r="M6056" s="5">
        <f>tblSales[[#This Row],[DPP (excl. VAT)]]+tblSales[[#This Row],[Output VAT]]</f>
        <v>549450</v>
      </c>
      <c r="N6056" s="5">
        <f>tblSales[[#This Row],[Qty]]*_xlfn.XLOOKUP(tblSales[[#This Row],[Product Code]],tblProducts[Code],tblProducts[Unit Cost],0)</f>
        <v>264000</v>
      </c>
      <c r="O6056" s="4" t="s">
        <v>4866</v>
      </c>
      <c r="P6056" s="4" t="s">
        <v>4861</v>
      </c>
      <c r="Q6056" s="1" t="str">
        <f>_xlfn.XLOOKUP(tblSales[[#This Row],[Channel Code]],tblChannels[Channel Code],tblChannels[Channel Name],"")</f>
        <v>Marketplace</v>
      </c>
      <c r="R6056" s="1">
        <f>MONTH(tblSales[[#This Row],[Date]])</f>
        <v>12</v>
      </c>
    </row>
    <row r="6057" spans="2:18" x14ac:dyDescent="0.35">
      <c r="B6057" s="113">
        <v>46381</v>
      </c>
      <c r="C6057" s="4" t="s">
        <v>4158</v>
      </c>
      <c r="D6057" s="4" t="s">
        <v>4634</v>
      </c>
      <c r="E6057" s="1" t="str">
        <f>_xlfn.XLOOKUP(tblSales[[#This Row],[Customer ID]],tblCustomers[Customer ID],tblCustomers[Customer Name],"⚠ Unknown")</f>
        <v>PT Delta Inti Selaras</v>
      </c>
      <c r="F6057" s="4" t="s">
        <v>10</v>
      </c>
      <c r="G6057" s="1" t="str">
        <f>_xlfn.XLOOKUP(tblSales[[#This Row],[Product Code]],tblProducts[Code],tblProducts[Product / Service Name],"⚠ Unknown")</f>
        <v>Chino Pants</v>
      </c>
      <c r="H6057" s="1" t="str">
        <f>_xlfn.XLOOKUP(tblSales[[#This Row],[Product Code]],tblProducts[Code],tblProducts[Category],"")</f>
        <v>Apparel &amp; Footwear</v>
      </c>
      <c r="I6057" s="4">
        <v>40</v>
      </c>
      <c r="J6057" s="5">
        <f>_xlfn.XLOOKUP(tblSales[[#This Row],[Product Code]],tblProducts[Code],tblProducts[Selling Price (excl. VAT)],0)</f>
        <v>150000</v>
      </c>
      <c r="K6057" s="5">
        <f>tblSales[[#This Row],[Qty]]*tblSales[[#This Row],[Unit Price]]</f>
        <v>6000000</v>
      </c>
      <c r="L6057" s="5">
        <f>ROUND(tblSales[[#This Row],[DPP (excl. VAT)]]*VATEff,0)</f>
        <v>660000</v>
      </c>
      <c r="M6057" s="5">
        <f>tblSales[[#This Row],[DPP (excl. VAT)]]+tblSales[[#This Row],[Output VAT]]</f>
        <v>6660000</v>
      </c>
      <c r="N6057" s="5">
        <f>tblSales[[#This Row],[Qty]]*_xlfn.XLOOKUP(tblSales[[#This Row],[Product Code]],tblProducts[Code],tblProducts[Unit Cost],0)</f>
        <v>3520000</v>
      </c>
      <c r="O6057" s="4" t="s">
        <v>4867</v>
      </c>
      <c r="P6057" s="4" t="s">
        <v>4860</v>
      </c>
      <c r="Q6057" s="1" t="str">
        <f>_xlfn.XLOOKUP(tblSales[[#This Row],[Channel Code]],tblChannels[Channel Code],tblChannels[Channel Name],"")</f>
        <v>In-store</v>
      </c>
      <c r="R6057" s="1">
        <f>MONTH(tblSales[[#This Row],[Date]])</f>
        <v>12</v>
      </c>
    </row>
    <row r="6058" spans="2:18" x14ac:dyDescent="0.35">
      <c r="B6058" s="113">
        <v>46381</v>
      </c>
      <c r="C6058" s="4" t="s">
        <v>4159</v>
      </c>
      <c r="D6058" s="4" t="s">
        <v>4568</v>
      </c>
      <c r="E6058" s="1" t="str">
        <f>_xlfn.XLOOKUP(tblSales[[#This Row],[Customer ID]],tblCustomers[Customer ID],tblCustomers[Customer Name],"⚠ Unknown")</f>
        <v>Walk-in Customer</v>
      </c>
      <c r="F6058" s="4" t="s">
        <v>6</v>
      </c>
      <c r="G6058" s="1" t="str">
        <f>_xlfn.XLOOKUP(tblSales[[#This Row],[Product Code]],tblProducts[Code],tblProducts[Product / Service Name],"⚠ Unknown")</f>
        <v>Socks &amp; Accessories</v>
      </c>
      <c r="H6058" s="1" t="str">
        <f>_xlfn.XLOOKUP(tblSales[[#This Row],[Product Code]],tblProducts[Code],tblProducts[Category],"")</f>
        <v>Accessories &amp; Basics</v>
      </c>
      <c r="I6058" s="4">
        <v>10</v>
      </c>
      <c r="J6058" s="5">
        <f>_xlfn.XLOOKUP(tblSales[[#This Row],[Product Code]],tblProducts[Code],tblProducts[Selling Price (excl. VAT)],0)</f>
        <v>45000</v>
      </c>
      <c r="K6058" s="5">
        <f>tblSales[[#This Row],[Qty]]*tblSales[[#This Row],[Unit Price]]</f>
        <v>450000</v>
      </c>
      <c r="L6058" s="5">
        <f>ROUND(tblSales[[#This Row],[DPP (excl. VAT)]]*VATEff,0)</f>
        <v>49500</v>
      </c>
      <c r="M6058" s="5">
        <f>tblSales[[#This Row],[DPP (excl. VAT)]]+tblSales[[#This Row],[Output VAT]]</f>
        <v>499500</v>
      </c>
      <c r="N6058" s="5">
        <f>tblSales[[#This Row],[Qty]]*_xlfn.XLOOKUP(tblSales[[#This Row],[Product Code]],tblProducts[Code],tblProducts[Unit Cost],0)</f>
        <v>240000</v>
      </c>
      <c r="O6058" s="4" t="s">
        <v>4865</v>
      </c>
      <c r="P6058" s="4" t="s">
        <v>4860</v>
      </c>
      <c r="Q6058" s="1" t="str">
        <f>_xlfn.XLOOKUP(tblSales[[#This Row],[Channel Code]],tblChannels[Channel Code],tblChannels[Channel Name],"")</f>
        <v>In-store</v>
      </c>
      <c r="R6058" s="1">
        <f>MONTH(tblSales[[#This Row],[Date]])</f>
        <v>12</v>
      </c>
    </row>
    <row r="6059" spans="2:18" x14ac:dyDescent="0.35">
      <c r="B6059" s="113">
        <v>46381</v>
      </c>
      <c r="C6059" s="4" t="s">
        <v>4159</v>
      </c>
      <c r="D6059" s="4" t="s">
        <v>4568</v>
      </c>
      <c r="E6059" s="1" t="str">
        <f>_xlfn.XLOOKUP(tblSales[[#This Row],[Customer ID]],tblCustomers[Customer ID],tblCustomers[Customer Name],"⚠ Unknown")</f>
        <v>Walk-in Customer</v>
      </c>
      <c r="F6059" s="4" t="s">
        <v>7</v>
      </c>
      <c r="G6059" s="1" t="str">
        <f>_xlfn.XLOOKUP(tblSales[[#This Row],[Product Code]],tblProducts[Code],tblProducts[Product / Service Name],"⚠ Unknown")</f>
        <v>Premium Basic T-shirt</v>
      </c>
      <c r="H6059" s="1" t="str">
        <f>_xlfn.XLOOKUP(tblSales[[#This Row],[Product Code]],tblProducts[Code],tblProducts[Category],"")</f>
        <v>Accessories &amp; Basics</v>
      </c>
      <c r="I6059" s="4">
        <v>5</v>
      </c>
      <c r="J6059" s="5">
        <f>_xlfn.XLOOKUP(tblSales[[#This Row],[Product Code]],tblProducts[Code],tblProducts[Selling Price (excl. VAT)],0)</f>
        <v>65000</v>
      </c>
      <c r="K6059" s="5">
        <f>tblSales[[#This Row],[Qty]]*tblSales[[#This Row],[Unit Price]]</f>
        <v>325000</v>
      </c>
      <c r="L6059" s="5">
        <f>ROUND(tblSales[[#This Row],[DPP (excl. VAT)]]*VATEff,0)</f>
        <v>35750</v>
      </c>
      <c r="M6059" s="5">
        <f>tblSales[[#This Row],[DPP (excl. VAT)]]+tblSales[[#This Row],[Output VAT]]</f>
        <v>360750</v>
      </c>
      <c r="N6059" s="5">
        <f>tblSales[[#This Row],[Qty]]*_xlfn.XLOOKUP(tblSales[[#This Row],[Product Code]],tblProducts[Code],tblProducts[Unit Cost],0)</f>
        <v>185000</v>
      </c>
      <c r="O6059" s="4" t="s">
        <v>4865</v>
      </c>
      <c r="P6059" s="4" t="s">
        <v>4860</v>
      </c>
      <c r="Q6059" s="1" t="str">
        <f>_xlfn.XLOOKUP(tblSales[[#This Row],[Channel Code]],tblChannels[Channel Code],tblChannels[Channel Name],"")</f>
        <v>In-store</v>
      </c>
      <c r="R6059" s="1">
        <f>MONTH(tblSales[[#This Row],[Date]])</f>
        <v>12</v>
      </c>
    </row>
    <row r="6060" spans="2:18" x14ac:dyDescent="0.35">
      <c r="B6060" s="113">
        <v>46381</v>
      </c>
      <c r="C6060" s="4" t="s">
        <v>4160</v>
      </c>
      <c r="D6060" s="4" t="s">
        <v>4568</v>
      </c>
      <c r="E6060" s="1" t="str">
        <f>_xlfn.XLOOKUP(tblSales[[#This Row],[Customer ID]],tblCustomers[Customer ID],tblCustomers[Customer Name],"⚠ Unknown")</f>
        <v>Walk-in Customer</v>
      </c>
      <c r="F6060" s="4" t="s">
        <v>9</v>
      </c>
      <c r="G6060" s="1" t="str">
        <f>_xlfn.XLOOKUP(tblSales[[#This Row],[Product Code]],tblProducts[Code],tblProducts[Product / Service Name],"⚠ Unknown")</f>
        <v>Casual Shirt</v>
      </c>
      <c r="H6060" s="1" t="str">
        <f>_xlfn.XLOOKUP(tblSales[[#This Row],[Product Code]],tblProducts[Code],tblProducts[Category],"")</f>
        <v>Apparel &amp; Footwear</v>
      </c>
      <c r="I6060" s="4">
        <v>8</v>
      </c>
      <c r="J6060" s="5">
        <f>_xlfn.XLOOKUP(tblSales[[#This Row],[Product Code]],tblProducts[Code],tblProducts[Selling Price (excl. VAT)],0)</f>
        <v>120000</v>
      </c>
      <c r="K6060" s="5">
        <f>tblSales[[#This Row],[Qty]]*tblSales[[#This Row],[Unit Price]]</f>
        <v>960000</v>
      </c>
      <c r="L6060" s="5">
        <f>ROUND(tblSales[[#This Row],[DPP (excl. VAT)]]*VATEff,0)</f>
        <v>105600</v>
      </c>
      <c r="M6060" s="5">
        <f>tblSales[[#This Row],[DPP (excl. VAT)]]+tblSales[[#This Row],[Output VAT]]</f>
        <v>1065600</v>
      </c>
      <c r="N6060" s="5">
        <f>tblSales[[#This Row],[Qty]]*_xlfn.XLOOKUP(tblSales[[#This Row],[Product Code]],tblProducts[Code],tblProducts[Unit Cost],0)</f>
        <v>576000</v>
      </c>
      <c r="O6060" s="4" t="s">
        <v>4866</v>
      </c>
      <c r="P6060" s="4" t="s">
        <v>4861</v>
      </c>
      <c r="Q6060" s="1" t="str">
        <f>_xlfn.XLOOKUP(tblSales[[#This Row],[Channel Code]],tblChannels[Channel Code],tblChannels[Channel Name],"")</f>
        <v>Marketplace</v>
      </c>
      <c r="R6060" s="1">
        <f>MONTH(tblSales[[#This Row],[Date]])</f>
        <v>12</v>
      </c>
    </row>
    <row r="6061" spans="2:18" x14ac:dyDescent="0.35">
      <c r="B6061" s="113">
        <v>46381</v>
      </c>
      <c r="C6061" s="4" t="s">
        <v>4160</v>
      </c>
      <c r="D6061" s="4" t="s">
        <v>4568</v>
      </c>
      <c r="E6061" s="1" t="str">
        <f>_xlfn.XLOOKUP(tblSales[[#This Row],[Customer ID]],tblCustomers[Customer ID],tblCustomers[Customer Name],"⚠ Unknown")</f>
        <v>Walk-in Customer</v>
      </c>
      <c r="F6061" s="4" t="s">
        <v>6</v>
      </c>
      <c r="G6061" s="1" t="str">
        <f>_xlfn.XLOOKUP(tblSales[[#This Row],[Product Code]],tblProducts[Code],tblProducts[Product / Service Name],"⚠ Unknown")</f>
        <v>Socks &amp; Accessories</v>
      </c>
      <c r="H6061" s="1" t="str">
        <f>_xlfn.XLOOKUP(tblSales[[#This Row],[Product Code]],tblProducts[Code],tblProducts[Category],"")</f>
        <v>Accessories &amp; Basics</v>
      </c>
      <c r="I6061" s="4">
        <v>9</v>
      </c>
      <c r="J6061" s="5">
        <f>_xlfn.XLOOKUP(tblSales[[#This Row],[Product Code]],tblProducts[Code],tblProducts[Selling Price (excl. VAT)],0)</f>
        <v>45000</v>
      </c>
      <c r="K6061" s="5">
        <f>tblSales[[#This Row],[Qty]]*tblSales[[#This Row],[Unit Price]]</f>
        <v>405000</v>
      </c>
      <c r="L6061" s="5">
        <f>ROUND(tblSales[[#This Row],[DPP (excl. VAT)]]*VATEff,0)</f>
        <v>44550</v>
      </c>
      <c r="M6061" s="5">
        <f>tblSales[[#This Row],[DPP (excl. VAT)]]+tblSales[[#This Row],[Output VAT]]</f>
        <v>449550</v>
      </c>
      <c r="N6061" s="5">
        <f>tblSales[[#This Row],[Qty]]*_xlfn.XLOOKUP(tblSales[[#This Row],[Product Code]],tblProducts[Code],tblProducts[Unit Cost],0)</f>
        <v>216000</v>
      </c>
      <c r="O6061" s="4" t="s">
        <v>4866</v>
      </c>
      <c r="P6061" s="4" t="s">
        <v>4861</v>
      </c>
      <c r="Q6061" s="1" t="str">
        <f>_xlfn.XLOOKUP(tblSales[[#This Row],[Channel Code]],tblChannels[Channel Code],tblChannels[Channel Name],"")</f>
        <v>Marketplace</v>
      </c>
      <c r="R6061" s="1">
        <f>MONTH(tblSales[[#This Row],[Date]])</f>
        <v>12</v>
      </c>
    </row>
    <row r="6062" spans="2:18" x14ac:dyDescent="0.35">
      <c r="B6062" s="113">
        <v>46381</v>
      </c>
      <c r="C6062" s="4" t="s">
        <v>4161</v>
      </c>
      <c r="D6062" s="4" t="s">
        <v>4568</v>
      </c>
      <c r="E6062" s="1" t="str">
        <f>_xlfn.XLOOKUP(tblSales[[#This Row],[Customer ID]],tblCustomers[Customer ID],tblCustomers[Customer Name],"⚠ Unknown")</f>
        <v>Walk-in Customer</v>
      </c>
      <c r="F6062" s="4" t="s">
        <v>9</v>
      </c>
      <c r="G6062" s="1" t="str">
        <f>_xlfn.XLOOKUP(tblSales[[#This Row],[Product Code]],tblProducts[Code],tblProducts[Product / Service Name],"⚠ Unknown")</f>
        <v>Casual Shirt</v>
      </c>
      <c r="H6062" s="1" t="str">
        <f>_xlfn.XLOOKUP(tblSales[[#This Row],[Product Code]],tblProducts[Code],tblProducts[Category],"")</f>
        <v>Apparel &amp; Footwear</v>
      </c>
      <c r="I6062" s="4">
        <v>5</v>
      </c>
      <c r="J6062" s="5">
        <f>_xlfn.XLOOKUP(tblSales[[#This Row],[Product Code]],tblProducts[Code],tblProducts[Selling Price (excl. VAT)],0)</f>
        <v>120000</v>
      </c>
      <c r="K6062" s="5">
        <f>tblSales[[#This Row],[Qty]]*tblSales[[#This Row],[Unit Price]]</f>
        <v>600000</v>
      </c>
      <c r="L6062" s="5">
        <f>ROUND(tblSales[[#This Row],[DPP (excl. VAT)]]*VATEff,0)</f>
        <v>66000</v>
      </c>
      <c r="M6062" s="5">
        <f>tblSales[[#This Row],[DPP (excl. VAT)]]+tblSales[[#This Row],[Output VAT]]</f>
        <v>666000</v>
      </c>
      <c r="N6062" s="5">
        <f>tblSales[[#This Row],[Qty]]*_xlfn.XLOOKUP(tblSales[[#This Row],[Product Code]],tblProducts[Code],tblProducts[Unit Cost],0)</f>
        <v>360000</v>
      </c>
      <c r="O6062" s="4" t="s">
        <v>4866</v>
      </c>
      <c r="P6062" s="4" t="s">
        <v>4861</v>
      </c>
      <c r="Q6062" s="1" t="str">
        <f>_xlfn.XLOOKUP(tblSales[[#This Row],[Channel Code]],tblChannels[Channel Code],tblChannels[Channel Name],"")</f>
        <v>Marketplace</v>
      </c>
      <c r="R6062" s="1">
        <f>MONTH(tblSales[[#This Row],[Date]])</f>
        <v>12</v>
      </c>
    </row>
    <row r="6063" spans="2:18" x14ac:dyDescent="0.35">
      <c r="B6063" s="113">
        <v>46381</v>
      </c>
      <c r="C6063" s="4" t="s">
        <v>4162</v>
      </c>
      <c r="D6063" s="4" t="s">
        <v>4568</v>
      </c>
      <c r="E6063" s="1" t="str">
        <f>_xlfn.XLOOKUP(tblSales[[#This Row],[Customer ID]],tblCustomers[Customer ID],tblCustomers[Customer Name],"⚠ Unknown")</f>
        <v>Walk-in Customer</v>
      </c>
      <c r="F6063" s="4" t="s">
        <v>8</v>
      </c>
      <c r="G6063" s="1" t="str">
        <f>_xlfn.XLOOKUP(tblSales[[#This Row],[Product Code]],tblProducts[Code],tblProducts[Product / Service Name],"⚠ Unknown")</f>
        <v>Casual Shorts</v>
      </c>
      <c r="H6063" s="1" t="str">
        <f>_xlfn.XLOOKUP(tblSales[[#This Row],[Product Code]],tblProducts[Code],tblProducts[Category],"")</f>
        <v>Accessories &amp; Basics</v>
      </c>
      <c r="I6063" s="4">
        <v>7</v>
      </c>
      <c r="J6063" s="5">
        <f>_xlfn.XLOOKUP(tblSales[[#This Row],[Product Code]],tblProducts[Code],tblProducts[Selling Price (excl. VAT)],0)</f>
        <v>85000</v>
      </c>
      <c r="K6063" s="5">
        <f>tblSales[[#This Row],[Qty]]*tblSales[[#This Row],[Unit Price]]</f>
        <v>595000</v>
      </c>
      <c r="L6063" s="5">
        <f>ROUND(tblSales[[#This Row],[DPP (excl. VAT)]]*VATEff,0)</f>
        <v>65450</v>
      </c>
      <c r="M6063" s="5">
        <f>tblSales[[#This Row],[DPP (excl. VAT)]]+tblSales[[#This Row],[Output VAT]]</f>
        <v>660450</v>
      </c>
      <c r="N6063" s="5">
        <f>tblSales[[#This Row],[Qty]]*_xlfn.XLOOKUP(tblSales[[#This Row],[Product Code]],tblProducts[Code],tblProducts[Unit Cost],0)</f>
        <v>350000</v>
      </c>
      <c r="O6063" s="4" t="s">
        <v>4865</v>
      </c>
      <c r="P6063" s="4" t="s">
        <v>4860</v>
      </c>
      <c r="Q6063" s="1" t="str">
        <f>_xlfn.XLOOKUP(tblSales[[#This Row],[Channel Code]],tblChannels[Channel Code],tblChannels[Channel Name],"")</f>
        <v>In-store</v>
      </c>
      <c r="R6063" s="1">
        <f>MONTH(tblSales[[#This Row],[Date]])</f>
        <v>12</v>
      </c>
    </row>
    <row r="6064" spans="2:18" x14ac:dyDescent="0.35">
      <c r="B6064" s="113">
        <v>46381</v>
      </c>
      <c r="C6064" s="4" t="s">
        <v>4163</v>
      </c>
      <c r="D6064" s="4" t="s">
        <v>4568</v>
      </c>
      <c r="E6064" s="1" t="str">
        <f>_xlfn.XLOOKUP(tblSales[[#This Row],[Customer ID]],tblCustomers[Customer ID],tblCustomers[Customer Name],"⚠ Unknown")</f>
        <v>Walk-in Customer</v>
      </c>
      <c r="F6064" s="4" t="s">
        <v>9</v>
      </c>
      <c r="G6064" s="1" t="str">
        <f>_xlfn.XLOOKUP(tblSales[[#This Row],[Product Code]],tblProducts[Code],tblProducts[Product / Service Name],"⚠ Unknown")</f>
        <v>Casual Shirt</v>
      </c>
      <c r="H6064" s="1" t="str">
        <f>_xlfn.XLOOKUP(tblSales[[#This Row],[Product Code]],tblProducts[Code],tblProducts[Category],"")</f>
        <v>Apparel &amp; Footwear</v>
      </c>
      <c r="I6064" s="4">
        <v>6</v>
      </c>
      <c r="J6064" s="5">
        <f>_xlfn.XLOOKUP(tblSales[[#This Row],[Product Code]],tblProducts[Code],tblProducts[Selling Price (excl. VAT)],0)</f>
        <v>120000</v>
      </c>
      <c r="K6064" s="5">
        <f>tblSales[[#This Row],[Qty]]*tblSales[[#This Row],[Unit Price]]</f>
        <v>720000</v>
      </c>
      <c r="L6064" s="5">
        <f>ROUND(tblSales[[#This Row],[DPP (excl. VAT)]]*VATEff,0)</f>
        <v>79200</v>
      </c>
      <c r="M6064" s="5">
        <f>tblSales[[#This Row],[DPP (excl. VAT)]]+tblSales[[#This Row],[Output VAT]]</f>
        <v>799200</v>
      </c>
      <c r="N6064" s="5">
        <f>tblSales[[#This Row],[Qty]]*_xlfn.XLOOKUP(tblSales[[#This Row],[Product Code]],tblProducts[Code],tblProducts[Unit Cost],0)</f>
        <v>432000</v>
      </c>
      <c r="O6064" s="4" t="s">
        <v>4866</v>
      </c>
      <c r="P6064" s="4" t="s">
        <v>4861</v>
      </c>
      <c r="Q6064" s="1" t="str">
        <f>_xlfn.XLOOKUP(tblSales[[#This Row],[Channel Code]],tblChannels[Channel Code],tblChannels[Channel Name],"")</f>
        <v>Marketplace</v>
      </c>
      <c r="R6064" s="1">
        <f>MONTH(tblSales[[#This Row],[Date]])</f>
        <v>12</v>
      </c>
    </row>
    <row r="6065" spans="2:18" x14ac:dyDescent="0.35">
      <c r="B6065" s="113">
        <v>46381</v>
      </c>
      <c r="C6065" s="4" t="s">
        <v>4164</v>
      </c>
      <c r="D6065" s="4" t="s">
        <v>4568</v>
      </c>
      <c r="E6065" s="1" t="str">
        <f>_xlfn.XLOOKUP(tblSales[[#This Row],[Customer ID]],tblCustomers[Customer ID],tblCustomers[Customer Name],"⚠ Unknown")</f>
        <v>Walk-in Customer</v>
      </c>
      <c r="F6065" s="4" t="s">
        <v>9</v>
      </c>
      <c r="G6065" s="1" t="str">
        <f>_xlfn.XLOOKUP(tblSales[[#This Row],[Product Code]],tblProducts[Code],tblProducts[Product / Service Name],"⚠ Unknown")</f>
        <v>Casual Shirt</v>
      </c>
      <c r="H6065" s="1" t="str">
        <f>_xlfn.XLOOKUP(tblSales[[#This Row],[Product Code]],tblProducts[Code],tblProducts[Category],"")</f>
        <v>Apparel &amp; Footwear</v>
      </c>
      <c r="I6065" s="4">
        <v>9</v>
      </c>
      <c r="J6065" s="5">
        <f>_xlfn.XLOOKUP(tblSales[[#This Row],[Product Code]],tblProducts[Code],tblProducts[Selling Price (excl. VAT)],0)</f>
        <v>120000</v>
      </c>
      <c r="K6065" s="5">
        <f>tblSales[[#This Row],[Qty]]*tblSales[[#This Row],[Unit Price]]</f>
        <v>1080000</v>
      </c>
      <c r="L6065" s="5">
        <f>ROUND(tblSales[[#This Row],[DPP (excl. VAT)]]*VATEff,0)</f>
        <v>118800</v>
      </c>
      <c r="M6065" s="5">
        <f>tblSales[[#This Row],[DPP (excl. VAT)]]+tblSales[[#This Row],[Output VAT]]</f>
        <v>1198800</v>
      </c>
      <c r="N6065" s="5">
        <f>tblSales[[#This Row],[Qty]]*_xlfn.XLOOKUP(tblSales[[#This Row],[Product Code]],tblProducts[Code],tblProducts[Unit Cost],0)</f>
        <v>648000</v>
      </c>
      <c r="O6065" s="4" t="s">
        <v>4865</v>
      </c>
      <c r="P6065" s="4" t="s">
        <v>4860</v>
      </c>
      <c r="Q6065" s="1" t="str">
        <f>_xlfn.XLOOKUP(tblSales[[#This Row],[Channel Code]],tblChannels[Channel Code],tblChannels[Channel Name],"")</f>
        <v>In-store</v>
      </c>
      <c r="R6065" s="1">
        <f>MONTH(tblSales[[#This Row],[Date]])</f>
        <v>12</v>
      </c>
    </row>
    <row r="6066" spans="2:18" x14ac:dyDescent="0.35">
      <c r="B6066" s="113">
        <v>46381</v>
      </c>
      <c r="C6066" s="4" t="s">
        <v>4164</v>
      </c>
      <c r="D6066" s="4" t="s">
        <v>4568</v>
      </c>
      <c r="E6066" s="1" t="str">
        <f>_xlfn.XLOOKUP(tblSales[[#This Row],[Customer ID]],tblCustomers[Customer ID],tblCustomers[Customer Name],"⚠ Unknown")</f>
        <v>Walk-in Customer</v>
      </c>
      <c r="F6066" s="4" t="s">
        <v>14</v>
      </c>
      <c r="G6066" s="1" t="str">
        <f>_xlfn.XLOOKUP(tblSales[[#This Row],[Product Code]],tblProducts[Code],tblProducts[Product / Service Name],"⚠ Unknown")</f>
        <v>Smartwatch</v>
      </c>
      <c r="H6066" s="1" t="str">
        <f>_xlfn.XLOOKUP(tblSales[[#This Row],[Product Code]],tblProducts[Code],tblProducts[Category],"")</f>
        <v>Bags &amp; Gadgets</v>
      </c>
      <c r="I6066" s="4">
        <v>3</v>
      </c>
      <c r="J6066" s="5">
        <f>_xlfn.XLOOKUP(tblSales[[#This Row],[Product Code]],tblProducts[Code],tblProducts[Selling Price (excl. VAT)],0)</f>
        <v>850000</v>
      </c>
      <c r="K6066" s="5">
        <f>tblSales[[#This Row],[Qty]]*tblSales[[#This Row],[Unit Price]]</f>
        <v>2550000</v>
      </c>
      <c r="L6066" s="5">
        <f>ROUND(tblSales[[#This Row],[DPP (excl. VAT)]]*VATEff,0)</f>
        <v>280500</v>
      </c>
      <c r="M6066" s="5">
        <f>tblSales[[#This Row],[DPP (excl. VAT)]]+tblSales[[#This Row],[Output VAT]]</f>
        <v>2830500</v>
      </c>
      <c r="N6066" s="5">
        <f>tblSales[[#This Row],[Qty]]*_xlfn.XLOOKUP(tblSales[[#This Row],[Product Code]],tblProducts[Code],tblProducts[Unit Cost],0)</f>
        <v>1680000</v>
      </c>
      <c r="O6066" s="4" t="s">
        <v>4865</v>
      </c>
      <c r="P6066" s="4" t="s">
        <v>4860</v>
      </c>
      <c r="Q6066" s="1" t="str">
        <f>_xlfn.XLOOKUP(tblSales[[#This Row],[Channel Code]],tblChannels[Channel Code],tblChannels[Channel Name],"")</f>
        <v>In-store</v>
      </c>
      <c r="R6066" s="1">
        <f>MONTH(tblSales[[#This Row],[Date]])</f>
        <v>12</v>
      </c>
    </row>
    <row r="6067" spans="2:18" x14ac:dyDescent="0.35">
      <c r="B6067" s="113">
        <v>46381</v>
      </c>
      <c r="C6067" s="4" t="s">
        <v>4165</v>
      </c>
      <c r="D6067" s="4" t="s">
        <v>4568</v>
      </c>
      <c r="E6067" s="1" t="str">
        <f>_xlfn.XLOOKUP(tblSales[[#This Row],[Customer ID]],tblCustomers[Customer ID],tblCustomers[Customer Name],"⚠ Unknown")</f>
        <v>Walk-in Customer</v>
      </c>
      <c r="F6067" s="4" t="s">
        <v>8</v>
      </c>
      <c r="G6067" s="1" t="str">
        <f>_xlfn.XLOOKUP(tblSales[[#This Row],[Product Code]],tblProducts[Code],tblProducts[Product / Service Name],"⚠ Unknown")</f>
        <v>Casual Shorts</v>
      </c>
      <c r="H6067" s="1" t="str">
        <f>_xlfn.XLOOKUP(tblSales[[#This Row],[Product Code]],tblProducts[Code],tblProducts[Category],"")</f>
        <v>Accessories &amp; Basics</v>
      </c>
      <c r="I6067" s="4">
        <v>7</v>
      </c>
      <c r="J6067" s="5">
        <f>_xlfn.XLOOKUP(tblSales[[#This Row],[Product Code]],tblProducts[Code],tblProducts[Selling Price (excl. VAT)],0)</f>
        <v>85000</v>
      </c>
      <c r="K6067" s="5">
        <f>tblSales[[#This Row],[Qty]]*tblSales[[#This Row],[Unit Price]]</f>
        <v>595000</v>
      </c>
      <c r="L6067" s="5">
        <f>ROUND(tblSales[[#This Row],[DPP (excl. VAT)]]*VATEff,0)</f>
        <v>65450</v>
      </c>
      <c r="M6067" s="5">
        <f>tblSales[[#This Row],[DPP (excl. VAT)]]+tblSales[[#This Row],[Output VAT]]</f>
        <v>660450</v>
      </c>
      <c r="N6067" s="5">
        <f>tblSales[[#This Row],[Qty]]*_xlfn.XLOOKUP(tblSales[[#This Row],[Product Code]],tblProducts[Code],tblProducts[Unit Cost],0)</f>
        <v>350000</v>
      </c>
      <c r="O6067" s="4" t="s">
        <v>4865</v>
      </c>
      <c r="P6067" s="4" t="s">
        <v>4860</v>
      </c>
      <c r="Q6067" s="1" t="str">
        <f>_xlfn.XLOOKUP(tblSales[[#This Row],[Channel Code]],tblChannels[Channel Code],tblChannels[Channel Name],"")</f>
        <v>In-store</v>
      </c>
      <c r="R6067" s="1">
        <f>MONTH(tblSales[[#This Row],[Date]])</f>
        <v>12</v>
      </c>
    </row>
    <row r="6068" spans="2:18" x14ac:dyDescent="0.35">
      <c r="B6068" s="113">
        <v>46381</v>
      </c>
      <c r="C6068" s="4" t="s">
        <v>4166</v>
      </c>
      <c r="D6068" s="4" t="s">
        <v>4568</v>
      </c>
      <c r="E6068" s="1" t="str">
        <f>_xlfn.XLOOKUP(tblSales[[#This Row],[Customer ID]],tblCustomers[Customer ID],tblCustomers[Customer Name],"⚠ Unknown")</f>
        <v>Walk-in Customer</v>
      </c>
      <c r="F6068" s="4" t="s">
        <v>13</v>
      </c>
      <c r="G6068" s="1" t="str">
        <f>_xlfn.XLOOKUP(tblSales[[#This Row],[Product Code]],tblProducts[Code],tblProducts[Product / Service Name],"⚠ Unknown")</f>
        <v>Backpack</v>
      </c>
      <c r="H6068" s="1" t="str">
        <f>_xlfn.XLOOKUP(tblSales[[#This Row],[Product Code]],tblProducts[Code],tblProducts[Category],"")</f>
        <v>Bags &amp; Gadgets</v>
      </c>
      <c r="I6068" s="4">
        <v>4</v>
      </c>
      <c r="J6068" s="5">
        <f>_xlfn.XLOOKUP(tblSales[[#This Row],[Product Code]],tblProducts[Code],tblProducts[Selling Price (excl. VAT)],0)</f>
        <v>500000</v>
      </c>
      <c r="K6068" s="5">
        <f>tblSales[[#This Row],[Qty]]*tblSales[[#This Row],[Unit Price]]</f>
        <v>2000000</v>
      </c>
      <c r="L6068" s="5">
        <f>ROUND(tblSales[[#This Row],[DPP (excl. VAT)]]*VATEff,0)</f>
        <v>220000</v>
      </c>
      <c r="M6068" s="5">
        <f>tblSales[[#This Row],[DPP (excl. VAT)]]+tblSales[[#This Row],[Output VAT]]</f>
        <v>2220000</v>
      </c>
      <c r="N6068" s="5">
        <f>tblSales[[#This Row],[Qty]]*_xlfn.XLOOKUP(tblSales[[#This Row],[Product Code]],tblProducts[Code],tblProducts[Unit Cost],0)</f>
        <v>1160000</v>
      </c>
      <c r="O6068" s="4" t="s">
        <v>4866</v>
      </c>
      <c r="P6068" s="4" t="s">
        <v>4861</v>
      </c>
      <c r="Q6068" s="1" t="str">
        <f>_xlfn.XLOOKUP(tblSales[[#This Row],[Channel Code]],tblChannels[Channel Code],tblChannels[Channel Name],"")</f>
        <v>Marketplace</v>
      </c>
      <c r="R6068" s="1">
        <f>MONTH(tblSales[[#This Row],[Date]])</f>
        <v>12</v>
      </c>
    </row>
    <row r="6069" spans="2:18" x14ac:dyDescent="0.35">
      <c r="B6069" s="113">
        <v>46381</v>
      </c>
      <c r="C6069" s="4" t="s">
        <v>4167</v>
      </c>
      <c r="D6069" s="4" t="s">
        <v>4568</v>
      </c>
      <c r="E6069" s="1" t="str">
        <f>_xlfn.XLOOKUP(tblSales[[#This Row],[Customer ID]],tblCustomers[Customer ID],tblCustomers[Customer Name],"⚠ Unknown")</f>
        <v>Walk-in Customer</v>
      </c>
      <c r="F6069" s="4" t="s">
        <v>10</v>
      </c>
      <c r="G6069" s="1" t="str">
        <f>_xlfn.XLOOKUP(tblSales[[#This Row],[Product Code]],tblProducts[Code],tblProducts[Product / Service Name],"⚠ Unknown")</f>
        <v>Chino Pants</v>
      </c>
      <c r="H6069" s="1" t="str">
        <f>_xlfn.XLOOKUP(tblSales[[#This Row],[Product Code]],tblProducts[Code],tblProducts[Category],"")</f>
        <v>Apparel &amp; Footwear</v>
      </c>
      <c r="I6069" s="4">
        <v>1</v>
      </c>
      <c r="J6069" s="5">
        <f>_xlfn.XLOOKUP(tblSales[[#This Row],[Product Code]],tblProducts[Code],tblProducts[Selling Price (excl. VAT)],0)</f>
        <v>150000</v>
      </c>
      <c r="K6069" s="5">
        <f>tblSales[[#This Row],[Qty]]*tblSales[[#This Row],[Unit Price]]</f>
        <v>150000</v>
      </c>
      <c r="L6069" s="5">
        <f>ROUND(tblSales[[#This Row],[DPP (excl. VAT)]]*VATEff,0)</f>
        <v>16500</v>
      </c>
      <c r="M6069" s="5">
        <f>tblSales[[#This Row],[DPP (excl. VAT)]]+tblSales[[#This Row],[Output VAT]]</f>
        <v>166500</v>
      </c>
      <c r="N6069" s="5">
        <f>tblSales[[#This Row],[Qty]]*_xlfn.XLOOKUP(tblSales[[#This Row],[Product Code]],tblProducts[Code],tblProducts[Unit Cost],0)</f>
        <v>88000</v>
      </c>
      <c r="O6069" s="4" t="s">
        <v>4865</v>
      </c>
      <c r="P6069" s="4" t="s">
        <v>4860</v>
      </c>
      <c r="Q6069" s="1" t="str">
        <f>_xlfn.XLOOKUP(tblSales[[#This Row],[Channel Code]],tblChannels[Channel Code],tblChannels[Channel Name],"")</f>
        <v>In-store</v>
      </c>
      <c r="R6069" s="1">
        <f>MONTH(tblSales[[#This Row],[Date]])</f>
        <v>12</v>
      </c>
    </row>
    <row r="6070" spans="2:18" x14ac:dyDescent="0.35">
      <c r="B6070" s="113">
        <v>46381</v>
      </c>
      <c r="C6070" s="4" t="s">
        <v>4168</v>
      </c>
      <c r="D6070" s="4" t="s">
        <v>4568</v>
      </c>
      <c r="E6070" s="1" t="str">
        <f>_xlfn.XLOOKUP(tblSales[[#This Row],[Customer ID]],tblCustomers[Customer ID],tblCustomers[Customer Name],"⚠ Unknown")</f>
        <v>Walk-in Customer</v>
      </c>
      <c r="F6070" s="4" t="s">
        <v>6</v>
      </c>
      <c r="G6070" s="1" t="str">
        <f>_xlfn.XLOOKUP(tblSales[[#This Row],[Product Code]],tblProducts[Code],tblProducts[Product / Service Name],"⚠ Unknown")</f>
        <v>Socks &amp; Accessories</v>
      </c>
      <c r="H6070" s="1" t="str">
        <f>_xlfn.XLOOKUP(tblSales[[#This Row],[Product Code]],tblProducts[Code],tblProducts[Category],"")</f>
        <v>Accessories &amp; Basics</v>
      </c>
      <c r="I6070" s="4">
        <v>1</v>
      </c>
      <c r="J6070" s="5">
        <f>_xlfn.XLOOKUP(tblSales[[#This Row],[Product Code]],tblProducts[Code],tblProducts[Selling Price (excl. VAT)],0)</f>
        <v>45000</v>
      </c>
      <c r="K6070" s="5">
        <f>tblSales[[#This Row],[Qty]]*tblSales[[#This Row],[Unit Price]]</f>
        <v>45000</v>
      </c>
      <c r="L6070" s="5">
        <f>ROUND(tblSales[[#This Row],[DPP (excl. VAT)]]*VATEff,0)</f>
        <v>4950</v>
      </c>
      <c r="M6070" s="5">
        <f>tblSales[[#This Row],[DPP (excl. VAT)]]+tblSales[[#This Row],[Output VAT]]</f>
        <v>49950</v>
      </c>
      <c r="N6070" s="5">
        <f>tblSales[[#This Row],[Qty]]*_xlfn.XLOOKUP(tblSales[[#This Row],[Product Code]],tblProducts[Code],tblProducts[Unit Cost],0)</f>
        <v>24000</v>
      </c>
      <c r="O6070" s="4" t="s">
        <v>4865</v>
      </c>
      <c r="P6070" s="4" t="s">
        <v>4860</v>
      </c>
      <c r="Q6070" s="1" t="str">
        <f>_xlfn.XLOOKUP(tblSales[[#This Row],[Channel Code]],tblChannels[Channel Code],tblChannels[Channel Name],"")</f>
        <v>In-store</v>
      </c>
      <c r="R6070" s="1">
        <f>MONTH(tblSales[[#This Row],[Date]])</f>
        <v>12</v>
      </c>
    </row>
    <row r="6071" spans="2:18" x14ac:dyDescent="0.35">
      <c r="B6071" s="113">
        <v>46381</v>
      </c>
      <c r="C6071" s="4" t="s">
        <v>4169</v>
      </c>
      <c r="D6071" s="4" t="s">
        <v>4568</v>
      </c>
      <c r="E6071" s="1" t="str">
        <f>_xlfn.XLOOKUP(tblSales[[#This Row],[Customer ID]],tblCustomers[Customer ID],tblCustomers[Customer Name],"⚠ Unknown")</f>
        <v>Walk-in Customer</v>
      </c>
      <c r="F6071" s="4" t="s">
        <v>6</v>
      </c>
      <c r="G6071" s="1" t="str">
        <f>_xlfn.XLOOKUP(tblSales[[#This Row],[Product Code]],tblProducts[Code],tblProducts[Product / Service Name],"⚠ Unknown")</f>
        <v>Socks &amp; Accessories</v>
      </c>
      <c r="H6071" s="1" t="str">
        <f>_xlfn.XLOOKUP(tblSales[[#This Row],[Product Code]],tblProducts[Code],tblProducts[Category],"")</f>
        <v>Accessories &amp; Basics</v>
      </c>
      <c r="I6071" s="4">
        <v>6</v>
      </c>
      <c r="J6071" s="5">
        <f>_xlfn.XLOOKUP(tblSales[[#This Row],[Product Code]],tblProducts[Code],tblProducts[Selling Price (excl. VAT)],0)</f>
        <v>45000</v>
      </c>
      <c r="K6071" s="5">
        <f>tblSales[[#This Row],[Qty]]*tblSales[[#This Row],[Unit Price]]</f>
        <v>270000</v>
      </c>
      <c r="L6071" s="5">
        <f>ROUND(tblSales[[#This Row],[DPP (excl. VAT)]]*VATEff,0)</f>
        <v>29700</v>
      </c>
      <c r="M6071" s="5">
        <f>tblSales[[#This Row],[DPP (excl. VAT)]]+tblSales[[#This Row],[Output VAT]]</f>
        <v>299700</v>
      </c>
      <c r="N6071" s="5">
        <f>tblSales[[#This Row],[Qty]]*_xlfn.XLOOKUP(tblSales[[#This Row],[Product Code]],tblProducts[Code],tblProducts[Unit Cost],0)</f>
        <v>144000</v>
      </c>
      <c r="O6071" s="4" t="s">
        <v>4866</v>
      </c>
      <c r="P6071" s="4" t="s">
        <v>4862</v>
      </c>
      <c r="Q6071" s="1" t="str">
        <f>_xlfn.XLOOKUP(tblSales[[#This Row],[Channel Code]],tblChannels[Channel Code],tblChannels[Channel Name],"")</f>
        <v>Website &amp; Social Media</v>
      </c>
      <c r="R6071" s="1">
        <f>MONTH(tblSales[[#This Row],[Date]])</f>
        <v>12</v>
      </c>
    </row>
    <row r="6072" spans="2:18" x14ac:dyDescent="0.35">
      <c r="B6072" s="113">
        <v>46381</v>
      </c>
      <c r="C6072" s="4" t="s">
        <v>4170</v>
      </c>
      <c r="D6072" s="4" t="s">
        <v>4599</v>
      </c>
      <c r="E6072" s="1" t="str">
        <f>_xlfn.XLOOKUP(tblSales[[#This Row],[Customer ID]],tblCustomers[Customer ID],tblCustomers[Customer Name],"⚠ Unknown")</f>
        <v>PT Samudra Jaya Logistik</v>
      </c>
      <c r="F6072" s="4" t="s">
        <v>7</v>
      </c>
      <c r="G6072" s="1" t="str">
        <f>_xlfn.XLOOKUP(tblSales[[#This Row],[Product Code]],tblProducts[Code],tblProducts[Product / Service Name],"⚠ Unknown")</f>
        <v>Premium Basic T-shirt</v>
      </c>
      <c r="H6072" s="1" t="str">
        <f>_xlfn.XLOOKUP(tblSales[[#This Row],[Product Code]],tblProducts[Code],tblProducts[Category],"")</f>
        <v>Accessories &amp; Basics</v>
      </c>
      <c r="I6072" s="4">
        <v>88</v>
      </c>
      <c r="J6072" s="5">
        <f>_xlfn.XLOOKUP(tblSales[[#This Row],[Product Code]],tblProducts[Code],tblProducts[Selling Price (excl. VAT)],0)</f>
        <v>65000</v>
      </c>
      <c r="K6072" s="5">
        <f>tblSales[[#This Row],[Qty]]*tblSales[[#This Row],[Unit Price]]</f>
        <v>5720000</v>
      </c>
      <c r="L6072" s="5">
        <f>ROUND(tblSales[[#This Row],[DPP (excl. VAT)]]*VATEff,0)</f>
        <v>629200</v>
      </c>
      <c r="M6072" s="5">
        <f>tblSales[[#This Row],[DPP (excl. VAT)]]+tblSales[[#This Row],[Output VAT]]</f>
        <v>6349200</v>
      </c>
      <c r="N6072" s="5">
        <f>tblSales[[#This Row],[Qty]]*_xlfn.XLOOKUP(tblSales[[#This Row],[Product Code]],tblProducts[Code],tblProducts[Unit Cost],0)</f>
        <v>3256000</v>
      </c>
      <c r="O6072" s="4" t="s">
        <v>4867</v>
      </c>
      <c r="P6072" s="4" t="s">
        <v>4860</v>
      </c>
      <c r="Q6072" s="1" t="str">
        <f>_xlfn.XLOOKUP(tblSales[[#This Row],[Channel Code]],tblChannels[Channel Code],tblChannels[Channel Name],"")</f>
        <v>In-store</v>
      </c>
      <c r="R6072" s="1">
        <f>MONTH(tblSales[[#This Row],[Date]])</f>
        <v>12</v>
      </c>
    </row>
    <row r="6073" spans="2:18" x14ac:dyDescent="0.35">
      <c r="B6073" s="113">
        <v>46382</v>
      </c>
      <c r="C6073" s="4" t="s">
        <v>4171</v>
      </c>
      <c r="D6073" s="4" t="s">
        <v>4568</v>
      </c>
      <c r="E6073" s="1" t="str">
        <f>_xlfn.XLOOKUP(tblSales[[#This Row],[Customer ID]],tblCustomers[Customer ID],tblCustomers[Customer Name],"⚠ Unknown")</f>
        <v>Walk-in Customer</v>
      </c>
      <c r="F6073" s="4" t="s">
        <v>7</v>
      </c>
      <c r="G6073" s="1" t="str">
        <f>_xlfn.XLOOKUP(tblSales[[#This Row],[Product Code]],tblProducts[Code],tblProducts[Product / Service Name],"⚠ Unknown")</f>
        <v>Premium Basic T-shirt</v>
      </c>
      <c r="H6073" s="1" t="str">
        <f>_xlfn.XLOOKUP(tblSales[[#This Row],[Product Code]],tblProducts[Code],tblProducts[Category],"")</f>
        <v>Accessories &amp; Basics</v>
      </c>
      <c r="I6073" s="4">
        <v>4</v>
      </c>
      <c r="J6073" s="5">
        <f>_xlfn.XLOOKUP(tblSales[[#This Row],[Product Code]],tblProducts[Code],tblProducts[Selling Price (excl. VAT)],0)</f>
        <v>65000</v>
      </c>
      <c r="K6073" s="5">
        <f>tblSales[[#This Row],[Qty]]*tblSales[[#This Row],[Unit Price]]</f>
        <v>260000</v>
      </c>
      <c r="L6073" s="5">
        <f>ROUND(tblSales[[#This Row],[DPP (excl. VAT)]]*VATEff,0)</f>
        <v>28600</v>
      </c>
      <c r="M6073" s="5">
        <f>tblSales[[#This Row],[DPP (excl. VAT)]]+tblSales[[#This Row],[Output VAT]]</f>
        <v>288600</v>
      </c>
      <c r="N6073" s="5">
        <f>tblSales[[#This Row],[Qty]]*_xlfn.XLOOKUP(tblSales[[#This Row],[Product Code]],tblProducts[Code],tblProducts[Unit Cost],0)</f>
        <v>148000</v>
      </c>
      <c r="O6073" s="4" t="s">
        <v>4866</v>
      </c>
      <c r="P6073" s="4" t="s">
        <v>4861</v>
      </c>
      <c r="Q6073" s="1" t="str">
        <f>_xlfn.XLOOKUP(tblSales[[#This Row],[Channel Code]],tblChannels[Channel Code],tblChannels[Channel Name],"")</f>
        <v>Marketplace</v>
      </c>
      <c r="R6073" s="1">
        <f>MONTH(tblSales[[#This Row],[Date]])</f>
        <v>12</v>
      </c>
    </row>
    <row r="6074" spans="2:18" x14ac:dyDescent="0.35">
      <c r="B6074" s="113">
        <v>46382</v>
      </c>
      <c r="C6074" s="4" t="s">
        <v>4172</v>
      </c>
      <c r="D6074" s="4" t="s">
        <v>4568</v>
      </c>
      <c r="E6074" s="1" t="str">
        <f>_xlfn.XLOOKUP(tblSales[[#This Row],[Customer ID]],tblCustomers[Customer ID],tblCustomers[Customer Name],"⚠ Unknown")</f>
        <v>Walk-in Customer</v>
      </c>
      <c r="F6074" s="4" t="s">
        <v>13</v>
      </c>
      <c r="G6074" s="1" t="str">
        <f>_xlfn.XLOOKUP(tblSales[[#This Row],[Product Code]],tblProducts[Code],tblProducts[Product / Service Name],"⚠ Unknown")</f>
        <v>Backpack</v>
      </c>
      <c r="H6074" s="1" t="str">
        <f>_xlfn.XLOOKUP(tblSales[[#This Row],[Product Code]],tblProducts[Code],tblProducts[Category],"")</f>
        <v>Bags &amp; Gadgets</v>
      </c>
      <c r="I6074" s="4">
        <v>1</v>
      </c>
      <c r="J6074" s="5">
        <f>_xlfn.XLOOKUP(tblSales[[#This Row],[Product Code]],tblProducts[Code],tblProducts[Selling Price (excl. VAT)],0)</f>
        <v>500000</v>
      </c>
      <c r="K6074" s="5">
        <f>tblSales[[#This Row],[Qty]]*tblSales[[#This Row],[Unit Price]]</f>
        <v>500000</v>
      </c>
      <c r="L6074" s="5">
        <f>ROUND(tblSales[[#This Row],[DPP (excl. VAT)]]*VATEff,0)</f>
        <v>55000</v>
      </c>
      <c r="M6074" s="5">
        <f>tblSales[[#This Row],[DPP (excl. VAT)]]+tblSales[[#This Row],[Output VAT]]</f>
        <v>555000</v>
      </c>
      <c r="N6074" s="5">
        <f>tblSales[[#This Row],[Qty]]*_xlfn.XLOOKUP(tblSales[[#This Row],[Product Code]],tblProducts[Code],tblProducts[Unit Cost],0)</f>
        <v>290000</v>
      </c>
      <c r="O6074" s="4" t="s">
        <v>4866</v>
      </c>
      <c r="P6074" s="4" t="s">
        <v>4861</v>
      </c>
      <c r="Q6074" s="1" t="str">
        <f>_xlfn.XLOOKUP(tblSales[[#This Row],[Channel Code]],tblChannels[Channel Code],tblChannels[Channel Name],"")</f>
        <v>Marketplace</v>
      </c>
      <c r="R6074" s="1">
        <f>MONTH(tblSales[[#This Row],[Date]])</f>
        <v>12</v>
      </c>
    </row>
    <row r="6075" spans="2:18" x14ac:dyDescent="0.35">
      <c r="B6075" s="113">
        <v>46382</v>
      </c>
      <c r="C6075" s="4" t="s">
        <v>4173</v>
      </c>
      <c r="D6075" s="4" t="s">
        <v>4568</v>
      </c>
      <c r="E6075" s="1" t="str">
        <f>_xlfn.XLOOKUP(tblSales[[#This Row],[Customer ID]],tblCustomers[Customer ID],tblCustomers[Customer Name],"⚠ Unknown")</f>
        <v>Walk-in Customer</v>
      </c>
      <c r="F6075" s="4" t="s">
        <v>9</v>
      </c>
      <c r="G6075" s="1" t="str">
        <f>_xlfn.XLOOKUP(tblSales[[#This Row],[Product Code]],tblProducts[Code],tblProducts[Product / Service Name],"⚠ Unknown")</f>
        <v>Casual Shirt</v>
      </c>
      <c r="H6075" s="1" t="str">
        <f>_xlfn.XLOOKUP(tblSales[[#This Row],[Product Code]],tblProducts[Code],tblProducts[Category],"")</f>
        <v>Apparel &amp; Footwear</v>
      </c>
      <c r="I6075" s="4">
        <v>8</v>
      </c>
      <c r="J6075" s="5">
        <f>_xlfn.XLOOKUP(tblSales[[#This Row],[Product Code]],tblProducts[Code],tblProducts[Selling Price (excl. VAT)],0)</f>
        <v>120000</v>
      </c>
      <c r="K6075" s="5">
        <f>tblSales[[#This Row],[Qty]]*tblSales[[#This Row],[Unit Price]]</f>
        <v>960000</v>
      </c>
      <c r="L6075" s="5">
        <f>ROUND(tblSales[[#This Row],[DPP (excl. VAT)]]*VATEff,0)</f>
        <v>105600</v>
      </c>
      <c r="M6075" s="5">
        <f>tblSales[[#This Row],[DPP (excl. VAT)]]+tblSales[[#This Row],[Output VAT]]</f>
        <v>1065600</v>
      </c>
      <c r="N6075" s="5">
        <f>tblSales[[#This Row],[Qty]]*_xlfn.XLOOKUP(tblSales[[#This Row],[Product Code]],tblProducts[Code],tblProducts[Unit Cost],0)</f>
        <v>576000</v>
      </c>
      <c r="O6075" s="4" t="s">
        <v>4866</v>
      </c>
      <c r="P6075" s="4" t="s">
        <v>4861</v>
      </c>
      <c r="Q6075" s="1" t="str">
        <f>_xlfn.XLOOKUP(tblSales[[#This Row],[Channel Code]],tblChannels[Channel Code],tblChannels[Channel Name],"")</f>
        <v>Marketplace</v>
      </c>
      <c r="R6075" s="1">
        <f>MONTH(tblSales[[#This Row],[Date]])</f>
        <v>12</v>
      </c>
    </row>
    <row r="6076" spans="2:18" x14ac:dyDescent="0.35">
      <c r="B6076" s="113">
        <v>46382</v>
      </c>
      <c r="C6076" s="4" t="s">
        <v>4173</v>
      </c>
      <c r="D6076" s="4" t="s">
        <v>4568</v>
      </c>
      <c r="E6076" s="1" t="str">
        <f>_xlfn.XLOOKUP(tblSales[[#This Row],[Customer ID]],tblCustomers[Customer ID],tblCustomers[Customer Name],"⚠ Unknown")</f>
        <v>Walk-in Customer</v>
      </c>
      <c r="F6076" s="4" t="s">
        <v>6</v>
      </c>
      <c r="G6076" s="1" t="str">
        <f>_xlfn.XLOOKUP(tblSales[[#This Row],[Product Code]],tblProducts[Code],tblProducts[Product / Service Name],"⚠ Unknown")</f>
        <v>Socks &amp; Accessories</v>
      </c>
      <c r="H6076" s="1" t="str">
        <f>_xlfn.XLOOKUP(tblSales[[#This Row],[Product Code]],tblProducts[Code],tblProducts[Category],"")</f>
        <v>Accessories &amp; Basics</v>
      </c>
      <c r="I6076" s="4">
        <v>11</v>
      </c>
      <c r="J6076" s="5">
        <f>_xlfn.XLOOKUP(tblSales[[#This Row],[Product Code]],tblProducts[Code],tblProducts[Selling Price (excl. VAT)],0)</f>
        <v>45000</v>
      </c>
      <c r="K6076" s="5">
        <f>tblSales[[#This Row],[Qty]]*tblSales[[#This Row],[Unit Price]]</f>
        <v>495000</v>
      </c>
      <c r="L6076" s="5">
        <f>ROUND(tblSales[[#This Row],[DPP (excl. VAT)]]*VATEff,0)</f>
        <v>54450</v>
      </c>
      <c r="M6076" s="5">
        <f>tblSales[[#This Row],[DPP (excl. VAT)]]+tblSales[[#This Row],[Output VAT]]</f>
        <v>549450</v>
      </c>
      <c r="N6076" s="5">
        <f>tblSales[[#This Row],[Qty]]*_xlfn.XLOOKUP(tblSales[[#This Row],[Product Code]],tblProducts[Code],tblProducts[Unit Cost],0)</f>
        <v>264000</v>
      </c>
      <c r="O6076" s="4" t="s">
        <v>4866</v>
      </c>
      <c r="P6076" s="4" t="s">
        <v>4861</v>
      </c>
      <c r="Q6076" s="1" t="str">
        <f>_xlfn.XLOOKUP(tblSales[[#This Row],[Channel Code]],tblChannels[Channel Code],tblChannels[Channel Name],"")</f>
        <v>Marketplace</v>
      </c>
      <c r="R6076" s="1">
        <f>MONTH(tblSales[[#This Row],[Date]])</f>
        <v>12</v>
      </c>
    </row>
    <row r="6077" spans="2:18" x14ac:dyDescent="0.35">
      <c r="B6077" s="113">
        <v>46382</v>
      </c>
      <c r="C6077" s="4" t="s">
        <v>4173</v>
      </c>
      <c r="D6077" s="4" t="s">
        <v>4568</v>
      </c>
      <c r="E6077" s="1" t="str">
        <f>_xlfn.XLOOKUP(tblSales[[#This Row],[Customer ID]],tblCustomers[Customer ID],tblCustomers[Customer Name],"⚠ Unknown")</f>
        <v>Walk-in Customer</v>
      </c>
      <c r="F6077" s="4" t="s">
        <v>8</v>
      </c>
      <c r="G6077" s="1" t="str">
        <f>_xlfn.XLOOKUP(tblSales[[#This Row],[Product Code]],tblProducts[Code],tblProducts[Product / Service Name],"⚠ Unknown")</f>
        <v>Casual Shorts</v>
      </c>
      <c r="H6077" s="1" t="str">
        <f>_xlfn.XLOOKUP(tblSales[[#This Row],[Product Code]],tblProducts[Code],tblProducts[Category],"")</f>
        <v>Accessories &amp; Basics</v>
      </c>
      <c r="I6077" s="4">
        <v>11</v>
      </c>
      <c r="J6077" s="5">
        <f>_xlfn.XLOOKUP(tblSales[[#This Row],[Product Code]],tblProducts[Code],tblProducts[Selling Price (excl. VAT)],0)</f>
        <v>85000</v>
      </c>
      <c r="K6077" s="5">
        <f>tblSales[[#This Row],[Qty]]*tblSales[[#This Row],[Unit Price]]</f>
        <v>935000</v>
      </c>
      <c r="L6077" s="5">
        <f>ROUND(tblSales[[#This Row],[DPP (excl. VAT)]]*VATEff,0)</f>
        <v>102850</v>
      </c>
      <c r="M6077" s="5">
        <f>tblSales[[#This Row],[DPP (excl. VAT)]]+tblSales[[#This Row],[Output VAT]]</f>
        <v>1037850</v>
      </c>
      <c r="N6077" s="5">
        <f>tblSales[[#This Row],[Qty]]*_xlfn.XLOOKUP(tblSales[[#This Row],[Product Code]],tblProducts[Code],tblProducts[Unit Cost],0)</f>
        <v>550000</v>
      </c>
      <c r="O6077" s="4" t="s">
        <v>4866</v>
      </c>
      <c r="P6077" s="4" t="s">
        <v>4861</v>
      </c>
      <c r="Q6077" s="1" t="str">
        <f>_xlfn.XLOOKUP(tblSales[[#This Row],[Channel Code]],tblChannels[Channel Code],tblChannels[Channel Name],"")</f>
        <v>Marketplace</v>
      </c>
      <c r="R6077" s="1">
        <f>MONTH(tblSales[[#This Row],[Date]])</f>
        <v>12</v>
      </c>
    </row>
    <row r="6078" spans="2:18" x14ac:dyDescent="0.35">
      <c r="B6078" s="113">
        <v>46382</v>
      </c>
      <c r="C6078" s="4" t="s">
        <v>4174</v>
      </c>
      <c r="D6078" s="4" t="s">
        <v>4568</v>
      </c>
      <c r="E6078" s="1" t="str">
        <f>_xlfn.XLOOKUP(tblSales[[#This Row],[Customer ID]],tblCustomers[Customer ID],tblCustomers[Customer Name],"⚠ Unknown")</f>
        <v>Walk-in Customer</v>
      </c>
      <c r="F6078" s="4" t="s">
        <v>9</v>
      </c>
      <c r="G6078" s="1" t="str">
        <f>_xlfn.XLOOKUP(tblSales[[#This Row],[Product Code]],tblProducts[Code],tblProducts[Product / Service Name],"⚠ Unknown")</f>
        <v>Casual Shirt</v>
      </c>
      <c r="H6078" s="1" t="str">
        <f>_xlfn.XLOOKUP(tblSales[[#This Row],[Product Code]],tblProducts[Code],tblProducts[Category],"")</f>
        <v>Apparel &amp; Footwear</v>
      </c>
      <c r="I6078" s="4">
        <v>2</v>
      </c>
      <c r="J6078" s="5">
        <f>_xlfn.XLOOKUP(tblSales[[#This Row],[Product Code]],tblProducts[Code],tblProducts[Selling Price (excl. VAT)],0)</f>
        <v>120000</v>
      </c>
      <c r="K6078" s="5">
        <f>tblSales[[#This Row],[Qty]]*tblSales[[#This Row],[Unit Price]]</f>
        <v>240000</v>
      </c>
      <c r="L6078" s="5">
        <f>ROUND(tblSales[[#This Row],[DPP (excl. VAT)]]*VATEff,0)</f>
        <v>26400</v>
      </c>
      <c r="M6078" s="5">
        <f>tblSales[[#This Row],[DPP (excl. VAT)]]+tblSales[[#This Row],[Output VAT]]</f>
        <v>266400</v>
      </c>
      <c r="N6078" s="5">
        <f>tblSales[[#This Row],[Qty]]*_xlfn.XLOOKUP(tblSales[[#This Row],[Product Code]],tblProducts[Code],tblProducts[Unit Cost],0)</f>
        <v>144000</v>
      </c>
      <c r="O6078" s="4" t="s">
        <v>4866</v>
      </c>
      <c r="P6078" s="4" t="s">
        <v>4862</v>
      </c>
      <c r="Q6078" s="1" t="str">
        <f>_xlfn.XLOOKUP(tblSales[[#This Row],[Channel Code]],tblChannels[Channel Code],tblChannels[Channel Name],"")</f>
        <v>Website &amp; Social Media</v>
      </c>
      <c r="R6078" s="1">
        <f>MONTH(tblSales[[#This Row],[Date]])</f>
        <v>12</v>
      </c>
    </row>
    <row r="6079" spans="2:18" x14ac:dyDescent="0.35">
      <c r="B6079" s="113">
        <v>46382</v>
      </c>
      <c r="C6079" s="4" t="s">
        <v>4175</v>
      </c>
      <c r="D6079" s="4" t="s">
        <v>4568</v>
      </c>
      <c r="E6079" s="1" t="str">
        <f>_xlfn.XLOOKUP(tblSales[[#This Row],[Customer ID]],tblCustomers[Customer ID],tblCustomers[Customer Name],"⚠ Unknown")</f>
        <v>Walk-in Customer</v>
      </c>
      <c r="F6079" s="4" t="s">
        <v>7</v>
      </c>
      <c r="G6079" s="1" t="str">
        <f>_xlfn.XLOOKUP(tblSales[[#This Row],[Product Code]],tblProducts[Code],tblProducts[Product / Service Name],"⚠ Unknown")</f>
        <v>Premium Basic T-shirt</v>
      </c>
      <c r="H6079" s="1" t="str">
        <f>_xlfn.XLOOKUP(tblSales[[#This Row],[Product Code]],tblProducts[Code],tblProducts[Category],"")</f>
        <v>Accessories &amp; Basics</v>
      </c>
      <c r="I6079" s="4">
        <v>3</v>
      </c>
      <c r="J6079" s="5">
        <f>_xlfn.XLOOKUP(tblSales[[#This Row],[Product Code]],tblProducts[Code],tblProducts[Selling Price (excl. VAT)],0)</f>
        <v>65000</v>
      </c>
      <c r="K6079" s="5">
        <f>tblSales[[#This Row],[Qty]]*tblSales[[#This Row],[Unit Price]]</f>
        <v>195000</v>
      </c>
      <c r="L6079" s="5">
        <f>ROUND(tblSales[[#This Row],[DPP (excl. VAT)]]*VATEff,0)</f>
        <v>21450</v>
      </c>
      <c r="M6079" s="5">
        <f>tblSales[[#This Row],[DPP (excl. VAT)]]+tblSales[[#This Row],[Output VAT]]</f>
        <v>216450</v>
      </c>
      <c r="N6079" s="5">
        <f>tblSales[[#This Row],[Qty]]*_xlfn.XLOOKUP(tblSales[[#This Row],[Product Code]],tblProducts[Code],tblProducts[Unit Cost],0)</f>
        <v>111000</v>
      </c>
      <c r="O6079" s="4" t="s">
        <v>4865</v>
      </c>
      <c r="P6079" s="4" t="s">
        <v>4860</v>
      </c>
      <c r="Q6079" s="1" t="str">
        <f>_xlfn.XLOOKUP(tblSales[[#This Row],[Channel Code]],tblChannels[Channel Code],tblChannels[Channel Name],"")</f>
        <v>In-store</v>
      </c>
      <c r="R6079" s="1">
        <f>MONTH(tblSales[[#This Row],[Date]])</f>
        <v>12</v>
      </c>
    </row>
    <row r="6080" spans="2:18" x14ac:dyDescent="0.35">
      <c r="B6080" s="113">
        <v>46382</v>
      </c>
      <c r="C6080" s="4" t="s">
        <v>4175</v>
      </c>
      <c r="D6080" s="4" t="s">
        <v>4568</v>
      </c>
      <c r="E6080" s="1" t="str">
        <f>_xlfn.XLOOKUP(tblSales[[#This Row],[Customer ID]],tblCustomers[Customer ID],tblCustomers[Customer Name],"⚠ Unknown")</f>
        <v>Walk-in Customer</v>
      </c>
      <c r="F6080" s="4" t="s">
        <v>15</v>
      </c>
      <c r="G6080" s="1" t="str">
        <f>_xlfn.XLOOKUP(tblSales[[#This Row],[Product Code]],tblProducts[Code],tblProducts[Product / Service Name],"⚠ Unknown")</f>
        <v>Wireless Earbuds Pro</v>
      </c>
      <c r="H6080" s="1" t="str">
        <f>_xlfn.XLOOKUP(tblSales[[#This Row],[Product Code]],tblProducts[Code],tblProducts[Category],"")</f>
        <v>Bags &amp; Gadgets</v>
      </c>
      <c r="I6080" s="4">
        <v>1</v>
      </c>
      <c r="J6080" s="5">
        <f>_xlfn.XLOOKUP(tblSales[[#This Row],[Product Code]],tblProducts[Code],tblProducts[Selling Price (excl. VAT)],0)</f>
        <v>1250000</v>
      </c>
      <c r="K6080" s="5">
        <f>tblSales[[#This Row],[Qty]]*tblSales[[#This Row],[Unit Price]]</f>
        <v>1250000</v>
      </c>
      <c r="L6080" s="5">
        <f>ROUND(tblSales[[#This Row],[DPP (excl. VAT)]]*VATEff,0)</f>
        <v>137500</v>
      </c>
      <c r="M6080" s="5">
        <f>tblSales[[#This Row],[DPP (excl. VAT)]]+tblSales[[#This Row],[Output VAT]]</f>
        <v>1387500</v>
      </c>
      <c r="N6080" s="5">
        <f>tblSales[[#This Row],[Qty]]*_xlfn.XLOOKUP(tblSales[[#This Row],[Product Code]],tblProducts[Code],tblProducts[Unit Cost],0)</f>
        <v>820000</v>
      </c>
      <c r="O6080" s="4" t="s">
        <v>4865</v>
      </c>
      <c r="P6080" s="4" t="s">
        <v>4860</v>
      </c>
      <c r="Q6080" s="1" t="str">
        <f>_xlfn.XLOOKUP(tblSales[[#This Row],[Channel Code]],tblChannels[Channel Code],tblChannels[Channel Name],"")</f>
        <v>In-store</v>
      </c>
      <c r="R6080" s="1">
        <f>MONTH(tblSales[[#This Row],[Date]])</f>
        <v>12</v>
      </c>
    </row>
    <row r="6081" spans="2:18" x14ac:dyDescent="0.35">
      <c r="B6081" s="113">
        <v>46382</v>
      </c>
      <c r="C6081" s="4" t="s">
        <v>4176</v>
      </c>
      <c r="D6081" s="4" t="s">
        <v>4568</v>
      </c>
      <c r="E6081" s="1" t="str">
        <f>_xlfn.XLOOKUP(tblSales[[#This Row],[Customer ID]],tblCustomers[Customer ID],tblCustomers[Customer Name],"⚠ Unknown")</f>
        <v>Walk-in Customer</v>
      </c>
      <c r="F6081" s="4" t="s">
        <v>12</v>
      </c>
      <c r="G6081" s="1" t="str">
        <f>_xlfn.XLOOKUP(tblSales[[#This Row],[Product Code]],tblProducts[Code],tblProducts[Product / Service Name],"⚠ Unknown")</f>
        <v>Bomber Jacket</v>
      </c>
      <c r="H6081" s="1" t="str">
        <f>_xlfn.XLOOKUP(tblSales[[#This Row],[Product Code]],tblProducts[Code],tblProducts[Category],"")</f>
        <v>Apparel &amp; Footwear</v>
      </c>
      <c r="I6081" s="4">
        <v>2</v>
      </c>
      <c r="J6081" s="5">
        <f>_xlfn.XLOOKUP(tblSales[[#This Row],[Product Code]],tblProducts[Code],tblProducts[Selling Price (excl. VAT)],0)</f>
        <v>350000</v>
      </c>
      <c r="K6081" s="5">
        <f>tblSales[[#This Row],[Qty]]*tblSales[[#This Row],[Unit Price]]</f>
        <v>700000</v>
      </c>
      <c r="L6081" s="5">
        <f>ROUND(tblSales[[#This Row],[DPP (excl. VAT)]]*VATEff,0)</f>
        <v>77000</v>
      </c>
      <c r="M6081" s="5">
        <f>tblSales[[#This Row],[DPP (excl. VAT)]]+tblSales[[#This Row],[Output VAT]]</f>
        <v>777000</v>
      </c>
      <c r="N6081" s="5">
        <f>tblSales[[#This Row],[Qty]]*_xlfn.XLOOKUP(tblSales[[#This Row],[Product Code]],tblProducts[Code],tblProducts[Unit Cost],0)</f>
        <v>420000</v>
      </c>
      <c r="O6081" s="4" t="s">
        <v>4865</v>
      </c>
      <c r="P6081" s="4" t="s">
        <v>4860</v>
      </c>
      <c r="Q6081" s="1" t="str">
        <f>_xlfn.XLOOKUP(tblSales[[#This Row],[Channel Code]],tblChannels[Channel Code],tblChannels[Channel Name],"")</f>
        <v>In-store</v>
      </c>
      <c r="R6081" s="1">
        <f>MONTH(tblSales[[#This Row],[Date]])</f>
        <v>12</v>
      </c>
    </row>
    <row r="6082" spans="2:18" x14ac:dyDescent="0.35">
      <c r="B6082" s="113">
        <v>46382</v>
      </c>
      <c r="C6082" s="4" t="s">
        <v>4177</v>
      </c>
      <c r="D6082" s="4" t="s">
        <v>4568</v>
      </c>
      <c r="E6082" s="1" t="str">
        <f>_xlfn.XLOOKUP(tblSales[[#This Row],[Customer ID]],tblCustomers[Customer ID],tblCustomers[Customer Name],"⚠ Unknown")</f>
        <v>Walk-in Customer</v>
      </c>
      <c r="F6082" s="4" t="s">
        <v>11</v>
      </c>
      <c r="G6082" s="1" t="str">
        <f>_xlfn.XLOOKUP(tblSales[[#This Row],[Product Code]],tblProducts[Code],tblProducts[Product / Service Name],"⚠ Unknown")</f>
        <v>Sneakers</v>
      </c>
      <c r="H6082" s="1" t="str">
        <f>_xlfn.XLOOKUP(tblSales[[#This Row],[Product Code]],tblProducts[Code],tblProducts[Category],"")</f>
        <v>Apparel &amp; Footwear</v>
      </c>
      <c r="I6082" s="4">
        <v>1</v>
      </c>
      <c r="J6082" s="5">
        <f>_xlfn.XLOOKUP(tblSales[[#This Row],[Product Code]],tblProducts[Code],tblProducts[Selling Price (excl. VAT)],0)</f>
        <v>250000</v>
      </c>
      <c r="K6082" s="5">
        <f>tblSales[[#This Row],[Qty]]*tblSales[[#This Row],[Unit Price]]</f>
        <v>250000</v>
      </c>
      <c r="L6082" s="5">
        <f>ROUND(tblSales[[#This Row],[DPP (excl. VAT)]]*VATEff,0)</f>
        <v>27500</v>
      </c>
      <c r="M6082" s="5">
        <f>tblSales[[#This Row],[DPP (excl. VAT)]]+tblSales[[#This Row],[Output VAT]]</f>
        <v>277500</v>
      </c>
      <c r="N6082" s="5">
        <f>tblSales[[#This Row],[Qty]]*_xlfn.XLOOKUP(tblSales[[#This Row],[Product Code]],tblProducts[Code],tblProducts[Unit Cost],0)</f>
        <v>155000</v>
      </c>
      <c r="O6082" s="4" t="s">
        <v>4865</v>
      </c>
      <c r="P6082" s="4" t="s">
        <v>4860</v>
      </c>
      <c r="Q6082" s="1" t="str">
        <f>_xlfn.XLOOKUP(tblSales[[#This Row],[Channel Code]],tblChannels[Channel Code],tblChannels[Channel Name],"")</f>
        <v>In-store</v>
      </c>
      <c r="R6082" s="1">
        <f>MONTH(tblSales[[#This Row],[Date]])</f>
        <v>12</v>
      </c>
    </row>
    <row r="6083" spans="2:18" x14ac:dyDescent="0.35">
      <c r="B6083" s="113">
        <v>46382</v>
      </c>
      <c r="C6083" s="4" t="s">
        <v>4177</v>
      </c>
      <c r="D6083" s="4" t="s">
        <v>4568</v>
      </c>
      <c r="E6083" s="1" t="str">
        <f>_xlfn.XLOOKUP(tblSales[[#This Row],[Customer ID]],tblCustomers[Customer ID],tblCustomers[Customer Name],"⚠ Unknown")</f>
        <v>Walk-in Customer</v>
      </c>
      <c r="F6083" s="4" t="s">
        <v>10</v>
      </c>
      <c r="G6083" s="1" t="str">
        <f>_xlfn.XLOOKUP(tblSales[[#This Row],[Product Code]],tblProducts[Code],tblProducts[Product / Service Name],"⚠ Unknown")</f>
        <v>Chino Pants</v>
      </c>
      <c r="H6083" s="1" t="str">
        <f>_xlfn.XLOOKUP(tblSales[[#This Row],[Product Code]],tblProducts[Code],tblProducts[Category],"")</f>
        <v>Apparel &amp; Footwear</v>
      </c>
      <c r="I6083" s="4">
        <v>6</v>
      </c>
      <c r="J6083" s="5">
        <f>_xlfn.XLOOKUP(tblSales[[#This Row],[Product Code]],tblProducts[Code],tblProducts[Selling Price (excl. VAT)],0)</f>
        <v>150000</v>
      </c>
      <c r="K6083" s="5">
        <f>tblSales[[#This Row],[Qty]]*tblSales[[#This Row],[Unit Price]]</f>
        <v>900000</v>
      </c>
      <c r="L6083" s="5">
        <f>ROUND(tblSales[[#This Row],[DPP (excl. VAT)]]*VATEff,0)</f>
        <v>99000</v>
      </c>
      <c r="M6083" s="5">
        <f>tblSales[[#This Row],[DPP (excl. VAT)]]+tblSales[[#This Row],[Output VAT]]</f>
        <v>999000</v>
      </c>
      <c r="N6083" s="5">
        <f>tblSales[[#This Row],[Qty]]*_xlfn.XLOOKUP(tblSales[[#This Row],[Product Code]],tblProducts[Code],tblProducts[Unit Cost],0)</f>
        <v>528000</v>
      </c>
      <c r="O6083" s="4" t="s">
        <v>4865</v>
      </c>
      <c r="P6083" s="4" t="s">
        <v>4860</v>
      </c>
      <c r="Q6083" s="1" t="str">
        <f>_xlfn.XLOOKUP(tblSales[[#This Row],[Channel Code]],tblChannels[Channel Code],tblChannels[Channel Name],"")</f>
        <v>In-store</v>
      </c>
      <c r="R6083" s="1">
        <f>MONTH(tblSales[[#This Row],[Date]])</f>
        <v>12</v>
      </c>
    </row>
    <row r="6084" spans="2:18" x14ac:dyDescent="0.35">
      <c r="B6084" s="113">
        <v>46382</v>
      </c>
      <c r="C6084" s="4" t="s">
        <v>4178</v>
      </c>
      <c r="D6084" s="4" t="s">
        <v>4620</v>
      </c>
      <c r="E6084" s="1" t="str">
        <f>_xlfn.XLOOKUP(tblSales[[#This Row],[Customer ID]],tblCustomers[Customer ID],tblCustomers[Customer Name],"⚠ Unknown")</f>
        <v>CV Sumber Rejeki Utama</v>
      </c>
      <c r="F6084" s="4" t="s">
        <v>7</v>
      </c>
      <c r="G6084" s="1" t="str">
        <f>_xlfn.XLOOKUP(tblSales[[#This Row],[Product Code]],tblProducts[Code],tblProducts[Product / Service Name],"⚠ Unknown")</f>
        <v>Premium Basic T-shirt</v>
      </c>
      <c r="H6084" s="1" t="str">
        <f>_xlfn.XLOOKUP(tblSales[[#This Row],[Product Code]],tblProducts[Code],tblProducts[Category],"")</f>
        <v>Accessories &amp; Basics</v>
      </c>
      <c r="I6084" s="4">
        <v>24</v>
      </c>
      <c r="J6084" s="5">
        <f>_xlfn.XLOOKUP(tblSales[[#This Row],[Product Code]],tblProducts[Code],tblProducts[Selling Price (excl. VAT)],0)</f>
        <v>65000</v>
      </c>
      <c r="K6084" s="5">
        <f>tblSales[[#This Row],[Qty]]*tblSales[[#This Row],[Unit Price]]</f>
        <v>1560000</v>
      </c>
      <c r="L6084" s="5">
        <f>ROUND(tblSales[[#This Row],[DPP (excl. VAT)]]*VATEff,0)</f>
        <v>171600</v>
      </c>
      <c r="M6084" s="5">
        <f>tblSales[[#This Row],[DPP (excl. VAT)]]+tblSales[[#This Row],[Output VAT]]</f>
        <v>1731600</v>
      </c>
      <c r="N6084" s="5">
        <f>tblSales[[#This Row],[Qty]]*_xlfn.XLOOKUP(tblSales[[#This Row],[Product Code]],tblProducts[Code],tblProducts[Unit Cost],0)</f>
        <v>888000</v>
      </c>
      <c r="O6084" s="4" t="s">
        <v>4867</v>
      </c>
      <c r="P6084" s="4" t="s">
        <v>4860</v>
      </c>
      <c r="Q6084" s="1" t="str">
        <f>_xlfn.XLOOKUP(tblSales[[#This Row],[Channel Code]],tblChannels[Channel Code],tblChannels[Channel Name],"")</f>
        <v>In-store</v>
      </c>
      <c r="R6084" s="1">
        <f>MONTH(tblSales[[#This Row],[Date]])</f>
        <v>12</v>
      </c>
    </row>
    <row r="6085" spans="2:18" x14ac:dyDescent="0.35">
      <c r="B6085" s="113">
        <v>46382</v>
      </c>
      <c r="C6085" s="4" t="s">
        <v>4179</v>
      </c>
      <c r="D6085" s="4" t="s">
        <v>4568</v>
      </c>
      <c r="E6085" s="1" t="str">
        <f>_xlfn.XLOOKUP(tblSales[[#This Row],[Customer ID]],tblCustomers[Customer ID],tblCustomers[Customer Name],"⚠ Unknown")</f>
        <v>Walk-in Customer</v>
      </c>
      <c r="F6085" s="4" t="s">
        <v>9</v>
      </c>
      <c r="G6085" s="1" t="str">
        <f>_xlfn.XLOOKUP(tblSales[[#This Row],[Product Code]],tblProducts[Code],tblProducts[Product / Service Name],"⚠ Unknown")</f>
        <v>Casual Shirt</v>
      </c>
      <c r="H6085" s="1" t="str">
        <f>_xlfn.XLOOKUP(tblSales[[#This Row],[Product Code]],tblProducts[Code],tblProducts[Category],"")</f>
        <v>Apparel &amp; Footwear</v>
      </c>
      <c r="I6085" s="4">
        <v>5</v>
      </c>
      <c r="J6085" s="5">
        <f>_xlfn.XLOOKUP(tblSales[[#This Row],[Product Code]],tblProducts[Code],tblProducts[Selling Price (excl. VAT)],0)</f>
        <v>120000</v>
      </c>
      <c r="K6085" s="5">
        <f>tblSales[[#This Row],[Qty]]*tblSales[[#This Row],[Unit Price]]</f>
        <v>600000</v>
      </c>
      <c r="L6085" s="5">
        <f>ROUND(tblSales[[#This Row],[DPP (excl. VAT)]]*VATEff,0)</f>
        <v>66000</v>
      </c>
      <c r="M6085" s="5">
        <f>tblSales[[#This Row],[DPP (excl. VAT)]]+tblSales[[#This Row],[Output VAT]]</f>
        <v>666000</v>
      </c>
      <c r="N6085" s="5">
        <f>tblSales[[#This Row],[Qty]]*_xlfn.XLOOKUP(tblSales[[#This Row],[Product Code]],tblProducts[Code],tblProducts[Unit Cost],0)</f>
        <v>360000</v>
      </c>
      <c r="O6085" s="4" t="s">
        <v>4865</v>
      </c>
      <c r="P6085" s="4" t="s">
        <v>4860</v>
      </c>
      <c r="Q6085" s="1" t="str">
        <f>_xlfn.XLOOKUP(tblSales[[#This Row],[Channel Code]],tblChannels[Channel Code],tblChannels[Channel Name],"")</f>
        <v>In-store</v>
      </c>
      <c r="R6085" s="1">
        <f>MONTH(tblSales[[#This Row],[Date]])</f>
        <v>12</v>
      </c>
    </row>
    <row r="6086" spans="2:18" x14ac:dyDescent="0.35">
      <c r="B6086" s="113">
        <v>46382</v>
      </c>
      <c r="C6086" s="4" t="s">
        <v>4180</v>
      </c>
      <c r="D6086" s="4" t="s">
        <v>4568</v>
      </c>
      <c r="E6086" s="1" t="str">
        <f>_xlfn.XLOOKUP(tblSales[[#This Row],[Customer ID]],tblCustomers[Customer ID],tblCustomers[Customer Name],"⚠ Unknown")</f>
        <v>Walk-in Customer</v>
      </c>
      <c r="F6086" s="4" t="s">
        <v>8</v>
      </c>
      <c r="G6086" s="1" t="str">
        <f>_xlfn.XLOOKUP(tblSales[[#This Row],[Product Code]],tblProducts[Code],tblProducts[Product / Service Name],"⚠ Unknown")</f>
        <v>Casual Shorts</v>
      </c>
      <c r="H6086" s="1" t="str">
        <f>_xlfn.XLOOKUP(tblSales[[#This Row],[Product Code]],tblProducts[Code],tblProducts[Category],"")</f>
        <v>Accessories &amp; Basics</v>
      </c>
      <c r="I6086" s="4">
        <v>3</v>
      </c>
      <c r="J6086" s="5">
        <f>_xlfn.XLOOKUP(tblSales[[#This Row],[Product Code]],tblProducts[Code],tblProducts[Selling Price (excl. VAT)],0)</f>
        <v>85000</v>
      </c>
      <c r="K6086" s="5">
        <f>tblSales[[#This Row],[Qty]]*tblSales[[#This Row],[Unit Price]]</f>
        <v>255000</v>
      </c>
      <c r="L6086" s="5">
        <f>ROUND(tblSales[[#This Row],[DPP (excl. VAT)]]*VATEff,0)</f>
        <v>28050</v>
      </c>
      <c r="M6086" s="5">
        <f>tblSales[[#This Row],[DPP (excl. VAT)]]+tblSales[[#This Row],[Output VAT]]</f>
        <v>283050</v>
      </c>
      <c r="N6086" s="5">
        <f>tblSales[[#This Row],[Qty]]*_xlfn.XLOOKUP(tblSales[[#This Row],[Product Code]],tblProducts[Code],tblProducts[Unit Cost],0)</f>
        <v>150000</v>
      </c>
      <c r="O6086" s="4" t="s">
        <v>4865</v>
      </c>
      <c r="P6086" s="4" t="s">
        <v>4860</v>
      </c>
      <c r="Q6086" s="1" t="str">
        <f>_xlfn.XLOOKUP(tblSales[[#This Row],[Channel Code]],tblChannels[Channel Code],tblChannels[Channel Name],"")</f>
        <v>In-store</v>
      </c>
      <c r="R6086" s="1">
        <f>MONTH(tblSales[[#This Row],[Date]])</f>
        <v>12</v>
      </c>
    </row>
    <row r="6087" spans="2:18" x14ac:dyDescent="0.35">
      <c r="B6087" s="113">
        <v>46382</v>
      </c>
      <c r="C6087" s="4" t="s">
        <v>4181</v>
      </c>
      <c r="D6087" s="4" t="s">
        <v>4568</v>
      </c>
      <c r="E6087" s="1" t="str">
        <f>_xlfn.XLOOKUP(tblSales[[#This Row],[Customer ID]],tblCustomers[Customer ID],tblCustomers[Customer Name],"⚠ Unknown")</f>
        <v>Walk-in Customer</v>
      </c>
      <c r="F6087" s="4" t="s">
        <v>9</v>
      </c>
      <c r="G6087" s="1" t="str">
        <f>_xlfn.XLOOKUP(tblSales[[#This Row],[Product Code]],tblProducts[Code],tblProducts[Product / Service Name],"⚠ Unknown")</f>
        <v>Casual Shirt</v>
      </c>
      <c r="H6087" s="1" t="str">
        <f>_xlfn.XLOOKUP(tblSales[[#This Row],[Product Code]],tblProducts[Code],tblProducts[Category],"")</f>
        <v>Apparel &amp; Footwear</v>
      </c>
      <c r="I6087" s="4">
        <v>12</v>
      </c>
      <c r="J6087" s="5">
        <f>_xlfn.XLOOKUP(tblSales[[#This Row],[Product Code]],tblProducts[Code],tblProducts[Selling Price (excl. VAT)],0)</f>
        <v>120000</v>
      </c>
      <c r="K6087" s="5">
        <f>tblSales[[#This Row],[Qty]]*tblSales[[#This Row],[Unit Price]]</f>
        <v>1440000</v>
      </c>
      <c r="L6087" s="5">
        <f>ROUND(tblSales[[#This Row],[DPP (excl. VAT)]]*VATEff,0)</f>
        <v>158400</v>
      </c>
      <c r="M6087" s="5">
        <f>tblSales[[#This Row],[DPP (excl. VAT)]]+tblSales[[#This Row],[Output VAT]]</f>
        <v>1598400</v>
      </c>
      <c r="N6087" s="5">
        <f>tblSales[[#This Row],[Qty]]*_xlfn.XLOOKUP(tblSales[[#This Row],[Product Code]],tblProducts[Code],tblProducts[Unit Cost],0)</f>
        <v>864000</v>
      </c>
      <c r="O6087" s="4" t="s">
        <v>4865</v>
      </c>
      <c r="P6087" s="4" t="s">
        <v>4860</v>
      </c>
      <c r="Q6087" s="1" t="str">
        <f>_xlfn.XLOOKUP(tblSales[[#This Row],[Channel Code]],tblChannels[Channel Code],tblChannels[Channel Name],"")</f>
        <v>In-store</v>
      </c>
      <c r="R6087" s="1">
        <f>MONTH(tblSales[[#This Row],[Date]])</f>
        <v>12</v>
      </c>
    </row>
    <row r="6088" spans="2:18" x14ac:dyDescent="0.35">
      <c r="B6088" s="113">
        <v>46382</v>
      </c>
      <c r="C6088" s="4" t="s">
        <v>4182</v>
      </c>
      <c r="D6088" s="4" t="s">
        <v>4568</v>
      </c>
      <c r="E6088" s="1" t="str">
        <f>_xlfn.XLOOKUP(tblSales[[#This Row],[Customer ID]],tblCustomers[Customer ID],tblCustomers[Customer Name],"⚠ Unknown")</f>
        <v>Walk-in Customer</v>
      </c>
      <c r="F6088" s="4" t="s">
        <v>7</v>
      </c>
      <c r="G6088" s="1" t="str">
        <f>_xlfn.XLOOKUP(tblSales[[#This Row],[Product Code]],tblProducts[Code],tblProducts[Product / Service Name],"⚠ Unknown")</f>
        <v>Premium Basic T-shirt</v>
      </c>
      <c r="H6088" s="1" t="str">
        <f>_xlfn.XLOOKUP(tblSales[[#This Row],[Product Code]],tblProducts[Code],tblProducts[Category],"")</f>
        <v>Accessories &amp; Basics</v>
      </c>
      <c r="I6088" s="4">
        <v>12</v>
      </c>
      <c r="J6088" s="5">
        <f>_xlfn.XLOOKUP(tblSales[[#This Row],[Product Code]],tblProducts[Code],tblProducts[Selling Price (excl. VAT)],0)</f>
        <v>65000</v>
      </c>
      <c r="K6088" s="5">
        <f>tblSales[[#This Row],[Qty]]*tblSales[[#This Row],[Unit Price]]</f>
        <v>780000</v>
      </c>
      <c r="L6088" s="5">
        <f>ROUND(tblSales[[#This Row],[DPP (excl. VAT)]]*VATEff,0)</f>
        <v>85800</v>
      </c>
      <c r="M6088" s="5">
        <f>tblSales[[#This Row],[DPP (excl. VAT)]]+tblSales[[#This Row],[Output VAT]]</f>
        <v>865800</v>
      </c>
      <c r="N6088" s="5">
        <f>tblSales[[#This Row],[Qty]]*_xlfn.XLOOKUP(tblSales[[#This Row],[Product Code]],tblProducts[Code],tblProducts[Unit Cost],0)</f>
        <v>444000</v>
      </c>
      <c r="O6088" s="4" t="s">
        <v>4865</v>
      </c>
      <c r="P6088" s="4" t="s">
        <v>4860</v>
      </c>
      <c r="Q6088" s="1" t="str">
        <f>_xlfn.XLOOKUP(tblSales[[#This Row],[Channel Code]],tblChannels[Channel Code],tblChannels[Channel Name],"")</f>
        <v>In-store</v>
      </c>
      <c r="R6088" s="1">
        <f>MONTH(tblSales[[#This Row],[Date]])</f>
        <v>12</v>
      </c>
    </row>
    <row r="6089" spans="2:18" x14ac:dyDescent="0.35">
      <c r="B6089" s="113">
        <v>46382</v>
      </c>
      <c r="C6089" s="4" t="s">
        <v>4182</v>
      </c>
      <c r="D6089" s="4" t="s">
        <v>4568</v>
      </c>
      <c r="E6089" s="1" t="str">
        <f>_xlfn.XLOOKUP(tblSales[[#This Row],[Customer ID]],tblCustomers[Customer ID],tblCustomers[Customer Name],"⚠ Unknown")</f>
        <v>Walk-in Customer</v>
      </c>
      <c r="F6089" s="4" t="s">
        <v>8</v>
      </c>
      <c r="G6089" s="1" t="str">
        <f>_xlfn.XLOOKUP(tblSales[[#This Row],[Product Code]],tblProducts[Code],tblProducts[Product / Service Name],"⚠ Unknown")</f>
        <v>Casual Shorts</v>
      </c>
      <c r="H6089" s="1" t="str">
        <f>_xlfn.XLOOKUP(tblSales[[#This Row],[Product Code]],tblProducts[Code],tblProducts[Category],"")</f>
        <v>Accessories &amp; Basics</v>
      </c>
      <c r="I6089" s="4">
        <v>12</v>
      </c>
      <c r="J6089" s="5">
        <f>_xlfn.XLOOKUP(tblSales[[#This Row],[Product Code]],tblProducts[Code],tblProducts[Selling Price (excl. VAT)],0)</f>
        <v>85000</v>
      </c>
      <c r="K6089" s="5">
        <f>tblSales[[#This Row],[Qty]]*tblSales[[#This Row],[Unit Price]]</f>
        <v>1020000</v>
      </c>
      <c r="L6089" s="5">
        <f>ROUND(tblSales[[#This Row],[DPP (excl. VAT)]]*VATEff,0)</f>
        <v>112200</v>
      </c>
      <c r="M6089" s="5">
        <f>tblSales[[#This Row],[DPP (excl. VAT)]]+tblSales[[#This Row],[Output VAT]]</f>
        <v>1132200</v>
      </c>
      <c r="N6089" s="5">
        <f>tblSales[[#This Row],[Qty]]*_xlfn.XLOOKUP(tblSales[[#This Row],[Product Code]],tblProducts[Code],tblProducts[Unit Cost],0)</f>
        <v>600000</v>
      </c>
      <c r="O6089" s="4" t="s">
        <v>4865</v>
      </c>
      <c r="P6089" s="4" t="s">
        <v>4860</v>
      </c>
      <c r="Q6089" s="1" t="str">
        <f>_xlfn.XLOOKUP(tblSales[[#This Row],[Channel Code]],tblChannels[Channel Code],tblChannels[Channel Name],"")</f>
        <v>In-store</v>
      </c>
      <c r="R6089" s="1">
        <f>MONTH(tblSales[[#This Row],[Date]])</f>
        <v>12</v>
      </c>
    </row>
    <row r="6090" spans="2:18" x14ac:dyDescent="0.35">
      <c r="B6090" s="113">
        <v>46382</v>
      </c>
      <c r="C6090" s="4" t="s">
        <v>4182</v>
      </c>
      <c r="D6090" s="4" t="s">
        <v>4568</v>
      </c>
      <c r="E6090" s="1" t="str">
        <f>_xlfn.XLOOKUP(tblSales[[#This Row],[Customer ID]],tblCustomers[Customer ID],tblCustomers[Customer Name],"⚠ Unknown")</f>
        <v>Walk-in Customer</v>
      </c>
      <c r="F6090" s="4" t="s">
        <v>15</v>
      </c>
      <c r="G6090" s="1" t="str">
        <f>_xlfn.XLOOKUP(tblSales[[#This Row],[Product Code]],tblProducts[Code],tblProducts[Product / Service Name],"⚠ Unknown")</f>
        <v>Wireless Earbuds Pro</v>
      </c>
      <c r="H6090" s="1" t="str">
        <f>_xlfn.XLOOKUP(tblSales[[#This Row],[Product Code]],tblProducts[Code],tblProducts[Category],"")</f>
        <v>Bags &amp; Gadgets</v>
      </c>
      <c r="I6090" s="4">
        <v>2</v>
      </c>
      <c r="J6090" s="5">
        <f>_xlfn.XLOOKUP(tblSales[[#This Row],[Product Code]],tblProducts[Code],tblProducts[Selling Price (excl. VAT)],0)</f>
        <v>1250000</v>
      </c>
      <c r="K6090" s="5">
        <f>tblSales[[#This Row],[Qty]]*tblSales[[#This Row],[Unit Price]]</f>
        <v>2500000</v>
      </c>
      <c r="L6090" s="5">
        <f>ROUND(tblSales[[#This Row],[DPP (excl. VAT)]]*VATEff,0)</f>
        <v>275000</v>
      </c>
      <c r="M6090" s="5">
        <f>tblSales[[#This Row],[DPP (excl. VAT)]]+tblSales[[#This Row],[Output VAT]]</f>
        <v>2775000</v>
      </c>
      <c r="N6090" s="5">
        <f>tblSales[[#This Row],[Qty]]*_xlfn.XLOOKUP(tblSales[[#This Row],[Product Code]],tblProducts[Code],tblProducts[Unit Cost],0)</f>
        <v>1640000</v>
      </c>
      <c r="O6090" s="4" t="s">
        <v>4865</v>
      </c>
      <c r="P6090" s="4" t="s">
        <v>4860</v>
      </c>
      <c r="Q6090" s="1" t="str">
        <f>_xlfn.XLOOKUP(tblSales[[#This Row],[Channel Code]],tblChannels[Channel Code],tblChannels[Channel Name],"")</f>
        <v>In-store</v>
      </c>
      <c r="R6090" s="1">
        <f>MONTH(tblSales[[#This Row],[Date]])</f>
        <v>12</v>
      </c>
    </row>
    <row r="6091" spans="2:18" x14ac:dyDescent="0.35">
      <c r="B6091" s="113">
        <v>46382</v>
      </c>
      <c r="C6091" s="4" t="s">
        <v>4183</v>
      </c>
      <c r="D6091" s="4" t="s">
        <v>4572</v>
      </c>
      <c r="E6091" s="1" t="str">
        <f>_xlfn.XLOOKUP(tblSales[[#This Row],[Customer ID]],tblCustomers[Customer ID],tblCustomers[Customer Name],"⚠ Unknown")</f>
        <v>PT Cahaya Abadi Makmur</v>
      </c>
      <c r="F6091" s="4" t="s">
        <v>7</v>
      </c>
      <c r="G6091" s="1" t="str">
        <f>_xlfn.XLOOKUP(tblSales[[#This Row],[Product Code]],tblProducts[Code],tblProducts[Product / Service Name],"⚠ Unknown")</f>
        <v>Premium Basic T-shirt</v>
      </c>
      <c r="H6091" s="1" t="str">
        <f>_xlfn.XLOOKUP(tblSales[[#This Row],[Product Code]],tblProducts[Code],tblProducts[Category],"")</f>
        <v>Accessories &amp; Basics</v>
      </c>
      <c r="I6091" s="4">
        <v>40</v>
      </c>
      <c r="J6091" s="5">
        <f>_xlfn.XLOOKUP(tblSales[[#This Row],[Product Code]],tblProducts[Code],tblProducts[Selling Price (excl. VAT)],0)</f>
        <v>65000</v>
      </c>
      <c r="K6091" s="5">
        <f>tblSales[[#This Row],[Qty]]*tblSales[[#This Row],[Unit Price]]</f>
        <v>2600000</v>
      </c>
      <c r="L6091" s="5">
        <f>ROUND(tblSales[[#This Row],[DPP (excl. VAT)]]*VATEff,0)</f>
        <v>286000</v>
      </c>
      <c r="M6091" s="5">
        <f>tblSales[[#This Row],[DPP (excl. VAT)]]+tblSales[[#This Row],[Output VAT]]</f>
        <v>2886000</v>
      </c>
      <c r="N6091" s="5">
        <f>tblSales[[#This Row],[Qty]]*_xlfn.XLOOKUP(tblSales[[#This Row],[Product Code]],tblProducts[Code],tblProducts[Unit Cost],0)</f>
        <v>1480000</v>
      </c>
      <c r="O6091" s="4" t="s">
        <v>4867</v>
      </c>
      <c r="P6091" s="4" t="s">
        <v>4860</v>
      </c>
      <c r="Q6091" s="1" t="str">
        <f>_xlfn.XLOOKUP(tblSales[[#This Row],[Channel Code]],tblChannels[Channel Code],tblChannels[Channel Name],"")</f>
        <v>In-store</v>
      </c>
      <c r="R6091" s="1">
        <f>MONTH(tblSales[[#This Row],[Date]])</f>
        <v>12</v>
      </c>
    </row>
    <row r="6092" spans="2:18" x14ac:dyDescent="0.35">
      <c r="B6092" s="113">
        <v>46382</v>
      </c>
      <c r="C6092" s="4" t="s">
        <v>4184</v>
      </c>
      <c r="D6092" s="4" t="s">
        <v>4568</v>
      </c>
      <c r="E6092" s="1" t="str">
        <f>_xlfn.XLOOKUP(tblSales[[#This Row],[Customer ID]],tblCustomers[Customer ID],tblCustomers[Customer Name],"⚠ Unknown")</f>
        <v>Walk-in Customer</v>
      </c>
      <c r="F6092" s="4" t="s">
        <v>7</v>
      </c>
      <c r="G6092" s="1" t="str">
        <f>_xlfn.XLOOKUP(tblSales[[#This Row],[Product Code]],tblProducts[Code],tblProducts[Product / Service Name],"⚠ Unknown")</f>
        <v>Premium Basic T-shirt</v>
      </c>
      <c r="H6092" s="1" t="str">
        <f>_xlfn.XLOOKUP(tblSales[[#This Row],[Product Code]],tblProducts[Code],tblProducts[Category],"")</f>
        <v>Accessories &amp; Basics</v>
      </c>
      <c r="I6092" s="4">
        <v>6</v>
      </c>
      <c r="J6092" s="5">
        <f>_xlfn.XLOOKUP(tblSales[[#This Row],[Product Code]],tblProducts[Code],tblProducts[Selling Price (excl. VAT)],0)</f>
        <v>65000</v>
      </c>
      <c r="K6092" s="5">
        <f>tblSales[[#This Row],[Qty]]*tblSales[[#This Row],[Unit Price]]</f>
        <v>390000</v>
      </c>
      <c r="L6092" s="5">
        <f>ROUND(tblSales[[#This Row],[DPP (excl. VAT)]]*VATEff,0)</f>
        <v>42900</v>
      </c>
      <c r="M6092" s="5">
        <f>tblSales[[#This Row],[DPP (excl. VAT)]]+tblSales[[#This Row],[Output VAT]]</f>
        <v>432900</v>
      </c>
      <c r="N6092" s="5">
        <f>tblSales[[#This Row],[Qty]]*_xlfn.XLOOKUP(tblSales[[#This Row],[Product Code]],tblProducts[Code],tblProducts[Unit Cost],0)</f>
        <v>222000</v>
      </c>
      <c r="O6092" s="4" t="s">
        <v>4865</v>
      </c>
      <c r="P6092" s="4" t="s">
        <v>4860</v>
      </c>
      <c r="Q6092" s="1" t="str">
        <f>_xlfn.XLOOKUP(tblSales[[#This Row],[Channel Code]],tblChannels[Channel Code],tblChannels[Channel Name],"")</f>
        <v>In-store</v>
      </c>
      <c r="R6092" s="1">
        <f>MONTH(tblSales[[#This Row],[Date]])</f>
        <v>12</v>
      </c>
    </row>
    <row r="6093" spans="2:18" x14ac:dyDescent="0.35">
      <c r="B6093" s="113">
        <v>46382</v>
      </c>
      <c r="C6093" s="4" t="s">
        <v>4185</v>
      </c>
      <c r="D6093" s="4" t="s">
        <v>4568</v>
      </c>
      <c r="E6093" s="1" t="str">
        <f>_xlfn.XLOOKUP(tblSales[[#This Row],[Customer ID]],tblCustomers[Customer ID],tblCustomers[Customer Name],"⚠ Unknown")</f>
        <v>Walk-in Customer</v>
      </c>
      <c r="F6093" s="4" t="s">
        <v>6</v>
      </c>
      <c r="G6093" s="1" t="str">
        <f>_xlfn.XLOOKUP(tblSales[[#This Row],[Product Code]],tblProducts[Code],tblProducts[Product / Service Name],"⚠ Unknown")</f>
        <v>Socks &amp; Accessories</v>
      </c>
      <c r="H6093" s="1" t="str">
        <f>_xlfn.XLOOKUP(tblSales[[#This Row],[Product Code]],tblProducts[Code],tblProducts[Category],"")</f>
        <v>Accessories &amp; Basics</v>
      </c>
      <c r="I6093" s="4">
        <v>10</v>
      </c>
      <c r="J6093" s="5">
        <f>_xlfn.XLOOKUP(tblSales[[#This Row],[Product Code]],tblProducts[Code],tblProducts[Selling Price (excl. VAT)],0)</f>
        <v>45000</v>
      </c>
      <c r="K6093" s="5">
        <f>tblSales[[#This Row],[Qty]]*tblSales[[#This Row],[Unit Price]]</f>
        <v>450000</v>
      </c>
      <c r="L6093" s="5">
        <f>ROUND(tblSales[[#This Row],[DPP (excl. VAT)]]*VATEff,0)</f>
        <v>49500</v>
      </c>
      <c r="M6093" s="5">
        <f>tblSales[[#This Row],[DPP (excl. VAT)]]+tblSales[[#This Row],[Output VAT]]</f>
        <v>499500</v>
      </c>
      <c r="N6093" s="5">
        <f>tblSales[[#This Row],[Qty]]*_xlfn.XLOOKUP(tblSales[[#This Row],[Product Code]],tblProducts[Code],tblProducts[Unit Cost],0)</f>
        <v>240000</v>
      </c>
      <c r="O6093" s="4" t="s">
        <v>4865</v>
      </c>
      <c r="P6093" s="4" t="s">
        <v>4860</v>
      </c>
      <c r="Q6093" s="1" t="str">
        <f>_xlfn.XLOOKUP(tblSales[[#This Row],[Channel Code]],tblChannels[Channel Code],tblChannels[Channel Name],"")</f>
        <v>In-store</v>
      </c>
      <c r="R6093" s="1">
        <f>MONTH(tblSales[[#This Row],[Date]])</f>
        <v>12</v>
      </c>
    </row>
    <row r="6094" spans="2:18" x14ac:dyDescent="0.35">
      <c r="B6094" s="113">
        <v>46382</v>
      </c>
      <c r="C6094" s="4" t="s">
        <v>4185</v>
      </c>
      <c r="D6094" s="4" t="s">
        <v>4568</v>
      </c>
      <c r="E6094" s="1" t="str">
        <f>_xlfn.XLOOKUP(tblSales[[#This Row],[Customer ID]],tblCustomers[Customer ID],tblCustomers[Customer Name],"⚠ Unknown")</f>
        <v>Walk-in Customer</v>
      </c>
      <c r="F6094" s="4" t="s">
        <v>8</v>
      </c>
      <c r="G6094" s="1" t="str">
        <f>_xlfn.XLOOKUP(tblSales[[#This Row],[Product Code]],tblProducts[Code],tblProducts[Product / Service Name],"⚠ Unknown")</f>
        <v>Casual Shorts</v>
      </c>
      <c r="H6094" s="1" t="str">
        <f>_xlfn.XLOOKUP(tblSales[[#This Row],[Product Code]],tblProducts[Code],tblProducts[Category],"")</f>
        <v>Accessories &amp; Basics</v>
      </c>
      <c r="I6094" s="4">
        <v>10</v>
      </c>
      <c r="J6094" s="5">
        <f>_xlfn.XLOOKUP(tblSales[[#This Row],[Product Code]],tblProducts[Code],tblProducts[Selling Price (excl. VAT)],0)</f>
        <v>85000</v>
      </c>
      <c r="K6094" s="5">
        <f>tblSales[[#This Row],[Qty]]*tblSales[[#This Row],[Unit Price]]</f>
        <v>850000</v>
      </c>
      <c r="L6094" s="5">
        <f>ROUND(tblSales[[#This Row],[DPP (excl. VAT)]]*VATEff,0)</f>
        <v>93500</v>
      </c>
      <c r="M6094" s="5">
        <f>tblSales[[#This Row],[DPP (excl. VAT)]]+tblSales[[#This Row],[Output VAT]]</f>
        <v>943500</v>
      </c>
      <c r="N6094" s="5">
        <f>tblSales[[#This Row],[Qty]]*_xlfn.XLOOKUP(tblSales[[#This Row],[Product Code]],tblProducts[Code],tblProducts[Unit Cost],0)</f>
        <v>500000</v>
      </c>
      <c r="O6094" s="4" t="s">
        <v>4865</v>
      </c>
      <c r="P6094" s="4" t="s">
        <v>4860</v>
      </c>
      <c r="Q6094" s="1" t="str">
        <f>_xlfn.XLOOKUP(tblSales[[#This Row],[Channel Code]],tblChannels[Channel Code],tblChannels[Channel Name],"")</f>
        <v>In-store</v>
      </c>
      <c r="R6094" s="1">
        <f>MONTH(tblSales[[#This Row],[Date]])</f>
        <v>12</v>
      </c>
    </row>
    <row r="6095" spans="2:18" x14ac:dyDescent="0.35">
      <c r="B6095" s="113">
        <v>46382</v>
      </c>
      <c r="C6095" s="4" t="s">
        <v>4186</v>
      </c>
      <c r="D6095" s="4" t="s">
        <v>4568</v>
      </c>
      <c r="E6095" s="1" t="str">
        <f>_xlfn.XLOOKUP(tblSales[[#This Row],[Customer ID]],tblCustomers[Customer ID],tblCustomers[Customer Name],"⚠ Unknown")</f>
        <v>Walk-in Customer</v>
      </c>
      <c r="F6095" s="4" t="s">
        <v>9</v>
      </c>
      <c r="G6095" s="1" t="str">
        <f>_xlfn.XLOOKUP(tblSales[[#This Row],[Product Code]],tblProducts[Code],tblProducts[Product / Service Name],"⚠ Unknown")</f>
        <v>Casual Shirt</v>
      </c>
      <c r="H6095" s="1" t="str">
        <f>_xlfn.XLOOKUP(tblSales[[#This Row],[Product Code]],tblProducts[Code],tblProducts[Category],"")</f>
        <v>Apparel &amp; Footwear</v>
      </c>
      <c r="I6095" s="4">
        <v>8</v>
      </c>
      <c r="J6095" s="5">
        <f>_xlfn.XLOOKUP(tblSales[[#This Row],[Product Code]],tblProducts[Code],tblProducts[Selling Price (excl. VAT)],0)</f>
        <v>120000</v>
      </c>
      <c r="K6095" s="5">
        <f>tblSales[[#This Row],[Qty]]*tblSales[[#This Row],[Unit Price]]</f>
        <v>960000</v>
      </c>
      <c r="L6095" s="5">
        <f>ROUND(tblSales[[#This Row],[DPP (excl. VAT)]]*VATEff,0)</f>
        <v>105600</v>
      </c>
      <c r="M6095" s="5">
        <f>tblSales[[#This Row],[DPP (excl. VAT)]]+tblSales[[#This Row],[Output VAT]]</f>
        <v>1065600</v>
      </c>
      <c r="N6095" s="5">
        <f>tblSales[[#This Row],[Qty]]*_xlfn.XLOOKUP(tblSales[[#This Row],[Product Code]],tblProducts[Code],tblProducts[Unit Cost],0)</f>
        <v>576000</v>
      </c>
      <c r="O6095" s="4" t="s">
        <v>4866</v>
      </c>
      <c r="P6095" s="4" t="s">
        <v>4860</v>
      </c>
      <c r="Q6095" s="1" t="str">
        <f>_xlfn.XLOOKUP(tblSales[[#This Row],[Channel Code]],tblChannels[Channel Code],tblChannels[Channel Name],"")</f>
        <v>In-store</v>
      </c>
      <c r="R6095" s="1">
        <f>MONTH(tblSales[[#This Row],[Date]])</f>
        <v>12</v>
      </c>
    </row>
    <row r="6096" spans="2:18" x14ac:dyDescent="0.35">
      <c r="B6096" s="113">
        <v>46382</v>
      </c>
      <c r="C6096" s="4" t="s">
        <v>4187</v>
      </c>
      <c r="D6096" s="4" t="s">
        <v>4572</v>
      </c>
      <c r="E6096" s="1" t="str">
        <f>_xlfn.XLOOKUP(tblSales[[#This Row],[Customer ID]],tblCustomers[Customer ID],tblCustomers[Customer Name],"⚠ Unknown")</f>
        <v>PT Cahaya Abadi Makmur</v>
      </c>
      <c r="F6096" s="4" t="s">
        <v>10</v>
      </c>
      <c r="G6096" s="1" t="str">
        <f>_xlfn.XLOOKUP(tblSales[[#This Row],[Product Code]],tblProducts[Code],tblProducts[Product / Service Name],"⚠ Unknown")</f>
        <v>Chino Pants</v>
      </c>
      <c r="H6096" s="1" t="str">
        <f>_xlfn.XLOOKUP(tblSales[[#This Row],[Product Code]],tblProducts[Code],tblProducts[Category],"")</f>
        <v>Apparel &amp; Footwear</v>
      </c>
      <c r="I6096" s="4">
        <v>96</v>
      </c>
      <c r="J6096" s="5">
        <f>_xlfn.XLOOKUP(tblSales[[#This Row],[Product Code]],tblProducts[Code],tblProducts[Selling Price (excl. VAT)],0)</f>
        <v>150000</v>
      </c>
      <c r="K6096" s="5">
        <f>tblSales[[#This Row],[Qty]]*tblSales[[#This Row],[Unit Price]]</f>
        <v>14400000</v>
      </c>
      <c r="L6096" s="5">
        <f>ROUND(tblSales[[#This Row],[DPP (excl. VAT)]]*VATEff,0)</f>
        <v>1584000</v>
      </c>
      <c r="M6096" s="5">
        <f>tblSales[[#This Row],[DPP (excl. VAT)]]+tblSales[[#This Row],[Output VAT]]</f>
        <v>15984000</v>
      </c>
      <c r="N6096" s="5">
        <f>tblSales[[#This Row],[Qty]]*_xlfn.XLOOKUP(tblSales[[#This Row],[Product Code]],tblProducts[Code],tblProducts[Unit Cost],0)</f>
        <v>8448000</v>
      </c>
      <c r="O6096" s="4" t="s">
        <v>4867</v>
      </c>
      <c r="P6096" s="4" t="s">
        <v>4860</v>
      </c>
      <c r="Q6096" s="1" t="str">
        <f>_xlfn.XLOOKUP(tblSales[[#This Row],[Channel Code]],tblChannels[Channel Code],tblChannels[Channel Name],"")</f>
        <v>In-store</v>
      </c>
      <c r="R6096" s="1">
        <f>MONTH(tblSales[[#This Row],[Date]])</f>
        <v>12</v>
      </c>
    </row>
    <row r="6097" spans="2:18" x14ac:dyDescent="0.35">
      <c r="B6097" s="113">
        <v>46382</v>
      </c>
      <c r="C6097" s="4" t="s">
        <v>4187</v>
      </c>
      <c r="D6097" s="4" t="s">
        <v>4572</v>
      </c>
      <c r="E6097" s="1" t="str">
        <f>_xlfn.XLOOKUP(tblSales[[#This Row],[Customer ID]],tblCustomers[Customer ID],tblCustomers[Customer Name],"⚠ Unknown")</f>
        <v>PT Cahaya Abadi Makmur</v>
      </c>
      <c r="F6097" s="4" t="s">
        <v>12</v>
      </c>
      <c r="G6097" s="1" t="str">
        <f>_xlfn.XLOOKUP(tblSales[[#This Row],[Product Code]],tblProducts[Code],tblProducts[Product / Service Name],"⚠ Unknown")</f>
        <v>Bomber Jacket</v>
      </c>
      <c r="H6097" s="1" t="str">
        <f>_xlfn.XLOOKUP(tblSales[[#This Row],[Product Code]],tblProducts[Code],tblProducts[Category],"")</f>
        <v>Apparel &amp; Footwear</v>
      </c>
      <c r="I6097" s="4">
        <v>24</v>
      </c>
      <c r="J6097" s="5">
        <f>_xlfn.XLOOKUP(tblSales[[#This Row],[Product Code]],tblProducts[Code],tblProducts[Selling Price (excl. VAT)],0)</f>
        <v>350000</v>
      </c>
      <c r="K6097" s="5">
        <f>tblSales[[#This Row],[Qty]]*tblSales[[#This Row],[Unit Price]]</f>
        <v>8400000</v>
      </c>
      <c r="L6097" s="5">
        <f>ROUND(tblSales[[#This Row],[DPP (excl. VAT)]]*VATEff,0)</f>
        <v>924000</v>
      </c>
      <c r="M6097" s="5">
        <f>tblSales[[#This Row],[DPP (excl. VAT)]]+tblSales[[#This Row],[Output VAT]]</f>
        <v>9324000</v>
      </c>
      <c r="N6097" s="5">
        <f>tblSales[[#This Row],[Qty]]*_xlfn.XLOOKUP(tblSales[[#This Row],[Product Code]],tblProducts[Code],tblProducts[Unit Cost],0)</f>
        <v>5040000</v>
      </c>
      <c r="O6097" s="4" t="s">
        <v>4867</v>
      </c>
      <c r="P6097" s="4" t="s">
        <v>4860</v>
      </c>
      <c r="Q6097" s="1" t="str">
        <f>_xlfn.XLOOKUP(tblSales[[#This Row],[Channel Code]],tblChannels[Channel Code],tblChannels[Channel Name],"")</f>
        <v>In-store</v>
      </c>
      <c r="R6097" s="1">
        <f>MONTH(tblSales[[#This Row],[Date]])</f>
        <v>12</v>
      </c>
    </row>
    <row r="6098" spans="2:18" x14ac:dyDescent="0.35">
      <c r="B6098" s="113">
        <v>46383</v>
      </c>
      <c r="C6098" s="4" t="s">
        <v>4188</v>
      </c>
      <c r="D6098" s="4" t="s">
        <v>4568</v>
      </c>
      <c r="E6098" s="1" t="str">
        <f>_xlfn.XLOOKUP(tblSales[[#This Row],[Customer ID]],tblCustomers[Customer ID],tblCustomers[Customer Name],"⚠ Unknown")</f>
        <v>Walk-in Customer</v>
      </c>
      <c r="F6098" s="4" t="s">
        <v>11</v>
      </c>
      <c r="G6098" s="1" t="str">
        <f>_xlfn.XLOOKUP(tblSales[[#This Row],[Product Code]],tblProducts[Code],tblProducts[Product / Service Name],"⚠ Unknown")</f>
        <v>Sneakers</v>
      </c>
      <c r="H6098" s="1" t="str">
        <f>_xlfn.XLOOKUP(tblSales[[#This Row],[Product Code]],tblProducts[Code],tblProducts[Category],"")</f>
        <v>Apparel &amp; Footwear</v>
      </c>
      <c r="I6098" s="4">
        <v>6</v>
      </c>
      <c r="J6098" s="5">
        <f>_xlfn.XLOOKUP(tblSales[[#This Row],[Product Code]],tblProducts[Code],tblProducts[Selling Price (excl. VAT)],0)</f>
        <v>250000</v>
      </c>
      <c r="K6098" s="5">
        <f>tblSales[[#This Row],[Qty]]*tblSales[[#This Row],[Unit Price]]</f>
        <v>1500000</v>
      </c>
      <c r="L6098" s="5">
        <f>ROUND(tblSales[[#This Row],[DPP (excl. VAT)]]*VATEff,0)</f>
        <v>165000</v>
      </c>
      <c r="M6098" s="5">
        <f>tblSales[[#This Row],[DPP (excl. VAT)]]+tblSales[[#This Row],[Output VAT]]</f>
        <v>1665000</v>
      </c>
      <c r="N6098" s="5">
        <f>tblSales[[#This Row],[Qty]]*_xlfn.XLOOKUP(tblSales[[#This Row],[Product Code]],tblProducts[Code],tblProducts[Unit Cost],0)</f>
        <v>930000</v>
      </c>
      <c r="O6098" s="4" t="s">
        <v>4865</v>
      </c>
      <c r="P6098" s="4" t="s">
        <v>4860</v>
      </c>
      <c r="Q6098" s="1" t="str">
        <f>_xlfn.XLOOKUP(tblSales[[#This Row],[Channel Code]],tblChannels[Channel Code],tblChannels[Channel Name],"")</f>
        <v>In-store</v>
      </c>
      <c r="R6098" s="1">
        <f>MONTH(tblSales[[#This Row],[Date]])</f>
        <v>12</v>
      </c>
    </row>
    <row r="6099" spans="2:18" x14ac:dyDescent="0.35">
      <c r="B6099" s="113">
        <v>46383</v>
      </c>
      <c r="C6099" s="4" t="s">
        <v>4189</v>
      </c>
      <c r="D6099" s="4" t="s">
        <v>4568</v>
      </c>
      <c r="E6099" s="1" t="str">
        <f>_xlfn.XLOOKUP(tblSales[[#This Row],[Customer ID]],tblCustomers[Customer ID],tblCustomers[Customer Name],"⚠ Unknown")</f>
        <v>Walk-in Customer</v>
      </c>
      <c r="F6099" s="4" t="s">
        <v>14</v>
      </c>
      <c r="G6099" s="1" t="str">
        <f>_xlfn.XLOOKUP(tblSales[[#This Row],[Product Code]],tblProducts[Code],tblProducts[Product / Service Name],"⚠ Unknown")</f>
        <v>Smartwatch</v>
      </c>
      <c r="H6099" s="1" t="str">
        <f>_xlfn.XLOOKUP(tblSales[[#This Row],[Product Code]],tblProducts[Code],tblProducts[Category],"")</f>
        <v>Bags &amp; Gadgets</v>
      </c>
      <c r="I6099" s="4">
        <v>3</v>
      </c>
      <c r="J6099" s="5">
        <f>_xlfn.XLOOKUP(tblSales[[#This Row],[Product Code]],tblProducts[Code],tblProducts[Selling Price (excl. VAT)],0)</f>
        <v>850000</v>
      </c>
      <c r="K6099" s="5">
        <f>tblSales[[#This Row],[Qty]]*tblSales[[#This Row],[Unit Price]]</f>
        <v>2550000</v>
      </c>
      <c r="L6099" s="5">
        <f>ROUND(tblSales[[#This Row],[DPP (excl. VAT)]]*VATEff,0)</f>
        <v>280500</v>
      </c>
      <c r="M6099" s="5">
        <f>tblSales[[#This Row],[DPP (excl. VAT)]]+tblSales[[#This Row],[Output VAT]]</f>
        <v>2830500</v>
      </c>
      <c r="N6099" s="5">
        <f>tblSales[[#This Row],[Qty]]*_xlfn.XLOOKUP(tblSales[[#This Row],[Product Code]],tblProducts[Code],tblProducts[Unit Cost],0)</f>
        <v>1680000</v>
      </c>
      <c r="O6099" s="4" t="s">
        <v>4866</v>
      </c>
      <c r="P6099" s="4" t="s">
        <v>4860</v>
      </c>
      <c r="Q6099" s="1" t="str">
        <f>_xlfn.XLOOKUP(tblSales[[#This Row],[Channel Code]],tblChannels[Channel Code],tblChannels[Channel Name],"")</f>
        <v>In-store</v>
      </c>
      <c r="R6099" s="1">
        <f>MONTH(tblSales[[#This Row],[Date]])</f>
        <v>12</v>
      </c>
    </row>
    <row r="6100" spans="2:18" x14ac:dyDescent="0.35">
      <c r="B6100" s="113">
        <v>46383</v>
      </c>
      <c r="C6100" s="4" t="s">
        <v>4190</v>
      </c>
      <c r="D6100" s="4" t="s">
        <v>4613</v>
      </c>
      <c r="E6100" s="1" t="str">
        <f>_xlfn.XLOOKUP(tblSales[[#This Row],[Customer ID]],tblCustomers[Customer ID],tblCustomers[Customer Name],"⚠ Unknown")</f>
        <v>PT Mega Prima Distribusi</v>
      </c>
      <c r="F6100" s="4" t="s">
        <v>6</v>
      </c>
      <c r="G6100" s="1" t="str">
        <f>_xlfn.XLOOKUP(tblSales[[#This Row],[Product Code]],tblProducts[Code],tblProducts[Product / Service Name],"⚠ Unknown")</f>
        <v>Socks &amp; Accessories</v>
      </c>
      <c r="H6100" s="1" t="str">
        <f>_xlfn.XLOOKUP(tblSales[[#This Row],[Product Code]],tblProducts[Code],tblProducts[Category],"")</f>
        <v>Accessories &amp; Basics</v>
      </c>
      <c r="I6100" s="4">
        <v>80</v>
      </c>
      <c r="J6100" s="5">
        <f>_xlfn.XLOOKUP(tblSales[[#This Row],[Product Code]],tblProducts[Code],tblProducts[Selling Price (excl. VAT)],0)</f>
        <v>45000</v>
      </c>
      <c r="K6100" s="5">
        <f>tblSales[[#This Row],[Qty]]*tblSales[[#This Row],[Unit Price]]</f>
        <v>3600000</v>
      </c>
      <c r="L6100" s="5">
        <f>ROUND(tblSales[[#This Row],[DPP (excl. VAT)]]*VATEff,0)</f>
        <v>396000</v>
      </c>
      <c r="M6100" s="5">
        <f>tblSales[[#This Row],[DPP (excl. VAT)]]+tblSales[[#This Row],[Output VAT]]</f>
        <v>3996000</v>
      </c>
      <c r="N6100" s="5">
        <f>tblSales[[#This Row],[Qty]]*_xlfn.XLOOKUP(tblSales[[#This Row],[Product Code]],tblProducts[Code],tblProducts[Unit Cost],0)</f>
        <v>1920000</v>
      </c>
      <c r="O6100" s="4" t="s">
        <v>4867</v>
      </c>
      <c r="P6100" s="4" t="s">
        <v>4860</v>
      </c>
      <c r="Q6100" s="1" t="str">
        <f>_xlfn.XLOOKUP(tblSales[[#This Row],[Channel Code]],tblChannels[Channel Code],tblChannels[Channel Name],"")</f>
        <v>In-store</v>
      </c>
      <c r="R6100" s="1">
        <f>MONTH(tblSales[[#This Row],[Date]])</f>
        <v>12</v>
      </c>
    </row>
    <row r="6101" spans="2:18" x14ac:dyDescent="0.35">
      <c r="B6101" s="113">
        <v>46383</v>
      </c>
      <c r="C6101" s="4" t="s">
        <v>4191</v>
      </c>
      <c r="D6101" s="4" t="s">
        <v>4568</v>
      </c>
      <c r="E6101" s="1" t="str">
        <f>_xlfn.XLOOKUP(tblSales[[#This Row],[Customer ID]],tblCustomers[Customer ID],tblCustomers[Customer Name],"⚠ Unknown")</f>
        <v>Walk-in Customer</v>
      </c>
      <c r="F6101" s="4" t="s">
        <v>6</v>
      </c>
      <c r="G6101" s="1" t="str">
        <f>_xlfn.XLOOKUP(tblSales[[#This Row],[Product Code]],tblProducts[Code],tblProducts[Product / Service Name],"⚠ Unknown")</f>
        <v>Socks &amp; Accessories</v>
      </c>
      <c r="H6101" s="1" t="str">
        <f>_xlfn.XLOOKUP(tblSales[[#This Row],[Product Code]],tblProducts[Code],tblProducts[Category],"")</f>
        <v>Accessories &amp; Basics</v>
      </c>
      <c r="I6101" s="4">
        <v>5</v>
      </c>
      <c r="J6101" s="5">
        <f>_xlfn.XLOOKUP(tblSales[[#This Row],[Product Code]],tblProducts[Code],tblProducts[Selling Price (excl. VAT)],0)</f>
        <v>45000</v>
      </c>
      <c r="K6101" s="5">
        <f>tblSales[[#This Row],[Qty]]*tblSales[[#This Row],[Unit Price]]</f>
        <v>225000</v>
      </c>
      <c r="L6101" s="5">
        <f>ROUND(tblSales[[#This Row],[DPP (excl. VAT)]]*VATEff,0)</f>
        <v>24750</v>
      </c>
      <c r="M6101" s="5">
        <f>tblSales[[#This Row],[DPP (excl. VAT)]]+tblSales[[#This Row],[Output VAT]]</f>
        <v>249750</v>
      </c>
      <c r="N6101" s="5">
        <f>tblSales[[#This Row],[Qty]]*_xlfn.XLOOKUP(tblSales[[#This Row],[Product Code]],tblProducts[Code],tblProducts[Unit Cost],0)</f>
        <v>120000</v>
      </c>
      <c r="O6101" s="4" t="s">
        <v>4866</v>
      </c>
      <c r="P6101" s="4" t="s">
        <v>4862</v>
      </c>
      <c r="Q6101" s="1" t="str">
        <f>_xlfn.XLOOKUP(tblSales[[#This Row],[Channel Code]],tblChannels[Channel Code],tblChannels[Channel Name],"")</f>
        <v>Website &amp; Social Media</v>
      </c>
      <c r="R6101" s="1">
        <f>MONTH(tblSales[[#This Row],[Date]])</f>
        <v>12</v>
      </c>
    </row>
    <row r="6102" spans="2:18" x14ac:dyDescent="0.35">
      <c r="B6102" s="113">
        <v>46383</v>
      </c>
      <c r="C6102" s="4" t="s">
        <v>4192</v>
      </c>
      <c r="D6102" s="4" t="s">
        <v>4568</v>
      </c>
      <c r="E6102" s="1" t="str">
        <f>_xlfn.XLOOKUP(tblSales[[#This Row],[Customer ID]],tblCustomers[Customer ID],tblCustomers[Customer Name],"⚠ Unknown")</f>
        <v>Walk-in Customer</v>
      </c>
      <c r="F6102" s="4" t="s">
        <v>6</v>
      </c>
      <c r="G6102" s="1" t="str">
        <f>_xlfn.XLOOKUP(tblSales[[#This Row],[Product Code]],tblProducts[Code],tblProducts[Product / Service Name],"⚠ Unknown")</f>
        <v>Socks &amp; Accessories</v>
      </c>
      <c r="H6102" s="1" t="str">
        <f>_xlfn.XLOOKUP(tblSales[[#This Row],[Product Code]],tblProducts[Code],tblProducts[Category],"")</f>
        <v>Accessories &amp; Basics</v>
      </c>
      <c r="I6102" s="4">
        <v>4</v>
      </c>
      <c r="J6102" s="5">
        <f>_xlfn.XLOOKUP(tblSales[[#This Row],[Product Code]],tblProducts[Code],tblProducts[Selling Price (excl. VAT)],0)</f>
        <v>45000</v>
      </c>
      <c r="K6102" s="5">
        <f>tblSales[[#This Row],[Qty]]*tblSales[[#This Row],[Unit Price]]</f>
        <v>180000</v>
      </c>
      <c r="L6102" s="5">
        <f>ROUND(tblSales[[#This Row],[DPP (excl. VAT)]]*VATEff,0)</f>
        <v>19800</v>
      </c>
      <c r="M6102" s="5">
        <f>tblSales[[#This Row],[DPP (excl. VAT)]]+tblSales[[#This Row],[Output VAT]]</f>
        <v>199800</v>
      </c>
      <c r="N6102" s="5">
        <f>tblSales[[#This Row],[Qty]]*_xlfn.XLOOKUP(tblSales[[#This Row],[Product Code]],tblProducts[Code],tblProducts[Unit Cost],0)</f>
        <v>96000</v>
      </c>
      <c r="O6102" s="4" t="s">
        <v>4865</v>
      </c>
      <c r="P6102" s="4" t="s">
        <v>4860</v>
      </c>
      <c r="Q6102" s="1" t="str">
        <f>_xlfn.XLOOKUP(tblSales[[#This Row],[Channel Code]],tblChannels[Channel Code],tblChannels[Channel Name],"")</f>
        <v>In-store</v>
      </c>
      <c r="R6102" s="1">
        <f>MONTH(tblSales[[#This Row],[Date]])</f>
        <v>12</v>
      </c>
    </row>
    <row r="6103" spans="2:18" x14ac:dyDescent="0.35">
      <c r="B6103" s="113">
        <v>46383</v>
      </c>
      <c r="C6103" s="4" t="s">
        <v>4193</v>
      </c>
      <c r="D6103" s="4" t="s">
        <v>4568</v>
      </c>
      <c r="E6103" s="1" t="str">
        <f>_xlfn.XLOOKUP(tblSales[[#This Row],[Customer ID]],tblCustomers[Customer ID],tblCustomers[Customer Name],"⚠ Unknown")</f>
        <v>Walk-in Customer</v>
      </c>
      <c r="F6103" s="4" t="s">
        <v>6</v>
      </c>
      <c r="G6103" s="1" t="str">
        <f>_xlfn.XLOOKUP(tblSales[[#This Row],[Product Code]],tblProducts[Code],tblProducts[Product / Service Name],"⚠ Unknown")</f>
        <v>Socks &amp; Accessories</v>
      </c>
      <c r="H6103" s="1" t="str">
        <f>_xlfn.XLOOKUP(tblSales[[#This Row],[Product Code]],tblProducts[Code],tblProducts[Category],"")</f>
        <v>Accessories &amp; Basics</v>
      </c>
      <c r="I6103" s="4">
        <v>5</v>
      </c>
      <c r="J6103" s="5">
        <f>_xlfn.XLOOKUP(tblSales[[#This Row],[Product Code]],tblProducts[Code],tblProducts[Selling Price (excl. VAT)],0)</f>
        <v>45000</v>
      </c>
      <c r="K6103" s="5">
        <f>tblSales[[#This Row],[Qty]]*tblSales[[#This Row],[Unit Price]]</f>
        <v>225000</v>
      </c>
      <c r="L6103" s="5">
        <f>ROUND(tblSales[[#This Row],[DPP (excl. VAT)]]*VATEff,0)</f>
        <v>24750</v>
      </c>
      <c r="M6103" s="5">
        <f>tblSales[[#This Row],[DPP (excl. VAT)]]+tblSales[[#This Row],[Output VAT]]</f>
        <v>249750</v>
      </c>
      <c r="N6103" s="5">
        <f>tblSales[[#This Row],[Qty]]*_xlfn.XLOOKUP(tblSales[[#This Row],[Product Code]],tblProducts[Code],tblProducts[Unit Cost],0)</f>
        <v>120000</v>
      </c>
      <c r="O6103" s="4" t="s">
        <v>4866</v>
      </c>
      <c r="P6103" s="4" t="s">
        <v>4861</v>
      </c>
      <c r="Q6103" s="1" t="str">
        <f>_xlfn.XLOOKUP(tblSales[[#This Row],[Channel Code]],tblChannels[Channel Code],tblChannels[Channel Name],"")</f>
        <v>Marketplace</v>
      </c>
      <c r="R6103" s="1">
        <f>MONTH(tblSales[[#This Row],[Date]])</f>
        <v>12</v>
      </c>
    </row>
    <row r="6104" spans="2:18" x14ac:dyDescent="0.35">
      <c r="B6104" s="113">
        <v>46383</v>
      </c>
      <c r="C6104" s="4" t="s">
        <v>4194</v>
      </c>
      <c r="D6104" s="4" t="s">
        <v>4568</v>
      </c>
      <c r="E6104" s="1" t="str">
        <f>_xlfn.XLOOKUP(tblSales[[#This Row],[Customer ID]],tblCustomers[Customer ID],tblCustomers[Customer Name],"⚠ Unknown")</f>
        <v>Walk-in Customer</v>
      </c>
      <c r="F6104" s="4" t="s">
        <v>6</v>
      </c>
      <c r="G6104" s="1" t="str">
        <f>_xlfn.XLOOKUP(tblSales[[#This Row],[Product Code]],tblProducts[Code],tblProducts[Product / Service Name],"⚠ Unknown")</f>
        <v>Socks &amp; Accessories</v>
      </c>
      <c r="H6104" s="1" t="str">
        <f>_xlfn.XLOOKUP(tblSales[[#This Row],[Product Code]],tblProducts[Code],tblProducts[Category],"")</f>
        <v>Accessories &amp; Basics</v>
      </c>
      <c r="I6104" s="4">
        <v>9</v>
      </c>
      <c r="J6104" s="5">
        <f>_xlfn.XLOOKUP(tblSales[[#This Row],[Product Code]],tblProducts[Code],tblProducts[Selling Price (excl. VAT)],0)</f>
        <v>45000</v>
      </c>
      <c r="K6104" s="5">
        <f>tblSales[[#This Row],[Qty]]*tblSales[[#This Row],[Unit Price]]</f>
        <v>405000</v>
      </c>
      <c r="L6104" s="5">
        <f>ROUND(tblSales[[#This Row],[DPP (excl. VAT)]]*VATEff,0)</f>
        <v>44550</v>
      </c>
      <c r="M6104" s="5">
        <f>tblSales[[#This Row],[DPP (excl. VAT)]]+tblSales[[#This Row],[Output VAT]]</f>
        <v>449550</v>
      </c>
      <c r="N6104" s="5">
        <f>tblSales[[#This Row],[Qty]]*_xlfn.XLOOKUP(tblSales[[#This Row],[Product Code]],tblProducts[Code],tblProducts[Unit Cost],0)</f>
        <v>216000</v>
      </c>
      <c r="O6104" s="4" t="s">
        <v>4866</v>
      </c>
      <c r="P6104" s="4" t="s">
        <v>4860</v>
      </c>
      <c r="Q6104" s="1" t="str">
        <f>_xlfn.XLOOKUP(tblSales[[#This Row],[Channel Code]],tblChannels[Channel Code],tblChannels[Channel Name],"")</f>
        <v>In-store</v>
      </c>
      <c r="R6104" s="1">
        <f>MONTH(tblSales[[#This Row],[Date]])</f>
        <v>12</v>
      </c>
    </row>
    <row r="6105" spans="2:18" x14ac:dyDescent="0.35">
      <c r="B6105" s="113">
        <v>46383</v>
      </c>
      <c r="C6105" s="4" t="s">
        <v>4195</v>
      </c>
      <c r="D6105" s="4" t="s">
        <v>4585</v>
      </c>
      <c r="E6105" s="1" t="str">
        <f>_xlfn.XLOOKUP(tblSales[[#This Row],[Customer ID]],tblCustomers[Customer ID],tblCustomers[Customer Name],"⚠ Unknown")</f>
        <v>CV Mitra Karya Mandiri</v>
      </c>
      <c r="F6105" s="4" t="s">
        <v>14</v>
      </c>
      <c r="G6105" s="1" t="str">
        <f>_xlfn.XLOOKUP(tblSales[[#This Row],[Product Code]],tblProducts[Code],tblProducts[Product / Service Name],"⚠ Unknown")</f>
        <v>Smartwatch</v>
      </c>
      <c r="H6105" s="1" t="str">
        <f>_xlfn.XLOOKUP(tblSales[[#This Row],[Product Code]],tblProducts[Code],tblProducts[Category],"")</f>
        <v>Bags &amp; Gadgets</v>
      </c>
      <c r="I6105" s="4">
        <v>8</v>
      </c>
      <c r="J6105" s="5">
        <f>_xlfn.XLOOKUP(tblSales[[#This Row],[Product Code]],tblProducts[Code],tblProducts[Selling Price (excl. VAT)],0)</f>
        <v>850000</v>
      </c>
      <c r="K6105" s="5">
        <f>tblSales[[#This Row],[Qty]]*tblSales[[#This Row],[Unit Price]]</f>
        <v>6800000</v>
      </c>
      <c r="L6105" s="5">
        <f>ROUND(tblSales[[#This Row],[DPP (excl. VAT)]]*VATEff,0)</f>
        <v>748000</v>
      </c>
      <c r="M6105" s="5">
        <f>tblSales[[#This Row],[DPP (excl. VAT)]]+tblSales[[#This Row],[Output VAT]]</f>
        <v>7548000</v>
      </c>
      <c r="N6105" s="5">
        <f>tblSales[[#This Row],[Qty]]*_xlfn.XLOOKUP(tblSales[[#This Row],[Product Code]],tblProducts[Code],tblProducts[Unit Cost],0)</f>
        <v>4480000</v>
      </c>
      <c r="O6105" s="4" t="s">
        <v>4867</v>
      </c>
      <c r="P6105" s="4" t="s">
        <v>4860</v>
      </c>
      <c r="Q6105" s="1" t="str">
        <f>_xlfn.XLOOKUP(tblSales[[#This Row],[Channel Code]],tblChannels[Channel Code],tblChannels[Channel Name],"")</f>
        <v>In-store</v>
      </c>
      <c r="R6105" s="1">
        <f>MONTH(tblSales[[#This Row],[Date]])</f>
        <v>12</v>
      </c>
    </row>
    <row r="6106" spans="2:18" x14ac:dyDescent="0.35">
      <c r="B6106" s="113">
        <v>46383</v>
      </c>
      <c r="C6106" s="4" t="s">
        <v>4196</v>
      </c>
      <c r="D6106" s="4" t="s">
        <v>4593</v>
      </c>
      <c r="E6106" s="1" t="str">
        <f>_xlfn.XLOOKUP(tblSales[[#This Row],[Customer ID]],tblCustomers[Customer ID],tblCustomers[Customer Name],"⚠ Unknown")</f>
        <v>PT Graha Nusa Persada</v>
      </c>
      <c r="F6106" s="4" t="s">
        <v>7</v>
      </c>
      <c r="G6106" s="1" t="str">
        <f>_xlfn.XLOOKUP(tblSales[[#This Row],[Product Code]],tblProducts[Code],tblProducts[Product / Service Name],"⚠ Unknown")</f>
        <v>Premium Basic T-shirt</v>
      </c>
      <c r="H6106" s="1" t="str">
        <f>_xlfn.XLOOKUP(tblSales[[#This Row],[Product Code]],tblProducts[Code],tblProducts[Category],"")</f>
        <v>Accessories &amp; Basics</v>
      </c>
      <c r="I6106" s="4">
        <v>40</v>
      </c>
      <c r="J6106" s="5">
        <f>_xlfn.XLOOKUP(tblSales[[#This Row],[Product Code]],tblProducts[Code],tblProducts[Selling Price (excl. VAT)],0)</f>
        <v>65000</v>
      </c>
      <c r="K6106" s="5">
        <f>tblSales[[#This Row],[Qty]]*tblSales[[#This Row],[Unit Price]]</f>
        <v>2600000</v>
      </c>
      <c r="L6106" s="5">
        <f>ROUND(tblSales[[#This Row],[DPP (excl. VAT)]]*VATEff,0)</f>
        <v>286000</v>
      </c>
      <c r="M6106" s="5">
        <f>tblSales[[#This Row],[DPP (excl. VAT)]]+tblSales[[#This Row],[Output VAT]]</f>
        <v>2886000</v>
      </c>
      <c r="N6106" s="5">
        <f>tblSales[[#This Row],[Qty]]*_xlfn.XLOOKUP(tblSales[[#This Row],[Product Code]],tblProducts[Code],tblProducts[Unit Cost],0)</f>
        <v>1480000</v>
      </c>
      <c r="O6106" s="4" t="s">
        <v>4867</v>
      </c>
      <c r="P6106" s="4" t="s">
        <v>4860</v>
      </c>
      <c r="Q6106" s="1" t="str">
        <f>_xlfn.XLOOKUP(tblSales[[#This Row],[Channel Code]],tblChannels[Channel Code],tblChannels[Channel Name],"")</f>
        <v>In-store</v>
      </c>
      <c r="R6106" s="1">
        <f>MONTH(tblSales[[#This Row],[Date]])</f>
        <v>12</v>
      </c>
    </row>
    <row r="6107" spans="2:18" x14ac:dyDescent="0.35">
      <c r="B6107" s="113">
        <v>46383</v>
      </c>
      <c r="C6107" s="4" t="s">
        <v>4197</v>
      </c>
      <c r="D6107" s="4" t="s">
        <v>4585</v>
      </c>
      <c r="E6107" s="1" t="str">
        <f>_xlfn.XLOOKUP(tblSales[[#This Row],[Customer ID]],tblCustomers[Customer ID],tblCustomers[Customer Name],"⚠ Unknown")</f>
        <v>CV Mitra Karya Mandiri</v>
      </c>
      <c r="F6107" s="4" t="s">
        <v>9</v>
      </c>
      <c r="G6107" s="1" t="str">
        <f>_xlfn.XLOOKUP(tblSales[[#This Row],[Product Code]],tblProducts[Code],tblProducts[Product / Service Name],"⚠ Unknown")</f>
        <v>Casual Shirt</v>
      </c>
      <c r="H6107" s="1" t="str">
        <f>_xlfn.XLOOKUP(tblSales[[#This Row],[Product Code]],tblProducts[Code],tblProducts[Category],"")</f>
        <v>Apparel &amp; Footwear</v>
      </c>
      <c r="I6107" s="4">
        <v>88</v>
      </c>
      <c r="J6107" s="5">
        <f>_xlfn.XLOOKUP(tblSales[[#This Row],[Product Code]],tblProducts[Code],tblProducts[Selling Price (excl. VAT)],0)</f>
        <v>120000</v>
      </c>
      <c r="K6107" s="5">
        <f>tblSales[[#This Row],[Qty]]*tblSales[[#This Row],[Unit Price]]</f>
        <v>10560000</v>
      </c>
      <c r="L6107" s="5">
        <f>ROUND(tblSales[[#This Row],[DPP (excl. VAT)]]*VATEff,0)</f>
        <v>1161600</v>
      </c>
      <c r="M6107" s="5">
        <f>tblSales[[#This Row],[DPP (excl. VAT)]]+tblSales[[#This Row],[Output VAT]]</f>
        <v>11721600</v>
      </c>
      <c r="N6107" s="5">
        <f>tblSales[[#This Row],[Qty]]*_xlfn.XLOOKUP(tblSales[[#This Row],[Product Code]],tblProducts[Code],tblProducts[Unit Cost],0)</f>
        <v>6336000</v>
      </c>
      <c r="O6107" s="4" t="s">
        <v>4867</v>
      </c>
      <c r="P6107" s="4" t="s">
        <v>4862</v>
      </c>
      <c r="Q6107" s="1" t="str">
        <f>_xlfn.XLOOKUP(tblSales[[#This Row],[Channel Code]],tblChannels[Channel Code],tblChannels[Channel Name],"")</f>
        <v>Website &amp; Social Media</v>
      </c>
      <c r="R6107" s="1">
        <f>MONTH(tblSales[[#This Row],[Date]])</f>
        <v>12</v>
      </c>
    </row>
    <row r="6108" spans="2:18" x14ac:dyDescent="0.35">
      <c r="B6108" s="113">
        <v>46383</v>
      </c>
      <c r="C6108" s="4" t="s">
        <v>4198</v>
      </c>
      <c r="D6108" s="4" t="s">
        <v>4568</v>
      </c>
      <c r="E6108" s="1" t="str">
        <f>_xlfn.XLOOKUP(tblSales[[#This Row],[Customer ID]],tblCustomers[Customer ID],tblCustomers[Customer Name],"⚠ Unknown")</f>
        <v>Walk-in Customer</v>
      </c>
      <c r="F6108" s="4" t="s">
        <v>9</v>
      </c>
      <c r="G6108" s="1" t="str">
        <f>_xlfn.XLOOKUP(tblSales[[#This Row],[Product Code]],tblProducts[Code],tblProducts[Product / Service Name],"⚠ Unknown")</f>
        <v>Casual Shirt</v>
      </c>
      <c r="H6108" s="1" t="str">
        <f>_xlfn.XLOOKUP(tblSales[[#This Row],[Product Code]],tblProducts[Code],tblProducts[Category],"")</f>
        <v>Apparel &amp; Footwear</v>
      </c>
      <c r="I6108" s="4">
        <v>2</v>
      </c>
      <c r="J6108" s="5">
        <f>_xlfn.XLOOKUP(tblSales[[#This Row],[Product Code]],tblProducts[Code],tblProducts[Selling Price (excl. VAT)],0)</f>
        <v>120000</v>
      </c>
      <c r="K6108" s="5">
        <f>tblSales[[#This Row],[Qty]]*tblSales[[#This Row],[Unit Price]]</f>
        <v>240000</v>
      </c>
      <c r="L6108" s="5">
        <f>ROUND(tblSales[[#This Row],[DPP (excl. VAT)]]*VATEff,0)</f>
        <v>26400</v>
      </c>
      <c r="M6108" s="5">
        <f>tblSales[[#This Row],[DPP (excl. VAT)]]+tblSales[[#This Row],[Output VAT]]</f>
        <v>266400</v>
      </c>
      <c r="N6108" s="5">
        <f>tblSales[[#This Row],[Qty]]*_xlfn.XLOOKUP(tblSales[[#This Row],[Product Code]],tblProducts[Code],tblProducts[Unit Cost],0)</f>
        <v>144000</v>
      </c>
      <c r="O6108" s="4" t="s">
        <v>4865</v>
      </c>
      <c r="P6108" s="4" t="s">
        <v>4860</v>
      </c>
      <c r="Q6108" s="1" t="str">
        <f>_xlfn.XLOOKUP(tblSales[[#This Row],[Channel Code]],tblChannels[Channel Code],tblChannels[Channel Name],"")</f>
        <v>In-store</v>
      </c>
      <c r="R6108" s="1">
        <f>MONTH(tblSales[[#This Row],[Date]])</f>
        <v>12</v>
      </c>
    </row>
    <row r="6109" spans="2:18" x14ac:dyDescent="0.35">
      <c r="B6109" s="113">
        <v>46383</v>
      </c>
      <c r="C6109" s="4" t="s">
        <v>4199</v>
      </c>
      <c r="D6109" s="4" t="s">
        <v>4648</v>
      </c>
      <c r="E6109" s="1" t="str">
        <f>_xlfn.XLOOKUP(tblSales[[#This Row],[Customer ID]],tblCustomers[Customer ID],tblCustomers[Customer Name],"⚠ Unknown")</f>
        <v>PT Lintas Benua Niaga</v>
      </c>
      <c r="F6109" s="4" t="s">
        <v>6</v>
      </c>
      <c r="G6109" s="1" t="str">
        <f>_xlfn.XLOOKUP(tblSales[[#This Row],[Product Code]],tblProducts[Code],tblProducts[Product / Service Name],"⚠ Unknown")</f>
        <v>Socks &amp; Accessories</v>
      </c>
      <c r="H6109" s="1" t="str">
        <f>_xlfn.XLOOKUP(tblSales[[#This Row],[Product Code]],tblProducts[Code],tblProducts[Category],"")</f>
        <v>Accessories &amp; Basics</v>
      </c>
      <c r="I6109" s="4">
        <v>32</v>
      </c>
      <c r="J6109" s="5">
        <f>_xlfn.XLOOKUP(tblSales[[#This Row],[Product Code]],tblProducts[Code],tblProducts[Selling Price (excl. VAT)],0)</f>
        <v>45000</v>
      </c>
      <c r="K6109" s="5">
        <f>tblSales[[#This Row],[Qty]]*tblSales[[#This Row],[Unit Price]]</f>
        <v>1440000</v>
      </c>
      <c r="L6109" s="5">
        <f>ROUND(tblSales[[#This Row],[DPP (excl. VAT)]]*VATEff,0)</f>
        <v>158400</v>
      </c>
      <c r="M6109" s="5">
        <f>tblSales[[#This Row],[DPP (excl. VAT)]]+tblSales[[#This Row],[Output VAT]]</f>
        <v>1598400</v>
      </c>
      <c r="N6109" s="5">
        <f>tblSales[[#This Row],[Qty]]*_xlfn.XLOOKUP(tblSales[[#This Row],[Product Code]],tblProducts[Code],tblProducts[Unit Cost],0)</f>
        <v>768000</v>
      </c>
      <c r="O6109" s="4" t="s">
        <v>4867</v>
      </c>
      <c r="P6109" s="4" t="s">
        <v>4862</v>
      </c>
      <c r="Q6109" s="1" t="str">
        <f>_xlfn.XLOOKUP(tblSales[[#This Row],[Channel Code]],tblChannels[Channel Code],tblChannels[Channel Name],"")</f>
        <v>Website &amp; Social Media</v>
      </c>
      <c r="R6109" s="1">
        <f>MONTH(tblSales[[#This Row],[Date]])</f>
        <v>12</v>
      </c>
    </row>
    <row r="6110" spans="2:18" x14ac:dyDescent="0.35">
      <c r="B6110" s="113">
        <v>46383</v>
      </c>
      <c r="C6110" s="4" t="s">
        <v>4199</v>
      </c>
      <c r="D6110" s="4" t="s">
        <v>4648</v>
      </c>
      <c r="E6110" s="1" t="str">
        <f>_xlfn.XLOOKUP(tblSales[[#This Row],[Customer ID]],tblCustomers[Customer ID],tblCustomers[Customer Name],"⚠ Unknown")</f>
        <v>PT Lintas Benua Niaga</v>
      </c>
      <c r="F6110" s="4" t="s">
        <v>10</v>
      </c>
      <c r="G6110" s="1" t="str">
        <f>_xlfn.XLOOKUP(tblSales[[#This Row],[Product Code]],tblProducts[Code],tblProducts[Product / Service Name],"⚠ Unknown")</f>
        <v>Chino Pants</v>
      </c>
      <c r="H6110" s="1" t="str">
        <f>_xlfn.XLOOKUP(tblSales[[#This Row],[Product Code]],tblProducts[Code],tblProducts[Category],"")</f>
        <v>Apparel &amp; Footwear</v>
      </c>
      <c r="I6110" s="4">
        <v>40</v>
      </c>
      <c r="J6110" s="5">
        <f>_xlfn.XLOOKUP(tblSales[[#This Row],[Product Code]],tblProducts[Code],tblProducts[Selling Price (excl. VAT)],0)</f>
        <v>150000</v>
      </c>
      <c r="K6110" s="5">
        <f>tblSales[[#This Row],[Qty]]*tblSales[[#This Row],[Unit Price]]</f>
        <v>6000000</v>
      </c>
      <c r="L6110" s="5">
        <f>ROUND(tblSales[[#This Row],[DPP (excl. VAT)]]*VATEff,0)</f>
        <v>660000</v>
      </c>
      <c r="M6110" s="5">
        <f>tblSales[[#This Row],[DPP (excl. VAT)]]+tblSales[[#This Row],[Output VAT]]</f>
        <v>6660000</v>
      </c>
      <c r="N6110" s="5">
        <f>tblSales[[#This Row],[Qty]]*_xlfn.XLOOKUP(tblSales[[#This Row],[Product Code]],tblProducts[Code],tblProducts[Unit Cost],0)</f>
        <v>3520000</v>
      </c>
      <c r="O6110" s="4" t="s">
        <v>4867</v>
      </c>
      <c r="P6110" s="4" t="s">
        <v>4862</v>
      </c>
      <c r="Q6110" s="1" t="str">
        <f>_xlfn.XLOOKUP(tblSales[[#This Row],[Channel Code]],tblChannels[Channel Code],tblChannels[Channel Name],"")</f>
        <v>Website &amp; Social Media</v>
      </c>
      <c r="R6110" s="1">
        <f>MONTH(tblSales[[#This Row],[Date]])</f>
        <v>12</v>
      </c>
    </row>
    <row r="6111" spans="2:18" x14ac:dyDescent="0.35">
      <c r="B6111" s="113">
        <v>46383</v>
      </c>
      <c r="C6111" s="4" t="s">
        <v>4200</v>
      </c>
      <c r="D6111" s="4" t="s">
        <v>4568</v>
      </c>
      <c r="E6111" s="1" t="str">
        <f>_xlfn.XLOOKUP(tblSales[[#This Row],[Customer ID]],tblCustomers[Customer ID],tblCustomers[Customer Name],"⚠ Unknown")</f>
        <v>Walk-in Customer</v>
      </c>
      <c r="F6111" s="4" t="s">
        <v>15</v>
      </c>
      <c r="G6111" s="1" t="str">
        <f>_xlfn.XLOOKUP(tblSales[[#This Row],[Product Code]],tblProducts[Code],tblProducts[Product / Service Name],"⚠ Unknown")</f>
        <v>Wireless Earbuds Pro</v>
      </c>
      <c r="H6111" s="1" t="str">
        <f>_xlfn.XLOOKUP(tblSales[[#This Row],[Product Code]],tblProducts[Code],tblProducts[Category],"")</f>
        <v>Bags &amp; Gadgets</v>
      </c>
      <c r="I6111" s="4">
        <v>2</v>
      </c>
      <c r="J6111" s="5">
        <f>_xlfn.XLOOKUP(tblSales[[#This Row],[Product Code]],tblProducts[Code],tblProducts[Selling Price (excl. VAT)],0)</f>
        <v>1250000</v>
      </c>
      <c r="K6111" s="5">
        <f>tblSales[[#This Row],[Qty]]*tblSales[[#This Row],[Unit Price]]</f>
        <v>2500000</v>
      </c>
      <c r="L6111" s="5">
        <f>ROUND(tblSales[[#This Row],[DPP (excl. VAT)]]*VATEff,0)</f>
        <v>275000</v>
      </c>
      <c r="M6111" s="5">
        <f>tblSales[[#This Row],[DPP (excl. VAT)]]+tblSales[[#This Row],[Output VAT]]</f>
        <v>2775000</v>
      </c>
      <c r="N6111" s="5">
        <f>tblSales[[#This Row],[Qty]]*_xlfn.XLOOKUP(tblSales[[#This Row],[Product Code]],tblProducts[Code],tblProducts[Unit Cost],0)</f>
        <v>1640000</v>
      </c>
      <c r="O6111" s="4" t="s">
        <v>4865</v>
      </c>
      <c r="P6111" s="4" t="s">
        <v>4860</v>
      </c>
      <c r="Q6111" s="1" t="str">
        <f>_xlfn.XLOOKUP(tblSales[[#This Row],[Channel Code]],tblChannels[Channel Code],tblChannels[Channel Name],"")</f>
        <v>In-store</v>
      </c>
      <c r="R6111" s="1">
        <f>MONTH(tblSales[[#This Row],[Date]])</f>
        <v>12</v>
      </c>
    </row>
    <row r="6112" spans="2:18" x14ac:dyDescent="0.35">
      <c r="B6112" s="113">
        <v>46383</v>
      </c>
      <c r="C6112" s="4" t="s">
        <v>4201</v>
      </c>
      <c r="D6112" s="4" t="s">
        <v>4572</v>
      </c>
      <c r="E6112" s="1" t="str">
        <f>_xlfn.XLOOKUP(tblSales[[#This Row],[Customer ID]],tblCustomers[Customer ID],tblCustomers[Customer Name],"⚠ Unknown")</f>
        <v>PT Cahaya Abadi Makmur</v>
      </c>
      <c r="F6112" s="4" t="s">
        <v>9</v>
      </c>
      <c r="G6112" s="1" t="str">
        <f>_xlfn.XLOOKUP(tblSales[[#This Row],[Product Code]],tblProducts[Code],tblProducts[Product / Service Name],"⚠ Unknown")</f>
        <v>Casual Shirt</v>
      </c>
      <c r="H6112" s="1" t="str">
        <f>_xlfn.XLOOKUP(tblSales[[#This Row],[Product Code]],tblProducts[Code],tblProducts[Category],"")</f>
        <v>Apparel &amp; Footwear</v>
      </c>
      <c r="I6112" s="4">
        <v>88</v>
      </c>
      <c r="J6112" s="5">
        <f>_xlfn.XLOOKUP(tblSales[[#This Row],[Product Code]],tblProducts[Code],tblProducts[Selling Price (excl. VAT)],0)</f>
        <v>120000</v>
      </c>
      <c r="K6112" s="5">
        <f>tblSales[[#This Row],[Qty]]*tblSales[[#This Row],[Unit Price]]</f>
        <v>10560000</v>
      </c>
      <c r="L6112" s="5">
        <f>ROUND(tblSales[[#This Row],[DPP (excl. VAT)]]*VATEff,0)</f>
        <v>1161600</v>
      </c>
      <c r="M6112" s="5">
        <f>tblSales[[#This Row],[DPP (excl. VAT)]]+tblSales[[#This Row],[Output VAT]]</f>
        <v>11721600</v>
      </c>
      <c r="N6112" s="5">
        <f>tblSales[[#This Row],[Qty]]*_xlfn.XLOOKUP(tblSales[[#This Row],[Product Code]],tblProducts[Code],tblProducts[Unit Cost],0)</f>
        <v>6336000</v>
      </c>
      <c r="O6112" s="4" t="s">
        <v>4867</v>
      </c>
      <c r="P6112" s="4" t="s">
        <v>4862</v>
      </c>
      <c r="Q6112" s="1" t="str">
        <f>_xlfn.XLOOKUP(tblSales[[#This Row],[Channel Code]],tblChannels[Channel Code],tblChannels[Channel Name],"")</f>
        <v>Website &amp; Social Media</v>
      </c>
      <c r="R6112" s="1">
        <f>MONTH(tblSales[[#This Row],[Date]])</f>
        <v>12</v>
      </c>
    </row>
    <row r="6113" spans="2:18" x14ac:dyDescent="0.35">
      <c r="B6113" s="113">
        <v>46383</v>
      </c>
      <c r="C6113" s="4" t="s">
        <v>4202</v>
      </c>
      <c r="D6113" s="4" t="s">
        <v>4568</v>
      </c>
      <c r="E6113" s="1" t="str">
        <f>_xlfn.XLOOKUP(tblSales[[#This Row],[Customer ID]],tblCustomers[Customer ID],tblCustomers[Customer Name],"⚠ Unknown")</f>
        <v>Walk-in Customer</v>
      </c>
      <c r="F6113" s="4" t="s">
        <v>9</v>
      </c>
      <c r="G6113" s="1" t="str">
        <f>_xlfn.XLOOKUP(tblSales[[#This Row],[Product Code]],tblProducts[Code],tblProducts[Product / Service Name],"⚠ Unknown")</f>
        <v>Casual Shirt</v>
      </c>
      <c r="H6113" s="1" t="str">
        <f>_xlfn.XLOOKUP(tblSales[[#This Row],[Product Code]],tblProducts[Code],tblProducts[Category],"")</f>
        <v>Apparel &amp; Footwear</v>
      </c>
      <c r="I6113" s="4">
        <v>3</v>
      </c>
      <c r="J6113" s="5">
        <f>_xlfn.XLOOKUP(tblSales[[#This Row],[Product Code]],tblProducts[Code],tblProducts[Selling Price (excl. VAT)],0)</f>
        <v>120000</v>
      </c>
      <c r="K6113" s="5">
        <f>tblSales[[#This Row],[Qty]]*tblSales[[#This Row],[Unit Price]]</f>
        <v>360000</v>
      </c>
      <c r="L6113" s="5">
        <f>ROUND(tblSales[[#This Row],[DPP (excl. VAT)]]*VATEff,0)</f>
        <v>39600</v>
      </c>
      <c r="M6113" s="5">
        <f>tblSales[[#This Row],[DPP (excl. VAT)]]+tblSales[[#This Row],[Output VAT]]</f>
        <v>399600</v>
      </c>
      <c r="N6113" s="5">
        <f>tblSales[[#This Row],[Qty]]*_xlfn.XLOOKUP(tblSales[[#This Row],[Product Code]],tblProducts[Code],tblProducts[Unit Cost],0)</f>
        <v>216000</v>
      </c>
      <c r="O6113" s="4" t="s">
        <v>4865</v>
      </c>
      <c r="P6113" s="4" t="s">
        <v>4860</v>
      </c>
      <c r="Q6113" s="1" t="str">
        <f>_xlfn.XLOOKUP(tblSales[[#This Row],[Channel Code]],tblChannels[Channel Code],tblChannels[Channel Name],"")</f>
        <v>In-store</v>
      </c>
      <c r="R6113" s="1">
        <f>MONTH(tblSales[[#This Row],[Date]])</f>
        <v>12</v>
      </c>
    </row>
    <row r="6114" spans="2:18" x14ac:dyDescent="0.35">
      <c r="B6114" s="113">
        <v>46383</v>
      </c>
      <c r="C6114" s="4" t="s">
        <v>4203</v>
      </c>
      <c r="D6114" s="4" t="s">
        <v>4627</v>
      </c>
      <c r="E6114" s="1" t="str">
        <f>_xlfn.XLOOKUP(tblSales[[#This Row],[Customer ID]],tblCustomers[Customer ID],tblCustomers[Customer Name],"⚠ Unknown")</f>
        <v>PT Kencana Wira Usaha</v>
      </c>
      <c r="F6114" s="4" t="s">
        <v>9</v>
      </c>
      <c r="G6114" s="1" t="str">
        <f>_xlfn.XLOOKUP(tblSales[[#This Row],[Product Code]],tblProducts[Code],tblProducts[Product / Service Name],"⚠ Unknown")</f>
        <v>Casual Shirt</v>
      </c>
      <c r="H6114" s="1" t="str">
        <f>_xlfn.XLOOKUP(tblSales[[#This Row],[Product Code]],tblProducts[Code],tblProducts[Category],"")</f>
        <v>Apparel &amp; Footwear</v>
      </c>
      <c r="I6114" s="4">
        <v>88</v>
      </c>
      <c r="J6114" s="5">
        <f>_xlfn.XLOOKUP(tblSales[[#This Row],[Product Code]],tblProducts[Code],tblProducts[Selling Price (excl. VAT)],0)</f>
        <v>120000</v>
      </c>
      <c r="K6114" s="5">
        <f>tblSales[[#This Row],[Qty]]*tblSales[[#This Row],[Unit Price]]</f>
        <v>10560000</v>
      </c>
      <c r="L6114" s="5">
        <f>ROUND(tblSales[[#This Row],[DPP (excl. VAT)]]*VATEff,0)</f>
        <v>1161600</v>
      </c>
      <c r="M6114" s="5">
        <f>tblSales[[#This Row],[DPP (excl. VAT)]]+tblSales[[#This Row],[Output VAT]]</f>
        <v>11721600</v>
      </c>
      <c r="N6114" s="5">
        <f>tblSales[[#This Row],[Qty]]*_xlfn.XLOOKUP(tblSales[[#This Row],[Product Code]],tblProducts[Code],tblProducts[Unit Cost],0)</f>
        <v>6336000</v>
      </c>
      <c r="O6114" s="4" t="s">
        <v>4867</v>
      </c>
      <c r="P6114" s="4" t="s">
        <v>4860</v>
      </c>
      <c r="Q6114" s="1" t="str">
        <f>_xlfn.XLOOKUP(tblSales[[#This Row],[Channel Code]],tblChannels[Channel Code],tblChannels[Channel Name],"")</f>
        <v>In-store</v>
      </c>
      <c r="R6114" s="1">
        <f>MONTH(tblSales[[#This Row],[Date]])</f>
        <v>12</v>
      </c>
    </row>
    <row r="6115" spans="2:18" x14ac:dyDescent="0.35">
      <c r="B6115" s="113">
        <v>46384</v>
      </c>
      <c r="C6115" s="4" t="s">
        <v>4204</v>
      </c>
      <c r="D6115" s="4" t="s">
        <v>4568</v>
      </c>
      <c r="E6115" s="1" t="str">
        <f>_xlfn.XLOOKUP(tblSales[[#This Row],[Customer ID]],tblCustomers[Customer ID],tblCustomers[Customer Name],"⚠ Unknown")</f>
        <v>Walk-in Customer</v>
      </c>
      <c r="F6115" s="4" t="s">
        <v>10</v>
      </c>
      <c r="G6115" s="1" t="str">
        <f>_xlfn.XLOOKUP(tblSales[[#This Row],[Product Code]],tblProducts[Code],tblProducts[Product / Service Name],"⚠ Unknown")</f>
        <v>Chino Pants</v>
      </c>
      <c r="H6115" s="1" t="str">
        <f>_xlfn.XLOOKUP(tblSales[[#This Row],[Product Code]],tblProducts[Code],tblProducts[Category],"")</f>
        <v>Apparel &amp; Footwear</v>
      </c>
      <c r="I6115" s="4">
        <v>12</v>
      </c>
      <c r="J6115" s="5">
        <f>_xlfn.XLOOKUP(tblSales[[#This Row],[Product Code]],tblProducts[Code],tblProducts[Selling Price (excl. VAT)],0)</f>
        <v>150000</v>
      </c>
      <c r="K6115" s="5">
        <f>tblSales[[#This Row],[Qty]]*tblSales[[#This Row],[Unit Price]]</f>
        <v>1800000</v>
      </c>
      <c r="L6115" s="5">
        <f>ROUND(tblSales[[#This Row],[DPP (excl. VAT)]]*VATEff,0)</f>
        <v>198000</v>
      </c>
      <c r="M6115" s="5">
        <f>tblSales[[#This Row],[DPP (excl. VAT)]]+tblSales[[#This Row],[Output VAT]]</f>
        <v>1998000</v>
      </c>
      <c r="N6115" s="5">
        <f>tblSales[[#This Row],[Qty]]*_xlfn.XLOOKUP(tblSales[[#This Row],[Product Code]],tblProducts[Code],tblProducts[Unit Cost],0)</f>
        <v>1056000</v>
      </c>
      <c r="O6115" s="4" t="s">
        <v>4865</v>
      </c>
      <c r="P6115" s="4" t="s">
        <v>4860</v>
      </c>
      <c r="Q6115" s="1" t="str">
        <f>_xlfn.XLOOKUP(tblSales[[#This Row],[Channel Code]],tblChannels[Channel Code],tblChannels[Channel Name],"")</f>
        <v>In-store</v>
      </c>
      <c r="R6115" s="1">
        <f>MONTH(tblSales[[#This Row],[Date]])</f>
        <v>12</v>
      </c>
    </row>
    <row r="6116" spans="2:18" x14ac:dyDescent="0.35">
      <c r="B6116" s="113">
        <v>46384</v>
      </c>
      <c r="C6116" s="4" t="s">
        <v>4205</v>
      </c>
      <c r="D6116" s="4" t="s">
        <v>4568</v>
      </c>
      <c r="E6116" s="1" t="str">
        <f>_xlfn.XLOOKUP(tblSales[[#This Row],[Customer ID]],tblCustomers[Customer ID],tblCustomers[Customer Name],"⚠ Unknown")</f>
        <v>Walk-in Customer</v>
      </c>
      <c r="F6116" s="4" t="s">
        <v>15</v>
      </c>
      <c r="G6116" s="1" t="str">
        <f>_xlfn.XLOOKUP(tblSales[[#This Row],[Product Code]],tblProducts[Code],tblProducts[Product / Service Name],"⚠ Unknown")</f>
        <v>Wireless Earbuds Pro</v>
      </c>
      <c r="H6116" s="1" t="str">
        <f>_xlfn.XLOOKUP(tblSales[[#This Row],[Product Code]],tblProducts[Code],tblProducts[Category],"")</f>
        <v>Bags &amp; Gadgets</v>
      </c>
      <c r="I6116" s="4">
        <v>3</v>
      </c>
      <c r="J6116" s="5">
        <f>_xlfn.XLOOKUP(tblSales[[#This Row],[Product Code]],tblProducts[Code],tblProducts[Selling Price (excl. VAT)],0)</f>
        <v>1250000</v>
      </c>
      <c r="K6116" s="5">
        <f>tblSales[[#This Row],[Qty]]*tblSales[[#This Row],[Unit Price]]</f>
        <v>3750000</v>
      </c>
      <c r="L6116" s="5">
        <f>ROUND(tblSales[[#This Row],[DPP (excl. VAT)]]*VATEff,0)</f>
        <v>412500</v>
      </c>
      <c r="M6116" s="5">
        <f>tblSales[[#This Row],[DPP (excl. VAT)]]+tblSales[[#This Row],[Output VAT]]</f>
        <v>4162500</v>
      </c>
      <c r="N6116" s="5">
        <f>tblSales[[#This Row],[Qty]]*_xlfn.XLOOKUP(tblSales[[#This Row],[Product Code]],tblProducts[Code],tblProducts[Unit Cost],0)</f>
        <v>2460000</v>
      </c>
      <c r="O6116" s="4" t="s">
        <v>4865</v>
      </c>
      <c r="P6116" s="4" t="s">
        <v>4860</v>
      </c>
      <c r="Q6116" s="1" t="str">
        <f>_xlfn.XLOOKUP(tblSales[[#This Row],[Channel Code]],tblChannels[Channel Code],tblChannels[Channel Name],"")</f>
        <v>In-store</v>
      </c>
      <c r="R6116" s="1">
        <f>MONTH(tblSales[[#This Row],[Date]])</f>
        <v>12</v>
      </c>
    </row>
    <row r="6117" spans="2:18" x14ac:dyDescent="0.35">
      <c r="B6117" s="113">
        <v>46384</v>
      </c>
      <c r="C6117" s="4" t="s">
        <v>4205</v>
      </c>
      <c r="D6117" s="4" t="s">
        <v>4568</v>
      </c>
      <c r="E6117" s="1" t="str">
        <f>_xlfn.XLOOKUP(tblSales[[#This Row],[Customer ID]],tblCustomers[Customer ID],tblCustomers[Customer Name],"⚠ Unknown")</f>
        <v>Walk-in Customer</v>
      </c>
      <c r="F6117" s="4" t="s">
        <v>9</v>
      </c>
      <c r="G6117" s="1" t="str">
        <f>_xlfn.XLOOKUP(tblSales[[#This Row],[Product Code]],tblProducts[Code],tblProducts[Product / Service Name],"⚠ Unknown")</f>
        <v>Casual Shirt</v>
      </c>
      <c r="H6117" s="1" t="str">
        <f>_xlfn.XLOOKUP(tblSales[[#This Row],[Product Code]],tblProducts[Code],tblProducts[Category],"")</f>
        <v>Apparel &amp; Footwear</v>
      </c>
      <c r="I6117" s="4">
        <v>9</v>
      </c>
      <c r="J6117" s="5">
        <f>_xlfn.XLOOKUP(tblSales[[#This Row],[Product Code]],tblProducts[Code],tblProducts[Selling Price (excl. VAT)],0)</f>
        <v>120000</v>
      </c>
      <c r="K6117" s="5">
        <f>tblSales[[#This Row],[Qty]]*tblSales[[#This Row],[Unit Price]]</f>
        <v>1080000</v>
      </c>
      <c r="L6117" s="5">
        <f>ROUND(tblSales[[#This Row],[DPP (excl. VAT)]]*VATEff,0)</f>
        <v>118800</v>
      </c>
      <c r="M6117" s="5">
        <f>tblSales[[#This Row],[DPP (excl. VAT)]]+tblSales[[#This Row],[Output VAT]]</f>
        <v>1198800</v>
      </c>
      <c r="N6117" s="5">
        <f>tblSales[[#This Row],[Qty]]*_xlfn.XLOOKUP(tblSales[[#This Row],[Product Code]],tblProducts[Code],tblProducts[Unit Cost],0)</f>
        <v>648000</v>
      </c>
      <c r="O6117" s="4" t="s">
        <v>4865</v>
      </c>
      <c r="P6117" s="4" t="s">
        <v>4860</v>
      </c>
      <c r="Q6117" s="1" t="str">
        <f>_xlfn.XLOOKUP(tblSales[[#This Row],[Channel Code]],tblChannels[Channel Code],tblChannels[Channel Name],"")</f>
        <v>In-store</v>
      </c>
      <c r="R6117" s="1">
        <f>MONTH(tblSales[[#This Row],[Date]])</f>
        <v>12</v>
      </c>
    </row>
    <row r="6118" spans="2:18" x14ac:dyDescent="0.35">
      <c r="B6118" s="113">
        <v>46384</v>
      </c>
      <c r="C6118" s="4" t="s">
        <v>4206</v>
      </c>
      <c r="D6118" s="4" t="s">
        <v>4568</v>
      </c>
      <c r="E6118" s="1" t="str">
        <f>_xlfn.XLOOKUP(tblSales[[#This Row],[Customer ID]],tblCustomers[Customer ID],tblCustomers[Customer Name],"⚠ Unknown")</f>
        <v>Walk-in Customer</v>
      </c>
      <c r="F6118" s="4" t="s">
        <v>10</v>
      </c>
      <c r="G6118" s="1" t="str">
        <f>_xlfn.XLOOKUP(tblSales[[#This Row],[Product Code]],tblProducts[Code],tblProducts[Product / Service Name],"⚠ Unknown")</f>
        <v>Chino Pants</v>
      </c>
      <c r="H6118" s="1" t="str">
        <f>_xlfn.XLOOKUP(tblSales[[#This Row],[Product Code]],tblProducts[Code],tblProducts[Category],"")</f>
        <v>Apparel &amp; Footwear</v>
      </c>
      <c r="I6118" s="4">
        <v>5</v>
      </c>
      <c r="J6118" s="5">
        <f>_xlfn.XLOOKUP(tblSales[[#This Row],[Product Code]],tblProducts[Code],tblProducts[Selling Price (excl. VAT)],0)</f>
        <v>150000</v>
      </c>
      <c r="K6118" s="5">
        <f>tblSales[[#This Row],[Qty]]*tblSales[[#This Row],[Unit Price]]</f>
        <v>750000</v>
      </c>
      <c r="L6118" s="5">
        <f>ROUND(tblSales[[#This Row],[DPP (excl. VAT)]]*VATEff,0)</f>
        <v>82500</v>
      </c>
      <c r="M6118" s="5">
        <f>tblSales[[#This Row],[DPP (excl. VAT)]]+tblSales[[#This Row],[Output VAT]]</f>
        <v>832500</v>
      </c>
      <c r="N6118" s="5">
        <f>tblSales[[#This Row],[Qty]]*_xlfn.XLOOKUP(tblSales[[#This Row],[Product Code]],tblProducts[Code],tblProducts[Unit Cost],0)</f>
        <v>440000</v>
      </c>
      <c r="O6118" s="4" t="s">
        <v>4865</v>
      </c>
      <c r="P6118" s="4" t="s">
        <v>4860</v>
      </c>
      <c r="Q6118" s="1" t="str">
        <f>_xlfn.XLOOKUP(tblSales[[#This Row],[Channel Code]],tblChannels[Channel Code],tblChannels[Channel Name],"")</f>
        <v>In-store</v>
      </c>
      <c r="R6118" s="1">
        <f>MONTH(tblSales[[#This Row],[Date]])</f>
        <v>12</v>
      </c>
    </row>
    <row r="6119" spans="2:18" x14ac:dyDescent="0.35">
      <c r="B6119" s="113">
        <v>46384</v>
      </c>
      <c r="C6119" s="4" t="s">
        <v>4207</v>
      </c>
      <c r="D6119" s="4" t="s">
        <v>4613</v>
      </c>
      <c r="E6119" s="1" t="str">
        <f>_xlfn.XLOOKUP(tblSales[[#This Row],[Customer ID]],tblCustomers[Customer ID],tblCustomers[Customer Name],"⚠ Unknown")</f>
        <v>PT Mega Prima Distribusi</v>
      </c>
      <c r="F6119" s="4" t="s">
        <v>8</v>
      </c>
      <c r="G6119" s="1" t="str">
        <f>_xlfn.XLOOKUP(tblSales[[#This Row],[Product Code]],tblProducts[Code],tblProducts[Product / Service Name],"⚠ Unknown")</f>
        <v>Casual Shorts</v>
      </c>
      <c r="H6119" s="1" t="str">
        <f>_xlfn.XLOOKUP(tblSales[[#This Row],[Product Code]],tblProducts[Code],tblProducts[Category],"")</f>
        <v>Accessories &amp; Basics</v>
      </c>
      <c r="I6119" s="4">
        <v>80</v>
      </c>
      <c r="J6119" s="5">
        <f>_xlfn.XLOOKUP(tblSales[[#This Row],[Product Code]],tblProducts[Code],tblProducts[Selling Price (excl. VAT)],0)</f>
        <v>85000</v>
      </c>
      <c r="K6119" s="5">
        <f>tblSales[[#This Row],[Qty]]*tblSales[[#This Row],[Unit Price]]</f>
        <v>6800000</v>
      </c>
      <c r="L6119" s="5">
        <f>ROUND(tblSales[[#This Row],[DPP (excl. VAT)]]*VATEff,0)</f>
        <v>748000</v>
      </c>
      <c r="M6119" s="5">
        <f>tblSales[[#This Row],[DPP (excl. VAT)]]+tblSales[[#This Row],[Output VAT]]</f>
        <v>7548000</v>
      </c>
      <c r="N6119" s="5">
        <f>tblSales[[#This Row],[Qty]]*_xlfn.XLOOKUP(tblSales[[#This Row],[Product Code]],tblProducts[Code],tblProducts[Unit Cost],0)</f>
        <v>4000000</v>
      </c>
      <c r="O6119" s="4" t="s">
        <v>4867</v>
      </c>
      <c r="P6119" s="4" t="s">
        <v>4860</v>
      </c>
      <c r="Q6119" s="1" t="str">
        <f>_xlfn.XLOOKUP(tblSales[[#This Row],[Channel Code]],tblChannels[Channel Code],tblChannels[Channel Name],"")</f>
        <v>In-store</v>
      </c>
      <c r="R6119" s="1">
        <f>MONTH(tblSales[[#This Row],[Date]])</f>
        <v>12</v>
      </c>
    </row>
    <row r="6120" spans="2:18" x14ac:dyDescent="0.35">
      <c r="B6120" s="113">
        <v>46384</v>
      </c>
      <c r="C6120" s="4" t="s">
        <v>4207</v>
      </c>
      <c r="D6120" s="4" t="s">
        <v>4613</v>
      </c>
      <c r="E6120" s="1" t="str">
        <f>_xlfn.XLOOKUP(tblSales[[#This Row],[Customer ID]],tblCustomers[Customer ID],tblCustomers[Customer Name],"⚠ Unknown")</f>
        <v>PT Mega Prima Distribusi</v>
      </c>
      <c r="F6120" s="4" t="s">
        <v>11</v>
      </c>
      <c r="G6120" s="1" t="str">
        <f>_xlfn.XLOOKUP(tblSales[[#This Row],[Product Code]],tblProducts[Code],tblProducts[Product / Service Name],"⚠ Unknown")</f>
        <v>Sneakers</v>
      </c>
      <c r="H6120" s="1" t="str">
        <f>_xlfn.XLOOKUP(tblSales[[#This Row],[Product Code]],tblProducts[Code],tblProducts[Category],"")</f>
        <v>Apparel &amp; Footwear</v>
      </c>
      <c r="I6120" s="4">
        <v>16</v>
      </c>
      <c r="J6120" s="5">
        <f>_xlfn.XLOOKUP(tblSales[[#This Row],[Product Code]],tblProducts[Code],tblProducts[Selling Price (excl. VAT)],0)</f>
        <v>250000</v>
      </c>
      <c r="K6120" s="5">
        <f>tblSales[[#This Row],[Qty]]*tblSales[[#This Row],[Unit Price]]</f>
        <v>4000000</v>
      </c>
      <c r="L6120" s="5">
        <f>ROUND(tblSales[[#This Row],[DPP (excl. VAT)]]*VATEff,0)</f>
        <v>440000</v>
      </c>
      <c r="M6120" s="5">
        <f>tblSales[[#This Row],[DPP (excl. VAT)]]+tblSales[[#This Row],[Output VAT]]</f>
        <v>4440000</v>
      </c>
      <c r="N6120" s="5">
        <f>tblSales[[#This Row],[Qty]]*_xlfn.XLOOKUP(tblSales[[#This Row],[Product Code]],tblProducts[Code],tblProducts[Unit Cost],0)</f>
        <v>2480000</v>
      </c>
      <c r="O6120" s="4" t="s">
        <v>4867</v>
      </c>
      <c r="P6120" s="4" t="s">
        <v>4860</v>
      </c>
      <c r="Q6120" s="1" t="str">
        <f>_xlfn.XLOOKUP(tblSales[[#This Row],[Channel Code]],tblChannels[Channel Code],tblChannels[Channel Name],"")</f>
        <v>In-store</v>
      </c>
      <c r="R6120" s="1">
        <f>MONTH(tblSales[[#This Row],[Date]])</f>
        <v>12</v>
      </c>
    </row>
    <row r="6121" spans="2:18" x14ac:dyDescent="0.35">
      <c r="B6121" s="113">
        <v>46384</v>
      </c>
      <c r="C6121" s="4" t="s">
        <v>4208</v>
      </c>
      <c r="D6121" s="4" t="s">
        <v>4568</v>
      </c>
      <c r="E6121" s="1" t="str">
        <f>_xlfn.XLOOKUP(tblSales[[#This Row],[Customer ID]],tblCustomers[Customer ID],tblCustomers[Customer Name],"⚠ Unknown")</f>
        <v>Walk-in Customer</v>
      </c>
      <c r="F6121" s="4" t="s">
        <v>10</v>
      </c>
      <c r="G6121" s="1" t="str">
        <f>_xlfn.XLOOKUP(tblSales[[#This Row],[Product Code]],tblProducts[Code],tblProducts[Product / Service Name],"⚠ Unknown")</f>
        <v>Chino Pants</v>
      </c>
      <c r="H6121" s="1" t="str">
        <f>_xlfn.XLOOKUP(tblSales[[#This Row],[Product Code]],tblProducts[Code],tblProducts[Category],"")</f>
        <v>Apparel &amp; Footwear</v>
      </c>
      <c r="I6121" s="4">
        <v>4</v>
      </c>
      <c r="J6121" s="5">
        <f>_xlfn.XLOOKUP(tblSales[[#This Row],[Product Code]],tblProducts[Code],tblProducts[Selling Price (excl. VAT)],0)</f>
        <v>150000</v>
      </c>
      <c r="K6121" s="5">
        <f>tblSales[[#This Row],[Qty]]*tblSales[[#This Row],[Unit Price]]</f>
        <v>600000</v>
      </c>
      <c r="L6121" s="5">
        <f>ROUND(tblSales[[#This Row],[DPP (excl. VAT)]]*VATEff,0)</f>
        <v>66000</v>
      </c>
      <c r="M6121" s="5">
        <f>tblSales[[#This Row],[DPP (excl. VAT)]]+tblSales[[#This Row],[Output VAT]]</f>
        <v>666000</v>
      </c>
      <c r="N6121" s="5">
        <f>tblSales[[#This Row],[Qty]]*_xlfn.XLOOKUP(tblSales[[#This Row],[Product Code]],tblProducts[Code],tblProducts[Unit Cost],0)</f>
        <v>352000</v>
      </c>
      <c r="O6121" s="4" t="s">
        <v>4866</v>
      </c>
      <c r="P6121" s="4" t="s">
        <v>4860</v>
      </c>
      <c r="Q6121" s="1" t="str">
        <f>_xlfn.XLOOKUP(tblSales[[#This Row],[Channel Code]],tblChannels[Channel Code],tblChannels[Channel Name],"")</f>
        <v>In-store</v>
      </c>
      <c r="R6121" s="1">
        <f>MONTH(tblSales[[#This Row],[Date]])</f>
        <v>12</v>
      </c>
    </row>
    <row r="6122" spans="2:18" x14ac:dyDescent="0.35">
      <c r="B6122" s="113">
        <v>46384</v>
      </c>
      <c r="C6122" s="4" t="s">
        <v>4209</v>
      </c>
      <c r="D6122" s="4" t="s">
        <v>4568</v>
      </c>
      <c r="E6122" s="1" t="str">
        <f>_xlfn.XLOOKUP(tblSales[[#This Row],[Customer ID]],tblCustomers[Customer ID],tblCustomers[Customer Name],"⚠ Unknown")</f>
        <v>Walk-in Customer</v>
      </c>
      <c r="F6122" s="4" t="s">
        <v>9</v>
      </c>
      <c r="G6122" s="1" t="str">
        <f>_xlfn.XLOOKUP(tblSales[[#This Row],[Product Code]],tblProducts[Code],tblProducts[Product / Service Name],"⚠ Unknown")</f>
        <v>Casual Shirt</v>
      </c>
      <c r="H6122" s="1" t="str">
        <f>_xlfn.XLOOKUP(tblSales[[#This Row],[Product Code]],tblProducts[Code],tblProducts[Category],"")</f>
        <v>Apparel &amp; Footwear</v>
      </c>
      <c r="I6122" s="4">
        <v>7</v>
      </c>
      <c r="J6122" s="5">
        <f>_xlfn.XLOOKUP(tblSales[[#This Row],[Product Code]],tblProducts[Code],tblProducts[Selling Price (excl. VAT)],0)</f>
        <v>120000</v>
      </c>
      <c r="K6122" s="5">
        <f>tblSales[[#This Row],[Qty]]*tblSales[[#This Row],[Unit Price]]</f>
        <v>840000</v>
      </c>
      <c r="L6122" s="5">
        <f>ROUND(tblSales[[#This Row],[DPP (excl. VAT)]]*VATEff,0)</f>
        <v>92400</v>
      </c>
      <c r="M6122" s="5">
        <f>tblSales[[#This Row],[DPP (excl. VAT)]]+tblSales[[#This Row],[Output VAT]]</f>
        <v>932400</v>
      </c>
      <c r="N6122" s="5">
        <f>tblSales[[#This Row],[Qty]]*_xlfn.XLOOKUP(tblSales[[#This Row],[Product Code]],tblProducts[Code],tblProducts[Unit Cost],0)</f>
        <v>504000</v>
      </c>
      <c r="O6122" s="4" t="s">
        <v>4866</v>
      </c>
      <c r="P6122" s="4" t="s">
        <v>4862</v>
      </c>
      <c r="Q6122" s="1" t="str">
        <f>_xlfn.XLOOKUP(tblSales[[#This Row],[Channel Code]],tblChannels[Channel Code],tblChannels[Channel Name],"")</f>
        <v>Website &amp; Social Media</v>
      </c>
      <c r="R6122" s="1">
        <f>MONTH(tblSales[[#This Row],[Date]])</f>
        <v>12</v>
      </c>
    </row>
    <row r="6123" spans="2:18" x14ac:dyDescent="0.35">
      <c r="B6123" s="113">
        <v>46384</v>
      </c>
      <c r="C6123" s="4" t="s">
        <v>4210</v>
      </c>
      <c r="D6123" s="4" t="s">
        <v>4568</v>
      </c>
      <c r="E6123" s="1" t="str">
        <f>_xlfn.XLOOKUP(tblSales[[#This Row],[Customer ID]],tblCustomers[Customer ID],tblCustomers[Customer Name],"⚠ Unknown")</f>
        <v>Walk-in Customer</v>
      </c>
      <c r="F6123" s="4" t="s">
        <v>8</v>
      </c>
      <c r="G6123" s="1" t="str">
        <f>_xlfn.XLOOKUP(tblSales[[#This Row],[Product Code]],tblProducts[Code],tblProducts[Product / Service Name],"⚠ Unknown")</f>
        <v>Casual Shorts</v>
      </c>
      <c r="H6123" s="1" t="str">
        <f>_xlfn.XLOOKUP(tblSales[[#This Row],[Product Code]],tblProducts[Code],tblProducts[Category],"")</f>
        <v>Accessories &amp; Basics</v>
      </c>
      <c r="I6123" s="4">
        <v>6</v>
      </c>
      <c r="J6123" s="5">
        <f>_xlfn.XLOOKUP(tblSales[[#This Row],[Product Code]],tblProducts[Code],tblProducts[Selling Price (excl. VAT)],0)</f>
        <v>85000</v>
      </c>
      <c r="K6123" s="5">
        <f>tblSales[[#This Row],[Qty]]*tblSales[[#This Row],[Unit Price]]</f>
        <v>510000</v>
      </c>
      <c r="L6123" s="5">
        <f>ROUND(tblSales[[#This Row],[DPP (excl. VAT)]]*VATEff,0)</f>
        <v>56100</v>
      </c>
      <c r="M6123" s="5">
        <f>tblSales[[#This Row],[DPP (excl. VAT)]]+tblSales[[#This Row],[Output VAT]]</f>
        <v>566100</v>
      </c>
      <c r="N6123" s="5">
        <f>tblSales[[#This Row],[Qty]]*_xlfn.XLOOKUP(tblSales[[#This Row],[Product Code]],tblProducts[Code],tblProducts[Unit Cost],0)</f>
        <v>300000</v>
      </c>
      <c r="O6123" s="4" t="s">
        <v>4866</v>
      </c>
      <c r="P6123" s="4" t="s">
        <v>4860</v>
      </c>
      <c r="Q6123" s="1" t="str">
        <f>_xlfn.XLOOKUP(tblSales[[#This Row],[Channel Code]],tblChannels[Channel Code],tblChannels[Channel Name],"")</f>
        <v>In-store</v>
      </c>
      <c r="R6123" s="1">
        <f>MONTH(tblSales[[#This Row],[Date]])</f>
        <v>12</v>
      </c>
    </row>
    <row r="6124" spans="2:18" x14ac:dyDescent="0.35">
      <c r="B6124" s="113">
        <v>46384</v>
      </c>
      <c r="C6124" s="4" t="s">
        <v>4210</v>
      </c>
      <c r="D6124" s="4" t="s">
        <v>4568</v>
      </c>
      <c r="E6124" s="1" t="str">
        <f>_xlfn.XLOOKUP(tblSales[[#This Row],[Customer ID]],tblCustomers[Customer ID],tblCustomers[Customer Name],"⚠ Unknown")</f>
        <v>Walk-in Customer</v>
      </c>
      <c r="F6124" s="4" t="s">
        <v>7</v>
      </c>
      <c r="G6124" s="1" t="str">
        <f>_xlfn.XLOOKUP(tblSales[[#This Row],[Product Code]],tblProducts[Code],tblProducts[Product / Service Name],"⚠ Unknown")</f>
        <v>Premium Basic T-shirt</v>
      </c>
      <c r="H6124" s="1" t="str">
        <f>_xlfn.XLOOKUP(tblSales[[#This Row],[Product Code]],tblProducts[Code],tblProducts[Category],"")</f>
        <v>Accessories &amp; Basics</v>
      </c>
      <c r="I6124" s="4">
        <v>10</v>
      </c>
      <c r="J6124" s="5">
        <f>_xlfn.XLOOKUP(tblSales[[#This Row],[Product Code]],tblProducts[Code],tblProducts[Selling Price (excl. VAT)],0)</f>
        <v>65000</v>
      </c>
      <c r="K6124" s="5">
        <f>tblSales[[#This Row],[Qty]]*tblSales[[#This Row],[Unit Price]]</f>
        <v>650000</v>
      </c>
      <c r="L6124" s="5">
        <f>ROUND(tblSales[[#This Row],[DPP (excl. VAT)]]*VATEff,0)</f>
        <v>71500</v>
      </c>
      <c r="M6124" s="5">
        <f>tblSales[[#This Row],[DPP (excl. VAT)]]+tblSales[[#This Row],[Output VAT]]</f>
        <v>721500</v>
      </c>
      <c r="N6124" s="5">
        <f>tblSales[[#This Row],[Qty]]*_xlfn.XLOOKUP(tblSales[[#This Row],[Product Code]],tblProducts[Code],tblProducts[Unit Cost],0)</f>
        <v>370000</v>
      </c>
      <c r="O6124" s="4" t="s">
        <v>4866</v>
      </c>
      <c r="P6124" s="4" t="s">
        <v>4860</v>
      </c>
      <c r="Q6124" s="1" t="str">
        <f>_xlfn.XLOOKUP(tblSales[[#This Row],[Channel Code]],tblChannels[Channel Code],tblChannels[Channel Name],"")</f>
        <v>In-store</v>
      </c>
      <c r="R6124" s="1">
        <f>MONTH(tblSales[[#This Row],[Date]])</f>
        <v>12</v>
      </c>
    </row>
    <row r="6125" spans="2:18" x14ac:dyDescent="0.35">
      <c r="B6125" s="113">
        <v>46384</v>
      </c>
      <c r="C6125" s="4" t="s">
        <v>4210</v>
      </c>
      <c r="D6125" s="4" t="s">
        <v>4568</v>
      </c>
      <c r="E6125" s="1" t="str">
        <f>_xlfn.XLOOKUP(tblSales[[#This Row],[Customer ID]],tblCustomers[Customer ID],tblCustomers[Customer Name],"⚠ Unknown")</f>
        <v>Walk-in Customer</v>
      </c>
      <c r="F6125" s="4" t="s">
        <v>6</v>
      </c>
      <c r="G6125" s="1" t="str">
        <f>_xlfn.XLOOKUP(tblSales[[#This Row],[Product Code]],tblProducts[Code],tblProducts[Product / Service Name],"⚠ Unknown")</f>
        <v>Socks &amp; Accessories</v>
      </c>
      <c r="H6125" s="1" t="str">
        <f>_xlfn.XLOOKUP(tblSales[[#This Row],[Product Code]],tblProducts[Code],tblProducts[Category],"")</f>
        <v>Accessories &amp; Basics</v>
      </c>
      <c r="I6125" s="4">
        <v>9</v>
      </c>
      <c r="J6125" s="5">
        <f>_xlfn.XLOOKUP(tblSales[[#This Row],[Product Code]],tblProducts[Code],tblProducts[Selling Price (excl. VAT)],0)</f>
        <v>45000</v>
      </c>
      <c r="K6125" s="5">
        <f>tblSales[[#This Row],[Qty]]*tblSales[[#This Row],[Unit Price]]</f>
        <v>405000</v>
      </c>
      <c r="L6125" s="5">
        <f>ROUND(tblSales[[#This Row],[DPP (excl. VAT)]]*VATEff,0)</f>
        <v>44550</v>
      </c>
      <c r="M6125" s="5">
        <f>tblSales[[#This Row],[DPP (excl. VAT)]]+tblSales[[#This Row],[Output VAT]]</f>
        <v>449550</v>
      </c>
      <c r="N6125" s="5">
        <f>tblSales[[#This Row],[Qty]]*_xlfn.XLOOKUP(tblSales[[#This Row],[Product Code]],tblProducts[Code],tblProducts[Unit Cost],0)</f>
        <v>216000</v>
      </c>
      <c r="O6125" s="4" t="s">
        <v>4866</v>
      </c>
      <c r="P6125" s="4" t="s">
        <v>4860</v>
      </c>
      <c r="Q6125" s="1" t="str">
        <f>_xlfn.XLOOKUP(tblSales[[#This Row],[Channel Code]],tblChannels[Channel Code],tblChannels[Channel Name],"")</f>
        <v>In-store</v>
      </c>
      <c r="R6125" s="1">
        <f>MONTH(tblSales[[#This Row],[Date]])</f>
        <v>12</v>
      </c>
    </row>
    <row r="6126" spans="2:18" x14ac:dyDescent="0.35">
      <c r="B6126" s="113">
        <v>46384</v>
      </c>
      <c r="C6126" s="4" t="s">
        <v>4211</v>
      </c>
      <c r="D6126" s="4" t="s">
        <v>4568</v>
      </c>
      <c r="E6126" s="1" t="str">
        <f>_xlfn.XLOOKUP(tblSales[[#This Row],[Customer ID]],tblCustomers[Customer ID],tblCustomers[Customer Name],"⚠ Unknown")</f>
        <v>Walk-in Customer</v>
      </c>
      <c r="F6126" s="4" t="s">
        <v>10</v>
      </c>
      <c r="G6126" s="1" t="str">
        <f>_xlfn.XLOOKUP(tblSales[[#This Row],[Product Code]],tblProducts[Code],tblProducts[Product / Service Name],"⚠ Unknown")</f>
        <v>Chino Pants</v>
      </c>
      <c r="H6126" s="1" t="str">
        <f>_xlfn.XLOOKUP(tblSales[[#This Row],[Product Code]],tblProducts[Code],tblProducts[Category],"")</f>
        <v>Apparel &amp; Footwear</v>
      </c>
      <c r="I6126" s="4">
        <v>5</v>
      </c>
      <c r="J6126" s="5">
        <f>_xlfn.XLOOKUP(tblSales[[#This Row],[Product Code]],tblProducts[Code],tblProducts[Selling Price (excl. VAT)],0)</f>
        <v>150000</v>
      </c>
      <c r="K6126" s="5">
        <f>tblSales[[#This Row],[Qty]]*tblSales[[#This Row],[Unit Price]]</f>
        <v>750000</v>
      </c>
      <c r="L6126" s="5">
        <f>ROUND(tblSales[[#This Row],[DPP (excl. VAT)]]*VATEff,0)</f>
        <v>82500</v>
      </c>
      <c r="M6126" s="5">
        <f>tblSales[[#This Row],[DPP (excl. VAT)]]+tblSales[[#This Row],[Output VAT]]</f>
        <v>832500</v>
      </c>
      <c r="N6126" s="5">
        <f>tblSales[[#This Row],[Qty]]*_xlfn.XLOOKUP(tblSales[[#This Row],[Product Code]],tblProducts[Code],tblProducts[Unit Cost],0)</f>
        <v>440000</v>
      </c>
      <c r="O6126" s="4" t="s">
        <v>4865</v>
      </c>
      <c r="P6126" s="4" t="s">
        <v>4860</v>
      </c>
      <c r="Q6126" s="1" t="str">
        <f>_xlfn.XLOOKUP(tblSales[[#This Row],[Channel Code]],tblChannels[Channel Code],tblChannels[Channel Name],"")</f>
        <v>In-store</v>
      </c>
      <c r="R6126" s="1">
        <f>MONTH(tblSales[[#This Row],[Date]])</f>
        <v>12</v>
      </c>
    </row>
    <row r="6127" spans="2:18" x14ac:dyDescent="0.35">
      <c r="B6127" s="113">
        <v>46384</v>
      </c>
      <c r="C6127" s="4" t="s">
        <v>4212</v>
      </c>
      <c r="D6127" s="4" t="s">
        <v>4599</v>
      </c>
      <c r="E6127" s="1" t="str">
        <f>_xlfn.XLOOKUP(tblSales[[#This Row],[Customer ID]],tblCustomers[Customer ID],tblCustomers[Customer Name],"⚠ Unknown")</f>
        <v>PT Samudra Jaya Logistik</v>
      </c>
      <c r="F6127" s="4" t="s">
        <v>6</v>
      </c>
      <c r="G6127" s="1" t="str">
        <f>_xlfn.XLOOKUP(tblSales[[#This Row],[Product Code]],tblProducts[Code],tblProducts[Product / Service Name],"⚠ Unknown")</f>
        <v>Socks &amp; Accessories</v>
      </c>
      <c r="H6127" s="1" t="str">
        <f>_xlfn.XLOOKUP(tblSales[[#This Row],[Product Code]],tblProducts[Code],tblProducts[Category],"")</f>
        <v>Accessories &amp; Basics</v>
      </c>
      <c r="I6127" s="4">
        <v>96</v>
      </c>
      <c r="J6127" s="5">
        <f>_xlfn.XLOOKUP(tblSales[[#This Row],[Product Code]],tblProducts[Code],tblProducts[Selling Price (excl. VAT)],0)</f>
        <v>45000</v>
      </c>
      <c r="K6127" s="5">
        <f>tblSales[[#This Row],[Qty]]*tblSales[[#This Row],[Unit Price]]</f>
        <v>4320000</v>
      </c>
      <c r="L6127" s="5">
        <f>ROUND(tblSales[[#This Row],[DPP (excl. VAT)]]*VATEff,0)</f>
        <v>475200</v>
      </c>
      <c r="M6127" s="5">
        <f>tblSales[[#This Row],[DPP (excl. VAT)]]+tblSales[[#This Row],[Output VAT]]</f>
        <v>4795200</v>
      </c>
      <c r="N6127" s="5">
        <f>tblSales[[#This Row],[Qty]]*_xlfn.XLOOKUP(tblSales[[#This Row],[Product Code]],tblProducts[Code],tblProducts[Unit Cost],0)</f>
        <v>2304000</v>
      </c>
      <c r="O6127" s="4" t="s">
        <v>4867</v>
      </c>
      <c r="P6127" s="4" t="s">
        <v>4860</v>
      </c>
      <c r="Q6127" s="1" t="str">
        <f>_xlfn.XLOOKUP(tblSales[[#This Row],[Channel Code]],tblChannels[Channel Code],tblChannels[Channel Name],"")</f>
        <v>In-store</v>
      </c>
      <c r="R6127" s="1">
        <f>MONTH(tblSales[[#This Row],[Date]])</f>
        <v>12</v>
      </c>
    </row>
    <row r="6128" spans="2:18" x14ac:dyDescent="0.35">
      <c r="B6128" s="113">
        <v>46384</v>
      </c>
      <c r="C6128" s="4" t="s">
        <v>4212</v>
      </c>
      <c r="D6128" s="4" t="s">
        <v>4599</v>
      </c>
      <c r="E6128" s="1" t="str">
        <f>_xlfn.XLOOKUP(tblSales[[#This Row],[Customer ID]],tblCustomers[Customer ID],tblCustomers[Customer Name],"⚠ Unknown")</f>
        <v>PT Samudra Jaya Logistik</v>
      </c>
      <c r="F6128" s="4" t="s">
        <v>9</v>
      </c>
      <c r="G6128" s="1" t="str">
        <f>_xlfn.XLOOKUP(tblSales[[#This Row],[Product Code]],tblProducts[Code],tblProducts[Product / Service Name],"⚠ Unknown")</f>
        <v>Casual Shirt</v>
      </c>
      <c r="H6128" s="1" t="str">
        <f>_xlfn.XLOOKUP(tblSales[[#This Row],[Product Code]],tblProducts[Code],tblProducts[Category],"")</f>
        <v>Apparel &amp; Footwear</v>
      </c>
      <c r="I6128" s="4">
        <v>16</v>
      </c>
      <c r="J6128" s="5">
        <f>_xlfn.XLOOKUP(tblSales[[#This Row],[Product Code]],tblProducts[Code],tblProducts[Selling Price (excl. VAT)],0)</f>
        <v>120000</v>
      </c>
      <c r="K6128" s="5">
        <f>tblSales[[#This Row],[Qty]]*tblSales[[#This Row],[Unit Price]]</f>
        <v>1920000</v>
      </c>
      <c r="L6128" s="5">
        <f>ROUND(tblSales[[#This Row],[DPP (excl. VAT)]]*VATEff,0)</f>
        <v>211200</v>
      </c>
      <c r="M6128" s="5">
        <f>tblSales[[#This Row],[DPP (excl. VAT)]]+tblSales[[#This Row],[Output VAT]]</f>
        <v>2131200</v>
      </c>
      <c r="N6128" s="5">
        <f>tblSales[[#This Row],[Qty]]*_xlfn.XLOOKUP(tblSales[[#This Row],[Product Code]],tblProducts[Code],tblProducts[Unit Cost],0)</f>
        <v>1152000</v>
      </c>
      <c r="O6128" s="4" t="s">
        <v>4867</v>
      </c>
      <c r="P6128" s="4" t="s">
        <v>4860</v>
      </c>
      <c r="Q6128" s="1" t="str">
        <f>_xlfn.XLOOKUP(tblSales[[#This Row],[Channel Code]],tblChannels[Channel Code],tblChannels[Channel Name],"")</f>
        <v>In-store</v>
      </c>
      <c r="R6128" s="1">
        <f>MONTH(tblSales[[#This Row],[Date]])</f>
        <v>12</v>
      </c>
    </row>
    <row r="6129" spans="2:18" x14ac:dyDescent="0.35">
      <c r="B6129" s="113">
        <v>46384</v>
      </c>
      <c r="C6129" s="4" t="s">
        <v>4212</v>
      </c>
      <c r="D6129" s="4" t="s">
        <v>4599</v>
      </c>
      <c r="E6129" s="1" t="str">
        <f>_xlfn.XLOOKUP(tblSales[[#This Row],[Customer ID]],tblCustomers[Customer ID],tblCustomers[Customer Name],"⚠ Unknown")</f>
        <v>PT Samudra Jaya Logistik</v>
      </c>
      <c r="F6129" s="4" t="s">
        <v>8</v>
      </c>
      <c r="G6129" s="1" t="str">
        <f>_xlfn.XLOOKUP(tblSales[[#This Row],[Product Code]],tblProducts[Code],tblProducts[Product / Service Name],"⚠ Unknown")</f>
        <v>Casual Shorts</v>
      </c>
      <c r="H6129" s="1" t="str">
        <f>_xlfn.XLOOKUP(tblSales[[#This Row],[Product Code]],tblProducts[Code],tblProducts[Category],"")</f>
        <v>Accessories &amp; Basics</v>
      </c>
      <c r="I6129" s="4">
        <v>96</v>
      </c>
      <c r="J6129" s="5">
        <f>_xlfn.XLOOKUP(tblSales[[#This Row],[Product Code]],tblProducts[Code],tblProducts[Selling Price (excl. VAT)],0)</f>
        <v>85000</v>
      </c>
      <c r="K6129" s="5">
        <f>tblSales[[#This Row],[Qty]]*tblSales[[#This Row],[Unit Price]]</f>
        <v>8160000</v>
      </c>
      <c r="L6129" s="5">
        <f>ROUND(tblSales[[#This Row],[DPP (excl. VAT)]]*VATEff,0)</f>
        <v>897600</v>
      </c>
      <c r="M6129" s="5">
        <f>tblSales[[#This Row],[DPP (excl. VAT)]]+tblSales[[#This Row],[Output VAT]]</f>
        <v>9057600</v>
      </c>
      <c r="N6129" s="5">
        <f>tblSales[[#This Row],[Qty]]*_xlfn.XLOOKUP(tblSales[[#This Row],[Product Code]],tblProducts[Code],tblProducts[Unit Cost],0)</f>
        <v>4800000</v>
      </c>
      <c r="O6129" s="4" t="s">
        <v>4867</v>
      </c>
      <c r="P6129" s="4" t="s">
        <v>4860</v>
      </c>
      <c r="Q6129" s="1" t="str">
        <f>_xlfn.XLOOKUP(tblSales[[#This Row],[Channel Code]],tblChannels[Channel Code],tblChannels[Channel Name],"")</f>
        <v>In-store</v>
      </c>
      <c r="R6129" s="1">
        <f>MONTH(tblSales[[#This Row],[Date]])</f>
        <v>12</v>
      </c>
    </row>
    <row r="6130" spans="2:18" x14ac:dyDescent="0.35">
      <c r="B6130" s="113">
        <v>46384</v>
      </c>
      <c r="C6130" s="4" t="s">
        <v>4213</v>
      </c>
      <c r="D6130" s="4" t="s">
        <v>4568</v>
      </c>
      <c r="E6130" s="1" t="str">
        <f>_xlfn.XLOOKUP(tblSales[[#This Row],[Customer ID]],tblCustomers[Customer ID],tblCustomers[Customer Name],"⚠ Unknown")</f>
        <v>Walk-in Customer</v>
      </c>
      <c r="F6130" s="4" t="s">
        <v>10</v>
      </c>
      <c r="G6130" s="1" t="str">
        <f>_xlfn.XLOOKUP(tblSales[[#This Row],[Product Code]],tblProducts[Code],tblProducts[Product / Service Name],"⚠ Unknown")</f>
        <v>Chino Pants</v>
      </c>
      <c r="H6130" s="1" t="str">
        <f>_xlfn.XLOOKUP(tblSales[[#This Row],[Product Code]],tblProducts[Code],tblProducts[Category],"")</f>
        <v>Apparel &amp; Footwear</v>
      </c>
      <c r="I6130" s="4">
        <v>1</v>
      </c>
      <c r="J6130" s="5">
        <f>_xlfn.XLOOKUP(tblSales[[#This Row],[Product Code]],tblProducts[Code],tblProducts[Selling Price (excl. VAT)],0)</f>
        <v>150000</v>
      </c>
      <c r="K6130" s="5">
        <f>tblSales[[#This Row],[Qty]]*tblSales[[#This Row],[Unit Price]]</f>
        <v>150000</v>
      </c>
      <c r="L6130" s="5">
        <f>ROUND(tblSales[[#This Row],[DPP (excl. VAT)]]*VATEff,0)</f>
        <v>16500</v>
      </c>
      <c r="M6130" s="5">
        <f>tblSales[[#This Row],[DPP (excl. VAT)]]+tblSales[[#This Row],[Output VAT]]</f>
        <v>166500</v>
      </c>
      <c r="N6130" s="5">
        <f>tblSales[[#This Row],[Qty]]*_xlfn.XLOOKUP(tblSales[[#This Row],[Product Code]],tblProducts[Code],tblProducts[Unit Cost],0)</f>
        <v>88000</v>
      </c>
      <c r="O6130" s="4" t="s">
        <v>4866</v>
      </c>
      <c r="P6130" s="4" t="s">
        <v>4860</v>
      </c>
      <c r="Q6130" s="1" t="str">
        <f>_xlfn.XLOOKUP(tblSales[[#This Row],[Channel Code]],tblChannels[Channel Code],tblChannels[Channel Name],"")</f>
        <v>In-store</v>
      </c>
      <c r="R6130" s="1">
        <f>MONTH(tblSales[[#This Row],[Date]])</f>
        <v>12</v>
      </c>
    </row>
    <row r="6131" spans="2:18" x14ac:dyDescent="0.35">
      <c r="B6131" s="113">
        <v>46384</v>
      </c>
      <c r="C6131" s="4" t="s">
        <v>4214</v>
      </c>
      <c r="D6131" s="4" t="s">
        <v>4585</v>
      </c>
      <c r="E6131" s="1" t="str">
        <f>_xlfn.XLOOKUP(tblSales[[#This Row],[Customer ID]],tblCustomers[Customer ID],tblCustomers[Customer Name],"⚠ Unknown")</f>
        <v>CV Mitra Karya Mandiri</v>
      </c>
      <c r="F6131" s="4" t="s">
        <v>7</v>
      </c>
      <c r="G6131" s="1" t="str">
        <f>_xlfn.XLOOKUP(tblSales[[#This Row],[Product Code]],tblProducts[Code],tblProducts[Product / Service Name],"⚠ Unknown")</f>
        <v>Premium Basic T-shirt</v>
      </c>
      <c r="H6131" s="1" t="str">
        <f>_xlfn.XLOOKUP(tblSales[[#This Row],[Product Code]],tblProducts[Code],tblProducts[Category],"")</f>
        <v>Accessories &amp; Basics</v>
      </c>
      <c r="I6131" s="4">
        <v>48</v>
      </c>
      <c r="J6131" s="5">
        <f>_xlfn.XLOOKUP(tblSales[[#This Row],[Product Code]],tblProducts[Code],tblProducts[Selling Price (excl. VAT)],0)</f>
        <v>65000</v>
      </c>
      <c r="K6131" s="5">
        <f>tblSales[[#This Row],[Qty]]*tblSales[[#This Row],[Unit Price]]</f>
        <v>3120000</v>
      </c>
      <c r="L6131" s="5">
        <f>ROUND(tblSales[[#This Row],[DPP (excl. VAT)]]*VATEff,0)</f>
        <v>343200</v>
      </c>
      <c r="M6131" s="5">
        <f>tblSales[[#This Row],[DPP (excl. VAT)]]+tblSales[[#This Row],[Output VAT]]</f>
        <v>3463200</v>
      </c>
      <c r="N6131" s="5">
        <f>tblSales[[#This Row],[Qty]]*_xlfn.XLOOKUP(tblSales[[#This Row],[Product Code]],tblProducts[Code],tblProducts[Unit Cost],0)</f>
        <v>1776000</v>
      </c>
      <c r="O6131" s="4" t="s">
        <v>4867</v>
      </c>
      <c r="P6131" s="4" t="s">
        <v>4860</v>
      </c>
      <c r="Q6131" s="1" t="str">
        <f>_xlfn.XLOOKUP(tblSales[[#This Row],[Channel Code]],tblChannels[Channel Code],tblChannels[Channel Name],"")</f>
        <v>In-store</v>
      </c>
      <c r="R6131" s="1">
        <f>MONTH(tblSales[[#This Row],[Date]])</f>
        <v>12</v>
      </c>
    </row>
    <row r="6132" spans="2:18" x14ac:dyDescent="0.35">
      <c r="B6132" s="113">
        <v>46384</v>
      </c>
      <c r="C6132" s="4" t="s">
        <v>4214</v>
      </c>
      <c r="D6132" s="4" t="s">
        <v>4585</v>
      </c>
      <c r="E6132" s="1" t="str">
        <f>_xlfn.XLOOKUP(tblSales[[#This Row],[Customer ID]],tblCustomers[Customer ID],tblCustomers[Customer Name],"⚠ Unknown")</f>
        <v>CV Mitra Karya Mandiri</v>
      </c>
      <c r="F6132" s="4" t="s">
        <v>15</v>
      </c>
      <c r="G6132" s="1" t="str">
        <f>_xlfn.XLOOKUP(tblSales[[#This Row],[Product Code]],tblProducts[Code],tblProducts[Product / Service Name],"⚠ Unknown")</f>
        <v>Wireless Earbuds Pro</v>
      </c>
      <c r="H6132" s="1" t="str">
        <f>_xlfn.XLOOKUP(tblSales[[#This Row],[Product Code]],tblProducts[Code],tblProducts[Category],"")</f>
        <v>Bags &amp; Gadgets</v>
      </c>
      <c r="I6132" s="4">
        <v>8</v>
      </c>
      <c r="J6132" s="5">
        <f>_xlfn.XLOOKUP(tblSales[[#This Row],[Product Code]],tblProducts[Code],tblProducts[Selling Price (excl. VAT)],0)</f>
        <v>1250000</v>
      </c>
      <c r="K6132" s="5">
        <f>tblSales[[#This Row],[Qty]]*tblSales[[#This Row],[Unit Price]]</f>
        <v>10000000</v>
      </c>
      <c r="L6132" s="5">
        <f>ROUND(tblSales[[#This Row],[DPP (excl. VAT)]]*VATEff,0)</f>
        <v>1100000</v>
      </c>
      <c r="M6132" s="5">
        <f>tblSales[[#This Row],[DPP (excl. VAT)]]+tblSales[[#This Row],[Output VAT]]</f>
        <v>11100000</v>
      </c>
      <c r="N6132" s="5">
        <f>tblSales[[#This Row],[Qty]]*_xlfn.XLOOKUP(tblSales[[#This Row],[Product Code]],tblProducts[Code],tblProducts[Unit Cost],0)</f>
        <v>6560000</v>
      </c>
      <c r="O6132" s="4" t="s">
        <v>4867</v>
      </c>
      <c r="P6132" s="4" t="s">
        <v>4860</v>
      </c>
      <c r="Q6132" s="1" t="str">
        <f>_xlfn.XLOOKUP(tblSales[[#This Row],[Channel Code]],tblChannels[Channel Code],tblChannels[Channel Name],"")</f>
        <v>In-store</v>
      </c>
      <c r="R6132" s="1">
        <f>MONTH(tblSales[[#This Row],[Date]])</f>
        <v>12</v>
      </c>
    </row>
    <row r="6133" spans="2:18" x14ac:dyDescent="0.35">
      <c r="B6133" s="113">
        <v>46384</v>
      </c>
      <c r="C6133" s="4" t="s">
        <v>4215</v>
      </c>
      <c r="D6133" s="4" t="s">
        <v>4599</v>
      </c>
      <c r="E6133" s="1" t="str">
        <f>_xlfn.XLOOKUP(tblSales[[#This Row],[Customer ID]],tblCustomers[Customer ID],tblCustomers[Customer Name],"⚠ Unknown")</f>
        <v>PT Samudra Jaya Logistik</v>
      </c>
      <c r="F6133" s="4" t="s">
        <v>12</v>
      </c>
      <c r="G6133" s="1" t="str">
        <f>_xlfn.XLOOKUP(tblSales[[#This Row],[Product Code]],tblProducts[Code],tblProducts[Product / Service Name],"⚠ Unknown")</f>
        <v>Bomber Jacket</v>
      </c>
      <c r="H6133" s="1" t="str">
        <f>_xlfn.XLOOKUP(tblSales[[#This Row],[Product Code]],tblProducts[Code],tblProducts[Category],"")</f>
        <v>Apparel &amp; Footwear</v>
      </c>
      <c r="I6133" s="4">
        <v>16</v>
      </c>
      <c r="J6133" s="5">
        <f>_xlfn.XLOOKUP(tblSales[[#This Row],[Product Code]],tblProducts[Code],tblProducts[Selling Price (excl. VAT)],0)</f>
        <v>350000</v>
      </c>
      <c r="K6133" s="5">
        <f>tblSales[[#This Row],[Qty]]*tblSales[[#This Row],[Unit Price]]</f>
        <v>5600000</v>
      </c>
      <c r="L6133" s="5">
        <f>ROUND(tblSales[[#This Row],[DPP (excl. VAT)]]*VATEff,0)</f>
        <v>616000</v>
      </c>
      <c r="M6133" s="5">
        <f>tblSales[[#This Row],[DPP (excl. VAT)]]+tblSales[[#This Row],[Output VAT]]</f>
        <v>6216000</v>
      </c>
      <c r="N6133" s="5">
        <f>tblSales[[#This Row],[Qty]]*_xlfn.XLOOKUP(tblSales[[#This Row],[Product Code]],tblProducts[Code],tblProducts[Unit Cost],0)</f>
        <v>3360000</v>
      </c>
      <c r="O6133" s="4" t="s">
        <v>4867</v>
      </c>
      <c r="P6133" s="4" t="s">
        <v>4860</v>
      </c>
      <c r="Q6133" s="1" t="str">
        <f>_xlfn.XLOOKUP(tblSales[[#This Row],[Channel Code]],tblChannels[Channel Code],tblChannels[Channel Name],"")</f>
        <v>In-store</v>
      </c>
      <c r="R6133" s="1">
        <f>MONTH(tblSales[[#This Row],[Date]])</f>
        <v>12</v>
      </c>
    </row>
    <row r="6134" spans="2:18" x14ac:dyDescent="0.35">
      <c r="B6134" s="113">
        <v>46384</v>
      </c>
      <c r="C6134" s="4" t="s">
        <v>4215</v>
      </c>
      <c r="D6134" s="4" t="s">
        <v>4599</v>
      </c>
      <c r="E6134" s="1" t="str">
        <f>_xlfn.XLOOKUP(tblSales[[#This Row],[Customer ID]],tblCustomers[Customer ID],tblCustomers[Customer Name],"⚠ Unknown")</f>
        <v>PT Samudra Jaya Logistik</v>
      </c>
      <c r="F6134" s="4" t="s">
        <v>15</v>
      </c>
      <c r="G6134" s="1" t="str">
        <f>_xlfn.XLOOKUP(tblSales[[#This Row],[Product Code]],tblProducts[Code],tblProducts[Product / Service Name],"⚠ Unknown")</f>
        <v>Wireless Earbuds Pro</v>
      </c>
      <c r="H6134" s="1" t="str">
        <f>_xlfn.XLOOKUP(tblSales[[#This Row],[Product Code]],tblProducts[Code],tblProducts[Category],"")</f>
        <v>Bags &amp; Gadgets</v>
      </c>
      <c r="I6134" s="4">
        <v>24</v>
      </c>
      <c r="J6134" s="5">
        <f>_xlfn.XLOOKUP(tblSales[[#This Row],[Product Code]],tblProducts[Code],tblProducts[Selling Price (excl. VAT)],0)</f>
        <v>1250000</v>
      </c>
      <c r="K6134" s="5">
        <f>tblSales[[#This Row],[Qty]]*tblSales[[#This Row],[Unit Price]]</f>
        <v>30000000</v>
      </c>
      <c r="L6134" s="5">
        <f>ROUND(tblSales[[#This Row],[DPP (excl. VAT)]]*VATEff,0)</f>
        <v>3300000</v>
      </c>
      <c r="M6134" s="5">
        <f>tblSales[[#This Row],[DPP (excl. VAT)]]+tblSales[[#This Row],[Output VAT]]</f>
        <v>33300000</v>
      </c>
      <c r="N6134" s="5">
        <f>tblSales[[#This Row],[Qty]]*_xlfn.XLOOKUP(tblSales[[#This Row],[Product Code]],tblProducts[Code],tblProducts[Unit Cost],0)</f>
        <v>19680000</v>
      </c>
      <c r="O6134" s="4" t="s">
        <v>4867</v>
      </c>
      <c r="P6134" s="4" t="s">
        <v>4860</v>
      </c>
      <c r="Q6134" s="1" t="str">
        <f>_xlfn.XLOOKUP(tblSales[[#This Row],[Channel Code]],tblChannels[Channel Code],tblChannels[Channel Name],"")</f>
        <v>In-store</v>
      </c>
      <c r="R6134" s="1">
        <f>MONTH(tblSales[[#This Row],[Date]])</f>
        <v>12</v>
      </c>
    </row>
    <row r="6135" spans="2:18" x14ac:dyDescent="0.35">
      <c r="B6135" s="113">
        <v>46384</v>
      </c>
      <c r="C6135" s="4" t="s">
        <v>4215</v>
      </c>
      <c r="D6135" s="4" t="s">
        <v>4599</v>
      </c>
      <c r="E6135" s="1" t="str">
        <f>_xlfn.XLOOKUP(tblSales[[#This Row],[Customer ID]],tblCustomers[Customer ID],tblCustomers[Customer Name],"⚠ Unknown")</f>
        <v>PT Samudra Jaya Logistik</v>
      </c>
      <c r="F6135" s="4" t="s">
        <v>8</v>
      </c>
      <c r="G6135" s="1" t="str">
        <f>_xlfn.XLOOKUP(tblSales[[#This Row],[Product Code]],tblProducts[Code],tblProducts[Product / Service Name],"⚠ Unknown")</f>
        <v>Casual Shorts</v>
      </c>
      <c r="H6135" s="1" t="str">
        <f>_xlfn.XLOOKUP(tblSales[[#This Row],[Product Code]],tblProducts[Code],tblProducts[Category],"")</f>
        <v>Accessories &amp; Basics</v>
      </c>
      <c r="I6135" s="4">
        <v>48</v>
      </c>
      <c r="J6135" s="5">
        <f>_xlfn.XLOOKUP(tblSales[[#This Row],[Product Code]],tblProducts[Code],tblProducts[Selling Price (excl. VAT)],0)</f>
        <v>85000</v>
      </c>
      <c r="K6135" s="5">
        <f>tblSales[[#This Row],[Qty]]*tblSales[[#This Row],[Unit Price]]</f>
        <v>4080000</v>
      </c>
      <c r="L6135" s="5">
        <f>ROUND(tblSales[[#This Row],[DPP (excl. VAT)]]*VATEff,0)</f>
        <v>448800</v>
      </c>
      <c r="M6135" s="5">
        <f>tblSales[[#This Row],[DPP (excl. VAT)]]+tblSales[[#This Row],[Output VAT]]</f>
        <v>4528800</v>
      </c>
      <c r="N6135" s="5">
        <f>tblSales[[#This Row],[Qty]]*_xlfn.XLOOKUP(tblSales[[#This Row],[Product Code]],tblProducts[Code],tblProducts[Unit Cost],0)</f>
        <v>2400000</v>
      </c>
      <c r="O6135" s="4" t="s">
        <v>4867</v>
      </c>
      <c r="P6135" s="4" t="s">
        <v>4860</v>
      </c>
      <c r="Q6135" s="1" t="str">
        <f>_xlfn.XLOOKUP(tblSales[[#This Row],[Channel Code]],tblChannels[Channel Code],tblChannels[Channel Name],"")</f>
        <v>In-store</v>
      </c>
      <c r="R6135" s="1">
        <f>MONTH(tblSales[[#This Row],[Date]])</f>
        <v>12</v>
      </c>
    </row>
    <row r="6136" spans="2:18" x14ac:dyDescent="0.35">
      <c r="B6136" s="113">
        <v>46384</v>
      </c>
      <c r="C6136" s="4" t="s">
        <v>4216</v>
      </c>
      <c r="D6136" s="4" t="s">
        <v>4634</v>
      </c>
      <c r="E6136" s="1" t="str">
        <f>_xlfn.XLOOKUP(tblSales[[#This Row],[Customer ID]],tblCustomers[Customer ID],tblCustomers[Customer Name],"⚠ Unknown")</f>
        <v>PT Delta Inti Selaras</v>
      </c>
      <c r="F6136" s="4" t="s">
        <v>7</v>
      </c>
      <c r="G6136" s="1" t="str">
        <f>_xlfn.XLOOKUP(tblSales[[#This Row],[Product Code]],tblProducts[Code],tblProducts[Product / Service Name],"⚠ Unknown")</f>
        <v>Premium Basic T-shirt</v>
      </c>
      <c r="H6136" s="1" t="str">
        <f>_xlfn.XLOOKUP(tblSales[[#This Row],[Product Code]],tblProducts[Code],tblProducts[Category],"")</f>
        <v>Accessories &amp; Basics</v>
      </c>
      <c r="I6136" s="4">
        <v>88</v>
      </c>
      <c r="J6136" s="5">
        <f>_xlfn.XLOOKUP(tblSales[[#This Row],[Product Code]],tblProducts[Code],tblProducts[Selling Price (excl. VAT)],0)</f>
        <v>65000</v>
      </c>
      <c r="K6136" s="5">
        <f>tblSales[[#This Row],[Qty]]*tblSales[[#This Row],[Unit Price]]</f>
        <v>5720000</v>
      </c>
      <c r="L6136" s="5">
        <f>ROUND(tblSales[[#This Row],[DPP (excl. VAT)]]*VATEff,0)</f>
        <v>629200</v>
      </c>
      <c r="M6136" s="5">
        <f>tblSales[[#This Row],[DPP (excl. VAT)]]+tblSales[[#This Row],[Output VAT]]</f>
        <v>6349200</v>
      </c>
      <c r="N6136" s="5">
        <f>tblSales[[#This Row],[Qty]]*_xlfn.XLOOKUP(tblSales[[#This Row],[Product Code]],tblProducts[Code],tblProducts[Unit Cost],0)</f>
        <v>3256000</v>
      </c>
      <c r="O6136" s="4" t="s">
        <v>4867</v>
      </c>
      <c r="P6136" s="4" t="s">
        <v>4860</v>
      </c>
      <c r="Q6136" s="1" t="str">
        <f>_xlfn.XLOOKUP(tblSales[[#This Row],[Channel Code]],tblChannels[Channel Code],tblChannels[Channel Name],"")</f>
        <v>In-store</v>
      </c>
      <c r="R6136" s="1">
        <f>MONTH(tblSales[[#This Row],[Date]])</f>
        <v>12</v>
      </c>
    </row>
    <row r="6137" spans="2:18" x14ac:dyDescent="0.35">
      <c r="B6137" s="113">
        <v>46384</v>
      </c>
      <c r="C6137" s="4" t="s">
        <v>4217</v>
      </c>
      <c r="D6137" s="4" t="s">
        <v>4568</v>
      </c>
      <c r="E6137" s="1" t="str">
        <f>_xlfn.XLOOKUP(tblSales[[#This Row],[Customer ID]],tblCustomers[Customer ID],tblCustomers[Customer Name],"⚠ Unknown")</f>
        <v>Walk-in Customer</v>
      </c>
      <c r="F6137" s="4" t="s">
        <v>13</v>
      </c>
      <c r="G6137" s="1" t="str">
        <f>_xlfn.XLOOKUP(tblSales[[#This Row],[Product Code]],tblProducts[Code],tblProducts[Product / Service Name],"⚠ Unknown")</f>
        <v>Backpack</v>
      </c>
      <c r="H6137" s="1" t="str">
        <f>_xlfn.XLOOKUP(tblSales[[#This Row],[Product Code]],tblProducts[Code],tblProducts[Category],"")</f>
        <v>Bags &amp; Gadgets</v>
      </c>
      <c r="I6137" s="4">
        <v>5</v>
      </c>
      <c r="J6137" s="5">
        <f>_xlfn.XLOOKUP(tblSales[[#This Row],[Product Code]],tblProducts[Code],tblProducts[Selling Price (excl. VAT)],0)</f>
        <v>500000</v>
      </c>
      <c r="K6137" s="5">
        <f>tblSales[[#This Row],[Qty]]*tblSales[[#This Row],[Unit Price]]</f>
        <v>2500000</v>
      </c>
      <c r="L6137" s="5">
        <f>ROUND(tblSales[[#This Row],[DPP (excl. VAT)]]*VATEff,0)</f>
        <v>275000</v>
      </c>
      <c r="M6137" s="5">
        <f>tblSales[[#This Row],[DPP (excl. VAT)]]+tblSales[[#This Row],[Output VAT]]</f>
        <v>2775000</v>
      </c>
      <c r="N6137" s="5">
        <f>tblSales[[#This Row],[Qty]]*_xlfn.XLOOKUP(tblSales[[#This Row],[Product Code]],tblProducts[Code],tblProducts[Unit Cost],0)</f>
        <v>1450000</v>
      </c>
      <c r="O6137" s="4" t="s">
        <v>4866</v>
      </c>
      <c r="P6137" s="4" t="s">
        <v>4861</v>
      </c>
      <c r="Q6137" s="1" t="str">
        <f>_xlfn.XLOOKUP(tblSales[[#This Row],[Channel Code]],tblChannels[Channel Code],tblChannels[Channel Name],"")</f>
        <v>Marketplace</v>
      </c>
      <c r="R6137" s="1">
        <f>MONTH(tblSales[[#This Row],[Date]])</f>
        <v>12</v>
      </c>
    </row>
    <row r="6138" spans="2:18" x14ac:dyDescent="0.35">
      <c r="B6138" s="113">
        <v>46384</v>
      </c>
      <c r="C6138" s="4" t="s">
        <v>4218</v>
      </c>
      <c r="D6138" s="4" t="s">
        <v>4568</v>
      </c>
      <c r="E6138" s="1" t="str">
        <f>_xlfn.XLOOKUP(tblSales[[#This Row],[Customer ID]],tblCustomers[Customer ID],tblCustomers[Customer Name],"⚠ Unknown")</f>
        <v>Walk-in Customer</v>
      </c>
      <c r="F6138" s="4" t="s">
        <v>11</v>
      </c>
      <c r="G6138" s="1" t="str">
        <f>_xlfn.XLOOKUP(tblSales[[#This Row],[Product Code]],tblProducts[Code],tblProducts[Product / Service Name],"⚠ Unknown")</f>
        <v>Sneakers</v>
      </c>
      <c r="H6138" s="1" t="str">
        <f>_xlfn.XLOOKUP(tblSales[[#This Row],[Product Code]],tblProducts[Code],tblProducts[Category],"")</f>
        <v>Apparel &amp; Footwear</v>
      </c>
      <c r="I6138" s="4">
        <v>1</v>
      </c>
      <c r="J6138" s="5">
        <f>_xlfn.XLOOKUP(tblSales[[#This Row],[Product Code]],tblProducts[Code],tblProducts[Selling Price (excl. VAT)],0)</f>
        <v>250000</v>
      </c>
      <c r="K6138" s="5">
        <f>tblSales[[#This Row],[Qty]]*tblSales[[#This Row],[Unit Price]]</f>
        <v>250000</v>
      </c>
      <c r="L6138" s="5">
        <f>ROUND(tblSales[[#This Row],[DPP (excl. VAT)]]*VATEff,0)</f>
        <v>27500</v>
      </c>
      <c r="M6138" s="5">
        <f>tblSales[[#This Row],[DPP (excl. VAT)]]+tblSales[[#This Row],[Output VAT]]</f>
        <v>277500</v>
      </c>
      <c r="N6138" s="5">
        <f>tblSales[[#This Row],[Qty]]*_xlfn.XLOOKUP(tblSales[[#This Row],[Product Code]],tblProducts[Code],tblProducts[Unit Cost],0)</f>
        <v>155000</v>
      </c>
      <c r="O6138" s="4" t="s">
        <v>4865</v>
      </c>
      <c r="P6138" s="4" t="s">
        <v>4860</v>
      </c>
      <c r="Q6138" s="1" t="str">
        <f>_xlfn.XLOOKUP(tblSales[[#This Row],[Channel Code]],tblChannels[Channel Code],tblChannels[Channel Name],"")</f>
        <v>In-store</v>
      </c>
      <c r="R6138" s="1">
        <f>MONTH(tblSales[[#This Row],[Date]])</f>
        <v>12</v>
      </c>
    </row>
    <row r="6139" spans="2:18" x14ac:dyDescent="0.35">
      <c r="B6139" s="113">
        <v>46384</v>
      </c>
      <c r="C6139" s="4" t="s">
        <v>4218</v>
      </c>
      <c r="D6139" s="4" t="s">
        <v>4568</v>
      </c>
      <c r="E6139" s="1" t="str">
        <f>_xlfn.XLOOKUP(tblSales[[#This Row],[Customer ID]],tblCustomers[Customer ID],tblCustomers[Customer Name],"⚠ Unknown")</f>
        <v>Walk-in Customer</v>
      </c>
      <c r="F6139" s="4" t="s">
        <v>7</v>
      </c>
      <c r="G6139" s="1" t="str">
        <f>_xlfn.XLOOKUP(tblSales[[#This Row],[Product Code]],tblProducts[Code],tblProducts[Product / Service Name],"⚠ Unknown")</f>
        <v>Premium Basic T-shirt</v>
      </c>
      <c r="H6139" s="1" t="str">
        <f>_xlfn.XLOOKUP(tblSales[[#This Row],[Product Code]],tblProducts[Code],tblProducts[Category],"")</f>
        <v>Accessories &amp; Basics</v>
      </c>
      <c r="I6139" s="4">
        <v>1</v>
      </c>
      <c r="J6139" s="5">
        <f>_xlfn.XLOOKUP(tblSales[[#This Row],[Product Code]],tblProducts[Code],tblProducts[Selling Price (excl. VAT)],0)</f>
        <v>65000</v>
      </c>
      <c r="K6139" s="5">
        <f>tblSales[[#This Row],[Qty]]*tblSales[[#This Row],[Unit Price]]</f>
        <v>65000</v>
      </c>
      <c r="L6139" s="5">
        <f>ROUND(tblSales[[#This Row],[DPP (excl. VAT)]]*VATEff,0)</f>
        <v>7150</v>
      </c>
      <c r="M6139" s="5">
        <f>tblSales[[#This Row],[DPP (excl. VAT)]]+tblSales[[#This Row],[Output VAT]]</f>
        <v>72150</v>
      </c>
      <c r="N6139" s="5">
        <f>tblSales[[#This Row],[Qty]]*_xlfn.XLOOKUP(tblSales[[#This Row],[Product Code]],tblProducts[Code],tblProducts[Unit Cost],0)</f>
        <v>37000</v>
      </c>
      <c r="O6139" s="4" t="s">
        <v>4865</v>
      </c>
      <c r="P6139" s="4" t="s">
        <v>4860</v>
      </c>
      <c r="Q6139" s="1" t="str">
        <f>_xlfn.XLOOKUP(tblSales[[#This Row],[Channel Code]],tblChannels[Channel Code],tblChannels[Channel Name],"")</f>
        <v>In-store</v>
      </c>
      <c r="R6139" s="1">
        <f>MONTH(tblSales[[#This Row],[Date]])</f>
        <v>12</v>
      </c>
    </row>
    <row r="6140" spans="2:18" x14ac:dyDescent="0.35">
      <c r="B6140" s="113">
        <v>46384</v>
      </c>
      <c r="C6140" s="4" t="s">
        <v>4219</v>
      </c>
      <c r="D6140" s="4" t="s">
        <v>4568</v>
      </c>
      <c r="E6140" s="1" t="str">
        <f>_xlfn.XLOOKUP(tblSales[[#This Row],[Customer ID]],tblCustomers[Customer ID],tblCustomers[Customer Name],"⚠ Unknown")</f>
        <v>Walk-in Customer</v>
      </c>
      <c r="F6140" s="4" t="s">
        <v>7</v>
      </c>
      <c r="G6140" s="1" t="str">
        <f>_xlfn.XLOOKUP(tblSales[[#This Row],[Product Code]],tblProducts[Code],tblProducts[Product / Service Name],"⚠ Unknown")</f>
        <v>Premium Basic T-shirt</v>
      </c>
      <c r="H6140" s="1" t="str">
        <f>_xlfn.XLOOKUP(tblSales[[#This Row],[Product Code]],tblProducts[Code],tblProducts[Category],"")</f>
        <v>Accessories &amp; Basics</v>
      </c>
      <c r="I6140" s="4">
        <v>12</v>
      </c>
      <c r="J6140" s="5">
        <f>_xlfn.XLOOKUP(tblSales[[#This Row],[Product Code]],tblProducts[Code],tblProducts[Selling Price (excl. VAT)],0)</f>
        <v>65000</v>
      </c>
      <c r="K6140" s="5">
        <f>tblSales[[#This Row],[Qty]]*tblSales[[#This Row],[Unit Price]]</f>
        <v>780000</v>
      </c>
      <c r="L6140" s="5">
        <f>ROUND(tblSales[[#This Row],[DPP (excl. VAT)]]*VATEff,0)</f>
        <v>85800</v>
      </c>
      <c r="M6140" s="5">
        <f>tblSales[[#This Row],[DPP (excl. VAT)]]+tblSales[[#This Row],[Output VAT]]</f>
        <v>865800</v>
      </c>
      <c r="N6140" s="5">
        <f>tblSales[[#This Row],[Qty]]*_xlfn.XLOOKUP(tblSales[[#This Row],[Product Code]],tblProducts[Code],tblProducts[Unit Cost],0)</f>
        <v>444000</v>
      </c>
      <c r="O6140" s="4" t="s">
        <v>4865</v>
      </c>
      <c r="P6140" s="4" t="s">
        <v>4860</v>
      </c>
      <c r="Q6140" s="1" t="str">
        <f>_xlfn.XLOOKUP(tblSales[[#This Row],[Channel Code]],tblChannels[Channel Code],tblChannels[Channel Name],"")</f>
        <v>In-store</v>
      </c>
      <c r="R6140" s="1">
        <f>MONTH(tblSales[[#This Row],[Date]])</f>
        <v>12</v>
      </c>
    </row>
    <row r="6141" spans="2:18" x14ac:dyDescent="0.35">
      <c r="B6141" s="113">
        <v>46385</v>
      </c>
      <c r="C6141" s="4" t="s">
        <v>4220</v>
      </c>
      <c r="D6141" s="4" t="s">
        <v>4568</v>
      </c>
      <c r="E6141" s="1" t="str">
        <f>_xlfn.XLOOKUP(tblSales[[#This Row],[Customer ID]],tblCustomers[Customer ID],tblCustomers[Customer Name],"⚠ Unknown")</f>
        <v>Walk-in Customer</v>
      </c>
      <c r="F6141" s="4" t="s">
        <v>7</v>
      </c>
      <c r="G6141" s="1" t="str">
        <f>_xlfn.XLOOKUP(tblSales[[#This Row],[Product Code]],tblProducts[Code],tblProducts[Product / Service Name],"⚠ Unknown")</f>
        <v>Premium Basic T-shirt</v>
      </c>
      <c r="H6141" s="1" t="str">
        <f>_xlfn.XLOOKUP(tblSales[[#This Row],[Product Code]],tblProducts[Code],tblProducts[Category],"")</f>
        <v>Accessories &amp; Basics</v>
      </c>
      <c r="I6141" s="4">
        <v>11</v>
      </c>
      <c r="J6141" s="5">
        <f>_xlfn.XLOOKUP(tblSales[[#This Row],[Product Code]],tblProducts[Code],tblProducts[Selling Price (excl. VAT)],0)</f>
        <v>65000</v>
      </c>
      <c r="K6141" s="5">
        <f>tblSales[[#This Row],[Qty]]*tblSales[[#This Row],[Unit Price]]</f>
        <v>715000</v>
      </c>
      <c r="L6141" s="5">
        <f>ROUND(tblSales[[#This Row],[DPP (excl. VAT)]]*VATEff,0)</f>
        <v>78650</v>
      </c>
      <c r="M6141" s="5">
        <f>tblSales[[#This Row],[DPP (excl. VAT)]]+tblSales[[#This Row],[Output VAT]]</f>
        <v>793650</v>
      </c>
      <c r="N6141" s="5">
        <f>tblSales[[#This Row],[Qty]]*_xlfn.XLOOKUP(tblSales[[#This Row],[Product Code]],tblProducts[Code],tblProducts[Unit Cost],0)</f>
        <v>407000</v>
      </c>
      <c r="O6141" s="4" t="s">
        <v>4865</v>
      </c>
      <c r="P6141" s="4" t="s">
        <v>4860</v>
      </c>
      <c r="Q6141" s="1" t="str">
        <f>_xlfn.XLOOKUP(tblSales[[#This Row],[Channel Code]],tblChannels[Channel Code],tblChannels[Channel Name],"")</f>
        <v>In-store</v>
      </c>
      <c r="R6141" s="1">
        <f>MONTH(tblSales[[#This Row],[Date]])</f>
        <v>12</v>
      </c>
    </row>
    <row r="6142" spans="2:18" x14ac:dyDescent="0.35">
      <c r="B6142" s="113">
        <v>46385</v>
      </c>
      <c r="C6142" s="4" t="s">
        <v>4220</v>
      </c>
      <c r="D6142" s="4" t="s">
        <v>4568</v>
      </c>
      <c r="E6142" s="1" t="str">
        <f>_xlfn.XLOOKUP(tblSales[[#This Row],[Customer ID]],tblCustomers[Customer ID],tblCustomers[Customer Name],"⚠ Unknown")</f>
        <v>Walk-in Customer</v>
      </c>
      <c r="F6142" s="4" t="s">
        <v>10</v>
      </c>
      <c r="G6142" s="1" t="str">
        <f>_xlfn.XLOOKUP(tblSales[[#This Row],[Product Code]],tblProducts[Code],tblProducts[Product / Service Name],"⚠ Unknown")</f>
        <v>Chino Pants</v>
      </c>
      <c r="H6142" s="1" t="str">
        <f>_xlfn.XLOOKUP(tblSales[[#This Row],[Product Code]],tblProducts[Code],tblProducts[Category],"")</f>
        <v>Apparel &amp; Footwear</v>
      </c>
      <c r="I6142" s="4">
        <v>12</v>
      </c>
      <c r="J6142" s="5">
        <f>_xlfn.XLOOKUP(tblSales[[#This Row],[Product Code]],tblProducts[Code],tblProducts[Selling Price (excl. VAT)],0)</f>
        <v>150000</v>
      </c>
      <c r="K6142" s="5">
        <f>tblSales[[#This Row],[Qty]]*tblSales[[#This Row],[Unit Price]]</f>
        <v>1800000</v>
      </c>
      <c r="L6142" s="5">
        <f>ROUND(tblSales[[#This Row],[DPP (excl. VAT)]]*VATEff,0)</f>
        <v>198000</v>
      </c>
      <c r="M6142" s="5">
        <f>tblSales[[#This Row],[DPP (excl. VAT)]]+tblSales[[#This Row],[Output VAT]]</f>
        <v>1998000</v>
      </c>
      <c r="N6142" s="5">
        <f>tblSales[[#This Row],[Qty]]*_xlfn.XLOOKUP(tblSales[[#This Row],[Product Code]],tblProducts[Code],tblProducts[Unit Cost],0)</f>
        <v>1056000</v>
      </c>
      <c r="O6142" s="4" t="s">
        <v>4865</v>
      </c>
      <c r="P6142" s="4" t="s">
        <v>4860</v>
      </c>
      <c r="Q6142" s="1" t="str">
        <f>_xlfn.XLOOKUP(tblSales[[#This Row],[Channel Code]],tblChannels[Channel Code],tblChannels[Channel Name],"")</f>
        <v>In-store</v>
      </c>
      <c r="R6142" s="1">
        <f>MONTH(tblSales[[#This Row],[Date]])</f>
        <v>12</v>
      </c>
    </row>
    <row r="6143" spans="2:18" x14ac:dyDescent="0.35">
      <c r="B6143" s="113">
        <v>46385</v>
      </c>
      <c r="C6143" s="4" t="s">
        <v>4220</v>
      </c>
      <c r="D6143" s="4" t="s">
        <v>4568</v>
      </c>
      <c r="E6143" s="1" t="str">
        <f>_xlfn.XLOOKUP(tblSales[[#This Row],[Customer ID]],tblCustomers[Customer ID],tblCustomers[Customer Name],"⚠ Unknown")</f>
        <v>Walk-in Customer</v>
      </c>
      <c r="F6143" s="4" t="s">
        <v>15</v>
      </c>
      <c r="G6143" s="1" t="str">
        <f>_xlfn.XLOOKUP(tblSales[[#This Row],[Product Code]],tblProducts[Code],tblProducts[Product / Service Name],"⚠ Unknown")</f>
        <v>Wireless Earbuds Pro</v>
      </c>
      <c r="H6143" s="1" t="str">
        <f>_xlfn.XLOOKUP(tblSales[[#This Row],[Product Code]],tblProducts[Code],tblProducts[Category],"")</f>
        <v>Bags &amp; Gadgets</v>
      </c>
      <c r="I6143" s="4">
        <v>2</v>
      </c>
      <c r="J6143" s="5">
        <f>_xlfn.XLOOKUP(tblSales[[#This Row],[Product Code]],tblProducts[Code],tblProducts[Selling Price (excl. VAT)],0)</f>
        <v>1250000</v>
      </c>
      <c r="K6143" s="5">
        <f>tblSales[[#This Row],[Qty]]*tblSales[[#This Row],[Unit Price]]</f>
        <v>2500000</v>
      </c>
      <c r="L6143" s="5">
        <f>ROUND(tblSales[[#This Row],[DPP (excl. VAT)]]*VATEff,0)</f>
        <v>275000</v>
      </c>
      <c r="M6143" s="5">
        <f>tblSales[[#This Row],[DPP (excl. VAT)]]+tblSales[[#This Row],[Output VAT]]</f>
        <v>2775000</v>
      </c>
      <c r="N6143" s="5">
        <f>tblSales[[#This Row],[Qty]]*_xlfn.XLOOKUP(tblSales[[#This Row],[Product Code]],tblProducts[Code],tblProducts[Unit Cost],0)</f>
        <v>1640000</v>
      </c>
      <c r="O6143" s="4" t="s">
        <v>4865</v>
      </c>
      <c r="P6143" s="4" t="s">
        <v>4860</v>
      </c>
      <c r="Q6143" s="1" t="str">
        <f>_xlfn.XLOOKUP(tblSales[[#This Row],[Channel Code]],tblChannels[Channel Code],tblChannels[Channel Name],"")</f>
        <v>In-store</v>
      </c>
      <c r="R6143" s="1">
        <f>MONTH(tblSales[[#This Row],[Date]])</f>
        <v>12</v>
      </c>
    </row>
    <row r="6144" spans="2:18" x14ac:dyDescent="0.35">
      <c r="B6144" s="113">
        <v>46385</v>
      </c>
      <c r="C6144" s="4" t="s">
        <v>4221</v>
      </c>
      <c r="D6144" s="4" t="s">
        <v>4568</v>
      </c>
      <c r="E6144" s="1" t="str">
        <f>_xlfn.XLOOKUP(tblSales[[#This Row],[Customer ID]],tblCustomers[Customer ID],tblCustomers[Customer Name],"⚠ Unknown")</f>
        <v>Walk-in Customer</v>
      </c>
      <c r="F6144" s="4" t="s">
        <v>6</v>
      </c>
      <c r="G6144" s="1" t="str">
        <f>_xlfn.XLOOKUP(tblSales[[#This Row],[Product Code]],tblProducts[Code],tblProducts[Product / Service Name],"⚠ Unknown")</f>
        <v>Socks &amp; Accessories</v>
      </c>
      <c r="H6144" s="1" t="str">
        <f>_xlfn.XLOOKUP(tblSales[[#This Row],[Product Code]],tblProducts[Code],tblProducts[Category],"")</f>
        <v>Accessories &amp; Basics</v>
      </c>
      <c r="I6144" s="4">
        <v>6</v>
      </c>
      <c r="J6144" s="5">
        <f>_xlfn.XLOOKUP(tblSales[[#This Row],[Product Code]],tblProducts[Code],tblProducts[Selling Price (excl. VAT)],0)</f>
        <v>45000</v>
      </c>
      <c r="K6144" s="5">
        <f>tblSales[[#This Row],[Qty]]*tblSales[[#This Row],[Unit Price]]</f>
        <v>270000</v>
      </c>
      <c r="L6144" s="5">
        <f>ROUND(tblSales[[#This Row],[DPP (excl. VAT)]]*VATEff,0)</f>
        <v>29700</v>
      </c>
      <c r="M6144" s="5">
        <f>tblSales[[#This Row],[DPP (excl. VAT)]]+tblSales[[#This Row],[Output VAT]]</f>
        <v>299700</v>
      </c>
      <c r="N6144" s="5">
        <f>tblSales[[#This Row],[Qty]]*_xlfn.XLOOKUP(tblSales[[#This Row],[Product Code]],tblProducts[Code],tblProducts[Unit Cost],0)</f>
        <v>144000</v>
      </c>
      <c r="O6144" s="4" t="s">
        <v>4865</v>
      </c>
      <c r="P6144" s="4" t="s">
        <v>4860</v>
      </c>
      <c r="Q6144" s="1" t="str">
        <f>_xlfn.XLOOKUP(tblSales[[#This Row],[Channel Code]],tblChannels[Channel Code],tblChannels[Channel Name],"")</f>
        <v>In-store</v>
      </c>
      <c r="R6144" s="1">
        <f>MONTH(tblSales[[#This Row],[Date]])</f>
        <v>12</v>
      </c>
    </row>
    <row r="6145" spans="2:18" x14ac:dyDescent="0.35">
      <c r="B6145" s="113">
        <v>46385</v>
      </c>
      <c r="C6145" s="4" t="s">
        <v>4222</v>
      </c>
      <c r="D6145" s="4" t="s">
        <v>4568</v>
      </c>
      <c r="E6145" s="1" t="str">
        <f>_xlfn.XLOOKUP(tblSales[[#This Row],[Customer ID]],tblCustomers[Customer ID],tblCustomers[Customer Name],"⚠ Unknown")</f>
        <v>Walk-in Customer</v>
      </c>
      <c r="F6145" s="4" t="s">
        <v>11</v>
      </c>
      <c r="G6145" s="1" t="str">
        <f>_xlfn.XLOOKUP(tblSales[[#This Row],[Product Code]],tblProducts[Code],tblProducts[Product / Service Name],"⚠ Unknown")</f>
        <v>Sneakers</v>
      </c>
      <c r="H6145" s="1" t="str">
        <f>_xlfn.XLOOKUP(tblSales[[#This Row],[Product Code]],tblProducts[Code],tblProducts[Category],"")</f>
        <v>Apparel &amp; Footwear</v>
      </c>
      <c r="I6145" s="4">
        <v>6</v>
      </c>
      <c r="J6145" s="5">
        <f>_xlfn.XLOOKUP(tblSales[[#This Row],[Product Code]],tblProducts[Code],tblProducts[Selling Price (excl. VAT)],0)</f>
        <v>250000</v>
      </c>
      <c r="K6145" s="5">
        <f>tblSales[[#This Row],[Qty]]*tblSales[[#This Row],[Unit Price]]</f>
        <v>1500000</v>
      </c>
      <c r="L6145" s="5">
        <f>ROUND(tblSales[[#This Row],[DPP (excl. VAT)]]*VATEff,0)</f>
        <v>165000</v>
      </c>
      <c r="M6145" s="5">
        <f>tblSales[[#This Row],[DPP (excl. VAT)]]+tblSales[[#This Row],[Output VAT]]</f>
        <v>1665000</v>
      </c>
      <c r="N6145" s="5">
        <f>tblSales[[#This Row],[Qty]]*_xlfn.XLOOKUP(tblSales[[#This Row],[Product Code]],tblProducts[Code],tblProducts[Unit Cost],0)</f>
        <v>930000</v>
      </c>
      <c r="O6145" s="4" t="s">
        <v>4866</v>
      </c>
      <c r="P6145" s="4" t="s">
        <v>4862</v>
      </c>
      <c r="Q6145" s="1" t="str">
        <f>_xlfn.XLOOKUP(tblSales[[#This Row],[Channel Code]],tblChannels[Channel Code],tblChannels[Channel Name],"")</f>
        <v>Website &amp; Social Media</v>
      </c>
      <c r="R6145" s="1">
        <f>MONTH(tblSales[[#This Row],[Date]])</f>
        <v>12</v>
      </c>
    </row>
    <row r="6146" spans="2:18" x14ac:dyDescent="0.35">
      <c r="B6146" s="113">
        <v>46385</v>
      </c>
      <c r="C6146" s="4" t="s">
        <v>4222</v>
      </c>
      <c r="D6146" s="4" t="s">
        <v>4568</v>
      </c>
      <c r="E6146" s="1" t="str">
        <f>_xlfn.XLOOKUP(tblSales[[#This Row],[Customer ID]],tblCustomers[Customer ID],tblCustomers[Customer Name],"⚠ Unknown")</f>
        <v>Walk-in Customer</v>
      </c>
      <c r="F6146" s="4" t="s">
        <v>7</v>
      </c>
      <c r="G6146" s="1" t="str">
        <f>_xlfn.XLOOKUP(tblSales[[#This Row],[Product Code]],tblProducts[Code],tblProducts[Product / Service Name],"⚠ Unknown")</f>
        <v>Premium Basic T-shirt</v>
      </c>
      <c r="H6146" s="1" t="str">
        <f>_xlfn.XLOOKUP(tblSales[[#This Row],[Product Code]],tblProducts[Code],tblProducts[Category],"")</f>
        <v>Accessories &amp; Basics</v>
      </c>
      <c r="I6146" s="4">
        <v>6</v>
      </c>
      <c r="J6146" s="5">
        <f>_xlfn.XLOOKUP(tblSales[[#This Row],[Product Code]],tblProducts[Code],tblProducts[Selling Price (excl. VAT)],0)</f>
        <v>65000</v>
      </c>
      <c r="K6146" s="5">
        <f>tblSales[[#This Row],[Qty]]*tblSales[[#This Row],[Unit Price]]</f>
        <v>390000</v>
      </c>
      <c r="L6146" s="5">
        <f>ROUND(tblSales[[#This Row],[DPP (excl. VAT)]]*VATEff,0)</f>
        <v>42900</v>
      </c>
      <c r="M6146" s="5">
        <f>tblSales[[#This Row],[DPP (excl. VAT)]]+tblSales[[#This Row],[Output VAT]]</f>
        <v>432900</v>
      </c>
      <c r="N6146" s="5">
        <f>tblSales[[#This Row],[Qty]]*_xlfn.XLOOKUP(tblSales[[#This Row],[Product Code]],tblProducts[Code],tblProducts[Unit Cost],0)</f>
        <v>222000</v>
      </c>
      <c r="O6146" s="4" t="s">
        <v>4866</v>
      </c>
      <c r="P6146" s="4" t="s">
        <v>4862</v>
      </c>
      <c r="Q6146" s="1" t="str">
        <f>_xlfn.XLOOKUP(tblSales[[#This Row],[Channel Code]],tblChannels[Channel Code],tblChannels[Channel Name],"")</f>
        <v>Website &amp; Social Media</v>
      </c>
      <c r="R6146" s="1">
        <f>MONTH(tblSales[[#This Row],[Date]])</f>
        <v>12</v>
      </c>
    </row>
    <row r="6147" spans="2:18" x14ac:dyDescent="0.35">
      <c r="B6147" s="113">
        <v>46385</v>
      </c>
      <c r="C6147" s="4" t="s">
        <v>4223</v>
      </c>
      <c r="D6147" s="4" t="s">
        <v>4568</v>
      </c>
      <c r="E6147" s="1" t="str">
        <f>_xlfn.XLOOKUP(tblSales[[#This Row],[Customer ID]],tblCustomers[Customer ID],tblCustomers[Customer Name],"⚠ Unknown")</f>
        <v>Walk-in Customer</v>
      </c>
      <c r="F6147" s="4" t="s">
        <v>7</v>
      </c>
      <c r="G6147" s="1" t="str">
        <f>_xlfn.XLOOKUP(tblSales[[#This Row],[Product Code]],tblProducts[Code],tblProducts[Product / Service Name],"⚠ Unknown")</f>
        <v>Premium Basic T-shirt</v>
      </c>
      <c r="H6147" s="1" t="str">
        <f>_xlfn.XLOOKUP(tblSales[[#This Row],[Product Code]],tblProducts[Code],tblProducts[Category],"")</f>
        <v>Accessories &amp; Basics</v>
      </c>
      <c r="I6147" s="4">
        <v>6</v>
      </c>
      <c r="J6147" s="5">
        <f>_xlfn.XLOOKUP(tblSales[[#This Row],[Product Code]],tblProducts[Code],tblProducts[Selling Price (excl. VAT)],0)</f>
        <v>65000</v>
      </c>
      <c r="K6147" s="5">
        <f>tblSales[[#This Row],[Qty]]*tblSales[[#This Row],[Unit Price]]</f>
        <v>390000</v>
      </c>
      <c r="L6147" s="5">
        <f>ROUND(tblSales[[#This Row],[DPP (excl. VAT)]]*VATEff,0)</f>
        <v>42900</v>
      </c>
      <c r="M6147" s="5">
        <f>tblSales[[#This Row],[DPP (excl. VAT)]]+tblSales[[#This Row],[Output VAT]]</f>
        <v>432900</v>
      </c>
      <c r="N6147" s="5">
        <f>tblSales[[#This Row],[Qty]]*_xlfn.XLOOKUP(tblSales[[#This Row],[Product Code]],tblProducts[Code],tblProducts[Unit Cost],0)</f>
        <v>222000</v>
      </c>
      <c r="O6147" s="4" t="s">
        <v>4866</v>
      </c>
      <c r="P6147" s="4" t="s">
        <v>4860</v>
      </c>
      <c r="Q6147" s="1" t="str">
        <f>_xlfn.XLOOKUP(tblSales[[#This Row],[Channel Code]],tblChannels[Channel Code],tblChannels[Channel Name],"")</f>
        <v>In-store</v>
      </c>
      <c r="R6147" s="1">
        <f>MONTH(tblSales[[#This Row],[Date]])</f>
        <v>12</v>
      </c>
    </row>
    <row r="6148" spans="2:18" x14ac:dyDescent="0.35">
      <c r="B6148" s="113">
        <v>46385</v>
      </c>
      <c r="C6148" s="4" t="s">
        <v>4224</v>
      </c>
      <c r="D6148" s="4" t="s">
        <v>4568</v>
      </c>
      <c r="E6148" s="1" t="str">
        <f>_xlfn.XLOOKUP(tblSales[[#This Row],[Customer ID]],tblCustomers[Customer ID],tblCustomers[Customer Name],"⚠ Unknown")</f>
        <v>Walk-in Customer</v>
      </c>
      <c r="F6148" s="4" t="s">
        <v>9</v>
      </c>
      <c r="G6148" s="1" t="str">
        <f>_xlfn.XLOOKUP(tblSales[[#This Row],[Product Code]],tblProducts[Code],tblProducts[Product / Service Name],"⚠ Unknown")</f>
        <v>Casual Shirt</v>
      </c>
      <c r="H6148" s="1" t="str">
        <f>_xlfn.XLOOKUP(tblSales[[#This Row],[Product Code]],tblProducts[Code],tblProducts[Category],"")</f>
        <v>Apparel &amp; Footwear</v>
      </c>
      <c r="I6148" s="4">
        <v>1</v>
      </c>
      <c r="J6148" s="5">
        <f>_xlfn.XLOOKUP(tblSales[[#This Row],[Product Code]],tblProducts[Code],tblProducts[Selling Price (excl. VAT)],0)</f>
        <v>120000</v>
      </c>
      <c r="K6148" s="5">
        <f>tblSales[[#This Row],[Qty]]*tblSales[[#This Row],[Unit Price]]</f>
        <v>120000</v>
      </c>
      <c r="L6148" s="5">
        <f>ROUND(tblSales[[#This Row],[DPP (excl. VAT)]]*VATEff,0)</f>
        <v>13200</v>
      </c>
      <c r="M6148" s="5">
        <f>tblSales[[#This Row],[DPP (excl. VAT)]]+tblSales[[#This Row],[Output VAT]]</f>
        <v>133200</v>
      </c>
      <c r="N6148" s="5">
        <f>tblSales[[#This Row],[Qty]]*_xlfn.XLOOKUP(tblSales[[#This Row],[Product Code]],tblProducts[Code],tblProducts[Unit Cost],0)</f>
        <v>72000</v>
      </c>
      <c r="O6148" s="4" t="s">
        <v>4865</v>
      </c>
      <c r="P6148" s="4" t="s">
        <v>4860</v>
      </c>
      <c r="Q6148" s="1" t="str">
        <f>_xlfn.XLOOKUP(tblSales[[#This Row],[Channel Code]],tblChannels[Channel Code],tblChannels[Channel Name],"")</f>
        <v>In-store</v>
      </c>
      <c r="R6148" s="1">
        <f>MONTH(tblSales[[#This Row],[Date]])</f>
        <v>12</v>
      </c>
    </row>
    <row r="6149" spans="2:18" x14ac:dyDescent="0.35">
      <c r="B6149" s="113">
        <v>46385</v>
      </c>
      <c r="C6149" s="4" t="s">
        <v>4224</v>
      </c>
      <c r="D6149" s="4" t="s">
        <v>4568</v>
      </c>
      <c r="E6149" s="1" t="str">
        <f>_xlfn.XLOOKUP(tblSales[[#This Row],[Customer ID]],tblCustomers[Customer ID],tblCustomers[Customer Name],"⚠ Unknown")</f>
        <v>Walk-in Customer</v>
      </c>
      <c r="F6149" s="4" t="s">
        <v>11</v>
      </c>
      <c r="G6149" s="1" t="str">
        <f>_xlfn.XLOOKUP(tblSales[[#This Row],[Product Code]],tblProducts[Code],tblProducts[Product / Service Name],"⚠ Unknown")</f>
        <v>Sneakers</v>
      </c>
      <c r="H6149" s="1" t="str">
        <f>_xlfn.XLOOKUP(tblSales[[#This Row],[Product Code]],tblProducts[Code],tblProducts[Category],"")</f>
        <v>Apparel &amp; Footwear</v>
      </c>
      <c r="I6149" s="4">
        <v>5</v>
      </c>
      <c r="J6149" s="5">
        <f>_xlfn.XLOOKUP(tblSales[[#This Row],[Product Code]],tblProducts[Code],tblProducts[Selling Price (excl. VAT)],0)</f>
        <v>250000</v>
      </c>
      <c r="K6149" s="5">
        <f>tblSales[[#This Row],[Qty]]*tblSales[[#This Row],[Unit Price]]</f>
        <v>1250000</v>
      </c>
      <c r="L6149" s="5">
        <f>ROUND(tblSales[[#This Row],[DPP (excl. VAT)]]*VATEff,0)</f>
        <v>137500</v>
      </c>
      <c r="M6149" s="5">
        <f>tblSales[[#This Row],[DPP (excl. VAT)]]+tblSales[[#This Row],[Output VAT]]</f>
        <v>1387500</v>
      </c>
      <c r="N6149" s="5">
        <f>tblSales[[#This Row],[Qty]]*_xlfn.XLOOKUP(tblSales[[#This Row],[Product Code]],tblProducts[Code],tblProducts[Unit Cost],0)</f>
        <v>775000</v>
      </c>
      <c r="O6149" s="4" t="s">
        <v>4865</v>
      </c>
      <c r="P6149" s="4" t="s">
        <v>4860</v>
      </c>
      <c r="Q6149" s="1" t="str">
        <f>_xlfn.XLOOKUP(tblSales[[#This Row],[Channel Code]],tblChannels[Channel Code],tblChannels[Channel Name],"")</f>
        <v>In-store</v>
      </c>
      <c r="R6149" s="1">
        <f>MONTH(tblSales[[#This Row],[Date]])</f>
        <v>12</v>
      </c>
    </row>
    <row r="6150" spans="2:18" x14ac:dyDescent="0.35">
      <c r="B6150" s="113">
        <v>46385</v>
      </c>
      <c r="C6150" s="4" t="s">
        <v>4225</v>
      </c>
      <c r="D6150" s="4" t="s">
        <v>4568</v>
      </c>
      <c r="E6150" s="1" t="str">
        <f>_xlfn.XLOOKUP(tblSales[[#This Row],[Customer ID]],tblCustomers[Customer ID],tblCustomers[Customer Name],"⚠ Unknown")</f>
        <v>Walk-in Customer</v>
      </c>
      <c r="F6150" s="4" t="s">
        <v>10</v>
      </c>
      <c r="G6150" s="1" t="str">
        <f>_xlfn.XLOOKUP(tblSales[[#This Row],[Product Code]],tblProducts[Code],tblProducts[Product / Service Name],"⚠ Unknown")</f>
        <v>Chino Pants</v>
      </c>
      <c r="H6150" s="1" t="str">
        <f>_xlfn.XLOOKUP(tblSales[[#This Row],[Product Code]],tblProducts[Code],tblProducts[Category],"")</f>
        <v>Apparel &amp; Footwear</v>
      </c>
      <c r="I6150" s="4">
        <v>9</v>
      </c>
      <c r="J6150" s="5">
        <f>_xlfn.XLOOKUP(tblSales[[#This Row],[Product Code]],tblProducts[Code],tblProducts[Selling Price (excl. VAT)],0)</f>
        <v>150000</v>
      </c>
      <c r="K6150" s="5">
        <f>tblSales[[#This Row],[Qty]]*tblSales[[#This Row],[Unit Price]]</f>
        <v>1350000</v>
      </c>
      <c r="L6150" s="5">
        <f>ROUND(tblSales[[#This Row],[DPP (excl. VAT)]]*VATEff,0)</f>
        <v>148500</v>
      </c>
      <c r="M6150" s="5">
        <f>tblSales[[#This Row],[DPP (excl. VAT)]]+tblSales[[#This Row],[Output VAT]]</f>
        <v>1498500</v>
      </c>
      <c r="N6150" s="5">
        <f>tblSales[[#This Row],[Qty]]*_xlfn.XLOOKUP(tblSales[[#This Row],[Product Code]],tblProducts[Code],tblProducts[Unit Cost],0)</f>
        <v>792000</v>
      </c>
      <c r="O6150" s="4" t="s">
        <v>4865</v>
      </c>
      <c r="P6150" s="4" t="s">
        <v>4860</v>
      </c>
      <c r="Q6150" s="1" t="str">
        <f>_xlfn.XLOOKUP(tblSales[[#This Row],[Channel Code]],tblChannels[Channel Code],tblChannels[Channel Name],"")</f>
        <v>In-store</v>
      </c>
      <c r="R6150" s="1">
        <f>MONTH(tblSales[[#This Row],[Date]])</f>
        <v>12</v>
      </c>
    </row>
    <row r="6151" spans="2:18" x14ac:dyDescent="0.35">
      <c r="B6151" s="113">
        <v>46385</v>
      </c>
      <c r="C6151" s="4" t="s">
        <v>4226</v>
      </c>
      <c r="D6151" s="4" t="s">
        <v>4568</v>
      </c>
      <c r="E6151" s="1" t="str">
        <f>_xlfn.XLOOKUP(tblSales[[#This Row],[Customer ID]],tblCustomers[Customer ID],tblCustomers[Customer Name],"⚠ Unknown")</f>
        <v>Walk-in Customer</v>
      </c>
      <c r="F6151" s="4" t="s">
        <v>8</v>
      </c>
      <c r="G6151" s="1" t="str">
        <f>_xlfn.XLOOKUP(tblSales[[#This Row],[Product Code]],tblProducts[Code],tblProducts[Product / Service Name],"⚠ Unknown")</f>
        <v>Casual Shorts</v>
      </c>
      <c r="H6151" s="1" t="str">
        <f>_xlfn.XLOOKUP(tblSales[[#This Row],[Product Code]],tblProducts[Code],tblProducts[Category],"")</f>
        <v>Accessories &amp; Basics</v>
      </c>
      <c r="I6151" s="4">
        <v>8</v>
      </c>
      <c r="J6151" s="5">
        <f>_xlfn.XLOOKUP(tblSales[[#This Row],[Product Code]],tblProducts[Code],tblProducts[Selling Price (excl. VAT)],0)</f>
        <v>85000</v>
      </c>
      <c r="K6151" s="5">
        <f>tblSales[[#This Row],[Qty]]*tblSales[[#This Row],[Unit Price]]</f>
        <v>680000</v>
      </c>
      <c r="L6151" s="5">
        <f>ROUND(tblSales[[#This Row],[DPP (excl. VAT)]]*VATEff,0)</f>
        <v>74800</v>
      </c>
      <c r="M6151" s="5">
        <f>tblSales[[#This Row],[DPP (excl. VAT)]]+tblSales[[#This Row],[Output VAT]]</f>
        <v>754800</v>
      </c>
      <c r="N6151" s="5">
        <f>tblSales[[#This Row],[Qty]]*_xlfn.XLOOKUP(tblSales[[#This Row],[Product Code]],tblProducts[Code],tblProducts[Unit Cost],0)</f>
        <v>400000</v>
      </c>
      <c r="O6151" s="4" t="s">
        <v>4866</v>
      </c>
      <c r="P6151" s="4" t="s">
        <v>4861</v>
      </c>
      <c r="Q6151" s="1" t="str">
        <f>_xlfn.XLOOKUP(tblSales[[#This Row],[Channel Code]],tblChannels[Channel Code],tblChannels[Channel Name],"")</f>
        <v>Marketplace</v>
      </c>
      <c r="R6151" s="1">
        <f>MONTH(tblSales[[#This Row],[Date]])</f>
        <v>12</v>
      </c>
    </row>
    <row r="6152" spans="2:18" x14ac:dyDescent="0.35">
      <c r="B6152" s="113">
        <v>46385</v>
      </c>
      <c r="C6152" s="4" t="s">
        <v>4227</v>
      </c>
      <c r="D6152" s="4" t="s">
        <v>4568</v>
      </c>
      <c r="E6152" s="1" t="str">
        <f>_xlfn.XLOOKUP(tblSales[[#This Row],[Customer ID]],tblCustomers[Customer ID],tblCustomers[Customer Name],"⚠ Unknown")</f>
        <v>Walk-in Customer</v>
      </c>
      <c r="F6152" s="4" t="s">
        <v>7</v>
      </c>
      <c r="G6152" s="1" t="str">
        <f>_xlfn.XLOOKUP(tblSales[[#This Row],[Product Code]],tblProducts[Code],tblProducts[Product / Service Name],"⚠ Unknown")</f>
        <v>Premium Basic T-shirt</v>
      </c>
      <c r="H6152" s="1" t="str">
        <f>_xlfn.XLOOKUP(tblSales[[#This Row],[Product Code]],tblProducts[Code],tblProducts[Category],"")</f>
        <v>Accessories &amp; Basics</v>
      </c>
      <c r="I6152" s="4">
        <v>1</v>
      </c>
      <c r="J6152" s="5">
        <f>_xlfn.XLOOKUP(tblSales[[#This Row],[Product Code]],tblProducts[Code],tblProducts[Selling Price (excl. VAT)],0)</f>
        <v>65000</v>
      </c>
      <c r="K6152" s="5">
        <f>tblSales[[#This Row],[Qty]]*tblSales[[#This Row],[Unit Price]]</f>
        <v>65000</v>
      </c>
      <c r="L6152" s="5">
        <f>ROUND(tblSales[[#This Row],[DPP (excl. VAT)]]*VATEff,0)</f>
        <v>7150</v>
      </c>
      <c r="M6152" s="5">
        <f>tblSales[[#This Row],[DPP (excl. VAT)]]+tblSales[[#This Row],[Output VAT]]</f>
        <v>72150</v>
      </c>
      <c r="N6152" s="5">
        <f>tblSales[[#This Row],[Qty]]*_xlfn.XLOOKUP(tblSales[[#This Row],[Product Code]],tblProducts[Code],tblProducts[Unit Cost],0)</f>
        <v>37000</v>
      </c>
      <c r="O6152" s="4" t="s">
        <v>4866</v>
      </c>
      <c r="P6152" s="4" t="s">
        <v>4860</v>
      </c>
      <c r="Q6152" s="1" t="str">
        <f>_xlfn.XLOOKUP(tblSales[[#This Row],[Channel Code]],tblChannels[Channel Code],tblChannels[Channel Name],"")</f>
        <v>In-store</v>
      </c>
      <c r="R6152" s="1">
        <f>MONTH(tblSales[[#This Row],[Date]])</f>
        <v>12</v>
      </c>
    </row>
    <row r="6153" spans="2:18" x14ac:dyDescent="0.35">
      <c r="B6153" s="113">
        <v>46385</v>
      </c>
      <c r="C6153" s="4" t="s">
        <v>4228</v>
      </c>
      <c r="D6153" s="4" t="s">
        <v>4620</v>
      </c>
      <c r="E6153" s="1" t="str">
        <f>_xlfn.XLOOKUP(tblSales[[#This Row],[Customer ID]],tblCustomers[Customer ID],tblCustomers[Customer Name],"⚠ Unknown")</f>
        <v>CV Sumber Rejeki Utama</v>
      </c>
      <c r="F6153" s="4" t="s">
        <v>7</v>
      </c>
      <c r="G6153" s="1" t="str">
        <f>_xlfn.XLOOKUP(tblSales[[#This Row],[Product Code]],tblProducts[Code],tblProducts[Product / Service Name],"⚠ Unknown")</f>
        <v>Premium Basic T-shirt</v>
      </c>
      <c r="H6153" s="1" t="str">
        <f>_xlfn.XLOOKUP(tblSales[[#This Row],[Product Code]],tblProducts[Code],tblProducts[Category],"")</f>
        <v>Accessories &amp; Basics</v>
      </c>
      <c r="I6153" s="4">
        <v>48</v>
      </c>
      <c r="J6153" s="5">
        <f>_xlfn.XLOOKUP(tblSales[[#This Row],[Product Code]],tblProducts[Code],tblProducts[Selling Price (excl. VAT)],0)</f>
        <v>65000</v>
      </c>
      <c r="K6153" s="5">
        <f>tblSales[[#This Row],[Qty]]*tblSales[[#This Row],[Unit Price]]</f>
        <v>3120000</v>
      </c>
      <c r="L6153" s="5">
        <f>ROUND(tblSales[[#This Row],[DPP (excl. VAT)]]*VATEff,0)</f>
        <v>343200</v>
      </c>
      <c r="M6153" s="5">
        <f>tblSales[[#This Row],[DPP (excl. VAT)]]+tblSales[[#This Row],[Output VAT]]</f>
        <v>3463200</v>
      </c>
      <c r="N6153" s="5">
        <f>tblSales[[#This Row],[Qty]]*_xlfn.XLOOKUP(tblSales[[#This Row],[Product Code]],tblProducts[Code],tblProducts[Unit Cost],0)</f>
        <v>1776000</v>
      </c>
      <c r="O6153" s="4" t="s">
        <v>4867</v>
      </c>
      <c r="P6153" s="4" t="s">
        <v>4860</v>
      </c>
      <c r="Q6153" s="1" t="str">
        <f>_xlfn.XLOOKUP(tblSales[[#This Row],[Channel Code]],tblChannels[Channel Code],tblChannels[Channel Name],"")</f>
        <v>In-store</v>
      </c>
      <c r="R6153" s="1">
        <f>MONTH(tblSales[[#This Row],[Date]])</f>
        <v>12</v>
      </c>
    </row>
    <row r="6154" spans="2:18" x14ac:dyDescent="0.35">
      <c r="B6154" s="113">
        <v>46385</v>
      </c>
      <c r="C6154" s="4" t="s">
        <v>4229</v>
      </c>
      <c r="D6154" s="4" t="s">
        <v>4568</v>
      </c>
      <c r="E6154" s="1" t="str">
        <f>_xlfn.XLOOKUP(tblSales[[#This Row],[Customer ID]],tblCustomers[Customer ID],tblCustomers[Customer Name],"⚠ Unknown")</f>
        <v>Walk-in Customer</v>
      </c>
      <c r="F6154" s="4" t="s">
        <v>10</v>
      </c>
      <c r="G6154" s="1" t="str">
        <f>_xlfn.XLOOKUP(tblSales[[#This Row],[Product Code]],tblProducts[Code],tblProducts[Product / Service Name],"⚠ Unknown")</f>
        <v>Chino Pants</v>
      </c>
      <c r="H6154" s="1" t="str">
        <f>_xlfn.XLOOKUP(tblSales[[#This Row],[Product Code]],tblProducts[Code],tblProducts[Category],"")</f>
        <v>Apparel &amp; Footwear</v>
      </c>
      <c r="I6154" s="4">
        <v>6</v>
      </c>
      <c r="J6154" s="5">
        <f>_xlfn.XLOOKUP(tblSales[[#This Row],[Product Code]],tblProducts[Code],tblProducts[Selling Price (excl. VAT)],0)</f>
        <v>150000</v>
      </c>
      <c r="K6154" s="5">
        <f>tblSales[[#This Row],[Qty]]*tblSales[[#This Row],[Unit Price]]</f>
        <v>900000</v>
      </c>
      <c r="L6154" s="5">
        <f>ROUND(tblSales[[#This Row],[DPP (excl. VAT)]]*VATEff,0)</f>
        <v>99000</v>
      </c>
      <c r="M6154" s="5">
        <f>tblSales[[#This Row],[DPP (excl. VAT)]]+tblSales[[#This Row],[Output VAT]]</f>
        <v>999000</v>
      </c>
      <c r="N6154" s="5">
        <f>tblSales[[#This Row],[Qty]]*_xlfn.XLOOKUP(tblSales[[#This Row],[Product Code]],tblProducts[Code],tblProducts[Unit Cost],0)</f>
        <v>528000</v>
      </c>
      <c r="O6154" s="4" t="s">
        <v>4866</v>
      </c>
      <c r="P6154" s="4" t="s">
        <v>4861</v>
      </c>
      <c r="Q6154" s="1" t="str">
        <f>_xlfn.XLOOKUP(tblSales[[#This Row],[Channel Code]],tblChannels[Channel Code],tblChannels[Channel Name],"")</f>
        <v>Marketplace</v>
      </c>
      <c r="R6154" s="1">
        <f>MONTH(tblSales[[#This Row],[Date]])</f>
        <v>12</v>
      </c>
    </row>
    <row r="6155" spans="2:18" x14ac:dyDescent="0.35">
      <c r="B6155" s="113">
        <v>46385</v>
      </c>
      <c r="C6155" s="4" t="s">
        <v>4229</v>
      </c>
      <c r="D6155" s="4" t="s">
        <v>4568</v>
      </c>
      <c r="E6155" s="1" t="str">
        <f>_xlfn.XLOOKUP(tblSales[[#This Row],[Customer ID]],tblCustomers[Customer ID],tblCustomers[Customer Name],"⚠ Unknown")</f>
        <v>Walk-in Customer</v>
      </c>
      <c r="F6155" s="4" t="s">
        <v>8</v>
      </c>
      <c r="G6155" s="1" t="str">
        <f>_xlfn.XLOOKUP(tblSales[[#This Row],[Product Code]],tblProducts[Code],tblProducts[Product / Service Name],"⚠ Unknown")</f>
        <v>Casual Shorts</v>
      </c>
      <c r="H6155" s="1" t="str">
        <f>_xlfn.XLOOKUP(tblSales[[#This Row],[Product Code]],tblProducts[Code],tblProducts[Category],"")</f>
        <v>Accessories &amp; Basics</v>
      </c>
      <c r="I6155" s="4">
        <v>1</v>
      </c>
      <c r="J6155" s="5">
        <f>_xlfn.XLOOKUP(tblSales[[#This Row],[Product Code]],tblProducts[Code],tblProducts[Selling Price (excl. VAT)],0)</f>
        <v>85000</v>
      </c>
      <c r="K6155" s="5">
        <f>tblSales[[#This Row],[Qty]]*tblSales[[#This Row],[Unit Price]]</f>
        <v>85000</v>
      </c>
      <c r="L6155" s="5">
        <f>ROUND(tblSales[[#This Row],[DPP (excl. VAT)]]*VATEff,0)</f>
        <v>9350</v>
      </c>
      <c r="M6155" s="5">
        <f>tblSales[[#This Row],[DPP (excl. VAT)]]+tblSales[[#This Row],[Output VAT]]</f>
        <v>94350</v>
      </c>
      <c r="N6155" s="5">
        <f>tblSales[[#This Row],[Qty]]*_xlfn.XLOOKUP(tblSales[[#This Row],[Product Code]],tblProducts[Code],tblProducts[Unit Cost],0)</f>
        <v>50000</v>
      </c>
      <c r="O6155" s="4" t="s">
        <v>4866</v>
      </c>
      <c r="P6155" s="4" t="s">
        <v>4861</v>
      </c>
      <c r="Q6155" s="1" t="str">
        <f>_xlfn.XLOOKUP(tblSales[[#This Row],[Channel Code]],tblChannels[Channel Code],tblChannels[Channel Name],"")</f>
        <v>Marketplace</v>
      </c>
      <c r="R6155" s="1">
        <f>MONTH(tblSales[[#This Row],[Date]])</f>
        <v>12</v>
      </c>
    </row>
    <row r="6156" spans="2:18" x14ac:dyDescent="0.35">
      <c r="B6156" s="113">
        <v>46385</v>
      </c>
      <c r="C6156" s="4" t="s">
        <v>4230</v>
      </c>
      <c r="D6156" s="4" t="s">
        <v>4568</v>
      </c>
      <c r="E6156" s="1" t="str">
        <f>_xlfn.XLOOKUP(tblSales[[#This Row],[Customer ID]],tblCustomers[Customer ID],tblCustomers[Customer Name],"⚠ Unknown")</f>
        <v>Walk-in Customer</v>
      </c>
      <c r="F6156" s="4" t="s">
        <v>9</v>
      </c>
      <c r="G6156" s="1" t="str">
        <f>_xlfn.XLOOKUP(tblSales[[#This Row],[Product Code]],tblProducts[Code],tblProducts[Product / Service Name],"⚠ Unknown")</f>
        <v>Casual Shirt</v>
      </c>
      <c r="H6156" s="1" t="str">
        <f>_xlfn.XLOOKUP(tblSales[[#This Row],[Product Code]],tblProducts[Code],tblProducts[Category],"")</f>
        <v>Apparel &amp; Footwear</v>
      </c>
      <c r="I6156" s="4">
        <v>11</v>
      </c>
      <c r="J6156" s="5">
        <f>_xlfn.XLOOKUP(tblSales[[#This Row],[Product Code]],tblProducts[Code],tblProducts[Selling Price (excl. VAT)],0)</f>
        <v>120000</v>
      </c>
      <c r="K6156" s="5">
        <f>tblSales[[#This Row],[Qty]]*tblSales[[#This Row],[Unit Price]]</f>
        <v>1320000</v>
      </c>
      <c r="L6156" s="5">
        <f>ROUND(tblSales[[#This Row],[DPP (excl. VAT)]]*VATEff,0)</f>
        <v>145200</v>
      </c>
      <c r="M6156" s="5">
        <f>tblSales[[#This Row],[DPP (excl. VAT)]]+tblSales[[#This Row],[Output VAT]]</f>
        <v>1465200</v>
      </c>
      <c r="N6156" s="5">
        <f>tblSales[[#This Row],[Qty]]*_xlfn.XLOOKUP(tblSales[[#This Row],[Product Code]],tblProducts[Code],tblProducts[Unit Cost],0)</f>
        <v>792000</v>
      </c>
      <c r="O6156" s="4" t="s">
        <v>4865</v>
      </c>
      <c r="P6156" s="4" t="s">
        <v>4860</v>
      </c>
      <c r="Q6156" s="1" t="str">
        <f>_xlfn.XLOOKUP(tblSales[[#This Row],[Channel Code]],tblChannels[Channel Code],tblChannels[Channel Name],"")</f>
        <v>In-store</v>
      </c>
      <c r="R6156" s="1">
        <f>MONTH(tblSales[[#This Row],[Date]])</f>
        <v>12</v>
      </c>
    </row>
    <row r="6157" spans="2:18" x14ac:dyDescent="0.35">
      <c r="B6157" s="113">
        <v>46385</v>
      </c>
      <c r="C6157" s="4" t="s">
        <v>4231</v>
      </c>
      <c r="D6157" s="4" t="s">
        <v>4620</v>
      </c>
      <c r="E6157" s="1" t="str">
        <f>_xlfn.XLOOKUP(tblSales[[#This Row],[Customer ID]],tblCustomers[Customer ID],tblCustomers[Customer Name],"⚠ Unknown")</f>
        <v>CV Sumber Rejeki Utama</v>
      </c>
      <c r="F6157" s="4" t="s">
        <v>7</v>
      </c>
      <c r="G6157" s="1" t="str">
        <f>_xlfn.XLOOKUP(tblSales[[#This Row],[Product Code]],tblProducts[Code],tblProducts[Product / Service Name],"⚠ Unknown")</f>
        <v>Premium Basic T-shirt</v>
      </c>
      <c r="H6157" s="1" t="str">
        <f>_xlfn.XLOOKUP(tblSales[[#This Row],[Product Code]],tblProducts[Code],tblProducts[Category],"")</f>
        <v>Accessories &amp; Basics</v>
      </c>
      <c r="I6157" s="4">
        <v>88</v>
      </c>
      <c r="J6157" s="5">
        <f>_xlfn.XLOOKUP(tblSales[[#This Row],[Product Code]],tblProducts[Code],tblProducts[Selling Price (excl. VAT)],0)</f>
        <v>65000</v>
      </c>
      <c r="K6157" s="5">
        <f>tblSales[[#This Row],[Qty]]*tblSales[[#This Row],[Unit Price]]</f>
        <v>5720000</v>
      </c>
      <c r="L6157" s="5">
        <f>ROUND(tblSales[[#This Row],[DPP (excl. VAT)]]*VATEff,0)</f>
        <v>629200</v>
      </c>
      <c r="M6157" s="5">
        <f>tblSales[[#This Row],[DPP (excl. VAT)]]+tblSales[[#This Row],[Output VAT]]</f>
        <v>6349200</v>
      </c>
      <c r="N6157" s="5">
        <f>tblSales[[#This Row],[Qty]]*_xlfn.XLOOKUP(tblSales[[#This Row],[Product Code]],tblProducts[Code],tblProducts[Unit Cost],0)</f>
        <v>3256000</v>
      </c>
      <c r="O6157" s="4" t="s">
        <v>4867</v>
      </c>
      <c r="P6157" s="4" t="s">
        <v>4860</v>
      </c>
      <c r="Q6157" s="1" t="str">
        <f>_xlfn.XLOOKUP(tblSales[[#This Row],[Channel Code]],tblChannels[Channel Code],tblChannels[Channel Name],"")</f>
        <v>In-store</v>
      </c>
      <c r="R6157" s="1">
        <f>MONTH(tblSales[[#This Row],[Date]])</f>
        <v>12</v>
      </c>
    </row>
    <row r="6158" spans="2:18" x14ac:dyDescent="0.35">
      <c r="B6158" s="113">
        <v>46386</v>
      </c>
      <c r="C6158" s="4" t="s">
        <v>4232</v>
      </c>
      <c r="D6158" s="4" t="s">
        <v>4568</v>
      </c>
      <c r="E6158" s="1" t="str">
        <f>_xlfn.XLOOKUP(tblSales[[#This Row],[Customer ID]],tblCustomers[Customer ID],tblCustomers[Customer Name],"⚠ Unknown")</f>
        <v>Walk-in Customer</v>
      </c>
      <c r="F6158" s="4" t="s">
        <v>8</v>
      </c>
      <c r="G6158" s="1" t="str">
        <f>_xlfn.XLOOKUP(tblSales[[#This Row],[Product Code]],tblProducts[Code],tblProducts[Product / Service Name],"⚠ Unknown")</f>
        <v>Casual Shorts</v>
      </c>
      <c r="H6158" s="1" t="str">
        <f>_xlfn.XLOOKUP(tblSales[[#This Row],[Product Code]],tblProducts[Code],tblProducts[Category],"")</f>
        <v>Accessories &amp; Basics</v>
      </c>
      <c r="I6158" s="4">
        <v>8</v>
      </c>
      <c r="J6158" s="5">
        <f>_xlfn.XLOOKUP(tblSales[[#This Row],[Product Code]],tblProducts[Code],tblProducts[Selling Price (excl. VAT)],0)</f>
        <v>85000</v>
      </c>
      <c r="K6158" s="5">
        <f>tblSales[[#This Row],[Qty]]*tblSales[[#This Row],[Unit Price]]</f>
        <v>680000</v>
      </c>
      <c r="L6158" s="5">
        <f>ROUND(tblSales[[#This Row],[DPP (excl. VAT)]]*VATEff,0)</f>
        <v>74800</v>
      </c>
      <c r="M6158" s="5">
        <f>tblSales[[#This Row],[DPP (excl. VAT)]]+tblSales[[#This Row],[Output VAT]]</f>
        <v>754800</v>
      </c>
      <c r="N6158" s="5">
        <f>tblSales[[#This Row],[Qty]]*_xlfn.XLOOKUP(tblSales[[#This Row],[Product Code]],tblProducts[Code],tblProducts[Unit Cost],0)</f>
        <v>400000</v>
      </c>
      <c r="O6158" s="4" t="s">
        <v>4866</v>
      </c>
      <c r="P6158" s="4" t="s">
        <v>4861</v>
      </c>
      <c r="Q6158" s="1" t="str">
        <f>_xlfn.XLOOKUP(tblSales[[#This Row],[Channel Code]],tblChannels[Channel Code],tblChannels[Channel Name],"")</f>
        <v>Marketplace</v>
      </c>
      <c r="R6158" s="1">
        <f>MONTH(tblSales[[#This Row],[Date]])</f>
        <v>12</v>
      </c>
    </row>
    <row r="6159" spans="2:18" x14ac:dyDescent="0.35">
      <c r="B6159" s="113">
        <v>46386</v>
      </c>
      <c r="C6159" s="4" t="s">
        <v>4232</v>
      </c>
      <c r="D6159" s="4" t="s">
        <v>4568</v>
      </c>
      <c r="E6159" s="1" t="str">
        <f>_xlfn.XLOOKUP(tblSales[[#This Row],[Customer ID]],tblCustomers[Customer ID],tblCustomers[Customer Name],"⚠ Unknown")</f>
        <v>Walk-in Customer</v>
      </c>
      <c r="F6159" s="4" t="s">
        <v>10</v>
      </c>
      <c r="G6159" s="1" t="str">
        <f>_xlfn.XLOOKUP(tblSales[[#This Row],[Product Code]],tblProducts[Code],tblProducts[Product / Service Name],"⚠ Unknown")</f>
        <v>Chino Pants</v>
      </c>
      <c r="H6159" s="1" t="str">
        <f>_xlfn.XLOOKUP(tblSales[[#This Row],[Product Code]],tblProducts[Code],tblProducts[Category],"")</f>
        <v>Apparel &amp; Footwear</v>
      </c>
      <c r="I6159" s="4">
        <v>9</v>
      </c>
      <c r="J6159" s="5">
        <f>_xlfn.XLOOKUP(tblSales[[#This Row],[Product Code]],tblProducts[Code],tblProducts[Selling Price (excl. VAT)],0)</f>
        <v>150000</v>
      </c>
      <c r="K6159" s="5">
        <f>tblSales[[#This Row],[Qty]]*tblSales[[#This Row],[Unit Price]]</f>
        <v>1350000</v>
      </c>
      <c r="L6159" s="5">
        <f>ROUND(tblSales[[#This Row],[DPP (excl. VAT)]]*VATEff,0)</f>
        <v>148500</v>
      </c>
      <c r="M6159" s="5">
        <f>tblSales[[#This Row],[DPP (excl. VAT)]]+tblSales[[#This Row],[Output VAT]]</f>
        <v>1498500</v>
      </c>
      <c r="N6159" s="5">
        <f>tblSales[[#This Row],[Qty]]*_xlfn.XLOOKUP(tblSales[[#This Row],[Product Code]],tblProducts[Code],tblProducts[Unit Cost],0)</f>
        <v>792000</v>
      </c>
      <c r="O6159" s="4" t="s">
        <v>4866</v>
      </c>
      <c r="P6159" s="4" t="s">
        <v>4861</v>
      </c>
      <c r="Q6159" s="1" t="str">
        <f>_xlfn.XLOOKUP(tblSales[[#This Row],[Channel Code]],tblChannels[Channel Code],tblChannels[Channel Name],"")</f>
        <v>Marketplace</v>
      </c>
      <c r="R6159" s="1">
        <f>MONTH(tblSales[[#This Row],[Date]])</f>
        <v>12</v>
      </c>
    </row>
    <row r="6160" spans="2:18" x14ac:dyDescent="0.35">
      <c r="B6160" s="113">
        <v>46386</v>
      </c>
      <c r="C6160" s="4" t="s">
        <v>4233</v>
      </c>
      <c r="D6160" s="4" t="s">
        <v>4568</v>
      </c>
      <c r="E6160" s="1" t="str">
        <f>_xlfn.XLOOKUP(tblSales[[#This Row],[Customer ID]],tblCustomers[Customer ID],tblCustomers[Customer Name],"⚠ Unknown")</f>
        <v>Walk-in Customer</v>
      </c>
      <c r="F6160" s="4" t="s">
        <v>6</v>
      </c>
      <c r="G6160" s="1" t="str">
        <f>_xlfn.XLOOKUP(tblSales[[#This Row],[Product Code]],tblProducts[Code],tblProducts[Product / Service Name],"⚠ Unknown")</f>
        <v>Socks &amp; Accessories</v>
      </c>
      <c r="H6160" s="1" t="str">
        <f>_xlfn.XLOOKUP(tblSales[[#This Row],[Product Code]],tblProducts[Code],tblProducts[Category],"")</f>
        <v>Accessories &amp; Basics</v>
      </c>
      <c r="I6160" s="4">
        <v>4</v>
      </c>
      <c r="J6160" s="5">
        <f>_xlfn.XLOOKUP(tblSales[[#This Row],[Product Code]],tblProducts[Code],tblProducts[Selling Price (excl. VAT)],0)</f>
        <v>45000</v>
      </c>
      <c r="K6160" s="5">
        <f>tblSales[[#This Row],[Qty]]*tblSales[[#This Row],[Unit Price]]</f>
        <v>180000</v>
      </c>
      <c r="L6160" s="5">
        <f>ROUND(tblSales[[#This Row],[DPP (excl. VAT)]]*VATEff,0)</f>
        <v>19800</v>
      </c>
      <c r="M6160" s="5">
        <f>tblSales[[#This Row],[DPP (excl. VAT)]]+tblSales[[#This Row],[Output VAT]]</f>
        <v>199800</v>
      </c>
      <c r="N6160" s="5">
        <f>tblSales[[#This Row],[Qty]]*_xlfn.XLOOKUP(tblSales[[#This Row],[Product Code]],tblProducts[Code],tblProducts[Unit Cost],0)</f>
        <v>96000</v>
      </c>
      <c r="O6160" s="4" t="s">
        <v>4866</v>
      </c>
      <c r="P6160" s="4" t="s">
        <v>4862</v>
      </c>
      <c r="Q6160" s="1" t="str">
        <f>_xlfn.XLOOKUP(tblSales[[#This Row],[Channel Code]],tblChannels[Channel Code],tblChannels[Channel Name],"")</f>
        <v>Website &amp; Social Media</v>
      </c>
      <c r="R6160" s="1">
        <f>MONTH(tblSales[[#This Row],[Date]])</f>
        <v>12</v>
      </c>
    </row>
    <row r="6161" spans="2:18" x14ac:dyDescent="0.35">
      <c r="B6161" s="113">
        <v>46386</v>
      </c>
      <c r="C6161" s="4" t="s">
        <v>4234</v>
      </c>
      <c r="D6161" s="4" t="s">
        <v>4568</v>
      </c>
      <c r="E6161" s="1" t="str">
        <f>_xlfn.XLOOKUP(tblSales[[#This Row],[Customer ID]],tblCustomers[Customer ID],tblCustomers[Customer Name],"⚠ Unknown")</f>
        <v>Walk-in Customer</v>
      </c>
      <c r="F6161" s="4" t="s">
        <v>7</v>
      </c>
      <c r="G6161" s="1" t="str">
        <f>_xlfn.XLOOKUP(tblSales[[#This Row],[Product Code]],tblProducts[Code],tblProducts[Product / Service Name],"⚠ Unknown")</f>
        <v>Premium Basic T-shirt</v>
      </c>
      <c r="H6161" s="1" t="str">
        <f>_xlfn.XLOOKUP(tblSales[[#This Row],[Product Code]],tblProducts[Code],tblProducts[Category],"")</f>
        <v>Accessories &amp; Basics</v>
      </c>
      <c r="I6161" s="4">
        <v>4</v>
      </c>
      <c r="J6161" s="5">
        <f>_xlfn.XLOOKUP(tblSales[[#This Row],[Product Code]],tblProducts[Code],tblProducts[Selling Price (excl. VAT)],0)</f>
        <v>65000</v>
      </c>
      <c r="K6161" s="5">
        <f>tblSales[[#This Row],[Qty]]*tblSales[[#This Row],[Unit Price]]</f>
        <v>260000</v>
      </c>
      <c r="L6161" s="5">
        <f>ROUND(tblSales[[#This Row],[DPP (excl. VAT)]]*VATEff,0)</f>
        <v>28600</v>
      </c>
      <c r="M6161" s="5">
        <f>tblSales[[#This Row],[DPP (excl. VAT)]]+tblSales[[#This Row],[Output VAT]]</f>
        <v>288600</v>
      </c>
      <c r="N6161" s="5">
        <f>tblSales[[#This Row],[Qty]]*_xlfn.XLOOKUP(tblSales[[#This Row],[Product Code]],tblProducts[Code],tblProducts[Unit Cost],0)</f>
        <v>148000</v>
      </c>
      <c r="O6161" s="4" t="s">
        <v>4866</v>
      </c>
      <c r="P6161" s="4" t="s">
        <v>4861</v>
      </c>
      <c r="Q6161" s="1" t="str">
        <f>_xlfn.XLOOKUP(tblSales[[#This Row],[Channel Code]],tblChannels[Channel Code],tblChannels[Channel Name],"")</f>
        <v>Marketplace</v>
      </c>
      <c r="R6161" s="1">
        <f>MONTH(tblSales[[#This Row],[Date]])</f>
        <v>12</v>
      </c>
    </row>
    <row r="6162" spans="2:18" x14ac:dyDescent="0.35">
      <c r="B6162" s="113">
        <v>46386</v>
      </c>
      <c r="C6162" s="4" t="s">
        <v>4234</v>
      </c>
      <c r="D6162" s="4" t="s">
        <v>4568</v>
      </c>
      <c r="E6162" s="1" t="str">
        <f>_xlfn.XLOOKUP(tblSales[[#This Row],[Customer ID]],tblCustomers[Customer ID],tblCustomers[Customer Name],"⚠ Unknown")</f>
        <v>Walk-in Customer</v>
      </c>
      <c r="F6162" s="4" t="s">
        <v>8</v>
      </c>
      <c r="G6162" s="1" t="str">
        <f>_xlfn.XLOOKUP(tblSales[[#This Row],[Product Code]],tblProducts[Code],tblProducts[Product / Service Name],"⚠ Unknown")</f>
        <v>Casual Shorts</v>
      </c>
      <c r="H6162" s="1" t="str">
        <f>_xlfn.XLOOKUP(tblSales[[#This Row],[Product Code]],tblProducts[Code],tblProducts[Category],"")</f>
        <v>Accessories &amp; Basics</v>
      </c>
      <c r="I6162" s="4">
        <v>11</v>
      </c>
      <c r="J6162" s="5">
        <f>_xlfn.XLOOKUP(tblSales[[#This Row],[Product Code]],tblProducts[Code],tblProducts[Selling Price (excl. VAT)],0)</f>
        <v>85000</v>
      </c>
      <c r="K6162" s="5">
        <f>tblSales[[#This Row],[Qty]]*tblSales[[#This Row],[Unit Price]]</f>
        <v>935000</v>
      </c>
      <c r="L6162" s="5">
        <f>ROUND(tblSales[[#This Row],[DPP (excl. VAT)]]*VATEff,0)</f>
        <v>102850</v>
      </c>
      <c r="M6162" s="5">
        <f>tblSales[[#This Row],[DPP (excl. VAT)]]+tblSales[[#This Row],[Output VAT]]</f>
        <v>1037850</v>
      </c>
      <c r="N6162" s="5">
        <f>tblSales[[#This Row],[Qty]]*_xlfn.XLOOKUP(tblSales[[#This Row],[Product Code]],tblProducts[Code],tblProducts[Unit Cost],0)</f>
        <v>550000</v>
      </c>
      <c r="O6162" s="4" t="s">
        <v>4866</v>
      </c>
      <c r="P6162" s="4" t="s">
        <v>4861</v>
      </c>
      <c r="Q6162" s="1" t="str">
        <f>_xlfn.XLOOKUP(tblSales[[#This Row],[Channel Code]],tblChannels[Channel Code],tblChannels[Channel Name],"")</f>
        <v>Marketplace</v>
      </c>
      <c r="R6162" s="1">
        <f>MONTH(tblSales[[#This Row],[Date]])</f>
        <v>12</v>
      </c>
    </row>
    <row r="6163" spans="2:18" x14ac:dyDescent="0.35">
      <c r="B6163" s="113">
        <v>46386</v>
      </c>
      <c r="C6163" s="4" t="s">
        <v>4235</v>
      </c>
      <c r="D6163" s="4" t="s">
        <v>4606</v>
      </c>
      <c r="E6163" s="1" t="str">
        <f>_xlfn.XLOOKUP(tblSales[[#This Row],[Customer ID]],tblCustomers[Customer ID],tblCustomers[Customer Name],"⚠ Unknown")</f>
        <v>PT Arunika Digital Kreatif</v>
      </c>
      <c r="F6163" s="4" t="s">
        <v>7</v>
      </c>
      <c r="G6163" s="1" t="str">
        <f>_xlfn.XLOOKUP(tblSales[[#This Row],[Product Code]],tblProducts[Code],tblProducts[Product / Service Name],"⚠ Unknown")</f>
        <v>Premium Basic T-shirt</v>
      </c>
      <c r="H6163" s="1" t="str">
        <f>_xlfn.XLOOKUP(tblSales[[#This Row],[Product Code]],tblProducts[Code],tblProducts[Category],"")</f>
        <v>Accessories &amp; Basics</v>
      </c>
      <c r="I6163" s="4">
        <v>24</v>
      </c>
      <c r="J6163" s="5">
        <f>_xlfn.XLOOKUP(tblSales[[#This Row],[Product Code]],tblProducts[Code],tblProducts[Selling Price (excl. VAT)],0)</f>
        <v>65000</v>
      </c>
      <c r="K6163" s="5">
        <f>tblSales[[#This Row],[Qty]]*tblSales[[#This Row],[Unit Price]]</f>
        <v>1560000</v>
      </c>
      <c r="L6163" s="5">
        <f>ROUND(tblSales[[#This Row],[DPP (excl. VAT)]]*VATEff,0)</f>
        <v>171600</v>
      </c>
      <c r="M6163" s="5">
        <f>tblSales[[#This Row],[DPP (excl. VAT)]]+tblSales[[#This Row],[Output VAT]]</f>
        <v>1731600</v>
      </c>
      <c r="N6163" s="5">
        <f>tblSales[[#This Row],[Qty]]*_xlfn.XLOOKUP(tblSales[[#This Row],[Product Code]],tblProducts[Code],tblProducts[Unit Cost],0)</f>
        <v>888000</v>
      </c>
      <c r="O6163" s="4" t="s">
        <v>4867</v>
      </c>
      <c r="P6163" s="4" t="s">
        <v>4862</v>
      </c>
      <c r="Q6163" s="1" t="str">
        <f>_xlfn.XLOOKUP(tblSales[[#This Row],[Channel Code]],tblChannels[Channel Code],tblChannels[Channel Name],"")</f>
        <v>Website &amp; Social Media</v>
      </c>
      <c r="R6163" s="1">
        <f>MONTH(tblSales[[#This Row],[Date]])</f>
        <v>12</v>
      </c>
    </row>
    <row r="6164" spans="2:18" x14ac:dyDescent="0.35">
      <c r="B6164" s="113">
        <v>46386</v>
      </c>
      <c r="C6164" s="4" t="s">
        <v>4236</v>
      </c>
      <c r="D6164" s="4" t="s">
        <v>4568</v>
      </c>
      <c r="E6164" s="1" t="str">
        <f>_xlfn.XLOOKUP(tblSales[[#This Row],[Customer ID]],tblCustomers[Customer ID],tblCustomers[Customer Name],"⚠ Unknown")</f>
        <v>Walk-in Customer</v>
      </c>
      <c r="F6164" s="4" t="s">
        <v>12</v>
      </c>
      <c r="G6164" s="1" t="str">
        <f>_xlfn.XLOOKUP(tblSales[[#This Row],[Product Code]],tblProducts[Code],tblProducts[Product / Service Name],"⚠ Unknown")</f>
        <v>Bomber Jacket</v>
      </c>
      <c r="H6164" s="1" t="str">
        <f>_xlfn.XLOOKUP(tblSales[[#This Row],[Product Code]],tblProducts[Code],tblProducts[Category],"")</f>
        <v>Apparel &amp; Footwear</v>
      </c>
      <c r="I6164" s="4">
        <v>1</v>
      </c>
      <c r="J6164" s="5">
        <f>_xlfn.XLOOKUP(tblSales[[#This Row],[Product Code]],tblProducts[Code],tblProducts[Selling Price (excl. VAT)],0)</f>
        <v>350000</v>
      </c>
      <c r="K6164" s="5">
        <f>tblSales[[#This Row],[Qty]]*tblSales[[#This Row],[Unit Price]]</f>
        <v>350000</v>
      </c>
      <c r="L6164" s="5">
        <f>ROUND(tblSales[[#This Row],[DPP (excl. VAT)]]*VATEff,0)</f>
        <v>38500</v>
      </c>
      <c r="M6164" s="5">
        <f>tblSales[[#This Row],[DPP (excl. VAT)]]+tblSales[[#This Row],[Output VAT]]</f>
        <v>388500</v>
      </c>
      <c r="N6164" s="5">
        <f>tblSales[[#This Row],[Qty]]*_xlfn.XLOOKUP(tblSales[[#This Row],[Product Code]],tblProducts[Code],tblProducts[Unit Cost],0)</f>
        <v>210000</v>
      </c>
      <c r="O6164" s="4" t="s">
        <v>4865</v>
      </c>
      <c r="P6164" s="4" t="s">
        <v>4860</v>
      </c>
      <c r="Q6164" s="1" t="str">
        <f>_xlfn.XLOOKUP(tblSales[[#This Row],[Channel Code]],tblChannels[Channel Code],tblChannels[Channel Name],"")</f>
        <v>In-store</v>
      </c>
      <c r="R6164" s="1">
        <f>MONTH(tblSales[[#This Row],[Date]])</f>
        <v>12</v>
      </c>
    </row>
    <row r="6165" spans="2:18" x14ac:dyDescent="0.35">
      <c r="B6165" s="113">
        <v>46386</v>
      </c>
      <c r="C6165" s="4" t="s">
        <v>4237</v>
      </c>
      <c r="D6165" s="4" t="s">
        <v>4568</v>
      </c>
      <c r="E6165" s="1" t="str">
        <f>_xlfn.XLOOKUP(tblSales[[#This Row],[Customer ID]],tblCustomers[Customer ID],tblCustomers[Customer Name],"⚠ Unknown")</f>
        <v>Walk-in Customer</v>
      </c>
      <c r="F6165" s="4" t="s">
        <v>8</v>
      </c>
      <c r="G6165" s="1" t="str">
        <f>_xlfn.XLOOKUP(tblSales[[#This Row],[Product Code]],tblProducts[Code],tblProducts[Product / Service Name],"⚠ Unknown")</f>
        <v>Casual Shorts</v>
      </c>
      <c r="H6165" s="1" t="str">
        <f>_xlfn.XLOOKUP(tblSales[[#This Row],[Product Code]],tblProducts[Code],tblProducts[Category],"")</f>
        <v>Accessories &amp; Basics</v>
      </c>
      <c r="I6165" s="4">
        <v>9</v>
      </c>
      <c r="J6165" s="5">
        <f>_xlfn.XLOOKUP(tblSales[[#This Row],[Product Code]],tblProducts[Code],tblProducts[Selling Price (excl. VAT)],0)</f>
        <v>85000</v>
      </c>
      <c r="K6165" s="5">
        <f>tblSales[[#This Row],[Qty]]*tblSales[[#This Row],[Unit Price]]</f>
        <v>765000</v>
      </c>
      <c r="L6165" s="5">
        <f>ROUND(tblSales[[#This Row],[DPP (excl. VAT)]]*VATEff,0)</f>
        <v>84150</v>
      </c>
      <c r="M6165" s="5">
        <f>tblSales[[#This Row],[DPP (excl. VAT)]]+tblSales[[#This Row],[Output VAT]]</f>
        <v>849150</v>
      </c>
      <c r="N6165" s="5">
        <f>tblSales[[#This Row],[Qty]]*_xlfn.XLOOKUP(tblSales[[#This Row],[Product Code]],tblProducts[Code],tblProducts[Unit Cost],0)</f>
        <v>450000</v>
      </c>
      <c r="O6165" s="4" t="s">
        <v>4865</v>
      </c>
      <c r="P6165" s="4" t="s">
        <v>4860</v>
      </c>
      <c r="Q6165" s="1" t="str">
        <f>_xlfn.XLOOKUP(tblSales[[#This Row],[Channel Code]],tblChannels[Channel Code],tblChannels[Channel Name],"")</f>
        <v>In-store</v>
      </c>
      <c r="R6165" s="1">
        <f>MONTH(tblSales[[#This Row],[Date]])</f>
        <v>12</v>
      </c>
    </row>
    <row r="6166" spans="2:18" x14ac:dyDescent="0.35">
      <c r="B6166" s="113">
        <v>46386</v>
      </c>
      <c r="C6166" s="4" t="s">
        <v>4238</v>
      </c>
      <c r="D6166" s="4" t="s">
        <v>4568</v>
      </c>
      <c r="E6166" s="1" t="str">
        <f>_xlfn.XLOOKUP(tblSales[[#This Row],[Customer ID]],tblCustomers[Customer ID],tblCustomers[Customer Name],"⚠ Unknown")</f>
        <v>Walk-in Customer</v>
      </c>
      <c r="F6166" s="4" t="s">
        <v>9</v>
      </c>
      <c r="G6166" s="1" t="str">
        <f>_xlfn.XLOOKUP(tblSales[[#This Row],[Product Code]],tblProducts[Code],tblProducts[Product / Service Name],"⚠ Unknown")</f>
        <v>Casual Shirt</v>
      </c>
      <c r="H6166" s="1" t="str">
        <f>_xlfn.XLOOKUP(tblSales[[#This Row],[Product Code]],tblProducts[Code],tblProducts[Category],"")</f>
        <v>Apparel &amp; Footwear</v>
      </c>
      <c r="I6166" s="4">
        <v>2</v>
      </c>
      <c r="J6166" s="5">
        <f>_xlfn.XLOOKUP(tblSales[[#This Row],[Product Code]],tblProducts[Code],tblProducts[Selling Price (excl. VAT)],0)</f>
        <v>120000</v>
      </c>
      <c r="K6166" s="5">
        <f>tblSales[[#This Row],[Qty]]*tblSales[[#This Row],[Unit Price]]</f>
        <v>240000</v>
      </c>
      <c r="L6166" s="5">
        <f>ROUND(tblSales[[#This Row],[DPP (excl. VAT)]]*VATEff,0)</f>
        <v>26400</v>
      </c>
      <c r="M6166" s="5">
        <f>tblSales[[#This Row],[DPP (excl. VAT)]]+tblSales[[#This Row],[Output VAT]]</f>
        <v>266400</v>
      </c>
      <c r="N6166" s="5">
        <f>tblSales[[#This Row],[Qty]]*_xlfn.XLOOKUP(tblSales[[#This Row],[Product Code]],tblProducts[Code],tblProducts[Unit Cost],0)</f>
        <v>144000</v>
      </c>
      <c r="O6166" s="4" t="s">
        <v>4866</v>
      </c>
      <c r="P6166" s="4" t="s">
        <v>4861</v>
      </c>
      <c r="Q6166" s="1" t="str">
        <f>_xlfn.XLOOKUP(tblSales[[#This Row],[Channel Code]],tblChannels[Channel Code],tblChannels[Channel Name],"")</f>
        <v>Marketplace</v>
      </c>
      <c r="R6166" s="1">
        <f>MONTH(tblSales[[#This Row],[Date]])</f>
        <v>12</v>
      </c>
    </row>
    <row r="6167" spans="2:18" x14ac:dyDescent="0.35">
      <c r="B6167" s="113">
        <v>46386</v>
      </c>
      <c r="C6167" s="4" t="s">
        <v>4239</v>
      </c>
      <c r="D6167" s="4" t="s">
        <v>4568</v>
      </c>
      <c r="E6167" s="1" t="str">
        <f>_xlfn.XLOOKUP(tblSales[[#This Row],[Customer ID]],tblCustomers[Customer ID],tblCustomers[Customer Name],"⚠ Unknown")</f>
        <v>Walk-in Customer</v>
      </c>
      <c r="F6167" s="4" t="s">
        <v>7</v>
      </c>
      <c r="G6167" s="1" t="str">
        <f>_xlfn.XLOOKUP(tblSales[[#This Row],[Product Code]],tblProducts[Code],tblProducts[Product / Service Name],"⚠ Unknown")</f>
        <v>Premium Basic T-shirt</v>
      </c>
      <c r="H6167" s="1" t="str">
        <f>_xlfn.XLOOKUP(tblSales[[#This Row],[Product Code]],tblProducts[Code],tblProducts[Category],"")</f>
        <v>Accessories &amp; Basics</v>
      </c>
      <c r="I6167" s="4">
        <v>3</v>
      </c>
      <c r="J6167" s="5">
        <f>_xlfn.XLOOKUP(tblSales[[#This Row],[Product Code]],tblProducts[Code],tblProducts[Selling Price (excl. VAT)],0)</f>
        <v>65000</v>
      </c>
      <c r="K6167" s="5">
        <f>tblSales[[#This Row],[Qty]]*tblSales[[#This Row],[Unit Price]]</f>
        <v>195000</v>
      </c>
      <c r="L6167" s="5">
        <f>ROUND(tblSales[[#This Row],[DPP (excl. VAT)]]*VATEff,0)</f>
        <v>21450</v>
      </c>
      <c r="M6167" s="5">
        <f>tblSales[[#This Row],[DPP (excl. VAT)]]+tblSales[[#This Row],[Output VAT]]</f>
        <v>216450</v>
      </c>
      <c r="N6167" s="5">
        <f>tblSales[[#This Row],[Qty]]*_xlfn.XLOOKUP(tblSales[[#This Row],[Product Code]],tblProducts[Code],tblProducts[Unit Cost],0)</f>
        <v>111000</v>
      </c>
      <c r="O6167" s="4" t="s">
        <v>4865</v>
      </c>
      <c r="P6167" s="4" t="s">
        <v>4860</v>
      </c>
      <c r="Q6167" s="1" t="str">
        <f>_xlfn.XLOOKUP(tblSales[[#This Row],[Channel Code]],tblChannels[Channel Code],tblChannels[Channel Name],"")</f>
        <v>In-store</v>
      </c>
      <c r="R6167" s="1">
        <f>MONTH(tblSales[[#This Row],[Date]])</f>
        <v>12</v>
      </c>
    </row>
    <row r="6168" spans="2:18" x14ac:dyDescent="0.35">
      <c r="B6168" s="113">
        <v>46386</v>
      </c>
      <c r="C6168" s="4" t="s">
        <v>4240</v>
      </c>
      <c r="D6168" s="4" t="s">
        <v>4568</v>
      </c>
      <c r="E6168" s="1" t="str">
        <f>_xlfn.XLOOKUP(tblSales[[#This Row],[Customer ID]],tblCustomers[Customer ID],tblCustomers[Customer Name],"⚠ Unknown")</f>
        <v>Walk-in Customer</v>
      </c>
      <c r="F6168" s="4" t="s">
        <v>6</v>
      </c>
      <c r="G6168" s="1" t="str">
        <f>_xlfn.XLOOKUP(tblSales[[#This Row],[Product Code]],tblProducts[Code],tblProducts[Product / Service Name],"⚠ Unknown")</f>
        <v>Socks &amp; Accessories</v>
      </c>
      <c r="H6168" s="1" t="str">
        <f>_xlfn.XLOOKUP(tblSales[[#This Row],[Product Code]],tblProducts[Code],tblProducts[Category],"")</f>
        <v>Accessories &amp; Basics</v>
      </c>
      <c r="I6168" s="4">
        <v>1</v>
      </c>
      <c r="J6168" s="5">
        <f>_xlfn.XLOOKUP(tblSales[[#This Row],[Product Code]],tblProducts[Code],tblProducts[Selling Price (excl. VAT)],0)</f>
        <v>45000</v>
      </c>
      <c r="K6168" s="5">
        <f>tblSales[[#This Row],[Qty]]*tblSales[[#This Row],[Unit Price]]</f>
        <v>45000</v>
      </c>
      <c r="L6168" s="5">
        <f>ROUND(tblSales[[#This Row],[DPP (excl. VAT)]]*VATEff,0)</f>
        <v>4950</v>
      </c>
      <c r="M6168" s="5">
        <f>tblSales[[#This Row],[DPP (excl. VAT)]]+tblSales[[#This Row],[Output VAT]]</f>
        <v>49950</v>
      </c>
      <c r="N6168" s="5">
        <f>tblSales[[#This Row],[Qty]]*_xlfn.XLOOKUP(tblSales[[#This Row],[Product Code]],tblProducts[Code],tblProducts[Unit Cost],0)</f>
        <v>24000</v>
      </c>
      <c r="O6168" s="4" t="s">
        <v>4866</v>
      </c>
      <c r="P6168" s="4" t="s">
        <v>4861</v>
      </c>
      <c r="Q6168" s="1" t="str">
        <f>_xlfn.XLOOKUP(tblSales[[#This Row],[Channel Code]],tblChannels[Channel Code],tblChannels[Channel Name],"")</f>
        <v>Marketplace</v>
      </c>
      <c r="R6168" s="1">
        <f>MONTH(tblSales[[#This Row],[Date]])</f>
        <v>12</v>
      </c>
    </row>
    <row r="6169" spans="2:18" x14ac:dyDescent="0.35">
      <c r="B6169" s="113">
        <v>46386</v>
      </c>
      <c r="C6169" s="4" t="s">
        <v>4240</v>
      </c>
      <c r="D6169" s="4" t="s">
        <v>4568</v>
      </c>
      <c r="E6169" s="1" t="str">
        <f>_xlfn.XLOOKUP(tblSales[[#This Row],[Customer ID]],tblCustomers[Customer ID],tblCustomers[Customer Name],"⚠ Unknown")</f>
        <v>Walk-in Customer</v>
      </c>
      <c r="F6169" s="4" t="s">
        <v>8</v>
      </c>
      <c r="G6169" s="1" t="str">
        <f>_xlfn.XLOOKUP(tblSales[[#This Row],[Product Code]],tblProducts[Code],tblProducts[Product / Service Name],"⚠ Unknown")</f>
        <v>Casual Shorts</v>
      </c>
      <c r="H6169" s="1" t="str">
        <f>_xlfn.XLOOKUP(tblSales[[#This Row],[Product Code]],tblProducts[Code],tblProducts[Category],"")</f>
        <v>Accessories &amp; Basics</v>
      </c>
      <c r="I6169" s="4">
        <v>10</v>
      </c>
      <c r="J6169" s="5">
        <f>_xlfn.XLOOKUP(tblSales[[#This Row],[Product Code]],tblProducts[Code],tblProducts[Selling Price (excl. VAT)],0)</f>
        <v>85000</v>
      </c>
      <c r="K6169" s="5">
        <f>tblSales[[#This Row],[Qty]]*tblSales[[#This Row],[Unit Price]]</f>
        <v>850000</v>
      </c>
      <c r="L6169" s="5">
        <f>ROUND(tblSales[[#This Row],[DPP (excl. VAT)]]*VATEff,0)</f>
        <v>93500</v>
      </c>
      <c r="M6169" s="5">
        <f>tblSales[[#This Row],[DPP (excl. VAT)]]+tblSales[[#This Row],[Output VAT]]</f>
        <v>943500</v>
      </c>
      <c r="N6169" s="5">
        <f>tblSales[[#This Row],[Qty]]*_xlfn.XLOOKUP(tblSales[[#This Row],[Product Code]],tblProducts[Code],tblProducts[Unit Cost],0)</f>
        <v>500000</v>
      </c>
      <c r="O6169" s="4" t="s">
        <v>4866</v>
      </c>
      <c r="P6169" s="4" t="s">
        <v>4861</v>
      </c>
      <c r="Q6169" s="1" t="str">
        <f>_xlfn.XLOOKUP(tblSales[[#This Row],[Channel Code]],tblChannels[Channel Code],tblChannels[Channel Name],"")</f>
        <v>Marketplace</v>
      </c>
      <c r="R6169" s="1">
        <f>MONTH(tblSales[[#This Row],[Date]])</f>
        <v>12</v>
      </c>
    </row>
    <row r="6170" spans="2:18" x14ac:dyDescent="0.35">
      <c r="B6170" s="113">
        <v>46386</v>
      </c>
      <c r="C6170" s="4" t="s">
        <v>4240</v>
      </c>
      <c r="D6170" s="4" t="s">
        <v>4568</v>
      </c>
      <c r="E6170" s="1" t="str">
        <f>_xlfn.XLOOKUP(tblSales[[#This Row],[Customer ID]],tblCustomers[Customer ID],tblCustomers[Customer Name],"⚠ Unknown")</f>
        <v>Walk-in Customer</v>
      </c>
      <c r="F6170" s="4" t="s">
        <v>9</v>
      </c>
      <c r="G6170" s="1" t="str">
        <f>_xlfn.XLOOKUP(tblSales[[#This Row],[Product Code]],tblProducts[Code],tblProducts[Product / Service Name],"⚠ Unknown")</f>
        <v>Casual Shirt</v>
      </c>
      <c r="H6170" s="1" t="str">
        <f>_xlfn.XLOOKUP(tblSales[[#This Row],[Product Code]],tblProducts[Code],tblProducts[Category],"")</f>
        <v>Apparel &amp; Footwear</v>
      </c>
      <c r="I6170" s="4">
        <v>10</v>
      </c>
      <c r="J6170" s="5">
        <f>_xlfn.XLOOKUP(tblSales[[#This Row],[Product Code]],tblProducts[Code],tblProducts[Selling Price (excl. VAT)],0)</f>
        <v>120000</v>
      </c>
      <c r="K6170" s="5">
        <f>tblSales[[#This Row],[Qty]]*tblSales[[#This Row],[Unit Price]]</f>
        <v>1200000</v>
      </c>
      <c r="L6170" s="5">
        <f>ROUND(tblSales[[#This Row],[DPP (excl. VAT)]]*VATEff,0)</f>
        <v>132000</v>
      </c>
      <c r="M6170" s="5">
        <f>tblSales[[#This Row],[DPP (excl. VAT)]]+tblSales[[#This Row],[Output VAT]]</f>
        <v>1332000</v>
      </c>
      <c r="N6170" s="5">
        <f>tblSales[[#This Row],[Qty]]*_xlfn.XLOOKUP(tblSales[[#This Row],[Product Code]],tblProducts[Code],tblProducts[Unit Cost],0)</f>
        <v>720000</v>
      </c>
      <c r="O6170" s="4" t="s">
        <v>4866</v>
      </c>
      <c r="P6170" s="4" t="s">
        <v>4861</v>
      </c>
      <c r="Q6170" s="1" t="str">
        <f>_xlfn.XLOOKUP(tblSales[[#This Row],[Channel Code]],tblChannels[Channel Code],tblChannels[Channel Name],"")</f>
        <v>Marketplace</v>
      </c>
      <c r="R6170" s="1">
        <f>MONTH(tblSales[[#This Row],[Date]])</f>
        <v>12</v>
      </c>
    </row>
    <row r="6171" spans="2:18" x14ac:dyDescent="0.35">
      <c r="B6171" s="113">
        <v>46386</v>
      </c>
      <c r="C6171" s="4" t="s">
        <v>4241</v>
      </c>
      <c r="D6171" s="4" t="s">
        <v>4568</v>
      </c>
      <c r="E6171" s="1" t="str">
        <f>_xlfn.XLOOKUP(tblSales[[#This Row],[Customer ID]],tblCustomers[Customer ID],tblCustomers[Customer Name],"⚠ Unknown")</f>
        <v>Walk-in Customer</v>
      </c>
      <c r="F6171" s="4" t="s">
        <v>9</v>
      </c>
      <c r="G6171" s="1" t="str">
        <f>_xlfn.XLOOKUP(tblSales[[#This Row],[Product Code]],tblProducts[Code],tblProducts[Product / Service Name],"⚠ Unknown")</f>
        <v>Casual Shirt</v>
      </c>
      <c r="H6171" s="1" t="str">
        <f>_xlfn.XLOOKUP(tblSales[[#This Row],[Product Code]],tblProducts[Code],tblProducts[Category],"")</f>
        <v>Apparel &amp; Footwear</v>
      </c>
      <c r="I6171" s="4">
        <v>8</v>
      </c>
      <c r="J6171" s="5">
        <f>_xlfn.XLOOKUP(tblSales[[#This Row],[Product Code]],tblProducts[Code],tblProducts[Selling Price (excl. VAT)],0)</f>
        <v>120000</v>
      </c>
      <c r="K6171" s="5">
        <f>tblSales[[#This Row],[Qty]]*tblSales[[#This Row],[Unit Price]]</f>
        <v>960000</v>
      </c>
      <c r="L6171" s="5">
        <f>ROUND(tblSales[[#This Row],[DPP (excl. VAT)]]*VATEff,0)</f>
        <v>105600</v>
      </c>
      <c r="M6171" s="5">
        <f>tblSales[[#This Row],[DPP (excl. VAT)]]+tblSales[[#This Row],[Output VAT]]</f>
        <v>1065600</v>
      </c>
      <c r="N6171" s="5">
        <f>tblSales[[#This Row],[Qty]]*_xlfn.XLOOKUP(tblSales[[#This Row],[Product Code]],tblProducts[Code],tblProducts[Unit Cost],0)</f>
        <v>576000</v>
      </c>
      <c r="O6171" s="4" t="s">
        <v>4866</v>
      </c>
      <c r="P6171" s="4" t="s">
        <v>4861</v>
      </c>
      <c r="Q6171" s="1" t="str">
        <f>_xlfn.XLOOKUP(tblSales[[#This Row],[Channel Code]],tblChannels[Channel Code],tblChannels[Channel Name],"")</f>
        <v>Marketplace</v>
      </c>
      <c r="R6171" s="1">
        <f>MONTH(tblSales[[#This Row],[Date]])</f>
        <v>12</v>
      </c>
    </row>
    <row r="6172" spans="2:18" x14ac:dyDescent="0.35">
      <c r="B6172" s="113">
        <v>46386</v>
      </c>
      <c r="C6172" s="4" t="s">
        <v>4242</v>
      </c>
      <c r="D6172" s="4" t="s">
        <v>4568</v>
      </c>
      <c r="E6172" s="1" t="str">
        <f>_xlfn.XLOOKUP(tblSales[[#This Row],[Customer ID]],tblCustomers[Customer ID],tblCustomers[Customer Name],"⚠ Unknown")</f>
        <v>Walk-in Customer</v>
      </c>
      <c r="F6172" s="4" t="s">
        <v>8</v>
      </c>
      <c r="G6172" s="1" t="str">
        <f>_xlfn.XLOOKUP(tblSales[[#This Row],[Product Code]],tblProducts[Code],tblProducts[Product / Service Name],"⚠ Unknown")</f>
        <v>Casual Shorts</v>
      </c>
      <c r="H6172" s="1" t="str">
        <f>_xlfn.XLOOKUP(tblSales[[#This Row],[Product Code]],tblProducts[Code],tblProducts[Category],"")</f>
        <v>Accessories &amp; Basics</v>
      </c>
      <c r="I6172" s="4">
        <v>10</v>
      </c>
      <c r="J6172" s="5">
        <f>_xlfn.XLOOKUP(tblSales[[#This Row],[Product Code]],tblProducts[Code],tblProducts[Selling Price (excl. VAT)],0)</f>
        <v>85000</v>
      </c>
      <c r="K6172" s="5">
        <f>tblSales[[#This Row],[Qty]]*tblSales[[#This Row],[Unit Price]]</f>
        <v>850000</v>
      </c>
      <c r="L6172" s="5">
        <f>ROUND(tblSales[[#This Row],[DPP (excl. VAT)]]*VATEff,0)</f>
        <v>93500</v>
      </c>
      <c r="M6172" s="5">
        <f>tblSales[[#This Row],[DPP (excl. VAT)]]+tblSales[[#This Row],[Output VAT]]</f>
        <v>943500</v>
      </c>
      <c r="N6172" s="5">
        <f>tblSales[[#This Row],[Qty]]*_xlfn.XLOOKUP(tblSales[[#This Row],[Product Code]],tblProducts[Code],tblProducts[Unit Cost],0)</f>
        <v>500000</v>
      </c>
      <c r="O6172" s="4" t="s">
        <v>4866</v>
      </c>
      <c r="P6172" s="4" t="s">
        <v>4861</v>
      </c>
      <c r="Q6172" s="1" t="str">
        <f>_xlfn.XLOOKUP(tblSales[[#This Row],[Channel Code]],tblChannels[Channel Code],tblChannels[Channel Name],"")</f>
        <v>Marketplace</v>
      </c>
      <c r="R6172" s="1">
        <f>MONTH(tblSales[[#This Row],[Date]])</f>
        <v>12</v>
      </c>
    </row>
    <row r="6173" spans="2:18" x14ac:dyDescent="0.35">
      <c r="B6173" s="113">
        <v>46386</v>
      </c>
      <c r="C6173" s="4" t="s">
        <v>4243</v>
      </c>
      <c r="D6173" s="4" t="s">
        <v>4634</v>
      </c>
      <c r="E6173" s="1" t="str">
        <f>_xlfn.XLOOKUP(tblSales[[#This Row],[Customer ID]],tblCustomers[Customer ID],tblCustomers[Customer Name],"⚠ Unknown")</f>
        <v>PT Delta Inti Selaras</v>
      </c>
      <c r="F6173" s="4" t="s">
        <v>7</v>
      </c>
      <c r="G6173" s="1" t="str">
        <f>_xlfn.XLOOKUP(tblSales[[#This Row],[Product Code]],tblProducts[Code],tblProducts[Product / Service Name],"⚠ Unknown")</f>
        <v>Premium Basic T-shirt</v>
      </c>
      <c r="H6173" s="1" t="str">
        <f>_xlfn.XLOOKUP(tblSales[[#This Row],[Product Code]],tblProducts[Code],tblProducts[Category],"")</f>
        <v>Accessories &amp; Basics</v>
      </c>
      <c r="I6173" s="4">
        <v>32</v>
      </c>
      <c r="J6173" s="5">
        <f>_xlfn.XLOOKUP(tblSales[[#This Row],[Product Code]],tblProducts[Code],tblProducts[Selling Price (excl. VAT)],0)</f>
        <v>65000</v>
      </c>
      <c r="K6173" s="5">
        <f>tblSales[[#This Row],[Qty]]*tblSales[[#This Row],[Unit Price]]</f>
        <v>2080000</v>
      </c>
      <c r="L6173" s="5">
        <f>ROUND(tblSales[[#This Row],[DPP (excl. VAT)]]*VATEff,0)</f>
        <v>228800</v>
      </c>
      <c r="M6173" s="5">
        <f>tblSales[[#This Row],[DPP (excl. VAT)]]+tblSales[[#This Row],[Output VAT]]</f>
        <v>2308800</v>
      </c>
      <c r="N6173" s="5">
        <f>tblSales[[#This Row],[Qty]]*_xlfn.XLOOKUP(tblSales[[#This Row],[Product Code]],tblProducts[Code],tblProducts[Unit Cost],0)</f>
        <v>1184000</v>
      </c>
      <c r="O6173" s="4" t="s">
        <v>4867</v>
      </c>
      <c r="P6173" s="4" t="s">
        <v>4860</v>
      </c>
      <c r="Q6173" s="1" t="str">
        <f>_xlfn.XLOOKUP(tblSales[[#This Row],[Channel Code]],tblChannels[Channel Code],tblChannels[Channel Name],"")</f>
        <v>In-store</v>
      </c>
      <c r="R6173" s="1">
        <f>MONTH(tblSales[[#This Row],[Date]])</f>
        <v>12</v>
      </c>
    </row>
    <row r="6174" spans="2:18" x14ac:dyDescent="0.35">
      <c r="B6174" s="113">
        <v>46386</v>
      </c>
      <c r="C6174" s="4" t="s">
        <v>4244</v>
      </c>
      <c r="D6174" s="4" t="s">
        <v>4568</v>
      </c>
      <c r="E6174" s="1" t="str">
        <f>_xlfn.XLOOKUP(tblSales[[#This Row],[Customer ID]],tblCustomers[Customer ID],tblCustomers[Customer Name],"⚠ Unknown")</f>
        <v>Walk-in Customer</v>
      </c>
      <c r="F6174" s="4" t="s">
        <v>10</v>
      </c>
      <c r="G6174" s="1" t="str">
        <f>_xlfn.XLOOKUP(tblSales[[#This Row],[Product Code]],tblProducts[Code],tblProducts[Product / Service Name],"⚠ Unknown")</f>
        <v>Chino Pants</v>
      </c>
      <c r="H6174" s="1" t="str">
        <f>_xlfn.XLOOKUP(tblSales[[#This Row],[Product Code]],tblProducts[Code],tblProducts[Category],"")</f>
        <v>Apparel &amp; Footwear</v>
      </c>
      <c r="I6174" s="4">
        <v>2</v>
      </c>
      <c r="J6174" s="5">
        <f>_xlfn.XLOOKUP(tblSales[[#This Row],[Product Code]],tblProducts[Code],tblProducts[Selling Price (excl. VAT)],0)</f>
        <v>150000</v>
      </c>
      <c r="K6174" s="5">
        <f>tblSales[[#This Row],[Qty]]*tblSales[[#This Row],[Unit Price]]</f>
        <v>300000</v>
      </c>
      <c r="L6174" s="5">
        <f>ROUND(tblSales[[#This Row],[DPP (excl. VAT)]]*VATEff,0)</f>
        <v>33000</v>
      </c>
      <c r="M6174" s="5">
        <f>tblSales[[#This Row],[DPP (excl. VAT)]]+tblSales[[#This Row],[Output VAT]]</f>
        <v>333000</v>
      </c>
      <c r="N6174" s="5">
        <f>tblSales[[#This Row],[Qty]]*_xlfn.XLOOKUP(tblSales[[#This Row],[Product Code]],tblProducts[Code],tblProducts[Unit Cost],0)</f>
        <v>176000</v>
      </c>
      <c r="O6174" s="4" t="s">
        <v>4865</v>
      </c>
      <c r="P6174" s="4" t="s">
        <v>4860</v>
      </c>
      <c r="Q6174" s="1" t="str">
        <f>_xlfn.XLOOKUP(tblSales[[#This Row],[Channel Code]],tblChannels[Channel Code],tblChannels[Channel Name],"")</f>
        <v>In-store</v>
      </c>
      <c r="R6174" s="1">
        <f>MONTH(tblSales[[#This Row],[Date]])</f>
        <v>12</v>
      </c>
    </row>
    <row r="6175" spans="2:18" x14ac:dyDescent="0.35">
      <c r="B6175" s="113">
        <v>46386</v>
      </c>
      <c r="C6175" s="4" t="s">
        <v>4245</v>
      </c>
      <c r="D6175" s="4" t="s">
        <v>4568</v>
      </c>
      <c r="E6175" s="1" t="str">
        <f>_xlfn.XLOOKUP(tblSales[[#This Row],[Customer ID]],tblCustomers[Customer ID],tblCustomers[Customer Name],"⚠ Unknown")</f>
        <v>Walk-in Customer</v>
      </c>
      <c r="F6175" s="4" t="s">
        <v>8</v>
      </c>
      <c r="G6175" s="1" t="str">
        <f>_xlfn.XLOOKUP(tblSales[[#This Row],[Product Code]],tblProducts[Code],tblProducts[Product / Service Name],"⚠ Unknown")</f>
        <v>Casual Shorts</v>
      </c>
      <c r="H6175" s="1" t="str">
        <f>_xlfn.XLOOKUP(tblSales[[#This Row],[Product Code]],tblProducts[Code],tblProducts[Category],"")</f>
        <v>Accessories &amp; Basics</v>
      </c>
      <c r="I6175" s="4">
        <v>10</v>
      </c>
      <c r="J6175" s="5">
        <f>_xlfn.XLOOKUP(tblSales[[#This Row],[Product Code]],tblProducts[Code],tblProducts[Selling Price (excl. VAT)],0)</f>
        <v>85000</v>
      </c>
      <c r="K6175" s="5">
        <f>tblSales[[#This Row],[Qty]]*tblSales[[#This Row],[Unit Price]]</f>
        <v>850000</v>
      </c>
      <c r="L6175" s="5">
        <f>ROUND(tblSales[[#This Row],[DPP (excl. VAT)]]*VATEff,0)</f>
        <v>93500</v>
      </c>
      <c r="M6175" s="5">
        <f>tblSales[[#This Row],[DPP (excl. VAT)]]+tblSales[[#This Row],[Output VAT]]</f>
        <v>943500</v>
      </c>
      <c r="N6175" s="5">
        <f>tblSales[[#This Row],[Qty]]*_xlfn.XLOOKUP(tblSales[[#This Row],[Product Code]],tblProducts[Code],tblProducts[Unit Cost],0)</f>
        <v>500000</v>
      </c>
      <c r="O6175" s="4" t="s">
        <v>4866</v>
      </c>
      <c r="P6175" s="4" t="s">
        <v>4861</v>
      </c>
      <c r="Q6175" s="1" t="str">
        <f>_xlfn.XLOOKUP(tblSales[[#This Row],[Channel Code]],tblChannels[Channel Code],tblChannels[Channel Name],"")</f>
        <v>Marketplace</v>
      </c>
      <c r="R6175" s="1">
        <f>MONTH(tblSales[[#This Row],[Date]])</f>
        <v>12</v>
      </c>
    </row>
    <row r="6176" spans="2:18" x14ac:dyDescent="0.35">
      <c r="B6176" s="113">
        <v>46386</v>
      </c>
      <c r="C6176" s="4" t="s">
        <v>4246</v>
      </c>
      <c r="D6176" s="4" t="s">
        <v>4568</v>
      </c>
      <c r="E6176" s="1" t="str">
        <f>_xlfn.XLOOKUP(tblSales[[#This Row],[Customer ID]],tblCustomers[Customer ID],tblCustomers[Customer Name],"⚠ Unknown")</f>
        <v>Walk-in Customer</v>
      </c>
      <c r="F6176" s="4" t="s">
        <v>8</v>
      </c>
      <c r="G6176" s="1" t="str">
        <f>_xlfn.XLOOKUP(tblSales[[#This Row],[Product Code]],tblProducts[Code],tblProducts[Product / Service Name],"⚠ Unknown")</f>
        <v>Casual Shorts</v>
      </c>
      <c r="H6176" s="1" t="str">
        <f>_xlfn.XLOOKUP(tblSales[[#This Row],[Product Code]],tblProducts[Code],tblProducts[Category],"")</f>
        <v>Accessories &amp; Basics</v>
      </c>
      <c r="I6176" s="4">
        <v>8</v>
      </c>
      <c r="J6176" s="5">
        <f>_xlfn.XLOOKUP(tblSales[[#This Row],[Product Code]],tblProducts[Code],tblProducts[Selling Price (excl. VAT)],0)</f>
        <v>85000</v>
      </c>
      <c r="K6176" s="5">
        <f>tblSales[[#This Row],[Qty]]*tblSales[[#This Row],[Unit Price]]</f>
        <v>680000</v>
      </c>
      <c r="L6176" s="5">
        <f>ROUND(tblSales[[#This Row],[DPP (excl. VAT)]]*VATEff,0)</f>
        <v>74800</v>
      </c>
      <c r="M6176" s="5">
        <f>tblSales[[#This Row],[DPP (excl. VAT)]]+tblSales[[#This Row],[Output VAT]]</f>
        <v>754800</v>
      </c>
      <c r="N6176" s="5">
        <f>tblSales[[#This Row],[Qty]]*_xlfn.XLOOKUP(tblSales[[#This Row],[Product Code]],tblProducts[Code],tblProducts[Unit Cost],0)</f>
        <v>400000</v>
      </c>
      <c r="O6176" s="4" t="s">
        <v>4866</v>
      </c>
      <c r="P6176" s="4" t="s">
        <v>4862</v>
      </c>
      <c r="Q6176" s="1" t="str">
        <f>_xlfn.XLOOKUP(tblSales[[#This Row],[Channel Code]],tblChannels[Channel Code],tblChannels[Channel Name],"")</f>
        <v>Website &amp; Social Media</v>
      </c>
      <c r="R6176" s="1">
        <f>MONTH(tblSales[[#This Row],[Date]])</f>
        <v>12</v>
      </c>
    </row>
    <row r="6177" spans="2:18" x14ac:dyDescent="0.35">
      <c r="B6177" s="113">
        <v>46387</v>
      </c>
      <c r="C6177" s="4" t="s">
        <v>4247</v>
      </c>
      <c r="D6177" s="4" t="s">
        <v>4606</v>
      </c>
      <c r="E6177" s="1" t="str">
        <f>_xlfn.XLOOKUP(tblSales[[#This Row],[Customer ID]],tblCustomers[Customer ID],tblCustomers[Customer Name],"⚠ Unknown")</f>
        <v>PT Arunika Digital Kreatif</v>
      </c>
      <c r="F6177" s="4" t="s">
        <v>7</v>
      </c>
      <c r="G6177" s="1" t="str">
        <f>_xlfn.XLOOKUP(tblSales[[#This Row],[Product Code]],tblProducts[Code],tblProducts[Product / Service Name],"⚠ Unknown")</f>
        <v>Premium Basic T-shirt</v>
      </c>
      <c r="H6177" s="1" t="str">
        <f>_xlfn.XLOOKUP(tblSales[[#This Row],[Product Code]],tblProducts[Code],tblProducts[Category],"")</f>
        <v>Accessories &amp; Basics</v>
      </c>
      <c r="I6177" s="4">
        <v>8</v>
      </c>
      <c r="J6177" s="5">
        <f>_xlfn.XLOOKUP(tblSales[[#This Row],[Product Code]],tblProducts[Code],tblProducts[Selling Price (excl. VAT)],0)</f>
        <v>65000</v>
      </c>
      <c r="K6177" s="5">
        <f>tblSales[[#This Row],[Qty]]*tblSales[[#This Row],[Unit Price]]</f>
        <v>520000</v>
      </c>
      <c r="L6177" s="5">
        <f>ROUND(tblSales[[#This Row],[DPP (excl. VAT)]]*VATEff,0)</f>
        <v>57200</v>
      </c>
      <c r="M6177" s="5">
        <f>tblSales[[#This Row],[DPP (excl. VAT)]]+tblSales[[#This Row],[Output VAT]]</f>
        <v>577200</v>
      </c>
      <c r="N6177" s="5">
        <f>tblSales[[#This Row],[Qty]]*_xlfn.XLOOKUP(tblSales[[#This Row],[Product Code]],tblProducts[Code],tblProducts[Unit Cost],0)</f>
        <v>296000</v>
      </c>
      <c r="O6177" s="4" t="s">
        <v>4867</v>
      </c>
      <c r="P6177" s="4" t="s">
        <v>4860</v>
      </c>
      <c r="Q6177" s="1" t="str">
        <f>_xlfn.XLOOKUP(tblSales[[#This Row],[Channel Code]],tblChannels[Channel Code],tblChannels[Channel Name],"")</f>
        <v>In-store</v>
      </c>
      <c r="R6177" s="1">
        <f>MONTH(tblSales[[#This Row],[Date]])</f>
        <v>12</v>
      </c>
    </row>
    <row r="6178" spans="2:18" x14ac:dyDescent="0.35">
      <c r="B6178" s="113">
        <v>46387</v>
      </c>
      <c r="C6178" s="4" t="s">
        <v>4248</v>
      </c>
      <c r="D6178" s="4" t="s">
        <v>4568</v>
      </c>
      <c r="E6178" s="1" t="str">
        <f>_xlfn.XLOOKUP(tblSales[[#This Row],[Customer ID]],tblCustomers[Customer ID],tblCustomers[Customer Name],"⚠ Unknown")</f>
        <v>Walk-in Customer</v>
      </c>
      <c r="F6178" s="4" t="s">
        <v>8</v>
      </c>
      <c r="G6178" s="1" t="str">
        <f>_xlfn.XLOOKUP(tblSales[[#This Row],[Product Code]],tblProducts[Code],tblProducts[Product / Service Name],"⚠ Unknown")</f>
        <v>Casual Shorts</v>
      </c>
      <c r="H6178" s="1" t="str">
        <f>_xlfn.XLOOKUP(tblSales[[#This Row],[Product Code]],tblProducts[Code],tblProducts[Category],"")</f>
        <v>Accessories &amp; Basics</v>
      </c>
      <c r="I6178" s="4">
        <v>9</v>
      </c>
      <c r="J6178" s="5">
        <f>_xlfn.XLOOKUP(tblSales[[#This Row],[Product Code]],tblProducts[Code],tblProducts[Selling Price (excl. VAT)],0)</f>
        <v>85000</v>
      </c>
      <c r="K6178" s="5">
        <f>tblSales[[#This Row],[Qty]]*tblSales[[#This Row],[Unit Price]]</f>
        <v>765000</v>
      </c>
      <c r="L6178" s="5">
        <f>ROUND(tblSales[[#This Row],[DPP (excl. VAT)]]*VATEff,0)</f>
        <v>84150</v>
      </c>
      <c r="M6178" s="5">
        <f>tblSales[[#This Row],[DPP (excl. VAT)]]+tblSales[[#This Row],[Output VAT]]</f>
        <v>849150</v>
      </c>
      <c r="N6178" s="5">
        <f>tblSales[[#This Row],[Qty]]*_xlfn.XLOOKUP(tblSales[[#This Row],[Product Code]],tblProducts[Code],tblProducts[Unit Cost],0)</f>
        <v>450000</v>
      </c>
      <c r="O6178" s="4" t="s">
        <v>4866</v>
      </c>
      <c r="P6178" s="4" t="s">
        <v>4860</v>
      </c>
      <c r="Q6178" s="1" t="str">
        <f>_xlfn.XLOOKUP(tblSales[[#This Row],[Channel Code]],tblChannels[Channel Code],tblChannels[Channel Name],"")</f>
        <v>In-store</v>
      </c>
      <c r="R6178" s="1">
        <f>MONTH(tblSales[[#This Row],[Date]])</f>
        <v>12</v>
      </c>
    </row>
    <row r="6179" spans="2:18" x14ac:dyDescent="0.35">
      <c r="B6179" s="113">
        <v>46387</v>
      </c>
      <c r="C6179" s="4" t="s">
        <v>4248</v>
      </c>
      <c r="D6179" s="4" t="s">
        <v>4568</v>
      </c>
      <c r="E6179" s="1" t="str">
        <f>_xlfn.XLOOKUP(tblSales[[#This Row],[Customer ID]],tblCustomers[Customer ID],tblCustomers[Customer Name],"⚠ Unknown")</f>
        <v>Walk-in Customer</v>
      </c>
      <c r="F6179" s="4" t="s">
        <v>13</v>
      </c>
      <c r="G6179" s="1" t="str">
        <f>_xlfn.XLOOKUP(tblSales[[#This Row],[Product Code]],tblProducts[Code],tblProducts[Product / Service Name],"⚠ Unknown")</f>
        <v>Backpack</v>
      </c>
      <c r="H6179" s="1" t="str">
        <f>_xlfn.XLOOKUP(tblSales[[#This Row],[Product Code]],tblProducts[Code],tblProducts[Category],"")</f>
        <v>Bags &amp; Gadgets</v>
      </c>
      <c r="I6179" s="4">
        <v>4</v>
      </c>
      <c r="J6179" s="5">
        <f>_xlfn.XLOOKUP(tblSales[[#This Row],[Product Code]],tblProducts[Code],tblProducts[Selling Price (excl. VAT)],0)</f>
        <v>500000</v>
      </c>
      <c r="K6179" s="5">
        <f>tblSales[[#This Row],[Qty]]*tblSales[[#This Row],[Unit Price]]</f>
        <v>2000000</v>
      </c>
      <c r="L6179" s="5">
        <f>ROUND(tblSales[[#This Row],[DPP (excl. VAT)]]*VATEff,0)</f>
        <v>220000</v>
      </c>
      <c r="M6179" s="5">
        <f>tblSales[[#This Row],[DPP (excl. VAT)]]+tblSales[[#This Row],[Output VAT]]</f>
        <v>2220000</v>
      </c>
      <c r="N6179" s="5">
        <f>tblSales[[#This Row],[Qty]]*_xlfn.XLOOKUP(tblSales[[#This Row],[Product Code]],tblProducts[Code],tblProducts[Unit Cost],0)</f>
        <v>1160000</v>
      </c>
      <c r="O6179" s="4" t="s">
        <v>4866</v>
      </c>
      <c r="P6179" s="4" t="s">
        <v>4860</v>
      </c>
      <c r="Q6179" s="1" t="str">
        <f>_xlfn.XLOOKUP(tblSales[[#This Row],[Channel Code]],tblChannels[Channel Code],tblChannels[Channel Name],"")</f>
        <v>In-store</v>
      </c>
      <c r="R6179" s="1">
        <f>MONTH(tblSales[[#This Row],[Date]])</f>
        <v>12</v>
      </c>
    </row>
    <row r="6180" spans="2:18" x14ac:dyDescent="0.35">
      <c r="B6180" s="113">
        <v>46387</v>
      </c>
      <c r="C6180" s="4" t="s">
        <v>4249</v>
      </c>
      <c r="D6180" s="4" t="s">
        <v>4613</v>
      </c>
      <c r="E6180" s="1" t="str">
        <f>_xlfn.XLOOKUP(tblSales[[#This Row],[Customer ID]],tblCustomers[Customer ID],tblCustomers[Customer Name],"⚠ Unknown")</f>
        <v>PT Mega Prima Distribusi</v>
      </c>
      <c r="F6180" s="4" t="s">
        <v>6</v>
      </c>
      <c r="G6180" s="1" t="str">
        <f>_xlfn.XLOOKUP(tblSales[[#This Row],[Product Code]],tblProducts[Code],tblProducts[Product / Service Name],"⚠ Unknown")</f>
        <v>Socks &amp; Accessories</v>
      </c>
      <c r="H6180" s="1" t="str">
        <f>_xlfn.XLOOKUP(tblSales[[#This Row],[Product Code]],tblProducts[Code],tblProducts[Category],"")</f>
        <v>Accessories &amp; Basics</v>
      </c>
      <c r="I6180" s="4">
        <v>88</v>
      </c>
      <c r="J6180" s="5">
        <f>_xlfn.XLOOKUP(tblSales[[#This Row],[Product Code]],tblProducts[Code],tblProducts[Selling Price (excl. VAT)],0)</f>
        <v>45000</v>
      </c>
      <c r="K6180" s="5">
        <f>tblSales[[#This Row],[Qty]]*tblSales[[#This Row],[Unit Price]]</f>
        <v>3960000</v>
      </c>
      <c r="L6180" s="5">
        <f>ROUND(tblSales[[#This Row],[DPP (excl. VAT)]]*VATEff,0)</f>
        <v>435600</v>
      </c>
      <c r="M6180" s="5">
        <f>tblSales[[#This Row],[DPP (excl. VAT)]]+tblSales[[#This Row],[Output VAT]]</f>
        <v>4395600</v>
      </c>
      <c r="N6180" s="5">
        <f>tblSales[[#This Row],[Qty]]*_xlfn.XLOOKUP(tblSales[[#This Row],[Product Code]],tblProducts[Code],tblProducts[Unit Cost],0)</f>
        <v>2112000</v>
      </c>
      <c r="O6180" s="4" t="s">
        <v>4867</v>
      </c>
      <c r="P6180" s="4" t="s">
        <v>4860</v>
      </c>
      <c r="Q6180" s="1" t="str">
        <f>_xlfn.XLOOKUP(tblSales[[#This Row],[Channel Code]],tblChannels[Channel Code],tblChannels[Channel Name],"")</f>
        <v>In-store</v>
      </c>
      <c r="R6180" s="1">
        <f>MONTH(tblSales[[#This Row],[Date]])</f>
        <v>12</v>
      </c>
    </row>
    <row r="6181" spans="2:18" x14ac:dyDescent="0.35">
      <c r="B6181" s="113">
        <v>46387</v>
      </c>
      <c r="C6181" s="4" t="s">
        <v>4250</v>
      </c>
      <c r="D6181" s="4" t="s">
        <v>4599</v>
      </c>
      <c r="E6181" s="1" t="str">
        <f>_xlfn.XLOOKUP(tblSales[[#This Row],[Customer ID]],tblCustomers[Customer ID],tblCustomers[Customer Name],"⚠ Unknown")</f>
        <v>PT Samudra Jaya Logistik</v>
      </c>
      <c r="F6181" s="4" t="s">
        <v>12</v>
      </c>
      <c r="G6181" s="1" t="str">
        <f>_xlfn.XLOOKUP(tblSales[[#This Row],[Product Code]],tblProducts[Code],tblProducts[Product / Service Name],"⚠ Unknown")</f>
        <v>Bomber Jacket</v>
      </c>
      <c r="H6181" s="1" t="str">
        <f>_xlfn.XLOOKUP(tblSales[[#This Row],[Product Code]],tblProducts[Code],tblProducts[Category],"")</f>
        <v>Apparel &amp; Footwear</v>
      </c>
      <c r="I6181" s="4">
        <v>40</v>
      </c>
      <c r="J6181" s="5">
        <f>_xlfn.XLOOKUP(tblSales[[#This Row],[Product Code]],tblProducts[Code],tblProducts[Selling Price (excl. VAT)],0)</f>
        <v>350000</v>
      </c>
      <c r="K6181" s="5">
        <f>tblSales[[#This Row],[Qty]]*tblSales[[#This Row],[Unit Price]]</f>
        <v>14000000</v>
      </c>
      <c r="L6181" s="5">
        <f>ROUND(tblSales[[#This Row],[DPP (excl. VAT)]]*VATEff,0)</f>
        <v>1540000</v>
      </c>
      <c r="M6181" s="5">
        <f>tblSales[[#This Row],[DPP (excl. VAT)]]+tblSales[[#This Row],[Output VAT]]</f>
        <v>15540000</v>
      </c>
      <c r="N6181" s="5">
        <f>tblSales[[#This Row],[Qty]]*_xlfn.XLOOKUP(tblSales[[#This Row],[Product Code]],tblProducts[Code],tblProducts[Unit Cost],0)</f>
        <v>8400000</v>
      </c>
      <c r="O6181" s="4" t="s">
        <v>4867</v>
      </c>
      <c r="P6181" s="4" t="s">
        <v>4862</v>
      </c>
      <c r="Q6181" s="1" t="str">
        <f>_xlfn.XLOOKUP(tblSales[[#This Row],[Channel Code]],tblChannels[Channel Code],tblChannels[Channel Name],"")</f>
        <v>Website &amp; Social Media</v>
      </c>
      <c r="R6181" s="1">
        <f>MONTH(tblSales[[#This Row],[Date]])</f>
        <v>12</v>
      </c>
    </row>
    <row r="6182" spans="2:18" x14ac:dyDescent="0.35">
      <c r="B6182" s="113">
        <v>46387</v>
      </c>
      <c r="C6182" s="4" t="s">
        <v>4250</v>
      </c>
      <c r="D6182" s="4" t="s">
        <v>4599</v>
      </c>
      <c r="E6182" s="1" t="str">
        <f>_xlfn.XLOOKUP(tblSales[[#This Row],[Customer ID]],tblCustomers[Customer ID],tblCustomers[Customer Name],"⚠ Unknown")</f>
        <v>PT Samudra Jaya Logistik</v>
      </c>
      <c r="F6182" s="4" t="s">
        <v>10</v>
      </c>
      <c r="G6182" s="1" t="str">
        <f>_xlfn.XLOOKUP(tblSales[[#This Row],[Product Code]],tblProducts[Code],tblProducts[Product / Service Name],"⚠ Unknown")</f>
        <v>Chino Pants</v>
      </c>
      <c r="H6182" s="1" t="str">
        <f>_xlfn.XLOOKUP(tblSales[[#This Row],[Product Code]],tblProducts[Code],tblProducts[Category],"")</f>
        <v>Apparel &amp; Footwear</v>
      </c>
      <c r="I6182" s="4">
        <v>40</v>
      </c>
      <c r="J6182" s="5">
        <f>_xlfn.XLOOKUP(tblSales[[#This Row],[Product Code]],tblProducts[Code],tblProducts[Selling Price (excl. VAT)],0)</f>
        <v>150000</v>
      </c>
      <c r="K6182" s="5">
        <f>tblSales[[#This Row],[Qty]]*tblSales[[#This Row],[Unit Price]]</f>
        <v>6000000</v>
      </c>
      <c r="L6182" s="5">
        <f>ROUND(tblSales[[#This Row],[DPP (excl. VAT)]]*VATEff,0)</f>
        <v>660000</v>
      </c>
      <c r="M6182" s="5">
        <f>tblSales[[#This Row],[DPP (excl. VAT)]]+tblSales[[#This Row],[Output VAT]]</f>
        <v>6660000</v>
      </c>
      <c r="N6182" s="5">
        <f>tblSales[[#This Row],[Qty]]*_xlfn.XLOOKUP(tblSales[[#This Row],[Product Code]],tblProducts[Code],tblProducts[Unit Cost],0)</f>
        <v>3520000</v>
      </c>
      <c r="O6182" s="4" t="s">
        <v>4867</v>
      </c>
      <c r="P6182" s="4" t="s">
        <v>4862</v>
      </c>
      <c r="Q6182" s="1" t="str">
        <f>_xlfn.XLOOKUP(tblSales[[#This Row],[Channel Code]],tblChannels[Channel Code],tblChannels[Channel Name],"")</f>
        <v>Website &amp; Social Media</v>
      </c>
      <c r="R6182" s="1">
        <f>MONTH(tblSales[[#This Row],[Date]])</f>
        <v>12</v>
      </c>
    </row>
    <row r="6183" spans="2:18" x14ac:dyDescent="0.35">
      <c r="B6183" s="113">
        <v>46387</v>
      </c>
      <c r="C6183" s="4" t="s">
        <v>4251</v>
      </c>
      <c r="D6183" s="4" t="s">
        <v>4568</v>
      </c>
      <c r="E6183" s="1" t="str">
        <f>_xlfn.XLOOKUP(tblSales[[#This Row],[Customer ID]],tblCustomers[Customer ID],tblCustomers[Customer Name],"⚠ Unknown")</f>
        <v>Walk-in Customer</v>
      </c>
      <c r="F6183" s="4" t="s">
        <v>6</v>
      </c>
      <c r="G6183" s="1" t="str">
        <f>_xlfn.XLOOKUP(tblSales[[#This Row],[Product Code]],tblProducts[Code],tblProducts[Product / Service Name],"⚠ Unknown")</f>
        <v>Socks &amp; Accessories</v>
      </c>
      <c r="H6183" s="1" t="str">
        <f>_xlfn.XLOOKUP(tblSales[[#This Row],[Product Code]],tblProducts[Code],tblProducts[Category],"")</f>
        <v>Accessories &amp; Basics</v>
      </c>
      <c r="I6183" s="4">
        <v>11</v>
      </c>
      <c r="J6183" s="5">
        <f>_xlfn.XLOOKUP(tblSales[[#This Row],[Product Code]],tblProducts[Code],tblProducts[Selling Price (excl. VAT)],0)</f>
        <v>45000</v>
      </c>
      <c r="K6183" s="5">
        <f>tblSales[[#This Row],[Qty]]*tblSales[[#This Row],[Unit Price]]</f>
        <v>495000</v>
      </c>
      <c r="L6183" s="5">
        <f>ROUND(tblSales[[#This Row],[DPP (excl. VAT)]]*VATEff,0)</f>
        <v>54450</v>
      </c>
      <c r="M6183" s="5">
        <f>tblSales[[#This Row],[DPP (excl. VAT)]]+tblSales[[#This Row],[Output VAT]]</f>
        <v>549450</v>
      </c>
      <c r="N6183" s="5">
        <f>tblSales[[#This Row],[Qty]]*_xlfn.XLOOKUP(tblSales[[#This Row],[Product Code]],tblProducts[Code],tblProducts[Unit Cost],0)</f>
        <v>264000</v>
      </c>
      <c r="O6183" s="4" t="s">
        <v>4865</v>
      </c>
      <c r="P6183" s="4" t="s">
        <v>4860</v>
      </c>
      <c r="Q6183" s="1" t="str">
        <f>_xlfn.XLOOKUP(tblSales[[#This Row],[Channel Code]],tblChannels[Channel Code],tblChannels[Channel Name],"")</f>
        <v>In-store</v>
      </c>
      <c r="R6183" s="1">
        <f>MONTH(tblSales[[#This Row],[Date]])</f>
        <v>12</v>
      </c>
    </row>
    <row r="6184" spans="2:18" x14ac:dyDescent="0.35">
      <c r="B6184" s="113">
        <v>46387</v>
      </c>
      <c r="C6184" s="4" t="s">
        <v>4251</v>
      </c>
      <c r="D6184" s="4" t="s">
        <v>4568</v>
      </c>
      <c r="E6184" s="1" t="str">
        <f>_xlfn.XLOOKUP(tblSales[[#This Row],[Customer ID]],tblCustomers[Customer ID],tblCustomers[Customer Name],"⚠ Unknown")</f>
        <v>Walk-in Customer</v>
      </c>
      <c r="F6184" s="4" t="s">
        <v>7</v>
      </c>
      <c r="G6184" s="1" t="str">
        <f>_xlfn.XLOOKUP(tblSales[[#This Row],[Product Code]],tblProducts[Code],tblProducts[Product / Service Name],"⚠ Unknown")</f>
        <v>Premium Basic T-shirt</v>
      </c>
      <c r="H6184" s="1" t="str">
        <f>_xlfn.XLOOKUP(tblSales[[#This Row],[Product Code]],tblProducts[Code],tblProducts[Category],"")</f>
        <v>Accessories &amp; Basics</v>
      </c>
      <c r="I6184" s="4">
        <v>9</v>
      </c>
      <c r="J6184" s="5">
        <f>_xlfn.XLOOKUP(tblSales[[#This Row],[Product Code]],tblProducts[Code],tblProducts[Selling Price (excl. VAT)],0)</f>
        <v>65000</v>
      </c>
      <c r="K6184" s="5">
        <f>tblSales[[#This Row],[Qty]]*tblSales[[#This Row],[Unit Price]]</f>
        <v>585000</v>
      </c>
      <c r="L6184" s="5">
        <f>ROUND(tblSales[[#This Row],[DPP (excl. VAT)]]*VATEff,0)</f>
        <v>64350</v>
      </c>
      <c r="M6184" s="5">
        <f>tblSales[[#This Row],[DPP (excl. VAT)]]+tblSales[[#This Row],[Output VAT]]</f>
        <v>649350</v>
      </c>
      <c r="N6184" s="5">
        <f>tblSales[[#This Row],[Qty]]*_xlfn.XLOOKUP(tblSales[[#This Row],[Product Code]],tblProducts[Code],tblProducts[Unit Cost],0)</f>
        <v>333000</v>
      </c>
      <c r="O6184" s="4" t="s">
        <v>4865</v>
      </c>
      <c r="P6184" s="4" t="s">
        <v>4860</v>
      </c>
      <c r="Q6184" s="1" t="str">
        <f>_xlfn.XLOOKUP(tblSales[[#This Row],[Channel Code]],tblChannels[Channel Code],tblChannels[Channel Name],"")</f>
        <v>In-store</v>
      </c>
      <c r="R6184" s="1">
        <f>MONTH(tblSales[[#This Row],[Date]])</f>
        <v>12</v>
      </c>
    </row>
    <row r="6185" spans="2:18" x14ac:dyDescent="0.35">
      <c r="B6185" s="113">
        <v>46387</v>
      </c>
      <c r="C6185" s="4" t="s">
        <v>4252</v>
      </c>
      <c r="D6185" s="4" t="s">
        <v>4568</v>
      </c>
      <c r="E6185" s="1" t="str">
        <f>_xlfn.XLOOKUP(tblSales[[#This Row],[Customer ID]],tblCustomers[Customer ID],tblCustomers[Customer Name],"⚠ Unknown")</f>
        <v>Walk-in Customer</v>
      </c>
      <c r="F6185" s="4" t="s">
        <v>7</v>
      </c>
      <c r="G6185" s="1" t="str">
        <f>_xlfn.XLOOKUP(tblSales[[#This Row],[Product Code]],tblProducts[Code],tblProducts[Product / Service Name],"⚠ Unknown")</f>
        <v>Premium Basic T-shirt</v>
      </c>
      <c r="H6185" s="1" t="str">
        <f>_xlfn.XLOOKUP(tblSales[[#This Row],[Product Code]],tblProducts[Code],tblProducts[Category],"")</f>
        <v>Accessories &amp; Basics</v>
      </c>
      <c r="I6185" s="4">
        <v>2</v>
      </c>
      <c r="J6185" s="5">
        <f>_xlfn.XLOOKUP(tblSales[[#This Row],[Product Code]],tblProducts[Code],tblProducts[Selling Price (excl. VAT)],0)</f>
        <v>65000</v>
      </c>
      <c r="K6185" s="5">
        <f>tblSales[[#This Row],[Qty]]*tblSales[[#This Row],[Unit Price]]</f>
        <v>130000</v>
      </c>
      <c r="L6185" s="5">
        <f>ROUND(tblSales[[#This Row],[DPP (excl. VAT)]]*VATEff,0)</f>
        <v>14300</v>
      </c>
      <c r="M6185" s="5">
        <f>tblSales[[#This Row],[DPP (excl. VAT)]]+tblSales[[#This Row],[Output VAT]]</f>
        <v>144300</v>
      </c>
      <c r="N6185" s="5">
        <f>tblSales[[#This Row],[Qty]]*_xlfn.XLOOKUP(tblSales[[#This Row],[Product Code]],tblProducts[Code],tblProducts[Unit Cost],0)</f>
        <v>74000</v>
      </c>
      <c r="O6185" s="4" t="s">
        <v>4866</v>
      </c>
      <c r="P6185" s="4" t="s">
        <v>4861</v>
      </c>
      <c r="Q6185" s="1" t="str">
        <f>_xlfn.XLOOKUP(tblSales[[#This Row],[Channel Code]],tblChannels[Channel Code],tblChannels[Channel Name],"")</f>
        <v>Marketplace</v>
      </c>
      <c r="R6185" s="1">
        <f>MONTH(tblSales[[#This Row],[Date]])</f>
        <v>12</v>
      </c>
    </row>
    <row r="6186" spans="2:18" x14ac:dyDescent="0.35">
      <c r="B6186" s="113">
        <v>46387</v>
      </c>
      <c r="C6186" s="4" t="s">
        <v>4253</v>
      </c>
      <c r="D6186" s="4" t="s">
        <v>4568</v>
      </c>
      <c r="E6186" s="1" t="str">
        <f>_xlfn.XLOOKUP(tblSales[[#This Row],[Customer ID]],tblCustomers[Customer ID],tblCustomers[Customer Name],"⚠ Unknown")</f>
        <v>Walk-in Customer</v>
      </c>
      <c r="F6186" s="4" t="s">
        <v>7</v>
      </c>
      <c r="G6186" s="1" t="str">
        <f>_xlfn.XLOOKUP(tblSales[[#This Row],[Product Code]],tblProducts[Code],tblProducts[Product / Service Name],"⚠ Unknown")</f>
        <v>Premium Basic T-shirt</v>
      </c>
      <c r="H6186" s="1" t="str">
        <f>_xlfn.XLOOKUP(tblSales[[#This Row],[Product Code]],tblProducts[Code],tblProducts[Category],"")</f>
        <v>Accessories &amp; Basics</v>
      </c>
      <c r="I6186" s="4">
        <v>7</v>
      </c>
      <c r="J6186" s="5">
        <f>_xlfn.XLOOKUP(tblSales[[#This Row],[Product Code]],tblProducts[Code],tblProducts[Selling Price (excl. VAT)],0)</f>
        <v>65000</v>
      </c>
      <c r="K6186" s="5">
        <f>tblSales[[#This Row],[Qty]]*tblSales[[#This Row],[Unit Price]]</f>
        <v>455000</v>
      </c>
      <c r="L6186" s="5">
        <f>ROUND(tblSales[[#This Row],[DPP (excl. VAT)]]*VATEff,0)</f>
        <v>50050</v>
      </c>
      <c r="M6186" s="5">
        <f>tblSales[[#This Row],[DPP (excl. VAT)]]+tblSales[[#This Row],[Output VAT]]</f>
        <v>505050</v>
      </c>
      <c r="N6186" s="5">
        <f>tblSales[[#This Row],[Qty]]*_xlfn.XLOOKUP(tblSales[[#This Row],[Product Code]],tblProducts[Code],tblProducts[Unit Cost],0)</f>
        <v>259000</v>
      </c>
      <c r="O6186" s="4" t="s">
        <v>4865</v>
      </c>
      <c r="P6186" s="4" t="s">
        <v>4860</v>
      </c>
      <c r="Q6186" s="1" t="str">
        <f>_xlfn.XLOOKUP(tblSales[[#This Row],[Channel Code]],tblChannels[Channel Code],tblChannels[Channel Name],"")</f>
        <v>In-store</v>
      </c>
      <c r="R6186" s="1">
        <f>MONTH(tblSales[[#This Row],[Date]])</f>
        <v>12</v>
      </c>
    </row>
    <row r="6187" spans="2:18" x14ac:dyDescent="0.35">
      <c r="B6187" s="113">
        <v>46387</v>
      </c>
      <c r="C6187" s="4" t="s">
        <v>4254</v>
      </c>
      <c r="D6187" s="4" t="s">
        <v>4568</v>
      </c>
      <c r="E6187" s="1" t="str">
        <f>_xlfn.XLOOKUP(tblSales[[#This Row],[Customer ID]],tblCustomers[Customer ID],tblCustomers[Customer Name],"⚠ Unknown")</f>
        <v>Walk-in Customer</v>
      </c>
      <c r="F6187" s="4" t="s">
        <v>14</v>
      </c>
      <c r="G6187" s="1" t="str">
        <f>_xlfn.XLOOKUP(tblSales[[#This Row],[Product Code]],tblProducts[Code],tblProducts[Product / Service Name],"⚠ Unknown")</f>
        <v>Smartwatch</v>
      </c>
      <c r="H6187" s="1" t="str">
        <f>_xlfn.XLOOKUP(tblSales[[#This Row],[Product Code]],tblProducts[Code],tblProducts[Category],"")</f>
        <v>Bags &amp; Gadgets</v>
      </c>
      <c r="I6187" s="4">
        <v>1</v>
      </c>
      <c r="J6187" s="5">
        <f>_xlfn.XLOOKUP(tblSales[[#This Row],[Product Code]],tblProducts[Code],tblProducts[Selling Price (excl. VAT)],0)</f>
        <v>850000</v>
      </c>
      <c r="K6187" s="5">
        <f>tblSales[[#This Row],[Qty]]*tblSales[[#This Row],[Unit Price]]</f>
        <v>850000</v>
      </c>
      <c r="L6187" s="5">
        <f>ROUND(tblSales[[#This Row],[DPP (excl. VAT)]]*VATEff,0)</f>
        <v>93500</v>
      </c>
      <c r="M6187" s="5">
        <f>tblSales[[#This Row],[DPP (excl. VAT)]]+tblSales[[#This Row],[Output VAT]]</f>
        <v>943500</v>
      </c>
      <c r="N6187" s="5">
        <f>tblSales[[#This Row],[Qty]]*_xlfn.XLOOKUP(tblSales[[#This Row],[Product Code]],tblProducts[Code],tblProducts[Unit Cost],0)</f>
        <v>560000</v>
      </c>
      <c r="O6187" s="4" t="s">
        <v>4865</v>
      </c>
      <c r="P6187" s="4" t="s">
        <v>4860</v>
      </c>
      <c r="Q6187" s="1" t="str">
        <f>_xlfn.XLOOKUP(tblSales[[#This Row],[Channel Code]],tblChannels[Channel Code],tblChannels[Channel Name],"")</f>
        <v>In-store</v>
      </c>
      <c r="R6187" s="1">
        <f>MONTH(tblSales[[#This Row],[Date]])</f>
        <v>12</v>
      </c>
    </row>
    <row r="6188" spans="2:18" x14ac:dyDescent="0.35">
      <c r="B6188" s="113">
        <v>46387</v>
      </c>
      <c r="C6188" s="4" t="s">
        <v>4255</v>
      </c>
      <c r="D6188" s="4" t="s">
        <v>4568</v>
      </c>
      <c r="E6188" s="1" t="str">
        <f>_xlfn.XLOOKUP(tblSales[[#This Row],[Customer ID]],tblCustomers[Customer ID],tblCustomers[Customer Name],"⚠ Unknown")</f>
        <v>Walk-in Customer</v>
      </c>
      <c r="F6188" s="4" t="s">
        <v>7</v>
      </c>
      <c r="G6188" s="1" t="str">
        <f>_xlfn.XLOOKUP(tblSales[[#This Row],[Product Code]],tblProducts[Code],tblProducts[Product / Service Name],"⚠ Unknown")</f>
        <v>Premium Basic T-shirt</v>
      </c>
      <c r="H6188" s="1" t="str">
        <f>_xlfn.XLOOKUP(tblSales[[#This Row],[Product Code]],tblProducts[Code],tblProducts[Category],"")</f>
        <v>Accessories &amp; Basics</v>
      </c>
      <c r="I6188" s="4">
        <v>9</v>
      </c>
      <c r="J6188" s="5">
        <f>_xlfn.XLOOKUP(tblSales[[#This Row],[Product Code]],tblProducts[Code],tblProducts[Selling Price (excl. VAT)],0)</f>
        <v>65000</v>
      </c>
      <c r="K6188" s="5">
        <f>tblSales[[#This Row],[Qty]]*tblSales[[#This Row],[Unit Price]]</f>
        <v>585000</v>
      </c>
      <c r="L6188" s="5">
        <f>ROUND(tblSales[[#This Row],[DPP (excl. VAT)]]*VATEff,0)</f>
        <v>64350</v>
      </c>
      <c r="M6188" s="5">
        <f>tblSales[[#This Row],[DPP (excl. VAT)]]+tblSales[[#This Row],[Output VAT]]</f>
        <v>649350</v>
      </c>
      <c r="N6188" s="5">
        <f>tblSales[[#This Row],[Qty]]*_xlfn.XLOOKUP(tblSales[[#This Row],[Product Code]],tblProducts[Code],tblProducts[Unit Cost],0)</f>
        <v>333000</v>
      </c>
      <c r="O6188" s="4" t="s">
        <v>4866</v>
      </c>
      <c r="P6188" s="4" t="s">
        <v>4861</v>
      </c>
      <c r="Q6188" s="1" t="str">
        <f>_xlfn.XLOOKUP(tblSales[[#This Row],[Channel Code]],tblChannels[Channel Code],tblChannels[Channel Name],"")</f>
        <v>Marketplace</v>
      </c>
      <c r="R6188" s="1">
        <f>MONTH(tblSales[[#This Row],[Date]])</f>
        <v>12</v>
      </c>
    </row>
    <row r="6189" spans="2:18" x14ac:dyDescent="0.35">
      <c r="B6189" s="113">
        <v>46387</v>
      </c>
      <c r="C6189" s="4" t="s">
        <v>4256</v>
      </c>
      <c r="D6189" s="4" t="s">
        <v>4568</v>
      </c>
      <c r="E6189" s="1" t="str">
        <f>_xlfn.XLOOKUP(tblSales[[#This Row],[Customer ID]],tblCustomers[Customer ID],tblCustomers[Customer Name],"⚠ Unknown")</f>
        <v>Walk-in Customer</v>
      </c>
      <c r="F6189" s="4" t="s">
        <v>8</v>
      </c>
      <c r="G6189" s="1" t="str">
        <f>_xlfn.XLOOKUP(tblSales[[#This Row],[Product Code]],tblProducts[Code],tblProducts[Product / Service Name],"⚠ Unknown")</f>
        <v>Casual Shorts</v>
      </c>
      <c r="H6189" s="1" t="str">
        <f>_xlfn.XLOOKUP(tblSales[[#This Row],[Product Code]],tblProducts[Code],tblProducts[Category],"")</f>
        <v>Accessories &amp; Basics</v>
      </c>
      <c r="I6189" s="4">
        <v>11</v>
      </c>
      <c r="J6189" s="5">
        <f>_xlfn.XLOOKUP(tblSales[[#This Row],[Product Code]],tblProducts[Code],tblProducts[Selling Price (excl. VAT)],0)</f>
        <v>85000</v>
      </c>
      <c r="K6189" s="5">
        <f>tblSales[[#This Row],[Qty]]*tblSales[[#This Row],[Unit Price]]</f>
        <v>935000</v>
      </c>
      <c r="L6189" s="5">
        <f>ROUND(tblSales[[#This Row],[DPP (excl. VAT)]]*VATEff,0)</f>
        <v>102850</v>
      </c>
      <c r="M6189" s="5">
        <f>tblSales[[#This Row],[DPP (excl. VAT)]]+tblSales[[#This Row],[Output VAT]]</f>
        <v>1037850</v>
      </c>
      <c r="N6189" s="5">
        <f>tblSales[[#This Row],[Qty]]*_xlfn.XLOOKUP(tblSales[[#This Row],[Product Code]],tblProducts[Code],tblProducts[Unit Cost],0)</f>
        <v>550000</v>
      </c>
      <c r="O6189" s="4" t="s">
        <v>4865</v>
      </c>
      <c r="P6189" s="4" t="s">
        <v>4860</v>
      </c>
      <c r="Q6189" s="1" t="str">
        <f>_xlfn.XLOOKUP(tblSales[[#This Row],[Channel Code]],tblChannels[Channel Code],tblChannels[Channel Name],"")</f>
        <v>In-store</v>
      </c>
      <c r="R6189" s="1">
        <f>MONTH(tblSales[[#This Row],[Date]])</f>
        <v>12</v>
      </c>
    </row>
    <row r="6190" spans="2:18" x14ac:dyDescent="0.35">
      <c r="B6190" s="113">
        <v>46387</v>
      </c>
      <c r="C6190" s="4" t="s">
        <v>4257</v>
      </c>
      <c r="D6190" s="4" t="s">
        <v>4568</v>
      </c>
      <c r="E6190" s="1" t="str">
        <f>_xlfn.XLOOKUP(tblSales[[#This Row],[Customer ID]],tblCustomers[Customer ID],tblCustomers[Customer Name],"⚠ Unknown")</f>
        <v>Walk-in Customer</v>
      </c>
      <c r="F6190" s="4" t="s">
        <v>6</v>
      </c>
      <c r="G6190" s="1" t="str">
        <f>_xlfn.XLOOKUP(tblSales[[#This Row],[Product Code]],tblProducts[Code],tblProducts[Product / Service Name],"⚠ Unknown")</f>
        <v>Socks &amp; Accessories</v>
      </c>
      <c r="H6190" s="1" t="str">
        <f>_xlfn.XLOOKUP(tblSales[[#This Row],[Product Code]],tblProducts[Code],tblProducts[Category],"")</f>
        <v>Accessories &amp; Basics</v>
      </c>
      <c r="I6190" s="4">
        <v>8</v>
      </c>
      <c r="J6190" s="5">
        <f>_xlfn.XLOOKUP(tblSales[[#This Row],[Product Code]],tblProducts[Code],tblProducts[Selling Price (excl. VAT)],0)</f>
        <v>45000</v>
      </c>
      <c r="K6190" s="5">
        <f>tblSales[[#This Row],[Qty]]*tblSales[[#This Row],[Unit Price]]</f>
        <v>360000</v>
      </c>
      <c r="L6190" s="5">
        <f>ROUND(tblSales[[#This Row],[DPP (excl. VAT)]]*VATEff,0)</f>
        <v>39600</v>
      </c>
      <c r="M6190" s="5">
        <f>tblSales[[#This Row],[DPP (excl. VAT)]]+tblSales[[#This Row],[Output VAT]]</f>
        <v>399600</v>
      </c>
      <c r="N6190" s="5">
        <f>tblSales[[#This Row],[Qty]]*_xlfn.XLOOKUP(tblSales[[#This Row],[Product Code]],tblProducts[Code],tblProducts[Unit Cost],0)</f>
        <v>192000</v>
      </c>
      <c r="O6190" s="4" t="s">
        <v>4866</v>
      </c>
      <c r="P6190" s="4" t="s">
        <v>4860</v>
      </c>
      <c r="Q6190" s="1" t="str">
        <f>_xlfn.XLOOKUP(tblSales[[#This Row],[Channel Code]],tblChannels[Channel Code],tblChannels[Channel Name],"")</f>
        <v>In-store</v>
      </c>
      <c r="R6190" s="1">
        <f>MONTH(tblSales[[#This Row],[Date]])</f>
        <v>12</v>
      </c>
    </row>
    <row r="6191" spans="2:18" x14ac:dyDescent="0.35">
      <c r="B6191" s="113">
        <v>46387</v>
      </c>
      <c r="C6191" s="4" t="s">
        <v>4257</v>
      </c>
      <c r="D6191" s="4" t="s">
        <v>4568</v>
      </c>
      <c r="E6191" s="1" t="str">
        <f>_xlfn.XLOOKUP(tblSales[[#This Row],[Customer ID]],tblCustomers[Customer ID],tblCustomers[Customer Name],"⚠ Unknown")</f>
        <v>Walk-in Customer</v>
      </c>
      <c r="F6191" s="4" t="s">
        <v>11</v>
      </c>
      <c r="G6191" s="1" t="str">
        <f>_xlfn.XLOOKUP(tblSales[[#This Row],[Product Code]],tblProducts[Code],tblProducts[Product / Service Name],"⚠ Unknown")</f>
        <v>Sneakers</v>
      </c>
      <c r="H6191" s="1" t="str">
        <f>_xlfn.XLOOKUP(tblSales[[#This Row],[Product Code]],tblProducts[Code],tblProducts[Category],"")</f>
        <v>Apparel &amp; Footwear</v>
      </c>
      <c r="I6191" s="4">
        <v>6</v>
      </c>
      <c r="J6191" s="5">
        <f>_xlfn.XLOOKUP(tblSales[[#This Row],[Product Code]],tblProducts[Code],tblProducts[Selling Price (excl. VAT)],0)</f>
        <v>250000</v>
      </c>
      <c r="K6191" s="5">
        <f>tblSales[[#This Row],[Qty]]*tblSales[[#This Row],[Unit Price]]</f>
        <v>1500000</v>
      </c>
      <c r="L6191" s="5">
        <f>ROUND(tblSales[[#This Row],[DPP (excl. VAT)]]*VATEff,0)</f>
        <v>165000</v>
      </c>
      <c r="M6191" s="5">
        <f>tblSales[[#This Row],[DPP (excl. VAT)]]+tblSales[[#This Row],[Output VAT]]</f>
        <v>1665000</v>
      </c>
      <c r="N6191" s="5">
        <f>tblSales[[#This Row],[Qty]]*_xlfn.XLOOKUP(tblSales[[#This Row],[Product Code]],tblProducts[Code],tblProducts[Unit Cost],0)</f>
        <v>930000</v>
      </c>
      <c r="O6191" s="4" t="s">
        <v>4866</v>
      </c>
      <c r="P6191" s="4" t="s">
        <v>4860</v>
      </c>
      <c r="Q6191" s="1" t="str">
        <f>_xlfn.XLOOKUP(tblSales[[#This Row],[Channel Code]],tblChannels[Channel Code],tblChannels[Channel Name],"")</f>
        <v>In-store</v>
      </c>
      <c r="R6191" s="1">
        <f>MONTH(tblSales[[#This Row],[Date]])</f>
        <v>12</v>
      </c>
    </row>
    <row r="6192" spans="2:18" x14ac:dyDescent="0.35">
      <c r="B6192" s="113">
        <v>46387</v>
      </c>
      <c r="C6192" s="4" t="s">
        <v>4258</v>
      </c>
      <c r="D6192" s="4" t="s">
        <v>4572</v>
      </c>
      <c r="E6192" s="1" t="str">
        <f>_xlfn.XLOOKUP(tblSales[[#This Row],[Customer ID]],tblCustomers[Customer ID],tblCustomers[Customer Name],"⚠ Unknown")</f>
        <v>PT Cahaya Abadi Makmur</v>
      </c>
      <c r="F6192" s="4" t="s">
        <v>6</v>
      </c>
      <c r="G6192" s="1" t="str">
        <f>_xlfn.XLOOKUP(tblSales[[#This Row],[Product Code]],tblProducts[Code],tblProducts[Product / Service Name],"⚠ Unknown")</f>
        <v>Socks &amp; Accessories</v>
      </c>
      <c r="H6192" s="1" t="str">
        <f>_xlfn.XLOOKUP(tblSales[[#This Row],[Product Code]],tblProducts[Code],tblProducts[Category],"")</f>
        <v>Accessories &amp; Basics</v>
      </c>
      <c r="I6192" s="4">
        <v>56</v>
      </c>
      <c r="J6192" s="5">
        <f>_xlfn.XLOOKUP(tblSales[[#This Row],[Product Code]],tblProducts[Code],tblProducts[Selling Price (excl. VAT)],0)</f>
        <v>45000</v>
      </c>
      <c r="K6192" s="5">
        <f>tblSales[[#This Row],[Qty]]*tblSales[[#This Row],[Unit Price]]</f>
        <v>2520000</v>
      </c>
      <c r="L6192" s="5">
        <f>ROUND(tblSales[[#This Row],[DPP (excl. VAT)]]*VATEff,0)</f>
        <v>277200</v>
      </c>
      <c r="M6192" s="5">
        <f>tblSales[[#This Row],[DPP (excl. VAT)]]+tblSales[[#This Row],[Output VAT]]</f>
        <v>2797200</v>
      </c>
      <c r="N6192" s="5">
        <f>tblSales[[#This Row],[Qty]]*_xlfn.XLOOKUP(tblSales[[#This Row],[Product Code]],tblProducts[Code],tblProducts[Unit Cost],0)</f>
        <v>1344000</v>
      </c>
      <c r="O6192" s="4" t="s">
        <v>4867</v>
      </c>
      <c r="P6192" s="4" t="s">
        <v>4860</v>
      </c>
      <c r="Q6192" s="1" t="str">
        <f>_xlfn.XLOOKUP(tblSales[[#This Row],[Channel Code]],tblChannels[Channel Code],tblChannels[Channel Name],"")</f>
        <v>In-store</v>
      </c>
      <c r="R6192" s="1">
        <f>MONTH(tblSales[[#This Row],[Date]])</f>
        <v>12</v>
      </c>
    </row>
    <row r="6193" spans="2:18" x14ac:dyDescent="0.35">
      <c r="B6193" s="113">
        <v>46387</v>
      </c>
      <c r="C6193" s="4" t="s">
        <v>4259</v>
      </c>
      <c r="D6193" s="4" t="s">
        <v>4627</v>
      </c>
      <c r="E6193" s="1" t="str">
        <f>_xlfn.XLOOKUP(tblSales[[#This Row],[Customer ID]],tblCustomers[Customer ID],tblCustomers[Customer Name],"⚠ Unknown")</f>
        <v>PT Kencana Wira Usaha</v>
      </c>
      <c r="F6193" s="4" t="s">
        <v>6</v>
      </c>
      <c r="G6193" s="1" t="str">
        <f>_xlfn.XLOOKUP(tblSales[[#This Row],[Product Code]],tblProducts[Code],tblProducts[Product / Service Name],"⚠ Unknown")</f>
        <v>Socks &amp; Accessories</v>
      </c>
      <c r="H6193" s="1" t="str">
        <f>_xlfn.XLOOKUP(tblSales[[#This Row],[Product Code]],tblProducts[Code],tblProducts[Category],"")</f>
        <v>Accessories &amp; Basics</v>
      </c>
      <c r="I6193" s="4">
        <v>88</v>
      </c>
      <c r="J6193" s="5">
        <f>_xlfn.XLOOKUP(tblSales[[#This Row],[Product Code]],tblProducts[Code],tblProducts[Selling Price (excl. VAT)],0)</f>
        <v>45000</v>
      </c>
      <c r="K6193" s="5">
        <f>tblSales[[#This Row],[Qty]]*tblSales[[#This Row],[Unit Price]]</f>
        <v>3960000</v>
      </c>
      <c r="L6193" s="5">
        <f>ROUND(tblSales[[#This Row],[DPP (excl. VAT)]]*VATEff,0)</f>
        <v>435600</v>
      </c>
      <c r="M6193" s="5">
        <f>tblSales[[#This Row],[DPP (excl. VAT)]]+tblSales[[#This Row],[Output VAT]]</f>
        <v>4395600</v>
      </c>
      <c r="N6193" s="5">
        <f>tblSales[[#This Row],[Qty]]*_xlfn.XLOOKUP(tblSales[[#This Row],[Product Code]],tblProducts[Code],tblProducts[Unit Cost],0)</f>
        <v>2112000</v>
      </c>
      <c r="O6193" s="4" t="s">
        <v>4867</v>
      </c>
      <c r="P6193" s="4" t="s">
        <v>4860</v>
      </c>
      <c r="Q6193" s="1" t="str">
        <f>_xlfn.XLOOKUP(tblSales[[#This Row],[Channel Code]],tblChannels[Channel Code],tblChannels[Channel Name],"")</f>
        <v>In-store</v>
      </c>
      <c r="R6193" s="1">
        <f>MONTH(tblSales[[#This Row],[Date]])</f>
        <v>12</v>
      </c>
    </row>
    <row r="6194" spans="2:18" x14ac:dyDescent="0.35">
      <c r="B6194" s="113">
        <v>46387</v>
      </c>
      <c r="C6194" s="4" t="s">
        <v>4260</v>
      </c>
      <c r="D6194" s="4" t="s">
        <v>4568</v>
      </c>
      <c r="E6194" s="1" t="str">
        <f>_xlfn.XLOOKUP(tblSales[[#This Row],[Customer ID]],tblCustomers[Customer ID],tblCustomers[Customer Name],"⚠ Unknown")</f>
        <v>Walk-in Customer</v>
      </c>
      <c r="F6194" s="4" t="s">
        <v>8</v>
      </c>
      <c r="G6194" s="1" t="str">
        <f>_xlfn.XLOOKUP(tblSales[[#This Row],[Product Code]],tblProducts[Code],tblProducts[Product / Service Name],"⚠ Unknown")</f>
        <v>Casual Shorts</v>
      </c>
      <c r="H6194" s="1" t="str">
        <f>_xlfn.XLOOKUP(tblSales[[#This Row],[Product Code]],tblProducts[Code],tblProducts[Category],"")</f>
        <v>Accessories &amp; Basics</v>
      </c>
      <c r="I6194" s="4">
        <v>3</v>
      </c>
      <c r="J6194" s="5">
        <f>_xlfn.XLOOKUP(tblSales[[#This Row],[Product Code]],tblProducts[Code],tblProducts[Selling Price (excl. VAT)],0)</f>
        <v>85000</v>
      </c>
      <c r="K6194" s="5">
        <f>tblSales[[#This Row],[Qty]]*tblSales[[#This Row],[Unit Price]]</f>
        <v>255000</v>
      </c>
      <c r="L6194" s="5">
        <f>ROUND(tblSales[[#This Row],[DPP (excl. VAT)]]*VATEff,0)</f>
        <v>28050</v>
      </c>
      <c r="M6194" s="5">
        <f>tblSales[[#This Row],[DPP (excl. VAT)]]+tblSales[[#This Row],[Output VAT]]</f>
        <v>283050</v>
      </c>
      <c r="N6194" s="5">
        <f>tblSales[[#This Row],[Qty]]*_xlfn.XLOOKUP(tblSales[[#This Row],[Product Code]],tblProducts[Code],tblProducts[Unit Cost],0)</f>
        <v>150000</v>
      </c>
      <c r="O6194" s="4" t="s">
        <v>4865</v>
      </c>
      <c r="P6194" s="4" t="s">
        <v>4860</v>
      </c>
      <c r="Q6194" s="1" t="str">
        <f>_xlfn.XLOOKUP(tblSales[[#This Row],[Channel Code]],tblChannels[Channel Code],tblChannels[Channel Name],"")</f>
        <v>In-store</v>
      </c>
      <c r="R6194" s="1">
        <f>MONTH(tblSales[[#This Row],[Date]])</f>
        <v>12</v>
      </c>
    </row>
    <row r="6195" spans="2:18" x14ac:dyDescent="0.35">
      <c r="B6195" s="113">
        <v>46387</v>
      </c>
      <c r="C6195" s="4" t="s">
        <v>4261</v>
      </c>
      <c r="D6195" s="4" t="s">
        <v>4568</v>
      </c>
      <c r="E6195" s="1" t="str">
        <f>_xlfn.XLOOKUP(tblSales[[#This Row],[Customer ID]],tblCustomers[Customer ID],tblCustomers[Customer Name],"⚠ Unknown")</f>
        <v>Walk-in Customer</v>
      </c>
      <c r="F6195" s="4" t="s">
        <v>11</v>
      </c>
      <c r="G6195" s="1" t="str">
        <f>_xlfn.XLOOKUP(tblSales[[#This Row],[Product Code]],tblProducts[Code],tblProducts[Product / Service Name],"⚠ Unknown")</f>
        <v>Sneakers</v>
      </c>
      <c r="H6195" s="1" t="str">
        <f>_xlfn.XLOOKUP(tblSales[[#This Row],[Product Code]],tblProducts[Code],tblProducts[Category],"")</f>
        <v>Apparel &amp; Footwear</v>
      </c>
      <c r="I6195" s="4">
        <v>4</v>
      </c>
      <c r="J6195" s="5">
        <f>_xlfn.XLOOKUP(tblSales[[#This Row],[Product Code]],tblProducts[Code],tblProducts[Selling Price (excl. VAT)],0)</f>
        <v>250000</v>
      </c>
      <c r="K6195" s="5">
        <f>tblSales[[#This Row],[Qty]]*tblSales[[#This Row],[Unit Price]]</f>
        <v>1000000</v>
      </c>
      <c r="L6195" s="5">
        <f>ROUND(tblSales[[#This Row],[DPP (excl. VAT)]]*VATEff,0)</f>
        <v>110000</v>
      </c>
      <c r="M6195" s="5">
        <f>tblSales[[#This Row],[DPP (excl. VAT)]]+tblSales[[#This Row],[Output VAT]]</f>
        <v>1110000</v>
      </c>
      <c r="N6195" s="5">
        <f>tblSales[[#This Row],[Qty]]*_xlfn.XLOOKUP(tblSales[[#This Row],[Product Code]],tblProducts[Code],tblProducts[Unit Cost],0)</f>
        <v>620000</v>
      </c>
      <c r="O6195" s="4" t="s">
        <v>4865</v>
      </c>
      <c r="P6195" s="4" t="s">
        <v>4860</v>
      </c>
      <c r="Q6195" s="1" t="str">
        <f>_xlfn.XLOOKUP(tblSales[[#This Row],[Channel Code]],tblChannels[Channel Code],tblChannels[Channel Name],"")</f>
        <v>In-store</v>
      </c>
      <c r="R6195" s="1">
        <f>MONTH(tblSales[[#This Row],[Date]])</f>
        <v>12</v>
      </c>
    </row>
    <row r="6196" spans="2:18" x14ac:dyDescent="0.35">
      <c r="B6196" s="113">
        <v>46387</v>
      </c>
      <c r="C6196" s="4" t="s">
        <v>4261</v>
      </c>
      <c r="D6196" s="4" t="s">
        <v>4568</v>
      </c>
      <c r="E6196" s="1" t="str">
        <f>_xlfn.XLOOKUP(tblSales[[#This Row],[Customer ID]],tblCustomers[Customer ID],tblCustomers[Customer Name],"⚠ Unknown")</f>
        <v>Walk-in Customer</v>
      </c>
      <c r="F6196" s="4" t="s">
        <v>8</v>
      </c>
      <c r="G6196" s="1" t="str">
        <f>_xlfn.XLOOKUP(tblSales[[#This Row],[Product Code]],tblProducts[Code],tblProducts[Product / Service Name],"⚠ Unknown")</f>
        <v>Casual Shorts</v>
      </c>
      <c r="H6196" s="1" t="str">
        <f>_xlfn.XLOOKUP(tblSales[[#This Row],[Product Code]],tblProducts[Code],tblProducts[Category],"")</f>
        <v>Accessories &amp; Basics</v>
      </c>
      <c r="I6196" s="4">
        <v>12</v>
      </c>
      <c r="J6196" s="5">
        <f>_xlfn.XLOOKUP(tblSales[[#This Row],[Product Code]],tblProducts[Code],tblProducts[Selling Price (excl. VAT)],0)</f>
        <v>85000</v>
      </c>
      <c r="K6196" s="5">
        <f>tblSales[[#This Row],[Qty]]*tblSales[[#This Row],[Unit Price]]</f>
        <v>1020000</v>
      </c>
      <c r="L6196" s="5">
        <f>ROUND(tblSales[[#This Row],[DPP (excl. VAT)]]*VATEff,0)</f>
        <v>112200</v>
      </c>
      <c r="M6196" s="5">
        <f>tblSales[[#This Row],[DPP (excl. VAT)]]+tblSales[[#This Row],[Output VAT]]</f>
        <v>1132200</v>
      </c>
      <c r="N6196" s="5">
        <f>tblSales[[#This Row],[Qty]]*_xlfn.XLOOKUP(tblSales[[#This Row],[Product Code]],tblProducts[Code],tblProducts[Unit Cost],0)</f>
        <v>600000</v>
      </c>
      <c r="O6196" s="4" t="s">
        <v>4865</v>
      </c>
      <c r="P6196" s="4" t="s">
        <v>4860</v>
      </c>
      <c r="Q6196" s="1" t="str">
        <f>_xlfn.XLOOKUP(tblSales[[#This Row],[Channel Code]],tblChannels[Channel Code],tblChannels[Channel Name],"")</f>
        <v>In-store</v>
      </c>
      <c r="R6196" s="1">
        <f>MONTH(tblSales[[#This Row],[Date]])</f>
        <v>12</v>
      </c>
    </row>
  </sheetData>
  <mergeCells count="7">
    <mergeCell ref="AB2:AC2"/>
    <mergeCell ref="D2:E2"/>
    <mergeCell ref="I2:J2"/>
    <mergeCell ref="P2:Q2"/>
    <mergeCell ref="S2:T2"/>
    <mergeCell ref="V2:W2"/>
    <mergeCell ref="Y2:Z2"/>
  </mergeCells>
  <dataValidations count="1">
    <dataValidation type="list" allowBlank="1" showInputMessage="1" showErrorMessage="1" sqref="O7:O6196" xr:uid="{43C244E9-3AD2-401A-A7F2-061B6B9F299C}">
      <formula1>"Cash,QRIS / Transfer,Credit (Term)"</formula1>
    </dataValidation>
  </dataValidations>
  <hyperlinks>
    <hyperlink ref="B2" location="'Dashboard'!A1" tooltip="Go to Dashboard" display="🏠 HOME" xr:uid="{8B055394-C062-49FA-B00D-FA323B2678A7}"/>
    <hyperlink ref="D2:E2" location="'Products'!A1" tooltip="Go to Products" display="◀ PREV" xr:uid="{F45B6C21-208F-4E66-A5AF-50FC9EE6275C}"/>
    <hyperlink ref="G2" location="'Purchases'!A1" tooltip="Go to Purchases" display="NEXT ▶" xr:uid="{A746422F-3AFA-48CC-8B2D-441CE06614DD}"/>
    <hyperlink ref="I2:J2" location="'Dashboard'!B5" tooltip="Go to Dashboard" display="☰ MENU" xr:uid="{8FA7AB94-AF02-4352-ABC3-6ECECF530D28}"/>
    <hyperlink ref="L2" location="'General Journal'!A1" tooltip="Go to General Journal" display="Journal" xr:uid="{88FDCC12-EDF8-41EB-B059-EE3F8CE462E1}"/>
    <hyperlink ref="N2" location="'Trial Balance'!A1" tooltip="Go to Trial Balance" display="Trial Bal." xr:uid="{F2785356-EFAF-439A-818B-30DD34B89E57}"/>
    <hyperlink ref="P2:Q2" location="'Income Statement'!A1" tooltip="Go to Income Statement" display="Income St." xr:uid="{4DF94346-13FD-4F14-8AD8-F87ACC3A619A}"/>
    <hyperlink ref="S2:T2" location="'Balance Sheet'!A1" tooltip="Go to Balance Sheet" display="Balance Sh." xr:uid="{8C0040A6-7F78-4F05-A77D-B52018929A7A}"/>
    <hyperlink ref="V2:W2" location="'Tax Reconciliation'!A1" tooltip="Go to Tax Reconciliation" display="Tax Recon" xr:uid="{7F89CE9B-D544-4013-B189-26E92832080F}"/>
    <hyperlink ref="Y2:Z2" location="'Bank Reconciliation'!A1" tooltip="Go to Bank Reconciliation" display="Bank Recon" xr:uid="{6D2B3303-3FC9-4F96-8E4A-4A1663DE22E5}"/>
    <hyperlink ref="AB2:AC2" location="'Controls'!A1" tooltip="Go to Controls" display="Controls" xr:uid="{DA87D199-13C8-4290-AFBD-FA636385A322}"/>
  </hyperlink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1958ED5F-8938-4C9F-BF0C-EAEC773E611A}">
          <x14:formula1>
            <xm:f>Customers!$B$7:$B$200</xm:f>
          </x14:formula1>
          <xm:sqref>D7:D6196</xm:sqref>
        </x14:dataValidation>
        <x14:dataValidation type="list" allowBlank="1" showInputMessage="1" showErrorMessage="1" xr:uid="{82BF1154-4226-4AC9-AE4C-3753DCC1E4C0}">
          <x14:formula1>
            <xm:f>Products!$B$7:$B$40</xm:f>
          </x14:formula1>
          <xm:sqref>F7:F6196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8BF4-D95F-4A98-A2E6-F1D1DFDE8F04}">
  <sheetPr>
    <tabColor rgb="FF38BDF8"/>
  </sheetPr>
  <dimension ref="A1:BH139"/>
  <sheetViews>
    <sheetView showGridLines="0" workbookViewId="0">
      <pane ySplit="6" topLeftCell="A7" activePane="bottomLeft" state="frozen"/>
      <selection pane="bottomLeft"/>
    </sheetView>
  </sheetViews>
  <sheetFormatPr defaultRowHeight="14.5" x14ac:dyDescent="0.35"/>
  <cols>
    <col min="1" max="1" width="1.453125" style="1" customWidth="1"/>
    <col min="2" max="2" width="11.26953125" style="1" customWidth="1"/>
    <col min="3" max="3" width="14.54296875" style="1" customWidth="1"/>
    <col min="4" max="4" width="8.1796875" style="1" customWidth="1"/>
    <col min="5" max="5" width="27.26953125" style="1" customWidth="1"/>
    <col min="6" max="6" width="38.1796875" style="1" customWidth="1"/>
    <col min="7" max="7" width="9.08984375" style="1" customWidth="1"/>
    <col min="8" max="8" width="27.26953125" style="1" customWidth="1"/>
    <col min="9" max="9" width="14.54296875" style="1" customWidth="1"/>
    <col min="10" max="10" width="12.7265625" style="1" customWidth="1"/>
    <col min="11" max="11" width="21.81640625" style="1" customWidth="1"/>
    <col min="12" max="12" width="7.26953125" style="1" customWidth="1"/>
    <col min="13" max="13" width="12.7265625" style="1" customWidth="1"/>
    <col min="14" max="14" width="15.453125" style="1" customWidth="1"/>
    <col min="15" max="15" width="11.26953125" style="1" customWidth="1"/>
    <col min="16" max="16" width="8.1796875" style="1" customWidth="1"/>
    <col min="17" max="17" width="6.36328125" style="1" customWidth="1"/>
    <col min="18" max="18" width="7.26953125" style="1" customWidth="1"/>
    <col min="19" max="52" width="8.7265625" style="1"/>
  </cols>
  <sheetData>
    <row r="1" spans="1:60" ht="5" customHeight="1" x14ac:dyDescent="0.35"/>
    <row r="2" spans="1:60" ht="18" customHeight="1" thickBot="1" x14ac:dyDescent="0.4">
      <c r="A2" s="307"/>
      <c r="B2" s="308" t="s">
        <v>7075</v>
      </c>
      <c r="C2" s="307"/>
      <c r="D2" s="310" t="s">
        <v>7076</v>
      </c>
      <c r="E2" s="311"/>
      <c r="F2" s="307"/>
      <c r="G2" s="310" t="s">
        <v>7077</v>
      </c>
      <c r="H2" s="311"/>
      <c r="I2" s="307"/>
      <c r="J2" s="308" t="s">
        <v>7078</v>
      </c>
      <c r="K2" s="307"/>
      <c r="L2" s="314" t="s">
        <v>7079</v>
      </c>
      <c r="M2" s="315"/>
      <c r="N2" s="307"/>
      <c r="O2" s="317" t="s">
        <v>7080</v>
      </c>
      <c r="P2" s="307"/>
      <c r="Q2" s="314" t="s">
        <v>7081</v>
      </c>
      <c r="R2" s="315"/>
      <c r="S2" s="307"/>
      <c r="T2" s="314" t="s">
        <v>7082</v>
      </c>
      <c r="U2" s="315"/>
      <c r="V2" s="307"/>
      <c r="W2" s="314" t="s">
        <v>7083</v>
      </c>
      <c r="X2" s="315"/>
      <c r="Y2" s="307"/>
      <c r="Z2" s="314" t="s">
        <v>7084</v>
      </c>
      <c r="AA2" s="315"/>
      <c r="AB2" s="307"/>
      <c r="AC2" s="314" t="s">
        <v>7085</v>
      </c>
      <c r="AD2" s="315"/>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5604</v>
      </c>
      <c r="C4" s="67"/>
      <c r="D4" s="67"/>
      <c r="E4" s="67"/>
      <c r="F4" s="67"/>
      <c r="G4" s="67"/>
      <c r="H4" s="67"/>
      <c r="I4" s="67"/>
      <c r="J4" s="67"/>
      <c r="K4" s="67"/>
      <c r="L4" s="67"/>
      <c r="M4" s="67"/>
      <c r="N4" s="67"/>
      <c r="O4" s="67"/>
      <c r="P4" s="67"/>
      <c r="Q4" s="67"/>
      <c r="R4" s="67"/>
    </row>
    <row r="5" spans="1:60" x14ac:dyDescent="0.35">
      <c r="B5" s="72" t="s">
        <v>5605</v>
      </c>
    </row>
    <row r="6" spans="1:60" x14ac:dyDescent="0.35">
      <c r="B6" s="1" t="s">
        <v>5072</v>
      </c>
      <c r="C6" s="1" t="s">
        <v>5331</v>
      </c>
      <c r="D6" s="1" t="s">
        <v>4657</v>
      </c>
      <c r="E6" s="1" t="s">
        <v>4658</v>
      </c>
      <c r="F6" s="1" t="s">
        <v>4368</v>
      </c>
      <c r="G6" s="1" t="s">
        <v>4864</v>
      </c>
      <c r="H6" s="1" t="s">
        <v>4965</v>
      </c>
      <c r="I6" s="1" t="s">
        <v>5077</v>
      </c>
      <c r="J6" s="1" t="s">
        <v>5332</v>
      </c>
      <c r="K6" s="1" t="s">
        <v>4366</v>
      </c>
      <c r="L6" s="1" t="s">
        <v>5333</v>
      </c>
      <c r="M6" s="1" t="s">
        <v>5334</v>
      </c>
      <c r="N6" s="1" t="s">
        <v>5335</v>
      </c>
      <c r="O6" s="1" t="s">
        <v>4938</v>
      </c>
      <c r="P6" s="1" t="s">
        <v>5336</v>
      </c>
      <c r="Q6" s="1" t="s">
        <v>5081</v>
      </c>
      <c r="R6" s="1" t="s">
        <v>5337</v>
      </c>
    </row>
    <row r="7" spans="1:60" x14ac:dyDescent="0.35">
      <c r="B7" s="113">
        <v>46027</v>
      </c>
      <c r="C7" s="4" t="s">
        <v>5338</v>
      </c>
      <c r="D7" s="4" t="s">
        <v>4662</v>
      </c>
      <c r="E7" s="1" t="str">
        <f>_xlfn.XLOOKUP(tblPurchases[[#This Row],[Vendor ID]],tblVendors[Vendor ID],tblVendors[Vendor Name],"⚠ Unknown")</f>
        <v>PT Sumber Barang Utama</v>
      </c>
      <c r="F7" s="4" t="s">
        <v>5471</v>
      </c>
      <c r="G7" s="4">
        <v>1310</v>
      </c>
      <c r="H7" s="1" t="str">
        <f>_xlfn.XLOOKUP(tblPurchases[[#This Row],[Account Code]],tblCOA[Code],tblCOA[Account Name],"⚠ Invalid")</f>
        <v>Merchandise inventory</v>
      </c>
      <c r="I7" s="6">
        <v>323463000</v>
      </c>
      <c r="J7" s="5">
        <f>IF(_xlfn.XLOOKUP(tblPurchases[[#This Row],[Vendor ID]],tblVendors[Vendor ID],tblVendors[VAT Status],"")="PKP",ROUND(tblPurchases[[#This Row],[DPP (excl. VAT)]]*VATEff,0),0)</f>
        <v>35580930</v>
      </c>
      <c r="K7" s="1" t="str">
        <f>_xlfn.XLOOKUP(tblPurchases[[#This Row],[Vendor ID]],tblVendors[Vendor ID],tblVendors[WHT Type],"None")</f>
        <v>None</v>
      </c>
      <c r="L7" s="118">
        <f>_xlfn.XLOOKUP(tblPurchases[[#This Row],[WHT Type]],WHTTypes,WHTRates,0)</f>
        <v>0</v>
      </c>
      <c r="M7" s="5">
        <f>ROUND(tblPurchases[[#This Row],[DPP (excl. VAT)]]*tblPurchases[[#This Row],[WHT Rate]],0)</f>
        <v>0</v>
      </c>
      <c r="N7" s="5">
        <f>tblPurchases[[#This Row],[DPP (excl. VAT)]]+tblPurchases[[#This Row],[Input VAT]]-tblPurchases[[#This Row],[WHT Amount]]</f>
        <v>359043930</v>
      </c>
      <c r="O7" s="113">
        <v>46057</v>
      </c>
      <c r="P7" s="4">
        <v>1120</v>
      </c>
      <c r="Q7" s="1">
        <f>MONTH(tblPurchases[[#This Row],[Date]])</f>
        <v>1</v>
      </c>
      <c r="R7" s="1">
        <f>IF(tblPurchases[[#This Row],[Payment Date]]="",0,IF(YEAR(tblPurchases[[#This Row],[Payment Date]])=FYear,MONTH(tblPurchases[[#This Row],[Payment Date]]),0))</f>
        <v>2</v>
      </c>
    </row>
    <row r="8" spans="1:60" x14ac:dyDescent="0.35">
      <c r="B8" s="113">
        <v>46027</v>
      </c>
      <c r="C8" s="4" t="s">
        <v>5339</v>
      </c>
      <c r="D8" s="4" t="s">
        <v>4711</v>
      </c>
      <c r="E8" s="1" t="str">
        <f>_xlfn.XLOOKUP(tblPurchases[[#This Row],[Vendor ID]],tblVendors[Vendor ID],tblVendors[Vendor Name],"⚠ Unknown")</f>
        <v>PT Utilitas Listrik &amp; Telekom</v>
      </c>
      <c r="F8" s="4" t="s">
        <v>5472</v>
      </c>
      <c r="G8" s="4">
        <v>6230</v>
      </c>
      <c r="H8" s="1" t="str">
        <f>_xlfn.XLOOKUP(tblPurchases[[#This Row],[Account Code]],tblCOA[Code],tblCOA[Account Name],"⚠ Invalid")</f>
        <v>Utilities &amp; Telecommunication</v>
      </c>
      <c r="I8" s="6">
        <v>11103000</v>
      </c>
      <c r="J8" s="5">
        <f>IF(_xlfn.XLOOKUP(tblPurchases[[#This Row],[Vendor ID]],tblVendors[Vendor ID],tblVendors[VAT Status],"")="PKP",ROUND(tblPurchases[[#This Row],[DPP (excl. VAT)]]*VATEff,0),0)</f>
        <v>1221330</v>
      </c>
      <c r="K8" s="1" t="str">
        <f>_xlfn.XLOOKUP(tblPurchases[[#This Row],[Vendor ID]],tblVendors[Vendor ID],tblVendors[WHT Type],"None")</f>
        <v>None</v>
      </c>
      <c r="L8" s="118">
        <f>_xlfn.XLOOKUP(tblPurchases[[#This Row],[WHT Type]],WHTTypes,WHTRates,0)</f>
        <v>0</v>
      </c>
      <c r="M8" s="5">
        <f>ROUND(tblPurchases[[#This Row],[DPP (excl. VAT)]]*tblPurchases[[#This Row],[WHT Rate]],0)</f>
        <v>0</v>
      </c>
      <c r="N8" s="5">
        <f>tblPurchases[[#This Row],[DPP (excl. VAT)]]+tblPurchases[[#This Row],[Input VAT]]-tblPurchases[[#This Row],[WHT Amount]]</f>
        <v>12324330</v>
      </c>
      <c r="O8" s="113">
        <v>46042</v>
      </c>
      <c r="P8" s="4">
        <v>1120</v>
      </c>
      <c r="Q8" s="1">
        <f>MONTH(tblPurchases[[#This Row],[Date]])</f>
        <v>1</v>
      </c>
      <c r="R8" s="1">
        <f>IF(tblPurchases[[#This Row],[Payment Date]]="",0,IF(YEAR(tblPurchases[[#This Row],[Payment Date]])=FYear,MONTH(tblPurchases[[#This Row],[Payment Date]]),0))</f>
        <v>1</v>
      </c>
    </row>
    <row r="9" spans="1:60" x14ac:dyDescent="0.35">
      <c r="B9" s="113">
        <v>46030</v>
      </c>
      <c r="C9" s="4" t="s">
        <v>5340</v>
      </c>
      <c r="D9" s="4" t="s">
        <v>4693</v>
      </c>
      <c r="E9" s="1" t="str">
        <f>_xlfn.XLOOKUP(tblPurchases[[#This Row],[Vendor ID]],tblVendors[Vendor ID],tblVendors[Vendor Name],"⚠ Unknown")</f>
        <v>PT Cloud Software Indonesia</v>
      </c>
      <c r="F9" s="4" t="s">
        <v>5473</v>
      </c>
      <c r="G9" s="4">
        <v>1430</v>
      </c>
      <c r="H9" s="1" t="str">
        <f>_xlfn.XLOOKUP(tblPurchases[[#This Row],[Account Code]],tblCOA[Code],tblCOA[Account Name],"⚠ Invalid")</f>
        <v>Prepaid Software Subscriptions</v>
      </c>
      <c r="I9" s="6">
        <v>18000000</v>
      </c>
      <c r="J9" s="5">
        <f>IF(_xlfn.XLOOKUP(tblPurchases[[#This Row],[Vendor ID]],tblVendors[Vendor ID],tblVendors[VAT Status],"")="PKP",ROUND(tblPurchases[[#This Row],[DPP (excl. VAT)]]*VATEff,0),0)</f>
        <v>1980000</v>
      </c>
      <c r="K9" s="1" t="str">
        <f>_xlfn.XLOOKUP(tblPurchases[[#This Row],[Vendor ID]],tblVendors[Vendor ID],tblVendors[WHT Type],"None")</f>
        <v>Art. 23 - Services</v>
      </c>
      <c r="L9" s="118">
        <f>_xlfn.XLOOKUP(tblPurchases[[#This Row],[WHT Type]],WHTTypes,WHTRates,0)</f>
        <v>0.02</v>
      </c>
      <c r="M9" s="5">
        <f>ROUND(tblPurchases[[#This Row],[DPP (excl. VAT)]]*tblPurchases[[#This Row],[WHT Rate]],0)</f>
        <v>360000</v>
      </c>
      <c r="N9" s="5">
        <f>tblPurchases[[#This Row],[DPP (excl. VAT)]]+tblPurchases[[#This Row],[Input VAT]]-tblPurchases[[#This Row],[WHT Amount]]</f>
        <v>19620000</v>
      </c>
      <c r="O9" s="113">
        <v>46037</v>
      </c>
      <c r="P9" s="4">
        <v>1120</v>
      </c>
      <c r="Q9" s="1">
        <f>MONTH(tblPurchases[[#This Row],[Date]])</f>
        <v>1</v>
      </c>
      <c r="R9" s="1">
        <f>IF(tblPurchases[[#This Row],[Payment Date]]="",0,IF(YEAR(tblPurchases[[#This Row],[Payment Date]])=FYear,MONTH(tblPurchases[[#This Row],[Payment Date]]),0))</f>
        <v>1</v>
      </c>
    </row>
    <row r="10" spans="1:60" x14ac:dyDescent="0.35">
      <c r="B10" s="113">
        <v>46032</v>
      </c>
      <c r="C10" s="4" t="s">
        <v>5341</v>
      </c>
      <c r="D10" s="4" t="s">
        <v>4729</v>
      </c>
      <c r="E10" s="1" t="str">
        <f>_xlfn.XLOOKUP(tblPurchases[[#This Row],[Vendor ID]],tblVendors[Vendor ID],tblVendors[Vendor Name],"⚠ Unknown")</f>
        <v>Toko ATK Sentosa</v>
      </c>
      <c r="F10" s="4" t="s">
        <v>5474</v>
      </c>
      <c r="G10" s="4">
        <v>6270</v>
      </c>
      <c r="H10" s="1" t="str">
        <f>_xlfn.XLOOKUP(tblPurchases[[#This Row],[Account Code]],tblCOA[Code],tblCOA[Account Name],"⚠ Invalid")</f>
        <v>Office Supplies</v>
      </c>
      <c r="I10" s="6">
        <v>2692000</v>
      </c>
      <c r="J10" s="5">
        <f>IF(_xlfn.XLOOKUP(tblPurchases[[#This Row],[Vendor ID]],tblVendors[Vendor ID],tblVendors[VAT Status],"")="PKP",ROUND(tblPurchases[[#This Row],[DPP (excl. VAT)]]*VATEff,0),0)</f>
        <v>0</v>
      </c>
      <c r="K10" s="1" t="str">
        <f>_xlfn.XLOOKUP(tblPurchases[[#This Row],[Vendor ID]],tblVendors[Vendor ID],tblVendors[WHT Type],"None")</f>
        <v>None</v>
      </c>
      <c r="L10" s="118">
        <f>_xlfn.XLOOKUP(tblPurchases[[#This Row],[WHT Type]],WHTTypes,WHTRates,0)</f>
        <v>0</v>
      </c>
      <c r="M10" s="5">
        <f>ROUND(tblPurchases[[#This Row],[DPP (excl. VAT)]]*tblPurchases[[#This Row],[WHT Rate]],0)</f>
        <v>0</v>
      </c>
      <c r="N10" s="5">
        <f>tblPurchases[[#This Row],[DPP (excl. VAT)]]+tblPurchases[[#This Row],[Input VAT]]-tblPurchases[[#This Row],[WHT Amount]]</f>
        <v>2692000</v>
      </c>
      <c r="O10" s="113">
        <v>46032</v>
      </c>
      <c r="P10" s="4">
        <v>1120</v>
      </c>
      <c r="Q10" s="1">
        <f>MONTH(tblPurchases[[#This Row],[Date]])</f>
        <v>1</v>
      </c>
      <c r="R10" s="1">
        <f>IF(tblPurchases[[#This Row],[Payment Date]]="",0,IF(YEAR(tblPurchases[[#This Row],[Payment Date]])=FYear,MONTH(tblPurchases[[#This Row],[Payment Date]]),0))</f>
        <v>1</v>
      </c>
    </row>
    <row r="11" spans="1:60" x14ac:dyDescent="0.35">
      <c r="B11" s="113">
        <v>46034</v>
      </c>
      <c r="C11" s="4" t="s">
        <v>5342</v>
      </c>
      <c r="D11" s="4" t="s">
        <v>4669</v>
      </c>
      <c r="E11" s="1" t="str">
        <f>_xlfn.XLOOKUP(tblPurchases[[#This Row],[Vendor ID]],tblVendors[Vendor ID],tblVendors[Vendor Name],"⚠ Unknown")</f>
        <v>PT Prima Supply Nusantara</v>
      </c>
      <c r="F11" s="4" t="s">
        <v>5475</v>
      </c>
      <c r="G11" s="4">
        <v>1310</v>
      </c>
      <c r="H11" s="1" t="str">
        <f>_xlfn.XLOOKUP(tblPurchases[[#This Row],[Account Code]],tblCOA[Code],tblCOA[Account Name],"⚠ Invalid")</f>
        <v>Merchandise inventory</v>
      </c>
      <c r="I11" s="6">
        <v>226424000</v>
      </c>
      <c r="J11" s="5">
        <f>IF(_xlfn.XLOOKUP(tblPurchases[[#This Row],[Vendor ID]],tblVendors[Vendor ID],tblVendors[VAT Status],"")="PKP",ROUND(tblPurchases[[#This Row],[DPP (excl. VAT)]]*VATEff,0),0)</f>
        <v>24906640</v>
      </c>
      <c r="K11" s="1" t="str">
        <f>_xlfn.XLOOKUP(tblPurchases[[#This Row],[Vendor ID]],tblVendors[Vendor ID],tblVendors[WHT Type],"None")</f>
        <v>None</v>
      </c>
      <c r="L11" s="118">
        <f>_xlfn.XLOOKUP(tblPurchases[[#This Row],[WHT Type]],WHTTypes,WHTRates,0)</f>
        <v>0</v>
      </c>
      <c r="M11" s="5">
        <f>ROUND(tblPurchases[[#This Row],[DPP (excl. VAT)]]*tblPurchases[[#This Row],[WHT Rate]],0)</f>
        <v>0</v>
      </c>
      <c r="N11" s="5">
        <f>tblPurchases[[#This Row],[DPP (excl. VAT)]]+tblPurchases[[#This Row],[Input VAT]]-tblPurchases[[#This Row],[WHT Amount]]</f>
        <v>251330640</v>
      </c>
      <c r="O11" s="113">
        <v>46064</v>
      </c>
      <c r="P11" s="4">
        <v>1120</v>
      </c>
      <c r="Q11" s="1">
        <f>MONTH(tblPurchases[[#This Row],[Date]])</f>
        <v>1</v>
      </c>
      <c r="R11" s="1">
        <f>IF(tblPurchases[[#This Row],[Payment Date]]="",0,IF(YEAR(tblPurchases[[#This Row],[Payment Date]])=FYear,MONTH(tblPurchases[[#This Row],[Payment Date]]),0))</f>
        <v>2</v>
      </c>
    </row>
    <row r="12" spans="1:60" x14ac:dyDescent="0.35">
      <c r="B12" s="113">
        <v>46037</v>
      </c>
      <c r="C12" s="4" t="s">
        <v>5343</v>
      </c>
      <c r="D12" s="4" t="s">
        <v>4723</v>
      </c>
      <c r="E12" s="1" t="str">
        <f>_xlfn.XLOOKUP(tblPurchases[[#This Row],[Vendor ID]],tblVendors[Vendor ID],tblVendors[Vendor Name],"⚠ Unknown")</f>
        <v>CV Teknik Servis Mandiri</v>
      </c>
      <c r="F12" s="4" t="s">
        <v>5476</v>
      </c>
      <c r="G12" s="4">
        <v>6295</v>
      </c>
      <c r="H12" s="1" t="str">
        <f>_xlfn.XLOOKUP(tblPurchases[[#This Row],[Account Code]],tblCOA[Code],tblCOA[Account Name],"⚠ Invalid")</f>
        <v>Repairs &amp; Maintenance</v>
      </c>
      <c r="I12" s="6">
        <v>3685000</v>
      </c>
      <c r="J12" s="5">
        <f>IF(_xlfn.XLOOKUP(tblPurchases[[#This Row],[Vendor ID]],tblVendors[Vendor ID],tblVendors[VAT Status],"")="PKP",ROUND(tblPurchases[[#This Row],[DPP (excl. VAT)]]*VATEff,0),0)</f>
        <v>0</v>
      </c>
      <c r="K12" s="1" t="str">
        <f>_xlfn.XLOOKUP(tblPurchases[[#This Row],[Vendor ID]],tblVendors[Vendor ID],tblVendors[WHT Type],"None")</f>
        <v>Art. 23 - Services</v>
      </c>
      <c r="L12" s="118">
        <f>_xlfn.XLOOKUP(tblPurchases[[#This Row],[WHT Type]],WHTTypes,WHTRates,0)</f>
        <v>0.02</v>
      </c>
      <c r="M12" s="5">
        <f>ROUND(tblPurchases[[#This Row],[DPP (excl. VAT)]]*tblPurchases[[#This Row],[WHT Rate]],0)</f>
        <v>73700</v>
      </c>
      <c r="N12" s="5">
        <f>tblPurchases[[#This Row],[DPP (excl. VAT)]]+tblPurchases[[#This Row],[Input VAT]]-tblPurchases[[#This Row],[WHT Amount]]</f>
        <v>3611300</v>
      </c>
      <c r="O12" s="113">
        <v>46044</v>
      </c>
      <c r="P12" s="4">
        <v>1120</v>
      </c>
      <c r="Q12" s="1">
        <f>MONTH(tblPurchases[[#This Row],[Date]])</f>
        <v>1</v>
      </c>
      <c r="R12" s="1">
        <f>IF(tblPurchases[[#This Row],[Payment Date]]="",0,IF(YEAR(tblPurchases[[#This Row],[Payment Date]])=FYear,MONTH(tblPurchases[[#This Row],[Payment Date]]),0))</f>
        <v>1</v>
      </c>
    </row>
    <row r="13" spans="1:60" x14ac:dyDescent="0.35">
      <c r="B13" s="113">
        <v>46040</v>
      </c>
      <c r="C13" s="4" t="s">
        <v>5344</v>
      </c>
      <c r="D13" s="4" t="s">
        <v>4759</v>
      </c>
      <c r="E13" s="1" t="str">
        <f>_xlfn.XLOOKUP(tblPurchases[[#This Row],[Vendor ID]],tblVendors[Vendor ID],tblVendors[Vendor Name],"⚠ Unknown")</f>
        <v>Various Restaurants &amp; Donations</v>
      </c>
      <c r="F13" s="4" t="s">
        <v>5477</v>
      </c>
      <c r="G13" s="4">
        <v>6296</v>
      </c>
      <c r="H13" s="1" t="str">
        <f>_xlfn.XLOOKUP(tblPurchases[[#This Row],[Account Code]],tblCOA[Code],tblCOA[Account Name],"⚠ Invalid")</f>
        <v>Entertainment &amp; Donations</v>
      </c>
      <c r="I13" s="6">
        <v>2449000</v>
      </c>
      <c r="J13" s="5">
        <f>IF(_xlfn.XLOOKUP(tblPurchases[[#This Row],[Vendor ID]],tblVendors[Vendor ID],tblVendors[VAT Status],"")="PKP",ROUND(tblPurchases[[#This Row],[DPP (excl. VAT)]]*VATEff,0),0)</f>
        <v>0</v>
      </c>
      <c r="K13" s="1" t="str">
        <f>_xlfn.XLOOKUP(tblPurchases[[#This Row],[Vendor ID]],tblVendors[Vendor ID],tblVendors[WHT Type],"None")</f>
        <v>None</v>
      </c>
      <c r="L13" s="118">
        <f>_xlfn.XLOOKUP(tblPurchases[[#This Row],[WHT Type]],WHTTypes,WHTRates,0)</f>
        <v>0</v>
      </c>
      <c r="M13" s="5">
        <f>ROUND(tblPurchases[[#This Row],[DPP (excl. VAT)]]*tblPurchases[[#This Row],[WHT Rate]],0)</f>
        <v>0</v>
      </c>
      <c r="N13" s="5">
        <f>tblPurchases[[#This Row],[DPP (excl. VAT)]]+tblPurchases[[#This Row],[Input VAT]]-tblPurchases[[#This Row],[WHT Amount]]</f>
        <v>2449000</v>
      </c>
      <c r="O13" s="113">
        <v>46040</v>
      </c>
      <c r="P13" s="4">
        <v>1120</v>
      </c>
      <c r="Q13" s="1">
        <f>MONTH(tblPurchases[[#This Row],[Date]])</f>
        <v>1</v>
      </c>
      <c r="R13" s="1">
        <f>IF(tblPurchases[[#This Row],[Payment Date]]="",0,IF(YEAR(tblPurchases[[#This Row],[Payment Date]])=FYear,MONTH(tblPurchases[[#This Row],[Payment Date]]),0))</f>
        <v>1</v>
      </c>
    </row>
    <row r="14" spans="1:60" x14ac:dyDescent="0.35">
      <c r="B14" s="113">
        <v>46042</v>
      </c>
      <c r="C14" s="4" t="s">
        <v>5345</v>
      </c>
      <c r="D14" s="4" t="s">
        <v>4674</v>
      </c>
      <c r="E14" s="1" t="str">
        <f>_xlfn.XLOOKUP(tblPurchases[[#This Row],[Vendor ID]],tblVendors[Vendor ID],tblVendors[Vendor Name],"⚠ Unknown")</f>
        <v>CV Aneka Grosir Jaya</v>
      </c>
      <c r="F14" s="4" t="s">
        <v>5478</v>
      </c>
      <c r="G14" s="4">
        <v>1310</v>
      </c>
      <c r="H14" s="1" t="str">
        <f>_xlfn.XLOOKUP(tblPurchases[[#This Row],[Account Code]],tblCOA[Code],tblCOA[Account Name],"⚠ Invalid")</f>
        <v>Merchandise inventory</v>
      </c>
      <c r="I14" s="6">
        <v>97039000</v>
      </c>
      <c r="J14" s="5">
        <f>IF(_xlfn.XLOOKUP(tblPurchases[[#This Row],[Vendor ID]],tblVendors[Vendor ID],tblVendors[VAT Status],"")="PKP",ROUND(tblPurchases[[#This Row],[DPP (excl. VAT)]]*VATEff,0),0)</f>
        <v>0</v>
      </c>
      <c r="K14" s="1" t="str">
        <f>_xlfn.XLOOKUP(tblPurchases[[#This Row],[Vendor ID]],tblVendors[Vendor ID],tblVendors[WHT Type],"None")</f>
        <v>None</v>
      </c>
      <c r="L14" s="118">
        <f>_xlfn.XLOOKUP(tblPurchases[[#This Row],[WHT Type]],WHTTypes,WHTRates,0)</f>
        <v>0</v>
      </c>
      <c r="M14" s="5">
        <f>ROUND(tblPurchases[[#This Row],[DPP (excl. VAT)]]*tblPurchases[[#This Row],[WHT Rate]],0)</f>
        <v>0</v>
      </c>
      <c r="N14" s="5">
        <f>tblPurchases[[#This Row],[DPP (excl. VAT)]]+tblPurchases[[#This Row],[Input VAT]]-tblPurchases[[#This Row],[WHT Amount]]</f>
        <v>97039000</v>
      </c>
      <c r="O14" s="113">
        <v>46049</v>
      </c>
      <c r="P14" s="4">
        <v>1120</v>
      </c>
      <c r="Q14" s="1">
        <f>MONTH(tblPurchases[[#This Row],[Date]])</f>
        <v>1</v>
      </c>
      <c r="R14" s="1">
        <f>IF(tblPurchases[[#This Row],[Payment Date]]="",0,IF(YEAR(tblPurchases[[#This Row],[Payment Date]])=FYear,MONTH(tblPurchases[[#This Row],[Payment Date]]),0))</f>
        <v>1</v>
      </c>
    </row>
    <row r="15" spans="1:60" x14ac:dyDescent="0.35">
      <c r="B15" s="113">
        <v>46049</v>
      </c>
      <c r="C15" s="4" t="s">
        <v>5346</v>
      </c>
      <c r="D15" s="4" t="s">
        <v>4705</v>
      </c>
      <c r="E15" s="1" t="str">
        <f>_xlfn.XLOOKUP(tblPurchases[[#This Row],[Vendor ID]],tblVendors[Vendor ID],tblVendors[Vendor Name],"⚠ Unknown")</f>
        <v>PT Ekspedisi Cepat Nusantara</v>
      </c>
      <c r="F15" s="4" t="s">
        <v>5479</v>
      </c>
      <c r="G15" s="4">
        <v>6140</v>
      </c>
      <c r="H15" s="1" t="str">
        <f>_xlfn.XLOOKUP(tblPurchases[[#This Row],[Account Code]],tblCOA[Code],tblCOA[Account Name],"⚠ Invalid")</f>
        <v>Shipping &amp; Delivery</v>
      </c>
      <c r="I15" s="6">
        <v>9657000</v>
      </c>
      <c r="J15" s="5">
        <f>IF(_xlfn.XLOOKUP(tblPurchases[[#This Row],[Vendor ID]],tblVendors[Vendor ID],tblVendors[VAT Status],"")="PKP",ROUND(tblPurchases[[#This Row],[DPP (excl. VAT)]]*VATEff,0),0)</f>
        <v>1062270</v>
      </c>
      <c r="K15" s="1" t="str">
        <f>_xlfn.XLOOKUP(tblPurchases[[#This Row],[Vendor ID]],tblVendors[Vendor ID],tblVendors[WHT Type],"None")</f>
        <v>Art. 23 - Services</v>
      </c>
      <c r="L15" s="118">
        <f>_xlfn.XLOOKUP(tblPurchases[[#This Row],[WHT Type]],WHTTypes,WHTRates,0)</f>
        <v>0.02</v>
      </c>
      <c r="M15" s="5">
        <f>ROUND(tblPurchases[[#This Row],[DPP (excl. VAT)]]*tblPurchases[[#This Row],[WHT Rate]],0)</f>
        <v>193140</v>
      </c>
      <c r="N15" s="5">
        <f>tblPurchases[[#This Row],[DPP (excl. VAT)]]+tblPurchases[[#This Row],[Input VAT]]-tblPurchases[[#This Row],[WHT Amount]]</f>
        <v>10526130</v>
      </c>
      <c r="O15" s="113">
        <v>46063</v>
      </c>
      <c r="P15" s="4">
        <v>1120</v>
      </c>
      <c r="Q15" s="1">
        <f>MONTH(tblPurchases[[#This Row],[Date]])</f>
        <v>1</v>
      </c>
      <c r="R15" s="1">
        <f>IF(tblPurchases[[#This Row],[Payment Date]]="",0,IF(YEAR(tblPurchases[[#This Row],[Payment Date]])=FYear,MONTH(tblPurchases[[#This Row],[Payment Date]]),0))</f>
        <v>2</v>
      </c>
    </row>
    <row r="16" spans="1:60" x14ac:dyDescent="0.35">
      <c r="B16" s="113">
        <v>46050</v>
      </c>
      <c r="C16" s="4" t="s">
        <v>5347</v>
      </c>
      <c r="D16" s="4" t="s">
        <v>4699</v>
      </c>
      <c r="E16" s="1" t="str">
        <f>_xlfn.XLOOKUP(tblPurchases[[#This Row],[Vendor ID]],tblVendors[Vendor ID],tblVendors[Vendor Name],"⚠ Unknown")</f>
        <v>PT Kreasi Iklan Digital</v>
      </c>
      <c r="F16" s="4" t="s">
        <v>5480</v>
      </c>
      <c r="G16" s="4">
        <v>6120</v>
      </c>
      <c r="H16" s="1" t="str">
        <f>_xlfn.XLOOKUP(tblPurchases[[#This Row],[Account Code]],tblCOA[Code],tblCOA[Account Name],"⚠ Invalid")</f>
        <v>Advertising &amp; Promotion</v>
      </c>
      <c r="I16" s="6">
        <v>11803000</v>
      </c>
      <c r="J16" s="5">
        <f>IF(_xlfn.XLOOKUP(tblPurchases[[#This Row],[Vendor ID]],tblVendors[Vendor ID],tblVendors[VAT Status],"")="PKP",ROUND(tblPurchases[[#This Row],[DPP (excl. VAT)]]*VATEff,0),0)</f>
        <v>1298330</v>
      </c>
      <c r="K16" s="1" t="str">
        <f>_xlfn.XLOOKUP(tblPurchases[[#This Row],[Vendor ID]],tblVendors[Vendor ID],tblVendors[WHT Type],"None")</f>
        <v>Art. 23 - Services</v>
      </c>
      <c r="L16" s="118">
        <f>_xlfn.XLOOKUP(tblPurchases[[#This Row],[WHT Type]],WHTTypes,WHTRates,0)</f>
        <v>0.02</v>
      </c>
      <c r="M16" s="5">
        <f>ROUND(tblPurchases[[#This Row],[DPP (excl. VAT)]]*tblPurchases[[#This Row],[WHT Rate]],0)</f>
        <v>236060</v>
      </c>
      <c r="N16" s="5">
        <f>tblPurchases[[#This Row],[DPP (excl. VAT)]]+tblPurchases[[#This Row],[Input VAT]]-tblPurchases[[#This Row],[WHT Amount]]</f>
        <v>12865270</v>
      </c>
      <c r="O16" s="113">
        <v>46080</v>
      </c>
      <c r="P16" s="4">
        <v>1120</v>
      </c>
      <c r="Q16" s="1">
        <f>MONTH(tblPurchases[[#This Row],[Date]])</f>
        <v>1</v>
      </c>
      <c r="R16" s="1">
        <f>IF(tblPurchases[[#This Row],[Payment Date]]="",0,IF(YEAR(tblPurchases[[#This Row],[Payment Date]])=FYear,MONTH(tblPurchases[[#This Row],[Payment Date]]),0))</f>
        <v>2</v>
      </c>
    </row>
    <row r="17" spans="2:18" x14ac:dyDescent="0.35">
      <c r="B17" s="113">
        <v>46053</v>
      </c>
      <c r="C17" s="4" t="s">
        <v>5348</v>
      </c>
      <c r="D17" s="4" t="s">
        <v>4735</v>
      </c>
      <c r="E17" s="1" t="str">
        <f>_xlfn.XLOOKUP(tblPurchases[[#This Row],[Vendor ID]],tblVendors[Vendor ID],tblVendors[Vendor Name],"⚠ Unknown")</f>
        <v>PT Marketplace Niaga Online</v>
      </c>
      <c r="F17" s="4" t="s">
        <v>5481</v>
      </c>
      <c r="G17" s="4">
        <v>6130</v>
      </c>
      <c r="H17" s="1" t="str">
        <f>_xlfn.XLOOKUP(tblPurchases[[#This Row],[Account Code]],tblCOA[Code],tblCOA[Account Name],"⚠ Invalid")</f>
        <v>Marketplace &amp; Sales Commissions</v>
      </c>
      <c r="I17" s="6">
        <v>2560000</v>
      </c>
      <c r="J17" s="5">
        <f>IF(_xlfn.XLOOKUP(tblPurchases[[#This Row],[Vendor ID]],tblVendors[Vendor ID],tblVendors[VAT Status],"")="PKP",ROUND(tblPurchases[[#This Row],[DPP (excl. VAT)]]*VATEff,0),0)</f>
        <v>281600</v>
      </c>
      <c r="K17" s="1" t="str">
        <f>_xlfn.XLOOKUP(tblPurchases[[#This Row],[Vendor ID]],tblVendors[Vendor ID],tblVendors[WHT Type],"None")</f>
        <v>Art. 23 - Services</v>
      </c>
      <c r="L17" s="118">
        <f>_xlfn.XLOOKUP(tblPurchases[[#This Row],[WHT Type]],WHTTypes,WHTRates,0)</f>
        <v>0.02</v>
      </c>
      <c r="M17" s="5">
        <f>ROUND(tblPurchases[[#This Row],[DPP (excl. VAT)]]*tblPurchases[[#This Row],[WHT Rate]],0)</f>
        <v>51200</v>
      </c>
      <c r="N17" s="5">
        <f>tblPurchases[[#This Row],[DPP (excl. VAT)]]+tblPurchases[[#This Row],[Input VAT]]-tblPurchases[[#This Row],[WHT Amount]]</f>
        <v>2790400</v>
      </c>
      <c r="O17" s="113">
        <v>46063</v>
      </c>
      <c r="P17" s="4">
        <v>1120</v>
      </c>
      <c r="Q17" s="1">
        <f>MONTH(tblPurchases[[#This Row],[Date]])</f>
        <v>1</v>
      </c>
      <c r="R17" s="1">
        <f>IF(tblPurchases[[#This Row],[Payment Date]]="",0,IF(YEAR(tblPurchases[[#This Row],[Payment Date]])=FYear,MONTH(tblPurchases[[#This Row],[Payment Date]]),0))</f>
        <v>2</v>
      </c>
    </row>
    <row r="18" spans="2:18" x14ac:dyDescent="0.35">
      <c r="B18" s="113">
        <v>46058</v>
      </c>
      <c r="C18" s="4" t="s">
        <v>5349</v>
      </c>
      <c r="D18" s="4" t="s">
        <v>4662</v>
      </c>
      <c r="E18" s="1" t="str">
        <f>_xlfn.XLOOKUP(tblPurchases[[#This Row],[Vendor ID]],tblVendors[Vendor ID],tblVendors[Vendor Name],"⚠ Unknown")</f>
        <v>PT Sumber Barang Utama</v>
      </c>
      <c r="F18" s="4" t="s">
        <v>5482</v>
      </c>
      <c r="G18" s="4">
        <v>1310</v>
      </c>
      <c r="H18" s="1" t="str">
        <f>_xlfn.XLOOKUP(tblPurchases[[#This Row],[Account Code]],tblCOA[Code],tblCOA[Account Name],"⚠ Invalid")</f>
        <v>Merchandise inventory</v>
      </c>
      <c r="I18" s="6">
        <v>287374000</v>
      </c>
      <c r="J18" s="5">
        <f>IF(_xlfn.XLOOKUP(tblPurchases[[#This Row],[Vendor ID]],tblVendors[Vendor ID],tblVendors[VAT Status],"")="PKP",ROUND(tblPurchases[[#This Row],[DPP (excl. VAT)]]*VATEff,0),0)</f>
        <v>31611140</v>
      </c>
      <c r="K18" s="1" t="str">
        <f>_xlfn.XLOOKUP(tblPurchases[[#This Row],[Vendor ID]],tblVendors[Vendor ID],tblVendors[WHT Type],"None")</f>
        <v>None</v>
      </c>
      <c r="L18" s="118">
        <f>_xlfn.XLOOKUP(tblPurchases[[#This Row],[WHT Type]],WHTTypes,WHTRates,0)</f>
        <v>0</v>
      </c>
      <c r="M18" s="5">
        <f>ROUND(tblPurchases[[#This Row],[DPP (excl. VAT)]]*tblPurchases[[#This Row],[WHT Rate]],0)</f>
        <v>0</v>
      </c>
      <c r="N18" s="5">
        <f>tblPurchases[[#This Row],[DPP (excl. VAT)]]+tblPurchases[[#This Row],[Input VAT]]-tblPurchases[[#This Row],[WHT Amount]]</f>
        <v>318985140</v>
      </c>
      <c r="O18" s="113">
        <v>46088</v>
      </c>
      <c r="P18" s="4">
        <v>1120</v>
      </c>
      <c r="Q18" s="1">
        <f>MONTH(tblPurchases[[#This Row],[Date]])</f>
        <v>2</v>
      </c>
      <c r="R18" s="1">
        <f>IF(tblPurchases[[#This Row],[Payment Date]]="",0,IF(YEAR(tblPurchases[[#This Row],[Payment Date]])=FYear,MONTH(tblPurchases[[#This Row],[Payment Date]]),0))</f>
        <v>3</v>
      </c>
    </row>
    <row r="19" spans="2:18" x14ac:dyDescent="0.35">
      <c r="B19" s="113">
        <v>46058</v>
      </c>
      <c r="C19" s="4" t="s">
        <v>5350</v>
      </c>
      <c r="D19" s="4" t="s">
        <v>4711</v>
      </c>
      <c r="E19" s="1" t="str">
        <f>_xlfn.XLOOKUP(tblPurchases[[#This Row],[Vendor ID]],tblVendors[Vendor ID],tblVendors[Vendor Name],"⚠ Unknown")</f>
        <v>PT Utilitas Listrik &amp; Telekom</v>
      </c>
      <c r="F19" s="4" t="s">
        <v>5483</v>
      </c>
      <c r="G19" s="4">
        <v>6230</v>
      </c>
      <c r="H19" s="1" t="str">
        <f>_xlfn.XLOOKUP(tblPurchases[[#This Row],[Account Code]],tblCOA[Code],tblCOA[Account Name],"⚠ Invalid")</f>
        <v>Utilities &amp; Telecommunication</v>
      </c>
      <c r="I19" s="6">
        <v>11755000</v>
      </c>
      <c r="J19" s="5">
        <f>IF(_xlfn.XLOOKUP(tblPurchases[[#This Row],[Vendor ID]],tblVendors[Vendor ID],tblVendors[VAT Status],"")="PKP",ROUND(tblPurchases[[#This Row],[DPP (excl. VAT)]]*VATEff,0),0)</f>
        <v>1293050</v>
      </c>
      <c r="K19" s="1" t="str">
        <f>_xlfn.XLOOKUP(tblPurchases[[#This Row],[Vendor ID]],tblVendors[Vendor ID],tblVendors[WHT Type],"None")</f>
        <v>None</v>
      </c>
      <c r="L19" s="118">
        <f>_xlfn.XLOOKUP(tblPurchases[[#This Row],[WHT Type]],WHTTypes,WHTRates,0)</f>
        <v>0</v>
      </c>
      <c r="M19" s="5">
        <f>ROUND(tblPurchases[[#This Row],[DPP (excl. VAT)]]*tblPurchases[[#This Row],[WHT Rate]],0)</f>
        <v>0</v>
      </c>
      <c r="N19" s="5">
        <f>tblPurchases[[#This Row],[DPP (excl. VAT)]]+tblPurchases[[#This Row],[Input VAT]]-tblPurchases[[#This Row],[WHT Amount]]</f>
        <v>13048050</v>
      </c>
      <c r="O19" s="113">
        <v>46073</v>
      </c>
      <c r="P19" s="4">
        <v>1120</v>
      </c>
      <c r="Q19" s="1">
        <f>MONTH(tblPurchases[[#This Row],[Date]])</f>
        <v>2</v>
      </c>
      <c r="R19" s="1">
        <f>IF(tblPurchases[[#This Row],[Payment Date]]="",0,IF(YEAR(tblPurchases[[#This Row],[Payment Date]])=FYear,MONTH(tblPurchases[[#This Row],[Payment Date]]),0))</f>
        <v>2</v>
      </c>
    </row>
    <row r="20" spans="2:18" x14ac:dyDescent="0.35">
      <c r="B20" s="113">
        <v>46058</v>
      </c>
      <c r="C20" s="4" t="s">
        <v>5351</v>
      </c>
      <c r="D20" s="4" t="s">
        <v>4693</v>
      </c>
      <c r="E20" s="1" t="str">
        <f>_xlfn.XLOOKUP(tblPurchases[[#This Row],[Vendor ID]],tblVendors[Vendor ID],tblVendors[Vendor Name],"⚠ Unknown")</f>
        <v>PT Cloud Software Indonesia</v>
      </c>
      <c r="F20" s="4" t="s">
        <v>5484</v>
      </c>
      <c r="G20" s="4">
        <v>1430</v>
      </c>
      <c r="H20" s="1" t="str">
        <f>_xlfn.XLOOKUP(tblPurchases[[#This Row],[Account Code]],tblCOA[Code],tblCOA[Account Name],"⚠ Invalid")</f>
        <v>Prepaid Software Subscriptions</v>
      </c>
      <c r="I20" s="6">
        <v>24000000</v>
      </c>
      <c r="J20" s="5">
        <f>IF(_xlfn.XLOOKUP(tblPurchases[[#This Row],[Vendor ID]],tblVendors[Vendor ID],tblVendors[VAT Status],"")="PKP",ROUND(tblPurchases[[#This Row],[DPP (excl. VAT)]]*VATEff,0),0)</f>
        <v>2640000</v>
      </c>
      <c r="K20" s="1" t="str">
        <f>_xlfn.XLOOKUP(tblPurchases[[#This Row],[Vendor ID]],tblVendors[Vendor ID],tblVendors[WHT Type],"None")</f>
        <v>Art. 23 - Services</v>
      </c>
      <c r="L20" s="118">
        <f>_xlfn.XLOOKUP(tblPurchases[[#This Row],[WHT Type]],WHTTypes,WHTRates,0)</f>
        <v>0.02</v>
      </c>
      <c r="M20" s="5">
        <f>ROUND(tblPurchases[[#This Row],[DPP (excl. VAT)]]*tblPurchases[[#This Row],[WHT Rate]],0)</f>
        <v>480000</v>
      </c>
      <c r="N20" s="5">
        <f>tblPurchases[[#This Row],[DPP (excl. VAT)]]+tblPurchases[[#This Row],[Input VAT]]-tblPurchases[[#This Row],[WHT Amount]]</f>
        <v>26160000</v>
      </c>
      <c r="O20" s="113">
        <v>46065</v>
      </c>
      <c r="P20" s="4">
        <v>1120</v>
      </c>
      <c r="Q20" s="1">
        <f>MONTH(tblPurchases[[#This Row],[Date]])</f>
        <v>2</v>
      </c>
      <c r="R20" s="1">
        <f>IF(tblPurchases[[#This Row],[Payment Date]]="",0,IF(YEAR(tblPurchases[[#This Row],[Payment Date]])=FYear,MONTH(tblPurchases[[#This Row],[Payment Date]]),0))</f>
        <v>2</v>
      </c>
    </row>
    <row r="21" spans="2:18" x14ac:dyDescent="0.35">
      <c r="B21" s="113">
        <v>46063</v>
      </c>
      <c r="C21" s="4" t="s">
        <v>5352</v>
      </c>
      <c r="D21" s="4" t="s">
        <v>4729</v>
      </c>
      <c r="E21" s="1" t="str">
        <f>_xlfn.XLOOKUP(tblPurchases[[#This Row],[Vendor ID]],tblVendors[Vendor ID],tblVendors[Vendor Name],"⚠ Unknown")</f>
        <v>Toko ATK Sentosa</v>
      </c>
      <c r="F21" s="4" t="s">
        <v>5485</v>
      </c>
      <c r="G21" s="4">
        <v>6270</v>
      </c>
      <c r="H21" s="1" t="str">
        <f>_xlfn.XLOOKUP(tblPurchases[[#This Row],[Account Code]],tblCOA[Code],tblCOA[Account Name],"⚠ Invalid")</f>
        <v>Office Supplies</v>
      </c>
      <c r="I21" s="6">
        <v>3243000</v>
      </c>
      <c r="J21" s="5">
        <f>IF(_xlfn.XLOOKUP(tblPurchases[[#This Row],[Vendor ID]],tblVendors[Vendor ID],tblVendors[VAT Status],"")="PKP",ROUND(tblPurchases[[#This Row],[DPP (excl. VAT)]]*VATEff,0),0)</f>
        <v>0</v>
      </c>
      <c r="K21" s="1" t="str">
        <f>_xlfn.XLOOKUP(tblPurchases[[#This Row],[Vendor ID]],tblVendors[Vendor ID],tblVendors[WHT Type],"None")</f>
        <v>None</v>
      </c>
      <c r="L21" s="118">
        <f>_xlfn.XLOOKUP(tblPurchases[[#This Row],[WHT Type]],WHTTypes,WHTRates,0)</f>
        <v>0</v>
      </c>
      <c r="M21" s="5">
        <f>ROUND(tblPurchases[[#This Row],[DPP (excl. VAT)]]*tblPurchases[[#This Row],[WHT Rate]],0)</f>
        <v>0</v>
      </c>
      <c r="N21" s="5">
        <f>tblPurchases[[#This Row],[DPP (excl. VAT)]]+tblPurchases[[#This Row],[Input VAT]]-tblPurchases[[#This Row],[WHT Amount]]</f>
        <v>3243000</v>
      </c>
      <c r="O21" s="113">
        <v>46063</v>
      </c>
      <c r="P21" s="4">
        <v>1120</v>
      </c>
      <c r="Q21" s="1">
        <f>MONTH(tblPurchases[[#This Row],[Date]])</f>
        <v>2</v>
      </c>
      <c r="R21" s="1">
        <f>IF(tblPurchases[[#This Row],[Payment Date]]="",0,IF(YEAR(tblPurchases[[#This Row],[Payment Date]])=FYear,MONTH(tblPurchases[[#This Row],[Payment Date]]),0))</f>
        <v>2</v>
      </c>
    </row>
    <row r="22" spans="2:18" x14ac:dyDescent="0.35">
      <c r="B22" s="113">
        <v>46065</v>
      </c>
      <c r="C22" s="4" t="s">
        <v>5353</v>
      </c>
      <c r="D22" s="4" t="s">
        <v>4669</v>
      </c>
      <c r="E22" s="1" t="str">
        <f>_xlfn.XLOOKUP(tblPurchases[[#This Row],[Vendor ID]],tblVendors[Vendor ID],tblVendors[Vendor Name],"⚠ Unknown")</f>
        <v>PT Prima Supply Nusantara</v>
      </c>
      <c r="F22" s="4" t="s">
        <v>5486</v>
      </c>
      <c r="G22" s="4">
        <v>1310</v>
      </c>
      <c r="H22" s="1" t="str">
        <f>_xlfn.XLOOKUP(tblPurchases[[#This Row],[Account Code]],tblCOA[Code],tblCOA[Account Name],"⚠ Invalid")</f>
        <v>Merchandise inventory</v>
      </c>
      <c r="I22" s="6">
        <v>201162000</v>
      </c>
      <c r="J22" s="5">
        <f>IF(_xlfn.XLOOKUP(tblPurchases[[#This Row],[Vendor ID]],tblVendors[Vendor ID],tblVendors[VAT Status],"")="PKP",ROUND(tblPurchases[[#This Row],[DPP (excl. VAT)]]*VATEff,0),0)</f>
        <v>22127820</v>
      </c>
      <c r="K22" s="1" t="str">
        <f>_xlfn.XLOOKUP(tblPurchases[[#This Row],[Vendor ID]],tblVendors[Vendor ID],tblVendors[WHT Type],"None")</f>
        <v>None</v>
      </c>
      <c r="L22" s="118">
        <f>_xlfn.XLOOKUP(tblPurchases[[#This Row],[WHT Type]],WHTTypes,WHTRates,0)</f>
        <v>0</v>
      </c>
      <c r="M22" s="5">
        <f>ROUND(tblPurchases[[#This Row],[DPP (excl. VAT)]]*tblPurchases[[#This Row],[WHT Rate]],0)</f>
        <v>0</v>
      </c>
      <c r="N22" s="5">
        <f>tblPurchases[[#This Row],[DPP (excl. VAT)]]+tblPurchases[[#This Row],[Input VAT]]-tblPurchases[[#This Row],[WHT Amount]]</f>
        <v>223289820</v>
      </c>
      <c r="O22" s="113">
        <v>46095</v>
      </c>
      <c r="P22" s="4">
        <v>1120</v>
      </c>
      <c r="Q22" s="1">
        <f>MONTH(tblPurchases[[#This Row],[Date]])</f>
        <v>2</v>
      </c>
      <c r="R22" s="1">
        <f>IF(tblPurchases[[#This Row],[Payment Date]]="",0,IF(YEAR(tblPurchases[[#This Row],[Payment Date]])=FYear,MONTH(tblPurchases[[#This Row],[Payment Date]]),0))</f>
        <v>3</v>
      </c>
    </row>
    <row r="23" spans="2:18" x14ac:dyDescent="0.35">
      <c r="B23" s="113">
        <v>46068</v>
      </c>
      <c r="C23" s="4" t="s">
        <v>5354</v>
      </c>
      <c r="D23" s="4" t="s">
        <v>4723</v>
      </c>
      <c r="E23" s="1" t="str">
        <f>_xlfn.XLOOKUP(tblPurchases[[#This Row],[Vendor ID]],tblVendors[Vendor ID],tblVendors[Vendor Name],"⚠ Unknown")</f>
        <v>CV Teknik Servis Mandiri</v>
      </c>
      <c r="F23" s="4" t="s">
        <v>5487</v>
      </c>
      <c r="G23" s="4">
        <v>6295</v>
      </c>
      <c r="H23" s="1" t="str">
        <f>_xlfn.XLOOKUP(tblPurchases[[#This Row],[Account Code]],tblCOA[Code],tblCOA[Account Name],"⚠ Invalid")</f>
        <v>Repairs &amp; Maintenance</v>
      </c>
      <c r="I23" s="6">
        <v>4428000</v>
      </c>
      <c r="J23" s="5">
        <f>IF(_xlfn.XLOOKUP(tblPurchases[[#This Row],[Vendor ID]],tblVendors[Vendor ID],tblVendors[VAT Status],"")="PKP",ROUND(tblPurchases[[#This Row],[DPP (excl. VAT)]]*VATEff,0),0)</f>
        <v>0</v>
      </c>
      <c r="K23" s="1" t="str">
        <f>_xlfn.XLOOKUP(tblPurchases[[#This Row],[Vendor ID]],tblVendors[Vendor ID],tblVendors[WHT Type],"None")</f>
        <v>Art. 23 - Services</v>
      </c>
      <c r="L23" s="118">
        <f>_xlfn.XLOOKUP(tblPurchases[[#This Row],[WHT Type]],WHTTypes,WHTRates,0)</f>
        <v>0.02</v>
      </c>
      <c r="M23" s="5">
        <f>ROUND(tblPurchases[[#This Row],[DPP (excl. VAT)]]*tblPurchases[[#This Row],[WHT Rate]],0)</f>
        <v>88560</v>
      </c>
      <c r="N23" s="5">
        <f>tblPurchases[[#This Row],[DPP (excl. VAT)]]+tblPurchases[[#This Row],[Input VAT]]-tblPurchases[[#This Row],[WHT Amount]]</f>
        <v>4339440</v>
      </c>
      <c r="O23" s="113">
        <v>46075</v>
      </c>
      <c r="P23" s="4">
        <v>1120</v>
      </c>
      <c r="Q23" s="1">
        <f>MONTH(tblPurchases[[#This Row],[Date]])</f>
        <v>2</v>
      </c>
      <c r="R23" s="1">
        <f>IF(tblPurchases[[#This Row],[Payment Date]]="",0,IF(YEAR(tblPurchases[[#This Row],[Payment Date]])=FYear,MONTH(tblPurchases[[#This Row],[Payment Date]]),0))</f>
        <v>2</v>
      </c>
    </row>
    <row r="24" spans="2:18" x14ac:dyDescent="0.35">
      <c r="B24" s="113">
        <v>46071</v>
      </c>
      <c r="C24" s="4" t="s">
        <v>5355</v>
      </c>
      <c r="D24" s="4" t="s">
        <v>4759</v>
      </c>
      <c r="E24" s="1" t="str">
        <f>_xlfn.XLOOKUP(tblPurchases[[#This Row],[Vendor ID]],tblVendors[Vendor ID],tblVendors[Vendor Name],"⚠ Unknown")</f>
        <v>Various Restaurants &amp; Donations</v>
      </c>
      <c r="F24" s="4" t="s">
        <v>5488</v>
      </c>
      <c r="G24" s="4">
        <v>6296</v>
      </c>
      <c r="H24" s="1" t="str">
        <f>_xlfn.XLOOKUP(tblPurchases[[#This Row],[Account Code]],tblCOA[Code],tblCOA[Account Name],"⚠ Invalid")</f>
        <v>Entertainment &amp; Donations</v>
      </c>
      <c r="I24" s="6">
        <v>2660000</v>
      </c>
      <c r="J24" s="5">
        <f>IF(_xlfn.XLOOKUP(tblPurchases[[#This Row],[Vendor ID]],tblVendors[Vendor ID],tblVendors[VAT Status],"")="PKP",ROUND(tblPurchases[[#This Row],[DPP (excl. VAT)]]*VATEff,0),0)</f>
        <v>0</v>
      </c>
      <c r="K24" s="1" t="str">
        <f>_xlfn.XLOOKUP(tblPurchases[[#This Row],[Vendor ID]],tblVendors[Vendor ID],tblVendors[WHT Type],"None")</f>
        <v>None</v>
      </c>
      <c r="L24" s="118">
        <f>_xlfn.XLOOKUP(tblPurchases[[#This Row],[WHT Type]],WHTTypes,WHTRates,0)</f>
        <v>0</v>
      </c>
      <c r="M24" s="5">
        <f>ROUND(tblPurchases[[#This Row],[DPP (excl. VAT)]]*tblPurchases[[#This Row],[WHT Rate]],0)</f>
        <v>0</v>
      </c>
      <c r="N24" s="5">
        <f>tblPurchases[[#This Row],[DPP (excl. VAT)]]+tblPurchases[[#This Row],[Input VAT]]-tblPurchases[[#This Row],[WHT Amount]]</f>
        <v>2660000</v>
      </c>
      <c r="O24" s="113">
        <v>46071</v>
      </c>
      <c r="P24" s="4">
        <v>1120</v>
      </c>
      <c r="Q24" s="1">
        <f>MONTH(tblPurchases[[#This Row],[Date]])</f>
        <v>2</v>
      </c>
      <c r="R24" s="1">
        <f>IF(tblPurchases[[#This Row],[Payment Date]]="",0,IF(YEAR(tblPurchases[[#This Row],[Payment Date]])=FYear,MONTH(tblPurchases[[#This Row],[Payment Date]]),0))</f>
        <v>2</v>
      </c>
    </row>
    <row r="25" spans="2:18" x14ac:dyDescent="0.35">
      <c r="B25" s="113">
        <v>46073</v>
      </c>
      <c r="C25" s="4" t="s">
        <v>5356</v>
      </c>
      <c r="D25" s="4" t="s">
        <v>4674</v>
      </c>
      <c r="E25" s="1" t="str">
        <f>_xlfn.XLOOKUP(tblPurchases[[#This Row],[Vendor ID]],tblVendors[Vendor ID],tblVendors[Vendor Name],"⚠ Unknown")</f>
        <v>CV Aneka Grosir Jaya</v>
      </c>
      <c r="F25" s="4" t="s">
        <v>5489</v>
      </c>
      <c r="G25" s="4">
        <v>1310</v>
      </c>
      <c r="H25" s="1" t="str">
        <f>_xlfn.XLOOKUP(tblPurchases[[#This Row],[Account Code]],tblCOA[Code],tblCOA[Account Name],"⚠ Invalid")</f>
        <v>Merchandise inventory</v>
      </c>
      <c r="I25" s="6">
        <v>86212000</v>
      </c>
      <c r="J25" s="5">
        <f>IF(_xlfn.XLOOKUP(tblPurchases[[#This Row],[Vendor ID]],tblVendors[Vendor ID],tblVendors[VAT Status],"")="PKP",ROUND(tblPurchases[[#This Row],[DPP (excl. VAT)]]*VATEff,0),0)</f>
        <v>0</v>
      </c>
      <c r="K25" s="1" t="str">
        <f>_xlfn.XLOOKUP(tblPurchases[[#This Row],[Vendor ID]],tblVendors[Vendor ID],tblVendors[WHT Type],"None")</f>
        <v>None</v>
      </c>
      <c r="L25" s="118">
        <f>_xlfn.XLOOKUP(tblPurchases[[#This Row],[WHT Type]],WHTTypes,WHTRates,0)</f>
        <v>0</v>
      </c>
      <c r="M25" s="5">
        <f>ROUND(tblPurchases[[#This Row],[DPP (excl. VAT)]]*tblPurchases[[#This Row],[WHT Rate]],0)</f>
        <v>0</v>
      </c>
      <c r="N25" s="5">
        <f>tblPurchases[[#This Row],[DPP (excl. VAT)]]+tblPurchases[[#This Row],[Input VAT]]-tblPurchases[[#This Row],[WHT Amount]]</f>
        <v>86212000</v>
      </c>
      <c r="O25" s="113">
        <v>46080</v>
      </c>
      <c r="P25" s="4">
        <v>1120</v>
      </c>
      <c r="Q25" s="1">
        <f>MONTH(tblPurchases[[#This Row],[Date]])</f>
        <v>2</v>
      </c>
      <c r="R25" s="1">
        <f>IF(tblPurchases[[#This Row],[Payment Date]]="",0,IF(YEAR(tblPurchases[[#This Row],[Payment Date]])=FYear,MONTH(tblPurchases[[#This Row],[Payment Date]]),0))</f>
        <v>2</v>
      </c>
    </row>
    <row r="26" spans="2:18" x14ac:dyDescent="0.35">
      <c r="B26" s="113">
        <v>46080</v>
      </c>
      <c r="C26" s="4" t="s">
        <v>5357</v>
      </c>
      <c r="D26" s="4" t="s">
        <v>4705</v>
      </c>
      <c r="E26" s="1" t="str">
        <f>_xlfn.XLOOKUP(tblPurchases[[#This Row],[Vendor ID]],tblVendors[Vendor ID],tblVendors[Vendor Name],"⚠ Unknown")</f>
        <v>PT Ekspedisi Cepat Nusantara</v>
      </c>
      <c r="F26" s="4" t="s">
        <v>5490</v>
      </c>
      <c r="G26" s="4">
        <v>6140</v>
      </c>
      <c r="H26" s="1" t="str">
        <f>_xlfn.XLOOKUP(tblPurchases[[#This Row],[Account Code]],tblCOA[Code],tblCOA[Account Name],"⚠ Invalid")</f>
        <v>Shipping &amp; Delivery</v>
      </c>
      <c r="I26" s="6">
        <v>8685000</v>
      </c>
      <c r="J26" s="5">
        <f>IF(_xlfn.XLOOKUP(tblPurchases[[#This Row],[Vendor ID]],tblVendors[Vendor ID],tblVendors[VAT Status],"")="PKP",ROUND(tblPurchases[[#This Row],[DPP (excl. VAT)]]*VATEff,0),0)</f>
        <v>955350</v>
      </c>
      <c r="K26" s="1" t="str">
        <f>_xlfn.XLOOKUP(tblPurchases[[#This Row],[Vendor ID]],tblVendors[Vendor ID],tblVendors[WHT Type],"None")</f>
        <v>Art. 23 - Services</v>
      </c>
      <c r="L26" s="118">
        <f>_xlfn.XLOOKUP(tblPurchases[[#This Row],[WHT Type]],WHTTypes,WHTRates,0)</f>
        <v>0.02</v>
      </c>
      <c r="M26" s="5">
        <f>ROUND(tblPurchases[[#This Row],[DPP (excl. VAT)]]*tblPurchases[[#This Row],[WHT Rate]],0)</f>
        <v>173700</v>
      </c>
      <c r="N26" s="5">
        <f>tblPurchases[[#This Row],[DPP (excl. VAT)]]+tblPurchases[[#This Row],[Input VAT]]-tblPurchases[[#This Row],[WHT Amount]]</f>
        <v>9466650</v>
      </c>
      <c r="O26" s="113">
        <v>46094</v>
      </c>
      <c r="P26" s="4">
        <v>1120</v>
      </c>
      <c r="Q26" s="1">
        <f>MONTH(tblPurchases[[#This Row],[Date]])</f>
        <v>2</v>
      </c>
      <c r="R26" s="1">
        <f>IF(tblPurchases[[#This Row],[Payment Date]]="",0,IF(YEAR(tblPurchases[[#This Row],[Payment Date]])=FYear,MONTH(tblPurchases[[#This Row],[Payment Date]]),0))</f>
        <v>3</v>
      </c>
    </row>
    <row r="27" spans="2:18" x14ac:dyDescent="0.35">
      <c r="B27" s="113">
        <v>46081</v>
      </c>
      <c r="C27" s="4" t="s">
        <v>5358</v>
      </c>
      <c r="D27" s="4" t="s">
        <v>4699</v>
      </c>
      <c r="E27" s="1" t="str">
        <f>_xlfn.XLOOKUP(tblPurchases[[#This Row],[Vendor ID]],tblVendors[Vendor ID],tblVendors[Vendor Name],"⚠ Unknown")</f>
        <v>PT Kreasi Iklan Digital</v>
      </c>
      <c r="F27" s="4" t="s">
        <v>5491</v>
      </c>
      <c r="G27" s="4">
        <v>6120</v>
      </c>
      <c r="H27" s="1" t="str">
        <f>_xlfn.XLOOKUP(tblPurchases[[#This Row],[Account Code]],tblCOA[Code],tblCOA[Account Name],"⚠ Invalid")</f>
        <v>Advertising &amp; Promotion</v>
      </c>
      <c r="I27" s="6">
        <v>10614000</v>
      </c>
      <c r="J27" s="5">
        <f>IF(_xlfn.XLOOKUP(tblPurchases[[#This Row],[Vendor ID]],tblVendors[Vendor ID],tblVendors[VAT Status],"")="PKP",ROUND(tblPurchases[[#This Row],[DPP (excl. VAT)]]*VATEff,0),0)</f>
        <v>1167540</v>
      </c>
      <c r="K27" s="1" t="str">
        <f>_xlfn.XLOOKUP(tblPurchases[[#This Row],[Vendor ID]],tblVendors[Vendor ID],tblVendors[WHT Type],"None")</f>
        <v>Art. 23 - Services</v>
      </c>
      <c r="L27" s="118">
        <f>_xlfn.XLOOKUP(tblPurchases[[#This Row],[WHT Type]],WHTTypes,WHTRates,0)</f>
        <v>0.02</v>
      </c>
      <c r="M27" s="5">
        <f>ROUND(tblPurchases[[#This Row],[DPP (excl. VAT)]]*tblPurchases[[#This Row],[WHT Rate]],0)</f>
        <v>212280</v>
      </c>
      <c r="N27" s="5">
        <f>tblPurchases[[#This Row],[DPP (excl. VAT)]]+tblPurchases[[#This Row],[Input VAT]]-tblPurchases[[#This Row],[WHT Amount]]</f>
        <v>11569260</v>
      </c>
      <c r="O27" s="113">
        <v>46111</v>
      </c>
      <c r="P27" s="4">
        <v>1120</v>
      </c>
      <c r="Q27" s="1">
        <f>MONTH(tblPurchases[[#This Row],[Date]])</f>
        <v>2</v>
      </c>
      <c r="R27" s="1">
        <f>IF(tblPurchases[[#This Row],[Payment Date]]="",0,IF(YEAR(tblPurchases[[#This Row],[Payment Date]])=FYear,MONTH(tblPurchases[[#This Row],[Payment Date]]),0))</f>
        <v>3</v>
      </c>
    </row>
    <row r="28" spans="2:18" x14ac:dyDescent="0.35">
      <c r="B28" s="113">
        <v>46081</v>
      </c>
      <c r="C28" s="4" t="s">
        <v>5359</v>
      </c>
      <c r="D28" s="4" t="s">
        <v>4735</v>
      </c>
      <c r="E28" s="1" t="str">
        <f>_xlfn.XLOOKUP(tblPurchases[[#This Row],[Vendor ID]],tblVendors[Vendor ID],tblVendors[Vendor Name],"⚠ Unknown")</f>
        <v>PT Marketplace Niaga Online</v>
      </c>
      <c r="F28" s="4" t="s">
        <v>5492</v>
      </c>
      <c r="G28" s="4">
        <v>6130</v>
      </c>
      <c r="H28" s="1" t="str">
        <f>_xlfn.XLOOKUP(tblPurchases[[#This Row],[Account Code]],tblCOA[Code],tblCOA[Account Name],"⚠ Invalid")</f>
        <v>Marketplace &amp; Sales Commissions</v>
      </c>
      <c r="I28" s="6">
        <v>2319000</v>
      </c>
      <c r="J28" s="5">
        <f>IF(_xlfn.XLOOKUP(tblPurchases[[#This Row],[Vendor ID]],tblVendors[Vendor ID],tblVendors[VAT Status],"")="PKP",ROUND(tblPurchases[[#This Row],[DPP (excl. VAT)]]*VATEff,0),0)</f>
        <v>255090</v>
      </c>
      <c r="K28" s="1" t="str">
        <f>_xlfn.XLOOKUP(tblPurchases[[#This Row],[Vendor ID]],tblVendors[Vendor ID],tblVendors[WHT Type],"None")</f>
        <v>Art. 23 - Services</v>
      </c>
      <c r="L28" s="118">
        <f>_xlfn.XLOOKUP(tblPurchases[[#This Row],[WHT Type]],WHTTypes,WHTRates,0)</f>
        <v>0.02</v>
      </c>
      <c r="M28" s="5">
        <f>ROUND(tblPurchases[[#This Row],[DPP (excl. VAT)]]*tblPurchases[[#This Row],[WHT Rate]],0)</f>
        <v>46380</v>
      </c>
      <c r="N28" s="5">
        <f>tblPurchases[[#This Row],[DPP (excl. VAT)]]+tblPurchases[[#This Row],[Input VAT]]-tblPurchases[[#This Row],[WHT Amount]]</f>
        <v>2527710</v>
      </c>
      <c r="O28" s="113">
        <v>46091</v>
      </c>
      <c r="P28" s="4">
        <v>1120</v>
      </c>
      <c r="Q28" s="1">
        <f>MONTH(tblPurchases[[#This Row],[Date]])</f>
        <v>2</v>
      </c>
      <c r="R28" s="1">
        <f>IF(tblPurchases[[#This Row],[Payment Date]]="",0,IF(YEAR(tblPurchases[[#This Row],[Payment Date]])=FYear,MONTH(tblPurchases[[#This Row],[Payment Date]]),0))</f>
        <v>3</v>
      </c>
    </row>
    <row r="29" spans="2:18" x14ac:dyDescent="0.35">
      <c r="B29" s="113">
        <v>46086</v>
      </c>
      <c r="C29" s="4" t="s">
        <v>5360</v>
      </c>
      <c r="D29" s="4" t="s">
        <v>4662</v>
      </c>
      <c r="E29" s="1" t="str">
        <f>_xlfn.XLOOKUP(tblPurchases[[#This Row],[Vendor ID]],tblVendors[Vendor ID],tblVendors[Vendor Name],"⚠ Unknown")</f>
        <v>PT Sumber Barang Utama</v>
      </c>
      <c r="F29" s="4" t="s">
        <v>5493</v>
      </c>
      <c r="G29" s="4">
        <v>1310</v>
      </c>
      <c r="H29" s="1" t="str">
        <f>_xlfn.XLOOKUP(tblPurchases[[#This Row],[Account Code]],tblCOA[Code],tblCOA[Account Name],"⚠ Invalid")</f>
        <v>Merchandise inventory</v>
      </c>
      <c r="I29" s="6">
        <v>407748000</v>
      </c>
      <c r="J29" s="5">
        <f>IF(_xlfn.XLOOKUP(tblPurchases[[#This Row],[Vendor ID]],tblVendors[Vendor ID],tblVendors[VAT Status],"")="PKP",ROUND(tblPurchases[[#This Row],[DPP (excl. VAT)]]*VATEff,0),0)</f>
        <v>44852280</v>
      </c>
      <c r="K29" s="1" t="str">
        <f>_xlfn.XLOOKUP(tblPurchases[[#This Row],[Vendor ID]],tblVendors[Vendor ID],tblVendors[WHT Type],"None")</f>
        <v>None</v>
      </c>
      <c r="L29" s="118">
        <f>_xlfn.XLOOKUP(tblPurchases[[#This Row],[WHT Type]],WHTTypes,WHTRates,0)</f>
        <v>0</v>
      </c>
      <c r="M29" s="5">
        <f>ROUND(tblPurchases[[#This Row],[DPP (excl. VAT)]]*tblPurchases[[#This Row],[WHT Rate]],0)</f>
        <v>0</v>
      </c>
      <c r="N29" s="5">
        <f>tblPurchases[[#This Row],[DPP (excl. VAT)]]+tblPurchases[[#This Row],[Input VAT]]-tblPurchases[[#This Row],[WHT Amount]]</f>
        <v>452600280</v>
      </c>
      <c r="O29" s="113">
        <v>46116</v>
      </c>
      <c r="P29" s="4">
        <v>1120</v>
      </c>
      <c r="Q29" s="1">
        <f>MONTH(tblPurchases[[#This Row],[Date]])</f>
        <v>3</v>
      </c>
      <c r="R29" s="1">
        <f>IF(tblPurchases[[#This Row],[Payment Date]]="",0,IF(YEAR(tblPurchases[[#This Row],[Payment Date]])=FYear,MONTH(tblPurchases[[#This Row],[Payment Date]]),0))</f>
        <v>4</v>
      </c>
    </row>
    <row r="30" spans="2:18" x14ac:dyDescent="0.35">
      <c r="B30" s="113">
        <v>46086</v>
      </c>
      <c r="C30" s="4" t="s">
        <v>5361</v>
      </c>
      <c r="D30" s="4" t="s">
        <v>4711</v>
      </c>
      <c r="E30" s="1" t="str">
        <f>_xlfn.XLOOKUP(tblPurchases[[#This Row],[Vendor ID]],tblVendors[Vendor ID],tblVendors[Vendor Name],"⚠ Unknown")</f>
        <v>PT Utilitas Listrik &amp; Telekom</v>
      </c>
      <c r="F30" s="4" t="s">
        <v>5494</v>
      </c>
      <c r="G30" s="4">
        <v>6230</v>
      </c>
      <c r="H30" s="1" t="str">
        <f>_xlfn.XLOOKUP(tblPurchases[[#This Row],[Account Code]],tblCOA[Code],tblCOA[Account Name],"⚠ Invalid")</f>
        <v>Utilities &amp; Telecommunication</v>
      </c>
      <c r="I30" s="6">
        <v>13545000</v>
      </c>
      <c r="J30" s="5">
        <f>IF(_xlfn.XLOOKUP(tblPurchases[[#This Row],[Vendor ID]],tblVendors[Vendor ID],tblVendors[VAT Status],"")="PKP",ROUND(tblPurchases[[#This Row],[DPP (excl. VAT)]]*VATEff,0),0)</f>
        <v>1489950</v>
      </c>
      <c r="K30" s="1" t="str">
        <f>_xlfn.XLOOKUP(tblPurchases[[#This Row],[Vendor ID]],tblVendors[Vendor ID],tblVendors[WHT Type],"None")</f>
        <v>None</v>
      </c>
      <c r="L30" s="118">
        <f>_xlfn.XLOOKUP(tblPurchases[[#This Row],[WHT Type]],WHTTypes,WHTRates,0)</f>
        <v>0</v>
      </c>
      <c r="M30" s="5">
        <f>ROUND(tblPurchases[[#This Row],[DPP (excl. VAT)]]*tblPurchases[[#This Row],[WHT Rate]],0)</f>
        <v>0</v>
      </c>
      <c r="N30" s="5">
        <f>tblPurchases[[#This Row],[DPP (excl. VAT)]]+tblPurchases[[#This Row],[Input VAT]]-tblPurchases[[#This Row],[WHT Amount]]</f>
        <v>15034950</v>
      </c>
      <c r="O30" s="113">
        <v>46101</v>
      </c>
      <c r="P30" s="4">
        <v>1120</v>
      </c>
      <c r="Q30" s="1">
        <f>MONTH(tblPurchases[[#This Row],[Date]])</f>
        <v>3</v>
      </c>
      <c r="R30" s="1">
        <f>IF(tblPurchases[[#This Row],[Payment Date]]="",0,IF(YEAR(tblPurchases[[#This Row],[Payment Date]])=FYear,MONTH(tblPurchases[[#This Row],[Payment Date]]),0))</f>
        <v>3</v>
      </c>
    </row>
    <row r="31" spans="2:18" x14ac:dyDescent="0.35">
      <c r="B31" s="113">
        <v>46091</v>
      </c>
      <c r="C31" s="4" t="s">
        <v>5362</v>
      </c>
      <c r="D31" s="4" t="s">
        <v>4729</v>
      </c>
      <c r="E31" s="1" t="str">
        <f>_xlfn.XLOOKUP(tblPurchases[[#This Row],[Vendor ID]],tblVendors[Vendor ID],tblVendors[Vendor Name],"⚠ Unknown")</f>
        <v>Toko ATK Sentosa</v>
      </c>
      <c r="F31" s="4" t="s">
        <v>5495</v>
      </c>
      <c r="G31" s="4">
        <v>6270</v>
      </c>
      <c r="H31" s="1" t="str">
        <f>_xlfn.XLOOKUP(tblPurchases[[#This Row],[Account Code]],tblCOA[Code],tblCOA[Account Name],"⚠ Invalid")</f>
        <v>Office Supplies</v>
      </c>
      <c r="I31" s="6">
        <v>2638000</v>
      </c>
      <c r="J31" s="5">
        <f>IF(_xlfn.XLOOKUP(tblPurchases[[#This Row],[Vendor ID]],tblVendors[Vendor ID],tblVendors[VAT Status],"")="PKP",ROUND(tblPurchases[[#This Row],[DPP (excl. VAT)]]*VATEff,0),0)</f>
        <v>0</v>
      </c>
      <c r="K31" s="1" t="str">
        <f>_xlfn.XLOOKUP(tblPurchases[[#This Row],[Vendor ID]],tblVendors[Vendor ID],tblVendors[WHT Type],"None")</f>
        <v>None</v>
      </c>
      <c r="L31" s="118">
        <f>_xlfn.XLOOKUP(tblPurchases[[#This Row],[WHT Type]],WHTTypes,WHTRates,0)</f>
        <v>0</v>
      </c>
      <c r="M31" s="5">
        <f>ROUND(tblPurchases[[#This Row],[DPP (excl. VAT)]]*tblPurchases[[#This Row],[WHT Rate]],0)</f>
        <v>0</v>
      </c>
      <c r="N31" s="5">
        <f>tblPurchases[[#This Row],[DPP (excl. VAT)]]+tblPurchases[[#This Row],[Input VAT]]-tblPurchases[[#This Row],[WHT Amount]]</f>
        <v>2638000</v>
      </c>
      <c r="O31" s="113">
        <v>46091</v>
      </c>
      <c r="P31" s="4">
        <v>1120</v>
      </c>
      <c r="Q31" s="1">
        <f>MONTH(tblPurchases[[#This Row],[Date]])</f>
        <v>3</v>
      </c>
      <c r="R31" s="1">
        <f>IF(tblPurchases[[#This Row],[Payment Date]]="",0,IF(YEAR(tblPurchases[[#This Row],[Payment Date]])=FYear,MONTH(tblPurchases[[#This Row],[Payment Date]]),0))</f>
        <v>3</v>
      </c>
    </row>
    <row r="32" spans="2:18" x14ac:dyDescent="0.35">
      <c r="B32" s="113">
        <v>46093</v>
      </c>
      <c r="C32" s="4" t="s">
        <v>5363</v>
      </c>
      <c r="D32" s="4" t="s">
        <v>4669</v>
      </c>
      <c r="E32" s="1" t="str">
        <f>_xlfn.XLOOKUP(tblPurchases[[#This Row],[Vendor ID]],tblVendors[Vendor ID],tblVendors[Vendor Name],"⚠ Unknown")</f>
        <v>PT Prima Supply Nusantara</v>
      </c>
      <c r="F32" s="4" t="s">
        <v>5496</v>
      </c>
      <c r="G32" s="4">
        <v>1310</v>
      </c>
      <c r="H32" s="1" t="str">
        <f>_xlfn.XLOOKUP(tblPurchases[[#This Row],[Account Code]],tblCOA[Code],tblCOA[Account Name],"⚠ Invalid")</f>
        <v>Merchandise inventory</v>
      </c>
      <c r="I32" s="6">
        <v>285424000</v>
      </c>
      <c r="J32" s="5">
        <f>IF(_xlfn.XLOOKUP(tblPurchases[[#This Row],[Vendor ID]],tblVendors[Vendor ID],tblVendors[VAT Status],"")="PKP",ROUND(tblPurchases[[#This Row],[DPP (excl. VAT)]]*VATEff,0),0)</f>
        <v>31396640</v>
      </c>
      <c r="K32" s="1" t="str">
        <f>_xlfn.XLOOKUP(tblPurchases[[#This Row],[Vendor ID]],tblVendors[Vendor ID],tblVendors[WHT Type],"None")</f>
        <v>None</v>
      </c>
      <c r="L32" s="118">
        <f>_xlfn.XLOOKUP(tblPurchases[[#This Row],[WHT Type]],WHTTypes,WHTRates,0)</f>
        <v>0</v>
      </c>
      <c r="M32" s="5">
        <f>ROUND(tblPurchases[[#This Row],[DPP (excl. VAT)]]*tblPurchases[[#This Row],[WHT Rate]],0)</f>
        <v>0</v>
      </c>
      <c r="N32" s="5">
        <f>tblPurchases[[#This Row],[DPP (excl. VAT)]]+tblPurchases[[#This Row],[Input VAT]]-tblPurchases[[#This Row],[WHT Amount]]</f>
        <v>316820640</v>
      </c>
      <c r="O32" s="113">
        <v>46123</v>
      </c>
      <c r="P32" s="4">
        <v>1120</v>
      </c>
      <c r="Q32" s="1">
        <f>MONTH(tblPurchases[[#This Row],[Date]])</f>
        <v>3</v>
      </c>
      <c r="R32" s="1">
        <f>IF(tblPurchases[[#This Row],[Payment Date]]="",0,IF(YEAR(tblPurchases[[#This Row],[Payment Date]])=FYear,MONTH(tblPurchases[[#This Row],[Payment Date]]),0))</f>
        <v>4</v>
      </c>
    </row>
    <row r="33" spans="2:18" x14ac:dyDescent="0.35">
      <c r="B33" s="113">
        <v>46096</v>
      </c>
      <c r="C33" s="4" t="s">
        <v>5364</v>
      </c>
      <c r="D33" s="4" t="s">
        <v>4723</v>
      </c>
      <c r="E33" s="1" t="str">
        <f>_xlfn.XLOOKUP(tblPurchases[[#This Row],[Vendor ID]],tblVendors[Vendor ID],tblVendors[Vendor Name],"⚠ Unknown")</f>
        <v>CV Teknik Servis Mandiri</v>
      </c>
      <c r="F33" s="4" t="s">
        <v>5497</v>
      </c>
      <c r="G33" s="4">
        <v>6295</v>
      </c>
      <c r="H33" s="1" t="str">
        <f>_xlfn.XLOOKUP(tblPurchases[[#This Row],[Account Code]],tblCOA[Code],tblCOA[Account Name],"⚠ Invalid")</f>
        <v>Repairs &amp; Maintenance</v>
      </c>
      <c r="I33" s="6">
        <v>4530000</v>
      </c>
      <c r="J33" s="5">
        <f>IF(_xlfn.XLOOKUP(tblPurchases[[#This Row],[Vendor ID]],tblVendors[Vendor ID],tblVendors[VAT Status],"")="PKP",ROUND(tblPurchases[[#This Row],[DPP (excl. VAT)]]*VATEff,0),0)</f>
        <v>0</v>
      </c>
      <c r="K33" s="1" t="str">
        <f>_xlfn.XLOOKUP(tblPurchases[[#This Row],[Vendor ID]],tblVendors[Vendor ID],tblVendors[WHT Type],"None")</f>
        <v>Art. 23 - Services</v>
      </c>
      <c r="L33" s="118">
        <f>_xlfn.XLOOKUP(tblPurchases[[#This Row],[WHT Type]],WHTTypes,WHTRates,0)</f>
        <v>0.02</v>
      </c>
      <c r="M33" s="5">
        <f>ROUND(tblPurchases[[#This Row],[DPP (excl. VAT)]]*tblPurchases[[#This Row],[WHT Rate]],0)</f>
        <v>90600</v>
      </c>
      <c r="N33" s="5">
        <f>tblPurchases[[#This Row],[DPP (excl. VAT)]]+tblPurchases[[#This Row],[Input VAT]]-tblPurchases[[#This Row],[WHT Amount]]</f>
        <v>4439400</v>
      </c>
      <c r="O33" s="113">
        <v>46103</v>
      </c>
      <c r="P33" s="4">
        <v>1120</v>
      </c>
      <c r="Q33" s="1">
        <f>MONTH(tblPurchases[[#This Row],[Date]])</f>
        <v>3</v>
      </c>
      <c r="R33" s="1">
        <f>IF(tblPurchases[[#This Row],[Payment Date]]="",0,IF(YEAR(tblPurchases[[#This Row],[Payment Date]])=FYear,MONTH(tblPurchases[[#This Row],[Payment Date]]),0))</f>
        <v>3</v>
      </c>
    </row>
    <row r="34" spans="2:18" x14ac:dyDescent="0.35">
      <c r="B34" s="113">
        <v>46096</v>
      </c>
      <c r="C34" s="4" t="s">
        <v>5365</v>
      </c>
      <c r="D34" s="4" t="s">
        <v>4741</v>
      </c>
      <c r="E34" s="1" t="str">
        <f>_xlfn.XLOOKUP(tblPurchases[[#This Row],[Vendor ID]],tblVendors[Vendor ID],tblVendors[Vendor Name],"⚠ Unknown")</f>
        <v>PT Mesin Teknik Indonesia</v>
      </c>
      <c r="F34" s="4" t="s">
        <v>5498</v>
      </c>
      <c r="G34" s="4">
        <v>1640</v>
      </c>
      <c r="H34" s="1" t="str">
        <f>_xlfn.XLOOKUP(tblPurchases[[#This Row],[Account Code]],tblCOA[Code],tblCOA[Account Name],"⚠ Invalid")</f>
        <v>Machinery &amp; Equipment</v>
      </c>
      <c r="I34" s="6">
        <v>180000000</v>
      </c>
      <c r="J34" s="5">
        <f>IF(_xlfn.XLOOKUP(tblPurchases[[#This Row],[Vendor ID]],tblVendors[Vendor ID],tblVendors[VAT Status],"")="PKP",ROUND(tblPurchases[[#This Row],[DPP (excl. VAT)]]*VATEff,0),0)</f>
        <v>19800000</v>
      </c>
      <c r="K34" s="1" t="str">
        <f>_xlfn.XLOOKUP(tblPurchases[[#This Row],[Vendor ID]],tblVendors[Vendor ID],tblVendors[WHT Type],"None")</f>
        <v>None</v>
      </c>
      <c r="L34" s="118">
        <f>_xlfn.XLOOKUP(tblPurchases[[#This Row],[WHT Type]],WHTTypes,WHTRates,0)</f>
        <v>0</v>
      </c>
      <c r="M34" s="5">
        <f>ROUND(tblPurchases[[#This Row],[DPP (excl. VAT)]]*tblPurchases[[#This Row],[WHT Rate]],0)</f>
        <v>0</v>
      </c>
      <c r="N34" s="5">
        <f>tblPurchases[[#This Row],[DPP (excl. VAT)]]+tblPurchases[[#This Row],[Input VAT]]-tblPurchases[[#This Row],[WHT Amount]]</f>
        <v>199800000</v>
      </c>
      <c r="O34" s="113">
        <v>46126</v>
      </c>
      <c r="P34" s="4">
        <v>1120</v>
      </c>
      <c r="Q34" s="1">
        <f>MONTH(tblPurchases[[#This Row],[Date]])</f>
        <v>3</v>
      </c>
      <c r="R34" s="1">
        <f>IF(tblPurchases[[#This Row],[Payment Date]]="",0,IF(YEAR(tblPurchases[[#This Row],[Payment Date]])=FYear,MONTH(tblPurchases[[#This Row],[Payment Date]]),0))</f>
        <v>4</v>
      </c>
    </row>
    <row r="35" spans="2:18" x14ac:dyDescent="0.35">
      <c r="B35" s="113">
        <v>46099</v>
      </c>
      <c r="C35" s="4" t="s">
        <v>5366</v>
      </c>
      <c r="D35" s="4" t="s">
        <v>4759</v>
      </c>
      <c r="E35" s="1" t="str">
        <f>_xlfn.XLOOKUP(tblPurchases[[#This Row],[Vendor ID]],tblVendors[Vendor ID],tblVendors[Vendor Name],"⚠ Unknown")</f>
        <v>Various Restaurants &amp; Donations</v>
      </c>
      <c r="F35" s="4" t="s">
        <v>5499</v>
      </c>
      <c r="G35" s="4">
        <v>6296</v>
      </c>
      <c r="H35" s="1" t="str">
        <f>_xlfn.XLOOKUP(tblPurchases[[#This Row],[Account Code]],tblCOA[Code],tblCOA[Account Name],"⚠ Invalid")</f>
        <v>Entertainment &amp; Donations</v>
      </c>
      <c r="I35" s="6">
        <v>2328000</v>
      </c>
      <c r="J35" s="5">
        <f>IF(_xlfn.XLOOKUP(tblPurchases[[#This Row],[Vendor ID]],tblVendors[Vendor ID],tblVendors[VAT Status],"")="PKP",ROUND(tblPurchases[[#This Row],[DPP (excl. VAT)]]*VATEff,0),0)</f>
        <v>0</v>
      </c>
      <c r="K35" s="1" t="str">
        <f>_xlfn.XLOOKUP(tblPurchases[[#This Row],[Vendor ID]],tblVendors[Vendor ID],tblVendors[WHT Type],"None")</f>
        <v>None</v>
      </c>
      <c r="L35" s="118">
        <f>_xlfn.XLOOKUP(tblPurchases[[#This Row],[WHT Type]],WHTTypes,WHTRates,0)</f>
        <v>0</v>
      </c>
      <c r="M35" s="5">
        <f>ROUND(tblPurchases[[#This Row],[DPP (excl. VAT)]]*tblPurchases[[#This Row],[WHT Rate]],0)</f>
        <v>0</v>
      </c>
      <c r="N35" s="5">
        <f>tblPurchases[[#This Row],[DPP (excl. VAT)]]+tblPurchases[[#This Row],[Input VAT]]-tblPurchases[[#This Row],[WHT Amount]]</f>
        <v>2328000</v>
      </c>
      <c r="O35" s="113">
        <v>46099</v>
      </c>
      <c r="P35" s="4">
        <v>1120</v>
      </c>
      <c r="Q35" s="1">
        <f>MONTH(tblPurchases[[#This Row],[Date]])</f>
        <v>3</v>
      </c>
      <c r="R35" s="1">
        <f>IF(tblPurchases[[#This Row],[Payment Date]]="",0,IF(YEAR(tblPurchases[[#This Row],[Payment Date]])=FYear,MONTH(tblPurchases[[#This Row],[Payment Date]]),0))</f>
        <v>3</v>
      </c>
    </row>
    <row r="36" spans="2:18" x14ac:dyDescent="0.35">
      <c r="B36" s="113">
        <v>46101</v>
      </c>
      <c r="C36" s="4" t="s">
        <v>5367</v>
      </c>
      <c r="D36" s="4" t="s">
        <v>4674</v>
      </c>
      <c r="E36" s="1" t="str">
        <f>_xlfn.XLOOKUP(tblPurchases[[#This Row],[Vendor ID]],tblVendors[Vendor ID],tblVendors[Vendor Name],"⚠ Unknown")</f>
        <v>CV Aneka Grosir Jaya</v>
      </c>
      <c r="F36" s="4" t="s">
        <v>5500</v>
      </c>
      <c r="G36" s="4">
        <v>1310</v>
      </c>
      <c r="H36" s="1" t="str">
        <f>_xlfn.XLOOKUP(tblPurchases[[#This Row],[Account Code]],tblCOA[Code],tblCOA[Account Name],"⚠ Invalid")</f>
        <v>Merchandise inventory</v>
      </c>
      <c r="I36" s="6">
        <v>122324000</v>
      </c>
      <c r="J36" s="5">
        <f>IF(_xlfn.XLOOKUP(tblPurchases[[#This Row],[Vendor ID]],tblVendors[Vendor ID],tblVendors[VAT Status],"")="PKP",ROUND(tblPurchases[[#This Row],[DPP (excl. VAT)]]*VATEff,0),0)</f>
        <v>0</v>
      </c>
      <c r="K36" s="1" t="str">
        <f>_xlfn.XLOOKUP(tblPurchases[[#This Row],[Vendor ID]],tblVendors[Vendor ID],tblVendors[WHT Type],"None")</f>
        <v>None</v>
      </c>
      <c r="L36" s="118">
        <f>_xlfn.XLOOKUP(tblPurchases[[#This Row],[WHT Type]],WHTTypes,WHTRates,0)</f>
        <v>0</v>
      </c>
      <c r="M36" s="5">
        <f>ROUND(tblPurchases[[#This Row],[DPP (excl. VAT)]]*tblPurchases[[#This Row],[WHT Rate]],0)</f>
        <v>0</v>
      </c>
      <c r="N36" s="5">
        <f>tblPurchases[[#This Row],[DPP (excl. VAT)]]+tblPurchases[[#This Row],[Input VAT]]-tblPurchases[[#This Row],[WHT Amount]]</f>
        <v>122324000</v>
      </c>
      <c r="O36" s="113">
        <v>46108</v>
      </c>
      <c r="P36" s="4">
        <v>1120</v>
      </c>
      <c r="Q36" s="1">
        <f>MONTH(tblPurchases[[#This Row],[Date]])</f>
        <v>3</v>
      </c>
      <c r="R36" s="1">
        <f>IF(tblPurchases[[#This Row],[Payment Date]]="",0,IF(YEAR(tblPurchases[[#This Row],[Payment Date]])=FYear,MONTH(tblPurchases[[#This Row],[Payment Date]]),0))</f>
        <v>3</v>
      </c>
    </row>
    <row r="37" spans="2:18" x14ac:dyDescent="0.35">
      <c r="B37" s="113">
        <v>46101</v>
      </c>
      <c r="C37" s="4" t="s">
        <v>5368</v>
      </c>
      <c r="D37" s="4" t="s">
        <v>4717</v>
      </c>
      <c r="E37" s="1" t="str">
        <f>_xlfn.XLOOKUP(tblPurchases[[#This Row],[Vendor ID]],tblVendors[Vendor ID],tblVendors[Vendor Name],"⚠ Unknown")</f>
        <v>KKP Mitra Pajak &amp; Konsultan</v>
      </c>
      <c r="F37" s="4" t="s">
        <v>5501</v>
      </c>
      <c r="G37" s="4">
        <v>6280</v>
      </c>
      <c r="H37" s="1" t="str">
        <f>_xlfn.XLOOKUP(tblPurchases[[#This Row],[Account Code]],tblCOA[Code],tblCOA[Account Name],"⚠ Invalid")</f>
        <v>Professional Fees</v>
      </c>
      <c r="I37" s="6">
        <v>25000000</v>
      </c>
      <c r="J37" s="5">
        <f>IF(_xlfn.XLOOKUP(tblPurchases[[#This Row],[Vendor ID]],tblVendors[Vendor ID],tblVendors[VAT Status],"")="PKP",ROUND(tblPurchases[[#This Row],[DPP (excl. VAT)]]*VATEff,0),0)</f>
        <v>2750000</v>
      </c>
      <c r="K37" s="1" t="str">
        <f>_xlfn.XLOOKUP(tblPurchases[[#This Row],[Vendor ID]],tblVendors[Vendor ID],tblVendors[WHT Type],"None")</f>
        <v>Art. 23 - Services</v>
      </c>
      <c r="L37" s="118">
        <f>_xlfn.XLOOKUP(tblPurchases[[#This Row],[WHT Type]],WHTTypes,WHTRates,0)</f>
        <v>0.02</v>
      </c>
      <c r="M37" s="5">
        <f>ROUND(tblPurchases[[#This Row],[DPP (excl. VAT)]]*tblPurchases[[#This Row],[WHT Rate]],0)</f>
        <v>500000</v>
      </c>
      <c r="N37" s="5">
        <f>tblPurchases[[#This Row],[DPP (excl. VAT)]]+tblPurchases[[#This Row],[Input VAT]]-tblPurchases[[#This Row],[WHT Amount]]</f>
        <v>27250000</v>
      </c>
      <c r="O37" s="113">
        <v>46115</v>
      </c>
      <c r="P37" s="4">
        <v>1120</v>
      </c>
      <c r="Q37" s="1">
        <f>MONTH(tblPurchases[[#This Row],[Date]])</f>
        <v>3</v>
      </c>
      <c r="R37" s="1">
        <f>IF(tblPurchases[[#This Row],[Payment Date]]="",0,IF(YEAR(tblPurchases[[#This Row],[Payment Date]])=FYear,MONTH(tblPurchases[[#This Row],[Payment Date]]),0))</f>
        <v>4</v>
      </c>
    </row>
    <row r="38" spans="2:18" x14ac:dyDescent="0.35">
      <c r="B38" s="113">
        <v>46108</v>
      </c>
      <c r="C38" s="4" t="s">
        <v>5369</v>
      </c>
      <c r="D38" s="4" t="s">
        <v>4705</v>
      </c>
      <c r="E38" s="1" t="str">
        <f>_xlfn.XLOOKUP(tblPurchases[[#This Row],[Vendor ID]],tblVendors[Vendor ID],tblVendors[Vendor Name],"⚠ Unknown")</f>
        <v>PT Ekspedisi Cepat Nusantara</v>
      </c>
      <c r="F38" s="4" t="s">
        <v>5502</v>
      </c>
      <c r="G38" s="4">
        <v>6140</v>
      </c>
      <c r="H38" s="1" t="str">
        <f>_xlfn.XLOOKUP(tblPurchases[[#This Row],[Account Code]],tblCOA[Code],tblCOA[Account Name],"⚠ Invalid")</f>
        <v>Shipping &amp; Delivery</v>
      </c>
      <c r="I38" s="6">
        <v>12037000</v>
      </c>
      <c r="J38" s="5">
        <f>IF(_xlfn.XLOOKUP(tblPurchases[[#This Row],[Vendor ID]],tblVendors[Vendor ID],tblVendors[VAT Status],"")="PKP",ROUND(tblPurchases[[#This Row],[DPP (excl. VAT)]]*VATEff,0),0)</f>
        <v>1324070</v>
      </c>
      <c r="K38" s="1" t="str">
        <f>_xlfn.XLOOKUP(tblPurchases[[#This Row],[Vendor ID]],tblVendors[Vendor ID],tblVendors[WHT Type],"None")</f>
        <v>Art. 23 - Services</v>
      </c>
      <c r="L38" s="118">
        <f>_xlfn.XLOOKUP(tblPurchases[[#This Row],[WHT Type]],WHTTypes,WHTRates,0)</f>
        <v>0.02</v>
      </c>
      <c r="M38" s="5">
        <f>ROUND(tblPurchases[[#This Row],[DPP (excl. VAT)]]*tblPurchases[[#This Row],[WHT Rate]],0)</f>
        <v>240740</v>
      </c>
      <c r="N38" s="5">
        <f>tblPurchases[[#This Row],[DPP (excl. VAT)]]+tblPurchases[[#This Row],[Input VAT]]-tblPurchases[[#This Row],[WHT Amount]]</f>
        <v>13120330</v>
      </c>
      <c r="O38" s="113">
        <v>46122</v>
      </c>
      <c r="P38" s="4">
        <v>1120</v>
      </c>
      <c r="Q38" s="1">
        <f>MONTH(tblPurchases[[#This Row],[Date]])</f>
        <v>3</v>
      </c>
      <c r="R38" s="1">
        <f>IF(tblPurchases[[#This Row],[Payment Date]]="",0,IF(YEAR(tblPurchases[[#This Row],[Payment Date]])=FYear,MONTH(tblPurchases[[#This Row],[Payment Date]]),0))</f>
        <v>4</v>
      </c>
    </row>
    <row r="39" spans="2:18" x14ac:dyDescent="0.35">
      <c r="B39" s="113">
        <v>46109</v>
      </c>
      <c r="C39" s="4" t="s">
        <v>5370</v>
      </c>
      <c r="D39" s="4" t="s">
        <v>4699</v>
      </c>
      <c r="E39" s="1" t="str">
        <f>_xlfn.XLOOKUP(tblPurchases[[#This Row],[Vendor ID]],tblVendors[Vendor ID],tblVendors[Vendor Name],"⚠ Unknown")</f>
        <v>PT Kreasi Iklan Digital</v>
      </c>
      <c r="F39" s="4" t="s">
        <v>5503</v>
      </c>
      <c r="G39" s="4">
        <v>6120</v>
      </c>
      <c r="H39" s="1" t="str">
        <f>_xlfn.XLOOKUP(tblPurchases[[#This Row],[Account Code]],tblCOA[Code],tblCOA[Account Name],"⚠ Invalid")</f>
        <v>Advertising &amp; Promotion</v>
      </c>
      <c r="I39" s="6">
        <v>14712000</v>
      </c>
      <c r="J39" s="5">
        <f>IF(_xlfn.XLOOKUP(tblPurchases[[#This Row],[Vendor ID]],tblVendors[Vendor ID],tblVendors[VAT Status],"")="PKP",ROUND(tblPurchases[[#This Row],[DPP (excl. VAT)]]*VATEff,0),0)</f>
        <v>1618320</v>
      </c>
      <c r="K39" s="1" t="str">
        <f>_xlfn.XLOOKUP(tblPurchases[[#This Row],[Vendor ID]],tblVendors[Vendor ID],tblVendors[WHT Type],"None")</f>
        <v>Art. 23 - Services</v>
      </c>
      <c r="L39" s="118">
        <f>_xlfn.XLOOKUP(tblPurchases[[#This Row],[WHT Type]],WHTTypes,WHTRates,0)</f>
        <v>0.02</v>
      </c>
      <c r="M39" s="5">
        <f>ROUND(tblPurchases[[#This Row],[DPP (excl. VAT)]]*tblPurchases[[#This Row],[WHT Rate]],0)</f>
        <v>294240</v>
      </c>
      <c r="N39" s="5">
        <f>tblPurchases[[#This Row],[DPP (excl. VAT)]]+tblPurchases[[#This Row],[Input VAT]]-tblPurchases[[#This Row],[WHT Amount]]</f>
        <v>16036080</v>
      </c>
      <c r="O39" s="113">
        <v>46139</v>
      </c>
      <c r="P39" s="4">
        <v>1120</v>
      </c>
      <c r="Q39" s="1">
        <f>MONTH(tblPurchases[[#This Row],[Date]])</f>
        <v>3</v>
      </c>
      <c r="R39" s="1">
        <f>IF(tblPurchases[[#This Row],[Payment Date]]="",0,IF(YEAR(tblPurchases[[#This Row],[Payment Date]])=FYear,MONTH(tblPurchases[[#This Row],[Payment Date]]),0))</f>
        <v>4</v>
      </c>
    </row>
    <row r="40" spans="2:18" x14ac:dyDescent="0.35">
      <c r="B40" s="113">
        <v>46112</v>
      </c>
      <c r="C40" s="4" t="s">
        <v>5371</v>
      </c>
      <c r="D40" s="4" t="s">
        <v>4735</v>
      </c>
      <c r="E40" s="1" t="str">
        <f>_xlfn.XLOOKUP(tblPurchases[[#This Row],[Vendor ID]],tblVendors[Vendor ID],tblVendors[Vendor Name],"⚠ Unknown")</f>
        <v>PT Marketplace Niaga Online</v>
      </c>
      <c r="F40" s="4" t="s">
        <v>5504</v>
      </c>
      <c r="G40" s="4">
        <v>6130</v>
      </c>
      <c r="H40" s="1" t="str">
        <f>_xlfn.XLOOKUP(tblPurchases[[#This Row],[Account Code]],tblCOA[Code],tblCOA[Account Name],"⚠ Invalid")</f>
        <v>Marketplace &amp; Sales Commissions</v>
      </c>
      <c r="I40" s="6">
        <v>3692000</v>
      </c>
      <c r="J40" s="5">
        <f>IF(_xlfn.XLOOKUP(tblPurchases[[#This Row],[Vendor ID]],tblVendors[Vendor ID],tblVendors[VAT Status],"")="PKP",ROUND(tblPurchases[[#This Row],[DPP (excl. VAT)]]*VATEff,0),0)</f>
        <v>406120</v>
      </c>
      <c r="K40" s="1" t="str">
        <f>_xlfn.XLOOKUP(tblPurchases[[#This Row],[Vendor ID]],tblVendors[Vendor ID],tblVendors[WHT Type],"None")</f>
        <v>Art. 23 - Services</v>
      </c>
      <c r="L40" s="118">
        <f>_xlfn.XLOOKUP(tblPurchases[[#This Row],[WHT Type]],WHTTypes,WHTRates,0)</f>
        <v>0.02</v>
      </c>
      <c r="M40" s="5">
        <f>ROUND(tblPurchases[[#This Row],[DPP (excl. VAT)]]*tblPurchases[[#This Row],[WHT Rate]],0)</f>
        <v>73840</v>
      </c>
      <c r="N40" s="5">
        <f>tblPurchases[[#This Row],[DPP (excl. VAT)]]+tblPurchases[[#This Row],[Input VAT]]-tblPurchases[[#This Row],[WHT Amount]]</f>
        <v>4024280</v>
      </c>
      <c r="O40" s="113">
        <v>46122</v>
      </c>
      <c r="P40" s="4">
        <v>1120</v>
      </c>
      <c r="Q40" s="1">
        <f>MONTH(tblPurchases[[#This Row],[Date]])</f>
        <v>3</v>
      </c>
      <c r="R40" s="1">
        <f>IF(tblPurchases[[#This Row],[Payment Date]]="",0,IF(YEAR(tblPurchases[[#This Row],[Payment Date]])=FYear,MONTH(tblPurchases[[#This Row],[Payment Date]]),0))</f>
        <v>4</v>
      </c>
    </row>
    <row r="41" spans="2:18" x14ac:dyDescent="0.35">
      <c r="B41" s="113">
        <v>46117</v>
      </c>
      <c r="C41" s="4" t="s">
        <v>5372</v>
      </c>
      <c r="D41" s="4" t="s">
        <v>4662</v>
      </c>
      <c r="E41" s="1" t="str">
        <f>_xlfn.XLOOKUP(tblPurchases[[#This Row],[Vendor ID]],tblVendors[Vendor ID],tblVendors[Vendor Name],"⚠ Unknown")</f>
        <v>PT Sumber Barang Utama</v>
      </c>
      <c r="F41" s="4" t="s">
        <v>5505</v>
      </c>
      <c r="G41" s="4">
        <v>1310</v>
      </c>
      <c r="H41" s="1" t="str">
        <f>_xlfn.XLOOKUP(tblPurchases[[#This Row],[Account Code]],tblCOA[Code],tblCOA[Account Name],"⚠ Invalid")</f>
        <v>Merchandise inventory</v>
      </c>
      <c r="I41" s="6">
        <v>339209000</v>
      </c>
      <c r="J41" s="5">
        <f>IF(_xlfn.XLOOKUP(tblPurchases[[#This Row],[Vendor ID]],tblVendors[Vendor ID],tblVendors[VAT Status],"")="PKP",ROUND(tblPurchases[[#This Row],[DPP (excl. VAT)]]*VATEff,0),0)</f>
        <v>37312990</v>
      </c>
      <c r="K41" s="1" t="str">
        <f>_xlfn.XLOOKUP(tblPurchases[[#This Row],[Vendor ID]],tblVendors[Vendor ID],tblVendors[WHT Type],"None")</f>
        <v>None</v>
      </c>
      <c r="L41" s="118">
        <f>_xlfn.XLOOKUP(tblPurchases[[#This Row],[WHT Type]],WHTTypes,WHTRates,0)</f>
        <v>0</v>
      </c>
      <c r="M41" s="5">
        <f>ROUND(tblPurchases[[#This Row],[DPP (excl. VAT)]]*tblPurchases[[#This Row],[WHT Rate]],0)</f>
        <v>0</v>
      </c>
      <c r="N41" s="5">
        <f>tblPurchases[[#This Row],[DPP (excl. VAT)]]+tblPurchases[[#This Row],[Input VAT]]-tblPurchases[[#This Row],[WHT Amount]]</f>
        <v>376521990</v>
      </c>
      <c r="O41" s="113">
        <v>46147</v>
      </c>
      <c r="P41" s="4">
        <v>1120</v>
      </c>
      <c r="Q41" s="1">
        <f>MONTH(tblPurchases[[#This Row],[Date]])</f>
        <v>4</v>
      </c>
      <c r="R41" s="1">
        <f>IF(tblPurchases[[#This Row],[Payment Date]]="",0,IF(YEAR(tblPurchases[[#This Row],[Payment Date]])=FYear,MONTH(tblPurchases[[#This Row],[Payment Date]]),0))</f>
        <v>5</v>
      </c>
    </row>
    <row r="42" spans="2:18" x14ac:dyDescent="0.35">
      <c r="B42" s="113">
        <v>46117</v>
      </c>
      <c r="C42" s="4" t="s">
        <v>5373</v>
      </c>
      <c r="D42" s="4" t="s">
        <v>4711</v>
      </c>
      <c r="E42" s="1" t="str">
        <f>_xlfn.XLOOKUP(tblPurchases[[#This Row],[Vendor ID]],tblVendors[Vendor ID],tblVendors[Vendor Name],"⚠ Unknown")</f>
        <v>PT Utilitas Listrik &amp; Telekom</v>
      </c>
      <c r="F42" s="4" t="s">
        <v>5506</v>
      </c>
      <c r="G42" s="4">
        <v>6230</v>
      </c>
      <c r="H42" s="1" t="str">
        <f>_xlfn.XLOOKUP(tblPurchases[[#This Row],[Account Code]],tblCOA[Code],tblCOA[Account Name],"⚠ Invalid")</f>
        <v>Utilities &amp; Telecommunication</v>
      </c>
      <c r="I42" s="6">
        <v>12575000</v>
      </c>
      <c r="J42" s="5">
        <f>IF(_xlfn.XLOOKUP(tblPurchases[[#This Row],[Vendor ID]],tblVendors[Vendor ID],tblVendors[VAT Status],"")="PKP",ROUND(tblPurchases[[#This Row],[DPP (excl. VAT)]]*VATEff,0),0)</f>
        <v>1383250</v>
      </c>
      <c r="K42" s="1" t="str">
        <f>_xlfn.XLOOKUP(tblPurchases[[#This Row],[Vendor ID]],tblVendors[Vendor ID],tblVendors[WHT Type],"None")</f>
        <v>None</v>
      </c>
      <c r="L42" s="118">
        <f>_xlfn.XLOOKUP(tblPurchases[[#This Row],[WHT Type]],WHTTypes,WHTRates,0)</f>
        <v>0</v>
      </c>
      <c r="M42" s="5">
        <f>ROUND(tblPurchases[[#This Row],[DPP (excl. VAT)]]*tblPurchases[[#This Row],[WHT Rate]],0)</f>
        <v>0</v>
      </c>
      <c r="N42" s="5">
        <f>tblPurchases[[#This Row],[DPP (excl. VAT)]]+tblPurchases[[#This Row],[Input VAT]]-tblPurchases[[#This Row],[WHT Amount]]</f>
        <v>13958250</v>
      </c>
      <c r="O42" s="113">
        <v>46132</v>
      </c>
      <c r="P42" s="4">
        <v>1120</v>
      </c>
      <c r="Q42" s="1">
        <f>MONTH(tblPurchases[[#This Row],[Date]])</f>
        <v>4</v>
      </c>
      <c r="R42" s="1">
        <f>IF(tblPurchases[[#This Row],[Payment Date]]="",0,IF(YEAR(tblPurchases[[#This Row],[Payment Date]])=FYear,MONTH(tblPurchases[[#This Row],[Payment Date]]),0))</f>
        <v>4</v>
      </c>
    </row>
    <row r="43" spans="2:18" x14ac:dyDescent="0.35">
      <c r="B43" s="113">
        <v>46122</v>
      </c>
      <c r="C43" s="4" t="s">
        <v>5374</v>
      </c>
      <c r="D43" s="4" t="s">
        <v>4729</v>
      </c>
      <c r="E43" s="1" t="str">
        <f>_xlfn.XLOOKUP(tblPurchases[[#This Row],[Vendor ID]],tblVendors[Vendor ID],tblVendors[Vendor Name],"⚠ Unknown")</f>
        <v>Toko ATK Sentosa</v>
      </c>
      <c r="F43" s="4" t="s">
        <v>5507</v>
      </c>
      <c r="G43" s="4">
        <v>6270</v>
      </c>
      <c r="H43" s="1" t="str">
        <f>_xlfn.XLOOKUP(tblPurchases[[#This Row],[Account Code]],tblCOA[Code],tblCOA[Account Name],"⚠ Invalid")</f>
        <v>Office Supplies</v>
      </c>
      <c r="I43" s="6">
        <v>2586000</v>
      </c>
      <c r="J43" s="5">
        <f>IF(_xlfn.XLOOKUP(tblPurchases[[#This Row],[Vendor ID]],tblVendors[Vendor ID],tblVendors[VAT Status],"")="PKP",ROUND(tblPurchases[[#This Row],[DPP (excl. VAT)]]*VATEff,0),0)</f>
        <v>0</v>
      </c>
      <c r="K43" s="1" t="str">
        <f>_xlfn.XLOOKUP(tblPurchases[[#This Row],[Vendor ID]],tblVendors[Vendor ID],tblVendors[WHT Type],"None")</f>
        <v>None</v>
      </c>
      <c r="L43" s="118">
        <f>_xlfn.XLOOKUP(tblPurchases[[#This Row],[WHT Type]],WHTTypes,WHTRates,0)</f>
        <v>0</v>
      </c>
      <c r="M43" s="5">
        <f>ROUND(tblPurchases[[#This Row],[DPP (excl. VAT)]]*tblPurchases[[#This Row],[WHT Rate]],0)</f>
        <v>0</v>
      </c>
      <c r="N43" s="5">
        <f>tblPurchases[[#This Row],[DPP (excl. VAT)]]+tblPurchases[[#This Row],[Input VAT]]-tblPurchases[[#This Row],[WHT Amount]]</f>
        <v>2586000</v>
      </c>
      <c r="O43" s="113">
        <v>46122</v>
      </c>
      <c r="P43" s="4">
        <v>1120</v>
      </c>
      <c r="Q43" s="1">
        <f>MONTH(tblPurchases[[#This Row],[Date]])</f>
        <v>4</v>
      </c>
      <c r="R43" s="1">
        <f>IF(tblPurchases[[#This Row],[Payment Date]]="",0,IF(YEAR(tblPurchases[[#This Row],[Payment Date]])=FYear,MONTH(tblPurchases[[#This Row],[Payment Date]]),0))</f>
        <v>4</v>
      </c>
    </row>
    <row r="44" spans="2:18" x14ac:dyDescent="0.35">
      <c r="B44" s="113">
        <v>46122</v>
      </c>
      <c r="C44" s="4" t="s">
        <v>5375</v>
      </c>
      <c r="D44" s="4" t="s">
        <v>4717</v>
      </c>
      <c r="E44" s="1" t="str">
        <f>_xlfn.XLOOKUP(tblPurchases[[#This Row],[Vendor ID]],tblVendors[Vendor ID],tblVendors[Vendor Name],"⚠ Unknown")</f>
        <v>KKP Mitra Pajak &amp; Konsultan</v>
      </c>
      <c r="F44" s="4" t="s">
        <v>5508</v>
      </c>
      <c r="G44" s="4">
        <v>6280</v>
      </c>
      <c r="H44" s="1" t="str">
        <f>_xlfn.XLOOKUP(tblPurchases[[#This Row],[Account Code]],tblCOA[Code],tblCOA[Account Name],"⚠ Invalid")</f>
        <v>Professional Fees</v>
      </c>
      <c r="I44" s="6">
        <v>65000000</v>
      </c>
      <c r="J44" s="5">
        <f>IF(_xlfn.XLOOKUP(tblPurchases[[#This Row],[Vendor ID]],tblVendors[Vendor ID],tblVendors[VAT Status],"")="PKP",ROUND(tblPurchases[[#This Row],[DPP (excl. VAT)]]*VATEff,0),0)</f>
        <v>7150000</v>
      </c>
      <c r="K44" s="1" t="str">
        <f>_xlfn.XLOOKUP(tblPurchases[[#This Row],[Vendor ID]],tblVendors[Vendor ID],tblVendors[WHT Type],"None")</f>
        <v>Art. 23 - Services</v>
      </c>
      <c r="L44" s="118">
        <f>_xlfn.XLOOKUP(tblPurchases[[#This Row],[WHT Type]],WHTTypes,WHTRates,0)</f>
        <v>0.02</v>
      </c>
      <c r="M44" s="5">
        <f>ROUND(tblPurchases[[#This Row],[DPP (excl. VAT)]]*tblPurchases[[#This Row],[WHT Rate]],0)</f>
        <v>1300000</v>
      </c>
      <c r="N44" s="5">
        <f>tblPurchases[[#This Row],[DPP (excl. VAT)]]+tblPurchases[[#This Row],[Input VAT]]-tblPurchases[[#This Row],[WHT Amount]]</f>
        <v>70850000</v>
      </c>
      <c r="O44" s="113">
        <v>46136</v>
      </c>
      <c r="P44" s="4">
        <v>1120</v>
      </c>
      <c r="Q44" s="1">
        <f>MONTH(tblPurchases[[#This Row],[Date]])</f>
        <v>4</v>
      </c>
      <c r="R44" s="1">
        <f>IF(tblPurchases[[#This Row],[Payment Date]]="",0,IF(YEAR(tblPurchases[[#This Row],[Payment Date]])=FYear,MONTH(tblPurchases[[#This Row],[Payment Date]]),0))</f>
        <v>4</v>
      </c>
    </row>
    <row r="45" spans="2:18" x14ac:dyDescent="0.35">
      <c r="B45" s="113">
        <v>46124</v>
      </c>
      <c r="C45" s="4" t="s">
        <v>5376</v>
      </c>
      <c r="D45" s="4" t="s">
        <v>4669</v>
      </c>
      <c r="E45" s="1" t="str">
        <f>_xlfn.XLOOKUP(tblPurchases[[#This Row],[Vendor ID]],tblVendors[Vendor ID],tblVendors[Vendor Name],"⚠ Unknown")</f>
        <v>PT Prima Supply Nusantara</v>
      </c>
      <c r="F45" s="4" t="s">
        <v>5509</v>
      </c>
      <c r="G45" s="4">
        <v>1310</v>
      </c>
      <c r="H45" s="1" t="str">
        <f>_xlfn.XLOOKUP(tblPurchases[[#This Row],[Account Code]],tblCOA[Code],tblCOA[Account Name],"⚠ Invalid")</f>
        <v>Merchandise inventory</v>
      </c>
      <c r="I45" s="6">
        <v>237447000</v>
      </c>
      <c r="J45" s="5">
        <f>IF(_xlfn.XLOOKUP(tblPurchases[[#This Row],[Vendor ID]],tblVendors[Vendor ID],tblVendors[VAT Status],"")="PKP",ROUND(tblPurchases[[#This Row],[DPP (excl. VAT)]]*VATEff,0),0)</f>
        <v>26119170</v>
      </c>
      <c r="K45" s="1" t="str">
        <f>_xlfn.XLOOKUP(tblPurchases[[#This Row],[Vendor ID]],tblVendors[Vendor ID],tblVendors[WHT Type],"None")</f>
        <v>None</v>
      </c>
      <c r="L45" s="118">
        <f>_xlfn.XLOOKUP(tblPurchases[[#This Row],[WHT Type]],WHTTypes,WHTRates,0)</f>
        <v>0</v>
      </c>
      <c r="M45" s="5">
        <f>ROUND(tblPurchases[[#This Row],[DPP (excl. VAT)]]*tblPurchases[[#This Row],[WHT Rate]],0)</f>
        <v>0</v>
      </c>
      <c r="N45" s="5">
        <f>tblPurchases[[#This Row],[DPP (excl. VAT)]]+tblPurchases[[#This Row],[Input VAT]]-tblPurchases[[#This Row],[WHT Amount]]</f>
        <v>263566170</v>
      </c>
      <c r="O45" s="113">
        <v>46154</v>
      </c>
      <c r="P45" s="4">
        <v>1120</v>
      </c>
      <c r="Q45" s="1">
        <f>MONTH(tblPurchases[[#This Row],[Date]])</f>
        <v>4</v>
      </c>
      <c r="R45" s="1">
        <f>IF(tblPurchases[[#This Row],[Payment Date]]="",0,IF(YEAR(tblPurchases[[#This Row],[Payment Date]])=FYear,MONTH(tblPurchases[[#This Row],[Payment Date]]),0))</f>
        <v>5</v>
      </c>
    </row>
    <row r="46" spans="2:18" x14ac:dyDescent="0.35">
      <c r="B46" s="113">
        <v>46127</v>
      </c>
      <c r="C46" s="4" t="s">
        <v>5377</v>
      </c>
      <c r="D46" s="4" t="s">
        <v>4723</v>
      </c>
      <c r="E46" s="1" t="str">
        <f>_xlfn.XLOOKUP(tblPurchases[[#This Row],[Vendor ID]],tblVendors[Vendor ID],tblVendors[Vendor Name],"⚠ Unknown")</f>
        <v>CV Teknik Servis Mandiri</v>
      </c>
      <c r="F46" s="4" t="s">
        <v>5510</v>
      </c>
      <c r="G46" s="4">
        <v>6295</v>
      </c>
      <c r="H46" s="1" t="str">
        <f>_xlfn.XLOOKUP(tblPurchases[[#This Row],[Account Code]],tblCOA[Code],tblCOA[Account Name],"⚠ Invalid")</f>
        <v>Repairs &amp; Maintenance</v>
      </c>
      <c r="I46" s="6">
        <v>4882000</v>
      </c>
      <c r="J46" s="5">
        <f>IF(_xlfn.XLOOKUP(tblPurchases[[#This Row],[Vendor ID]],tblVendors[Vendor ID],tblVendors[VAT Status],"")="PKP",ROUND(tblPurchases[[#This Row],[DPP (excl. VAT)]]*VATEff,0),0)</f>
        <v>0</v>
      </c>
      <c r="K46" s="1" t="str">
        <f>_xlfn.XLOOKUP(tblPurchases[[#This Row],[Vendor ID]],tblVendors[Vendor ID],tblVendors[WHT Type],"None")</f>
        <v>Art. 23 - Services</v>
      </c>
      <c r="L46" s="118">
        <f>_xlfn.XLOOKUP(tblPurchases[[#This Row],[WHT Type]],WHTTypes,WHTRates,0)</f>
        <v>0.02</v>
      </c>
      <c r="M46" s="5">
        <f>ROUND(tblPurchases[[#This Row],[DPP (excl. VAT)]]*tblPurchases[[#This Row],[WHT Rate]],0)</f>
        <v>97640</v>
      </c>
      <c r="N46" s="5">
        <f>tblPurchases[[#This Row],[DPP (excl. VAT)]]+tblPurchases[[#This Row],[Input VAT]]-tblPurchases[[#This Row],[WHT Amount]]</f>
        <v>4784360</v>
      </c>
      <c r="O46" s="113">
        <v>46134</v>
      </c>
      <c r="P46" s="4">
        <v>1120</v>
      </c>
      <c r="Q46" s="1">
        <f>MONTH(tblPurchases[[#This Row],[Date]])</f>
        <v>4</v>
      </c>
      <c r="R46" s="1">
        <f>IF(tblPurchases[[#This Row],[Payment Date]]="",0,IF(YEAR(tblPurchases[[#This Row],[Payment Date]])=FYear,MONTH(tblPurchases[[#This Row],[Payment Date]]),0))</f>
        <v>4</v>
      </c>
    </row>
    <row r="47" spans="2:18" x14ac:dyDescent="0.35">
      <c r="B47" s="113">
        <v>46130</v>
      </c>
      <c r="C47" s="4" t="s">
        <v>5378</v>
      </c>
      <c r="D47" s="4" t="s">
        <v>4759</v>
      </c>
      <c r="E47" s="1" t="str">
        <f>_xlfn.XLOOKUP(tblPurchases[[#This Row],[Vendor ID]],tblVendors[Vendor ID],tblVendors[Vendor Name],"⚠ Unknown")</f>
        <v>Various Restaurants &amp; Donations</v>
      </c>
      <c r="F47" s="4" t="s">
        <v>5511</v>
      </c>
      <c r="G47" s="4">
        <v>6296</v>
      </c>
      <c r="H47" s="1" t="str">
        <f>_xlfn.XLOOKUP(tblPurchases[[#This Row],[Account Code]],tblCOA[Code],tblCOA[Account Name],"⚠ Invalid")</f>
        <v>Entertainment &amp; Donations</v>
      </c>
      <c r="I47" s="6">
        <v>2599000</v>
      </c>
      <c r="J47" s="5">
        <f>IF(_xlfn.XLOOKUP(tblPurchases[[#This Row],[Vendor ID]],tblVendors[Vendor ID],tblVendors[VAT Status],"")="PKP",ROUND(tblPurchases[[#This Row],[DPP (excl. VAT)]]*VATEff,0),0)</f>
        <v>0</v>
      </c>
      <c r="K47" s="1" t="str">
        <f>_xlfn.XLOOKUP(tblPurchases[[#This Row],[Vendor ID]],tblVendors[Vendor ID],tblVendors[WHT Type],"None")</f>
        <v>None</v>
      </c>
      <c r="L47" s="118">
        <f>_xlfn.XLOOKUP(tblPurchases[[#This Row],[WHT Type]],WHTTypes,WHTRates,0)</f>
        <v>0</v>
      </c>
      <c r="M47" s="5">
        <f>ROUND(tblPurchases[[#This Row],[DPP (excl. VAT)]]*tblPurchases[[#This Row],[WHT Rate]],0)</f>
        <v>0</v>
      </c>
      <c r="N47" s="5">
        <f>tblPurchases[[#This Row],[DPP (excl. VAT)]]+tblPurchases[[#This Row],[Input VAT]]-tblPurchases[[#This Row],[WHT Amount]]</f>
        <v>2599000</v>
      </c>
      <c r="O47" s="113">
        <v>46130</v>
      </c>
      <c r="P47" s="4">
        <v>1120</v>
      </c>
      <c r="Q47" s="1">
        <f>MONTH(tblPurchases[[#This Row],[Date]])</f>
        <v>4</v>
      </c>
      <c r="R47" s="1">
        <f>IF(tblPurchases[[#This Row],[Payment Date]]="",0,IF(YEAR(tblPurchases[[#This Row],[Payment Date]])=FYear,MONTH(tblPurchases[[#This Row],[Payment Date]]),0))</f>
        <v>4</v>
      </c>
    </row>
    <row r="48" spans="2:18" x14ac:dyDescent="0.35">
      <c r="B48" s="113">
        <v>46132</v>
      </c>
      <c r="C48" s="4" t="s">
        <v>5379</v>
      </c>
      <c r="D48" s="4" t="s">
        <v>4674</v>
      </c>
      <c r="E48" s="1" t="str">
        <f>_xlfn.XLOOKUP(tblPurchases[[#This Row],[Vendor ID]],tblVendors[Vendor ID],tblVendors[Vendor Name],"⚠ Unknown")</f>
        <v>CV Aneka Grosir Jaya</v>
      </c>
      <c r="F48" s="4" t="s">
        <v>5512</v>
      </c>
      <c r="G48" s="4">
        <v>1310</v>
      </c>
      <c r="H48" s="1" t="str">
        <f>_xlfn.XLOOKUP(tblPurchases[[#This Row],[Account Code]],tblCOA[Code],tblCOA[Account Name],"⚠ Invalid")</f>
        <v>Merchandise inventory</v>
      </c>
      <c r="I48" s="6">
        <v>101763000</v>
      </c>
      <c r="J48" s="5">
        <f>IF(_xlfn.XLOOKUP(tblPurchases[[#This Row],[Vendor ID]],tblVendors[Vendor ID],tblVendors[VAT Status],"")="PKP",ROUND(tblPurchases[[#This Row],[DPP (excl. VAT)]]*VATEff,0),0)</f>
        <v>0</v>
      </c>
      <c r="K48" s="1" t="str">
        <f>_xlfn.XLOOKUP(tblPurchases[[#This Row],[Vendor ID]],tblVendors[Vendor ID],tblVendors[WHT Type],"None")</f>
        <v>None</v>
      </c>
      <c r="L48" s="118">
        <f>_xlfn.XLOOKUP(tblPurchases[[#This Row],[WHT Type]],WHTTypes,WHTRates,0)</f>
        <v>0</v>
      </c>
      <c r="M48" s="5">
        <f>ROUND(tblPurchases[[#This Row],[DPP (excl. VAT)]]*tblPurchases[[#This Row],[WHT Rate]],0)</f>
        <v>0</v>
      </c>
      <c r="N48" s="5">
        <f>tblPurchases[[#This Row],[DPP (excl. VAT)]]+tblPurchases[[#This Row],[Input VAT]]-tblPurchases[[#This Row],[WHT Amount]]</f>
        <v>101763000</v>
      </c>
      <c r="O48" s="113">
        <v>46139</v>
      </c>
      <c r="P48" s="4">
        <v>1120</v>
      </c>
      <c r="Q48" s="1">
        <f>MONTH(tblPurchases[[#This Row],[Date]])</f>
        <v>4</v>
      </c>
      <c r="R48" s="1">
        <f>IF(tblPurchases[[#This Row],[Payment Date]]="",0,IF(YEAR(tblPurchases[[#This Row],[Payment Date]])=FYear,MONTH(tblPurchases[[#This Row],[Payment Date]]),0))</f>
        <v>4</v>
      </c>
    </row>
    <row r="49" spans="2:18" x14ac:dyDescent="0.35">
      <c r="B49" s="113">
        <v>46139</v>
      </c>
      <c r="C49" s="4" t="s">
        <v>5380</v>
      </c>
      <c r="D49" s="4" t="s">
        <v>4705</v>
      </c>
      <c r="E49" s="1" t="str">
        <f>_xlfn.XLOOKUP(tblPurchases[[#This Row],[Vendor ID]],tblVendors[Vendor ID],tblVendors[Vendor Name],"⚠ Unknown")</f>
        <v>PT Ekspedisi Cepat Nusantara</v>
      </c>
      <c r="F49" s="4" t="s">
        <v>5513</v>
      </c>
      <c r="G49" s="4">
        <v>6140</v>
      </c>
      <c r="H49" s="1" t="str">
        <f>_xlfn.XLOOKUP(tblPurchases[[#This Row],[Account Code]],tblCOA[Code],tblCOA[Account Name],"⚠ Invalid")</f>
        <v>Shipping &amp; Delivery</v>
      </c>
      <c r="I49" s="6">
        <v>9863000</v>
      </c>
      <c r="J49" s="5">
        <f>IF(_xlfn.XLOOKUP(tblPurchases[[#This Row],[Vendor ID]],tblVendors[Vendor ID],tblVendors[VAT Status],"")="PKP",ROUND(tblPurchases[[#This Row],[DPP (excl. VAT)]]*VATEff,0),0)</f>
        <v>1084930</v>
      </c>
      <c r="K49" s="1" t="str">
        <f>_xlfn.XLOOKUP(tblPurchases[[#This Row],[Vendor ID]],tblVendors[Vendor ID],tblVendors[WHT Type],"None")</f>
        <v>Art. 23 - Services</v>
      </c>
      <c r="L49" s="118">
        <f>_xlfn.XLOOKUP(tblPurchases[[#This Row],[WHT Type]],WHTTypes,WHTRates,0)</f>
        <v>0.02</v>
      </c>
      <c r="M49" s="5">
        <f>ROUND(tblPurchases[[#This Row],[DPP (excl. VAT)]]*tblPurchases[[#This Row],[WHT Rate]],0)</f>
        <v>197260</v>
      </c>
      <c r="N49" s="5">
        <f>tblPurchases[[#This Row],[DPP (excl. VAT)]]+tblPurchases[[#This Row],[Input VAT]]-tblPurchases[[#This Row],[WHT Amount]]</f>
        <v>10750670</v>
      </c>
      <c r="O49" s="113">
        <v>46153</v>
      </c>
      <c r="P49" s="4">
        <v>1120</v>
      </c>
      <c r="Q49" s="1">
        <f>MONTH(tblPurchases[[#This Row],[Date]])</f>
        <v>4</v>
      </c>
      <c r="R49" s="1">
        <f>IF(tblPurchases[[#This Row],[Payment Date]]="",0,IF(YEAR(tblPurchases[[#This Row],[Payment Date]])=FYear,MONTH(tblPurchases[[#This Row],[Payment Date]]),0))</f>
        <v>5</v>
      </c>
    </row>
    <row r="50" spans="2:18" x14ac:dyDescent="0.35">
      <c r="B50" s="113">
        <v>46140</v>
      </c>
      <c r="C50" s="4" t="s">
        <v>5381</v>
      </c>
      <c r="D50" s="4" t="s">
        <v>4699</v>
      </c>
      <c r="E50" s="1" t="str">
        <f>_xlfn.XLOOKUP(tblPurchases[[#This Row],[Vendor ID]],tblVendors[Vendor ID],tblVendors[Vendor Name],"⚠ Unknown")</f>
        <v>PT Kreasi Iklan Digital</v>
      </c>
      <c r="F50" s="4" t="s">
        <v>5514</v>
      </c>
      <c r="G50" s="4">
        <v>6120</v>
      </c>
      <c r="H50" s="1" t="str">
        <f>_xlfn.XLOOKUP(tblPurchases[[#This Row],[Account Code]],tblCOA[Code],tblCOA[Account Name],"⚠ Invalid")</f>
        <v>Advertising &amp; Promotion</v>
      </c>
      <c r="I50" s="6">
        <v>12055000</v>
      </c>
      <c r="J50" s="5">
        <f>IF(_xlfn.XLOOKUP(tblPurchases[[#This Row],[Vendor ID]],tblVendors[Vendor ID],tblVendors[VAT Status],"")="PKP",ROUND(tblPurchases[[#This Row],[DPP (excl. VAT)]]*VATEff,0),0)</f>
        <v>1326050</v>
      </c>
      <c r="K50" s="1" t="str">
        <f>_xlfn.XLOOKUP(tblPurchases[[#This Row],[Vendor ID]],tblVendors[Vendor ID],tblVendors[WHT Type],"None")</f>
        <v>Art. 23 - Services</v>
      </c>
      <c r="L50" s="118">
        <f>_xlfn.XLOOKUP(tblPurchases[[#This Row],[WHT Type]],WHTTypes,WHTRates,0)</f>
        <v>0.02</v>
      </c>
      <c r="M50" s="5">
        <f>ROUND(tblPurchases[[#This Row],[DPP (excl. VAT)]]*tblPurchases[[#This Row],[WHT Rate]],0)</f>
        <v>241100</v>
      </c>
      <c r="N50" s="5">
        <f>tblPurchases[[#This Row],[DPP (excl. VAT)]]+tblPurchases[[#This Row],[Input VAT]]-tblPurchases[[#This Row],[WHT Amount]]</f>
        <v>13139950</v>
      </c>
      <c r="O50" s="113">
        <v>46170</v>
      </c>
      <c r="P50" s="4">
        <v>1120</v>
      </c>
      <c r="Q50" s="1">
        <f>MONTH(tblPurchases[[#This Row],[Date]])</f>
        <v>4</v>
      </c>
      <c r="R50" s="1">
        <f>IF(tblPurchases[[#This Row],[Payment Date]]="",0,IF(YEAR(tblPurchases[[#This Row],[Payment Date]])=FYear,MONTH(tblPurchases[[#This Row],[Payment Date]]),0))</f>
        <v>5</v>
      </c>
    </row>
    <row r="51" spans="2:18" x14ac:dyDescent="0.35">
      <c r="B51" s="113">
        <v>46142</v>
      </c>
      <c r="C51" s="4" t="s">
        <v>5382</v>
      </c>
      <c r="D51" s="4" t="s">
        <v>4735</v>
      </c>
      <c r="E51" s="1" t="str">
        <f>_xlfn.XLOOKUP(tblPurchases[[#This Row],[Vendor ID]],tblVendors[Vendor ID],tblVendors[Vendor Name],"⚠ Unknown")</f>
        <v>PT Marketplace Niaga Online</v>
      </c>
      <c r="F51" s="4" t="s">
        <v>5515</v>
      </c>
      <c r="G51" s="4">
        <v>6130</v>
      </c>
      <c r="H51" s="1" t="str">
        <f>_xlfn.XLOOKUP(tblPurchases[[#This Row],[Account Code]],tblCOA[Code],tblCOA[Account Name],"⚠ Invalid")</f>
        <v>Marketplace &amp; Sales Commissions</v>
      </c>
      <c r="I51" s="6">
        <v>3054000</v>
      </c>
      <c r="J51" s="5">
        <f>IF(_xlfn.XLOOKUP(tblPurchases[[#This Row],[Vendor ID]],tblVendors[Vendor ID],tblVendors[VAT Status],"")="PKP",ROUND(tblPurchases[[#This Row],[DPP (excl. VAT)]]*VATEff,0),0)</f>
        <v>335940</v>
      </c>
      <c r="K51" s="1" t="str">
        <f>_xlfn.XLOOKUP(tblPurchases[[#This Row],[Vendor ID]],tblVendors[Vendor ID],tblVendors[WHT Type],"None")</f>
        <v>Art. 23 - Services</v>
      </c>
      <c r="L51" s="118">
        <f>_xlfn.XLOOKUP(tblPurchases[[#This Row],[WHT Type]],WHTTypes,WHTRates,0)</f>
        <v>0.02</v>
      </c>
      <c r="M51" s="5">
        <f>ROUND(tblPurchases[[#This Row],[DPP (excl. VAT)]]*tblPurchases[[#This Row],[WHT Rate]],0)</f>
        <v>61080</v>
      </c>
      <c r="N51" s="5">
        <f>tblPurchases[[#This Row],[DPP (excl. VAT)]]+tblPurchases[[#This Row],[Input VAT]]-tblPurchases[[#This Row],[WHT Amount]]</f>
        <v>3328860</v>
      </c>
      <c r="O51" s="113">
        <v>46152</v>
      </c>
      <c r="P51" s="4">
        <v>1120</v>
      </c>
      <c r="Q51" s="1">
        <f>MONTH(tblPurchases[[#This Row],[Date]])</f>
        <v>4</v>
      </c>
      <c r="R51" s="1">
        <f>IF(tblPurchases[[#This Row],[Payment Date]]="",0,IF(YEAR(tblPurchases[[#This Row],[Payment Date]])=FYear,MONTH(tblPurchases[[#This Row],[Payment Date]]),0))</f>
        <v>5</v>
      </c>
    </row>
    <row r="52" spans="2:18" x14ac:dyDescent="0.35">
      <c r="B52" s="113">
        <v>46147</v>
      </c>
      <c r="C52" s="4" t="s">
        <v>5383</v>
      </c>
      <c r="D52" s="4" t="s">
        <v>4662</v>
      </c>
      <c r="E52" s="1" t="str">
        <f>_xlfn.XLOOKUP(tblPurchases[[#This Row],[Vendor ID]],tblVendors[Vendor ID],tblVendors[Vendor Name],"⚠ Unknown")</f>
        <v>PT Sumber Barang Utama</v>
      </c>
      <c r="F52" s="4" t="s">
        <v>5516</v>
      </c>
      <c r="G52" s="4">
        <v>1310</v>
      </c>
      <c r="H52" s="1" t="str">
        <f>_xlfn.XLOOKUP(tblPurchases[[#This Row],[Account Code]],tblCOA[Code],tblCOA[Account Name],"⚠ Invalid")</f>
        <v>Merchandise inventory</v>
      </c>
      <c r="I52" s="6">
        <v>336947000</v>
      </c>
      <c r="J52" s="5">
        <f>IF(_xlfn.XLOOKUP(tblPurchases[[#This Row],[Vendor ID]],tblVendors[Vendor ID],tblVendors[VAT Status],"")="PKP",ROUND(tblPurchases[[#This Row],[DPP (excl. VAT)]]*VATEff,0),0)</f>
        <v>37064170</v>
      </c>
      <c r="K52" s="1" t="str">
        <f>_xlfn.XLOOKUP(tblPurchases[[#This Row],[Vendor ID]],tblVendors[Vendor ID],tblVendors[WHT Type],"None")</f>
        <v>None</v>
      </c>
      <c r="L52" s="118">
        <f>_xlfn.XLOOKUP(tblPurchases[[#This Row],[WHT Type]],WHTTypes,WHTRates,0)</f>
        <v>0</v>
      </c>
      <c r="M52" s="5">
        <f>ROUND(tblPurchases[[#This Row],[DPP (excl. VAT)]]*tblPurchases[[#This Row],[WHT Rate]],0)</f>
        <v>0</v>
      </c>
      <c r="N52" s="5">
        <f>tblPurchases[[#This Row],[DPP (excl. VAT)]]+tblPurchases[[#This Row],[Input VAT]]-tblPurchases[[#This Row],[WHT Amount]]</f>
        <v>374011170</v>
      </c>
      <c r="O52" s="113">
        <v>46177</v>
      </c>
      <c r="P52" s="4">
        <v>1120</v>
      </c>
      <c r="Q52" s="1">
        <f>MONTH(tblPurchases[[#This Row],[Date]])</f>
        <v>5</v>
      </c>
      <c r="R52" s="1">
        <f>IF(tblPurchases[[#This Row],[Payment Date]]="",0,IF(YEAR(tblPurchases[[#This Row],[Payment Date]])=FYear,MONTH(tblPurchases[[#This Row],[Payment Date]]),0))</f>
        <v>6</v>
      </c>
    </row>
    <row r="53" spans="2:18" x14ac:dyDescent="0.35">
      <c r="B53" s="113">
        <v>46147</v>
      </c>
      <c r="C53" s="4" t="s">
        <v>5384</v>
      </c>
      <c r="D53" s="4" t="s">
        <v>4711</v>
      </c>
      <c r="E53" s="1" t="str">
        <f>_xlfn.XLOOKUP(tblPurchases[[#This Row],[Vendor ID]],tblVendors[Vendor ID],tblVendors[Vendor Name],"⚠ Unknown")</f>
        <v>PT Utilitas Listrik &amp; Telekom</v>
      </c>
      <c r="F53" s="4" t="s">
        <v>5517</v>
      </c>
      <c r="G53" s="4">
        <v>6230</v>
      </c>
      <c r="H53" s="1" t="str">
        <f>_xlfn.XLOOKUP(tblPurchases[[#This Row],[Account Code]],tblCOA[Code],tblCOA[Account Name],"⚠ Invalid")</f>
        <v>Utilities &amp; Telecommunication</v>
      </c>
      <c r="I53" s="6">
        <v>11371000</v>
      </c>
      <c r="J53" s="5">
        <f>IF(_xlfn.XLOOKUP(tblPurchases[[#This Row],[Vendor ID]],tblVendors[Vendor ID],tblVendors[VAT Status],"")="PKP",ROUND(tblPurchases[[#This Row],[DPP (excl. VAT)]]*VATEff,0),0)</f>
        <v>1250810</v>
      </c>
      <c r="K53" s="1" t="str">
        <f>_xlfn.XLOOKUP(tblPurchases[[#This Row],[Vendor ID]],tblVendors[Vendor ID],tblVendors[WHT Type],"None")</f>
        <v>None</v>
      </c>
      <c r="L53" s="118">
        <f>_xlfn.XLOOKUP(tblPurchases[[#This Row],[WHT Type]],WHTTypes,WHTRates,0)</f>
        <v>0</v>
      </c>
      <c r="M53" s="5">
        <f>ROUND(tblPurchases[[#This Row],[DPP (excl. VAT)]]*tblPurchases[[#This Row],[WHT Rate]],0)</f>
        <v>0</v>
      </c>
      <c r="N53" s="5">
        <f>tblPurchases[[#This Row],[DPP (excl. VAT)]]+tblPurchases[[#This Row],[Input VAT]]-tblPurchases[[#This Row],[WHT Amount]]</f>
        <v>12621810</v>
      </c>
      <c r="O53" s="113">
        <v>46162</v>
      </c>
      <c r="P53" s="4">
        <v>1120</v>
      </c>
      <c r="Q53" s="1">
        <f>MONTH(tblPurchases[[#This Row],[Date]])</f>
        <v>5</v>
      </c>
      <c r="R53" s="1">
        <f>IF(tblPurchases[[#This Row],[Payment Date]]="",0,IF(YEAR(tblPurchases[[#This Row],[Payment Date]])=FYear,MONTH(tblPurchases[[#This Row],[Payment Date]]),0))</f>
        <v>5</v>
      </c>
    </row>
    <row r="54" spans="2:18" x14ac:dyDescent="0.35">
      <c r="B54" s="113">
        <v>46152</v>
      </c>
      <c r="C54" s="4" t="s">
        <v>5385</v>
      </c>
      <c r="D54" s="4" t="s">
        <v>4729</v>
      </c>
      <c r="E54" s="1" t="str">
        <f>_xlfn.XLOOKUP(tblPurchases[[#This Row],[Vendor ID]],tblVendors[Vendor ID],tblVendors[Vendor Name],"⚠ Unknown")</f>
        <v>Toko ATK Sentosa</v>
      </c>
      <c r="F54" s="4" t="s">
        <v>5518</v>
      </c>
      <c r="G54" s="4">
        <v>6270</v>
      </c>
      <c r="H54" s="1" t="str">
        <f>_xlfn.XLOOKUP(tblPurchases[[#This Row],[Account Code]],tblCOA[Code],tblCOA[Account Name],"⚠ Invalid")</f>
        <v>Office Supplies</v>
      </c>
      <c r="I54" s="6">
        <v>2865000</v>
      </c>
      <c r="J54" s="5">
        <f>IF(_xlfn.XLOOKUP(tblPurchases[[#This Row],[Vendor ID]],tblVendors[Vendor ID],tblVendors[VAT Status],"")="PKP",ROUND(tblPurchases[[#This Row],[DPP (excl. VAT)]]*VATEff,0),0)</f>
        <v>0</v>
      </c>
      <c r="K54" s="1" t="str">
        <f>_xlfn.XLOOKUP(tblPurchases[[#This Row],[Vendor ID]],tblVendors[Vendor ID],tblVendors[WHT Type],"None")</f>
        <v>None</v>
      </c>
      <c r="L54" s="118">
        <f>_xlfn.XLOOKUP(tblPurchases[[#This Row],[WHT Type]],WHTTypes,WHTRates,0)</f>
        <v>0</v>
      </c>
      <c r="M54" s="5">
        <f>ROUND(tblPurchases[[#This Row],[DPP (excl. VAT)]]*tblPurchases[[#This Row],[WHT Rate]],0)</f>
        <v>0</v>
      </c>
      <c r="N54" s="5">
        <f>tblPurchases[[#This Row],[DPP (excl. VAT)]]+tblPurchases[[#This Row],[Input VAT]]-tblPurchases[[#This Row],[WHT Amount]]</f>
        <v>2865000</v>
      </c>
      <c r="O54" s="113">
        <v>46152</v>
      </c>
      <c r="P54" s="4">
        <v>1120</v>
      </c>
      <c r="Q54" s="1">
        <f>MONTH(tblPurchases[[#This Row],[Date]])</f>
        <v>5</v>
      </c>
      <c r="R54" s="1">
        <f>IF(tblPurchases[[#This Row],[Payment Date]]="",0,IF(YEAR(tblPurchases[[#This Row],[Payment Date]])=FYear,MONTH(tblPurchases[[#This Row],[Payment Date]]),0))</f>
        <v>5</v>
      </c>
    </row>
    <row r="55" spans="2:18" x14ac:dyDescent="0.35">
      <c r="B55" s="113">
        <v>46154</v>
      </c>
      <c r="C55" s="4" t="s">
        <v>5386</v>
      </c>
      <c r="D55" s="4" t="s">
        <v>4669</v>
      </c>
      <c r="E55" s="1" t="str">
        <f>_xlfn.XLOOKUP(tblPurchases[[#This Row],[Vendor ID]],tblVendors[Vendor ID],tblVendors[Vendor Name],"⚠ Unknown")</f>
        <v>PT Prima Supply Nusantara</v>
      </c>
      <c r="F55" s="4" t="s">
        <v>5519</v>
      </c>
      <c r="G55" s="4">
        <v>1310</v>
      </c>
      <c r="H55" s="1" t="str">
        <f>_xlfn.XLOOKUP(tblPurchases[[#This Row],[Account Code]],tblCOA[Code],tblCOA[Account Name],"⚠ Invalid")</f>
        <v>Merchandise inventory</v>
      </c>
      <c r="I55" s="6">
        <v>235863000</v>
      </c>
      <c r="J55" s="5">
        <f>IF(_xlfn.XLOOKUP(tblPurchases[[#This Row],[Vendor ID]],tblVendors[Vendor ID],tblVendors[VAT Status],"")="PKP",ROUND(tblPurchases[[#This Row],[DPP (excl. VAT)]]*VATEff,0),0)</f>
        <v>25944930</v>
      </c>
      <c r="K55" s="1" t="str">
        <f>_xlfn.XLOOKUP(tblPurchases[[#This Row],[Vendor ID]],tblVendors[Vendor ID],tblVendors[WHT Type],"None")</f>
        <v>None</v>
      </c>
      <c r="L55" s="118">
        <f>_xlfn.XLOOKUP(tblPurchases[[#This Row],[WHT Type]],WHTTypes,WHTRates,0)</f>
        <v>0</v>
      </c>
      <c r="M55" s="5">
        <f>ROUND(tblPurchases[[#This Row],[DPP (excl. VAT)]]*tblPurchases[[#This Row],[WHT Rate]],0)</f>
        <v>0</v>
      </c>
      <c r="N55" s="5">
        <f>tblPurchases[[#This Row],[DPP (excl. VAT)]]+tblPurchases[[#This Row],[Input VAT]]-tblPurchases[[#This Row],[WHT Amount]]</f>
        <v>261807930</v>
      </c>
      <c r="O55" s="113">
        <v>46184</v>
      </c>
      <c r="P55" s="4">
        <v>1120</v>
      </c>
      <c r="Q55" s="1">
        <f>MONTH(tblPurchases[[#This Row],[Date]])</f>
        <v>5</v>
      </c>
      <c r="R55" s="1">
        <f>IF(tblPurchases[[#This Row],[Payment Date]]="",0,IF(YEAR(tblPurchases[[#This Row],[Payment Date]])=FYear,MONTH(tblPurchases[[#This Row],[Payment Date]]),0))</f>
        <v>6</v>
      </c>
    </row>
    <row r="56" spans="2:18" x14ac:dyDescent="0.35">
      <c r="B56" s="113">
        <v>46157</v>
      </c>
      <c r="C56" s="4" t="s">
        <v>5387</v>
      </c>
      <c r="D56" s="4" t="s">
        <v>4723</v>
      </c>
      <c r="E56" s="1" t="str">
        <f>_xlfn.XLOOKUP(tblPurchases[[#This Row],[Vendor ID]],tblVendors[Vendor ID],tblVendors[Vendor Name],"⚠ Unknown")</f>
        <v>CV Teknik Servis Mandiri</v>
      </c>
      <c r="F56" s="4" t="s">
        <v>5520</v>
      </c>
      <c r="G56" s="4">
        <v>6295</v>
      </c>
      <c r="H56" s="1" t="str">
        <f>_xlfn.XLOOKUP(tblPurchases[[#This Row],[Account Code]],tblCOA[Code],tblCOA[Account Name],"⚠ Invalid")</f>
        <v>Repairs &amp; Maintenance</v>
      </c>
      <c r="I56" s="6">
        <v>3571000</v>
      </c>
      <c r="J56" s="5">
        <f>IF(_xlfn.XLOOKUP(tblPurchases[[#This Row],[Vendor ID]],tblVendors[Vendor ID],tblVendors[VAT Status],"")="PKP",ROUND(tblPurchases[[#This Row],[DPP (excl. VAT)]]*VATEff,0),0)</f>
        <v>0</v>
      </c>
      <c r="K56" s="1" t="str">
        <f>_xlfn.XLOOKUP(tblPurchases[[#This Row],[Vendor ID]],tblVendors[Vendor ID],tblVendors[WHT Type],"None")</f>
        <v>Art. 23 - Services</v>
      </c>
      <c r="L56" s="118">
        <f>_xlfn.XLOOKUP(tblPurchases[[#This Row],[WHT Type]],WHTTypes,WHTRates,0)</f>
        <v>0.02</v>
      </c>
      <c r="M56" s="5">
        <f>ROUND(tblPurchases[[#This Row],[DPP (excl. VAT)]]*tblPurchases[[#This Row],[WHT Rate]],0)</f>
        <v>71420</v>
      </c>
      <c r="N56" s="5">
        <f>tblPurchases[[#This Row],[DPP (excl. VAT)]]+tblPurchases[[#This Row],[Input VAT]]-tblPurchases[[#This Row],[WHT Amount]]</f>
        <v>3499580</v>
      </c>
      <c r="O56" s="113">
        <v>46164</v>
      </c>
      <c r="P56" s="4">
        <v>1120</v>
      </c>
      <c r="Q56" s="1">
        <f>MONTH(tblPurchases[[#This Row],[Date]])</f>
        <v>5</v>
      </c>
      <c r="R56" s="1">
        <f>IF(tblPurchases[[#This Row],[Payment Date]]="",0,IF(YEAR(tblPurchases[[#This Row],[Payment Date]])=FYear,MONTH(tblPurchases[[#This Row],[Payment Date]]),0))</f>
        <v>5</v>
      </c>
    </row>
    <row r="57" spans="2:18" x14ac:dyDescent="0.35">
      <c r="B57" s="113">
        <v>46160</v>
      </c>
      <c r="C57" s="4" t="s">
        <v>5388</v>
      </c>
      <c r="D57" s="4" t="s">
        <v>4759</v>
      </c>
      <c r="E57" s="1" t="str">
        <f>_xlfn.XLOOKUP(tblPurchases[[#This Row],[Vendor ID]],tblVendors[Vendor ID],tblVendors[Vendor Name],"⚠ Unknown")</f>
        <v>Various Restaurants &amp; Donations</v>
      </c>
      <c r="F57" s="4" t="s">
        <v>5521</v>
      </c>
      <c r="G57" s="4">
        <v>6296</v>
      </c>
      <c r="H57" s="1" t="str">
        <f>_xlfn.XLOOKUP(tblPurchases[[#This Row],[Account Code]],tblCOA[Code],tblCOA[Account Name],"⚠ Invalid")</f>
        <v>Entertainment &amp; Donations</v>
      </c>
      <c r="I57" s="6">
        <v>2674000</v>
      </c>
      <c r="J57" s="5">
        <f>IF(_xlfn.XLOOKUP(tblPurchases[[#This Row],[Vendor ID]],tblVendors[Vendor ID],tblVendors[VAT Status],"")="PKP",ROUND(tblPurchases[[#This Row],[DPP (excl. VAT)]]*VATEff,0),0)</f>
        <v>0</v>
      </c>
      <c r="K57" s="1" t="str">
        <f>_xlfn.XLOOKUP(tblPurchases[[#This Row],[Vendor ID]],tblVendors[Vendor ID],tblVendors[WHT Type],"None")</f>
        <v>None</v>
      </c>
      <c r="L57" s="118">
        <f>_xlfn.XLOOKUP(tblPurchases[[#This Row],[WHT Type]],WHTTypes,WHTRates,0)</f>
        <v>0</v>
      </c>
      <c r="M57" s="5">
        <f>ROUND(tblPurchases[[#This Row],[DPP (excl. VAT)]]*tblPurchases[[#This Row],[WHT Rate]],0)</f>
        <v>0</v>
      </c>
      <c r="N57" s="5">
        <f>tblPurchases[[#This Row],[DPP (excl. VAT)]]+tblPurchases[[#This Row],[Input VAT]]-tblPurchases[[#This Row],[WHT Amount]]</f>
        <v>2674000</v>
      </c>
      <c r="O57" s="113">
        <v>46160</v>
      </c>
      <c r="P57" s="4">
        <v>1120</v>
      </c>
      <c r="Q57" s="1">
        <f>MONTH(tblPurchases[[#This Row],[Date]])</f>
        <v>5</v>
      </c>
      <c r="R57" s="1">
        <f>IF(tblPurchases[[#This Row],[Payment Date]]="",0,IF(YEAR(tblPurchases[[#This Row],[Payment Date]])=FYear,MONTH(tblPurchases[[#This Row],[Payment Date]]),0))</f>
        <v>5</v>
      </c>
    </row>
    <row r="58" spans="2:18" x14ac:dyDescent="0.35">
      <c r="B58" s="113">
        <v>46162</v>
      </c>
      <c r="C58" s="4" t="s">
        <v>5389</v>
      </c>
      <c r="D58" s="4" t="s">
        <v>4674</v>
      </c>
      <c r="E58" s="1" t="str">
        <f>_xlfn.XLOOKUP(tblPurchases[[#This Row],[Vendor ID]],tblVendors[Vendor ID],tblVendors[Vendor Name],"⚠ Unknown")</f>
        <v>CV Aneka Grosir Jaya</v>
      </c>
      <c r="F58" s="4" t="s">
        <v>5522</v>
      </c>
      <c r="G58" s="4">
        <v>1310</v>
      </c>
      <c r="H58" s="1" t="str">
        <f>_xlfn.XLOOKUP(tblPurchases[[#This Row],[Account Code]],tblCOA[Code],tblCOA[Account Name],"⚠ Invalid")</f>
        <v>Merchandise inventory</v>
      </c>
      <c r="I58" s="6">
        <v>101084000</v>
      </c>
      <c r="J58" s="5">
        <f>IF(_xlfn.XLOOKUP(tblPurchases[[#This Row],[Vendor ID]],tblVendors[Vendor ID],tblVendors[VAT Status],"")="PKP",ROUND(tblPurchases[[#This Row],[DPP (excl. VAT)]]*VATEff,0),0)</f>
        <v>0</v>
      </c>
      <c r="K58" s="1" t="str">
        <f>_xlfn.XLOOKUP(tblPurchases[[#This Row],[Vendor ID]],tblVendors[Vendor ID],tblVendors[WHT Type],"None")</f>
        <v>None</v>
      </c>
      <c r="L58" s="118">
        <f>_xlfn.XLOOKUP(tblPurchases[[#This Row],[WHT Type]],WHTTypes,WHTRates,0)</f>
        <v>0</v>
      </c>
      <c r="M58" s="5">
        <f>ROUND(tblPurchases[[#This Row],[DPP (excl. VAT)]]*tblPurchases[[#This Row],[WHT Rate]],0)</f>
        <v>0</v>
      </c>
      <c r="N58" s="5">
        <f>tblPurchases[[#This Row],[DPP (excl. VAT)]]+tblPurchases[[#This Row],[Input VAT]]-tblPurchases[[#This Row],[WHT Amount]]</f>
        <v>101084000</v>
      </c>
      <c r="O58" s="113">
        <v>46169</v>
      </c>
      <c r="P58" s="4">
        <v>1120</v>
      </c>
      <c r="Q58" s="1">
        <f>MONTH(tblPurchases[[#This Row],[Date]])</f>
        <v>5</v>
      </c>
      <c r="R58" s="1">
        <f>IF(tblPurchases[[#This Row],[Payment Date]]="",0,IF(YEAR(tblPurchases[[#This Row],[Payment Date]])=FYear,MONTH(tblPurchases[[#This Row],[Payment Date]]),0))</f>
        <v>5</v>
      </c>
    </row>
    <row r="59" spans="2:18" x14ac:dyDescent="0.35">
      <c r="B59" s="113">
        <v>46169</v>
      </c>
      <c r="C59" s="4" t="s">
        <v>5390</v>
      </c>
      <c r="D59" s="4" t="s">
        <v>4705</v>
      </c>
      <c r="E59" s="1" t="str">
        <f>_xlfn.XLOOKUP(tblPurchases[[#This Row],[Vendor ID]],tblVendors[Vendor ID],tblVendors[Vendor Name],"⚠ Unknown")</f>
        <v>PT Ekspedisi Cepat Nusantara</v>
      </c>
      <c r="F59" s="4" t="s">
        <v>5523</v>
      </c>
      <c r="G59" s="4">
        <v>6140</v>
      </c>
      <c r="H59" s="1" t="str">
        <f>_xlfn.XLOOKUP(tblPurchases[[#This Row],[Account Code]],tblCOA[Code],tblCOA[Account Name],"⚠ Invalid")</f>
        <v>Shipping &amp; Delivery</v>
      </c>
      <c r="I59" s="6">
        <v>9767000</v>
      </c>
      <c r="J59" s="5">
        <f>IF(_xlfn.XLOOKUP(tblPurchases[[#This Row],[Vendor ID]],tblVendors[Vendor ID],tblVendors[VAT Status],"")="PKP",ROUND(tblPurchases[[#This Row],[DPP (excl. VAT)]]*VATEff,0),0)</f>
        <v>1074370</v>
      </c>
      <c r="K59" s="1" t="str">
        <f>_xlfn.XLOOKUP(tblPurchases[[#This Row],[Vendor ID]],tblVendors[Vendor ID],tblVendors[WHT Type],"None")</f>
        <v>Art. 23 - Services</v>
      </c>
      <c r="L59" s="118">
        <f>_xlfn.XLOOKUP(tblPurchases[[#This Row],[WHT Type]],WHTTypes,WHTRates,0)</f>
        <v>0.02</v>
      </c>
      <c r="M59" s="5">
        <f>ROUND(tblPurchases[[#This Row],[DPP (excl. VAT)]]*tblPurchases[[#This Row],[WHT Rate]],0)</f>
        <v>195340</v>
      </c>
      <c r="N59" s="5">
        <f>tblPurchases[[#This Row],[DPP (excl. VAT)]]+tblPurchases[[#This Row],[Input VAT]]-tblPurchases[[#This Row],[WHT Amount]]</f>
        <v>10646030</v>
      </c>
      <c r="O59" s="113">
        <v>46183</v>
      </c>
      <c r="P59" s="4">
        <v>1120</v>
      </c>
      <c r="Q59" s="1">
        <f>MONTH(tblPurchases[[#This Row],[Date]])</f>
        <v>5</v>
      </c>
      <c r="R59" s="1">
        <f>IF(tblPurchases[[#This Row],[Payment Date]]="",0,IF(YEAR(tblPurchases[[#This Row],[Payment Date]])=FYear,MONTH(tblPurchases[[#This Row],[Payment Date]]),0))</f>
        <v>6</v>
      </c>
    </row>
    <row r="60" spans="2:18" x14ac:dyDescent="0.35">
      <c r="B60" s="113">
        <v>46170</v>
      </c>
      <c r="C60" s="4" t="s">
        <v>5391</v>
      </c>
      <c r="D60" s="4" t="s">
        <v>4699</v>
      </c>
      <c r="E60" s="1" t="str">
        <f>_xlfn.XLOOKUP(tblPurchases[[#This Row],[Vendor ID]],tblVendors[Vendor ID],tblVendors[Vendor Name],"⚠ Unknown")</f>
        <v>PT Kreasi Iklan Digital</v>
      </c>
      <c r="F60" s="4" t="s">
        <v>5524</v>
      </c>
      <c r="G60" s="4">
        <v>6120</v>
      </c>
      <c r="H60" s="1" t="str">
        <f>_xlfn.XLOOKUP(tblPurchases[[#This Row],[Account Code]],tblCOA[Code],tblCOA[Account Name],"⚠ Invalid")</f>
        <v>Advertising &amp; Promotion</v>
      </c>
      <c r="I60" s="6">
        <v>11937000</v>
      </c>
      <c r="J60" s="5">
        <f>IF(_xlfn.XLOOKUP(tblPurchases[[#This Row],[Vendor ID]],tblVendors[Vendor ID],tblVendors[VAT Status],"")="PKP",ROUND(tblPurchases[[#This Row],[DPP (excl. VAT)]]*VATEff,0),0)</f>
        <v>1313070</v>
      </c>
      <c r="K60" s="1" t="str">
        <f>_xlfn.XLOOKUP(tblPurchases[[#This Row],[Vendor ID]],tblVendors[Vendor ID],tblVendors[WHT Type],"None")</f>
        <v>Art. 23 - Services</v>
      </c>
      <c r="L60" s="118">
        <f>_xlfn.XLOOKUP(tblPurchases[[#This Row],[WHT Type]],WHTTypes,WHTRates,0)</f>
        <v>0.02</v>
      </c>
      <c r="M60" s="5">
        <f>ROUND(tblPurchases[[#This Row],[DPP (excl. VAT)]]*tblPurchases[[#This Row],[WHT Rate]],0)</f>
        <v>238740</v>
      </c>
      <c r="N60" s="5">
        <f>tblPurchases[[#This Row],[DPP (excl. VAT)]]+tblPurchases[[#This Row],[Input VAT]]-tblPurchases[[#This Row],[WHT Amount]]</f>
        <v>13011330</v>
      </c>
      <c r="O60" s="113">
        <v>46200</v>
      </c>
      <c r="P60" s="4">
        <v>1120</v>
      </c>
      <c r="Q60" s="1">
        <f>MONTH(tblPurchases[[#This Row],[Date]])</f>
        <v>5</v>
      </c>
      <c r="R60" s="1">
        <f>IF(tblPurchases[[#This Row],[Payment Date]]="",0,IF(YEAR(tblPurchases[[#This Row],[Payment Date]])=FYear,MONTH(tblPurchases[[#This Row],[Payment Date]]),0))</f>
        <v>6</v>
      </c>
    </row>
    <row r="61" spans="2:18" x14ac:dyDescent="0.35">
      <c r="B61" s="113">
        <v>46173</v>
      </c>
      <c r="C61" s="4" t="s">
        <v>5392</v>
      </c>
      <c r="D61" s="4" t="s">
        <v>4735</v>
      </c>
      <c r="E61" s="1" t="str">
        <f>_xlfn.XLOOKUP(tblPurchases[[#This Row],[Vendor ID]],tblVendors[Vendor ID],tblVendors[Vendor Name],"⚠ Unknown")</f>
        <v>PT Marketplace Niaga Online</v>
      </c>
      <c r="F61" s="4" t="s">
        <v>5525</v>
      </c>
      <c r="G61" s="4">
        <v>6130</v>
      </c>
      <c r="H61" s="1" t="str">
        <f>_xlfn.XLOOKUP(tblPurchases[[#This Row],[Account Code]],tblCOA[Code],tblCOA[Account Name],"⚠ Invalid")</f>
        <v>Marketplace &amp; Sales Commissions</v>
      </c>
      <c r="I61" s="6">
        <v>2837000</v>
      </c>
      <c r="J61" s="5">
        <f>IF(_xlfn.XLOOKUP(tblPurchases[[#This Row],[Vendor ID]],tblVendors[Vendor ID],tblVendors[VAT Status],"")="PKP",ROUND(tblPurchases[[#This Row],[DPP (excl. VAT)]]*VATEff,0),0)</f>
        <v>312070</v>
      </c>
      <c r="K61" s="1" t="str">
        <f>_xlfn.XLOOKUP(tblPurchases[[#This Row],[Vendor ID]],tblVendors[Vendor ID],tblVendors[WHT Type],"None")</f>
        <v>Art. 23 - Services</v>
      </c>
      <c r="L61" s="118">
        <f>_xlfn.XLOOKUP(tblPurchases[[#This Row],[WHT Type]],WHTTypes,WHTRates,0)</f>
        <v>0.02</v>
      </c>
      <c r="M61" s="5">
        <f>ROUND(tblPurchases[[#This Row],[DPP (excl. VAT)]]*tblPurchases[[#This Row],[WHT Rate]],0)</f>
        <v>56740</v>
      </c>
      <c r="N61" s="5">
        <f>tblPurchases[[#This Row],[DPP (excl. VAT)]]+tblPurchases[[#This Row],[Input VAT]]-tblPurchases[[#This Row],[WHT Amount]]</f>
        <v>3092330</v>
      </c>
      <c r="O61" s="113">
        <v>46183</v>
      </c>
      <c r="P61" s="4">
        <v>1120</v>
      </c>
      <c r="Q61" s="1">
        <f>MONTH(tblPurchases[[#This Row],[Date]])</f>
        <v>5</v>
      </c>
      <c r="R61" s="1">
        <f>IF(tblPurchases[[#This Row],[Payment Date]]="",0,IF(YEAR(tblPurchases[[#This Row],[Payment Date]])=FYear,MONTH(tblPurchases[[#This Row],[Payment Date]]),0))</f>
        <v>6</v>
      </c>
    </row>
    <row r="62" spans="2:18" x14ac:dyDescent="0.35">
      <c r="B62" s="113">
        <v>46178</v>
      </c>
      <c r="C62" s="4" t="s">
        <v>5393</v>
      </c>
      <c r="D62" s="4" t="s">
        <v>4662</v>
      </c>
      <c r="E62" s="1" t="str">
        <f>_xlfn.XLOOKUP(tblPurchases[[#This Row],[Vendor ID]],tblVendors[Vendor ID],tblVendors[Vendor Name],"⚠ Unknown")</f>
        <v>PT Sumber Barang Utama</v>
      </c>
      <c r="F62" s="4" t="s">
        <v>5526</v>
      </c>
      <c r="G62" s="4">
        <v>1310</v>
      </c>
      <c r="H62" s="1" t="str">
        <f>_xlfn.XLOOKUP(tblPurchases[[#This Row],[Account Code]],tblCOA[Code],tblCOA[Account Name],"⚠ Invalid")</f>
        <v>Merchandise inventory</v>
      </c>
      <c r="I62" s="6">
        <v>344599000</v>
      </c>
      <c r="J62" s="5">
        <f>IF(_xlfn.XLOOKUP(tblPurchases[[#This Row],[Vendor ID]],tblVendors[Vendor ID],tblVendors[VAT Status],"")="PKP",ROUND(tblPurchases[[#This Row],[DPP (excl. VAT)]]*VATEff,0),0)</f>
        <v>37905890</v>
      </c>
      <c r="K62" s="1" t="str">
        <f>_xlfn.XLOOKUP(tblPurchases[[#This Row],[Vendor ID]],tblVendors[Vendor ID],tblVendors[WHT Type],"None")</f>
        <v>None</v>
      </c>
      <c r="L62" s="118">
        <f>_xlfn.XLOOKUP(tblPurchases[[#This Row],[WHT Type]],WHTTypes,WHTRates,0)</f>
        <v>0</v>
      </c>
      <c r="M62" s="5">
        <f>ROUND(tblPurchases[[#This Row],[DPP (excl. VAT)]]*tblPurchases[[#This Row],[WHT Rate]],0)</f>
        <v>0</v>
      </c>
      <c r="N62" s="5">
        <f>tblPurchases[[#This Row],[DPP (excl. VAT)]]+tblPurchases[[#This Row],[Input VAT]]-tblPurchases[[#This Row],[WHT Amount]]</f>
        <v>382504890</v>
      </c>
      <c r="O62" s="113">
        <v>46208</v>
      </c>
      <c r="P62" s="4">
        <v>1120</v>
      </c>
      <c r="Q62" s="1">
        <f>MONTH(tblPurchases[[#This Row],[Date]])</f>
        <v>6</v>
      </c>
      <c r="R62" s="1">
        <f>IF(tblPurchases[[#This Row],[Payment Date]]="",0,IF(YEAR(tblPurchases[[#This Row],[Payment Date]])=FYear,MONTH(tblPurchases[[#This Row],[Payment Date]]),0))</f>
        <v>7</v>
      </c>
    </row>
    <row r="63" spans="2:18" x14ac:dyDescent="0.35">
      <c r="B63" s="113">
        <v>46178</v>
      </c>
      <c r="C63" s="4" t="s">
        <v>5394</v>
      </c>
      <c r="D63" s="4" t="s">
        <v>4711</v>
      </c>
      <c r="E63" s="1" t="str">
        <f>_xlfn.XLOOKUP(tblPurchases[[#This Row],[Vendor ID]],tblVendors[Vendor ID],tblVendors[Vendor Name],"⚠ Unknown")</f>
        <v>PT Utilitas Listrik &amp; Telekom</v>
      </c>
      <c r="F63" s="4" t="s">
        <v>5527</v>
      </c>
      <c r="G63" s="4">
        <v>6230</v>
      </c>
      <c r="H63" s="1" t="str">
        <f>_xlfn.XLOOKUP(tblPurchases[[#This Row],[Account Code]],tblCOA[Code],tblCOA[Account Name],"⚠ Invalid")</f>
        <v>Utilities &amp; Telecommunication</v>
      </c>
      <c r="I63" s="6">
        <v>12902000</v>
      </c>
      <c r="J63" s="5">
        <f>IF(_xlfn.XLOOKUP(tblPurchases[[#This Row],[Vendor ID]],tblVendors[Vendor ID],tblVendors[VAT Status],"")="PKP",ROUND(tblPurchases[[#This Row],[DPP (excl. VAT)]]*VATEff,0),0)</f>
        <v>1419220</v>
      </c>
      <c r="K63" s="1" t="str">
        <f>_xlfn.XLOOKUP(tblPurchases[[#This Row],[Vendor ID]],tblVendors[Vendor ID],tblVendors[WHT Type],"None")</f>
        <v>None</v>
      </c>
      <c r="L63" s="118">
        <f>_xlfn.XLOOKUP(tblPurchases[[#This Row],[WHT Type]],WHTTypes,WHTRates,0)</f>
        <v>0</v>
      </c>
      <c r="M63" s="5">
        <f>ROUND(tblPurchases[[#This Row],[DPP (excl. VAT)]]*tblPurchases[[#This Row],[WHT Rate]],0)</f>
        <v>0</v>
      </c>
      <c r="N63" s="5">
        <f>tblPurchases[[#This Row],[DPP (excl. VAT)]]+tblPurchases[[#This Row],[Input VAT]]-tblPurchases[[#This Row],[WHT Amount]]</f>
        <v>14321220</v>
      </c>
      <c r="O63" s="113">
        <v>46193</v>
      </c>
      <c r="P63" s="4">
        <v>1120</v>
      </c>
      <c r="Q63" s="1">
        <f>MONTH(tblPurchases[[#This Row],[Date]])</f>
        <v>6</v>
      </c>
      <c r="R63" s="1">
        <f>IF(tblPurchases[[#This Row],[Payment Date]]="",0,IF(YEAR(tblPurchases[[#This Row],[Payment Date]])=FYear,MONTH(tblPurchases[[#This Row],[Payment Date]]),0))</f>
        <v>6</v>
      </c>
    </row>
    <row r="64" spans="2:18" x14ac:dyDescent="0.35">
      <c r="B64" s="113">
        <v>46183</v>
      </c>
      <c r="C64" s="4" t="s">
        <v>5395</v>
      </c>
      <c r="D64" s="4" t="s">
        <v>4729</v>
      </c>
      <c r="E64" s="1" t="str">
        <f>_xlfn.XLOOKUP(tblPurchases[[#This Row],[Vendor ID]],tblVendors[Vendor ID],tblVendors[Vendor Name],"⚠ Unknown")</f>
        <v>Toko ATK Sentosa</v>
      </c>
      <c r="F64" s="4" t="s">
        <v>5528</v>
      </c>
      <c r="G64" s="4">
        <v>6270</v>
      </c>
      <c r="H64" s="1" t="str">
        <f>_xlfn.XLOOKUP(tblPurchases[[#This Row],[Account Code]],tblCOA[Code],tblCOA[Account Name],"⚠ Invalid")</f>
        <v>Office Supplies</v>
      </c>
      <c r="I64" s="6">
        <v>3229000</v>
      </c>
      <c r="J64" s="5">
        <f>IF(_xlfn.XLOOKUP(tblPurchases[[#This Row],[Vendor ID]],tblVendors[Vendor ID],tblVendors[VAT Status],"")="PKP",ROUND(tblPurchases[[#This Row],[DPP (excl. VAT)]]*VATEff,0),0)</f>
        <v>0</v>
      </c>
      <c r="K64" s="1" t="str">
        <f>_xlfn.XLOOKUP(tblPurchases[[#This Row],[Vendor ID]],tblVendors[Vendor ID],tblVendors[WHT Type],"None")</f>
        <v>None</v>
      </c>
      <c r="L64" s="118">
        <f>_xlfn.XLOOKUP(tblPurchases[[#This Row],[WHT Type]],WHTTypes,WHTRates,0)</f>
        <v>0</v>
      </c>
      <c r="M64" s="5">
        <f>ROUND(tblPurchases[[#This Row],[DPP (excl. VAT)]]*tblPurchases[[#This Row],[WHT Rate]],0)</f>
        <v>0</v>
      </c>
      <c r="N64" s="5">
        <f>tblPurchases[[#This Row],[DPP (excl. VAT)]]+tblPurchases[[#This Row],[Input VAT]]-tblPurchases[[#This Row],[WHT Amount]]</f>
        <v>3229000</v>
      </c>
      <c r="O64" s="113">
        <v>46183</v>
      </c>
      <c r="P64" s="4">
        <v>1120</v>
      </c>
      <c r="Q64" s="1">
        <f>MONTH(tblPurchases[[#This Row],[Date]])</f>
        <v>6</v>
      </c>
      <c r="R64" s="1">
        <f>IF(tblPurchases[[#This Row],[Payment Date]]="",0,IF(YEAR(tblPurchases[[#This Row],[Payment Date]])=FYear,MONTH(tblPurchases[[#This Row],[Payment Date]]),0))</f>
        <v>6</v>
      </c>
    </row>
    <row r="65" spans="2:18" x14ac:dyDescent="0.35">
      <c r="B65" s="113">
        <v>46185</v>
      </c>
      <c r="C65" s="4" t="s">
        <v>5396</v>
      </c>
      <c r="D65" s="4" t="s">
        <v>4669</v>
      </c>
      <c r="E65" s="1" t="str">
        <f>_xlfn.XLOOKUP(tblPurchases[[#This Row],[Vendor ID]],tblVendors[Vendor ID],tblVendors[Vendor Name],"⚠ Unknown")</f>
        <v>PT Prima Supply Nusantara</v>
      </c>
      <c r="F65" s="4" t="s">
        <v>5529</v>
      </c>
      <c r="G65" s="4">
        <v>1310</v>
      </c>
      <c r="H65" s="1" t="str">
        <f>_xlfn.XLOOKUP(tblPurchases[[#This Row],[Account Code]],tblCOA[Code],tblCOA[Account Name],"⚠ Invalid")</f>
        <v>Merchandise inventory</v>
      </c>
      <c r="I65" s="6">
        <v>241220000</v>
      </c>
      <c r="J65" s="5">
        <f>IF(_xlfn.XLOOKUP(tblPurchases[[#This Row],[Vendor ID]],tblVendors[Vendor ID],tblVendors[VAT Status],"")="PKP",ROUND(tblPurchases[[#This Row],[DPP (excl. VAT)]]*VATEff,0),0)</f>
        <v>26534200</v>
      </c>
      <c r="K65" s="1" t="str">
        <f>_xlfn.XLOOKUP(tblPurchases[[#This Row],[Vendor ID]],tblVendors[Vendor ID],tblVendors[WHT Type],"None")</f>
        <v>None</v>
      </c>
      <c r="L65" s="118">
        <f>_xlfn.XLOOKUP(tblPurchases[[#This Row],[WHT Type]],WHTTypes,WHTRates,0)</f>
        <v>0</v>
      </c>
      <c r="M65" s="5">
        <f>ROUND(tblPurchases[[#This Row],[DPP (excl. VAT)]]*tblPurchases[[#This Row],[WHT Rate]],0)</f>
        <v>0</v>
      </c>
      <c r="N65" s="5">
        <f>tblPurchases[[#This Row],[DPP (excl. VAT)]]+tblPurchases[[#This Row],[Input VAT]]-tblPurchases[[#This Row],[WHT Amount]]</f>
        <v>267754200</v>
      </c>
      <c r="O65" s="113">
        <v>46215</v>
      </c>
      <c r="P65" s="4">
        <v>1120</v>
      </c>
      <c r="Q65" s="1">
        <f>MONTH(tblPurchases[[#This Row],[Date]])</f>
        <v>6</v>
      </c>
      <c r="R65" s="1">
        <f>IF(tblPurchases[[#This Row],[Payment Date]]="",0,IF(YEAR(tblPurchases[[#This Row],[Payment Date]])=FYear,MONTH(tblPurchases[[#This Row],[Payment Date]]),0))</f>
        <v>7</v>
      </c>
    </row>
    <row r="66" spans="2:18" x14ac:dyDescent="0.35">
      <c r="B66" s="113">
        <v>46185</v>
      </c>
      <c r="C66" s="4" t="s">
        <v>5397</v>
      </c>
      <c r="D66" s="4" t="s">
        <v>4753</v>
      </c>
      <c r="E66" s="1" t="str">
        <f>_xlfn.XLOOKUP(tblPurchases[[#This Row],[Vendor ID]],tblVendors[Vendor ID],tblVendors[Vendor Name],"⚠ Unknown")</f>
        <v>PT Solusi ERP Nusantara</v>
      </c>
      <c r="F66" s="4" t="s">
        <v>5530</v>
      </c>
      <c r="G66" s="4">
        <v>1710</v>
      </c>
      <c r="H66" s="1" t="str">
        <f>_xlfn.XLOOKUP(tblPurchases[[#This Row],[Account Code]],tblCOA[Code],tblCOA[Account Name],"⚠ Invalid")</f>
        <v>Software &amp; Licenses</v>
      </c>
      <c r="I66" s="6">
        <v>60000000</v>
      </c>
      <c r="J66" s="5">
        <f>IF(_xlfn.XLOOKUP(tblPurchases[[#This Row],[Vendor ID]],tblVendors[Vendor ID],tblVendors[VAT Status],"")="PKP",ROUND(tblPurchases[[#This Row],[DPP (excl. VAT)]]*VATEff,0),0)</f>
        <v>6600000</v>
      </c>
      <c r="K66" s="1" t="str">
        <f>_xlfn.XLOOKUP(tblPurchases[[#This Row],[Vendor ID]],tblVendors[Vendor ID],tblVendors[WHT Type],"None")</f>
        <v>None</v>
      </c>
      <c r="L66" s="118">
        <f>_xlfn.XLOOKUP(tblPurchases[[#This Row],[WHT Type]],WHTTypes,WHTRates,0)</f>
        <v>0</v>
      </c>
      <c r="M66" s="5">
        <f>ROUND(tblPurchases[[#This Row],[DPP (excl. VAT)]]*tblPurchases[[#This Row],[WHT Rate]],0)</f>
        <v>0</v>
      </c>
      <c r="N66" s="5">
        <f>tblPurchases[[#This Row],[DPP (excl. VAT)]]+tblPurchases[[#This Row],[Input VAT]]-tblPurchases[[#This Row],[WHT Amount]]</f>
        <v>66600000</v>
      </c>
      <c r="O66" s="113">
        <v>46199</v>
      </c>
      <c r="P66" s="4">
        <v>1120</v>
      </c>
      <c r="Q66" s="1">
        <f>MONTH(tblPurchases[[#This Row],[Date]])</f>
        <v>6</v>
      </c>
      <c r="R66" s="1">
        <f>IF(tblPurchases[[#This Row],[Payment Date]]="",0,IF(YEAR(tblPurchases[[#This Row],[Payment Date]])=FYear,MONTH(tblPurchases[[#This Row],[Payment Date]]),0))</f>
        <v>6</v>
      </c>
    </row>
    <row r="67" spans="2:18" x14ac:dyDescent="0.35">
      <c r="B67" s="113">
        <v>46188</v>
      </c>
      <c r="C67" s="4" t="s">
        <v>5398</v>
      </c>
      <c r="D67" s="4" t="s">
        <v>4723</v>
      </c>
      <c r="E67" s="1" t="str">
        <f>_xlfn.XLOOKUP(tblPurchases[[#This Row],[Vendor ID]],tblVendors[Vendor ID],tblVendors[Vendor Name],"⚠ Unknown")</f>
        <v>CV Teknik Servis Mandiri</v>
      </c>
      <c r="F67" s="4" t="s">
        <v>5531</v>
      </c>
      <c r="G67" s="4">
        <v>6295</v>
      </c>
      <c r="H67" s="1" t="str">
        <f>_xlfn.XLOOKUP(tblPurchases[[#This Row],[Account Code]],tblCOA[Code],tblCOA[Account Name],"⚠ Invalid")</f>
        <v>Repairs &amp; Maintenance</v>
      </c>
      <c r="I67" s="6">
        <v>3533000</v>
      </c>
      <c r="J67" s="5">
        <f>IF(_xlfn.XLOOKUP(tblPurchases[[#This Row],[Vendor ID]],tblVendors[Vendor ID],tblVendors[VAT Status],"")="PKP",ROUND(tblPurchases[[#This Row],[DPP (excl. VAT)]]*VATEff,0),0)</f>
        <v>0</v>
      </c>
      <c r="K67" s="1" t="str">
        <f>_xlfn.XLOOKUP(tblPurchases[[#This Row],[Vendor ID]],tblVendors[Vendor ID],tblVendors[WHT Type],"None")</f>
        <v>Art. 23 - Services</v>
      </c>
      <c r="L67" s="118">
        <f>_xlfn.XLOOKUP(tblPurchases[[#This Row],[WHT Type]],WHTTypes,WHTRates,0)</f>
        <v>0.02</v>
      </c>
      <c r="M67" s="5">
        <f>ROUND(tblPurchases[[#This Row],[DPP (excl. VAT)]]*tblPurchases[[#This Row],[WHT Rate]],0)</f>
        <v>70660</v>
      </c>
      <c r="N67" s="5">
        <f>tblPurchases[[#This Row],[DPP (excl. VAT)]]+tblPurchases[[#This Row],[Input VAT]]-tblPurchases[[#This Row],[WHT Amount]]</f>
        <v>3462340</v>
      </c>
      <c r="O67" s="113">
        <v>46195</v>
      </c>
      <c r="P67" s="4">
        <v>1120</v>
      </c>
      <c r="Q67" s="1">
        <f>MONTH(tblPurchases[[#This Row],[Date]])</f>
        <v>6</v>
      </c>
      <c r="R67" s="1">
        <f>IF(tblPurchases[[#This Row],[Payment Date]]="",0,IF(YEAR(tblPurchases[[#This Row],[Payment Date]])=FYear,MONTH(tblPurchases[[#This Row],[Payment Date]]),0))</f>
        <v>6</v>
      </c>
    </row>
    <row r="68" spans="2:18" x14ac:dyDescent="0.35">
      <c r="B68" s="113">
        <v>46191</v>
      </c>
      <c r="C68" s="4" t="s">
        <v>5399</v>
      </c>
      <c r="D68" s="4" t="s">
        <v>4759</v>
      </c>
      <c r="E68" s="1" t="str">
        <f>_xlfn.XLOOKUP(tblPurchases[[#This Row],[Vendor ID]],tblVendors[Vendor ID],tblVendors[Vendor Name],"⚠ Unknown")</f>
        <v>Various Restaurants &amp; Donations</v>
      </c>
      <c r="F68" s="4" t="s">
        <v>5532</v>
      </c>
      <c r="G68" s="4">
        <v>6296</v>
      </c>
      <c r="H68" s="1" t="str">
        <f>_xlfn.XLOOKUP(tblPurchases[[#This Row],[Account Code]],tblCOA[Code],tblCOA[Account Name],"⚠ Invalid")</f>
        <v>Entertainment &amp; Donations</v>
      </c>
      <c r="I68" s="6">
        <v>2316000</v>
      </c>
      <c r="J68" s="5">
        <f>IF(_xlfn.XLOOKUP(tblPurchases[[#This Row],[Vendor ID]],tblVendors[Vendor ID],tblVendors[VAT Status],"")="PKP",ROUND(tblPurchases[[#This Row],[DPP (excl. VAT)]]*VATEff,0),0)</f>
        <v>0</v>
      </c>
      <c r="K68" s="1" t="str">
        <f>_xlfn.XLOOKUP(tblPurchases[[#This Row],[Vendor ID]],tblVendors[Vendor ID],tblVendors[WHT Type],"None")</f>
        <v>None</v>
      </c>
      <c r="L68" s="118">
        <f>_xlfn.XLOOKUP(tblPurchases[[#This Row],[WHT Type]],WHTTypes,WHTRates,0)</f>
        <v>0</v>
      </c>
      <c r="M68" s="5">
        <f>ROUND(tblPurchases[[#This Row],[DPP (excl. VAT)]]*tblPurchases[[#This Row],[WHT Rate]],0)</f>
        <v>0</v>
      </c>
      <c r="N68" s="5">
        <f>tblPurchases[[#This Row],[DPP (excl. VAT)]]+tblPurchases[[#This Row],[Input VAT]]-tblPurchases[[#This Row],[WHT Amount]]</f>
        <v>2316000</v>
      </c>
      <c r="O68" s="113">
        <v>46191</v>
      </c>
      <c r="P68" s="4">
        <v>1120</v>
      </c>
      <c r="Q68" s="1">
        <f>MONTH(tblPurchases[[#This Row],[Date]])</f>
        <v>6</v>
      </c>
      <c r="R68" s="1">
        <f>IF(tblPurchases[[#This Row],[Payment Date]]="",0,IF(YEAR(tblPurchases[[#This Row],[Payment Date]])=FYear,MONTH(tblPurchases[[#This Row],[Payment Date]]),0))</f>
        <v>6</v>
      </c>
    </row>
    <row r="69" spans="2:18" x14ac:dyDescent="0.35">
      <c r="B69" s="113">
        <v>46193</v>
      </c>
      <c r="C69" s="4" t="s">
        <v>5400</v>
      </c>
      <c r="D69" s="4" t="s">
        <v>4674</v>
      </c>
      <c r="E69" s="1" t="str">
        <f>_xlfn.XLOOKUP(tblPurchases[[#This Row],[Vendor ID]],tblVendors[Vendor ID],tblVendors[Vendor Name],"⚠ Unknown")</f>
        <v>CV Aneka Grosir Jaya</v>
      </c>
      <c r="F69" s="4" t="s">
        <v>5533</v>
      </c>
      <c r="G69" s="4">
        <v>1310</v>
      </c>
      <c r="H69" s="1" t="str">
        <f>_xlfn.XLOOKUP(tblPurchases[[#This Row],[Account Code]],tblCOA[Code],tblCOA[Account Name],"⚠ Invalid")</f>
        <v>Merchandise inventory</v>
      </c>
      <c r="I69" s="6">
        <v>103380000</v>
      </c>
      <c r="J69" s="5">
        <f>IF(_xlfn.XLOOKUP(tblPurchases[[#This Row],[Vendor ID]],tblVendors[Vendor ID],tblVendors[VAT Status],"")="PKP",ROUND(tblPurchases[[#This Row],[DPP (excl. VAT)]]*VATEff,0),0)</f>
        <v>0</v>
      </c>
      <c r="K69" s="1" t="str">
        <f>_xlfn.XLOOKUP(tblPurchases[[#This Row],[Vendor ID]],tblVendors[Vendor ID],tblVendors[WHT Type],"None")</f>
        <v>None</v>
      </c>
      <c r="L69" s="118">
        <f>_xlfn.XLOOKUP(tblPurchases[[#This Row],[WHT Type]],WHTTypes,WHTRates,0)</f>
        <v>0</v>
      </c>
      <c r="M69" s="5">
        <f>ROUND(tblPurchases[[#This Row],[DPP (excl. VAT)]]*tblPurchases[[#This Row],[WHT Rate]],0)</f>
        <v>0</v>
      </c>
      <c r="N69" s="5">
        <f>tblPurchases[[#This Row],[DPP (excl. VAT)]]+tblPurchases[[#This Row],[Input VAT]]-tblPurchases[[#This Row],[WHT Amount]]</f>
        <v>103380000</v>
      </c>
      <c r="O69" s="113">
        <v>46200</v>
      </c>
      <c r="P69" s="4">
        <v>1120</v>
      </c>
      <c r="Q69" s="1">
        <f>MONTH(tblPurchases[[#This Row],[Date]])</f>
        <v>6</v>
      </c>
      <c r="R69" s="1">
        <f>IF(tblPurchases[[#This Row],[Payment Date]]="",0,IF(YEAR(tblPurchases[[#This Row],[Payment Date]])=FYear,MONTH(tblPurchases[[#This Row],[Payment Date]]),0))</f>
        <v>6</v>
      </c>
    </row>
    <row r="70" spans="2:18" x14ac:dyDescent="0.35">
      <c r="B70" s="113">
        <v>46193</v>
      </c>
      <c r="C70" s="4" t="s">
        <v>5401</v>
      </c>
      <c r="D70" s="4" t="s">
        <v>4717</v>
      </c>
      <c r="E70" s="1" t="str">
        <f>_xlfn.XLOOKUP(tblPurchases[[#This Row],[Vendor ID]],tblVendors[Vendor ID],tblVendors[Vendor Name],"⚠ Unknown")</f>
        <v>KKP Mitra Pajak &amp; Konsultan</v>
      </c>
      <c r="F70" s="4" t="s">
        <v>5534</v>
      </c>
      <c r="G70" s="4">
        <v>6280</v>
      </c>
      <c r="H70" s="1" t="str">
        <f>_xlfn.XLOOKUP(tblPurchases[[#This Row],[Account Code]],tblCOA[Code],tblCOA[Account Name],"⚠ Invalid")</f>
        <v>Professional Fees</v>
      </c>
      <c r="I70" s="6">
        <v>25000000</v>
      </c>
      <c r="J70" s="5">
        <f>IF(_xlfn.XLOOKUP(tblPurchases[[#This Row],[Vendor ID]],tblVendors[Vendor ID],tblVendors[VAT Status],"")="PKP",ROUND(tblPurchases[[#This Row],[DPP (excl. VAT)]]*VATEff,0),0)</f>
        <v>2750000</v>
      </c>
      <c r="K70" s="1" t="str">
        <f>_xlfn.XLOOKUP(tblPurchases[[#This Row],[Vendor ID]],tblVendors[Vendor ID],tblVendors[WHT Type],"None")</f>
        <v>Art. 23 - Services</v>
      </c>
      <c r="L70" s="118">
        <f>_xlfn.XLOOKUP(tblPurchases[[#This Row],[WHT Type]],WHTTypes,WHTRates,0)</f>
        <v>0.02</v>
      </c>
      <c r="M70" s="5">
        <f>ROUND(tblPurchases[[#This Row],[DPP (excl. VAT)]]*tblPurchases[[#This Row],[WHT Rate]],0)</f>
        <v>500000</v>
      </c>
      <c r="N70" s="5">
        <f>tblPurchases[[#This Row],[DPP (excl. VAT)]]+tblPurchases[[#This Row],[Input VAT]]-tblPurchases[[#This Row],[WHT Amount]]</f>
        <v>27250000</v>
      </c>
      <c r="O70" s="113">
        <v>46207</v>
      </c>
      <c r="P70" s="4">
        <v>1120</v>
      </c>
      <c r="Q70" s="1">
        <f>MONTH(tblPurchases[[#This Row],[Date]])</f>
        <v>6</v>
      </c>
      <c r="R70" s="1">
        <f>IF(tblPurchases[[#This Row],[Payment Date]]="",0,IF(YEAR(tblPurchases[[#This Row],[Payment Date]])=FYear,MONTH(tblPurchases[[#This Row],[Payment Date]]),0))</f>
        <v>7</v>
      </c>
    </row>
    <row r="71" spans="2:18" x14ac:dyDescent="0.35">
      <c r="B71" s="113">
        <v>46197</v>
      </c>
      <c r="C71" s="4" t="s">
        <v>5402</v>
      </c>
      <c r="D71" s="4" t="s">
        <v>4693</v>
      </c>
      <c r="E71" s="1" t="str">
        <f>_xlfn.XLOOKUP(tblPurchases[[#This Row],[Vendor ID]],tblVendors[Vendor ID],tblVendors[Vendor Name],"⚠ Unknown")</f>
        <v>PT Cloud Software Indonesia</v>
      </c>
      <c r="F71" s="4" t="s">
        <v>5535</v>
      </c>
      <c r="G71" s="4">
        <v>1430</v>
      </c>
      <c r="H71" s="1" t="str">
        <f>_xlfn.XLOOKUP(tblPurchases[[#This Row],[Account Code]],tblCOA[Code],tblCOA[Account Name],"⚠ Invalid")</f>
        <v>Prepaid Software Subscriptions</v>
      </c>
      <c r="I71" s="6">
        <v>30000000</v>
      </c>
      <c r="J71" s="5">
        <f>IF(_xlfn.XLOOKUP(tblPurchases[[#This Row],[Vendor ID]],tblVendors[Vendor ID],tblVendors[VAT Status],"")="PKP",ROUND(tblPurchases[[#This Row],[DPP (excl. VAT)]]*VATEff,0),0)</f>
        <v>3300000</v>
      </c>
      <c r="K71" s="1" t="str">
        <f>_xlfn.XLOOKUP(tblPurchases[[#This Row],[Vendor ID]],tblVendors[Vendor ID],tblVendors[WHT Type],"None")</f>
        <v>Art. 23 - Services</v>
      </c>
      <c r="L71" s="118">
        <f>_xlfn.XLOOKUP(tblPurchases[[#This Row],[WHT Type]],WHTTypes,WHTRates,0)</f>
        <v>0.02</v>
      </c>
      <c r="M71" s="5">
        <f>ROUND(tblPurchases[[#This Row],[DPP (excl. VAT)]]*tblPurchases[[#This Row],[WHT Rate]],0)</f>
        <v>600000</v>
      </c>
      <c r="N71" s="5">
        <f>tblPurchases[[#This Row],[DPP (excl. VAT)]]+tblPurchases[[#This Row],[Input VAT]]-tblPurchases[[#This Row],[WHT Amount]]</f>
        <v>32700000</v>
      </c>
      <c r="O71" s="113">
        <v>46204</v>
      </c>
      <c r="P71" s="4">
        <v>1120</v>
      </c>
      <c r="Q71" s="1">
        <f>MONTH(tblPurchases[[#This Row],[Date]])</f>
        <v>6</v>
      </c>
      <c r="R71" s="1">
        <f>IF(tblPurchases[[#This Row],[Payment Date]]="",0,IF(YEAR(tblPurchases[[#This Row],[Payment Date]])=FYear,MONTH(tblPurchases[[#This Row],[Payment Date]]),0))</f>
        <v>7</v>
      </c>
    </row>
    <row r="72" spans="2:18" x14ac:dyDescent="0.35">
      <c r="B72" s="113">
        <v>46200</v>
      </c>
      <c r="C72" s="4" t="s">
        <v>5403</v>
      </c>
      <c r="D72" s="4" t="s">
        <v>4705</v>
      </c>
      <c r="E72" s="1" t="str">
        <f>_xlfn.XLOOKUP(tblPurchases[[#This Row],[Vendor ID]],tblVendors[Vendor ID],tblVendors[Vendor Name],"⚠ Unknown")</f>
        <v>PT Ekspedisi Cepat Nusantara</v>
      </c>
      <c r="F72" s="4" t="s">
        <v>5536</v>
      </c>
      <c r="G72" s="4">
        <v>6140</v>
      </c>
      <c r="H72" s="1" t="str">
        <f>_xlfn.XLOOKUP(tblPurchases[[#This Row],[Account Code]],tblCOA[Code],tblCOA[Account Name],"⚠ Invalid")</f>
        <v>Shipping &amp; Delivery</v>
      </c>
      <c r="I72" s="6">
        <v>10287000</v>
      </c>
      <c r="J72" s="5">
        <f>IF(_xlfn.XLOOKUP(tblPurchases[[#This Row],[Vendor ID]],tblVendors[Vendor ID],tblVendors[VAT Status],"")="PKP",ROUND(tblPurchases[[#This Row],[DPP (excl. VAT)]]*VATEff,0),0)</f>
        <v>1131570</v>
      </c>
      <c r="K72" s="1" t="str">
        <f>_xlfn.XLOOKUP(tblPurchases[[#This Row],[Vendor ID]],tblVendors[Vendor ID],tblVendors[WHT Type],"None")</f>
        <v>Art. 23 - Services</v>
      </c>
      <c r="L72" s="118">
        <f>_xlfn.XLOOKUP(tblPurchases[[#This Row],[WHT Type]],WHTTypes,WHTRates,0)</f>
        <v>0.02</v>
      </c>
      <c r="M72" s="5">
        <f>ROUND(tblPurchases[[#This Row],[DPP (excl. VAT)]]*tblPurchases[[#This Row],[WHT Rate]],0)</f>
        <v>205740</v>
      </c>
      <c r="N72" s="5">
        <f>tblPurchases[[#This Row],[DPP (excl. VAT)]]+tblPurchases[[#This Row],[Input VAT]]-tblPurchases[[#This Row],[WHT Amount]]</f>
        <v>11212830</v>
      </c>
      <c r="O72" s="113">
        <v>46214</v>
      </c>
      <c r="P72" s="4">
        <v>1120</v>
      </c>
      <c r="Q72" s="1">
        <f>MONTH(tblPurchases[[#This Row],[Date]])</f>
        <v>6</v>
      </c>
      <c r="R72" s="1">
        <f>IF(tblPurchases[[#This Row],[Payment Date]]="",0,IF(YEAR(tblPurchases[[#This Row],[Payment Date]])=FYear,MONTH(tblPurchases[[#This Row],[Payment Date]]),0))</f>
        <v>7</v>
      </c>
    </row>
    <row r="73" spans="2:18" x14ac:dyDescent="0.35">
      <c r="B73" s="113">
        <v>46201</v>
      </c>
      <c r="C73" s="4" t="s">
        <v>5404</v>
      </c>
      <c r="D73" s="4" t="s">
        <v>4699</v>
      </c>
      <c r="E73" s="1" t="str">
        <f>_xlfn.XLOOKUP(tblPurchases[[#This Row],[Vendor ID]],tblVendors[Vendor ID],tblVendors[Vendor Name],"⚠ Unknown")</f>
        <v>PT Kreasi Iklan Digital</v>
      </c>
      <c r="F73" s="4" t="s">
        <v>5537</v>
      </c>
      <c r="G73" s="4">
        <v>6120</v>
      </c>
      <c r="H73" s="1" t="str">
        <f>_xlfn.XLOOKUP(tblPurchases[[#This Row],[Account Code]],tblCOA[Code],tblCOA[Account Name],"⚠ Invalid")</f>
        <v>Advertising &amp; Promotion</v>
      </c>
      <c r="I73" s="6">
        <v>12573000</v>
      </c>
      <c r="J73" s="5">
        <f>IF(_xlfn.XLOOKUP(tblPurchases[[#This Row],[Vendor ID]],tblVendors[Vendor ID],tblVendors[VAT Status],"")="PKP",ROUND(tblPurchases[[#This Row],[DPP (excl. VAT)]]*VATEff,0),0)</f>
        <v>1383030</v>
      </c>
      <c r="K73" s="1" t="str">
        <f>_xlfn.XLOOKUP(tblPurchases[[#This Row],[Vendor ID]],tblVendors[Vendor ID],tblVendors[WHT Type],"None")</f>
        <v>Art. 23 - Services</v>
      </c>
      <c r="L73" s="118">
        <f>_xlfn.XLOOKUP(tblPurchases[[#This Row],[WHT Type]],WHTTypes,WHTRates,0)</f>
        <v>0.02</v>
      </c>
      <c r="M73" s="5">
        <f>ROUND(tblPurchases[[#This Row],[DPP (excl. VAT)]]*tblPurchases[[#This Row],[WHT Rate]],0)</f>
        <v>251460</v>
      </c>
      <c r="N73" s="5">
        <f>tblPurchases[[#This Row],[DPP (excl. VAT)]]+tblPurchases[[#This Row],[Input VAT]]-tblPurchases[[#This Row],[WHT Amount]]</f>
        <v>13704570</v>
      </c>
      <c r="O73" s="113">
        <v>46231</v>
      </c>
      <c r="P73" s="4">
        <v>1120</v>
      </c>
      <c r="Q73" s="1">
        <f>MONTH(tblPurchases[[#This Row],[Date]])</f>
        <v>6</v>
      </c>
      <c r="R73" s="1">
        <f>IF(tblPurchases[[#This Row],[Payment Date]]="",0,IF(YEAR(tblPurchases[[#This Row],[Payment Date]])=FYear,MONTH(tblPurchases[[#This Row],[Payment Date]]),0))</f>
        <v>7</v>
      </c>
    </row>
    <row r="74" spans="2:18" x14ac:dyDescent="0.35">
      <c r="B74" s="113">
        <v>46203</v>
      </c>
      <c r="C74" s="4" t="s">
        <v>5405</v>
      </c>
      <c r="D74" s="4" t="s">
        <v>4735</v>
      </c>
      <c r="E74" s="1" t="str">
        <f>_xlfn.XLOOKUP(tblPurchases[[#This Row],[Vendor ID]],tblVendors[Vendor ID],tblVendors[Vendor Name],"⚠ Unknown")</f>
        <v>PT Marketplace Niaga Online</v>
      </c>
      <c r="F74" s="4" t="s">
        <v>5538</v>
      </c>
      <c r="G74" s="4">
        <v>6130</v>
      </c>
      <c r="H74" s="1" t="str">
        <f>_xlfn.XLOOKUP(tblPurchases[[#This Row],[Account Code]],tblCOA[Code],tblCOA[Account Name],"⚠ Invalid")</f>
        <v>Marketplace &amp; Sales Commissions</v>
      </c>
      <c r="I74" s="6">
        <v>3063000</v>
      </c>
      <c r="J74" s="5">
        <f>IF(_xlfn.XLOOKUP(tblPurchases[[#This Row],[Vendor ID]],tblVendors[Vendor ID],tblVendors[VAT Status],"")="PKP",ROUND(tblPurchases[[#This Row],[DPP (excl. VAT)]]*VATEff,0),0)</f>
        <v>336930</v>
      </c>
      <c r="K74" s="1" t="str">
        <f>_xlfn.XLOOKUP(tblPurchases[[#This Row],[Vendor ID]],tblVendors[Vendor ID],tblVendors[WHT Type],"None")</f>
        <v>Art. 23 - Services</v>
      </c>
      <c r="L74" s="118">
        <f>_xlfn.XLOOKUP(tblPurchases[[#This Row],[WHT Type]],WHTTypes,WHTRates,0)</f>
        <v>0.02</v>
      </c>
      <c r="M74" s="5">
        <f>ROUND(tblPurchases[[#This Row],[DPP (excl. VAT)]]*tblPurchases[[#This Row],[WHT Rate]],0)</f>
        <v>61260</v>
      </c>
      <c r="N74" s="5">
        <f>tblPurchases[[#This Row],[DPP (excl. VAT)]]+tblPurchases[[#This Row],[Input VAT]]-tblPurchases[[#This Row],[WHT Amount]]</f>
        <v>3338670</v>
      </c>
      <c r="O74" s="113">
        <v>46213</v>
      </c>
      <c r="P74" s="4">
        <v>1120</v>
      </c>
      <c r="Q74" s="1">
        <f>MONTH(tblPurchases[[#This Row],[Date]])</f>
        <v>6</v>
      </c>
      <c r="R74" s="1">
        <f>IF(tblPurchases[[#This Row],[Payment Date]]="",0,IF(YEAR(tblPurchases[[#This Row],[Payment Date]])=FYear,MONTH(tblPurchases[[#This Row],[Payment Date]]),0))</f>
        <v>7</v>
      </c>
    </row>
    <row r="75" spans="2:18" x14ac:dyDescent="0.35">
      <c r="B75" s="113">
        <v>46208</v>
      </c>
      <c r="C75" s="4" t="s">
        <v>5406</v>
      </c>
      <c r="D75" s="4" t="s">
        <v>4662</v>
      </c>
      <c r="E75" s="1" t="str">
        <f>_xlfn.XLOOKUP(tblPurchases[[#This Row],[Vendor ID]],tblVendors[Vendor ID],tblVendors[Vendor Name],"⚠ Unknown")</f>
        <v>PT Sumber Barang Utama</v>
      </c>
      <c r="F75" s="4" t="s">
        <v>5539</v>
      </c>
      <c r="G75" s="4">
        <v>1310</v>
      </c>
      <c r="H75" s="1" t="str">
        <f>_xlfn.XLOOKUP(tblPurchases[[#This Row],[Account Code]],tblCOA[Code],tblCOA[Account Name],"⚠ Invalid")</f>
        <v>Merchandise inventory</v>
      </c>
      <c r="I75" s="6">
        <v>403810000</v>
      </c>
      <c r="J75" s="5">
        <f>IF(_xlfn.XLOOKUP(tblPurchases[[#This Row],[Vendor ID]],tblVendors[Vendor ID],tblVendors[VAT Status],"")="PKP",ROUND(tblPurchases[[#This Row],[DPP (excl. VAT)]]*VATEff,0),0)</f>
        <v>44419100</v>
      </c>
      <c r="K75" s="1" t="str">
        <f>_xlfn.XLOOKUP(tblPurchases[[#This Row],[Vendor ID]],tblVendors[Vendor ID],tblVendors[WHT Type],"None")</f>
        <v>None</v>
      </c>
      <c r="L75" s="118">
        <f>_xlfn.XLOOKUP(tblPurchases[[#This Row],[WHT Type]],WHTTypes,WHTRates,0)</f>
        <v>0</v>
      </c>
      <c r="M75" s="5">
        <f>ROUND(tblPurchases[[#This Row],[DPP (excl. VAT)]]*tblPurchases[[#This Row],[WHT Rate]],0)</f>
        <v>0</v>
      </c>
      <c r="N75" s="5">
        <f>tblPurchases[[#This Row],[DPP (excl. VAT)]]+tblPurchases[[#This Row],[Input VAT]]-tblPurchases[[#This Row],[WHT Amount]]</f>
        <v>448229100</v>
      </c>
      <c r="O75" s="113">
        <v>46238</v>
      </c>
      <c r="P75" s="4">
        <v>1120</v>
      </c>
      <c r="Q75" s="1">
        <f>MONTH(tblPurchases[[#This Row],[Date]])</f>
        <v>7</v>
      </c>
      <c r="R75" s="1">
        <f>IF(tblPurchases[[#This Row],[Payment Date]]="",0,IF(YEAR(tblPurchases[[#This Row],[Payment Date]])=FYear,MONTH(tblPurchases[[#This Row],[Payment Date]]),0))</f>
        <v>8</v>
      </c>
    </row>
    <row r="76" spans="2:18" x14ac:dyDescent="0.35">
      <c r="B76" s="113">
        <v>46208</v>
      </c>
      <c r="C76" s="4" t="s">
        <v>5407</v>
      </c>
      <c r="D76" s="4" t="s">
        <v>4711</v>
      </c>
      <c r="E76" s="1" t="str">
        <f>_xlfn.XLOOKUP(tblPurchases[[#This Row],[Vendor ID]],tblVendors[Vendor ID],tblVendors[Vendor Name],"⚠ Unknown")</f>
        <v>PT Utilitas Listrik &amp; Telekom</v>
      </c>
      <c r="F76" s="4" t="s">
        <v>5540</v>
      </c>
      <c r="G76" s="4">
        <v>6230</v>
      </c>
      <c r="H76" s="1" t="str">
        <f>_xlfn.XLOOKUP(tblPurchases[[#This Row],[Account Code]],tblCOA[Code],tblCOA[Account Name],"⚠ Invalid")</f>
        <v>Utilities &amp; Telecommunication</v>
      </c>
      <c r="I76" s="6">
        <v>11824000</v>
      </c>
      <c r="J76" s="5">
        <f>IF(_xlfn.XLOOKUP(tblPurchases[[#This Row],[Vendor ID]],tblVendors[Vendor ID],tblVendors[VAT Status],"")="PKP",ROUND(tblPurchases[[#This Row],[DPP (excl. VAT)]]*VATEff,0),0)</f>
        <v>1300640</v>
      </c>
      <c r="K76" s="1" t="str">
        <f>_xlfn.XLOOKUP(tblPurchases[[#This Row],[Vendor ID]],tblVendors[Vendor ID],tblVendors[WHT Type],"None")</f>
        <v>None</v>
      </c>
      <c r="L76" s="118">
        <f>_xlfn.XLOOKUP(tblPurchases[[#This Row],[WHT Type]],WHTTypes,WHTRates,0)</f>
        <v>0</v>
      </c>
      <c r="M76" s="5">
        <f>ROUND(tblPurchases[[#This Row],[DPP (excl. VAT)]]*tblPurchases[[#This Row],[WHT Rate]],0)</f>
        <v>0</v>
      </c>
      <c r="N76" s="5">
        <f>tblPurchases[[#This Row],[DPP (excl. VAT)]]+tblPurchases[[#This Row],[Input VAT]]-tblPurchases[[#This Row],[WHT Amount]]</f>
        <v>13124640</v>
      </c>
      <c r="O76" s="113">
        <v>46223</v>
      </c>
      <c r="P76" s="4">
        <v>1120</v>
      </c>
      <c r="Q76" s="1">
        <f>MONTH(tblPurchases[[#This Row],[Date]])</f>
        <v>7</v>
      </c>
      <c r="R76" s="1">
        <f>IF(tblPurchases[[#This Row],[Payment Date]]="",0,IF(YEAR(tblPurchases[[#This Row],[Payment Date]])=FYear,MONTH(tblPurchases[[#This Row],[Payment Date]]),0))</f>
        <v>7</v>
      </c>
    </row>
    <row r="77" spans="2:18" x14ac:dyDescent="0.35">
      <c r="B77" s="113">
        <v>46213</v>
      </c>
      <c r="C77" s="4" t="s">
        <v>5408</v>
      </c>
      <c r="D77" s="4" t="s">
        <v>4729</v>
      </c>
      <c r="E77" s="1" t="str">
        <f>_xlfn.XLOOKUP(tblPurchases[[#This Row],[Vendor ID]],tblVendors[Vendor ID],tblVendors[Vendor Name],"⚠ Unknown")</f>
        <v>Toko ATK Sentosa</v>
      </c>
      <c r="F77" s="4" t="s">
        <v>5541</v>
      </c>
      <c r="G77" s="4">
        <v>6270</v>
      </c>
      <c r="H77" s="1" t="str">
        <f>_xlfn.XLOOKUP(tblPurchases[[#This Row],[Account Code]],tblCOA[Code],tblCOA[Account Name],"⚠ Invalid")</f>
        <v>Office Supplies</v>
      </c>
      <c r="I77" s="6">
        <v>3169000</v>
      </c>
      <c r="J77" s="5">
        <f>IF(_xlfn.XLOOKUP(tblPurchases[[#This Row],[Vendor ID]],tblVendors[Vendor ID],tblVendors[VAT Status],"")="PKP",ROUND(tblPurchases[[#This Row],[DPP (excl. VAT)]]*VATEff,0),0)</f>
        <v>0</v>
      </c>
      <c r="K77" s="1" t="str">
        <f>_xlfn.XLOOKUP(tblPurchases[[#This Row],[Vendor ID]],tblVendors[Vendor ID],tblVendors[WHT Type],"None")</f>
        <v>None</v>
      </c>
      <c r="L77" s="118">
        <f>_xlfn.XLOOKUP(tblPurchases[[#This Row],[WHT Type]],WHTTypes,WHTRates,0)</f>
        <v>0</v>
      </c>
      <c r="M77" s="5">
        <f>ROUND(tblPurchases[[#This Row],[DPP (excl. VAT)]]*tblPurchases[[#This Row],[WHT Rate]],0)</f>
        <v>0</v>
      </c>
      <c r="N77" s="5">
        <f>tblPurchases[[#This Row],[DPP (excl. VAT)]]+tblPurchases[[#This Row],[Input VAT]]-tblPurchases[[#This Row],[WHT Amount]]</f>
        <v>3169000</v>
      </c>
      <c r="O77" s="113">
        <v>46213</v>
      </c>
      <c r="P77" s="4">
        <v>1120</v>
      </c>
      <c r="Q77" s="1">
        <f>MONTH(tblPurchases[[#This Row],[Date]])</f>
        <v>7</v>
      </c>
      <c r="R77" s="1">
        <f>IF(tblPurchases[[#This Row],[Payment Date]]="",0,IF(YEAR(tblPurchases[[#This Row],[Payment Date]])=FYear,MONTH(tblPurchases[[#This Row],[Payment Date]]),0))</f>
        <v>7</v>
      </c>
    </row>
    <row r="78" spans="2:18" x14ac:dyDescent="0.35">
      <c r="B78" s="113">
        <v>46215</v>
      </c>
      <c r="C78" s="4" t="s">
        <v>5409</v>
      </c>
      <c r="D78" s="4" t="s">
        <v>4669</v>
      </c>
      <c r="E78" s="1" t="str">
        <f>_xlfn.XLOOKUP(tblPurchases[[#This Row],[Vendor ID]],tblVendors[Vendor ID],tblVendors[Vendor Name],"⚠ Unknown")</f>
        <v>PT Prima Supply Nusantara</v>
      </c>
      <c r="F78" s="4" t="s">
        <v>5542</v>
      </c>
      <c r="G78" s="4">
        <v>1310</v>
      </c>
      <c r="H78" s="1" t="str">
        <f>_xlfn.XLOOKUP(tblPurchases[[#This Row],[Account Code]],tblCOA[Code],tblCOA[Account Name],"⚠ Invalid")</f>
        <v>Merchandise inventory</v>
      </c>
      <c r="I78" s="6">
        <v>282667000</v>
      </c>
      <c r="J78" s="5">
        <f>IF(_xlfn.XLOOKUP(tblPurchases[[#This Row],[Vendor ID]],tblVendors[Vendor ID],tblVendors[VAT Status],"")="PKP",ROUND(tblPurchases[[#This Row],[DPP (excl. VAT)]]*VATEff,0),0)</f>
        <v>31093370</v>
      </c>
      <c r="K78" s="1" t="str">
        <f>_xlfn.XLOOKUP(tblPurchases[[#This Row],[Vendor ID]],tblVendors[Vendor ID],tblVendors[WHT Type],"None")</f>
        <v>None</v>
      </c>
      <c r="L78" s="118">
        <f>_xlfn.XLOOKUP(tblPurchases[[#This Row],[WHT Type]],WHTTypes,WHTRates,0)</f>
        <v>0</v>
      </c>
      <c r="M78" s="5">
        <f>ROUND(tblPurchases[[#This Row],[DPP (excl. VAT)]]*tblPurchases[[#This Row],[WHT Rate]],0)</f>
        <v>0</v>
      </c>
      <c r="N78" s="5">
        <f>tblPurchases[[#This Row],[DPP (excl. VAT)]]+tblPurchases[[#This Row],[Input VAT]]-tblPurchases[[#This Row],[WHT Amount]]</f>
        <v>313760370</v>
      </c>
      <c r="O78" s="113">
        <v>46245</v>
      </c>
      <c r="P78" s="4">
        <v>1120</v>
      </c>
      <c r="Q78" s="1">
        <f>MONTH(tblPurchases[[#This Row],[Date]])</f>
        <v>7</v>
      </c>
      <c r="R78" s="1">
        <f>IF(tblPurchases[[#This Row],[Payment Date]]="",0,IF(YEAR(tblPurchases[[#This Row],[Payment Date]])=FYear,MONTH(tblPurchases[[#This Row],[Payment Date]]),0))</f>
        <v>8</v>
      </c>
    </row>
    <row r="79" spans="2:18" x14ac:dyDescent="0.35">
      <c r="B79" s="113">
        <v>46218</v>
      </c>
      <c r="C79" s="4" t="s">
        <v>5410</v>
      </c>
      <c r="D79" s="4" t="s">
        <v>4723</v>
      </c>
      <c r="E79" s="1" t="str">
        <f>_xlfn.XLOOKUP(tblPurchases[[#This Row],[Vendor ID]],tblVendors[Vendor ID],tblVendors[Vendor Name],"⚠ Unknown")</f>
        <v>CV Teknik Servis Mandiri</v>
      </c>
      <c r="F79" s="4" t="s">
        <v>5543</v>
      </c>
      <c r="G79" s="4">
        <v>6295</v>
      </c>
      <c r="H79" s="1" t="str">
        <f>_xlfn.XLOOKUP(tblPurchases[[#This Row],[Account Code]],tblCOA[Code],tblCOA[Account Name],"⚠ Invalid")</f>
        <v>Repairs &amp; Maintenance</v>
      </c>
      <c r="I79" s="6">
        <v>4186000</v>
      </c>
      <c r="J79" s="5">
        <f>IF(_xlfn.XLOOKUP(tblPurchases[[#This Row],[Vendor ID]],tblVendors[Vendor ID],tblVendors[VAT Status],"")="PKP",ROUND(tblPurchases[[#This Row],[DPP (excl. VAT)]]*VATEff,0),0)</f>
        <v>0</v>
      </c>
      <c r="K79" s="1" t="str">
        <f>_xlfn.XLOOKUP(tblPurchases[[#This Row],[Vendor ID]],tblVendors[Vendor ID],tblVendors[WHT Type],"None")</f>
        <v>Art. 23 - Services</v>
      </c>
      <c r="L79" s="118">
        <f>_xlfn.XLOOKUP(tblPurchases[[#This Row],[WHT Type]],WHTTypes,WHTRates,0)</f>
        <v>0.02</v>
      </c>
      <c r="M79" s="5">
        <f>ROUND(tblPurchases[[#This Row],[DPP (excl. VAT)]]*tblPurchases[[#This Row],[WHT Rate]],0)</f>
        <v>83720</v>
      </c>
      <c r="N79" s="5">
        <f>tblPurchases[[#This Row],[DPP (excl. VAT)]]+tblPurchases[[#This Row],[Input VAT]]-tblPurchases[[#This Row],[WHT Amount]]</f>
        <v>4102280</v>
      </c>
      <c r="O79" s="113">
        <v>46225</v>
      </c>
      <c r="P79" s="4">
        <v>1120</v>
      </c>
      <c r="Q79" s="1">
        <f>MONTH(tblPurchases[[#This Row],[Date]])</f>
        <v>7</v>
      </c>
      <c r="R79" s="1">
        <f>IF(tblPurchases[[#This Row],[Payment Date]]="",0,IF(YEAR(tblPurchases[[#This Row],[Payment Date]])=FYear,MONTH(tblPurchases[[#This Row],[Payment Date]]),0))</f>
        <v>7</v>
      </c>
    </row>
    <row r="80" spans="2:18" x14ac:dyDescent="0.35">
      <c r="B80" s="113">
        <v>46221</v>
      </c>
      <c r="C80" s="4" t="s">
        <v>5411</v>
      </c>
      <c r="D80" s="4" t="s">
        <v>4759</v>
      </c>
      <c r="E80" s="1" t="str">
        <f>_xlfn.XLOOKUP(tblPurchases[[#This Row],[Vendor ID]],tblVendors[Vendor ID],tblVendors[Vendor Name],"⚠ Unknown")</f>
        <v>Various Restaurants &amp; Donations</v>
      </c>
      <c r="F80" s="4" t="s">
        <v>5544</v>
      </c>
      <c r="G80" s="4">
        <v>6296</v>
      </c>
      <c r="H80" s="1" t="str">
        <f>_xlfn.XLOOKUP(tblPurchases[[#This Row],[Account Code]],tblCOA[Code],tblCOA[Account Name],"⚠ Invalid")</f>
        <v>Entertainment &amp; Donations</v>
      </c>
      <c r="I80" s="6">
        <v>1625000</v>
      </c>
      <c r="J80" s="5">
        <f>IF(_xlfn.XLOOKUP(tblPurchases[[#This Row],[Vendor ID]],tblVendors[Vendor ID],tblVendors[VAT Status],"")="PKP",ROUND(tblPurchases[[#This Row],[DPP (excl. VAT)]]*VATEff,0),0)</f>
        <v>0</v>
      </c>
      <c r="K80" s="1" t="str">
        <f>_xlfn.XLOOKUP(tblPurchases[[#This Row],[Vendor ID]],tblVendors[Vendor ID],tblVendors[WHT Type],"None")</f>
        <v>None</v>
      </c>
      <c r="L80" s="118">
        <f>_xlfn.XLOOKUP(tblPurchases[[#This Row],[WHT Type]],WHTTypes,WHTRates,0)</f>
        <v>0</v>
      </c>
      <c r="M80" s="5">
        <f>ROUND(tblPurchases[[#This Row],[DPP (excl. VAT)]]*tblPurchases[[#This Row],[WHT Rate]],0)</f>
        <v>0</v>
      </c>
      <c r="N80" s="5">
        <f>tblPurchases[[#This Row],[DPP (excl. VAT)]]+tblPurchases[[#This Row],[Input VAT]]-tblPurchases[[#This Row],[WHT Amount]]</f>
        <v>1625000</v>
      </c>
      <c r="O80" s="113">
        <v>46221</v>
      </c>
      <c r="P80" s="4">
        <v>1120</v>
      </c>
      <c r="Q80" s="1">
        <f>MONTH(tblPurchases[[#This Row],[Date]])</f>
        <v>7</v>
      </c>
      <c r="R80" s="1">
        <f>IF(tblPurchases[[#This Row],[Payment Date]]="",0,IF(YEAR(tblPurchases[[#This Row],[Payment Date]])=FYear,MONTH(tblPurchases[[#This Row],[Payment Date]]),0))</f>
        <v>7</v>
      </c>
    </row>
    <row r="81" spans="2:18" x14ac:dyDescent="0.35">
      <c r="B81" s="113">
        <v>46223</v>
      </c>
      <c r="C81" s="4" t="s">
        <v>5412</v>
      </c>
      <c r="D81" s="4" t="s">
        <v>4674</v>
      </c>
      <c r="E81" s="1" t="str">
        <f>_xlfn.XLOOKUP(tblPurchases[[#This Row],[Vendor ID]],tblVendors[Vendor ID],tblVendors[Vendor Name],"⚠ Unknown")</f>
        <v>CV Aneka Grosir Jaya</v>
      </c>
      <c r="F81" s="4" t="s">
        <v>5545</v>
      </c>
      <c r="G81" s="4">
        <v>1310</v>
      </c>
      <c r="H81" s="1" t="str">
        <f>_xlfn.XLOOKUP(tblPurchases[[#This Row],[Account Code]],tblCOA[Code],tblCOA[Account Name],"⚠ Invalid")</f>
        <v>Merchandise inventory</v>
      </c>
      <c r="I81" s="6">
        <v>121143000</v>
      </c>
      <c r="J81" s="5">
        <f>IF(_xlfn.XLOOKUP(tblPurchases[[#This Row],[Vendor ID]],tblVendors[Vendor ID],tblVendors[VAT Status],"")="PKP",ROUND(tblPurchases[[#This Row],[DPP (excl. VAT)]]*VATEff,0),0)</f>
        <v>0</v>
      </c>
      <c r="K81" s="1" t="str">
        <f>_xlfn.XLOOKUP(tblPurchases[[#This Row],[Vendor ID]],tblVendors[Vendor ID],tblVendors[WHT Type],"None")</f>
        <v>None</v>
      </c>
      <c r="L81" s="118">
        <f>_xlfn.XLOOKUP(tblPurchases[[#This Row],[WHT Type]],WHTTypes,WHTRates,0)</f>
        <v>0</v>
      </c>
      <c r="M81" s="5">
        <f>ROUND(tblPurchases[[#This Row],[DPP (excl. VAT)]]*tblPurchases[[#This Row],[WHT Rate]],0)</f>
        <v>0</v>
      </c>
      <c r="N81" s="5">
        <f>tblPurchases[[#This Row],[DPP (excl. VAT)]]+tblPurchases[[#This Row],[Input VAT]]-tblPurchases[[#This Row],[WHT Amount]]</f>
        <v>121143000</v>
      </c>
      <c r="O81" s="113">
        <v>46230</v>
      </c>
      <c r="P81" s="4">
        <v>1120</v>
      </c>
      <c r="Q81" s="1">
        <f>MONTH(tblPurchases[[#This Row],[Date]])</f>
        <v>7</v>
      </c>
      <c r="R81" s="1">
        <f>IF(tblPurchases[[#This Row],[Payment Date]]="",0,IF(YEAR(tblPurchases[[#This Row],[Payment Date]])=FYear,MONTH(tblPurchases[[#This Row],[Payment Date]]),0))</f>
        <v>7</v>
      </c>
    </row>
    <row r="82" spans="2:18" x14ac:dyDescent="0.35">
      <c r="B82" s="113">
        <v>46230</v>
      </c>
      <c r="C82" s="4" t="s">
        <v>5413</v>
      </c>
      <c r="D82" s="4" t="s">
        <v>4705</v>
      </c>
      <c r="E82" s="1" t="str">
        <f>_xlfn.XLOOKUP(tblPurchases[[#This Row],[Vendor ID]],tblVendors[Vendor ID],tblVendors[Vendor Name],"⚠ Unknown")</f>
        <v>PT Ekspedisi Cepat Nusantara</v>
      </c>
      <c r="F82" s="4" t="s">
        <v>5546</v>
      </c>
      <c r="G82" s="4">
        <v>6140</v>
      </c>
      <c r="H82" s="1" t="str">
        <f>_xlfn.XLOOKUP(tblPurchases[[#This Row],[Account Code]],tblCOA[Code],tblCOA[Account Name],"⚠ Invalid")</f>
        <v>Shipping &amp; Delivery</v>
      </c>
      <c r="I82" s="6">
        <v>12347000</v>
      </c>
      <c r="J82" s="5">
        <f>IF(_xlfn.XLOOKUP(tblPurchases[[#This Row],[Vendor ID]],tblVendors[Vendor ID],tblVendors[VAT Status],"")="PKP",ROUND(tblPurchases[[#This Row],[DPP (excl. VAT)]]*VATEff,0),0)</f>
        <v>1358170</v>
      </c>
      <c r="K82" s="1" t="str">
        <f>_xlfn.XLOOKUP(tblPurchases[[#This Row],[Vendor ID]],tblVendors[Vendor ID],tblVendors[WHT Type],"None")</f>
        <v>Art. 23 - Services</v>
      </c>
      <c r="L82" s="118">
        <f>_xlfn.XLOOKUP(tblPurchases[[#This Row],[WHT Type]],WHTTypes,WHTRates,0)</f>
        <v>0.02</v>
      </c>
      <c r="M82" s="5">
        <f>ROUND(tblPurchases[[#This Row],[DPP (excl. VAT)]]*tblPurchases[[#This Row],[WHT Rate]],0)</f>
        <v>246940</v>
      </c>
      <c r="N82" s="5">
        <f>tblPurchases[[#This Row],[DPP (excl. VAT)]]+tblPurchases[[#This Row],[Input VAT]]-tblPurchases[[#This Row],[WHT Amount]]</f>
        <v>13458230</v>
      </c>
      <c r="O82" s="113">
        <v>46244</v>
      </c>
      <c r="P82" s="4">
        <v>1120</v>
      </c>
      <c r="Q82" s="1">
        <f>MONTH(tblPurchases[[#This Row],[Date]])</f>
        <v>7</v>
      </c>
      <c r="R82" s="1">
        <f>IF(tblPurchases[[#This Row],[Payment Date]]="",0,IF(YEAR(tblPurchases[[#This Row],[Payment Date]])=FYear,MONTH(tblPurchases[[#This Row],[Payment Date]]),0))</f>
        <v>8</v>
      </c>
    </row>
    <row r="83" spans="2:18" x14ac:dyDescent="0.35">
      <c r="B83" s="113">
        <v>46231</v>
      </c>
      <c r="C83" s="4" t="s">
        <v>5414</v>
      </c>
      <c r="D83" s="4" t="s">
        <v>4699</v>
      </c>
      <c r="E83" s="1" t="str">
        <f>_xlfn.XLOOKUP(tblPurchases[[#This Row],[Vendor ID]],tblVendors[Vendor ID],tblVendors[Vendor Name],"⚠ Unknown")</f>
        <v>PT Kreasi Iklan Digital</v>
      </c>
      <c r="F83" s="4" t="s">
        <v>5547</v>
      </c>
      <c r="G83" s="4">
        <v>6120</v>
      </c>
      <c r="H83" s="1" t="str">
        <f>_xlfn.XLOOKUP(tblPurchases[[#This Row],[Account Code]],tblCOA[Code],tblCOA[Account Name],"⚠ Invalid")</f>
        <v>Advertising &amp; Promotion</v>
      </c>
      <c r="I83" s="6">
        <v>15091000</v>
      </c>
      <c r="J83" s="5">
        <f>IF(_xlfn.XLOOKUP(tblPurchases[[#This Row],[Vendor ID]],tblVendors[Vendor ID],tblVendors[VAT Status],"")="PKP",ROUND(tblPurchases[[#This Row],[DPP (excl. VAT)]]*VATEff,0),0)</f>
        <v>1660010</v>
      </c>
      <c r="K83" s="1" t="str">
        <f>_xlfn.XLOOKUP(tblPurchases[[#This Row],[Vendor ID]],tblVendors[Vendor ID],tblVendors[WHT Type],"None")</f>
        <v>Art. 23 - Services</v>
      </c>
      <c r="L83" s="118">
        <f>_xlfn.XLOOKUP(tblPurchases[[#This Row],[WHT Type]],WHTTypes,WHTRates,0)</f>
        <v>0.02</v>
      </c>
      <c r="M83" s="5">
        <f>ROUND(tblPurchases[[#This Row],[DPP (excl. VAT)]]*tblPurchases[[#This Row],[WHT Rate]],0)</f>
        <v>301820</v>
      </c>
      <c r="N83" s="5">
        <f>tblPurchases[[#This Row],[DPP (excl. VAT)]]+tblPurchases[[#This Row],[Input VAT]]-tblPurchases[[#This Row],[WHT Amount]]</f>
        <v>16449190</v>
      </c>
      <c r="O83" s="113">
        <v>46261</v>
      </c>
      <c r="P83" s="4">
        <v>1120</v>
      </c>
      <c r="Q83" s="1">
        <f>MONTH(tblPurchases[[#This Row],[Date]])</f>
        <v>7</v>
      </c>
      <c r="R83" s="1">
        <f>IF(tblPurchases[[#This Row],[Payment Date]]="",0,IF(YEAR(tblPurchases[[#This Row],[Payment Date]])=FYear,MONTH(tblPurchases[[#This Row],[Payment Date]]),0))</f>
        <v>8</v>
      </c>
    </row>
    <row r="84" spans="2:18" x14ac:dyDescent="0.35">
      <c r="B84" s="113">
        <v>46234</v>
      </c>
      <c r="C84" s="4" t="s">
        <v>5415</v>
      </c>
      <c r="D84" s="4" t="s">
        <v>4735</v>
      </c>
      <c r="E84" s="1" t="str">
        <f>_xlfn.XLOOKUP(tblPurchases[[#This Row],[Vendor ID]],tblVendors[Vendor ID],tblVendors[Vendor Name],"⚠ Unknown")</f>
        <v>PT Marketplace Niaga Online</v>
      </c>
      <c r="F84" s="4" t="s">
        <v>5548</v>
      </c>
      <c r="G84" s="4">
        <v>6130</v>
      </c>
      <c r="H84" s="1" t="str">
        <f>_xlfn.XLOOKUP(tblPurchases[[#This Row],[Account Code]],tblCOA[Code],tblCOA[Account Name],"⚠ Invalid")</f>
        <v>Marketplace &amp; Sales Commissions</v>
      </c>
      <c r="I84" s="6">
        <v>3455000</v>
      </c>
      <c r="J84" s="5">
        <f>IF(_xlfn.XLOOKUP(tblPurchases[[#This Row],[Vendor ID]],tblVendors[Vendor ID],tblVendors[VAT Status],"")="PKP",ROUND(tblPurchases[[#This Row],[DPP (excl. VAT)]]*VATEff,0),0)</f>
        <v>380050</v>
      </c>
      <c r="K84" s="1" t="str">
        <f>_xlfn.XLOOKUP(tblPurchases[[#This Row],[Vendor ID]],tblVendors[Vendor ID],tblVendors[WHT Type],"None")</f>
        <v>Art. 23 - Services</v>
      </c>
      <c r="L84" s="118">
        <f>_xlfn.XLOOKUP(tblPurchases[[#This Row],[WHT Type]],WHTTypes,WHTRates,0)</f>
        <v>0.02</v>
      </c>
      <c r="M84" s="5">
        <f>ROUND(tblPurchases[[#This Row],[DPP (excl. VAT)]]*tblPurchases[[#This Row],[WHT Rate]],0)</f>
        <v>69100</v>
      </c>
      <c r="N84" s="5">
        <f>tblPurchases[[#This Row],[DPP (excl. VAT)]]+tblPurchases[[#This Row],[Input VAT]]-tblPurchases[[#This Row],[WHT Amount]]</f>
        <v>3765950</v>
      </c>
      <c r="O84" s="113">
        <v>46244</v>
      </c>
      <c r="P84" s="4">
        <v>1120</v>
      </c>
      <c r="Q84" s="1">
        <f>MONTH(tblPurchases[[#This Row],[Date]])</f>
        <v>7</v>
      </c>
      <c r="R84" s="1">
        <f>IF(tblPurchases[[#This Row],[Payment Date]]="",0,IF(YEAR(tblPurchases[[#This Row],[Payment Date]])=FYear,MONTH(tblPurchases[[#This Row],[Payment Date]]),0))</f>
        <v>8</v>
      </c>
    </row>
    <row r="85" spans="2:18" x14ac:dyDescent="0.35">
      <c r="B85" s="113">
        <v>46239</v>
      </c>
      <c r="C85" s="4" t="s">
        <v>5416</v>
      </c>
      <c r="D85" s="4" t="s">
        <v>4662</v>
      </c>
      <c r="E85" s="1" t="str">
        <f>_xlfn.XLOOKUP(tblPurchases[[#This Row],[Vendor ID]],tblVendors[Vendor ID],tblVendors[Vendor Name],"⚠ Unknown")</f>
        <v>PT Sumber Barang Utama</v>
      </c>
      <c r="F85" s="4" t="s">
        <v>5549</v>
      </c>
      <c r="G85" s="4">
        <v>1310</v>
      </c>
      <c r="H85" s="1" t="str">
        <f>_xlfn.XLOOKUP(tblPurchases[[#This Row],[Account Code]],tblCOA[Code],tblCOA[Account Name],"⚠ Invalid")</f>
        <v>Merchandise inventory</v>
      </c>
      <c r="I85" s="6">
        <v>283473000</v>
      </c>
      <c r="J85" s="5">
        <f>IF(_xlfn.XLOOKUP(tblPurchases[[#This Row],[Vendor ID]],tblVendors[Vendor ID],tblVendors[VAT Status],"")="PKP",ROUND(tblPurchases[[#This Row],[DPP (excl. VAT)]]*VATEff,0),0)</f>
        <v>31182030</v>
      </c>
      <c r="K85" s="1" t="str">
        <f>_xlfn.XLOOKUP(tblPurchases[[#This Row],[Vendor ID]],tblVendors[Vendor ID],tblVendors[WHT Type],"None")</f>
        <v>None</v>
      </c>
      <c r="L85" s="118">
        <f>_xlfn.XLOOKUP(tblPurchases[[#This Row],[WHT Type]],WHTTypes,WHTRates,0)</f>
        <v>0</v>
      </c>
      <c r="M85" s="5">
        <f>ROUND(tblPurchases[[#This Row],[DPP (excl. VAT)]]*tblPurchases[[#This Row],[WHT Rate]],0)</f>
        <v>0</v>
      </c>
      <c r="N85" s="5">
        <f>tblPurchases[[#This Row],[DPP (excl. VAT)]]+tblPurchases[[#This Row],[Input VAT]]-tblPurchases[[#This Row],[WHT Amount]]</f>
        <v>314655030</v>
      </c>
      <c r="O85" s="113">
        <v>46269</v>
      </c>
      <c r="P85" s="4">
        <v>1120</v>
      </c>
      <c r="Q85" s="1">
        <f>MONTH(tblPurchases[[#This Row],[Date]])</f>
        <v>8</v>
      </c>
      <c r="R85" s="1">
        <f>IF(tblPurchases[[#This Row],[Payment Date]]="",0,IF(YEAR(tblPurchases[[#This Row],[Payment Date]])=FYear,MONTH(tblPurchases[[#This Row],[Payment Date]]),0))</f>
        <v>9</v>
      </c>
    </row>
    <row r="86" spans="2:18" x14ac:dyDescent="0.35">
      <c r="B86" s="113">
        <v>46239</v>
      </c>
      <c r="C86" s="4" t="s">
        <v>5417</v>
      </c>
      <c r="D86" s="4" t="s">
        <v>4711</v>
      </c>
      <c r="E86" s="1" t="str">
        <f>_xlfn.XLOOKUP(tblPurchases[[#This Row],[Vendor ID]],tblVendors[Vendor ID],tblVendors[Vendor Name],"⚠ Unknown")</f>
        <v>PT Utilitas Listrik &amp; Telekom</v>
      </c>
      <c r="F86" s="4" t="s">
        <v>5550</v>
      </c>
      <c r="G86" s="4">
        <v>6230</v>
      </c>
      <c r="H86" s="1" t="str">
        <f>_xlfn.XLOOKUP(tblPurchases[[#This Row],[Account Code]],tblCOA[Code],tblCOA[Account Name],"⚠ Invalid")</f>
        <v>Utilities &amp; Telecommunication</v>
      </c>
      <c r="I86" s="6">
        <v>12966000</v>
      </c>
      <c r="J86" s="5">
        <f>IF(_xlfn.XLOOKUP(tblPurchases[[#This Row],[Vendor ID]],tblVendors[Vendor ID],tblVendors[VAT Status],"")="PKP",ROUND(tblPurchases[[#This Row],[DPP (excl. VAT)]]*VATEff,0),0)</f>
        <v>1426260</v>
      </c>
      <c r="K86" s="1" t="str">
        <f>_xlfn.XLOOKUP(tblPurchases[[#This Row],[Vendor ID]],tblVendors[Vendor ID],tblVendors[WHT Type],"None")</f>
        <v>None</v>
      </c>
      <c r="L86" s="118">
        <f>_xlfn.XLOOKUP(tblPurchases[[#This Row],[WHT Type]],WHTTypes,WHTRates,0)</f>
        <v>0</v>
      </c>
      <c r="M86" s="5">
        <f>ROUND(tblPurchases[[#This Row],[DPP (excl. VAT)]]*tblPurchases[[#This Row],[WHT Rate]],0)</f>
        <v>0</v>
      </c>
      <c r="N86" s="5">
        <f>tblPurchases[[#This Row],[DPP (excl. VAT)]]+tblPurchases[[#This Row],[Input VAT]]-tblPurchases[[#This Row],[WHT Amount]]</f>
        <v>14392260</v>
      </c>
      <c r="O86" s="113">
        <v>46254</v>
      </c>
      <c r="P86" s="4">
        <v>1120</v>
      </c>
      <c r="Q86" s="1">
        <f>MONTH(tblPurchases[[#This Row],[Date]])</f>
        <v>8</v>
      </c>
      <c r="R86" s="1">
        <f>IF(tblPurchases[[#This Row],[Payment Date]]="",0,IF(YEAR(tblPurchases[[#This Row],[Payment Date]])=FYear,MONTH(tblPurchases[[#This Row],[Payment Date]]),0))</f>
        <v>8</v>
      </c>
    </row>
    <row r="87" spans="2:18" x14ac:dyDescent="0.35">
      <c r="B87" s="113">
        <v>46244</v>
      </c>
      <c r="C87" s="4" t="s">
        <v>5418</v>
      </c>
      <c r="D87" s="4" t="s">
        <v>4729</v>
      </c>
      <c r="E87" s="1" t="str">
        <f>_xlfn.XLOOKUP(tblPurchases[[#This Row],[Vendor ID]],tblVendors[Vendor ID],tblVendors[Vendor Name],"⚠ Unknown")</f>
        <v>Toko ATK Sentosa</v>
      </c>
      <c r="F87" s="4" t="s">
        <v>5551</v>
      </c>
      <c r="G87" s="4">
        <v>6270</v>
      </c>
      <c r="H87" s="1" t="str">
        <f>_xlfn.XLOOKUP(tblPurchases[[#This Row],[Account Code]],tblCOA[Code],tblCOA[Account Name],"⚠ Invalid")</f>
        <v>Office Supplies</v>
      </c>
      <c r="I87" s="6">
        <v>2881000</v>
      </c>
      <c r="J87" s="5">
        <f>IF(_xlfn.XLOOKUP(tblPurchases[[#This Row],[Vendor ID]],tblVendors[Vendor ID],tblVendors[VAT Status],"")="PKP",ROUND(tblPurchases[[#This Row],[DPP (excl. VAT)]]*VATEff,0),0)</f>
        <v>0</v>
      </c>
      <c r="K87" s="1" t="str">
        <f>_xlfn.XLOOKUP(tblPurchases[[#This Row],[Vendor ID]],tblVendors[Vendor ID],tblVendors[WHT Type],"None")</f>
        <v>None</v>
      </c>
      <c r="L87" s="118">
        <f>_xlfn.XLOOKUP(tblPurchases[[#This Row],[WHT Type]],WHTTypes,WHTRates,0)</f>
        <v>0</v>
      </c>
      <c r="M87" s="5">
        <f>ROUND(tblPurchases[[#This Row],[DPP (excl. VAT)]]*tblPurchases[[#This Row],[WHT Rate]],0)</f>
        <v>0</v>
      </c>
      <c r="N87" s="5">
        <f>tblPurchases[[#This Row],[DPP (excl. VAT)]]+tblPurchases[[#This Row],[Input VAT]]-tblPurchases[[#This Row],[WHT Amount]]</f>
        <v>2881000</v>
      </c>
      <c r="O87" s="113">
        <v>46244</v>
      </c>
      <c r="P87" s="4">
        <v>1120</v>
      </c>
      <c r="Q87" s="1">
        <f>MONTH(tblPurchases[[#This Row],[Date]])</f>
        <v>8</v>
      </c>
      <c r="R87" s="1">
        <f>IF(tblPurchases[[#This Row],[Payment Date]]="",0,IF(YEAR(tblPurchases[[#This Row],[Payment Date]])=FYear,MONTH(tblPurchases[[#This Row],[Payment Date]]),0))</f>
        <v>8</v>
      </c>
    </row>
    <row r="88" spans="2:18" x14ac:dyDescent="0.35">
      <c r="B88" s="113">
        <v>46244</v>
      </c>
      <c r="C88" s="4" t="s">
        <v>5419</v>
      </c>
      <c r="D88" s="4" t="s">
        <v>4747</v>
      </c>
      <c r="E88" s="1" t="str">
        <f>_xlfn.XLOOKUP(tblPurchases[[#This Row],[Vendor ID]],tblVendors[Vendor ID],tblVendors[Vendor Name],"⚠ Unknown")</f>
        <v>PT Otomotif Sejahtera</v>
      </c>
      <c r="F88" s="4" t="s">
        <v>5552</v>
      </c>
      <c r="G88" s="4">
        <v>1630</v>
      </c>
      <c r="H88" s="1" t="str">
        <f>_xlfn.XLOOKUP(tblPurchases[[#This Row],[Account Code]],tblCOA[Code],tblCOA[Account Name],"⚠ Invalid")</f>
        <v>Vehicles</v>
      </c>
      <c r="I88" s="6">
        <v>320000000</v>
      </c>
      <c r="J88" s="5">
        <f>IF(_xlfn.XLOOKUP(tblPurchases[[#This Row],[Vendor ID]],tblVendors[Vendor ID],tblVendors[VAT Status],"")="PKP",ROUND(tblPurchases[[#This Row],[DPP (excl. VAT)]]*VATEff,0),0)</f>
        <v>35200000</v>
      </c>
      <c r="K88" s="1" t="str">
        <f>_xlfn.XLOOKUP(tblPurchases[[#This Row],[Vendor ID]],tblVendors[Vendor ID],tblVendors[WHT Type],"None")</f>
        <v>None</v>
      </c>
      <c r="L88" s="118">
        <f>_xlfn.XLOOKUP(tblPurchases[[#This Row],[WHT Type]],WHTTypes,WHTRates,0)</f>
        <v>0</v>
      </c>
      <c r="M88" s="5">
        <f>ROUND(tblPurchases[[#This Row],[DPP (excl. VAT)]]*tblPurchases[[#This Row],[WHT Rate]],0)</f>
        <v>0</v>
      </c>
      <c r="N88" s="5">
        <f>tblPurchases[[#This Row],[DPP (excl. VAT)]]+tblPurchases[[#This Row],[Input VAT]]-tblPurchases[[#This Row],[WHT Amount]]</f>
        <v>355200000</v>
      </c>
      <c r="O88" s="113">
        <v>46254</v>
      </c>
      <c r="P88" s="4">
        <v>1120</v>
      </c>
      <c r="Q88" s="1">
        <f>MONTH(tblPurchases[[#This Row],[Date]])</f>
        <v>8</v>
      </c>
      <c r="R88" s="1">
        <f>IF(tblPurchases[[#This Row],[Payment Date]]="",0,IF(YEAR(tblPurchases[[#This Row],[Payment Date]])=FYear,MONTH(tblPurchases[[#This Row],[Payment Date]]),0))</f>
        <v>8</v>
      </c>
    </row>
    <row r="89" spans="2:18" x14ac:dyDescent="0.35">
      <c r="B89" s="113">
        <v>46246</v>
      </c>
      <c r="C89" s="4" t="s">
        <v>5420</v>
      </c>
      <c r="D89" s="4" t="s">
        <v>4669</v>
      </c>
      <c r="E89" s="1" t="str">
        <f>_xlfn.XLOOKUP(tblPurchases[[#This Row],[Vendor ID]],tblVendors[Vendor ID],tblVendors[Vendor Name],"⚠ Unknown")</f>
        <v>PT Prima Supply Nusantara</v>
      </c>
      <c r="F89" s="4" t="s">
        <v>5553</v>
      </c>
      <c r="G89" s="4">
        <v>1310</v>
      </c>
      <c r="H89" s="1" t="str">
        <f>_xlfn.XLOOKUP(tblPurchases[[#This Row],[Account Code]],tblCOA[Code],tblCOA[Account Name],"⚠ Invalid")</f>
        <v>Merchandise inventory</v>
      </c>
      <c r="I89" s="6">
        <v>198431000</v>
      </c>
      <c r="J89" s="5">
        <f>IF(_xlfn.XLOOKUP(tblPurchases[[#This Row],[Vendor ID]],tblVendors[Vendor ID],tblVendors[VAT Status],"")="PKP",ROUND(tblPurchases[[#This Row],[DPP (excl. VAT)]]*VATEff,0),0)</f>
        <v>21827410</v>
      </c>
      <c r="K89" s="1" t="str">
        <f>_xlfn.XLOOKUP(tblPurchases[[#This Row],[Vendor ID]],tblVendors[Vendor ID],tblVendors[WHT Type],"None")</f>
        <v>None</v>
      </c>
      <c r="L89" s="118">
        <f>_xlfn.XLOOKUP(tblPurchases[[#This Row],[WHT Type]],WHTTypes,WHTRates,0)</f>
        <v>0</v>
      </c>
      <c r="M89" s="5">
        <f>ROUND(tblPurchases[[#This Row],[DPP (excl. VAT)]]*tblPurchases[[#This Row],[WHT Rate]],0)</f>
        <v>0</v>
      </c>
      <c r="N89" s="5">
        <f>tblPurchases[[#This Row],[DPP (excl. VAT)]]+tblPurchases[[#This Row],[Input VAT]]-tblPurchases[[#This Row],[WHT Amount]]</f>
        <v>220258410</v>
      </c>
      <c r="O89" s="113">
        <v>46276</v>
      </c>
      <c r="P89" s="4">
        <v>1120</v>
      </c>
      <c r="Q89" s="1">
        <f>MONTH(tblPurchases[[#This Row],[Date]])</f>
        <v>8</v>
      </c>
      <c r="R89" s="1">
        <f>IF(tblPurchases[[#This Row],[Payment Date]]="",0,IF(YEAR(tblPurchases[[#This Row],[Payment Date]])=FYear,MONTH(tblPurchases[[#This Row],[Payment Date]]),0))</f>
        <v>9</v>
      </c>
    </row>
    <row r="90" spans="2:18" x14ac:dyDescent="0.35">
      <c r="B90" s="113">
        <v>46249</v>
      </c>
      <c r="C90" s="4" t="s">
        <v>5421</v>
      </c>
      <c r="D90" s="4" t="s">
        <v>4723</v>
      </c>
      <c r="E90" s="1" t="str">
        <f>_xlfn.XLOOKUP(tblPurchases[[#This Row],[Vendor ID]],tblVendors[Vendor ID],tblVendors[Vendor Name],"⚠ Unknown")</f>
        <v>CV Teknik Servis Mandiri</v>
      </c>
      <c r="F90" s="4" t="s">
        <v>5554</v>
      </c>
      <c r="G90" s="4">
        <v>6295</v>
      </c>
      <c r="H90" s="1" t="str">
        <f>_xlfn.XLOOKUP(tblPurchases[[#This Row],[Account Code]],tblCOA[Code],tblCOA[Account Name],"⚠ Invalid")</f>
        <v>Repairs &amp; Maintenance</v>
      </c>
      <c r="I90" s="6">
        <v>4512000</v>
      </c>
      <c r="J90" s="5">
        <f>IF(_xlfn.XLOOKUP(tblPurchases[[#This Row],[Vendor ID]],tblVendors[Vendor ID],tblVendors[VAT Status],"")="PKP",ROUND(tblPurchases[[#This Row],[DPP (excl. VAT)]]*VATEff,0),0)</f>
        <v>0</v>
      </c>
      <c r="K90" s="1" t="str">
        <f>_xlfn.XLOOKUP(tblPurchases[[#This Row],[Vendor ID]],tblVendors[Vendor ID],tblVendors[WHT Type],"None")</f>
        <v>Art. 23 - Services</v>
      </c>
      <c r="L90" s="118">
        <f>_xlfn.XLOOKUP(tblPurchases[[#This Row],[WHT Type]],WHTTypes,WHTRates,0)</f>
        <v>0.02</v>
      </c>
      <c r="M90" s="5">
        <f>ROUND(tblPurchases[[#This Row],[DPP (excl. VAT)]]*tblPurchases[[#This Row],[WHT Rate]],0)</f>
        <v>90240</v>
      </c>
      <c r="N90" s="5">
        <f>tblPurchases[[#This Row],[DPP (excl. VAT)]]+tblPurchases[[#This Row],[Input VAT]]-tblPurchases[[#This Row],[WHT Amount]]</f>
        <v>4421760</v>
      </c>
      <c r="O90" s="113">
        <v>46256</v>
      </c>
      <c r="P90" s="4">
        <v>1120</v>
      </c>
      <c r="Q90" s="1">
        <f>MONTH(tblPurchases[[#This Row],[Date]])</f>
        <v>8</v>
      </c>
      <c r="R90" s="1">
        <f>IF(tblPurchases[[#This Row],[Payment Date]]="",0,IF(YEAR(tblPurchases[[#This Row],[Payment Date]])=FYear,MONTH(tblPurchases[[#This Row],[Payment Date]]),0))</f>
        <v>8</v>
      </c>
    </row>
    <row r="91" spans="2:18" x14ac:dyDescent="0.35">
      <c r="B91" s="113">
        <v>46252</v>
      </c>
      <c r="C91" s="4" t="s">
        <v>5422</v>
      </c>
      <c r="D91" s="4" t="s">
        <v>4759</v>
      </c>
      <c r="E91" s="1" t="str">
        <f>_xlfn.XLOOKUP(tblPurchases[[#This Row],[Vendor ID]],tblVendors[Vendor ID],tblVendors[Vendor Name],"⚠ Unknown")</f>
        <v>Various Restaurants &amp; Donations</v>
      </c>
      <c r="F91" s="4" t="s">
        <v>5555</v>
      </c>
      <c r="G91" s="4">
        <v>6296</v>
      </c>
      <c r="H91" s="1" t="str">
        <f>_xlfn.XLOOKUP(tblPurchases[[#This Row],[Account Code]],tblCOA[Code],tblCOA[Account Name],"⚠ Invalid")</f>
        <v>Entertainment &amp; Donations</v>
      </c>
      <c r="I91" s="6">
        <v>2152000</v>
      </c>
      <c r="J91" s="5">
        <f>IF(_xlfn.XLOOKUP(tblPurchases[[#This Row],[Vendor ID]],tblVendors[Vendor ID],tblVendors[VAT Status],"")="PKP",ROUND(tblPurchases[[#This Row],[DPP (excl. VAT)]]*VATEff,0),0)</f>
        <v>0</v>
      </c>
      <c r="K91" s="1" t="str">
        <f>_xlfn.XLOOKUP(tblPurchases[[#This Row],[Vendor ID]],tblVendors[Vendor ID],tblVendors[WHT Type],"None")</f>
        <v>None</v>
      </c>
      <c r="L91" s="118">
        <f>_xlfn.XLOOKUP(tblPurchases[[#This Row],[WHT Type]],WHTTypes,WHTRates,0)</f>
        <v>0</v>
      </c>
      <c r="M91" s="5">
        <f>ROUND(tblPurchases[[#This Row],[DPP (excl. VAT)]]*tblPurchases[[#This Row],[WHT Rate]],0)</f>
        <v>0</v>
      </c>
      <c r="N91" s="5">
        <f>tblPurchases[[#This Row],[DPP (excl. VAT)]]+tblPurchases[[#This Row],[Input VAT]]-tblPurchases[[#This Row],[WHT Amount]]</f>
        <v>2152000</v>
      </c>
      <c r="O91" s="113">
        <v>46252</v>
      </c>
      <c r="P91" s="4">
        <v>1120</v>
      </c>
      <c r="Q91" s="1">
        <f>MONTH(tblPurchases[[#This Row],[Date]])</f>
        <v>8</v>
      </c>
      <c r="R91" s="1">
        <f>IF(tblPurchases[[#This Row],[Payment Date]]="",0,IF(YEAR(tblPurchases[[#This Row],[Payment Date]])=FYear,MONTH(tblPurchases[[#This Row],[Payment Date]]),0))</f>
        <v>8</v>
      </c>
    </row>
    <row r="92" spans="2:18" x14ac:dyDescent="0.35">
      <c r="B92" s="113">
        <v>46254</v>
      </c>
      <c r="C92" s="4" t="s">
        <v>5423</v>
      </c>
      <c r="D92" s="4" t="s">
        <v>4674</v>
      </c>
      <c r="E92" s="1" t="str">
        <f>_xlfn.XLOOKUP(tblPurchases[[#This Row],[Vendor ID]],tblVendors[Vendor ID],tblVendors[Vendor Name],"⚠ Unknown")</f>
        <v>CV Aneka Grosir Jaya</v>
      </c>
      <c r="F92" s="4" t="s">
        <v>5556</v>
      </c>
      <c r="G92" s="4">
        <v>1310</v>
      </c>
      <c r="H92" s="1" t="str">
        <f>_xlfn.XLOOKUP(tblPurchases[[#This Row],[Account Code]],tblCOA[Code],tblCOA[Account Name],"⚠ Invalid")</f>
        <v>Merchandise inventory</v>
      </c>
      <c r="I92" s="6">
        <v>85042000</v>
      </c>
      <c r="J92" s="5">
        <f>IF(_xlfn.XLOOKUP(tblPurchases[[#This Row],[Vendor ID]],tblVendors[Vendor ID],tblVendors[VAT Status],"")="PKP",ROUND(tblPurchases[[#This Row],[DPP (excl. VAT)]]*VATEff,0),0)</f>
        <v>0</v>
      </c>
      <c r="K92" s="1" t="str">
        <f>_xlfn.XLOOKUP(tblPurchases[[#This Row],[Vendor ID]],tblVendors[Vendor ID],tblVendors[WHT Type],"None")</f>
        <v>None</v>
      </c>
      <c r="L92" s="118">
        <f>_xlfn.XLOOKUP(tblPurchases[[#This Row],[WHT Type]],WHTTypes,WHTRates,0)</f>
        <v>0</v>
      </c>
      <c r="M92" s="5">
        <f>ROUND(tblPurchases[[#This Row],[DPP (excl. VAT)]]*tblPurchases[[#This Row],[WHT Rate]],0)</f>
        <v>0</v>
      </c>
      <c r="N92" s="5">
        <f>tblPurchases[[#This Row],[DPP (excl. VAT)]]+tblPurchases[[#This Row],[Input VAT]]-tblPurchases[[#This Row],[WHT Amount]]</f>
        <v>85042000</v>
      </c>
      <c r="O92" s="113">
        <v>46261</v>
      </c>
      <c r="P92" s="4">
        <v>1120</v>
      </c>
      <c r="Q92" s="1">
        <f>MONTH(tblPurchases[[#This Row],[Date]])</f>
        <v>8</v>
      </c>
      <c r="R92" s="1">
        <f>IF(tblPurchases[[#This Row],[Payment Date]]="",0,IF(YEAR(tblPurchases[[#This Row],[Payment Date]])=FYear,MONTH(tblPurchases[[#This Row],[Payment Date]]),0))</f>
        <v>8</v>
      </c>
    </row>
    <row r="93" spans="2:18" x14ac:dyDescent="0.35">
      <c r="B93" s="113">
        <v>46261</v>
      </c>
      <c r="C93" s="4" t="s">
        <v>5424</v>
      </c>
      <c r="D93" s="4" t="s">
        <v>4705</v>
      </c>
      <c r="E93" s="1" t="str">
        <f>_xlfn.XLOOKUP(tblPurchases[[#This Row],[Vendor ID]],tblVendors[Vendor ID],tblVendors[Vendor Name],"⚠ Unknown")</f>
        <v>PT Ekspedisi Cepat Nusantara</v>
      </c>
      <c r="F93" s="4" t="s">
        <v>5557</v>
      </c>
      <c r="G93" s="4">
        <v>6140</v>
      </c>
      <c r="H93" s="1" t="str">
        <f>_xlfn.XLOOKUP(tblPurchases[[#This Row],[Account Code]],tblCOA[Code],tblCOA[Account Name],"⚠ Invalid")</f>
        <v>Shipping &amp; Delivery</v>
      </c>
      <c r="I93" s="6">
        <v>8755000</v>
      </c>
      <c r="J93" s="5">
        <f>IF(_xlfn.XLOOKUP(tblPurchases[[#This Row],[Vendor ID]],tblVendors[Vendor ID],tblVendors[VAT Status],"")="PKP",ROUND(tblPurchases[[#This Row],[DPP (excl. VAT)]]*VATEff,0),0)</f>
        <v>963050</v>
      </c>
      <c r="K93" s="1" t="str">
        <f>_xlfn.XLOOKUP(tblPurchases[[#This Row],[Vendor ID]],tblVendors[Vendor ID],tblVendors[WHT Type],"None")</f>
        <v>Art. 23 - Services</v>
      </c>
      <c r="L93" s="118">
        <f>_xlfn.XLOOKUP(tblPurchases[[#This Row],[WHT Type]],WHTTypes,WHTRates,0)</f>
        <v>0.02</v>
      </c>
      <c r="M93" s="5">
        <f>ROUND(tblPurchases[[#This Row],[DPP (excl. VAT)]]*tblPurchases[[#This Row],[WHT Rate]],0)</f>
        <v>175100</v>
      </c>
      <c r="N93" s="5">
        <f>tblPurchases[[#This Row],[DPP (excl. VAT)]]+tblPurchases[[#This Row],[Input VAT]]-tblPurchases[[#This Row],[WHT Amount]]</f>
        <v>9542950</v>
      </c>
      <c r="O93" s="113">
        <v>46275</v>
      </c>
      <c r="P93" s="4">
        <v>1120</v>
      </c>
      <c r="Q93" s="1">
        <f>MONTH(tblPurchases[[#This Row],[Date]])</f>
        <v>8</v>
      </c>
      <c r="R93" s="1">
        <f>IF(tblPurchases[[#This Row],[Payment Date]]="",0,IF(YEAR(tblPurchases[[#This Row],[Payment Date]])=FYear,MONTH(tblPurchases[[#This Row],[Payment Date]]),0))</f>
        <v>9</v>
      </c>
    </row>
    <row r="94" spans="2:18" x14ac:dyDescent="0.35">
      <c r="B94" s="113">
        <v>46262</v>
      </c>
      <c r="C94" s="4" t="s">
        <v>5425</v>
      </c>
      <c r="D94" s="4" t="s">
        <v>4699</v>
      </c>
      <c r="E94" s="1" t="str">
        <f>_xlfn.XLOOKUP(tblPurchases[[#This Row],[Vendor ID]],tblVendors[Vendor ID],tblVendors[Vendor Name],"⚠ Unknown")</f>
        <v>PT Kreasi Iklan Digital</v>
      </c>
      <c r="F94" s="4" t="s">
        <v>5558</v>
      </c>
      <c r="G94" s="4">
        <v>6120</v>
      </c>
      <c r="H94" s="1" t="str">
        <f>_xlfn.XLOOKUP(tblPurchases[[#This Row],[Account Code]],tblCOA[Code],tblCOA[Account Name],"⚠ Invalid")</f>
        <v>Advertising &amp; Promotion</v>
      </c>
      <c r="I94" s="6">
        <v>10701000</v>
      </c>
      <c r="J94" s="5">
        <f>IF(_xlfn.XLOOKUP(tblPurchases[[#This Row],[Vendor ID]],tblVendors[Vendor ID],tblVendors[VAT Status],"")="PKP",ROUND(tblPurchases[[#This Row],[DPP (excl. VAT)]]*VATEff,0),0)</f>
        <v>1177110</v>
      </c>
      <c r="K94" s="1" t="str">
        <f>_xlfn.XLOOKUP(tblPurchases[[#This Row],[Vendor ID]],tblVendors[Vendor ID],tblVendors[WHT Type],"None")</f>
        <v>Art. 23 - Services</v>
      </c>
      <c r="L94" s="118">
        <f>_xlfn.XLOOKUP(tblPurchases[[#This Row],[WHT Type]],WHTTypes,WHTRates,0)</f>
        <v>0.02</v>
      </c>
      <c r="M94" s="5">
        <f>ROUND(tblPurchases[[#This Row],[DPP (excl. VAT)]]*tblPurchases[[#This Row],[WHT Rate]],0)</f>
        <v>214020</v>
      </c>
      <c r="N94" s="5">
        <f>tblPurchases[[#This Row],[DPP (excl. VAT)]]+tblPurchases[[#This Row],[Input VAT]]-tblPurchases[[#This Row],[WHT Amount]]</f>
        <v>11664090</v>
      </c>
      <c r="O94" s="113">
        <v>46292</v>
      </c>
      <c r="P94" s="4">
        <v>1120</v>
      </c>
      <c r="Q94" s="1">
        <f>MONTH(tblPurchases[[#This Row],[Date]])</f>
        <v>8</v>
      </c>
      <c r="R94" s="1">
        <f>IF(tblPurchases[[#This Row],[Payment Date]]="",0,IF(YEAR(tblPurchases[[#This Row],[Payment Date]])=FYear,MONTH(tblPurchases[[#This Row],[Payment Date]]),0))</f>
        <v>9</v>
      </c>
    </row>
    <row r="95" spans="2:18" x14ac:dyDescent="0.35">
      <c r="B95" s="113">
        <v>46265</v>
      </c>
      <c r="C95" s="4" t="s">
        <v>5426</v>
      </c>
      <c r="D95" s="4" t="s">
        <v>4735</v>
      </c>
      <c r="E95" s="1" t="str">
        <f>_xlfn.XLOOKUP(tblPurchases[[#This Row],[Vendor ID]],tblVendors[Vendor ID],tblVendors[Vendor Name],"⚠ Unknown")</f>
        <v>PT Marketplace Niaga Online</v>
      </c>
      <c r="F95" s="4" t="s">
        <v>5559</v>
      </c>
      <c r="G95" s="4">
        <v>6130</v>
      </c>
      <c r="H95" s="1" t="str">
        <f>_xlfn.XLOOKUP(tblPurchases[[#This Row],[Account Code]],tblCOA[Code],tblCOA[Account Name],"⚠ Invalid")</f>
        <v>Marketplace &amp; Sales Commissions</v>
      </c>
      <c r="I95" s="6">
        <v>3261000</v>
      </c>
      <c r="J95" s="5">
        <f>IF(_xlfn.XLOOKUP(tblPurchases[[#This Row],[Vendor ID]],tblVendors[Vendor ID],tblVendors[VAT Status],"")="PKP",ROUND(tblPurchases[[#This Row],[DPP (excl. VAT)]]*VATEff,0),0)</f>
        <v>358710</v>
      </c>
      <c r="K95" s="1" t="str">
        <f>_xlfn.XLOOKUP(tblPurchases[[#This Row],[Vendor ID]],tblVendors[Vendor ID],tblVendors[WHT Type],"None")</f>
        <v>Art. 23 - Services</v>
      </c>
      <c r="L95" s="118">
        <f>_xlfn.XLOOKUP(tblPurchases[[#This Row],[WHT Type]],WHTTypes,WHTRates,0)</f>
        <v>0.02</v>
      </c>
      <c r="M95" s="5">
        <f>ROUND(tblPurchases[[#This Row],[DPP (excl. VAT)]]*tblPurchases[[#This Row],[WHT Rate]],0)</f>
        <v>65220</v>
      </c>
      <c r="N95" s="5">
        <f>tblPurchases[[#This Row],[DPP (excl. VAT)]]+tblPurchases[[#This Row],[Input VAT]]-tblPurchases[[#This Row],[WHT Amount]]</f>
        <v>3554490</v>
      </c>
      <c r="O95" s="113">
        <v>46275</v>
      </c>
      <c r="P95" s="4">
        <v>1120</v>
      </c>
      <c r="Q95" s="1">
        <f>MONTH(tblPurchases[[#This Row],[Date]])</f>
        <v>8</v>
      </c>
      <c r="R95" s="1">
        <f>IF(tblPurchases[[#This Row],[Payment Date]]="",0,IF(YEAR(tblPurchases[[#This Row],[Payment Date]])=FYear,MONTH(tblPurchases[[#This Row],[Payment Date]]),0))</f>
        <v>9</v>
      </c>
    </row>
    <row r="96" spans="2:18" x14ac:dyDescent="0.35">
      <c r="B96" s="113">
        <v>46270</v>
      </c>
      <c r="C96" s="4" t="s">
        <v>5427</v>
      </c>
      <c r="D96" s="4" t="s">
        <v>4662</v>
      </c>
      <c r="E96" s="1" t="str">
        <f>_xlfn.XLOOKUP(tblPurchases[[#This Row],[Vendor ID]],tblVendors[Vendor ID],tblVendors[Vendor Name],"⚠ Unknown")</f>
        <v>PT Sumber Barang Utama</v>
      </c>
      <c r="F96" s="4" t="s">
        <v>5560</v>
      </c>
      <c r="G96" s="4">
        <v>1310</v>
      </c>
      <c r="H96" s="1" t="str">
        <f>_xlfn.XLOOKUP(tblPurchases[[#This Row],[Account Code]],tblCOA[Code],tblCOA[Account Name],"⚠ Invalid")</f>
        <v>Merchandise inventory</v>
      </c>
      <c r="I96" s="6">
        <v>316162000</v>
      </c>
      <c r="J96" s="5">
        <f>IF(_xlfn.XLOOKUP(tblPurchases[[#This Row],[Vendor ID]],tblVendors[Vendor ID],tblVendors[VAT Status],"")="PKP",ROUND(tblPurchases[[#This Row],[DPP (excl. VAT)]]*VATEff,0),0)</f>
        <v>34777820</v>
      </c>
      <c r="K96" s="1" t="str">
        <f>_xlfn.XLOOKUP(tblPurchases[[#This Row],[Vendor ID]],tblVendors[Vendor ID],tblVendors[WHT Type],"None")</f>
        <v>None</v>
      </c>
      <c r="L96" s="118">
        <f>_xlfn.XLOOKUP(tblPurchases[[#This Row],[WHT Type]],WHTTypes,WHTRates,0)</f>
        <v>0</v>
      </c>
      <c r="M96" s="5">
        <f>ROUND(tblPurchases[[#This Row],[DPP (excl. VAT)]]*tblPurchases[[#This Row],[WHT Rate]],0)</f>
        <v>0</v>
      </c>
      <c r="N96" s="5">
        <f>tblPurchases[[#This Row],[DPP (excl. VAT)]]+tblPurchases[[#This Row],[Input VAT]]-tblPurchases[[#This Row],[WHT Amount]]</f>
        <v>350939820</v>
      </c>
      <c r="O96" s="113">
        <v>46300</v>
      </c>
      <c r="P96" s="4">
        <v>1120</v>
      </c>
      <c r="Q96" s="1">
        <f>MONTH(tblPurchases[[#This Row],[Date]])</f>
        <v>9</v>
      </c>
      <c r="R96" s="1">
        <f>IF(tblPurchases[[#This Row],[Payment Date]]="",0,IF(YEAR(tblPurchases[[#This Row],[Payment Date]])=FYear,MONTH(tblPurchases[[#This Row],[Payment Date]]),0))</f>
        <v>10</v>
      </c>
    </row>
    <row r="97" spans="2:18" x14ac:dyDescent="0.35">
      <c r="B97" s="113">
        <v>46270</v>
      </c>
      <c r="C97" s="4" t="s">
        <v>5428</v>
      </c>
      <c r="D97" s="4" t="s">
        <v>4711</v>
      </c>
      <c r="E97" s="1" t="str">
        <f>_xlfn.XLOOKUP(tblPurchases[[#This Row],[Vendor ID]],tblVendors[Vendor ID],tblVendors[Vendor Name],"⚠ Unknown")</f>
        <v>PT Utilitas Listrik &amp; Telekom</v>
      </c>
      <c r="F97" s="4" t="s">
        <v>5561</v>
      </c>
      <c r="G97" s="4">
        <v>6230</v>
      </c>
      <c r="H97" s="1" t="str">
        <f>_xlfn.XLOOKUP(tblPurchases[[#This Row],[Account Code]],tblCOA[Code],tblCOA[Account Name],"⚠ Invalid")</f>
        <v>Utilities &amp; Telecommunication</v>
      </c>
      <c r="I97" s="6">
        <v>13828000</v>
      </c>
      <c r="J97" s="5">
        <f>IF(_xlfn.XLOOKUP(tblPurchases[[#This Row],[Vendor ID]],tblVendors[Vendor ID],tblVendors[VAT Status],"")="PKP",ROUND(tblPurchases[[#This Row],[DPP (excl. VAT)]]*VATEff,0),0)</f>
        <v>1521080</v>
      </c>
      <c r="K97" s="1" t="str">
        <f>_xlfn.XLOOKUP(tblPurchases[[#This Row],[Vendor ID]],tblVendors[Vendor ID],tblVendors[WHT Type],"None")</f>
        <v>None</v>
      </c>
      <c r="L97" s="118">
        <f>_xlfn.XLOOKUP(tblPurchases[[#This Row],[WHT Type]],WHTTypes,WHTRates,0)</f>
        <v>0</v>
      </c>
      <c r="M97" s="5">
        <f>ROUND(tblPurchases[[#This Row],[DPP (excl. VAT)]]*tblPurchases[[#This Row],[WHT Rate]],0)</f>
        <v>0</v>
      </c>
      <c r="N97" s="5">
        <f>tblPurchases[[#This Row],[DPP (excl. VAT)]]+tblPurchases[[#This Row],[Input VAT]]-tblPurchases[[#This Row],[WHT Amount]]</f>
        <v>15349080</v>
      </c>
      <c r="O97" s="113">
        <v>46285</v>
      </c>
      <c r="P97" s="4">
        <v>1120</v>
      </c>
      <c r="Q97" s="1">
        <f>MONTH(tblPurchases[[#This Row],[Date]])</f>
        <v>9</v>
      </c>
      <c r="R97" s="1">
        <f>IF(tblPurchases[[#This Row],[Payment Date]]="",0,IF(YEAR(tblPurchases[[#This Row],[Payment Date]])=FYear,MONTH(tblPurchases[[#This Row],[Payment Date]]),0))</f>
        <v>9</v>
      </c>
    </row>
    <row r="98" spans="2:18" x14ac:dyDescent="0.35">
      <c r="B98" s="113">
        <v>46275</v>
      </c>
      <c r="C98" s="4" t="s">
        <v>5429</v>
      </c>
      <c r="D98" s="4" t="s">
        <v>4729</v>
      </c>
      <c r="E98" s="1" t="str">
        <f>_xlfn.XLOOKUP(tblPurchases[[#This Row],[Vendor ID]],tblVendors[Vendor ID],tblVendors[Vendor Name],"⚠ Unknown")</f>
        <v>Toko ATK Sentosa</v>
      </c>
      <c r="F98" s="4" t="s">
        <v>5562</v>
      </c>
      <c r="G98" s="4">
        <v>6270</v>
      </c>
      <c r="H98" s="1" t="str">
        <f>_xlfn.XLOOKUP(tblPurchases[[#This Row],[Account Code]],tblCOA[Code],tblCOA[Account Name],"⚠ Invalid")</f>
        <v>Office Supplies</v>
      </c>
      <c r="I98" s="6">
        <v>3136000</v>
      </c>
      <c r="J98" s="5">
        <f>IF(_xlfn.XLOOKUP(tblPurchases[[#This Row],[Vendor ID]],tblVendors[Vendor ID],tblVendors[VAT Status],"")="PKP",ROUND(tblPurchases[[#This Row],[DPP (excl. VAT)]]*VATEff,0),0)</f>
        <v>0</v>
      </c>
      <c r="K98" s="1" t="str">
        <f>_xlfn.XLOOKUP(tblPurchases[[#This Row],[Vendor ID]],tblVendors[Vendor ID],tblVendors[WHT Type],"None")</f>
        <v>None</v>
      </c>
      <c r="L98" s="118">
        <f>_xlfn.XLOOKUP(tblPurchases[[#This Row],[WHT Type]],WHTTypes,WHTRates,0)</f>
        <v>0</v>
      </c>
      <c r="M98" s="5">
        <f>ROUND(tblPurchases[[#This Row],[DPP (excl. VAT)]]*tblPurchases[[#This Row],[WHT Rate]],0)</f>
        <v>0</v>
      </c>
      <c r="N98" s="5">
        <f>tblPurchases[[#This Row],[DPP (excl. VAT)]]+tblPurchases[[#This Row],[Input VAT]]-tblPurchases[[#This Row],[WHT Amount]]</f>
        <v>3136000</v>
      </c>
      <c r="O98" s="113">
        <v>46275</v>
      </c>
      <c r="P98" s="4">
        <v>1120</v>
      </c>
      <c r="Q98" s="1">
        <f>MONTH(tblPurchases[[#This Row],[Date]])</f>
        <v>9</v>
      </c>
      <c r="R98" s="1">
        <f>IF(tblPurchases[[#This Row],[Payment Date]]="",0,IF(YEAR(tblPurchases[[#This Row],[Payment Date]])=FYear,MONTH(tblPurchases[[#This Row],[Payment Date]]),0))</f>
        <v>9</v>
      </c>
    </row>
    <row r="99" spans="2:18" x14ac:dyDescent="0.35">
      <c r="B99" s="113">
        <v>46277</v>
      </c>
      <c r="C99" s="4" t="s">
        <v>5430</v>
      </c>
      <c r="D99" s="4" t="s">
        <v>4669</v>
      </c>
      <c r="E99" s="1" t="str">
        <f>_xlfn.XLOOKUP(tblPurchases[[#This Row],[Vendor ID]],tblVendors[Vendor ID],tblVendors[Vendor Name],"⚠ Unknown")</f>
        <v>PT Prima Supply Nusantara</v>
      </c>
      <c r="F99" s="4" t="s">
        <v>5563</v>
      </c>
      <c r="G99" s="4">
        <v>1310</v>
      </c>
      <c r="H99" s="1" t="str">
        <f>_xlfn.XLOOKUP(tblPurchases[[#This Row],[Account Code]],tblCOA[Code],tblCOA[Account Name],"⚠ Invalid")</f>
        <v>Merchandise inventory</v>
      </c>
      <c r="I99" s="6">
        <v>221313000</v>
      </c>
      <c r="J99" s="5">
        <f>IF(_xlfn.XLOOKUP(tblPurchases[[#This Row],[Vendor ID]],tblVendors[Vendor ID],tblVendors[VAT Status],"")="PKP",ROUND(tblPurchases[[#This Row],[DPP (excl. VAT)]]*VATEff,0),0)</f>
        <v>24344430</v>
      </c>
      <c r="K99" s="1" t="str">
        <f>_xlfn.XLOOKUP(tblPurchases[[#This Row],[Vendor ID]],tblVendors[Vendor ID],tblVendors[WHT Type],"None")</f>
        <v>None</v>
      </c>
      <c r="L99" s="118">
        <f>_xlfn.XLOOKUP(tblPurchases[[#This Row],[WHT Type]],WHTTypes,WHTRates,0)</f>
        <v>0</v>
      </c>
      <c r="M99" s="5">
        <f>ROUND(tblPurchases[[#This Row],[DPP (excl. VAT)]]*tblPurchases[[#This Row],[WHT Rate]],0)</f>
        <v>0</v>
      </c>
      <c r="N99" s="5">
        <f>tblPurchases[[#This Row],[DPP (excl. VAT)]]+tblPurchases[[#This Row],[Input VAT]]-tblPurchases[[#This Row],[WHT Amount]]</f>
        <v>245657430</v>
      </c>
      <c r="O99" s="113">
        <v>46307</v>
      </c>
      <c r="P99" s="4">
        <v>1120</v>
      </c>
      <c r="Q99" s="1">
        <f>MONTH(tblPurchases[[#This Row],[Date]])</f>
        <v>9</v>
      </c>
      <c r="R99" s="1">
        <f>IF(tblPurchases[[#This Row],[Payment Date]]="",0,IF(YEAR(tblPurchases[[#This Row],[Payment Date]])=FYear,MONTH(tblPurchases[[#This Row],[Payment Date]]),0))</f>
        <v>10</v>
      </c>
    </row>
    <row r="100" spans="2:18" x14ac:dyDescent="0.35">
      <c r="B100" s="113">
        <v>46280</v>
      </c>
      <c r="C100" s="4" t="s">
        <v>5431</v>
      </c>
      <c r="D100" s="4" t="s">
        <v>4723</v>
      </c>
      <c r="E100" s="1" t="str">
        <f>_xlfn.XLOOKUP(tblPurchases[[#This Row],[Vendor ID]],tblVendors[Vendor ID],tblVendors[Vendor Name],"⚠ Unknown")</f>
        <v>CV Teknik Servis Mandiri</v>
      </c>
      <c r="F100" s="4" t="s">
        <v>5564</v>
      </c>
      <c r="G100" s="4">
        <v>6295</v>
      </c>
      <c r="H100" s="1" t="str">
        <f>_xlfn.XLOOKUP(tblPurchases[[#This Row],[Account Code]],tblCOA[Code],tblCOA[Account Name],"⚠ Invalid")</f>
        <v>Repairs &amp; Maintenance</v>
      </c>
      <c r="I100" s="6">
        <v>3709000</v>
      </c>
      <c r="J100" s="5">
        <f>IF(_xlfn.XLOOKUP(tblPurchases[[#This Row],[Vendor ID]],tblVendors[Vendor ID],tblVendors[VAT Status],"")="PKP",ROUND(tblPurchases[[#This Row],[DPP (excl. VAT)]]*VATEff,0),0)</f>
        <v>0</v>
      </c>
      <c r="K100" s="1" t="str">
        <f>_xlfn.XLOOKUP(tblPurchases[[#This Row],[Vendor ID]],tblVendors[Vendor ID],tblVendors[WHT Type],"None")</f>
        <v>Art. 23 - Services</v>
      </c>
      <c r="L100" s="118">
        <f>_xlfn.XLOOKUP(tblPurchases[[#This Row],[WHT Type]],WHTTypes,WHTRates,0)</f>
        <v>0.02</v>
      </c>
      <c r="M100" s="5">
        <f>ROUND(tblPurchases[[#This Row],[DPP (excl. VAT)]]*tblPurchases[[#This Row],[WHT Rate]],0)</f>
        <v>74180</v>
      </c>
      <c r="N100" s="5">
        <f>tblPurchases[[#This Row],[DPP (excl. VAT)]]+tblPurchases[[#This Row],[Input VAT]]-tblPurchases[[#This Row],[WHT Amount]]</f>
        <v>3634820</v>
      </c>
      <c r="O100" s="113">
        <v>46287</v>
      </c>
      <c r="P100" s="4">
        <v>1120</v>
      </c>
      <c r="Q100" s="1">
        <f>MONTH(tblPurchases[[#This Row],[Date]])</f>
        <v>9</v>
      </c>
      <c r="R100" s="1">
        <f>IF(tblPurchases[[#This Row],[Payment Date]]="",0,IF(YEAR(tblPurchases[[#This Row],[Payment Date]])=FYear,MONTH(tblPurchases[[#This Row],[Payment Date]]),0))</f>
        <v>9</v>
      </c>
    </row>
    <row r="101" spans="2:18" x14ac:dyDescent="0.35">
      <c r="B101" s="113">
        <v>46283</v>
      </c>
      <c r="C101" s="4" t="s">
        <v>5432</v>
      </c>
      <c r="D101" s="4" t="s">
        <v>4759</v>
      </c>
      <c r="E101" s="1" t="str">
        <f>_xlfn.XLOOKUP(tblPurchases[[#This Row],[Vendor ID]],tblVendors[Vendor ID],tblVendors[Vendor Name],"⚠ Unknown")</f>
        <v>Various Restaurants &amp; Donations</v>
      </c>
      <c r="F101" s="4" t="s">
        <v>5565</v>
      </c>
      <c r="G101" s="4">
        <v>6296</v>
      </c>
      <c r="H101" s="1" t="str">
        <f>_xlfn.XLOOKUP(tblPurchases[[#This Row],[Account Code]],tblCOA[Code],tblCOA[Account Name],"⚠ Invalid")</f>
        <v>Entertainment &amp; Donations</v>
      </c>
      <c r="I101" s="6">
        <v>2650000</v>
      </c>
      <c r="J101" s="5">
        <f>IF(_xlfn.XLOOKUP(tblPurchases[[#This Row],[Vendor ID]],tblVendors[Vendor ID],tblVendors[VAT Status],"")="PKP",ROUND(tblPurchases[[#This Row],[DPP (excl. VAT)]]*VATEff,0),0)</f>
        <v>0</v>
      </c>
      <c r="K101" s="1" t="str">
        <f>_xlfn.XLOOKUP(tblPurchases[[#This Row],[Vendor ID]],tblVendors[Vendor ID],tblVendors[WHT Type],"None")</f>
        <v>None</v>
      </c>
      <c r="L101" s="118">
        <f>_xlfn.XLOOKUP(tblPurchases[[#This Row],[WHT Type]],WHTTypes,WHTRates,0)</f>
        <v>0</v>
      </c>
      <c r="M101" s="5">
        <f>ROUND(tblPurchases[[#This Row],[DPP (excl. VAT)]]*tblPurchases[[#This Row],[WHT Rate]],0)</f>
        <v>0</v>
      </c>
      <c r="N101" s="5">
        <f>tblPurchases[[#This Row],[DPP (excl. VAT)]]+tblPurchases[[#This Row],[Input VAT]]-tblPurchases[[#This Row],[WHT Amount]]</f>
        <v>2650000</v>
      </c>
      <c r="O101" s="113">
        <v>46283</v>
      </c>
      <c r="P101" s="4">
        <v>1120</v>
      </c>
      <c r="Q101" s="1">
        <f>MONTH(tblPurchases[[#This Row],[Date]])</f>
        <v>9</v>
      </c>
      <c r="R101" s="1">
        <f>IF(tblPurchases[[#This Row],[Payment Date]]="",0,IF(YEAR(tblPurchases[[#This Row],[Payment Date]])=FYear,MONTH(tblPurchases[[#This Row],[Payment Date]]),0))</f>
        <v>9</v>
      </c>
    </row>
    <row r="102" spans="2:18" x14ac:dyDescent="0.35">
      <c r="B102" s="113">
        <v>46285</v>
      </c>
      <c r="C102" s="4" t="s">
        <v>5433</v>
      </c>
      <c r="D102" s="4" t="s">
        <v>4674</v>
      </c>
      <c r="E102" s="1" t="str">
        <f>_xlfn.XLOOKUP(tblPurchases[[#This Row],[Vendor ID]],tblVendors[Vendor ID],tblVendors[Vendor Name],"⚠ Unknown")</f>
        <v>CV Aneka Grosir Jaya</v>
      </c>
      <c r="F102" s="4" t="s">
        <v>5566</v>
      </c>
      <c r="G102" s="4">
        <v>1310</v>
      </c>
      <c r="H102" s="1" t="str">
        <f>_xlfn.XLOOKUP(tblPurchases[[#This Row],[Account Code]],tblCOA[Code],tblCOA[Account Name],"⚠ Invalid")</f>
        <v>Merchandise inventory</v>
      </c>
      <c r="I102" s="6">
        <v>94849000</v>
      </c>
      <c r="J102" s="5">
        <f>IF(_xlfn.XLOOKUP(tblPurchases[[#This Row],[Vendor ID]],tblVendors[Vendor ID],tblVendors[VAT Status],"")="PKP",ROUND(tblPurchases[[#This Row],[DPP (excl. VAT)]]*VATEff,0),0)</f>
        <v>0</v>
      </c>
      <c r="K102" s="1" t="str">
        <f>_xlfn.XLOOKUP(tblPurchases[[#This Row],[Vendor ID]],tblVendors[Vendor ID],tblVendors[WHT Type],"None")</f>
        <v>None</v>
      </c>
      <c r="L102" s="118">
        <f>_xlfn.XLOOKUP(tblPurchases[[#This Row],[WHT Type]],WHTTypes,WHTRates,0)</f>
        <v>0</v>
      </c>
      <c r="M102" s="5">
        <f>ROUND(tblPurchases[[#This Row],[DPP (excl. VAT)]]*tblPurchases[[#This Row],[WHT Rate]],0)</f>
        <v>0</v>
      </c>
      <c r="N102" s="5">
        <f>tblPurchases[[#This Row],[DPP (excl. VAT)]]+tblPurchases[[#This Row],[Input VAT]]-tblPurchases[[#This Row],[WHT Amount]]</f>
        <v>94849000</v>
      </c>
      <c r="O102" s="113">
        <v>46292</v>
      </c>
      <c r="P102" s="4">
        <v>1120</v>
      </c>
      <c r="Q102" s="1">
        <f>MONTH(tblPurchases[[#This Row],[Date]])</f>
        <v>9</v>
      </c>
      <c r="R102" s="1">
        <f>IF(tblPurchases[[#This Row],[Payment Date]]="",0,IF(YEAR(tblPurchases[[#This Row],[Payment Date]])=FYear,MONTH(tblPurchases[[#This Row],[Payment Date]]),0))</f>
        <v>9</v>
      </c>
    </row>
    <row r="103" spans="2:18" x14ac:dyDescent="0.35">
      <c r="B103" s="113">
        <v>46285</v>
      </c>
      <c r="C103" s="4" t="s">
        <v>5434</v>
      </c>
      <c r="D103" s="4" t="s">
        <v>4717</v>
      </c>
      <c r="E103" s="1" t="str">
        <f>_xlfn.XLOOKUP(tblPurchases[[#This Row],[Vendor ID]],tblVendors[Vendor ID],tblVendors[Vendor Name],"⚠ Unknown")</f>
        <v>KKP Mitra Pajak &amp; Konsultan</v>
      </c>
      <c r="F103" s="4" t="s">
        <v>5567</v>
      </c>
      <c r="G103" s="4">
        <v>6280</v>
      </c>
      <c r="H103" s="1" t="str">
        <f>_xlfn.XLOOKUP(tblPurchases[[#This Row],[Account Code]],tblCOA[Code],tblCOA[Account Name],"⚠ Invalid")</f>
        <v>Professional Fees</v>
      </c>
      <c r="I103" s="6">
        <v>25000000</v>
      </c>
      <c r="J103" s="5">
        <f>IF(_xlfn.XLOOKUP(tblPurchases[[#This Row],[Vendor ID]],tblVendors[Vendor ID],tblVendors[VAT Status],"")="PKP",ROUND(tblPurchases[[#This Row],[DPP (excl. VAT)]]*VATEff,0),0)</f>
        <v>2750000</v>
      </c>
      <c r="K103" s="1" t="str">
        <f>_xlfn.XLOOKUP(tblPurchases[[#This Row],[Vendor ID]],tblVendors[Vendor ID],tblVendors[WHT Type],"None")</f>
        <v>Art. 23 - Services</v>
      </c>
      <c r="L103" s="118">
        <f>_xlfn.XLOOKUP(tblPurchases[[#This Row],[WHT Type]],WHTTypes,WHTRates,0)</f>
        <v>0.02</v>
      </c>
      <c r="M103" s="5">
        <f>ROUND(tblPurchases[[#This Row],[DPP (excl. VAT)]]*tblPurchases[[#This Row],[WHT Rate]],0)</f>
        <v>500000</v>
      </c>
      <c r="N103" s="5">
        <f>tblPurchases[[#This Row],[DPP (excl. VAT)]]+tblPurchases[[#This Row],[Input VAT]]-tblPurchases[[#This Row],[WHT Amount]]</f>
        <v>27250000</v>
      </c>
      <c r="O103" s="113">
        <v>46299</v>
      </c>
      <c r="P103" s="4">
        <v>1120</v>
      </c>
      <c r="Q103" s="1">
        <f>MONTH(tblPurchases[[#This Row],[Date]])</f>
        <v>9</v>
      </c>
      <c r="R103" s="1">
        <f>IF(tblPurchases[[#This Row],[Payment Date]]="",0,IF(YEAR(tblPurchases[[#This Row],[Payment Date]])=FYear,MONTH(tblPurchases[[#This Row],[Payment Date]]),0))</f>
        <v>10</v>
      </c>
    </row>
    <row r="104" spans="2:18" x14ac:dyDescent="0.35">
      <c r="B104" s="113">
        <v>46292</v>
      </c>
      <c r="C104" s="4" t="s">
        <v>5435</v>
      </c>
      <c r="D104" s="4" t="s">
        <v>4705</v>
      </c>
      <c r="E104" s="1" t="str">
        <f>_xlfn.XLOOKUP(tblPurchases[[#This Row],[Vendor ID]],tblVendors[Vendor ID],tblVendors[Vendor Name],"⚠ Unknown")</f>
        <v>PT Ekspedisi Cepat Nusantara</v>
      </c>
      <c r="F104" s="4" t="s">
        <v>5568</v>
      </c>
      <c r="G104" s="4">
        <v>6140</v>
      </c>
      <c r="H104" s="1" t="str">
        <f>_xlfn.XLOOKUP(tblPurchases[[#This Row],[Account Code]],tblCOA[Code],tblCOA[Account Name],"⚠ Invalid")</f>
        <v>Shipping &amp; Delivery</v>
      </c>
      <c r="I104" s="6">
        <v>9473000</v>
      </c>
      <c r="J104" s="5">
        <f>IF(_xlfn.XLOOKUP(tblPurchases[[#This Row],[Vendor ID]],tblVendors[Vendor ID],tblVendors[VAT Status],"")="PKP",ROUND(tblPurchases[[#This Row],[DPP (excl. VAT)]]*VATEff,0),0)</f>
        <v>1042030</v>
      </c>
      <c r="K104" s="1" t="str">
        <f>_xlfn.XLOOKUP(tblPurchases[[#This Row],[Vendor ID]],tblVendors[Vendor ID],tblVendors[WHT Type],"None")</f>
        <v>Art. 23 - Services</v>
      </c>
      <c r="L104" s="118">
        <f>_xlfn.XLOOKUP(tblPurchases[[#This Row],[WHT Type]],WHTTypes,WHTRates,0)</f>
        <v>0.02</v>
      </c>
      <c r="M104" s="5">
        <f>ROUND(tblPurchases[[#This Row],[DPP (excl. VAT)]]*tblPurchases[[#This Row],[WHT Rate]],0)</f>
        <v>189460</v>
      </c>
      <c r="N104" s="5">
        <f>tblPurchases[[#This Row],[DPP (excl. VAT)]]+tblPurchases[[#This Row],[Input VAT]]-tblPurchases[[#This Row],[WHT Amount]]</f>
        <v>10325570</v>
      </c>
      <c r="O104" s="113">
        <v>46306</v>
      </c>
      <c r="P104" s="4">
        <v>1120</v>
      </c>
      <c r="Q104" s="1">
        <f>MONTH(tblPurchases[[#This Row],[Date]])</f>
        <v>9</v>
      </c>
      <c r="R104" s="1">
        <f>IF(tblPurchases[[#This Row],[Payment Date]]="",0,IF(YEAR(tblPurchases[[#This Row],[Payment Date]])=FYear,MONTH(tblPurchases[[#This Row],[Payment Date]]),0))</f>
        <v>10</v>
      </c>
    </row>
    <row r="105" spans="2:18" x14ac:dyDescent="0.35">
      <c r="B105" s="113">
        <v>46293</v>
      </c>
      <c r="C105" s="4" t="s">
        <v>5436</v>
      </c>
      <c r="D105" s="4" t="s">
        <v>4699</v>
      </c>
      <c r="E105" s="1" t="str">
        <f>_xlfn.XLOOKUP(tblPurchases[[#This Row],[Vendor ID]],tblVendors[Vendor ID],tblVendors[Vendor Name],"⚠ Unknown")</f>
        <v>PT Kreasi Iklan Digital</v>
      </c>
      <c r="F105" s="4" t="s">
        <v>5569</v>
      </c>
      <c r="G105" s="4">
        <v>6120</v>
      </c>
      <c r="H105" s="1" t="str">
        <f>_xlfn.XLOOKUP(tblPurchases[[#This Row],[Account Code]],tblCOA[Code],tblCOA[Account Name],"⚠ Invalid")</f>
        <v>Advertising &amp; Promotion</v>
      </c>
      <c r="I105" s="6">
        <v>11578000</v>
      </c>
      <c r="J105" s="5">
        <f>IF(_xlfn.XLOOKUP(tblPurchases[[#This Row],[Vendor ID]],tblVendors[Vendor ID],tblVendors[VAT Status],"")="PKP",ROUND(tblPurchases[[#This Row],[DPP (excl. VAT)]]*VATEff,0),0)</f>
        <v>1273580</v>
      </c>
      <c r="K105" s="1" t="str">
        <f>_xlfn.XLOOKUP(tblPurchases[[#This Row],[Vendor ID]],tblVendors[Vendor ID],tblVendors[WHT Type],"None")</f>
        <v>Art. 23 - Services</v>
      </c>
      <c r="L105" s="118">
        <f>_xlfn.XLOOKUP(tblPurchases[[#This Row],[WHT Type]],WHTTypes,WHTRates,0)</f>
        <v>0.02</v>
      </c>
      <c r="M105" s="5">
        <f>ROUND(tblPurchases[[#This Row],[DPP (excl. VAT)]]*tblPurchases[[#This Row],[WHT Rate]],0)</f>
        <v>231560</v>
      </c>
      <c r="N105" s="5">
        <f>tblPurchases[[#This Row],[DPP (excl. VAT)]]+tblPurchases[[#This Row],[Input VAT]]-tblPurchases[[#This Row],[WHT Amount]]</f>
        <v>12620020</v>
      </c>
      <c r="O105" s="113">
        <v>46323</v>
      </c>
      <c r="P105" s="4">
        <v>1120</v>
      </c>
      <c r="Q105" s="1">
        <f>MONTH(tblPurchases[[#This Row],[Date]])</f>
        <v>9</v>
      </c>
      <c r="R105" s="1">
        <f>IF(tblPurchases[[#This Row],[Payment Date]]="",0,IF(YEAR(tblPurchases[[#This Row],[Payment Date]])=FYear,MONTH(tblPurchases[[#This Row],[Payment Date]]),0))</f>
        <v>10</v>
      </c>
    </row>
    <row r="106" spans="2:18" x14ac:dyDescent="0.35">
      <c r="B106" s="113">
        <v>46295</v>
      </c>
      <c r="C106" s="4" t="s">
        <v>5437</v>
      </c>
      <c r="D106" s="4" t="s">
        <v>4735</v>
      </c>
      <c r="E106" s="1" t="str">
        <f>_xlfn.XLOOKUP(tblPurchases[[#This Row],[Vendor ID]],tblVendors[Vendor ID],tblVendors[Vendor Name],"⚠ Unknown")</f>
        <v>PT Marketplace Niaga Online</v>
      </c>
      <c r="F106" s="4" t="s">
        <v>5570</v>
      </c>
      <c r="G106" s="4">
        <v>6130</v>
      </c>
      <c r="H106" s="1" t="str">
        <f>_xlfn.XLOOKUP(tblPurchases[[#This Row],[Account Code]],tblCOA[Code],tblCOA[Account Name],"⚠ Invalid")</f>
        <v>Marketplace &amp; Sales Commissions</v>
      </c>
      <c r="I106" s="6">
        <v>2231000</v>
      </c>
      <c r="J106" s="5">
        <f>IF(_xlfn.XLOOKUP(tblPurchases[[#This Row],[Vendor ID]],tblVendors[Vendor ID],tblVendors[VAT Status],"")="PKP",ROUND(tblPurchases[[#This Row],[DPP (excl. VAT)]]*VATEff,0),0)</f>
        <v>245410</v>
      </c>
      <c r="K106" s="1" t="str">
        <f>_xlfn.XLOOKUP(tblPurchases[[#This Row],[Vendor ID]],tblVendors[Vendor ID],tblVendors[WHT Type],"None")</f>
        <v>Art. 23 - Services</v>
      </c>
      <c r="L106" s="118">
        <f>_xlfn.XLOOKUP(tblPurchases[[#This Row],[WHT Type]],WHTTypes,WHTRates,0)</f>
        <v>0.02</v>
      </c>
      <c r="M106" s="5">
        <f>ROUND(tblPurchases[[#This Row],[DPP (excl. VAT)]]*tblPurchases[[#This Row],[WHT Rate]],0)</f>
        <v>44620</v>
      </c>
      <c r="N106" s="5">
        <f>tblPurchases[[#This Row],[DPP (excl. VAT)]]+tblPurchases[[#This Row],[Input VAT]]-tblPurchases[[#This Row],[WHT Amount]]</f>
        <v>2431790</v>
      </c>
      <c r="O106" s="113">
        <v>46305</v>
      </c>
      <c r="P106" s="4">
        <v>1120</v>
      </c>
      <c r="Q106" s="1">
        <f>MONTH(tblPurchases[[#This Row],[Date]])</f>
        <v>9</v>
      </c>
      <c r="R106" s="1">
        <f>IF(tblPurchases[[#This Row],[Payment Date]]="",0,IF(YEAR(tblPurchases[[#This Row],[Payment Date]])=FYear,MONTH(tblPurchases[[#This Row],[Payment Date]]),0))</f>
        <v>10</v>
      </c>
    </row>
    <row r="107" spans="2:18" x14ac:dyDescent="0.35">
      <c r="B107" s="113">
        <v>46300</v>
      </c>
      <c r="C107" s="4" t="s">
        <v>5438</v>
      </c>
      <c r="D107" s="4" t="s">
        <v>4662</v>
      </c>
      <c r="E107" s="1" t="str">
        <f>_xlfn.XLOOKUP(tblPurchases[[#This Row],[Vendor ID]],tblVendors[Vendor ID],tblVendors[Vendor Name],"⚠ Unknown")</f>
        <v>PT Sumber Barang Utama</v>
      </c>
      <c r="F107" s="4" t="s">
        <v>5571</v>
      </c>
      <c r="G107" s="4">
        <v>1310</v>
      </c>
      <c r="H107" s="1" t="str">
        <f>_xlfn.XLOOKUP(tblPurchases[[#This Row],[Account Code]],tblCOA[Code],tblCOA[Account Name],"⚠ Invalid")</f>
        <v>Merchandise inventory</v>
      </c>
      <c r="I107" s="6">
        <v>389186000</v>
      </c>
      <c r="J107" s="5">
        <f>IF(_xlfn.XLOOKUP(tblPurchases[[#This Row],[Vendor ID]],tblVendors[Vendor ID],tblVendors[VAT Status],"")="PKP",ROUND(tblPurchases[[#This Row],[DPP (excl. VAT)]]*VATEff,0),0)</f>
        <v>42810460</v>
      </c>
      <c r="K107" s="1" t="str">
        <f>_xlfn.XLOOKUP(tblPurchases[[#This Row],[Vendor ID]],tblVendors[Vendor ID],tblVendors[WHT Type],"None")</f>
        <v>None</v>
      </c>
      <c r="L107" s="118">
        <f>_xlfn.XLOOKUP(tblPurchases[[#This Row],[WHT Type]],WHTTypes,WHTRates,0)</f>
        <v>0</v>
      </c>
      <c r="M107" s="5">
        <f>ROUND(tblPurchases[[#This Row],[DPP (excl. VAT)]]*tblPurchases[[#This Row],[WHT Rate]],0)</f>
        <v>0</v>
      </c>
      <c r="N107" s="5">
        <f>tblPurchases[[#This Row],[DPP (excl. VAT)]]+tblPurchases[[#This Row],[Input VAT]]-tblPurchases[[#This Row],[WHT Amount]]</f>
        <v>431996460</v>
      </c>
      <c r="O107" s="113">
        <v>46330</v>
      </c>
      <c r="P107" s="4">
        <v>1120</v>
      </c>
      <c r="Q107" s="1">
        <f>MONTH(tblPurchases[[#This Row],[Date]])</f>
        <v>10</v>
      </c>
      <c r="R107" s="1">
        <f>IF(tblPurchases[[#This Row],[Payment Date]]="",0,IF(YEAR(tblPurchases[[#This Row],[Payment Date]])=FYear,MONTH(tblPurchases[[#This Row],[Payment Date]]),0))</f>
        <v>11</v>
      </c>
    </row>
    <row r="108" spans="2:18" x14ac:dyDescent="0.35">
      <c r="B108" s="113">
        <v>46300</v>
      </c>
      <c r="C108" s="4" t="s">
        <v>5439</v>
      </c>
      <c r="D108" s="4" t="s">
        <v>4711</v>
      </c>
      <c r="E108" s="1" t="str">
        <f>_xlfn.XLOOKUP(tblPurchases[[#This Row],[Vendor ID]],tblVendors[Vendor ID],tblVendors[Vendor Name],"⚠ Unknown")</f>
        <v>PT Utilitas Listrik &amp; Telekom</v>
      </c>
      <c r="F108" s="4" t="s">
        <v>5572</v>
      </c>
      <c r="G108" s="4">
        <v>6230</v>
      </c>
      <c r="H108" s="1" t="str">
        <f>_xlfn.XLOOKUP(tblPurchases[[#This Row],[Account Code]],tblCOA[Code],tblCOA[Account Name],"⚠ Invalid")</f>
        <v>Utilities &amp; Telecommunication</v>
      </c>
      <c r="I108" s="6">
        <v>13604000</v>
      </c>
      <c r="J108" s="5">
        <f>IF(_xlfn.XLOOKUP(tblPurchases[[#This Row],[Vendor ID]],tblVendors[Vendor ID],tblVendors[VAT Status],"")="PKP",ROUND(tblPurchases[[#This Row],[DPP (excl. VAT)]]*VATEff,0),0)</f>
        <v>1496440</v>
      </c>
      <c r="K108" s="1" t="str">
        <f>_xlfn.XLOOKUP(tblPurchases[[#This Row],[Vendor ID]],tblVendors[Vendor ID],tblVendors[WHT Type],"None")</f>
        <v>None</v>
      </c>
      <c r="L108" s="118">
        <f>_xlfn.XLOOKUP(tblPurchases[[#This Row],[WHT Type]],WHTTypes,WHTRates,0)</f>
        <v>0</v>
      </c>
      <c r="M108" s="5">
        <f>ROUND(tblPurchases[[#This Row],[DPP (excl. VAT)]]*tblPurchases[[#This Row],[WHT Rate]],0)</f>
        <v>0</v>
      </c>
      <c r="N108" s="5">
        <f>tblPurchases[[#This Row],[DPP (excl. VAT)]]+tblPurchases[[#This Row],[Input VAT]]-tblPurchases[[#This Row],[WHT Amount]]</f>
        <v>15100440</v>
      </c>
      <c r="O108" s="113">
        <v>46315</v>
      </c>
      <c r="P108" s="4">
        <v>1120</v>
      </c>
      <c r="Q108" s="1">
        <f>MONTH(tblPurchases[[#This Row],[Date]])</f>
        <v>10</v>
      </c>
      <c r="R108" s="1">
        <f>IF(tblPurchases[[#This Row],[Payment Date]]="",0,IF(YEAR(tblPurchases[[#This Row],[Payment Date]])=FYear,MONTH(tblPurchases[[#This Row],[Payment Date]]),0))</f>
        <v>10</v>
      </c>
    </row>
    <row r="109" spans="2:18" x14ac:dyDescent="0.35">
      <c r="B109" s="113">
        <v>46305</v>
      </c>
      <c r="C109" s="4" t="s">
        <v>5440</v>
      </c>
      <c r="D109" s="4" t="s">
        <v>4729</v>
      </c>
      <c r="E109" s="1" t="str">
        <f>_xlfn.XLOOKUP(tblPurchases[[#This Row],[Vendor ID]],tblVendors[Vendor ID],tblVendors[Vendor Name],"⚠ Unknown")</f>
        <v>Toko ATK Sentosa</v>
      </c>
      <c r="F109" s="4" t="s">
        <v>5573</v>
      </c>
      <c r="G109" s="4">
        <v>6270</v>
      </c>
      <c r="H109" s="1" t="str">
        <f>_xlfn.XLOOKUP(tblPurchases[[#This Row],[Account Code]],tblCOA[Code],tblCOA[Account Name],"⚠ Invalid")</f>
        <v>Office Supplies</v>
      </c>
      <c r="I109" s="6">
        <v>3454000</v>
      </c>
      <c r="J109" s="5">
        <f>IF(_xlfn.XLOOKUP(tblPurchases[[#This Row],[Vendor ID]],tblVendors[Vendor ID],tblVendors[VAT Status],"")="PKP",ROUND(tblPurchases[[#This Row],[DPP (excl. VAT)]]*VATEff,0),0)</f>
        <v>0</v>
      </c>
      <c r="K109" s="1" t="str">
        <f>_xlfn.XLOOKUP(tblPurchases[[#This Row],[Vendor ID]],tblVendors[Vendor ID],tblVendors[WHT Type],"None")</f>
        <v>None</v>
      </c>
      <c r="L109" s="118">
        <f>_xlfn.XLOOKUP(tblPurchases[[#This Row],[WHT Type]],WHTTypes,WHTRates,0)</f>
        <v>0</v>
      </c>
      <c r="M109" s="5">
        <f>ROUND(tblPurchases[[#This Row],[DPP (excl. VAT)]]*tblPurchases[[#This Row],[WHT Rate]],0)</f>
        <v>0</v>
      </c>
      <c r="N109" s="5">
        <f>tblPurchases[[#This Row],[DPP (excl. VAT)]]+tblPurchases[[#This Row],[Input VAT]]-tblPurchases[[#This Row],[WHT Amount]]</f>
        <v>3454000</v>
      </c>
      <c r="O109" s="113">
        <v>46305</v>
      </c>
      <c r="P109" s="4">
        <v>1120</v>
      </c>
      <c r="Q109" s="1">
        <f>MONTH(tblPurchases[[#This Row],[Date]])</f>
        <v>10</v>
      </c>
      <c r="R109" s="1">
        <f>IF(tblPurchases[[#This Row],[Payment Date]]="",0,IF(YEAR(tblPurchases[[#This Row],[Payment Date]])=FYear,MONTH(tblPurchases[[#This Row],[Payment Date]]),0))</f>
        <v>10</v>
      </c>
    </row>
    <row r="110" spans="2:18" x14ac:dyDescent="0.35">
      <c r="B110" s="113">
        <v>46307</v>
      </c>
      <c r="C110" s="4" t="s">
        <v>5441</v>
      </c>
      <c r="D110" s="4" t="s">
        <v>4669</v>
      </c>
      <c r="E110" s="1" t="str">
        <f>_xlfn.XLOOKUP(tblPurchases[[#This Row],[Vendor ID]],tblVendors[Vendor ID],tblVendors[Vendor Name],"⚠ Unknown")</f>
        <v>PT Prima Supply Nusantara</v>
      </c>
      <c r="F110" s="4" t="s">
        <v>5574</v>
      </c>
      <c r="G110" s="4">
        <v>1310</v>
      </c>
      <c r="H110" s="1" t="str">
        <f>_xlfn.XLOOKUP(tblPurchases[[#This Row],[Account Code]],tblCOA[Code],tblCOA[Account Name],"⚠ Invalid")</f>
        <v>Merchandise inventory</v>
      </c>
      <c r="I110" s="6">
        <v>272430000</v>
      </c>
      <c r="J110" s="5">
        <f>IF(_xlfn.XLOOKUP(tblPurchases[[#This Row],[Vendor ID]],tblVendors[Vendor ID],tblVendors[VAT Status],"")="PKP",ROUND(tblPurchases[[#This Row],[DPP (excl. VAT)]]*VATEff,0),0)</f>
        <v>29967300</v>
      </c>
      <c r="K110" s="1" t="str">
        <f>_xlfn.XLOOKUP(tblPurchases[[#This Row],[Vendor ID]],tblVendors[Vendor ID],tblVendors[WHT Type],"None")</f>
        <v>None</v>
      </c>
      <c r="L110" s="118">
        <f>_xlfn.XLOOKUP(tblPurchases[[#This Row],[WHT Type]],WHTTypes,WHTRates,0)</f>
        <v>0</v>
      </c>
      <c r="M110" s="5">
        <f>ROUND(tblPurchases[[#This Row],[DPP (excl. VAT)]]*tblPurchases[[#This Row],[WHT Rate]],0)</f>
        <v>0</v>
      </c>
      <c r="N110" s="5">
        <f>tblPurchases[[#This Row],[DPP (excl. VAT)]]+tblPurchases[[#This Row],[Input VAT]]-tblPurchases[[#This Row],[WHT Amount]]</f>
        <v>302397300</v>
      </c>
      <c r="O110" s="113">
        <v>46337</v>
      </c>
      <c r="P110" s="4">
        <v>1120</v>
      </c>
      <c r="Q110" s="1">
        <f>MONTH(tblPurchases[[#This Row],[Date]])</f>
        <v>10</v>
      </c>
      <c r="R110" s="1">
        <f>IF(tblPurchases[[#This Row],[Payment Date]]="",0,IF(YEAR(tblPurchases[[#This Row],[Payment Date]])=FYear,MONTH(tblPurchases[[#This Row],[Payment Date]]),0))</f>
        <v>11</v>
      </c>
    </row>
    <row r="111" spans="2:18" x14ac:dyDescent="0.35">
      <c r="B111" s="113">
        <v>46310</v>
      </c>
      <c r="C111" s="4" t="s">
        <v>5442</v>
      </c>
      <c r="D111" s="4" t="s">
        <v>4723</v>
      </c>
      <c r="E111" s="1" t="str">
        <f>_xlfn.XLOOKUP(tblPurchases[[#This Row],[Vendor ID]],tblVendors[Vendor ID],tblVendors[Vendor Name],"⚠ Unknown")</f>
        <v>CV Teknik Servis Mandiri</v>
      </c>
      <c r="F111" s="4" t="s">
        <v>5575</v>
      </c>
      <c r="G111" s="4">
        <v>6295</v>
      </c>
      <c r="H111" s="1" t="str">
        <f>_xlfn.XLOOKUP(tblPurchases[[#This Row],[Account Code]],tblCOA[Code],tblCOA[Account Name],"⚠ Invalid")</f>
        <v>Repairs &amp; Maintenance</v>
      </c>
      <c r="I111" s="6">
        <v>3702000</v>
      </c>
      <c r="J111" s="5">
        <f>IF(_xlfn.XLOOKUP(tblPurchases[[#This Row],[Vendor ID]],tblVendors[Vendor ID],tblVendors[VAT Status],"")="PKP",ROUND(tblPurchases[[#This Row],[DPP (excl. VAT)]]*VATEff,0),0)</f>
        <v>0</v>
      </c>
      <c r="K111" s="1" t="str">
        <f>_xlfn.XLOOKUP(tblPurchases[[#This Row],[Vendor ID]],tblVendors[Vendor ID],tblVendors[WHT Type],"None")</f>
        <v>Art. 23 - Services</v>
      </c>
      <c r="L111" s="118">
        <f>_xlfn.XLOOKUP(tblPurchases[[#This Row],[WHT Type]],WHTTypes,WHTRates,0)</f>
        <v>0.02</v>
      </c>
      <c r="M111" s="5">
        <f>ROUND(tblPurchases[[#This Row],[DPP (excl. VAT)]]*tblPurchases[[#This Row],[WHT Rate]],0)</f>
        <v>74040</v>
      </c>
      <c r="N111" s="5">
        <f>tblPurchases[[#This Row],[DPP (excl. VAT)]]+tblPurchases[[#This Row],[Input VAT]]-tblPurchases[[#This Row],[WHT Amount]]</f>
        <v>3627960</v>
      </c>
      <c r="O111" s="113">
        <v>46317</v>
      </c>
      <c r="P111" s="4">
        <v>1120</v>
      </c>
      <c r="Q111" s="1">
        <f>MONTH(tblPurchases[[#This Row],[Date]])</f>
        <v>10</v>
      </c>
      <c r="R111" s="1">
        <f>IF(tblPurchases[[#This Row],[Payment Date]]="",0,IF(YEAR(tblPurchases[[#This Row],[Payment Date]])=FYear,MONTH(tblPurchases[[#This Row],[Payment Date]]),0))</f>
        <v>10</v>
      </c>
    </row>
    <row r="112" spans="2:18" x14ac:dyDescent="0.35">
      <c r="B112" s="113">
        <v>46313</v>
      </c>
      <c r="C112" s="4" t="s">
        <v>5443</v>
      </c>
      <c r="D112" s="4" t="s">
        <v>4759</v>
      </c>
      <c r="E112" s="1" t="str">
        <f>_xlfn.XLOOKUP(tblPurchases[[#This Row],[Vendor ID]],tblVendors[Vendor ID],tblVendors[Vendor Name],"⚠ Unknown")</f>
        <v>Various Restaurants &amp; Donations</v>
      </c>
      <c r="F112" s="4" t="s">
        <v>5576</v>
      </c>
      <c r="G112" s="4">
        <v>6296</v>
      </c>
      <c r="H112" s="1" t="str">
        <f>_xlfn.XLOOKUP(tblPurchases[[#This Row],[Account Code]],tblCOA[Code],tblCOA[Account Name],"⚠ Invalid")</f>
        <v>Entertainment &amp; Donations</v>
      </c>
      <c r="I112" s="6">
        <v>2996000</v>
      </c>
      <c r="J112" s="5">
        <f>IF(_xlfn.XLOOKUP(tblPurchases[[#This Row],[Vendor ID]],tblVendors[Vendor ID],tblVendors[VAT Status],"")="PKP",ROUND(tblPurchases[[#This Row],[DPP (excl. VAT)]]*VATEff,0),0)</f>
        <v>0</v>
      </c>
      <c r="K112" s="1" t="str">
        <f>_xlfn.XLOOKUP(tblPurchases[[#This Row],[Vendor ID]],tblVendors[Vendor ID],tblVendors[WHT Type],"None")</f>
        <v>None</v>
      </c>
      <c r="L112" s="118">
        <f>_xlfn.XLOOKUP(tblPurchases[[#This Row],[WHT Type]],WHTTypes,WHTRates,0)</f>
        <v>0</v>
      </c>
      <c r="M112" s="5">
        <f>ROUND(tblPurchases[[#This Row],[DPP (excl. VAT)]]*tblPurchases[[#This Row],[WHT Rate]],0)</f>
        <v>0</v>
      </c>
      <c r="N112" s="5">
        <f>tblPurchases[[#This Row],[DPP (excl. VAT)]]+tblPurchases[[#This Row],[Input VAT]]-tblPurchases[[#This Row],[WHT Amount]]</f>
        <v>2996000</v>
      </c>
      <c r="O112" s="113">
        <v>46313</v>
      </c>
      <c r="P112" s="4">
        <v>1120</v>
      </c>
      <c r="Q112" s="1">
        <f>MONTH(tblPurchases[[#This Row],[Date]])</f>
        <v>10</v>
      </c>
      <c r="R112" s="1">
        <f>IF(tblPurchases[[#This Row],[Payment Date]]="",0,IF(YEAR(tblPurchases[[#This Row],[Payment Date]])=FYear,MONTH(tblPurchases[[#This Row],[Payment Date]]),0))</f>
        <v>10</v>
      </c>
    </row>
    <row r="113" spans="2:18" x14ac:dyDescent="0.35">
      <c r="B113" s="113">
        <v>46315</v>
      </c>
      <c r="C113" s="4" t="s">
        <v>5444</v>
      </c>
      <c r="D113" s="4" t="s">
        <v>4674</v>
      </c>
      <c r="E113" s="1" t="str">
        <f>_xlfn.XLOOKUP(tblPurchases[[#This Row],[Vendor ID]],tblVendors[Vendor ID],tblVendors[Vendor Name],"⚠ Unknown")</f>
        <v>CV Aneka Grosir Jaya</v>
      </c>
      <c r="F113" s="4" t="s">
        <v>5577</v>
      </c>
      <c r="G113" s="4">
        <v>1310</v>
      </c>
      <c r="H113" s="1" t="str">
        <f>_xlfn.XLOOKUP(tblPurchases[[#This Row],[Account Code]],tblCOA[Code],tblCOA[Account Name],"⚠ Invalid")</f>
        <v>Merchandise inventory</v>
      </c>
      <c r="I113" s="6">
        <v>116756000</v>
      </c>
      <c r="J113" s="5">
        <f>IF(_xlfn.XLOOKUP(tblPurchases[[#This Row],[Vendor ID]],tblVendors[Vendor ID],tblVendors[VAT Status],"")="PKP",ROUND(tblPurchases[[#This Row],[DPP (excl. VAT)]]*VATEff,0),0)</f>
        <v>0</v>
      </c>
      <c r="K113" s="1" t="str">
        <f>_xlfn.XLOOKUP(tblPurchases[[#This Row],[Vendor ID]],tblVendors[Vendor ID],tblVendors[WHT Type],"None")</f>
        <v>None</v>
      </c>
      <c r="L113" s="118">
        <f>_xlfn.XLOOKUP(tblPurchases[[#This Row],[WHT Type]],WHTTypes,WHTRates,0)</f>
        <v>0</v>
      </c>
      <c r="M113" s="5">
        <f>ROUND(tblPurchases[[#This Row],[DPP (excl. VAT)]]*tblPurchases[[#This Row],[WHT Rate]],0)</f>
        <v>0</v>
      </c>
      <c r="N113" s="5">
        <f>tblPurchases[[#This Row],[DPP (excl. VAT)]]+tblPurchases[[#This Row],[Input VAT]]-tblPurchases[[#This Row],[WHT Amount]]</f>
        <v>116756000</v>
      </c>
      <c r="O113" s="113">
        <v>46322</v>
      </c>
      <c r="P113" s="4">
        <v>1120</v>
      </c>
      <c r="Q113" s="1">
        <f>MONTH(tblPurchases[[#This Row],[Date]])</f>
        <v>10</v>
      </c>
      <c r="R113" s="1">
        <f>IF(tblPurchases[[#This Row],[Payment Date]]="",0,IF(YEAR(tblPurchases[[#This Row],[Payment Date]])=FYear,MONTH(tblPurchases[[#This Row],[Payment Date]]),0))</f>
        <v>10</v>
      </c>
    </row>
    <row r="114" spans="2:18" x14ac:dyDescent="0.35">
      <c r="B114" s="113">
        <v>46321</v>
      </c>
      <c r="C114" s="4" t="s">
        <v>5445</v>
      </c>
      <c r="D114" s="4" t="s">
        <v>4686</v>
      </c>
      <c r="E114" s="1" t="str">
        <f>_xlfn.XLOOKUP(tblPurchases[[#This Row],[Vendor ID]],tblVendors[Vendor ID],tblVendors[Vendor Name],"⚠ Unknown")</f>
        <v>PT Asuransi Proteksi Indonesia</v>
      </c>
      <c r="F114" s="4" t="s">
        <v>5578</v>
      </c>
      <c r="G114" s="4">
        <v>1420</v>
      </c>
      <c r="H114" s="1" t="str">
        <f>_xlfn.XLOOKUP(tblPurchases[[#This Row],[Account Code]],tblCOA[Code],tblCOA[Account Name],"⚠ Invalid")</f>
        <v>Prepaid Insurance</v>
      </c>
      <c r="I114" s="6">
        <v>36000000</v>
      </c>
      <c r="J114" s="5">
        <f>IF(_xlfn.XLOOKUP(tblPurchases[[#This Row],[Vendor ID]],tblVendors[Vendor ID],tblVendors[VAT Status],"")="PKP",ROUND(tblPurchases[[#This Row],[DPP (excl. VAT)]]*VATEff,0),0)</f>
        <v>0</v>
      </c>
      <c r="K114" s="1" t="str">
        <f>_xlfn.XLOOKUP(tblPurchases[[#This Row],[Vendor ID]],tblVendors[Vendor ID],tblVendors[WHT Type],"None")</f>
        <v>None</v>
      </c>
      <c r="L114" s="118">
        <f>_xlfn.XLOOKUP(tblPurchases[[#This Row],[WHT Type]],WHTTypes,WHTRates,0)</f>
        <v>0</v>
      </c>
      <c r="M114" s="5">
        <f>ROUND(tblPurchases[[#This Row],[DPP (excl. VAT)]]*tblPurchases[[#This Row],[WHT Rate]],0)</f>
        <v>0</v>
      </c>
      <c r="N114" s="5">
        <f>tblPurchases[[#This Row],[DPP (excl. VAT)]]+tblPurchases[[#This Row],[Input VAT]]-tblPurchases[[#This Row],[WHT Amount]]</f>
        <v>36000000</v>
      </c>
      <c r="O114" s="113">
        <v>46331</v>
      </c>
      <c r="P114" s="4">
        <v>1120</v>
      </c>
      <c r="Q114" s="1">
        <f>MONTH(tblPurchases[[#This Row],[Date]])</f>
        <v>10</v>
      </c>
      <c r="R114" s="1">
        <f>IF(tblPurchases[[#This Row],[Payment Date]]="",0,IF(YEAR(tblPurchases[[#This Row],[Payment Date]])=FYear,MONTH(tblPurchases[[#This Row],[Payment Date]]),0))</f>
        <v>11</v>
      </c>
    </row>
    <row r="115" spans="2:18" x14ac:dyDescent="0.35">
      <c r="B115" s="113">
        <v>46322</v>
      </c>
      <c r="C115" s="4" t="s">
        <v>5446</v>
      </c>
      <c r="D115" s="4" t="s">
        <v>4705</v>
      </c>
      <c r="E115" s="1" t="str">
        <f>_xlfn.XLOOKUP(tblPurchases[[#This Row],[Vendor ID]],tblVendors[Vendor ID],tblVendors[Vendor Name],"⚠ Unknown")</f>
        <v>PT Ekspedisi Cepat Nusantara</v>
      </c>
      <c r="F115" s="4" t="s">
        <v>5579</v>
      </c>
      <c r="G115" s="4">
        <v>6140</v>
      </c>
      <c r="H115" s="1" t="str">
        <f>_xlfn.XLOOKUP(tblPurchases[[#This Row],[Account Code]],tblCOA[Code],tblCOA[Account Name],"⚠ Invalid")</f>
        <v>Shipping &amp; Delivery</v>
      </c>
      <c r="I115" s="6">
        <v>11285000</v>
      </c>
      <c r="J115" s="5">
        <f>IF(_xlfn.XLOOKUP(tblPurchases[[#This Row],[Vendor ID]],tblVendors[Vendor ID],tblVendors[VAT Status],"")="PKP",ROUND(tblPurchases[[#This Row],[DPP (excl. VAT)]]*VATEff,0),0)</f>
        <v>1241350</v>
      </c>
      <c r="K115" s="1" t="str">
        <f>_xlfn.XLOOKUP(tblPurchases[[#This Row],[Vendor ID]],tblVendors[Vendor ID],tblVendors[WHT Type],"None")</f>
        <v>Art. 23 - Services</v>
      </c>
      <c r="L115" s="118">
        <f>_xlfn.XLOOKUP(tblPurchases[[#This Row],[WHT Type]],WHTTypes,WHTRates,0)</f>
        <v>0.02</v>
      </c>
      <c r="M115" s="5">
        <f>ROUND(tblPurchases[[#This Row],[DPP (excl. VAT)]]*tblPurchases[[#This Row],[WHT Rate]],0)</f>
        <v>225700</v>
      </c>
      <c r="N115" s="5">
        <f>tblPurchases[[#This Row],[DPP (excl. VAT)]]+tblPurchases[[#This Row],[Input VAT]]-tblPurchases[[#This Row],[WHT Amount]]</f>
        <v>12300650</v>
      </c>
      <c r="O115" s="113">
        <v>46336</v>
      </c>
      <c r="P115" s="4">
        <v>1120</v>
      </c>
      <c r="Q115" s="1">
        <f>MONTH(tblPurchases[[#This Row],[Date]])</f>
        <v>10</v>
      </c>
      <c r="R115" s="1">
        <f>IF(tblPurchases[[#This Row],[Payment Date]]="",0,IF(YEAR(tblPurchases[[#This Row],[Payment Date]])=FYear,MONTH(tblPurchases[[#This Row],[Payment Date]]),0))</f>
        <v>11</v>
      </c>
    </row>
    <row r="116" spans="2:18" x14ac:dyDescent="0.35">
      <c r="B116" s="113">
        <v>46323</v>
      </c>
      <c r="C116" s="4" t="s">
        <v>5447</v>
      </c>
      <c r="D116" s="4" t="s">
        <v>4699</v>
      </c>
      <c r="E116" s="1" t="str">
        <f>_xlfn.XLOOKUP(tblPurchases[[#This Row],[Vendor ID]],tblVendors[Vendor ID],tblVendors[Vendor Name],"⚠ Unknown")</f>
        <v>PT Kreasi Iklan Digital</v>
      </c>
      <c r="F116" s="4" t="s">
        <v>5580</v>
      </c>
      <c r="G116" s="4">
        <v>6120</v>
      </c>
      <c r="H116" s="1" t="str">
        <f>_xlfn.XLOOKUP(tblPurchases[[#This Row],[Account Code]],tblCOA[Code],tblCOA[Account Name],"⚠ Invalid")</f>
        <v>Advertising &amp; Promotion</v>
      </c>
      <c r="I116" s="6">
        <v>13792000</v>
      </c>
      <c r="J116" s="5">
        <f>IF(_xlfn.XLOOKUP(tblPurchases[[#This Row],[Vendor ID]],tblVendors[Vendor ID],tblVendors[VAT Status],"")="PKP",ROUND(tblPurchases[[#This Row],[DPP (excl. VAT)]]*VATEff,0),0)</f>
        <v>1517120</v>
      </c>
      <c r="K116" s="1" t="str">
        <f>_xlfn.XLOOKUP(tblPurchases[[#This Row],[Vendor ID]],tblVendors[Vendor ID],tblVendors[WHT Type],"None")</f>
        <v>Art. 23 - Services</v>
      </c>
      <c r="L116" s="118">
        <f>_xlfn.XLOOKUP(tblPurchases[[#This Row],[WHT Type]],WHTTypes,WHTRates,0)</f>
        <v>0.02</v>
      </c>
      <c r="M116" s="5">
        <f>ROUND(tblPurchases[[#This Row],[DPP (excl. VAT)]]*tblPurchases[[#This Row],[WHT Rate]],0)</f>
        <v>275840</v>
      </c>
      <c r="N116" s="5">
        <f>tblPurchases[[#This Row],[DPP (excl. VAT)]]+tblPurchases[[#This Row],[Input VAT]]-tblPurchases[[#This Row],[WHT Amount]]</f>
        <v>15033280</v>
      </c>
      <c r="O116" s="113">
        <v>46353</v>
      </c>
      <c r="P116" s="4">
        <v>1120</v>
      </c>
      <c r="Q116" s="1">
        <f>MONTH(tblPurchases[[#This Row],[Date]])</f>
        <v>10</v>
      </c>
      <c r="R116" s="1">
        <f>IF(tblPurchases[[#This Row],[Payment Date]]="",0,IF(YEAR(tblPurchases[[#This Row],[Payment Date]])=FYear,MONTH(tblPurchases[[#This Row],[Payment Date]]),0))</f>
        <v>11</v>
      </c>
    </row>
    <row r="117" spans="2:18" x14ac:dyDescent="0.35">
      <c r="B117" s="113">
        <v>46326</v>
      </c>
      <c r="C117" s="4" t="s">
        <v>5448</v>
      </c>
      <c r="D117" s="4" t="s">
        <v>4735</v>
      </c>
      <c r="E117" s="1" t="str">
        <f>_xlfn.XLOOKUP(tblPurchases[[#This Row],[Vendor ID]],tblVendors[Vendor ID],tblVendors[Vendor Name],"⚠ Unknown")</f>
        <v>PT Marketplace Niaga Online</v>
      </c>
      <c r="F117" s="4" t="s">
        <v>5581</v>
      </c>
      <c r="G117" s="4">
        <v>6130</v>
      </c>
      <c r="H117" s="1" t="str">
        <f>_xlfn.XLOOKUP(tblPurchases[[#This Row],[Account Code]],tblCOA[Code],tblCOA[Account Name],"⚠ Invalid")</f>
        <v>Marketplace &amp; Sales Commissions</v>
      </c>
      <c r="I117" s="6">
        <v>3415000</v>
      </c>
      <c r="J117" s="5">
        <f>IF(_xlfn.XLOOKUP(tblPurchases[[#This Row],[Vendor ID]],tblVendors[Vendor ID],tblVendors[VAT Status],"")="PKP",ROUND(tblPurchases[[#This Row],[DPP (excl. VAT)]]*VATEff,0),0)</f>
        <v>375650</v>
      </c>
      <c r="K117" s="1" t="str">
        <f>_xlfn.XLOOKUP(tblPurchases[[#This Row],[Vendor ID]],tblVendors[Vendor ID],tblVendors[WHT Type],"None")</f>
        <v>Art. 23 - Services</v>
      </c>
      <c r="L117" s="118">
        <f>_xlfn.XLOOKUP(tblPurchases[[#This Row],[WHT Type]],WHTTypes,WHTRates,0)</f>
        <v>0.02</v>
      </c>
      <c r="M117" s="5">
        <f>ROUND(tblPurchases[[#This Row],[DPP (excl. VAT)]]*tblPurchases[[#This Row],[WHT Rate]],0)</f>
        <v>68300</v>
      </c>
      <c r="N117" s="5">
        <f>tblPurchases[[#This Row],[DPP (excl. VAT)]]+tblPurchases[[#This Row],[Input VAT]]-tblPurchases[[#This Row],[WHT Amount]]</f>
        <v>3722350</v>
      </c>
      <c r="O117" s="113">
        <v>46336</v>
      </c>
      <c r="P117" s="4">
        <v>1120</v>
      </c>
      <c r="Q117" s="1">
        <f>MONTH(tblPurchases[[#This Row],[Date]])</f>
        <v>10</v>
      </c>
      <c r="R117" s="1">
        <f>IF(tblPurchases[[#This Row],[Payment Date]]="",0,IF(YEAR(tblPurchases[[#This Row],[Payment Date]])=FYear,MONTH(tblPurchases[[#This Row],[Payment Date]]),0))</f>
        <v>11</v>
      </c>
    </row>
    <row r="118" spans="2:18" x14ac:dyDescent="0.35">
      <c r="B118" s="113">
        <v>46331</v>
      </c>
      <c r="C118" s="4" t="s">
        <v>5449</v>
      </c>
      <c r="D118" s="4" t="s">
        <v>4662</v>
      </c>
      <c r="E118" s="1" t="str">
        <f>_xlfn.XLOOKUP(tblPurchases[[#This Row],[Vendor ID]],tblVendors[Vendor ID],tblVendors[Vendor Name],"⚠ Unknown")</f>
        <v>PT Sumber Barang Utama</v>
      </c>
      <c r="F118" s="4" t="s">
        <v>5582</v>
      </c>
      <c r="G118" s="4">
        <v>1310</v>
      </c>
      <c r="H118" s="1" t="str">
        <f>_xlfn.XLOOKUP(tblPurchases[[#This Row],[Account Code]],tblCOA[Code],tblCOA[Account Name],"⚠ Invalid")</f>
        <v>Merchandise inventory</v>
      </c>
      <c r="I118" s="6">
        <v>346734000</v>
      </c>
      <c r="J118" s="5">
        <f>IF(_xlfn.XLOOKUP(tblPurchases[[#This Row],[Vendor ID]],tblVendors[Vendor ID],tblVendors[VAT Status],"")="PKP",ROUND(tblPurchases[[#This Row],[DPP (excl. VAT)]]*VATEff,0),0)</f>
        <v>38140740</v>
      </c>
      <c r="K118" s="1" t="str">
        <f>_xlfn.XLOOKUP(tblPurchases[[#This Row],[Vendor ID]],tblVendors[Vendor ID],tblVendors[WHT Type],"None")</f>
        <v>None</v>
      </c>
      <c r="L118" s="118">
        <f>_xlfn.XLOOKUP(tblPurchases[[#This Row],[WHT Type]],WHTTypes,WHTRates,0)</f>
        <v>0</v>
      </c>
      <c r="M118" s="5">
        <f>ROUND(tblPurchases[[#This Row],[DPP (excl. VAT)]]*tblPurchases[[#This Row],[WHT Rate]],0)</f>
        <v>0</v>
      </c>
      <c r="N118" s="5">
        <f>tblPurchases[[#This Row],[DPP (excl. VAT)]]+tblPurchases[[#This Row],[Input VAT]]-tblPurchases[[#This Row],[WHT Amount]]</f>
        <v>384874740</v>
      </c>
      <c r="O118" s="113">
        <v>46361</v>
      </c>
      <c r="P118" s="4">
        <v>1120</v>
      </c>
      <c r="Q118" s="1">
        <f>MONTH(tblPurchases[[#This Row],[Date]])</f>
        <v>11</v>
      </c>
      <c r="R118" s="1">
        <f>IF(tblPurchases[[#This Row],[Payment Date]]="",0,IF(YEAR(tblPurchases[[#This Row],[Payment Date]])=FYear,MONTH(tblPurchases[[#This Row],[Payment Date]]),0))</f>
        <v>12</v>
      </c>
    </row>
    <row r="119" spans="2:18" x14ac:dyDescent="0.35">
      <c r="B119" s="113">
        <v>46331</v>
      </c>
      <c r="C119" s="4" t="s">
        <v>5450</v>
      </c>
      <c r="D119" s="4" t="s">
        <v>4711</v>
      </c>
      <c r="E119" s="1" t="str">
        <f>_xlfn.XLOOKUP(tblPurchases[[#This Row],[Vendor ID]],tblVendors[Vendor ID],tblVendors[Vendor Name],"⚠ Unknown")</f>
        <v>PT Utilitas Listrik &amp; Telekom</v>
      </c>
      <c r="F119" s="4" t="s">
        <v>5583</v>
      </c>
      <c r="G119" s="4">
        <v>6230</v>
      </c>
      <c r="H119" s="1" t="str">
        <f>_xlfn.XLOOKUP(tblPurchases[[#This Row],[Account Code]],tblCOA[Code],tblCOA[Account Name],"⚠ Invalid")</f>
        <v>Utilities &amp; Telecommunication</v>
      </c>
      <c r="I119" s="6">
        <v>11692000</v>
      </c>
      <c r="J119" s="5">
        <f>IF(_xlfn.XLOOKUP(tblPurchases[[#This Row],[Vendor ID]],tblVendors[Vendor ID],tblVendors[VAT Status],"")="PKP",ROUND(tblPurchases[[#This Row],[DPP (excl. VAT)]]*VATEff,0),0)</f>
        <v>1286120</v>
      </c>
      <c r="K119" s="1" t="str">
        <f>_xlfn.XLOOKUP(tblPurchases[[#This Row],[Vendor ID]],tblVendors[Vendor ID],tblVendors[WHT Type],"None")</f>
        <v>None</v>
      </c>
      <c r="L119" s="118">
        <f>_xlfn.XLOOKUP(tblPurchases[[#This Row],[WHT Type]],WHTTypes,WHTRates,0)</f>
        <v>0</v>
      </c>
      <c r="M119" s="5">
        <f>ROUND(tblPurchases[[#This Row],[DPP (excl. VAT)]]*tblPurchases[[#This Row],[WHT Rate]],0)</f>
        <v>0</v>
      </c>
      <c r="N119" s="5">
        <f>tblPurchases[[#This Row],[DPP (excl. VAT)]]+tblPurchases[[#This Row],[Input VAT]]-tblPurchases[[#This Row],[WHT Amount]]</f>
        <v>12978120</v>
      </c>
      <c r="O119" s="113">
        <v>46346</v>
      </c>
      <c r="P119" s="4">
        <v>1120</v>
      </c>
      <c r="Q119" s="1">
        <f>MONTH(tblPurchases[[#This Row],[Date]])</f>
        <v>11</v>
      </c>
      <c r="R119" s="1">
        <f>IF(tblPurchases[[#This Row],[Payment Date]]="",0,IF(YEAR(tblPurchases[[#This Row],[Payment Date]])=FYear,MONTH(tblPurchases[[#This Row],[Payment Date]]),0))</f>
        <v>11</v>
      </c>
    </row>
    <row r="120" spans="2:18" x14ac:dyDescent="0.35">
      <c r="B120" s="113">
        <v>46336</v>
      </c>
      <c r="C120" s="4" t="s">
        <v>5451</v>
      </c>
      <c r="D120" s="4" t="s">
        <v>4729</v>
      </c>
      <c r="E120" s="1" t="str">
        <f>_xlfn.XLOOKUP(tblPurchases[[#This Row],[Vendor ID]],tblVendors[Vendor ID],tblVendors[Vendor Name],"⚠ Unknown")</f>
        <v>Toko ATK Sentosa</v>
      </c>
      <c r="F120" s="4" t="s">
        <v>5584</v>
      </c>
      <c r="G120" s="4">
        <v>6270</v>
      </c>
      <c r="H120" s="1" t="str">
        <f>_xlfn.XLOOKUP(tblPurchases[[#This Row],[Account Code]],tblCOA[Code],tblCOA[Account Name],"⚠ Invalid")</f>
        <v>Office Supplies</v>
      </c>
      <c r="I120" s="6">
        <v>3350000</v>
      </c>
      <c r="J120" s="5">
        <f>IF(_xlfn.XLOOKUP(tblPurchases[[#This Row],[Vendor ID]],tblVendors[Vendor ID],tblVendors[VAT Status],"")="PKP",ROUND(tblPurchases[[#This Row],[DPP (excl. VAT)]]*VATEff,0),0)</f>
        <v>0</v>
      </c>
      <c r="K120" s="1" t="str">
        <f>_xlfn.XLOOKUP(tblPurchases[[#This Row],[Vendor ID]],tblVendors[Vendor ID],tblVendors[WHT Type],"None")</f>
        <v>None</v>
      </c>
      <c r="L120" s="118">
        <f>_xlfn.XLOOKUP(tblPurchases[[#This Row],[WHT Type]],WHTTypes,WHTRates,0)</f>
        <v>0</v>
      </c>
      <c r="M120" s="5">
        <f>ROUND(tblPurchases[[#This Row],[DPP (excl. VAT)]]*tblPurchases[[#This Row],[WHT Rate]],0)</f>
        <v>0</v>
      </c>
      <c r="N120" s="5">
        <f>tblPurchases[[#This Row],[DPP (excl. VAT)]]+tblPurchases[[#This Row],[Input VAT]]-tblPurchases[[#This Row],[WHT Amount]]</f>
        <v>3350000</v>
      </c>
      <c r="O120" s="113">
        <v>46336</v>
      </c>
      <c r="P120" s="4">
        <v>1120</v>
      </c>
      <c r="Q120" s="1">
        <f>MONTH(tblPurchases[[#This Row],[Date]])</f>
        <v>11</v>
      </c>
      <c r="R120" s="1">
        <f>IF(tblPurchases[[#This Row],[Payment Date]]="",0,IF(YEAR(tblPurchases[[#This Row],[Payment Date]])=FYear,MONTH(tblPurchases[[#This Row],[Payment Date]]),0))</f>
        <v>11</v>
      </c>
    </row>
    <row r="121" spans="2:18" x14ac:dyDescent="0.35">
      <c r="B121" s="113">
        <v>46338</v>
      </c>
      <c r="C121" s="4" t="s">
        <v>5452</v>
      </c>
      <c r="D121" s="4" t="s">
        <v>4669</v>
      </c>
      <c r="E121" s="1" t="str">
        <f>_xlfn.XLOOKUP(tblPurchases[[#This Row],[Vendor ID]],tblVendors[Vendor ID],tblVendors[Vendor Name],"⚠ Unknown")</f>
        <v>PT Prima Supply Nusantara</v>
      </c>
      <c r="F121" s="4" t="s">
        <v>5585</v>
      </c>
      <c r="G121" s="4">
        <v>1310</v>
      </c>
      <c r="H121" s="1" t="str">
        <f>_xlfn.XLOOKUP(tblPurchases[[#This Row],[Account Code]],tblCOA[Code],tblCOA[Account Name],"⚠ Invalid")</f>
        <v>Merchandise inventory</v>
      </c>
      <c r="I121" s="6">
        <v>242714000</v>
      </c>
      <c r="J121" s="5">
        <f>IF(_xlfn.XLOOKUP(tblPurchases[[#This Row],[Vendor ID]],tblVendors[Vendor ID],tblVendors[VAT Status],"")="PKP",ROUND(tblPurchases[[#This Row],[DPP (excl. VAT)]]*VATEff,0),0)</f>
        <v>26698540</v>
      </c>
      <c r="K121" s="1" t="str">
        <f>_xlfn.XLOOKUP(tblPurchases[[#This Row],[Vendor ID]],tblVendors[Vendor ID],tblVendors[WHT Type],"None")</f>
        <v>None</v>
      </c>
      <c r="L121" s="118">
        <f>_xlfn.XLOOKUP(tblPurchases[[#This Row],[WHT Type]],WHTTypes,WHTRates,0)</f>
        <v>0</v>
      </c>
      <c r="M121" s="5">
        <f>ROUND(tblPurchases[[#This Row],[DPP (excl. VAT)]]*tblPurchases[[#This Row],[WHT Rate]],0)</f>
        <v>0</v>
      </c>
      <c r="N121" s="5">
        <f>tblPurchases[[#This Row],[DPP (excl. VAT)]]+tblPurchases[[#This Row],[Input VAT]]-tblPurchases[[#This Row],[WHT Amount]]</f>
        <v>269412540</v>
      </c>
      <c r="O121" s="113">
        <v>46368</v>
      </c>
      <c r="P121" s="4">
        <v>1120</v>
      </c>
      <c r="Q121" s="1">
        <f>MONTH(tblPurchases[[#This Row],[Date]])</f>
        <v>11</v>
      </c>
      <c r="R121" s="1">
        <f>IF(tblPurchases[[#This Row],[Payment Date]]="",0,IF(YEAR(tblPurchases[[#This Row],[Payment Date]])=FYear,MONTH(tblPurchases[[#This Row],[Payment Date]]),0))</f>
        <v>12</v>
      </c>
    </row>
    <row r="122" spans="2:18" x14ac:dyDescent="0.35">
      <c r="B122" s="113">
        <v>46341</v>
      </c>
      <c r="C122" s="4" t="s">
        <v>5453</v>
      </c>
      <c r="D122" s="4" t="s">
        <v>4723</v>
      </c>
      <c r="E122" s="1" t="str">
        <f>_xlfn.XLOOKUP(tblPurchases[[#This Row],[Vendor ID]],tblVendors[Vendor ID],tblVendors[Vendor Name],"⚠ Unknown")</f>
        <v>CV Teknik Servis Mandiri</v>
      </c>
      <c r="F122" s="4" t="s">
        <v>5586</v>
      </c>
      <c r="G122" s="4">
        <v>6295</v>
      </c>
      <c r="H122" s="1" t="str">
        <f>_xlfn.XLOOKUP(tblPurchases[[#This Row],[Account Code]],tblCOA[Code],tblCOA[Account Name],"⚠ Invalid")</f>
        <v>Repairs &amp; Maintenance</v>
      </c>
      <c r="I122" s="6">
        <v>3964000</v>
      </c>
      <c r="J122" s="5">
        <f>IF(_xlfn.XLOOKUP(tblPurchases[[#This Row],[Vendor ID]],tblVendors[Vendor ID],tblVendors[VAT Status],"")="PKP",ROUND(tblPurchases[[#This Row],[DPP (excl. VAT)]]*VATEff,0),0)</f>
        <v>0</v>
      </c>
      <c r="K122" s="1" t="str">
        <f>_xlfn.XLOOKUP(tblPurchases[[#This Row],[Vendor ID]],tblVendors[Vendor ID],tblVendors[WHT Type],"None")</f>
        <v>Art. 23 - Services</v>
      </c>
      <c r="L122" s="118">
        <f>_xlfn.XLOOKUP(tblPurchases[[#This Row],[WHT Type]],WHTTypes,WHTRates,0)</f>
        <v>0.02</v>
      </c>
      <c r="M122" s="5">
        <f>ROUND(tblPurchases[[#This Row],[DPP (excl. VAT)]]*tblPurchases[[#This Row],[WHT Rate]],0)</f>
        <v>79280</v>
      </c>
      <c r="N122" s="5">
        <f>tblPurchases[[#This Row],[DPP (excl. VAT)]]+tblPurchases[[#This Row],[Input VAT]]-tblPurchases[[#This Row],[WHT Amount]]</f>
        <v>3884720</v>
      </c>
      <c r="O122" s="113">
        <v>46348</v>
      </c>
      <c r="P122" s="4">
        <v>1120</v>
      </c>
      <c r="Q122" s="1">
        <f>MONTH(tblPurchases[[#This Row],[Date]])</f>
        <v>11</v>
      </c>
      <c r="R122" s="1">
        <f>IF(tblPurchases[[#This Row],[Payment Date]]="",0,IF(YEAR(tblPurchases[[#This Row],[Payment Date]])=FYear,MONTH(tblPurchases[[#This Row],[Payment Date]]),0))</f>
        <v>11</v>
      </c>
    </row>
    <row r="123" spans="2:18" x14ac:dyDescent="0.35">
      <c r="B123" s="113">
        <v>46344</v>
      </c>
      <c r="C123" s="4" t="s">
        <v>5454</v>
      </c>
      <c r="D123" s="4" t="s">
        <v>4759</v>
      </c>
      <c r="E123" s="1" t="str">
        <f>_xlfn.XLOOKUP(tblPurchases[[#This Row],[Vendor ID]],tblVendors[Vendor ID],tblVendors[Vendor Name],"⚠ Unknown")</f>
        <v>Various Restaurants &amp; Donations</v>
      </c>
      <c r="F123" s="4" t="s">
        <v>5587</v>
      </c>
      <c r="G123" s="4">
        <v>6296</v>
      </c>
      <c r="H123" s="1" t="str">
        <f>_xlfn.XLOOKUP(tblPurchases[[#This Row],[Account Code]],tblCOA[Code],tblCOA[Account Name],"⚠ Invalid")</f>
        <v>Entertainment &amp; Donations</v>
      </c>
      <c r="I123" s="6">
        <v>2539000</v>
      </c>
      <c r="J123" s="5">
        <f>IF(_xlfn.XLOOKUP(tblPurchases[[#This Row],[Vendor ID]],tblVendors[Vendor ID],tblVendors[VAT Status],"")="PKP",ROUND(tblPurchases[[#This Row],[DPP (excl. VAT)]]*VATEff,0),0)</f>
        <v>0</v>
      </c>
      <c r="K123" s="1" t="str">
        <f>_xlfn.XLOOKUP(tblPurchases[[#This Row],[Vendor ID]],tblVendors[Vendor ID],tblVendors[WHT Type],"None")</f>
        <v>None</v>
      </c>
      <c r="L123" s="118">
        <f>_xlfn.XLOOKUP(tblPurchases[[#This Row],[WHT Type]],WHTTypes,WHTRates,0)</f>
        <v>0</v>
      </c>
      <c r="M123" s="5">
        <f>ROUND(tblPurchases[[#This Row],[DPP (excl. VAT)]]*tblPurchases[[#This Row],[WHT Rate]],0)</f>
        <v>0</v>
      </c>
      <c r="N123" s="5">
        <f>tblPurchases[[#This Row],[DPP (excl. VAT)]]+tblPurchases[[#This Row],[Input VAT]]-tblPurchases[[#This Row],[WHT Amount]]</f>
        <v>2539000</v>
      </c>
      <c r="O123" s="113">
        <v>46344</v>
      </c>
      <c r="P123" s="4">
        <v>1120</v>
      </c>
      <c r="Q123" s="1">
        <f>MONTH(tblPurchases[[#This Row],[Date]])</f>
        <v>11</v>
      </c>
      <c r="R123" s="1">
        <f>IF(tblPurchases[[#This Row],[Payment Date]]="",0,IF(YEAR(tblPurchases[[#This Row],[Payment Date]])=FYear,MONTH(tblPurchases[[#This Row],[Payment Date]]),0))</f>
        <v>11</v>
      </c>
    </row>
    <row r="124" spans="2:18" x14ac:dyDescent="0.35">
      <c r="B124" s="113">
        <v>46346</v>
      </c>
      <c r="C124" s="4" t="s">
        <v>5455</v>
      </c>
      <c r="D124" s="4" t="s">
        <v>4674</v>
      </c>
      <c r="E124" s="1" t="str">
        <f>_xlfn.XLOOKUP(tblPurchases[[#This Row],[Vendor ID]],tblVendors[Vendor ID],tblVendors[Vendor Name],"⚠ Unknown")</f>
        <v>CV Aneka Grosir Jaya</v>
      </c>
      <c r="F124" s="4" t="s">
        <v>5588</v>
      </c>
      <c r="G124" s="4">
        <v>1310</v>
      </c>
      <c r="H124" s="1" t="str">
        <f>_xlfn.XLOOKUP(tblPurchases[[#This Row],[Account Code]],tblCOA[Code],tblCOA[Account Name],"⚠ Invalid")</f>
        <v>Merchandise inventory</v>
      </c>
      <c r="I124" s="6">
        <v>104020000</v>
      </c>
      <c r="J124" s="5">
        <f>IF(_xlfn.XLOOKUP(tblPurchases[[#This Row],[Vendor ID]],tblVendors[Vendor ID],tblVendors[VAT Status],"")="PKP",ROUND(tblPurchases[[#This Row],[DPP (excl. VAT)]]*VATEff,0),0)</f>
        <v>0</v>
      </c>
      <c r="K124" s="1" t="str">
        <f>_xlfn.XLOOKUP(tblPurchases[[#This Row],[Vendor ID]],tblVendors[Vendor ID],tblVendors[WHT Type],"None")</f>
        <v>None</v>
      </c>
      <c r="L124" s="118">
        <f>_xlfn.XLOOKUP(tblPurchases[[#This Row],[WHT Type]],WHTTypes,WHTRates,0)</f>
        <v>0</v>
      </c>
      <c r="M124" s="5">
        <f>ROUND(tblPurchases[[#This Row],[DPP (excl. VAT)]]*tblPurchases[[#This Row],[WHT Rate]],0)</f>
        <v>0</v>
      </c>
      <c r="N124" s="5">
        <f>tblPurchases[[#This Row],[DPP (excl. VAT)]]+tblPurchases[[#This Row],[Input VAT]]-tblPurchases[[#This Row],[WHT Amount]]</f>
        <v>104020000</v>
      </c>
      <c r="O124" s="113">
        <v>46353</v>
      </c>
      <c r="P124" s="4">
        <v>1120</v>
      </c>
      <c r="Q124" s="1">
        <f>MONTH(tblPurchases[[#This Row],[Date]])</f>
        <v>11</v>
      </c>
      <c r="R124" s="1">
        <f>IF(tblPurchases[[#This Row],[Payment Date]]="",0,IF(YEAR(tblPurchases[[#This Row],[Payment Date]])=FYear,MONTH(tblPurchases[[#This Row],[Payment Date]]),0))</f>
        <v>11</v>
      </c>
    </row>
    <row r="125" spans="2:18" x14ac:dyDescent="0.35">
      <c r="B125" s="113">
        <v>46353</v>
      </c>
      <c r="C125" s="4" t="s">
        <v>5456</v>
      </c>
      <c r="D125" s="4" t="s">
        <v>4705</v>
      </c>
      <c r="E125" s="1" t="str">
        <f>_xlfn.XLOOKUP(tblPurchases[[#This Row],[Vendor ID]],tblVendors[Vendor ID],tblVendors[Vendor Name],"⚠ Unknown")</f>
        <v>PT Ekspedisi Cepat Nusantara</v>
      </c>
      <c r="F125" s="4" t="s">
        <v>5589</v>
      </c>
      <c r="G125" s="4">
        <v>6140</v>
      </c>
      <c r="H125" s="1" t="str">
        <f>_xlfn.XLOOKUP(tblPurchases[[#This Row],[Account Code]],tblCOA[Code],tblCOA[Account Name],"⚠ Invalid")</f>
        <v>Shipping &amp; Delivery</v>
      </c>
      <c r="I125" s="6">
        <v>10319000</v>
      </c>
      <c r="J125" s="5">
        <f>IF(_xlfn.XLOOKUP(tblPurchases[[#This Row],[Vendor ID]],tblVendors[Vendor ID],tblVendors[VAT Status],"")="PKP",ROUND(tblPurchases[[#This Row],[DPP (excl. VAT)]]*VATEff,0),0)</f>
        <v>1135090</v>
      </c>
      <c r="K125" s="1" t="str">
        <f>_xlfn.XLOOKUP(tblPurchases[[#This Row],[Vendor ID]],tblVendors[Vendor ID],tblVendors[WHT Type],"None")</f>
        <v>Art. 23 - Services</v>
      </c>
      <c r="L125" s="118">
        <f>_xlfn.XLOOKUP(tblPurchases[[#This Row],[WHT Type]],WHTTypes,WHTRates,0)</f>
        <v>0.02</v>
      </c>
      <c r="M125" s="5">
        <f>ROUND(tblPurchases[[#This Row],[DPP (excl. VAT)]]*tblPurchases[[#This Row],[WHT Rate]],0)</f>
        <v>206380</v>
      </c>
      <c r="N125" s="5">
        <f>tblPurchases[[#This Row],[DPP (excl. VAT)]]+tblPurchases[[#This Row],[Input VAT]]-tblPurchases[[#This Row],[WHT Amount]]</f>
        <v>11247710</v>
      </c>
      <c r="O125" s="113">
        <v>46367</v>
      </c>
      <c r="P125" s="4">
        <v>1120</v>
      </c>
      <c r="Q125" s="1">
        <f>MONTH(tblPurchases[[#This Row],[Date]])</f>
        <v>11</v>
      </c>
      <c r="R125" s="1">
        <f>IF(tblPurchases[[#This Row],[Payment Date]]="",0,IF(YEAR(tblPurchases[[#This Row],[Payment Date]])=FYear,MONTH(tblPurchases[[#This Row],[Payment Date]]),0))</f>
        <v>12</v>
      </c>
    </row>
    <row r="126" spans="2:18" x14ac:dyDescent="0.35">
      <c r="B126" s="113">
        <v>46354</v>
      </c>
      <c r="C126" s="4" t="s">
        <v>5457</v>
      </c>
      <c r="D126" s="4" t="s">
        <v>4699</v>
      </c>
      <c r="E126" s="1" t="str">
        <f>_xlfn.XLOOKUP(tblPurchases[[#This Row],[Vendor ID]],tblVendors[Vendor ID],tblVendors[Vendor Name],"⚠ Unknown")</f>
        <v>PT Kreasi Iklan Digital</v>
      </c>
      <c r="F126" s="4" t="s">
        <v>5590</v>
      </c>
      <c r="G126" s="4">
        <v>6120</v>
      </c>
      <c r="H126" s="1" t="str">
        <f>_xlfn.XLOOKUP(tblPurchases[[#This Row],[Account Code]],tblCOA[Code],tblCOA[Account Name],"⚠ Invalid")</f>
        <v>Advertising &amp; Promotion</v>
      </c>
      <c r="I126" s="6">
        <v>12613000</v>
      </c>
      <c r="J126" s="5">
        <f>IF(_xlfn.XLOOKUP(tblPurchases[[#This Row],[Vendor ID]],tblVendors[Vendor ID],tblVendors[VAT Status],"")="PKP",ROUND(tblPurchases[[#This Row],[DPP (excl. VAT)]]*VATEff,0),0)</f>
        <v>1387430</v>
      </c>
      <c r="K126" s="1" t="str">
        <f>_xlfn.XLOOKUP(tblPurchases[[#This Row],[Vendor ID]],tblVendors[Vendor ID],tblVendors[WHT Type],"None")</f>
        <v>Art. 23 - Services</v>
      </c>
      <c r="L126" s="118">
        <f>_xlfn.XLOOKUP(tblPurchases[[#This Row],[WHT Type]],WHTTypes,WHTRates,0)</f>
        <v>0.02</v>
      </c>
      <c r="M126" s="5">
        <f>ROUND(tblPurchases[[#This Row],[DPP (excl. VAT)]]*tblPurchases[[#This Row],[WHT Rate]],0)</f>
        <v>252260</v>
      </c>
      <c r="N126" s="5">
        <f>tblPurchases[[#This Row],[DPP (excl. VAT)]]+tblPurchases[[#This Row],[Input VAT]]-tblPurchases[[#This Row],[WHT Amount]]</f>
        <v>13748170</v>
      </c>
      <c r="O126" s="113">
        <v>46384</v>
      </c>
      <c r="P126" s="4">
        <v>1120</v>
      </c>
      <c r="Q126" s="1">
        <f>MONTH(tblPurchases[[#This Row],[Date]])</f>
        <v>11</v>
      </c>
      <c r="R126" s="1">
        <f>IF(tblPurchases[[#This Row],[Payment Date]]="",0,IF(YEAR(tblPurchases[[#This Row],[Payment Date]])=FYear,MONTH(tblPurchases[[#This Row],[Payment Date]]),0))</f>
        <v>12</v>
      </c>
    </row>
    <row r="127" spans="2:18" x14ac:dyDescent="0.35">
      <c r="B127" s="113">
        <v>46356</v>
      </c>
      <c r="C127" s="4" t="s">
        <v>5458</v>
      </c>
      <c r="D127" s="4" t="s">
        <v>4735</v>
      </c>
      <c r="E127" s="1" t="str">
        <f>_xlfn.XLOOKUP(tblPurchases[[#This Row],[Vendor ID]],tblVendors[Vendor ID],tblVendors[Vendor Name],"⚠ Unknown")</f>
        <v>PT Marketplace Niaga Online</v>
      </c>
      <c r="F127" s="4" t="s">
        <v>5591</v>
      </c>
      <c r="G127" s="4">
        <v>6130</v>
      </c>
      <c r="H127" s="1" t="str">
        <f>_xlfn.XLOOKUP(tblPurchases[[#This Row],[Account Code]],tblCOA[Code],tblCOA[Account Name],"⚠ Invalid")</f>
        <v>Marketplace &amp; Sales Commissions</v>
      </c>
      <c r="I127" s="6">
        <v>3014000</v>
      </c>
      <c r="J127" s="5">
        <f>IF(_xlfn.XLOOKUP(tblPurchases[[#This Row],[Vendor ID]],tblVendors[Vendor ID],tblVendors[VAT Status],"")="PKP",ROUND(tblPurchases[[#This Row],[DPP (excl. VAT)]]*VATEff,0),0)</f>
        <v>331540</v>
      </c>
      <c r="K127" s="1" t="str">
        <f>_xlfn.XLOOKUP(tblPurchases[[#This Row],[Vendor ID]],tblVendors[Vendor ID],tblVendors[WHT Type],"None")</f>
        <v>Art. 23 - Services</v>
      </c>
      <c r="L127" s="118">
        <f>_xlfn.XLOOKUP(tblPurchases[[#This Row],[WHT Type]],WHTTypes,WHTRates,0)</f>
        <v>0.02</v>
      </c>
      <c r="M127" s="5">
        <f>ROUND(tblPurchases[[#This Row],[DPP (excl. VAT)]]*tblPurchases[[#This Row],[WHT Rate]],0)</f>
        <v>60280</v>
      </c>
      <c r="N127" s="5">
        <f>tblPurchases[[#This Row],[DPP (excl. VAT)]]+tblPurchases[[#This Row],[Input VAT]]-tblPurchases[[#This Row],[WHT Amount]]</f>
        <v>3285260</v>
      </c>
      <c r="O127" s="113">
        <v>46366</v>
      </c>
      <c r="P127" s="4">
        <v>1120</v>
      </c>
      <c r="Q127" s="1">
        <f>MONTH(tblPurchases[[#This Row],[Date]])</f>
        <v>11</v>
      </c>
      <c r="R127" s="1">
        <f>IF(tblPurchases[[#This Row],[Payment Date]]="",0,IF(YEAR(tblPurchases[[#This Row],[Payment Date]])=FYear,MONTH(tblPurchases[[#This Row],[Payment Date]]),0))</f>
        <v>12</v>
      </c>
    </row>
    <row r="128" spans="2:18" x14ac:dyDescent="0.35">
      <c r="B128" s="113">
        <v>46361</v>
      </c>
      <c r="C128" s="4" t="s">
        <v>5459</v>
      </c>
      <c r="D128" s="4" t="s">
        <v>4662</v>
      </c>
      <c r="E128" s="1" t="str">
        <f>_xlfn.XLOOKUP(tblPurchases[[#This Row],[Vendor ID]],tblVendors[Vendor ID],tblVendors[Vendor Name],"⚠ Unknown")</f>
        <v>PT Sumber Barang Utama</v>
      </c>
      <c r="F128" s="4" t="s">
        <v>5592</v>
      </c>
      <c r="G128" s="4">
        <v>1310</v>
      </c>
      <c r="H128" s="1" t="str">
        <f>_xlfn.XLOOKUP(tblPurchases[[#This Row],[Account Code]],tblCOA[Code],tblCOA[Account Name],"⚠ Invalid")</f>
        <v>Merchandise inventory</v>
      </c>
      <c r="I128" s="6">
        <v>422892000</v>
      </c>
      <c r="J128" s="5">
        <f>IF(_xlfn.XLOOKUP(tblPurchases[[#This Row],[Vendor ID]],tblVendors[Vendor ID],tblVendors[VAT Status],"")="PKP",ROUND(tblPurchases[[#This Row],[DPP (excl. VAT)]]*VATEff,0),0)</f>
        <v>46518120</v>
      </c>
      <c r="K128" s="1" t="str">
        <f>_xlfn.XLOOKUP(tblPurchases[[#This Row],[Vendor ID]],tblVendors[Vendor ID],tblVendors[WHT Type],"None")</f>
        <v>None</v>
      </c>
      <c r="L128" s="118">
        <f>_xlfn.XLOOKUP(tblPurchases[[#This Row],[WHT Type]],WHTTypes,WHTRates,0)</f>
        <v>0</v>
      </c>
      <c r="M128" s="5">
        <f>ROUND(tblPurchases[[#This Row],[DPP (excl. VAT)]]*tblPurchases[[#This Row],[WHT Rate]],0)</f>
        <v>0</v>
      </c>
      <c r="N128" s="5">
        <f>tblPurchases[[#This Row],[DPP (excl. VAT)]]+tblPurchases[[#This Row],[Input VAT]]-tblPurchases[[#This Row],[WHT Amount]]</f>
        <v>469410120</v>
      </c>
      <c r="O128" s="113">
        <v>46391</v>
      </c>
      <c r="P128" s="4">
        <v>1120</v>
      </c>
      <c r="Q128" s="1">
        <f>MONTH(tblPurchases[[#This Row],[Date]])</f>
        <v>12</v>
      </c>
      <c r="R128" s="1">
        <f>IF(tblPurchases[[#This Row],[Payment Date]]="",0,IF(YEAR(tblPurchases[[#This Row],[Payment Date]])=FYear,MONTH(tblPurchases[[#This Row],[Payment Date]]),0))</f>
        <v>0</v>
      </c>
    </row>
    <row r="129" spans="2:18" x14ac:dyDescent="0.35">
      <c r="B129" s="113">
        <v>46361</v>
      </c>
      <c r="C129" s="4" t="s">
        <v>5460</v>
      </c>
      <c r="D129" s="4" t="s">
        <v>4711</v>
      </c>
      <c r="E129" s="1" t="str">
        <f>_xlfn.XLOOKUP(tblPurchases[[#This Row],[Vendor ID]],tblVendors[Vendor ID],tblVendors[Vendor Name],"⚠ Unknown")</f>
        <v>PT Utilitas Listrik &amp; Telekom</v>
      </c>
      <c r="F129" s="4" t="s">
        <v>5593</v>
      </c>
      <c r="G129" s="4">
        <v>6230</v>
      </c>
      <c r="H129" s="1" t="str">
        <f>_xlfn.XLOOKUP(tblPurchases[[#This Row],[Account Code]],tblCOA[Code],tblCOA[Account Name],"⚠ Invalid")</f>
        <v>Utilities &amp; Telecommunication</v>
      </c>
      <c r="I129" s="6">
        <v>11635000</v>
      </c>
      <c r="J129" s="5">
        <f>IF(_xlfn.XLOOKUP(tblPurchases[[#This Row],[Vendor ID]],tblVendors[Vendor ID],tblVendors[VAT Status],"")="PKP",ROUND(tblPurchases[[#This Row],[DPP (excl. VAT)]]*VATEff,0),0)</f>
        <v>1279850</v>
      </c>
      <c r="K129" s="1" t="str">
        <f>_xlfn.XLOOKUP(tblPurchases[[#This Row],[Vendor ID]],tblVendors[Vendor ID],tblVendors[WHT Type],"None")</f>
        <v>None</v>
      </c>
      <c r="L129" s="118">
        <f>_xlfn.XLOOKUP(tblPurchases[[#This Row],[WHT Type]],WHTTypes,WHTRates,0)</f>
        <v>0</v>
      </c>
      <c r="M129" s="5">
        <f>ROUND(tblPurchases[[#This Row],[DPP (excl. VAT)]]*tblPurchases[[#This Row],[WHT Rate]],0)</f>
        <v>0</v>
      </c>
      <c r="N129" s="5">
        <f>tblPurchases[[#This Row],[DPP (excl. VAT)]]+tblPurchases[[#This Row],[Input VAT]]-tblPurchases[[#This Row],[WHT Amount]]</f>
        <v>12914850</v>
      </c>
      <c r="O129" s="113">
        <v>46376</v>
      </c>
      <c r="P129" s="4">
        <v>1120</v>
      </c>
      <c r="Q129" s="1">
        <f>MONTH(tblPurchases[[#This Row],[Date]])</f>
        <v>12</v>
      </c>
      <c r="R129" s="1">
        <f>IF(tblPurchases[[#This Row],[Payment Date]]="",0,IF(YEAR(tblPurchases[[#This Row],[Payment Date]])=FYear,MONTH(tblPurchases[[#This Row],[Payment Date]]),0))</f>
        <v>12</v>
      </c>
    </row>
    <row r="130" spans="2:18" x14ac:dyDescent="0.35">
      <c r="B130" s="113">
        <v>46366</v>
      </c>
      <c r="C130" s="4" t="s">
        <v>5461</v>
      </c>
      <c r="D130" s="4" t="s">
        <v>4729</v>
      </c>
      <c r="E130" s="1" t="str">
        <f>_xlfn.XLOOKUP(tblPurchases[[#This Row],[Vendor ID]],tblVendors[Vendor ID],tblVendors[Vendor Name],"⚠ Unknown")</f>
        <v>Toko ATK Sentosa</v>
      </c>
      <c r="F130" s="4" t="s">
        <v>5594</v>
      </c>
      <c r="G130" s="4">
        <v>6270</v>
      </c>
      <c r="H130" s="1" t="str">
        <f>_xlfn.XLOOKUP(tblPurchases[[#This Row],[Account Code]],tblCOA[Code],tblCOA[Account Name],"⚠ Invalid")</f>
        <v>Office Supplies</v>
      </c>
      <c r="I130" s="6">
        <v>2783000</v>
      </c>
      <c r="J130" s="5">
        <f>IF(_xlfn.XLOOKUP(tblPurchases[[#This Row],[Vendor ID]],tblVendors[Vendor ID],tblVendors[VAT Status],"")="PKP",ROUND(tblPurchases[[#This Row],[DPP (excl. VAT)]]*VATEff,0),0)</f>
        <v>0</v>
      </c>
      <c r="K130" s="1" t="str">
        <f>_xlfn.XLOOKUP(tblPurchases[[#This Row],[Vendor ID]],tblVendors[Vendor ID],tblVendors[WHT Type],"None")</f>
        <v>None</v>
      </c>
      <c r="L130" s="118">
        <f>_xlfn.XLOOKUP(tblPurchases[[#This Row],[WHT Type]],WHTTypes,WHTRates,0)</f>
        <v>0</v>
      </c>
      <c r="M130" s="5">
        <f>ROUND(tblPurchases[[#This Row],[DPP (excl. VAT)]]*tblPurchases[[#This Row],[WHT Rate]],0)</f>
        <v>0</v>
      </c>
      <c r="N130" s="5">
        <f>tblPurchases[[#This Row],[DPP (excl. VAT)]]+tblPurchases[[#This Row],[Input VAT]]-tblPurchases[[#This Row],[WHT Amount]]</f>
        <v>2783000</v>
      </c>
      <c r="O130" s="113">
        <v>46366</v>
      </c>
      <c r="P130" s="4">
        <v>1120</v>
      </c>
      <c r="Q130" s="1">
        <f>MONTH(tblPurchases[[#This Row],[Date]])</f>
        <v>12</v>
      </c>
      <c r="R130" s="1">
        <f>IF(tblPurchases[[#This Row],[Payment Date]]="",0,IF(YEAR(tblPurchases[[#This Row],[Payment Date]])=FYear,MONTH(tblPurchases[[#This Row],[Payment Date]]),0))</f>
        <v>12</v>
      </c>
    </row>
    <row r="131" spans="2:18" x14ac:dyDescent="0.35">
      <c r="B131" s="113">
        <v>46368</v>
      </c>
      <c r="C131" s="4" t="s">
        <v>5462</v>
      </c>
      <c r="D131" s="4" t="s">
        <v>4669</v>
      </c>
      <c r="E131" s="1" t="str">
        <f>_xlfn.XLOOKUP(tblPurchases[[#This Row],[Vendor ID]],tblVendors[Vendor ID],tblVendors[Vendor Name],"⚠ Unknown")</f>
        <v>PT Prima Supply Nusantara</v>
      </c>
      <c r="F131" s="4" t="s">
        <v>5595</v>
      </c>
      <c r="G131" s="4">
        <v>1310</v>
      </c>
      <c r="H131" s="1" t="str">
        <f>_xlfn.XLOOKUP(tblPurchases[[#This Row],[Account Code]],tblCOA[Code],tblCOA[Account Name],"⚠ Invalid")</f>
        <v>Merchandise inventory</v>
      </c>
      <c r="I131" s="6">
        <v>296025000</v>
      </c>
      <c r="J131" s="5">
        <f>IF(_xlfn.XLOOKUP(tblPurchases[[#This Row],[Vendor ID]],tblVendors[Vendor ID],tblVendors[VAT Status],"")="PKP",ROUND(tblPurchases[[#This Row],[DPP (excl. VAT)]]*VATEff,0),0)</f>
        <v>32562750</v>
      </c>
      <c r="K131" s="1" t="str">
        <f>_xlfn.XLOOKUP(tblPurchases[[#This Row],[Vendor ID]],tblVendors[Vendor ID],tblVendors[WHT Type],"None")</f>
        <v>None</v>
      </c>
      <c r="L131" s="118">
        <f>_xlfn.XLOOKUP(tblPurchases[[#This Row],[WHT Type]],WHTTypes,WHTRates,0)</f>
        <v>0</v>
      </c>
      <c r="M131" s="5">
        <f>ROUND(tblPurchases[[#This Row],[DPP (excl. VAT)]]*tblPurchases[[#This Row],[WHT Rate]],0)</f>
        <v>0</v>
      </c>
      <c r="N131" s="5">
        <f>tblPurchases[[#This Row],[DPP (excl. VAT)]]+tblPurchases[[#This Row],[Input VAT]]-tblPurchases[[#This Row],[WHT Amount]]</f>
        <v>328587750</v>
      </c>
      <c r="O131" s="113">
        <v>46398</v>
      </c>
      <c r="P131" s="4">
        <v>1120</v>
      </c>
      <c r="Q131" s="1">
        <f>MONTH(tblPurchases[[#This Row],[Date]])</f>
        <v>12</v>
      </c>
      <c r="R131" s="1">
        <f>IF(tblPurchases[[#This Row],[Payment Date]]="",0,IF(YEAR(tblPurchases[[#This Row],[Payment Date]])=FYear,MONTH(tblPurchases[[#This Row],[Payment Date]]),0))</f>
        <v>0</v>
      </c>
    </row>
    <row r="132" spans="2:18" x14ac:dyDescent="0.35">
      <c r="B132" s="113">
        <v>46371</v>
      </c>
      <c r="C132" s="4" t="s">
        <v>5463</v>
      </c>
      <c r="D132" s="4" t="s">
        <v>4723</v>
      </c>
      <c r="E132" s="1" t="str">
        <f>_xlfn.XLOOKUP(tblPurchases[[#This Row],[Vendor ID]],tblVendors[Vendor ID],tblVendors[Vendor Name],"⚠ Unknown")</f>
        <v>CV Teknik Servis Mandiri</v>
      </c>
      <c r="F132" s="4" t="s">
        <v>5596</v>
      </c>
      <c r="G132" s="4">
        <v>6295</v>
      </c>
      <c r="H132" s="1" t="str">
        <f>_xlfn.XLOOKUP(tblPurchases[[#This Row],[Account Code]],tblCOA[Code],tblCOA[Account Name],"⚠ Invalid")</f>
        <v>Repairs &amp; Maintenance</v>
      </c>
      <c r="I132" s="6">
        <v>3848000</v>
      </c>
      <c r="J132" s="5">
        <f>IF(_xlfn.XLOOKUP(tblPurchases[[#This Row],[Vendor ID]],tblVendors[Vendor ID],tblVendors[VAT Status],"")="PKP",ROUND(tblPurchases[[#This Row],[DPP (excl. VAT)]]*VATEff,0),0)</f>
        <v>0</v>
      </c>
      <c r="K132" s="1" t="str">
        <f>_xlfn.XLOOKUP(tblPurchases[[#This Row],[Vendor ID]],tblVendors[Vendor ID],tblVendors[WHT Type],"None")</f>
        <v>Art. 23 - Services</v>
      </c>
      <c r="L132" s="118">
        <f>_xlfn.XLOOKUP(tblPurchases[[#This Row],[WHT Type]],WHTTypes,WHTRates,0)</f>
        <v>0.02</v>
      </c>
      <c r="M132" s="5">
        <f>ROUND(tblPurchases[[#This Row],[DPP (excl. VAT)]]*tblPurchases[[#This Row],[WHT Rate]],0)</f>
        <v>76960</v>
      </c>
      <c r="N132" s="5">
        <f>tblPurchases[[#This Row],[DPP (excl. VAT)]]+tblPurchases[[#This Row],[Input VAT]]-tblPurchases[[#This Row],[WHT Amount]]</f>
        <v>3771040</v>
      </c>
      <c r="O132" s="113">
        <v>46378</v>
      </c>
      <c r="P132" s="4">
        <v>1120</v>
      </c>
      <c r="Q132" s="1">
        <f>MONTH(tblPurchases[[#This Row],[Date]])</f>
        <v>12</v>
      </c>
      <c r="R132" s="1">
        <f>IF(tblPurchases[[#This Row],[Payment Date]]="",0,IF(YEAR(tblPurchases[[#This Row],[Payment Date]])=FYear,MONTH(tblPurchases[[#This Row],[Payment Date]]),0))</f>
        <v>12</v>
      </c>
    </row>
    <row r="133" spans="2:18" x14ac:dyDescent="0.35">
      <c r="B133" s="113">
        <v>46374</v>
      </c>
      <c r="C133" s="4" t="s">
        <v>5464</v>
      </c>
      <c r="D133" s="4" t="s">
        <v>4759</v>
      </c>
      <c r="E133" s="1" t="str">
        <f>_xlfn.XLOOKUP(tblPurchases[[#This Row],[Vendor ID]],tblVendors[Vendor ID],tblVendors[Vendor Name],"⚠ Unknown")</f>
        <v>Various Restaurants &amp; Donations</v>
      </c>
      <c r="F133" s="4" t="s">
        <v>5597</v>
      </c>
      <c r="G133" s="4">
        <v>6296</v>
      </c>
      <c r="H133" s="1" t="str">
        <f>_xlfn.XLOOKUP(tblPurchases[[#This Row],[Account Code]],tblCOA[Code],tblCOA[Account Name],"⚠ Invalid")</f>
        <v>Entertainment &amp; Donations</v>
      </c>
      <c r="I133" s="6">
        <v>2437000</v>
      </c>
      <c r="J133" s="5">
        <f>IF(_xlfn.XLOOKUP(tblPurchases[[#This Row],[Vendor ID]],tblVendors[Vendor ID],tblVendors[VAT Status],"")="PKP",ROUND(tblPurchases[[#This Row],[DPP (excl. VAT)]]*VATEff,0),0)</f>
        <v>0</v>
      </c>
      <c r="K133" s="1" t="str">
        <f>_xlfn.XLOOKUP(tblPurchases[[#This Row],[Vendor ID]],tblVendors[Vendor ID],tblVendors[WHT Type],"None")</f>
        <v>None</v>
      </c>
      <c r="L133" s="118">
        <f>_xlfn.XLOOKUP(tblPurchases[[#This Row],[WHT Type]],WHTTypes,WHTRates,0)</f>
        <v>0</v>
      </c>
      <c r="M133" s="5">
        <f>ROUND(tblPurchases[[#This Row],[DPP (excl. VAT)]]*tblPurchases[[#This Row],[WHT Rate]],0)</f>
        <v>0</v>
      </c>
      <c r="N133" s="5">
        <f>tblPurchases[[#This Row],[DPP (excl. VAT)]]+tblPurchases[[#This Row],[Input VAT]]-tblPurchases[[#This Row],[WHT Amount]]</f>
        <v>2437000</v>
      </c>
      <c r="O133" s="113">
        <v>46374</v>
      </c>
      <c r="P133" s="4">
        <v>1120</v>
      </c>
      <c r="Q133" s="1">
        <f>MONTH(tblPurchases[[#This Row],[Date]])</f>
        <v>12</v>
      </c>
      <c r="R133" s="1">
        <f>IF(tblPurchases[[#This Row],[Payment Date]]="",0,IF(YEAR(tblPurchases[[#This Row],[Payment Date]])=FYear,MONTH(tblPurchases[[#This Row],[Payment Date]]),0))</f>
        <v>12</v>
      </c>
    </row>
    <row r="134" spans="2:18" x14ac:dyDescent="0.35">
      <c r="B134" s="113">
        <v>46374</v>
      </c>
      <c r="C134" s="4" t="s">
        <v>5465</v>
      </c>
      <c r="D134" s="4" t="s">
        <v>4680</v>
      </c>
      <c r="E134" s="1" t="str">
        <f>_xlfn.XLOOKUP(tblPurchases[[#This Row],[Vendor ID]],tblVendors[Vendor ID],tblVendors[Vendor Name],"⚠ Unknown")</f>
        <v>PT Graha Properti Sudirman</v>
      </c>
      <c r="F134" s="4" t="s">
        <v>5598</v>
      </c>
      <c r="G134" s="4">
        <v>1410</v>
      </c>
      <c r="H134" s="1" t="str">
        <f>_xlfn.XLOOKUP(tblPurchases[[#This Row],[Account Code]],tblCOA[Code],tblCOA[Account Name],"⚠ Invalid")</f>
        <v>Prepaid Rent</v>
      </c>
      <c r="I134" s="6">
        <v>144000000</v>
      </c>
      <c r="J134" s="5">
        <f>IF(_xlfn.XLOOKUP(tblPurchases[[#This Row],[Vendor ID]],tblVendors[Vendor ID],tblVendors[VAT Status],"")="PKP",ROUND(tblPurchases[[#This Row],[DPP (excl. VAT)]]*VATEff,0),0)</f>
        <v>15840000</v>
      </c>
      <c r="K134" s="1" t="str">
        <f>_xlfn.XLOOKUP(tblPurchases[[#This Row],[Vendor ID]],tblVendors[Vendor ID],tblVendors[WHT Type],"None")</f>
        <v>Art. 4(2) - Building Rent</v>
      </c>
      <c r="L134" s="118">
        <f>_xlfn.XLOOKUP(tblPurchases[[#This Row],[WHT Type]],WHTTypes,WHTRates,0)</f>
        <v>0.1</v>
      </c>
      <c r="M134" s="5">
        <f>ROUND(tblPurchases[[#This Row],[DPP (excl. VAT)]]*tblPurchases[[#This Row],[WHT Rate]],0)</f>
        <v>14400000</v>
      </c>
      <c r="N134" s="5">
        <f>tblPurchases[[#This Row],[DPP (excl. VAT)]]+tblPurchases[[#This Row],[Input VAT]]-tblPurchases[[#This Row],[WHT Amount]]</f>
        <v>145440000</v>
      </c>
      <c r="O134" s="113">
        <v>46378</v>
      </c>
      <c r="P134" s="4">
        <v>1120</v>
      </c>
      <c r="Q134" s="1">
        <f>MONTH(tblPurchases[[#This Row],[Date]])</f>
        <v>12</v>
      </c>
      <c r="R134" s="1">
        <f>IF(tblPurchases[[#This Row],[Payment Date]]="",0,IF(YEAR(tblPurchases[[#This Row],[Payment Date]])=FYear,MONTH(tblPurchases[[#This Row],[Payment Date]]),0))</f>
        <v>12</v>
      </c>
    </row>
    <row r="135" spans="2:18" x14ac:dyDescent="0.35">
      <c r="B135" s="113">
        <v>46376</v>
      </c>
      <c r="C135" s="4" t="s">
        <v>5466</v>
      </c>
      <c r="D135" s="4" t="s">
        <v>4674</v>
      </c>
      <c r="E135" s="1" t="str">
        <f>_xlfn.XLOOKUP(tblPurchases[[#This Row],[Vendor ID]],tblVendors[Vendor ID],tblVendors[Vendor Name],"⚠ Unknown")</f>
        <v>CV Aneka Grosir Jaya</v>
      </c>
      <c r="F135" s="4" t="s">
        <v>5599</v>
      </c>
      <c r="G135" s="4">
        <v>1310</v>
      </c>
      <c r="H135" s="1" t="str">
        <f>_xlfn.XLOOKUP(tblPurchases[[#This Row],[Account Code]],tblCOA[Code],tblCOA[Account Name],"⚠ Invalid")</f>
        <v>Merchandise inventory</v>
      </c>
      <c r="I135" s="6">
        <v>126868000</v>
      </c>
      <c r="J135" s="5">
        <f>IF(_xlfn.XLOOKUP(tblPurchases[[#This Row],[Vendor ID]],tblVendors[Vendor ID],tblVendors[VAT Status],"")="PKP",ROUND(tblPurchases[[#This Row],[DPP (excl. VAT)]]*VATEff,0),0)</f>
        <v>0</v>
      </c>
      <c r="K135" s="1" t="str">
        <f>_xlfn.XLOOKUP(tblPurchases[[#This Row],[Vendor ID]],tblVendors[Vendor ID],tblVendors[WHT Type],"None")</f>
        <v>None</v>
      </c>
      <c r="L135" s="118">
        <f>_xlfn.XLOOKUP(tblPurchases[[#This Row],[WHT Type]],WHTTypes,WHTRates,0)</f>
        <v>0</v>
      </c>
      <c r="M135" s="5">
        <f>ROUND(tblPurchases[[#This Row],[DPP (excl. VAT)]]*tblPurchases[[#This Row],[WHT Rate]],0)</f>
        <v>0</v>
      </c>
      <c r="N135" s="5">
        <f>tblPurchases[[#This Row],[DPP (excl. VAT)]]+tblPurchases[[#This Row],[Input VAT]]-tblPurchases[[#This Row],[WHT Amount]]</f>
        <v>126868000</v>
      </c>
      <c r="O135" s="113">
        <v>46383</v>
      </c>
      <c r="P135" s="4">
        <v>1120</v>
      </c>
      <c r="Q135" s="1">
        <f>MONTH(tblPurchases[[#This Row],[Date]])</f>
        <v>12</v>
      </c>
      <c r="R135" s="1">
        <f>IF(tblPurchases[[#This Row],[Payment Date]]="",0,IF(YEAR(tblPurchases[[#This Row],[Payment Date]])=FYear,MONTH(tblPurchases[[#This Row],[Payment Date]]),0))</f>
        <v>12</v>
      </c>
    </row>
    <row r="136" spans="2:18" x14ac:dyDescent="0.35">
      <c r="B136" s="113">
        <v>46376</v>
      </c>
      <c r="C136" s="4" t="s">
        <v>5467</v>
      </c>
      <c r="D136" s="4" t="s">
        <v>4717</v>
      </c>
      <c r="E136" s="1" t="str">
        <f>_xlfn.XLOOKUP(tblPurchases[[#This Row],[Vendor ID]],tblVendors[Vendor ID],tblVendors[Vendor Name],"⚠ Unknown")</f>
        <v>KKP Mitra Pajak &amp; Konsultan</v>
      </c>
      <c r="F136" s="4" t="s">
        <v>5600</v>
      </c>
      <c r="G136" s="4">
        <v>6280</v>
      </c>
      <c r="H136" s="1" t="str">
        <f>_xlfn.XLOOKUP(tblPurchases[[#This Row],[Account Code]],tblCOA[Code],tblCOA[Account Name],"⚠ Invalid")</f>
        <v>Professional Fees</v>
      </c>
      <c r="I136" s="6">
        <v>25000000</v>
      </c>
      <c r="J136" s="5">
        <f>IF(_xlfn.XLOOKUP(tblPurchases[[#This Row],[Vendor ID]],tblVendors[Vendor ID],tblVendors[VAT Status],"")="PKP",ROUND(tblPurchases[[#This Row],[DPP (excl. VAT)]]*VATEff,0),0)</f>
        <v>2750000</v>
      </c>
      <c r="K136" s="1" t="str">
        <f>_xlfn.XLOOKUP(tblPurchases[[#This Row],[Vendor ID]],tblVendors[Vendor ID],tblVendors[WHT Type],"None")</f>
        <v>Art. 23 - Services</v>
      </c>
      <c r="L136" s="118">
        <f>_xlfn.XLOOKUP(tblPurchases[[#This Row],[WHT Type]],WHTTypes,WHTRates,0)</f>
        <v>0.02</v>
      </c>
      <c r="M136" s="5">
        <f>ROUND(tblPurchases[[#This Row],[DPP (excl. VAT)]]*tblPurchases[[#This Row],[WHT Rate]],0)</f>
        <v>500000</v>
      </c>
      <c r="N136" s="5">
        <f>tblPurchases[[#This Row],[DPP (excl. VAT)]]+tblPurchases[[#This Row],[Input VAT]]-tblPurchases[[#This Row],[WHT Amount]]</f>
        <v>27250000</v>
      </c>
      <c r="O136" s="113">
        <v>46390</v>
      </c>
      <c r="P136" s="4">
        <v>1120</v>
      </c>
      <c r="Q136" s="1">
        <f>MONTH(tblPurchases[[#This Row],[Date]])</f>
        <v>12</v>
      </c>
      <c r="R136" s="1">
        <f>IF(tblPurchases[[#This Row],[Payment Date]]="",0,IF(YEAR(tblPurchases[[#This Row],[Payment Date]])=FYear,MONTH(tblPurchases[[#This Row],[Payment Date]]),0))</f>
        <v>0</v>
      </c>
    </row>
    <row r="137" spans="2:18" x14ac:dyDescent="0.35">
      <c r="B137" s="113">
        <v>46383</v>
      </c>
      <c r="C137" s="4" t="s">
        <v>5468</v>
      </c>
      <c r="D137" s="4" t="s">
        <v>4705</v>
      </c>
      <c r="E137" s="1" t="str">
        <f>_xlfn.XLOOKUP(tblPurchases[[#This Row],[Vendor ID]],tblVendors[Vendor ID],tblVendors[Vendor Name],"⚠ Unknown")</f>
        <v>PT Ekspedisi Cepat Nusantara</v>
      </c>
      <c r="F137" s="4" t="s">
        <v>5601</v>
      </c>
      <c r="G137" s="4">
        <v>6140</v>
      </c>
      <c r="H137" s="1" t="str">
        <f>_xlfn.XLOOKUP(tblPurchases[[#This Row],[Account Code]],tblCOA[Code],tblCOA[Account Name],"⚠ Invalid")</f>
        <v>Shipping &amp; Delivery</v>
      </c>
      <c r="I137" s="6">
        <v>12386000</v>
      </c>
      <c r="J137" s="5">
        <f>IF(_xlfn.XLOOKUP(tblPurchases[[#This Row],[Vendor ID]],tblVendors[Vendor ID],tblVendors[VAT Status],"")="PKP",ROUND(tblPurchases[[#This Row],[DPP (excl. VAT)]]*VATEff,0),0)</f>
        <v>1362460</v>
      </c>
      <c r="K137" s="1" t="str">
        <f>_xlfn.XLOOKUP(tblPurchases[[#This Row],[Vendor ID]],tblVendors[Vendor ID],tblVendors[WHT Type],"None")</f>
        <v>Art. 23 - Services</v>
      </c>
      <c r="L137" s="118">
        <f>_xlfn.XLOOKUP(tblPurchases[[#This Row],[WHT Type]],WHTTypes,WHTRates,0)</f>
        <v>0.02</v>
      </c>
      <c r="M137" s="5">
        <f>ROUND(tblPurchases[[#This Row],[DPP (excl. VAT)]]*tblPurchases[[#This Row],[WHT Rate]],0)</f>
        <v>247720</v>
      </c>
      <c r="N137" s="5">
        <f>tblPurchases[[#This Row],[DPP (excl. VAT)]]+tblPurchases[[#This Row],[Input VAT]]-tblPurchases[[#This Row],[WHT Amount]]</f>
        <v>13500740</v>
      </c>
      <c r="O137" s="113">
        <v>46397</v>
      </c>
      <c r="P137" s="4">
        <v>1120</v>
      </c>
      <c r="Q137" s="1">
        <f>MONTH(tblPurchases[[#This Row],[Date]])</f>
        <v>12</v>
      </c>
      <c r="R137" s="1">
        <f>IF(tblPurchases[[#This Row],[Payment Date]]="",0,IF(YEAR(tblPurchases[[#This Row],[Payment Date]])=FYear,MONTH(tblPurchases[[#This Row],[Payment Date]]),0))</f>
        <v>0</v>
      </c>
    </row>
    <row r="138" spans="2:18" x14ac:dyDescent="0.35">
      <c r="B138" s="113">
        <v>46384</v>
      </c>
      <c r="C138" s="4" t="s">
        <v>5469</v>
      </c>
      <c r="D138" s="4" t="s">
        <v>4699</v>
      </c>
      <c r="E138" s="1" t="str">
        <f>_xlfn.XLOOKUP(tblPurchases[[#This Row],[Vendor ID]],tblVendors[Vendor ID],tblVendors[Vendor Name],"⚠ Unknown")</f>
        <v>PT Kreasi Iklan Digital</v>
      </c>
      <c r="F138" s="4" t="s">
        <v>5602</v>
      </c>
      <c r="G138" s="4">
        <v>6120</v>
      </c>
      <c r="H138" s="1" t="str">
        <f>_xlfn.XLOOKUP(tblPurchases[[#This Row],[Account Code]],tblCOA[Code],tblCOA[Account Name],"⚠ Invalid")</f>
        <v>Advertising &amp; Promotion</v>
      </c>
      <c r="I138" s="6">
        <v>15138000</v>
      </c>
      <c r="J138" s="5">
        <f>IF(_xlfn.XLOOKUP(tblPurchases[[#This Row],[Vendor ID]],tblVendors[Vendor ID],tblVendors[VAT Status],"")="PKP",ROUND(tblPurchases[[#This Row],[DPP (excl. VAT)]]*VATEff,0),0)</f>
        <v>1665180</v>
      </c>
      <c r="K138" s="1" t="str">
        <f>_xlfn.XLOOKUP(tblPurchases[[#This Row],[Vendor ID]],tblVendors[Vendor ID],tblVendors[WHT Type],"None")</f>
        <v>Art. 23 - Services</v>
      </c>
      <c r="L138" s="118">
        <f>_xlfn.XLOOKUP(tblPurchases[[#This Row],[WHT Type]],WHTTypes,WHTRates,0)</f>
        <v>0.02</v>
      </c>
      <c r="M138" s="5">
        <f>ROUND(tblPurchases[[#This Row],[DPP (excl. VAT)]]*tblPurchases[[#This Row],[WHT Rate]],0)</f>
        <v>302760</v>
      </c>
      <c r="N138" s="5">
        <f>tblPurchases[[#This Row],[DPP (excl. VAT)]]+tblPurchases[[#This Row],[Input VAT]]-tblPurchases[[#This Row],[WHT Amount]]</f>
        <v>16500420</v>
      </c>
      <c r="O138" s="113">
        <v>46414</v>
      </c>
      <c r="P138" s="4">
        <v>1120</v>
      </c>
      <c r="Q138" s="1">
        <f>MONTH(tblPurchases[[#This Row],[Date]])</f>
        <v>12</v>
      </c>
      <c r="R138" s="1">
        <f>IF(tblPurchases[[#This Row],[Payment Date]]="",0,IF(YEAR(tblPurchases[[#This Row],[Payment Date]])=FYear,MONTH(tblPurchases[[#This Row],[Payment Date]]),0))</f>
        <v>0</v>
      </c>
    </row>
    <row r="139" spans="2:18" x14ac:dyDescent="0.35">
      <c r="B139" s="113">
        <v>46387</v>
      </c>
      <c r="C139" s="4" t="s">
        <v>5470</v>
      </c>
      <c r="D139" s="4" t="s">
        <v>4735</v>
      </c>
      <c r="E139" s="1" t="str">
        <f>_xlfn.XLOOKUP(tblPurchases[[#This Row],[Vendor ID]],tblVendors[Vendor ID],tblVendors[Vendor Name],"⚠ Unknown")</f>
        <v>PT Marketplace Niaga Online</v>
      </c>
      <c r="F139" s="4" t="s">
        <v>5603</v>
      </c>
      <c r="G139" s="4">
        <v>6130</v>
      </c>
      <c r="H139" s="1" t="str">
        <f>_xlfn.XLOOKUP(tblPurchases[[#This Row],[Account Code]],tblCOA[Code],tblCOA[Account Name],"⚠ Invalid")</f>
        <v>Marketplace &amp; Sales Commissions</v>
      </c>
      <c r="I139" s="6">
        <v>3707000</v>
      </c>
      <c r="J139" s="5">
        <f>IF(_xlfn.XLOOKUP(tblPurchases[[#This Row],[Vendor ID]],tblVendors[Vendor ID],tblVendors[VAT Status],"")="PKP",ROUND(tblPurchases[[#This Row],[DPP (excl. VAT)]]*VATEff,0),0)</f>
        <v>407770</v>
      </c>
      <c r="K139" s="1" t="str">
        <f>_xlfn.XLOOKUP(tblPurchases[[#This Row],[Vendor ID]],tblVendors[Vendor ID],tblVendors[WHT Type],"None")</f>
        <v>Art. 23 - Services</v>
      </c>
      <c r="L139" s="118">
        <f>_xlfn.XLOOKUP(tblPurchases[[#This Row],[WHT Type]],WHTTypes,WHTRates,0)</f>
        <v>0.02</v>
      </c>
      <c r="M139" s="5">
        <f>ROUND(tblPurchases[[#This Row],[DPP (excl. VAT)]]*tblPurchases[[#This Row],[WHT Rate]],0)</f>
        <v>74140</v>
      </c>
      <c r="N139" s="5">
        <f>tblPurchases[[#This Row],[DPP (excl. VAT)]]+tblPurchases[[#This Row],[Input VAT]]-tblPurchases[[#This Row],[WHT Amount]]</f>
        <v>4040630</v>
      </c>
      <c r="O139" s="113">
        <v>46397</v>
      </c>
      <c r="P139" s="4">
        <v>1120</v>
      </c>
      <c r="Q139" s="1">
        <f>MONTH(tblPurchases[[#This Row],[Date]])</f>
        <v>12</v>
      </c>
      <c r="R139" s="1">
        <f>IF(tblPurchases[[#This Row],[Payment Date]]="",0,IF(YEAR(tblPurchases[[#This Row],[Payment Date]])=FYear,MONTH(tblPurchases[[#This Row],[Payment Date]]),0))</f>
        <v>0</v>
      </c>
    </row>
  </sheetData>
  <mergeCells count="8">
    <mergeCell ref="Z2:AA2"/>
    <mergeCell ref="AC2:AD2"/>
    <mergeCell ref="D2:E2"/>
    <mergeCell ref="G2:H2"/>
    <mergeCell ref="L2:M2"/>
    <mergeCell ref="Q2:R2"/>
    <mergeCell ref="T2:U2"/>
    <mergeCell ref="W2:X2"/>
  </mergeCells>
  <dataValidations count="1">
    <dataValidation type="list" allowBlank="1" showInputMessage="1" showErrorMessage="1" sqref="P7:P139" xr:uid="{F244A1F9-B104-4FB8-A0E5-9C0C6CF9E47F}">
      <formula1>"1110,1120,1130"</formula1>
    </dataValidation>
  </dataValidations>
  <hyperlinks>
    <hyperlink ref="B2" location="'Dashboard'!A1" tooltip="Go to Dashboard" display="🏠 HOME" xr:uid="{2C51113E-3A56-4B68-B890-308321D9D0E8}"/>
    <hyperlink ref="D2:E2" location="'Sales'!A1" tooltip="Go to Sales" display="◀ PREV" xr:uid="{ECEDD0F4-86BD-4745-B5F9-8B2AD1D86C22}"/>
    <hyperlink ref="G2:H2" location="'Payroll'!A1" tooltip="Go to Payroll" display="NEXT ▶" xr:uid="{1E62AA9E-CB23-4830-8FD8-0B440565F4C9}"/>
    <hyperlink ref="J2" location="'Dashboard'!B5" tooltip="Go to Dashboard" display="☰ MENU" xr:uid="{853A5470-81E9-431C-B71A-B4C62F537BE6}"/>
    <hyperlink ref="L2:M2" location="'General Journal'!A1" tooltip="Go to General Journal" display="Journal" xr:uid="{8FE4C290-BD26-452E-B8C6-48BCD6F783F3}"/>
    <hyperlink ref="O2" location="'Trial Balance'!A1" tooltip="Go to Trial Balance" display="Trial Bal." xr:uid="{D7C01BE1-F06F-4BD2-84E5-5B63EC8C65B4}"/>
    <hyperlink ref="Q2:R2" location="'Income Statement'!A1" tooltip="Go to Income Statement" display="Income St." xr:uid="{25FA27C7-4960-4459-A8C9-FC0E9663E3EC}"/>
    <hyperlink ref="T2:U2" location="'Balance Sheet'!A1" tooltip="Go to Balance Sheet" display="Balance Sh." xr:uid="{B43711F4-A9B0-48E2-89AD-4DC97668677A}"/>
    <hyperlink ref="W2:X2" location="'Tax Reconciliation'!A1" tooltip="Go to Tax Reconciliation" display="Tax Recon" xr:uid="{01088C87-BE82-421C-A90F-961B540756CB}"/>
    <hyperlink ref="Z2:AA2" location="'Bank Reconciliation'!A1" tooltip="Go to Bank Reconciliation" display="Bank Recon" xr:uid="{95EBB74C-C4EB-4C36-B440-DF8B37A56CA3}"/>
    <hyperlink ref="AC2:AD2" location="'Controls'!A1" tooltip="Go to Controls" display="Controls" xr:uid="{44D050C5-0CA6-461A-9275-1210DF0CDE76}"/>
  </hyperlink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B046094-C47A-4EF9-B695-00B25EE211C7}">
          <x14:formula1>
            <xm:f>Vendors!$B$7:$B$200</xm:f>
          </x14:formula1>
          <xm:sqref>D7:D139</xm:sqref>
        </x14:dataValidation>
        <x14:dataValidation type="list" allowBlank="1" showInputMessage="1" showErrorMessage="1" xr:uid="{77E9769E-02C9-43B5-BBF3-534F39E7E473}">
          <x14:formula1>
            <xm:f>COA!$B$7:$B$300</xm:f>
          </x14:formula1>
          <xm:sqref>G7:G139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5DEB-8CD4-4DE8-9291-BB46A6C70337}">
  <sheetPr>
    <tabColor rgb="FF38BDF8"/>
  </sheetPr>
  <dimension ref="A1:BH186"/>
  <sheetViews>
    <sheetView showGridLines="0" workbookViewId="0">
      <pane ySplit="6" topLeftCell="A40" activePane="bottomLeft" state="frozen"/>
      <selection pane="bottomLeft"/>
    </sheetView>
  </sheetViews>
  <sheetFormatPr defaultRowHeight="14.5" x14ac:dyDescent="0.35"/>
  <cols>
    <col min="1" max="1" width="1.453125" style="1" customWidth="1"/>
    <col min="2" max="2" width="6.36328125" style="1" customWidth="1"/>
    <col min="3" max="3" width="11.26953125" style="1" customWidth="1"/>
    <col min="4" max="4" width="9.08984375" style="1" customWidth="1"/>
    <col min="5" max="5" width="18.1796875" style="1" customWidth="1"/>
    <col min="6" max="6" width="9.08984375" style="1" customWidth="1"/>
    <col min="7" max="7" width="6.36328125" style="1" customWidth="1"/>
    <col min="8" max="18" width="12.7265625" style="1" customWidth="1"/>
    <col min="19" max="19" width="8.1796875" style="1" customWidth="1"/>
    <col min="20" max="27" width="12.7265625" style="1" customWidth="1"/>
    <col min="28" max="28" width="8.1796875" style="1" customWidth="1"/>
    <col min="29" max="29" width="2.7265625" style="1" customWidth="1"/>
    <col min="30" max="30" width="25.453125" style="1" customWidth="1"/>
    <col min="31" max="35" width="12.7265625" style="1" customWidth="1"/>
    <col min="36" max="52" width="8.7265625" style="1"/>
  </cols>
  <sheetData>
    <row r="1" spans="1:60" ht="5" customHeight="1" x14ac:dyDescent="0.35"/>
    <row r="2" spans="1:60" ht="18" customHeight="1" thickBot="1" x14ac:dyDescent="0.4">
      <c r="A2" s="307"/>
      <c r="B2" s="312" t="s">
        <v>7075</v>
      </c>
      <c r="C2" s="313"/>
      <c r="D2" s="307"/>
      <c r="E2" s="309" t="s">
        <v>7076</v>
      </c>
      <c r="F2" s="307"/>
      <c r="G2" s="310" t="s">
        <v>7077</v>
      </c>
      <c r="H2" s="311"/>
      <c r="I2" s="307"/>
      <c r="J2" s="308" t="s">
        <v>7078</v>
      </c>
      <c r="K2" s="307"/>
      <c r="L2" s="317" t="s">
        <v>7079</v>
      </c>
      <c r="M2" s="307"/>
      <c r="N2" s="317" t="s">
        <v>7080</v>
      </c>
      <c r="O2" s="307"/>
      <c r="P2" s="317" t="s">
        <v>7081</v>
      </c>
      <c r="Q2" s="307"/>
      <c r="R2" s="317" t="s">
        <v>7082</v>
      </c>
      <c r="S2" s="307"/>
      <c r="T2" s="317" t="s">
        <v>7083</v>
      </c>
      <c r="U2" s="307"/>
      <c r="V2" s="317" t="s">
        <v>7084</v>
      </c>
      <c r="W2" s="307"/>
      <c r="X2" s="317" t="s">
        <v>7085</v>
      </c>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5643</v>
      </c>
      <c r="C4" s="67"/>
      <c r="D4" s="67"/>
      <c r="E4" s="67"/>
      <c r="F4" s="67"/>
      <c r="G4" s="67"/>
      <c r="H4" s="67"/>
      <c r="I4" s="67"/>
      <c r="J4" s="67"/>
      <c r="K4" s="67"/>
      <c r="L4" s="67"/>
      <c r="M4" s="67"/>
      <c r="N4" s="67"/>
      <c r="O4" s="67"/>
      <c r="P4" s="67"/>
      <c r="Q4" s="67"/>
      <c r="R4" s="67"/>
      <c r="S4" s="67"/>
      <c r="T4" s="67"/>
      <c r="U4" s="67"/>
      <c r="V4" s="67"/>
      <c r="W4" s="67"/>
      <c r="X4" s="67"/>
      <c r="Y4" s="67"/>
      <c r="Z4" s="67"/>
      <c r="AA4" s="67"/>
      <c r="AB4" s="67"/>
    </row>
    <row r="5" spans="1:60" x14ac:dyDescent="0.35">
      <c r="B5" s="72" t="s">
        <v>5644</v>
      </c>
    </row>
    <row r="6" spans="1:60" ht="24" customHeight="1" x14ac:dyDescent="0.35">
      <c r="B6" s="100" t="s">
        <v>5622</v>
      </c>
      <c r="C6" s="100" t="s">
        <v>5623</v>
      </c>
      <c r="D6" s="100" t="s">
        <v>4765</v>
      </c>
      <c r="E6" s="100" t="s">
        <v>5624</v>
      </c>
      <c r="F6" s="100" t="s">
        <v>4768</v>
      </c>
      <c r="G6" s="100" t="s">
        <v>5625</v>
      </c>
      <c r="H6" s="100" t="s">
        <v>4772</v>
      </c>
      <c r="I6" s="100" t="s">
        <v>4773</v>
      </c>
      <c r="J6" s="100" t="s">
        <v>5626</v>
      </c>
      <c r="K6" s="100" t="s">
        <v>5627</v>
      </c>
      <c r="L6" s="100" t="s">
        <v>5628</v>
      </c>
      <c r="M6" s="100" t="s">
        <v>5629</v>
      </c>
      <c r="N6" s="100" t="s">
        <v>5630</v>
      </c>
      <c r="O6" s="100" t="s">
        <v>5631</v>
      </c>
      <c r="P6" s="100" t="s">
        <v>5632</v>
      </c>
      <c r="Q6" s="100" t="s">
        <v>5633</v>
      </c>
      <c r="R6" s="100" t="s">
        <v>5634</v>
      </c>
      <c r="S6" s="100" t="s">
        <v>5635</v>
      </c>
      <c r="T6" s="100" t="s">
        <v>5636</v>
      </c>
      <c r="U6" s="100" t="s">
        <v>5637</v>
      </c>
      <c r="V6" s="100" t="s">
        <v>5638</v>
      </c>
      <c r="W6" s="100" t="s">
        <v>5639</v>
      </c>
      <c r="X6" s="100" t="s">
        <v>5640</v>
      </c>
      <c r="Y6" s="100" t="s">
        <v>5641</v>
      </c>
      <c r="Z6" s="100" t="s">
        <v>5012</v>
      </c>
      <c r="AA6" s="100" t="s">
        <v>5642</v>
      </c>
      <c r="AB6" s="100" t="s">
        <v>5336</v>
      </c>
      <c r="AD6" s="68" t="s">
        <v>5606</v>
      </c>
      <c r="AE6" s="68" t="s">
        <v>4367</v>
      </c>
    </row>
    <row r="7" spans="1:60" x14ac:dyDescent="0.35">
      <c r="B7" s="4">
        <v>1</v>
      </c>
      <c r="C7" s="113">
        <v>46047</v>
      </c>
      <c r="D7" s="4" t="s">
        <v>4774</v>
      </c>
      <c r="E7" s="1" t="str">
        <f>_xlfn.XLOOKUP(tblPayroll[[#This Row],[Employee ID]],tblEmployees[Employee ID],tblEmployees[Full Name],"")</f>
        <v>Budi Santoso</v>
      </c>
      <c r="F7" s="1" t="str">
        <f>_xlfn.XLOOKUP(tblPayroll[[#This Row],[Employee ID]],tblEmployees[Employee ID],tblEmployees[Department],"")</f>
        <v>G&amp;A</v>
      </c>
      <c r="G7" s="1" t="str">
        <f>_xlfn.XLOOKUP(tblPayroll[[#This Row],[Employee ID]],tblEmployees[Employee ID],tblEmployees[TER Category],"")</f>
        <v>B</v>
      </c>
      <c r="H7" s="5">
        <f>_xlfn.XLOOKUP(tblPayroll[[#This Row],[Employee ID]],tblEmployees[Employee ID],tblEmployees[Basic Salary],"")</f>
        <v>25000000</v>
      </c>
      <c r="I7" s="5">
        <f>_xlfn.XLOOKUP(tblPayroll[[#This Row],[Employee ID]],tblEmployees[Employee ID],tblEmployees[Fixed Allowance],"")</f>
        <v>4000000</v>
      </c>
      <c r="J7" s="6">
        <v>0</v>
      </c>
      <c r="K7" s="5">
        <f>tblPayroll[[#This Row],[Basic Salary]]+tblPayroll[[#This Row],[Fixed Allowance]]+tblPayroll[[#This Row],[THR / Bonus]]</f>
        <v>29000000</v>
      </c>
      <c r="L7" s="5">
        <f>ROUND(MIN(tblPayroll[[#This Row],[Basic Salary]]+tblPayroll[[#This Row],[Fixed Allowance]],BPJSKesCap)*R_KesEr,0)</f>
        <v>480000</v>
      </c>
      <c r="M7" s="5">
        <f>ROUND((tblPayroll[[#This Row],[Basic Salary]]+tblPayroll[[#This Row],[Fixed Allowance]])*R_JKK,0)</f>
        <v>69600</v>
      </c>
      <c r="N7" s="5">
        <f>ROUND((tblPayroll[[#This Row],[Basic Salary]]+tblPayroll[[#This Row],[Fixed Allowance]])*R_JKM,0)</f>
        <v>87000</v>
      </c>
      <c r="O7" s="5">
        <f>ROUND((tblPayroll[[#This Row],[Basic Salary]]+tblPayroll[[#This Row],[Fixed Allowance]])*R_JHTEr,0)</f>
        <v>1073000</v>
      </c>
      <c r="P7" s="5">
        <f>ROUND(MIN(tblPayroll[[#This Row],[Basic Salary]]+tblPayroll[[#This Row],[Fixed Allowance]],JPCap)*R_JPEr,0)</f>
        <v>210948</v>
      </c>
      <c r="Q7" s="5">
        <f>SUM(tblPayroll[[#This Row],[BPJS Health (Er)]:[JP (Er)]])</f>
        <v>1920548</v>
      </c>
      <c r="R7" s="5">
        <f>tblPayroll[[#This Row],[Gross Salary]]+tblPayroll[[#This Row],[BPJS Health (Er)]]+tblPayroll[[#This Row],[JKK (Er)]]+tblPayroll[[#This Row],[JKM (Er)]]</f>
        <v>29636600</v>
      </c>
      <c r="S7" s="119">
        <f>IF(tblPayroll[[#This Row],[TER Cat]]="A",_xlfn.XLOOKUP(tblPayroll[[#This Row],[PPh 21 Base]],TerA_L,TerA_R,0,-1),IF(tblPayroll[[#This Row],[TER Cat]]="B",_xlfn.XLOOKUP(tblPayroll[[#This Row],[PPh 21 Base]],TerB_L,TerB_R,0,-1),_xlfn.XLOOKUP(tblPayroll[[#This Row],[PPh 21 Base]],TerC_L,TerC_R,0,-1)))</f>
        <v>0.12</v>
      </c>
      <c r="T7" s="5">
        <f>ROUND(tblPayroll[[#This Row],[PPh 21 Base]]*tblPayroll[[#This Row],[TER Rate]],0)</f>
        <v>3556392</v>
      </c>
      <c r="U7" s="5">
        <f>ROUND(MIN(tblPayroll[[#This Row],[Basic Salary]]+tblPayroll[[#This Row],[Fixed Allowance]],BPJSKesCap)*R_KesEe,0)</f>
        <v>120000</v>
      </c>
      <c r="V7" s="5">
        <f>ROUND((tblPayroll[[#This Row],[Basic Salary]]+tblPayroll[[#This Row],[Fixed Allowance]])*R_JHTEe,0)</f>
        <v>580000</v>
      </c>
      <c r="W7" s="5">
        <f>ROUND(MIN(tblPayroll[[#This Row],[Basic Salary]]+tblPayroll[[#This Row],[Fixed Allowance]],JPCap)*R_JPEe,0)</f>
        <v>105474</v>
      </c>
      <c r="X7" s="5">
        <f>tblPayroll[[#This Row],[BPJS Health (Ee)]]+tblPayroll[[#This Row],[JHT (Ee)]]+tblPayroll[[#This Row],[JP (Ee)]]</f>
        <v>805474</v>
      </c>
      <c r="Y7" s="5">
        <f>tblPayroll[[#This Row],[Gross Salary]]-tblPayroll[[#This Row],[PPh 21]]-tblPayroll[[#This Row],[Employee BPJS Total]]</f>
        <v>24638134</v>
      </c>
      <c r="Z7" s="5">
        <f>tblPayroll[[#This Row],[Employer BPJS Total]]+tblPayroll[[#This Row],[Employee BPJS Total]]</f>
        <v>2726022</v>
      </c>
      <c r="AA7" s="5">
        <f>tblPayroll[[#This Row],[Gross Salary]]+tblPayroll[[#This Row],[Employer BPJS Total]]</f>
        <v>30920548</v>
      </c>
      <c r="AB7" s="4">
        <v>1130</v>
      </c>
      <c r="AD7" s="1" t="s">
        <v>5607</v>
      </c>
      <c r="AE7" s="120">
        <v>0.04</v>
      </c>
    </row>
    <row r="8" spans="1:60" x14ac:dyDescent="0.35">
      <c r="B8" s="4">
        <v>1</v>
      </c>
      <c r="C8" s="113">
        <v>46047</v>
      </c>
      <c r="D8" s="4" t="s">
        <v>4779</v>
      </c>
      <c r="E8" s="1" t="str">
        <f>_xlfn.XLOOKUP(tblPayroll[[#This Row],[Employee ID]],tblEmployees[Employee ID],tblEmployees[Full Name],"")</f>
        <v>Siti Rahmawati</v>
      </c>
      <c r="F8" s="1" t="str">
        <f>_xlfn.XLOOKUP(tblPayroll[[#This Row],[Employee ID]],tblEmployees[Employee ID],tblEmployees[Department],"")</f>
        <v>G&amp;A</v>
      </c>
      <c r="G8" s="1" t="str">
        <f>_xlfn.XLOOKUP(tblPayroll[[#This Row],[Employee ID]],tblEmployees[Employee ID],tblEmployees[TER Category],"")</f>
        <v>B</v>
      </c>
      <c r="H8" s="5">
        <f>_xlfn.XLOOKUP(tblPayroll[[#This Row],[Employee ID]],tblEmployees[Employee ID],tblEmployees[Basic Salary],"")</f>
        <v>20000000</v>
      </c>
      <c r="I8" s="5">
        <f>_xlfn.XLOOKUP(tblPayroll[[#This Row],[Employee ID]],tblEmployees[Employee ID],tblEmployees[Fixed Allowance],"")</f>
        <v>3000000</v>
      </c>
      <c r="J8" s="6">
        <v>0</v>
      </c>
      <c r="K8" s="5">
        <f>tblPayroll[[#This Row],[Basic Salary]]+tblPayroll[[#This Row],[Fixed Allowance]]+tblPayroll[[#This Row],[THR / Bonus]]</f>
        <v>23000000</v>
      </c>
      <c r="L8" s="5">
        <f>ROUND(MIN(tblPayroll[[#This Row],[Basic Salary]]+tblPayroll[[#This Row],[Fixed Allowance]],BPJSKesCap)*R_KesEr,0)</f>
        <v>480000</v>
      </c>
      <c r="M8" s="5">
        <f>ROUND((tblPayroll[[#This Row],[Basic Salary]]+tblPayroll[[#This Row],[Fixed Allowance]])*R_JKK,0)</f>
        <v>55200</v>
      </c>
      <c r="N8" s="5">
        <f>ROUND((tblPayroll[[#This Row],[Basic Salary]]+tblPayroll[[#This Row],[Fixed Allowance]])*R_JKM,0)</f>
        <v>69000</v>
      </c>
      <c r="O8" s="5">
        <f>ROUND((tblPayroll[[#This Row],[Basic Salary]]+tblPayroll[[#This Row],[Fixed Allowance]])*R_JHTEr,0)</f>
        <v>851000</v>
      </c>
      <c r="P8" s="5">
        <f>ROUND(MIN(tblPayroll[[#This Row],[Basic Salary]]+tblPayroll[[#This Row],[Fixed Allowance]],JPCap)*R_JPEr,0)</f>
        <v>210948</v>
      </c>
      <c r="Q8" s="5">
        <f>SUM(tblPayroll[[#This Row],[BPJS Health (Er)]:[JP (Er)]])</f>
        <v>1666148</v>
      </c>
      <c r="R8" s="5">
        <f>tblPayroll[[#This Row],[Gross Salary]]+tblPayroll[[#This Row],[BPJS Health (Er)]]+tblPayroll[[#This Row],[JKK (Er)]]+tblPayroll[[#This Row],[JKM (Er)]]</f>
        <v>23604200</v>
      </c>
      <c r="S8" s="119">
        <f>IF(tblPayroll[[#This Row],[TER Cat]]="A",_xlfn.XLOOKUP(tblPayroll[[#This Row],[PPh 21 Base]],TerA_L,TerA_R,0,-1),IF(tblPayroll[[#This Row],[TER Cat]]="B",_xlfn.XLOOKUP(tblPayroll[[#This Row],[PPh 21 Base]],TerB_L,TerB_R,0,-1),_xlfn.XLOOKUP(tblPayroll[[#This Row],[PPh 21 Base]],TerC_L,TerC_R,0,-1)))</f>
        <v>0.09</v>
      </c>
      <c r="T8" s="5">
        <f>ROUND(tblPayroll[[#This Row],[PPh 21 Base]]*tblPayroll[[#This Row],[TER Rate]],0)</f>
        <v>2124378</v>
      </c>
      <c r="U8" s="5">
        <f>ROUND(MIN(tblPayroll[[#This Row],[Basic Salary]]+tblPayroll[[#This Row],[Fixed Allowance]],BPJSKesCap)*R_KesEe,0)</f>
        <v>120000</v>
      </c>
      <c r="V8" s="5">
        <f>ROUND((tblPayroll[[#This Row],[Basic Salary]]+tblPayroll[[#This Row],[Fixed Allowance]])*R_JHTEe,0)</f>
        <v>460000</v>
      </c>
      <c r="W8" s="5">
        <f>ROUND(MIN(tblPayroll[[#This Row],[Basic Salary]]+tblPayroll[[#This Row],[Fixed Allowance]],JPCap)*R_JPEe,0)</f>
        <v>105474</v>
      </c>
      <c r="X8" s="5">
        <f>tblPayroll[[#This Row],[BPJS Health (Ee)]]+tblPayroll[[#This Row],[JHT (Ee)]]+tblPayroll[[#This Row],[JP (Ee)]]</f>
        <v>685474</v>
      </c>
      <c r="Y8" s="5">
        <f>tblPayroll[[#This Row],[Gross Salary]]-tblPayroll[[#This Row],[PPh 21]]-tblPayroll[[#This Row],[Employee BPJS Total]]</f>
        <v>20190148</v>
      </c>
      <c r="Z8" s="5">
        <f>tblPayroll[[#This Row],[Employer BPJS Total]]+tblPayroll[[#This Row],[Employee BPJS Total]]</f>
        <v>2351622</v>
      </c>
      <c r="AA8" s="5">
        <f>tblPayroll[[#This Row],[Gross Salary]]+tblPayroll[[#This Row],[Employer BPJS Total]]</f>
        <v>24666148</v>
      </c>
      <c r="AB8" s="4">
        <v>1130</v>
      </c>
      <c r="AD8" s="1" t="s">
        <v>5608</v>
      </c>
      <c r="AE8" s="120">
        <v>0.01</v>
      </c>
    </row>
    <row r="9" spans="1:60" x14ac:dyDescent="0.35">
      <c r="B9" s="4">
        <v>1</v>
      </c>
      <c r="C9" s="113">
        <v>46047</v>
      </c>
      <c r="D9" s="4" t="s">
        <v>4783</v>
      </c>
      <c r="E9" s="1" t="str">
        <f>_xlfn.XLOOKUP(tblPayroll[[#This Row],[Employee ID]],tblEmployees[Employee ID],tblEmployees[Full Name],"")</f>
        <v>Dewi Lestari</v>
      </c>
      <c r="F9" s="1" t="str">
        <f>_xlfn.XLOOKUP(tblPayroll[[#This Row],[Employee ID]],tblEmployees[Employee ID],tblEmployees[Department],"")</f>
        <v>G&amp;A</v>
      </c>
      <c r="G9" s="1" t="str">
        <f>_xlfn.XLOOKUP(tblPayroll[[#This Row],[Employee ID]],tblEmployees[Employee ID],tblEmployees[TER Category],"")</f>
        <v>A</v>
      </c>
      <c r="H9" s="5">
        <f>_xlfn.XLOOKUP(tblPayroll[[#This Row],[Employee ID]],tblEmployees[Employee ID],tblEmployees[Basic Salary],"")</f>
        <v>15000000</v>
      </c>
      <c r="I9" s="5">
        <f>_xlfn.XLOOKUP(tblPayroll[[#This Row],[Employee ID]],tblEmployees[Employee ID],tblEmployees[Fixed Allowance],"")</f>
        <v>2000000</v>
      </c>
      <c r="J9" s="6">
        <v>0</v>
      </c>
      <c r="K9" s="5">
        <f>tblPayroll[[#This Row],[Basic Salary]]+tblPayroll[[#This Row],[Fixed Allowance]]+tblPayroll[[#This Row],[THR / Bonus]]</f>
        <v>17000000</v>
      </c>
      <c r="L9" s="5">
        <f>ROUND(MIN(tblPayroll[[#This Row],[Basic Salary]]+tblPayroll[[#This Row],[Fixed Allowance]],BPJSKesCap)*R_KesEr,0)</f>
        <v>480000</v>
      </c>
      <c r="M9" s="5">
        <f>ROUND((tblPayroll[[#This Row],[Basic Salary]]+tblPayroll[[#This Row],[Fixed Allowance]])*R_JKK,0)</f>
        <v>40800</v>
      </c>
      <c r="N9" s="5">
        <f>ROUND((tblPayroll[[#This Row],[Basic Salary]]+tblPayroll[[#This Row],[Fixed Allowance]])*R_JKM,0)</f>
        <v>51000</v>
      </c>
      <c r="O9" s="5">
        <f>ROUND((tblPayroll[[#This Row],[Basic Salary]]+tblPayroll[[#This Row],[Fixed Allowance]])*R_JHTEr,0)</f>
        <v>629000</v>
      </c>
      <c r="P9" s="5">
        <f>ROUND(MIN(tblPayroll[[#This Row],[Basic Salary]]+tblPayroll[[#This Row],[Fixed Allowance]],JPCap)*R_JPEr,0)</f>
        <v>210948</v>
      </c>
      <c r="Q9" s="5">
        <f>SUM(tblPayroll[[#This Row],[BPJS Health (Er)]:[JP (Er)]])</f>
        <v>1411748</v>
      </c>
      <c r="R9" s="5">
        <f>tblPayroll[[#This Row],[Gross Salary]]+tblPayroll[[#This Row],[BPJS Health (Er)]]+tblPayroll[[#This Row],[JKK (Er)]]+tblPayroll[[#This Row],[JKM (Er)]]</f>
        <v>17571800</v>
      </c>
      <c r="S9" s="119">
        <f>IF(tblPayroll[[#This Row],[TER Cat]]="A",_xlfn.XLOOKUP(tblPayroll[[#This Row],[PPh 21 Base]],TerA_L,TerA_R,0,-1),IF(tblPayroll[[#This Row],[TER Cat]]="B",_xlfn.XLOOKUP(tblPayroll[[#This Row],[PPh 21 Base]],TerB_L,TerB_R,0,-1),_xlfn.XLOOKUP(tblPayroll[[#This Row],[PPh 21 Base]],TerC_L,TerC_R,0,-1)))</f>
        <v>0.08</v>
      </c>
      <c r="T9" s="5">
        <f>ROUND(tblPayroll[[#This Row],[PPh 21 Base]]*tblPayroll[[#This Row],[TER Rate]],0)</f>
        <v>1405744</v>
      </c>
      <c r="U9" s="5">
        <f>ROUND(MIN(tblPayroll[[#This Row],[Basic Salary]]+tblPayroll[[#This Row],[Fixed Allowance]],BPJSKesCap)*R_KesEe,0)</f>
        <v>120000</v>
      </c>
      <c r="V9" s="5">
        <f>ROUND((tblPayroll[[#This Row],[Basic Salary]]+tblPayroll[[#This Row],[Fixed Allowance]])*R_JHTEe,0)</f>
        <v>340000</v>
      </c>
      <c r="W9" s="5">
        <f>ROUND(MIN(tblPayroll[[#This Row],[Basic Salary]]+tblPayroll[[#This Row],[Fixed Allowance]],JPCap)*R_JPEe,0)</f>
        <v>105474</v>
      </c>
      <c r="X9" s="5">
        <f>tblPayroll[[#This Row],[BPJS Health (Ee)]]+tblPayroll[[#This Row],[JHT (Ee)]]+tblPayroll[[#This Row],[JP (Ee)]]</f>
        <v>565474</v>
      </c>
      <c r="Y9" s="5">
        <f>tblPayroll[[#This Row],[Gross Salary]]-tblPayroll[[#This Row],[PPh 21]]-tblPayroll[[#This Row],[Employee BPJS Total]]</f>
        <v>15028782</v>
      </c>
      <c r="Z9" s="5">
        <f>tblPayroll[[#This Row],[Employer BPJS Total]]+tblPayroll[[#This Row],[Employee BPJS Total]]</f>
        <v>1977222</v>
      </c>
      <c r="AA9" s="5">
        <f>tblPayroll[[#This Row],[Gross Salary]]+tblPayroll[[#This Row],[Employer BPJS Total]]</f>
        <v>18411748</v>
      </c>
      <c r="AB9" s="4">
        <v>1130</v>
      </c>
      <c r="AD9" s="1" t="s">
        <v>5609</v>
      </c>
      <c r="AE9" s="120">
        <v>2.3999999999999998E-3</v>
      </c>
    </row>
    <row r="10" spans="1:60" x14ac:dyDescent="0.35">
      <c r="B10" s="4">
        <v>1</v>
      </c>
      <c r="C10" s="113">
        <v>46047</v>
      </c>
      <c r="D10" s="4" t="s">
        <v>4787</v>
      </c>
      <c r="E10" s="1" t="str">
        <f>_xlfn.XLOOKUP(tblPayroll[[#This Row],[Employee ID]],tblEmployees[Employee ID],tblEmployees[Full Name],"")</f>
        <v>Agus Prasetyo</v>
      </c>
      <c r="F10" s="1" t="str">
        <f>_xlfn.XLOOKUP(tblPayroll[[#This Row],[Employee ID]],tblEmployees[Employee ID],tblEmployees[Department],"")</f>
        <v>Selling</v>
      </c>
      <c r="G10" s="1" t="str">
        <f>_xlfn.XLOOKUP(tblPayroll[[#This Row],[Employee ID]],tblEmployees[Employee ID],tblEmployees[TER Category],"")</f>
        <v>B</v>
      </c>
      <c r="H10" s="5">
        <f>_xlfn.XLOOKUP(tblPayroll[[#This Row],[Employee ID]],tblEmployees[Employee ID],tblEmployees[Basic Salary],"")</f>
        <v>14000000</v>
      </c>
      <c r="I10" s="5">
        <f>_xlfn.XLOOKUP(tblPayroll[[#This Row],[Employee ID]],tblEmployees[Employee ID],tblEmployees[Fixed Allowance],"")</f>
        <v>2000000</v>
      </c>
      <c r="J10" s="6">
        <v>0</v>
      </c>
      <c r="K10" s="5">
        <f>tblPayroll[[#This Row],[Basic Salary]]+tblPayroll[[#This Row],[Fixed Allowance]]+tblPayroll[[#This Row],[THR / Bonus]]</f>
        <v>16000000</v>
      </c>
      <c r="L10" s="5">
        <f>ROUND(MIN(tblPayroll[[#This Row],[Basic Salary]]+tblPayroll[[#This Row],[Fixed Allowance]],BPJSKesCap)*R_KesEr,0)</f>
        <v>480000</v>
      </c>
      <c r="M10" s="5">
        <f>ROUND((tblPayroll[[#This Row],[Basic Salary]]+tblPayroll[[#This Row],[Fixed Allowance]])*R_JKK,0)</f>
        <v>38400</v>
      </c>
      <c r="N10" s="5">
        <f>ROUND((tblPayroll[[#This Row],[Basic Salary]]+tblPayroll[[#This Row],[Fixed Allowance]])*R_JKM,0)</f>
        <v>48000</v>
      </c>
      <c r="O10" s="5">
        <f>ROUND((tblPayroll[[#This Row],[Basic Salary]]+tblPayroll[[#This Row],[Fixed Allowance]])*R_JHTEr,0)</f>
        <v>592000</v>
      </c>
      <c r="P10" s="5">
        <f>ROUND(MIN(tblPayroll[[#This Row],[Basic Salary]]+tblPayroll[[#This Row],[Fixed Allowance]],JPCap)*R_JPEr,0)</f>
        <v>210948</v>
      </c>
      <c r="Q10" s="5">
        <f>SUM(tblPayroll[[#This Row],[BPJS Health (Er)]:[JP (Er)]])</f>
        <v>1369348</v>
      </c>
      <c r="R10" s="5">
        <f>tblPayroll[[#This Row],[Gross Salary]]+tblPayroll[[#This Row],[BPJS Health (Er)]]+tblPayroll[[#This Row],[JKK (Er)]]+tblPayroll[[#This Row],[JKM (Er)]]</f>
        <v>16566400</v>
      </c>
      <c r="S10" s="119">
        <f>IF(tblPayroll[[#This Row],[TER Cat]]="A",_xlfn.XLOOKUP(tblPayroll[[#This Row],[PPh 21 Base]],TerA_L,TerA_R,0,-1),IF(tblPayroll[[#This Row],[TER Cat]]="B",_xlfn.XLOOKUP(tblPayroll[[#This Row],[PPh 21 Base]],TerB_L,TerB_R,0,-1),_xlfn.XLOOKUP(tblPayroll[[#This Row],[PPh 21 Base]],TerC_L,TerC_R,0,-1)))</f>
        <v>7.0000000000000007E-2</v>
      </c>
      <c r="T10" s="5">
        <f>ROUND(tblPayroll[[#This Row],[PPh 21 Base]]*tblPayroll[[#This Row],[TER Rate]],0)</f>
        <v>1159648</v>
      </c>
      <c r="U10" s="5">
        <f>ROUND(MIN(tblPayroll[[#This Row],[Basic Salary]]+tblPayroll[[#This Row],[Fixed Allowance]],BPJSKesCap)*R_KesEe,0)</f>
        <v>120000</v>
      </c>
      <c r="V10" s="5">
        <f>ROUND((tblPayroll[[#This Row],[Basic Salary]]+tblPayroll[[#This Row],[Fixed Allowance]])*R_JHTEe,0)</f>
        <v>320000</v>
      </c>
      <c r="W10" s="5">
        <f>ROUND(MIN(tblPayroll[[#This Row],[Basic Salary]]+tblPayroll[[#This Row],[Fixed Allowance]],JPCap)*R_JPEe,0)</f>
        <v>105474</v>
      </c>
      <c r="X10" s="5">
        <f>tblPayroll[[#This Row],[BPJS Health (Ee)]]+tblPayroll[[#This Row],[JHT (Ee)]]+tblPayroll[[#This Row],[JP (Ee)]]</f>
        <v>545474</v>
      </c>
      <c r="Y10" s="5">
        <f>tblPayroll[[#This Row],[Gross Salary]]-tblPayroll[[#This Row],[PPh 21]]-tblPayroll[[#This Row],[Employee BPJS Total]]</f>
        <v>14294878</v>
      </c>
      <c r="Z10" s="5">
        <f>tblPayroll[[#This Row],[Employer BPJS Total]]+tblPayroll[[#This Row],[Employee BPJS Total]]</f>
        <v>1914822</v>
      </c>
      <c r="AA10" s="5">
        <f>tblPayroll[[#This Row],[Gross Salary]]+tblPayroll[[#This Row],[Employer BPJS Total]]</f>
        <v>17369348</v>
      </c>
      <c r="AB10" s="4">
        <v>1130</v>
      </c>
      <c r="AD10" s="1" t="s">
        <v>5610</v>
      </c>
      <c r="AE10" s="120">
        <v>3.0000000000000001E-3</v>
      </c>
    </row>
    <row r="11" spans="1:60" x14ac:dyDescent="0.35">
      <c r="B11" s="4">
        <v>1</v>
      </c>
      <c r="C11" s="113">
        <v>46047</v>
      </c>
      <c r="D11" s="4" t="s">
        <v>4793</v>
      </c>
      <c r="E11" s="1" t="str">
        <f>_xlfn.XLOOKUP(tblPayroll[[#This Row],[Employee ID]],tblEmployees[Employee ID],tblEmployees[Full Name],"")</f>
        <v>Rina Kartika</v>
      </c>
      <c r="F11" s="1" t="str">
        <f>_xlfn.XLOOKUP(tblPayroll[[#This Row],[Employee ID]],tblEmployees[Employee ID],tblEmployees[Department],"")</f>
        <v>Selling</v>
      </c>
      <c r="G11" s="1" t="str">
        <f>_xlfn.XLOOKUP(tblPayroll[[#This Row],[Employee ID]],tblEmployees[Employee ID],tblEmployees[TER Category],"")</f>
        <v>A</v>
      </c>
      <c r="H11" s="5">
        <f>_xlfn.XLOOKUP(tblPayroll[[#This Row],[Employee ID]],tblEmployees[Employee ID],tblEmployees[Basic Salary],"")</f>
        <v>12000000</v>
      </c>
      <c r="I11" s="5">
        <f>_xlfn.XLOOKUP(tblPayroll[[#This Row],[Employee ID]],tblEmployees[Employee ID],tblEmployees[Fixed Allowance],"")</f>
        <v>1500000</v>
      </c>
      <c r="J11" s="6">
        <v>0</v>
      </c>
      <c r="K11" s="5">
        <f>tblPayroll[[#This Row],[Basic Salary]]+tblPayroll[[#This Row],[Fixed Allowance]]+tblPayroll[[#This Row],[THR / Bonus]]</f>
        <v>13500000</v>
      </c>
      <c r="L11" s="5">
        <f>ROUND(MIN(tblPayroll[[#This Row],[Basic Salary]]+tblPayroll[[#This Row],[Fixed Allowance]],BPJSKesCap)*R_KesEr,0)</f>
        <v>480000</v>
      </c>
      <c r="M11" s="5">
        <f>ROUND((tblPayroll[[#This Row],[Basic Salary]]+tblPayroll[[#This Row],[Fixed Allowance]])*R_JKK,0)</f>
        <v>32400</v>
      </c>
      <c r="N11" s="5">
        <f>ROUND((tblPayroll[[#This Row],[Basic Salary]]+tblPayroll[[#This Row],[Fixed Allowance]])*R_JKM,0)</f>
        <v>40500</v>
      </c>
      <c r="O11" s="5">
        <f>ROUND((tblPayroll[[#This Row],[Basic Salary]]+tblPayroll[[#This Row],[Fixed Allowance]])*R_JHTEr,0)</f>
        <v>499500</v>
      </c>
      <c r="P11" s="5">
        <f>ROUND(MIN(tblPayroll[[#This Row],[Basic Salary]]+tblPayroll[[#This Row],[Fixed Allowance]],JPCap)*R_JPEr,0)</f>
        <v>210948</v>
      </c>
      <c r="Q11" s="5">
        <f>SUM(tblPayroll[[#This Row],[BPJS Health (Er)]:[JP (Er)]])</f>
        <v>1263348</v>
      </c>
      <c r="R11" s="5">
        <f>tblPayroll[[#This Row],[Gross Salary]]+tblPayroll[[#This Row],[BPJS Health (Er)]]+tblPayroll[[#This Row],[JKK (Er)]]+tblPayroll[[#This Row],[JKM (Er)]]</f>
        <v>14052900</v>
      </c>
      <c r="S11" s="119">
        <f>IF(tblPayroll[[#This Row],[TER Cat]]="A",_xlfn.XLOOKUP(tblPayroll[[#This Row],[PPh 21 Base]],TerA_L,TerA_R,0,-1),IF(tblPayroll[[#This Row],[TER Cat]]="B",_xlfn.XLOOKUP(tblPayroll[[#This Row],[PPh 21 Base]],TerB_L,TerB_R,0,-1),_xlfn.XLOOKUP(tblPayroll[[#This Row],[PPh 21 Base]],TerC_L,TerC_R,0,-1)))</f>
        <v>0.06</v>
      </c>
      <c r="T11" s="5">
        <f>ROUND(tblPayroll[[#This Row],[PPh 21 Base]]*tblPayroll[[#This Row],[TER Rate]],0)</f>
        <v>843174</v>
      </c>
      <c r="U11" s="5">
        <f>ROUND(MIN(tblPayroll[[#This Row],[Basic Salary]]+tblPayroll[[#This Row],[Fixed Allowance]],BPJSKesCap)*R_KesEe,0)</f>
        <v>120000</v>
      </c>
      <c r="V11" s="5">
        <f>ROUND((tblPayroll[[#This Row],[Basic Salary]]+tblPayroll[[#This Row],[Fixed Allowance]])*R_JHTEe,0)</f>
        <v>270000</v>
      </c>
      <c r="W11" s="5">
        <f>ROUND(MIN(tblPayroll[[#This Row],[Basic Salary]]+tblPayroll[[#This Row],[Fixed Allowance]],JPCap)*R_JPEe,0)</f>
        <v>105474</v>
      </c>
      <c r="X11" s="5">
        <f>tblPayroll[[#This Row],[BPJS Health (Ee)]]+tblPayroll[[#This Row],[JHT (Ee)]]+tblPayroll[[#This Row],[JP (Ee)]]</f>
        <v>495474</v>
      </c>
      <c r="Y11" s="5">
        <f>tblPayroll[[#This Row],[Gross Salary]]-tblPayroll[[#This Row],[PPh 21]]-tblPayroll[[#This Row],[Employee BPJS Total]]</f>
        <v>12161352</v>
      </c>
      <c r="Z11" s="5">
        <f>tblPayroll[[#This Row],[Employer BPJS Total]]+tblPayroll[[#This Row],[Employee BPJS Total]]</f>
        <v>1758822</v>
      </c>
      <c r="AA11" s="5">
        <f>tblPayroll[[#This Row],[Gross Salary]]+tblPayroll[[#This Row],[Employer BPJS Total]]</f>
        <v>14763348</v>
      </c>
      <c r="AB11" s="4">
        <v>1130</v>
      </c>
      <c r="AD11" s="1" t="s">
        <v>5611</v>
      </c>
      <c r="AE11" s="120">
        <v>3.6999999999999998E-2</v>
      </c>
    </row>
    <row r="12" spans="1:60" x14ac:dyDescent="0.35">
      <c r="B12" s="4">
        <v>1</v>
      </c>
      <c r="C12" s="113">
        <v>46047</v>
      </c>
      <c r="D12" s="4" t="s">
        <v>4798</v>
      </c>
      <c r="E12" s="1" t="str">
        <f>_xlfn.XLOOKUP(tblPayroll[[#This Row],[Employee ID]],tblEmployees[Employee ID],tblEmployees[Full Name],"")</f>
        <v>Andi Saputra</v>
      </c>
      <c r="F12" s="1" t="str">
        <f>_xlfn.XLOOKUP(tblPayroll[[#This Row],[Employee ID]],tblEmployees[Employee ID],tblEmployees[Department],"")</f>
        <v>G&amp;A</v>
      </c>
      <c r="G12" s="1" t="str">
        <f>_xlfn.XLOOKUP(tblPayroll[[#This Row],[Employee ID]],tblEmployees[Employee ID],tblEmployees[TER Category],"")</f>
        <v>A</v>
      </c>
      <c r="H12" s="5">
        <f>_xlfn.XLOOKUP(tblPayroll[[#This Row],[Employee ID]],tblEmployees[Employee ID],tblEmployees[Basic Salary],"")</f>
        <v>8500000</v>
      </c>
      <c r="I12" s="5">
        <f>_xlfn.XLOOKUP(tblPayroll[[#This Row],[Employee ID]],tblEmployees[Employee ID],tblEmployees[Fixed Allowance],"")</f>
        <v>1000000</v>
      </c>
      <c r="J12" s="6">
        <v>0</v>
      </c>
      <c r="K12" s="5">
        <f>tblPayroll[[#This Row],[Basic Salary]]+tblPayroll[[#This Row],[Fixed Allowance]]+tblPayroll[[#This Row],[THR / Bonus]]</f>
        <v>9500000</v>
      </c>
      <c r="L12" s="5">
        <f>ROUND(MIN(tblPayroll[[#This Row],[Basic Salary]]+tblPayroll[[#This Row],[Fixed Allowance]],BPJSKesCap)*R_KesEr,0)</f>
        <v>380000</v>
      </c>
      <c r="M12" s="5">
        <f>ROUND((tblPayroll[[#This Row],[Basic Salary]]+tblPayroll[[#This Row],[Fixed Allowance]])*R_JKK,0)</f>
        <v>22800</v>
      </c>
      <c r="N12" s="5">
        <f>ROUND((tblPayroll[[#This Row],[Basic Salary]]+tblPayroll[[#This Row],[Fixed Allowance]])*R_JKM,0)</f>
        <v>28500</v>
      </c>
      <c r="O12" s="5">
        <f>ROUND((tblPayroll[[#This Row],[Basic Salary]]+tblPayroll[[#This Row],[Fixed Allowance]])*R_JHTEr,0)</f>
        <v>351500</v>
      </c>
      <c r="P12" s="5">
        <f>ROUND(MIN(tblPayroll[[#This Row],[Basic Salary]]+tblPayroll[[#This Row],[Fixed Allowance]],JPCap)*R_JPEr,0)</f>
        <v>190000</v>
      </c>
      <c r="Q12" s="5">
        <f>SUM(tblPayroll[[#This Row],[BPJS Health (Er)]:[JP (Er)]])</f>
        <v>972800</v>
      </c>
      <c r="R12" s="5">
        <f>tblPayroll[[#This Row],[Gross Salary]]+tblPayroll[[#This Row],[BPJS Health (Er)]]+tblPayroll[[#This Row],[JKK (Er)]]+tblPayroll[[#This Row],[JKM (Er)]]</f>
        <v>9931300</v>
      </c>
      <c r="S12" s="119">
        <f>IF(tblPayroll[[#This Row],[TER Cat]]="A",_xlfn.XLOOKUP(tblPayroll[[#This Row],[PPh 21 Base]],TerA_L,TerA_R,0,-1),IF(tblPayroll[[#This Row],[TER Cat]]="B",_xlfn.XLOOKUP(tblPayroll[[#This Row],[PPh 21 Base]],TerB_L,TerB_R,0,-1),_xlfn.XLOOKUP(tblPayroll[[#This Row],[PPh 21 Base]],TerC_L,TerC_R,0,-1)))</f>
        <v>0.02</v>
      </c>
      <c r="T12" s="5">
        <f>ROUND(tblPayroll[[#This Row],[PPh 21 Base]]*tblPayroll[[#This Row],[TER Rate]],0)</f>
        <v>198626</v>
      </c>
      <c r="U12" s="5">
        <f>ROUND(MIN(tblPayroll[[#This Row],[Basic Salary]]+tblPayroll[[#This Row],[Fixed Allowance]],BPJSKesCap)*R_KesEe,0)</f>
        <v>95000</v>
      </c>
      <c r="V12" s="5">
        <f>ROUND((tblPayroll[[#This Row],[Basic Salary]]+tblPayroll[[#This Row],[Fixed Allowance]])*R_JHTEe,0)</f>
        <v>190000</v>
      </c>
      <c r="W12" s="5">
        <f>ROUND(MIN(tblPayroll[[#This Row],[Basic Salary]]+tblPayroll[[#This Row],[Fixed Allowance]],JPCap)*R_JPEe,0)</f>
        <v>95000</v>
      </c>
      <c r="X12" s="5">
        <f>tblPayroll[[#This Row],[BPJS Health (Ee)]]+tblPayroll[[#This Row],[JHT (Ee)]]+tblPayroll[[#This Row],[JP (Ee)]]</f>
        <v>380000</v>
      </c>
      <c r="Y12" s="5">
        <f>tblPayroll[[#This Row],[Gross Salary]]-tblPayroll[[#This Row],[PPh 21]]-tblPayroll[[#This Row],[Employee BPJS Total]]</f>
        <v>8921374</v>
      </c>
      <c r="Z12" s="5">
        <f>tblPayroll[[#This Row],[Employer BPJS Total]]+tblPayroll[[#This Row],[Employee BPJS Total]]</f>
        <v>1352800</v>
      </c>
      <c r="AA12" s="5">
        <f>tblPayroll[[#This Row],[Gross Salary]]+tblPayroll[[#This Row],[Employer BPJS Total]]</f>
        <v>10472800</v>
      </c>
      <c r="AB12" s="4">
        <v>1130</v>
      </c>
      <c r="AD12" s="1" t="s">
        <v>5612</v>
      </c>
      <c r="AE12" s="120">
        <v>0.02</v>
      </c>
    </row>
    <row r="13" spans="1:60" x14ac:dyDescent="0.35">
      <c r="B13" s="4">
        <v>1</v>
      </c>
      <c r="C13" s="113">
        <v>46047</v>
      </c>
      <c r="D13" s="4" t="s">
        <v>4803</v>
      </c>
      <c r="E13" s="1" t="str">
        <f>_xlfn.XLOOKUP(tblPayroll[[#This Row],[Employee ID]],tblEmployees[Employee ID],tblEmployees[Full Name],"")</f>
        <v>Fitri Handayani</v>
      </c>
      <c r="F13" s="1" t="str">
        <f>_xlfn.XLOOKUP(tblPayroll[[#This Row],[Employee ID]],tblEmployees[Employee ID],tblEmployees[Department],"")</f>
        <v>G&amp;A</v>
      </c>
      <c r="G13" s="1" t="str">
        <f>_xlfn.XLOOKUP(tblPayroll[[#This Row],[Employee ID]],tblEmployees[Employee ID],tblEmployees[TER Category],"")</f>
        <v>A</v>
      </c>
      <c r="H13" s="5">
        <f>_xlfn.XLOOKUP(tblPayroll[[#This Row],[Employee ID]],tblEmployees[Employee ID],tblEmployees[Basic Salary],"")</f>
        <v>8000000</v>
      </c>
      <c r="I13" s="5">
        <f>_xlfn.XLOOKUP(tblPayroll[[#This Row],[Employee ID]],tblEmployees[Employee ID],tblEmployees[Fixed Allowance],"")</f>
        <v>1000000</v>
      </c>
      <c r="J13" s="6">
        <v>0</v>
      </c>
      <c r="K13" s="5">
        <f>tblPayroll[[#This Row],[Basic Salary]]+tblPayroll[[#This Row],[Fixed Allowance]]+tblPayroll[[#This Row],[THR / Bonus]]</f>
        <v>9000000</v>
      </c>
      <c r="L13" s="5">
        <f>ROUND(MIN(tblPayroll[[#This Row],[Basic Salary]]+tblPayroll[[#This Row],[Fixed Allowance]],BPJSKesCap)*R_KesEr,0)</f>
        <v>360000</v>
      </c>
      <c r="M13" s="5">
        <f>ROUND((tblPayroll[[#This Row],[Basic Salary]]+tblPayroll[[#This Row],[Fixed Allowance]])*R_JKK,0)</f>
        <v>21600</v>
      </c>
      <c r="N13" s="5">
        <f>ROUND((tblPayroll[[#This Row],[Basic Salary]]+tblPayroll[[#This Row],[Fixed Allowance]])*R_JKM,0)</f>
        <v>27000</v>
      </c>
      <c r="O13" s="5">
        <f>ROUND((tblPayroll[[#This Row],[Basic Salary]]+tblPayroll[[#This Row],[Fixed Allowance]])*R_JHTEr,0)</f>
        <v>333000</v>
      </c>
      <c r="P13" s="5">
        <f>ROUND(MIN(tblPayroll[[#This Row],[Basic Salary]]+tblPayroll[[#This Row],[Fixed Allowance]],JPCap)*R_JPEr,0)</f>
        <v>180000</v>
      </c>
      <c r="Q13" s="5">
        <f>SUM(tblPayroll[[#This Row],[BPJS Health (Er)]:[JP (Er)]])</f>
        <v>921600</v>
      </c>
      <c r="R13" s="5">
        <f>tblPayroll[[#This Row],[Gross Salary]]+tblPayroll[[#This Row],[BPJS Health (Er)]]+tblPayroll[[#This Row],[JKK (Er)]]+tblPayroll[[#This Row],[JKM (Er)]]</f>
        <v>9408600</v>
      </c>
      <c r="S13" s="119">
        <f>IF(tblPayroll[[#This Row],[TER Cat]]="A",_xlfn.XLOOKUP(tblPayroll[[#This Row],[PPh 21 Base]],TerA_L,TerA_R,0,-1),IF(tblPayroll[[#This Row],[TER Cat]]="B",_xlfn.XLOOKUP(tblPayroll[[#This Row],[PPh 21 Base]],TerB_L,TerB_R,0,-1),_xlfn.XLOOKUP(tblPayroll[[#This Row],[PPh 21 Base]],TerC_L,TerC_R,0,-1)))</f>
        <v>1.7500000000000002E-2</v>
      </c>
      <c r="T13" s="5">
        <f>ROUND(tblPayroll[[#This Row],[PPh 21 Base]]*tblPayroll[[#This Row],[TER Rate]],0)</f>
        <v>164651</v>
      </c>
      <c r="U13" s="5">
        <f>ROUND(MIN(tblPayroll[[#This Row],[Basic Salary]]+tblPayroll[[#This Row],[Fixed Allowance]],BPJSKesCap)*R_KesEe,0)</f>
        <v>90000</v>
      </c>
      <c r="V13" s="5">
        <f>ROUND((tblPayroll[[#This Row],[Basic Salary]]+tblPayroll[[#This Row],[Fixed Allowance]])*R_JHTEe,0)</f>
        <v>180000</v>
      </c>
      <c r="W13" s="5">
        <f>ROUND(MIN(tblPayroll[[#This Row],[Basic Salary]]+tblPayroll[[#This Row],[Fixed Allowance]],JPCap)*R_JPEe,0)</f>
        <v>90000</v>
      </c>
      <c r="X13" s="5">
        <f>tblPayroll[[#This Row],[BPJS Health (Ee)]]+tblPayroll[[#This Row],[JHT (Ee)]]+tblPayroll[[#This Row],[JP (Ee)]]</f>
        <v>360000</v>
      </c>
      <c r="Y13" s="5">
        <f>tblPayroll[[#This Row],[Gross Salary]]-tblPayroll[[#This Row],[PPh 21]]-tblPayroll[[#This Row],[Employee BPJS Total]]</f>
        <v>8475349</v>
      </c>
      <c r="Z13" s="5">
        <f>tblPayroll[[#This Row],[Employer BPJS Total]]+tblPayroll[[#This Row],[Employee BPJS Total]]</f>
        <v>1281600</v>
      </c>
      <c r="AA13" s="5">
        <f>tblPayroll[[#This Row],[Gross Salary]]+tblPayroll[[#This Row],[Employer BPJS Total]]</f>
        <v>9921600</v>
      </c>
      <c r="AB13" s="4">
        <v>1130</v>
      </c>
      <c r="AD13" s="1" t="s">
        <v>5613</v>
      </c>
      <c r="AE13" s="120">
        <v>0.02</v>
      </c>
    </row>
    <row r="14" spans="1:60" x14ac:dyDescent="0.35">
      <c r="B14" s="4">
        <v>1</v>
      </c>
      <c r="C14" s="113">
        <v>46047</v>
      </c>
      <c r="D14" s="4" t="s">
        <v>4809</v>
      </c>
      <c r="E14" s="1" t="str">
        <f>_xlfn.XLOOKUP(tblPayroll[[#This Row],[Employee ID]],tblEmployees[Employee ID],tblEmployees[Full Name],"")</f>
        <v>Rizky Ramadhan</v>
      </c>
      <c r="F14" s="1" t="str">
        <f>_xlfn.XLOOKUP(tblPayroll[[#This Row],[Employee ID]],tblEmployees[Employee ID],tblEmployees[Department],"")</f>
        <v>Selling</v>
      </c>
      <c r="G14" s="1" t="str">
        <f>_xlfn.XLOOKUP(tblPayroll[[#This Row],[Employee ID]],tblEmployees[Employee ID],tblEmployees[TER Category],"")</f>
        <v>A</v>
      </c>
      <c r="H14" s="5">
        <f>_xlfn.XLOOKUP(tblPayroll[[#This Row],[Employee ID]],tblEmployees[Employee ID],tblEmployees[Basic Salary],"")</f>
        <v>9000000</v>
      </c>
      <c r="I14" s="5">
        <f>_xlfn.XLOOKUP(tblPayroll[[#This Row],[Employee ID]],tblEmployees[Employee ID],tblEmployees[Fixed Allowance],"")</f>
        <v>1500000</v>
      </c>
      <c r="J14" s="6">
        <v>0</v>
      </c>
      <c r="K14" s="5">
        <f>tblPayroll[[#This Row],[Basic Salary]]+tblPayroll[[#This Row],[Fixed Allowance]]+tblPayroll[[#This Row],[THR / Bonus]]</f>
        <v>10500000</v>
      </c>
      <c r="L14" s="5">
        <f>ROUND(MIN(tblPayroll[[#This Row],[Basic Salary]]+tblPayroll[[#This Row],[Fixed Allowance]],BPJSKesCap)*R_KesEr,0)</f>
        <v>420000</v>
      </c>
      <c r="M14" s="5">
        <f>ROUND((tblPayroll[[#This Row],[Basic Salary]]+tblPayroll[[#This Row],[Fixed Allowance]])*R_JKK,0)</f>
        <v>25200</v>
      </c>
      <c r="N14" s="5">
        <f>ROUND((tblPayroll[[#This Row],[Basic Salary]]+tblPayroll[[#This Row],[Fixed Allowance]])*R_JKM,0)</f>
        <v>31500</v>
      </c>
      <c r="O14" s="5">
        <f>ROUND((tblPayroll[[#This Row],[Basic Salary]]+tblPayroll[[#This Row],[Fixed Allowance]])*R_JHTEr,0)</f>
        <v>388500</v>
      </c>
      <c r="P14" s="5">
        <f>ROUND(MIN(tblPayroll[[#This Row],[Basic Salary]]+tblPayroll[[#This Row],[Fixed Allowance]],JPCap)*R_JPEr,0)</f>
        <v>210000</v>
      </c>
      <c r="Q14" s="5">
        <f>SUM(tblPayroll[[#This Row],[BPJS Health (Er)]:[JP (Er)]])</f>
        <v>1075200</v>
      </c>
      <c r="R14" s="5">
        <f>tblPayroll[[#This Row],[Gross Salary]]+tblPayroll[[#This Row],[BPJS Health (Er)]]+tblPayroll[[#This Row],[JKK (Er)]]+tblPayroll[[#This Row],[JKM (Er)]]</f>
        <v>10976700</v>
      </c>
      <c r="S14" s="119">
        <f>IF(tblPayroll[[#This Row],[TER Cat]]="A",_xlfn.XLOOKUP(tblPayroll[[#This Row],[PPh 21 Base]],TerA_L,TerA_R,0,-1),IF(tblPayroll[[#This Row],[TER Cat]]="B",_xlfn.XLOOKUP(tblPayroll[[#This Row],[PPh 21 Base]],TerB_L,TerB_R,0,-1),_xlfn.XLOOKUP(tblPayroll[[#This Row],[PPh 21 Base]],TerC_L,TerC_R,0,-1)))</f>
        <v>0.03</v>
      </c>
      <c r="T14" s="5">
        <f>ROUND(tblPayroll[[#This Row],[PPh 21 Base]]*tblPayroll[[#This Row],[TER Rate]],0)</f>
        <v>329301</v>
      </c>
      <c r="U14" s="5">
        <f>ROUND(MIN(tblPayroll[[#This Row],[Basic Salary]]+tblPayroll[[#This Row],[Fixed Allowance]],BPJSKesCap)*R_KesEe,0)</f>
        <v>105000</v>
      </c>
      <c r="V14" s="5">
        <f>ROUND((tblPayroll[[#This Row],[Basic Salary]]+tblPayroll[[#This Row],[Fixed Allowance]])*R_JHTEe,0)</f>
        <v>210000</v>
      </c>
      <c r="W14" s="5">
        <f>ROUND(MIN(tblPayroll[[#This Row],[Basic Salary]]+tblPayroll[[#This Row],[Fixed Allowance]],JPCap)*R_JPEe,0)</f>
        <v>105000</v>
      </c>
      <c r="X14" s="5">
        <f>tblPayroll[[#This Row],[BPJS Health (Ee)]]+tblPayroll[[#This Row],[JHT (Ee)]]+tblPayroll[[#This Row],[JP (Ee)]]</f>
        <v>420000</v>
      </c>
      <c r="Y14" s="5">
        <f>tblPayroll[[#This Row],[Gross Salary]]-tblPayroll[[#This Row],[PPh 21]]-tblPayroll[[#This Row],[Employee BPJS Total]]</f>
        <v>9750699</v>
      </c>
      <c r="Z14" s="5">
        <f>tblPayroll[[#This Row],[Employer BPJS Total]]+tblPayroll[[#This Row],[Employee BPJS Total]]</f>
        <v>1495200</v>
      </c>
      <c r="AA14" s="5">
        <f>tblPayroll[[#This Row],[Gross Salary]]+tblPayroll[[#This Row],[Employer BPJS Total]]</f>
        <v>11575200</v>
      </c>
      <c r="AB14" s="4">
        <v>1130</v>
      </c>
      <c r="AD14" s="1" t="s">
        <v>5614</v>
      </c>
      <c r="AE14" s="120">
        <v>0.01</v>
      </c>
    </row>
    <row r="15" spans="1:60" x14ac:dyDescent="0.35">
      <c r="B15" s="4">
        <v>1</v>
      </c>
      <c r="C15" s="113">
        <v>46047</v>
      </c>
      <c r="D15" s="4" t="s">
        <v>4814</v>
      </c>
      <c r="E15" s="1" t="str">
        <f>_xlfn.XLOOKUP(tblPayroll[[#This Row],[Employee ID]],tblEmployees[Employee ID],tblEmployees[Full Name],"")</f>
        <v>Nadia Putri</v>
      </c>
      <c r="F15" s="1" t="str">
        <f>_xlfn.XLOOKUP(tblPayroll[[#This Row],[Employee ID]],tblEmployees[Employee ID],tblEmployees[Department],"")</f>
        <v>Selling</v>
      </c>
      <c r="G15" s="1" t="str">
        <f>_xlfn.XLOOKUP(tblPayroll[[#This Row],[Employee ID]],tblEmployees[Employee ID],tblEmployees[TER Category],"")</f>
        <v>A</v>
      </c>
      <c r="H15" s="5">
        <f>_xlfn.XLOOKUP(tblPayroll[[#This Row],[Employee ID]],tblEmployees[Employee ID],tblEmployees[Basic Salary],"")</f>
        <v>5800000</v>
      </c>
      <c r="I15" s="5">
        <f>_xlfn.XLOOKUP(tblPayroll[[#This Row],[Employee ID]],tblEmployees[Employee ID],tblEmployees[Fixed Allowance],"")</f>
        <v>700000</v>
      </c>
      <c r="J15" s="6">
        <v>0</v>
      </c>
      <c r="K15" s="5">
        <f>tblPayroll[[#This Row],[Basic Salary]]+tblPayroll[[#This Row],[Fixed Allowance]]+tblPayroll[[#This Row],[THR / Bonus]]</f>
        <v>6500000</v>
      </c>
      <c r="L15" s="5">
        <f>ROUND(MIN(tblPayroll[[#This Row],[Basic Salary]]+tblPayroll[[#This Row],[Fixed Allowance]],BPJSKesCap)*R_KesEr,0)</f>
        <v>260000</v>
      </c>
      <c r="M15" s="5">
        <f>ROUND((tblPayroll[[#This Row],[Basic Salary]]+tblPayroll[[#This Row],[Fixed Allowance]])*R_JKK,0)</f>
        <v>15600</v>
      </c>
      <c r="N15" s="5">
        <f>ROUND((tblPayroll[[#This Row],[Basic Salary]]+tblPayroll[[#This Row],[Fixed Allowance]])*R_JKM,0)</f>
        <v>19500</v>
      </c>
      <c r="O15" s="5">
        <f>ROUND((tblPayroll[[#This Row],[Basic Salary]]+tblPayroll[[#This Row],[Fixed Allowance]])*R_JHTEr,0)</f>
        <v>240500</v>
      </c>
      <c r="P15" s="5">
        <f>ROUND(MIN(tblPayroll[[#This Row],[Basic Salary]]+tblPayroll[[#This Row],[Fixed Allowance]],JPCap)*R_JPEr,0)</f>
        <v>130000</v>
      </c>
      <c r="Q15" s="5">
        <f>SUM(tblPayroll[[#This Row],[BPJS Health (Er)]:[JP (Er)]])</f>
        <v>665600</v>
      </c>
      <c r="R15" s="5">
        <f>tblPayroll[[#This Row],[Gross Salary]]+tblPayroll[[#This Row],[BPJS Health (Er)]]+tblPayroll[[#This Row],[JKK (Er)]]+tblPayroll[[#This Row],[JKM (Er)]]</f>
        <v>6795100</v>
      </c>
      <c r="S15" s="119">
        <f>IF(tblPayroll[[#This Row],[TER Cat]]="A",_xlfn.XLOOKUP(tblPayroll[[#This Row],[PPh 21 Base]],TerA_L,TerA_R,0,-1),IF(tblPayroll[[#This Row],[TER Cat]]="B",_xlfn.XLOOKUP(tblPayroll[[#This Row],[PPh 21 Base]],TerB_L,TerB_R,0,-1),_xlfn.XLOOKUP(tblPayroll[[#This Row],[PPh 21 Base]],TerC_L,TerC_R,0,-1)))</f>
        <v>1.2500000000000001E-2</v>
      </c>
      <c r="T15" s="5">
        <f>ROUND(tblPayroll[[#This Row],[PPh 21 Base]]*tblPayroll[[#This Row],[TER Rate]],0)</f>
        <v>84939</v>
      </c>
      <c r="U15" s="5">
        <f>ROUND(MIN(tblPayroll[[#This Row],[Basic Salary]]+tblPayroll[[#This Row],[Fixed Allowance]],BPJSKesCap)*R_KesEe,0)</f>
        <v>65000</v>
      </c>
      <c r="V15" s="5">
        <f>ROUND((tblPayroll[[#This Row],[Basic Salary]]+tblPayroll[[#This Row],[Fixed Allowance]])*R_JHTEe,0)</f>
        <v>130000</v>
      </c>
      <c r="W15" s="5">
        <f>ROUND(MIN(tblPayroll[[#This Row],[Basic Salary]]+tblPayroll[[#This Row],[Fixed Allowance]],JPCap)*R_JPEe,0)</f>
        <v>65000</v>
      </c>
      <c r="X15" s="5">
        <f>tblPayroll[[#This Row],[BPJS Health (Ee)]]+tblPayroll[[#This Row],[JHT (Ee)]]+tblPayroll[[#This Row],[JP (Ee)]]</f>
        <v>260000</v>
      </c>
      <c r="Y15" s="5">
        <f>tblPayroll[[#This Row],[Gross Salary]]-tblPayroll[[#This Row],[PPh 21]]-tblPayroll[[#This Row],[Employee BPJS Total]]</f>
        <v>6155061</v>
      </c>
      <c r="Z15" s="5">
        <f>tblPayroll[[#This Row],[Employer BPJS Total]]+tblPayroll[[#This Row],[Employee BPJS Total]]</f>
        <v>925600</v>
      </c>
      <c r="AA15" s="5">
        <f>tblPayroll[[#This Row],[Gross Salary]]+tblPayroll[[#This Row],[Employer BPJS Total]]</f>
        <v>7165600</v>
      </c>
      <c r="AB15" s="4">
        <v>1130</v>
      </c>
    </row>
    <row r="16" spans="1:60" x14ac:dyDescent="0.35">
      <c r="B16" s="4">
        <v>1</v>
      </c>
      <c r="C16" s="113">
        <v>46047</v>
      </c>
      <c r="D16" s="4" t="s">
        <v>4819</v>
      </c>
      <c r="E16" s="1" t="str">
        <f>_xlfn.XLOOKUP(tblPayroll[[#This Row],[Employee ID]],tblEmployees[Employee ID],tblEmployees[Full Name],"")</f>
        <v>Dimas Pratama</v>
      </c>
      <c r="F16" s="1" t="str">
        <f>_xlfn.XLOOKUP(tblPayroll[[#This Row],[Employee ID]],tblEmployees[Employee ID],tblEmployees[Department],"")</f>
        <v>Selling</v>
      </c>
      <c r="G16" s="1" t="str">
        <f>_xlfn.XLOOKUP(tblPayroll[[#This Row],[Employee ID]],tblEmployees[Employee ID],tblEmployees[TER Category],"")</f>
        <v>A</v>
      </c>
      <c r="H16" s="5">
        <f>_xlfn.XLOOKUP(tblPayroll[[#This Row],[Employee ID]],tblEmployees[Employee ID],tblEmployees[Basic Salary],"")</f>
        <v>5800000</v>
      </c>
      <c r="I16" s="5">
        <f>_xlfn.XLOOKUP(tblPayroll[[#This Row],[Employee ID]],tblEmployees[Employee ID],tblEmployees[Fixed Allowance],"")</f>
        <v>700000</v>
      </c>
      <c r="J16" s="6">
        <v>0</v>
      </c>
      <c r="K16" s="5">
        <f>tblPayroll[[#This Row],[Basic Salary]]+tblPayroll[[#This Row],[Fixed Allowance]]+tblPayroll[[#This Row],[THR / Bonus]]</f>
        <v>6500000</v>
      </c>
      <c r="L16" s="5">
        <f>ROUND(MIN(tblPayroll[[#This Row],[Basic Salary]]+tblPayroll[[#This Row],[Fixed Allowance]],BPJSKesCap)*R_KesEr,0)</f>
        <v>260000</v>
      </c>
      <c r="M16" s="5">
        <f>ROUND((tblPayroll[[#This Row],[Basic Salary]]+tblPayroll[[#This Row],[Fixed Allowance]])*R_JKK,0)</f>
        <v>15600</v>
      </c>
      <c r="N16" s="5">
        <f>ROUND((tblPayroll[[#This Row],[Basic Salary]]+tblPayroll[[#This Row],[Fixed Allowance]])*R_JKM,0)</f>
        <v>19500</v>
      </c>
      <c r="O16" s="5">
        <f>ROUND((tblPayroll[[#This Row],[Basic Salary]]+tblPayroll[[#This Row],[Fixed Allowance]])*R_JHTEr,0)</f>
        <v>240500</v>
      </c>
      <c r="P16" s="5">
        <f>ROUND(MIN(tblPayroll[[#This Row],[Basic Salary]]+tblPayroll[[#This Row],[Fixed Allowance]],JPCap)*R_JPEr,0)</f>
        <v>130000</v>
      </c>
      <c r="Q16" s="5">
        <f>SUM(tblPayroll[[#This Row],[BPJS Health (Er)]:[JP (Er)]])</f>
        <v>665600</v>
      </c>
      <c r="R16" s="5">
        <f>tblPayroll[[#This Row],[Gross Salary]]+tblPayroll[[#This Row],[BPJS Health (Er)]]+tblPayroll[[#This Row],[JKK (Er)]]+tblPayroll[[#This Row],[JKM (Er)]]</f>
        <v>6795100</v>
      </c>
      <c r="S16" s="119">
        <f>IF(tblPayroll[[#This Row],[TER Cat]]="A",_xlfn.XLOOKUP(tblPayroll[[#This Row],[PPh 21 Base]],TerA_L,TerA_R,0,-1),IF(tblPayroll[[#This Row],[TER Cat]]="B",_xlfn.XLOOKUP(tblPayroll[[#This Row],[PPh 21 Base]],TerB_L,TerB_R,0,-1),_xlfn.XLOOKUP(tblPayroll[[#This Row],[PPh 21 Base]],TerC_L,TerC_R,0,-1)))</f>
        <v>1.2500000000000001E-2</v>
      </c>
      <c r="T16" s="5">
        <f>ROUND(tblPayroll[[#This Row],[PPh 21 Base]]*tblPayroll[[#This Row],[TER Rate]],0)</f>
        <v>84939</v>
      </c>
      <c r="U16" s="5">
        <f>ROUND(MIN(tblPayroll[[#This Row],[Basic Salary]]+tblPayroll[[#This Row],[Fixed Allowance]],BPJSKesCap)*R_KesEe,0)</f>
        <v>65000</v>
      </c>
      <c r="V16" s="5">
        <f>ROUND((tblPayroll[[#This Row],[Basic Salary]]+tblPayroll[[#This Row],[Fixed Allowance]])*R_JHTEe,0)</f>
        <v>130000</v>
      </c>
      <c r="W16" s="5">
        <f>ROUND(MIN(tblPayroll[[#This Row],[Basic Salary]]+tblPayroll[[#This Row],[Fixed Allowance]],JPCap)*R_JPEe,0)</f>
        <v>65000</v>
      </c>
      <c r="X16" s="5">
        <f>tblPayroll[[#This Row],[BPJS Health (Ee)]]+tblPayroll[[#This Row],[JHT (Ee)]]+tblPayroll[[#This Row],[JP (Ee)]]</f>
        <v>260000</v>
      </c>
      <c r="Y16" s="5">
        <f>tblPayroll[[#This Row],[Gross Salary]]-tblPayroll[[#This Row],[PPh 21]]-tblPayroll[[#This Row],[Employee BPJS Total]]</f>
        <v>6155061</v>
      </c>
      <c r="Z16" s="5">
        <f>tblPayroll[[#This Row],[Employer BPJS Total]]+tblPayroll[[#This Row],[Employee BPJS Total]]</f>
        <v>925600</v>
      </c>
      <c r="AA16" s="5">
        <f>tblPayroll[[#This Row],[Gross Salary]]+tblPayroll[[#This Row],[Employer BPJS Total]]</f>
        <v>7165600</v>
      </c>
      <c r="AB16" s="4">
        <v>1130</v>
      </c>
      <c r="AD16" s="75" t="s">
        <v>5621</v>
      </c>
    </row>
    <row r="17" spans="2:35" x14ac:dyDescent="0.35">
      <c r="B17" s="4">
        <v>1</v>
      </c>
      <c r="C17" s="113">
        <v>46047</v>
      </c>
      <c r="D17" s="4" t="s">
        <v>4823</v>
      </c>
      <c r="E17" s="1" t="str">
        <f>_xlfn.XLOOKUP(tblPayroll[[#This Row],[Employee ID]],tblEmployees[Employee ID],tblEmployees[Full Name],"")</f>
        <v>Yusuf Hidayat</v>
      </c>
      <c r="F17" s="1" t="str">
        <f>_xlfn.XLOOKUP(tblPayroll[[#This Row],[Employee ID]],tblEmployees[Employee ID],tblEmployees[Department],"")</f>
        <v>Selling</v>
      </c>
      <c r="G17" s="1" t="str">
        <f>_xlfn.XLOOKUP(tblPayroll[[#This Row],[Employee ID]],tblEmployees[Employee ID],tblEmployees[TER Category],"")</f>
        <v>B</v>
      </c>
      <c r="H17" s="5">
        <f>_xlfn.XLOOKUP(tblPayroll[[#This Row],[Employee ID]],tblEmployees[Employee ID],tblEmployees[Basic Salary],"")</f>
        <v>7500000</v>
      </c>
      <c r="I17" s="5">
        <f>_xlfn.XLOOKUP(tblPayroll[[#This Row],[Employee ID]],tblEmployees[Employee ID],tblEmployees[Fixed Allowance],"")</f>
        <v>1000000</v>
      </c>
      <c r="J17" s="6">
        <v>0</v>
      </c>
      <c r="K17" s="5">
        <f>tblPayroll[[#This Row],[Basic Salary]]+tblPayroll[[#This Row],[Fixed Allowance]]+tblPayroll[[#This Row],[THR / Bonus]]</f>
        <v>8500000</v>
      </c>
      <c r="L17" s="5">
        <f>ROUND(MIN(tblPayroll[[#This Row],[Basic Salary]]+tblPayroll[[#This Row],[Fixed Allowance]],BPJSKesCap)*R_KesEr,0)</f>
        <v>340000</v>
      </c>
      <c r="M17" s="5">
        <f>ROUND((tblPayroll[[#This Row],[Basic Salary]]+tblPayroll[[#This Row],[Fixed Allowance]])*R_JKK,0)</f>
        <v>20400</v>
      </c>
      <c r="N17" s="5">
        <f>ROUND((tblPayroll[[#This Row],[Basic Salary]]+tblPayroll[[#This Row],[Fixed Allowance]])*R_JKM,0)</f>
        <v>25500</v>
      </c>
      <c r="O17" s="5">
        <f>ROUND((tblPayroll[[#This Row],[Basic Salary]]+tblPayroll[[#This Row],[Fixed Allowance]])*R_JHTEr,0)</f>
        <v>314500</v>
      </c>
      <c r="P17" s="5">
        <f>ROUND(MIN(tblPayroll[[#This Row],[Basic Salary]]+tblPayroll[[#This Row],[Fixed Allowance]],JPCap)*R_JPEr,0)</f>
        <v>170000</v>
      </c>
      <c r="Q17" s="5">
        <f>SUM(tblPayroll[[#This Row],[BPJS Health (Er)]:[JP (Er)]])</f>
        <v>870400</v>
      </c>
      <c r="R17" s="5">
        <f>tblPayroll[[#This Row],[Gross Salary]]+tblPayroll[[#This Row],[BPJS Health (Er)]]+tblPayroll[[#This Row],[JKK (Er)]]+tblPayroll[[#This Row],[JKM (Er)]]</f>
        <v>8885900</v>
      </c>
      <c r="S17" s="119">
        <f>IF(tblPayroll[[#This Row],[TER Cat]]="A",_xlfn.XLOOKUP(tblPayroll[[#This Row],[PPh 21 Base]],TerA_L,TerA_R,0,-1),IF(tblPayroll[[#This Row],[TER Cat]]="B",_xlfn.XLOOKUP(tblPayroll[[#This Row],[PPh 21 Base]],TerB_L,TerB_R,0,-1),_xlfn.XLOOKUP(tblPayroll[[#This Row],[PPh 21 Base]],TerC_L,TerC_R,0,-1)))</f>
        <v>0.01</v>
      </c>
      <c r="T17" s="5">
        <f>ROUND(tblPayroll[[#This Row],[PPh 21 Base]]*tblPayroll[[#This Row],[TER Rate]],0)</f>
        <v>88859</v>
      </c>
      <c r="U17" s="5">
        <f>ROUND(MIN(tblPayroll[[#This Row],[Basic Salary]]+tblPayroll[[#This Row],[Fixed Allowance]],BPJSKesCap)*R_KesEe,0)</f>
        <v>85000</v>
      </c>
      <c r="V17" s="5">
        <f>ROUND((tblPayroll[[#This Row],[Basic Salary]]+tblPayroll[[#This Row],[Fixed Allowance]])*R_JHTEe,0)</f>
        <v>170000</v>
      </c>
      <c r="W17" s="5">
        <f>ROUND(MIN(tblPayroll[[#This Row],[Basic Salary]]+tblPayroll[[#This Row],[Fixed Allowance]],JPCap)*R_JPEe,0)</f>
        <v>85000</v>
      </c>
      <c r="X17" s="5">
        <f>tblPayroll[[#This Row],[BPJS Health (Ee)]]+tblPayroll[[#This Row],[JHT (Ee)]]+tblPayroll[[#This Row],[JP (Ee)]]</f>
        <v>340000</v>
      </c>
      <c r="Y17" s="5">
        <f>tblPayroll[[#This Row],[Gross Salary]]-tblPayroll[[#This Row],[PPh 21]]-tblPayroll[[#This Row],[Employee BPJS Total]]</f>
        <v>8071141</v>
      </c>
      <c r="Z17" s="5">
        <f>tblPayroll[[#This Row],[Employer BPJS Total]]+tblPayroll[[#This Row],[Employee BPJS Total]]</f>
        <v>1210400</v>
      </c>
      <c r="AA17" s="5">
        <f>tblPayroll[[#This Row],[Gross Salary]]+tblPayroll[[#This Row],[Employer BPJS Total]]</f>
        <v>9370400</v>
      </c>
      <c r="AB17" s="4">
        <v>1130</v>
      </c>
      <c r="AD17" s="68" t="s">
        <v>5615</v>
      </c>
      <c r="AE17" s="68" t="s">
        <v>5616</v>
      </c>
      <c r="AF17" s="68" t="s">
        <v>5617</v>
      </c>
      <c r="AG17" s="68" t="s">
        <v>5618</v>
      </c>
      <c r="AH17" s="68" t="s">
        <v>5619</v>
      </c>
      <c r="AI17" s="68" t="s">
        <v>5620</v>
      </c>
    </row>
    <row r="18" spans="2:35" x14ac:dyDescent="0.35">
      <c r="B18" s="4">
        <v>1</v>
      </c>
      <c r="C18" s="113">
        <v>46047</v>
      </c>
      <c r="D18" s="4" t="s">
        <v>4828</v>
      </c>
      <c r="E18" s="1" t="str">
        <f>_xlfn.XLOOKUP(tblPayroll[[#This Row],[Employee ID]],tblEmployees[Employee ID],tblEmployees[Full Name],"")</f>
        <v>Lestari Wulandari</v>
      </c>
      <c r="F18" s="1" t="str">
        <f>_xlfn.XLOOKUP(tblPayroll[[#This Row],[Employee ID]],tblEmployees[Employee ID],tblEmployees[Department],"")</f>
        <v>Selling</v>
      </c>
      <c r="G18" s="1" t="str">
        <f>_xlfn.XLOOKUP(tblPayroll[[#This Row],[Employee ID]],tblEmployees[Employee ID],tblEmployees[TER Category],"")</f>
        <v>A</v>
      </c>
      <c r="H18" s="5">
        <f>_xlfn.XLOOKUP(tblPayroll[[#This Row],[Employee ID]],tblEmployees[Employee ID],tblEmployees[Basic Salary],"")</f>
        <v>5600000</v>
      </c>
      <c r="I18" s="5">
        <f>_xlfn.XLOOKUP(tblPayroll[[#This Row],[Employee ID]],tblEmployees[Employee ID],tblEmployees[Fixed Allowance],"")</f>
        <v>600000</v>
      </c>
      <c r="J18" s="6">
        <v>0</v>
      </c>
      <c r="K18" s="5">
        <f>tblPayroll[[#This Row],[Basic Salary]]+tblPayroll[[#This Row],[Fixed Allowance]]+tblPayroll[[#This Row],[THR / Bonus]]</f>
        <v>6200000</v>
      </c>
      <c r="L18" s="5">
        <f>ROUND(MIN(tblPayroll[[#This Row],[Basic Salary]]+tblPayroll[[#This Row],[Fixed Allowance]],BPJSKesCap)*R_KesEr,0)</f>
        <v>248000</v>
      </c>
      <c r="M18" s="5">
        <f>ROUND((tblPayroll[[#This Row],[Basic Salary]]+tblPayroll[[#This Row],[Fixed Allowance]])*R_JKK,0)</f>
        <v>14880</v>
      </c>
      <c r="N18" s="5">
        <f>ROUND((tblPayroll[[#This Row],[Basic Salary]]+tblPayroll[[#This Row],[Fixed Allowance]])*R_JKM,0)</f>
        <v>18600</v>
      </c>
      <c r="O18" s="5">
        <f>ROUND((tblPayroll[[#This Row],[Basic Salary]]+tblPayroll[[#This Row],[Fixed Allowance]])*R_JHTEr,0)</f>
        <v>229400</v>
      </c>
      <c r="P18" s="5">
        <f>ROUND(MIN(tblPayroll[[#This Row],[Basic Salary]]+tblPayroll[[#This Row],[Fixed Allowance]],JPCap)*R_JPEr,0)</f>
        <v>124000</v>
      </c>
      <c r="Q18" s="5">
        <f>SUM(tblPayroll[[#This Row],[BPJS Health (Er)]:[JP (Er)]])</f>
        <v>634880</v>
      </c>
      <c r="R18" s="5">
        <f>tblPayroll[[#This Row],[Gross Salary]]+tblPayroll[[#This Row],[BPJS Health (Er)]]+tblPayroll[[#This Row],[JKK (Er)]]+tblPayroll[[#This Row],[JKM (Er)]]</f>
        <v>6481480</v>
      </c>
      <c r="S18" s="119">
        <f>IF(tblPayroll[[#This Row],[TER Cat]]="A",_xlfn.XLOOKUP(tblPayroll[[#This Row],[PPh 21 Base]],TerA_L,TerA_R,0,-1),IF(tblPayroll[[#This Row],[TER Cat]]="B",_xlfn.XLOOKUP(tblPayroll[[#This Row],[PPh 21 Base]],TerB_L,TerB_R,0,-1),_xlfn.XLOOKUP(tblPayroll[[#This Row],[PPh 21 Base]],TerC_L,TerC_R,0,-1)))</f>
        <v>0.01</v>
      </c>
      <c r="T18" s="5">
        <f>ROUND(tblPayroll[[#This Row],[PPh 21 Base]]*tblPayroll[[#This Row],[TER Rate]],0)</f>
        <v>64815</v>
      </c>
      <c r="U18" s="5">
        <f>ROUND(MIN(tblPayroll[[#This Row],[Basic Salary]]+tblPayroll[[#This Row],[Fixed Allowance]],BPJSKesCap)*R_KesEe,0)</f>
        <v>62000</v>
      </c>
      <c r="V18" s="5">
        <f>ROUND((tblPayroll[[#This Row],[Basic Salary]]+tblPayroll[[#This Row],[Fixed Allowance]])*R_JHTEe,0)</f>
        <v>124000</v>
      </c>
      <c r="W18" s="5">
        <f>ROUND(MIN(tblPayroll[[#This Row],[Basic Salary]]+tblPayroll[[#This Row],[Fixed Allowance]],JPCap)*R_JPEe,0)</f>
        <v>62000</v>
      </c>
      <c r="X18" s="5">
        <f>tblPayroll[[#This Row],[BPJS Health (Ee)]]+tblPayroll[[#This Row],[JHT (Ee)]]+tblPayroll[[#This Row],[JP (Ee)]]</f>
        <v>248000</v>
      </c>
      <c r="Y18" s="5">
        <f>tblPayroll[[#This Row],[Gross Salary]]-tblPayroll[[#This Row],[PPh 21]]-tblPayroll[[#This Row],[Employee BPJS Total]]</f>
        <v>5887185</v>
      </c>
      <c r="Z18" s="5">
        <f>tblPayroll[[#This Row],[Employer BPJS Total]]+tblPayroll[[#This Row],[Employee BPJS Total]]</f>
        <v>882880</v>
      </c>
      <c r="AA18" s="5">
        <f>tblPayroll[[#This Row],[Gross Salary]]+tblPayroll[[#This Row],[Employer BPJS Total]]</f>
        <v>6834880</v>
      </c>
      <c r="AB18" s="4">
        <v>1130</v>
      </c>
      <c r="AD18" s="5">
        <v>0</v>
      </c>
      <c r="AE18" s="119">
        <v>0</v>
      </c>
      <c r="AF18" s="5">
        <v>0</v>
      </c>
      <c r="AG18" s="119">
        <v>0</v>
      </c>
      <c r="AH18" s="5">
        <v>0</v>
      </c>
      <c r="AI18" s="119">
        <v>0</v>
      </c>
    </row>
    <row r="19" spans="2:35" x14ac:dyDescent="0.35">
      <c r="B19" s="4">
        <v>1</v>
      </c>
      <c r="C19" s="113">
        <v>46047</v>
      </c>
      <c r="D19" s="4" t="s">
        <v>4834</v>
      </c>
      <c r="E19" s="1" t="str">
        <f>_xlfn.XLOOKUP(tblPayroll[[#This Row],[Employee ID]],tblEmployees[Employee ID],tblEmployees[Full Name],"")</f>
        <v>Bayu Nugroho</v>
      </c>
      <c r="F19" s="1" t="str">
        <f>_xlfn.XLOOKUP(tblPayroll[[#This Row],[Employee ID]],tblEmployees[Employee ID],tblEmployees[Department],"")</f>
        <v>Selling</v>
      </c>
      <c r="G19" s="1" t="str">
        <f>_xlfn.XLOOKUP(tblPayroll[[#This Row],[Employee ID]],tblEmployees[Employee ID],tblEmployees[TER Category],"")</f>
        <v>B</v>
      </c>
      <c r="H19" s="5">
        <f>_xlfn.XLOOKUP(tblPayroll[[#This Row],[Employee ID]],tblEmployees[Employee ID],tblEmployees[Basic Salary],"")</f>
        <v>5600000</v>
      </c>
      <c r="I19" s="5">
        <f>_xlfn.XLOOKUP(tblPayroll[[#This Row],[Employee ID]],tblEmployees[Employee ID],tblEmployees[Fixed Allowance],"")</f>
        <v>600000</v>
      </c>
      <c r="J19" s="6">
        <v>0</v>
      </c>
      <c r="K19" s="5">
        <f>tblPayroll[[#This Row],[Basic Salary]]+tblPayroll[[#This Row],[Fixed Allowance]]+tblPayroll[[#This Row],[THR / Bonus]]</f>
        <v>6200000</v>
      </c>
      <c r="L19" s="5">
        <f>ROUND(MIN(tblPayroll[[#This Row],[Basic Salary]]+tblPayroll[[#This Row],[Fixed Allowance]],BPJSKesCap)*R_KesEr,0)</f>
        <v>248000</v>
      </c>
      <c r="M19" s="5">
        <f>ROUND((tblPayroll[[#This Row],[Basic Salary]]+tblPayroll[[#This Row],[Fixed Allowance]])*R_JKK,0)</f>
        <v>14880</v>
      </c>
      <c r="N19" s="5">
        <f>ROUND((tblPayroll[[#This Row],[Basic Salary]]+tblPayroll[[#This Row],[Fixed Allowance]])*R_JKM,0)</f>
        <v>18600</v>
      </c>
      <c r="O19" s="5">
        <f>ROUND((tblPayroll[[#This Row],[Basic Salary]]+tblPayroll[[#This Row],[Fixed Allowance]])*R_JHTEr,0)</f>
        <v>229400</v>
      </c>
      <c r="P19" s="5">
        <f>ROUND(MIN(tblPayroll[[#This Row],[Basic Salary]]+tblPayroll[[#This Row],[Fixed Allowance]],JPCap)*R_JPEr,0)</f>
        <v>124000</v>
      </c>
      <c r="Q19" s="5">
        <f>SUM(tblPayroll[[#This Row],[BPJS Health (Er)]:[JP (Er)]])</f>
        <v>634880</v>
      </c>
      <c r="R19" s="5">
        <f>tblPayroll[[#This Row],[Gross Salary]]+tblPayroll[[#This Row],[BPJS Health (Er)]]+tblPayroll[[#This Row],[JKK (Er)]]+tblPayroll[[#This Row],[JKM (Er)]]</f>
        <v>6481480</v>
      </c>
      <c r="S19" s="119">
        <f>IF(tblPayroll[[#This Row],[TER Cat]]="A",_xlfn.XLOOKUP(tblPayroll[[#This Row],[PPh 21 Base]],TerA_L,TerA_R,0,-1),IF(tblPayroll[[#This Row],[TER Cat]]="B",_xlfn.XLOOKUP(tblPayroll[[#This Row],[PPh 21 Base]],TerB_L,TerB_R,0,-1),_xlfn.XLOOKUP(tblPayroll[[#This Row],[PPh 21 Base]],TerC_L,TerC_R,0,-1)))</f>
        <v>2.5000000000000001E-3</v>
      </c>
      <c r="T19" s="5">
        <f>ROUND(tblPayroll[[#This Row],[PPh 21 Base]]*tblPayroll[[#This Row],[TER Rate]],0)</f>
        <v>16204</v>
      </c>
      <c r="U19" s="5">
        <f>ROUND(MIN(tblPayroll[[#This Row],[Basic Salary]]+tblPayroll[[#This Row],[Fixed Allowance]],BPJSKesCap)*R_KesEe,0)</f>
        <v>62000</v>
      </c>
      <c r="V19" s="5">
        <f>ROUND((tblPayroll[[#This Row],[Basic Salary]]+tblPayroll[[#This Row],[Fixed Allowance]])*R_JHTEe,0)</f>
        <v>124000</v>
      </c>
      <c r="W19" s="5">
        <f>ROUND(MIN(tblPayroll[[#This Row],[Basic Salary]]+tblPayroll[[#This Row],[Fixed Allowance]],JPCap)*R_JPEe,0)</f>
        <v>62000</v>
      </c>
      <c r="X19" s="5">
        <f>tblPayroll[[#This Row],[BPJS Health (Ee)]]+tblPayroll[[#This Row],[JHT (Ee)]]+tblPayroll[[#This Row],[JP (Ee)]]</f>
        <v>248000</v>
      </c>
      <c r="Y19" s="5">
        <f>tblPayroll[[#This Row],[Gross Salary]]-tblPayroll[[#This Row],[PPh 21]]-tblPayroll[[#This Row],[Employee BPJS Total]]</f>
        <v>5935796</v>
      </c>
      <c r="Z19" s="5">
        <f>tblPayroll[[#This Row],[Employer BPJS Total]]+tblPayroll[[#This Row],[Employee BPJS Total]]</f>
        <v>882880</v>
      </c>
      <c r="AA19" s="5">
        <f>tblPayroll[[#This Row],[Gross Salary]]+tblPayroll[[#This Row],[Employer BPJS Total]]</f>
        <v>6834880</v>
      </c>
      <c r="AB19" s="4">
        <v>1130</v>
      </c>
      <c r="AD19" s="5">
        <v>5400001</v>
      </c>
      <c r="AE19" s="119">
        <v>2.5000000000000001E-3</v>
      </c>
      <c r="AF19" s="5">
        <v>6200001</v>
      </c>
      <c r="AG19" s="119">
        <v>2.5000000000000001E-3</v>
      </c>
      <c r="AH19" s="5">
        <v>6600001</v>
      </c>
      <c r="AI19" s="119">
        <v>2.5000000000000001E-3</v>
      </c>
    </row>
    <row r="20" spans="2:35" x14ac:dyDescent="0.35">
      <c r="B20" s="4">
        <v>1</v>
      </c>
      <c r="C20" s="113">
        <v>46047</v>
      </c>
      <c r="D20" s="4" t="s">
        <v>4839</v>
      </c>
      <c r="E20" s="1" t="str">
        <f>_xlfn.XLOOKUP(tblPayroll[[#This Row],[Employee ID]],tblEmployees[Employee ID],tblEmployees[Full Name],"")</f>
        <v>Maya Sari</v>
      </c>
      <c r="F20" s="1" t="str">
        <f>_xlfn.XLOOKUP(tblPayroll[[#This Row],[Employee ID]],tblEmployees[Employee ID],tblEmployees[Department],"")</f>
        <v>Selling</v>
      </c>
      <c r="G20" s="1" t="str">
        <f>_xlfn.XLOOKUP(tblPayroll[[#This Row],[Employee ID]],tblEmployees[Employee ID],tblEmployees[TER Category],"")</f>
        <v>A</v>
      </c>
      <c r="H20" s="5">
        <f>_xlfn.XLOOKUP(tblPayroll[[#This Row],[Employee ID]],tblEmployees[Employee ID],tblEmployees[Basic Salary],"")</f>
        <v>5700000</v>
      </c>
      <c r="I20" s="5">
        <f>_xlfn.XLOOKUP(tblPayroll[[#This Row],[Employee ID]],tblEmployees[Employee ID],tblEmployees[Fixed Allowance],"")</f>
        <v>600000</v>
      </c>
      <c r="J20" s="6">
        <v>0</v>
      </c>
      <c r="K20" s="5">
        <f>tblPayroll[[#This Row],[Basic Salary]]+tblPayroll[[#This Row],[Fixed Allowance]]+tblPayroll[[#This Row],[THR / Bonus]]</f>
        <v>6300000</v>
      </c>
      <c r="L20" s="5">
        <f>ROUND(MIN(tblPayroll[[#This Row],[Basic Salary]]+tblPayroll[[#This Row],[Fixed Allowance]],BPJSKesCap)*R_KesEr,0)</f>
        <v>252000</v>
      </c>
      <c r="M20" s="5">
        <f>ROUND((tblPayroll[[#This Row],[Basic Salary]]+tblPayroll[[#This Row],[Fixed Allowance]])*R_JKK,0)</f>
        <v>15120</v>
      </c>
      <c r="N20" s="5">
        <f>ROUND((tblPayroll[[#This Row],[Basic Salary]]+tblPayroll[[#This Row],[Fixed Allowance]])*R_JKM,0)</f>
        <v>18900</v>
      </c>
      <c r="O20" s="5">
        <f>ROUND((tblPayroll[[#This Row],[Basic Salary]]+tblPayroll[[#This Row],[Fixed Allowance]])*R_JHTEr,0)</f>
        <v>233100</v>
      </c>
      <c r="P20" s="5">
        <f>ROUND(MIN(tblPayroll[[#This Row],[Basic Salary]]+tblPayroll[[#This Row],[Fixed Allowance]],JPCap)*R_JPEr,0)</f>
        <v>126000</v>
      </c>
      <c r="Q20" s="5">
        <f>SUM(tblPayroll[[#This Row],[BPJS Health (Er)]:[JP (Er)]])</f>
        <v>645120</v>
      </c>
      <c r="R20" s="5">
        <f>tblPayroll[[#This Row],[Gross Salary]]+tblPayroll[[#This Row],[BPJS Health (Er)]]+tblPayroll[[#This Row],[JKK (Er)]]+tblPayroll[[#This Row],[JKM (Er)]]</f>
        <v>6586020</v>
      </c>
      <c r="S20" s="119">
        <f>IF(tblPayroll[[#This Row],[TER Cat]]="A",_xlfn.XLOOKUP(tblPayroll[[#This Row],[PPh 21 Base]],TerA_L,TerA_R,0,-1),IF(tblPayroll[[#This Row],[TER Cat]]="B",_xlfn.XLOOKUP(tblPayroll[[#This Row],[PPh 21 Base]],TerB_L,TerB_R,0,-1),_xlfn.XLOOKUP(tblPayroll[[#This Row],[PPh 21 Base]],TerC_L,TerC_R,0,-1)))</f>
        <v>0.01</v>
      </c>
      <c r="T20" s="5">
        <f>ROUND(tblPayroll[[#This Row],[PPh 21 Base]]*tblPayroll[[#This Row],[TER Rate]],0)</f>
        <v>65860</v>
      </c>
      <c r="U20" s="5">
        <f>ROUND(MIN(tblPayroll[[#This Row],[Basic Salary]]+tblPayroll[[#This Row],[Fixed Allowance]],BPJSKesCap)*R_KesEe,0)</f>
        <v>63000</v>
      </c>
      <c r="V20" s="5">
        <f>ROUND((tblPayroll[[#This Row],[Basic Salary]]+tblPayroll[[#This Row],[Fixed Allowance]])*R_JHTEe,0)</f>
        <v>126000</v>
      </c>
      <c r="W20" s="5">
        <f>ROUND(MIN(tblPayroll[[#This Row],[Basic Salary]]+tblPayroll[[#This Row],[Fixed Allowance]],JPCap)*R_JPEe,0)</f>
        <v>63000</v>
      </c>
      <c r="X20" s="5">
        <f>tblPayroll[[#This Row],[BPJS Health (Ee)]]+tblPayroll[[#This Row],[JHT (Ee)]]+tblPayroll[[#This Row],[JP (Ee)]]</f>
        <v>252000</v>
      </c>
      <c r="Y20" s="5">
        <f>tblPayroll[[#This Row],[Gross Salary]]-tblPayroll[[#This Row],[PPh 21]]-tblPayroll[[#This Row],[Employee BPJS Total]]</f>
        <v>5982140</v>
      </c>
      <c r="Z20" s="5">
        <f>tblPayroll[[#This Row],[Employer BPJS Total]]+tblPayroll[[#This Row],[Employee BPJS Total]]</f>
        <v>897120</v>
      </c>
      <c r="AA20" s="5">
        <f>tblPayroll[[#This Row],[Gross Salary]]+tblPayroll[[#This Row],[Employer BPJS Total]]</f>
        <v>6945120</v>
      </c>
      <c r="AB20" s="4">
        <v>1130</v>
      </c>
      <c r="AD20" s="5">
        <v>5650001</v>
      </c>
      <c r="AE20" s="119">
        <v>5.0000000000000001E-3</v>
      </c>
      <c r="AF20" s="5">
        <v>6500001</v>
      </c>
      <c r="AG20" s="119">
        <v>5.0000000000000001E-3</v>
      </c>
      <c r="AH20" s="5">
        <v>6950001</v>
      </c>
      <c r="AI20" s="119">
        <v>5.0000000000000001E-3</v>
      </c>
    </row>
    <row r="21" spans="2:35" x14ac:dyDescent="0.35">
      <c r="B21" s="4">
        <v>1</v>
      </c>
      <c r="C21" s="113">
        <v>46047</v>
      </c>
      <c r="D21" s="4" t="s">
        <v>4844</v>
      </c>
      <c r="E21" s="1" t="str">
        <f>_xlfn.XLOOKUP(tblPayroll[[#This Row],[Employee ID]],tblEmployees[Employee ID],tblEmployees[Full Name],"")</f>
        <v>Hendra Wijaya</v>
      </c>
      <c r="F21" s="1" t="str">
        <f>_xlfn.XLOOKUP(tblPayroll[[#This Row],[Employee ID]],tblEmployees[Employee ID],tblEmployees[Department],"")</f>
        <v>G&amp;A</v>
      </c>
      <c r="G21" s="1" t="str">
        <f>_xlfn.XLOOKUP(tblPayroll[[#This Row],[Employee ID]],tblEmployees[Employee ID],tblEmployees[TER Category],"")</f>
        <v>A</v>
      </c>
      <c r="H21" s="5">
        <f>_xlfn.XLOOKUP(tblPayroll[[#This Row],[Employee ID]],tblEmployees[Employee ID],tblEmployees[Basic Salary],"")</f>
        <v>9500000</v>
      </c>
      <c r="I21" s="5">
        <f>_xlfn.XLOOKUP(tblPayroll[[#This Row],[Employee ID]],tblEmployees[Employee ID],tblEmployees[Fixed Allowance],"")</f>
        <v>1000000</v>
      </c>
      <c r="J21" s="6">
        <v>0</v>
      </c>
      <c r="K21" s="5">
        <f>tblPayroll[[#This Row],[Basic Salary]]+tblPayroll[[#This Row],[Fixed Allowance]]+tblPayroll[[#This Row],[THR / Bonus]]</f>
        <v>10500000</v>
      </c>
      <c r="L21" s="5">
        <f>ROUND(MIN(tblPayroll[[#This Row],[Basic Salary]]+tblPayroll[[#This Row],[Fixed Allowance]],BPJSKesCap)*R_KesEr,0)</f>
        <v>420000</v>
      </c>
      <c r="M21" s="5">
        <f>ROUND((tblPayroll[[#This Row],[Basic Salary]]+tblPayroll[[#This Row],[Fixed Allowance]])*R_JKK,0)</f>
        <v>25200</v>
      </c>
      <c r="N21" s="5">
        <f>ROUND((tblPayroll[[#This Row],[Basic Salary]]+tblPayroll[[#This Row],[Fixed Allowance]])*R_JKM,0)</f>
        <v>31500</v>
      </c>
      <c r="O21" s="5">
        <f>ROUND((tblPayroll[[#This Row],[Basic Salary]]+tblPayroll[[#This Row],[Fixed Allowance]])*R_JHTEr,0)</f>
        <v>388500</v>
      </c>
      <c r="P21" s="5">
        <f>ROUND(MIN(tblPayroll[[#This Row],[Basic Salary]]+tblPayroll[[#This Row],[Fixed Allowance]],JPCap)*R_JPEr,0)</f>
        <v>210000</v>
      </c>
      <c r="Q21" s="5">
        <f>SUM(tblPayroll[[#This Row],[BPJS Health (Er)]:[JP (Er)]])</f>
        <v>1075200</v>
      </c>
      <c r="R21" s="5">
        <f>tblPayroll[[#This Row],[Gross Salary]]+tblPayroll[[#This Row],[BPJS Health (Er)]]+tblPayroll[[#This Row],[JKK (Er)]]+tblPayroll[[#This Row],[JKM (Er)]]</f>
        <v>10976700</v>
      </c>
      <c r="S21" s="119">
        <f>IF(tblPayroll[[#This Row],[TER Cat]]="A",_xlfn.XLOOKUP(tblPayroll[[#This Row],[PPh 21 Base]],TerA_L,TerA_R,0,-1),IF(tblPayroll[[#This Row],[TER Cat]]="B",_xlfn.XLOOKUP(tblPayroll[[#This Row],[PPh 21 Base]],TerB_L,TerB_R,0,-1),_xlfn.XLOOKUP(tblPayroll[[#This Row],[PPh 21 Base]],TerC_L,TerC_R,0,-1)))</f>
        <v>0.03</v>
      </c>
      <c r="T21" s="5">
        <f>ROUND(tblPayroll[[#This Row],[PPh 21 Base]]*tblPayroll[[#This Row],[TER Rate]],0)</f>
        <v>329301</v>
      </c>
      <c r="U21" s="5">
        <f>ROUND(MIN(tblPayroll[[#This Row],[Basic Salary]]+tblPayroll[[#This Row],[Fixed Allowance]],BPJSKesCap)*R_KesEe,0)</f>
        <v>105000</v>
      </c>
      <c r="V21" s="5">
        <f>ROUND((tblPayroll[[#This Row],[Basic Salary]]+tblPayroll[[#This Row],[Fixed Allowance]])*R_JHTEe,0)</f>
        <v>210000</v>
      </c>
      <c r="W21" s="5">
        <f>ROUND(MIN(tblPayroll[[#This Row],[Basic Salary]]+tblPayroll[[#This Row],[Fixed Allowance]],JPCap)*R_JPEe,0)</f>
        <v>105000</v>
      </c>
      <c r="X21" s="5">
        <f>tblPayroll[[#This Row],[BPJS Health (Ee)]]+tblPayroll[[#This Row],[JHT (Ee)]]+tblPayroll[[#This Row],[JP (Ee)]]</f>
        <v>420000</v>
      </c>
      <c r="Y21" s="5">
        <f>tblPayroll[[#This Row],[Gross Salary]]-tblPayroll[[#This Row],[PPh 21]]-tblPayroll[[#This Row],[Employee BPJS Total]]</f>
        <v>9750699</v>
      </c>
      <c r="Z21" s="5">
        <f>tblPayroll[[#This Row],[Employer BPJS Total]]+tblPayroll[[#This Row],[Employee BPJS Total]]</f>
        <v>1495200</v>
      </c>
      <c r="AA21" s="5">
        <f>tblPayroll[[#This Row],[Gross Salary]]+tblPayroll[[#This Row],[Employer BPJS Total]]</f>
        <v>11575200</v>
      </c>
      <c r="AB21" s="4">
        <v>1130</v>
      </c>
      <c r="AD21" s="5">
        <v>5950001</v>
      </c>
      <c r="AE21" s="119">
        <v>7.4999999999999997E-3</v>
      </c>
      <c r="AF21" s="5">
        <v>6850001</v>
      </c>
      <c r="AG21" s="119">
        <v>7.4999999999999997E-3</v>
      </c>
      <c r="AH21" s="5">
        <v>7350001</v>
      </c>
      <c r="AI21" s="119">
        <v>7.4999999999999997E-3</v>
      </c>
    </row>
    <row r="22" spans="2:35" x14ac:dyDescent="0.35">
      <c r="B22" s="4">
        <v>2</v>
      </c>
      <c r="C22" s="113">
        <v>46078</v>
      </c>
      <c r="D22" s="4" t="s">
        <v>4774</v>
      </c>
      <c r="E22" s="1" t="str">
        <f>_xlfn.XLOOKUP(tblPayroll[[#This Row],[Employee ID]],tblEmployees[Employee ID],tblEmployees[Full Name],"")</f>
        <v>Budi Santoso</v>
      </c>
      <c r="F22" s="1" t="str">
        <f>_xlfn.XLOOKUP(tblPayroll[[#This Row],[Employee ID]],tblEmployees[Employee ID],tblEmployees[Department],"")</f>
        <v>G&amp;A</v>
      </c>
      <c r="G22" s="1" t="str">
        <f>_xlfn.XLOOKUP(tblPayroll[[#This Row],[Employee ID]],tblEmployees[Employee ID],tblEmployees[TER Category],"")</f>
        <v>B</v>
      </c>
      <c r="H22" s="5">
        <f>_xlfn.XLOOKUP(tblPayroll[[#This Row],[Employee ID]],tblEmployees[Employee ID],tblEmployees[Basic Salary],"")</f>
        <v>25000000</v>
      </c>
      <c r="I22" s="5">
        <f>_xlfn.XLOOKUP(tblPayroll[[#This Row],[Employee ID]],tblEmployees[Employee ID],tblEmployees[Fixed Allowance],"")</f>
        <v>4000000</v>
      </c>
      <c r="J22" s="6">
        <v>0</v>
      </c>
      <c r="K22" s="5">
        <f>tblPayroll[[#This Row],[Basic Salary]]+tblPayroll[[#This Row],[Fixed Allowance]]+tblPayroll[[#This Row],[THR / Bonus]]</f>
        <v>29000000</v>
      </c>
      <c r="L22" s="5">
        <f>ROUND(MIN(tblPayroll[[#This Row],[Basic Salary]]+tblPayroll[[#This Row],[Fixed Allowance]],BPJSKesCap)*R_KesEr,0)</f>
        <v>480000</v>
      </c>
      <c r="M22" s="5">
        <f>ROUND((tblPayroll[[#This Row],[Basic Salary]]+tblPayroll[[#This Row],[Fixed Allowance]])*R_JKK,0)</f>
        <v>69600</v>
      </c>
      <c r="N22" s="5">
        <f>ROUND((tblPayroll[[#This Row],[Basic Salary]]+tblPayroll[[#This Row],[Fixed Allowance]])*R_JKM,0)</f>
        <v>87000</v>
      </c>
      <c r="O22" s="5">
        <f>ROUND((tblPayroll[[#This Row],[Basic Salary]]+tblPayroll[[#This Row],[Fixed Allowance]])*R_JHTEr,0)</f>
        <v>1073000</v>
      </c>
      <c r="P22" s="5">
        <f>ROUND(MIN(tblPayroll[[#This Row],[Basic Salary]]+tblPayroll[[#This Row],[Fixed Allowance]],JPCap)*R_JPEr,0)</f>
        <v>210948</v>
      </c>
      <c r="Q22" s="5">
        <f>SUM(tblPayroll[[#This Row],[BPJS Health (Er)]:[JP (Er)]])</f>
        <v>1920548</v>
      </c>
      <c r="R22" s="5">
        <f>tblPayroll[[#This Row],[Gross Salary]]+tblPayroll[[#This Row],[BPJS Health (Er)]]+tblPayroll[[#This Row],[JKK (Er)]]+tblPayroll[[#This Row],[JKM (Er)]]</f>
        <v>29636600</v>
      </c>
      <c r="S22" s="119">
        <f>IF(tblPayroll[[#This Row],[TER Cat]]="A",_xlfn.XLOOKUP(tblPayroll[[#This Row],[PPh 21 Base]],TerA_L,TerA_R,0,-1),IF(tblPayroll[[#This Row],[TER Cat]]="B",_xlfn.XLOOKUP(tblPayroll[[#This Row],[PPh 21 Base]],TerB_L,TerB_R,0,-1),_xlfn.XLOOKUP(tblPayroll[[#This Row],[PPh 21 Base]],TerC_L,TerC_R,0,-1)))</f>
        <v>0.12</v>
      </c>
      <c r="T22" s="5">
        <f>ROUND(tblPayroll[[#This Row],[PPh 21 Base]]*tblPayroll[[#This Row],[TER Rate]],0)</f>
        <v>3556392</v>
      </c>
      <c r="U22" s="5">
        <f>ROUND(MIN(tblPayroll[[#This Row],[Basic Salary]]+tblPayroll[[#This Row],[Fixed Allowance]],BPJSKesCap)*R_KesEe,0)</f>
        <v>120000</v>
      </c>
      <c r="V22" s="5">
        <f>ROUND((tblPayroll[[#This Row],[Basic Salary]]+tblPayroll[[#This Row],[Fixed Allowance]])*R_JHTEe,0)</f>
        <v>580000</v>
      </c>
      <c r="W22" s="5">
        <f>ROUND(MIN(tblPayroll[[#This Row],[Basic Salary]]+tblPayroll[[#This Row],[Fixed Allowance]],JPCap)*R_JPEe,0)</f>
        <v>105474</v>
      </c>
      <c r="X22" s="5">
        <f>tblPayroll[[#This Row],[BPJS Health (Ee)]]+tblPayroll[[#This Row],[JHT (Ee)]]+tblPayroll[[#This Row],[JP (Ee)]]</f>
        <v>805474</v>
      </c>
      <c r="Y22" s="5">
        <f>tblPayroll[[#This Row],[Gross Salary]]-tblPayroll[[#This Row],[PPh 21]]-tblPayroll[[#This Row],[Employee BPJS Total]]</f>
        <v>24638134</v>
      </c>
      <c r="Z22" s="5">
        <f>tblPayroll[[#This Row],[Employer BPJS Total]]+tblPayroll[[#This Row],[Employee BPJS Total]]</f>
        <v>2726022</v>
      </c>
      <c r="AA22" s="5">
        <f>tblPayroll[[#This Row],[Gross Salary]]+tblPayroll[[#This Row],[Employer BPJS Total]]</f>
        <v>30920548</v>
      </c>
      <c r="AB22" s="4">
        <v>1130</v>
      </c>
      <c r="AD22" s="5">
        <v>6300001</v>
      </c>
      <c r="AE22" s="119">
        <v>0.01</v>
      </c>
      <c r="AF22" s="5">
        <v>7300001</v>
      </c>
      <c r="AG22" s="119">
        <v>0.01</v>
      </c>
      <c r="AH22" s="5">
        <v>7800001</v>
      </c>
      <c r="AI22" s="119">
        <v>0.01</v>
      </c>
    </row>
    <row r="23" spans="2:35" x14ac:dyDescent="0.35">
      <c r="B23" s="4">
        <v>2</v>
      </c>
      <c r="C23" s="113">
        <v>46078</v>
      </c>
      <c r="D23" s="4" t="s">
        <v>4779</v>
      </c>
      <c r="E23" s="1" t="str">
        <f>_xlfn.XLOOKUP(tblPayroll[[#This Row],[Employee ID]],tblEmployees[Employee ID],tblEmployees[Full Name],"")</f>
        <v>Siti Rahmawati</v>
      </c>
      <c r="F23" s="1" t="str">
        <f>_xlfn.XLOOKUP(tblPayroll[[#This Row],[Employee ID]],tblEmployees[Employee ID],tblEmployees[Department],"")</f>
        <v>G&amp;A</v>
      </c>
      <c r="G23" s="1" t="str">
        <f>_xlfn.XLOOKUP(tblPayroll[[#This Row],[Employee ID]],tblEmployees[Employee ID],tblEmployees[TER Category],"")</f>
        <v>B</v>
      </c>
      <c r="H23" s="5">
        <f>_xlfn.XLOOKUP(tblPayroll[[#This Row],[Employee ID]],tblEmployees[Employee ID],tblEmployees[Basic Salary],"")</f>
        <v>20000000</v>
      </c>
      <c r="I23" s="5">
        <f>_xlfn.XLOOKUP(tblPayroll[[#This Row],[Employee ID]],tblEmployees[Employee ID],tblEmployees[Fixed Allowance],"")</f>
        <v>3000000</v>
      </c>
      <c r="J23" s="6">
        <v>0</v>
      </c>
      <c r="K23" s="5">
        <f>tblPayroll[[#This Row],[Basic Salary]]+tblPayroll[[#This Row],[Fixed Allowance]]+tblPayroll[[#This Row],[THR / Bonus]]</f>
        <v>23000000</v>
      </c>
      <c r="L23" s="5">
        <f>ROUND(MIN(tblPayroll[[#This Row],[Basic Salary]]+tblPayroll[[#This Row],[Fixed Allowance]],BPJSKesCap)*R_KesEr,0)</f>
        <v>480000</v>
      </c>
      <c r="M23" s="5">
        <f>ROUND((tblPayroll[[#This Row],[Basic Salary]]+tblPayroll[[#This Row],[Fixed Allowance]])*R_JKK,0)</f>
        <v>55200</v>
      </c>
      <c r="N23" s="5">
        <f>ROUND((tblPayroll[[#This Row],[Basic Salary]]+tblPayroll[[#This Row],[Fixed Allowance]])*R_JKM,0)</f>
        <v>69000</v>
      </c>
      <c r="O23" s="5">
        <f>ROUND((tblPayroll[[#This Row],[Basic Salary]]+tblPayroll[[#This Row],[Fixed Allowance]])*R_JHTEr,0)</f>
        <v>851000</v>
      </c>
      <c r="P23" s="5">
        <f>ROUND(MIN(tblPayroll[[#This Row],[Basic Salary]]+tblPayroll[[#This Row],[Fixed Allowance]],JPCap)*R_JPEr,0)</f>
        <v>210948</v>
      </c>
      <c r="Q23" s="5">
        <f>SUM(tblPayroll[[#This Row],[BPJS Health (Er)]:[JP (Er)]])</f>
        <v>1666148</v>
      </c>
      <c r="R23" s="5">
        <f>tblPayroll[[#This Row],[Gross Salary]]+tblPayroll[[#This Row],[BPJS Health (Er)]]+tblPayroll[[#This Row],[JKK (Er)]]+tblPayroll[[#This Row],[JKM (Er)]]</f>
        <v>23604200</v>
      </c>
      <c r="S23" s="119">
        <f>IF(tblPayroll[[#This Row],[TER Cat]]="A",_xlfn.XLOOKUP(tblPayroll[[#This Row],[PPh 21 Base]],TerA_L,TerA_R,0,-1),IF(tblPayroll[[#This Row],[TER Cat]]="B",_xlfn.XLOOKUP(tblPayroll[[#This Row],[PPh 21 Base]],TerB_L,TerB_R,0,-1),_xlfn.XLOOKUP(tblPayroll[[#This Row],[PPh 21 Base]],TerC_L,TerC_R,0,-1)))</f>
        <v>0.09</v>
      </c>
      <c r="T23" s="5">
        <f>ROUND(tblPayroll[[#This Row],[PPh 21 Base]]*tblPayroll[[#This Row],[TER Rate]],0)</f>
        <v>2124378</v>
      </c>
      <c r="U23" s="5">
        <f>ROUND(MIN(tblPayroll[[#This Row],[Basic Salary]]+tblPayroll[[#This Row],[Fixed Allowance]],BPJSKesCap)*R_KesEe,0)</f>
        <v>120000</v>
      </c>
      <c r="V23" s="5">
        <f>ROUND((tblPayroll[[#This Row],[Basic Salary]]+tblPayroll[[#This Row],[Fixed Allowance]])*R_JHTEe,0)</f>
        <v>460000</v>
      </c>
      <c r="W23" s="5">
        <f>ROUND(MIN(tblPayroll[[#This Row],[Basic Salary]]+tblPayroll[[#This Row],[Fixed Allowance]],JPCap)*R_JPEe,0)</f>
        <v>105474</v>
      </c>
      <c r="X23" s="5">
        <f>tblPayroll[[#This Row],[BPJS Health (Ee)]]+tblPayroll[[#This Row],[JHT (Ee)]]+tblPayroll[[#This Row],[JP (Ee)]]</f>
        <v>685474</v>
      </c>
      <c r="Y23" s="5">
        <f>tblPayroll[[#This Row],[Gross Salary]]-tblPayroll[[#This Row],[PPh 21]]-tblPayroll[[#This Row],[Employee BPJS Total]]</f>
        <v>20190148</v>
      </c>
      <c r="Z23" s="5">
        <f>tblPayroll[[#This Row],[Employer BPJS Total]]+tblPayroll[[#This Row],[Employee BPJS Total]]</f>
        <v>2351622</v>
      </c>
      <c r="AA23" s="5">
        <f>tblPayroll[[#This Row],[Gross Salary]]+tblPayroll[[#This Row],[Employer BPJS Total]]</f>
        <v>24666148</v>
      </c>
      <c r="AB23" s="4">
        <v>1130</v>
      </c>
      <c r="AD23" s="5">
        <v>6750001</v>
      </c>
      <c r="AE23" s="119">
        <v>1.2500000000000001E-2</v>
      </c>
      <c r="AF23" s="5">
        <v>9200001</v>
      </c>
      <c r="AG23" s="119">
        <v>1.4999999999999999E-2</v>
      </c>
      <c r="AH23" s="5">
        <v>8850001</v>
      </c>
      <c r="AI23" s="119">
        <v>1.2500000000000001E-2</v>
      </c>
    </row>
    <row r="24" spans="2:35" x14ac:dyDescent="0.35">
      <c r="B24" s="4">
        <v>2</v>
      </c>
      <c r="C24" s="113">
        <v>46078</v>
      </c>
      <c r="D24" s="4" t="s">
        <v>4783</v>
      </c>
      <c r="E24" s="1" t="str">
        <f>_xlfn.XLOOKUP(tblPayroll[[#This Row],[Employee ID]],tblEmployees[Employee ID],tblEmployees[Full Name],"")</f>
        <v>Dewi Lestari</v>
      </c>
      <c r="F24" s="1" t="str">
        <f>_xlfn.XLOOKUP(tblPayroll[[#This Row],[Employee ID]],tblEmployees[Employee ID],tblEmployees[Department],"")</f>
        <v>G&amp;A</v>
      </c>
      <c r="G24" s="1" t="str">
        <f>_xlfn.XLOOKUP(tblPayroll[[#This Row],[Employee ID]],tblEmployees[Employee ID],tblEmployees[TER Category],"")</f>
        <v>A</v>
      </c>
      <c r="H24" s="5">
        <f>_xlfn.XLOOKUP(tblPayroll[[#This Row],[Employee ID]],tblEmployees[Employee ID],tblEmployees[Basic Salary],"")</f>
        <v>15000000</v>
      </c>
      <c r="I24" s="5">
        <f>_xlfn.XLOOKUP(tblPayroll[[#This Row],[Employee ID]],tblEmployees[Employee ID],tblEmployees[Fixed Allowance],"")</f>
        <v>2000000</v>
      </c>
      <c r="J24" s="6">
        <v>0</v>
      </c>
      <c r="K24" s="5">
        <f>tblPayroll[[#This Row],[Basic Salary]]+tblPayroll[[#This Row],[Fixed Allowance]]+tblPayroll[[#This Row],[THR / Bonus]]</f>
        <v>17000000</v>
      </c>
      <c r="L24" s="5">
        <f>ROUND(MIN(tblPayroll[[#This Row],[Basic Salary]]+tblPayroll[[#This Row],[Fixed Allowance]],BPJSKesCap)*R_KesEr,0)</f>
        <v>480000</v>
      </c>
      <c r="M24" s="5">
        <f>ROUND((tblPayroll[[#This Row],[Basic Salary]]+tblPayroll[[#This Row],[Fixed Allowance]])*R_JKK,0)</f>
        <v>40800</v>
      </c>
      <c r="N24" s="5">
        <f>ROUND((tblPayroll[[#This Row],[Basic Salary]]+tblPayroll[[#This Row],[Fixed Allowance]])*R_JKM,0)</f>
        <v>51000</v>
      </c>
      <c r="O24" s="5">
        <f>ROUND((tblPayroll[[#This Row],[Basic Salary]]+tblPayroll[[#This Row],[Fixed Allowance]])*R_JHTEr,0)</f>
        <v>629000</v>
      </c>
      <c r="P24" s="5">
        <f>ROUND(MIN(tblPayroll[[#This Row],[Basic Salary]]+tblPayroll[[#This Row],[Fixed Allowance]],JPCap)*R_JPEr,0)</f>
        <v>210948</v>
      </c>
      <c r="Q24" s="5">
        <f>SUM(tblPayroll[[#This Row],[BPJS Health (Er)]:[JP (Er)]])</f>
        <v>1411748</v>
      </c>
      <c r="R24" s="5">
        <f>tblPayroll[[#This Row],[Gross Salary]]+tblPayroll[[#This Row],[BPJS Health (Er)]]+tblPayroll[[#This Row],[JKK (Er)]]+tblPayroll[[#This Row],[JKM (Er)]]</f>
        <v>17571800</v>
      </c>
      <c r="S24" s="119">
        <f>IF(tblPayroll[[#This Row],[TER Cat]]="A",_xlfn.XLOOKUP(tblPayroll[[#This Row],[PPh 21 Base]],TerA_L,TerA_R,0,-1),IF(tblPayroll[[#This Row],[TER Cat]]="B",_xlfn.XLOOKUP(tblPayroll[[#This Row],[PPh 21 Base]],TerB_L,TerB_R,0,-1),_xlfn.XLOOKUP(tblPayroll[[#This Row],[PPh 21 Base]],TerC_L,TerC_R,0,-1)))</f>
        <v>0.08</v>
      </c>
      <c r="T24" s="5">
        <f>ROUND(tblPayroll[[#This Row],[PPh 21 Base]]*tblPayroll[[#This Row],[TER Rate]],0)</f>
        <v>1405744</v>
      </c>
      <c r="U24" s="5">
        <f>ROUND(MIN(tblPayroll[[#This Row],[Basic Salary]]+tblPayroll[[#This Row],[Fixed Allowance]],BPJSKesCap)*R_KesEe,0)</f>
        <v>120000</v>
      </c>
      <c r="V24" s="5">
        <f>ROUND((tblPayroll[[#This Row],[Basic Salary]]+tblPayroll[[#This Row],[Fixed Allowance]])*R_JHTEe,0)</f>
        <v>340000</v>
      </c>
      <c r="W24" s="5">
        <f>ROUND(MIN(tblPayroll[[#This Row],[Basic Salary]]+tblPayroll[[#This Row],[Fixed Allowance]],JPCap)*R_JPEe,0)</f>
        <v>105474</v>
      </c>
      <c r="X24" s="5">
        <f>tblPayroll[[#This Row],[BPJS Health (Ee)]]+tblPayroll[[#This Row],[JHT (Ee)]]+tblPayroll[[#This Row],[JP (Ee)]]</f>
        <v>565474</v>
      </c>
      <c r="Y24" s="5">
        <f>tblPayroll[[#This Row],[Gross Salary]]-tblPayroll[[#This Row],[PPh 21]]-tblPayroll[[#This Row],[Employee BPJS Total]]</f>
        <v>15028782</v>
      </c>
      <c r="Z24" s="5">
        <f>tblPayroll[[#This Row],[Employer BPJS Total]]+tblPayroll[[#This Row],[Employee BPJS Total]]</f>
        <v>1977222</v>
      </c>
      <c r="AA24" s="5">
        <f>tblPayroll[[#This Row],[Gross Salary]]+tblPayroll[[#This Row],[Employer BPJS Total]]</f>
        <v>18411748</v>
      </c>
      <c r="AB24" s="4">
        <v>1130</v>
      </c>
      <c r="AD24" s="5">
        <v>7500001</v>
      </c>
      <c r="AE24" s="119">
        <v>1.4999999999999999E-2</v>
      </c>
      <c r="AF24" s="5">
        <v>10750001</v>
      </c>
      <c r="AG24" s="119">
        <v>0.02</v>
      </c>
      <c r="AH24" s="5">
        <v>9800001</v>
      </c>
      <c r="AI24" s="119">
        <v>1.4999999999999999E-2</v>
      </c>
    </row>
    <row r="25" spans="2:35" x14ac:dyDescent="0.35">
      <c r="B25" s="4">
        <v>2</v>
      </c>
      <c r="C25" s="113">
        <v>46078</v>
      </c>
      <c r="D25" s="4" t="s">
        <v>4787</v>
      </c>
      <c r="E25" s="1" t="str">
        <f>_xlfn.XLOOKUP(tblPayroll[[#This Row],[Employee ID]],tblEmployees[Employee ID],tblEmployees[Full Name],"")</f>
        <v>Agus Prasetyo</v>
      </c>
      <c r="F25" s="1" t="str">
        <f>_xlfn.XLOOKUP(tblPayroll[[#This Row],[Employee ID]],tblEmployees[Employee ID],tblEmployees[Department],"")</f>
        <v>Selling</v>
      </c>
      <c r="G25" s="1" t="str">
        <f>_xlfn.XLOOKUP(tblPayroll[[#This Row],[Employee ID]],tblEmployees[Employee ID],tblEmployees[TER Category],"")</f>
        <v>B</v>
      </c>
      <c r="H25" s="5">
        <f>_xlfn.XLOOKUP(tblPayroll[[#This Row],[Employee ID]],tblEmployees[Employee ID],tblEmployees[Basic Salary],"")</f>
        <v>14000000</v>
      </c>
      <c r="I25" s="5">
        <f>_xlfn.XLOOKUP(tblPayroll[[#This Row],[Employee ID]],tblEmployees[Employee ID],tblEmployees[Fixed Allowance],"")</f>
        <v>2000000</v>
      </c>
      <c r="J25" s="6">
        <v>0</v>
      </c>
      <c r="K25" s="5">
        <f>tblPayroll[[#This Row],[Basic Salary]]+tblPayroll[[#This Row],[Fixed Allowance]]+tblPayroll[[#This Row],[THR / Bonus]]</f>
        <v>16000000</v>
      </c>
      <c r="L25" s="5">
        <f>ROUND(MIN(tblPayroll[[#This Row],[Basic Salary]]+tblPayroll[[#This Row],[Fixed Allowance]],BPJSKesCap)*R_KesEr,0)</f>
        <v>480000</v>
      </c>
      <c r="M25" s="5">
        <f>ROUND((tblPayroll[[#This Row],[Basic Salary]]+tblPayroll[[#This Row],[Fixed Allowance]])*R_JKK,0)</f>
        <v>38400</v>
      </c>
      <c r="N25" s="5">
        <f>ROUND((tblPayroll[[#This Row],[Basic Salary]]+tblPayroll[[#This Row],[Fixed Allowance]])*R_JKM,0)</f>
        <v>48000</v>
      </c>
      <c r="O25" s="5">
        <f>ROUND((tblPayroll[[#This Row],[Basic Salary]]+tblPayroll[[#This Row],[Fixed Allowance]])*R_JHTEr,0)</f>
        <v>592000</v>
      </c>
      <c r="P25" s="5">
        <f>ROUND(MIN(tblPayroll[[#This Row],[Basic Salary]]+tblPayroll[[#This Row],[Fixed Allowance]],JPCap)*R_JPEr,0)</f>
        <v>210948</v>
      </c>
      <c r="Q25" s="5">
        <f>SUM(tblPayroll[[#This Row],[BPJS Health (Er)]:[JP (Er)]])</f>
        <v>1369348</v>
      </c>
      <c r="R25" s="5">
        <f>tblPayroll[[#This Row],[Gross Salary]]+tblPayroll[[#This Row],[BPJS Health (Er)]]+tblPayroll[[#This Row],[JKK (Er)]]+tblPayroll[[#This Row],[JKM (Er)]]</f>
        <v>16566400</v>
      </c>
      <c r="S25" s="119">
        <f>IF(tblPayroll[[#This Row],[TER Cat]]="A",_xlfn.XLOOKUP(tblPayroll[[#This Row],[PPh 21 Base]],TerA_L,TerA_R,0,-1),IF(tblPayroll[[#This Row],[TER Cat]]="B",_xlfn.XLOOKUP(tblPayroll[[#This Row],[PPh 21 Base]],TerB_L,TerB_R,0,-1),_xlfn.XLOOKUP(tblPayroll[[#This Row],[PPh 21 Base]],TerC_L,TerC_R,0,-1)))</f>
        <v>7.0000000000000007E-2</v>
      </c>
      <c r="T25" s="5">
        <f>ROUND(tblPayroll[[#This Row],[PPh 21 Base]]*tblPayroll[[#This Row],[TER Rate]],0)</f>
        <v>1159648</v>
      </c>
      <c r="U25" s="5">
        <f>ROUND(MIN(tblPayroll[[#This Row],[Basic Salary]]+tblPayroll[[#This Row],[Fixed Allowance]],BPJSKesCap)*R_KesEe,0)</f>
        <v>120000</v>
      </c>
      <c r="V25" s="5">
        <f>ROUND((tblPayroll[[#This Row],[Basic Salary]]+tblPayroll[[#This Row],[Fixed Allowance]])*R_JHTEe,0)</f>
        <v>320000</v>
      </c>
      <c r="W25" s="5">
        <f>ROUND(MIN(tblPayroll[[#This Row],[Basic Salary]]+tblPayroll[[#This Row],[Fixed Allowance]],JPCap)*R_JPEe,0)</f>
        <v>105474</v>
      </c>
      <c r="X25" s="5">
        <f>tblPayroll[[#This Row],[BPJS Health (Ee)]]+tblPayroll[[#This Row],[JHT (Ee)]]+tblPayroll[[#This Row],[JP (Ee)]]</f>
        <v>545474</v>
      </c>
      <c r="Y25" s="5">
        <f>tblPayroll[[#This Row],[Gross Salary]]-tblPayroll[[#This Row],[PPh 21]]-tblPayroll[[#This Row],[Employee BPJS Total]]</f>
        <v>14294878</v>
      </c>
      <c r="Z25" s="5">
        <f>tblPayroll[[#This Row],[Employer BPJS Total]]+tblPayroll[[#This Row],[Employee BPJS Total]]</f>
        <v>1914822</v>
      </c>
      <c r="AA25" s="5">
        <f>tblPayroll[[#This Row],[Gross Salary]]+tblPayroll[[#This Row],[Employer BPJS Total]]</f>
        <v>17369348</v>
      </c>
      <c r="AB25" s="4">
        <v>1130</v>
      </c>
      <c r="AD25" s="5">
        <v>8550001</v>
      </c>
      <c r="AE25" s="119">
        <v>1.7500000000000002E-2</v>
      </c>
      <c r="AF25" s="5">
        <v>11250001</v>
      </c>
      <c r="AG25" s="119">
        <v>2.5000000000000001E-2</v>
      </c>
      <c r="AH25" s="5">
        <v>10950001</v>
      </c>
      <c r="AI25" s="119">
        <v>1.7500000000000002E-2</v>
      </c>
    </row>
    <row r="26" spans="2:35" x14ac:dyDescent="0.35">
      <c r="B26" s="4">
        <v>2</v>
      </c>
      <c r="C26" s="113">
        <v>46078</v>
      </c>
      <c r="D26" s="4" t="s">
        <v>4793</v>
      </c>
      <c r="E26" s="1" t="str">
        <f>_xlfn.XLOOKUP(tblPayroll[[#This Row],[Employee ID]],tblEmployees[Employee ID],tblEmployees[Full Name],"")</f>
        <v>Rina Kartika</v>
      </c>
      <c r="F26" s="1" t="str">
        <f>_xlfn.XLOOKUP(tblPayroll[[#This Row],[Employee ID]],tblEmployees[Employee ID],tblEmployees[Department],"")</f>
        <v>Selling</v>
      </c>
      <c r="G26" s="1" t="str">
        <f>_xlfn.XLOOKUP(tblPayroll[[#This Row],[Employee ID]],tblEmployees[Employee ID],tblEmployees[TER Category],"")</f>
        <v>A</v>
      </c>
      <c r="H26" s="5">
        <f>_xlfn.XLOOKUP(tblPayroll[[#This Row],[Employee ID]],tblEmployees[Employee ID],tblEmployees[Basic Salary],"")</f>
        <v>12000000</v>
      </c>
      <c r="I26" s="5">
        <f>_xlfn.XLOOKUP(tblPayroll[[#This Row],[Employee ID]],tblEmployees[Employee ID],tblEmployees[Fixed Allowance],"")</f>
        <v>1500000</v>
      </c>
      <c r="J26" s="6">
        <v>0</v>
      </c>
      <c r="K26" s="5">
        <f>tblPayroll[[#This Row],[Basic Salary]]+tblPayroll[[#This Row],[Fixed Allowance]]+tblPayroll[[#This Row],[THR / Bonus]]</f>
        <v>13500000</v>
      </c>
      <c r="L26" s="5">
        <f>ROUND(MIN(tblPayroll[[#This Row],[Basic Salary]]+tblPayroll[[#This Row],[Fixed Allowance]],BPJSKesCap)*R_KesEr,0)</f>
        <v>480000</v>
      </c>
      <c r="M26" s="5">
        <f>ROUND((tblPayroll[[#This Row],[Basic Salary]]+tblPayroll[[#This Row],[Fixed Allowance]])*R_JKK,0)</f>
        <v>32400</v>
      </c>
      <c r="N26" s="5">
        <f>ROUND((tblPayroll[[#This Row],[Basic Salary]]+tblPayroll[[#This Row],[Fixed Allowance]])*R_JKM,0)</f>
        <v>40500</v>
      </c>
      <c r="O26" s="5">
        <f>ROUND((tblPayroll[[#This Row],[Basic Salary]]+tblPayroll[[#This Row],[Fixed Allowance]])*R_JHTEr,0)</f>
        <v>499500</v>
      </c>
      <c r="P26" s="5">
        <f>ROUND(MIN(tblPayroll[[#This Row],[Basic Salary]]+tblPayroll[[#This Row],[Fixed Allowance]],JPCap)*R_JPEr,0)</f>
        <v>210948</v>
      </c>
      <c r="Q26" s="5">
        <f>SUM(tblPayroll[[#This Row],[BPJS Health (Er)]:[JP (Er)]])</f>
        <v>1263348</v>
      </c>
      <c r="R26" s="5">
        <f>tblPayroll[[#This Row],[Gross Salary]]+tblPayroll[[#This Row],[BPJS Health (Er)]]+tblPayroll[[#This Row],[JKK (Er)]]+tblPayroll[[#This Row],[JKM (Er)]]</f>
        <v>14052900</v>
      </c>
      <c r="S26" s="119">
        <f>IF(tblPayroll[[#This Row],[TER Cat]]="A",_xlfn.XLOOKUP(tblPayroll[[#This Row],[PPh 21 Base]],TerA_L,TerA_R,0,-1),IF(tblPayroll[[#This Row],[TER Cat]]="B",_xlfn.XLOOKUP(tblPayroll[[#This Row],[PPh 21 Base]],TerB_L,TerB_R,0,-1),_xlfn.XLOOKUP(tblPayroll[[#This Row],[PPh 21 Base]],TerC_L,TerC_R,0,-1)))</f>
        <v>0.06</v>
      </c>
      <c r="T26" s="5">
        <f>ROUND(tblPayroll[[#This Row],[PPh 21 Base]]*tblPayroll[[#This Row],[TER Rate]],0)</f>
        <v>843174</v>
      </c>
      <c r="U26" s="5">
        <f>ROUND(MIN(tblPayroll[[#This Row],[Basic Salary]]+tblPayroll[[#This Row],[Fixed Allowance]],BPJSKesCap)*R_KesEe,0)</f>
        <v>120000</v>
      </c>
      <c r="V26" s="5">
        <f>ROUND((tblPayroll[[#This Row],[Basic Salary]]+tblPayroll[[#This Row],[Fixed Allowance]])*R_JHTEe,0)</f>
        <v>270000</v>
      </c>
      <c r="W26" s="5">
        <f>ROUND(MIN(tblPayroll[[#This Row],[Basic Salary]]+tblPayroll[[#This Row],[Fixed Allowance]],JPCap)*R_JPEe,0)</f>
        <v>105474</v>
      </c>
      <c r="X26" s="5">
        <f>tblPayroll[[#This Row],[BPJS Health (Ee)]]+tblPayroll[[#This Row],[JHT (Ee)]]+tblPayroll[[#This Row],[JP (Ee)]]</f>
        <v>495474</v>
      </c>
      <c r="Y26" s="5">
        <f>tblPayroll[[#This Row],[Gross Salary]]-tblPayroll[[#This Row],[PPh 21]]-tblPayroll[[#This Row],[Employee BPJS Total]]</f>
        <v>12161352</v>
      </c>
      <c r="Z26" s="5">
        <f>tblPayroll[[#This Row],[Employer BPJS Total]]+tblPayroll[[#This Row],[Employee BPJS Total]]</f>
        <v>1758822</v>
      </c>
      <c r="AA26" s="5">
        <f>tblPayroll[[#This Row],[Gross Salary]]+tblPayroll[[#This Row],[Employer BPJS Total]]</f>
        <v>14763348</v>
      </c>
      <c r="AB26" s="4">
        <v>1130</v>
      </c>
      <c r="AD26" s="5">
        <v>9650001</v>
      </c>
      <c r="AE26" s="119">
        <v>0.02</v>
      </c>
      <c r="AF26" s="5">
        <v>11600001</v>
      </c>
      <c r="AG26" s="119">
        <v>0.03</v>
      </c>
      <c r="AH26" s="5">
        <v>11200001</v>
      </c>
      <c r="AI26" s="119">
        <v>0.02</v>
      </c>
    </row>
    <row r="27" spans="2:35" x14ac:dyDescent="0.35">
      <c r="B27" s="4">
        <v>2</v>
      </c>
      <c r="C27" s="113">
        <v>46078</v>
      </c>
      <c r="D27" s="4" t="s">
        <v>4798</v>
      </c>
      <c r="E27" s="1" t="str">
        <f>_xlfn.XLOOKUP(tblPayroll[[#This Row],[Employee ID]],tblEmployees[Employee ID],tblEmployees[Full Name],"")</f>
        <v>Andi Saputra</v>
      </c>
      <c r="F27" s="1" t="str">
        <f>_xlfn.XLOOKUP(tblPayroll[[#This Row],[Employee ID]],tblEmployees[Employee ID],tblEmployees[Department],"")</f>
        <v>G&amp;A</v>
      </c>
      <c r="G27" s="1" t="str">
        <f>_xlfn.XLOOKUP(tblPayroll[[#This Row],[Employee ID]],tblEmployees[Employee ID],tblEmployees[TER Category],"")</f>
        <v>A</v>
      </c>
      <c r="H27" s="5">
        <f>_xlfn.XLOOKUP(tblPayroll[[#This Row],[Employee ID]],tblEmployees[Employee ID],tblEmployees[Basic Salary],"")</f>
        <v>8500000</v>
      </c>
      <c r="I27" s="5">
        <f>_xlfn.XLOOKUP(tblPayroll[[#This Row],[Employee ID]],tblEmployees[Employee ID],tblEmployees[Fixed Allowance],"")</f>
        <v>1000000</v>
      </c>
      <c r="J27" s="6">
        <v>0</v>
      </c>
      <c r="K27" s="5">
        <f>tblPayroll[[#This Row],[Basic Salary]]+tblPayroll[[#This Row],[Fixed Allowance]]+tblPayroll[[#This Row],[THR / Bonus]]</f>
        <v>9500000</v>
      </c>
      <c r="L27" s="5">
        <f>ROUND(MIN(tblPayroll[[#This Row],[Basic Salary]]+tblPayroll[[#This Row],[Fixed Allowance]],BPJSKesCap)*R_KesEr,0)</f>
        <v>380000</v>
      </c>
      <c r="M27" s="5">
        <f>ROUND((tblPayroll[[#This Row],[Basic Salary]]+tblPayroll[[#This Row],[Fixed Allowance]])*R_JKK,0)</f>
        <v>22800</v>
      </c>
      <c r="N27" s="5">
        <f>ROUND((tblPayroll[[#This Row],[Basic Salary]]+tblPayroll[[#This Row],[Fixed Allowance]])*R_JKM,0)</f>
        <v>28500</v>
      </c>
      <c r="O27" s="5">
        <f>ROUND((tblPayroll[[#This Row],[Basic Salary]]+tblPayroll[[#This Row],[Fixed Allowance]])*R_JHTEr,0)</f>
        <v>351500</v>
      </c>
      <c r="P27" s="5">
        <f>ROUND(MIN(tblPayroll[[#This Row],[Basic Salary]]+tblPayroll[[#This Row],[Fixed Allowance]],JPCap)*R_JPEr,0)</f>
        <v>190000</v>
      </c>
      <c r="Q27" s="5">
        <f>SUM(tblPayroll[[#This Row],[BPJS Health (Er)]:[JP (Er)]])</f>
        <v>972800</v>
      </c>
      <c r="R27" s="5">
        <f>tblPayroll[[#This Row],[Gross Salary]]+tblPayroll[[#This Row],[BPJS Health (Er)]]+tblPayroll[[#This Row],[JKK (Er)]]+tblPayroll[[#This Row],[JKM (Er)]]</f>
        <v>9931300</v>
      </c>
      <c r="S27" s="119">
        <f>IF(tblPayroll[[#This Row],[TER Cat]]="A",_xlfn.XLOOKUP(tblPayroll[[#This Row],[PPh 21 Base]],TerA_L,TerA_R,0,-1),IF(tblPayroll[[#This Row],[TER Cat]]="B",_xlfn.XLOOKUP(tblPayroll[[#This Row],[PPh 21 Base]],TerB_L,TerB_R,0,-1),_xlfn.XLOOKUP(tblPayroll[[#This Row],[PPh 21 Base]],TerC_L,TerC_R,0,-1)))</f>
        <v>0.02</v>
      </c>
      <c r="T27" s="5">
        <f>ROUND(tblPayroll[[#This Row],[PPh 21 Base]]*tblPayroll[[#This Row],[TER Rate]],0)</f>
        <v>198626</v>
      </c>
      <c r="U27" s="5">
        <f>ROUND(MIN(tblPayroll[[#This Row],[Basic Salary]]+tblPayroll[[#This Row],[Fixed Allowance]],BPJSKesCap)*R_KesEe,0)</f>
        <v>95000</v>
      </c>
      <c r="V27" s="5">
        <f>ROUND((tblPayroll[[#This Row],[Basic Salary]]+tblPayroll[[#This Row],[Fixed Allowance]])*R_JHTEe,0)</f>
        <v>190000</v>
      </c>
      <c r="W27" s="5">
        <f>ROUND(MIN(tblPayroll[[#This Row],[Basic Salary]]+tblPayroll[[#This Row],[Fixed Allowance]],JPCap)*R_JPEe,0)</f>
        <v>95000</v>
      </c>
      <c r="X27" s="5">
        <f>tblPayroll[[#This Row],[BPJS Health (Ee)]]+tblPayroll[[#This Row],[JHT (Ee)]]+tblPayroll[[#This Row],[JP (Ee)]]</f>
        <v>380000</v>
      </c>
      <c r="Y27" s="5">
        <f>tblPayroll[[#This Row],[Gross Salary]]-tblPayroll[[#This Row],[PPh 21]]-tblPayroll[[#This Row],[Employee BPJS Total]]</f>
        <v>8921374</v>
      </c>
      <c r="Z27" s="5">
        <f>tblPayroll[[#This Row],[Employer BPJS Total]]+tblPayroll[[#This Row],[Employee BPJS Total]]</f>
        <v>1352800</v>
      </c>
      <c r="AA27" s="5">
        <f>tblPayroll[[#This Row],[Gross Salary]]+tblPayroll[[#This Row],[Employer BPJS Total]]</f>
        <v>10472800</v>
      </c>
      <c r="AB27" s="4">
        <v>1130</v>
      </c>
      <c r="AD27" s="5">
        <v>10050001</v>
      </c>
      <c r="AE27" s="119">
        <v>2.2499999999999999E-2</v>
      </c>
      <c r="AF27" s="5">
        <v>12600001</v>
      </c>
      <c r="AG27" s="119">
        <v>0.04</v>
      </c>
      <c r="AH27" s="5">
        <v>12050001</v>
      </c>
      <c r="AI27" s="119">
        <v>0.03</v>
      </c>
    </row>
    <row r="28" spans="2:35" x14ac:dyDescent="0.35">
      <c r="B28" s="4">
        <v>2</v>
      </c>
      <c r="C28" s="113">
        <v>46078</v>
      </c>
      <c r="D28" s="4" t="s">
        <v>4803</v>
      </c>
      <c r="E28" s="1" t="str">
        <f>_xlfn.XLOOKUP(tblPayroll[[#This Row],[Employee ID]],tblEmployees[Employee ID],tblEmployees[Full Name],"")</f>
        <v>Fitri Handayani</v>
      </c>
      <c r="F28" s="1" t="str">
        <f>_xlfn.XLOOKUP(tblPayroll[[#This Row],[Employee ID]],tblEmployees[Employee ID],tblEmployees[Department],"")</f>
        <v>G&amp;A</v>
      </c>
      <c r="G28" s="1" t="str">
        <f>_xlfn.XLOOKUP(tblPayroll[[#This Row],[Employee ID]],tblEmployees[Employee ID],tblEmployees[TER Category],"")</f>
        <v>A</v>
      </c>
      <c r="H28" s="5">
        <f>_xlfn.XLOOKUP(tblPayroll[[#This Row],[Employee ID]],tblEmployees[Employee ID],tblEmployees[Basic Salary],"")</f>
        <v>8000000</v>
      </c>
      <c r="I28" s="5">
        <f>_xlfn.XLOOKUP(tblPayroll[[#This Row],[Employee ID]],tblEmployees[Employee ID],tblEmployees[Fixed Allowance],"")</f>
        <v>1000000</v>
      </c>
      <c r="J28" s="6">
        <v>0</v>
      </c>
      <c r="K28" s="5">
        <f>tblPayroll[[#This Row],[Basic Salary]]+tblPayroll[[#This Row],[Fixed Allowance]]+tblPayroll[[#This Row],[THR / Bonus]]</f>
        <v>9000000</v>
      </c>
      <c r="L28" s="5">
        <f>ROUND(MIN(tblPayroll[[#This Row],[Basic Salary]]+tblPayroll[[#This Row],[Fixed Allowance]],BPJSKesCap)*R_KesEr,0)</f>
        <v>360000</v>
      </c>
      <c r="M28" s="5">
        <f>ROUND((tblPayroll[[#This Row],[Basic Salary]]+tblPayroll[[#This Row],[Fixed Allowance]])*R_JKK,0)</f>
        <v>21600</v>
      </c>
      <c r="N28" s="5">
        <f>ROUND((tblPayroll[[#This Row],[Basic Salary]]+tblPayroll[[#This Row],[Fixed Allowance]])*R_JKM,0)</f>
        <v>27000</v>
      </c>
      <c r="O28" s="5">
        <f>ROUND((tblPayroll[[#This Row],[Basic Salary]]+tblPayroll[[#This Row],[Fixed Allowance]])*R_JHTEr,0)</f>
        <v>333000</v>
      </c>
      <c r="P28" s="5">
        <f>ROUND(MIN(tblPayroll[[#This Row],[Basic Salary]]+tblPayroll[[#This Row],[Fixed Allowance]],JPCap)*R_JPEr,0)</f>
        <v>180000</v>
      </c>
      <c r="Q28" s="5">
        <f>SUM(tblPayroll[[#This Row],[BPJS Health (Er)]:[JP (Er)]])</f>
        <v>921600</v>
      </c>
      <c r="R28" s="5">
        <f>tblPayroll[[#This Row],[Gross Salary]]+tblPayroll[[#This Row],[BPJS Health (Er)]]+tblPayroll[[#This Row],[JKK (Er)]]+tblPayroll[[#This Row],[JKM (Er)]]</f>
        <v>9408600</v>
      </c>
      <c r="S28" s="119">
        <f>IF(tblPayroll[[#This Row],[TER Cat]]="A",_xlfn.XLOOKUP(tblPayroll[[#This Row],[PPh 21 Base]],TerA_L,TerA_R,0,-1),IF(tblPayroll[[#This Row],[TER Cat]]="B",_xlfn.XLOOKUP(tblPayroll[[#This Row],[PPh 21 Base]],TerB_L,TerB_R,0,-1),_xlfn.XLOOKUP(tblPayroll[[#This Row],[PPh 21 Base]],TerC_L,TerC_R,0,-1)))</f>
        <v>1.7500000000000002E-2</v>
      </c>
      <c r="T28" s="5">
        <f>ROUND(tblPayroll[[#This Row],[PPh 21 Base]]*tblPayroll[[#This Row],[TER Rate]],0)</f>
        <v>164651</v>
      </c>
      <c r="U28" s="5">
        <f>ROUND(MIN(tblPayroll[[#This Row],[Basic Salary]]+tblPayroll[[#This Row],[Fixed Allowance]],BPJSKesCap)*R_KesEe,0)</f>
        <v>90000</v>
      </c>
      <c r="V28" s="5">
        <f>ROUND((tblPayroll[[#This Row],[Basic Salary]]+tblPayroll[[#This Row],[Fixed Allowance]])*R_JHTEe,0)</f>
        <v>180000</v>
      </c>
      <c r="W28" s="5">
        <f>ROUND(MIN(tblPayroll[[#This Row],[Basic Salary]]+tblPayroll[[#This Row],[Fixed Allowance]],JPCap)*R_JPEe,0)</f>
        <v>90000</v>
      </c>
      <c r="X28" s="5">
        <f>tblPayroll[[#This Row],[BPJS Health (Ee)]]+tblPayroll[[#This Row],[JHT (Ee)]]+tblPayroll[[#This Row],[JP (Ee)]]</f>
        <v>360000</v>
      </c>
      <c r="Y28" s="5">
        <f>tblPayroll[[#This Row],[Gross Salary]]-tblPayroll[[#This Row],[PPh 21]]-tblPayroll[[#This Row],[Employee BPJS Total]]</f>
        <v>8475349</v>
      </c>
      <c r="Z28" s="5">
        <f>tblPayroll[[#This Row],[Employer BPJS Total]]+tblPayroll[[#This Row],[Employee BPJS Total]]</f>
        <v>1281600</v>
      </c>
      <c r="AA28" s="5">
        <f>tblPayroll[[#This Row],[Gross Salary]]+tblPayroll[[#This Row],[Employer BPJS Total]]</f>
        <v>9921600</v>
      </c>
      <c r="AB28" s="4">
        <v>1130</v>
      </c>
      <c r="AD28" s="5">
        <v>10350001</v>
      </c>
      <c r="AE28" s="119">
        <v>2.5000000000000001E-2</v>
      </c>
      <c r="AF28" s="5">
        <v>13600001</v>
      </c>
      <c r="AG28" s="119">
        <v>0.05</v>
      </c>
      <c r="AH28" s="5">
        <v>12950001</v>
      </c>
      <c r="AI28" s="119">
        <v>0.04</v>
      </c>
    </row>
    <row r="29" spans="2:35" x14ac:dyDescent="0.35">
      <c r="B29" s="4">
        <v>2</v>
      </c>
      <c r="C29" s="113">
        <v>46078</v>
      </c>
      <c r="D29" s="4" t="s">
        <v>4809</v>
      </c>
      <c r="E29" s="1" t="str">
        <f>_xlfn.XLOOKUP(tblPayroll[[#This Row],[Employee ID]],tblEmployees[Employee ID],tblEmployees[Full Name],"")</f>
        <v>Rizky Ramadhan</v>
      </c>
      <c r="F29" s="1" t="str">
        <f>_xlfn.XLOOKUP(tblPayroll[[#This Row],[Employee ID]],tblEmployees[Employee ID],tblEmployees[Department],"")</f>
        <v>Selling</v>
      </c>
      <c r="G29" s="1" t="str">
        <f>_xlfn.XLOOKUP(tblPayroll[[#This Row],[Employee ID]],tblEmployees[Employee ID],tblEmployees[TER Category],"")</f>
        <v>A</v>
      </c>
      <c r="H29" s="5">
        <f>_xlfn.XLOOKUP(tblPayroll[[#This Row],[Employee ID]],tblEmployees[Employee ID],tblEmployees[Basic Salary],"")</f>
        <v>9000000</v>
      </c>
      <c r="I29" s="5">
        <f>_xlfn.XLOOKUP(tblPayroll[[#This Row],[Employee ID]],tblEmployees[Employee ID],tblEmployees[Fixed Allowance],"")</f>
        <v>1500000</v>
      </c>
      <c r="J29" s="6">
        <v>0</v>
      </c>
      <c r="K29" s="5">
        <f>tblPayroll[[#This Row],[Basic Salary]]+tblPayroll[[#This Row],[Fixed Allowance]]+tblPayroll[[#This Row],[THR / Bonus]]</f>
        <v>10500000</v>
      </c>
      <c r="L29" s="5">
        <f>ROUND(MIN(tblPayroll[[#This Row],[Basic Salary]]+tblPayroll[[#This Row],[Fixed Allowance]],BPJSKesCap)*R_KesEr,0)</f>
        <v>420000</v>
      </c>
      <c r="M29" s="5">
        <f>ROUND((tblPayroll[[#This Row],[Basic Salary]]+tblPayroll[[#This Row],[Fixed Allowance]])*R_JKK,0)</f>
        <v>25200</v>
      </c>
      <c r="N29" s="5">
        <f>ROUND((tblPayroll[[#This Row],[Basic Salary]]+tblPayroll[[#This Row],[Fixed Allowance]])*R_JKM,0)</f>
        <v>31500</v>
      </c>
      <c r="O29" s="5">
        <f>ROUND((tblPayroll[[#This Row],[Basic Salary]]+tblPayroll[[#This Row],[Fixed Allowance]])*R_JHTEr,0)</f>
        <v>388500</v>
      </c>
      <c r="P29" s="5">
        <f>ROUND(MIN(tblPayroll[[#This Row],[Basic Salary]]+tblPayroll[[#This Row],[Fixed Allowance]],JPCap)*R_JPEr,0)</f>
        <v>210000</v>
      </c>
      <c r="Q29" s="5">
        <f>SUM(tblPayroll[[#This Row],[BPJS Health (Er)]:[JP (Er)]])</f>
        <v>1075200</v>
      </c>
      <c r="R29" s="5">
        <f>tblPayroll[[#This Row],[Gross Salary]]+tblPayroll[[#This Row],[BPJS Health (Er)]]+tblPayroll[[#This Row],[JKK (Er)]]+tblPayroll[[#This Row],[JKM (Er)]]</f>
        <v>10976700</v>
      </c>
      <c r="S29" s="119">
        <f>IF(tblPayroll[[#This Row],[TER Cat]]="A",_xlfn.XLOOKUP(tblPayroll[[#This Row],[PPh 21 Base]],TerA_L,TerA_R,0,-1),IF(tblPayroll[[#This Row],[TER Cat]]="B",_xlfn.XLOOKUP(tblPayroll[[#This Row],[PPh 21 Base]],TerB_L,TerB_R,0,-1),_xlfn.XLOOKUP(tblPayroll[[#This Row],[PPh 21 Base]],TerC_L,TerC_R,0,-1)))</f>
        <v>0.03</v>
      </c>
      <c r="T29" s="5">
        <f>ROUND(tblPayroll[[#This Row],[PPh 21 Base]]*tblPayroll[[#This Row],[TER Rate]],0)</f>
        <v>329301</v>
      </c>
      <c r="U29" s="5">
        <f>ROUND(MIN(tblPayroll[[#This Row],[Basic Salary]]+tblPayroll[[#This Row],[Fixed Allowance]],BPJSKesCap)*R_KesEe,0)</f>
        <v>105000</v>
      </c>
      <c r="V29" s="5">
        <f>ROUND((tblPayroll[[#This Row],[Basic Salary]]+tblPayroll[[#This Row],[Fixed Allowance]])*R_JHTEe,0)</f>
        <v>210000</v>
      </c>
      <c r="W29" s="5">
        <f>ROUND(MIN(tblPayroll[[#This Row],[Basic Salary]]+tblPayroll[[#This Row],[Fixed Allowance]],JPCap)*R_JPEe,0)</f>
        <v>105000</v>
      </c>
      <c r="X29" s="5">
        <f>tblPayroll[[#This Row],[BPJS Health (Ee)]]+tblPayroll[[#This Row],[JHT (Ee)]]+tblPayroll[[#This Row],[JP (Ee)]]</f>
        <v>420000</v>
      </c>
      <c r="Y29" s="5">
        <f>tblPayroll[[#This Row],[Gross Salary]]-tblPayroll[[#This Row],[PPh 21]]-tblPayroll[[#This Row],[Employee BPJS Total]]</f>
        <v>9750699</v>
      </c>
      <c r="Z29" s="5">
        <f>tblPayroll[[#This Row],[Employer BPJS Total]]+tblPayroll[[#This Row],[Employee BPJS Total]]</f>
        <v>1495200</v>
      </c>
      <c r="AA29" s="5">
        <f>tblPayroll[[#This Row],[Gross Salary]]+tblPayroll[[#This Row],[Employer BPJS Total]]</f>
        <v>11575200</v>
      </c>
      <c r="AB29" s="4">
        <v>1130</v>
      </c>
      <c r="AD29" s="5">
        <v>10700001</v>
      </c>
      <c r="AE29" s="119">
        <v>0.03</v>
      </c>
      <c r="AF29" s="5">
        <v>14950001</v>
      </c>
      <c r="AG29" s="119">
        <v>0.06</v>
      </c>
      <c r="AH29" s="5">
        <v>14150001</v>
      </c>
      <c r="AI29" s="119">
        <v>0.05</v>
      </c>
    </row>
    <row r="30" spans="2:35" x14ac:dyDescent="0.35">
      <c r="B30" s="4">
        <v>2</v>
      </c>
      <c r="C30" s="113">
        <v>46078</v>
      </c>
      <c r="D30" s="4" t="s">
        <v>4814</v>
      </c>
      <c r="E30" s="1" t="str">
        <f>_xlfn.XLOOKUP(tblPayroll[[#This Row],[Employee ID]],tblEmployees[Employee ID],tblEmployees[Full Name],"")</f>
        <v>Nadia Putri</v>
      </c>
      <c r="F30" s="1" t="str">
        <f>_xlfn.XLOOKUP(tblPayroll[[#This Row],[Employee ID]],tblEmployees[Employee ID],tblEmployees[Department],"")</f>
        <v>Selling</v>
      </c>
      <c r="G30" s="1" t="str">
        <f>_xlfn.XLOOKUP(tblPayroll[[#This Row],[Employee ID]],tblEmployees[Employee ID],tblEmployees[TER Category],"")</f>
        <v>A</v>
      </c>
      <c r="H30" s="5">
        <f>_xlfn.XLOOKUP(tblPayroll[[#This Row],[Employee ID]],tblEmployees[Employee ID],tblEmployees[Basic Salary],"")</f>
        <v>5800000</v>
      </c>
      <c r="I30" s="5">
        <f>_xlfn.XLOOKUP(tblPayroll[[#This Row],[Employee ID]],tblEmployees[Employee ID],tblEmployees[Fixed Allowance],"")</f>
        <v>700000</v>
      </c>
      <c r="J30" s="6">
        <v>0</v>
      </c>
      <c r="K30" s="5">
        <f>tblPayroll[[#This Row],[Basic Salary]]+tblPayroll[[#This Row],[Fixed Allowance]]+tblPayroll[[#This Row],[THR / Bonus]]</f>
        <v>6500000</v>
      </c>
      <c r="L30" s="5">
        <f>ROUND(MIN(tblPayroll[[#This Row],[Basic Salary]]+tblPayroll[[#This Row],[Fixed Allowance]],BPJSKesCap)*R_KesEr,0)</f>
        <v>260000</v>
      </c>
      <c r="M30" s="5">
        <f>ROUND((tblPayroll[[#This Row],[Basic Salary]]+tblPayroll[[#This Row],[Fixed Allowance]])*R_JKK,0)</f>
        <v>15600</v>
      </c>
      <c r="N30" s="5">
        <f>ROUND((tblPayroll[[#This Row],[Basic Salary]]+tblPayroll[[#This Row],[Fixed Allowance]])*R_JKM,0)</f>
        <v>19500</v>
      </c>
      <c r="O30" s="5">
        <f>ROUND((tblPayroll[[#This Row],[Basic Salary]]+tblPayroll[[#This Row],[Fixed Allowance]])*R_JHTEr,0)</f>
        <v>240500</v>
      </c>
      <c r="P30" s="5">
        <f>ROUND(MIN(tblPayroll[[#This Row],[Basic Salary]]+tblPayroll[[#This Row],[Fixed Allowance]],JPCap)*R_JPEr,0)</f>
        <v>130000</v>
      </c>
      <c r="Q30" s="5">
        <f>SUM(tblPayroll[[#This Row],[BPJS Health (Er)]:[JP (Er)]])</f>
        <v>665600</v>
      </c>
      <c r="R30" s="5">
        <f>tblPayroll[[#This Row],[Gross Salary]]+tblPayroll[[#This Row],[BPJS Health (Er)]]+tblPayroll[[#This Row],[JKK (Er)]]+tblPayroll[[#This Row],[JKM (Er)]]</f>
        <v>6795100</v>
      </c>
      <c r="S30" s="119">
        <f>IF(tblPayroll[[#This Row],[TER Cat]]="A",_xlfn.XLOOKUP(tblPayroll[[#This Row],[PPh 21 Base]],TerA_L,TerA_R,0,-1),IF(tblPayroll[[#This Row],[TER Cat]]="B",_xlfn.XLOOKUP(tblPayroll[[#This Row],[PPh 21 Base]],TerB_L,TerB_R,0,-1),_xlfn.XLOOKUP(tblPayroll[[#This Row],[PPh 21 Base]],TerC_L,TerC_R,0,-1)))</f>
        <v>1.2500000000000001E-2</v>
      </c>
      <c r="T30" s="5">
        <f>ROUND(tblPayroll[[#This Row],[PPh 21 Base]]*tblPayroll[[#This Row],[TER Rate]],0)</f>
        <v>84939</v>
      </c>
      <c r="U30" s="5">
        <f>ROUND(MIN(tblPayroll[[#This Row],[Basic Salary]]+tblPayroll[[#This Row],[Fixed Allowance]],BPJSKesCap)*R_KesEe,0)</f>
        <v>65000</v>
      </c>
      <c r="V30" s="5">
        <f>ROUND((tblPayroll[[#This Row],[Basic Salary]]+tblPayroll[[#This Row],[Fixed Allowance]])*R_JHTEe,0)</f>
        <v>130000</v>
      </c>
      <c r="W30" s="5">
        <f>ROUND(MIN(tblPayroll[[#This Row],[Basic Salary]]+tblPayroll[[#This Row],[Fixed Allowance]],JPCap)*R_JPEe,0)</f>
        <v>65000</v>
      </c>
      <c r="X30" s="5">
        <f>tblPayroll[[#This Row],[BPJS Health (Ee)]]+tblPayroll[[#This Row],[JHT (Ee)]]+tblPayroll[[#This Row],[JP (Ee)]]</f>
        <v>260000</v>
      </c>
      <c r="Y30" s="5">
        <f>tblPayroll[[#This Row],[Gross Salary]]-tblPayroll[[#This Row],[PPh 21]]-tblPayroll[[#This Row],[Employee BPJS Total]]</f>
        <v>6155061</v>
      </c>
      <c r="Z30" s="5">
        <f>tblPayroll[[#This Row],[Employer BPJS Total]]+tblPayroll[[#This Row],[Employee BPJS Total]]</f>
        <v>925600</v>
      </c>
      <c r="AA30" s="5">
        <f>tblPayroll[[#This Row],[Gross Salary]]+tblPayroll[[#This Row],[Employer BPJS Total]]</f>
        <v>7165600</v>
      </c>
      <c r="AB30" s="4">
        <v>1130</v>
      </c>
      <c r="AD30" s="5">
        <v>11050001</v>
      </c>
      <c r="AE30" s="119">
        <v>3.5000000000000003E-2</v>
      </c>
      <c r="AF30" s="5">
        <v>16400001</v>
      </c>
      <c r="AG30" s="119">
        <v>7.0000000000000007E-2</v>
      </c>
      <c r="AH30" s="5">
        <v>15550001</v>
      </c>
      <c r="AI30" s="119">
        <v>0.06</v>
      </c>
    </row>
    <row r="31" spans="2:35" x14ac:dyDescent="0.35">
      <c r="B31" s="4">
        <v>2</v>
      </c>
      <c r="C31" s="113">
        <v>46078</v>
      </c>
      <c r="D31" s="4" t="s">
        <v>4819</v>
      </c>
      <c r="E31" s="1" t="str">
        <f>_xlfn.XLOOKUP(tblPayroll[[#This Row],[Employee ID]],tblEmployees[Employee ID],tblEmployees[Full Name],"")</f>
        <v>Dimas Pratama</v>
      </c>
      <c r="F31" s="1" t="str">
        <f>_xlfn.XLOOKUP(tblPayroll[[#This Row],[Employee ID]],tblEmployees[Employee ID],tblEmployees[Department],"")</f>
        <v>Selling</v>
      </c>
      <c r="G31" s="1" t="str">
        <f>_xlfn.XLOOKUP(tblPayroll[[#This Row],[Employee ID]],tblEmployees[Employee ID],tblEmployees[TER Category],"")</f>
        <v>A</v>
      </c>
      <c r="H31" s="5">
        <f>_xlfn.XLOOKUP(tblPayroll[[#This Row],[Employee ID]],tblEmployees[Employee ID],tblEmployees[Basic Salary],"")</f>
        <v>5800000</v>
      </c>
      <c r="I31" s="5">
        <f>_xlfn.XLOOKUP(tblPayroll[[#This Row],[Employee ID]],tblEmployees[Employee ID],tblEmployees[Fixed Allowance],"")</f>
        <v>700000</v>
      </c>
      <c r="J31" s="6">
        <v>0</v>
      </c>
      <c r="K31" s="5">
        <f>tblPayroll[[#This Row],[Basic Salary]]+tblPayroll[[#This Row],[Fixed Allowance]]+tblPayroll[[#This Row],[THR / Bonus]]</f>
        <v>6500000</v>
      </c>
      <c r="L31" s="5">
        <f>ROUND(MIN(tblPayroll[[#This Row],[Basic Salary]]+tblPayroll[[#This Row],[Fixed Allowance]],BPJSKesCap)*R_KesEr,0)</f>
        <v>260000</v>
      </c>
      <c r="M31" s="5">
        <f>ROUND((tblPayroll[[#This Row],[Basic Salary]]+tblPayroll[[#This Row],[Fixed Allowance]])*R_JKK,0)</f>
        <v>15600</v>
      </c>
      <c r="N31" s="5">
        <f>ROUND((tblPayroll[[#This Row],[Basic Salary]]+tblPayroll[[#This Row],[Fixed Allowance]])*R_JKM,0)</f>
        <v>19500</v>
      </c>
      <c r="O31" s="5">
        <f>ROUND((tblPayroll[[#This Row],[Basic Salary]]+tblPayroll[[#This Row],[Fixed Allowance]])*R_JHTEr,0)</f>
        <v>240500</v>
      </c>
      <c r="P31" s="5">
        <f>ROUND(MIN(tblPayroll[[#This Row],[Basic Salary]]+tblPayroll[[#This Row],[Fixed Allowance]],JPCap)*R_JPEr,0)</f>
        <v>130000</v>
      </c>
      <c r="Q31" s="5">
        <f>SUM(tblPayroll[[#This Row],[BPJS Health (Er)]:[JP (Er)]])</f>
        <v>665600</v>
      </c>
      <c r="R31" s="5">
        <f>tblPayroll[[#This Row],[Gross Salary]]+tblPayroll[[#This Row],[BPJS Health (Er)]]+tblPayroll[[#This Row],[JKK (Er)]]+tblPayroll[[#This Row],[JKM (Er)]]</f>
        <v>6795100</v>
      </c>
      <c r="S31" s="119">
        <f>IF(tblPayroll[[#This Row],[TER Cat]]="A",_xlfn.XLOOKUP(tblPayroll[[#This Row],[PPh 21 Base]],TerA_L,TerA_R,0,-1),IF(tblPayroll[[#This Row],[TER Cat]]="B",_xlfn.XLOOKUP(tblPayroll[[#This Row],[PPh 21 Base]],TerB_L,TerB_R,0,-1),_xlfn.XLOOKUP(tblPayroll[[#This Row],[PPh 21 Base]],TerC_L,TerC_R,0,-1)))</f>
        <v>1.2500000000000001E-2</v>
      </c>
      <c r="T31" s="5">
        <f>ROUND(tblPayroll[[#This Row],[PPh 21 Base]]*tblPayroll[[#This Row],[TER Rate]],0)</f>
        <v>84939</v>
      </c>
      <c r="U31" s="5">
        <f>ROUND(MIN(tblPayroll[[#This Row],[Basic Salary]]+tblPayroll[[#This Row],[Fixed Allowance]],BPJSKesCap)*R_KesEe,0)</f>
        <v>65000</v>
      </c>
      <c r="V31" s="5">
        <f>ROUND((tblPayroll[[#This Row],[Basic Salary]]+tblPayroll[[#This Row],[Fixed Allowance]])*R_JHTEe,0)</f>
        <v>130000</v>
      </c>
      <c r="W31" s="5">
        <f>ROUND(MIN(tblPayroll[[#This Row],[Basic Salary]]+tblPayroll[[#This Row],[Fixed Allowance]],JPCap)*R_JPEe,0)</f>
        <v>65000</v>
      </c>
      <c r="X31" s="5">
        <f>tblPayroll[[#This Row],[BPJS Health (Ee)]]+tblPayroll[[#This Row],[JHT (Ee)]]+tblPayroll[[#This Row],[JP (Ee)]]</f>
        <v>260000</v>
      </c>
      <c r="Y31" s="5">
        <f>tblPayroll[[#This Row],[Gross Salary]]-tblPayroll[[#This Row],[PPh 21]]-tblPayroll[[#This Row],[Employee BPJS Total]]</f>
        <v>6155061</v>
      </c>
      <c r="Z31" s="5">
        <f>tblPayroll[[#This Row],[Employer BPJS Total]]+tblPayroll[[#This Row],[Employee BPJS Total]]</f>
        <v>925600</v>
      </c>
      <c r="AA31" s="5">
        <f>tblPayroll[[#This Row],[Gross Salary]]+tblPayroll[[#This Row],[Employer BPJS Total]]</f>
        <v>7165600</v>
      </c>
      <c r="AB31" s="4">
        <v>1130</v>
      </c>
      <c r="AD31" s="5">
        <v>11600001</v>
      </c>
      <c r="AE31" s="119">
        <v>0.04</v>
      </c>
      <c r="AF31" s="5">
        <v>18450001</v>
      </c>
      <c r="AG31" s="119">
        <v>0.08</v>
      </c>
      <c r="AH31" s="5">
        <v>17050001</v>
      </c>
      <c r="AI31" s="119">
        <v>7.0000000000000007E-2</v>
      </c>
    </row>
    <row r="32" spans="2:35" x14ac:dyDescent="0.35">
      <c r="B32" s="4">
        <v>2</v>
      </c>
      <c r="C32" s="113">
        <v>46078</v>
      </c>
      <c r="D32" s="4" t="s">
        <v>4823</v>
      </c>
      <c r="E32" s="1" t="str">
        <f>_xlfn.XLOOKUP(tblPayroll[[#This Row],[Employee ID]],tblEmployees[Employee ID],tblEmployees[Full Name],"")</f>
        <v>Yusuf Hidayat</v>
      </c>
      <c r="F32" s="1" t="str">
        <f>_xlfn.XLOOKUP(tblPayroll[[#This Row],[Employee ID]],tblEmployees[Employee ID],tblEmployees[Department],"")</f>
        <v>Selling</v>
      </c>
      <c r="G32" s="1" t="str">
        <f>_xlfn.XLOOKUP(tblPayroll[[#This Row],[Employee ID]],tblEmployees[Employee ID],tblEmployees[TER Category],"")</f>
        <v>B</v>
      </c>
      <c r="H32" s="5">
        <f>_xlfn.XLOOKUP(tblPayroll[[#This Row],[Employee ID]],tblEmployees[Employee ID],tblEmployees[Basic Salary],"")</f>
        <v>7500000</v>
      </c>
      <c r="I32" s="5">
        <f>_xlfn.XLOOKUP(tblPayroll[[#This Row],[Employee ID]],tblEmployees[Employee ID],tblEmployees[Fixed Allowance],"")</f>
        <v>1000000</v>
      </c>
      <c r="J32" s="6">
        <v>0</v>
      </c>
      <c r="K32" s="5">
        <f>tblPayroll[[#This Row],[Basic Salary]]+tblPayroll[[#This Row],[Fixed Allowance]]+tblPayroll[[#This Row],[THR / Bonus]]</f>
        <v>8500000</v>
      </c>
      <c r="L32" s="5">
        <f>ROUND(MIN(tblPayroll[[#This Row],[Basic Salary]]+tblPayroll[[#This Row],[Fixed Allowance]],BPJSKesCap)*R_KesEr,0)</f>
        <v>340000</v>
      </c>
      <c r="M32" s="5">
        <f>ROUND((tblPayroll[[#This Row],[Basic Salary]]+tblPayroll[[#This Row],[Fixed Allowance]])*R_JKK,0)</f>
        <v>20400</v>
      </c>
      <c r="N32" s="5">
        <f>ROUND((tblPayroll[[#This Row],[Basic Salary]]+tblPayroll[[#This Row],[Fixed Allowance]])*R_JKM,0)</f>
        <v>25500</v>
      </c>
      <c r="O32" s="5">
        <f>ROUND((tblPayroll[[#This Row],[Basic Salary]]+tblPayroll[[#This Row],[Fixed Allowance]])*R_JHTEr,0)</f>
        <v>314500</v>
      </c>
      <c r="P32" s="5">
        <f>ROUND(MIN(tblPayroll[[#This Row],[Basic Salary]]+tblPayroll[[#This Row],[Fixed Allowance]],JPCap)*R_JPEr,0)</f>
        <v>170000</v>
      </c>
      <c r="Q32" s="5">
        <f>SUM(tblPayroll[[#This Row],[BPJS Health (Er)]:[JP (Er)]])</f>
        <v>870400</v>
      </c>
      <c r="R32" s="5">
        <f>tblPayroll[[#This Row],[Gross Salary]]+tblPayroll[[#This Row],[BPJS Health (Er)]]+tblPayroll[[#This Row],[JKK (Er)]]+tblPayroll[[#This Row],[JKM (Er)]]</f>
        <v>8885900</v>
      </c>
      <c r="S32" s="119">
        <f>IF(tblPayroll[[#This Row],[TER Cat]]="A",_xlfn.XLOOKUP(tblPayroll[[#This Row],[PPh 21 Base]],TerA_L,TerA_R,0,-1),IF(tblPayroll[[#This Row],[TER Cat]]="B",_xlfn.XLOOKUP(tblPayroll[[#This Row],[PPh 21 Base]],TerB_L,TerB_R,0,-1),_xlfn.XLOOKUP(tblPayroll[[#This Row],[PPh 21 Base]],TerC_L,TerC_R,0,-1)))</f>
        <v>0.01</v>
      </c>
      <c r="T32" s="5">
        <f>ROUND(tblPayroll[[#This Row],[PPh 21 Base]]*tblPayroll[[#This Row],[TER Rate]],0)</f>
        <v>88859</v>
      </c>
      <c r="U32" s="5">
        <f>ROUND(MIN(tblPayroll[[#This Row],[Basic Salary]]+tblPayroll[[#This Row],[Fixed Allowance]],BPJSKesCap)*R_KesEe,0)</f>
        <v>85000</v>
      </c>
      <c r="V32" s="5">
        <f>ROUND((tblPayroll[[#This Row],[Basic Salary]]+tblPayroll[[#This Row],[Fixed Allowance]])*R_JHTEe,0)</f>
        <v>170000</v>
      </c>
      <c r="W32" s="5">
        <f>ROUND(MIN(tblPayroll[[#This Row],[Basic Salary]]+tblPayroll[[#This Row],[Fixed Allowance]],JPCap)*R_JPEe,0)</f>
        <v>85000</v>
      </c>
      <c r="X32" s="5">
        <f>tblPayroll[[#This Row],[BPJS Health (Ee)]]+tblPayroll[[#This Row],[JHT (Ee)]]+tblPayroll[[#This Row],[JP (Ee)]]</f>
        <v>340000</v>
      </c>
      <c r="Y32" s="5">
        <f>tblPayroll[[#This Row],[Gross Salary]]-tblPayroll[[#This Row],[PPh 21]]-tblPayroll[[#This Row],[Employee BPJS Total]]</f>
        <v>8071141</v>
      </c>
      <c r="Z32" s="5">
        <f>tblPayroll[[#This Row],[Employer BPJS Total]]+tblPayroll[[#This Row],[Employee BPJS Total]]</f>
        <v>1210400</v>
      </c>
      <c r="AA32" s="5">
        <f>tblPayroll[[#This Row],[Gross Salary]]+tblPayroll[[#This Row],[Employer BPJS Total]]</f>
        <v>9370400</v>
      </c>
      <c r="AB32" s="4">
        <v>1130</v>
      </c>
      <c r="AD32" s="5">
        <v>12500001</v>
      </c>
      <c r="AE32" s="119">
        <v>0.05</v>
      </c>
      <c r="AF32" s="5">
        <v>21850001</v>
      </c>
      <c r="AG32" s="119">
        <v>0.09</v>
      </c>
      <c r="AH32" s="5">
        <v>19500001</v>
      </c>
      <c r="AI32" s="119">
        <v>0.08</v>
      </c>
    </row>
    <row r="33" spans="2:35" x14ac:dyDescent="0.35">
      <c r="B33" s="4">
        <v>2</v>
      </c>
      <c r="C33" s="113">
        <v>46078</v>
      </c>
      <c r="D33" s="4" t="s">
        <v>4828</v>
      </c>
      <c r="E33" s="1" t="str">
        <f>_xlfn.XLOOKUP(tblPayroll[[#This Row],[Employee ID]],tblEmployees[Employee ID],tblEmployees[Full Name],"")</f>
        <v>Lestari Wulandari</v>
      </c>
      <c r="F33" s="1" t="str">
        <f>_xlfn.XLOOKUP(tblPayroll[[#This Row],[Employee ID]],tblEmployees[Employee ID],tblEmployees[Department],"")</f>
        <v>Selling</v>
      </c>
      <c r="G33" s="1" t="str">
        <f>_xlfn.XLOOKUP(tblPayroll[[#This Row],[Employee ID]],tblEmployees[Employee ID],tblEmployees[TER Category],"")</f>
        <v>A</v>
      </c>
      <c r="H33" s="5">
        <f>_xlfn.XLOOKUP(tblPayroll[[#This Row],[Employee ID]],tblEmployees[Employee ID],tblEmployees[Basic Salary],"")</f>
        <v>5600000</v>
      </c>
      <c r="I33" s="5">
        <f>_xlfn.XLOOKUP(tblPayroll[[#This Row],[Employee ID]],tblEmployees[Employee ID],tblEmployees[Fixed Allowance],"")</f>
        <v>600000</v>
      </c>
      <c r="J33" s="6">
        <v>0</v>
      </c>
      <c r="K33" s="5">
        <f>tblPayroll[[#This Row],[Basic Salary]]+tblPayroll[[#This Row],[Fixed Allowance]]+tblPayroll[[#This Row],[THR / Bonus]]</f>
        <v>6200000</v>
      </c>
      <c r="L33" s="5">
        <f>ROUND(MIN(tblPayroll[[#This Row],[Basic Salary]]+tblPayroll[[#This Row],[Fixed Allowance]],BPJSKesCap)*R_KesEr,0)</f>
        <v>248000</v>
      </c>
      <c r="M33" s="5">
        <f>ROUND((tblPayroll[[#This Row],[Basic Salary]]+tblPayroll[[#This Row],[Fixed Allowance]])*R_JKK,0)</f>
        <v>14880</v>
      </c>
      <c r="N33" s="5">
        <f>ROUND((tblPayroll[[#This Row],[Basic Salary]]+tblPayroll[[#This Row],[Fixed Allowance]])*R_JKM,0)</f>
        <v>18600</v>
      </c>
      <c r="O33" s="5">
        <f>ROUND((tblPayroll[[#This Row],[Basic Salary]]+tblPayroll[[#This Row],[Fixed Allowance]])*R_JHTEr,0)</f>
        <v>229400</v>
      </c>
      <c r="P33" s="5">
        <f>ROUND(MIN(tblPayroll[[#This Row],[Basic Salary]]+tblPayroll[[#This Row],[Fixed Allowance]],JPCap)*R_JPEr,0)</f>
        <v>124000</v>
      </c>
      <c r="Q33" s="5">
        <f>SUM(tblPayroll[[#This Row],[BPJS Health (Er)]:[JP (Er)]])</f>
        <v>634880</v>
      </c>
      <c r="R33" s="5">
        <f>tblPayroll[[#This Row],[Gross Salary]]+tblPayroll[[#This Row],[BPJS Health (Er)]]+tblPayroll[[#This Row],[JKK (Er)]]+tblPayroll[[#This Row],[JKM (Er)]]</f>
        <v>6481480</v>
      </c>
      <c r="S33" s="119">
        <f>IF(tblPayroll[[#This Row],[TER Cat]]="A",_xlfn.XLOOKUP(tblPayroll[[#This Row],[PPh 21 Base]],TerA_L,TerA_R,0,-1),IF(tblPayroll[[#This Row],[TER Cat]]="B",_xlfn.XLOOKUP(tblPayroll[[#This Row],[PPh 21 Base]],TerB_L,TerB_R,0,-1),_xlfn.XLOOKUP(tblPayroll[[#This Row],[PPh 21 Base]],TerC_L,TerC_R,0,-1)))</f>
        <v>0.01</v>
      </c>
      <c r="T33" s="5">
        <f>ROUND(tblPayroll[[#This Row],[PPh 21 Base]]*tblPayroll[[#This Row],[TER Rate]],0)</f>
        <v>64815</v>
      </c>
      <c r="U33" s="5">
        <f>ROUND(MIN(tblPayroll[[#This Row],[Basic Salary]]+tblPayroll[[#This Row],[Fixed Allowance]],BPJSKesCap)*R_KesEe,0)</f>
        <v>62000</v>
      </c>
      <c r="V33" s="5">
        <f>ROUND((tblPayroll[[#This Row],[Basic Salary]]+tblPayroll[[#This Row],[Fixed Allowance]])*R_JHTEe,0)</f>
        <v>124000</v>
      </c>
      <c r="W33" s="5">
        <f>ROUND(MIN(tblPayroll[[#This Row],[Basic Salary]]+tblPayroll[[#This Row],[Fixed Allowance]],JPCap)*R_JPEe,0)</f>
        <v>62000</v>
      </c>
      <c r="X33" s="5">
        <f>tblPayroll[[#This Row],[BPJS Health (Ee)]]+tblPayroll[[#This Row],[JHT (Ee)]]+tblPayroll[[#This Row],[JP (Ee)]]</f>
        <v>248000</v>
      </c>
      <c r="Y33" s="5">
        <f>tblPayroll[[#This Row],[Gross Salary]]-tblPayroll[[#This Row],[PPh 21]]-tblPayroll[[#This Row],[Employee BPJS Total]]</f>
        <v>5887185</v>
      </c>
      <c r="Z33" s="5">
        <f>tblPayroll[[#This Row],[Employer BPJS Total]]+tblPayroll[[#This Row],[Employee BPJS Total]]</f>
        <v>882880</v>
      </c>
      <c r="AA33" s="5">
        <f>tblPayroll[[#This Row],[Gross Salary]]+tblPayroll[[#This Row],[Employer BPJS Total]]</f>
        <v>6834880</v>
      </c>
      <c r="AB33" s="4">
        <v>1130</v>
      </c>
      <c r="AD33" s="5">
        <v>13750001</v>
      </c>
      <c r="AE33" s="119">
        <v>0.06</v>
      </c>
      <c r="AF33" s="5">
        <v>26000001</v>
      </c>
      <c r="AG33" s="119">
        <v>0.1</v>
      </c>
      <c r="AH33" s="5">
        <v>22700001</v>
      </c>
      <c r="AI33" s="119">
        <v>0.09</v>
      </c>
    </row>
    <row r="34" spans="2:35" x14ac:dyDescent="0.35">
      <c r="B34" s="4">
        <v>2</v>
      </c>
      <c r="C34" s="113">
        <v>46078</v>
      </c>
      <c r="D34" s="4" t="s">
        <v>4834</v>
      </c>
      <c r="E34" s="1" t="str">
        <f>_xlfn.XLOOKUP(tblPayroll[[#This Row],[Employee ID]],tblEmployees[Employee ID],tblEmployees[Full Name],"")</f>
        <v>Bayu Nugroho</v>
      </c>
      <c r="F34" s="1" t="str">
        <f>_xlfn.XLOOKUP(tblPayroll[[#This Row],[Employee ID]],tblEmployees[Employee ID],tblEmployees[Department],"")</f>
        <v>Selling</v>
      </c>
      <c r="G34" s="1" t="str">
        <f>_xlfn.XLOOKUP(tblPayroll[[#This Row],[Employee ID]],tblEmployees[Employee ID],tblEmployees[TER Category],"")</f>
        <v>B</v>
      </c>
      <c r="H34" s="5">
        <f>_xlfn.XLOOKUP(tblPayroll[[#This Row],[Employee ID]],tblEmployees[Employee ID],tblEmployees[Basic Salary],"")</f>
        <v>5600000</v>
      </c>
      <c r="I34" s="5">
        <f>_xlfn.XLOOKUP(tblPayroll[[#This Row],[Employee ID]],tblEmployees[Employee ID],tblEmployees[Fixed Allowance],"")</f>
        <v>600000</v>
      </c>
      <c r="J34" s="6">
        <v>0</v>
      </c>
      <c r="K34" s="5">
        <f>tblPayroll[[#This Row],[Basic Salary]]+tblPayroll[[#This Row],[Fixed Allowance]]+tblPayroll[[#This Row],[THR / Bonus]]</f>
        <v>6200000</v>
      </c>
      <c r="L34" s="5">
        <f>ROUND(MIN(tblPayroll[[#This Row],[Basic Salary]]+tblPayroll[[#This Row],[Fixed Allowance]],BPJSKesCap)*R_KesEr,0)</f>
        <v>248000</v>
      </c>
      <c r="M34" s="5">
        <f>ROUND((tblPayroll[[#This Row],[Basic Salary]]+tblPayroll[[#This Row],[Fixed Allowance]])*R_JKK,0)</f>
        <v>14880</v>
      </c>
      <c r="N34" s="5">
        <f>ROUND((tblPayroll[[#This Row],[Basic Salary]]+tblPayroll[[#This Row],[Fixed Allowance]])*R_JKM,0)</f>
        <v>18600</v>
      </c>
      <c r="O34" s="5">
        <f>ROUND((tblPayroll[[#This Row],[Basic Salary]]+tblPayroll[[#This Row],[Fixed Allowance]])*R_JHTEr,0)</f>
        <v>229400</v>
      </c>
      <c r="P34" s="5">
        <f>ROUND(MIN(tblPayroll[[#This Row],[Basic Salary]]+tblPayroll[[#This Row],[Fixed Allowance]],JPCap)*R_JPEr,0)</f>
        <v>124000</v>
      </c>
      <c r="Q34" s="5">
        <f>SUM(tblPayroll[[#This Row],[BPJS Health (Er)]:[JP (Er)]])</f>
        <v>634880</v>
      </c>
      <c r="R34" s="5">
        <f>tblPayroll[[#This Row],[Gross Salary]]+tblPayroll[[#This Row],[BPJS Health (Er)]]+tblPayroll[[#This Row],[JKK (Er)]]+tblPayroll[[#This Row],[JKM (Er)]]</f>
        <v>6481480</v>
      </c>
      <c r="S34" s="119">
        <f>IF(tblPayroll[[#This Row],[TER Cat]]="A",_xlfn.XLOOKUP(tblPayroll[[#This Row],[PPh 21 Base]],TerA_L,TerA_R,0,-1),IF(tblPayroll[[#This Row],[TER Cat]]="B",_xlfn.XLOOKUP(tblPayroll[[#This Row],[PPh 21 Base]],TerB_L,TerB_R,0,-1),_xlfn.XLOOKUP(tblPayroll[[#This Row],[PPh 21 Base]],TerC_L,TerC_R,0,-1)))</f>
        <v>2.5000000000000001E-3</v>
      </c>
      <c r="T34" s="5">
        <f>ROUND(tblPayroll[[#This Row],[PPh 21 Base]]*tblPayroll[[#This Row],[TER Rate]],0)</f>
        <v>16204</v>
      </c>
      <c r="U34" s="5">
        <f>ROUND(MIN(tblPayroll[[#This Row],[Basic Salary]]+tblPayroll[[#This Row],[Fixed Allowance]],BPJSKesCap)*R_KesEe,0)</f>
        <v>62000</v>
      </c>
      <c r="V34" s="5">
        <f>ROUND((tblPayroll[[#This Row],[Basic Salary]]+tblPayroll[[#This Row],[Fixed Allowance]])*R_JHTEe,0)</f>
        <v>124000</v>
      </c>
      <c r="W34" s="5">
        <f>ROUND(MIN(tblPayroll[[#This Row],[Basic Salary]]+tblPayroll[[#This Row],[Fixed Allowance]],JPCap)*R_JPEe,0)</f>
        <v>62000</v>
      </c>
      <c r="X34" s="5">
        <f>tblPayroll[[#This Row],[BPJS Health (Ee)]]+tblPayroll[[#This Row],[JHT (Ee)]]+tblPayroll[[#This Row],[JP (Ee)]]</f>
        <v>248000</v>
      </c>
      <c r="Y34" s="5">
        <f>tblPayroll[[#This Row],[Gross Salary]]-tblPayroll[[#This Row],[PPh 21]]-tblPayroll[[#This Row],[Employee BPJS Total]]</f>
        <v>5935796</v>
      </c>
      <c r="Z34" s="5">
        <f>tblPayroll[[#This Row],[Employer BPJS Total]]+tblPayroll[[#This Row],[Employee BPJS Total]]</f>
        <v>882880</v>
      </c>
      <c r="AA34" s="5">
        <f>tblPayroll[[#This Row],[Gross Salary]]+tblPayroll[[#This Row],[Employer BPJS Total]]</f>
        <v>6834880</v>
      </c>
      <c r="AB34" s="4">
        <v>1130</v>
      </c>
      <c r="AD34" s="5">
        <v>15100001</v>
      </c>
      <c r="AE34" s="119">
        <v>7.0000000000000007E-2</v>
      </c>
      <c r="AF34" s="5">
        <v>27700001</v>
      </c>
      <c r="AG34" s="119">
        <v>0.11</v>
      </c>
      <c r="AH34" s="5">
        <v>26600001</v>
      </c>
      <c r="AI34" s="119">
        <v>0.1</v>
      </c>
    </row>
    <row r="35" spans="2:35" x14ac:dyDescent="0.35">
      <c r="B35" s="4">
        <v>2</v>
      </c>
      <c r="C35" s="113">
        <v>46078</v>
      </c>
      <c r="D35" s="4" t="s">
        <v>4839</v>
      </c>
      <c r="E35" s="1" t="str">
        <f>_xlfn.XLOOKUP(tblPayroll[[#This Row],[Employee ID]],tblEmployees[Employee ID],tblEmployees[Full Name],"")</f>
        <v>Maya Sari</v>
      </c>
      <c r="F35" s="1" t="str">
        <f>_xlfn.XLOOKUP(tblPayroll[[#This Row],[Employee ID]],tblEmployees[Employee ID],tblEmployees[Department],"")</f>
        <v>Selling</v>
      </c>
      <c r="G35" s="1" t="str">
        <f>_xlfn.XLOOKUP(tblPayroll[[#This Row],[Employee ID]],tblEmployees[Employee ID],tblEmployees[TER Category],"")</f>
        <v>A</v>
      </c>
      <c r="H35" s="5">
        <f>_xlfn.XLOOKUP(tblPayroll[[#This Row],[Employee ID]],tblEmployees[Employee ID],tblEmployees[Basic Salary],"")</f>
        <v>5700000</v>
      </c>
      <c r="I35" s="5">
        <f>_xlfn.XLOOKUP(tblPayroll[[#This Row],[Employee ID]],tblEmployees[Employee ID],tblEmployees[Fixed Allowance],"")</f>
        <v>600000</v>
      </c>
      <c r="J35" s="6">
        <v>0</v>
      </c>
      <c r="K35" s="5">
        <f>tblPayroll[[#This Row],[Basic Salary]]+tblPayroll[[#This Row],[Fixed Allowance]]+tblPayroll[[#This Row],[THR / Bonus]]</f>
        <v>6300000</v>
      </c>
      <c r="L35" s="5">
        <f>ROUND(MIN(tblPayroll[[#This Row],[Basic Salary]]+tblPayroll[[#This Row],[Fixed Allowance]],BPJSKesCap)*R_KesEr,0)</f>
        <v>252000</v>
      </c>
      <c r="M35" s="5">
        <f>ROUND((tblPayroll[[#This Row],[Basic Salary]]+tblPayroll[[#This Row],[Fixed Allowance]])*R_JKK,0)</f>
        <v>15120</v>
      </c>
      <c r="N35" s="5">
        <f>ROUND((tblPayroll[[#This Row],[Basic Salary]]+tblPayroll[[#This Row],[Fixed Allowance]])*R_JKM,0)</f>
        <v>18900</v>
      </c>
      <c r="O35" s="5">
        <f>ROUND((tblPayroll[[#This Row],[Basic Salary]]+tblPayroll[[#This Row],[Fixed Allowance]])*R_JHTEr,0)</f>
        <v>233100</v>
      </c>
      <c r="P35" s="5">
        <f>ROUND(MIN(tblPayroll[[#This Row],[Basic Salary]]+tblPayroll[[#This Row],[Fixed Allowance]],JPCap)*R_JPEr,0)</f>
        <v>126000</v>
      </c>
      <c r="Q35" s="5">
        <f>SUM(tblPayroll[[#This Row],[BPJS Health (Er)]:[JP (Er)]])</f>
        <v>645120</v>
      </c>
      <c r="R35" s="5">
        <f>tblPayroll[[#This Row],[Gross Salary]]+tblPayroll[[#This Row],[BPJS Health (Er)]]+tblPayroll[[#This Row],[JKK (Er)]]+tblPayroll[[#This Row],[JKM (Er)]]</f>
        <v>6586020</v>
      </c>
      <c r="S35" s="119">
        <f>IF(tblPayroll[[#This Row],[TER Cat]]="A",_xlfn.XLOOKUP(tblPayroll[[#This Row],[PPh 21 Base]],TerA_L,TerA_R,0,-1),IF(tblPayroll[[#This Row],[TER Cat]]="B",_xlfn.XLOOKUP(tblPayroll[[#This Row],[PPh 21 Base]],TerB_L,TerB_R,0,-1),_xlfn.XLOOKUP(tblPayroll[[#This Row],[PPh 21 Base]],TerC_L,TerC_R,0,-1)))</f>
        <v>0.01</v>
      </c>
      <c r="T35" s="5">
        <f>ROUND(tblPayroll[[#This Row],[PPh 21 Base]]*tblPayroll[[#This Row],[TER Rate]],0)</f>
        <v>65860</v>
      </c>
      <c r="U35" s="5">
        <f>ROUND(MIN(tblPayroll[[#This Row],[Basic Salary]]+tblPayroll[[#This Row],[Fixed Allowance]],BPJSKesCap)*R_KesEe,0)</f>
        <v>63000</v>
      </c>
      <c r="V35" s="5">
        <f>ROUND((tblPayroll[[#This Row],[Basic Salary]]+tblPayroll[[#This Row],[Fixed Allowance]])*R_JHTEe,0)</f>
        <v>126000</v>
      </c>
      <c r="W35" s="5">
        <f>ROUND(MIN(tblPayroll[[#This Row],[Basic Salary]]+tblPayroll[[#This Row],[Fixed Allowance]],JPCap)*R_JPEe,0)</f>
        <v>63000</v>
      </c>
      <c r="X35" s="5">
        <f>tblPayroll[[#This Row],[BPJS Health (Ee)]]+tblPayroll[[#This Row],[JHT (Ee)]]+tblPayroll[[#This Row],[JP (Ee)]]</f>
        <v>252000</v>
      </c>
      <c r="Y35" s="5">
        <f>tblPayroll[[#This Row],[Gross Salary]]-tblPayroll[[#This Row],[PPh 21]]-tblPayroll[[#This Row],[Employee BPJS Total]]</f>
        <v>5982140</v>
      </c>
      <c r="Z35" s="5">
        <f>tblPayroll[[#This Row],[Employer BPJS Total]]+tblPayroll[[#This Row],[Employee BPJS Total]]</f>
        <v>897120</v>
      </c>
      <c r="AA35" s="5">
        <f>tblPayroll[[#This Row],[Gross Salary]]+tblPayroll[[#This Row],[Employer BPJS Total]]</f>
        <v>6945120</v>
      </c>
      <c r="AB35" s="4">
        <v>1130</v>
      </c>
      <c r="AD35" s="5">
        <v>16950001</v>
      </c>
      <c r="AE35" s="119">
        <v>0.08</v>
      </c>
      <c r="AF35" s="5">
        <v>29350001</v>
      </c>
      <c r="AG35" s="119">
        <v>0.12</v>
      </c>
      <c r="AH35" s="5">
        <v>28100001</v>
      </c>
      <c r="AI35" s="119">
        <v>0.11</v>
      </c>
    </row>
    <row r="36" spans="2:35" x14ac:dyDescent="0.35">
      <c r="B36" s="4">
        <v>2</v>
      </c>
      <c r="C36" s="113">
        <v>46078</v>
      </c>
      <c r="D36" s="4" t="s">
        <v>4844</v>
      </c>
      <c r="E36" s="1" t="str">
        <f>_xlfn.XLOOKUP(tblPayroll[[#This Row],[Employee ID]],tblEmployees[Employee ID],tblEmployees[Full Name],"")</f>
        <v>Hendra Wijaya</v>
      </c>
      <c r="F36" s="1" t="str">
        <f>_xlfn.XLOOKUP(tblPayroll[[#This Row],[Employee ID]],tblEmployees[Employee ID],tblEmployees[Department],"")</f>
        <v>G&amp;A</v>
      </c>
      <c r="G36" s="1" t="str">
        <f>_xlfn.XLOOKUP(tblPayroll[[#This Row],[Employee ID]],tblEmployees[Employee ID],tblEmployees[TER Category],"")</f>
        <v>A</v>
      </c>
      <c r="H36" s="5">
        <f>_xlfn.XLOOKUP(tblPayroll[[#This Row],[Employee ID]],tblEmployees[Employee ID],tblEmployees[Basic Salary],"")</f>
        <v>9500000</v>
      </c>
      <c r="I36" s="5">
        <f>_xlfn.XLOOKUP(tblPayroll[[#This Row],[Employee ID]],tblEmployees[Employee ID],tblEmployees[Fixed Allowance],"")</f>
        <v>1000000</v>
      </c>
      <c r="J36" s="6">
        <v>0</v>
      </c>
      <c r="K36" s="5">
        <f>tblPayroll[[#This Row],[Basic Salary]]+tblPayroll[[#This Row],[Fixed Allowance]]+tblPayroll[[#This Row],[THR / Bonus]]</f>
        <v>10500000</v>
      </c>
      <c r="L36" s="5">
        <f>ROUND(MIN(tblPayroll[[#This Row],[Basic Salary]]+tblPayroll[[#This Row],[Fixed Allowance]],BPJSKesCap)*R_KesEr,0)</f>
        <v>420000</v>
      </c>
      <c r="M36" s="5">
        <f>ROUND((tblPayroll[[#This Row],[Basic Salary]]+tblPayroll[[#This Row],[Fixed Allowance]])*R_JKK,0)</f>
        <v>25200</v>
      </c>
      <c r="N36" s="5">
        <f>ROUND((tblPayroll[[#This Row],[Basic Salary]]+tblPayroll[[#This Row],[Fixed Allowance]])*R_JKM,0)</f>
        <v>31500</v>
      </c>
      <c r="O36" s="5">
        <f>ROUND((tblPayroll[[#This Row],[Basic Salary]]+tblPayroll[[#This Row],[Fixed Allowance]])*R_JHTEr,0)</f>
        <v>388500</v>
      </c>
      <c r="P36" s="5">
        <f>ROUND(MIN(tblPayroll[[#This Row],[Basic Salary]]+tblPayroll[[#This Row],[Fixed Allowance]],JPCap)*R_JPEr,0)</f>
        <v>210000</v>
      </c>
      <c r="Q36" s="5">
        <f>SUM(tblPayroll[[#This Row],[BPJS Health (Er)]:[JP (Er)]])</f>
        <v>1075200</v>
      </c>
      <c r="R36" s="5">
        <f>tblPayroll[[#This Row],[Gross Salary]]+tblPayroll[[#This Row],[BPJS Health (Er)]]+tblPayroll[[#This Row],[JKK (Er)]]+tblPayroll[[#This Row],[JKM (Er)]]</f>
        <v>10976700</v>
      </c>
      <c r="S36" s="119">
        <f>IF(tblPayroll[[#This Row],[TER Cat]]="A",_xlfn.XLOOKUP(tblPayroll[[#This Row],[PPh 21 Base]],TerA_L,TerA_R,0,-1),IF(tblPayroll[[#This Row],[TER Cat]]="B",_xlfn.XLOOKUP(tblPayroll[[#This Row],[PPh 21 Base]],TerB_L,TerB_R,0,-1),_xlfn.XLOOKUP(tblPayroll[[#This Row],[PPh 21 Base]],TerC_L,TerC_R,0,-1)))</f>
        <v>0.03</v>
      </c>
      <c r="T36" s="5">
        <f>ROUND(tblPayroll[[#This Row],[PPh 21 Base]]*tblPayroll[[#This Row],[TER Rate]],0)</f>
        <v>329301</v>
      </c>
      <c r="U36" s="5">
        <f>ROUND(MIN(tblPayroll[[#This Row],[Basic Salary]]+tblPayroll[[#This Row],[Fixed Allowance]],BPJSKesCap)*R_KesEe,0)</f>
        <v>105000</v>
      </c>
      <c r="V36" s="5">
        <f>ROUND((tblPayroll[[#This Row],[Basic Salary]]+tblPayroll[[#This Row],[Fixed Allowance]])*R_JHTEe,0)</f>
        <v>210000</v>
      </c>
      <c r="W36" s="5">
        <f>ROUND(MIN(tblPayroll[[#This Row],[Basic Salary]]+tblPayroll[[#This Row],[Fixed Allowance]],JPCap)*R_JPEe,0)</f>
        <v>105000</v>
      </c>
      <c r="X36" s="5">
        <f>tblPayroll[[#This Row],[BPJS Health (Ee)]]+tblPayroll[[#This Row],[JHT (Ee)]]+tblPayroll[[#This Row],[JP (Ee)]]</f>
        <v>420000</v>
      </c>
      <c r="Y36" s="5">
        <f>tblPayroll[[#This Row],[Gross Salary]]-tblPayroll[[#This Row],[PPh 21]]-tblPayroll[[#This Row],[Employee BPJS Total]]</f>
        <v>9750699</v>
      </c>
      <c r="Z36" s="5">
        <f>tblPayroll[[#This Row],[Employer BPJS Total]]+tblPayroll[[#This Row],[Employee BPJS Total]]</f>
        <v>1495200</v>
      </c>
      <c r="AA36" s="5">
        <f>tblPayroll[[#This Row],[Gross Salary]]+tblPayroll[[#This Row],[Employer BPJS Total]]</f>
        <v>11575200</v>
      </c>
      <c r="AB36" s="4">
        <v>1130</v>
      </c>
      <c r="AD36" s="5">
        <v>19750001</v>
      </c>
      <c r="AE36" s="119">
        <v>0.09</v>
      </c>
      <c r="AF36" s="5">
        <v>31450001</v>
      </c>
      <c r="AG36" s="119">
        <v>0.13</v>
      </c>
      <c r="AH36" s="5">
        <v>30100001</v>
      </c>
      <c r="AI36" s="119">
        <v>0.12</v>
      </c>
    </row>
    <row r="37" spans="2:35" x14ac:dyDescent="0.35">
      <c r="B37" s="4">
        <v>3</v>
      </c>
      <c r="C37" s="113">
        <v>46106</v>
      </c>
      <c r="D37" s="4" t="s">
        <v>4774</v>
      </c>
      <c r="E37" s="1" t="str">
        <f>_xlfn.XLOOKUP(tblPayroll[[#This Row],[Employee ID]],tblEmployees[Employee ID],tblEmployees[Full Name],"")</f>
        <v>Budi Santoso</v>
      </c>
      <c r="F37" s="1" t="str">
        <f>_xlfn.XLOOKUP(tblPayroll[[#This Row],[Employee ID]],tblEmployees[Employee ID],tblEmployees[Department],"")</f>
        <v>G&amp;A</v>
      </c>
      <c r="G37" s="1" t="str">
        <f>_xlfn.XLOOKUP(tblPayroll[[#This Row],[Employee ID]],tblEmployees[Employee ID],tblEmployees[TER Category],"")</f>
        <v>B</v>
      </c>
      <c r="H37" s="5">
        <f>_xlfn.XLOOKUP(tblPayroll[[#This Row],[Employee ID]],tblEmployees[Employee ID],tblEmployees[Basic Salary],"")</f>
        <v>25000000</v>
      </c>
      <c r="I37" s="5">
        <f>_xlfn.XLOOKUP(tblPayroll[[#This Row],[Employee ID]],tblEmployees[Employee ID],tblEmployees[Fixed Allowance],"")</f>
        <v>4000000</v>
      </c>
      <c r="J37" s="6">
        <v>29000000</v>
      </c>
      <c r="K37" s="5">
        <f>tblPayroll[[#This Row],[Basic Salary]]+tblPayroll[[#This Row],[Fixed Allowance]]+tblPayroll[[#This Row],[THR / Bonus]]</f>
        <v>58000000</v>
      </c>
      <c r="L37" s="5">
        <f>ROUND(MIN(tblPayroll[[#This Row],[Basic Salary]]+tblPayroll[[#This Row],[Fixed Allowance]],BPJSKesCap)*R_KesEr,0)</f>
        <v>480000</v>
      </c>
      <c r="M37" s="5">
        <f>ROUND((tblPayroll[[#This Row],[Basic Salary]]+tblPayroll[[#This Row],[Fixed Allowance]])*R_JKK,0)</f>
        <v>69600</v>
      </c>
      <c r="N37" s="5">
        <f>ROUND((tblPayroll[[#This Row],[Basic Salary]]+tblPayroll[[#This Row],[Fixed Allowance]])*R_JKM,0)</f>
        <v>87000</v>
      </c>
      <c r="O37" s="5">
        <f>ROUND((tblPayroll[[#This Row],[Basic Salary]]+tblPayroll[[#This Row],[Fixed Allowance]])*R_JHTEr,0)</f>
        <v>1073000</v>
      </c>
      <c r="P37" s="5">
        <f>ROUND(MIN(tblPayroll[[#This Row],[Basic Salary]]+tblPayroll[[#This Row],[Fixed Allowance]],JPCap)*R_JPEr,0)</f>
        <v>210948</v>
      </c>
      <c r="Q37" s="5">
        <f>SUM(tblPayroll[[#This Row],[BPJS Health (Er)]:[JP (Er)]])</f>
        <v>1920548</v>
      </c>
      <c r="R37" s="5">
        <f>tblPayroll[[#This Row],[Gross Salary]]+tblPayroll[[#This Row],[BPJS Health (Er)]]+tblPayroll[[#This Row],[JKK (Er)]]+tblPayroll[[#This Row],[JKM (Er)]]</f>
        <v>58636600</v>
      </c>
      <c r="S37" s="119">
        <f>IF(tblPayroll[[#This Row],[TER Cat]]="A",_xlfn.XLOOKUP(tblPayroll[[#This Row],[PPh 21 Base]],TerA_L,TerA_R,0,-1),IF(tblPayroll[[#This Row],[TER Cat]]="B",_xlfn.XLOOKUP(tblPayroll[[#This Row],[PPh 21 Base]],TerB_L,TerB_R,0,-1),_xlfn.XLOOKUP(tblPayroll[[#This Row],[PPh 21 Base]],TerC_L,TerC_R,0,-1)))</f>
        <v>0.2</v>
      </c>
      <c r="T37" s="5">
        <f>ROUND(tblPayroll[[#This Row],[PPh 21 Base]]*tblPayroll[[#This Row],[TER Rate]],0)</f>
        <v>11727320</v>
      </c>
      <c r="U37" s="5">
        <f>ROUND(MIN(tblPayroll[[#This Row],[Basic Salary]]+tblPayroll[[#This Row],[Fixed Allowance]],BPJSKesCap)*R_KesEe,0)</f>
        <v>120000</v>
      </c>
      <c r="V37" s="5">
        <f>ROUND((tblPayroll[[#This Row],[Basic Salary]]+tblPayroll[[#This Row],[Fixed Allowance]])*R_JHTEe,0)</f>
        <v>580000</v>
      </c>
      <c r="W37" s="5">
        <f>ROUND(MIN(tblPayroll[[#This Row],[Basic Salary]]+tblPayroll[[#This Row],[Fixed Allowance]],JPCap)*R_JPEe,0)</f>
        <v>105474</v>
      </c>
      <c r="X37" s="5">
        <f>tblPayroll[[#This Row],[BPJS Health (Ee)]]+tblPayroll[[#This Row],[JHT (Ee)]]+tblPayroll[[#This Row],[JP (Ee)]]</f>
        <v>805474</v>
      </c>
      <c r="Y37" s="5">
        <f>tblPayroll[[#This Row],[Gross Salary]]-tblPayroll[[#This Row],[PPh 21]]-tblPayroll[[#This Row],[Employee BPJS Total]]</f>
        <v>45467206</v>
      </c>
      <c r="Z37" s="5">
        <f>tblPayroll[[#This Row],[Employer BPJS Total]]+tblPayroll[[#This Row],[Employee BPJS Total]]</f>
        <v>2726022</v>
      </c>
      <c r="AA37" s="5">
        <f>tblPayroll[[#This Row],[Gross Salary]]+tblPayroll[[#This Row],[Employer BPJS Total]]</f>
        <v>59920548</v>
      </c>
      <c r="AB37" s="4">
        <v>1130</v>
      </c>
      <c r="AD37" s="5">
        <v>24150001</v>
      </c>
      <c r="AE37" s="119">
        <v>0.1</v>
      </c>
      <c r="AF37" s="5">
        <v>33950001</v>
      </c>
      <c r="AG37" s="119">
        <v>0.14000000000000001</v>
      </c>
      <c r="AH37" s="5">
        <v>32600001</v>
      </c>
      <c r="AI37" s="119">
        <v>0.13</v>
      </c>
    </row>
    <row r="38" spans="2:35" x14ac:dyDescent="0.35">
      <c r="B38" s="4">
        <v>3</v>
      </c>
      <c r="C38" s="113">
        <v>46106</v>
      </c>
      <c r="D38" s="4" t="s">
        <v>4779</v>
      </c>
      <c r="E38" s="1" t="str">
        <f>_xlfn.XLOOKUP(tblPayroll[[#This Row],[Employee ID]],tblEmployees[Employee ID],tblEmployees[Full Name],"")</f>
        <v>Siti Rahmawati</v>
      </c>
      <c r="F38" s="1" t="str">
        <f>_xlfn.XLOOKUP(tblPayroll[[#This Row],[Employee ID]],tblEmployees[Employee ID],tblEmployees[Department],"")</f>
        <v>G&amp;A</v>
      </c>
      <c r="G38" s="1" t="str">
        <f>_xlfn.XLOOKUP(tblPayroll[[#This Row],[Employee ID]],tblEmployees[Employee ID],tblEmployees[TER Category],"")</f>
        <v>B</v>
      </c>
      <c r="H38" s="5">
        <f>_xlfn.XLOOKUP(tblPayroll[[#This Row],[Employee ID]],tblEmployees[Employee ID],tblEmployees[Basic Salary],"")</f>
        <v>20000000</v>
      </c>
      <c r="I38" s="5">
        <f>_xlfn.XLOOKUP(tblPayroll[[#This Row],[Employee ID]],tblEmployees[Employee ID],tblEmployees[Fixed Allowance],"")</f>
        <v>3000000</v>
      </c>
      <c r="J38" s="6">
        <v>23000000</v>
      </c>
      <c r="K38" s="5">
        <f>tblPayroll[[#This Row],[Basic Salary]]+tblPayroll[[#This Row],[Fixed Allowance]]+tblPayroll[[#This Row],[THR / Bonus]]</f>
        <v>46000000</v>
      </c>
      <c r="L38" s="5">
        <f>ROUND(MIN(tblPayroll[[#This Row],[Basic Salary]]+tblPayroll[[#This Row],[Fixed Allowance]],BPJSKesCap)*R_KesEr,0)</f>
        <v>480000</v>
      </c>
      <c r="M38" s="5">
        <f>ROUND((tblPayroll[[#This Row],[Basic Salary]]+tblPayroll[[#This Row],[Fixed Allowance]])*R_JKK,0)</f>
        <v>55200</v>
      </c>
      <c r="N38" s="5">
        <f>ROUND((tblPayroll[[#This Row],[Basic Salary]]+tblPayroll[[#This Row],[Fixed Allowance]])*R_JKM,0)</f>
        <v>69000</v>
      </c>
      <c r="O38" s="5">
        <f>ROUND((tblPayroll[[#This Row],[Basic Salary]]+tblPayroll[[#This Row],[Fixed Allowance]])*R_JHTEr,0)</f>
        <v>851000</v>
      </c>
      <c r="P38" s="5">
        <f>ROUND(MIN(tblPayroll[[#This Row],[Basic Salary]]+tblPayroll[[#This Row],[Fixed Allowance]],JPCap)*R_JPEr,0)</f>
        <v>210948</v>
      </c>
      <c r="Q38" s="5">
        <f>SUM(tblPayroll[[#This Row],[BPJS Health (Er)]:[JP (Er)]])</f>
        <v>1666148</v>
      </c>
      <c r="R38" s="5">
        <f>tblPayroll[[#This Row],[Gross Salary]]+tblPayroll[[#This Row],[BPJS Health (Er)]]+tblPayroll[[#This Row],[JKK (Er)]]+tblPayroll[[#This Row],[JKM (Er)]]</f>
        <v>46604200</v>
      </c>
      <c r="S38" s="119">
        <f>IF(tblPayroll[[#This Row],[TER Cat]]="A",_xlfn.XLOOKUP(tblPayroll[[#This Row],[PPh 21 Base]],TerA_L,TerA_R,0,-1),IF(tblPayroll[[#This Row],[TER Cat]]="B",_xlfn.XLOOKUP(tblPayroll[[#This Row],[PPh 21 Base]],TerB_L,TerB_R,0,-1),_xlfn.XLOOKUP(tblPayroll[[#This Row],[PPh 21 Base]],TerC_L,TerC_R,0,-1)))</f>
        <v>0.17</v>
      </c>
      <c r="T38" s="5">
        <f>ROUND(tblPayroll[[#This Row],[PPh 21 Base]]*tblPayroll[[#This Row],[TER Rate]],0)</f>
        <v>7922714</v>
      </c>
      <c r="U38" s="5">
        <f>ROUND(MIN(tblPayroll[[#This Row],[Basic Salary]]+tblPayroll[[#This Row],[Fixed Allowance]],BPJSKesCap)*R_KesEe,0)</f>
        <v>120000</v>
      </c>
      <c r="V38" s="5">
        <f>ROUND((tblPayroll[[#This Row],[Basic Salary]]+tblPayroll[[#This Row],[Fixed Allowance]])*R_JHTEe,0)</f>
        <v>460000</v>
      </c>
      <c r="W38" s="5">
        <f>ROUND(MIN(tblPayroll[[#This Row],[Basic Salary]]+tblPayroll[[#This Row],[Fixed Allowance]],JPCap)*R_JPEe,0)</f>
        <v>105474</v>
      </c>
      <c r="X38" s="5">
        <f>tblPayroll[[#This Row],[BPJS Health (Ee)]]+tblPayroll[[#This Row],[JHT (Ee)]]+tblPayroll[[#This Row],[JP (Ee)]]</f>
        <v>685474</v>
      </c>
      <c r="Y38" s="5">
        <f>tblPayroll[[#This Row],[Gross Salary]]-tblPayroll[[#This Row],[PPh 21]]-tblPayroll[[#This Row],[Employee BPJS Total]]</f>
        <v>37391812</v>
      </c>
      <c r="Z38" s="5">
        <f>tblPayroll[[#This Row],[Employer BPJS Total]]+tblPayroll[[#This Row],[Employee BPJS Total]]</f>
        <v>2351622</v>
      </c>
      <c r="AA38" s="5">
        <f>tblPayroll[[#This Row],[Gross Salary]]+tblPayroll[[#This Row],[Employer BPJS Total]]</f>
        <v>47666148</v>
      </c>
      <c r="AB38" s="4">
        <v>1130</v>
      </c>
      <c r="AD38" s="5">
        <v>26450001</v>
      </c>
      <c r="AE38" s="119">
        <v>0.11</v>
      </c>
      <c r="AF38" s="5">
        <v>37100001</v>
      </c>
      <c r="AG38" s="119">
        <v>0.15</v>
      </c>
      <c r="AH38" s="5">
        <v>35400001</v>
      </c>
      <c r="AI38" s="119">
        <v>0.14000000000000001</v>
      </c>
    </row>
    <row r="39" spans="2:35" x14ac:dyDescent="0.35">
      <c r="B39" s="4">
        <v>3</v>
      </c>
      <c r="C39" s="113">
        <v>46106</v>
      </c>
      <c r="D39" s="4" t="s">
        <v>4783</v>
      </c>
      <c r="E39" s="1" t="str">
        <f>_xlfn.XLOOKUP(tblPayroll[[#This Row],[Employee ID]],tblEmployees[Employee ID],tblEmployees[Full Name],"")</f>
        <v>Dewi Lestari</v>
      </c>
      <c r="F39" s="1" t="str">
        <f>_xlfn.XLOOKUP(tblPayroll[[#This Row],[Employee ID]],tblEmployees[Employee ID],tblEmployees[Department],"")</f>
        <v>G&amp;A</v>
      </c>
      <c r="G39" s="1" t="str">
        <f>_xlfn.XLOOKUP(tblPayroll[[#This Row],[Employee ID]],tblEmployees[Employee ID],tblEmployees[TER Category],"")</f>
        <v>A</v>
      </c>
      <c r="H39" s="5">
        <f>_xlfn.XLOOKUP(tblPayroll[[#This Row],[Employee ID]],tblEmployees[Employee ID],tblEmployees[Basic Salary],"")</f>
        <v>15000000</v>
      </c>
      <c r="I39" s="5">
        <f>_xlfn.XLOOKUP(tblPayroll[[#This Row],[Employee ID]],tblEmployees[Employee ID],tblEmployees[Fixed Allowance],"")</f>
        <v>2000000</v>
      </c>
      <c r="J39" s="6">
        <v>17000000</v>
      </c>
      <c r="K39" s="5">
        <f>tblPayroll[[#This Row],[Basic Salary]]+tblPayroll[[#This Row],[Fixed Allowance]]+tblPayroll[[#This Row],[THR / Bonus]]</f>
        <v>34000000</v>
      </c>
      <c r="L39" s="5">
        <f>ROUND(MIN(tblPayroll[[#This Row],[Basic Salary]]+tblPayroll[[#This Row],[Fixed Allowance]],BPJSKesCap)*R_KesEr,0)</f>
        <v>480000</v>
      </c>
      <c r="M39" s="5">
        <f>ROUND((tblPayroll[[#This Row],[Basic Salary]]+tblPayroll[[#This Row],[Fixed Allowance]])*R_JKK,0)</f>
        <v>40800</v>
      </c>
      <c r="N39" s="5">
        <f>ROUND((tblPayroll[[#This Row],[Basic Salary]]+tblPayroll[[#This Row],[Fixed Allowance]])*R_JKM,0)</f>
        <v>51000</v>
      </c>
      <c r="O39" s="5">
        <f>ROUND((tblPayroll[[#This Row],[Basic Salary]]+tblPayroll[[#This Row],[Fixed Allowance]])*R_JHTEr,0)</f>
        <v>629000</v>
      </c>
      <c r="P39" s="5">
        <f>ROUND(MIN(tblPayroll[[#This Row],[Basic Salary]]+tblPayroll[[#This Row],[Fixed Allowance]],JPCap)*R_JPEr,0)</f>
        <v>210948</v>
      </c>
      <c r="Q39" s="5">
        <f>SUM(tblPayroll[[#This Row],[BPJS Health (Er)]:[JP (Er)]])</f>
        <v>1411748</v>
      </c>
      <c r="R39" s="5">
        <f>tblPayroll[[#This Row],[Gross Salary]]+tblPayroll[[#This Row],[BPJS Health (Er)]]+tblPayroll[[#This Row],[JKK (Er)]]+tblPayroll[[#This Row],[JKM (Er)]]</f>
        <v>34571800</v>
      </c>
      <c r="S39" s="119">
        <f>IF(tblPayroll[[#This Row],[TER Cat]]="A",_xlfn.XLOOKUP(tblPayroll[[#This Row],[PPh 21 Base]],TerA_L,TerA_R,0,-1),IF(tblPayroll[[#This Row],[TER Cat]]="B",_xlfn.XLOOKUP(tblPayroll[[#This Row],[PPh 21 Base]],TerB_L,TerB_R,0,-1),_xlfn.XLOOKUP(tblPayroll[[#This Row],[PPh 21 Base]],TerC_L,TerC_R,0,-1)))</f>
        <v>0.14000000000000001</v>
      </c>
      <c r="T39" s="5">
        <f>ROUND(tblPayroll[[#This Row],[PPh 21 Base]]*tblPayroll[[#This Row],[TER Rate]],0)</f>
        <v>4840052</v>
      </c>
      <c r="U39" s="5">
        <f>ROUND(MIN(tblPayroll[[#This Row],[Basic Salary]]+tblPayroll[[#This Row],[Fixed Allowance]],BPJSKesCap)*R_KesEe,0)</f>
        <v>120000</v>
      </c>
      <c r="V39" s="5">
        <f>ROUND((tblPayroll[[#This Row],[Basic Salary]]+tblPayroll[[#This Row],[Fixed Allowance]])*R_JHTEe,0)</f>
        <v>340000</v>
      </c>
      <c r="W39" s="5">
        <f>ROUND(MIN(tblPayroll[[#This Row],[Basic Salary]]+tblPayroll[[#This Row],[Fixed Allowance]],JPCap)*R_JPEe,0)</f>
        <v>105474</v>
      </c>
      <c r="X39" s="5">
        <f>tblPayroll[[#This Row],[BPJS Health (Ee)]]+tblPayroll[[#This Row],[JHT (Ee)]]+tblPayroll[[#This Row],[JP (Ee)]]</f>
        <v>565474</v>
      </c>
      <c r="Y39" s="5">
        <f>tblPayroll[[#This Row],[Gross Salary]]-tblPayroll[[#This Row],[PPh 21]]-tblPayroll[[#This Row],[Employee BPJS Total]]</f>
        <v>28594474</v>
      </c>
      <c r="Z39" s="5">
        <f>tblPayroll[[#This Row],[Employer BPJS Total]]+tblPayroll[[#This Row],[Employee BPJS Total]]</f>
        <v>1977222</v>
      </c>
      <c r="AA39" s="5">
        <f>tblPayroll[[#This Row],[Gross Salary]]+tblPayroll[[#This Row],[Employer BPJS Total]]</f>
        <v>35411748</v>
      </c>
      <c r="AB39" s="4">
        <v>1130</v>
      </c>
      <c r="AD39" s="5">
        <v>28000001</v>
      </c>
      <c r="AE39" s="119">
        <v>0.12</v>
      </c>
      <c r="AF39" s="5">
        <v>41100001</v>
      </c>
      <c r="AG39" s="119">
        <v>0.16</v>
      </c>
      <c r="AH39" s="5">
        <v>38900001</v>
      </c>
      <c r="AI39" s="119">
        <v>0.15</v>
      </c>
    </row>
    <row r="40" spans="2:35" x14ac:dyDescent="0.35">
      <c r="B40" s="4">
        <v>3</v>
      </c>
      <c r="C40" s="113">
        <v>46106</v>
      </c>
      <c r="D40" s="4" t="s">
        <v>4787</v>
      </c>
      <c r="E40" s="1" t="str">
        <f>_xlfn.XLOOKUP(tblPayroll[[#This Row],[Employee ID]],tblEmployees[Employee ID],tblEmployees[Full Name],"")</f>
        <v>Agus Prasetyo</v>
      </c>
      <c r="F40" s="1" t="str">
        <f>_xlfn.XLOOKUP(tblPayroll[[#This Row],[Employee ID]],tblEmployees[Employee ID],tblEmployees[Department],"")</f>
        <v>Selling</v>
      </c>
      <c r="G40" s="1" t="str">
        <f>_xlfn.XLOOKUP(tblPayroll[[#This Row],[Employee ID]],tblEmployees[Employee ID],tblEmployees[TER Category],"")</f>
        <v>B</v>
      </c>
      <c r="H40" s="5">
        <f>_xlfn.XLOOKUP(tblPayroll[[#This Row],[Employee ID]],tblEmployees[Employee ID],tblEmployees[Basic Salary],"")</f>
        <v>14000000</v>
      </c>
      <c r="I40" s="5">
        <f>_xlfn.XLOOKUP(tblPayroll[[#This Row],[Employee ID]],tblEmployees[Employee ID],tblEmployees[Fixed Allowance],"")</f>
        <v>2000000</v>
      </c>
      <c r="J40" s="6">
        <v>16000000</v>
      </c>
      <c r="K40" s="5">
        <f>tblPayroll[[#This Row],[Basic Salary]]+tblPayroll[[#This Row],[Fixed Allowance]]+tblPayroll[[#This Row],[THR / Bonus]]</f>
        <v>32000000</v>
      </c>
      <c r="L40" s="5">
        <f>ROUND(MIN(tblPayroll[[#This Row],[Basic Salary]]+tblPayroll[[#This Row],[Fixed Allowance]],BPJSKesCap)*R_KesEr,0)</f>
        <v>480000</v>
      </c>
      <c r="M40" s="5">
        <f>ROUND((tblPayroll[[#This Row],[Basic Salary]]+tblPayroll[[#This Row],[Fixed Allowance]])*R_JKK,0)</f>
        <v>38400</v>
      </c>
      <c r="N40" s="5">
        <f>ROUND((tblPayroll[[#This Row],[Basic Salary]]+tblPayroll[[#This Row],[Fixed Allowance]])*R_JKM,0)</f>
        <v>48000</v>
      </c>
      <c r="O40" s="5">
        <f>ROUND((tblPayroll[[#This Row],[Basic Salary]]+tblPayroll[[#This Row],[Fixed Allowance]])*R_JHTEr,0)</f>
        <v>592000</v>
      </c>
      <c r="P40" s="5">
        <f>ROUND(MIN(tblPayroll[[#This Row],[Basic Salary]]+tblPayroll[[#This Row],[Fixed Allowance]],JPCap)*R_JPEr,0)</f>
        <v>210948</v>
      </c>
      <c r="Q40" s="5">
        <f>SUM(tblPayroll[[#This Row],[BPJS Health (Er)]:[JP (Er)]])</f>
        <v>1369348</v>
      </c>
      <c r="R40" s="5">
        <f>tblPayroll[[#This Row],[Gross Salary]]+tblPayroll[[#This Row],[BPJS Health (Er)]]+tblPayroll[[#This Row],[JKK (Er)]]+tblPayroll[[#This Row],[JKM (Er)]]</f>
        <v>32566400</v>
      </c>
      <c r="S40" s="119">
        <f>IF(tblPayroll[[#This Row],[TER Cat]]="A",_xlfn.XLOOKUP(tblPayroll[[#This Row],[PPh 21 Base]],TerA_L,TerA_R,0,-1),IF(tblPayroll[[#This Row],[TER Cat]]="B",_xlfn.XLOOKUP(tblPayroll[[#This Row],[PPh 21 Base]],TerB_L,TerB_R,0,-1),_xlfn.XLOOKUP(tblPayroll[[#This Row],[PPh 21 Base]],TerC_L,TerC_R,0,-1)))</f>
        <v>0.13</v>
      </c>
      <c r="T40" s="5">
        <f>ROUND(tblPayroll[[#This Row],[PPh 21 Base]]*tblPayroll[[#This Row],[TER Rate]],0)</f>
        <v>4233632</v>
      </c>
      <c r="U40" s="5">
        <f>ROUND(MIN(tblPayroll[[#This Row],[Basic Salary]]+tblPayroll[[#This Row],[Fixed Allowance]],BPJSKesCap)*R_KesEe,0)</f>
        <v>120000</v>
      </c>
      <c r="V40" s="5">
        <f>ROUND((tblPayroll[[#This Row],[Basic Salary]]+tblPayroll[[#This Row],[Fixed Allowance]])*R_JHTEe,0)</f>
        <v>320000</v>
      </c>
      <c r="W40" s="5">
        <f>ROUND(MIN(tblPayroll[[#This Row],[Basic Salary]]+tblPayroll[[#This Row],[Fixed Allowance]],JPCap)*R_JPEe,0)</f>
        <v>105474</v>
      </c>
      <c r="X40" s="5">
        <f>tblPayroll[[#This Row],[BPJS Health (Ee)]]+tblPayroll[[#This Row],[JHT (Ee)]]+tblPayroll[[#This Row],[JP (Ee)]]</f>
        <v>545474</v>
      </c>
      <c r="Y40" s="5">
        <f>tblPayroll[[#This Row],[Gross Salary]]-tblPayroll[[#This Row],[PPh 21]]-tblPayroll[[#This Row],[Employee BPJS Total]]</f>
        <v>27220894</v>
      </c>
      <c r="Z40" s="5">
        <f>tblPayroll[[#This Row],[Employer BPJS Total]]+tblPayroll[[#This Row],[Employee BPJS Total]]</f>
        <v>1914822</v>
      </c>
      <c r="AA40" s="5">
        <f>tblPayroll[[#This Row],[Gross Salary]]+tblPayroll[[#This Row],[Employer BPJS Total]]</f>
        <v>33369348</v>
      </c>
      <c r="AB40" s="4">
        <v>1130</v>
      </c>
      <c r="AD40" s="5">
        <v>30050001</v>
      </c>
      <c r="AE40" s="119">
        <v>0.13</v>
      </c>
      <c r="AF40" s="5">
        <v>45800001</v>
      </c>
      <c r="AG40" s="119">
        <v>0.17</v>
      </c>
      <c r="AH40" s="5">
        <v>43000001</v>
      </c>
      <c r="AI40" s="119">
        <v>0.16</v>
      </c>
    </row>
    <row r="41" spans="2:35" x14ac:dyDescent="0.35">
      <c r="B41" s="4">
        <v>3</v>
      </c>
      <c r="C41" s="113">
        <v>46106</v>
      </c>
      <c r="D41" s="4" t="s">
        <v>4793</v>
      </c>
      <c r="E41" s="1" t="str">
        <f>_xlfn.XLOOKUP(tblPayroll[[#This Row],[Employee ID]],tblEmployees[Employee ID],tblEmployees[Full Name],"")</f>
        <v>Rina Kartika</v>
      </c>
      <c r="F41" s="1" t="str">
        <f>_xlfn.XLOOKUP(tblPayroll[[#This Row],[Employee ID]],tblEmployees[Employee ID],tblEmployees[Department],"")</f>
        <v>Selling</v>
      </c>
      <c r="G41" s="1" t="str">
        <f>_xlfn.XLOOKUP(tblPayroll[[#This Row],[Employee ID]],tblEmployees[Employee ID],tblEmployees[TER Category],"")</f>
        <v>A</v>
      </c>
      <c r="H41" s="5">
        <f>_xlfn.XLOOKUP(tblPayroll[[#This Row],[Employee ID]],tblEmployees[Employee ID],tblEmployees[Basic Salary],"")</f>
        <v>12000000</v>
      </c>
      <c r="I41" s="5">
        <f>_xlfn.XLOOKUP(tblPayroll[[#This Row],[Employee ID]],tblEmployees[Employee ID],tblEmployees[Fixed Allowance],"")</f>
        <v>1500000</v>
      </c>
      <c r="J41" s="6">
        <v>13500000</v>
      </c>
      <c r="K41" s="5">
        <f>tblPayroll[[#This Row],[Basic Salary]]+tblPayroll[[#This Row],[Fixed Allowance]]+tblPayroll[[#This Row],[THR / Bonus]]</f>
        <v>27000000</v>
      </c>
      <c r="L41" s="5">
        <f>ROUND(MIN(tblPayroll[[#This Row],[Basic Salary]]+tblPayroll[[#This Row],[Fixed Allowance]],BPJSKesCap)*R_KesEr,0)</f>
        <v>480000</v>
      </c>
      <c r="M41" s="5">
        <f>ROUND((tblPayroll[[#This Row],[Basic Salary]]+tblPayroll[[#This Row],[Fixed Allowance]])*R_JKK,0)</f>
        <v>32400</v>
      </c>
      <c r="N41" s="5">
        <f>ROUND((tblPayroll[[#This Row],[Basic Salary]]+tblPayroll[[#This Row],[Fixed Allowance]])*R_JKM,0)</f>
        <v>40500</v>
      </c>
      <c r="O41" s="5">
        <f>ROUND((tblPayroll[[#This Row],[Basic Salary]]+tblPayroll[[#This Row],[Fixed Allowance]])*R_JHTEr,0)</f>
        <v>499500</v>
      </c>
      <c r="P41" s="5">
        <f>ROUND(MIN(tblPayroll[[#This Row],[Basic Salary]]+tblPayroll[[#This Row],[Fixed Allowance]],JPCap)*R_JPEr,0)</f>
        <v>210948</v>
      </c>
      <c r="Q41" s="5">
        <f>SUM(tblPayroll[[#This Row],[BPJS Health (Er)]:[JP (Er)]])</f>
        <v>1263348</v>
      </c>
      <c r="R41" s="5">
        <f>tblPayroll[[#This Row],[Gross Salary]]+tblPayroll[[#This Row],[BPJS Health (Er)]]+tblPayroll[[#This Row],[JKK (Er)]]+tblPayroll[[#This Row],[JKM (Er)]]</f>
        <v>27552900</v>
      </c>
      <c r="S41" s="119">
        <f>IF(tblPayroll[[#This Row],[TER Cat]]="A",_xlfn.XLOOKUP(tblPayroll[[#This Row],[PPh 21 Base]],TerA_L,TerA_R,0,-1),IF(tblPayroll[[#This Row],[TER Cat]]="B",_xlfn.XLOOKUP(tblPayroll[[#This Row],[PPh 21 Base]],TerB_L,TerB_R,0,-1),_xlfn.XLOOKUP(tblPayroll[[#This Row],[PPh 21 Base]],TerC_L,TerC_R,0,-1)))</f>
        <v>0.11</v>
      </c>
      <c r="T41" s="5">
        <f>ROUND(tblPayroll[[#This Row],[PPh 21 Base]]*tblPayroll[[#This Row],[TER Rate]],0)</f>
        <v>3030819</v>
      </c>
      <c r="U41" s="5">
        <f>ROUND(MIN(tblPayroll[[#This Row],[Basic Salary]]+tblPayroll[[#This Row],[Fixed Allowance]],BPJSKesCap)*R_KesEe,0)</f>
        <v>120000</v>
      </c>
      <c r="V41" s="5">
        <f>ROUND((tblPayroll[[#This Row],[Basic Salary]]+tblPayroll[[#This Row],[Fixed Allowance]])*R_JHTEe,0)</f>
        <v>270000</v>
      </c>
      <c r="W41" s="5">
        <f>ROUND(MIN(tblPayroll[[#This Row],[Basic Salary]]+tblPayroll[[#This Row],[Fixed Allowance]],JPCap)*R_JPEe,0)</f>
        <v>105474</v>
      </c>
      <c r="X41" s="5">
        <f>tblPayroll[[#This Row],[BPJS Health (Ee)]]+tblPayroll[[#This Row],[JHT (Ee)]]+tblPayroll[[#This Row],[JP (Ee)]]</f>
        <v>495474</v>
      </c>
      <c r="Y41" s="5">
        <f>tblPayroll[[#This Row],[Gross Salary]]-tblPayroll[[#This Row],[PPh 21]]-tblPayroll[[#This Row],[Employee BPJS Total]]</f>
        <v>23473707</v>
      </c>
      <c r="Z41" s="5">
        <f>tblPayroll[[#This Row],[Employer BPJS Total]]+tblPayroll[[#This Row],[Employee BPJS Total]]</f>
        <v>1758822</v>
      </c>
      <c r="AA41" s="5">
        <f>tblPayroll[[#This Row],[Gross Salary]]+tblPayroll[[#This Row],[Employer BPJS Total]]</f>
        <v>28263348</v>
      </c>
      <c r="AB41" s="4">
        <v>1130</v>
      </c>
      <c r="AD41" s="5">
        <v>32400001</v>
      </c>
      <c r="AE41" s="119">
        <v>0.14000000000000001</v>
      </c>
      <c r="AF41" s="5">
        <v>49500001</v>
      </c>
      <c r="AG41" s="119">
        <v>0.18</v>
      </c>
      <c r="AH41" s="5">
        <v>47400001</v>
      </c>
      <c r="AI41" s="119">
        <v>0.17</v>
      </c>
    </row>
    <row r="42" spans="2:35" x14ac:dyDescent="0.35">
      <c r="B42" s="4">
        <v>3</v>
      </c>
      <c r="C42" s="113">
        <v>46106</v>
      </c>
      <c r="D42" s="4" t="s">
        <v>4798</v>
      </c>
      <c r="E42" s="1" t="str">
        <f>_xlfn.XLOOKUP(tblPayroll[[#This Row],[Employee ID]],tblEmployees[Employee ID],tblEmployees[Full Name],"")</f>
        <v>Andi Saputra</v>
      </c>
      <c r="F42" s="1" t="str">
        <f>_xlfn.XLOOKUP(tblPayroll[[#This Row],[Employee ID]],tblEmployees[Employee ID],tblEmployees[Department],"")</f>
        <v>G&amp;A</v>
      </c>
      <c r="G42" s="1" t="str">
        <f>_xlfn.XLOOKUP(tblPayroll[[#This Row],[Employee ID]],tblEmployees[Employee ID],tblEmployees[TER Category],"")</f>
        <v>A</v>
      </c>
      <c r="H42" s="5">
        <f>_xlfn.XLOOKUP(tblPayroll[[#This Row],[Employee ID]],tblEmployees[Employee ID],tblEmployees[Basic Salary],"")</f>
        <v>8500000</v>
      </c>
      <c r="I42" s="5">
        <f>_xlfn.XLOOKUP(tblPayroll[[#This Row],[Employee ID]],tblEmployees[Employee ID],tblEmployees[Fixed Allowance],"")</f>
        <v>1000000</v>
      </c>
      <c r="J42" s="6">
        <v>9500000</v>
      </c>
      <c r="K42" s="5">
        <f>tblPayroll[[#This Row],[Basic Salary]]+tblPayroll[[#This Row],[Fixed Allowance]]+tblPayroll[[#This Row],[THR / Bonus]]</f>
        <v>19000000</v>
      </c>
      <c r="L42" s="5">
        <f>ROUND(MIN(tblPayroll[[#This Row],[Basic Salary]]+tblPayroll[[#This Row],[Fixed Allowance]],BPJSKesCap)*R_KesEr,0)</f>
        <v>380000</v>
      </c>
      <c r="M42" s="5">
        <f>ROUND((tblPayroll[[#This Row],[Basic Salary]]+tblPayroll[[#This Row],[Fixed Allowance]])*R_JKK,0)</f>
        <v>22800</v>
      </c>
      <c r="N42" s="5">
        <f>ROUND((tblPayroll[[#This Row],[Basic Salary]]+tblPayroll[[#This Row],[Fixed Allowance]])*R_JKM,0)</f>
        <v>28500</v>
      </c>
      <c r="O42" s="5">
        <f>ROUND((tblPayroll[[#This Row],[Basic Salary]]+tblPayroll[[#This Row],[Fixed Allowance]])*R_JHTEr,0)</f>
        <v>351500</v>
      </c>
      <c r="P42" s="5">
        <f>ROUND(MIN(tblPayroll[[#This Row],[Basic Salary]]+tblPayroll[[#This Row],[Fixed Allowance]],JPCap)*R_JPEr,0)</f>
        <v>190000</v>
      </c>
      <c r="Q42" s="5">
        <f>SUM(tblPayroll[[#This Row],[BPJS Health (Er)]:[JP (Er)]])</f>
        <v>972800</v>
      </c>
      <c r="R42" s="5">
        <f>tblPayroll[[#This Row],[Gross Salary]]+tblPayroll[[#This Row],[BPJS Health (Er)]]+tblPayroll[[#This Row],[JKK (Er)]]+tblPayroll[[#This Row],[JKM (Er)]]</f>
        <v>19431300</v>
      </c>
      <c r="S42" s="119">
        <f>IF(tblPayroll[[#This Row],[TER Cat]]="A",_xlfn.XLOOKUP(tblPayroll[[#This Row],[PPh 21 Base]],TerA_L,TerA_R,0,-1),IF(tblPayroll[[#This Row],[TER Cat]]="B",_xlfn.XLOOKUP(tblPayroll[[#This Row],[PPh 21 Base]],TerB_L,TerB_R,0,-1),_xlfn.XLOOKUP(tblPayroll[[#This Row],[PPh 21 Base]],TerC_L,TerC_R,0,-1)))</f>
        <v>0.08</v>
      </c>
      <c r="T42" s="5">
        <f>ROUND(tblPayroll[[#This Row],[PPh 21 Base]]*tblPayroll[[#This Row],[TER Rate]],0)</f>
        <v>1554504</v>
      </c>
      <c r="U42" s="5">
        <f>ROUND(MIN(tblPayroll[[#This Row],[Basic Salary]]+tblPayroll[[#This Row],[Fixed Allowance]],BPJSKesCap)*R_KesEe,0)</f>
        <v>95000</v>
      </c>
      <c r="V42" s="5">
        <f>ROUND((tblPayroll[[#This Row],[Basic Salary]]+tblPayroll[[#This Row],[Fixed Allowance]])*R_JHTEe,0)</f>
        <v>190000</v>
      </c>
      <c r="W42" s="5">
        <f>ROUND(MIN(tblPayroll[[#This Row],[Basic Salary]]+tblPayroll[[#This Row],[Fixed Allowance]],JPCap)*R_JPEe,0)</f>
        <v>95000</v>
      </c>
      <c r="X42" s="5">
        <f>tblPayroll[[#This Row],[BPJS Health (Ee)]]+tblPayroll[[#This Row],[JHT (Ee)]]+tblPayroll[[#This Row],[JP (Ee)]]</f>
        <v>380000</v>
      </c>
      <c r="Y42" s="5">
        <f>tblPayroll[[#This Row],[Gross Salary]]-tblPayroll[[#This Row],[PPh 21]]-tblPayroll[[#This Row],[Employee BPJS Total]]</f>
        <v>17065496</v>
      </c>
      <c r="Z42" s="5">
        <f>tblPayroll[[#This Row],[Employer BPJS Total]]+tblPayroll[[#This Row],[Employee BPJS Total]]</f>
        <v>1352800</v>
      </c>
      <c r="AA42" s="5">
        <f>tblPayroll[[#This Row],[Gross Salary]]+tblPayroll[[#This Row],[Employer BPJS Total]]</f>
        <v>19972800</v>
      </c>
      <c r="AB42" s="4">
        <v>1130</v>
      </c>
      <c r="AD42" s="5">
        <v>35400001</v>
      </c>
      <c r="AE42" s="119">
        <v>0.15</v>
      </c>
      <c r="AF42" s="5">
        <v>53800001</v>
      </c>
      <c r="AG42" s="119">
        <v>0.19</v>
      </c>
      <c r="AH42" s="5">
        <v>51200001</v>
      </c>
      <c r="AI42" s="119">
        <v>0.18</v>
      </c>
    </row>
    <row r="43" spans="2:35" x14ac:dyDescent="0.35">
      <c r="B43" s="4">
        <v>3</v>
      </c>
      <c r="C43" s="113">
        <v>46106</v>
      </c>
      <c r="D43" s="4" t="s">
        <v>4803</v>
      </c>
      <c r="E43" s="1" t="str">
        <f>_xlfn.XLOOKUP(tblPayroll[[#This Row],[Employee ID]],tblEmployees[Employee ID],tblEmployees[Full Name],"")</f>
        <v>Fitri Handayani</v>
      </c>
      <c r="F43" s="1" t="str">
        <f>_xlfn.XLOOKUP(tblPayroll[[#This Row],[Employee ID]],tblEmployees[Employee ID],tblEmployees[Department],"")</f>
        <v>G&amp;A</v>
      </c>
      <c r="G43" s="1" t="str">
        <f>_xlfn.XLOOKUP(tblPayroll[[#This Row],[Employee ID]],tblEmployees[Employee ID],tblEmployees[TER Category],"")</f>
        <v>A</v>
      </c>
      <c r="H43" s="5">
        <f>_xlfn.XLOOKUP(tblPayroll[[#This Row],[Employee ID]],tblEmployees[Employee ID],tblEmployees[Basic Salary],"")</f>
        <v>8000000</v>
      </c>
      <c r="I43" s="5">
        <f>_xlfn.XLOOKUP(tblPayroll[[#This Row],[Employee ID]],tblEmployees[Employee ID],tblEmployees[Fixed Allowance],"")</f>
        <v>1000000</v>
      </c>
      <c r="J43" s="6">
        <v>9000000</v>
      </c>
      <c r="K43" s="5">
        <f>tblPayroll[[#This Row],[Basic Salary]]+tblPayroll[[#This Row],[Fixed Allowance]]+tblPayroll[[#This Row],[THR / Bonus]]</f>
        <v>18000000</v>
      </c>
      <c r="L43" s="5">
        <f>ROUND(MIN(tblPayroll[[#This Row],[Basic Salary]]+tblPayroll[[#This Row],[Fixed Allowance]],BPJSKesCap)*R_KesEr,0)</f>
        <v>360000</v>
      </c>
      <c r="M43" s="5">
        <f>ROUND((tblPayroll[[#This Row],[Basic Salary]]+tblPayroll[[#This Row],[Fixed Allowance]])*R_JKK,0)</f>
        <v>21600</v>
      </c>
      <c r="N43" s="5">
        <f>ROUND((tblPayroll[[#This Row],[Basic Salary]]+tblPayroll[[#This Row],[Fixed Allowance]])*R_JKM,0)</f>
        <v>27000</v>
      </c>
      <c r="O43" s="5">
        <f>ROUND((tblPayroll[[#This Row],[Basic Salary]]+tblPayroll[[#This Row],[Fixed Allowance]])*R_JHTEr,0)</f>
        <v>333000</v>
      </c>
      <c r="P43" s="5">
        <f>ROUND(MIN(tblPayroll[[#This Row],[Basic Salary]]+tblPayroll[[#This Row],[Fixed Allowance]],JPCap)*R_JPEr,0)</f>
        <v>180000</v>
      </c>
      <c r="Q43" s="5">
        <f>SUM(tblPayroll[[#This Row],[BPJS Health (Er)]:[JP (Er)]])</f>
        <v>921600</v>
      </c>
      <c r="R43" s="5">
        <f>tblPayroll[[#This Row],[Gross Salary]]+tblPayroll[[#This Row],[BPJS Health (Er)]]+tblPayroll[[#This Row],[JKK (Er)]]+tblPayroll[[#This Row],[JKM (Er)]]</f>
        <v>18408600</v>
      </c>
      <c r="S43" s="119">
        <f>IF(tblPayroll[[#This Row],[TER Cat]]="A",_xlfn.XLOOKUP(tblPayroll[[#This Row],[PPh 21 Base]],TerA_L,TerA_R,0,-1),IF(tblPayroll[[#This Row],[TER Cat]]="B",_xlfn.XLOOKUP(tblPayroll[[#This Row],[PPh 21 Base]],TerB_L,TerB_R,0,-1),_xlfn.XLOOKUP(tblPayroll[[#This Row],[PPh 21 Base]],TerC_L,TerC_R,0,-1)))</f>
        <v>0.08</v>
      </c>
      <c r="T43" s="5">
        <f>ROUND(tblPayroll[[#This Row],[PPh 21 Base]]*tblPayroll[[#This Row],[TER Rate]],0)</f>
        <v>1472688</v>
      </c>
      <c r="U43" s="5">
        <f>ROUND(MIN(tblPayroll[[#This Row],[Basic Salary]]+tblPayroll[[#This Row],[Fixed Allowance]],BPJSKesCap)*R_KesEe,0)</f>
        <v>90000</v>
      </c>
      <c r="V43" s="5">
        <f>ROUND((tblPayroll[[#This Row],[Basic Salary]]+tblPayroll[[#This Row],[Fixed Allowance]])*R_JHTEe,0)</f>
        <v>180000</v>
      </c>
      <c r="W43" s="5">
        <f>ROUND(MIN(tblPayroll[[#This Row],[Basic Salary]]+tblPayroll[[#This Row],[Fixed Allowance]],JPCap)*R_JPEe,0)</f>
        <v>90000</v>
      </c>
      <c r="X43" s="5">
        <f>tblPayroll[[#This Row],[BPJS Health (Ee)]]+tblPayroll[[#This Row],[JHT (Ee)]]+tblPayroll[[#This Row],[JP (Ee)]]</f>
        <v>360000</v>
      </c>
      <c r="Y43" s="5">
        <f>tblPayroll[[#This Row],[Gross Salary]]-tblPayroll[[#This Row],[PPh 21]]-tblPayroll[[#This Row],[Employee BPJS Total]]</f>
        <v>16167312</v>
      </c>
      <c r="Z43" s="5">
        <f>tblPayroll[[#This Row],[Employer BPJS Total]]+tblPayroll[[#This Row],[Employee BPJS Total]]</f>
        <v>1281600</v>
      </c>
      <c r="AA43" s="5">
        <f>tblPayroll[[#This Row],[Gross Salary]]+tblPayroll[[#This Row],[Employer BPJS Total]]</f>
        <v>18921600</v>
      </c>
      <c r="AB43" s="4">
        <v>1130</v>
      </c>
      <c r="AD43" s="5">
        <v>39100001</v>
      </c>
      <c r="AE43" s="119">
        <v>0.16</v>
      </c>
      <c r="AF43" s="5">
        <v>58500001</v>
      </c>
      <c r="AG43" s="119">
        <v>0.2</v>
      </c>
      <c r="AH43" s="5">
        <v>55800001</v>
      </c>
      <c r="AI43" s="119">
        <v>0.19</v>
      </c>
    </row>
    <row r="44" spans="2:35" x14ac:dyDescent="0.35">
      <c r="B44" s="4">
        <v>3</v>
      </c>
      <c r="C44" s="113">
        <v>46106</v>
      </c>
      <c r="D44" s="4" t="s">
        <v>4809</v>
      </c>
      <c r="E44" s="1" t="str">
        <f>_xlfn.XLOOKUP(tblPayroll[[#This Row],[Employee ID]],tblEmployees[Employee ID],tblEmployees[Full Name],"")</f>
        <v>Rizky Ramadhan</v>
      </c>
      <c r="F44" s="1" t="str">
        <f>_xlfn.XLOOKUP(tblPayroll[[#This Row],[Employee ID]],tblEmployees[Employee ID],tblEmployees[Department],"")</f>
        <v>Selling</v>
      </c>
      <c r="G44" s="1" t="str">
        <f>_xlfn.XLOOKUP(tblPayroll[[#This Row],[Employee ID]],tblEmployees[Employee ID],tblEmployees[TER Category],"")</f>
        <v>A</v>
      </c>
      <c r="H44" s="5">
        <f>_xlfn.XLOOKUP(tblPayroll[[#This Row],[Employee ID]],tblEmployees[Employee ID],tblEmployees[Basic Salary],"")</f>
        <v>9000000</v>
      </c>
      <c r="I44" s="5">
        <f>_xlfn.XLOOKUP(tblPayroll[[#This Row],[Employee ID]],tblEmployees[Employee ID],tblEmployees[Fixed Allowance],"")</f>
        <v>1500000</v>
      </c>
      <c r="J44" s="6">
        <v>10500000</v>
      </c>
      <c r="K44" s="5">
        <f>tblPayroll[[#This Row],[Basic Salary]]+tblPayroll[[#This Row],[Fixed Allowance]]+tblPayroll[[#This Row],[THR / Bonus]]</f>
        <v>21000000</v>
      </c>
      <c r="L44" s="5">
        <f>ROUND(MIN(tblPayroll[[#This Row],[Basic Salary]]+tblPayroll[[#This Row],[Fixed Allowance]],BPJSKesCap)*R_KesEr,0)</f>
        <v>420000</v>
      </c>
      <c r="M44" s="5">
        <f>ROUND((tblPayroll[[#This Row],[Basic Salary]]+tblPayroll[[#This Row],[Fixed Allowance]])*R_JKK,0)</f>
        <v>25200</v>
      </c>
      <c r="N44" s="5">
        <f>ROUND((tblPayroll[[#This Row],[Basic Salary]]+tblPayroll[[#This Row],[Fixed Allowance]])*R_JKM,0)</f>
        <v>31500</v>
      </c>
      <c r="O44" s="5">
        <f>ROUND((tblPayroll[[#This Row],[Basic Salary]]+tblPayroll[[#This Row],[Fixed Allowance]])*R_JHTEr,0)</f>
        <v>388500</v>
      </c>
      <c r="P44" s="5">
        <f>ROUND(MIN(tblPayroll[[#This Row],[Basic Salary]]+tblPayroll[[#This Row],[Fixed Allowance]],JPCap)*R_JPEr,0)</f>
        <v>210000</v>
      </c>
      <c r="Q44" s="5">
        <f>SUM(tblPayroll[[#This Row],[BPJS Health (Er)]:[JP (Er)]])</f>
        <v>1075200</v>
      </c>
      <c r="R44" s="5">
        <f>tblPayroll[[#This Row],[Gross Salary]]+tblPayroll[[#This Row],[BPJS Health (Er)]]+tblPayroll[[#This Row],[JKK (Er)]]+tblPayroll[[#This Row],[JKM (Er)]]</f>
        <v>21476700</v>
      </c>
      <c r="S44" s="119">
        <f>IF(tblPayroll[[#This Row],[TER Cat]]="A",_xlfn.XLOOKUP(tblPayroll[[#This Row],[PPh 21 Base]],TerA_L,TerA_R,0,-1),IF(tblPayroll[[#This Row],[TER Cat]]="B",_xlfn.XLOOKUP(tblPayroll[[#This Row],[PPh 21 Base]],TerB_L,TerB_R,0,-1),_xlfn.XLOOKUP(tblPayroll[[#This Row],[PPh 21 Base]],TerC_L,TerC_R,0,-1)))</f>
        <v>0.09</v>
      </c>
      <c r="T44" s="5">
        <f>ROUND(tblPayroll[[#This Row],[PPh 21 Base]]*tblPayroll[[#This Row],[TER Rate]],0)</f>
        <v>1932903</v>
      </c>
      <c r="U44" s="5">
        <f>ROUND(MIN(tblPayroll[[#This Row],[Basic Salary]]+tblPayroll[[#This Row],[Fixed Allowance]],BPJSKesCap)*R_KesEe,0)</f>
        <v>105000</v>
      </c>
      <c r="V44" s="5">
        <f>ROUND((tblPayroll[[#This Row],[Basic Salary]]+tblPayroll[[#This Row],[Fixed Allowance]])*R_JHTEe,0)</f>
        <v>210000</v>
      </c>
      <c r="W44" s="5">
        <f>ROUND(MIN(tblPayroll[[#This Row],[Basic Salary]]+tblPayroll[[#This Row],[Fixed Allowance]],JPCap)*R_JPEe,0)</f>
        <v>105000</v>
      </c>
      <c r="X44" s="5">
        <f>tblPayroll[[#This Row],[BPJS Health (Ee)]]+tblPayroll[[#This Row],[JHT (Ee)]]+tblPayroll[[#This Row],[JP (Ee)]]</f>
        <v>420000</v>
      </c>
      <c r="Y44" s="5">
        <f>tblPayroll[[#This Row],[Gross Salary]]-tblPayroll[[#This Row],[PPh 21]]-tblPayroll[[#This Row],[Employee BPJS Total]]</f>
        <v>18647097</v>
      </c>
      <c r="Z44" s="5">
        <f>tblPayroll[[#This Row],[Employer BPJS Total]]+tblPayroll[[#This Row],[Employee BPJS Total]]</f>
        <v>1495200</v>
      </c>
      <c r="AA44" s="5">
        <f>tblPayroll[[#This Row],[Gross Salary]]+tblPayroll[[#This Row],[Employer BPJS Total]]</f>
        <v>22075200</v>
      </c>
      <c r="AB44" s="4">
        <v>1130</v>
      </c>
      <c r="AD44" s="5">
        <v>43850001</v>
      </c>
      <c r="AE44" s="119">
        <v>0.17</v>
      </c>
      <c r="AF44" s="5">
        <v>64000001</v>
      </c>
      <c r="AG44" s="119">
        <v>0.21</v>
      </c>
      <c r="AH44" s="5">
        <v>60400001</v>
      </c>
      <c r="AI44" s="119">
        <v>0.2</v>
      </c>
    </row>
    <row r="45" spans="2:35" x14ac:dyDescent="0.35">
      <c r="B45" s="4">
        <v>3</v>
      </c>
      <c r="C45" s="113">
        <v>46106</v>
      </c>
      <c r="D45" s="4" t="s">
        <v>4814</v>
      </c>
      <c r="E45" s="1" t="str">
        <f>_xlfn.XLOOKUP(tblPayroll[[#This Row],[Employee ID]],tblEmployees[Employee ID],tblEmployees[Full Name],"")</f>
        <v>Nadia Putri</v>
      </c>
      <c r="F45" s="1" t="str">
        <f>_xlfn.XLOOKUP(tblPayroll[[#This Row],[Employee ID]],tblEmployees[Employee ID],tblEmployees[Department],"")</f>
        <v>Selling</v>
      </c>
      <c r="G45" s="1" t="str">
        <f>_xlfn.XLOOKUP(tblPayroll[[#This Row],[Employee ID]],tblEmployees[Employee ID],tblEmployees[TER Category],"")</f>
        <v>A</v>
      </c>
      <c r="H45" s="5">
        <f>_xlfn.XLOOKUP(tblPayroll[[#This Row],[Employee ID]],tblEmployees[Employee ID],tblEmployees[Basic Salary],"")</f>
        <v>5800000</v>
      </c>
      <c r="I45" s="5">
        <f>_xlfn.XLOOKUP(tblPayroll[[#This Row],[Employee ID]],tblEmployees[Employee ID],tblEmployees[Fixed Allowance],"")</f>
        <v>700000</v>
      </c>
      <c r="J45" s="6">
        <v>6500000</v>
      </c>
      <c r="K45" s="5">
        <f>tblPayroll[[#This Row],[Basic Salary]]+tblPayroll[[#This Row],[Fixed Allowance]]+tblPayroll[[#This Row],[THR / Bonus]]</f>
        <v>13000000</v>
      </c>
      <c r="L45" s="5">
        <f>ROUND(MIN(tblPayroll[[#This Row],[Basic Salary]]+tblPayroll[[#This Row],[Fixed Allowance]],BPJSKesCap)*R_KesEr,0)</f>
        <v>260000</v>
      </c>
      <c r="M45" s="5">
        <f>ROUND((tblPayroll[[#This Row],[Basic Salary]]+tblPayroll[[#This Row],[Fixed Allowance]])*R_JKK,0)</f>
        <v>15600</v>
      </c>
      <c r="N45" s="5">
        <f>ROUND((tblPayroll[[#This Row],[Basic Salary]]+tblPayroll[[#This Row],[Fixed Allowance]])*R_JKM,0)</f>
        <v>19500</v>
      </c>
      <c r="O45" s="5">
        <f>ROUND((tblPayroll[[#This Row],[Basic Salary]]+tblPayroll[[#This Row],[Fixed Allowance]])*R_JHTEr,0)</f>
        <v>240500</v>
      </c>
      <c r="P45" s="5">
        <f>ROUND(MIN(tblPayroll[[#This Row],[Basic Salary]]+tblPayroll[[#This Row],[Fixed Allowance]],JPCap)*R_JPEr,0)</f>
        <v>130000</v>
      </c>
      <c r="Q45" s="5">
        <f>SUM(tblPayroll[[#This Row],[BPJS Health (Er)]:[JP (Er)]])</f>
        <v>665600</v>
      </c>
      <c r="R45" s="5">
        <f>tblPayroll[[#This Row],[Gross Salary]]+tblPayroll[[#This Row],[BPJS Health (Er)]]+tblPayroll[[#This Row],[JKK (Er)]]+tblPayroll[[#This Row],[JKM (Er)]]</f>
        <v>13295100</v>
      </c>
      <c r="S45" s="119">
        <f>IF(tblPayroll[[#This Row],[TER Cat]]="A",_xlfn.XLOOKUP(tblPayroll[[#This Row],[PPh 21 Base]],TerA_L,TerA_R,0,-1),IF(tblPayroll[[#This Row],[TER Cat]]="B",_xlfn.XLOOKUP(tblPayroll[[#This Row],[PPh 21 Base]],TerB_L,TerB_R,0,-1),_xlfn.XLOOKUP(tblPayroll[[#This Row],[PPh 21 Base]],TerC_L,TerC_R,0,-1)))</f>
        <v>0.05</v>
      </c>
      <c r="T45" s="5">
        <f>ROUND(tblPayroll[[#This Row],[PPh 21 Base]]*tblPayroll[[#This Row],[TER Rate]],0)</f>
        <v>664755</v>
      </c>
      <c r="U45" s="5">
        <f>ROUND(MIN(tblPayroll[[#This Row],[Basic Salary]]+tblPayroll[[#This Row],[Fixed Allowance]],BPJSKesCap)*R_KesEe,0)</f>
        <v>65000</v>
      </c>
      <c r="V45" s="5">
        <f>ROUND((tblPayroll[[#This Row],[Basic Salary]]+tblPayroll[[#This Row],[Fixed Allowance]])*R_JHTEe,0)</f>
        <v>130000</v>
      </c>
      <c r="W45" s="5">
        <f>ROUND(MIN(tblPayroll[[#This Row],[Basic Salary]]+tblPayroll[[#This Row],[Fixed Allowance]],JPCap)*R_JPEe,0)</f>
        <v>65000</v>
      </c>
      <c r="X45" s="5">
        <f>tblPayroll[[#This Row],[BPJS Health (Ee)]]+tblPayroll[[#This Row],[JHT (Ee)]]+tblPayroll[[#This Row],[JP (Ee)]]</f>
        <v>260000</v>
      </c>
      <c r="Y45" s="5">
        <f>tblPayroll[[#This Row],[Gross Salary]]-tblPayroll[[#This Row],[PPh 21]]-tblPayroll[[#This Row],[Employee BPJS Total]]</f>
        <v>12075245</v>
      </c>
      <c r="Z45" s="5">
        <f>tblPayroll[[#This Row],[Employer BPJS Total]]+tblPayroll[[#This Row],[Employee BPJS Total]]</f>
        <v>925600</v>
      </c>
      <c r="AA45" s="5">
        <f>tblPayroll[[#This Row],[Gross Salary]]+tblPayroll[[#This Row],[Employer BPJS Total]]</f>
        <v>13665600</v>
      </c>
      <c r="AB45" s="4">
        <v>1130</v>
      </c>
      <c r="AD45" s="5">
        <v>47800001</v>
      </c>
      <c r="AE45" s="119">
        <v>0.18</v>
      </c>
      <c r="AF45" s="5">
        <v>71000001</v>
      </c>
      <c r="AG45" s="119">
        <v>0.22</v>
      </c>
      <c r="AH45" s="5">
        <v>66700001</v>
      </c>
      <c r="AI45" s="119">
        <v>0.21</v>
      </c>
    </row>
    <row r="46" spans="2:35" x14ac:dyDescent="0.35">
      <c r="B46" s="4">
        <v>3</v>
      </c>
      <c r="C46" s="113">
        <v>46106</v>
      </c>
      <c r="D46" s="4" t="s">
        <v>4819</v>
      </c>
      <c r="E46" s="1" t="str">
        <f>_xlfn.XLOOKUP(tblPayroll[[#This Row],[Employee ID]],tblEmployees[Employee ID],tblEmployees[Full Name],"")</f>
        <v>Dimas Pratama</v>
      </c>
      <c r="F46" s="1" t="str">
        <f>_xlfn.XLOOKUP(tblPayroll[[#This Row],[Employee ID]],tblEmployees[Employee ID],tblEmployees[Department],"")</f>
        <v>Selling</v>
      </c>
      <c r="G46" s="1" t="str">
        <f>_xlfn.XLOOKUP(tblPayroll[[#This Row],[Employee ID]],tblEmployees[Employee ID],tblEmployees[TER Category],"")</f>
        <v>A</v>
      </c>
      <c r="H46" s="5">
        <f>_xlfn.XLOOKUP(tblPayroll[[#This Row],[Employee ID]],tblEmployees[Employee ID],tblEmployees[Basic Salary],"")</f>
        <v>5800000</v>
      </c>
      <c r="I46" s="5">
        <f>_xlfn.XLOOKUP(tblPayroll[[#This Row],[Employee ID]],tblEmployees[Employee ID],tblEmployees[Fixed Allowance],"")</f>
        <v>700000</v>
      </c>
      <c r="J46" s="6">
        <v>6500000</v>
      </c>
      <c r="K46" s="5">
        <f>tblPayroll[[#This Row],[Basic Salary]]+tblPayroll[[#This Row],[Fixed Allowance]]+tblPayroll[[#This Row],[THR / Bonus]]</f>
        <v>13000000</v>
      </c>
      <c r="L46" s="5">
        <f>ROUND(MIN(tblPayroll[[#This Row],[Basic Salary]]+tblPayroll[[#This Row],[Fixed Allowance]],BPJSKesCap)*R_KesEr,0)</f>
        <v>260000</v>
      </c>
      <c r="M46" s="5">
        <f>ROUND((tblPayroll[[#This Row],[Basic Salary]]+tblPayroll[[#This Row],[Fixed Allowance]])*R_JKK,0)</f>
        <v>15600</v>
      </c>
      <c r="N46" s="5">
        <f>ROUND((tblPayroll[[#This Row],[Basic Salary]]+tblPayroll[[#This Row],[Fixed Allowance]])*R_JKM,0)</f>
        <v>19500</v>
      </c>
      <c r="O46" s="5">
        <f>ROUND((tblPayroll[[#This Row],[Basic Salary]]+tblPayroll[[#This Row],[Fixed Allowance]])*R_JHTEr,0)</f>
        <v>240500</v>
      </c>
      <c r="P46" s="5">
        <f>ROUND(MIN(tblPayroll[[#This Row],[Basic Salary]]+tblPayroll[[#This Row],[Fixed Allowance]],JPCap)*R_JPEr,0)</f>
        <v>130000</v>
      </c>
      <c r="Q46" s="5">
        <f>SUM(tblPayroll[[#This Row],[BPJS Health (Er)]:[JP (Er)]])</f>
        <v>665600</v>
      </c>
      <c r="R46" s="5">
        <f>tblPayroll[[#This Row],[Gross Salary]]+tblPayroll[[#This Row],[BPJS Health (Er)]]+tblPayroll[[#This Row],[JKK (Er)]]+tblPayroll[[#This Row],[JKM (Er)]]</f>
        <v>13295100</v>
      </c>
      <c r="S46" s="119">
        <f>IF(tblPayroll[[#This Row],[TER Cat]]="A",_xlfn.XLOOKUP(tblPayroll[[#This Row],[PPh 21 Base]],TerA_L,TerA_R,0,-1),IF(tblPayroll[[#This Row],[TER Cat]]="B",_xlfn.XLOOKUP(tblPayroll[[#This Row],[PPh 21 Base]],TerB_L,TerB_R,0,-1),_xlfn.XLOOKUP(tblPayroll[[#This Row],[PPh 21 Base]],TerC_L,TerC_R,0,-1)))</f>
        <v>0.05</v>
      </c>
      <c r="T46" s="5">
        <f>ROUND(tblPayroll[[#This Row],[PPh 21 Base]]*tblPayroll[[#This Row],[TER Rate]],0)</f>
        <v>664755</v>
      </c>
      <c r="U46" s="5">
        <f>ROUND(MIN(tblPayroll[[#This Row],[Basic Salary]]+tblPayroll[[#This Row],[Fixed Allowance]],BPJSKesCap)*R_KesEe,0)</f>
        <v>65000</v>
      </c>
      <c r="V46" s="5">
        <f>ROUND((tblPayroll[[#This Row],[Basic Salary]]+tblPayroll[[#This Row],[Fixed Allowance]])*R_JHTEe,0)</f>
        <v>130000</v>
      </c>
      <c r="W46" s="5">
        <f>ROUND(MIN(tblPayroll[[#This Row],[Basic Salary]]+tblPayroll[[#This Row],[Fixed Allowance]],JPCap)*R_JPEe,0)</f>
        <v>65000</v>
      </c>
      <c r="X46" s="5">
        <f>tblPayroll[[#This Row],[BPJS Health (Ee)]]+tblPayroll[[#This Row],[JHT (Ee)]]+tblPayroll[[#This Row],[JP (Ee)]]</f>
        <v>260000</v>
      </c>
      <c r="Y46" s="5">
        <f>tblPayroll[[#This Row],[Gross Salary]]-tblPayroll[[#This Row],[PPh 21]]-tblPayroll[[#This Row],[Employee BPJS Total]]</f>
        <v>12075245</v>
      </c>
      <c r="Z46" s="5">
        <f>tblPayroll[[#This Row],[Employer BPJS Total]]+tblPayroll[[#This Row],[Employee BPJS Total]]</f>
        <v>925600</v>
      </c>
      <c r="AA46" s="5">
        <f>tblPayroll[[#This Row],[Gross Salary]]+tblPayroll[[#This Row],[Employer BPJS Total]]</f>
        <v>13665600</v>
      </c>
      <c r="AB46" s="4">
        <v>1130</v>
      </c>
      <c r="AD46" s="5">
        <v>51400001</v>
      </c>
      <c r="AE46" s="119">
        <v>0.19</v>
      </c>
      <c r="AF46" s="5">
        <v>80000001</v>
      </c>
      <c r="AG46" s="119">
        <v>0.23</v>
      </c>
      <c r="AH46" s="5">
        <v>74500001</v>
      </c>
      <c r="AI46" s="119">
        <v>0.22</v>
      </c>
    </row>
    <row r="47" spans="2:35" x14ac:dyDescent="0.35">
      <c r="B47" s="4">
        <v>3</v>
      </c>
      <c r="C47" s="113">
        <v>46106</v>
      </c>
      <c r="D47" s="4" t="s">
        <v>4823</v>
      </c>
      <c r="E47" s="1" t="str">
        <f>_xlfn.XLOOKUP(tblPayroll[[#This Row],[Employee ID]],tblEmployees[Employee ID],tblEmployees[Full Name],"")</f>
        <v>Yusuf Hidayat</v>
      </c>
      <c r="F47" s="1" t="str">
        <f>_xlfn.XLOOKUP(tblPayroll[[#This Row],[Employee ID]],tblEmployees[Employee ID],tblEmployees[Department],"")</f>
        <v>Selling</v>
      </c>
      <c r="G47" s="1" t="str">
        <f>_xlfn.XLOOKUP(tblPayroll[[#This Row],[Employee ID]],tblEmployees[Employee ID],tblEmployees[TER Category],"")</f>
        <v>B</v>
      </c>
      <c r="H47" s="5">
        <f>_xlfn.XLOOKUP(tblPayroll[[#This Row],[Employee ID]],tblEmployees[Employee ID],tblEmployees[Basic Salary],"")</f>
        <v>7500000</v>
      </c>
      <c r="I47" s="5">
        <f>_xlfn.XLOOKUP(tblPayroll[[#This Row],[Employee ID]],tblEmployees[Employee ID],tblEmployees[Fixed Allowance],"")</f>
        <v>1000000</v>
      </c>
      <c r="J47" s="6">
        <v>8500000</v>
      </c>
      <c r="K47" s="5">
        <f>tblPayroll[[#This Row],[Basic Salary]]+tblPayroll[[#This Row],[Fixed Allowance]]+tblPayroll[[#This Row],[THR / Bonus]]</f>
        <v>17000000</v>
      </c>
      <c r="L47" s="5">
        <f>ROUND(MIN(tblPayroll[[#This Row],[Basic Salary]]+tblPayroll[[#This Row],[Fixed Allowance]],BPJSKesCap)*R_KesEr,0)</f>
        <v>340000</v>
      </c>
      <c r="M47" s="5">
        <f>ROUND((tblPayroll[[#This Row],[Basic Salary]]+tblPayroll[[#This Row],[Fixed Allowance]])*R_JKK,0)</f>
        <v>20400</v>
      </c>
      <c r="N47" s="5">
        <f>ROUND((tblPayroll[[#This Row],[Basic Salary]]+tblPayroll[[#This Row],[Fixed Allowance]])*R_JKM,0)</f>
        <v>25500</v>
      </c>
      <c r="O47" s="5">
        <f>ROUND((tblPayroll[[#This Row],[Basic Salary]]+tblPayroll[[#This Row],[Fixed Allowance]])*R_JHTEr,0)</f>
        <v>314500</v>
      </c>
      <c r="P47" s="5">
        <f>ROUND(MIN(tblPayroll[[#This Row],[Basic Salary]]+tblPayroll[[#This Row],[Fixed Allowance]],JPCap)*R_JPEr,0)</f>
        <v>170000</v>
      </c>
      <c r="Q47" s="5">
        <f>SUM(tblPayroll[[#This Row],[BPJS Health (Er)]:[JP (Er)]])</f>
        <v>870400</v>
      </c>
      <c r="R47" s="5">
        <f>tblPayroll[[#This Row],[Gross Salary]]+tblPayroll[[#This Row],[BPJS Health (Er)]]+tblPayroll[[#This Row],[JKK (Er)]]+tblPayroll[[#This Row],[JKM (Er)]]</f>
        <v>17385900</v>
      </c>
      <c r="S47" s="119">
        <f>IF(tblPayroll[[#This Row],[TER Cat]]="A",_xlfn.XLOOKUP(tblPayroll[[#This Row],[PPh 21 Base]],TerA_L,TerA_R,0,-1),IF(tblPayroll[[#This Row],[TER Cat]]="B",_xlfn.XLOOKUP(tblPayroll[[#This Row],[PPh 21 Base]],TerB_L,TerB_R,0,-1),_xlfn.XLOOKUP(tblPayroll[[#This Row],[PPh 21 Base]],TerC_L,TerC_R,0,-1)))</f>
        <v>7.0000000000000007E-2</v>
      </c>
      <c r="T47" s="5">
        <f>ROUND(tblPayroll[[#This Row],[PPh 21 Base]]*tblPayroll[[#This Row],[TER Rate]],0)</f>
        <v>1217013</v>
      </c>
      <c r="U47" s="5">
        <f>ROUND(MIN(tblPayroll[[#This Row],[Basic Salary]]+tblPayroll[[#This Row],[Fixed Allowance]],BPJSKesCap)*R_KesEe,0)</f>
        <v>85000</v>
      </c>
      <c r="V47" s="5">
        <f>ROUND((tblPayroll[[#This Row],[Basic Salary]]+tblPayroll[[#This Row],[Fixed Allowance]])*R_JHTEe,0)</f>
        <v>170000</v>
      </c>
      <c r="W47" s="5">
        <f>ROUND(MIN(tblPayroll[[#This Row],[Basic Salary]]+tblPayroll[[#This Row],[Fixed Allowance]],JPCap)*R_JPEe,0)</f>
        <v>85000</v>
      </c>
      <c r="X47" s="5">
        <f>tblPayroll[[#This Row],[BPJS Health (Ee)]]+tblPayroll[[#This Row],[JHT (Ee)]]+tblPayroll[[#This Row],[JP (Ee)]]</f>
        <v>340000</v>
      </c>
      <c r="Y47" s="5">
        <f>tblPayroll[[#This Row],[Gross Salary]]-tblPayroll[[#This Row],[PPh 21]]-tblPayroll[[#This Row],[Employee BPJS Total]]</f>
        <v>15442987</v>
      </c>
      <c r="Z47" s="5">
        <f>tblPayroll[[#This Row],[Employer BPJS Total]]+tblPayroll[[#This Row],[Employee BPJS Total]]</f>
        <v>1210400</v>
      </c>
      <c r="AA47" s="5">
        <f>tblPayroll[[#This Row],[Gross Salary]]+tblPayroll[[#This Row],[Employer BPJS Total]]</f>
        <v>17870400</v>
      </c>
      <c r="AB47" s="4">
        <v>1130</v>
      </c>
      <c r="AD47" s="5">
        <v>56300001</v>
      </c>
      <c r="AE47" s="119">
        <v>0.2</v>
      </c>
      <c r="AF47" s="5">
        <v>93000001</v>
      </c>
      <c r="AG47" s="119">
        <v>0.24</v>
      </c>
      <c r="AH47" s="5">
        <v>83200001</v>
      </c>
      <c r="AI47" s="119">
        <v>0.23</v>
      </c>
    </row>
    <row r="48" spans="2:35" x14ac:dyDescent="0.35">
      <c r="B48" s="4">
        <v>3</v>
      </c>
      <c r="C48" s="113">
        <v>46106</v>
      </c>
      <c r="D48" s="4" t="s">
        <v>4828</v>
      </c>
      <c r="E48" s="1" t="str">
        <f>_xlfn.XLOOKUP(tblPayroll[[#This Row],[Employee ID]],tblEmployees[Employee ID],tblEmployees[Full Name],"")</f>
        <v>Lestari Wulandari</v>
      </c>
      <c r="F48" s="1" t="str">
        <f>_xlfn.XLOOKUP(tblPayroll[[#This Row],[Employee ID]],tblEmployees[Employee ID],tblEmployees[Department],"")</f>
        <v>Selling</v>
      </c>
      <c r="G48" s="1" t="str">
        <f>_xlfn.XLOOKUP(tblPayroll[[#This Row],[Employee ID]],tblEmployees[Employee ID],tblEmployees[TER Category],"")</f>
        <v>A</v>
      </c>
      <c r="H48" s="5">
        <f>_xlfn.XLOOKUP(tblPayroll[[#This Row],[Employee ID]],tblEmployees[Employee ID],tblEmployees[Basic Salary],"")</f>
        <v>5600000</v>
      </c>
      <c r="I48" s="5">
        <f>_xlfn.XLOOKUP(tblPayroll[[#This Row],[Employee ID]],tblEmployees[Employee ID],tblEmployees[Fixed Allowance],"")</f>
        <v>600000</v>
      </c>
      <c r="J48" s="6">
        <v>6200000</v>
      </c>
      <c r="K48" s="5">
        <f>tblPayroll[[#This Row],[Basic Salary]]+tblPayroll[[#This Row],[Fixed Allowance]]+tblPayroll[[#This Row],[THR / Bonus]]</f>
        <v>12400000</v>
      </c>
      <c r="L48" s="5">
        <f>ROUND(MIN(tblPayroll[[#This Row],[Basic Salary]]+tblPayroll[[#This Row],[Fixed Allowance]],BPJSKesCap)*R_KesEr,0)</f>
        <v>248000</v>
      </c>
      <c r="M48" s="5">
        <f>ROUND((tblPayroll[[#This Row],[Basic Salary]]+tblPayroll[[#This Row],[Fixed Allowance]])*R_JKK,0)</f>
        <v>14880</v>
      </c>
      <c r="N48" s="5">
        <f>ROUND((tblPayroll[[#This Row],[Basic Salary]]+tblPayroll[[#This Row],[Fixed Allowance]])*R_JKM,0)</f>
        <v>18600</v>
      </c>
      <c r="O48" s="5">
        <f>ROUND((tblPayroll[[#This Row],[Basic Salary]]+tblPayroll[[#This Row],[Fixed Allowance]])*R_JHTEr,0)</f>
        <v>229400</v>
      </c>
      <c r="P48" s="5">
        <f>ROUND(MIN(tblPayroll[[#This Row],[Basic Salary]]+tblPayroll[[#This Row],[Fixed Allowance]],JPCap)*R_JPEr,0)</f>
        <v>124000</v>
      </c>
      <c r="Q48" s="5">
        <f>SUM(tblPayroll[[#This Row],[BPJS Health (Er)]:[JP (Er)]])</f>
        <v>634880</v>
      </c>
      <c r="R48" s="5">
        <f>tblPayroll[[#This Row],[Gross Salary]]+tblPayroll[[#This Row],[BPJS Health (Er)]]+tblPayroll[[#This Row],[JKK (Er)]]+tblPayroll[[#This Row],[JKM (Er)]]</f>
        <v>12681480</v>
      </c>
      <c r="S48" s="119">
        <f>IF(tblPayroll[[#This Row],[TER Cat]]="A",_xlfn.XLOOKUP(tblPayroll[[#This Row],[PPh 21 Base]],TerA_L,TerA_R,0,-1),IF(tblPayroll[[#This Row],[TER Cat]]="B",_xlfn.XLOOKUP(tblPayroll[[#This Row],[PPh 21 Base]],TerB_L,TerB_R,0,-1),_xlfn.XLOOKUP(tblPayroll[[#This Row],[PPh 21 Base]],TerC_L,TerC_R,0,-1)))</f>
        <v>0.05</v>
      </c>
      <c r="T48" s="5">
        <f>ROUND(tblPayroll[[#This Row],[PPh 21 Base]]*tblPayroll[[#This Row],[TER Rate]],0)</f>
        <v>634074</v>
      </c>
      <c r="U48" s="5">
        <f>ROUND(MIN(tblPayroll[[#This Row],[Basic Salary]]+tblPayroll[[#This Row],[Fixed Allowance]],BPJSKesCap)*R_KesEe,0)</f>
        <v>62000</v>
      </c>
      <c r="V48" s="5">
        <f>ROUND((tblPayroll[[#This Row],[Basic Salary]]+tblPayroll[[#This Row],[Fixed Allowance]])*R_JHTEe,0)</f>
        <v>124000</v>
      </c>
      <c r="W48" s="5">
        <f>ROUND(MIN(tblPayroll[[#This Row],[Basic Salary]]+tblPayroll[[#This Row],[Fixed Allowance]],JPCap)*R_JPEe,0)</f>
        <v>62000</v>
      </c>
      <c r="X48" s="5">
        <f>tblPayroll[[#This Row],[BPJS Health (Ee)]]+tblPayroll[[#This Row],[JHT (Ee)]]+tblPayroll[[#This Row],[JP (Ee)]]</f>
        <v>248000</v>
      </c>
      <c r="Y48" s="5">
        <f>tblPayroll[[#This Row],[Gross Salary]]-tblPayroll[[#This Row],[PPh 21]]-tblPayroll[[#This Row],[Employee BPJS Total]]</f>
        <v>11517926</v>
      </c>
      <c r="Z48" s="5">
        <f>tblPayroll[[#This Row],[Employer BPJS Total]]+tblPayroll[[#This Row],[Employee BPJS Total]]</f>
        <v>882880</v>
      </c>
      <c r="AA48" s="5">
        <f>tblPayroll[[#This Row],[Gross Salary]]+tblPayroll[[#This Row],[Employer BPJS Total]]</f>
        <v>13034880</v>
      </c>
      <c r="AB48" s="4">
        <v>1130</v>
      </c>
      <c r="AD48" s="5">
        <v>62200001</v>
      </c>
      <c r="AE48" s="119">
        <v>0.21</v>
      </c>
      <c r="AF48" s="5">
        <v>109000001</v>
      </c>
      <c r="AG48" s="119">
        <v>0.25</v>
      </c>
      <c r="AH48" s="5">
        <v>95600001</v>
      </c>
      <c r="AI48" s="119">
        <v>0.24</v>
      </c>
    </row>
    <row r="49" spans="2:35" x14ac:dyDescent="0.35">
      <c r="B49" s="4">
        <v>3</v>
      </c>
      <c r="C49" s="113">
        <v>46106</v>
      </c>
      <c r="D49" s="4" t="s">
        <v>4834</v>
      </c>
      <c r="E49" s="1" t="str">
        <f>_xlfn.XLOOKUP(tblPayroll[[#This Row],[Employee ID]],tblEmployees[Employee ID],tblEmployees[Full Name],"")</f>
        <v>Bayu Nugroho</v>
      </c>
      <c r="F49" s="1" t="str">
        <f>_xlfn.XLOOKUP(tblPayroll[[#This Row],[Employee ID]],tblEmployees[Employee ID],tblEmployees[Department],"")</f>
        <v>Selling</v>
      </c>
      <c r="G49" s="1" t="str">
        <f>_xlfn.XLOOKUP(tblPayroll[[#This Row],[Employee ID]],tblEmployees[Employee ID],tblEmployees[TER Category],"")</f>
        <v>B</v>
      </c>
      <c r="H49" s="5">
        <f>_xlfn.XLOOKUP(tblPayroll[[#This Row],[Employee ID]],tblEmployees[Employee ID],tblEmployees[Basic Salary],"")</f>
        <v>5600000</v>
      </c>
      <c r="I49" s="5">
        <f>_xlfn.XLOOKUP(tblPayroll[[#This Row],[Employee ID]],tblEmployees[Employee ID],tblEmployees[Fixed Allowance],"")</f>
        <v>600000</v>
      </c>
      <c r="J49" s="6">
        <v>6200000</v>
      </c>
      <c r="K49" s="5">
        <f>tblPayroll[[#This Row],[Basic Salary]]+tblPayroll[[#This Row],[Fixed Allowance]]+tblPayroll[[#This Row],[THR / Bonus]]</f>
        <v>12400000</v>
      </c>
      <c r="L49" s="5">
        <f>ROUND(MIN(tblPayroll[[#This Row],[Basic Salary]]+tblPayroll[[#This Row],[Fixed Allowance]],BPJSKesCap)*R_KesEr,0)</f>
        <v>248000</v>
      </c>
      <c r="M49" s="5">
        <f>ROUND((tblPayroll[[#This Row],[Basic Salary]]+tblPayroll[[#This Row],[Fixed Allowance]])*R_JKK,0)</f>
        <v>14880</v>
      </c>
      <c r="N49" s="5">
        <f>ROUND((tblPayroll[[#This Row],[Basic Salary]]+tblPayroll[[#This Row],[Fixed Allowance]])*R_JKM,0)</f>
        <v>18600</v>
      </c>
      <c r="O49" s="5">
        <f>ROUND((tblPayroll[[#This Row],[Basic Salary]]+tblPayroll[[#This Row],[Fixed Allowance]])*R_JHTEr,0)</f>
        <v>229400</v>
      </c>
      <c r="P49" s="5">
        <f>ROUND(MIN(tblPayroll[[#This Row],[Basic Salary]]+tblPayroll[[#This Row],[Fixed Allowance]],JPCap)*R_JPEr,0)</f>
        <v>124000</v>
      </c>
      <c r="Q49" s="5">
        <f>SUM(tblPayroll[[#This Row],[BPJS Health (Er)]:[JP (Er)]])</f>
        <v>634880</v>
      </c>
      <c r="R49" s="5">
        <f>tblPayroll[[#This Row],[Gross Salary]]+tblPayroll[[#This Row],[BPJS Health (Er)]]+tblPayroll[[#This Row],[JKK (Er)]]+tblPayroll[[#This Row],[JKM (Er)]]</f>
        <v>12681480</v>
      </c>
      <c r="S49" s="119">
        <f>IF(tblPayroll[[#This Row],[TER Cat]]="A",_xlfn.XLOOKUP(tblPayroll[[#This Row],[PPh 21 Base]],TerA_L,TerA_R,0,-1),IF(tblPayroll[[#This Row],[TER Cat]]="B",_xlfn.XLOOKUP(tblPayroll[[#This Row],[PPh 21 Base]],TerB_L,TerB_R,0,-1),_xlfn.XLOOKUP(tblPayroll[[#This Row],[PPh 21 Base]],TerC_L,TerC_R,0,-1)))</f>
        <v>0.04</v>
      </c>
      <c r="T49" s="5">
        <f>ROUND(tblPayroll[[#This Row],[PPh 21 Base]]*tblPayroll[[#This Row],[TER Rate]],0)</f>
        <v>507259</v>
      </c>
      <c r="U49" s="5">
        <f>ROUND(MIN(tblPayroll[[#This Row],[Basic Salary]]+tblPayroll[[#This Row],[Fixed Allowance]],BPJSKesCap)*R_KesEe,0)</f>
        <v>62000</v>
      </c>
      <c r="V49" s="5">
        <f>ROUND((tblPayroll[[#This Row],[Basic Salary]]+tblPayroll[[#This Row],[Fixed Allowance]])*R_JHTEe,0)</f>
        <v>124000</v>
      </c>
      <c r="W49" s="5">
        <f>ROUND(MIN(tblPayroll[[#This Row],[Basic Salary]]+tblPayroll[[#This Row],[Fixed Allowance]],JPCap)*R_JPEe,0)</f>
        <v>62000</v>
      </c>
      <c r="X49" s="5">
        <f>tblPayroll[[#This Row],[BPJS Health (Ee)]]+tblPayroll[[#This Row],[JHT (Ee)]]+tblPayroll[[#This Row],[JP (Ee)]]</f>
        <v>248000</v>
      </c>
      <c r="Y49" s="5">
        <f>tblPayroll[[#This Row],[Gross Salary]]-tblPayroll[[#This Row],[PPh 21]]-tblPayroll[[#This Row],[Employee BPJS Total]]</f>
        <v>11644741</v>
      </c>
      <c r="Z49" s="5">
        <f>tblPayroll[[#This Row],[Employer BPJS Total]]+tblPayroll[[#This Row],[Employee BPJS Total]]</f>
        <v>882880</v>
      </c>
      <c r="AA49" s="5">
        <f>tblPayroll[[#This Row],[Gross Salary]]+tblPayroll[[#This Row],[Employer BPJS Total]]</f>
        <v>13034880</v>
      </c>
      <c r="AB49" s="4">
        <v>1130</v>
      </c>
      <c r="AD49" s="5">
        <v>68600001</v>
      </c>
      <c r="AE49" s="119">
        <v>0.22</v>
      </c>
      <c r="AF49" s="5">
        <v>129000001</v>
      </c>
      <c r="AG49" s="119">
        <v>0.26</v>
      </c>
      <c r="AH49" s="5">
        <v>110000001</v>
      </c>
      <c r="AI49" s="119">
        <v>0.25</v>
      </c>
    </row>
    <row r="50" spans="2:35" x14ac:dyDescent="0.35">
      <c r="B50" s="4">
        <v>3</v>
      </c>
      <c r="C50" s="113">
        <v>46106</v>
      </c>
      <c r="D50" s="4" t="s">
        <v>4839</v>
      </c>
      <c r="E50" s="1" t="str">
        <f>_xlfn.XLOOKUP(tblPayroll[[#This Row],[Employee ID]],tblEmployees[Employee ID],tblEmployees[Full Name],"")</f>
        <v>Maya Sari</v>
      </c>
      <c r="F50" s="1" t="str">
        <f>_xlfn.XLOOKUP(tblPayroll[[#This Row],[Employee ID]],tblEmployees[Employee ID],tblEmployees[Department],"")</f>
        <v>Selling</v>
      </c>
      <c r="G50" s="1" t="str">
        <f>_xlfn.XLOOKUP(tblPayroll[[#This Row],[Employee ID]],tblEmployees[Employee ID],tblEmployees[TER Category],"")</f>
        <v>A</v>
      </c>
      <c r="H50" s="5">
        <f>_xlfn.XLOOKUP(tblPayroll[[#This Row],[Employee ID]],tblEmployees[Employee ID],tblEmployees[Basic Salary],"")</f>
        <v>5700000</v>
      </c>
      <c r="I50" s="5">
        <f>_xlfn.XLOOKUP(tblPayroll[[#This Row],[Employee ID]],tblEmployees[Employee ID],tblEmployees[Fixed Allowance],"")</f>
        <v>600000</v>
      </c>
      <c r="J50" s="6">
        <v>6300000</v>
      </c>
      <c r="K50" s="5">
        <f>tblPayroll[[#This Row],[Basic Salary]]+tblPayroll[[#This Row],[Fixed Allowance]]+tblPayroll[[#This Row],[THR / Bonus]]</f>
        <v>12600000</v>
      </c>
      <c r="L50" s="5">
        <f>ROUND(MIN(tblPayroll[[#This Row],[Basic Salary]]+tblPayroll[[#This Row],[Fixed Allowance]],BPJSKesCap)*R_KesEr,0)</f>
        <v>252000</v>
      </c>
      <c r="M50" s="5">
        <f>ROUND((tblPayroll[[#This Row],[Basic Salary]]+tblPayroll[[#This Row],[Fixed Allowance]])*R_JKK,0)</f>
        <v>15120</v>
      </c>
      <c r="N50" s="5">
        <f>ROUND((tblPayroll[[#This Row],[Basic Salary]]+tblPayroll[[#This Row],[Fixed Allowance]])*R_JKM,0)</f>
        <v>18900</v>
      </c>
      <c r="O50" s="5">
        <f>ROUND((tblPayroll[[#This Row],[Basic Salary]]+tblPayroll[[#This Row],[Fixed Allowance]])*R_JHTEr,0)</f>
        <v>233100</v>
      </c>
      <c r="P50" s="5">
        <f>ROUND(MIN(tblPayroll[[#This Row],[Basic Salary]]+tblPayroll[[#This Row],[Fixed Allowance]],JPCap)*R_JPEr,0)</f>
        <v>126000</v>
      </c>
      <c r="Q50" s="5">
        <f>SUM(tblPayroll[[#This Row],[BPJS Health (Er)]:[JP (Er)]])</f>
        <v>645120</v>
      </c>
      <c r="R50" s="5">
        <f>tblPayroll[[#This Row],[Gross Salary]]+tblPayroll[[#This Row],[BPJS Health (Er)]]+tblPayroll[[#This Row],[JKK (Er)]]+tblPayroll[[#This Row],[JKM (Er)]]</f>
        <v>12886020</v>
      </c>
      <c r="S50" s="119">
        <f>IF(tblPayroll[[#This Row],[TER Cat]]="A",_xlfn.XLOOKUP(tblPayroll[[#This Row],[PPh 21 Base]],TerA_L,TerA_R,0,-1),IF(tblPayroll[[#This Row],[TER Cat]]="B",_xlfn.XLOOKUP(tblPayroll[[#This Row],[PPh 21 Base]],TerB_L,TerB_R,0,-1),_xlfn.XLOOKUP(tblPayroll[[#This Row],[PPh 21 Base]],TerC_L,TerC_R,0,-1)))</f>
        <v>0.05</v>
      </c>
      <c r="T50" s="5">
        <f>ROUND(tblPayroll[[#This Row],[PPh 21 Base]]*tblPayroll[[#This Row],[TER Rate]],0)</f>
        <v>644301</v>
      </c>
      <c r="U50" s="5">
        <f>ROUND(MIN(tblPayroll[[#This Row],[Basic Salary]]+tblPayroll[[#This Row],[Fixed Allowance]],BPJSKesCap)*R_KesEe,0)</f>
        <v>63000</v>
      </c>
      <c r="V50" s="5">
        <f>ROUND((tblPayroll[[#This Row],[Basic Salary]]+tblPayroll[[#This Row],[Fixed Allowance]])*R_JHTEe,0)</f>
        <v>126000</v>
      </c>
      <c r="W50" s="5">
        <f>ROUND(MIN(tblPayroll[[#This Row],[Basic Salary]]+tblPayroll[[#This Row],[Fixed Allowance]],JPCap)*R_JPEe,0)</f>
        <v>63000</v>
      </c>
      <c r="X50" s="5">
        <f>tblPayroll[[#This Row],[BPJS Health (Ee)]]+tblPayroll[[#This Row],[JHT (Ee)]]+tblPayroll[[#This Row],[JP (Ee)]]</f>
        <v>252000</v>
      </c>
      <c r="Y50" s="5">
        <f>tblPayroll[[#This Row],[Gross Salary]]-tblPayroll[[#This Row],[PPh 21]]-tblPayroll[[#This Row],[Employee BPJS Total]]</f>
        <v>11703699</v>
      </c>
      <c r="Z50" s="5">
        <f>tblPayroll[[#This Row],[Employer BPJS Total]]+tblPayroll[[#This Row],[Employee BPJS Total]]</f>
        <v>897120</v>
      </c>
      <c r="AA50" s="5">
        <f>tblPayroll[[#This Row],[Gross Salary]]+tblPayroll[[#This Row],[Employer BPJS Total]]</f>
        <v>13245120</v>
      </c>
      <c r="AB50" s="4">
        <v>1130</v>
      </c>
      <c r="AD50" s="5">
        <v>77500001</v>
      </c>
      <c r="AE50" s="119">
        <v>0.23</v>
      </c>
      <c r="AF50" s="5">
        <v>163000001</v>
      </c>
      <c r="AG50" s="119">
        <v>0.27</v>
      </c>
      <c r="AH50" s="5">
        <v>134000001</v>
      </c>
      <c r="AI50" s="119">
        <v>0.26</v>
      </c>
    </row>
    <row r="51" spans="2:35" x14ac:dyDescent="0.35">
      <c r="B51" s="4">
        <v>3</v>
      </c>
      <c r="C51" s="113">
        <v>46106</v>
      </c>
      <c r="D51" s="4" t="s">
        <v>4844</v>
      </c>
      <c r="E51" s="1" t="str">
        <f>_xlfn.XLOOKUP(tblPayroll[[#This Row],[Employee ID]],tblEmployees[Employee ID],tblEmployees[Full Name],"")</f>
        <v>Hendra Wijaya</v>
      </c>
      <c r="F51" s="1" t="str">
        <f>_xlfn.XLOOKUP(tblPayroll[[#This Row],[Employee ID]],tblEmployees[Employee ID],tblEmployees[Department],"")</f>
        <v>G&amp;A</v>
      </c>
      <c r="G51" s="1" t="str">
        <f>_xlfn.XLOOKUP(tblPayroll[[#This Row],[Employee ID]],tblEmployees[Employee ID],tblEmployees[TER Category],"")</f>
        <v>A</v>
      </c>
      <c r="H51" s="5">
        <f>_xlfn.XLOOKUP(tblPayroll[[#This Row],[Employee ID]],tblEmployees[Employee ID],tblEmployees[Basic Salary],"")</f>
        <v>9500000</v>
      </c>
      <c r="I51" s="5">
        <f>_xlfn.XLOOKUP(tblPayroll[[#This Row],[Employee ID]],tblEmployees[Employee ID],tblEmployees[Fixed Allowance],"")</f>
        <v>1000000</v>
      </c>
      <c r="J51" s="6">
        <v>10500000</v>
      </c>
      <c r="K51" s="5">
        <f>tblPayroll[[#This Row],[Basic Salary]]+tblPayroll[[#This Row],[Fixed Allowance]]+tblPayroll[[#This Row],[THR / Bonus]]</f>
        <v>21000000</v>
      </c>
      <c r="L51" s="5">
        <f>ROUND(MIN(tblPayroll[[#This Row],[Basic Salary]]+tblPayroll[[#This Row],[Fixed Allowance]],BPJSKesCap)*R_KesEr,0)</f>
        <v>420000</v>
      </c>
      <c r="M51" s="5">
        <f>ROUND((tblPayroll[[#This Row],[Basic Salary]]+tblPayroll[[#This Row],[Fixed Allowance]])*R_JKK,0)</f>
        <v>25200</v>
      </c>
      <c r="N51" s="5">
        <f>ROUND((tblPayroll[[#This Row],[Basic Salary]]+tblPayroll[[#This Row],[Fixed Allowance]])*R_JKM,0)</f>
        <v>31500</v>
      </c>
      <c r="O51" s="5">
        <f>ROUND((tblPayroll[[#This Row],[Basic Salary]]+tblPayroll[[#This Row],[Fixed Allowance]])*R_JHTEr,0)</f>
        <v>388500</v>
      </c>
      <c r="P51" s="5">
        <f>ROUND(MIN(tblPayroll[[#This Row],[Basic Salary]]+tblPayroll[[#This Row],[Fixed Allowance]],JPCap)*R_JPEr,0)</f>
        <v>210000</v>
      </c>
      <c r="Q51" s="5">
        <f>SUM(tblPayroll[[#This Row],[BPJS Health (Er)]:[JP (Er)]])</f>
        <v>1075200</v>
      </c>
      <c r="R51" s="5">
        <f>tblPayroll[[#This Row],[Gross Salary]]+tblPayroll[[#This Row],[BPJS Health (Er)]]+tblPayroll[[#This Row],[JKK (Er)]]+tblPayroll[[#This Row],[JKM (Er)]]</f>
        <v>21476700</v>
      </c>
      <c r="S51" s="119">
        <f>IF(tblPayroll[[#This Row],[TER Cat]]="A",_xlfn.XLOOKUP(tblPayroll[[#This Row],[PPh 21 Base]],TerA_L,TerA_R,0,-1),IF(tblPayroll[[#This Row],[TER Cat]]="B",_xlfn.XLOOKUP(tblPayroll[[#This Row],[PPh 21 Base]],TerB_L,TerB_R,0,-1),_xlfn.XLOOKUP(tblPayroll[[#This Row],[PPh 21 Base]],TerC_L,TerC_R,0,-1)))</f>
        <v>0.09</v>
      </c>
      <c r="T51" s="5">
        <f>ROUND(tblPayroll[[#This Row],[PPh 21 Base]]*tblPayroll[[#This Row],[TER Rate]],0)</f>
        <v>1932903</v>
      </c>
      <c r="U51" s="5">
        <f>ROUND(MIN(tblPayroll[[#This Row],[Basic Salary]]+tblPayroll[[#This Row],[Fixed Allowance]],BPJSKesCap)*R_KesEe,0)</f>
        <v>105000</v>
      </c>
      <c r="V51" s="5">
        <f>ROUND((tblPayroll[[#This Row],[Basic Salary]]+tblPayroll[[#This Row],[Fixed Allowance]])*R_JHTEe,0)</f>
        <v>210000</v>
      </c>
      <c r="W51" s="5">
        <f>ROUND(MIN(tblPayroll[[#This Row],[Basic Salary]]+tblPayroll[[#This Row],[Fixed Allowance]],JPCap)*R_JPEe,0)</f>
        <v>105000</v>
      </c>
      <c r="X51" s="5">
        <f>tblPayroll[[#This Row],[BPJS Health (Ee)]]+tblPayroll[[#This Row],[JHT (Ee)]]+tblPayroll[[#This Row],[JP (Ee)]]</f>
        <v>420000</v>
      </c>
      <c r="Y51" s="5">
        <f>tblPayroll[[#This Row],[Gross Salary]]-tblPayroll[[#This Row],[PPh 21]]-tblPayroll[[#This Row],[Employee BPJS Total]]</f>
        <v>18647097</v>
      </c>
      <c r="Z51" s="5">
        <f>tblPayroll[[#This Row],[Employer BPJS Total]]+tblPayroll[[#This Row],[Employee BPJS Total]]</f>
        <v>1495200</v>
      </c>
      <c r="AA51" s="5">
        <f>tblPayroll[[#This Row],[Gross Salary]]+tblPayroll[[#This Row],[Employer BPJS Total]]</f>
        <v>22075200</v>
      </c>
      <c r="AB51" s="4">
        <v>1130</v>
      </c>
      <c r="AD51" s="5">
        <v>89000001</v>
      </c>
      <c r="AE51" s="119">
        <v>0.24</v>
      </c>
      <c r="AF51" s="5">
        <v>211000001</v>
      </c>
      <c r="AG51" s="119">
        <v>0.28000000000000003</v>
      </c>
      <c r="AH51" s="5">
        <v>169000001</v>
      </c>
      <c r="AI51" s="119">
        <v>0.27</v>
      </c>
    </row>
    <row r="52" spans="2:35" x14ac:dyDescent="0.35">
      <c r="B52" s="4">
        <v>4</v>
      </c>
      <c r="C52" s="113">
        <v>46137</v>
      </c>
      <c r="D52" s="4" t="s">
        <v>4774</v>
      </c>
      <c r="E52" s="1" t="str">
        <f>_xlfn.XLOOKUP(tblPayroll[[#This Row],[Employee ID]],tblEmployees[Employee ID],tblEmployees[Full Name],"")</f>
        <v>Budi Santoso</v>
      </c>
      <c r="F52" s="1" t="str">
        <f>_xlfn.XLOOKUP(tblPayroll[[#This Row],[Employee ID]],tblEmployees[Employee ID],tblEmployees[Department],"")</f>
        <v>G&amp;A</v>
      </c>
      <c r="G52" s="1" t="str">
        <f>_xlfn.XLOOKUP(tblPayroll[[#This Row],[Employee ID]],tblEmployees[Employee ID],tblEmployees[TER Category],"")</f>
        <v>B</v>
      </c>
      <c r="H52" s="5">
        <f>_xlfn.XLOOKUP(tblPayroll[[#This Row],[Employee ID]],tblEmployees[Employee ID],tblEmployees[Basic Salary],"")</f>
        <v>25000000</v>
      </c>
      <c r="I52" s="5">
        <f>_xlfn.XLOOKUP(tblPayroll[[#This Row],[Employee ID]],tblEmployees[Employee ID],tblEmployees[Fixed Allowance],"")</f>
        <v>4000000</v>
      </c>
      <c r="J52" s="6">
        <v>0</v>
      </c>
      <c r="K52" s="5">
        <f>tblPayroll[[#This Row],[Basic Salary]]+tblPayroll[[#This Row],[Fixed Allowance]]+tblPayroll[[#This Row],[THR / Bonus]]</f>
        <v>29000000</v>
      </c>
      <c r="L52" s="5">
        <f>ROUND(MIN(tblPayroll[[#This Row],[Basic Salary]]+tblPayroll[[#This Row],[Fixed Allowance]],BPJSKesCap)*R_KesEr,0)</f>
        <v>480000</v>
      </c>
      <c r="M52" s="5">
        <f>ROUND((tblPayroll[[#This Row],[Basic Salary]]+tblPayroll[[#This Row],[Fixed Allowance]])*R_JKK,0)</f>
        <v>69600</v>
      </c>
      <c r="N52" s="5">
        <f>ROUND((tblPayroll[[#This Row],[Basic Salary]]+tblPayroll[[#This Row],[Fixed Allowance]])*R_JKM,0)</f>
        <v>87000</v>
      </c>
      <c r="O52" s="5">
        <f>ROUND((tblPayroll[[#This Row],[Basic Salary]]+tblPayroll[[#This Row],[Fixed Allowance]])*R_JHTEr,0)</f>
        <v>1073000</v>
      </c>
      <c r="P52" s="5">
        <f>ROUND(MIN(tblPayroll[[#This Row],[Basic Salary]]+tblPayroll[[#This Row],[Fixed Allowance]],JPCap)*R_JPEr,0)</f>
        <v>210948</v>
      </c>
      <c r="Q52" s="5">
        <f>SUM(tblPayroll[[#This Row],[BPJS Health (Er)]:[JP (Er)]])</f>
        <v>1920548</v>
      </c>
      <c r="R52" s="5">
        <f>tblPayroll[[#This Row],[Gross Salary]]+tblPayroll[[#This Row],[BPJS Health (Er)]]+tblPayroll[[#This Row],[JKK (Er)]]+tblPayroll[[#This Row],[JKM (Er)]]</f>
        <v>29636600</v>
      </c>
      <c r="S52" s="119">
        <f>IF(tblPayroll[[#This Row],[TER Cat]]="A",_xlfn.XLOOKUP(tblPayroll[[#This Row],[PPh 21 Base]],TerA_L,TerA_R,0,-1),IF(tblPayroll[[#This Row],[TER Cat]]="B",_xlfn.XLOOKUP(tblPayroll[[#This Row],[PPh 21 Base]],TerB_L,TerB_R,0,-1),_xlfn.XLOOKUP(tblPayroll[[#This Row],[PPh 21 Base]],TerC_L,TerC_R,0,-1)))</f>
        <v>0.12</v>
      </c>
      <c r="T52" s="5">
        <f>ROUND(tblPayroll[[#This Row],[PPh 21 Base]]*tblPayroll[[#This Row],[TER Rate]],0)</f>
        <v>3556392</v>
      </c>
      <c r="U52" s="5">
        <f>ROUND(MIN(tblPayroll[[#This Row],[Basic Salary]]+tblPayroll[[#This Row],[Fixed Allowance]],BPJSKesCap)*R_KesEe,0)</f>
        <v>120000</v>
      </c>
      <c r="V52" s="5">
        <f>ROUND((tblPayroll[[#This Row],[Basic Salary]]+tblPayroll[[#This Row],[Fixed Allowance]])*R_JHTEe,0)</f>
        <v>580000</v>
      </c>
      <c r="W52" s="5">
        <f>ROUND(MIN(tblPayroll[[#This Row],[Basic Salary]]+tblPayroll[[#This Row],[Fixed Allowance]],JPCap)*R_JPEe,0)</f>
        <v>105474</v>
      </c>
      <c r="X52" s="5">
        <f>tblPayroll[[#This Row],[BPJS Health (Ee)]]+tblPayroll[[#This Row],[JHT (Ee)]]+tblPayroll[[#This Row],[JP (Ee)]]</f>
        <v>805474</v>
      </c>
      <c r="Y52" s="5">
        <f>tblPayroll[[#This Row],[Gross Salary]]-tblPayroll[[#This Row],[PPh 21]]-tblPayroll[[#This Row],[Employee BPJS Total]]</f>
        <v>24638134</v>
      </c>
      <c r="Z52" s="5">
        <f>tblPayroll[[#This Row],[Employer BPJS Total]]+tblPayroll[[#This Row],[Employee BPJS Total]]</f>
        <v>2726022</v>
      </c>
      <c r="AA52" s="5">
        <f>tblPayroll[[#This Row],[Gross Salary]]+tblPayroll[[#This Row],[Employer BPJS Total]]</f>
        <v>30920548</v>
      </c>
      <c r="AB52" s="4">
        <v>1130</v>
      </c>
      <c r="AD52" s="5">
        <v>103000001</v>
      </c>
      <c r="AE52" s="119">
        <v>0.25</v>
      </c>
      <c r="AF52" s="5">
        <v>374000001</v>
      </c>
      <c r="AG52" s="119">
        <v>0.28999999999999998</v>
      </c>
      <c r="AH52" s="5">
        <v>221000001</v>
      </c>
      <c r="AI52" s="119">
        <v>0.28000000000000003</v>
      </c>
    </row>
    <row r="53" spans="2:35" x14ac:dyDescent="0.35">
      <c r="B53" s="4">
        <v>4</v>
      </c>
      <c r="C53" s="113">
        <v>46137</v>
      </c>
      <c r="D53" s="4" t="s">
        <v>4779</v>
      </c>
      <c r="E53" s="1" t="str">
        <f>_xlfn.XLOOKUP(tblPayroll[[#This Row],[Employee ID]],tblEmployees[Employee ID],tblEmployees[Full Name],"")</f>
        <v>Siti Rahmawati</v>
      </c>
      <c r="F53" s="1" t="str">
        <f>_xlfn.XLOOKUP(tblPayroll[[#This Row],[Employee ID]],tblEmployees[Employee ID],tblEmployees[Department],"")</f>
        <v>G&amp;A</v>
      </c>
      <c r="G53" s="1" t="str">
        <f>_xlfn.XLOOKUP(tblPayroll[[#This Row],[Employee ID]],tblEmployees[Employee ID],tblEmployees[TER Category],"")</f>
        <v>B</v>
      </c>
      <c r="H53" s="5">
        <f>_xlfn.XLOOKUP(tblPayroll[[#This Row],[Employee ID]],tblEmployees[Employee ID],tblEmployees[Basic Salary],"")</f>
        <v>20000000</v>
      </c>
      <c r="I53" s="5">
        <f>_xlfn.XLOOKUP(tblPayroll[[#This Row],[Employee ID]],tblEmployees[Employee ID],tblEmployees[Fixed Allowance],"")</f>
        <v>3000000</v>
      </c>
      <c r="J53" s="6">
        <v>0</v>
      </c>
      <c r="K53" s="5">
        <f>tblPayroll[[#This Row],[Basic Salary]]+tblPayroll[[#This Row],[Fixed Allowance]]+tblPayroll[[#This Row],[THR / Bonus]]</f>
        <v>23000000</v>
      </c>
      <c r="L53" s="5">
        <f>ROUND(MIN(tblPayroll[[#This Row],[Basic Salary]]+tblPayroll[[#This Row],[Fixed Allowance]],BPJSKesCap)*R_KesEr,0)</f>
        <v>480000</v>
      </c>
      <c r="M53" s="5">
        <f>ROUND((tblPayroll[[#This Row],[Basic Salary]]+tblPayroll[[#This Row],[Fixed Allowance]])*R_JKK,0)</f>
        <v>55200</v>
      </c>
      <c r="N53" s="5">
        <f>ROUND((tblPayroll[[#This Row],[Basic Salary]]+tblPayroll[[#This Row],[Fixed Allowance]])*R_JKM,0)</f>
        <v>69000</v>
      </c>
      <c r="O53" s="5">
        <f>ROUND((tblPayroll[[#This Row],[Basic Salary]]+tblPayroll[[#This Row],[Fixed Allowance]])*R_JHTEr,0)</f>
        <v>851000</v>
      </c>
      <c r="P53" s="5">
        <f>ROUND(MIN(tblPayroll[[#This Row],[Basic Salary]]+tblPayroll[[#This Row],[Fixed Allowance]],JPCap)*R_JPEr,0)</f>
        <v>210948</v>
      </c>
      <c r="Q53" s="5">
        <f>SUM(tblPayroll[[#This Row],[BPJS Health (Er)]:[JP (Er)]])</f>
        <v>1666148</v>
      </c>
      <c r="R53" s="5">
        <f>tblPayroll[[#This Row],[Gross Salary]]+tblPayroll[[#This Row],[BPJS Health (Er)]]+tblPayroll[[#This Row],[JKK (Er)]]+tblPayroll[[#This Row],[JKM (Er)]]</f>
        <v>23604200</v>
      </c>
      <c r="S53" s="119">
        <f>IF(tblPayroll[[#This Row],[TER Cat]]="A",_xlfn.XLOOKUP(tblPayroll[[#This Row],[PPh 21 Base]],TerA_L,TerA_R,0,-1),IF(tblPayroll[[#This Row],[TER Cat]]="B",_xlfn.XLOOKUP(tblPayroll[[#This Row],[PPh 21 Base]],TerB_L,TerB_R,0,-1),_xlfn.XLOOKUP(tblPayroll[[#This Row],[PPh 21 Base]],TerC_L,TerC_R,0,-1)))</f>
        <v>0.09</v>
      </c>
      <c r="T53" s="5">
        <f>ROUND(tblPayroll[[#This Row],[PPh 21 Base]]*tblPayroll[[#This Row],[TER Rate]],0)</f>
        <v>2124378</v>
      </c>
      <c r="U53" s="5">
        <f>ROUND(MIN(tblPayroll[[#This Row],[Basic Salary]]+tblPayroll[[#This Row],[Fixed Allowance]],BPJSKesCap)*R_KesEe,0)</f>
        <v>120000</v>
      </c>
      <c r="V53" s="5">
        <f>ROUND((tblPayroll[[#This Row],[Basic Salary]]+tblPayroll[[#This Row],[Fixed Allowance]])*R_JHTEe,0)</f>
        <v>460000</v>
      </c>
      <c r="W53" s="5">
        <f>ROUND(MIN(tblPayroll[[#This Row],[Basic Salary]]+tblPayroll[[#This Row],[Fixed Allowance]],JPCap)*R_JPEe,0)</f>
        <v>105474</v>
      </c>
      <c r="X53" s="5">
        <f>tblPayroll[[#This Row],[BPJS Health (Ee)]]+tblPayroll[[#This Row],[JHT (Ee)]]+tblPayroll[[#This Row],[JP (Ee)]]</f>
        <v>685474</v>
      </c>
      <c r="Y53" s="5">
        <f>tblPayroll[[#This Row],[Gross Salary]]-tblPayroll[[#This Row],[PPh 21]]-tblPayroll[[#This Row],[Employee BPJS Total]]</f>
        <v>20190148</v>
      </c>
      <c r="Z53" s="5">
        <f>tblPayroll[[#This Row],[Employer BPJS Total]]+tblPayroll[[#This Row],[Employee BPJS Total]]</f>
        <v>2351622</v>
      </c>
      <c r="AA53" s="5">
        <f>tblPayroll[[#This Row],[Gross Salary]]+tblPayroll[[#This Row],[Employer BPJS Total]]</f>
        <v>24666148</v>
      </c>
      <c r="AB53" s="4">
        <v>1130</v>
      </c>
      <c r="AD53" s="5">
        <v>125000001</v>
      </c>
      <c r="AE53" s="119">
        <v>0.26</v>
      </c>
      <c r="AF53" s="5">
        <v>459000001</v>
      </c>
      <c r="AG53" s="119">
        <v>0.3</v>
      </c>
      <c r="AH53" s="5">
        <v>390000001</v>
      </c>
      <c r="AI53" s="119">
        <v>0.28999999999999998</v>
      </c>
    </row>
    <row r="54" spans="2:35" x14ac:dyDescent="0.35">
      <c r="B54" s="4">
        <v>4</v>
      </c>
      <c r="C54" s="113">
        <v>46137</v>
      </c>
      <c r="D54" s="4" t="s">
        <v>4783</v>
      </c>
      <c r="E54" s="1" t="str">
        <f>_xlfn.XLOOKUP(tblPayroll[[#This Row],[Employee ID]],tblEmployees[Employee ID],tblEmployees[Full Name],"")</f>
        <v>Dewi Lestari</v>
      </c>
      <c r="F54" s="1" t="str">
        <f>_xlfn.XLOOKUP(tblPayroll[[#This Row],[Employee ID]],tblEmployees[Employee ID],tblEmployees[Department],"")</f>
        <v>G&amp;A</v>
      </c>
      <c r="G54" s="1" t="str">
        <f>_xlfn.XLOOKUP(tblPayroll[[#This Row],[Employee ID]],tblEmployees[Employee ID],tblEmployees[TER Category],"")</f>
        <v>A</v>
      </c>
      <c r="H54" s="5">
        <f>_xlfn.XLOOKUP(tblPayroll[[#This Row],[Employee ID]],tblEmployees[Employee ID],tblEmployees[Basic Salary],"")</f>
        <v>15000000</v>
      </c>
      <c r="I54" s="5">
        <f>_xlfn.XLOOKUP(tblPayroll[[#This Row],[Employee ID]],tblEmployees[Employee ID],tblEmployees[Fixed Allowance],"")</f>
        <v>2000000</v>
      </c>
      <c r="J54" s="6">
        <v>0</v>
      </c>
      <c r="K54" s="5">
        <f>tblPayroll[[#This Row],[Basic Salary]]+tblPayroll[[#This Row],[Fixed Allowance]]+tblPayroll[[#This Row],[THR / Bonus]]</f>
        <v>17000000</v>
      </c>
      <c r="L54" s="5">
        <f>ROUND(MIN(tblPayroll[[#This Row],[Basic Salary]]+tblPayroll[[#This Row],[Fixed Allowance]],BPJSKesCap)*R_KesEr,0)</f>
        <v>480000</v>
      </c>
      <c r="M54" s="5">
        <f>ROUND((tblPayroll[[#This Row],[Basic Salary]]+tblPayroll[[#This Row],[Fixed Allowance]])*R_JKK,0)</f>
        <v>40800</v>
      </c>
      <c r="N54" s="5">
        <f>ROUND((tblPayroll[[#This Row],[Basic Salary]]+tblPayroll[[#This Row],[Fixed Allowance]])*R_JKM,0)</f>
        <v>51000</v>
      </c>
      <c r="O54" s="5">
        <f>ROUND((tblPayroll[[#This Row],[Basic Salary]]+tblPayroll[[#This Row],[Fixed Allowance]])*R_JHTEr,0)</f>
        <v>629000</v>
      </c>
      <c r="P54" s="5">
        <f>ROUND(MIN(tblPayroll[[#This Row],[Basic Salary]]+tblPayroll[[#This Row],[Fixed Allowance]],JPCap)*R_JPEr,0)</f>
        <v>210948</v>
      </c>
      <c r="Q54" s="5">
        <f>SUM(tblPayroll[[#This Row],[BPJS Health (Er)]:[JP (Er)]])</f>
        <v>1411748</v>
      </c>
      <c r="R54" s="5">
        <f>tblPayroll[[#This Row],[Gross Salary]]+tblPayroll[[#This Row],[BPJS Health (Er)]]+tblPayroll[[#This Row],[JKK (Er)]]+tblPayroll[[#This Row],[JKM (Er)]]</f>
        <v>17571800</v>
      </c>
      <c r="S54" s="119">
        <f>IF(tblPayroll[[#This Row],[TER Cat]]="A",_xlfn.XLOOKUP(tblPayroll[[#This Row],[PPh 21 Base]],TerA_L,TerA_R,0,-1),IF(tblPayroll[[#This Row],[TER Cat]]="B",_xlfn.XLOOKUP(tblPayroll[[#This Row],[PPh 21 Base]],TerB_L,TerB_R,0,-1),_xlfn.XLOOKUP(tblPayroll[[#This Row],[PPh 21 Base]],TerC_L,TerC_R,0,-1)))</f>
        <v>0.08</v>
      </c>
      <c r="T54" s="5">
        <f>ROUND(tblPayroll[[#This Row],[PPh 21 Base]]*tblPayroll[[#This Row],[TER Rate]],0)</f>
        <v>1405744</v>
      </c>
      <c r="U54" s="5">
        <f>ROUND(MIN(tblPayroll[[#This Row],[Basic Salary]]+tblPayroll[[#This Row],[Fixed Allowance]],BPJSKesCap)*R_KesEe,0)</f>
        <v>120000</v>
      </c>
      <c r="V54" s="5">
        <f>ROUND((tblPayroll[[#This Row],[Basic Salary]]+tblPayroll[[#This Row],[Fixed Allowance]])*R_JHTEe,0)</f>
        <v>340000</v>
      </c>
      <c r="W54" s="5">
        <f>ROUND(MIN(tblPayroll[[#This Row],[Basic Salary]]+tblPayroll[[#This Row],[Fixed Allowance]],JPCap)*R_JPEe,0)</f>
        <v>105474</v>
      </c>
      <c r="X54" s="5">
        <f>tblPayroll[[#This Row],[BPJS Health (Ee)]]+tblPayroll[[#This Row],[JHT (Ee)]]+tblPayroll[[#This Row],[JP (Ee)]]</f>
        <v>565474</v>
      </c>
      <c r="Y54" s="5">
        <f>tblPayroll[[#This Row],[Gross Salary]]-tblPayroll[[#This Row],[PPh 21]]-tblPayroll[[#This Row],[Employee BPJS Total]]</f>
        <v>15028782</v>
      </c>
      <c r="Z54" s="5">
        <f>tblPayroll[[#This Row],[Employer BPJS Total]]+tblPayroll[[#This Row],[Employee BPJS Total]]</f>
        <v>1977222</v>
      </c>
      <c r="AA54" s="5">
        <f>tblPayroll[[#This Row],[Gross Salary]]+tblPayroll[[#This Row],[Employer BPJS Total]]</f>
        <v>18411748</v>
      </c>
      <c r="AB54" s="4">
        <v>1130</v>
      </c>
      <c r="AD54" s="5">
        <v>157000001</v>
      </c>
      <c r="AE54" s="119">
        <v>0.27</v>
      </c>
      <c r="AF54" s="5">
        <v>555000001</v>
      </c>
      <c r="AG54" s="119">
        <v>0.31</v>
      </c>
      <c r="AH54" s="5">
        <v>463000001</v>
      </c>
      <c r="AI54" s="119">
        <v>0.3</v>
      </c>
    </row>
    <row r="55" spans="2:35" x14ac:dyDescent="0.35">
      <c r="B55" s="4">
        <v>4</v>
      </c>
      <c r="C55" s="113">
        <v>46137</v>
      </c>
      <c r="D55" s="4" t="s">
        <v>4787</v>
      </c>
      <c r="E55" s="1" t="str">
        <f>_xlfn.XLOOKUP(tblPayroll[[#This Row],[Employee ID]],tblEmployees[Employee ID],tblEmployees[Full Name],"")</f>
        <v>Agus Prasetyo</v>
      </c>
      <c r="F55" s="1" t="str">
        <f>_xlfn.XLOOKUP(tblPayroll[[#This Row],[Employee ID]],tblEmployees[Employee ID],tblEmployees[Department],"")</f>
        <v>Selling</v>
      </c>
      <c r="G55" s="1" t="str">
        <f>_xlfn.XLOOKUP(tblPayroll[[#This Row],[Employee ID]],tblEmployees[Employee ID],tblEmployees[TER Category],"")</f>
        <v>B</v>
      </c>
      <c r="H55" s="5">
        <f>_xlfn.XLOOKUP(tblPayroll[[#This Row],[Employee ID]],tblEmployees[Employee ID],tblEmployees[Basic Salary],"")</f>
        <v>14000000</v>
      </c>
      <c r="I55" s="5">
        <f>_xlfn.XLOOKUP(tblPayroll[[#This Row],[Employee ID]],tblEmployees[Employee ID],tblEmployees[Fixed Allowance],"")</f>
        <v>2000000</v>
      </c>
      <c r="J55" s="6">
        <v>0</v>
      </c>
      <c r="K55" s="5">
        <f>tblPayroll[[#This Row],[Basic Salary]]+tblPayroll[[#This Row],[Fixed Allowance]]+tblPayroll[[#This Row],[THR / Bonus]]</f>
        <v>16000000</v>
      </c>
      <c r="L55" s="5">
        <f>ROUND(MIN(tblPayroll[[#This Row],[Basic Salary]]+tblPayroll[[#This Row],[Fixed Allowance]],BPJSKesCap)*R_KesEr,0)</f>
        <v>480000</v>
      </c>
      <c r="M55" s="5">
        <f>ROUND((tblPayroll[[#This Row],[Basic Salary]]+tblPayroll[[#This Row],[Fixed Allowance]])*R_JKK,0)</f>
        <v>38400</v>
      </c>
      <c r="N55" s="5">
        <f>ROUND((tblPayroll[[#This Row],[Basic Salary]]+tblPayroll[[#This Row],[Fixed Allowance]])*R_JKM,0)</f>
        <v>48000</v>
      </c>
      <c r="O55" s="5">
        <f>ROUND((tblPayroll[[#This Row],[Basic Salary]]+tblPayroll[[#This Row],[Fixed Allowance]])*R_JHTEr,0)</f>
        <v>592000</v>
      </c>
      <c r="P55" s="5">
        <f>ROUND(MIN(tblPayroll[[#This Row],[Basic Salary]]+tblPayroll[[#This Row],[Fixed Allowance]],JPCap)*R_JPEr,0)</f>
        <v>210948</v>
      </c>
      <c r="Q55" s="5">
        <f>SUM(tblPayroll[[#This Row],[BPJS Health (Er)]:[JP (Er)]])</f>
        <v>1369348</v>
      </c>
      <c r="R55" s="5">
        <f>tblPayroll[[#This Row],[Gross Salary]]+tblPayroll[[#This Row],[BPJS Health (Er)]]+tblPayroll[[#This Row],[JKK (Er)]]+tblPayroll[[#This Row],[JKM (Er)]]</f>
        <v>16566400</v>
      </c>
      <c r="S55" s="119">
        <f>IF(tblPayroll[[#This Row],[TER Cat]]="A",_xlfn.XLOOKUP(tblPayroll[[#This Row],[PPh 21 Base]],TerA_L,TerA_R,0,-1),IF(tblPayroll[[#This Row],[TER Cat]]="B",_xlfn.XLOOKUP(tblPayroll[[#This Row],[PPh 21 Base]],TerB_L,TerB_R,0,-1),_xlfn.XLOOKUP(tblPayroll[[#This Row],[PPh 21 Base]],TerC_L,TerC_R,0,-1)))</f>
        <v>7.0000000000000007E-2</v>
      </c>
      <c r="T55" s="5">
        <f>ROUND(tblPayroll[[#This Row],[PPh 21 Base]]*tblPayroll[[#This Row],[TER Rate]],0)</f>
        <v>1159648</v>
      </c>
      <c r="U55" s="5">
        <f>ROUND(MIN(tblPayroll[[#This Row],[Basic Salary]]+tblPayroll[[#This Row],[Fixed Allowance]],BPJSKesCap)*R_KesEe,0)</f>
        <v>120000</v>
      </c>
      <c r="V55" s="5">
        <f>ROUND((tblPayroll[[#This Row],[Basic Salary]]+tblPayroll[[#This Row],[Fixed Allowance]])*R_JHTEe,0)</f>
        <v>320000</v>
      </c>
      <c r="W55" s="5">
        <f>ROUND(MIN(tblPayroll[[#This Row],[Basic Salary]]+tblPayroll[[#This Row],[Fixed Allowance]],JPCap)*R_JPEe,0)</f>
        <v>105474</v>
      </c>
      <c r="X55" s="5">
        <f>tblPayroll[[#This Row],[BPJS Health (Ee)]]+tblPayroll[[#This Row],[JHT (Ee)]]+tblPayroll[[#This Row],[JP (Ee)]]</f>
        <v>545474</v>
      </c>
      <c r="Y55" s="5">
        <f>tblPayroll[[#This Row],[Gross Salary]]-tblPayroll[[#This Row],[PPh 21]]-tblPayroll[[#This Row],[Employee BPJS Total]]</f>
        <v>14294878</v>
      </c>
      <c r="Z55" s="5">
        <f>tblPayroll[[#This Row],[Employer BPJS Total]]+tblPayroll[[#This Row],[Employee BPJS Total]]</f>
        <v>1914822</v>
      </c>
      <c r="AA55" s="5">
        <f>tblPayroll[[#This Row],[Gross Salary]]+tblPayroll[[#This Row],[Employer BPJS Total]]</f>
        <v>17369348</v>
      </c>
      <c r="AB55" s="4">
        <v>1130</v>
      </c>
      <c r="AD55" s="5">
        <v>206000001</v>
      </c>
      <c r="AE55" s="119">
        <v>0.28000000000000003</v>
      </c>
      <c r="AF55" s="5">
        <v>704000001</v>
      </c>
      <c r="AG55" s="119">
        <v>0.32</v>
      </c>
      <c r="AH55" s="5">
        <v>561000001</v>
      </c>
      <c r="AI55" s="119">
        <v>0.31</v>
      </c>
    </row>
    <row r="56" spans="2:35" x14ac:dyDescent="0.35">
      <c r="B56" s="4">
        <v>4</v>
      </c>
      <c r="C56" s="113">
        <v>46137</v>
      </c>
      <c r="D56" s="4" t="s">
        <v>4793</v>
      </c>
      <c r="E56" s="1" t="str">
        <f>_xlfn.XLOOKUP(tblPayroll[[#This Row],[Employee ID]],tblEmployees[Employee ID],tblEmployees[Full Name],"")</f>
        <v>Rina Kartika</v>
      </c>
      <c r="F56" s="1" t="str">
        <f>_xlfn.XLOOKUP(tblPayroll[[#This Row],[Employee ID]],tblEmployees[Employee ID],tblEmployees[Department],"")</f>
        <v>Selling</v>
      </c>
      <c r="G56" s="1" t="str">
        <f>_xlfn.XLOOKUP(tblPayroll[[#This Row],[Employee ID]],tblEmployees[Employee ID],tblEmployees[TER Category],"")</f>
        <v>A</v>
      </c>
      <c r="H56" s="5">
        <f>_xlfn.XLOOKUP(tblPayroll[[#This Row],[Employee ID]],tblEmployees[Employee ID],tblEmployees[Basic Salary],"")</f>
        <v>12000000</v>
      </c>
      <c r="I56" s="5">
        <f>_xlfn.XLOOKUP(tblPayroll[[#This Row],[Employee ID]],tblEmployees[Employee ID],tblEmployees[Fixed Allowance],"")</f>
        <v>1500000</v>
      </c>
      <c r="J56" s="6">
        <v>0</v>
      </c>
      <c r="K56" s="5">
        <f>tblPayroll[[#This Row],[Basic Salary]]+tblPayroll[[#This Row],[Fixed Allowance]]+tblPayroll[[#This Row],[THR / Bonus]]</f>
        <v>13500000</v>
      </c>
      <c r="L56" s="5">
        <f>ROUND(MIN(tblPayroll[[#This Row],[Basic Salary]]+tblPayroll[[#This Row],[Fixed Allowance]],BPJSKesCap)*R_KesEr,0)</f>
        <v>480000</v>
      </c>
      <c r="M56" s="5">
        <f>ROUND((tblPayroll[[#This Row],[Basic Salary]]+tblPayroll[[#This Row],[Fixed Allowance]])*R_JKK,0)</f>
        <v>32400</v>
      </c>
      <c r="N56" s="5">
        <f>ROUND((tblPayroll[[#This Row],[Basic Salary]]+tblPayroll[[#This Row],[Fixed Allowance]])*R_JKM,0)</f>
        <v>40500</v>
      </c>
      <c r="O56" s="5">
        <f>ROUND((tblPayroll[[#This Row],[Basic Salary]]+tblPayroll[[#This Row],[Fixed Allowance]])*R_JHTEr,0)</f>
        <v>499500</v>
      </c>
      <c r="P56" s="5">
        <f>ROUND(MIN(tblPayroll[[#This Row],[Basic Salary]]+tblPayroll[[#This Row],[Fixed Allowance]],JPCap)*R_JPEr,0)</f>
        <v>210948</v>
      </c>
      <c r="Q56" s="5">
        <f>SUM(tblPayroll[[#This Row],[BPJS Health (Er)]:[JP (Er)]])</f>
        <v>1263348</v>
      </c>
      <c r="R56" s="5">
        <f>tblPayroll[[#This Row],[Gross Salary]]+tblPayroll[[#This Row],[BPJS Health (Er)]]+tblPayroll[[#This Row],[JKK (Er)]]+tblPayroll[[#This Row],[JKM (Er)]]</f>
        <v>14052900</v>
      </c>
      <c r="S56" s="119">
        <f>IF(tblPayroll[[#This Row],[TER Cat]]="A",_xlfn.XLOOKUP(tblPayroll[[#This Row],[PPh 21 Base]],TerA_L,TerA_R,0,-1),IF(tblPayroll[[#This Row],[TER Cat]]="B",_xlfn.XLOOKUP(tblPayroll[[#This Row],[PPh 21 Base]],TerB_L,TerB_R,0,-1),_xlfn.XLOOKUP(tblPayroll[[#This Row],[PPh 21 Base]],TerC_L,TerC_R,0,-1)))</f>
        <v>0.06</v>
      </c>
      <c r="T56" s="5">
        <f>ROUND(tblPayroll[[#This Row],[PPh 21 Base]]*tblPayroll[[#This Row],[TER Rate]],0)</f>
        <v>843174</v>
      </c>
      <c r="U56" s="5">
        <f>ROUND(MIN(tblPayroll[[#This Row],[Basic Salary]]+tblPayroll[[#This Row],[Fixed Allowance]],BPJSKesCap)*R_KesEe,0)</f>
        <v>120000</v>
      </c>
      <c r="V56" s="5">
        <f>ROUND((tblPayroll[[#This Row],[Basic Salary]]+tblPayroll[[#This Row],[Fixed Allowance]])*R_JHTEe,0)</f>
        <v>270000</v>
      </c>
      <c r="W56" s="5">
        <f>ROUND(MIN(tblPayroll[[#This Row],[Basic Salary]]+tblPayroll[[#This Row],[Fixed Allowance]],JPCap)*R_JPEe,0)</f>
        <v>105474</v>
      </c>
      <c r="X56" s="5">
        <f>tblPayroll[[#This Row],[BPJS Health (Ee)]]+tblPayroll[[#This Row],[JHT (Ee)]]+tblPayroll[[#This Row],[JP (Ee)]]</f>
        <v>495474</v>
      </c>
      <c r="Y56" s="5">
        <f>tblPayroll[[#This Row],[Gross Salary]]-tblPayroll[[#This Row],[PPh 21]]-tblPayroll[[#This Row],[Employee BPJS Total]]</f>
        <v>12161352</v>
      </c>
      <c r="Z56" s="5">
        <f>tblPayroll[[#This Row],[Employer BPJS Total]]+tblPayroll[[#This Row],[Employee BPJS Total]]</f>
        <v>1758822</v>
      </c>
      <c r="AA56" s="5">
        <f>tblPayroll[[#This Row],[Gross Salary]]+tblPayroll[[#This Row],[Employer BPJS Total]]</f>
        <v>14763348</v>
      </c>
      <c r="AB56" s="4">
        <v>1130</v>
      </c>
      <c r="AD56" s="5">
        <v>337000001</v>
      </c>
      <c r="AE56" s="119">
        <v>0.28999999999999998</v>
      </c>
      <c r="AF56" s="5">
        <v>957000001</v>
      </c>
      <c r="AG56" s="119">
        <v>0.33</v>
      </c>
      <c r="AH56" s="5">
        <v>709000001</v>
      </c>
      <c r="AI56" s="119">
        <v>0.32</v>
      </c>
    </row>
    <row r="57" spans="2:35" x14ac:dyDescent="0.35">
      <c r="B57" s="4">
        <v>4</v>
      </c>
      <c r="C57" s="113">
        <v>46137</v>
      </c>
      <c r="D57" s="4" t="s">
        <v>4798</v>
      </c>
      <c r="E57" s="1" t="str">
        <f>_xlfn.XLOOKUP(tblPayroll[[#This Row],[Employee ID]],tblEmployees[Employee ID],tblEmployees[Full Name],"")</f>
        <v>Andi Saputra</v>
      </c>
      <c r="F57" s="1" t="str">
        <f>_xlfn.XLOOKUP(tblPayroll[[#This Row],[Employee ID]],tblEmployees[Employee ID],tblEmployees[Department],"")</f>
        <v>G&amp;A</v>
      </c>
      <c r="G57" s="1" t="str">
        <f>_xlfn.XLOOKUP(tblPayroll[[#This Row],[Employee ID]],tblEmployees[Employee ID],tblEmployees[TER Category],"")</f>
        <v>A</v>
      </c>
      <c r="H57" s="5">
        <f>_xlfn.XLOOKUP(tblPayroll[[#This Row],[Employee ID]],tblEmployees[Employee ID],tblEmployees[Basic Salary],"")</f>
        <v>8500000</v>
      </c>
      <c r="I57" s="5">
        <f>_xlfn.XLOOKUP(tblPayroll[[#This Row],[Employee ID]],tblEmployees[Employee ID],tblEmployees[Fixed Allowance],"")</f>
        <v>1000000</v>
      </c>
      <c r="J57" s="6">
        <v>0</v>
      </c>
      <c r="K57" s="5">
        <f>tblPayroll[[#This Row],[Basic Salary]]+tblPayroll[[#This Row],[Fixed Allowance]]+tblPayroll[[#This Row],[THR / Bonus]]</f>
        <v>9500000</v>
      </c>
      <c r="L57" s="5">
        <f>ROUND(MIN(tblPayroll[[#This Row],[Basic Salary]]+tblPayroll[[#This Row],[Fixed Allowance]],BPJSKesCap)*R_KesEr,0)</f>
        <v>380000</v>
      </c>
      <c r="M57" s="5">
        <f>ROUND((tblPayroll[[#This Row],[Basic Salary]]+tblPayroll[[#This Row],[Fixed Allowance]])*R_JKK,0)</f>
        <v>22800</v>
      </c>
      <c r="N57" s="5">
        <f>ROUND((tblPayroll[[#This Row],[Basic Salary]]+tblPayroll[[#This Row],[Fixed Allowance]])*R_JKM,0)</f>
        <v>28500</v>
      </c>
      <c r="O57" s="5">
        <f>ROUND((tblPayroll[[#This Row],[Basic Salary]]+tblPayroll[[#This Row],[Fixed Allowance]])*R_JHTEr,0)</f>
        <v>351500</v>
      </c>
      <c r="P57" s="5">
        <f>ROUND(MIN(tblPayroll[[#This Row],[Basic Salary]]+tblPayroll[[#This Row],[Fixed Allowance]],JPCap)*R_JPEr,0)</f>
        <v>190000</v>
      </c>
      <c r="Q57" s="5">
        <f>SUM(tblPayroll[[#This Row],[BPJS Health (Er)]:[JP (Er)]])</f>
        <v>972800</v>
      </c>
      <c r="R57" s="5">
        <f>tblPayroll[[#This Row],[Gross Salary]]+tblPayroll[[#This Row],[BPJS Health (Er)]]+tblPayroll[[#This Row],[JKK (Er)]]+tblPayroll[[#This Row],[JKM (Er)]]</f>
        <v>9931300</v>
      </c>
      <c r="S57" s="119">
        <f>IF(tblPayroll[[#This Row],[TER Cat]]="A",_xlfn.XLOOKUP(tblPayroll[[#This Row],[PPh 21 Base]],TerA_L,TerA_R,0,-1),IF(tblPayroll[[#This Row],[TER Cat]]="B",_xlfn.XLOOKUP(tblPayroll[[#This Row],[PPh 21 Base]],TerB_L,TerB_R,0,-1),_xlfn.XLOOKUP(tblPayroll[[#This Row],[PPh 21 Base]],TerC_L,TerC_R,0,-1)))</f>
        <v>0.02</v>
      </c>
      <c r="T57" s="5">
        <f>ROUND(tblPayroll[[#This Row],[PPh 21 Base]]*tblPayroll[[#This Row],[TER Rate]],0)</f>
        <v>198626</v>
      </c>
      <c r="U57" s="5">
        <f>ROUND(MIN(tblPayroll[[#This Row],[Basic Salary]]+tblPayroll[[#This Row],[Fixed Allowance]],BPJSKesCap)*R_KesEe,0)</f>
        <v>95000</v>
      </c>
      <c r="V57" s="5">
        <f>ROUND((tblPayroll[[#This Row],[Basic Salary]]+tblPayroll[[#This Row],[Fixed Allowance]])*R_JHTEe,0)</f>
        <v>190000</v>
      </c>
      <c r="W57" s="5">
        <f>ROUND(MIN(tblPayroll[[#This Row],[Basic Salary]]+tblPayroll[[#This Row],[Fixed Allowance]],JPCap)*R_JPEe,0)</f>
        <v>95000</v>
      </c>
      <c r="X57" s="5">
        <f>tblPayroll[[#This Row],[BPJS Health (Ee)]]+tblPayroll[[#This Row],[JHT (Ee)]]+tblPayroll[[#This Row],[JP (Ee)]]</f>
        <v>380000</v>
      </c>
      <c r="Y57" s="5">
        <f>tblPayroll[[#This Row],[Gross Salary]]-tblPayroll[[#This Row],[PPh 21]]-tblPayroll[[#This Row],[Employee BPJS Total]]</f>
        <v>8921374</v>
      </c>
      <c r="Z57" s="5">
        <f>tblPayroll[[#This Row],[Employer BPJS Total]]+tblPayroll[[#This Row],[Employee BPJS Total]]</f>
        <v>1352800</v>
      </c>
      <c r="AA57" s="5">
        <f>tblPayroll[[#This Row],[Gross Salary]]+tblPayroll[[#This Row],[Employer BPJS Total]]</f>
        <v>10472800</v>
      </c>
      <c r="AB57" s="4">
        <v>1130</v>
      </c>
      <c r="AD57" s="5">
        <v>454000001</v>
      </c>
      <c r="AE57" s="119">
        <v>0.3</v>
      </c>
      <c r="AF57" s="5">
        <v>1405000001</v>
      </c>
      <c r="AG57" s="119">
        <v>0.34</v>
      </c>
      <c r="AH57" s="5">
        <v>965000001</v>
      </c>
      <c r="AI57" s="119">
        <v>0.33</v>
      </c>
    </row>
    <row r="58" spans="2:35" x14ac:dyDescent="0.35">
      <c r="B58" s="4">
        <v>4</v>
      </c>
      <c r="C58" s="113">
        <v>46137</v>
      </c>
      <c r="D58" s="4" t="s">
        <v>4803</v>
      </c>
      <c r="E58" s="1" t="str">
        <f>_xlfn.XLOOKUP(tblPayroll[[#This Row],[Employee ID]],tblEmployees[Employee ID],tblEmployees[Full Name],"")</f>
        <v>Fitri Handayani</v>
      </c>
      <c r="F58" s="1" t="str">
        <f>_xlfn.XLOOKUP(tblPayroll[[#This Row],[Employee ID]],tblEmployees[Employee ID],tblEmployees[Department],"")</f>
        <v>G&amp;A</v>
      </c>
      <c r="G58" s="1" t="str">
        <f>_xlfn.XLOOKUP(tblPayroll[[#This Row],[Employee ID]],tblEmployees[Employee ID],tblEmployees[TER Category],"")</f>
        <v>A</v>
      </c>
      <c r="H58" s="5">
        <f>_xlfn.XLOOKUP(tblPayroll[[#This Row],[Employee ID]],tblEmployees[Employee ID],tblEmployees[Basic Salary],"")</f>
        <v>8000000</v>
      </c>
      <c r="I58" s="5">
        <f>_xlfn.XLOOKUP(tblPayroll[[#This Row],[Employee ID]],tblEmployees[Employee ID],tblEmployees[Fixed Allowance],"")</f>
        <v>1000000</v>
      </c>
      <c r="J58" s="6">
        <v>0</v>
      </c>
      <c r="K58" s="5">
        <f>tblPayroll[[#This Row],[Basic Salary]]+tblPayroll[[#This Row],[Fixed Allowance]]+tblPayroll[[#This Row],[THR / Bonus]]</f>
        <v>9000000</v>
      </c>
      <c r="L58" s="5">
        <f>ROUND(MIN(tblPayroll[[#This Row],[Basic Salary]]+tblPayroll[[#This Row],[Fixed Allowance]],BPJSKesCap)*R_KesEr,0)</f>
        <v>360000</v>
      </c>
      <c r="M58" s="5">
        <f>ROUND((tblPayroll[[#This Row],[Basic Salary]]+tblPayroll[[#This Row],[Fixed Allowance]])*R_JKK,0)</f>
        <v>21600</v>
      </c>
      <c r="N58" s="5">
        <f>ROUND((tblPayroll[[#This Row],[Basic Salary]]+tblPayroll[[#This Row],[Fixed Allowance]])*R_JKM,0)</f>
        <v>27000</v>
      </c>
      <c r="O58" s="5">
        <f>ROUND((tblPayroll[[#This Row],[Basic Salary]]+tblPayroll[[#This Row],[Fixed Allowance]])*R_JHTEr,0)</f>
        <v>333000</v>
      </c>
      <c r="P58" s="5">
        <f>ROUND(MIN(tblPayroll[[#This Row],[Basic Salary]]+tblPayroll[[#This Row],[Fixed Allowance]],JPCap)*R_JPEr,0)</f>
        <v>180000</v>
      </c>
      <c r="Q58" s="5">
        <f>SUM(tblPayroll[[#This Row],[BPJS Health (Er)]:[JP (Er)]])</f>
        <v>921600</v>
      </c>
      <c r="R58" s="5">
        <f>tblPayroll[[#This Row],[Gross Salary]]+tblPayroll[[#This Row],[BPJS Health (Er)]]+tblPayroll[[#This Row],[JKK (Er)]]+tblPayroll[[#This Row],[JKM (Er)]]</f>
        <v>9408600</v>
      </c>
      <c r="S58" s="119">
        <f>IF(tblPayroll[[#This Row],[TER Cat]]="A",_xlfn.XLOOKUP(tblPayroll[[#This Row],[PPh 21 Base]],TerA_L,TerA_R,0,-1),IF(tblPayroll[[#This Row],[TER Cat]]="B",_xlfn.XLOOKUP(tblPayroll[[#This Row],[PPh 21 Base]],TerB_L,TerB_R,0,-1),_xlfn.XLOOKUP(tblPayroll[[#This Row],[PPh 21 Base]],TerC_L,TerC_R,0,-1)))</f>
        <v>1.7500000000000002E-2</v>
      </c>
      <c r="T58" s="5">
        <f>ROUND(tblPayroll[[#This Row],[PPh 21 Base]]*tblPayroll[[#This Row],[TER Rate]],0)</f>
        <v>164651</v>
      </c>
      <c r="U58" s="5">
        <f>ROUND(MIN(tblPayroll[[#This Row],[Basic Salary]]+tblPayroll[[#This Row],[Fixed Allowance]],BPJSKesCap)*R_KesEe,0)</f>
        <v>90000</v>
      </c>
      <c r="V58" s="5">
        <f>ROUND((tblPayroll[[#This Row],[Basic Salary]]+tblPayroll[[#This Row],[Fixed Allowance]])*R_JHTEe,0)</f>
        <v>180000</v>
      </c>
      <c r="W58" s="5">
        <f>ROUND(MIN(tblPayroll[[#This Row],[Basic Salary]]+tblPayroll[[#This Row],[Fixed Allowance]],JPCap)*R_JPEe,0)</f>
        <v>90000</v>
      </c>
      <c r="X58" s="5">
        <f>tblPayroll[[#This Row],[BPJS Health (Ee)]]+tblPayroll[[#This Row],[JHT (Ee)]]+tblPayroll[[#This Row],[JP (Ee)]]</f>
        <v>360000</v>
      </c>
      <c r="Y58" s="5">
        <f>tblPayroll[[#This Row],[Gross Salary]]-tblPayroll[[#This Row],[PPh 21]]-tblPayroll[[#This Row],[Employee BPJS Total]]</f>
        <v>8475349</v>
      </c>
      <c r="Z58" s="5">
        <f>tblPayroll[[#This Row],[Employer BPJS Total]]+tblPayroll[[#This Row],[Employee BPJS Total]]</f>
        <v>1281600</v>
      </c>
      <c r="AA58" s="5">
        <f>tblPayroll[[#This Row],[Gross Salary]]+tblPayroll[[#This Row],[Employer BPJS Total]]</f>
        <v>9921600</v>
      </c>
      <c r="AB58" s="4">
        <v>1130</v>
      </c>
      <c r="AD58" s="5">
        <v>550000001</v>
      </c>
      <c r="AE58" s="119">
        <v>0.31</v>
      </c>
      <c r="AF58" s="5"/>
      <c r="AG58" s="119"/>
      <c r="AH58" s="5">
        <v>1419000001</v>
      </c>
      <c r="AI58" s="119">
        <v>0.34</v>
      </c>
    </row>
    <row r="59" spans="2:35" x14ac:dyDescent="0.35">
      <c r="B59" s="4">
        <v>4</v>
      </c>
      <c r="C59" s="113">
        <v>46137</v>
      </c>
      <c r="D59" s="4" t="s">
        <v>4809</v>
      </c>
      <c r="E59" s="1" t="str">
        <f>_xlfn.XLOOKUP(tblPayroll[[#This Row],[Employee ID]],tblEmployees[Employee ID],tblEmployees[Full Name],"")</f>
        <v>Rizky Ramadhan</v>
      </c>
      <c r="F59" s="1" t="str">
        <f>_xlfn.XLOOKUP(tblPayroll[[#This Row],[Employee ID]],tblEmployees[Employee ID],tblEmployees[Department],"")</f>
        <v>Selling</v>
      </c>
      <c r="G59" s="1" t="str">
        <f>_xlfn.XLOOKUP(tblPayroll[[#This Row],[Employee ID]],tblEmployees[Employee ID],tblEmployees[TER Category],"")</f>
        <v>A</v>
      </c>
      <c r="H59" s="5">
        <f>_xlfn.XLOOKUP(tblPayroll[[#This Row],[Employee ID]],tblEmployees[Employee ID],tblEmployees[Basic Salary],"")</f>
        <v>9000000</v>
      </c>
      <c r="I59" s="5">
        <f>_xlfn.XLOOKUP(tblPayroll[[#This Row],[Employee ID]],tblEmployees[Employee ID],tblEmployees[Fixed Allowance],"")</f>
        <v>1500000</v>
      </c>
      <c r="J59" s="6">
        <v>0</v>
      </c>
      <c r="K59" s="5">
        <f>tblPayroll[[#This Row],[Basic Salary]]+tblPayroll[[#This Row],[Fixed Allowance]]+tblPayroll[[#This Row],[THR / Bonus]]</f>
        <v>10500000</v>
      </c>
      <c r="L59" s="5">
        <f>ROUND(MIN(tblPayroll[[#This Row],[Basic Salary]]+tblPayroll[[#This Row],[Fixed Allowance]],BPJSKesCap)*R_KesEr,0)</f>
        <v>420000</v>
      </c>
      <c r="M59" s="5">
        <f>ROUND((tblPayroll[[#This Row],[Basic Salary]]+tblPayroll[[#This Row],[Fixed Allowance]])*R_JKK,0)</f>
        <v>25200</v>
      </c>
      <c r="N59" s="5">
        <f>ROUND((tblPayroll[[#This Row],[Basic Salary]]+tblPayroll[[#This Row],[Fixed Allowance]])*R_JKM,0)</f>
        <v>31500</v>
      </c>
      <c r="O59" s="5">
        <f>ROUND((tblPayroll[[#This Row],[Basic Salary]]+tblPayroll[[#This Row],[Fixed Allowance]])*R_JHTEr,0)</f>
        <v>388500</v>
      </c>
      <c r="P59" s="5">
        <f>ROUND(MIN(tblPayroll[[#This Row],[Basic Salary]]+tblPayroll[[#This Row],[Fixed Allowance]],JPCap)*R_JPEr,0)</f>
        <v>210000</v>
      </c>
      <c r="Q59" s="5">
        <f>SUM(tblPayroll[[#This Row],[BPJS Health (Er)]:[JP (Er)]])</f>
        <v>1075200</v>
      </c>
      <c r="R59" s="5">
        <f>tblPayroll[[#This Row],[Gross Salary]]+tblPayroll[[#This Row],[BPJS Health (Er)]]+tblPayroll[[#This Row],[JKK (Er)]]+tblPayroll[[#This Row],[JKM (Er)]]</f>
        <v>10976700</v>
      </c>
      <c r="S59" s="119">
        <f>IF(tblPayroll[[#This Row],[TER Cat]]="A",_xlfn.XLOOKUP(tblPayroll[[#This Row],[PPh 21 Base]],TerA_L,TerA_R,0,-1),IF(tblPayroll[[#This Row],[TER Cat]]="B",_xlfn.XLOOKUP(tblPayroll[[#This Row],[PPh 21 Base]],TerB_L,TerB_R,0,-1),_xlfn.XLOOKUP(tblPayroll[[#This Row],[PPh 21 Base]],TerC_L,TerC_R,0,-1)))</f>
        <v>0.03</v>
      </c>
      <c r="T59" s="5">
        <f>ROUND(tblPayroll[[#This Row],[PPh 21 Base]]*tblPayroll[[#This Row],[TER Rate]],0)</f>
        <v>329301</v>
      </c>
      <c r="U59" s="5">
        <f>ROUND(MIN(tblPayroll[[#This Row],[Basic Salary]]+tblPayroll[[#This Row],[Fixed Allowance]],BPJSKesCap)*R_KesEe,0)</f>
        <v>105000</v>
      </c>
      <c r="V59" s="5">
        <f>ROUND((tblPayroll[[#This Row],[Basic Salary]]+tblPayroll[[#This Row],[Fixed Allowance]])*R_JHTEe,0)</f>
        <v>210000</v>
      </c>
      <c r="W59" s="5">
        <f>ROUND(MIN(tblPayroll[[#This Row],[Basic Salary]]+tblPayroll[[#This Row],[Fixed Allowance]],JPCap)*R_JPEe,0)</f>
        <v>105000</v>
      </c>
      <c r="X59" s="5">
        <f>tblPayroll[[#This Row],[BPJS Health (Ee)]]+tblPayroll[[#This Row],[JHT (Ee)]]+tblPayroll[[#This Row],[JP (Ee)]]</f>
        <v>420000</v>
      </c>
      <c r="Y59" s="5">
        <f>tblPayroll[[#This Row],[Gross Salary]]-tblPayroll[[#This Row],[PPh 21]]-tblPayroll[[#This Row],[Employee BPJS Total]]</f>
        <v>9750699</v>
      </c>
      <c r="Z59" s="5">
        <f>tblPayroll[[#This Row],[Employer BPJS Total]]+tblPayroll[[#This Row],[Employee BPJS Total]]</f>
        <v>1495200</v>
      </c>
      <c r="AA59" s="5">
        <f>tblPayroll[[#This Row],[Gross Salary]]+tblPayroll[[#This Row],[Employer BPJS Total]]</f>
        <v>11575200</v>
      </c>
      <c r="AB59" s="4">
        <v>1130</v>
      </c>
      <c r="AD59" s="5">
        <v>695000001</v>
      </c>
      <c r="AE59" s="119">
        <v>0.32</v>
      </c>
      <c r="AF59" s="5"/>
      <c r="AG59" s="119"/>
      <c r="AH59" s="5"/>
      <c r="AI59" s="119"/>
    </row>
    <row r="60" spans="2:35" x14ac:dyDescent="0.35">
      <c r="B60" s="4">
        <v>4</v>
      </c>
      <c r="C60" s="113">
        <v>46137</v>
      </c>
      <c r="D60" s="4" t="s">
        <v>4814</v>
      </c>
      <c r="E60" s="1" t="str">
        <f>_xlfn.XLOOKUP(tblPayroll[[#This Row],[Employee ID]],tblEmployees[Employee ID],tblEmployees[Full Name],"")</f>
        <v>Nadia Putri</v>
      </c>
      <c r="F60" s="1" t="str">
        <f>_xlfn.XLOOKUP(tblPayroll[[#This Row],[Employee ID]],tblEmployees[Employee ID],tblEmployees[Department],"")</f>
        <v>Selling</v>
      </c>
      <c r="G60" s="1" t="str">
        <f>_xlfn.XLOOKUP(tblPayroll[[#This Row],[Employee ID]],tblEmployees[Employee ID],tblEmployees[TER Category],"")</f>
        <v>A</v>
      </c>
      <c r="H60" s="5">
        <f>_xlfn.XLOOKUP(tblPayroll[[#This Row],[Employee ID]],tblEmployees[Employee ID],tblEmployees[Basic Salary],"")</f>
        <v>5800000</v>
      </c>
      <c r="I60" s="5">
        <f>_xlfn.XLOOKUP(tblPayroll[[#This Row],[Employee ID]],tblEmployees[Employee ID],tblEmployees[Fixed Allowance],"")</f>
        <v>700000</v>
      </c>
      <c r="J60" s="6">
        <v>0</v>
      </c>
      <c r="K60" s="5">
        <f>tblPayroll[[#This Row],[Basic Salary]]+tblPayroll[[#This Row],[Fixed Allowance]]+tblPayroll[[#This Row],[THR / Bonus]]</f>
        <v>6500000</v>
      </c>
      <c r="L60" s="5">
        <f>ROUND(MIN(tblPayroll[[#This Row],[Basic Salary]]+tblPayroll[[#This Row],[Fixed Allowance]],BPJSKesCap)*R_KesEr,0)</f>
        <v>260000</v>
      </c>
      <c r="M60" s="5">
        <f>ROUND((tblPayroll[[#This Row],[Basic Salary]]+tblPayroll[[#This Row],[Fixed Allowance]])*R_JKK,0)</f>
        <v>15600</v>
      </c>
      <c r="N60" s="5">
        <f>ROUND((tblPayroll[[#This Row],[Basic Salary]]+tblPayroll[[#This Row],[Fixed Allowance]])*R_JKM,0)</f>
        <v>19500</v>
      </c>
      <c r="O60" s="5">
        <f>ROUND((tblPayroll[[#This Row],[Basic Salary]]+tblPayroll[[#This Row],[Fixed Allowance]])*R_JHTEr,0)</f>
        <v>240500</v>
      </c>
      <c r="P60" s="5">
        <f>ROUND(MIN(tblPayroll[[#This Row],[Basic Salary]]+tblPayroll[[#This Row],[Fixed Allowance]],JPCap)*R_JPEr,0)</f>
        <v>130000</v>
      </c>
      <c r="Q60" s="5">
        <f>SUM(tblPayroll[[#This Row],[BPJS Health (Er)]:[JP (Er)]])</f>
        <v>665600</v>
      </c>
      <c r="R60" s="5">
        <f>tblPayroll[[#This Row],[Gross Salary]]+tblPayroll[[#This Row],[BPJS Health (Er)]]+tblPayroll[[#This Row],[JKK (Er)]]+tblPayroll[[#This Row],[JKM (Er)]]</f>
        <v>6795100</v>
      </c>
      <c r="S60" s="119">
        <f>IF(tblPayroll[[#This Row],[TER Cat]]="A",_xlfn.XLOOKUP(tblPayroll[[#This Row],[PPh 21 Base]],TerA_L,TerA_R,0,-1),IF(tblPayroll[[#This Row],[TER Cat]]="B",_xlfn.XLOOKUP(tblPayroll[[#This Row],[PPh 21 Base]],TerB_L,TerB_R,0,-1),_xlfn.XLOOKUP(tblPayroll[[#This Row],[PPh 21 Base]],TerC_L,TerC_R,0,-1)))</f>
        <v>1.2500000000000001E-2</v>
      </c>
      <c r="T60" s="5">
        <f>ROUND(tblPayroll[[#This Row],[PPh 21 Base]]*tblPayroll[[#This Row],[TER Rate]],0)</f>
        <v>84939</v>
      </c>
      <c r="U60" s="5">
        <f>ROUND(MIN(tblPayroll[[#This Row],[Basic Salary]]+tblPayroll[[#This Row],[Fixed Allowance]],BPJSKesCap)*R_KesEe,0)</f>
        <v>65000</v>
      </c>
      <c r="V60" s="5">
        <f>ROUND((tblPayroll[[#This Row],[Basic Salary]]+tblPayroll[[#This Row],[Fixed Allowance]])*R_JHTEe,0)</f>
        <v>130000</v>
      </c>
      <c r="W60" s="5">
        <f>ROUND(MIN(tblPayroll[[#This Row],[Basic Salary]]+tblPayroll[[#This Row],[Fixed Allowance]],JPCap)*R_JPEe,0)</f>
        <v>65000</v>
      </c>
      <c r="X60" s="5">
        <f>tblPayroll[[#This Row],[BPJS Health (Ee)]]+tblPayroll[[#This Row],[JHT (Ee)]]+tblPayroll[[#This Row],[JP (Ee)]]</f>
        <v>260000</v>
      </c>
      <c r="Y60" s="5">
        <f>tblPayroll[[#This Row],[Gross Salary]]-tblPayroll[[#This Row],[PPh 21]]-tblPayroll[[#This Row],[Employee BPJS Total]]</f>
        <v>6155061</v>
      </c>
      <c r="Z60" s="5">
        <f>tblPayroll[[#This Row],[Employer BPJS Total]]+tblPayroll[[#This Row],[Employee BPJS Total]]</f>
        <v>925600</v>
      </c>
      <c r="AA60" s="5">
        <f>tblPayroll[[#This Row],[Gross Salary]]+tblPayroll[[#This Row],[Employer BPJS Total]]</f>
        <v>7165600</v>
      </c>
      <c r="AB60" s="4">
        <v>1130</v>
      </c>
      <c r="AD60" s="5">
        <v>910000001</v>
      </c>
      <c r="AE60" s="119">
        <v>0.33</v>
      </c>
      <c r="AF60" s="5"/>
      <c r="AG60" s="119"/>
      <c r="AH60" s="5"/>
      <c r="AI60" s="119"/>
    </row>
    <row r="61" spans="2:35" x14ac:dyDescent="0.35">
      <c r="B61" s="4">
        <v>4</v>
      </c>
      <c r="C61" s="113">
        <v>46137</v>
      </c>
      <c r="D61" s="4" t="s">
        <v>4819</v>
      </c>
      <c r="E61" s="1" t="str">
        <f>_xlfn.XLOOKUP(tblPayroll[[#This Row],[Employee ID]],tblEmployees[Employee ID],tblEmployees[Full Name],"")</f>
        <v>Dimas Pratama</v>
      </c>
      <c r="F61" s="1" t="str">
        <f>_xlfn.XLOOKUP(tblPayroll[[#This Row],[Employee ID]],tblEmployees[Employee ID],tblEmployees[Department],"")</f>
        <v>Selling</v>
      </c>
      <c r="G61" s="1" t="str">
        <f>_xlfn.XLOOKUP(tblPayroll[[#This Row],[Employee ID]],tblEmployees[Employee ID],tblEmployees[TER Category],"")</f>
        <v>A</v>
      </c>
      <c r="H61" s="5">
        <f>_xlfn.XLOOKUP(tblPayroll[[#This Row],[Employee ID]],tblEmployees[Employee ID],tblEmployees[Basic Salary],"")</f>
        <v>5800000</v>
      </c>
      <c r="I61" s="5">
        <f>_xlfn.XLOOKUP(tblPayroll[[#This Row],[Employee ID]],tblEmployees[Employee ID],tblEmployees[Fixed Allowance],"")</f>
        <v>700000</v>
      </c>
      <c r="J61" s="6">
        <v>0</v>
      </c>
      <c r="K61" s="5">
        <f>tblPayroll[[#This Row],[Basic Salary]]+tblPayroll[[#This Row],[Fixed Allowance]]+tblPayroll[[#This Row],[THR / Bonus]]</f>
        <v>6500000</v>
      </c>
      <c r="L61" s="5">
        <f>ROUND(MIN(tblPayroll[[#This Row],[Basic Salary]]+tblPayroll[[#This Row],[Fixed Allowance]],BPJSKesCap)*R_KesEr,0)</f>
        <v>260000</v>
      </c>
      <c r="M61" s="5">
        <f>ROUND((tblPayroll[[#This Row],[Basic Salary]]+tblPayroll[[#This Row],[Fixed Allowance]])*R_JKK,0)</f>
        <v>15600</v>
      </c>
      <c r="N61" s="5">
        <f>ROUND((tblPayroll[[#This Row],[Basic Salary]]+tblPayroll[[#This Row],[Fixed Allowance]])*R_JKM,0)</f>
        <v>19500</v>
      </c>
      <c r="O61" s="5">
        <f>ROUND((tblPayroll[[#This Row],[Basic Salary]]+tblPayroll[[#This Row],[Fixed Allowance]])*R_JHTEr,0)</f>
        <v>240500</v>
      </c>
      <c r="P61" s="5">
        <f>ROUND(MIN(tblPayroll[[#This Row],[Basic Salary]]+tblPayroll[[#This Row],[Fixed Allowance]],JPCap)*R_JPEr,0)</f>
        <v>130000</v>
      </c>
      <c r="Q61" s="5">
        <f>SUM(tblPayroll[[#This Row],[BPJS Health (Er)]:[JP (Er)]])</f>
        <v>665600</v>
      </c>
      <c r="R61" s="5">
        <f>tblPayroll[[#This Row],[Gross Salary]]+tblPayroll[[#This Row],[BPJS Health (Er)]]+tblPayroll[[#This Row],[JKK (Er)]]+tblPayroll[[#This Row],[JKM (Er)]]</f>
        <v>6795100</v>
      </c>
      <c r="S61" s="119">
        <f>IF(tblPayroll[[#This Row],[TER Cat]]="A",_xlfn.XLOOKUP(tblPayroll[[#This Row],[PPh 21 Base]],TerA_L,TerA_R,0,-1),IF(tblPayroll[[#This Row],[TER Cat]]="B",_xlfn.XLOOKUP(tblPayroll[[#This Row],[PPh 21 Base]],TerB_L,TerB_R,0,-1),_xlfn.XLOOKUP(tblPayroll[[#This Row],[PPh 21 Base]],TerC_L,TerC_R,0,-1)))</f>
        <v>1.2500000000000001E-2</v>
      </c>
      <c r="T61" s="5">
        <f>ROUND(tblPayroll[[#This Row],[PPh 21 Base]]*tblPayroll[[#This Row],[TER Rate]],0)</f>
        <v>84939</v>
      </c>
      <c r="U61" s="5">
        <f>ROUND(MIN(tblPayroll[[#This Row],[Basic Salary]]+tblPayroll[[#This Row],[Fixed Allowance]],BPJSKesCap)*R_KesEe,0)</f>
        <v>65000</v>
      </c>
      <c r="V61" s="5">
        <f>ROUND((tblPayroll[[#This Row],[Basic Salary]]+tblPayroll[[#This Row],[Fixed Allowance]])*R_JHTEe,0)</f>
        <v>130000</v>
      </c>
      <c r="W61" s="5">
        <f>ROUND(MIN(tblPayroll[[#This Row],[Basic Salary]]+tblPayroll[[#This Row],[Fixed Allowance]],JPCap)*R_JPEe,0)</f>
        <v>65000</v>
      </c>
      <c r="X61" s="5">
        <f>tblPayroll[[#This Row],[BPJS Health (Ee)]]+tblPayroll[[#This Row],[JHT (Ee)]]+tblPayroll[[#This Row],[JP (Ee)]]</f>
        <v>260000</v>
      </c>
      <c r="Y61" s="5">
        <f>tblPayroll[[#This Row],[Gross Salary]]-tblPayroll[[#This Row],[PPh 21]]-tblPayroll[[#This Row],[Employee BPJS Total]]</f>
        <v>6155061</v>
      </c>
      <c r="Z61" s="5">
        <f>tblPayroll[[#This Row],[Employer BPJS Total]]+tblPayroll[[#This Row],[Employee BPJS Total]]</f>
        <v>925600</v>
      </c>
      <c r="AA61" s="5">
        <f>tblPayroll[[#This Row],[Gross Salary]]+tblPayroll[[#This Row],[Employer BPJS Total]]</f>
        <v>7165600</v>
      </c>
      <c r="AB61" s="4">
        <v>1130</v>
      </c>
      <c r="AD61" s="5">
        <v>1400000001</v>
      </c>
      <c r="AE61" s="119">
        <v>0.34</v>
      </c>
      <c r="AF61" s="5"/>
      <c r="AG61" s="119"/>
      <c r="AH61" s="5"/>
      <c r="AI61" s="119"/>
    </row>
    <row r="62" spans="2:35" x14ac:dyDescent="0.35">
      <c r="B62" s="4">
        <v>4</v>
      </c>
      <c r="C62" s="113">
        <v>46137</v>
      </c>
      <c r="D62" s="4" t="s">
        <v>4823</v>
      </c>
      <c r="E62" s="1" t="str">
        <f>_xlfn.XLOOKUP(tblPayroll[[#This Row],[Employee ID]],tblEmployees[Employee ID],tblEmployees[Full Name],"")</f>
        <v>Yusuf Hidayat</v>
      </c>
      <c r="F62" s="1" t="str">
        <f>_xlfn.XLOOKUP(tblPayroll[[#This Row],[Employee ID]],tblEmployees[Employee ID],tblEmployees[Department],"")</f>
        <v>Selling</v>
      </c>
      <c r="G62" s="1" t="str">
        <f>_xlfn.XLOOKUP(tblPayroll[[#This Row],[Employee ID]],tblEmployees[Employee ID],tblEmployees[TER Category],"")</f>
        <v>B</v>
      </c>
      <c r="H62" s="5">
        <f>_xlfn.XLOOKUP(tblPayroll[[#This Row],[Employee ID]],tblEmployees[Employee ID],tblEmployees[Basic Salary],"")</f>
        <v>7500000</v>
      </c>
      <c r="I62" s="5">
        <f>_xlfn.XLOOKUP(tblPayroll[[#This Row],[Employee ID]],tblEmployees[Employee ID],tblEmployees[Fixed Allowance],"")</f>
        <v>1000000</v>
      </c>
      <c r="J62" s="6">
        <v>0</v>
      </c>
      <c r="K62" s="5">
        <f>tblPayroll[[#This Row],[Basic Salary]]+tblPayroll[[#This Row],[Fixed Allowance]]+tblPayroll[[#This Row],[THR / Bonus]]</f>
        <v>8500000</v>
      </c>
      <c r="L62" s="5">
        <f>ROUND(MIN(tblPayroll[[#This Row],[Basic Salary]]+tblPayroll[[#This Row],[Fixed Allowance]],BPJSKesCap)*R_KesEr,0)</f>
        <v>340000</v>
      </c>
      <c r="M62" s="5">
        <f>ROUND((tblPayroll[[#This Row],[Basic Salary]]+tblPayroll[[#This Row],[Fixed Allowance]])*R_JKK,0)</f>
        <v>20400</v>
      </c>
      <c r="N62" s="5">
        <f>ROUND((tblPayroll[[#This Row],[Basic Salary]]+tblPayroll[[#This Row],[Fixed Allowance]])*R_JKM,0)</f>
        <v>25500</v>
      </c>
      <c r="O62" s="5">
        <f>ROUND((tblPayroll[[#This Row],[Basic Salary]]+tblPayroll[[#This Row],[Fixed Allowance]])*R_JHTEr,0)</f>
        <v>314500</v>
      </c>
      <c r="P62" s="5">
        <f>ROUND(MIN(tblPayroll[[#This Row],[Basic Salary]]+tblPayroll[[#This Row],[Fixed Allowance]],JPCap)*R_JPEr,0)</f>
        <v>170000</v>
      </c>
      <c r="Q62" s="5">
        <f>SUM(tblPayroll[[#This Row],[BPJS Health (Er)]:[JP (Er)]])</f>
        <v>870400</v>
      </c>
      <c r="R62" s="5">
        <f>tblPayroll[[#This Row],[Gross Salary]]+tblPayroll[[#This Row],[BPJS Health (Er)]]+tblPayroll[[#This Row],[JKK (Er)]]+tblPayroll[[#This Row],[JKM (Er)]]</f>
        <v>8885900</v>
      </c>
      <c r="S62" s="119">
        <f>IF(tblPayroll[[#This Row],[TER Cat]]="A",_xlfn.XLOOKUP(tblPayroll[[#This Row],[PPh 21 Base]],TerA_L,TerA_R,0,-1),IF(tblPayroll[[#This Row],[TER Cat]]="B",_xlfn.XLOOKUP(tblPayroll[[#This Row],[PPh 21 Base]],TerB_L,TerB_R,0,-1),_xlfn.XLOOKUP(tblPayroll[[#This Row],[PPh 21 Base]],TerC_L,TerC_R,0,-1)))</f>
        <v>0.01</v>
      </c>
      <c r="T62" s="5">
        <f>ROUND(tblPayroll[[#This Row],[PPh 21 Base]]*tblPayroll[[#This Row],[TER Rate]],0)</f>
        <v>88859</v>
      </c>
      <c r="U62" s="5">
        <f>ROUND(MIN(tblPayroll[[#This Row],[Basic Salary]]+tblPayroll[[#This Row],[Fixed Allowance]],BPJSKesCap)*R_KesEe,0)</f>
        <v>85000</v>
      </c>
      <c r="V62" s="5">
        <f>ROUND((tblPayroll[[#This Row],[Basic Salary]]+tblPayroll[[#This Row],[Fixed Allowance]])*R_JHTEe,0)</f>
        <v>170000</v>
      </c>
      <c r="W62" s="5">
        <f>ROUND(MIN(tblPayroll[[#This Row],[Basic Salary]]+tblPayroll[[#This Row],[Fixed Allowance]],JPCap)*R_JPEe,0)</f>
        <v>85000</v>
      </c>
      <c r="X62" s="5">
        <f>tblPayroll[[#This Row],[BPJS Health (Ee)]]+tblPayroll[[#This Row],[JHT (Ee)]]+tblPayroll[[#This Row],[JP (Ee)]]</f>
        <v>340000</v>
      </c>
      <c r="Y62" s="5">
        <f>tblPayroll[[#This Row],[Gross Salary]]-tblPayroll[[#This Row],[PPh 21]]-tblPayroll[[#This Row],[Employee BPJS Total]]</f>
        <v>8071141</v>
      </c>
      <c r="Z62" s="5">
        <f>tblPayroll[[#This Row],[Employer BPJS Total]]+tblPayroll[[#This Row],[Employee BPJS Total]]</f>
        <v>1210400</v>
      </c>
      <c r="AA62" s="5">
        <f>tblPayroll[[#This Row],[Gross Salary]]+tblPayroll[[#This Row],[Employer BPJS Total]]</f>
        <v>9370400</v>
      </c>
      <c r="AB62" s="4">
        <v>1130</v>
      </c>
    </row>
    <row r="63" spans="2:35" x14ac:dyDescent="0.35">
      <c r="B63" s="4">
        <v>4</v>
      </c>
      <c r="C63" s="113">
        <v>46137</v>
      </c>
      <c r="D63" s="4" t="s">
        <v>4828</v>
      </c>
      <c r="E63" s="1" t="str">
        <f>_xlfn.XLOOKUP(tblPayroll[[#This Row],[Employee ID]],tblEmployees[Employee ID],tblEmployees[Full Name],"")</f>
        <v>Lestari Wulandari</v>
      </c>
      <c r="F63" s="1" t="str">
        <f>_xlfn.XLOOKUP(tblPayroll[[#This Row],[Employee ID]],tblEmployees[Employee ID],tblEmployees[Department],"")</f>
        <v>Selling</v>
      </c>
      <c r="G63" s="1" t="str">
        <f>_xlfn.XLOOKUP(tblPayroll[[#This Row],[Employee ID]],tblEmployees[Employee ID],tblEmployees[TER Category],"")</f>
        <v>A</v>
      </c>
      <c r="H63" s="5">
        <f>_xlfn.XLOOKUP(tblPayroll[[#This Row],[Employee ID]],tblEmployees[Employee ID],tblEmployees[Basic Salary],"")</f>
        <v>5600000</v>
      </c>
      <c r="I63" s="5">
        <f>_xlfn.XLOOKUP(tblPayroll[[#This Row],[Employee ID]],tblEmployees[Employee ID],tblEmployees[Fixed Allowance],"")</f>
        <v>600000</v>
      </c>
      <c r="J63" s="6">
        <v>0</v>
      </c>
      <c r="K63" s="5">
        <f>tblPayroll[[#This Row],[Basic Salary]]+tblPayroll[[#This Row],[Fixed Allowance]]+tblPayroll[[#This Row],[THR / Bonus]]</f>
        <v>6200000</v>
      </c>
      <c r="L63" s="5">
        <f>ROUND(MIN(tblPayroll[[#This Row],[Basic Salary]]+tblPayroll[[#This Row],[Fixed Allowance]],BPJSKesCap)*R_KesEr,0)</f>
        <v>248000</v>
      </c>
      <c r="M63" s="5">
        <f>ROUND((tblPayroll[[#This Row],[Basic Salary]]+tblPayroll[[#This Row],[Fixed Allowance]])*R_JKK,0)</f>
        <v>14880</v>
      </c>
      <c r="N63" s="5">
        <f>ROUND((tblPayroll[[#This Row],[Basic Salary]]+tblPayroll[[#This Row],[Fixed Allowance]])*R_JKM,0)</f>
        <v>18600</v>
      </c>
      <c r="O63" s="5">
        <f>ROUND((tblPayroll[[#This Row],[Basic Salary]]+tblPayroll[[#This Row],[Fixed Allowance]])*R_JHTEr,0)</f>
        <v>229400</v>
      </c>
      <c r="P63" s="5">
        <f>ROUND(MIN(tblPayroll[[#This Row],[Basic Salary]]+tblPayroll[[#This Row],[Fixed Allowance]],JPCap)*R_JPEr,0)</f>
        <v>124000</v>
      </c>
      <c r="Q63" s="5">
        <f>SUM(tblPayroll[[#This Row],[BPJS Health (Er)]:[JP (Er)]])</f>
        <v>634880</v>
      </c>
      <c r="R63" s="5">
        <f>tblPayroll[[#This Row],[Gross Salary]]+tblPayroll[[#This Row],[BPJS Health (Er)]]+tblPayroll[[#This Row],[JKK (Er)]]+tblPayroll[[#This Row],[JKM (Er)]]</f>
        <v>6481480</v>
      </c>
      <c r="S63" s="119">
        <f>IF(tblPayroll[[#This Row],[TER Cat]]="A",_xlfn.XLOOKUP(tblPayroll[[#This Row],[PPh 21 Base]],TerA_L,TerA_R,0,-1),IF(tblPayroll[[#This Row],[TER Cat]]="B",_xlfn.XLOOKUP(tblPayroll[[#This Row],[PPh 21 Base]],TerB_L,TerB_R,0,-1),_xlfn.XLOOKUP(tblPayroll[[#This Row],[PPh 21 Base]],TerC_L,TerC_R,0,-1)))</f>
        <v>0.01</v>
      </c>
      <c r="T63" s="5">
        <f>ROUND(tblPayroll[[#This Row],[PPh 21 Base]]*tblPayroll[[#This Row],[TER Rate]],0)</f>
        <v>64815</v>
      </c>
      <c r="U63" s="5">
        <f>ROUND(MIN(tblPayroll[[#This Row],[Basic Salary]]+tblPayroll[[#This Row],[Fixed Allowance]],BPJSKesCap)*R_KesEe,0)</f>
        <v>62000</v>
      </c>
      <c r="V63" s="5">
        <f>ROUND((tblPayroll[[#This Row],[Basic Salary]]+tblPayroll[[#This Row],[Fixed Allowance]])*R_JHTEe,0)</f>
        <v>124000</v>
      </c>
      <c r="W63" s="5">
        <f>ROUND(MIN(tblPayroll[[#This Row],[Basic Salary]]+tblPayroll[[#This Row],[Fixed Allowance]],JPCap)*R_JPEe,0)</f>
        <v>62000</v>
      </c>
      <c r="X63" s="5">
        <f>tblPayroll[[#This Row],[BPJS Health (Ee)]]+tblPayroll[[#This Row],[JHT (Ee)]]+tblPayroll[[#This Row],[JP (Ee)]]</f>
        <v>248000</v>
      </c>
      <c r="Y63" s="5">
        <f>tblPayroll[[#This Row],[Gross Salary]]-tblPayroll[[#This Row],[PPh 21]]-tblPayroll[[#This Row],[Employee BPJS Total]]</f>
        <v>5887185</v>
      </c>
      <c r="Z63" s="5">
        <f>tblPayroll[[#This Row],[Employer BPJS Total]]+tblPayroll[[#This Row],[Employee BPJS Total]]</f>
        <v>882880</v>
      </c>
      <c r="AA63" s="5">
        <f>tblPayroll[[#This Row],[Gross Salary]]+tblPayroll[[#This Row],[Employer BPJS Total]]</f>
        <v>6834880</v>
      </c>
      <c r="AB63" s="4">
        <v>1130</v>
      </c>
    </row>
    <row r="64" spans="2:35" x14ac:dyDescent="0.35">
      <c r="B64" s="4">
        <v>4</v>
      </c>
      <c r="C64" s="113">
        <v>46137</v>
      </c>
      <c r="D64" s="4" t="s">
        <v>4834</v>
      </c>
      <c r="E64" s="1" t="str">
        <f>_xlfn.XLOOKUP(tblPayroll[[#This Row],[Employee ID]],tblEmployees[Employee ID],tblEmployees[Full Name],"")</f>
        <v>Bayu Nugroho</v>
      </c>
      <c r="F64" s="1" t="str">
        <f>_xlfn.XLOOKUP(tblPayroll[[#This Row],[Employee ID]],tblEmployees[Employee ID],tblEmployees[Department],"")</f>
        <v>Selling</v>
      </c>
      <c r="G64" s="1" t="str">
        <f>_xlfn.XLOOKUP(tblPayroll[[#This Row],[Employee ID]],tblEmployees[Employee ID],tblEmployees[TER Category],"")</f>
        <v>B</v>
      </c>
      <c r="H64" s="5">
        <f>_xlfn.XLOOKUP(tblPayroll[[#This Row],[Employee ID]],tblEmployees[Employee ID],tblEmployees[Basic Salary],"")</f>
        <v>5600000</v>
      </c>
      <c r="I64" s="5">
        <f>_xlfn.XLOOKUP(tblPayroll[[#This Row],[Employee ID]],tblEmployees[Employee ID],tblEmployees[Fixed Allowance],"")</f>
        <v>600000</v>
      </c>
      <c r="J64" s="6">
        <v>0</v>
      </c>
      <c r="K64" s="5">
        <f>tblPayroll[[#This Row],[Basic Salary]]+tblPayroll[[#This Row],[Fixed Allowance]]+tblPayroll[[#This Row],[THR / Bonus]]</f>
        <v>6200000</v>
      </c>
      <c r="L64" s="5">
        <f>ROUND(MIN(tblPayroll[[#This Row],[Basic Salary]]+tblPayroll[[#This Row],[Fixed Allowance]],BPJSKesCap)*R_KesEr,0)</f>
        <v>248000</v>
      </c>
      <c r="M64" s="5">
        <f>ROUND((tblPayroll[[#This Row],[Basic Salary]]+tblPayroll[[#This Row],[Fixed Allowance]])*R_JKK,0)</f>
        <v>14880</v>
      </c>
      <c r="N64" s="5">
        <f>ROUND((tblPayroll[[#This Row],[Basic Salary]]+tblPayroll[[#This Row],[Fixed Allowance]])*R_JKM,0)</f>
        <v>18600</v>
      </c>
      <c r="O64" s="5">
        <f>ROUND((tblPayroll[[#This Row],[Basic Salary]]+tblPayroll[[#This Row],[Fixed Allowance]])*R_JHTEr,0)</f>
        <v>229400</v>
      </c>
      <c r="P64" s="5">
        <f>ROUND(MIN(tblPayroll[[#This Row],[Basic Salary]]+tblPayroll[[#This Row],[Fixed Allowance]],JPCap)*R_JPEr,0)</f>
        <v>124000</v>
      </c>
      <c r="Q64" s="5">
        <f>SUM(tblPayroll[[#This Row],[BPJS Health (Er)]:[JP (Er)]])</f>
        <v>634880</v>
      </c>
      <c r="R64" s="5">
        <f>tblPayroll[[#This Row],[Gross Salary]]+tblPayroll[[#This Row],[BPJS Health (Er)]]+tblPayroll[[#This Row],[JKK (Er)]]+tblPayroll[[#This Row],[JKM (Er)]]</f>
        <v>6481480</v>
      </c>
      <c r="S64" s="119">
        <f>IF(tblPayroll[[#This Row],[TER Cat]]="A",_xlfn.XLOOKUP(tblPayroll[[#This Row],[PPh 21 Base]],TerA_L,TerA_R,0,-1),IF(tblPayroll[[#This Row],[TER Cat]]="B",_xlfn.XLOOKUP(tblPayroll[[#This Row],[PPh 21 Base]],TerB_L,TerB_R,0,-1),_xlfn.XLOOKUP(tblPayroll[[#This Row],[PPh 21 Base]],TerC_L,TerC_R,0,-1)))</f>
        <v>2.5000000000000001E-3</v>
      </c>
      <c r="T64" s="5">
        <f>ROUND(tblPayroll[[#This Row],[PPh 21 Base]]*tblPayroll[[#This Row],[TER Rate]],0)</f>
        <v>16204</v>
      </c>
      <c r="U64" s="5">
        <f>ROUND(MIN(tblPayroll[[#This Row],[Basic Salary]]+tblPayroll[[#This Row],[Fixed Allowance]],BPJSKesCap)*R_KesEe,0)</f>
        <v>62000</v>
      </c>
      <c r="V64" s="5">
        <f>ROUND((tblPayroll[[#This Row],[Basic Salary]]+tblPayroll[[#This Row],[Fixed Allowance]])*R_JHTEe,0)</f>
        <v>124000</v>
      </c>
      <c r="W64" s="5">
        <f>ROUND(MIN(tblPayroll[[#This Row],[Basic Salary]]+tblPayroll[[#This Row],[Fixed Allowance]],JPCap)*R_JPEe,0)</f>
        <v>62000</v>
      </c>
      <c r="X64" s="5">
        <f>tblPayroll[[#This Row],[BPJS Health (Ee)]]+tblPayroll[[#This Row],[JHT (Ee)]]+tblPayroll[[#This Row],[JP (Ee)]]</f>
        <v>248000</v>
      </c>
      <c r="Y64" s="5">
        <f>tblPayroll[[#This Row],[Gross Salary]]-tblPayroll[[#This Row],[PPh 21]]-tblPayroll[[#This Row],[Employee BPJS Total]]</f>
        <v>5935796</v>
      </c>
      <c r="Z64" s="5">
        <f>tblPayroll[[#This Row],[Employer BPJS Total]]+tblPayroll[[#This Row],[Employee BPJS Total]]</f>
        <v>882880</v>
      </c>
      <c r="AA64" s="5">
        <f>tblPayroll[[#This Row],[Gross Salary]]+tblPayroll[[#This Row],[Employer BPJS Total]]</f>
        <v>6834880</v>
      </c>
      <c r="AB64" s="4">
        <v>1130</v>
      </c>
    </row>
    <row r="65" spans="2:28" x14ac:dyDescent="0.35">
      <c r="B65" s="4">
        <v>4</v>
      </c>
      <c r="C65" s="113">
        <v>46137</v>
      </c>
      <c r="D65" s="4" t="s">
        <v>4839</v>
      </c>
      <c r="E65" s="1" t="str">
        <f>_xlfn.XLOOKUP(tblPayroll[[#This Row],[Employee ID]],tblEmployees[Employee ID],tblEmployees[Full Name],"")</f>
        <v>Maya Sari</v>
      </c>
      <c r="F65" s="1" t="str">
        <f>_xlfn.XLOOKUP(tblPayroll[[#This Row],[Employee ID]],tblEmployees[Employee ID],tblEmployees[Department],"")</f>
        <v>Selling</v>
      </c>
      <c r="G65" s="1" t="str">
        <f>_xlfn.XLOOKUP(tblPayroll[[#This Row],[Employee ID]],tblEmployees[Employee ID],tblEmployees[TER Category],"")</f>
        <v>A</v>
      </c>
      <c r="H65" s="5">
        <f>_xlfn.XLOOKUP(tblPayroll[[#This Row],[Employee ID]],tblEmployees[Employee ID],tblEmployees[Basic Salary],"")</f>
        <v>5700000</v>
      </c>
      <c r="I65" s="5">
        <f>_xlfn.XLOOKUP(tblPayroll[[#This Row],[Employee ID]],tblEmployees[Employee ID],tblEmployees[Fixed Allowance],"")</f>
        <v>600000</v>
      </c>
      <c r="J65" s="6">
        <v>0</v>
      </c>
      <c r="K65" s="5">
        <f>tblPayroll[[#This Row],[Basic Salary]]+tblPayroll[[#This Row],[Fixed Allowance]]+tblPayroll[[#This Row],[THR / Bonus]]</f>
        <v>6300000</v>
      </c>
      <c r="L65" s="5">
        <f>ROUND(MIN(tblPayroll[[#This Row],[Basic Salary]]+tblPayroll[[#This Row],[Fixed Allowance]],BPJSKesCap)*R_KesEr,0)</f>
        <v>252000</v>
      </c>
      <c r="M65" s="5">
        <f>ROUND((tblPayroll[[#This Row],[Basic Salary]]+tblPayroll[[#This Row],[Fixed Allowance]])*R_JKK,0)</f>
        <v>15120</v>
      </c>
      <c r="N65" s="5">
        <f>ROUND((tblPayroll[[#This Row],[Basic Salary]]+tblPayroll[[#This Row],[Fixed Allowance]])*R_JKM,0)</f>
        <v>18900</v>
      </c>
      <c r="O65" s="5">
        <f>ROUND((tblPayroll[[#This Row],[Basic Salary]]+tblPayroll[[#This Row],[Fixed Allowance]])*R_JHTEr,0)</f>
        <v>233100</v>
      </c>
      <c r="P65" s="5">
        <f>ROUND(MIN(tblPayroll[[#This Row],[Basic Salary]]+tblPayroll[[#This Row],[Fixed Allowance]],JPCap)*R_JPEr,0)</f>
        <v>126000</v>
      </c>
      <c r="Q65" s="5">
        <f>SUM(tblPayroll[[#This Row],[BPJS Health (Er)]:[JP (Er)]])</f>
        <v>645120</v>
      </c>
      <c r="R65" s="5">
        <f>tblPayroll[[#This Row],[Gross Salary]]+tblPayroll[[#This Row],[BPJS Health (Er)]]+tblPayroll[[#This Row],[JKK (Er)]]+tblPayroll[[#This Row],[JKM (Er)]]</f>
        <v>6586020</v>
      </c>
      <c r="S65" s="119">
        <f>IF(tblPayroll[[#This Row],[TER Cat]]="A",_xlfn.XLOOKUP(tblPayroll[[#This Row],[PPh 21 Base]],TerA_L,TerA_R,0,-1),IF(tblPayroll[[#This Row],[TER Cat]]="B",_xlfn.XLOOKUP(tblPayroll[[#This Row],[PPh 21 Base]],TerB_L,TerB_R,0,-1),_xlfn.XLOOKUP(tblPayroll[[#This Row],[PPh 21 Base]],TerC_L,TerC_R,0,-1)))</f>
        <v>0.01</v>
      </c>
      <c r="T65" s="5">
        <f>ROUND(tblPayroll[[#This Row],[PPh 21 Base]]*tblPayroll[[#This Row],[TER Rate]],0)</f>
        <v>65860</v>
      </c>
      <c r="U65" s="5">
        <f>ROUND(MIN(tblPayroll[[#This Row],[Basic Salary]]+tblPayroll[[#This Row],[Fixed Allowance]],BPJSKesCap)*R_KesEe,0)</f>
        <v>63000</v>
      </c>
      <c r="V65" s="5">
        <f>ROUND((tblPayroll[[#This Row],[Basic Salary]]+tblPayroll[[#This Row],[Fixed Allowance]])*R_JHTEe,0)</f>
        <v>126000</v>
      </c>
      <c r="W65" s="5">
        <f>ROUND(MIN(tblPayroll[[#This Row],[Basic Salary]]+tblPayroll[[#This Row],[Fixed Allowance]],JPCap)*R_JPEe,0)</f>
        <v>63000</v>
      </c>
      <c r="X65" s="5">
        <f>tblPayroll[[#This Row],[BPJS Health (Ee)]]+tblPayroll[[#This Row],[JHT (Ee)]]+tblPayroll[[#This Row],[JP (Ee)]]</f>
        <v>252000</v>
      </c>
      <c r="Y65" s="5">
        <f>tblPayroll[[#This Row],[Gross Salary]]-tblPayroll[[#This Row],[PPh 21]]-tblPayroll[[#This Row],[Employee BPJS Total]]</f>
        <v>5982140</v>
      </c>
      <c r="Z65" s="5">
        <f>tblPayroll[[#This Row],[Employer BPJS Total]]+tblPayroll[[#This Row],[Employee BPJS Total]]</f>
        <v>897120</v>
      </c>
      <c r="AA65" s="5">
        <f>tblPayroll[[#This Row],[Gross Salary]]+tblPayroll[[#This Row],[Employer BPJS Total]]</f>
        <v>6945120</v>
      </c>
      <c r="AB65" s="4">
        <v>1130</v>
      </c>
    </row>
    <row r="66" spans="2:28" x14ac:dyDescent="0.35">
      <c r="B66" s="4">
        <v>4</v>
      </c>
      <c r="C66" s="113">
        <v>46137</v>
      </c>
      <c r="D66" s="4" t="s">
        <v>4844</v>
      </c>
      <c r="E66" s="1" t="str">
        <f>_xlfn.XLOOKUP(tblPayroll[[#This Row],[Employee ID]],tblEmployees[Employee ID],tblEmployees[Full Name],"")</f>
        <v>Hendra Wijaya</v>
      </c>
      <c r="F66" s="1" t="str">
        <f>_xlfn.XLOOKUP(tblPayroll[[#This Row],[Employee ID]],tblEmployees[Employee ID],tblEmployees[Department],"")</f>
        <v>G&amp;A</v>
      </c>
      <c r="G66" s="1" t="str">
        <f>_xlfn.XLOOKUP(tblPayroll[[#This Row],[Employee ID]],tblEmployees[Employee ID],tblEmployees[TER Category],"")</f>
        <v>A</v>
      </c>
      <c r="H66" s="5">
        <f>_xlfn.XLOOKUP(tblPayroll[[#This Row],[Employee ID]],tblEmployees[Employee ID],tblEmployees[Basic Salary],"")</f>
        <v>9500000</v>
      </c>
      <c r="I66" s="5">
        <f>_xlfn.XLOOKUP(tblPayroll[[#This Row],[Employee ID]],tblEmployees[Employee ID],tblEmployees[Fixed Allowance],"")</f>
        <v>1000000</v>
      </c>
      <c r="J66" s="6">
        <v>0</v>
      </c>
      <c r="K66" s="5">
        <f>tblPayroll[[#This Row],[Basic Salary]]+tblPayroll[[#This Row],[Fixed Allowance]]+tblPayroll[[#This Row],[THR / Bonus]]</f>
        <v>10500000</v>
      </c>
      <c r="L66" s="5">
        <f>ROUND(MIN(tblPayroll[[#This Row],[Basic Salary]]+tblPayroll[[#This Row],[Fixed Allowance]],BPJSKesCap)*R_KesEr,0)</f>
        <v>420000</v>
      </c>
      <c r="M66" s="5">
        <f>ROUND((tblPayroll[[#This Row],[Basic Salary]]+tblPayroll[[#This Row],[Fixed Allowance]])*R_JKK,0)</f>
        <v>25200</v>
      </c>
      <c r="N66" s="5">
        <f>ROUND((tblPayroll[[#This Row],[Basic Salary]]+tblPayroll[[#This Row],[Fixed Allowance]])*R_JKM,0)</f>
        <v>31500</v>
      </c>
      <c r="O66" s="5">
        <f>ROUND((tblPayroll[[#This Row],[Basic Salary]]+tblPayroll[[#This Row],[Fixed Allowance]])*R_JHTEr,0)</f>
        <v>388500</v>
      </c>
      <c r="P66" s="5">
        <f>ROUND(MIN(tblPayroll[[#This Row],[Basic Salary]]+tblPayroll[[#This Row],[Fixed Allowance]],JPCap)*R_JPEr,0)</f>
        <v>210000</v>
      </c>
      <c r="Q66" s="5">
        <f>SUM(tblPayroll[[#This Row],[BPJS Health (Er)]:[JP (Er)]])</f>
        <v>1075200</v>
      </c>
      <c r="R66" s="5">
        <f>tblPayroll[[#This Row],[Gross Salary]]+tblPayroll[[#This Row],[BPJS Health (Er)]]+tblPayroll[[#This Row],[JKK (Er)]]+tblPayroll[[#This Row],[JKM (Er)]]</f>
        <v>10976700</v>
      </c>
      <c r="S66" s="119">
        <f>IF(tblPayroll[[#This Row],[TER Cat]]="A",_xlfn.XLOOKUP(tblPayroll[[#This Row],[PPh 21 Base]],TerA_L,TerA_R,0,-1),IF(tblPayroll[[#This Row],[TER Cat]]="B",_xlfn.XLOOKUP(tblPayroll[[#This Row],[PPh 21 Base]],TerB_L,TerB_R,0,-1),_xlfn.XLOOKUP(tblPayroll[[#This Row],[PPh 21 Base]],TerC_L,TerC_R,0,-1)))</f>
        <v>0.03</v>
      </c>
      <c r="T66" s="5">
        <f>ROUND(tblPayroll[[#This Row],[PPh 21 Base]]*tblPayroll[[#This Row],[TER Rate]],0)</f>
        <v>329301</v>
      </c>
      <c r="U66" s="5">
        <f>ROUND(MIN(tblPayroll[[#This Row],[Basic Salary]]+tblPayroll[[#This Row],[Fixed Allowance]],BPJSKesCap)*R_KesEe,0)</f>
        <v>105000</v>
      </c>
      <c r="V66" s="5">
        <f>ROUND((tblPayroll[[#This Row],[Basic Salary]]+tblPayroll[[#This Row],[Fixed Allowance]])*R_JHTEe,0)</f>
        <v>210000</v>
      </c>
      <c r="W66" s="5">
        <f>ROUND(MIN(tblPayroll[[#This Row],[Basic Salary]]+tblPayroll[[#This Row],[Fixed Allowance]],JPCap)*R_JPEe,0)</f>
        <v>105000</v>
      </c>
      <c r="X66" s="5">
        <f>tblPayroll[[#This Row],[BPJS Health (Ee)]]+tblPayroll[[#This Row],[JHT (Ee)]]+tblPayroll[[#This Row],[JP (Ee)]]</f>
        <v>420000</v>
      </c>
      <c r="Y66" s="5">
        <f>tblPayroll[[#This Row],[Gross Salary]]-tblPayroll[[#This Row],[PPh 21]]-tblPayroll[[#This Row],[Employee BPJS Total]]</f>
        <v>9750699</v>
      </c>
      <c r="Z66" s="5">
        <f>tblPayroll[[#This Row],[Employer BPJS Total]]+tblPayroll[[#This Row],[Employee BPJS Total]]</f>
        <v>1495200</v>
      </c>
      <c r="AA66" s="5">
        <f>tblPayroll[[#This Row],[Gross Salary]]+tblPayroll[[#This Row],[Employer BPJS Total]]</f>
        <v>11575200</v>
      </c>
      <c r="AB66" s="4">
        <v>1130</v>
      </c>
    </row>
    <row r="67" spans="2:28" x14ac:dyDescent="0.35">
      <c r="B67" s="4">
        <v>5</v>
      </c>
      <c r="C67" s="113">
        <v>46167</v>
      </c>
      <c r="D67" s="4" t="s">
        <v>4774</v>
      </c>
      <c r="E67" s="1" t="str">
        <f>_xlfn.XLOOKUP(tblPayroll[[#This Row],[Employee ID]],tblEmployees[Employee ID],tblEmployees[Full Name],"")</f>
        <v>Budi Santoso</v>
      </c>
      <c r="F67" s="1" t="str">
        <f>_xlfn.XLOOKUP(tblPayroll[[#This Row],[Employee ID]],tblEmployees[Employee ID],tblEmployees[Department],"")</f>
        <v>G&amp;A</v>
      </c>
      <c r="G67" s="1" t="str">
        <f>_xlfn.XLOOKUP(tblPayroll[[#This Row],[Employee ID]],tblEmployees[Employee ID],tblEmployees[TER Category],"")</f>
        <v>B</v>
      </c>
      <c r="H67" s="5">
        <f>_xlfn.XLOOKUP(tblPayroll[[#This Row],[Employee ID]],tblEmployees[Employee ID],tblEmployees[Basic Salary],"")</f>
        <v>25000000</v>
      </c>
      <c r="I67" s="5">
        <f>_xlfn.XLOOKUP(tblPayroll[[#This Row],[Employee ID]],tblEmployees[Employee ID],tblEmployees[Fixed Allowance],"")</f>
        <v>4000000</v>
      </c>
      <c r="J67" s="6">
        <v>0</v>
      </c>
      <c r="K67" s="5">
        <f>tblPayroll[[#This Row],[Basic Salary]]+tblPayroll[[#This Row],[Fixed Allowance]]+tblPayroll[[#This Row],[THR / Bonus]]</f>
        <v>29000000</v>
      </c>
      <c r="L67" s="5">
        <f>ROUND(MIN(tblPayroll[[#This Row],[Basic Salary]]+tblPayroll[[#This Row],[Fixed Allowance]],BPJSKesCap)*R_KesEr,0)</f>
        <v>480000</v>
      </c>
      <c r="M67" s="5">
        <f>ROUND((tblPayroll[[#This Row],[Basic Salary]]+tblPayroll[[#This Row],[Fixed Allowance]])*R_JKK,0)</f>
        <v>69600</v>
      </c>
      <c r="N67" s="5">
        <f>ROUND((tblPayroll[[#This Row],[Basic Salary]]+tblPayroll[[#This Row],[Fixed Allowance]])*R_JKM,0)</f>
        <v>87000</v>
      </c>
      <c r="O67" s="5">
        <f>ROUND((tblPayroll[[#This Row],[Basic Salary]]+tblPayroll[[#This Row],[Fixed Allowance]])*R_JHTEr,0)</f>
        <v>1073000</v>
      </c>
      <c r="P67" s="5">
        <f>ROUND(MIN(tblPayroll[[#This Row],[Basic Salary]]+tblPayroll[[#This Row],[Fixed Allowance]],JPCap)*R_JPEr,0)</f>
        <v>210948</v>
      </c>
      <c r="Q67" s="5">
        <f>SUM(tblPayroll[[#This Row],[BPJS Health (Er)]:[JP (Er)]])</f>
        <v>1920548</v>
      </c>
      <c r="R67" s="5">
        <f>tblPayroll[[#This Row],[Gross Salary]]+tblPayroll[[#This Row],[BPJS Health (Er)]]+tblPayroll[[#This Row],[JKK (Er)]]+tblPayroll[[#This Row],[JKM (Er)]]</f>
        <v>29636600</v>
      </c>
      <c r="S67" s="119">
        <f>IF(tblPayroll[[#This Row],[TER Cat]]="A",_xlfn.XLOOKUP(tblPayroll[[#This Row],[PPh 21 Base]],TerA_L,TerA_R,0,-1),IF(tblPayroll[[#This Row],[TER Cat]]="B",_xlfn.XLOOKUP(tblPayroll[[#This Row],[PPh 21 Base]],TerB_L,TerB_R,0,-1),_xlfn.XLOOKUP(tblPayroll[[#This Row],[PPh 21 Base]],TerC_L,TerC_R,0,-1)))</f>
        <v>0.12</v>
      </c>
      <c r="T67" s="5">
        <f>ROUND(tblPayroll[[#This Row],[PPh 21 Base]]*tblPayroll[[#This Row],[TER Rate]],0)</f>
        <v>3556392</v>
      </c>
      <c r="U67" s="5">
        <f>ROUND(MIN(tblPayroll[[#This Row],[Basic Salary]]+tblPayroll[[#This Row],[Fixed Allowance]],BPJSKesCap)*R_KesEe,0)</f>
        <v>120000</v>
      </c>
      <c r="V67" s="5">
        <f>ROUND((tblPayroll[[#This Row],[Basic Salary]]+tblPayroll[[#This Row],[Fixed Allowance]])*R_JHTEe,0)</f>
        <v>580000</v>
      </c>
      <c r="W67" s="5">
        <f>ROUND(MIN(tblPayroll[[#This Row],[Basic Salary]]+tblPayroll[[#This Row],[Fixed Allowance]],JPCap)*R_JPEe,0)</f>
        <v>105474</v>
      </c>
      <c r="X67" s="5">
        <f>tblPayroll[[#This Row],[BPJS Health (Ee)]]+tblPayroll[[#This Row],[JHT (Ee)]]+tblPayroll[[#This Row],[JP (Ee)]]</f>
        <v>805474</v>
      </c>
      <c r="Y67" s="5">
        <f>tblPayroll[[#This Row],[Gross Salary]]-tblPayroll[[#This Row],[PPh 21]]-tblPayroll[[#This Row],[Employee BPJS Total]]</f>
        <v>24638134</v>
      </c>
      <c r="Z67" s="5">
        <f>tblPayroll[[#This Row],[Employer BPJS Total]]+tblPayroll[[#This Row],[Employee BPJS Total]]</f>
        <v>2726022</v>
      </c>
      <c r="AA67" s="5">
        <f>tblPayroll[[#This Row],[Gross Salary]]+tblPayroll[[#This Row],[Employer BPJS Total]]</f>
        <v>30920548</v>
      </c>
      <c r="AB67" s="4">
        <v>1130</v>
      </c>
    </row>
    <row r="68" spans="2:28" x14ac:dyDescent="0.35">
      <c r="B68" s="4">
        <v>5</v>
      </c>
      <c r="C68" s="113">
        <v>46167</v>
      </c>
      <c r="D68" s="4" t="s">
        <v>4779</v>
      </c>
      <c r="E68" s="1" t="str">
        <f>_xlfn.XLOOKUP(tblPayroll[[#This Row],[Employee ID]],tblEmployees[Employee ID],tblEmployees[Full Name],"")</f>
        <v>Siti Rahmawati</v>
      </c>
      <c r="F68" s="1" t="str">
        <f>_xlfn.XLOOKUP(tblPayroll[[#This Row],[Employee ID]],tblEmployees[Employee ID],tblEmployees[Department],"")</f>
        <v>G&amp;A</v>
      </c>
      <c r="G68" s="1" t="str">
        <f>_xlfn.XLOOKUP(tblPayroll[[#This Row],[Employee ID]],tblEmployees[Employee ID],tblEmployees[TER Category],"")</f>
        <v>B</v>
      </c>
      <c r="H68" s="5">
        <f>_xlfn.XLOOKUP(tblPayroll[[#This Row],[Employee ID]],tblEmployees[Employee ID],tblEmployees[Basic Salary],"")</f>
        <v>20000000</v>
      </c>
      <c r="I68" s="5">
        <f>_xlfn.XLOOKUP(tblPayroll[[#This Row],[Employee ID]],tblEmployees[Employee ID],tblEmployees[Fixed Allowance],"")</f>
        <v>3000000</v>
      </c>
      <c r="J68" s="6">
        <v>0</v>
      </c>
      <c r="K68" s="5">
        <f>tblPayroll[[#This Row],[Basic Salary]]+tblPayroll[[#This Row],[Fixed Allowance]]+tblPayroll[[#This Row],[THR / Bonus]]</f>
        <v>23000000</v>
      </c>
      <c r="L68" s="5">
        <f>ROUND(MIN(tblPayroll[[#This Row],[Basic Salary]]+tblPayroll[[#This Row],[Fixed Allowance]],BPJSKesCap)*R_KesEr,0)</f>
        <v>480000</v>
      </c>
      <c r="M68" s="5">
        <f>ROUND((tblPayroll[[#This Row],[Basic Salary]]+tblPayroll[[#This Row],[Fixed Allowance]])*R_JKK,0)</f>
        <v>55200</v>
      </c>
      <c r="N68" s="5">
        <f>ROUND((tblPayroll[[#This Row],[Basic Salary]]+tblPayroll[[#This Row],[Fixed Allowance]])*R_JKM,0)</f>
        <v>69000</v>
      </c>
      <c r="O68" s="5">
        <f>ROUND((tblPayroll[[#This Row],[Basic Salary]]+tblPayroll[[#This Row],[Fixed Allowance]])*R_JHTEr,0)</f>
        <v>851000</v>
      </c>
      <c r="P68" s="5">
        <f>ROUND(MIN(tblPayroll[[#This Row],[Basic Salary]]+tblPayroll[[#This Row],[Fixed Allowance]],JPCap)*R_JPEr,0)</f>
        <v>210948</v>
      </c>
      <c r="Q68" s="5">
        <f>SUM(tblPayroll[[#This Row],[BPJS Health (Er)]:[JP (Er)]])</f>
        <v>1666148</v>
      </c>
      <c r="R68" s="5">
        <f>tblPayroll[[#This Row],[Gross Salary]]+tblPayroll[[#This Row],[BPJS Health (Er)]]+tblPayroll[[#This Row],[JKK (Er)]]+tblPayroll[[#This Row],[JKM (Er)]]</f>
        <v>23604200</v>
      </c>
      <c r="S68" s="119">
        <f>IF(tblPayroll[[#This Row],[TER Cat]]="A",_xlfn.XLOOKUP(tblPayroll[[#This Row],[PPh 21 Base]],TerA_L,TerA_R,0,-1),IF(tblPayroll[[#This Row],[TER Cat]]="B",_xlfn.XLOOKUP(tblPayroll[[#This Row],[PPh 21 Base]],TerB_L,TerB_R,0,-1),_xlfn.XLOOKUP(tblPayroll[[#This Row],[PPh 21 Base]],TerC_L,TerC_R,0,-1)))</f>
        <v>0.09</v>
      </c>
      <c r="T68" s="5">
        <f>ROUND(tblPayroll[[#This Row],[PPh 21 Base]]*tblPayroll[[#This Row],[TER Rate]],0)</f>
        <v>2124378</v>
      </c>
      <c r="U68" s="5">
        <f>ROUND(MIN(tblPayroll[[#This Row],[Basic Salary]]+tblPayroll[[#This Row],[Fixed Allowance]],BPJSKesCap)*R_KesEe,0)</f>
        <v>120000</v>
      </c>
      <c r="V68" s="5">
        <f>ROUND((tblPayroll[[#This Row],[Basic Salary]]+tblPayroll[[#This Row],[Fixed Allowance]])*R_JHTEe,0)</f>
        <v>460000</v>
      </c>
      <c r="W68" s="5">
        <f>ROUND(MIN(tblPayroll[[#This Row],[Basic Salary]]+tblPayroll[[#This Row],[Fixed Allowance]],JPCap)*R_JPEe,0)</f>
        <v>105474</v>
      </c>
      <c r="X68" s="5">
        <f>tblPayroll[[#This Row],[BPJS Health (Ee)]]+tblPayroll[[#This Row],[JHT (Ee)]]+tblPayroll[[#This Row],[JP (Ee)]]</f>
        <v>685474</v>
      </c>
      <c r="Y68" s="5">
        <f>tblPayroll[[#This Row],[Gross Salary]]-tblPayroll[[#This Row],[PPh 21]]-tblPayroll[[#This Row],[Employee BPJS Total]]</f>
        <v>20190148</v>
      </c>
      <c r="Z68" s="5">
        <f>tblPayroll[[#This Row],[Employer BPJS Total]]+tblPayroll[[#This Row],[Employee BPJS Total]]</f>
        <v>2351622</v>
      </c>
      <c r="AA68" s="5">
        <f>tblPayroll[[#This Row],[Gross Salary]]+tblPayroll[[#This Row],[Employer BPJS Total]]</f>
        <v>24666148</v>
      </c>
      <c r="AB68" s="4">
        <v>1130</v>
      </c>
    </row>
    <row r="69" spans="2:28" x14ac:dyDescent="0.35">
      <c r="B69" s="4">
        <v>5</v>
      </c>
      <c r="C69" s="113">
        <v>46167</v>
      </c>
      <c r="D69" s="4" t="s">
        <v>4783</v>
      </c>
      <c r="E69" s="1" t="str">
        <f>_xlfn.XLOOKUP(tblPayroll[[#This Row],[Employee ID]],tblEmployees[Employee ID],tblEmployees[Full Name],"")</f>
        <v>Dewi Lestari</v>
      </c>
      <c r="F69" s="1" t="str">
        <f>_xlfn.XLOOKUP(tblPayroll[[#This Row],[Employee ID]],tblEmployees[Employee ID],tblEmployees[Department],"")</f>
        <v>G&amp;A</v>
      </c>
      <c r="G69" s="1" t="str">
        <f>_xlfn.XLOOKUP(tblPayroll[[#This Row],[Employee ID]],tblEmployees[Employee ID],tblEmployees[TER Category],"")</f>
        <v>A</v>
      </c>
      <c r="H69" s="5">
        <f>_xlfn.XLOOKUP(tblPayroll[[#This Row],[Employee ID]],tblEmployees[Employee ID],tblEmployees[Basic Salary],"")</f>
        <v>15000000</v>
      </c>
      <c r="I69" s="5">
        <f>_xlfn.XLOOKUP(tblPayroll[[#This Row],[Employee ID]],tblEmployees[Employee ID],tblEmployees[Fixed Allowance],"")</f>
        <v>2000000</v>
      </c>
      <c r="J69" s="6">
        <v>0</v>
      </c>
      <c r="K69" s="5">
        <f>tblPayroll[[#This Row],[Basic Salary]]+tblPayroll[[#This Row],[Fixed Allowance]]+tblPayroll[[#This Row],[THR / Bonus]]</f>
        <v>17000000</v>
      </c>
      <c r="L69" s="5">
        <f>ROUND(MIN(tblPayroll[[#This Row],[Basic Salary]]+tblPayroll[[#This Row],[Fixed Allowance]],BPJSKesCap)*R_KesEr,0)</f>
        <v>480000</v>
      </c>
      <c r="M69" s="5">
        <f>ROUND((tblPayroll[[#This Row],[Basic Salary]]+tblPayroll[[#This Row],[Fixed Allowance]])*R_JKK,0)</f>
        <v>40800</v>
      </c>
      <c r="N69" s="5">
        <f>ROUND((tblPayroll[[#This Row],[Basic Salary]]+tblPayroll[[#This Row],[Fixed Allowance]])*R_JKM,0)</f>
        <v>51000</v>
      </c>
      <c r="O69" s="5">
        <f>ROUND((tblPayroll[[#This Row],[Basic Salary]]+tblPayroll[[#This Row],[Fixed Allowance]])*R_JHTEr,0)</f>
        <v>629000</v>
      </c>
      <c r="P69" s="5">
        <f>ROUND(MIN(tblPayroll[[#This Row],[Basic Salary]]+tblPayroll[[#This Row],[Fixed Allowance]],JPCap)*R_JPEr,0)</f>
        <v>210948</v>
      </c>
      <c r="Q69" s="5">
        <f>SUM(tblPayroll[[#This Row],[BPJS Health (Er)]:[JP (Er)]])</f>
        <v>1411748</v>
      </c>
      <c r="R69" s="5">
        <f>tblPayroll[[#This Row],[Gross Salary]]+tblPayroll[[#This Row],[BPJS Health (Er)]]+tblPayroll[[#This Row],[JKK (Er)]]+tblPayroll[[#This Row],[JKM (Er)]]</f>
        <v>17571800</v>
      </c>
      <c r="S69" s="119">
        <f>IF(tblPayroll[[#This Row],[TER Cat]]="A",_xlfn.XLOOKUP(tblPayroll[[#This Row],[PPh 21 Base]],TerA_L,TerA_R,0,-1),IF(tblPayroll[[#This Row],[TER Cat]]="B",_xlfn.XLOOKUP(tblPayroll[[#This Row],[PPh 21 Base]],TerB_L,TerB_R,0,-1),_xlfn.XLOOKUP(tblPayroll[[#This Row],[PPh 21 Base]],TerC_L,TerC_R,0,-1)))</f>
        <v>0.08</v>
      </c>
      <c r="T69" s="5">
        <f>ROUND(tblPayroll[[#This Row],[PPh 21 Base]]*tblPayroll[[#This Row],[TER Rate]],0)</f>
        <v>1405744</v>
      </c>
      <c r="U69" s="5">
        <f>ROUND(MIN(tblPayroll[[#This Row],[Basic Salary]]+tblPayroll[[#This Row],[Fixed Allowance]],BPJSKesCap)*R_KesEe,0)</f>
        <v>120000</v>
      </c>
      <c r="V69" s="5">
        <f>ROUND((tblPayroll[[#This Row],[Basic Salary]]+tblPayroll[[#This Row],[Fixed Allowance]])*R_JHTEe,0)</f>
        <v>340000</v>
      </c>
      <c r="W69" s="5">
        <f>ROUND(MIN(tblPayroll[[#This Row],[Basic Salary]]+tblPayroll[[#This Row],[Fixed Allowance]],JPCap)*R_JPEe,0)</f>
        <v>105474</v>
      </c>
      <c r="X69" s="5">
        <f>tblPayroll[[#This Row],[BPJS Health (Ee)]]+tblPayroll[[#This Row],[JHT (Ee)]]+tblPayroll[[#This Row],[JP (Ee)]]</f>
        <v>565474</v>
      </c>
      <c r="Y69" s="5">
        <f>tblPayroll[[#This Row],[Gross Salary]]-tblPayroll[[#This Row],[PPh 21]]-tblPayroll[[#This Row],[Employee BPJS Total]]</f>
        <v>15028782</v>
      </c>
      <c r="Z69" s="5">
        <f>tblPayroll[[#This Row],[Employer BPJS Total]]+tblPayroll[[#This Row],[Employee BPJS Total]]</f>
        <v>1977222</v>
      </c>
      <c r="AA69" s="5">
        <f>tblPayroll[[#This Row],[Gross Salary]]+tblPayroll[[#This Row],[Employer BPJS Total]]</f>
        <v>18411748</v>
      </c>
      <c r="AB69" s="4">
        <v>1130</v>
      </c>
    </row>
    <row r="70" spans="2:28" x14ac:dyDescent="0.35">
      <c r="B70" s="4">
        <v>5</v>
      </c>
      <c r="C70" s="113">
        <v>46167</v>
      </c>
      <c r="D70" s="4" t="s">
        <v>4787</v>
      </c>
      <c r="E70" s="1" t="str">
        <f>_xlfn.XLOOKUP(tblPayroll[[#This Row],[Employee ID]],tblEmployees[Employee ID],tblEmployees[Full Name],"")</f>
        <v>Agus Prasetyo</v>
      </c>
      <c r="F70" s="1" t="str">
        <f>_xlfn.XLOOKUP(tblPayroll[[#This Row],[Employee ID]],tblEmployees[Employee ID],tblEmployees[Department],"")</f>
        <v>Selling</v>
      </c>
      <c r="G70" s="1" t="str">
        <f>_xlfn.XLOOKUP(tblPayroll[[#This Row],[Employee ID]],tblEmployees[Employee ID],tblEmployees[TER Category],"")</f>
        <v>B</v>
      </c>
      <c r="H70" s="5">
        <f>_xlfn.XLOOKUP(tblPayroll[[#This Row],[Employee ID]],tblEmployees[Employee ID],tblEmployees[Basic Salary],"")</f>
        <v>14000000</v>
      </c>
      <c r="I70" s="5">
        <f>_xlfn.XLOOKUP(tblPayroll[[#This Row],[Employee ID]],tblEmployees[Employee ID],tblEmployees[Fixed Allowance],"")</f>
        <v>2000000</v>
      </c>
      <c r="J70" s="6">
        <v>0</v>
      </c>
      <c r="K70" s="5">
        <f>tblPayroll[[#This Row],[Basic Salary]]+tblPayroll[[#This Row],[Fixed Allowance]]+tblPayroll[[#This Row],[THR / Bonus]]</f>
        <v>16000000</v>
      </c>
      <c r="L70" s="5">
        <f>ROUND(MIN(tblPayroll[[#This Row],[Basic Salary]]+tblPayroll[[#This Row],[Fixed Allowance]],BPJSKesCap)*R_KesEr,0)</f>
        <v>480000</v>
      </c>
      <c r="M70" s="5">
        <f>ROUND((tblPayroll[[#This Row],[Basic Salary]]+tblPayroll[[#This Row],[Fixed Allowance]])*R_JKK,0)</f>
        <v>38400</v>
      </c>
      <c r="N70" s="5">
        <f>ROUND((tblPayroll[[#This Row],[Basic Salary]]+tblPayroll[[#This Row],[Fixed Allowance]])*R_JKM,0)</f>
        <v>48000</v>
      </c>
      <c r="O70" s="5">
        <f>ROUND((tblPayroll[[#This Row],[Basic Salary]]+tblPayroll[[#This Row],[Fixed Allowance]])*R_JHTEr,0)</f>
        <v>592000</v>
      </c>
      <c r="P70" s="5">
        <f>ROUND(MIN(tblPayroll[[#This Row],[Basic Salary]]+tblPayroll[[#This Row],[Fixed Allowance]],JPCap)*R_JPEr,0)</f>
        <v>210948</v>
      </c>
      <c r="Q70" s="5">
        <f>SUM(tblPayroll[[#This Row],[BPJS Health (Er)]:[JP (Er)]])</f>
        <v>1369348</v>
      </c>
      <c r="R70" s="5">
        <f>tblPayroll[[#This Row],[Gross Salary]]+tblPayroll[[#This Row],[BPJS Health (Er)]]+tblPayroll[[#This Row],[JKK (Er)]]+tblPayroll[[#This Row],[JKM (Er)]]</f>
        <v>16566400</v>
      </c>
      <c r="S70" s="119">
        <f>IF(tblPayroll[[#This Row],[TER Cat]]="A",_xlfn.XLOOKUP(tblPayroll[[#This Row],[PPh 21 Base]],TerA_L,TerA_R,0,-1),IF(tblPayroll[[#This Row],[TER Cat]]="B",_xlfn.XLOOKUP(tblPayroll[[#This Row],[PPh 21 Base]],TerB_L,TerB_R,0,-1),_xlfn.XLOOKUP(tblPayroll[[#This Row],[PPh 21 Base]],TerC_L,TerC_R,0,-1)))</f>
        <v>7.0000000000000007E-2</v>
      </c>
      <c r="T70" s="5">
        <f>ROUND(tblPayroll[[#This Row],[PPh 21 Base]]*tblPayroll[[#This Row],[TER Rate]],0)</f>
        <v>1159648</v>
      </c>
      <c r="U70" s="5">
        <f>ROUND(MIN(tblPayroll[[#This Row],[Basic Salary]]+tblPayroll[[#This Row],[Fixed Allowance]],BPJSKesCap)*R_KesEe,0)</f>
        <v>120000</v>
      </c>
      <c r="V70" s="5">
        <f>ROUND((tblPayroll[[#This Row],[Basic Salary]]+tblPayroll[[#This Row],[Fixed Allowance]])*R_JHTEe,0)</f>
        <v>320000</v>
      </c>
      <c r="W70" s="5">
        <f>ROUND(MIN(tblPayroll[[#This Row],[Basic Salary]]+tblPayroll[[#This Row],[Fixed Allowance]],JPCap)*R_JPEe,0)</f>
        <v>105474</v>
      </c>
      <c r="X70" s="5">
        <f>tblPayroll[[#This Row],[BPJS Health (Ee)]]+tblPayroll[[#This Row],[JHT (Ee)]]+tblPayroll[[#This Row],[JP (Ee)]]</f>
        <v>545474</v>
      </c>
      <c r="Y70" s="5">
        <f>tblPayroll[[#This Row],[Gross Salary]]-tblPayroll[[#This Row],[PPh 21]]-tblPayroll[[#This Row],[Employee BPJS Total]]</f>
        <v>14294878</v>
      </c>
      <c r="Z70" s="5">
        <f>tblPayroll[[#This Row],[Employer BPJS Total]]+tblPayroll[[#This Row],[Employee BPJS Total]]</f>
        <v>1914822</v>
      </c>
      <c r="AA70" s="5">
        <f>tblPayroll[[#This Row],[Gross Salary]]+tblPayroll[[#This Row],[Employer BPJS Total]]</f>
        <v>17369348</v>
      </c>
      <c r="AB70" s="4">
        <v>1130</v>
      </c>
    </row>
    <row r="71" spans="2:28" x14ac:dyDescent="0.35">
      <c r="B71" s="4">
        <v>5</v>
      </c>
      <c r="C71" s="113">
        <v>46167</v>
      </c>
      <c r="D71" s="4" t="s">
        <v>4793</v>
      </c>
      <c r="E71" s="1" t="str">
        <f>_xlfn.XLOOKUP(tblPayroll[[#This Row],[Employee ID]],tblEmployees[Employee ID],tblEmployees[Full Name],"")</f>
        <v>Rina Kartika</v>
      </c>
      <c r="F71" s="1" t="str">
        <f>_xlfn.XLOOKUP(tblPayroll[[#This Row],[Employee ID]],tblEmployees[Employee ID],tblEmployees[Department],"")</f>
        <v>Selling</v>
      </c>
      <c r="G71" s="1" t="str">
        <f>_xlfn.XLOOKUP(tblPayroll[[#This Row],[Employee ID]],tblEmployees[Employee ID],tblEmployees[TER Category],"")</f>
        <v>A</v>
      </c>
      <c r="H71" s="5">
        <f>_xlfn.XLOOKUP(tblPayroll[[#This Row],[Employee ID]],tblEmployees[Employee ID],tblEmployees[Basic Salary],"")</f>
        <v>12000000</v>
      </c>
      <c r="I71" s="5">
        <f>_xlfn.XLOOKUP(tblPayroll[[#This Row],[Employee ID]],tblEmployees[Employee ID],tblEmployees[Fixed Allowance],"")</f>
        <v>1500000</v>
      </c>
      <c r="J71" s="6">
        <v>0</v>
      </c>
      <c r="K71" s="5">
        <f>tblPayroll[[#This Row],[Basic Salary]]+tblPayroll[[#This Row],[Fixed Allowance]]+tblPayroll[[#This Row],[THR / Bonus]]</f>
        <v>13500000</v>
      </c>
      <c r="L71" s="5">
        <f>ROUND(MIN(tblPayroll[[#This Row],[Basic Salary]]+tblPayroll[[#This Row],[Fixed Allowance]],BPJSKesCap)*R_KesEr,0)</f>
        <v>480000</v>
      </c>
      <c r="M71" s="5">
        <f>ROUND((tblPayroll[[#This Row],[Basic Salary]]+tblPayroll[[#This Row],[Fixed Allowance]])*R_JKK,0)</f>
        <v>32400</v>
      </c>
      <c r="N71" s="5">
        <f>ROUND((tblPayroll[[#This Row],[Basic Salary]]+tblPayroll[[#This Row],[Fixed Allowance]])*R_JKM,0)</f>
        <v>40500</v>
      </c>
      <c r="O71" s="5">
        <f>ROUND((tblPayroll[[#This Row],[Basic Salary]]+tblPayroll[[#This Row],[Fixed Allowance]])*R_JHTEr,0)</f>
        <v>499500</v>
      </c>
      <c r="P71" s="5">
        <f>ROUND(MIN(tblPayroll[[#This Row],[Basic Salary]]+tblPayroll[[#This Row],[Fixed Allowance]],JPCap)*R_JPEr,0)</f>
        <v>210948</v>
      </c>
      <c r="Q71" s="5">
        <f>SUM(tblPayroll[[#This Row],[BPJS Health (Er)]:[JP (Er)]])</f>
        <v>1263348</v>
      </c>
      <c r="R71" s="5">
        <f>tblPayroll[[#This Row],[Gross Salary]]+tblPayroll[[#This Row],[BPJS Health (Er)]]+tblPayroll[[#This Row],[JKK (Er)]]+tblPayroll[[#This Row],[JKM (Er)]]</f>
        <v>14052900</v>
      </c>
      <c r="S71" s="119">
        <f>IF(tblPayroll[[#This Row],[TER Cat]]="A",_xlfn.XLOOKUP(tblPayroll[[#This Row],[PPh 21 Base]],TerA_L,TerA_R,0,-1),IF(tblPayroll[[#This Row],[TER Cat]]="B",_xlfn.XLOOKUP(tblPayroll[[#This Row],[PPh 21 Base]],TerB_L,TerB_R,0,-1),_xlfn.XLOOKUP(tblPayroll[[#This Row],[PPh 21 Base]],TerC_L,TerC_R,0,-1)))</f>
        <v>0.06</v>
      </c>
      <c r="T71" s="5">
        <f>ROUND(tblPayroll[[#This Row],[PPh 21 Base]]*tblPayroll[[#This Row],[TER Rate]],0)</f>
        <v>843174</v>
      </c>
      <c r="U71" s="5">
        <f>ROUND(MIN(tblPayroll[[#This Row],[Basic Salary]]+tblPayroll[[#This Row],[Fixed Allowance]],BPJSKesCap)*R_KesEe,0)</f>
        <v>120000</v>
      </c>
      <c r="V71" s="5">
        <f>ROUND((tblPayroll[[#This Row],[Basic Salary]]+tblPayroll[[#This Row],[Fixed Allowance]])*R_JHTEe,0)</f>
        <v>270000</v>
      </c>
      <c r="W71" s="5">
        <f>ROUND(MIN(tblPayroll[[#This Row],[Basic Salary]]+tblPayroll[[#This Row],[Fixed Allowance]],JPCap)*R_JPEe,0)</f>
        <v>105474</v>
      </c>
      <c r="X71" s="5">
        <f>tblPayroll[[#This Row],[BPJS Health (Ee)]]+tblPayroll[[#This Row],[JHT (Ee)]]+tblPayroll[[#This Row],[JP (Ee)]]</f>
        <v>495474</v>
      </c>
      <c r="Y71" s="5">
        <f>tblPayroll[[#This Row],[Gross Salary]]-tblPayroll[[#This Row],[PPh 21]]-tblPayroll[[#This Row],[Employee BPJS Total]]</f>
        <v>12161352</v>
      </c>
      <c r="Z71" s="5">
        <f>tblPayroll[[#This Row],[Employer BPJS Total]]+tblPayroll[[#This Row],[Employee BPJS Total]]</f>
        <v>1758822</v>
      </c>
      <c r="AA71" s="5">
        <f>tblPayroll[[#This Row],[Gross Salary]]+tblPayroll[[#This Row],[Employer BPJS Total]]</f>
        <v>14763348</v>
      </c>
      <c r="AB71" s="4">
        <v>1130</v>
      </c>
    </row>
    <row r="72" spans="2:28" x14ac:dyDescent="0.35">
      <c r="B72" s="4">
        <v>5</v>
      </c>
      <c r="C72" s="113">
        <v>46167</v>
      </c>
      <c r="D72" s="4" t="s">
        <v>4798</v>
      </c>
      <c r="E72" s="1" t="str">
        <f>_xlfn.XLOOKUP(tblPayroll[[#This Row],[Employee ID]],tblEmployees[Employee ID],tblEmployees[Full Name],"")</f>
        <v>Andi Saputra</v>
      </c>
      <c r="F72" s="1" t="str">
        <f>_xlfn.XLOOKUP(tblPayroll[[#This Row],[Employee ID]],tblEmployees[Employee ID],tblEmployees[Department],"")</f>
        <v>G&amp;A</v>
      </c>
      <c r="G72" s="1" t="str">
        <f>_xlfn.XLOOKUP(tblPayroll[[#This Row],[Employee ID]],tblEmployees[Employee ID],tblEmployees[TER Category],"")</f>
        <v>A</v>
      </c>
      <c r="H72" s="5">
        <f>_xlfn.XLOOKUP(tblPayroll[[#This Row],[Employee ID]],tblEmployees[Employee ID],tblEmployees[Basic Salary],"")</f>
        <v>8500000</v>
      </c>
      <c r="I72" s="5">
        <f>_xlfn.XLOOKUP(tblPayroll[[#This Row],[Employee ID]],tblEmployees[Employee ID],tblEmployees[Fixed Allowance],"")</f>
        <v>1000000</v>
      </c>
      <c r="J72" s="6">
        <v>0</v>
      </c>
      <c r="K72" s="5">
        <f>tblPayroll[[#This Row],[Basic Salary]]+tblPayroll[[#This Row],[Fixed Allowance]]+tblPayroll[[#This Row],[THR / Bonus]]</f>
        <v>9500000</v>
      </c>
      <c r="L72" s="5">
        <f>ROUND(MIN(tblPayroll[[#This Row],[Basic Salary]]+tblPayroll[[#This Row],[Fixed Allowance]],BPJSKesCap)*R_KesEr,0)</f>
        <v>380000</v>
      </c>
      <c r="M72" s="5">
        <f>ROUND((tblPayroll[[#This Row],[Basic Salary]]+tblPayroll[[#This Row],[Fixed Allowance]])*R_JKK,0)</f>
        <v>22800</v>
      </c>
      <c r="N72" s="5">
        <f>ROUND((tblPayroll[[#This Row],[Basic Salary]]+tblPayroll[[#This Row],[Fixed Allowance]])*R_JKM,0)</f>
        <v>28500</v>
      </c>
      <c r="O72" s="5">
        <f>ROUND((tblPayroll[[#This Row],[Basic Salary]]+tblPayroll[[#This Row],[Fixed Allowance]])*R_JHTEr,0)</f>
        <v>351500</v>
      </c>
      <c r="P72" s="5">
        <f>ROUND(MIN(tblPayroll[[#This Row],[Basic Salary]]+tblPayroll[[#This Row],[Fixed Allowance]],JPCap)*R_JPEr,0)</f>
        <v>190000</v>
      </c>
      <c r="Q72" s="5">
        <f>SUM(tblPayroll[[#This Row],[BPJS Health (Er)]:[JP (Er)]])</f>
        <v>972800</v>
      </c>
      <c r="R72" s="5">
        <f>tblPayroll[[#This Row],[Gross Salary]]+tblPayroll[[#This Row],[BPJS Health (Er)]]+tblPayroll[[#This Row],[JKK (Er)]]+tblPayroll[[#This Row],[JKM (Er)]]</f>
        <v>9931300</v>
      </c>
      <c r="S72" s="119">
        <f>IF(tblPayroll[[#This Row],[TER Cat]]="A",_xlfn.XLOOKUP(tblPayroll[[#This Row],[PPh 21 Base]],TerA_L,TerA_R,0,-1),IF(tblPayroll[[#This Row],[TER Cat]]="B",_xlfn.XLOOKUP(tblPayroll[[#This Row],[PPh 21 Base]],TerB_L,TerB_R,0,-1),_xlfn.XLOOKUP(tblPayroll[[#This Row],[PPh 21 Base]],TerC_L,TerC_R,0,-1)))</f>
        <v>0.02</v>
      </c>
      <c r="T72" s="5">
        <f>ROUND(tblPayroll[[#This Row],[PPh 21 Base]]*tblPayroll[[#This Row],[TER Rate]],0)</f>
        <v>198626</v>
      </c>
      <c r="U72" s="5">
        <f>ROUND(MIN(tblPayroll[[#This Row],[Basic Salary]]+tblPayroll[[#This Row],[Fixed Allowance]],BPJSKesCap)*R_KesEe,0)</f>
        <v>95000</v>
      </c>
      <c r="V72" s="5">
        <f>ROUND((tblPayroll[[#This Row],[Basic Salary]]+tblPayroll[[#This Row],[Fixed Allowance]])*R_JHTEe,0)</f>
        <v>190000</v>
      </c>
      <c r="W72" s="5">
        <f>ROUND(MIN(tblPayroll[[#This Row],[Basic Salary]]+tblPayroll[[#This Row],[Fixed Allowance]],JPCap)*R_JPEe,0)</f>
        <v>95000</v>
      </c>
      <c r="X72" s="5">
        <f>tblPayroll[[#This Row],[BPJS Health (Ee)]]+tblPayroll[[#This Row],[JHT (Ee)]]+tblPayroll[[#This Row],[JP (Ee)]]</f>
        <v>380000</v>
      </c>
      <c r="Y72" s="5">
        <f>tblPayroll[[#This Row],[Gross Salary]]-tblPayroll[[#This Row],[PPh 21]]-tblPayroll[[#This Row],[Employee BPJS Total]]</f>
        <v>8921374</v>
      </c>
      <c r="Z72" s="5">
        <f>tblPayroll[[#This Row],[Employer BPJS Total]]+tblPayroll[[#This Row],[Employee BPJS Total]]</f>
        <v>1352800</v>
      </c>
      <c r="AA72" s="5">
        <f>tblPayroll[[#This Row],[Gross Salary]]+tblPayroll[[#This Row],[Employer BPJS Total]]</f>
        <v>10472800</v>
      </c>
      <c r="AB72" s="4">
        <v>1130</v>
      </c>
    </row>
    <row r="73" spans="2:28" x14ac:dyDescent="0.35">
      <c r="B73" s="4">
        <v>5</v>
      </c>
      <c r="C73" s="113">
        <v>46167</v>
      </c>
      <c r="D73" s="4" t="s">
        <v>4803</v>
      </c>
      <c r="E73" s="1" t="str">
        <f>_xlfn.XLOOKUP(tblPayroll[[#This Row],[Employee ID]],tblEmployees[Employee ID],tblEmployees[Full Name],"")</f>
        <v>Fitri Handayani</v>
      </c>
      <c r="F73" s="1" t="str">
        <f>_xlfn.XLOOKUP(tblPayroll[[#This Row],[Employee ID]],tblEmployees[Employee ID],tblEmployees[Department],"")</f>
        <v>G&amp;A</v>
      </c>
      <c r="G73" s="1" t="str">
        <f>_xlfn.XLOOKUP(tblPayroll[[#This Row],[Employee ID]],tblEmployees[Employee ID],tblEmployees[TER Category],"")</f>
        <v>A</v>
      </c>
      <c r="H73" s="5">
        <f>_xlfn.XLOOKUP(tblPayroll[[#This Row],[Employee ID]],tblEmployees[Employee ID],tblEmployees[Basic Salary],"")</f>
        <v>8000000</v>
      </c>
      <c r="I73" s="5">
        <f>_xlfn.XLOOKUP(tblPayroll[[#This Row],[Employee ID]],tblEmployees[Employee ID],tblEmployees[Fixed Allowance],"")</f>
        <v>1000000</v>
      </c>
      <c r="J73" s="6">
        <v>0</v>
      </c>
      <c r="K73" s="5">
        <f>tblPayroll[[#This Row],[Basic Salary]]+tblPayroll[[#This Row],[Fixed Allowance]]+tblPayroll[[#This Row],[THR / Bonus]]</f>
        <v>9000000</v>
      </c>
      <c r="L73" s="5">
        <f>ROUND(MIN(tblPayroll[[#This Row],[Basic Salary]]+tblPayroll[[#This Row],[Fixed Allowance]],BPJSKesCap)*R_KesEr,0)</f>
        <v>360000</v>
      </c>
      <c r="M73" s="5">
        <f>ROUND((tblPayroll[[#This Row],[Basic Salary]]+tblPayroll[[#This Row],[Fixed Allowance]])*R_JKK,0)</f>
        <v>21600</v>
      </c>
      <c r="N73" s="5">
        <f>ROUND((tblPayroll[[#This Row],[Basic Salary]]+tblPayroll[[#This Row],[Fixed Allowance]])*R_JKM,0)</f>
        <v>27000</v>
      </c>
      <c r="O73" s="5">
        <f>ROUND((tblPayroll[[#This Row],[Basic Salary]]+tblPayroll[[#This Row],[Fixed Allowance]])*R_JHTEr,0)</f>
        <v>333000</v>
      </c>
      <c r="P73" s="5">
        <f>ROUND(MIN(tblPayroll[[#This Row],[Basic Salary]]+tblPayroll[[#This Row],[Fixed Allowance]],JPCap)*R_JPEr,0)</f>
        <v>180000</v>
      </c>
      <c r="Q73" s="5">
        <f>SUM(tblPayroll[[#This Row],[BPJS Health (Er)]:[JP (Er)]])</f>
        <v>921600</v>
      </c>
      <c r="R73" s="5">
        <f>tblPayroll[[#This Row],[Gross Salary]]+tblPayroll[[#This Row],[BPJS Health (Er)]]+tblPayroll[[#This Row],[JKK (Er)]]+tblPayroll[[#This Row],[JKM (Er)]]</f>
        <v>9408600</v>
      </c>
      <c r="S73" s="119">
        <f>IF(tblPayroll[[#This Row],[TER Cat]]="A",_xlfn.XLOOKUP(tblPayroll[[#This Row],[PPh 21 Base]],TerA_L,TerA_R,0,-1),IF(tblPayroll[[#This Row],[TER Cat]]="B",_xlfn.XLOOKUP(tblPayroll[[#This Row],[PPh 21 Base]],TerB_L,TerB_R,0,-1),_xlfn.XLOOKUP(tblPayroll[[#This Row],[PPh 21 Base]],TerC_L,TerC_R,0,-1)))</f>
        <v>1.7500000000000002E-2</v>
      </c>
      <c r="T73" s="5">
        <f>ROUND(tblPayroll[[#This Row],[PPh 21 Base]]*tblPayroll[[#This Row],[TER Rate]],0)</f>
        <v>164651</v>
      </c>
      <c r="U73" s="5">
        <f>ROUND(MIN(tblPayroll[[#This Row],[Basic Salary]]+tblPayroll[[#This Row],[Fixed Allowance]],BPJSKesCap)*R_KesEe,0)</f>
        <v>90000</v>
      </c>
      <c r="V73" s="5">
        <f>ROUND((tblPayroll[[#This Row],[Basic Salary]]+tblPayroll[[#This Row],[Fixed Allowance]])*R_JHTEe,0)</f>
        <v>180000</v>
      </c>
      <c r="W73" s="5">
        <f>ROUND(MIN(tblPayroll[[#This Row],[Basic Salary]]+tblPayroll[[#This Row],[Fixed Allowance]],JPCap)*R_JPEe,0)</f>
        <v>90000</v>
      </c>
      <c r="X73" s="5">
        <f>tblPayroll[[#This Row],[BPJS Health (Ee)]]+tblPayroll[[#This Row],[JHT (Ee)]]+tblPayroll[[#This Row],[JP (Ee)]]</f>
        <v>360000</v>
      </c>
      <c r="Y73" s="5">
        <f>tblPayroll[[#This Row],[Gross Salary]]-tblPayroll[[#This Row],[PPh 21]]-tblPayroll[[#This Row],[Employee BPJS Total]]</f>
        <v>8475349</v>
      </c>
      <c r="Z73" s="5">
        <f>tblPayroll[[#This Row],[Employer BPJS Total]]+tblPayroll[[#This Row],[Employee BPJS Total]]</f>
        <v>1281600</v>
      </c>
      <c r="AA73" s="5">
        <f>tblPayroll[[#This Row],[Gross Salary]]+tblPayroll[[#This Row],[Employer BPJS Total]]</f>
        <v>9921600</v>
      </c>
      <c r="AB73" s="4">
        <v>1130</v>
      </c>
    </row>
    <row r="74" spans="2:28" x14ac:dyDescent="0.35">
      <c r="B74" s="4">
        <v>5</v>
      </c>
      <c r="C74" s="113">
        <v>46167</v>
      </c>
      <c r="D74" s="4" t="s">
        <v>4809</v>
      </c>
      <c r="E74" s="1" t="str">
        <f>_xlfn.XLOOKUP(tblPayroll[[#This Row],[Employee ID]],tblEmployees[Employee ID],tblEmployees[Full Name],"")</f>
        <v>Rizky Ramadhan</v>
      </c>
      <c r="F74" s="1" t="str">
        <f>_xlfn.XLOOKUP(tblPayroll[[#This Row],[Employee ID]],tblEmployees[Employee ID],tblEmployees[Department],"")</f>
        <v>Selling</v>
      </c>
      <c r="G74" s="1" t="str">
        <f>_xlfn.XLOOKUP(tblPayroll[[#This Row],[Employee ID]],tblEmployees[Employee ID],tblEmployees[TER Category],"")</f>
        <v>A</v>
      </c>
      <c r="H74" s="5">
        <f>_xlfn.XLOOKUP(tblPayroll[[#This Row],[Employee ID]],tblEmployees[Employee ID],tblEmployees[Basic Salary],"")</f>
        <v>9000000</v>
      </c>
      <c r="I74" s="5">
        <f>_xlfn.XLOOKUP(tblPayroll[[#This Row],[Employee ID]],tblEmployees[Employee ID],tblEmployees[Fixed Allowance],"")</f>
        <v>1500000</v>
      </c>
      <c r="J74" s="6">
        <v>0</v>
      </c>
      <c r="K74" s="5">
        <f>tblPayroll[[#This Row],[Basic Salary]]+tblPayroll[[#This Row],[Fixed Allowance]]+tblPayroll[[#This Row],[THR / Bonus]]</f>
        <v>10500000</v>
      </c>
      <c r="L74" s="5">
        <f>ROUND(MIN(tblPayroll[[#This Row],[Basic Salary]]+tblPayroll[[#This Row],[Fixed Allowance]],BPJSKesCap)*R_KesEr,0)</f>
        <v>420000</v>
      </c>
      <c r="M74" s="5">
        <f>ROUND((tblPayroll[[#This Row],[Basic Salary]]+tblPayroll[[#This Row],[Fixed Allowance]])*R_JKK,0)</f>
        <v>25200</v>
      </c>
      <c r="N74" s="5">
        <f>ROUND((tblPayroll[[#This Row],[Basic Salary]]+tblPayroll[[#This Row],[Fixed Allowance]])*R_JKM,0)</f>
        <v>31500</v>
      </c>
      <c r="O74" s="5">
        <f>ROUND((tblPayroll[[#This Row],[Basic Salary]]+tblPayroll[[#This Row],[Fixed Allowance]])*R_JHTEr,0)</f>
        <v>388500</v>
      </c>
      <c r="P74" s="5">
        <f>ROUND(MIN(tblPayroll[[#This Row],[Basic Salary]]+tblPayroll[[#This Row],[Fixed Allowance]],JPCap)*R_JPEr,0)</f>
        <v>210000</v>
      </c>
      <c r="Q74" s="5">
        <f>SUM(tblPayroll[[#This Row],[BPJS Health (Er)]:[JP (Er)]])</f>
        <v>1075200</v>
      </c>
      <c r="R74" s="5">
        <f>tblPayroll[[#This Row],[Gross Salary]]+tblPayroll[[#This Row],[BPJS Health (Er)]]+tblPayroll[[#This Row],[JKK (Er)]]+tblPayroll[[#This Row],[JKM (Er)]]</f>
        <v>10976700</v>
      </c>
      <c r="S74" s="119">
        <f>IF(tblPayroll[[#This Row],[TER Cat]]="A",_xlfn.XLOOKUP(tblPayroll[[#This Row],[PPh 21 Base]],TerA_L,TerA_R,0,-1),IF(tblPayroll[[#This Row],[TER Cat]]="B",_xlfn.XLOOKUP(tblPayroll[[#This Row],[PPh 21 Base]],TerB_L,TerB_R,0,-1),_xlfn.XLOOKUP(tblPayroll[[#This Row],[PPh 21 Base]],TerC_L,TerC_R,0,-1)))</f>
        <v>0.03</v>
      </c>
      <c r="T74" s="5">
        <f>ROUND(tblPayroll[[#This Row],[PPh 21 Base]]*tblPayroll[[#This Row],[TER Rate]],0)</f>
        <v>329301</v>
      </c>
      <c r="U74" s="5">
        <f>ROUND(MIN(tblPayroll[[#This Row],[Basic Salary]]+tblPayroll[[#This Row],[Fixed Allowance]],BPJSKesCap)*R_KesEe,0)</f>
        <v>105000</v>
      </c>
      <c r="V74" s="5">
        <f>ROUND((tblPayroll[[#This Row],[Basic Salary]]+tblPayroll[[#This Row],[Fixed Allowance]])*R_JHTEe,0)</f>
        <v>210000</v>
      </c>
      <c r="W74" s="5">
        <f>ROUND(MIN(tblPayroll[[#This Row],[Basic Salary]]+tblPayroll[[#This Row],[Fixed Allowance]],JPCap)*R_JPEe,0)</f>
        <v>105000</v>
      </c>
      <c r="X74" s="5">
        <f>tblPayroll[[#This Row],[BPJS Health (Ee)]]+tblPayroll[[#This Row],[JHT (Ee)]]+tblPayroll[[#This Row],[JP (Ee)]]</f>
        <v>420000</v>
      </c>
      <c r="Y74" s="5">
        <f>tblPayroll[[#This Row],[Gross Salary]]-tblPayroll[[#This Row],[PPh 21]]-tblPayroll[[#This Row],[Employee BPJS Total]]</f>
        <v>9750699</v>
      </c>
      <c r="Z74" s="5">
        <f>tblPayroll[[#This Row],[Employer BPJS Total]]+tblPayroll[[#This Row],[Employee BPJS Total]]</f>
        <v>1495200</v>
      </c>
      <c r="AA74" s="5">
        <f>tblPayroll[[#This Row],[Gross Salary]]+tblPayroll[[#This Row],[Employer BPJS Total]]</f>
        <v>11575200</v>
      </c>
      <c r="AB74" s="4">
        <v>1130</v>
      </c>
    </row>
    <row r="75" spans="2:28" x14ac:dyDescent="0.35">
      <c r="B75" s="4">
        <v>5</v>
      </c>
      <c r="C75" s="113">
        <v>46167</v>
      </c>
      <c r="D75" s="4" t="s">
        <v>4814</v>
      </c>
      <c r="E75" s="1" t="str">
        <f>_xlfn.XLOOKUP(tblPayroll[[#This Row],[Employee ID]],tblEmployees[Employee ID],tblEmployees[Full Name],"")</f>
        <v>Nadia Putri</v>
      </c>
      <c r="F75" s="1" t="str">
        <f>_xlfn.XLOOKUP(tblPayroll[[#This Row],[Employee ID]],tblEmployees[Employee ID],tblEmployees[Department],"")</f>
        <v>Selling</v>
      </c>
      <c r="G75" s="1" t="str">
        <f>_xlfn.XLOOKUP(tblPayroll[[#This Row],[Employee ID]],tblEmployees[Employee ID],tblEmployees[TER Category],"")</f>
        <v>A</v>
      </c>
      <c r="H75" s="5">
        <f>_xlfn.XLOOKUP(tblPayroll[[#This Row],[Employee ID]],tblEmployees[Employee ID],tblEmployees[Basic Salary],"")</f>
        <v>5800000</v>
      </c>
      <c r="I75" s="5">
        <f>_xlfn.XLOOKUP(tblPayroll[[#This Row],[Employee ID]],tblEmployees[Employee ID],tblEmployees[Fixed Allowance],"")</f>
        <v>700000</v>
      </c>
      <c r="J75" s="6">
        <v>0</v>
      </c>
      <c r="K75" s="5">
        <f>tblPayroll[[#This Row],[Basic Salary]]+tblPayroll[[#This Row],[Fixed Allowance]]+tblPayroll[[#This Row],[THR / Bonus]]</f>
        <v>6500000</v>
      </c>
      <c r="L75" s="5">
        <f>ROUND(MIN(tblPayroll[[#This Row],[Basic Salary]]+tblPayroll[[#This Row],[Fixed Allowance]],BPJSKesCap)*R_KesEr,0)</f>
        <v>260000</v>
      </c>
      <c r="M75" s="5">
        <f>ROUND((tblPayroll[[#This Row],[Basic Salary]]+tblPayroll[[#This Row],[Fixed Allowance]])*R_JKK,0)</f>
        <v>15600</v>
      </c>
      <c r="N75" s="5">
        <f>ROUND((tblPayroll[[#This Row],[Basic Salary]]+tblPayroll[[#This Row],[Fixed Allowance]])*R_JKM,0)</f>
        <v>19500</v>
      </c>
      <c r="O75" s="5">
        <f>ROUND((tblPayroll[[#This Row],[Basic Salary]]+tblPayroll[[#This Row],[Fixed Allowance]])*R_JHTEr,0)</f>
        <v>240500</v>
      </c>
      <c r="P75" s="5">
        <f>ROUND(MIN(tblPayroll[[#This Row],[Basic Salary]]+tblPayroll[[#This Row],[Fixed Allowance]],JPCap)*R_JPEr,0)</f>
        <v>130000</v>
      </c>
      <c r="Q75" s="5">
        <f>SUM(tblPayroll[[#This Row],[BPJS Health (Er)]:[JP (Er)]])</f>
        <v>665600</v>
      </c>
      <c r="R75" s="5">
        <f>tblPayroll[[#This Row],[Gross Salary]]+tblPayroll[[#This Row],[BPJS Health (Er)]]+tblPayroll[[#This Row],[JKK (Er)]]+tblPayroll[[#This Row],[JKM (Er)]]</f>
        <v>6795100</v>
      </c>
      <c r="S75" s="119">
        <f>IF(tblPayroll[[#This Row],[TER Cat]]="A",_xlfn.XLOOKUP(tblPayroll[[#This Row],[PPh 21 Base]],TerA_L,TerA_R,0,-1),IF(tblPayroll[[#This Row],[TER Cat]]="B",_xlfn.XLOOKUP(tblPayroll[[#This Row],[PPh 21 Base]],TerB_L,TerB_R,0,-1),_xlfn.XLOOKUP(tblPayroll[[#This Row],[PPh 21 Base]],TerC_L,TerC_R,0,-1)))</f>
        <v>1.2500000000000001E-2</v>
      </c>
      <c r="T75" s="5">
        <f>ROUND(tblPayroll[[#This Row],[PPh 21 Base]]*tblPayroll[[#This Row],[TER Rate]],0)</f>
        <v>84939</v>
      </c>
      <c r="U75" s="5">
        <f>ROUND(MIN(tblPayroll[[#This Row],[Basic Salary]]+tblPayroll[[#This Row],[Fixed Allowance]],BPJSKesCap)*R_KesEe,0)</f>
        <v>65000</v>
      </c>
      <c r="V75" s="5">
        <f>ROUND((tblPayroll[[#This Row],[Basic Salary]]+tblPayroll[[#This Row],[Fixed Allowance]])*R_JHTEe,0)</f>
        <v>130000</v>
      </c>
      <c r="W75" s="5">
        <f>ROUND(MIN(tblPayroll[[#This Row],[Basic Salary]]+tblPayroll[[#This Row],[Fixed Allowance]],JPCap)*R_JPEe,0)</f>
        <v>65000</v>
      </c>
      <c r="X75" s="5">
        <f>tblPayroll[[#This Row],[BPJS Health (Ee)]]+tblPayroll[[#This Row],[JHT (Ee)]]+tblPayroll[[#This Row],[JP (Ee)]]</f>
        <v>260000</v>
      </c>
      <c r="Y75" s="5">
        <f>tblPayroll[[#This Row],[Gross Salary]]-tblPayroll[[#This Row],[PPh 21]]-tblPayroll[[#This Row],[Employee BPJS Total]]</f>
        <v>6155061</v>
      </c>
      <c r="Z75" s="5">
        <f>tblPayroll[[#This Row],[Employer BPJS Total]]+tblPayroll[[#This Row],[Employee BPJS Total]]</f>
        <v>925600</v>
      </c>
      <c r="AA75" s="5">
        <f>tblPayroll[[#This Row],[Gross Salary]]+tblPayroll[[#This Row],[Employer BPJS Total]]</f>
        <v>7165600</v>
      </c>
      <c r="AB75" s="4">
        <v>1130</v>
      </c>
    </row>
    <row r="76" spans="2:28" x14ac:dyDescent="0.35">
      <c r="B76" s="4">
        <v>5</v>
      </c>
      <c r="C76" s="113">
        <v>46167</v>
      </c>
      <c r="D76" s="4" t="s">
        <v>4819</v>
      </c>
      <c r="E76" s="1" t="str">
        <f>_xlfn.XLOOKUP(tblPayroll[[#This Row],[Employee ID]],tblEmployees[Employee ID],tblEmployees[Full Name],"")</f>
        <v>Dimas Pratama</v>
      </c>
      <c r="F76" s="1" t="str">
        <f>_xlfn.XLOOKUP(tblPayroll[[#This Row],[Employee ID]],tblEmployees[Employee ID],tblEmployees[Department],"")</f>
        <v>Selling</v>
      </c>
      <c r="G76" s="1" t="str">
        <f>_xlfn.XLOOKUP(tblPayroll[[#This Row],[Employee ID]],tblEmployees[Employee ID],tblEmployees[TER Category],"")</f>
        <v>A</v>
      </c>
      <c r="H76" s="5">
        <f>_xlfn.XLOOKUP(tblPayroll[[#This Row],[Employee ID]],tblEmployees[Employee ID],tblEmployees[Basic Salary],"")</f>
        <v>5800000</v>
      </c>
      <c r="I76" s="5">
        <f>_xlfn.XLOOKUP(tblPayroll[[#This Row],[Employee ID]],tblEmployees[Employee ID],tblEmployees[Fixed Allowance],"")</f>
        <v>700000</v>
      </c>
      <c r="J76" s="6">
        <v>0</v>
      </c>
      <c r="K76" s="5">
        <f>tblPayroll[[#This Row],[Basic Salary]]+tblPayroll[[#This Row],[Fixed Allowance]]+tblPayroll[[#This Row],[THR / Bonus]]</f>
        <v>6500000</v>
      </c>
      <c r="L76" s="5">
        <f>ROUND(MIN(tblPayroll[[#This Row],[Basic Salary]]+tblPayroll[[#This Row],[Fixed Allowance]],BPJSKesCap)*R_KesEr,0)</f>
        <v>260000</v>
      </c>
      <c r="M76" s="5">
        <f>ROUND((tblPayroll[[#This Row],[Basic Salary]]+tblPayroll[[#This Row],[Fixed Allowance]])*R_JKK,0)</f>
        <v>15600</v>
      </c>
      <c r="N76" s="5">
        <f>ROUND((tblPayroll[[#This Row],[Basic Salary]]+tblPayroll[[#This Row],[Fixed Allowance]])*R_JKM,0)</f>
        <v>19500</v>
      </c>
      <c r="O76" s="5">
        <f>ROUND((tblPayroll[[#This Row],[Basic Salary]]+tblPayroll[[#This Row],[Fixed Allowance]])*R_JHTEr,0)</f>
        <v>240500</v>
      </c>
      <c r="P76" s="5">
        <f>ROUND(MIN(tblPayroll[[#This Row],[Basic Salary]]+tblPayroll[[#This Row],[Fixed Allowance]],JPCap)*R_JPEr,0)</f>
        <v>130000</v>
      </c>
      <c r="Q76" s="5">
        <f>SUM(tblPayroll[[#This Row],[BPJS Health (Er)]:[JP (Er)]])</f>
        <v>665600</v>
      </c>
      <c r="R76" s="5">
        <f>tblPayroll[[#This Row],[Gross Salary]]+tblPayroll[[#This Row],[BPJS Health (Er)]]+tblPayroll[[#This Row],[JKK (Er)]]+tblPayroll[[#This Row],[JKM (Er)]]</f>
        <v>6795100</v>
      </c>
      <c r="S76" s="119">
        <f>IF(tblPayroll[[#This Row],[TER Cat]]="A",_xlfn.XLOOKUP(tblPayroll[[#This Row],[PPh 21 Base]],TerA_L,TerA_R,0,-1),IF(tblPayroll[[#This Row],[TER Cat]]="B",_xlfn.XLOOKUP(tblPayroll[[#This Row],[PPh 21 Base]],TerB_L,TerB_R,0,-1),_xlfn.XLOOKUP(tblPayroll[[#This Row],[PPh 21 Base]],TerC_L,TerC_R,0,-1)))</f>
        <v>1.2500000000000001E-2</v>
      </c>
      <c r="T76" s="5">
        <f>ROUND(tblPayroll[[#This Row],[PPh 21 Base]]*tblPayroll[[#This Row],[TER Rate]],0)</f>
        <v>84939</v>
      </c>
      <c r="U76" s="5">
        <f>ROUND(MIN(tblPayroll[[#This Row],[Basic Salary]]+tblPayroll[[#This Row],[Fixed Allowance]],BPJSKesCap)*R_KesEe,0)</f>
        <v>65000</v>
      </c>
      <c r="V76" s="5">
        <f>ROUND((tblPayroll[[#This Row],[Basic Salary]]+tblPayroll[[#This Row],[Fixed Allowance]])*R_JHTEe,0)</f>
        <v>130000</v>
      </c>
      <c r="W76" s="5">
        <f>ROUND(MIN(tblPayroll[[#This Row],[Basic Salary]]+tblPayroll[[#This Row],[Fixed Allowance]],JPCap)*R_JPEe,0)</f>
        <v>65000</v>
      </c>
      <c r="X76" s="5">
        <f>tblPayroll[[#This Row],[BPJS Health (Ee)]]+tblPayroll[[#This Row],[JHT (Ee)]]+tblPayroll[[#This Row],[JP (Ee)]]</f>
        <v>260000</v>
      </c>
      <c r="Y76" s="5">
        <f>tblPayroll[[#This Row],[Gross Salary]]-tblPayroll[[#This Row],[PPh 21]]-tblPayroll[[#This Row],[Employee BPJS Total]]</f>
        <v>6155061</v>
      </c>
      <c r="Z76" s="5">
        <f>tblPayroll[[#This Row],[Employer BPJS Total]]+tblPayroll[[#This Row],[Employee BPJS Total]]</f>
        <v>925600</v>
      </c>
      <c r="AA76" s="5">
        <f>tblPayroll[[#This Row],[Gross Salary]]+tblPayroll[[#This Row],[Employer BPJS Total]]</f>
        <v>7165600</v>
      </c>
      <c r="AB76" s="4">
        <v>1130</v>
      </c>
    </row>
    <row r="77" spans="2:28" x14ac:dyDescent="0.35">
      <c r="B77" s="4">
        <v>5</v>
      </c>
      <c r="C77" s="113">
        <v>46167</v>
      </c>
      <c r="D77" s="4" t="s">
        <v>4823</v>
      </c>
      <c r="E77" s="1" t="str">
        <f>_xlfn.XLOOKUP(tblPayroll[[#This Row],[Employee ID]],tblEmployees[Employee ID],tblEmployees[Full Name],"")</f>
        <v>Yusuf Hidayat</v>
      </c>
      <c r="F77" s="1" t="str">
        <f>_xlfn.XLOOKUP(tblPayroll[[#This Row],[Employee ID]],tblEmployees[Employee ID],tblEmployees[Department],"")</f>
        <v>Selling</v>
      </c>
      <c r="G77" s="1" t="str">
        <f>_xlfn.XLOOKUP(tblPayroll[[#This Row],[Employee ID]],tblEmployees[Employee ID],tblEmployees[TER Category],"")</f>
        <v>B</v>
      </c>
      <c r="H77" s="5">
        <f>_xlfn.XLOOKUP(tblPayroll[[#This Row],[Employee ID]],tblEmployees[Employee ID],tblEmployees[Basic Salary],"")</f>
        <v>7500000</v>
      </c>
      <c r="I77" s="5">
        <f>_xlfn.XLOOKUP(tblPayroll[[#This Row],[Employee ID]],tblEmployees[Employee ID],tblEmployees[Fixed Allowance],"")</f>
        <v>1000000</v>
      </c>
      <c r="J77" s="6">
        <v>0</v>
      </c>
      <c r="K77" s="5">
        <f>tblPayroll[[#This Row],[Basic Salary]]+tblPayroll[[#This Row],[Fixed Allowance]]+tblPayroll[[#This Row],[THR / Bonus]]</f>
        <v>8500000</v>
      </c>
      <c r="L77" s="5">
        <f>ROUND(MIN(tblPayroll[[#This Row],[Basic Salary]]+tblPayroll[[#This Row],[Fixed Allowance]],BPJSKesCap)*R_KesEr,0)</f>
        <v>340000</v>
      </c>
      <c r="M77" s="5">
        <f>ROUND((tblPayroll[[#This Row],[Basic Salary]]+tblPayroll[[#This Row],[Fixed Allowance]])*R_JKK,0)</f>
        <v>20400</v>
      </c>
      <c r="N77" s="5">
        <f>ROUND((tblPayroll[[#This Row],[Basic Salary]]+tblPayroll[[#This Row],[Fixed Allowance]])*R_JKM,0)</f>
        <v>25500</v>
      </c>
      <c r="O77" s="5">
        <f>ROUND((tblPayroll[[#This Row],[Basic Salary]]+tblPayroll[[#This Row],[Fixed Allowance]])*R_JHTEr,0)</f>
        <v>314500</v>
      </c>
      <c r="P77" s="5">
        <f>ROUND(MIN(tblPayroll[[#This Row],[Basic Salary]]+tblPayroll[[#This Row],[Fixed Allowance]],JPCap)*R_JPEr,0)</f>
        <v>170000</v>
      </c>
      <c r="Q77" s="5">
        <f>SUM(tblPayroll[[#This Row],[BPJS Health (Er)]:[JP (Er)]])</f>
        <v>870400</v>
      </c>
      <c r="R77" s="5">
        <f>tblPayroll[[#This Row],[Gross Salary]]+tblPayroll[[#This Row],[BPJS Health (Er)]]+tblPayroll[[#This Row],[JKK (Er)]]+tblPayroll[[#This Row],[JKM (Er)]]</f>
        <v>8885900</v>
      </c>
      <c r="S77" s="119">
        <f>IF(tblPayroll[[#This Row],[TER Cat]]="A",_xlfn.XLOOKUP(tblPayroll[[#This Row],[PPh 21 Base]],TerA_L,TerA_R,0,-1),IF(tblPayroll[[#This Row],[TER Cat]]="B",_xlfn.XLOOKUP(tblPayroll[[#This Row],[PPh 21 Base]],TerB_L,TerB_R,0,-1),_xlfn.XLOOKUP(tblPayroll[[#This Row],[PPh 21 Base]],TerC_L,TerC_R,0,-1)))</f>
        <v>0.01</v>
      </c>
      <c r="T77" s="5">
        <f>ROUND(tblPayroll[[#This Row],[PPh 21 Base]]*tblPayroll[[#This Row],[TER Rate]],0)</f>
        <v>88859</v>
      </c>
      <c r="U77" s="5">
        <f>ROUND(MIN(tblPayroll[[#This Row],[Basic Salary]]+tblPayroll[[#This Row],[Fixed Allowance]],BPJSKesCap)*R_KesEe,0)</f>
        <v>85000</v>
      </c>
      <c r="V77" s="5">
        <f>ROUND((tblPayroll[[#This Row],[Basic Salary]]+tblPayroll[[#This Row],[Fixed Allowance]])*R_JHTEe,0)</f>
        <v>170000</v>
      </c>
      <c r="W77" s="5">
        <f>ROUND(MIN(tblPayroll[[#This Row],[Basic Salary]]+tblPayroll[[#This Row],[Fixed Allowance]],JPCap)*R_JPEe,0)</f>
        <v>85000</v>
      </c>
      <c r="X77" s="5">
        <f>tblPayroll[[#This Row],[BPJS Health (Ee)]]+tblPayroll[[#This Row],[JHT (Ee)]]+tblPayroll[[#This Row],[JP (Ee)]]</f>
        <v>340000</v>
      </c>
      <c r="Y77" s="5">
        <f>tblPayroll[[#This Row],[Gross Salary]]-tblPayroll[[#This Row],[PPh 21]]-tblPayroll[[#This Row],[Employee BPJS Total]]</f>
        <v>8071141</v>
      </c>
      <c r="Z77" s="5">
        <f>tblPayroll[[#This Row],[Employer BPJS Total]]+tblPayroll[[#This Row],[Employee BPJS Total]]</f>
        <v>1210400</v>
      </c>
      <c r="AA77" s="5">
        <f>tblPayroll[[#This Row],[Gross Salary]]+tblPayroll[[#This Row],[Employer BPJS Total]]</f>
        <v>9370400</v>
      </c>
      <c r="AB77" s="4">
        <v>1130</v>
      </c>
    </row>
    <row r="78" spans="2:28" x14ac:dyDescent="0.35">
      <c r="B78" s="4">
        <v>5</v>
      </c>
      <c r="C78" s="113">
        <v>46167</v>
      </c>
      <c r="D78" s="4" t="s">
        <v>4828</v>
      </c>
      <c r="E78" s="1" t="str">
        <f>_xlfn.XLOOKUP(tblPayroll[[#This Row],[Employee ID]],tblEmployees[Employee ID],tblEmployees[Full Name],"")</f>
        <v>Lestari Wulandari</v>
      </c>
      <c r="F78" s="1" t="str">
        <f>_xlfn.XLOOKUP(tblPayroll[[#This Row],[Employee ID]],tblEmployees[Employee ID],tblEmployees[Department],"")</f>
        <v>Selling</v>
      </c>
      <c r="G78" s="1" t="str">
        <f>_xlfn.XLOOKUP(tblPayroll[[#This Row],[Employee ID]],tblEmployees[Employee ID],tblEmployees[TER Category],"")</f>
        <v>A</v>
      </c>
      <c r="H78" s="5">
        <f>_xlfn.XLOOKUP(tblPayroll[[#This Row],[Employee ID]],tblEmployees[Employee ID],tblEmployees[Basic Salary],"")</f>
        <v>5600000</v>
      </c>
      <c r="I78" s="5">
        <f>_xlfn.XLOOKUP(tblPayroll[[#This Row],[Employee ID]],tblEmployees[Employee ID],tblEmployees[Fixed Allowance],"")</f>
        <v>600000</v>
      </c>
      <c r="J78" s="6">
        <v>0</v>
      </c>
      <c r="K78" s="5">
        <f>tblPayroll[[#This Row],[Basic Salary]]+tblPayroll[[#This Row],[Fixed Allowance]]+tblPayroll[[#This Row],[THR / Bonus]]</f>
        <v>6200000</v>
      </c>
      <c r="L78" s="5">
        <f>ROUND(MIN(tblPayroll[[#This Row],[Basic Salary]]+tblPayroll[[#This Row],[Fixed Allowance]],BPJSKesCap)*R_KesEr,0)</f>
        <v>248000</v>
      </c>
      <c r="M78" s="5">
        <f>ROUND((tblPayroll[[#This Row],[Basic Salary]]+tblPayroll[[#This Row],[Fixed Allowance]])*R_JKK,0)</f>
        <v>14880</v>
      </c>
      <c r="N78" s="5">
        <f>ROUND((tblPayroll[[#This Row],[Basic Salary]]+tblPayroll[[#This Row],[Fixed Allowance]])*R_JKM,0)</f>
        <v>18600</v>
      </c>
      <c r="O78" s="5">
        <f>ROUND((tblPayroll[[#This Row],[Basic Salary]]+tblPayroll[[#This Row],[Fixed Allowance]])*R_JHTEr,0)</f>
        <v>229400</v>
      </c>
      <c r="P78" s="5">
        <f>ROUND(MIN(tblPayroll[[#This Row],[Basic Salary]]+tblPayroll[[#This Row],[Fixed Allowance]],JPCap)*R_JPEr,0)</f>
        <v>124000</v>
      </c>
      <c r="Q78" s="5">
        <f>SUM(tblPayroll[[#This Row],[BPJS Health (Er)]:[JP (Er)]])</f>
        <v>634880</v>
      </c>
      <c r="R78" s="5">
        <f>tblPayroll[[#This Row],[Gross Salary]]+tblPayroll[[#This Row],[BPJS Health (Er)]]+tblPayroll[[#This Row],[JKK (Er)]]+tblPayroll[[#This Row],[JKM (Er)]]</f>
        <v>6481480</v>
      </c>
      <c r="S78" s="119">
        <f>IF(tblPayroll[[#This Row],[TER Cat]]="A",_xlfn.XLOOKUP(tblPayroll[[#This Row],[PPh 21 Base]],TerA_L,TerA_R,0,-1),IF(tblPayroll[[#This Row],[TER Cat]]="B",_xlfn.XLOOKUP(tblPayroll[[#This Row],[PPh 21 Base]],TerB_L,TerB_R,0,-1),_xlfn.XLOOKUP(tblPayroll[[#This Row],[PPh 21 Base]],TerC_L,TerC_R,0,-1)))</f>
        <v>0.01</v>
      </c>
      <c r="T78" s="5">
        <f>ROUND(tblPayroll[[#This Row],[PPh 21 Base]]*tblPayroll[[#This Row],[TER Rate]],0)</f>
        <v>64815</v>
      </c>
      <c r="U78" s="5">
        <f>ROUND(MIN(tblPayroll[[#This Row],[Basic Salary]]+tblPayroll[[#This Row],[Fixed Allowance]],BPJSKesCap)*R_KesEe,0)</f>
        <v>62000</v>
      </c>
      <c r="V78" s="5">
        <f>ROUND((tblPayroll[[#This Row],[Basic Salary]]+tblPayroll[[#This Row],[Fixed Allowance]])*R_JHTEe,0)</f>
        <v>124000</v>
      </c>
      <c r="W78" s="5">
        <f>ROUND(MIN(tblPayroll[[#This Row],[Basic Salary]]+tblPayroll[[#This Row],[Fixed Allowance]],JPCap)*R_JPEe,0)</f>
        <v>62000</v>
      </c>
      <c r="X78" s="5">
        <f>tblPayroll[[#This Row],[BPJS Health (Ee)]]+tblPayroll[[#This Row],[JHT (Ee)]]+tblPayroll[[#This Row],[JP (Ee)]]</f>
        <v>248000</v>
      </c>
      <c r="Y78" s="5">
        <f>tblPayroll[[#This Row],[Gross Salary]]-tblPayroll[[#This Row],[PPh 21]]-tblPayroll[[#This Row],[Employee BPJS Total]]</f>
        <v>5887185</v>
      </c>
      <c r="Z78" s="5">
        <f>tblPayroll[[#This Row],[Employer BPJS Total]]+tblPayroll[[#This Row],[Employee BPJS Total]]</f>
        <v>882880</v>
      </c>
      <c r="AA78" s="5">
        <f>tblPayroll[[#This Row],[Gross Salary]]+tblPayroll[[#This Row],[Employer BPJS Total]]</f>
        <v>6834880</v>
      </c>
      <c r="AB78" s="4">
        <v>1130</v>
      </c>
    </row>
    <row r="79" spans="2:28" x14ac:dyDescent="0.35">
      <c r="B79" s="4">
        <v>5</v>
      </c>
      <c r="C79" s="113">
        <v>46167</v>
      </c>
      <c r="D79" s="4" t="s">
        <v>4834</v>
      </c>
      <c r="E79" s="1" t="str">
        <f>_xlfn.XLOOKUP(tblPayroll[[#This Row],[Employee ID]],tblEmployees[Employee ID],tblEmployees[Full Name],"")</f>
        <v>Bayu Nugroho</v>
      </c>
      <c r="F79" s="1" t="str">
        <f>_xlfn.XLOOKUP(tblPayroll[[#This Row],[Employee ID]],tblEmployees[Employee ID],tblEmployees[Department],"")</f>
        <v>Selling</v>
      </c>
      <c r="G79" s="1" t="str">
        <f>_xlfn.XLOOKUP(tblPayroll[[#This Row],[Employee ID]],tblEmployees[Employee ID],tblEmployees[TER Category],"")</f>
        <v>B</v>
      </c>
      <c r="H79" s="5">
        <f>_xlfn.XLOOKUP(tblPayroll[[#This Row],[Employee ID]],tblEmployees[Employee ID],tblEmployees[Basic Salary],"")</f>
        <v>5600000</v>
      </c>
      <c r="I79" s="5">
        <f>_xlfn.XLOOKUP(tblPayroll[[#This Row],[Employee ID]],tblEmployees[Employee ID],tblEmployees[Fixed Allowance],"")</f>
        <v>600000</v>
      </c>
      <c r="J79" s="6">
        <v>0</v>
      </c>
      <c r="K79" s="5">
        <f>tblPayroll[[#This Row],[Basic Salary]]+tblPayroll[[#This Row],[Fixed Allowance]]+tblPayroll[[#This Row],[THR / Bonus]]</f>
        <v>6200000</v>
      </c>
      <c r="L79" s="5">
        <f>ROUND(MIN(tblPayroll[[#This Row],[Basic Salary]]+tblPayroll[[#This Row],[Fixed Allowance]],BPJSKesCap)*R_KesEr,0)</f>
        <v>248000</v>
      </c>
      <c r="M79" s="5">
        <f>ROUND((tblPayroll[[#This Row],[Basic Salary]]+tblPayroll[[#This Row],[Fixed Allowance]])*R_JKK,0)</f>
        <v>14880</v>
      </c>
      <c r="N79" s="5">
        <f>ROUND((tblPayroll[[#This Row],[Basic Salary]]+tblPayroll[[#This Row],[Fixed Allowance]])*R_JKM,0)</f>
        <v>18600</v>
      </c>
      <c r="O79" s="5">
        <f>ROUND((tblPayroll[[#This Row],[Basic Salary]]+tblPayroll[[#This Row],[Fixed Allowance]])*R_JHTEr,0)</f>
        <v>229400</v>
      </c>
      <c r="P79" s="5">
        <f>ROUND(MIN(tblPayroll[[#This Row],[Basic Salary]]+tblPayroll[[#This Row],[Fixed Allowance]],JPCap)*R_JPEr,0)</f>
        <v>124000</v>
      </c>
      <c r="Q79" s="5">
        <f>SUM(tblPayroll[[#This Row],[BPJS Health (Er)]:[JP (Er)]])</f>
        <v>634880</v>
      </c>
      <c r="R79" s="5">
        <f>tblPayroll[[#This Row],[Gross Salary]]+tblPayroll[[#This Row],[BPJS Health (Er)]]+tblPayroll[[#This Row],[JKK (Er)]]+tblPayroll[[#This Row],[JKM (Er)]]</f>
        <v>6481480</v>
      </c>
      <c r="S79" s="119">
        <f>IF(tblPayroll[[#This Row],[TER Cat]]="A",_xlfn.XLOOKUP(tblPayroll[[#This Row],[PPh 21 Base]],TerA_L,TerA_R,0,-1),IF(tblPayroll[[#This Row],[TER Cat]]="B",_xlfn.XLOOKUP(tblPayroll[[#This Row],[PPh 21 Base]],TerB_L,TerB_R,0,-1),_xlfn.XLOOKUP(tblPayroll[[#This Row],[PPh 21 Base]],TerC_L,TerC_R,0,-1)))</f>
        <v>2.5000000000000001E-3</v>
      </c>
      <c r="T79" s="5">
        <f>ROUND(tblPayroll[[#This Row],[PPh 21 Base]]*tblPayroll[[#This Row],[TER Rate]],0)</f>
        <v>16204</v>
      </c>
      <c r="U79" s="5">
        <f>ROUND(MIN(tblPayroll[[#This Row],[Basic Salary]]+tblPayroll[[#This Row],[Fixed Allowance]],BPJSKesCap)*R_KesEe,0)</f>
        <v>62000</v>
      </c>
      <c r="V79" s="5">
        <f>ROUND((tblPayroll[[#This Row],[Basic Salary]]+tblPayroll[[#This Row],[Fixed Allowance]])*R_JHTEe,0)</f>
        <v>124000</v>
      </c>
      <c r="W79" s="5">
        <f>ROUND(MIN(tblPayroll[[#This Row],[Basic Salary]]+tblPayroll[[#This Row],[Fixed Allowance]],JPCap)*R_JPEe,0)</f>
        <v>62000</v>
      </c>
      <c r="X79" s="5">
        <f>tblPayroll[[#This Row],[BPJS Health (Ee)]]+tblPayroll[[#This Row],[JHT (Ee)]]+tblPayroll[[#This Row],[JP (Ee)]]</f>
        <v>248000</v>
      </c>
      <c r="Y79" s="5">
        <f>tblPayroll[[#This Row],[Gross Salary]]-tblPayroll[[#This Row],[PPh 21]]-tblPayroll[[#This Row],[Employee BPJS Total]]</f>
        <v>5935796</v>
      </c>
      <c r="Z79" s="5">
        <f>tblPayroll[[#This Row],[Employer BPJS Total]]+tblPayroll[[#This Row],[Employee BPJS Total]]</f>
        <v>882880</v>
      </c>
      <c r="AA79" s="5">
        <f>tblPayroll[[#This Row],[Gross Salary]]+tblPayroll[[#This Row],[Employer BPJS Total]]</f>
        <v>6834880</v>
      </c>
      <c r="AB79" s="4">
        <v>1130</v>
      </c>
    </row>
    <row r="80" spans="2:28" x14ac:dyDescent="0.35">
      <c r="B80" s="4">
        <v>5</v>
      </c>
      <c r="C80" s="113">
        <v>46167</v>
      </c>
      <c r="D80" s="4" t="s">
        <v>4839</v>
      </c>
      <c r="E80" s="1" t="str">
        <f>_xlfn.XLOOKUP(tblPayroll[[#This Row],[Employee ID]],tblEmployees[Employee ID],tblEmployees[Full Name],"")</f>
        <v>Maya Sari</v>
      </c>
      <c r="F80" s="1" t="str">
        <f>_xlfn.XLOOKUP(tblPayroll[[#This Row],[Employee ID]],tblEmployees[Employee ID],tblEmployees[Department],"")</f>
        <v>Selling</v>
      </c>
      <c r="G80" s="1" t="str">
        <f>_xlfn.XLOOKUP(tblPayroll[[#This Row],[Employee ID]],tblEmployees[Employee ID],tblEmployees[TER Category],"")</f>
        <v>A</v>
      </c>
      <c r="H80" s="5">
        <f>_xlfn.XLOOKUP(tblPayroll[[#This Row],[Employee ID]],tblEmployees[Employee ID],tblEmployees[Basic Salary],"")</f>
        <v>5700000</v>
      </c>
      <c r="I80" s="5">
        <f>_xlfn.XLOOKUP(tblPayroll[[#This Row],[Employee ID]],tblEmployees[Employee ID],tblEmployees[Fixed Allowance],"")</f>
        <v>600000</v>
      </c>
      <c r="J80" s="6">
        <v>0</v>
      </c>
      <c r="K80" s="5">
        <f>tblPayroll[[#This Row],[Basic Salary]]+tblPayroll[[#This Row],[Fixed Allowance]]+tblPayroll[[#This Row],[THR / Bonus]]</f>
        <v>6300000</v>
      </c>
      <c r="L80" s="5">
        <f>ROUND(MIN(tblPayroll[[#This Row],[Basic Salary]]+tblPayroll[[#This Row],[Fixed Allowance]],BPJSKesCap)*R_KesEr,0)</f>
        <v>252000</v>
      </c>
      <c r="M80" s="5">
        <f>ROUND((tblPayroll[[#This Row],[Basic Salary]]+tblPayroll[[#This Row],[Fixed Allowance]])*R_JKK,0)</f>
        <v>15120</v>
      </c>
      <c r="N80" s="5">
        <f>ROUND((tblPayroll[[#This Row],[Basic Salary]]+tblPayroll[[#This Row],[Fixed Allowance]])*R_JKM,0)</f>
        <v>18900</v>
      </c>
      <c r="O80" s="5">
        <f>ROUND((tblPayroll[[#This Row],[Basic Salary]]+tblPayroll[[#This Row],[Fixed Allowance]])*R_JHTEr,0)</f>
        <v>233100</v>
      </c>
      <c r="P80" s="5">
        <f>ROUND(MIN(tblPayroll[[#This Row],[Basic Salary]]+tblPayroll[[#This Row],[Fixed Allowance]],JPCap)*R_JPEr,0)</f>
        <v>126000</v>
      </c>
      <c r="Q80" s="5">
        <f>SUM(tblPayroll[[#This Row],[BPJS Health (Er)]:[JP (Er)]])</f>
        <v>645120</v>
      </c>
      <c r="R80" s="5">
        <f>tblPayroll[[#This Row],[Gross Salary]]+tblPayroll[[#This Row],[BPJS Health (Er)]]+tblPayroll[[#This Row],[JKK (Er)]]+tblPayroll[[#This Row],[JKM (Er)]]</f>
        <v>6586020</v>
      </c>
      <c r="S80" s="119">
        <f>IF(tblPayroll[[#This Row],[TER Cat]]="A",_xlfn.XLOOKUP(tblPayroll[[#This Row],[PPh 21 Base]],TerA_L,TerA_R,0,-1),IF(tblPayroll[[#This Row],[TER Cat]]="B",_xlfn.XLOOKUP(tblPayroll[[#This Row],[PPh 21 Base]],TerB_L,TerB_R,0,-1),_xlfn.XLOOKUP(tblPayroll[[#This Row],[PPh 21 Base]],TerC_L,TerC_R,0,-1)))</f>
        <v>0.01</v>
      </c>
      <c r="T80" s="5">
        <f>ROUND(tblPayroll[[#This Row],[PPh 21 Base]]*tblPayroll[[#This Row],[TER Rate]],0)</f>
        <v>65860</v>
      </c>
      <c r="U80" s="5">
        <f>ROUND(MIN(tblPayroll[[#This Row],[Basic Salary]]+tblPayroll[[#This Row],[Fixed Allowance]],BPJSKesCap)*R_KesEe,0)</f>
        <v>63000</v>
      </c>
      <c r="V80" s="5">
        <f>ROUND((tblPayroll[[#This Row],[Basic Salary]]+tblPayroll[[#This Row],[Fixed Allowance]])*R_JHTEe,0)</f>
        <v>126000</v>
      </c>
      <c r="W80" s="5">
        <f>ROUND(MIN(tblPayroll[[#This Row],[Basic Salary]]+tblPayroll[[#This Row],[Fixed Allowance]],JPCap)*R_JPEe,0)</f>
        <v>63000</v>
      </c>
      <c r="X80" s="5">
        <f>tblPayroll[[#This Row],[BPJS Health (Ee)]]+tblPayroll[[#This Row],[JHT (Ee)]]+tblPayroll[[#This Row],[JP (Ee)]]</f>
        <v>252000</v>
      </c>
      <c r="Y80" s="5">
        <f>tblPayroll[[#This Row],[Gross Salary]]-tblPayroll[[#This Row],[PPh 21]]-tblPayroll[[#This Row],[Employee BPJS Total]]</f>
        <v>5982140</v>
      </c>
      <c r="Z80" s="5">
        <f>tblPayroll[[#This Row],[Employer BPJS Total]]+tblPayroll[[#This Row],[Employee BPJS Total]]</f>
        <v>897120</v>
      </c>
      <c r="AA80" s="5">
        <f>tblPayroll[[#This Row],[Gross Salary]]+tblPayroll[[#This Row],[Employer BPJS Total]]</f>
        <v>6945120</v>
      </c>
      <c r="AB80" s="4">
        <v>1130</v>
      </c>
    </row>
    <row r="81" spans="2:28" x14ac:dyDescent="0.35">
      <c r="B81" s="4">
        <v>5</v>
      </c>
      <c r="C81" s="113">
        <v>46167</v>
      </c>
      <c r="D81" s="4" t="s">
        <v>4844</v>
      </c>
      <c r="E81" s="1" t="str">
        <f>_xlfn.XLOOKUP(tblPayroll[[#This Row],[Employee ID]],tblEmployees[Employee ID],tblEmployees[Full Name],"")</f>
        <v>Hendra Wijaya</v>
      </c>
      <c r="F81" s="1" t="str">
        <f>_xlfn.XLOOKUP(tblPayroll[[#This Row],[Employee ID]],tblEmployees[Employee ID],tblEmployees[Department],"")</f>
        <v>G&amp;A</v>
      </c>
      <c r="G81" s="1" t="str">
        <f>_xlfn.XLOOKUP(tblPayroll[[#This Row],[Employee ID]],tblEmployees[Employee ID],tblEmployees[TER Category],"")</f>
        <v>A</v>
      </c>
      <c r="H81" s="5">
        <f>_xlfn.XLOOKUP(tblPayroll[[#This Row],[Employee ID]],tblEmployees[Employee ID],tblEmployees[Basic Salary],"")</f>
        <v>9500000</v>
      </c>
      <c r="I81" s="5">
        <f>_xlfn.XLOOKUP(tblPayroll[[#This Row],[Employee ID]],tblEmployees[Employee ID],tblEmployees[Fixed Allowance],"")</f>
        <v>1000000</v>
      </c>
      <c r="J81" s="6">
        <v>0</v>
      </c>
      <c r="K81" s="5">
        <f>tblPayroll[[#This Row],[Basic Salary]]+tblPayroll[[#This Row],[Fixed Allowance]]+tblPayroll[[#This Row],[THR / Bonus]]</f>
        <v>10500000</v>
      </c>
      <c r="L81" s="5">
        <f>ROUND(MIN(tblPayroll[[#This Row],[Basic Salary]]+tblPayroll[[#This Row],[Fixed Allowance]],BPJSKesCap)*R_KesEr,0)</f>
        <v>420000</v>
      </c>
      <c r="M81" s="5">
        <f>ROUND((tblPayroll[[#This Row],[Basic Salary]]+tblPayroll[[#This Row],[Fixed Allowance]])*R_JKK,0)</f>
        <v>25200</v>
      </c>
      <c r="N81" s="5">
        <f>ROUND((tblPayroll[[#This Row],[Basic Salary]]+tblPayroll[[#This Row],[Fixed Allowance]])*R_JKM,0)</f>
        <v>31500</v>
      </c>
      <c r="O81" s="5">
        <f>ROUND((tblPayroll[[#This Row],[Basic Salary]]+tblPayroll[[#This Row],[Fixed Allowance]])*R_JHTEr,0)</f>
        <v>388500</v>
      </c>
      <c r="P81" s="5">
        <f>ROUND(MIN(tblPayroll[[#This Row],[Basic Salary]]+tblPayroll[[#This Row],[Fixed Allowance]],JPCap)*R_JPEr,0)</f>
        <v>210000</v>
      </c>
      <c r="Q81" s="5">
        <f>SUM(tblPayroll[[#This Row],[BPJS Health (Er)]:[JP (Er)]])</f>
        <v>1075200</v>
      </c>
      <c r="R81" s="5">
        <f>tblPayroll[[#This Row],[Gross Salary]]+tblPayroll[[#This Row],[BPJS Health (Er)]]+tblPayroll[[#This Row],[JKK (Er)]]+tblPayroll[[#This Row],[JKM (Er)]]</f>
        <v>10976700</v>
      </c>
      <c r="S81" s="119">
        <f>IF(tblPayroll[[#This Row],[TER Cat]]="A",_xlfn.XLOOKUP(tblPayroll[[#This Row],[PPh 21 Base]],TerA_L,TerA_R,0,-1),IF(tblPayroll[[#This Row],[TER Cat]]="B",_xlfn.XLOOKUP(tblPayroll[[#This Row],[PPh 21 Base]],TerB_L,TerB_R,0,-1),_xlfn.XLOOKUP(tblPayroll[[#This Row],[PPh 21 Base]],TerC_L,TerC_R,0,-1)))</f>
        <v>0.03</v>
      </c>
      <c r="T81" s="5">
        <f>ROUND(tblPayroll[[#This Row],[PPh 21 Base]]*tblPayroll[[#This Row],[TER Rate]],0)</f>
        <v>329301</v>
      </c>
      <c r="U81" s="5">
        <f>ROUND(MIN(tblPayroll[[#This Row],[Basic Salary]]+tblPayroll[[#This Row],[Fixed Allowance]],BPJSKesCap)*R_KesEe,0)</f>
        <v>105000</v>
      </c>
      <c r="V81" s="5">
        <f>ROUND((tblPayroll[[#This Row],[Basic Salary]]+tblPayroll[[#This Row],[Fixed Allowance]])*R_JHTEe,0)</f>
        <v>210000</v>
      </c>
      <c r="W81" s="5">
        <f>ROUND(MIN(tblPayroll[[#This Row],[Basic Salary]]+tblPayroll[[#This Row],[Fixed Allowance]],JPCap)*R_JPEe,0)</f>
        <v>105000</v>
      </c>
      <c r="X81" s="5">
        <f>tblPayroll[[#This Row],[BPJS Health (Ee)]]+tblPayroll[[#This Row],[JHT (Ee)]]+tblPayroll[[#This Row],[JP (Ee)]]</f>
        <v>420000</v>
      </c>
      <c r="Y81" s="5">
        <f>tblPayroll[[#This Row],[Gross Salary]]-tblPayroll[[#This Row],[PPh 21]]-tblPayroll[[#This Row],[Employee BPJS Total]]</f>
        <v>9750699</v>
      </c>
      <c r="Z81" s="5">
        <f>tblPayroll[[#This Row],[Employer BPJS Total]]+tblPayroll[[#This Row],[Employee BPJS Total]]</f>
        <v>1495200</v>
      </c>
      <c r="AA81" s="5">
        <f>tblPayroll[[#This Row],[Gross Salary]]+tblPayroll[[#This Row],[Employer BPJS Total]]</f>
        <v>11575200</v>
      </c>
      <c r="AB81" s="4">
        <v>1130</v>
      </c>
    </row>
    <row r="82" spans="2:28" x14ac:dyDescent="0.35">
      <c r="B82" s="4">
        <v>6</v>
      </c>
      <c r="C82" s="113">
        <v>46198</v>
      </c>
      <c r="D82" s="4" t="s">
        <v>4774</v>
      </c>
      <c r="E82" s="1" t="str">
        <f>_xlfn.XLOOKUP(tblPayroll[[#This Row],[Employee ID]],tblEmployees[Employee ID],tblEmployees[Full Name],"")</f>
        <v>Budi Santoso</v>
      </c>
      <c r="F82" s="1" t="str">
        <f>_xlfn.XLOOKUP(tblPayroll[[#This Row],[Employee ID]],tblEmployees[Employee ID],tblEmployees[Department],"")</f>
        <v>G&amp;A</v>
      </c>
      <c r="G82" s="1" t="str">
        <f>_xlfn.XLOOKUP(tblPayroll[[#This Row],[Employee ID]],tblEmployees[Employee ID],tblEmployees[TER Category],"")</f>
        <v>B</v>
      </c>
      <c r="H82" s="5">
        <f>_xlfn.XLOOKUP(tblPayroll[[#This Row],[Employee ID]],tblEmployees[Employee ID],tblEmployees[Basic Salary],"")</f>
        <v>25000000</v>
      </c>
      <c r="I82" s="5">
        <f>_xlfn.XLOOKUP(tblPayroll[[#This Row],[Employee ID]],tblEmployees[Employee ID],tblEmployees[Fixed Allowance],"")</f>
        <v>4000000</v>
      </c>
      <c r="J82" s="6">
        <v>0</v>
      </c>
      <c r="K82" s="5">
        <f>tblPayroll[[#This Row],[Basic Salary]]+tblPayroll[[#This Row],[Fixed Allowance]]+tblPayroll[[#This Row],[THR / Bonus]]</f>
        <v>29000000</v>
      </c>
      <c r="L82" s="5">
        <f>ROUND(MIN(tblPayroll[[#This Row],[Basic Salary]]+tblPayroll[[#This Row],[Fixed Allowance]],BPJSKesCap)*R_KesEr,0)</f>
        <v>480000</v>
      </c>
      <c r="M82" s="5">
        <f>ROUND((tblPayroll[[#This Row],[Basic Salary]]+tblPayroll[[#This Row],[Fixed Allowance]])*R_JKK,0)</f>
        <v>69600</v>
      </c>
      <c r="N82" s="5">
        <f>ROUND((tblPayroll[[#This Row],[Basic Salary]]+tblPayroll[[#This Row],[Fixed Allowance]])*R_JKM,0)</f>
        <v>87000</v>
      </c>
      <c r="O82" s="5">
        <f>ROUND((tblPayroll[[#This Row],[Basic Salary]]+tblPayroll[[#This Row],[Fixed Allowance]])*R_JHTEr,0)</f>
        <v>1073000</v>
      </c>
      <c r="P82" s="5">
        <f>ROUND(MIN(tblPayroll[[#This Row],[Basic Salary]]+tblPayroll[[#This Row],[Fixed Allowance]],JPCap)*R_JPEr,0)</f>
        <v>210948</v>
      </c>
      <c r="Q82" s="5">
        <f>SUM(tblPayroll[[#This Row],[BPJS Health (Er)]:[JP (Er)]])</f>
        <v>1920548</v>
      </c>
      <c r="R82" s="5">
        <f>tblPayroll[[#This Row],[Gross Salary]]+tblPayroll[[#This Row],[BPJS Health (Er)]]+tblPayroll[[#This Row],[JKK (Er)]]+tblPayroll[[#This Row],[JKM (Er)]]</f>
        <v>29636600</v>
      </c>
      <c r="S82" s="119">
        <f>IF(tblPayroll[[#This Row],[TER Cat]]="A",_xlfn.XLOOKUP(tblPayroll[[#This Row],[PPh 21 Base]],TerA_L,TerA_R,0,-1),IF(tblPayroll[[#This Row],[TER Cat]]="B",_xlfn.XLOOKUP(tblPayroll[[#This Row],[PPh 21 Base]],TerB_L,TerB_R,0,-1),_xlfn.XLOOKUP(tblPayroll[[#This Row],[PPh 21 Base]],TerC_L,TerC_R,0,-1)))</f>
        <v>0.12</v>
      </c>
      <c r="T82" s="5">
        <f>ROUND(tblPayroll[[#This Row],[PPh 21 Base]]*tblPayroll[[#This Row],[TER Rate]],0)</f>
        <v>3556392</v>
      </c>
      <c r="U82" s="5">
        <f>ROUND(MIN(tblPayroll[[#This Row],[Basic Salary]]+tblPayroll[[#This Row],[Fixed Allowance]],BPJSKesCap)*R_KesEe,0)</f>
        <v>120000</v>
      </c>
      <c r="V82" s="5">
        <f>ROUND((tblPayroll[[#This Row],[Basic Salary]]+tblPayroll[[#This Row],[Fixed Allowance]])*R_JHTEe,0)</f>
        <v>580000</v>
      </c>
      <c r="W82" s="5">
        <f>ROUND(MIN(tblPayroll[[#This Row],[Basic Salary]]+tblPayroll[[#This Row],[Fixed Allowance]],JPCap)*R_JPEe,0)</f>
        <v>105474</v>
      </c>
      <c r="X82" s="5">
        <f>tblPayroll[[#This Row],[BPJS Health (Ee)]]+tblPayroll[[#This Row],[JHT (Ee)]]+tblPayroll[[#This Row],[JP (Ee)]]</f>
        <v>805474</v>
      </c>
      <c r="Y82" s="5">
        <f>tblPayroll[[#This Row],[Gross Salary]]-tblPayroll[[#This Row],[PPh 21]]-tblPayroll[[#This Row],[Employee BPJS Total]]</f>
        <v>24638134</v>
      </c>
      <c r="Z82" s="5">
        <f>tblPayroll[[#This Row],[Employer BPJS Total]]+tblPayroll[[#This Row],[Employee BPJS Total]]</f>
        <v>2726022</v>
      </c>
      <c r="AA82" s="5">
        <f>tblPayroll[[#This Row],[Gross Salary]]+tblPayroll[[#This Row],[Employer BPJS Total]]</f>
        <v>30920548</v>
      </c>
      <c r="AB82" s="4">
        <v>1130</v>
      </c>
    </row>
    <row r="83" spans="2:28" x14ac:dyDescent="0.35">
      <c r="B83" s="4">
        <v>6</v>
      </c>
      <c r="C83" s="113">
        <v>46198</v>
      </c>
      <c r="D83" s="4" t="s">
        <v>4779</v>
      </c>
      <c r="E83" s="1" t="str">
        <f>_xlfn.XLOOKUP(tblPayroll[[#This Row],[Employee ID]],tblEmployees[Employee ID],tblEmployees[Full Name],"")</f>
        <v>Siti Rahmawati</v>
      </c>
      <c r="F83" s="1" t="str">
        <f>_xlfn.XLOOKUP(tblPayroll[[#This Row],[Employee ID]],tblEmployees[Employee ID],tblEmployees[Department],"")</f>
        <v>G&amp;A</v>
      </c>
      <c r="G83" s="1" t="str">
        <f>_xlfn.XLOOKUP(tblPayroll[[#This Row],[Employee ID]],tblEmployees[Employee ID],tblEmployees[TER Category],"")</f>
        <v>B</v>
      </c>
      <c r="H83" s="5">
        <f>_xlfn.XLOOKUP(tblPayroll[[#This Row],[Employee ID]],tblEmployees[Employee ID],tblEmployees[Basic Salary],"")</f>
        <v>20000000</v>
      </c>
      <c r="I83" s="5">
        <f>_xlfn.XLOOKUP(tblPayroll[[#This Row],[Employee ID]],tblEmployees[Employee ID],tblEmployees[Fixed Allowance],"")</f>
        <v>3000000</v>
      </c>
      <c r="J83" s="6">
        <v>0</v>
      </c>
      <c r="K83" s="5">
        <f>tblPayroll[[#This Row],[Basic Salary]]+tblPayroll[[#This Row],[Fixed Allowance]]+tblPayroll[[#This Row],[THR / Bonus]]</f>
        <v>23000000</v>
      </c>
      <c r="L83" s="5">
        <f>ROUND(MIN(tblPayroll[[#This Row],[Basic Salary]]+tblPayroll[[#This Row],[Fixed Allowance]],BPJSKesCap)*R_KesEr,0)</f>
        <v>480000</v>
      </c>
      <c r="M83" s="5">
        <f>ROUND((tblPayroll[[#This Row],[Basic Salary]]+tblPayroll[[#This Row],[Fixed Allowance]])*R_JKK,0)</f>
        <v>55200</v>
      </c>
      <c r="N83" s="5">
        <f>ROUND((tblPayroll[[#This Row],[Basic Salary]]+tblPayroll[[#This Row],[Fixed Allowance]])*R_JKM,0)</f>
        <v>69000</v>
      </c>
      <c r="O83" s="5">
        <f>ROUND((tblPayroll[[#This Row],[Basic Salary]]+tblPayroll[[#This Row],[Fixed Allowance]])*R_JHTEr,0)</f>
        <v>851000</v>
      </c>
      <c r="P83" s="5">
        <f>ROUND(MIN(tblPayroll[[#This Row],[Basic Salary]]+tblPayroll[[#This Row],[Fixed Allowance]],JPCap)*R_JPEr,0)</f>
        <v>210948</v>
      </c>
      <c r="Q83" s="5">
        <f>SUM(tblPayroll[[#This Row],[BPJS Health (Er)]:[JP (Er)]])</f>
        <v>1666148</v>
      </c>
      <c r="R83" s="5">
        <f>tblPayroll[[#This Row],[Gross Salary]]+tblPayroll[[#This Row],[BPJS Health (Er)]]+tblPayroll[[#This Row],[JKK (Er)]]+tblPayroll[[#This Row],[JKM (Er)]]</f>
        <v>23604200</v>
      </c>
      <c r="S83" s="119">
        <f>IF(tblPayroll[[#This Row],[TER Cat]]="A",_xlfn.XLOOKUP(tblPayroll[[#This Row],[PPh 21 Base]],TerA_L,TerA_R,0,-1),IF(tblPayroll[[#This Row],[TER Cat]]="B",_xlfn.XLOOKUP(tblPayroll[[#This Row],[PPh 21 Base]],TerB_L,TerB_R,0,-1),_xlfn.XLOOKUP(tblPayroll[[#This Row],[PPh 21 Base]],TerC_L,TerC_R,0,-1)))</f>
        <v>0.09</v>
      </c>
      <c r="T83" s="5">
        <f>ROUND(tblPayroll[[#This Row],[PPh 21 Base]]*tblPayroll[[#This Row],[TER Rate]],0)</f>
        <v>2124378</v>
      </c>
      <c r="U83" s="5">
        <f>ROUND(MIN(tblPayroll[[#This Row],[Basic Salary]]+tblPayroll[[#This Row],[Fixed Allowance]],BPJSKesCap)*R_KesEe,0)</f>
        <v>120000</v>
      </c>
      <c r="V83" s="5">
        <f>ROUND((tblPayroll[[#This Row],[Basic Salary]]+tblPayroll[[#This Row],[Fixed Allowance]])*R_JHTEe,0)</f>
        <v>460000</v>
      </c>
      <c r="W83" s="5">
        <f>ROUND(MIN(tblPayroll[[#This Row],[Basic Salary]]+tblPayroll[[#This Row],[Fixed Allowance]],JPCap)*R_JPEe,0)</f>
        <v>105474</v>
      </c>
      <c r="X83" s="5">
        <f>tblPayroll[[#This Row],[BPJS Health (Ee)]]+tblPayroll[[#This Row],[JHT (Ee)]]+tblPayroll[[#This Row],[JP (Ee)]]</f>
        <v>685474</v>
      </c>
      <c r="Y83" s="5">
        <f>tblPayroll[[#This Row],[Gross Salary]]-tblPayroll[[#This Row],[PPh 21]]-tblPayroll[[#This Row],[Employee BPJS Total]]</f>
        <v>20190148</v>
      </c>
      <c r="Z83" s="5">
        <f>tblPayroll[[#This Row],[Employer BPJS Total]]+tblPayroll[[#This Row],[Employee BPJS Total]]</f>
        <v>2351622</v>
      </c>
      <c r="AA83" s="5">
        <f>tblPayroll[[#This Row],[Gross Salary]]+tblPayroll[[#This Row],[Employer BPJS Total]]</f>
        <v>24666148</v>
      </c>
      <c r="AB83" s="4">
        <v>1130</v>
      </c>
    </row>
    <row r="84" spans="2:28" x14ac:dyDescent="0.35">
      <c r="B84" s="4">
        <v>6</v>
      </c>
      <c r="C84" s="113">
        <v>46198</v>
      </c>
      <c r="D84" s="4" t="s">
        <v>4783</v>
      </c>
      <c r="E84" s="1" t="str">
        <f>_xlfn.XLOOKUP(tblPayroll[[#This Row],[Employee ID]],tblEmployees[Employee ID],tblEmployees[Full Name],"")</f>
        <v>Dewi Lestari</v>
      </c>
      <c r="F84" s="1" t="str">
        <f>_xlfn.XLOOKUP(tblPayroll[[#This Row],[Employee ID]],tblEmployees[Employee ID],tblEmployees[Department],"")</f>
        <v>G&amp;A</v>
      </c>
      <c r="G84" s="1" t="str">
        <f>_xlfn.XLOOKUP(tblPayroll[[#This Row],[Employee ID]],tblEmployees[Employee ID],tblEmployees[TER Category],"")</f>
        <v>A</v>
      </c>
      <c r="H84" s="5">
        <f>_xlfn.XLOOKUP(tblPayroll[[#This Row],[Employee ID]],tblEmployees[Employee ID],tblEmployees[Basic Salary],"")</f>
        <v>15000000</v>
      </c>
      <c r="I84" s="5">
        <f>_xlfn.XLOOKUP(tblPayroll[[#This Row],[Employee ID]],tblEmployees[Employee ID],tblEmployees[Fixed Allowance],"")</f>
        <v>2000000</v>
      </c>
      <c r="J84" s="6">
        <v>0</v>
      </c>
      <c r="K84" s="5">
        <f>tblPayroll[[#This Row],[Basic Salary]]+tblPayroll[[#This Row],[Fixed Allowance]]+tblPayroll[[#This Row],[THR / Bonus]]</f>
        <v>17000000</v>
      </c>
      <c r="L84" s="5">
        <f>ROUND(MIN(tblPayroll[[#This Row],[Basic Salary]]+tblPayroll[[#This Row],[Fixed Allowance]],BPJSKesCap)*R_KesEr,0)</f>
        <v>480000</v>
      </c>
      <c r="M84" s="5">
        <f>ROUND((tblPayroll[[#This Row],[Basic Salary]]+tblPayroll[[#This Row],[Fixed Allowance]])*R_JKK,0)</f>
        <v>40800</v>
      </c>
      <c r="N84" s="5">
        <f>ROUND((tblPayroll[[#This Row],[Basic Salary]]+tblPayroll[[#This Row],[Fixed Allowance]])*R_JKM,0)</f>
        <v>51000</v>
      </c>
      <c r="O84" s="5">
        <f>ROUND((tblPayroll[[#This Row],[Basic Salary]]+tblPayroll[[#This Row],[Fixed Allowance]])*R_JHTEr,0)</f>
        <v>629000</v>
      </c>
      <c r="P84" s="5">
        <f>ROUND(MIN(tblPayroll[[#This Row],[Basic Salary]]+tblPayroll[[#This Row],[Fixed Allowance]],JPCap)*R_JPEr,0)</f>
        <v>210948</v>
      </c>
      <c r="Q84" s="5">
        <f>SUM(tblPayroll[[#This Row],[BPJS Health (Er)]:[JP (Er)]])</f>
        <v>1411748</v>
      </c>
      <c r="R84" s="5">
        <f>tblPayroll[[#This Row],[Gross Salary]]+tblPayroll[[#This Row],[BPJS Health (Er)]]+tblPayroll[[#This Row],[JKK (Er)]]+tblPayroll[[#This Row],[JKM (Er)]]</f>
        <v>17571800</v>
      </c>
      <c r="S84" s="119">
        <f>IF(tblPayroll[[#This Row],[TER Cat]]="A",_xlfn.XLOOKUP(tblPayroll[[#This Row],[PPh 21 Base]],TerA_L,TerA_R,0,-1),IF(tblPayroll[[#This Row],[TER Cat]]="B",_xlfn.XLOOKUP(tblPayroll[[#This Row],[PPh 21 Base]],TerB_L,TerB_R,0,-1),_xlfn.XLOOKUP(tblPayroll[[#This Row],[PPh 21 Base]],TerC_L,TerC_R,0,-1)))</f>
        <v>0.08</v>
      </c>
      <c r="T84" s="5">
        <f>ROUND(tblPayroll[[#This Row],[PPh 21 Base]]*tblPayroll[[#This Row],[TER Rate]],0)</f>
        <v>1405744</v>
      </c>
      <c r="U84" s="5">
        <f>ROUND(MIN(tblPayroll[[#This Row],[Basic Salary]]+tblPayroll[[#This Row],[Fixed Allowance]],BPJSKesCap)*R_KesEe,0)</f>
        <v>120000</v>
      </c>
      <c r="V84" s="5">
        <f>ROUND((tblPayroll[[#This Row],[Basic Salary]]+tblPayroll[[#This Row],[Fixed Allowance]])*R_JHTEe,0)</f>
        <v>340000</v>
      </c>
      <c r="W84" s="5">
        <f>ROUND(MIN(tblPayroll[[#This Row],[Basic Salary]]+tblPayroll[[#This Row],[Fixed Allowance]],JPCap)*R_JPEe,0)</f>
        <v>105474</v>
      </c>
      <c r="X84" s="5">
        <f>tblPayroll[[#This Row],[BPJS Health (Ee)]]+tblPayroll[[#This Row],[JHT (Ee)]]+tblPayroll[[#This Row],[JP (Ee)]]</f>
        <v>565474</v>
      </c>
      <c r="Y84" s="5">
        <f>tblPayroll[[#This Row],[Gross Salary]]-tblPayroll[[#This Row],[PPh 21]]-tblPayroll[[#This Row],[Employee BPJS Total]]</f>
        <v>15028782</v>
      </c>
      <c r="Z84" s="5">
        <f>tblPayroll[[#This Row],[Employer BPJS Total]]+tblPayroll[[#This Row],[Employee BPJS Total]]</f>
        <v>1977222</v>
      </c>
      <c r="AA84" s="5">
        <f>tblPayroll[[#This Row],[Gross Salary]]+tblPayroll[[#This Row],[Employer BPJS Total]]</f>
        <v>18411748</v>
      </c>
      <c r="AB84" s="4">
        <v>1130</v>
      </c>
    </row>
    <row r="85" spans="2:28" x14ac:dyDescent="0.35">
      <c r="B85" s="4">
        <v>6</v>
      </c>
      <c r="C85" s="113">
        <v>46198</v>
      </c>
      <c r="D85" s="4" t="s">
        <v>4787</v>
      </c>
      <c r="E85" s="1" t="str">
        <f>_xlfn.XLOOKUP(tblPayroll[[#This Row],[Employee ID]],tblEmployees[Employee ID],tblEmployees[Full Name],"")</f>
        <v>Agus Prasetyo</v>
      </c>
      <c r="F85" s="1" t="str">
        <f>_xlfn.XLOOKUP(tblPayroll[[#This Row],[Employee ID]],tblEmployees[Employee ID],tblEmployees[Department],"")</f>
        <v>Selling</v>
      </c>
      <c r="G85" s="1" t="str">
        <f>_xlfn.XLOOKUP(tblPayroll[[#This Row],[Employee ID]],tblEmployees[Employee ID],tblEmployees[TER Category],"")</f>
        <v>B</v>
      </c>
      <c r="H85" s="5">
        <f>_xlfn.XLOOKUP(tblPayroll[[#This Row],[Employee ID]],tblEmployees[Employee ID],tblEmployees[Basic Salary],"")</f>
        <v>14000000</v>
      </c>
      <c r="I85" s="5">
        <f>_xlfn.XLOOKUP(tblPayroll[[#This Row],[Employee ID]],tblEmployees[Employee ID],tblEmployees[Fixed Allowance],"")</f>
        <v>2000000</v>
      </c>
      <c r="J85" s="6">
        <v>0</v>
      </c>
      <c r="K85" s="5">
        <f>tblPayroll[[#This Row],[Basic Salary]]+tblPayroll[[#This Row],[Fixed Allowance]]+tblPayroll[[#This Row],[THR / Bonus]]</f>
        <v>16000000</v>
      </c>
      <c r="L85" s="5">
        <f>ROUND(MIN(tblPayroll[[#This Row],[Basic Salary]]+tblPayroll[[#This Row],[Fixed Allowance]],BPJSKesCap)*R_KesEr,0)</f>
        <v>480000</v>
      </c>
      <c r="M85" s="5">
        <f>ROUND((tblPayroll[[#This Row],[Basic Salary]]+tblPayroll[[#This Row],[Fixed Allowance]])*R_JKK,0)</f>
        <v>38400</v>
      </c>
      <c r="N85" s="5">
        <f>ROUND((tblPayroll[[#This Row],[Basic Salary]]+tblPayroll[[#This Row],[Fixed Allowance]])*R_JKM,0)</f>
        <v>48000</v>
      </c>
      <c r="O85" s="5">
        <f>ROUND((tblPayroll[[#This Row],[Basic Salary]]+tblPayroll[[#This Row],[Fixed Allowance]])*R_JHTEr,0)</f>
        <v>592000</v>
      </c>
      <c r="P85" s="5">
        <f>ROUND(MIN(tblPayroll[[#This Row],[Basic Salary]]+tblPayroll[[#This Row],[Fixed Allowance]],JPCap)*R_JPEr,0)</f>
        <v>210948</v>
      </c>
      <c r="Q85" s="5">
        <f>SUM(tblPayroll[[#This Row],[BPJS Health (Er)]:[JP (Er)]])</f>
        <v>1369348</v>
      </c>
      <c r="R85" s="5">
        <f>tblPayroll[[#This Row],[Gross Salary]]+tblPayroll[[#This Row],[BPJS Health (Er)]]+tblPayroll[[#This Row],[JKK (Er)]]+tblPayroll[[#This Row],[JKM (Er)]]</f>
        <v>16566400</v>
      </c>
      <c r="S85" s="119">
        <f>IF(tblPayroll[[#This Row],[TER Cat]]="A",_xlfn.XLOOKUP(tblPayroll[[#This Row],[PPh 21 Base]],TerA_L,TerA_R,0,-1),IF(tblPayroll[[#This Row],[TER Cat]]="B",_xlfn.XLOOKUP(tblPayroll[[#This Row],[PPh 21 Base]],TerB_L,TerB_R,0,-1),_xlfn.XLOOKUP(tblPayroll[[#This Row],[PPh 21 Base]],TerC_L,TerC_R,0,-1)))</f>
        <v>7.0000000000000007E-2</v>
      </c>
      <c r="T85" s="5">
        <f>ROUND(tblPayroll[[#This Row],[PPh 21 Base]]*tblPayroll[[#This Row],[TER Rate]],0)</f>
        <v>1159648</v>
      </c>
      <c r="U85" s="5">
        <f>ROUND(MIN(tblPayroll[[#This Row],[Basic Salary]]+tblPayroll[[#This Row],[Fixed Allowance]],BPJSKesCap)*R_KesEe,0)</f>
        <v>120000</v>
      </c>
      <c r="V85" s="5">
        <f>ROUND((tblPayroll[[#This Row],[Basic Salary]]+tblPayroll[[#This Row],[Fixed Allowance]])*R_JHTEe,0)</f>
        <v>320000</v>
      </c>
      <c r="W85" s="5">
        <f>ROUND(MIN(tblPayroll[[#This Row],[Basic Salary]]+tblPayroll[[#This Row],[Fixed Allowance]],JPCap)*R_JPEe,0)</f>
        <v>105474</v>
      </c>
      <c r="X85" s="5">
        <f>tblPayroll[[#This Row],[BPJS Health (Ee)]]+tblPayroll[[#This Row],[JHT (Ee)]]+tblPayroll[[#This Row],[JP (Ee)]]</f>
        <v>545474</v>
      </c>
      <c r="Y85" s="5">
        <f>tblPayroll[[#This Row],[Gross Salary]]-tblPayroll[[#This Row],[PPh 21]]-tblPayroll[[#This Row],[Employee BPJS Total]]</f>
        <v>14294878</v>
      </c>
      <c r="Z85" s="5">
        <f>tblPayroll[[#This Row],[Employer BPJS Total]]+tblPayroll[[#This Row],[Employee BPJS Total]]</f>
        <v>1914822</v>
      </c>
      <c r="AA85" s="5">
        <f>tblPayroll[[#This Row],[Gross Salary]]+tblPayroll[[#This Row],[Employer BPJS Total]]</f>
        <v>17369348</v>
      </c>
      <c r="AB85" s="4">
        <v>1130</v>
      </c>
    </row>
    <row r="86" spans="2:28" x14ac:dyDescent="0.35">
      <c r="B86" s="4">
        <v>6</v>
      </c>
      <c r="C86" s="113">
        <v>46198</v>
      </c>
      <c r="D86" s="4" t="s">
        <v>4793</v>
      </c>
      <c r="E86" s="1" t="str">
        <f>_xlfn.XLOOKUP(tblPayroll[[#This Row],[Employee ID]],tblEmployees[Employee ID],tblEmployees[Full Name],"")</f>
        <v>Rina Kartika</v>
      </c>
      <c r="F86" s="1" t="str">
        <f>_xlfn.XLOOKUP(tblPayroll[[#This Row],[Employee ID]],tblEmployees[Employee ID],tblEmployees[Department],"")</f>
        <v>Selling</v>
      </c>
      <c r="G86" s="1" t="str">
        <f>_xlfn.XLOOKUP(tblPayroll[[#This Row],[Employee ID]],tblEmployees[Employee ID],tblEmployees[TER Category],"")</f>
        <v>A</v>
      </c>
      <c r="H86" s="5">
        <f>_xlfn.XLOOKUP(tblPayroll[[#This Row],[Employee ID]],tblEmployees[Employee ID],tblEmployees[Basic Salary],"")</f>
        <v>12000000</v>
      </c>
      <c r="I86" s="5">
        <f>_xlfn.XLOOKUP(tblPayroll[[#This Row],[Employee ID]],tblEmployees[Employee ID],tblEmployees[Fixed Allowance],"")</f>
        <v>1500000</v>
      </c>
      <c r="J86" s="6">
        <v>0</v>
      </c>
      <c r="K86" s="5">
        <f>tblPayroll[[#This Row],[Basic Salary]]+tblPayroll[[#This Row],[Fixed Allowance]]+tblPayroll[[#This Row],[THR / Bonus]]</f>
        <v>13500000</v>
      </c>
      <c r="L86" s="5">
        <f>ROUND(MIN(tblPayroll[[#This Row],[Basic Salary]]+tblPayroll[[#This Row],[Fixed Allowance]],BPJSKesCap)*R_KesEr,0)</f>
        <v>480000</v>
      </c>
      <c r="M86" s="5">
        <f>ROUND((tblPayroll[[#This Row],[Basic Salary]]+tblPayroll[[#This Row],[Fixed Allowance]])*R_JKK,0)</f>
        <v>32400</v>
      </c>
      <c r="N86" s="5">
        <f>ROUND((tblPayroll[[#This Row],[Basic Salary]]+tblPayroll[[#This Row],[Fixed Allowance]])*R_JKM,0)</f>
        <v>40500</v>
      </c>
      <c r="O86" s="5">
        <f>ROUND((tblPayroll[[#This Row],[Basic Salary]]+tblPayroll[[#This Row],[Fixed Allowance]])*R_JHTEr,0)</f>
        <v>499500</v>
      </c>
      <c r="P86" s="5">
        <f>ROUND(MIN(tblPayroll[[#This Row],[Basic Salary]]+tblPayroll[[#This Row],[Fixed Allowance]],JPCap)*R_JPEr,0)</f>
        <v>210948</v>
      </c>
      <c r="Q86" s="5">
        <f>SUM(tblPayroll[[#This Row],[BPJS Health (Er)]:[JP (Er)]])</f>
        <v>1263348</v>
      </c>
      <c r="R86" s="5">
        <f>tblPayroll[[#This Row],[Gross Salary]]+tblPayroll[[#This Row],[BPJS Health (Er)]]+tblPayroll[[#This Row],[JKK (Er)]]+tblPayroll[[#This Row],[JKM (Er)]]</f>
        <v>14052900</v>
      </c>
      <c r="S86" s="119">
        <f>IF(tblPayroll[[#This Row],[TER Cat]]="A",_xlfn.XLOOKUP(tblPayroll[[#This Row],[PPh 21 Base]],TerA_L,TerA_R,0,-1),IF(tblPayroll[[#This Row],[TER Cat]]="B",_xlfn.XLOOKUP(tblPayroll[[#This Row],[PPh 21 Base]],TerB_L,TerB_R,0,-1),_xlfn.XLOOKUP(tblPayroll[[#This Row],[PPh 21 Base]],TerC_L,TerC_R,0,-1)))</f>
        <v>0.06</v>
      </c>
      <c r="T86" s="5">
        <f>ROUND(tblPayroll[[#This Row],[PPh 21 Base]]*tblPayroll[[#This Row],[TER Rate]],0)</f>
        <v>843174</v>
      </c>
      <c r="U86" s="5">
        <f>ROUND(MIN(tblPayroll[[#This Row],[Basic Salary]]+tblPayroll[[#This Row],[Fixed Allowance]],BPJSKesCap)*R_KesEe,0)</f>
        <v>120000</v>
      </c>
      <c r="V86" s="5">
        <f>ROUND((tblPayroll[[#This Row],[Basic Salary]]+tblPayroll[[#This Row],[Fixed Allowance]])*R_JHTEe,0)</f>
        <v>270000</v>
      </c>
      <c r="W86" s="5">
        <f>ROUND(MIN(tblPayroll[[#This Row],[Basic Salary]]+tblPayroll[[#This Row],[Fixed Allowance]],JPCap)*R_JPEe,0)</f>
        <v>105474</v>
      </c>
      <c r="X86" s="5">
        <f>tblPayroll[[#This Row],[BPJS Health (Ee)]]+tblPayroll[[#This Row],[JHT (Ee)]]+tblPayroll[[#This Row],[JP (Ee)]]</f>
        <v>495474</v>
      </c>
      <c r="Y86" s="5">
        <f>tblPayroll[[#This Row],[Gross Salary]]-tblPayroll[[#This Row],[PPh 21]]-tblPayroll[[#This Row],[Employee BPJS Total]]</f>
        <v>12161352</v>
      </c>
      <c r="Z86" s="5">
        <f>tblPayroll[[#This Row],[Employer BPJS Total]]+tblPayroll[[#This Row],[Employee BPJS Total]]</f>
        <v>1758822</v>
      </c>
      <c r="AA86" s="5">
        <f>tblPayroll[[#This Row],[Gross Salary]]+tblPayroll[[#This Row],[Employer BPJS Total]]</f>
        <v>14763348</v>
      </c>
      <c r="AB86" s="4">
        <v>1130</v>
      </c>
    </row>
    <row r="87" spans="2:28" x14ac:dyDescent="0.35">
      <c r="B87" s="4">
        <v>6</v>
      </c>
      <c r="C87" s="113">
        <v>46198</v>
      </c>
      <c r="D87" s="4" t="s">
        <v>4798</v>
      </c>
      <c r="E87" s="1" t="str">
        <f>_xlfn.XLOOKUP(tblPayroll[[#This Row],[Employee ID]],tblEmployees[Employee ID],tblEmployees[Full Name],"")</f>
        <v>Andi Saputra</v>
      </c>
      <c r="F87" s="1" t="str">
        <f>_xlfn.XLOOKUP(tblPayroll[[#This Row],[Employee ID]],tblEmployees[Employee ID],tblEmployees[Department],"")</f>
        <v>G&amp;A</v>
      </c>
      <c r="G87" s="1" t="str">
        <f>_xlfn.XLOOKUP(tblPayroll[[#This Row],[Employee ID]],tblEmployees[Employee ID],tblEmployees[TER Category],"")</f>
        <v>A</v>
      </c>
      <c r="H87" s="5">
        <f>_xlfn.XLOOKUP(tblPayroll[[#This Row],[Employee ID]],tblEmployees[Employee ID],tblEmployees[Basic Salary],"")</f>
        <v>8500000</v>
      </c>
      <c r="I87" s="5">
        <f>_xlfn.XLOOKUP(tblPayroll[[#This Row],[Employee ID]],tblEmployees[Employee ID],tblEmployees[Fixed Allowance],"")</f>
        <v>1000000</v>
      </c>
      <c r="J87" s="6">
        <v>0</v>
      </c>
      <c r="K87" s="5">
        <f>tblPayroll[[#This Row],[Basic Salary]]+tblPayroll[[#This Row],[Fixed Allowance]]+tblPayroll[[#This Row],[THR / Bonus]]</f>
        <v>9500000</v>
      </c>
      <c r="L87" s="5">
        <f>ROUND(MIN(tblPayroll[[#This Row],[Basic Salary]]+tblPayroll[[#This Row],[Fixed Allowance]],BPJSKesCap)*R_KesEr,0)</f>
        <v>380000</v>
      </c>
      <c r="M87" s="5">
        <f>ROUND((tblPayroll[[#This Row],[Basic Salary]]+tblPayroll[[#This Row],[Fixed Allowance]])*R_JKK,0)</f>
        <v>22800</v>
      </c>
      <c r="N87" s="5">
        <f>ROUND((tblPayroll[[#This Row],[Basic Salary]]+tblPayroll[[#This Row],[Fixed Allowance]])*R_JKM,0)</f>
        <v>28500</v>
      </c>
      <c r="O87" s="5">
        <f>ROUND((tblPayroll[[#This Row],[Basic Salary]]+tblPayroll[[#This Row],[Fixed Allowance]])*R_JHTEr,0)</f>
        <v>351500</v>
      </c>
      <c r="P87" s="5">
        <f>ROUND(MIN(tblPayroll[[#This Row],[Basic Salary]]+tblPayroll[[#This Row],[Fixed Allowance]],JPCap)*R_JPEr,0)</f>
        <v>190000</v>
      </c>
      <c r="Q87" s="5">
        <f>SUM(tblPayroll[[#This Row],[BPJS Health (Er)]:[JP (Er)]])</f>
        <v>972800</v>
      </c>
      <c r="R87" s="5">
        <f>tblPayroll[[#This Row],[Gross Salary]]+tblPayroll[[#This Row],[BPJS Health (Er)]]+tblPayroll[[#This Row],[JKK (Er)]]+tblPayroll[[#This Row],[JKM (Er)]]</f>
        <v>9931300</v>
      </c>
      <c r="S87" s="119">
        <f>IF(tblPayroll[[#This Row],[TER Cat]]="A",_xlfn.XLOOKUP(tblPayroll[[#This Row],[PPh 21 Base]],TerA_L,TerA_R,0,-1),IF(tblPayroll[[#This Row],[TER Cat]]="B",_xlfn.XLOOKUP(tblPayroll[[#This Row],[PPh 21 Base]],TerB_L,TerB_R,0,-1),_xlfn.XLOOKUP(tblPayroll[[#This Row],[PPh 21 Base]],TerC_L,TerC_R,0,-1)))</f>
        <v>0.02</v>
      </c>
      <c r="T87" s="5">
        <f>ROUND(tblPayroll[[#This Row],[PPh 21 Base]]*tblPayroll[[#This Row],[TER Rate]],0)</f>
        <v>198626</v>
      </c>
      <c r="U87" s="5">
        <f>ROUND(MIN(tblPayroll[[#This Row],[Basic Salary]]+tblPayroll[[#This Row],[Fixed Allowance]],BPJSKesCap)*R_KesEe,0)</f>
        <v>95000</v>
      </c>
      <c r="V87" s="5">
        <f>ROUND((tblPayroll[[#This Row],[Basic Salary]]+tblPayroll[[#This Row],[Fixed Allowance]])*R_JHTEe,0)</f>
        <v>190000</v>
      </c>
      <c r="W87" s="5">
        <f>ROUND(MIN(tblPayroll[[#This Row],[Basic Salary]]+tblPayroll[[#This Row],[Fixed Allowance]],JPCap)*R_JPEe,0)</f>
        <v>95000</v>
      </c>
      <c r="X87" s="5">
        <f>tblPayroll[[#This Row],[BPJS Health (Ee)]]+tblPayroll[[#This Row],[JHT (Ee)]]+tblPayroll[[#This Row],[JP (Ee)]]</f>
        <v>380000</v>
      </c>
      <c r="Y87" s="5">
        <f>tblPayroll[[#This Row],[Gross Salary]]-tblPayroll[[#This Row],[PPh 21]]-tblPayroll[[#This Row],[Employee BPJS Total]]</f>
        <v>8921374</v>
      </c>
      <c r="Z87" s="5">
        <f>tblPayroll[[#This Row],[Employer BPJS Total]]+tblPayroll[[#This Row],[Employee BPJS Total]]</f>
        <v>1352800</v>
      </c>
      <c r="AA87" s="5">
        <f>tblPayroll[[#This Row],[Gross Salary]]+tblPayroll[[#This Row],[Employer BPJS Total]]</f>
        <v>10472800</v>
      </c>
      <c r="AB87" s="4">
        <v>1130</v>
      </c>
    </row>
    <row r="88" spans="2:28" x14ac:dyDescent="0.35">
      <c r="B88" s="4">
        <v>6</v>
      </c>
      <c r="C88" s="113">
        <v>46198</v>
      </c>
      <c r="D88" s="4" t="s">
        <v>4803</v>
      </c>
      <c r="E88" s="1" t="str">
        <f>_xlfn.XLOOKUP(tblPayroll[[#This Row],[Employee ID]],tblEmployees[Employee ID],tblEmployees[Full Name],"")</f>
        <v>Fitri Handayani</v>
      </c>
      <c r="F88" s="1" t="str">
        <f>_xlfn.XLOOKUP(tblPayroll[[#This Row],[Employee ID]],tblEmployees[Employee ID],tblEmployees[Department],"")</f>
        <v>G&amp;A</v>
      </c>
      <c r="G88" s="1" t="str">
        <f>_xlfn.XLOOKUP(tblPayroll[[#This Row],[Employee ID]],tblEmployees[Employee ID],tblEmployees[TER Category],"")</f>
        <v>A</v>
      </c>
      <c r="H88" s="5">
        <f>_xlfn.XLOOKUP(tblPayroll[[#This Row],[Employee ID]],tblEmployees[Employee ID],tblEmployees[Basic Salary],"")</f>
        <v>8000000</v>
      </c>
      <c r="I88" s="5">
        <f>_xlfn.XLOOKUP(tblPayroll[[#This Row],[Employee ID]],tblEmployees[Employee ID],tblEmployees[Fixed Allowance],"")</f>
        <v>1000000</v>
      </c>
      <c r="J88" s="6">
        <v>0</v>
      </c>
      <c r="K88" s="5">
        <f>tblPayroll[[#This Row],[Basic Salary]]+tblPayroll[[#This Row],[Fixed Allowance]]+tblPayroll[[#This Row],[THR / Bonus]]</f>
        <v>9000000</v>
      </c>
      <c r="L88" s="5">
        <f>ROUND(MIN(tblPayroll[[#This Row],[Basic Salary]]+tblPayroll[[#This Row],[Fixed Allowance]],BPJSKesCap)*R_KesEr,0)</f>
        <v>360000</v>
      </c>
      <c r="M88" s="5">
        <f>ROUND((tblPayroll[[#This Row],[Basic Salary]]+tblPayroll[[#This Row],[Fixed Allowance]])*R_JKK,0)</f>
        <v>21600</v>
      </c>
      <c r="N88" s="5">
        <f>ROUND((tblPayroll[[#This Row],[Basic Salary]]+tblPayroll[[#This Row],[Fixed Allowance]])*R_JKM,0)</f>
        <v>27000</v>
      </c>
      <c r="O88" s="5">
        <f>ROUND((tblPayroll[[#This Row],[Basic Salary]]+tblPayroll[[#This Row],[Fixed Allowance]])*R_JHTEr,0)</f>
        <v>333000</v>
      </c>
      <c r="P88" s="5">
        <f>ROUND(MIN(tblPayroll[[#This Row],[Basic Salary]]+tblPayroll[[#This Row],[Fixed Allowance]],JPCap)*R_JPEr,0)</f>
        <v>180000</v>
      </c>
      <c r="Q88" s="5">
        <f>SUM(tblPayroll[[#This Row],[BPJS Health (Er)]:[JP (Er)]])</f>
        <v>921600</v>
      </c>
      <c r="R88" s="5">
        <f>tblPayroll[[#This Row],[Gross Salary]]+tblPayroll[[#This Row],[BPJS Health (Er)]]+tblPayroll[[#This Row],[JKK (Er)]]+tblPayroll[[#This Row],[JKM (Er)]]</f>
        <v>9408600</v>
      </c>
      <c r="S88" s="119">
        <f>IF(tblPayroll[[#This Row],[TER Cat]]="A",_xlfn.XLOOKUP(tblPayroll[[#This Row],[PPh 21 Base]],TerA_L,TerA_R,0,-1),IF(tblPayroll[[#This Row],[TER Cat]]="B",_xlfn.XLOOKUP(tblPayroll[[#This Row],[PPh 21 Base]],TerB_L,TerB_R,0,-1),_xlfn.XLOOKUP(tblPayroll[[#This Row],[PPh 21 Base]],TerC_L,TerC_R,0,-1)))</f>
        <v>1.7500000000000002E-2</v>
      </c>
      <c r="T88" s="5">
        <f>ROUND(tblPayroll[[#This Row],[PPh 21 Base]]*tblPayroll[[#This Row],[TER Rate]],0)</f>
        <v>164651</v>
      </c>
      <c r="U88" s="5">
        <f>ROUND(MIN(tblPayroll[[#This Row],[Basic Salary]]+tblPayroll[[#This Row],[Fixed Allowance]],BPJSKesCap)*R_KesEe,0)</f>
        <v>90000</v>
      </c>
      <c r="V88" s="5">
        <f>ROUND((tblPayroll[[#This Row],[Basic Salary]]+tblPayroll[[#This Row],[Fixed Allowance]])*R_JHTEe,0)</f>
        <v>180000</v>
      </c>
      <c r="W88" s="5">
        <f>ROUND(MIN(tblPayroll[[#This Row],[Basic Salary]]+tblPayroll[[#This Row],[Fixed Allowance]],JPCap)*R_JPEe,0)</f>
        <v>90000</v>
      </c>
      <c r="X88" s="5">
        <f>tblPayroll[[#This Row],[BPJS Health (Ee)]]+tblPayroll[[#This Row],[JHT (Ee)]]+tblPayroll[[#This Row],[JP (Ee)]]</f>
        <v>360000</v>
      </c>
      <c r="Y88" s="5">
        <f>tblPayroll[[#This Row],[Gross Salary]]-tblPayroll[[#This Row],[PPh 21]]-tblPayroll[[#This Row],[Employee BPJS Total]]</f>
        <v>8475349</v>
      </c>
      <c r="Z88" s="5">
        <f>tblPayroll[[#This Row],[Employer BPJS Total]]+tblPayroll[[#This Row],[Employee BPJS Total]]</f>
        <v>1281600</v>
      </c>
      <c r="AA88" s="5">
        <f>tblPayroll[[#This Row],[Gross Salary]]+tblPayroll[[#This Row],[Employer BPJS Total]]</f>
        <v>9921600</v>
      </c>
      <c r="AB88" s="4">
        <v>1130</v>
      </c>
    </row>
    <row r="89" spans="2:28" x14ac:dyDescent="0.35">
      <c r="B89" s="4">
        <v>6</v>
      </c>
      <c r="C89" s="113">
        <v>46198</v>
      </c>
      <c r="D89" s="4" t="s">
        <v>4809</v>
      </c>
      <c r="E89" s="1" t="str">
        <f>_xlfn.XLOOKUP(tblPayroll[[#This Row],[Employee ID]],tblEmployees[Employee ID],tblEmployees[Full Name],"")</f>
        <v>Rizky Ramadhan</v>
      </c>
      <c r="F89" s="1" t="str">
        <f>_xlfn.XLOOKUP(tblPayroll[[#This Row],[Employee ID]],tblEmployees[Employee ID],tblEmployees[Department],"")</f>
        <v>Selling</v>
      </c>
      <c r="G89" s="1" t="str">
        <f>_xlfn.XLOOKUP(tblPayroll[[#This Row],[Employee ID]],tblEmployees[Employee ID],tblEmployees[TER Category],"")</f>
        <v>A</v>
      </c>
      <c r="H89" s="5">
        <f>_xlfn.XLOOKUP(tblPayroll[[#This Row],[Employee ID]],tblEmployees[Employee ID],tblEmployees[Basic Salary],"")</f>
        <v>9000000</v>
      </c>
      <c r="I89" s="5">
        <f>_xlfn.XLOOKUP(tblPayroll[[#This Row],[Employee ID]],tblEmployees[Employee ID],tblEmployees[Fixed Allowance],"")</f>
        <v>1500000</v>
      </c>
      <c r="J89" s="6">
        <v>0</v>
      </c>
      <c r="K89" s="5">
        <f>tblPayroll[[#This Row],[Basic Salary]]+tblPayroll[[#This Row],[Fixed Allowance]]+tblPayroll[[#This Row],[THR / Bonus]]</f>
        <v>10500000</v>
      </c>
      <c r="L89" s="5">
        <f>ROUND(MIN(tblPayroll[[#This Row],[Basic Salary]]+tblPayroll[[#This Row],[Fixed Allowance]],BPJSKesCap)*R_KesEr,0)</f>
        <v>420000</v>
      </c>
      <c r="M89" s="5">
        <f>ROUND((tblPayroll[[#This Row],[Basic Salary]]+tblPayroll[[#This Row],[Fixed Allowance]])*R_JKK,0)</f>
        <v>25200</v>
      </c>
      <c r="N89" s="5">
        <f>ROUND((tblPayroll[[#This Row],[Basic Salary]]+tblPayroll[[#This Row],[Fixed Allowance]])*R_JKM,0)</f>
        <v>31500</v>
      </c>
      <c r="O89" s="5">
        <f>ROUND((tblPayroll[[#This Row],[Basic Salary]]+tblPayroll[[#This Row],[Fixed Allowance]])*R_JHTEr,0)</f>
        <v>388500</v>
      </c>
      <c r="P89" s="5">
        <f>ROUND(MIN(tblPayroll[[#This Row],[Basic Salary]]+tblPayroll[[#This Row],[Fixed Allowance]],JPCap)*R_JPEr,0)</f>
        <v>210000</v>
      </c>
      <c r="Q89" s="5">
        <f>SUM(tblPayroll[[#This Row],[BPJS Health (Er)]:[JP (Er)]])</f>
        <v>1075200</v>
      </c>
      <c r="R89" s="5">
        <f>tblPayroll[[#This Row],[Gross Salary]]+tblPayroll[[#This Row],[BPJS Health (Er)]]+tblPayroll[[#This Row],[JKK (Er)]]+tblPayroll[[#This Row],[JKM (Er)]]</f>
        <v>10976700</v>
      </c>
      <c r="S89" s="119">
        <f>IF(tblPayroll[[#This Row],[TER Cat]]="A",_xlfn.XLOOKUP(tblPayroll[[#This Row],[PPh 21 Base]],TerA_L,TerA_R,0,-1),IF(tblPayroll[[#This Row],[TER Cat]]="B",_xlfn.XLOOKUP(tblPayroll[[#This Row],[PPh 21 Base]],TerB_L,TerB_R,0,-1),_xlfn.XLOOKUP(tblPayroll[[#This Row],[PPh 21 Base]],TerC_L,TerC_R,0,-1)))</f>
        <v>0.03</v>
      </c>
      <c r="T89" s="5">
        <f>ROUND(tblPayroll[[#This Row],[PPh 21 Base]]*tblPayroll[[#This Row],[TER Rate]],0)</f>
        <v>329301</v>
      </c>
      <c r="U89" s="5">
        <f>ROUND(MIN(tblPayroll[[#This Row],[Basic Salary]]+tblPayroll[[#This Row],[Fixed Allowance]],BPJSKesCap)*R_KesEe,0)</f>
        <v>105000</v>
      </c>
      <c r="V89" s="5">
        <f>ROUND((tblPayroll[[#This Row],[Basic Salary]]+tblPayroll[[#This Row],[Fixed Allowance]])*R_JHTEe,0)</f>
        <v>210000</v>
      </c>
      <c r="W89" s="5">
        <f>ROUND(MIN(tblPayroll[[#This Row],[Basic Salary]]+tblPayroll[[#This Row],[Fixed Allowance]],JPCap)*R_JPEe,0)</f>
        <v>105000</v>
      </c>
      <c r="X89" s="5">
        <f>tblPayroll[[#This Row],[BPJS Health (Ee)]]+tblPayroll[[#This Row],[JHT (Ee)]]+tblPayroll[[#This Row],[JP (Ee)]]</f>
        <v>420000</v>
      </c>
      <c r="Y89" s="5">
        <f>tblPayroll[[#This Row],[Gross Salary]]-tblPayroll[[#This Row],[PPh 21]]-tblPayroll[[#This Row],[Employee BPJS Total]]</f>
        <v>9750699</v>
      </c>
      <c r="Z89" s="5">
        <f>tblPayroll[[#This Row],[Employer BPJS Total]]+tblPayroll[[#This Row],[Employee BPJS Total]]</f>
        <v>1495200</v>
      </c>
      <c r="AA89" s="5">
        <f>tblPayroll[[#This Row],[Gross Salary]]+tblPayroll[[#This Row],[Employer BPJS Total]]</f>
        <v>11575200</v>
      </c>
      <c r="AB89" s="4">
        <v>1130</v>
      </c>
    </row>
    <row r="90" spans="2:28" x14ac:dyDescent="0.35">
      <c r="B90" s="4">
        <v>6</v>
      </c>
      <c r="C90" s="113">
        <v>46198</v>
      </c>
      <c r="D90" s="4" t="s">
        <v>4814</v>
      </c>
      <c r="E90" s="1" t="str">
        <f>_xlfn.XLOOKUP(tblPayroll[[#This Row],[Employee ID]],tblEmployees[Employee ID],tblEmployees[Full Name],"")</f>
        <v>Nadia Putri</v>
      </c>
      <c r="F90" s="1" t="str">
        <f>_xlfn.XLOOKUP(tblPayroll[[#This Row],[Employee ID]],tblEmployees[Employee ID],tblEmployees[Department],"")</f>
        <v>Selling</v>
      </c>
      <c r="G90" s="1" t="str">
        <f>_xlfn.XLOOKUP(tblPayroll[[#This Row],[Employee ID]],tblEmployees[Employee ID],tblEmployees[TER Category],"")</f>
        <v>A</v>
      </c>
      <c r="H90" s="5">
        <f>_xlfn.XLOOKUP(tblPayroll[[#This Row],[Employee ID]],tblEmployees[Employee ID],tblEmployees[Basic Salary],"")</f>
        <v>5800000</v>
      </c>
      <c r="I90" s="5">
        <f>_xlfn.XLOOKUP(tblPayroll[[#This Row],[Employee ID]],tblEmployees[Employee ID],tblEmployees[Fixed Allowance],"")</f>
        <v>700000</v>
      </c>
      <c r="J90" s="6">
        <v>0</v>
      </c>
      <c r="K90" s="5">
        <f>tblPayroll[[#This Row],[Basic Salary]]+tblPayroll[[#This Row],[Fixed Allowance]]+tblPayroll[[#This Row],[THR / Bonus]]</f>
        <v>6500000</v>
      </c>
      <c r="L90" s="5">
        <f>ROUND(MIN(tblPayroll[[#This Row],[Basic Salary]]+tblPayroll[[#This Row],[Fixed Allowance]],BPJSKesCap)*R_KesEr,0)</f>
        <v>260000</v>
      </c>
      <c r="M90" s="5">
        <f>ROUND((tblPayroll[[#This Row],[Basic Salary]]+tblPayroll[[#This Row],[Fixed Allowance]])*R_JKK,0)</f>
        <v>15600</v>
      </c>
      <c r="N90" s="5">
        <f>ROUND((tblPayroll[[#This Row],[Basic Salary]]+tblPayroll[[#This Row],[Fixed Allowance]])*R_JKM,0)</f>
        <v>19500</v>
      </c>
      <c r="O90" s="5">
        <f>ROUND((tblPayroll[[#This Row],[Basic Salary]]+tblPayroll[[#This Row],[Fixed Allowance]])*R_JHTEr,0)</f>
        <v>240500</v>
      </c>
      <c r="P90" s="5">
        <f>ROUND(MIN(tblPayroll[[#This Row],[Basic Salary]]+tblPayroll[[#This Row],[Fixed Allowance]],JPCap)*R_JPEr,0)</f>
        <v>130000</v>
      </c>
      <c r="Q90" s="5">
        <f>SUM(tblPayroll[[#This Row],[BPJS Health (Er)]:[JP (Er)]])</f>
        <v>665600</v>
      </c>
      <c r="R90" s="5">
        <f>tblPayroll[[#This Row],[Gross Salary]]+tblPayroll[[#This Row],[BPJS Health (Er)]]+tblPayroll[[#This Row],[JKK (Er)]]+tblPayroll[[#This Row],[JKM (Er)]]</f>
        <v>6795100</v>
      </c>
      <c r="S90" s="119">
        <f>IF(tblPayroll[[#This Row],[TER Cat]]="A",_xlfn.XLOOKUP(tblPayroll[[#This Row],[PPh 21 Base]],TerA_L,TerA_R,0,-1),IF(tblPayroll[[#This Row],[TER Cat]]="B",_xlfn.XLOOKUP(tblPayroll[[#This Row],[PPh 21 Base]],TerB_L,TerB_R,0,-1),_xlfn.XLOOKUP(tblPayroll[[#This Row],[PPh 21 Base]],TerC_L,TerC_R,0,-1)))</f>
        <v>1.2500000000000001E-2</v>
      </c>
      <c r="T90" s="5">
        <f>ROUND(tblPayroll[[#This Row],[PPh 21 Base]]*tblPayroll[[#This Row],[TER Rate]],0)</f>
        <v>84939</v>
      </c>
      <c r="U90" s="5">
        <f>ROUND(MIN(tblPayroll[[#This Row],[Basic Salary]]+tblPayroll[[#This Row],[Fixed Allowance]],BPJSKesCap)*R_KesEe,0)</f>
        <v>65000</v>
      </c>
      <c r="V90" s="5">
        <f>ROUND((tblPayroll[[#This Row],[Basic Salary]]+tblPayroll[[#This Row],[Fixed Allowance]])*R_JHTEe,0)</f>
        <v>130000</v>
      </c>
      <c r="W90" s="5">
        <f>ROUND(MIN(tblPayroll[[#This Row],[Basic Salary]]+tblPayroll[[#This Row],[Fixed Allowance]],JPCap)*R_JPEe,0)</f>
        <v>65000</v>
      </c>
      <c r="X90" s="5">
        <f>tblPayroll[[#This Row],[BPJS Health (Ee)]]+tblPayroll[[#This Row],[JHT (Ee)]]+tblPayroll[[#This Row],[JP (Ee)]]</f>
        <v>260000</v>
      </c>
      <c r="Y90" s="5">
        <f>tblPayroll[[#This Row],[Gross Salary]]-tblPayroll[[#This Row],[PPh 21]]-tblPayroll[[#This Row],[Employee BPJS Total]]</f>
        <v>6155061</v>
      </c>
      <c r="Z90" s="5">
        <f>tblPayroll[[#This Row],[Employer BPJS Total]]+tblPayroll[[#This Row],[Employee BPJS Total]]</f>
        <v>925600</v>
      </c>
      <c r="AA90" s="5">
        <f>tblPayroll[[#This Row],[Gross Salary]]+tblPayroll[[#This Row],[Employer BPJS Total]]</f>
        <v>7165600</v>
      </c>
      <c r="AB90" s="4">
        <v>1130</v>
      </c>
    </row>
    <row r="91" spans="2:28" x14ac:dyDescent="0.35">
      <c r="B91" s="4">
        <v>6</v>
      </c>
      <c r="C91" s="113">
        <v>46198</v>
      </c>
      <c r="D91" s="4" t="s">
        <v>4819</v>
      </c>
      <c r="E91" s="1" t="str">
        <f>_xlfn.XLOOKUP(tblPayroll[[#This Row],[Employee ID]],tblEmployees[Employee ID],tblEmployees[Full Name],"")</f>
        <v>Dimas Pratama</v>
      </c>
      <c r="F91" s="1" t="str">
        <f>_xlfn.XLOOKUP(tblPayroll[[#This Row],[Employee ID]],tblEmployees[Employee ID],tblEmployees[Department],"")</f>
        <v>Selling</v>
      </c>
      <c r="G91" s="1" t="str">
        <f>_xlfn.XLOOKUP(tblPayroll[[#This Row],[Employee ID]],tblEmployees[Employee ID],tblEmployees[TER Category],"")</f>
        <v>A</v>
      </c>
      <c r="H91" s="5">
        <f>_xlfn.XLOOKUP(tblPayroll[[#This Row],[Employee ID]],tblEmployees[Employee ID],tblEmployees[Basic Salary],"")</f>
        <v>5800000</v>
      </c>
      <c r="I91" s="5">
        <f>_xlfn.XLOOKUP(tblPayroll[[#This Row],[Employee ID]],tblEmployees[Employee ID],tblEmployees[Fixed Allowance],"")</f>
        <v>700000</v>
      </c>
      <c r="J91" s="6">
        <v>0</v>
      </c>
      <c r="K91" s="5">
        <f>tblPayroll[[#This Row],[Basic Salary]]+tblPayroll[[#This Row],[Fixed Allowance]]+tblPayroll[[#This Row],[THR / Bonus]]</f>
        <v>6500000</v>
      </c>
      <c r="L91" s="5">
        <f>ROUND(MIN(tblPayroll[[#This Row],[Basic Salary]]+tblPayroll[[#This Row],[Fixed Allowance]],BPJSKesCap)*R_KesEr,0)</f>
        <v>260000</v>
      </c>
      <c r="M91" s="5">
        <f>ROUND((tblPayroll[[#This Row],[Basic Salary]]+tblPayroll[[#This Row],[Fixed Allowance]])*R_JKK,0)</f>
        <v>15600</v>
      </c>
      <c r="N91" s="5">
        <f>ROUND((tblPayroll[[#This Row],[Basic Salary]]+tblPayroll[[#This Row],[Fixed Allowance]])*R_JKM,0)</f>
        <v>19500</v>
      </c>
      <c r="O91" s="5">
        <f>ROUND((tblPayroll[[#This Row],[Basic Salary]]+tblPayroll[[#This Row],[Fixed Allowance]])*R_JHTEr,0)</f>
        <v>240500</v>
      </c>
      <c r="P91" s="5">
        <f>ROUND(MIN(tblPayroll[[#This Row],[Basic Salary]]+tblPayroll[[#This Row],[Fixed Allowance]],JPCap)*R_JPEr,0)</f>
        <v>130000</v>
      </c>
      <c r="Q91" s="5">
        <f>SUM(tblPayroll[[#This Row],[BPJS Health (Er)]:[JP (Er)]])</f>
        <v>665600</v>
      </c>
      <c r="R91" s="5">
        <f>tblPayroll[[#This Row],[Gross Salary]]+tblPayroll[[#This Row],[BPJS Health (Er)]]+tblPayroll[[#This Row],[JKK (Er)]]+tblPayroll[[#This Row],[JKM (Er)]]</f>
        <v>6795100</v>
      </c>
      <c r="S91" s="119">
        <f>IF(tblPayroll[[#This Row],[TER Cat]]="A",_xlfn.XLOOKUP(tblPayroll[[#This Row],[PPh 21 Base]],TerA_L,TerA_R,0,-1),IF(tblPayroll[[#This Row],[TER Cat]]="B",_xlfn.XLOOKUP(tblPayroll[[#This Row],[PPh 21 Base]],TerB_L,TerB_R,0,-1),_xlfn.XLOOKUP(tblPayroll[[#This Row],[PPh 21 Base]],TerC_L,TerC_R,0,-1)))</f>
        <v>1.2500000000000001E-2</v>
      </c>
      <c r="T91" s="5">
        <f>ROUND(tblPayroll[[#This Row],[PPh 21 Base]]*tblPayroll[[#This Row],[TER Rate]],0)</f>
        <v>84939</v>
      </c>
      <c r="U91" s="5">
        <f>ROUND(MIN(tblPayroll[[#This Row],[Basic Salary]]+tblPayroll[[#This Row],[Fixed Allowance]],BPJSKesCap)*R_KesEe,0)</f>
        <v>65000</v>
      </c>
      <c r="V91" s="5">
        <f>ROUND((tblPayroll[[#This Row],[Basic Salary]]+tblPayroll[[#This Row],[Fixed Allowance]])*R_JHTEe,0)</f>
        <v>130000</v>
      </c>
      <c r="W91" s="5">
        <f>ROUND(MIN(tblPayroll[[#This Row],[Basic Salary]]+tblPayroll[[#This Row],[Fixed Allowance]],JPCap)*R_JPEe,0)</f>
        <v>65000</v>
      </c>
      <c r="X91" s="5">
        <f>tblPayroll[[#This Row],[BPJS Health (Ee)]]+tblPayroll[[#This Row],[JHT (Ee)]]+tblPayroll[[#This Row],[JP (Ee)]]</f>
        <v>260000</v>
      </c>
      <c r="Y91" s="5">
        <f>tblPayroll[[#This Row],[Gross Salary]]-tblPayroll[[#This Row],[PPh 21]]-tblPayroll[[#This Row],[Employee BPJS Total]]</f>
        <v>6155061</v>
      </c>
      <c r="Z91" s="5">
        <f>tblPayroll[[#This Row],[Employer BPJS Total]]+tblPayroll[[#This Row],[Employee BPJS Total]]</f>
        <v>925600</v>
      </c>
      <c r="AA91" s="5">
        <f>tblPayroll[[#This Row],[Gross Salary]]+tblPayroll[[#This Row],[Employer BPJS Total]]</f>
        <v>7165600</v>
      </c>
      <c r="AB91" s="4">
        <v>1130</v>
      </c>
    </row>
    <row r="92" spans="2:28" x14ac:dyDescent="0.35">
      <c r="B92" s="4">
        <v>6</v>
      </c>
      <c r="C92" s="113">
        <v>46198</v>
      </c>
      <c r="D92" s="4" t="s">
        <v>4823</v>
      </c>
      <c r="E92" s="1" t="str">
        <f>_xlfn.XLOOKUP(tblPayroll[[#This Row],[Employee ID]],tblEmployees[Employee ID],tblEmployees[Full Name],"")</f>
        <v>Yusuf Hidayat</v>
      </c>
      <c r="F92" s="1" t="str">
        <f>_xlfn.XLOOKUP(tblPayroll[[#This Row],[Employee ID]],tblEmployees[Employee ID],tblEmployees[Department],"")</f>
        <v>Selling</v>
      </c>
      <c r="G92" s="1" t="str">
        <f>_xlfn.XLOOKUP(tblPayroll[[#This Row],[Employee ID]],tblEmployees[Employee ID],tblEmployees[TER Category],"")</f>
        <v>B</v>
      </c>
      <c r="H92" s="5">
        <f>_xlfn.XLOOKUP(tblPayroll[[#This Row],[Employee ID]],tblEmployees[Employee ID],tblEmployees[Basic Salary],"")</f>
        <v>7500000</v>
      </c>
      <c r="I92" s="5">
        <f>_xlfn.XLOOKUP(tblPayroll[[#This Row],[Employee ID]],tblEmployees[Employee ID],tblEmployees[Fixed Allowance],"")</f>
        <v>1000000</v>
      </c>
      <c r="J92" s="6">
        <v>0</v>
      </c>
      <c r="K92" s="5">
        <f>tblPayroll[[#This Row],[Basic Salary]]+tblPayroll[[#This Row],[Fixed Allowance]]+tblPayroll[[#This Row],[THR / Bonus]]</f>
        <v>8500000</v>
      </c>
      <c r="L92" s="5">
        <f>ROUND(MIN(tblPayroll[[#This Row],[Basic Salary]]+tblPayroll[[#This Row],[Fixed Allowance]],BPJSKesCap)*R_KesEr,0)</f>
        <v>340000</v>
      </c>
      <c r="M92" s="5">
        <f>ROUND((tblPayroll[[#This Row],[Basic Salary]]+tblPayroll[[#This Row],[Fixed Allowance]])*R_JKK,0)</f>
        <v>20400</v>
      </c>
      <c r="N92" s="5">
        <f>ROUND((tblPayroll[[#This Row],[Basic Salary]]+tblPayroll[[#This Row],[Fixed Allowance]])*R_JKM,0)</f>
        <v>25500</v>
      </c>
      <c r="O92" s="5">
        <f>ROUND((tblPayroll[[#This Row],[Basic Salary]]+tblPayroll[[#This Row],[Fixed Allowance]])*R_JHTEr,0)</f>
        <v>314500</v>
      </c>
      <c r="P92" s="5">
        <f>ROUND(MIN(tblPayroll[[#This Row],[Basic Salary]]+tblPayroll[[#This Row],[Fixed Allowance]],JPCap)*R_JPEr,0)</f>
        <v>170000</v>
      </c>
      <c r="Q92" s="5">
        <f>SUM(tblPayroll[[#This Row],[BPJS Health (Er)]:[JP (Er)]])</f>
        <v>870400</v>
      </c>
      <c r="R92" s="5">
        <f>tblPayroll[[#This Row],[Gross Salary]]+tblPayroll[[#This Row],[BPJS Health (Er)]]+tblPayroll[[#This Row],[JKK (Er)]]+tblPayroll[[#This Row],[JKM (Er)]]</f>
        <v>8885900</v>
      </c>
      <c r="S92" s="119">
        <f>IF(tblPayroll[[#This Row],[TER Cat]]="A",_xlfn.XLOOKUP(tblPayroll[[#This Row],[PPh 21 Base]],TerA_L,TerA_R,0,-1),IF(tblPayroll[[#This Row],[TER Cat]]="B",_xlfn.XLOOKUP(tblPayroll[[#This Row],[PPh 21 Base]],TerB_L,TerB_R,0,-1),_xlfn.XLOOKUP(tblPayroll[[#This Row],[PPh 21 Base]],TerC_L,TerC_R,0,-1)))</f>
        <v>0.01</v>
      </c>
      <c r="T92" s="5">
        <f>ROUND(tblPayroll[[#This Row],[PPh 21 Base]]*tblPayroll[[#This Row],[TER Rate]],0)</f>
        <v>88859</v>
      </c>
      <c r="U92" s="5">
        <f>ROUND(MIN(tblPayroll[[#This Row],[Basic Salary]]+tblPayroll[[#This Row],[Fixed Allowance]],BPJSKesCap)*R_KesEe,0)</f>
        <v>85000</v>
      </c>
      <c r="V92" s="5">
        <f>ROUND((tblPayroll[[#This Row],[Basic Salary]]+tblPayroll[[#This Row],[Fixed Allowance]])*R_JHTEe,0)</f>
        <v>170000</v>
      </c>
      <c r="W92" s="5">
        <f>ROUND(MIN(tblPayroll[[#This Row],[Basic Salary]]+tblPayroll[[#This Row],[Fixed Allowance]],JPCap)*R_JPEe,0)</f>
        <v>85000</v>
      </c>
      <c r="X92" s="5">
        <f>tblPayroll[[#This Row],[BPJS Health (Ee)]]+tblPayroll[[#This Row],[JHT (Ee)]]+tblPayroll[[#This Row],[JP (Ee)]]</f>
        <v>340000</v>
      </c>
      <c r="Y92" s="5">
        <f>tblPayroll[[#This Row],[Gross Salary]]-tblPayroll[[#This Row],[PPh 21]]-tblPayroll[[#This Row],[Employee BPJS Total]]</f>
        <v>8071141</v>
      </c>
      <c r="Z92" s="5">
        <f>tblPayroll[[#This Row],[Employer BPJS Total]]+tblPayroll[[#This Row],[Employee BPJS Total]]</f>
        <v>1210400</v>
      </c>
      <c r="AA92" s="5">
        <f>tblPayroll[[#This Row],[Gross Salary]]+tblPayroll[[#This Row],[Employer BPJS Total]]</f>
        <v>9370400</v>
      </c>
      <c r="AB92" s="4">
        <v>1130</v>
      </c>
    </row>
    <row r="93" spans="2:28" x14ac:dyDescent="0.35">
      <c r="B93" s="4">
        <v>6</v>
      </c>
      <c r="C93" s="113">
        <v>46198</v>
      </c>
      <c r="D93" s="4" t="s">
        <v>4828</v>
      </c>
      <c r="E93" s="1" t="str">
        <f>_xlfn.XLOOKUP(tblPayroll[[#This Row],[Employee ID]],tblEmployees[Employee ID],tblEmployees[Full Name],"")</f>
        <v>Lestari Wulandari</v>
      </c>
      <c r="F93" s="1" t="str">
        <f>_xlfn.XLOOKUP(tblPayroll[[#This Row],[Employee ID]],tblEmployees[Employee ID],tblEmployees[Department],"")</f>
        <v>Selling</v>
      </c>
      <c r="G93" s="1" t="str">
        <f>_xlfn.XLOOKUP(tblPayroll[[#This Row],[Employee ID]],tblEmployees[Employee ID],tblEmployees[TER Category],"")</f>
        <v>A</v>
      </c>
      <c r="H93" s="5">
        <f>_xlfn.XLOOKUP(tblPayroll[[#This Row],[Employee ID]],tblEmployees[Employee ID],tblEmployees[Basic Salary],"")</f>
        <v>5600000</v>
      </c>
      <c r="I93" s="5">
        <f>_xlfn.XLOOKUP(tblPayroll[[#This Row],[Employee ID]],tblEmployees[Employee ID],tblEmployees[Fixed Allowance],"")</f>
        <v>600000</v>
      </c>
      <c r="J93" s="6">
        <v>0</v>
      </c>
      <c r="K93" s="5">
        <f>tblPayroll[[#This Row],[Basic Salary]]+tblPayroll[[#This Row],[Fixed Allowance]]+tblPayroll[[#This Row],[THR / Bonus]]</f>
        <v>6200000</v>
      </c>
      <c r="L93" s="5">
        <f>ROUND(MIN(tblPayroll[[#This Row],[Basic Salary]]+tblPayroll[[#This Row],[Fixed Allowance]],BPJSKesCap)*R_KesEr,0)</f>
        <v>248000</v>
      </c>
      <c r="M93" s="5">
        <f>ROUND((tblPayroll[[#This Row],[Basic Salary]]+tblPayroll[[#This Row],[Fixed Allowance]])*R_JKK,0)</f>
        <v>14880</v>
      </c>
      <c r="N93" s="5">
        <f>ROUND((tblPayroll[[#This Row],[Basic Salary]]+tblPayroll[[#This Row],[Fixed Allowance]])*R_JKM,0)</f>
        <v>18600</v>
      </c>
      <c r="O93" s="5">
        <f>ROUND((tblPayroll[[#This Row],[Basic Salary]]+tblPayroll[[#This Row],[Fixed Allowance]])*R_JHTEr,0)</f>
        <v>229400</v>
      </c>
      <c r="P93" s="5">
        <f>ROUND(MIN(tblPayroll[[#This Row],[Basic Salary]]+tblPayroll[[#This Row],[Fixed Allowance]],JPCap)*R_JPEr,0)</f>
        <v>124000</v>
      </c>
      <c r="Q93" s="5">
        <f>SUM(tblPayroll[[#This Row],[BPJS Health (Er)]:[JP (Er)]])</f>
        <v>634880</v>
      </c>
      <c r="R93" s="5">
        <f>tblPayroll[[#This Row],[Gross Salary]]+tblPayroll[[#This Row],[BPJS Health (Er)]]+tblPayroll[[#This Row],[JKK (Er)]]+tblPayroll[[#This Row],[JKM (Er)]]</f>
        <v>6481480</v>
      </c>
      <c r="S93" s="119">
        <f>IF(tblPayroll[[#This Row],[TER Cat]]="A",_xlfn.XLOOKUP(tblPayroll[[#This Row],[PPh 21 Base]],TerA_L,TerA_R,0,-1),IF(tblPayroll[[#This Row],[TER Cat]]="B",_xlfn.XLOOKUP(tblPayroll[[#This Row],[PPh 21 Base]],TerB_L,TerB_R,0,-1),_xlfn.XLOOKUP(tblPayroll[[#This Row],[PPh 21 Base]],TerC_L,TerC_R,0,-1)))</f>
        <v>0.01</v>
      </c>
      <c r="T93" s="5">
        <f>ROUND(tblPayroll[[#This Row],[PPh 21 Base]]*tblPayroll[[#This Row],[TER Rate]],0)</f>
        <v>64815</v>
      </c>
      <c r="U93" s="5">
        <f>ROUND(MIN(tblPayroll[[#This Row],[Basic Salary]]+tblPayroll[[#This Row],[Fixed Allowance]],BPJSKesCap)*R_KesEe,0)</f>
        <v>62000</v>
      </c>
      <c r="V93" s="5">
        <f>ROUND((tblPayroll[[#This Row],[Basic Salary]]+tblPayroll[[#This Row],[Fixed Allowance]])*R_JHTEe,0)</f>
        <v>124000</v>
      </c>
      <c r="W93" s="5">
        <f>ROUND(MIN(tblPayroll[[#This Row],[Basic Salary]]+tblPayroll[[#This Row],[Fixed Allowance]],JPCap)*R_JPEe,0)</f>
        <v>62000</v>
      </c>
      <c r="X93" s="5">
        <f>tblPayroll[[#This Row],[BPJS Health (Ee)]]+tblPayroll[[#This Row],[JHT (Ee)]]+tblPayroll[[#This Row],[JP (Ee)]]</f>
        <v>248000</v>
      </c>
      <c r="Y93" s="5">
        <f>tblPayroll[[#This Row],[Gross Salary]]-tblPayroll[[#This Row],[PPh 21]]-tblPayroll[[#This Row],[Employee BPJS Total]]</f>
        <v>5887185</v>
      </c>
      <c r="Z93" s="5">
        <f>tblPayroll[[#This Row],[Employer BPJS Total]]+tblPayroll[[#This Row],[Employee BPJS Total]]</f>
        <v>882880</v>
      </c>
      <c r="AA93" s="5">
        <f>tblPayroll[[#This Row],[Gross Salary]]+tblPayroll[[#This Row],[Employer BPJS Total]]</f>
        <v>6834880</v>
      </c>
      <c r="AB93" s="4">
        <v>1130</v>
      </c>
    </row>
    <row r="94" spans="2:28" x14ac:dyDescent="0.35">
      <c r="B94" s="4">
        <v>6</v>
      </c>
      <c r="C94" s="113">
        <v>46198</v>
      </c>
      <c r="D94" s="4" t="s">
        <v>4834</v>
      </c>
      <c r="E94" s="1" t="str">
        <f>_xlfn.XLOOKUP(tblPayroll[[#This Row],[Employee ID]],tblEmployees[Employee ID],tblEmployees[Full Name],"")</f>
        <v>Bayu Nugroho</v>
      </c>
      <c r="F94" s="1" t="str">
        <f>_xlfn.XLOOKUP(tblPayroll[[#This Row],[Employee ID]],tblEmployees[Employee ID],tblEmployees[Department],"")</f>
        <v>Selling</v>
      </c>
      <c r="G94" s="1" t="str">
        <f>_xlfn.XLOOKUP(tblPayroll[[#This Row],[Employee ID]],tblEmployees[Employee ID],tblEmployees[TER Category],"")</f>
        <v>B</v>
      </c>
      <c r="H94" s="5">
        <f>_xlfn.XLOOKUP(tblPayroll[[#This Row],[Employee ID]],tblEmployees[Employee ID],tblEmployees[Basic Salary],"")</f>
        <v>5600000</v>
      </c>
      <c r="I94" s="5">
        <f>_xlfn.XLOOKUP(tblPayroll[[#This Row],[Employee ID]],tblEmployees[Employee ID],tblEmployees[Fixed Allowance],"")</f>
        <v>600000</v>
      </c>
      <c r="J94" s="6">
        <v>0</v>
      </c>
      <c r="K94" s="5">
        <f>tblPayroll[[#This Row],[Basic Salary]]+tblPayroll[[#This Row],[Fixed Allowance]]+tblPayroll[[#This Row],[THR / Bonus]]</f>
        <v>6200000</v>
      </c>
      <c r="L94" s="5">
        <f>ROUND(MIN(tblPayroll[[#This Row],[Basic Salary]]+tblPayroll[[#This Row],[Fixed Allowance]],BPJSKesCap)*R_KesEr,0)</f>
        <v>248000</v>
      </c>
      <c r="M94" s="5">
        <f>ROUND((tblPayroll[[#This Row],[Basic Salary]]+tblPayroll[[#This Row],[Fixed Allowance]])*R_JKK,0)</f>
        <v>14880</v>
      </c>
      <c r="N94" s="5">
        <f>ROUND((tblPayroll[[#This Row],[Basic Salary]]+tblPayroll[[#This Row],[Fixed Allowance]])*R_JKM,0)</f>
        <v>18600</v>
      </c>
      <c r="O94" s="5">
        <f>ROUND((tblPayroll[[#This Row],[Basic Salary]]+tblPayroll[[#This Row],[Fixed Allowance]])*R_JHTEr,0)</f>
        <v>229400</v>
      </c>
      <c r="P94" s="5">
        <f>ROUND(MIN(tblPayroll[[#This Row],[Basic Salary]]+tblPayroll[[#This Row],[Fixed Allowance]],JPCap)*R_JPEr,0)</f>
        <v>124000</v>
      </c>
      <c r="Q94" s="5">
        <f>SUM(tblPayroll[[#This Row],[BPJS Health (Er)]:[JP (Er)]])</f>
        <v>634880</v>
      </c>
      <c r="R94" s="5">
        <f>tblPayroll[[#This Row],[Gross Salary]]+tblPayroll[[#This Row],[BPJS Health (Er)]]+tblPayroll[[#This Row],[JKK (Er)]]+tblPayroll[[#This Row],[JKM (Er)]]</f>
        <v>6481480</v>
      </c>
      <c r="S94" s="119">
        <f>IF(tblPayroll[[#This Row],[TER Cat]]="A",_xlfn.XLOOKUP(tblPayroll[[#This Row],[PPh 21 Base]],TerA_L,TerA_R,0,-1),IF(tblPayroll[[#This Row],[TER Cat]]="B",_xlfn.XLOOKUP(tblPayroll[[#This Row],[PPh 21 Base]],TerB_L,TerB_R,0,-1),_xlfn.XLOOKUP(tblPayroll[[#This Row],[PPh 21 Base]],TerC_L,TerC_R,0,-1)))</f>
        <v>2.5000000000000001E-3</v>
      </c>
      <c r="T94" s="5">
        <f>ROUND(tblPayroll[[#This Row],[PPh 21 Base]]*tblPayroll[[#This Row],[TER Rate]],0)</f>
        <v>16204</v>
      </c>
      <c r="U94" s="5">
        <f>ROUND(MIN(tblPayroll[[#This Row],[Basic Salary]]+tblPayroll[[#This Row],[Fixed Allowance]],BPJSKesCap)*R_KesEe,0)</f>
        <v>62000</v>
      </c>
      <c r="V94" s="5">
        <f>ROUND((tblPayroll[[#This Row],[Basic Salary]]+tblPayroll[[#This Row],[Fixed Allowance]])*R_JHTEe,0)</f>
        <v>124000</v>
      </c>
      <c r="W94" s="5">
        <f>ROUND(MIN(tblPayroll[[#This Row],[Basic Salary]]+tblPayroll[[#This Row],[Fixed Allowance]],JPCap)*R_JPEe,0)</f>
        <v>62000</v>
      </c>
      <c r="X94" s="5">
        <f>tblPayroll[[#This Row],[BPJS Health (Ee)]]+tblPayroll[[#This Row],[JHT (Ee)]]+tblPayroll[[#This Row],[JP (Ee)]]</f>
        <v>248000</v>
      </c>
      <c r="Y94" s="5">
        <f>tblPayroll[[#This Row],[Gross Salary]]-tblPayroll[[#This Row],[PPh 21]]-tblPayroll[[#This Row],[Employee BPJS Total]]</f>
        <v>5935796</v>
      </c>
      <c r="Z94" s="5">
        <f>tblPayroll[[#This Row],[Employer BPJS Total]]+tblPayroll[[#This Row],[Employee BPJS Total]]</f>
        <v>882880</v>
      </c>
      <c r="AA94" s="5">
        <f>tblPayroll[[#This Row],[Gross Salary]]+tblPayroll[[#This Row],[Employer BPJS Total]]</f>
        <v>6834880</v>
      </c>
      <c r="AB94" s="4">
        <v>1130</v>
      </c>
    </row>
    <row r="95" spans="2:28" x14ac:dyDescent="0.35">
      <c r="B95" s="4">
        <v>6</v>
      </c>
      <c r="C95" s="113">
        <v>46198</v>
      </c>
      <c r="D95" s="4" t="s">
        <v>4839</v>
      </c>
      <c r="E95" s="1" t="str">
        <f>_xlfn.XLOOKUP(tblPayroll[[#This Row],[Employee ID]],tblEmployees[Employee ID],tblEmployees[Full Name],"")</f>
        <v>Maya Sari</v>
      </c>
      <c r="F95" s="1" t="str">
        <f>_xlfn.XLOOKUP(tblPayroll[[#This Row],[Employee ID]],tblEmployees[Employee ID],tblEmployees[Department],"")</f>
        <v>Selling</v>
      </c>
      <c r="G95" s="1" t="str">
        <f>_xlfn.XLOOKUP(tblPayroll[[#This Row],[Employee ID]],tblEmployees[Employee ID],tblEmployees[TER Category],"")</f>
        <v>A</v>
      </c>
      <c r="H95" s="5">
        <f>_xlfn.XLOOKUP(tblPayroll[[#This Row],[Employee ID]],tblEmployees[Employee ID],tblEmployees[Basic Salary],"")</f>
        <v>5700000</v>
      </c>
      <c r="I95" s="5">
        <f>_xlfn.XLOOKUP(tblPayroll[[#This Row],[Employee ID]],tblEmployees[Employee ID],tblEmployees[Fixed Allowance],"")</f>
        <v>600000</v>
      </c>
      <c r="J95" s="6">
        <v>0</v>
      </c>
      <c r="K95" s="5">
        <f>tblPayroll[[#This Row],[Basic Salary]]+tblPayroll[[#This Row],[Fixed Allowance]]+tblPayroll[[#This Row],[THR / Bonus]]</f>
        <v>6300000</v>
      </c>
      <c r="L95" s="5">
        <f>ROUND(MIN(tblPayroll[[#This Row],[Basic Salary]]+tblPayroll[[#This Row],[Fixed Allowance]],BPJSKesCap)*R_KesEr,0)</f>
        <v>252000</v>
      </c>
      <c r="M95" s="5">
        <f>ROUND((tblPayroll[[#This Row],[Basic Salary]]+tblPayroll[[#This Row],[Fixed Allowance]])*R_JKK,0)</f>
        <v>15120</v>
      </c>
      <c r="N95" s="5">
        <f>ROUND((tblPayroll[[#This Row],[Basic Salary]]+tblPayroll[[#This Row],[Fixed Allowance]])*R_JKM,0)</f>
        <v>18900</v>
      </c>
      <c r="O95" s="5">
        <f>ROUND((tblPayroll[[#This Row],[Basic Salary]]+tblPayroll[[#This Row],[Fixed Allowance]])*R_JHTEr,0)</f>
        <v>233100</v>
      </c>
      <c r="P95" s="5">
        <f>ROUND(MIN(tblPayroll[[#This Row],[Basic Salary]]+tblPayroll[[#This Row],[Fixed Allowance]],JPCap)*R_JPEr,0)</f>
        <v>126000</v>
      </c>
      <c r="Q95" s="5">
        <f>SUM(tblPayroll[[#This Row],[BPJS Health (Er)]:[JP (Er)]])</f>
        <v>645120</v>
      </c>
      <c r="R95" s="5">
        <f>tblPayroll[[#This Row],[Gross Salary]]+tblPayroll[[#This Row],[BPJS Health (Er)]]+tblPayroll[[#This Row],[JKK (Er)]]+tblPayroll[[#This Row],[JKM (Er)]]</f>
        <v>6586020</v>
      </c>
      <c r="S95" s="119">
        <f>IF(tblPayroll[[#This Row],[TER Cat]]="A",_xlfn.XLOOKUP(tblPayroll[[#This Row],[PPh 21 Base]],TerA_L,TerA_R,0,-1),IF(tblPayroll[[#This Row],[TER Cat]]="B",_xlfn.XLOOKUP(tblPayroll[[#This Row],[PPh 21 Base]],TerB_L,TerB_R,0,-1),_xlfn.XLOOKUP(tblPayroll[[#This Row],[PPh 21 Base]],TerC_L,TerC_R,0,-1)))</f>
        <v>0.01</v>
      </c>
      <c r="T95" s="5">
        <f>ROUND(tblPayroll[[#This Row],[PPh 21 Base]]*tblPayroll[[#This Row],[TER Rate]],0)</f>
        <v>65860</v>
      </c>
      <c r="U95" s="5">
        <f>ROUND(MIN(tblPayroll[[#This Row],[Basic Salary]]+tblPayroll[[#This Row],[Fixed Allowance]],BPJSKesCap)*R_KesEe,0)</f>
        <v>63000</v>
      </c>
      <c r="V95" s="5">
        <f>ROUND((tblPayroll[[#This Row],[Basic Salary]]+tblPayroll[[#This Row],[Fixed Allowance]])*R_JHTEe,0)</f>
        <v>126000</v>
      </c>
      <c r="W95" s="5">
        <f>ROUND(MIN(tblPayroll[[#This Row],[Basic Salary]]+tblPayroll[[#This Row],[Fixed Allowance]],JPCap)*R_JPEe,0)</f>
        <v>63000</v>
      </c>
      <c r="X95" s="5">
        <f>tblPayroll[[#This Row],[BPJS Health (Ee)]]+tblPayroll[[#This Row],[JHT (Ee)]]+tblPayroll[[#This Row],[JP (Ee)]]</f>
        <v>252000</v>
      </c>
      <c r="Y95" s="5">
        <f>tblPayroll[[#This Row],[Gross Salary]]-tblPayroll[[#This Row],[PPh 21]]-tblPayroll[[#This Row],[Employee BPJS Total]]</f>
        <v>5982140</v>
      </c>
      <c r="Z95" s="5">
        <f>tblPayroll[[#This Row],[Employer BPJS Total]]+tblPayroll[[#This Row],[Employee BPJS Total]]</f>
        <v>897120</v>
      </c>
      <c r="AA95" s="5">
        <f>tblPayroll[[#This Row],[Gross Salary]]+tblPayroll[[#This Row],[Employer BPJS Total]]</f>
        <v>6945120</v>
      </c>
      <c r="AB95" s="4">
        <v>1130</v>
      </c>
    </row>
    <row r="96" spans="2:28" x14ac:dyDescent="0.35">
      <c r="B96" s="4">
        <v>6</v>
      </c>
      <c r="C96" s="113">
        <v>46198</v>
      </c>
      <c r="D96" s="4" t="s">
        <v>4844</v>
      </c>
      <c r="E96" s="1" t="str">
        <f>_xlfn.XLOOKUP(tblPayroll[[#This Row],[Employee ID]],tblEmployees[Employee ID],tblEmployees[Full Name],"")</f>
        <v>Hendra Wijaya</v>
      </c>
      <c r="F96" s="1" t="str">
        <f>_xlfn.XLOOKUP(tblPayroll[[#This Row],[Employee ID]],tblEmployees[Employee ID],tblEmployees[Department],"")</f>
        <v>G&amp;A</v>
      </c>
      <c r="G96" s="1" t="str">
        <f>_xlfn.XLOOKUP(tblPayroll[[#This Row],[Employee ID]],tblEmployees[Employee ID],tblEmployees[TER Category],"")</f>
        <v>A</v>
      </c>
      <c r="H96" s="5">
        <f>_xlfn.XLOOKUP(tblPayroll[[#This Row],[Employee ID]],tblEmployees[Employee ID],tblEmployees[Basic Salary],"")</f>
        <v>9500000</v>
      </c>
      <c r="I96" s="5">
        <f>_xlfn.XLOOKUP(tblPayroll[[#This Row],[Employee ID]],tblEmployees[Employee ID],tblEmployees[Fixed Allowance],"")</f>
        <v>1000000</v>
      </c>
      <c r="J96" s="6">
        <v>0</v>
      </c>
      <c r="K96" s="5">
        <f>tblPayroll[[#This Row],[Basic Salary]]+tblPayroll[[#This Row],[Fixed Allowance]]+tblPayroll[[#This Row],[THR / Bonus]]</f>
        <v>10500000</v>
      </c>
      <c r="L96" s="5">
        <f>ROUND(MIN(tblPayroll[[#This Row],[Basic Salary]]+tblPayroll[[#This Row],[Fixed Allowance]],BPJSKesCap)*R_KesEr,0)</f>
        <v>420000</v>
      </c>
      <c r="M96" s="5">
        <f>ROUND((tblPayroll[[#This Row],[Basic Salary]]+tblPayroll[[#This Row],[Fixed Allowance]])*R_JKK,0)</f>
        <v>25200</v>
      </c>
      <c r="N96" s="5">
        <f>ROUND((tblPayroll[[#This Row],[Basic Salary]]+tblPayroll[[#This Row],[Fixed Allowance]])*R_JKM,0)</f>
        <v>31500</v>
      </c>
      <c r="O96" s="5">
        <f>ROUND((tblPayroll[[#This Row],[Basic Salary]]+tblPayroll[[#This Row],[Fixed Allowance]])*R_JHTEr,0)</f>
        <v>388500</v>
      </c>
      <c r="P96" s="5">
        <f>ROUND(MIN(tblPayroll[[#This Row],[Basic Salary]]+tblPayroll[[#This Row],[Fixed Allowance]],JPCap)*R_JPEr,0)</f>
        <v>210000</v>
      </c>
      <c r="Q96" s="5">
        <f>SUM(tblPayroll[[#This Row],[BPJS Health (Er)]:[JP (Er)]])</f>
        <v>1075200</v>
      </c>
      <c r="R96" s="5">
        <f>tblPayroll[[#This Row],[Gross Salary]]+tblPayroll[[#This Row],[BPJS Health (Er)]]+tblPayroll[[#This Row],[JKK (Er)]]+tblPayroll[[#This Row],[JKM (Er)]]</f>
        <v>10976700</v>
      </c>
      <c r="S96" s="119">
        <f>IF(tblPayroll[[#This Row],[TER Cat]]="A",_xlfn.XLOOKUP(tblPayroll[[#This Row],[PPh 21 Base]],TerA_L,TerA_R,0,-1),IF(tblPayroll[[#This Row],[TER Cat]]="B",_xlfn.XLOOKUP(tblPayroll[[#This Row],[PPh 21 Base]],TerB_L,TerB_R,0,-1),_xlfn.XLOOKUP(tblPayroll[[#This Row],[PPh 21 Base]],TerC_L,TerC_R,0,-1)))</f>
        <v>0.03</v>
      </c>
      <c r="T96" s="5">
        <f>ROUND(tblPayroll[[#This Row],[PPh 21 Base]]*tblPayroll[[#This Row],[TER Rate]],0)</f>
        <v>329301</v>
      </c>
      <c r="U96" s="5">
        <f>ROUND(MIN(tblPayroll[[#This Row],[Basic Salary]]+tblPayroll[[#This Row],[Fixed Allowance]],BPJSKesCap)*R_KesEe,0)</f>
        <v>105000</v>
      </c>
      <c r="V96" s="5">
        <f>ROUND((tblPayroll[[#This Row],[Basic Salary]]+tblPayroll[[#This Row],[Fixed Allowance]])*R_JHTEe,0)</f>
        <v>210000</v>
      </c>
      <c r="W96" s="5">
        <f>ROUND(MIN(tblPayroll[[#This Row],[Basic Salary]]+tblPayroll[[#This Row],[Fixed Allowance]],JPCap)*R_JPEe,0)</f>
        <v>105000</v>
      </c>
      <c r="X96" s="5">
        <f>tblPayroll[[#This Row],[BPJS Health (Ee)]]+tblPayroll[[#This Row],[JHT (Ee)]]+tblPayroll[[#This Row],[JP (Ee)]]</f>
        <v>420000</v>
      </c>
      <c r="Y96" s="5">
        <f>tblPayroll[[#This Row],[Gross Salary]]-tblPayroll[[#This Row],[PPh 21]]-tblPayroll[[#This Row],[Employee BPJS Total]]</f>
        <v>9750699</v>
      </c>
      <c r="Z96" s="5">
        <f>tblPayroll[[#This Row],[Employer BPJS Total]]+tblPayroll[[#This Row],[Employee BPJS Total]]</f>
        <v>1495200</v>
      </c>
      <c r="AA96" s="5">
        <f>tblPayroll[[#This Row],[Gross Salary]]+tblPayroll[[#This Row],[Employer BPJS Total]]</f>
        <v>11575200</v>
      </c>
      <c r="AB96" s="4">
        <v>1130</v>
      </c>
    </row>
    <row r="97" spans="2:28" x14ac:dyDescent="0.35">
      <c r="B97" s="4">
        <v>7</v>
      </c>
      <c r="C97" s="113">
        <v>46228</v>
      </c>
      <c r="D97" s="4" t="s">
        <v>4774</v>
      </c>
      <c r="E97" s="1" t="str">
        <f>_xlfn.XLOOKUP(tblPayroll[[#This Row],[Employee ID]],tblEmployees[Employee ID],tblEmployees[Full Name],"")</f>
        <v>Budi Santoso</v>
      </c>
      <c r="F97" s="1" t="str">
        <f>_xlfn.XLOOKUP(tblPayroll[[#This Row],[Employee ID]],tblEmployees[Employee ID],tblEmployees[Department],"")</f>
        <v>G&amp;A</v>
      </c>
      <c r="G97" s="1" t="str">
        <f>_xlfn.XLOOKUP(tblPayroll[[#This Row],[Employee ID]],tblEmployees[Employee ID],tblEmployees[TER Category],"")</f>
        <v>B</v>
      </c>
      <c r="H97" s="5">
        <f>_xlfn.XLOOKUP(tblPayroll[[#This Row],[Employee ID]],tblEmployees[Employee ID],tblEmployees[Basic Salary],"")</f>
        <v>25000000</v>
      </c>
      <c r="I97" s="5">
        <f>_xlfn.XLOOKUP(tblPayroll[[#This Row],[Employee ID]],tblEmployees[Employee ID],tblEmployees[Fixed Allowance],"")</f>
        <v>4000000</v>
      </c>
      <c r="J97" s="6">
        <v>0</v>
      </c>
      <c r="K97" s="5">
        <f>tblPayroll[[#This Row],[Basic Salary]]+tblPayroll[[#This Row],[Fixed Allowance]]+tblPayroll[[#This Row],[THR / Bonus]]</f>
        <v>29000000</v>
      </c>
      <c r="L97" s="5">
        <f>ROUND(MIN(tblPayroll[[#This Row],[Basic Salary]]+tblPayroll[[#This Row],[Fixed Allowance]],BPJSKesCap)*R_KesEr,0)</f>
        <v>480000</v>
      </c>
      <c r="M97" s="5">
        <f>ROUND((tblPayroll[[#This Row],[Basic Salary]]+tblPayroll[[#This Row],[Fixed Allowance]])*R_JKK,0)</f>
        <v>69600</v>
      </c>
      <c r="N97" s="5">
        <f>ROUND((tblPayroll[[#This Row],[Basic Salary]]+tblPayroll[[#This Row],[Fixed Allowance]])*R_JKM,0)</f>
        <v>87000</v>
      </c>
      <c r="O97" s="5">
        <f>ROUND((tblPayroll[[#This Row],[Basic Salary]]+tblPayroll[[#This Row],[Fixed Allowance]])*R_JHTEr,0)</f>
        <v>1073000</v>
      </c>
      <c r="P97" s="5">
        <f>ROUND(MIN(tblPayroll[[#This Row],[Basic Salary]]+tblPayroll[[#This Row],[Fixed Allowance]],JPCap)*R_JPEr,0)</f>
        <v>210948</v>
      </c>
      <c r="Q97" s="5">
        <f>SUM(tblPayroll[[#This Row],[BPJS Health (Er)]:[JP (Er)]])</f>
        <v>1920548</v>
      </c>
      <c r="R97" s="5">
        <f>tblPayroll[[#This Row],[Gross Salary]]+tblPayroll[[#This Row],[BPJS Health (Er)]]+tblPayroll[[#This Row],[JKK (Er)]]+tblPayroll[[#This Row],[JKM (Er)]]</f>
        <v>29636600</v>
      </c>
      <c r="S97" s="119">
        <f>IF(tblPayroll[[#This Row],[TER Cat]]="A",_xlfn.XLOOKUP(tblPayroll[[#This Row],[PPh 21 Base]],TerA_L,TerA_R,0,-1),IF(tblPayroll[[#This Row],[TER Cat]]="B",_xlfn.XLOOKUP(tblPayroll[[#This Row],[PPh 21 Base]],TerB_L,TerB_R,0,-1),_xlfn.XLOOKUP(tblPayroll[[#This Row],[PPh 21 Base]],TerC_L,TerC_R,0,-1)))</f>
        <v>0.12</v>
      </c>
      <c r="T97" s="5">
        <f>ROUND(tblPayroll[[#This Row],[PPh 21 Base]]*tblPayroll[[#This Row],[TER Rate]],0)</f>
        <v>3556392</v>
      </c>
      <c r="U97" s="5">
        <f>ROUND(MIN(tblPayroll[[#This Row],[Basic Salary]]+tblPayroll[[#This Row],[Fixed Allowance]],BPJSKesCap)*R_KesEe,0)</f>
        <v>120000</v>
      </c>
      <c r="V97" s="5">
        <f>ROUND((tblPayroll[[#This Row],[Basic Salary]]+tblPayroll[[#This Row],[Fixed Allowance]])*R_JHTEe,0)</f>
        <v>580000</v>
      </c>
      <c r="W97" s="5">
        <f>ROUND(MIN(tblPayroll[[#This Row],[Basic Salary]]+tblPayroll[[#This Row],[Fixed Allowance]],JPCap)*R_JPEe,0)</f>
        <v>105474</v>
      </c>
      <c r="X97" s="5">
        <f>tblPayroll[[#This Row],[BPJS Health (Ee)]]+tblPayroll[[#This Row],[JHT (Ee)]]+tblPayroll[[#This Row],[JP (Ee)]]</f>
        <v>805474</v>
      </c>
      <c r="Y97" s="5">
        <f>tblPayroll[[#This Row],[Gross Salary]]-tblPayroll[[#This Row],[PPh 21]]-tblPayroll[[#This Row],[Employee BPJS Total]]</f>
        <v>24638134</v>
      </c>
      <c r="Z97" s="5">
        <f>tblPayroll[[#This Row],[Employer BPJS Total]]+tblPayroll[[#This Row],[Employee BPJS Total]]</f>
        <v>2726022</v>
      </c>
      <c r="AA97" s="5">
        <f>tblPayroll[[#This Row],[Gross Salary]]+tblPayroll[[#This Row],[Employer BPJS Total]]</f>
        <v>30920548</v>
      </c>
      <c r="AB97" s="4">
        <v>1130</v>
      </c>
    </row>
    <row r="98" spans="2:28" x14ac:dyDescent="0.35">
      <c r="B98" s="4">
        <v>7</v>
      </c>
      <c r="C98" s="113">
        <v>46228</v>
      </c>
      <c r="D98" s="4" t="s">
        <v>4779</v>
      </c>
      <c r="E98" s="1" t="str">
        <f>_xlfn.XLOOKUP(tblPayroll[[#This Row],[Employee ID]],tblEmployees[Employee ID],tblEmployees[Full Name],"")</f>
        <v>Siti Rahmawati</v>
      </c>
      <c r="F98" s="1" t="str">
        <f>_xlfn.XLOOKUP(tblPayroll[[#This Row],[Employee ID]],tblEmployees[Employee ID],tblEmployees[Department],"")</f>
        <v>G&amp;A</v>
      </c>
      <c r="G98" s="1" t="str">
        <f>_xlfn.XLOOKUP(tblPayroll[[#This Row],[Employee ID]],tblEmployees[Employee ID],tblEmployees[TER Category],"")</f>
        <v>B</v>
      </c>
      <c r="H98" s="5">
        <f>_xlfn.XLOOKUP(tblPayroll[[#This Row],[Employee ID]],tblEmployees[Employee ID],tblEmployees[Basic Salary],"")</f>
        <v>20000000</v>
      </c>
      <c r="I98" s="5">
        <f>_xlfn.XLOOKUP(tblPayroll[[#This Row],[Employee ID]],tblEmployees[Employee ID],tblEmployees[Fixed Allowance],"")</f>
        <v>3000000</v>
      </c>
      <c r="J98" s="6">
        <v>0</v>
      </c>
      <c r="K98" s="5">
        <f>tblPayroll[[#This Row],[Basic Salary]]+tblPayroll[[#This Row],[Fixed Allowance]]+tblPayroll[[#This Row],[THR / Bonus]]</f>
        <v>23000000</v>
      </c>
      <c r="L98" s="5">
        <f>ROUND(MIN(tblPayroll[[#This Row],[Basic Salary]]+tblPayroll[[#This Row],[Fixed Allowance]],BPJSKesCap)*R_KesEr,0)</f>
        <v>480000</v>
      </c>
      <c r="M98" s="5">
        <f>ROUND((tblPayroll[[#This Row],[Basic Salary]]+tblPayroll[[#This Row],[Fixed Allowance]])*R_JKK,0)</f>
        <v>55200</v>
      </c>
      <c r="N98" s="5">
        <f>ROUND((tblPayroll[[#This Row],[Basic Salary]]+tblPayroll[[#This Row],[Fixed Allowance]])*R_JKM,0)</f>
        <v>69000</v>
      </c>
      <c r="O98" s="5">
        <f>ROUND((tblPayroll[[#This Row],[Basic Salary]]+tblPayroll[[#This Row],[Fixed Allowance]])*R_JHTEr,0)</f>
        <v>851000</v>
      </c>
      <c r="P98" s="5">
        <f>ROUND(MIN(tblPayroll[[#This Row],[Basic Salary]]+tblPayroll[[#This Row],[Fixed Allowance]],JPCap)*R_JPEr,0)</f>
        <v>210948</v>
      </c>
      <c r="Q98" s="5">
        <f>SUM(tblPayroll[[#This Row],[BPJS Health (Er)]:[JP (Er)]])</f>
        <v>1666148</v>
      </c>
      <c r="R98" s="5">
        <f>tblPayroll[[#This Row],[Gross Salary]]+tblPayroll[[#This Row],[BPJS Health (Er)]]+tblPayroll[[#This Row],[JKK (Er)]]+tblPayroll[[#This Row],[JKM (Er)]]</f>
        <v>23604200</v>
      </c>
      <c r="S98" s="119">
        <f>IF(tblPayroll[[#This Row],[TER Cat]]="A",_xlfn.XLOOKUP(tblPayroll[[#This Row],[PPh 21 Base]],TerA_L,TerA_R,0,-1),IF(tblPayroll[[#This Row],[TER Cat]]="B",_xlfn.XLOOKUP(tblPayroll[[#This Row],[PPh 21 Base]],TerB_L,TerB_R,0,-1),_xlfn.XLOOKUP(tblPayroll[[#This Row],[PPh 21 Base]],TerC_L,TerC_R,0,-1)))</f>
        <v>0.09</v>
      </c>
      <c r="T98" s="5">
        <f>ROUND(tblPayroll[[#This Row],[PPh 21 Base]]*tblPayroll[[#This Row],[TER Rate]],0)</f>
        <v>2124378</v>
      </c>
      <c r="U98" s="5">
        <f>ROUND(MIN(tblPayroll[[#This Row],[Basic Salary]]+tblPayroll[[#This Row],[Fixed Allowance]],BPJSKesCap)*R_KesEe,0)</f>
        <v>120000</v>
      </c>
      <c r="V98" s="5">
        <f>ROUND((tblPayroll[[#This Row],[Basic Salary]]+tblPayroll[[#This Row],[Fixed Allowance]])*R_JHTEe,0)</f>
        <v>460000</v>
      </c>
      <c r="W98" s="5">
        <f>ROUND(MIN(tblPayroll[[#This Row],[Basic Salary]]+tblPayroll[[#This Row],[Fixed Allowance]],JPCap)*R_JPEe,0)</f>
        <v>105474</v>
      </c>
      <c r="X98" s="5">
        <f>tblPayroll[[#This Row],[BPJS Health (Ee)]]+tblPayroll[[#This Row],[JHT (Ee)]]+tblPayroll[[#This Row],[JP (Ee)]]</f>
        <v>685474</v>
      </c>
      <c r="Y98" s="5">
        <f>tblPayroll[[#This Row],[Gross Salary]]-tblPayroll[[#This Row],[PPh 21]]-tblPayroll[[#This Row],[Employee BPJS Total]]</f>
        <v>20190148</v>
      </c>
      <c r="Z98" s="5">
        <f>tblPayroll[[#This Row],[Employer BPJS Total]]+tblPayroll[[#This Row],[Employee BPJS Total]]</f>
        <v>2351622</v>
      </c>
      <c r="AA98" s="5">
        <f>tblPayroll[[#This Row],[Gross Salary]]+tblPayroll[[#This Row],[Employer BPJS Total]]</f>
        <v>24666148</v>
      </c>
      <c r="AB98" s="4">
        <v>1130</v>
      </c>
    </row>
    <row r="99" spans="2:28" x14ac:dyDescent="0.35">
      <c r="B99" s="4">
        <v>7</v>
      </c>
      <c r="C99" s="113">
        <v>46228</v>
      </c>
      <c r="D99" s="4" t="s">
        <v>4783</v>
      </c>
      <c r="E99" s="1" t="str">
        <f>_xlfn.XLOOKUP(tblPayroll[[#This Row],[Employee ID]],tblEmployees[Employee ID],tblEmployees[Full Name],"")</f>
        <v>Dewi Lestari</v>
      </c>
      <c r="F99" s="1" t="str">
        <f>_xlfn.XLOOKUP(tblPayroll[[#This Row],[Employee ID]],tblEmployees[Employee ID],tblEmployees[Department],"")</f>
        <v>G&amp;A</v>
      </c>
      <c r="G99" s="1" t="str">
        <f>_xlfn.XLOOKUP(tblPayroll[[#This Row],[Employee ID]],tblEmployees[Employee ID],tblEmployees[TER Category],"")</f>
        <v>A</v>
      </c>
      <c r="H99" s="5">
        <f>_xlfn.XLOOKUP(tblPayroll[[#This Row],[Employee ID]],tblEmployees[Employee ID],tblEmployees[Basic Salary],"")</f>
        <v>15000000</v>
      </c>
      <c r="I99" s="5">
        <f>_xlfn.XLOOKUP(tblPayroll[[#This Row],[Employee ID]],tblEmployees[Employee ID],tblEmployees[Fixed Allowance],"")</f>
        <v>2000000</v>
      </c>
      <c r="J99" s="6">
        <v>0</v>
      </c>
      <c r="K99" s="5">
        <f>tblPayroll[[#This Row],[Basic Salary]]+tblPayroll[[#This Row],[Fixed Allowance]]+tblPayroll[[#This Row],[THR / Bonus]]</f>
        <v>17000000</v>
      </c>
      <c r="L99" s="5">
        <f>ROUND(MIN(tblPayroll[[#This Row],[Basic Salary]]+tblPayroll[[#This Row],[Fixed Allowance]],BPJSKesCap)*R_KesEr,0)</f>
        <v>480000</v>
      </c>
      <c r="M99" s="5">
        <f>ROUND((tblPayroll[[#This Row],[Basic Salary]]+tblPayroll[[#This Row],[Fixed Allowance]])*R_JKK,0)</f>
        <v>40800</v>
      </c>
      <c r="N99" s="5">
        <f>ROUND((tblPayroll[[#This Row],[Basic Salary]]+tblPayroll[[#This Row],[Fixed Allowance]])*R_JKM,0)</f>
        <v>51000</v>
      </c>
      <c r="O99" s="5">
        <f>ROUND((tblPayroll[[#This Row],[Basic Salary]]+tblPayroll[[#This Row],[Fixed Allowance]])*R_JHTEr,0)</f>
        <v>629000</v>
      </c>
      <c r="P99" s="5">
        <f>ROUND(MIN(tblPayroll[[#This Row],[Basic Salary]]+tblPayroll[[#This Row],[Fixed Allowance]],JPCap)*R_JPEr,0)</f>
        <v>210948</v>
      </c>
      <c r="Q99" s="5">
        <f>SUM(tblPayroll[[#This Row],[BPJS Health (Er)]:[JP (Er)]])</f>
        <v>1411748</v>
      </c>
      <c r="R99" s="5">
        <f>tblPayroll[[#This Row],[Gross Salary]]+tblPayroll[[#This Row],[BPJS Health (Er)]]+tblPayroll[[#This Row],[JKK (Er)]]+tblPayroll[[#This Row],[JKM (Er)]]</f>
        <v>17571800</v>
      </c>
      <c r="S99" s="119">
        <f>IF(tblPayroll[[#This Row],[TER Cat]]="A",_xlfn.XLOOKUP(tblPayroll[[#This Row],[PPh 21 Base]],TerA_L,TerA_R,0,-1),IF(tblPayroll[[#This Row],[TER Cat]]="B",_xlfn.XLOOKUP(tblPayroll[[#This Row],[PPh 21 Base]],TerB_L,TerB_R,0,-1),_xlfn.XLOOKUP(tblPayroll[[#This Row],[PPh 21 Base]],TerC_L,TerC_R,0,-1)))</f>
        <v>0.08</v>
      </c>
      <c r="T99" s="5">
        <f>ROUND(tblPayroll[[#This Row],[PPh 21 Base]]*tblPayroll[[#This Row],[TER Rate]],0)</f>
        <v>1405744</v>
      </c>
      <c r="U99" s="5">
        <f>ROUND(MIN(tblPayroll[[#This Row],[Basic Salary]]+tblPayroll[[#This Row],[Fixed Allowance]],BPJSKesCap)*R_KesEe,0)</f>
        <v>120000</v>
      </c>
      <c r="V99" s="5">
        <f>ROUND((tblPayroll[[#This Row],[Basic Salary]]+tblPayroll[[#This Row],[Fixed Allowance]])*R_JHTEe,0)</f>
        <v>340000</v>
      </c>
      <c r="W99" s="5">
        <f>ROUND(MIN(tblPayroll[[#This Row],[Basic Salary]]+tblPayroll[[#This Row],[Fixed Allowance]],JPCap)*R_JPEe,0)</f>
        <v>105474</v>
      </c>
      <c r="X99" s="5">
        <f>tblPayroll[[#This Row],[BPJS Health (Ee)]]+tblPayroll[[#This Row],[JHT (Ee)]]+tblPayroll[[#This Row],[JP (Ee)]]</f>
        <v>565474</v>
      </c>
      <c r="Y99" s="5">
        <f>tblPayroll[[#This Row],[Gross Salary]]-tblPayroll[[#This Row],[PPh 21]]-tblPayroll[[#This Row],[Employee BPJS Total]]</f>
        <v>15028782</v>
      </c>
      <c r="Z99" s="5">
        <f>tblPayroll[[#This Row],[Employer BPJS Total]]+tblPayroll[[#This Row],[Employee BPJS Total]]</f>
        <v>1977222</v>
      </c>
      <c r="AA99" s="5">
        <f>tblPayroll[[#This Row],[Gross Salary]]+tblPayroll[[#This Row],[Employer BPJS Total]]</f>
        <v>18411748</v>
      </c>
      <c r="AB99" s="4">
        <v>1130</v>
      </c>
    </row>
    <row r="100" spans="2:28" x14ac:dyDescent="0.35">
      <c r="B100" s="4">
        <v>7</v>
      </c>
      <c r="C100" s="113">
        <v>46228</v>
      </c>
      <c r="D100" s="4" t="s">
        <v>4787</v>
      </c>
      <c r="E100" s="1" t="str">
        <f>_xlfn.XLOOKUP(tblPayroll[[#This Row],[Employee ID]],tblEmployees[Employee ID],tblEmployees[Full Name],"")</f>
        <v>Agus Prasetyo</v>
      </c>
      <c r="F100" s="1" t="str">
        <f>_xlfn.XLOOKUP(tblPayroll[[#This Row],[Employee ID]],tblEmployees[Employee ID],tblEmployees[Department],"")</f>
        <v>Selling</v>
      </c>
      <c r="G100" s="1" t="str">
        <f>_xlfn.XLOOKUP(tblPayroll[[#This Row],[Employee ID]],tblEmployees[Employee ID],tblEmployees[TER Category],"")</f>
        <v>B</v>
      </c>
      <c r="H100" s="5">
        <f>_xlfn.XLOOKUP(tblPayroll[[#This Row],[Employee ID]],tblEmployees[Employee ID],tblEmployees[Basic Salary],"")</f>
        <v>14000000</v>
      </c>
      <c r="I100" s="5">
        <f>_xlfn.XLOOKUP(tblPayroll[[#This Row],[Employee ID]],tblEmployees[Employee ID],tblEmployees[Fixed Allowance],"")</f>
        <v>2000000</v>
      </c>
      <c r="J100" s="6">
        <v>0</v>
      </c>
      <c r="K100" s="5">
        <f>tblPayroll[[#This Row],[Basic Salary]]+tblPayroll[[#This Row],[Fixed Allowance]]+tblPayroll[[#This Row],[THR / Bonus]]</f>
        <v>16000000</v>
      </c>
      <c r="L100" s="5">
        <f>ROUND(MIN(tblPayroll[[#This Row],[Basic Salary]]+tblPayroll[[#This Row],[Fixed Allowance]],BPJSKesCap)*R_KesEr,0)</f>
        <v>480000</v>
      </c>
      <c r="M100" s="5">
        <f>ROUND((tblPayroll[[#This Row],[Basic Salary]]+tblPayroll[[#This Row],[Fixed Allowance]])*R_JKK,0)</f>
        <v>38400</v>
      </c>
      <c r="N100" s="5">
        <f>ROUND((tblPayroll[[#This Row],[Basic Salary]]+tblPayroll[[#This Row],[Fixed Allowance]])*R_JKM,0)</f>
        <v>48000</v>
      </c>
      <c r="O100" s="5">
        <f>ROUND((tblPayroll[[#This Row],[Basic Salary]]+tblPayroll[[#This Row],[Fixed Allowance]])*R_JHTEr,0)</f>
        <v>592000</v>
      </c>
      <c r="P100" s="5">
        <f>ROUND(MIN(tblPayroll[[#This Row],[Basic Salary]]+tblPayroll[[#This Row],[Fixed Allowance]],JPCap)*R_JPEr,0)</f>
        <v>210948</v>
      </c>
      <c r="Q100" s="5">
        <f>SUM(tblPayroll[[#This Row],[BPJS Health (Er)]:[JP (Er)]])</f>
        <v>1369348</v>
      </c>
      <c r="R100" s="5">
        <f>tblPayroll[[#This Row],[Gross Salary]]+tblPayroll[[#This Row],[BPJS Health (Er)]]+tblPayroll[[#This Row],[JKK (Er)]]+tblPayroll[[#This Row],[JKM (Er)]]</f>
        <v>16566400</v>
      </c>
      <c r="S100" s="119">
        <f>IF(tblPayroll[[#This Row],[TER Cat]]="A",_xlfn.XLOOKUP(tblPayroll[[#This Row],[PPh 21 Base]],TerA_L,TerA_R,0,-1),IF(tblPayroll[[#This Row],[TER Cat]]="B",_xlfn.XLOOKUP(tblPayroll[[#This Row],[PPh 21 Base]],TerB_L,TerB_R,0,-1),_xlfn.XLOOKUP(tblPayroll[[#This Row],[PPh 21 Base]],TerC_L,TerC_R,0,-1)))</f>
        <v>7.0000000000000007E-2</v>
      </c>
      <c r="T100" s="5">
        <f>ROUND(tblPayroll[[#This Row],[PPh 21 Base]]*tblPayroll[[#This Row],[TER Rate]],0)</f>
        <v>1159648</v>
      </c>
      <c r="U100" s="5">
        <f>ROUND(MIN(tblPayroll[[#This Row],[Basic Salary]]+tblPayroll[[#This Row],[Fixed Allowance]],BPJSKesCap)*R_KesEe,0)</f>
        <v>120000</v>
      </c>
      <c r="V100" s="5">
        <f>ROUND((tblPayroll[[#This Row],[Basic Salary]]+tblPayroll[[#This Row],[Fixed Allowance]])*R_JHTEe,0)</f>
        <v>320000</v>
      </c>
      <c r="W100" s="5">
        <f>ROUND(MIN(tblPayroll[[#This Row],[Basic Salary]]+tblPayroll[[#This Row],[Fixed Allowance]],JPCap)*R_JPEe,0)</f>
        <v>105474</v>
      </c>
      <c r="X100" s="5">
        <f>tblPayroll[[#This Row],[BPJS Health (Ee)]]+tblPayroll[[#This Row],[JHT (Ee)]]+tblPayroll[[#This Row],[JP (Ee)]]</f>
        <v>545474</v>
      </c>
      <c r="Y100" s="5">
        <f>tblPayroll[[#This Row],[Gross Salary]]-tblPayroll[[#This Row],[PPh 21]]-tblPayroll[[#This Row],[Employee BPJS Total]]</f>
        <v>14294878</v>
      </c>
      <c r="Z100" s="5">
        <f>tblPayroll[[#This Row],[Employer BPJS Total]]+tblPayroll[[#This Row],[Employee BPJS Total]]</f>
        <v>1914822</v>
      </c>
      <c r="AA100" s="5">
        <f>tblPayroll[[#This Row],[Gross Salary]]+tblPayroll[[#This Row],[Employer BPJS Total]]</f>
        <v>17369348</v>
      </c>
      <c r="AB100" s="4">
        <v>1130</v>
      </c>
    </row>
    <row r="101" spans="2:28" x14ac:dyDescent="0.35">
      <c r="B101" s="4">
        <v>7</v>
      </c>
      <c r="C101" s="113">
        <v>46228</v>
      </c>
      <c r="D101" s="4" t="s">
        <v>4793</v>
      </c>
      <c r="E101" s="1" t="str">
        <f>_xlfn.XLOOKUP(tblPayroll[[#This Row],[Employee ID]],tblEmployees[Employee ID],tblEmployees[Full Name],"")</f>
        <v>Rina Kartika</v>
      </c>
      <c r="F101" s="1" t="str">
        <f>_xlfn.XLOOKUP(tblPayroll[[#This Row],[Employee ID]],tblEmployees[Employee ID],tblEmployees[Department],"")</f>
        <v>Selling</v>
      </c>
      <c r="G101" s="1" t="str">
        <f>_xlfn.XLOOKUP(tblPayroll[[#This Row],[Employee ID]],tblEmployees[Employee ID],tblEmployees[TER Category],"")</f>
        <v>A</v>
      </c>
      <c r="H101" s="5">
        <f>_xlfn.XLOOKUP(tblPayroll[[#This Row],[Employee ID]],tblEmployees[Employee ID],tblEmployees[Basic Salary],"")</f>
        <v>12000000</v>
      </c>
      <c r="I101" s="5">
        <f>_xlfn.XLOOKUP(tblPayroll[[#This Row],[Employee ID]],tblEmployees[Employee ID],tblEmployees[Fixed Allowance],"")</f>
        <v>1500000</v>
      </c>
      <c r="J101" s="6">
        <v>0</v>
      </c>
      <c r="K101" s="5">
        <f>tblPayroll[[#This Row],[Basic Salary]]+tblPayroll[[#This Row],[Fixed Allowance]]+tblPayroll[[#This Row],[THR / Bonus]]</f>
        <v>13500000</v>
      </c>
      <c r="L101" s="5">
        <f>ROUND(MIN(tblPayroll[[#This Row],[Basic Salary]]+tblPayroll[[#This Row],[Fixed Allowance]],BPJSKesCap)*R_KesEr,0)</f>
        <v>480000</v>
      </c>
      <c r="M101" s="5">
        <f>ROUND((tblPayroll[[#This Row],[Basic Salary]]+tblPayroll[[#This Row],[Fixed Allowance]])*R_JKK,0)</f>
        <v>32400</v>
      </c>
      <c r="N101" s="5">
        <f>ROUND((tblPayroll[[#This Row],[Basic Salary]]+tblPayroll[[#This Row],[Fixed Allowance]])*R_JKM,0)</f>
        <v>40500</v>
      </c>
      <c r="O101" s="5">
        <f>ROUND((tblPayroll[[#This Row],[Basic Salary]]+tblPayroll[[#This Row],[Fixed Allowance]])*R_JHTEr,0)</f>
        <v>499500</v>
      </c>
      <c r="P101" s="5">
        <f>ROUND(MIN(tblPayroll[[#This Row],[Basic Salary]]+tblPayroll[[#This Row],[Fixed Allowance]],JPCap)*R_JPEr,0)</f>
        <v>210948</v>
      </c>
      <c r="Q101" s="5">
        <f>SUM(tblPayroll[[#This Row],[BPJS Health (Er)]:[JP (Er)]])</f>
        <v>1263348</v>
      </c>
      <c r="R101" s="5">
        <f>tblPayroll[[#This Row],[Gross Salary]]+tblPayroll[[#This Row],[BPJS Health (Er)]]+tblPayroll[[#This Row],[JKK (Er)]]+tblPayroll[[#This Row],[JKM (Er)]]</f>
        <v>14052900</v>
      </c>
      <c r="S101" s="119">
        <f>IF(tblPayroll[[#This Row],[TER Cat]]="A",_xlfn.XLOOKUP(tblPayroll[[#This Row],[PPh 21 Base]],TerA_L,TerA_R,0,-1),IF(tblPayroll[[#This Row],[TER Cat]]="B",_xlfn.XLOOKUP(tblPayroll[[#This Row],[PPh 21 Base]],TerB_L,TerB_R,0,-1),_xlfn.XLOOKUP(tblPayroll[[#This Row],[PPh 21 Base]],TerC_L,TerC_R,0,-1)))</f>
        <v>0.06</v>
      </c>
      <c r="T101" s="5">
        <f>ROUND(tblPayroll[[#This Row],[PPh 21 Base]]*tblPayroll[[#This Row],[TER Rate]],0)</f>
        <v>843174</v>
      </c>
      <c r="U101" s="5">
        <f>ROUND(MIN(tblPayroll[[#This Row],[Basic Salary]]+tblPayroll[[#This Row],[Fixed Allowance]],BPJSKesCap)*R_KesEe,0)</f>
        <v>120000</v>
      </c>
      <c r="V101" s="5">
        <f>ROUND((tblPayroll[[#This Row],[Basic Salary]]+tblPayroll[[#This Row],[Fixed Allowance]])*R_JHTEe,0)</f>
        <v>270000</v>
      </c>
      <c r="W101" s="5">
        <f>ROUND(MIN(tblPayroll[[#This Row],[Basic Salary]]+tblPayroll[[#This Row],[Fixed Allowance]],JPCap)*R_JPEe,0)</f>
        <v>105474</v>
      </c>
      <c r="X101" s="5">
        <f>tblPayroll[[#This Row],[BPJS Health (Ee)]]+tblPayroll[[#This Row],[JHT (Ee)]]+tblPayroll[[#This Row],[JP (Ee)]]</f>
        <v>495474</v>
      </c>
      <c r="Y101" s="5">
        <f>tblPayroll[[#This Row],[Gross Salary]]-tblPayroll[[#This Row],[PPh 21]]-tblPayroll[[#This Row],[Employee BPJS Total]]</f>
        <v>12161352</v>
      </c>
      <c r="Z101" s="5">
        <f>tblPayroll[[#This Row],[Employer BPJS Total]]+tblPayroll[[#This Row],[Employee BPJS Total]]</f>
        <v>1758822</v>
      </c>
      <c r="AA101" s="5">
        <f>tblPayroll[[#This Row],[Gross Salary]]+tblPayroll[[#This Row],[Employer BPJS Total]]</f>
        <v>14763348</v>
      </c>
      <c r="AB101" s="4">
        <v>1130</v>
      </c>
    </row>
    <row r="102" spans="2:28" x14ac:dyDescent="0.35">
      <c r="B102" s="4">
        <v>7</v>
      </c>
      <c r="C102" s="113">
        <v>46228</v>
      </c>
      <c r="D102" s="4" t="s">
        <v>4798</v>
      </c>
      <c r="E102" s="1" t="str">
        <f>_xlfn.XLOOKUP(tblPayroll[[#This Row],[Employee ID]],tblEmployees[Employee ID],tblEmployees[Full Name],"")</f>
        <v>Andi Saputra</v>
      </c>
      <c r="F102" s="1" t="str">
        <f>_xlfn.XLOOKUP(tblPayroll[[#This Row],[Employee ID]],tblEmployees[Employee ID],tblEmployees[Department],"")</f>
        <v>G&amp;A</v>
      </c>
      <c r="G102" s="1" t="str">
        <f>_xlfn.XLOOKUP(tblPayroll[[#This Row],[Employee ID]],tblEmployees[Employee ID],tblEmployees[TER Category],"")</f>
        <v>A</v>
      </c>
      <c r="H102" s="5">
        <f>_xlfn.XLOOKUP(tblPayroll[[#This Row],[Employee ID]],tblEmployees[Employee ID],tblEmployees[Basic Salary],"")</f>
        <v>8500000</v>
      </c>
      <c r="I102" s="5">
        <f>_xlfn.XLOOKUP(tblPayroll[[#This Row],[Employee ID]],tblEmployees[Employee ID],tblEmployees[Fixed Allowance],"")</f>
        <v>1000000</v>
      </c>
      <c r="J102" s="6">
        <v>0</v>
      </c>
      <c r="K102" s="5">
        <f>tblPayroll[[#This Row],[Basic Salary]]+tblPayroll[[#This Row],[Fixed Allowance]]+tblPayroll[[#This Row],[THR / Bonus]]</f>
        <v>9500000</v>
      </c>
      <c r="L102" s="5">
        <f>ROUND(MIN(tblPayroll[[#This Row],[Basic Salary]]+tblPayroll[[#This Row],[Fixed Allowance]],BPJSKesCap)*R_KesEr,0)</f>
        <v>380000</v>
      </c>
      <c r="M102" s="5">
        <f>ROUND((tblPayroll[[#This Row],[Basic Salary]]+tblPayroll[[#This Row],[Fixed Allowance]])*R_JKK,0)</f>
        <v>22800</v>
      </c>
      <c r="N102" s="5">
        <f>ROUND((tblPayroll[[#This Row],[Basic Salary]]+tblPayroll[[#This Row],[Fixed Allowance]])*R_JKM,0)</f>
        <v>28500</v>
      </c>
      <c r="O102" s="5">
        <f>ROUND((tblPayroll[[#This Row],[Basic Salary]]+tblPayroll[[#This Row],[Fixed Allowance]])*R_JHTEr,0)</f>
        <v>351500</v>
      </c>
      <c r="P102" s="5">
        <f>ROUND(MIN(tblPayroll[[#This Row],[Basic Salary]]+tblPayroll[[#This Row],[Fixed Allowance]],JPCap)*R_JPEr,0)</f>
        <v>190000</v>
      </c>
      <c r="Q102" s="5">
        <f>SUM(tblPayroll[[#This Row],[BPJS Health (Er)]:[JP (Er)]])</f>
        <v>972800</v>
      </c>
      <c r="R102" s="5">
        <f>tblPayroll[[#This Row],[Gross Salary]]+tblPayroll[[#This Row],[BPJS Health (Er)]]+tblPayroll[[#This Row],[JKK (Er)]]+tblPayroll[[#This Row],[JKM (Er)]]</f>
        <v>9931300</v>
      </c>
      <c r="S102" s="119">
        <f>IF(tblPayroll[[#This Row],[TER Cat]]="A",_xlfn.XLOOKUP(tblPayroll[[#This Row],[PPh 21 Base]],TerA_L,TerA_R,0,-1),IF(tblPayroll[[#This Row],[TER Cat]]="B",_xlfn.XLOOKUP(tblPayroll[[#This Row],[PPh 21 Base]],TerB_L,TerB_R,0,-1),_xlfn.XLOOKUP(tblPayroll[[#This Row],[PPh 21 Base]],TerC_L,TerC_R,0,-1)))</f>
        <v>0.02</v>
      </c>
      <c r="T102" s="5">
        <f>ROUND(tblPayroll[[#This Row],[PPh 21 Base]]*tblPayroll[[#This Row],[TER Rate]],0)</f>
        <v>198626</v>
      </c>
      <c r="U102" s="5">
        <f>ROUND(MIN(tblPayroll[[#This Row],[Basic Salary]]+tblPayroll[[#This Row],[Fixed Allowance]],BPJSKesCap)*R_KesEe,0)</f>
        <v>95000</v>
      </c>
      <c r="V102" s="5">
        <f>ROUND((tblPayroll[[#This Row],[Basic Salary]]+tblPayroll[[#This Row],[Fixed Allowance]])*R_JHTEe,0)</f>
        <v>190000</v>
      </c>
      <c r="W102" s="5">
        <f>ROUND(MIN(tblPayroll[[#This Row],[Basic Salary]]+tblPayroll[[#This Row],[Fixed Allowance]],JPCap)*R_JPEe,0)</f>
        <v>95000</v>
      </c>
      <c r="X102" s="5">
        <f>tblPayroll[[#This Row],[BPJS Health (Ee)]]+tblPayroll[[#This Row],[JHT (Ee)]]+tblPayroll[[#This Row],[JP (Ee)]]</f>
        <v>380000</v>
      </c>
      <c r="Y102" s="5">
        <f>tblPayroll[[#This Row],[Gross Salary]]-tblPayroll[[#This Row],[PPh 21]]-tblPayroll[[#This Row],[Employee BPJS Total]]</f>
        <v>8921374</v>
      </c>
      <c r="Z102" s="5">
        <f>tblPayroll[[#This Row],[Employer BPJS Total]]+tblPayroll[[#This Row],[Employee BPJS Total]]</f>
        <v>1352800</v>
      </c>
      <c r="AA102" s="5">
        <f>tblPayroll[[#This Row],[Gross Salary]]+tblPayroll[[#This Row],[Employer BPJS Total]]</f>
        <v>10472800</v>
      </c>
      <c r="AB102" s="4">
        <v>1130</v>
      </c>
    </row>
    <row r="103" spans="2:28" x14ac:dyDescent="0.35">
      <c r="B103" s="4">
        <v>7</v>
      </c>
      <c r="C103" s="113">
        <v>46228</v>
      </c>
      <c r="D103" s="4" t="s">
        <v>4803</v>
      </c>
      <c r="E103" s="1" t="str">
        <f>_xlfn.XLOOKUP(tblPayroll[[#This Row],[Employee ID]],tblEmployees[Employee ID],tblEmployees[Full Name],"")</f>
        <v>Fitri Handayani</v>
      </c>
      <c r="F103" s="1" t="str">
        <f>_xlfn.XLOOKUP(tblPayroll[[#This Row],[Employee ID]],tblEmployees[Employee ID],tblEmployees[Department],"")</f>
        <v>G&amp;A</v>
      </c>
      <c r="G103" s="1" t="str">
        <f>_xlfn.XLOOKUP(tblPayroll[[#This Row],[Employee ID]],tblEmployees[Employee ID],tblEmployees[TER Category],"")</f>
        <v>A</v>
      </c>
      <c r="H103" s="5">
        <f>_xlfn.XLOOKUP(tblPayroll[[#This Row],[Employee ID]],tblEmployees[Employee ID],tblEmployees[Basic Salary],"")</f>
        <v>8000000</v>
      </c>
      <c r="I103" s="5">
        <f>_xlfn.XLOOKUP(tblPayroll[[#This Row],[Employee ID]],tblEmployees[Employee ID],tblEmployees[Fixed Allowance],"")</f>
        <v>1000000</v>
      </c>
      <c r="J103" s="6">
        <v>0</v>
      </c>
      <c r="K103" s="5">
        <f>tblPayroll[[#This Row],[Basic Salary]]+tblPayroll[[#This Row],[Fixed Allowance]]+tblPayroll[[#This Row],[THR / Bonus]]</f>
        <v>9000000</v>
      </c>
      <c r="L103" s="5">
        <f>ROUND(MIN(tblPayroll[[#This Row],[Basic Salary]]+tblPayroll[[#This Row],[Fixed Allowance]],BPJSKesCap)*R_KesEr,0)</f>
        <v>360000</v>
      </c>
      <c r="M103" s="5">
        <f>ROUND((tblPayroll[[#This Row],[Basic Salary]]+tblPayroll[[#This Row],[Fixed Allowance]])*R_JKK,0)</f>
        <v>21600</v>
      </c>
      <c r="N103" s="5">
        <f>ROUND((tblPayroll[[#This Row],[Basic Salary]]+tblPayroll[[#This Row],[Fixed Allowance]])*R_JKM,0)</f>
        <v>27000</v>
      </c>
      <c r="O103" s="5">
        <f>ROUND((tblPayroll[[#This Row],[Basic Salary]]+tblPayroll[[#This Row],[Fixed Allowance]])*R_JHTEr,0)</f>
        <v>333000</v>
      </c>
      <c r="P103" s="5">
        <f>ROUND(MIN(tblPayroll[[#This Row],[Basic Salary]]+tblPayroll[[#This Row],[Fixed Allowance]],JPCap)*R_JPEr,0)</f>
        <v>180000</v>
      </c>
      <c r="Q103" s="5">
        <f>SUM(tblPayroll[[#This Row],[BPJS Health (Er)]:[JP (Er)]])</f>
        <v>921600</v>
      </c>
      <c r="R103" s="5">
        <f>tblPayroll[[#This Row],[Gross Salary]]+tblPayroll[[#This Row],[BPJS Health (Er)]]+tblPayroll[[#This Row],[JKK (Er)]]+tblPayroll[[#This Row],[JKM (Er)]]</f>
        <v>9408600</v>
      </c>
      <c r="S103" s="119">
        <f>IF(tblPayroll[[#This Row],[TER Cat]]="A",_xlfn.XLOOKUP(tblPayroll[[#This Row],[PPh 21 Base]],TerA_L,TerA_R,0,-1),IF(tblPayroll[[#This Row],[TER Cat]]="B",_xlfn.XLOOKUP(tblPayroll[[#This Row],[PPh 21 Base]],TerB_L,TerB_R,0,-1),_xlfn.XLOOKUP(tblPayroll[[#This Row],[PPh 21 Base]],TerC_L,TerC_R,0,-1)))</f>
        <v>1.7500000000000002E-2</v>
      </c>
      <c r="T103" s="5">
        <f>ROUND(tblPayroll[[#This Row],[PPh 21 Base]]*tblPayroll[[#This Row],[TER Rate]],0)</f>
        <v>164651</v>
      </c>
      <c r="U103" s="5">
        <f>ROUND(MIN(tblPayroll[[#This Row],[Basic Salary]]+tblPayroll[[#This Row],[Fixed Allowance]],BPJSKesCap)*R_KesEe,0)</f>
        <v>90000</v>
      </c>
      <c r="V103" s="5">
        <f>ROUND((tblPayroll[[#This Row],[Basic Salary]]+tblPayroll[[#This Row],[Fixed Allowance]])*R_JHTEe,0)</f>
        <v>180000</v>
      </c>
      <c r="W103" s="5">
        <f>ROUND(MIN(tblPayroll[[#This Row],[Basic Salary]]+tblPayroll[[#This Row],[Fixed Allowance]],JPCap)*R_JPEe,0)</f>
        <v>90000</v>
      </c>
      <c r="X103" s="5">
        <f>tblPayroll[[#This Row],[BPJS Health (Ee)]]+tblPayroll[[#This Row],[JHT (Ee)]]+tblPayroll[[#This Row],[JP (Ee)]]</f>
        <v>360000</v>
      </c>
      <c r="Y103" s="5">
        <f>tblPayroll[[#This Row],[Gross Salary]]-tblPayroll[[#This Row],[PPh 21]]-tblPayroll[[#This Row],[Employee BPJS Total]]</f>
        <v>8475349</v>
      </c>
      <c r="Z103" s="5">
        <f>tblPayroll[[#This Row],[Employer BPJS Total]]+tblPayroll[[#This Row],[Employee BPJS Total]]</f>
        <v>1281600</v>
      </c>
      <c r="AA103" s="5">
        <f>tblPayroll[[#This Row],[Gross Salary]]+tblPayroll[[#This Row],[Employer BPJS Total]]</f>
        <v>9921600</v>
      </c>
      <c r="AB103" s="4">
        <v>1130</v>
      </c>
    </row>
    <row r="104" spans="2:28" x14ac:dyDescent="0.35">
      <c r="B104" s="4">
        <v>7</v>
      </c>
      <c r="C104" s="113">
        <v>46228</v>
      </c>
      <c r="D104" s="4" t="s">
        <v>4809</v>
      </c>
      <c r="E104" s="1" t="str">
        <f>_xlfn.XLOOKUP(tblPayroll[[#This Row],[Employee ID]],tblEmployees[Employee ID],tblEmployees[Full Name],"")</f>
        <v>Rizky Ramadhan</v>
      </c>
      <c r="F104" s="1" t="str">
        <f>_xlfn.XLOOKUP(tblPayroll[[#This Row],[Employee ID]],tblEmployees[Employee ID],tblEmployees[Department],"")</f>
        <v>Selling</v>
      </c>
      <c r="G104" s="1" t="str">
        <f>_xlfn.XLOOKUP(tblPayroll[[#This Row],[Employee ID]],tblEmployees[Employee ID],tblEmployees[TER Category],"")</f>
        <v>A</v>
      </c>
      <c r="H104" s="5">
        <f>_xlfn.XLOOKUP(tblPayroll[[#This Row],[Employee ID]],tblEmployees[Employee ID],tblEmployees[Basic Salary],"")</f>
        <v>9000000</v>
      </c>
      <c r="I104" s="5">
        <f>_xlfn.XLOOKUP(tblPayroll[[#This Row],[Employee ID]],tblEmployees[Employee ID],tblEmployees[Fixed Allowance],"")</f>
        <v>1500000</v>
      </c>
      <c r="J104" s="6">
        <v>0</v>
      </c>
      <c r="K104" s="5">
        <f>tblPayroll[[#This Row],[Basic Salary]]+tblPayroll[[#This Row],[Fixed Allowance]]+tblPayroll[[#This Row],[THR / Bonus]]</f>
        <v>10500000</v>
      </c>
      <c r="L104" s="5">
        <f>ROUND(MIN(tblPayroll[[#This Row],[Basic Salary]]+tblPayroll[[#This Row],[Fixed Allowance]],BPJSKesCap)*R_KesEr,0)</f>
        <v>420000</v>
      </c>
      <c r="M104" s="5">
        <f>ROUND((tblPayroll[[#This Row],[Basic Salary]]+tblPayroll[[#This Row],[Fixed Allowance]])*R_JKK,0)</f>
        <v>25200</v>
      </c>
      <c r="N104" s="5">
        <f>ROUND((tblPayroll[[#This Row],[Basic Salary]]+tblPayroll[[#This Row],[Fixed Allowance]])*R_JKM,0)</f>
        <v>31500</v>
      </c>
      <c r="O104" s="5">
        <f>ROUND((tblPayroll[[#This Row],[Basic Salary]]+tblPayroll[[#This Row],[Fixed Allowance]])*R_JHTEr,0)</f>
        <v>388500</v>
      </c>
      <c r="P104" s="5">
        <f>ROUND(MIN(tblPayroll[[#This Row],[Basic Salary]]+tblPayroll[[#This Row],[Fixed Allowance]],JPCap)*R_JPEr,0)</f>
        <v>210000</v>
      </c>
      <c r="Q104" s="5">
        <f>SUM(tblPayroll[[#This Row],[BPJS Health (Er)]:[JP (Er)]])</f>
        <v>1075200</v>
      </c>
      <c r="R104" s="5">
        <f>tblPayroll[[#This Row],[Gross Salary]]+tblPayroll[[#This Row],[BPJS Health (Er)]]+tblPayroll[[#This Row],[JKK (Er)]]+tblPayroll[[#This Row],[JKM (Er)]]</f>
        <v>10976700</v>
      </c>
      <c r="S104" s="119">
        <f>IF(tblPayroll[[#This Row],[TER Cat]]="A",_xlfn.XLOOKUP(tblPayroll[[#This Row],[PPh 21 Base]],TerA_L,TerA_R,0,-1),IF(tblPayroll[[#This Row],[TER Cat]]="B",_xlfn.XLOOKUP(tblPayroll[[#This Row],[PPh 21 Base]],TerB_L,TerB_R,0,-1),_xlfn.XLOOKUP(tblPayroll[[#This Row],[PPh 21 Base]],TerC_L,TerC_R,0,-1)))</f>
        <v>0.03</v>
      </c>
      <c r="T104" s="5">
        <f>ROUND(tblPayroll[[#This Row],[PPh 21 Base]]*tblPayroll[[#This Row],[TER Rate]],0)</f>
        <v>329301</v>
      </c>
      <c r="U104" s="5">
        <f>ROUND(MIN(tblPayroll[[#This Row],[Basic Salary]]+tblPayroll[[#This Row],[Fixed Allowance]],BPJSKesCap)*R_KesEe,0)</f>
        <v>105000</v>
      </c>
      <c r="V104" s="5">
        <f>ROUND((tblPayroll[[#This Row],[Basic Salary]]+tblPayroll[[#This Row],[Fixed Allowance]])*R_JHTEe,0)</f>
        <v>210000</v>
      </c>
      <c r="W104" s="5">
        <f>ROUND(MIN(tblPayroll[[#This Row],[Basic Salary]]+tblPayroll[[#This Row],[Fixed Allowance]],JPCap)*R_JPEe,0)</f>
        <v>105000</v>
      </c>
      <c r="X104" s="5">
        <f>tblPayroll[[#This Row],[BPJS Health (Ee)]]+tblPayroll[[#This Row],[JHT (Ee)]]+tblPayroll[[#This Row],[JP (Ee)]]</f>
        <v>420000</v>
      </c>
      <c r="Y104" s="5">
        <f>tblPayroll[[#This Row],[Gross Salary]]-tblPayroll[[#This Row],[PPh 21]]-tblPayroll[[#This Row],[Employee BPJS Total]]</f>
        <v>9750699</v>
      </c>
      <c r="Z104" s="5">
        <f>tblPayroll[[#This Row],[Employer BPJS Total]]+tblPayroll[[#This Row],[Employee BPJS Total]]</f>
        <v>1495200</v>
      </c>
      <c r="AA104" s="5">
        <f>tblPayroll[[#This Row],[Gross Salary]]+tblPayroll[[#This Row],[Employer BPJS Total]]</f>
        <v>11575200</v>
      </c>
      <c r="AB104" s="4">
        <v>1130</v>
      </c>
    </row>
    <row r="105" spans="2:28" x14ac:dyDescent="0.35">
      <c r="B105" s="4">
        <v>7</v>
      </c>
      <c r="C105" s="113">
        <v>46228</v>
      </c>
      <c r="D105" s="4" t="s">
        <v>4814</v>
      </c>
      <c r="E105" s="1" t="str">
        <f>_xlfn.XLOOKUP(tblPayroll[[#This Row],[Employee ID]],tblEmployees[Employee ID],tblEmployees[Full Name],"")</f>
        <v>Nadia Putri</v>
      </c>
      <c r="F105" s="1" t="str">
        <f>_xlfn.XLOOKUP(tblPayroll[[#This Row],[Employee ID]],tblEmployees[Employee ID],tblEmployees[Department],"")</f>
        <v>Selling</v>
      </c>
      <c r="G105" s="1" t="str">
        <f>_xlfn.XLOOKUP(tblPayroll[[#This Row],[Employee ID]],tblEmployees[Employee ID],tblEmployees[TER Category],"")</f>
        <v>A</v>
      </c>
      <c r="H105" s="5">
        <f>_xlfn.XLOOKUP(tblPayroll[[#This Row],[Employee ID]],tblEmployees[Employee ID],tblEmployees[Basic Salary],"")</f>
        <v>5800000</v>
      </c>
      <c r="I105" s="5">
        <f>_xlfn.XLOOKUP(tblPayroll[[#This Row],[Employee ID]],tblEmployees[Employee ID],tblEmployees[Fixed Allowance],"")</f>
        <v>700000</v>
      </c>
      <c r="J105" s="6">
        <v>0</v>
      </c>
      <c r="K105" s="5">
        <f>tblPayroll[[#This Row],[Basic Salary]]+tblPayroll[[#This Row],[Fixed Allowance]]+tblPayroll[[#This Row],[THR / Bonus]]</f>
        <v>6500000</v>
      </c>
      <c r="L105" s="5">
        <f>ROUND(MIN(tblPayroll[[#This Row],[Basic Salary]]+tblPayroll[[#This Row],[Fixed Allowance]],BPJSKesCap)*R_KesEr,0)</f>
        <v>260000</v>
      </c>
      <c r="M105" s="5">
        <f>ROUND((tblPayroll[[#This Row],[Basic Salary]]+tblPayroll[[#This Row],[Fixed Allowance]])*R_JKK,0)</f>
        <v>15600</v>
      </c>
      <c r="N105" s="5">
        <f>ROUND((tblPayroll[[#This Row],[Basic Salary]]+tblPayroll[[#This Row],[Fixed Allowance]])*R_JKM,0)</f>
        <v>19500</v>
      </c>
      <c r="O105" s="5">
        <f>ROUND((tblPayroll[[#This Row],[Basic Salary]]+tblPayroll[[#This Row],[Fixed Allowance]])*R_JHTEr,0)</f>
        <v>240500</v>
      </c>
      <c r="P105" s="5">
        <f>ROUND(MIN(tblPayroll[[#This Row],[Basic Salary]]+tblPayroll[[#This Row],[Fixed Allowance]],JPCap)*R_JPEr,0)</f>
        <v>130000</v>
      </c>
      <c r="Q105" s="5">
        <f>SUM(tblPayroll[[#This Row],[BPJS Health (Er)]:[JP (Er)]])</f>
        <v>665600</v>
      </c>
      <c r="R105" s="5">
        <f>tblPayroll[[#This Row],[Gross Salary]]+tblPayroll[[#This Row],[BPJS Health (Er)]]+tblPayroll[[#This Row],[JKK (Er)]]+tblPayroll[[#This Row],[JKM (Er)]]</f>
        <v>6795100</v>
      </c>
      <c r="S105" s="119">
        <f>IF(tblPayroll[[#This Row],[TER Cat]]="A",_xlfn.XLOOKUP(tblPayroll[[#This Row],[PPh 21 Base]],TerA_L,TerA_R,0,-1),IF(tblPayroll[[#This Row],[TER Cat]]="B",_xlfn.XLOOKUP(tblPayroll[[#This Row],[PPh 21 Base]],TerB_L,TerB_R,0,-1),_xlfn.XLOOKUP(tblPayroll[[#This Row],[PPh 21 Base]],TerC_L,TerC_R,0,-1)))</f>
        <v>1.2500000000000001E-2</v>
      </c>
      <c r="T105" s="5">
        <f>ROUND(tblPayroll[[#This Row],[PPh 21 Base]]*tblPayroll[[#This Row],[TER Rate]],0)</f>
        <v>84939</v>
      </c>
      <c r="U105" s="5">
        <f>ROUND(MIN(tblPayroll[[#This Row],[Basic Salary]]+tblPayroll[[#This Row],[Fixed Allowance]],BPJSKesCap)*R_KesEe,0)</f>
        <v>65000</v>
      </c>
      <c r="V105" s="5">
        <f>ROUND((tblPayroll[[#This Row],[Basic Salary]]+tblPayroll[[#This Row],[Fixed Allowance]])*R_JHTEe,0)</f>
        <v>130000</v>
      </c>
      <c r="W105" s="5">
        <f>ROUND(MIN(tblPayroll[[#This Row],[Basic Salary]]+tblPayroll[[#This Row],[Fixed Allowance]],JPCap)*R_JPEe,0)</f>
        <v>65000</v>
      </c>
      <c r="X105" s="5">
        <f>tblPayroll[[#This Row],[BPJS Health (Ee)]]+tblPayroll[[#This Row],[JHT (Ee)]]+tblPayroll[[#This Row],[JP (Ee)]]</f>
        <v>260000</v>
      </c>
      <c r="Y105" s="5">
        <f>tblPayroll[[#This Row],[Gross Salary]]-tblPayroll[[#This Row],[PPh 21]]-tblPayroll[[#This Row],[Employee BPJS Total]]</f>
        <v>6155061</v>
      </c>
      <c r="Z105" s="5">
        <f>tblPayroll[[#This Row],[Employer BPJS Total]]+tblPayroll[[#This Row],[Employee BPJS Total]]</f>
        <v>925600</v>
      </c>
      <c r="AA105" s="5">
        <f>tblPayroll[[#This Row],[Gross Salary]]+tblPayroll[[#This Row],[Employer BPJS Total]]</f>
        <v>7165600</v>
      </c>
      <c r="AB105" s="4">
        <v>1130</v>
      </c>
    </row>
    <row r="106" spans="2:28" x14ac:dyDescent="0.35">
      <c r="B106" s="4">
        <v>7</v>
      </c>
      <c r="C106" s="113">
        <v>46228</v>
      </c>
      <c r="D106" s="4" t="s">
        <v>4819</v>
      </c>
      <c r="E106" s="1" t="str">
        <f>_xlfn.XLOOKUP(tblPayroll[[#This Row],[Employee ID]],tblEmployees[Employee ID],tblEmployees[Full Name],"")</f>
        <v>Dimas Pratama</v>
      </c>
      <c r="F106" s="1" t="str">
        <f>_xlfn.XLOOKUP(tblPayroll[[#This Row],[Employee ID]],tblEmployees[Employee ID],tblEmployees[Department],"")</f>
        <v>Selling</v>
      </c>
      <c r="G106" s="1" t="str">
        <f>_xlfn.XLOOKUP(tblPayroll[[#This Row],[Employee ID]],tblEmployees[Employee ID],tblEmployees[TER Category],"")</f>
        <v>A</v>
      </c>
      <c r="H106" s="5">
        <f>_xlfn.XLOOKUP(tblPayroll[[#This Row],[Employee ID]],tblEmployees[Employee ID],tblEmployees[Basic Salary],"")</f>
        <v>5800000</v>
      </c>
      <c r="I106" s="5">
        <f>_xlfn.XLOOKUP(tblPayroll[[#This Row],[Employee ID]],tblEmployees[Employee ID],tblEmployees[Fixed Allowance],"")</f>
        <v>700000</v>
      </c>
      <c r="J106" s="6">
        <v>0</v>
      </c>
      <c r="K106" s="5">
        <f>tblPayroll[[#This Row],[Basic Salary]]+tblPayroll[[#This Row],[Fixed Allowance]]+tblPayroll[[#This Row],[THR / Bonus]]</f>
        <v>6500000</v>
      </c>
      <c r="L106" s="5">
        <f>ROUND(MIN(tblPayroll[[#This Row],[Basic Salary]]+tblPayroll[[#This Row],[Fixed Allowance]],BPJSKesCap)*R_KesEr,0)</f>
        <v>260000</v>
      </c>
      <c r="M106" s="5">
        <f>ROUND((tblPayroll[[#This Row],[Basic Salary]]+tblPayroll[[#This Row],[Fixed Allowance]])*R_JKK,0)</f>
        <v>15600</v>
      </c>
      <c r="N106" s="5">
        <f>ROUND((tblPayroll[[#This Row],[Basic Salary]]+tblPayroll[[#This Row],[Fixed Allowance]])*R_JKM,0)</f>
        <v>19500</v>
      </c>
      <c r="O106" s="5">
        <f>ROUND((tblPayroll[[#This Row],[Basic Salary]]+tblPayroll[[#This Row],[Fixed Allowance]])*R_JHTEr,0)</f>
        <v>240500</v>
      </c>
      <c r="P106" s="5">
        <f>ROUND(MIN(tblPayroll[[#This Row],[Basic Salary]]+tblPayroll[[#This Row],[Fixed Allowance]],JPCap)*R_JPEr,0)</f>
        <v>130000</v>
      </c>
      <c r="Q106" s="5">
        <f>SUM(tblPayroll[[#This Row],[BPJS Health (Er)]:[JP (Er)]])</f>
        <v>665600</v>
      </c>
      <c r="R106" s="5">
        <f>tblPayroll[[#This Row],[Gross Salary]]+tblPayroll[[#This Row],[BPJS Health (Er)]]+tblPayroll[[#This Row],[JKK (Er)]]+tblPayroll[[#This Row],[JKM (Er)]]</f>
        <v>6795100</v>
      </c>
      <c r="S106" s="119">
        <f>IF(tblPayroll[[#This Row],[TER Cat]]="A",_xlfn.XLOOKUP(tblPayroll[[#This Row],[PPh 21 Base]],TerA_L,TerA_R,0,-1),IF(tblPayroll[[#This Row],[TER Cat]]="B",_xlfn.XLOOKUP(tblPayroll[[#This Row],[PPh 21 Base]],TerB_L,TerB_R,0,-1),_xlfn.XLOOKUP(tblPayroll[[#This Row],[PPh 21 Base]],TerC_L,TerC_R,0,-1)))</f>
        <v>1.2500000000000001E-2</v>
      </c>
      <c r="T106" s="5">
        <f>ROUND(tblPayroll[[#This Row],[PPh 21 Base]]*tblPayroll[[#This Row],[TER Rate]],0)</f>
        <v>84939</v>
      </c>
      <c r="U106" s="5">
        <f>ROUND(MIN(tblPayroll[[#This Row],[Basic Salary]]+tblPayroll[[#This Row],[Fixed Allowance]],BPJSKesCap)*R_KesEe,0)</f>
        <v>65000</v>
      </c>
      <c r="V106" s="5">
        <f>ROUND((tblPayroll[[#This Row],[Basic Salary]]+tblPayroll[[#This Row],[Fixed Allowance]])*R_JHTEe,0)</f>
        <v>130000</v>
      </c>
      <c r="W106" s="5">
        <f>ROUND(MIN(tblPayroll[[#This Row],[Basic Salary]]+tblPayroll[[#This Row],[Fixed Allowance]],JPCap)*R_JPEe,0)</f>
        <v>65000</v>
      </c>
      <c r="X106" s="5">
        <f>tblPayroll[[#This Row],[BPJS Health (Ee)]]+tblPayroll[[#This Row],[JHT (Ee)]]+tblPayroll[[#This Row],[JP (Ee)]]</f>
        <v>260000</v>
      </c>
      <c r="Y106" s="5">
        <f>tblPayroll[[#This Row],[Gross Salary]]-tblPayroll[[#This Row],[PPh 21]]-tblPayroll[[#This Row],[Employee BPJS Total]]</f>
        <v>6155061</v>
      </c>
      <c r="Z106" s="5">
        <f>tblPayroll[[#This Row],[Employer BPJS Total]]+tblPayroll[[#This Row],[Employee BPJS Total]]</f>
        <v>925600</v>
      </c>
      <c r="AA106" s="5">
        <f>tblPayroll[[#This Row],[Gross Salary]]+tblPayroll[[#This Row],[Employer BPJS Total]]</f>
        <v>7165600</v>
      </c>
      <c r="AB106" s="4">
        <v>1130</v>
      </c>
    </row>
    <row r="107" spans="2:28" x14ac:dyDescent="0.35">
      <c r="B107" s="4">
        <v>7</v>
      </c>
      <c r="C107" s="113">
        <v>46228</v>
      </c>
      <c r="D107" s="4" t="s">
        <v>4823</v>
      </c>
      <c r="E107" s="1" t="str">
        <f>_xlfn.XLOOKUP(tblPayroll[[#This Row],[Employee ID]],tblEmployees[Employee ID],tblEmployees[Full Name],"")</f>
        <v>Yusuf Hidayat</v>
      </c>
      <c r="F107" s="1" t="str">
        <f>_xlfn.XLOOKUP(tblPayroll[[#This Row],[Employee ID]],tblEmployees[Employee ID],tblEmployees[Department],"")</f>
        <v>Selling</v>
      </c>
      <c r="G107" s="1" t="str">
        <f>_xlfn.XLOOKUP(tblPayroll[[#This Row],[Employee ID]],tblEmployees[Employee ID],tblEmployees[TER Category],"")</f>
        <v>B</v>
      </c>
      <c r="H107" s="5">
        <f>_xlfn.XLOOKUP(tblPayroll[[#This Row],[Employee ID]],tblEmployees[Employee ID],tblEmployees[Basic Salary],"")</f>
        <v>7500000</v>
      </c>
      <c r="I107" s="5">
        <f>_xlfn.XLOOKUP(tblPayroll[[#This Row],[Employee ID]],tblEmployees[Employee ID],tblEmployees[Fixed Allowance],"")</f>
        <v>1000000</v>
      </c>
      <c r="J107" s="6">
        <v>0</v>
      </c>
      <c r="K107" s="5">
        <f>tblPayroll[[#This Row],[Basic Salary]]+tblPayroll[[#This Row],[Fixed Allowance]]+tblPayroll[[#This Row],[THR / Bonus]]</f>
        <v>8500000</v>
      </c>
      <c r="L107" s="5">
        <f>ROUND(MIN(tblPayroll[[#This Row],[Basic Salary]]+tblPayroll[[#This Row],[Fixed Allowance]],BPJSKesCap)*R_KesEr,0)</f>
        <v>340000</v>
      </c>
      <c r="M107" s="5">
        <f>ROUND((tblPayroll[[#This Row],[Basic Salary]]+tblPayroll[[#This Row],[Fixed Allowance]])*R_JKK,0)</f>
        <v>20400</v>
      </c>
      <c r="N107" s="5">
        <f>ROUND((tblPayroll[[#This Row],[Basic Salary]]+tblPayroll[[#This Row],[Fixed Allowance]])*R_JKM,0)</f>
        <v>25500</v>
      </c>
      <c r="O107" s="5">
        <f>ROUND((tblPayroll[[#This Row],[Basic Salary]]+tblPayroll[[#This Row],[Fixed Allowance]])*R_JHTEr,0)</f>
        <v>314500</v>
      </c>
      <c r="P107" s="5">
        <f>ROUND(MIN(tblPayroll[[#This Row],[Basic Salary]]+tblPayroll[[#This Row],[Fixed Allowance]],JPCap)*R_JPEr,0)</f>
        <v>170000</v>
      </c>
      <c r="Q107" s="5">
        <f>SUM(tblPayroll[[#This Row],[BPJS Health (Er)]:[JP (Er)]])</f>
        <v>870400</v>
      </c>
      <c r="R107" s="5">
        <f>tblPayroll[[#This Row],[Gross Salary]]+tblPayroll[[#This Row],[BPJS Health (Er)]]+tblPayroll[[#This Row],[JKK (Er)]]+tblPayroll[[#This Row],[JKM (Er)]]</f>
        <v>8885900</v>
      </c>
      <c r="S107" s="119">
        <f>IF(tblPayroll[[#This Row],[TER Cat]]="A",_xlfn.XLOOKUP(tblPayroll[[#This Row],[PPh 21 Base]],TerA_L,TerA_R,0,-1),IF(tblPayroll[[#This Row],[TER Cat]]="B",_xlfn.XLOOKUP(tblPayroll[[#This Row],[PPh 21 Base]],TerB_L,TerB_R,0,-1),_xlfn.XLOOKUP(tblPayroll[[#This Row],[PPh 21 Base]],TerC_L,TerC_R,0,-1)))</f>
        <v>0.01</v>
      </c>
      <c r="T107" s="5">
        <f>ROUND(tblPayroll[[#This Row],[PPh 21 Base]]*tblPayroll[[#This Row],[TER Rate]],0)</f>
        <v>88859</v>
      </c>
      <c r="U107" s="5">
        <f>ROUND(MIN(tblPayroll[[#This Row],[Basic Salary]]+tblPayroll[[#This Row],[Fixed Allowance]],BPJSKesCap)*R_KesEe,0)</f>
        <v>85000</v>
      </c>
      <c r="V107" s="5">
        <f>ROUND((tblPayroll[[#This Row],[Basic Salary]]+tblPayroll[[#This Row],[Fixed Allowance]])*R_JHTEe,0)</f>
        <v>170000</v>
      </c>
      <c r="W107" s="5">
        <f>ROUND(MIN(tblPayroll[[#This Row],[Basic Salary]]+tblPayroll[[#This Row],[Fixed Allowance]],JPCap)*R_JPEe,0)</f>
        <v>85000</v>
      </c>
      <c r="X107" s="5">
        <f>tblPayroll[[#This Row],[BPJS Health (Ee)]]+tblPayroll[[#This Row],[JHT (Ee)]]+tblPayroll[[#This Row],[JP (Ee)]]</f>
        <v>340000</v>
      </c>
      <c r="Y107" s="5">
        <f>tblPayroll[[#This Row],[Gross Salary]]-tblPayroll[[#This Row],[PPh 21]]-tblPayroll[[#This Row],[Employee BPJS Total]]</f>
        <v>8071141</v>
      </c>
      <c r="Z107" s="5">
        <f>tblPayroll[[#This Row],[Employer BPJS Total]]+tblPayroll[[#This Row],[Employee BPJS Total]]</f>
        <v>1210400</v>
      </c>
      <c r="AA107" s="5">
        <f>tblPayroll[[#This Row],[Gross Salary]]+tblPayroll[[#This Row],[Employer BPJS Total]]</f>
        <v>9370400</v>
      </c>
      <c r="AB107" s="4">
        <v>1130</v>
      </c>
    </row>
    <row r="108" spans="2:28" x14ac:dyDescent="0.35">
      <c r="B108" s="4">
        <v>7</v>
      </c>
      <c r="C108" s="113">
        <v>46228</v>
      </c>
      <c r="D108" s="4" t="s">
        <v>4828</v>
      </c>
      <c r="E108" s="1" t="str">
        <f>_xlfn.XLOOKUP(tblPayroll[[#This Row],[Employee ID]],tblEmployees[Employee ID],tblEmployees[Full Name],"")</f>
        <v>Lestari Wulandari</v>
      </c>
      <c r="F108" s="1" t="str">
        <f>_xlfn.XLOOKUP(tblPayroll[[#This Row],[Employee ID]],tblEmployees[Employee ID],tblEmployees[Department],"")</f>
        <v>Selling</v>
      </c>
      <c r="G108" s="1" t="str">
        <f>_xlfn.XLOOKUP(tblPayroll[[#This Row],[Employee ID]],tblEmployees[Employee ID],tblEmployees[TER Category],"")</f>
        <v>A</v>
      </c>
      <c r="H108" s="5">
        <f>_xlfn.XLOOKUP(tblPayroll[[#This Row],[Employee ID]],tblEmployees[Employee ID],tblEmployees[Basic Salary],"")</f>
        <v>5600000</v>
      </c>
      <c r="I108" s="5">
        <f>_xlfn.XLOOKUP(tblPayroll[[#This Row],[Employee ID]],tblEmployees[Employee ID],tblEmployees[Fixed Allowance],"")</f>
        <v>600000</v>
      </c>
      <c r="J108" s="6">
        <v>0</v>
      </c>
      <c r="K108" s="5">
        <f>tblPayroll[[#This Row],[Basic Salary]]+tblPayroll[[#This Row],[Fixed Allowance]]+tblPayroll[[#This Row],[THR / Bonus]]</f>
        <v>6200000</v>
      </c>
      <c r="L108" s="5">
        <f>ROUND(MIN(tblPayroll[[#This Row],[Basic Salary]]+tblPayroll[[#This Row],[Fixed Allowance]],BPJSKesCap)*R_KesEr,0)</f>
        <v>248000</v>
      </c>
      <c r="M108" s="5">
        <f>ROUND((tblPayroll[[#This Row],[Basic Salary]]+tblPayroll[[#This Row],[Fixed Allowance]])*R_JKK,0)</f>
        <v>14880</v>
      </c>
      <c r="N108" s="5">
        <f>ROUND((tblPayroll[[#This Row],[Basic Salary]]+tblPayroll[[#This Row],[Fixed Allowance]])*R_JKM,0)</f>
        <v>18600</v>
      </c>
      <c r="O108" s="5">
        <f>ROUND((tblPayroll[[#This Row],[Basic Salary]]+tblPayroll[[#This Row],[Fixed Allowance]])*R_JHTEr,0)</f>
        <v>229400</v>
      </c>
      <c r="P108" s="5">
        <f>ROUND(MIN(tblPayroll[[#This Row],[Basic Salary]]+tblPayroll[[#This Row],[Fixed Allowance]],JPCap)*R_JPEr,0)</f>
        <v>124000</v>
      </c>
      <c r="Q108" s="5">
        <f>SUM(tblPayroll[[#This Row],[BPJS Health (Er)]:[JP (Er)]])</f>
        <v>634880</v>
      </c>
      <c r="R108" s="5">
        <f>tblPayroll[[#This Row],[Gross Salary]]+tblPayroll[[#This Row],[BPJS Health (Er)]]+tblPayroll[[#This Row],[JKK (Er)]]+tblPayroll[[#This Row],[JKM (Er)]]</f>
        <v>6481480</v>
      </c>
      <c r="S108" s="119">
        <f>IF(tblPayroll[[#This Row],[TER Cat]]="A",_xlfn.XLOOKUP(tblPayroll[[#This Row],[PPh 21 Base]],TerA_L,TerA_R,0,-1),IF(tblPayroll[[#This Row],[TER Cat]]="B",_xlfn.XLOOKUP(tblPayroll[[#This Row],[PPh 21 Base]],TerB_L,TerB_R,0,-1),_xlfn.XLOOKUP(tblPayroll[[#This Row],[PPh 21 Base]],TerC_L,TerC_R,0,-1)))</f>
        <v>0.01</v>
      </c>
      <c r="T108" s="5">
        <f>ROUND(tblPayroll[[#This Row],[PPh 21 Base]]*tblPayroll[[#This Row],[TER Rate]],0)</f>
        <v>64815</v>
      </c>
      <c r="U108" s="5">
        <f>ROUND(MIN(tblPayroll[[#This Row],[Basic Salary]]+tblPayroll[[#This Row],[Fixed Allowance]],BPJSKesCap)*R_KesEe,0)</f>
        <v>62000</v>
      </c>
      <c r="V108" s="5">
        <f>ROUND((tblPayroll[[#This Row],[Basic Salary]]+tblPayroll[[#This Row],[Fixed Allowance]])*R_JHTEe,0)</f>
        <v>124000</v>
      </c>
      <c r="W108" s="5">
        <f>ROUND(MIN(tblPayroll[[#This Row],[Basic Salary]]+tblPayroll[[#This Row],[Fixed Allowance]],JPCap)*R_JPEe,0)</f>
        <v>62000</v>
      </c>
      <c r="X108" s="5">
        <f>tblPayroll[[#This Row],[BPJS Health (Ee)]]+tblPayroll[[#This Row],[JHT (Ee)]]+tblPayroll[[#This Row],[JP (Ee)]]</f>
        <v>248000</v>
      </c>
      <c r="Y108" s="5">
        <f>tblPayroll[[#This Row],[Gross Salary]]-tblPayroll[[#This Row],[PPh 21]]-tblPayroll[[#This Row],[Employee BPJS Total]]</f>
        <v>5887185</v>
      </c>
      <c r="Z108" s="5">
        <f>tblPayroll[[#This Row],[Employer BPJS Total]]+tblPayroll[[#This Row],[Employee BPJS Total]]</f>
        <v>882880</v>
      </c>
      <c r="AA108" s="5">
        <f>tblPayroll[[#This Row],[Gross Salary]]+tblPayroll[[#This Row],[Employer BPJS Total]]</f>
        <v>6834880</v>
      </c>
      <c r="AB108" s="4">
        <v>1130</v>
      </c>
    </row>
    <row r="109" spans="2:28" x14ac:dyDescent="0.35">
      <c r="B109" s="4">
        <v>7</v>
      </c>
      <c r="C109" s="113">
        <v>46228</v>
      </c>
      <c r="D109" s="4" t="s">
        <v>4834</v>
      </c>
      <c r="E109" s="1" t="str">
        <f>_xlfn.XLOOKUP(tblPayroll[[#This Row],[Employee ID]],tblEmployees[Employee ID],tblEmployees[Full Name],"")</f>
        <v>Bayu Nugroho</v>
      </c>
      <c r="F109" s="1" t="str">
        <f>_xlfn.XLOOKUP(tblPayroll[[#This Row],[Employee ID]],tblEmployees[Employee ID],tblEmployees[Department],"")</f>
        <v>Selling</v>
      </c>
      <c r="G109" s="1" t="str">
        <f>_xlfn.XLOOKUP(tblPayroll[[#This Row],[Employee ID]],tblEmployees[Employee ID],tblEmployees[TER Category],"")</f>
        <v>B</v>
      </c>
      <c r="H109" s="5">
        <f>_xlfn.XLOOKUP(tblPayroll[[#This Row],[Employee ID]],tblEmployees[Employee ID],tblEmployees[Basic Salary],"")</f>
        <v>5600000</v>
      </c>
      <c r="I109" s="5">
        <f>_xlfn.XLOOKUP(tblPayroll[[#This Row],[Employee ID]],tblEmployees[Employee ID],tblEmployees[Fixed Allowance],"")</f>
        <v>600000</v>
      </c>
      <c r="J109" s="6">
        <v>0</v>
      </c>
      <c r="K109" s="5">
        <f>tblPayroll[[#This Row],[Basic Salary]]+tblPayroll[[#This Row],[Fixed Allowance]]+tblPayroll[[#This Row],[THR / Bonus]]</f>
        <v>6200000</v>
      </c>
      <c r="L109" s="5">
        <f>ROUND(MIN(tblPayroll[[#This Row],[Basic Salary]]+tblPayroll[[#This Row],[Fixed Allowance]],BPJSKesCap)*R_KesEr,0)</f>
        <v>248000</v>
      </c>
      <c r="M109" s="5">
        <f>ROUND((tblPayroll[[#This Row],[Basic Salary]]+tblPayroll[[#This Row],[Fixed Allowance]])*R_JKK,0)</f>
        <v>14880</v>
      </c>
      <c r="N109" s="5">
        <f>ROUND((tblPayroll[[#This Row],[Basic Salary]]+tblPayroll[[#This Row],[Fixed Allowance]])*R_JKM,0)</f>
        <v>18600</v>
      </c>
      <c r="O109" s="5">
        <f>ROUND((tblPayroll[[#This Row],[Basic Salary]]+tblPayroll[[#This Row],[Fixed Allowance]])*R_JHTEr,0)</f>
        <v>229400</v>
      </c>
      <c r="P109" s="5">
        <f>ROUND(MIN(tblPayroll[[#This Row],[Basic Salary]]+tblPayroll[[#This Row],[Fixed Allowance]],JPCap)*R_JPEr,0)</f>
        <v>124000</v>
      </c>
      <c r="Q109" s="5">
        <f>SUM(tblPayroll[[#This Row],[BPJS Health (Er)]:[JP (Er)]])</f>
        <v>634880</v>
      </c>
      <c r="R109" s="5">
        <f>tblPayroll[[#This Row],[Gross Salary]]+tblPayroll[[#This Row],[BPJS Health (Er)]]+tblPayroll[[#This Row],[JKK (Er)]]+tblPayroll[[#This Row],[JKM (Er)]]</f>
        <v>6481480</v>
      </c>
      <c r="S109" s="119">
        <f>IF(tblPayroll[[#This Row],[TER Cat]]="A",_xlfn.XLOOKUP(tblPayroll[[#This Row],[PPh 21 Base]],TerA_L,TerA_R,0,-1),IF(tblPayroll[[#This Row],[TER Cat]]="B",_xlfn.XLOOKUP(tblPayroll[[#This Row],[PPh 21 Base]],TerB_L,TerB_R,0,-1),_xlfn.XLOOKUP(tblPayroll[[#This Row],[PPh 21 Base]],TerC_L,TerC_R,0,-1)))</f>
        <v>2.5000000000000001E-3</v>
      </c>
      <c r="T109" s="5">
        <f>ROUND(tblPayroll[[#This Row],[PPh 21 Base]]*tblPayroll[[#This Row],[TER Rate]],0)</f>
        <v>16204</v>
      </c>
      <c r="U109" s="5">
        <f>ROUND(MIN(tblPayroll[[#This Row],[Basic Salary]]+tblPayroll[[#This Row],[Fixed Allowance]],BPJSKesCap)*R_KesEe,0)</f>
        <v>62000</v>
      </c>
      <c r="V109" s="5">
        <f>ROUND((tblPayroll[[#This Row],[Basic Salary]]+tblPayroll[[#This Row],[Fixed Allowance]])*R_JHTEe,0)</f>
        <v>124000</v>
      </c>
      <c r="W109" s="5">
        <f>ROUND(MIN(tblPayroll[[#This Row],[Basic Salary]]+tblPayroll[[#This Row],[Fixed Allowance]],JPCap)*R_JPEe,0)</f>
        <v>62000</v>
      </c>
      <c r="X109" s="5">
        <f>tblPayroll[[#This Row],[BPJS Health (Ee)]]+tblPayroll[[#This Row],[JHT (Ee)]]+tblPayroll[[#This Row],[JP (Ee)]]</f>
        <v>248000</v>
      </c>
      <c r="Y109" s="5">
        <f>tblPayroll[[#This Row],[Gross Salary]]-tblPayroll[[#This Row],[PPh 21]]-tblPayroll[[#This Row],[Employee BPJS Total]]</f>
        <v>5935796</v>
      </c>
      <c r="Z109" s="5">
        <f>tblPayroll[[#This Row],[Employer BPJS Total]]+tblPayroll[[#This Row],[Employee BPJS Total]]</f>
        <v>882880</v>
      </c>
      <c r="AA109" s="5">
        <f>tblPayroll[[#This Row],[Gross Salary]]+tblPayroll[[#This Row],[Employer BPJS Total]]</f>
        <v>6834880</v>
      </c>
      <c r="AB109" s="4">
        <v>1130</v>
      </c>
    </row>
    <row r="110" spans="2:28" x14ac:dyDescent="0.35">
      <c r="B110" s="4">
        <v>7</v>
      </c>
      <c r="C110" s="113">
        <v>46228</v>
      </c>
      <c r="D110" s="4" t="s">
        <v>4839</v>
      </c>
      <c r="E110" s="1" t="str">
        <f>_xlfn.XLOOKUP(tblPayroll[[#This Row],[Employee ID]],tblEmployees[Employee ID],tblEmployees[Full Name],"")</f>
        <v>Maya Sari</v>
      </c>
      <c r="F110" s="1" t="str">
        <f>_xlfn.XLOOKUP(tblPayroll[[#This Row],[Employee ID]],tblEmployees[Employee ID],tblEmployees[Department],"")</f>
        <v>Selling</v>
      </c>
      <c r="G110" s="1" t="str">
        <f>_xlfn.XLOOKUP(tblPayroll[[#This Row],[Employee ID]],tblEmployees[Employee ID],tblEmployees[TER Category],"")</f>
        <v>A</v>
      </c>
      <c r="H110" s="5">
        <f>_xlfn.XLOOKUP(tblPayroll[[#This Row],[Employee ID]],tblEmployees[Employee ID],tblEmployees[Basic Salary],"")</f>
        <v>5700000</v>
      </c>
      <c r="I110" s="5">
        <f>_xlfn.XLOOKUP(tblPayroll[[#This Row],[Employee ID]],tblEmployees[Employee ID],tblEmployees[Fixed Allowance],"")</f>
        <v>600000</v>
      </c>
      <c r="J110" s="6">
        <v>0</v>
      </c>
      <c r="K110" s="5">
        <f>tblPayroll[[#This Row],[Basic Salary]]+tblPayroll[[#This Row],[Fixed Allowance]]+tblPayroll[[#This Row],[THR / Bonus]]</f>
        <v>6300000</v>
      </c>
      <c r="L110" s="5">
        <f>ROUND(MIN(tblPayroll[[#This Row],[Basic Salary]]+tblPayroll[[#This Row],[Fixed Allowance]],BPJSKesCap)*R_KesEr,0)</f>
        <v>252000</v>
      </c>
      <c r="M110" s="5">
        <f>ROUND((tblPayroll[[#This Row],[Basic Salary]]+tblPayroll[[#This Row],[Fixed Allowance]])*R_JKK,0)</f>
        <v>15120</v>
      </c>
      <c r="N110" s="5">
        <f>ROUND((tblPayroll[[#This Row],[Basic Salary]]+tblPayroll[[#This Row],[Fixed Allowance]])*R_JKM,0)</f>
        <v>18900</v>
      </c>
      <c r="O110" s="5">
        <f>ROUND((tblPayroll[[#This Row],[Basic Salary]]+tblPayroll[[#This Row],[Fixed Allowance]])*R_JHTEr,0)</f>
        <v>233100</v>
      </c>
      <c r="P110" s="5">
        <f>ROUND(MIN(tblPayroll[[#This Row],[Basic Salary]]+tblPayroll[[#This Row],[Fixed Allowance]],JPCap)*R_JPEr,0)</f>
        <v>126000</v>
      </c>
      <c r="Q110" s="5">
        <f>SUM(tblPayroll[[#This Row],[BPJS Health (Er)]:[JP (Er)]])</f>
        <v>645120</v>
      </c>
      <c r="R110" s="5">
        <f>tblPayroll[[#This Row],[Gross Salary]]+tblPayroll[[#This Row],[BPJS Health (Er)]]+tblPayroll[[#This Row],[JKK (Er)]]+tblPayroll[[#This Row],[JKM (Er)]]</f>
        <v>6586020</v>
      </c>
      <c r="S110" s="119">
        <f>IF(tblPayroll[[#This Row],[TER Cat]]="A",_xlfn.XLOOKUP(tblPayroll[[#This Row],[PPh 21 Base]],TerA_L,TerA_R,0,-1),IF(tblPayroll[[#This Row],[TER Cat]]="B",_xlfn.XLOOKUP(tblPayroll[[#This Row],[PPh 21 Base]],TerB_L,TerB_R,0,-1),_xlfn.XLOOKUP(tblPayroll[[#This Row],[PPh 21 Base]],TerC_L,TerC_R,0,-1)))</f>
        <v>0.01</v>
      </c>
      <c r="T110" s="5">
        <f>ROUND(tblPayroll[[#This Row],[PPh 21 Base]]*tblPayroll[[#This Row],[TER Rate]],0)</f>
        <v>65860</v>
      </c>
      <c r="U110" s="5">
        <f>ROUND(MIN(tblPayroll[[#This Row],[Basic Salary]]+tblPayroll[[#This Row],[Fixed Allowance]],BPJSKesCap)*R_KesEe,0)</f>
        <v>63000</v>
      </c>
      <c r="V110" s="5">
        <f>ROUND((tblPayroll[[#This Row],[Basic Salary]]+tblPayroll[[#This Row],[Fixed Allowance]])*R_JHTEe,0)</f>
        <v>126000</v>
      </c>
      <c r="W110" s="5">
        <f>ROUND(MIN(tblPayroll[[#This Row],[Basic Salary]]+tblPayroll[[#This Row],[Fixed Allowance]],JPCap)*R_JPEe,0)</f>
        <v>63000</v>
      </c>
      <c r="X110" s="5">
        <f>tblPayroll[[#This Row],[BPJS Health (Ee)]]+tblPayroll[[#This Row],[JHT (Ee)]]+tblPayroll[[#This Row],[JP (Ee)]]</f>
        <v>252000</v>
      </c>
      <c r="Y110" s="5">
        <f>tblPayroll[[#This Row],[Gross Salary]]-tblPayroll[[#This Row],[PPh 21]]-tblPayroll[[#This Row],[Employee BPJS Total]]</f>
        <v>5982140</v>
      </c>
      <c r="Z110" s="5">
        <f>tblPayroll[[#This Row],[Employer BPJS Total]]+tblPayroll[[#This Row],[Employee BPJS Total]]</f>
        <v>897120</v>
      </c>
      <c r="AA110" s="5">
        <f>tblPayroll[[#This Row],[Gross Salary]]+tblPayroll[[#This Row],[Employer BPJS Total]]</f>
        <v>6945120</v>
      </c>
      <c r="AB110" s="4">
        <v>1130</v>
      </c>
    </row>
    <row r="111" spans="2:28" x14ac:dyDescent="0.35">
      <c r="B111" s="4">
        <v>7</v>
      </c>
      <c r="C111" s="113">
        <v>46228</v>
      </c>
      <c r="D111" s="4" t="s">
        <v>4844</v>
      </c>
      <c r="E111" s="1" t="str">
        <f>_xlfn.XLOOKUP(tblPayroll[[#This Row],[Employee ID]],tblEmployees[Employee ID],tblEmployees[Full Name],"")</f>
        <v>Hendra Wijaya</v>
      </c>
      <c r="F111" s="1" t="str">
        <f>_xlfn.XLOOKUP(tblPayroll[[#This Row],[Employee ID]],tblEmployees[Employee ID],tblEmployees[Department],"")</f>
        <v>G&amp;A</v>
      </c>
      <c r="G111" s="1" t="str">
        <f>_xlfn.XLOOKUP(tblPayroll[[#This Row],[Employee ID]],tblEmployees[Employee ID],tblEmployees[TER Category],"")</f>
        <v>A</v>
      </c>
      <c r="H111" s="5">
        <f>_xlfn.XLOOKUP(tblPayroll[[#This Row],[Employee ID]],tblEmployees[Employee ID],tblEmployees[Basic Salary],"")</f>
        <v>9500000</v>
      </c>
      <c r="I111" s="5">
        <f>_xlfn.XLOOKUP(tblPayroll[[#This Row],[Employee ID]],tblEmployees[Employee ID],tblEmployees[Fixed Allowance],"")</f>
        <v>1000000</v>
      </c>
      <c r="J111" s="6">
        <v>0</v>
      </c>
      <c r="K111" s="5">
        <f>tblPayroll[[#This Row],[Basic Salary]]+tblPayroll[[#This Row],[Fixed Allowance]]+tblPayroll[[#This Row],[THR / Bonus]]</f>
        <v>10500000</v>
      </c>
      <c r="L111" s="5">
        <f>ROUND(MIN(tblPayroll[[#This Row],[Basic Salary]]+tblPayroll[[#This Row],[Fixed Allowance]],BPJSKesCap)*R_KesEr,0)</f>
        <v>420000</v>
      </c>
      <c r="M111" s="5">
        <f>ROUND((tblPayroll[[#This Row],[Basic Salary]]+tblPayroll[[#This Row],[Fixed Allowance]])*R_JKK,0)</f>
        <v>25200</v>
      </c>
      <c r="N111" s="5">
        <f>ROUND((tblPayroll[[#This Row],[Basic Salary]]+tblPayroll[[#This Row],[Fixed Allowance]])*R_JKM,0)</f>
        <v>31500</v>
      </c>
      <c r="O111" s="5">
        <f>ROUND((tblPayroll[[#This Row],[Basic Salary]]+tblPayroll[[#This Row],[Fixed Allowance]])*R_JHTEr,0)</f>
        <v>388500</v>
      </c>
      <c r="P111" s="5">
        <f>ROUND(MIN(tblPayroll[[#This Row],[Basic Salary]]+tblPayroll[[#This Row],[Fixed Allowance]],JPCap)*R_JPEr,0)</f>
        <v>210000</v>
      </c>
      <c r="Q111" s="5">
        <f>SUM(tblPayroll[[#This Row],[BPJS Health (Er)]:[JP (Er)]])</f>
        <v>1075200</v>
      </c>
      <c r="R111" s="5">
        <f>tblPayroll[[#This Row],[Gross Salary]]+tblPayroll[[#This Row],[BPJS Health (Er)]]+tblPayroll[[#This Row],[JKK (Er)]]+tblPayroll[[#This Row],[JKM (Er)]]</f>
        <v>10976700</v>
      </c>
      <c r="S111" s="119">
        <f>IF(tblPayroll[[#This Row],[TER Cat]]="A",_xlfn.XLOOKUP(tblPayroll[[#This Row],[PPh 21 Base]],TerA_L,TerA_R,0,-1),IF(tblPayroll[[#This Row],[TER Cat]]="B",_xlfn.XLOOKUP(tblPayroll[[#This Row],[PPh 21 Base]],TerB_L,TerB_R,0,-1),_xlfn.XLOOKUP(tblPayroll[[#This Row],[PPh 21 Base]],TerC_L,TerC_R,0,-1)))</f>
        <v>0.03</v>
      </c>
      <c r="T111" s="5">
        <f>ROUND(tblPayroll[[#This Row],[PPh 21 Base]]*tblPayroll[[#This Row],[TER Rate]],0)</f>
        <v>329301</v>
      </c>
      <c r="U111" s="5">
        <f>ROUND(MIN(tblPayroll[[#This Row],[Basic Salary]]+tblPayroll[[#This Row],[Fixed Allowance]],BPJSKesCap)*R_KesEe,0)</f>
        <v>105000</v>
      </c>
      <c r="V111" s="5">
        <f>ROUND((tblPayroll[[#This Row],[Basic Salary]]+tblPayroll[[#This Row],[Fixed Allowance]])*R_JHTEe,0)</f>
        <v>210000</v>
      </c>
      <c r="W111" s="5">
        <f>ROUND(MIN(tblPayroll[[#This Row],[Basic Salary]]+tblPayroll[[#This Row],[Fixed Allowance]],JPCap)*R_JPEe,0)</f>
        <v>105000</v>
      </c>
      <c r="X111" s="5">
        <f>tblPayroll[[#This Row],[BPJS Health (Ee)]]+tblPayroll[[#This Row],[JHT (Ee)]]+tblPayroll[[#This Row],[JP (Ee)]]</f>
        <v>420000</v>
      </c>
      <c r="Y111" s="5">
        <f>tblPayroll[[#This Row],[Gross Salary]]-tblPayroll[[#This Row],[PPh 21]]-tblPayroll[[#This Row],[Employee BPJS Total]]</f>
        <v>9750699</v>
      </c>
      <c r="Z111" s="5">
        <f>tblPayroll[[#This Row],[Employer BPJS Total]]+tblPayroll[[#This Row],[Employee BPJS Total]]</f>
        <v>1495200</v>
      </c>
      <c r="AA111" s="5">
        <f>tblPayroll[[#This Row],[Gross Salary]]+tblPayroll[[#This Row],[Employer BPJS Total]]</f>
        <v>11575200</v>
      </c>
      <c r="AB111" s="4">
        <v>1130</v>
      </c>
    </row>
    <row r="112" spans="2:28" x14ac:dyDescent="0.35">
      <c r="B112" s="4">
        <v>8</v>
      </c>
      <c r="C112" s="113">
        <v>46259</v>
      </c>
      <c r="D112" s="4" t="s">
        <v>4774</v>
      </c>
      <c r="E112" s="1" t="str">
        <f>_xlfn.XLOOKUP(tblPayroll[[#This Row],[Employee ID]],tblEmployees[Employee ID],tblEmployees[Full Name],"")</f>
        <v>Budi Santoso</v>
      </c>
      <c r="F112" s="1" t="str">
        <f>_xlfn.XLOOKUP(tblPayroll[[#This Row],[Employee ID]],tblEmployees[Employee ID],tblEmployees[Department],"")</f>
        <v>G&amp;A</v>
      </c>
      <c r="G112" s="1" t="str">
        <f>_xlfn.XLOOKUP(tblPayroll[[#This Row],[Employee ID]],tblEmployees[Employee ID],tblEmployees[TER Category],"")</f>
        <v>B</v>
      </c>
      <c r="H112" s="5">
        <f>_xlfn.XLOOKUP(tblPayroll[[#This Row],[Employee ID]],tblEmployees[Employee ID],tblEmployees[Basic Salary],"")</f>
        <v>25000000</v>
      </c>
      <c r="I112" s="5">
        <f>_xlfn.XLOOKUP(tblPayroll[[#This Row],[Employee ID]],tblEmployees[Employee ID],tblEmployees[Fixed Allowance],"")</f>
        <v>4000000</v>
      </c>
      <c r="J112" s="6">
        <v>0</v>
      </c>
      <c r="K112" s="5">
        <f>tblPayroll[[#This Row],[Basic Salary]]+tblPayroll[[#This Row],[Fixed Allowance]]+tblPayroll[[#This Row],[THR / Bonus]]</f>
        <v>29000000</v>
      </c>
      <c r="L112" s="5">
        <f>ROUND(MIN(tblPayroll[[#This Row],[Basic Salary]]+tblPayroll[[#This Row],[Fixed Allowance]],BPJSKesCap)*R_KesEr,0)</f>
        <v>480000</v>
      </c>
      <c r="M112" s="5">
        <f>ROUND((tblPayroll[[#This Row],[Basic Salary]]+tblPayroll[[#This Row],[Fixed Allowance]])*R_JKK,0)</f>
        <v>69600</v>
      </c>
      <c r="N112" s="5">
        <f>ROUND((tblPayroll[[#This Row],[Basic Salary]]+tblPayroll[[#This Row],[Fixed Allowance]])*R_JKM,0)</f>
        <v>87000</v>
      </c>
      <c r="O112" s="5">
        <f>ROUND((tblPayroll[[#This Row],[Basic Salary]]+tblPayroll[[#This Row],[Fixed Allowance]])*R_JHTEr,0)</f>
        <v>1073000</v>
      </c>
      <c r="P112" s="5">
        <f>ROUND(MIN(tblPayroll[[#This Row],[Basic Salary]]+tblPayroll[[#This Row],[Fixed Allowance]],JPCap)*R_JPEr,0)</f>
        <v>210948</v>
      </c>
      <c r="Q112" s="5">
        <f>SUM(tblPayroll[[#This Row],[BPJS Health (Er)]:[JP (Er)]])</f>
        <v>1920548</v>
      </c>
      <c r="R112" s="5">
        <f>tblPayroll[[#This Row],[Gross Salary]]+tblPayroll[[#This Row],[BPJS Health (Er)]]+tblPayroll[[#This Row],[JKK (Er)]]+tblPayroll[[#This Row],[JKM (Er)]]</f>
        <v>29636600</v>
      </c>
      <c r="S112" s="119">
        <f>IF(tblPayroll[[#This Row],[TER Cat]]="A",_xlfn.XLOOKUP(tblPayroll[[#This Row],[PPh 21 Base]],TerA_L,TerA_R,0,-1),IF(tblPayroll[[#This Row],[TER Cat]]="B",_xlfn.XLOOKUP(tblPayroll[[#This Row],[PPh 21 Base]],TerB_L,TerB_R,0,-1),_xlfn.XLOOKUP(tblPayroll[[#This Row],[PPh 21 Base]],TerC_L,TerC_R,0,-1)))</f>
        <v>0.12</v>
      </c>
      <c r="T112" s="5">
        <f>ROUND(tblPayroll[[#This Row],[PPh 21 Base]]*tblPayroll[[#This Row],[TER Rate]],0)</f>
        <v>3556392</v>
      </c>
      <c r="U112" s="5">
        <f>ROUND(MIN(tblPayroll[[#This Row],[Basic Salary]]+tblPayroll[[#This Row],[Fixed Allowance]],BPJSKesCap)*R_KesEe,0)</f>
        <v>120000</v>
      </c>
      <c r="V112" s="5">
        <f>ROUND((tblPayroll[[#This Row],[Basic Salary]]+tblPayroll[[#This Row],[Fixed Allowance]])*R_JHTEe,0)</f>
        <v>580000</v>
      </c>
      <c r="W112" s="5">
        <f>ROUND(MIN(tblPayroll[[#This Row],[Basic Salary]]+tblPayroll[[#This Row],[Fixed Allowance]],JPCap)*R_JPEe,0)</f>
        <v>105474</v>
      </c>
      <c r="X112" s="5">
        <f>tblPayroll[[#This Row],[BPJS Health (Ee)]]+tblPayroll[[#This Row],[JHT (Ee)]]+tblPayroll[[#This Row],[JP (Ee)]]</f>
        <v>805474</v>
      </c>
      <c r="Y112" s="5">
        <f>tblPayroll[[#This Row],[Gross Salary]]-tblPayroll[[#This Row],[PPh 21]]-tblPayroll[[#This Row],[Employee BPJS Total]]</f>
        <v>24638134</v>
      </c>
      <c r="Z112" s="5">
        <f>tblPayroll[[#This Row],[Employer BPJS Total]]+tblPayroll[[#This Row],[Employee BPJS Total]]</f>
        <v>2726022</v>
      </c>
      <c r="AA112" s="5">
        <f>tblPayroll[[#This Row],[Gross Salary]]+tblPayroll[[#This Row],[Employer BPJS Total]]</f>
        <v>30920548</v>
      </c>
      <c r="AB112" s="4">
        <v>1130</v>
      </c>
    </row>
    <row r="113" spans="2:28" x14ac:dyDescent="0.35">
      <c r="B113" s="4">
        <v>8</v>
      </c>
      <c r="C113" s="113">
        <v>46259</v>
      </c>
      <c r="D113" s="4" t="s">
        <v>4779</v>
      </c>
      <c r="E113" s="1" t="str">
        <f>_xlfn.XLOOKUP(tblPayroll[[#This Row],[Employee ID]],tblEmployees[Employee ID],tblEmployees[Full Name],"")</f>
        <v>Siti Rahmawati</v>
      </c>
      <c r="F113" s="1" t="str">
        <f>_xlfn.XLOOKUP(tblPayroll[[#This Row],[Employee ID]],tblEmployees[Employee ID],tblEmployees[Department],"")</f>
        <v>G&amp;A</v>
      </c>
      <c r="G113" s="1" t="str">
        <f>_xlfn.XLOOKUP(tblPayroll[[#This Row],[Employee ID]],tblEmployees[Employee ID],tblEmployees[TER Category],"")</f>
        <v>B</v>
      </c>
      <c r="H113" s="5">
        <f>_xlfn.XLOOKUP(tblPayroll[[#This Row],[Employee ID]],tblEmployees[Employee ID],tblEmployees[Basic Salary],"")</f>
        <v>20000000</v>
      </c>
      <c r="I113" s="5">
        <f>_xlfn.XLOOKUP(tblPayroll[[#This Row],[Employee ID]],tblEmployees[Employee ID],tblEmployees[Fixed Allowance],"")</f>
        <v>3000000</v>
      </c>
      <c r="J113" s="6">
        <v>0</v>
      </c>
      <c r="K113" s="5">
        <f>tblPayroll[[#This Row],[Basic Salary]]+tblPayroll[[#This Row],[Fixed Allowance]]+tblPayroll[[#This Row],[THR / Bonus]]</f>
        <v>23000000</v>
      </c>
      <c r="L113" s="5">
        <f>ROUND(MIN(tblPayroll[[#This Row],[Basic Salary]]+tblPayroll[[#This Row],[Fixed Allowance]],BPJSKesCap)*R_KesEr,0)</f>
        <v>480000</v>
      </c>
      <c r="M113" s="5">
        <f>ROUND((tblPayroll[[#This Row],[Basic Salary]]+tblPayroll[[#This Row],[Fixed Allowance]])*R_JKK,0)</f>
        <v>55200</v>
      </c>
      <c r="N113" s="5">
        <f>ROUND((tblPayroll[[#This Row],[Basic Salary]]+tblPayroll[[#This Row],[Fixed Allowance]])*R_JKM,0)</f>
        <v>69000</v>
      </c>
      <c r="O113" s="5">
        <f>ROUND((tblPayroll[[#This Row],[Basic Salary]]+tblPayroll[[#This Row],[Fixed Allowance]])*R_JHTEr,0)</f>
        <v>851000</v>
      </c>
      <c r="P113" s="5">
        <f>ROUND(MIN(tblPayroll[[#This Row],[Basic Salary]]+tblPayroll[[#This Row],[Fixed Allowance]],JPCap)*R_JPEr,0)</f>
        <v>210948</v>
      </c>
      <c r="Q113" s="5">
        <f>SUM(tblPayroll[[#This Row],[BPJS Health (Er)]:[JP (Er)]])</f>
        <v>1666148</v>
      </c>
      <c r="R113" s="5">
        <f>tblPayroll[[#This Row],[Gross Salary]]+tblPayroll[[#This Row],[BPJS Health (Er)]]+tblPayroll[[#This Row],[JKK (Er)]]+tblPayroll[[#This Row],[JKM (Er)]]</f>
        <v>23604200</v>
      </c>
      <c r="S113" s="119">
        <f>IF(tblPayroll[[#This Row],[TER Cat]]="A",_xlfn.XLOOKUP(tblPayroll[[#This Row],[PPh 21 Base]],TerA_L,TerA_R,0,-1),IF(tblPayroll[[#This Row],[TER Cat]]="B",_xlfn.XLOOKUP(tblPayroll[[#This Row],[PPh 21 Base]],TerB_L,TerB_R,0,-1),_xlfn.XLOOKUP(tblPayroll[[#This Row],[PPh 21 Base]],TerC_L,TerC_R,0,-1)))</f>
        <v>0.09</v>
      </c>
      <c r="T113" s="5">
        <f>ROUND(tblPayroll[[#This Row],[PPh 21 Base]]*tblPayroll[[#This Row],[TER Rate]],0)</f>
        <v>2124378</v>
      </c>
      <c r="U113" s="5">
        <f>ROUND(MIN(tblPayroll[[#This Row],[Basic Salary]]+tblPayroll[[#This Row],[Fixed Allowance]],BPJSKesCap)*R_KesEe,0)</f>
        <v>120000</v>
      </c>
      <c r="V113" s="5">
        <f>ROUND((tblPayroll[[#This Row],[Basic Salary]]+tblPayroll[[#This Row],[Fixed Allowance]])*R_JHTEe,0)</f>
        <v>460000</v>
      </c>
      <c r="W113" s="5">
        <f>ROUND(MIN(tblPayroll[[#This Row],[Basic Salary]]+tblPayroll[[#This Row],[Fixed Allowance]],JPCap)*R_JPEe,0)</f>
        <v>105474</v>
      </c>
      <c r="X113" s="5">
        <f>tblPayroll[[#This Row],[BPJS Health (Ee)]]+tblPayroll[[#This Row],[JHT (Ee)]]+tblPayroll[[#This Row],[JP (Ee)]]</f>
        <v>685474</v>
      </c>
      <c r="Y113" s="5">
        <f>tblPayroll[[#This Row],[Gross Salary]]-tblPayroll[[#This Row],[PPh 21]]-tblPayroll[[#This Row],[Employee BPJS Total]]</f>
        <v>20190148</v>
      </c>
      <c r="Z113" s="5">
        <f>tblPayroll[[#This Row],[Employer BPJS Total]]+tblPayroll[[#This Row],[Employee BPJS Total]]</f>
        <v>2351622</v>
      </c>
      <c r="AA113" s="5">
        <f>tblPayroll[[#This Row],[Gross Salary]]+tblPayroll[[#This Row],[Employer BPJS Total]]</f>
        <v>24666148</v>
      </c>
      <c r="AB113" s="4">
        <v>1130</v>
      </c>
    </row>
    <row r="114" spans="2:28" x14ac:dyDescent="0.35">
      <c r="B114" s="4">
        <v>8</v>
      </c>
      <c r="C114" s="113">
        <v>46259</v>
      </c>
      <c r="D114" s="4" t="s">
        <v>4783</v>
      </c>
      <c r="E114" s="1" t="str">
        <f>_xlfn.XLOOKUP(tblPayroll[[#This Row],[Employee ID]],tblEmployees[Employee ID],tblEmployees[Full Name],"")</f>
        <v>Dewi Lestari</v>
      </c>
      <c r="F114" s="1" t="str">
        <f>_xlfn.XLOOKUP(tblPayroll[[#This Row],[Employee ID]],tblEmployees[Employee ID],tblEmployees[Department],"")</f>
        <v>G&amp;A</v>
      </c>
      <c r="G114" s="1" t="str">
        <f>_xlfn.XLOOKUP(tblPayroll[[#This Row],[Employee ID]],tblEmployees[Employee ID],tblEmployees[TER Category],"")</f>
        <v>A</v>
      </c>
      <c r="H114" s="5">
        <f>_xlfn.XLOOKUP(tblPayroll[[#This Row],[Employee ID]],tblEmployees[Employee ID],tblEmployees[Basic Salary],"")</f>
        <v>15000000</v>
      </c>
      <c r="I114" s="5">
        <f>_xlfn.XLOOKUP(tblPayroll[[#This Row],[Employee ID]],tblEmployees[Employee ID],tblEmployees[Fixed Allowance],"")</f>
        <v>2000000</v>
      </c>
      <c r="J114" s="6">
        <v>0</v>
      </c>
      <c r="K114" s="5">
        <f>tblPayroll[[#This Row],[Basic Salary]]+tblPayroll[[#This Row],[Fixed Allowance]]+tblPayroll[[#This Row],[THR / Bonus]]</f>
        <v>17000000</v>
      </c>
      <c r="L114" s="5">
        <f>ROUND(MIN(tblPayroll[[#This Row],[Basic Salary]]+tblPayroll[[#This Row],[Fixed Allowance]],BPJSKesCap)*R_KesEr,0)</f>
        <v>480000</v>
      </c>
      <c r="M114" s="5">
        <f>ROUND((tblPayroll[[#This Row],[Basic Salary]]+tblPayroll[[#This Row],[Fixed Allowance]])*R_JKK,0)</f>
        <v>40800</v>
      </c>
      <c r="N114" s="5">
        <f>ROUND((tblPayroll[[#This Row],[Basic Salary]]+tblPayroll[[#This Row],[Fixed Allowance]])*R_JKM,0)</f>
        <v>51000</v>
      </c>
      <c r="O114" s="5">
        <f>ROUND((tblPayroll[[#This Row],[Basic Salary]]+tblPayroll[[#This Row],[Fixed Allowance]])*R_JHTEr,0)</f>
        <v>629000</v>
      </c>
      <c r="P114" s="5">
        <f>ROUND(MIN(tblPayroll[[#This Row],[Basic Salary]]+tblPayroll[[#This Row],[Fixed Allowance]],JPCap)*R_JPEr,0)</f>
        <v>210948</v>
      </c>
      <c r="Q114" s="5">
        <f>SUM(tblPayroll[[#This Row],[BPJS Health (Er)]:[JP (Er)]])</f>
        <v>1411748</v>
      </c>
      <c r="R114" s="5">
        <f>tblPayroll[[#This Row],[Gross Salary]]+tblPayroll[[#This Row],[BPJS Health (Er)]]+tblPayroll[[#This Row],[JKK (Er)]]+tblPayroll[[#This Row],[JKM (Er)]]</f>
        <v>17571800</v>
      </c>
      <c r="S114" s="119">
        <f>IF(tblPayroll[[#This Row],[TER Cat]]="A",_xlfn.XLOOKUP(tblPayroll[[#This Row],[PPh 21 Base]],TerA_L,TerA_R,0,-1),IF(tblPayroll[[#This Row],[TER Cat]]="B",_xlfn.XLOOKUP(tblPayroll[[#This Row],[PPh 21 Base]],TerB_L,TerB_R,0,-1),_xlfn.XLOOKUP(tblPayroll[[#This Row],[PPh 21 Base]],TerC_L,TerC_R,0,-1)))</f>
        <v>0.08</v>
      </c>
      <c r="T114" s="5">
        <f>ROUND(tblPayroll[[#This Row],[PPh 21 Base]]*tblPayroll[[#This Row],[TER Rate]],0)</f>
        <v>1405744</v>
      </c>
      <c r="U114" s="5">
        <f>ROUND(MIN(tblPayroll[[#This Row],[Basic Salary]]+tblPayroll[[#This Row],[Fixed Allowance]],BPJSKesCap)*R_KesEe,0)</f>
        <v>120000</v>
      </c>
      <c r="V114" s="5">
        <f>ROUND((tblPayroll[[#This Row],[Basic Salary]]+tblPayroll[[#This Row],[Fixed Allowance]])*R_JHTEe,0)</f>
        <v>340000</v>
      </c>
      <c r="W114" s="5">
        <f>ROUND(MIN(tblPayroll[[#This Row],[Basic Salary]]+tblPayroll[[#This Row],[Fixed Allowance]],JPCap)*R_JPEe,0)</f>
        <v>105474</v>
      </c>
      <c r="X114" s="5">
        <f>tblPayroll[[#This Row],[BPJS Health (Ee)]]+tblPayroll[[#This Row],[JHT (Ee)]]+tblPayroll[[#This Row],[JP (Ee)]]</f>
        <v>565474</v>
      </c>
      <c r="Y114" s="5">
        <f>tblPayroll[[#This Row],[Gross Salary]]-tblPayroll[[#This Row],[PPh 21]]-tblPayroll[[#This Row],[Employee BPJS Total]]</f>
        <v>15028782</v>
      </c>
      <c r="Z114" s="5">
        <f>tblPayroll[[#This Row],[Employer BPJS Total]]+tblPayroll[[#This Row],[Employee BPJS Total]]</f>
        <v>1977222</v>
      </c>
      <c r="AA114" s="5">
        <f>tblPayroll[[#This Row],[Gross Salary]]+tblPayroll[[#This Row],[Employer BPJS Total]]</f>
        <v>18411748</v>
      </c>
      <c r="AB114" s="4">
        <v>1130</v>
      </c>
    </row>
    <row r="115" spans="2:28" x14ac:dyDescent="0.35">
      <c r="B115" s="4">
        <v>8</v>
      </c>
      <c r="C115" s="113">
        <v>46259</v>
      </c>
      <c r="D115" s="4" t="s">
        <v>4787</v>
      </c>
      <c r="E115" s="1" t="str">
        <f>_xlfn.XLOOKUP(tblPayroll[[#This Row],[Employee ID]],tblEmployees[Employee ID],tblEmployees[Full Name],"")</f>
        <v>Agus Prasetyo</v>
      </c>
      <c r="F115" s="1" t="str">
        <f>_xlfn.XLOOKUP(tblPayroll[[#This Row],[Employee ID]],tblEmployees[Employee ID],tblEmployees[Department],"")</f>
        <v>Selling</v>
      </c>
      <c r="G115" s="1" t="str">
        <f>_xlfn.XLOOKUP(tblPayroll[[#This Row],[Employee ID]],tblEmployees[Employee ID],tblEmployees[TER Category],"")</f>
        <v>B</v>
      </c>
      <c r="H115" s="5">
        <f>_xlfn.XLOOKUP(tblPayroll[[#This Row],[Employee ID]],tblEmployees[Employee ID],tblEmployees[Basic Salary],"")</f>
        <v>14000000</v>
      </c>
      <c r="I115" s="5">
        <f>_xlfn.XLOOKUP(tblPayroll[[#This Row],[Employee ID]],tblEmployees[Employee ID],tblEmployees[Fixed Allowance],"")</f>
        <v>2000000</v>
      </c>
      <c r="J115" s="6">
        <v>0</v>
      </c>
      <c r="K115" s="5">
        <f>tblPayroll[[#This Row],[Basic Salary]]+tblPayroll[[#This Row],[Fixed Allowance]]+tblPayroll[[#This Row],[THR / Bonus]]</f>
        <v>16000000</v>
      </c>
      <c r="L115" s="5">
        <f>ROUND(MIN(tblPayroll[[#This Row],[Basic Salary]]+tblPayroll[[#This Row],[Fixed Allowance]],BPJSKesCap)*R_KesEr,0)</f>
        <v>480000</v>
      </c>
      <c r="M115" s="5">
        <f>ROUND((tblPayroll[[#This Row],[Basic Salary]]+tblPayroll[[#This Row],[Fixed Allowance]])*R_JKK,0)</f>
        <v>38400</v>
      </c>
      <c r="N115" s="5">
        <f>ROUND((tblPayroll[[#This Row],[Basic Salary]]+tblPayroll[[#This Row],[Fixed Allowance]])*R_JKM,0)</f>
        <v>48000</v>
      </c>
      <c r="O115" s="5">
        <f>ROUND((tblPayroll[[#This Row],[Basic Salary]]+tblPayroll[[#This Row],[Fixed Allowance]])*R_JHTEr,0)</f>
        <v>592000</v>
      </c>
      <c r="P115" s="5">
        <f>ROUND(MIN(tblPayroll[[#This Row],[Basic Salary]]+tblPayroll[[#This Row],[Fixed Allowance]],JPCap)*R_JPEr,0)</f>
        <v>210948</v>
      </c>
      <c r="Q115" s="5">
        <f>SUM(tblPayroll[[#This Row],[BPJS Health (Er)]:[JP (Er)]])</f>
        <v>1369348</v>
      </c>
      <c r="R115" s="5">
        <f>tblPayroll[[#This Row],[Gross Salary]]+tblPayroll[[#This Row],[BPJS Health (Er)]]+tblPayroll[[#This Row],[JKK (Er)]]+tblPayroll[[#This Row],[JKM (Er)]]</f>
        <v>16566400</v>
      </c>
      <c r="S115" s="119">
        <f>IF(tblPayroll[[#This Row],[TER Cat]]="A",_xlfn.XLOOKUP(tblPayroll[[#This Row],[PPh 21 Base]],TerA_L,TerA_R,0,-1),IF(tblPayroll[[#This Row],[TER Cat]]="B",_xlfn.XLOOKUP(tblPayroll[[#This Row],[PPh 21 Base]],TerB_L,TerB_R,0,-1),_xlfn.XLOOKUP(tblPayroll[[#This Row],[PPh 21 Base]],TerC_L,TerC_R,0,-1)))</f>
        <v>7.0000000000000007E-2</v>
      </c>
      <c r="T115" s="5">
        <f>ROUND(tblPayroll[[#This Row],[PPh 21 Base]]*tblPayroll[[#This Row],[TER Rate]],0)</f>
        <v>1159648</v>
      </c>
      <c r="U115" s="5">
        <f>ROUND(MIN(tblPayroll[[#This Row],[Basic Salary]]+tblPayroll[[#This Row],[Fixed Allowance]],BPJSKesCap)*R_KesEe,0)</f>
        <v>120000</v>
      </c>
      <c r="V115" s="5">
        <f>ROUND((tblPayroll[[#This Row],[Basic Salary]]+tblPayroll[[#This Row],[Fixed Allowance]])*R_JHTEe,0)</f>
        <v>320000</v>
      </c>
      <c r="W115" s="5">
        <f>ROUND(MIN(tblPayroll[[#This Row],[Basic Salary]]+tblPayroll[[#This Row],[Fixed Allowance]],JPCap)*R_JPEe,0)</f>
        <v>105474</v>
      </c>
      <c r="X115" s="5">
        <f>tblPayroll[[#This Row],[BPJS Health (Ee)]]+tblPayroll[[#This Row],[JHT (Ee)]]+tblPayroll[[#This Row],[JP (Ee)]]</f>
        <v>545474</v>
      </c>
      <c r="Y115" s="5">
        <f>tblPayroll[[#This Row],[Gross Salary]]-tblPayroll[[#This Row],[PPh 21]]-tblPayroll[[#This Row],[Employee BPJS Total]]</f>
        <v>14294878</v>
      </c>
      <c r="Z115" s="5">
        <f>tblPayroll[[#This Row],[Employer BPJS Total]]+tblPayroll[[#This Row],[Employee BPJS Total]]</f>
        <v>1914822</v>
      </c>
      <c r="AA115" s="5">
        <f>tblPayroll[[#This Row],[Gross Salary]]+tblPayroll[[#This Row],[Employer BPJS Total]]</f>
        <v>17369348</v>
      </c>
      <c r="AB115" s="4">
        <v>1130</v>
      </c>
    </row>
    <row r="116" spans="2:28" x14ac:dyDescent="0.35">
      <c r="B116" s="4">
        <v>8</v>
      </c>
      <c r="C116" s="113">
        <v>46259</v>
      </c>
      <c r="D116" s="4" t="s">
        <v>4793</v>
      </c>
      <c r="E116" s="1" t="str">
        <f>_xlfn.XLOOKUP(tblPayroll[[#This Row],[Employee ID]],tblEmployees[Employee ID],tblEmployees[Full Name],"")</f>
        <v>Rina Kartika</v>
      </c>
      <c r="F116" s="1" t="str">
        <f>_xlfn.XLOOKUP(tblPayroll[[#This Row],[Employee ID]],tblEmployees[Employee ID],tblEmployees[Department],"")</f>
        <v>Selling</v>
      </c>
      <c r="G116" s="1" t="str">
        <f>_xlfn.XLOOKUP(tblPayroll[[#This Row],[Employee ID]],tblEmployees[Employee ID],tblEmployees[TER Category],"")</f>
        <v>A</v>
      </c>
      <c r="H116" s="5">
        <f>_xlfn.XLOOKUP(tblPayroll[[#This Row],[Employee ID]],tblEmployees[Employee ID],tblEmployees[Basic Salary],"")</f>
        <v>12000000</v>
      </c>
      <c r="I116" s="5">
        <f>_xlfn.XLOOKUP(tblPayroll[[#This Row],[Employee ID]],tblEmployees[Employee ID],tblEmployees[Fixed Allowance],"")</f>
        <v>1500000</v>
      </c>
      <c r="J116" s="6">
        <v>0</v>
      </c>
      <c r="K116" s="5">
        <f>tblPayroll[[#This Row],[Basic Salary]]+tblPayroll[[#This Row],[Fixed Allowance]]+tblPayroll[[#This Row],[THR / Bonus]]</f>
        <v>13500000</v>
      </c>
      <c r="L116" s="5">
        <f>ROUND(MIN(tblPayroll[[#This Row],[Basic Salary]]+tblPayroll[[#This Row],[Fixed Allowance]],BPJSKesCap)*R_KesEr,0)</f>
        <v>480000</v>
      </c>
      <c r="M116" s="5">
        <f>ROUND((tblPayroll[[#This Row],[Basic Salary]]+tblPayroll[[#This Row],[Fixed Allowance]])*R_JKK,0)</f>
        <v>32400</v>
      </c>
      <c r="N116" s="5">
        <f>ROUND((tblPayroll[[#This Row],[Basic Salary]]+tblPayroll[[#This Row],[Fixed Allowance]])*R_JKM,0)</f>
        <v>40500</v>
      </c>
      <c r="O116" s="5">
        <f>ROUND((tblPayroll[[#This Row],[Basic Salary]]+tblPayroll[[#This Row],[Fixed Allowance]])*R_JHTEr,0)</f>
        <v>499500</v>
      </c>
      <c r="P116" s="5">
        <f>ROUND(MIN(tblPayroll[[#This Row],[Basic Salary]]+tblPayroll[[#This Row],[Fixed Allowance]],JPCap)*R_JPEr,0)</f>
        <v>210948</v>
      </c>
      <c r="Q116" s="5">
        <f>SUM(tblPayroll[[#This Row],[BPJS Health (Er)]:[JP (Er)]])</f>
        <v>1263348</v>
      </c>
      <c r="R116" s="5">
        <f>tblPayroll[[#This Row],[Gross Salary]]+tblPayroll[[#This Row],[BPJS Health (Er)]]+tblPayroll[[#This Row],[JKK (Er)]]+tblPayroll[[#This Row],[JKM (Er)]]</f>
        <v>14052900</v>
      </c>
      <c r="S116" s="119">
        <f>IF(tblPayroll[[#This Row],[TER Cat]]="A",_xlfn.XLOOKUP(tblPayroll[[#This Row],[PPh 21 Base]],TerA_L,TerA_R,0,-1),IF(tblPayroll[[#This Row],[TER Cat]]="B",_xlfn.XLOOKUP(tblPayroll[[#This Row],[PPh 21 Base]],TerB_L,TerB_R,0,-1),_xlfn.XLOOKUP(tblPayroll[[#This Row],[PPh 21 Base]],TerC_L,TerC_R,0,-1)))</f>
        <v>0.06</v>
      </c>
      <c r="T116" s="5">
        <f>ROUND(tblPayroll[[#This Row],[PPh 21 Base]]*tblPayroll[[#This Row],[TER Rate]],0)</f>
        <v>843174</v>
      </c>
      <c r="U116" s="5">
        <f>ROUND(MIN(tblPayroll[[#This Row],[Basic Salary]]+tblPayroll[[#This Row],[Fixed Allowance]],BPJSKesCap)*R_KesEe,0)</f>
        <v>120000</v>
      </c>
      <c r="V116" s="5">
        <f>ROUND((tblPayroll[[#This Row],[Basic Salary]]+tblPayroll[[#This Row],[Fixed Allowance]])*R_JHTEe,0)</f>
        <v>270000</v>
      </c>
      <c r="W116" s="5">
        <f>ROUND(MIN(tblPayroll[[#This Row],[Basic Salary]]+tblPayroll[[#This Row],[Fixed Allowance]],JPCap)*R_JPEe,0)</f>
        <v>105474</v>
      </c>
      <c r="X116" s="5">
        <f>tblPayroll[[#This Row],[BPJS Health (Ee)]]+tblPayroll[[#This Row],[JHT (Ee)]]+tblPayroll[[#This Row],[JP (Ee)]]</f>
        <v>495474</v>
      </c>
      <c r="Y116" s="5">
        <f>tblPayroll[[#This Row],[Gross Salary]]-tblPayroll[[#This Row],[PPh 21]]-tblPayroll[[#This Row],[Employee BPJS Total]]</f>
        <v>12161352</v>
      </c>
      <c r="Z116" s="5">
        <f>tblPayroll[[#This Row],[Employer BPJS Total]]+tblPayroll[[#This Row],[Employee BPJS Total]]</f>
        <v>1758822</v>
      </c>
      <c r="AA116" s="5">
        <f>tblPayroll[[#This Row],[Gross Salary]]+tblPayroll[[#This Row],[Employer BPJS Total]]</f>
        <v>14763348</v>
      </c>
      <c r="AB116" s="4">
        <v>1130</v>
      </c>
    </row>
    <row r="117" spans="2:28" x14ac:dyDescent="0.35">
      <c r="B117" s="4">
        <v>8</v>
      </c>
      <c r="C117" s="113">
        <v>46259</v>
      </c>
      <c r="D117" s="4" t="s">
        <v>4798</v>
      </c>
      <c r="E117" s="1" t="str">
        <f>_xlfn.XLOOKUP(tblPayroll[[#This Row],[Employee ID]],tblEmployees[Employee ID],tblEmployees[Full Name],"")</f>
        <v>Andi Saputra</v>
      </c>
      <c r="F117" s="1" t="str">
        <f>_xlfn.XLOOKUP(tblPayroll[[#This Row],[Employee ID]],tblEmployees[Employee ID],tblEmployees[Department],"")</f>
        <v>G&amp;A</v>
      </c>
      <c r="G117" s="1" t="str">
        <f>_xlfn.XLOOKUP(tblPayroll[[#This Row],[Employee ID]],tblEmployees[Employee ID],tblEmployees[TER Category],"")</f>
        <v>A</v>
      </c>
      <c r="H117" s="5">
        <f>_xlfn.XLOOKUP(tblPayroll[[#This Row],[Employee ID]],tblEmployees[Employee ID],tblEmployees[Basic Salary],"")</f>
        <v>8500000</v>
      </c>
      <c r="I117" s="5">
        <f>_xlfn.XLOOKUP(tblPayroll[[#This Row],[Employee ID]],tblEmployees[Employee ID],tblEmployees[Fixed Allowance],"")</f>
        <v>1000000</v>
      </c>
      <c r="J117" s="6">
        <v>0</v>
      </c>
      <c r="K117" s="5">
        <f>tblPayroll[[#This Row],[Basic Salary]]+tblPayroll[[#This Row],[Fixed Allowance]]+tblPayroll[[#This Row],[THR / Bonus]]</f>
        <v>9500000</v>
      </c>
      <c r="L117" s="5">
        <f>ROUND(MIN(tblPayroll[[#This Row],[Basic Salary]]+tblPayroll[[#This Row],[Fixed Allowance]],BPJSKesCap)*R_KesEr,0)</f>
        <v>380000</v>
      </c>
      <c r="M117" s="5">
        <f>ROUND((tblPayroll[[#This Row],[Basic Salary]]+tblPayroll[[#This Row],[Fixed Allowance]])*R_JKK,0)</f>
        <v>22800</v>
      </c>
      <c r="N117" s="5">
        <f>ROUND((tblPayroll[[#This Row],[Basic Salary]]+tblPayroll[[#This Row],[Fixed Allowance]])*R_JKM,0)</f>
        <v>28500</v>
      </c>
      <c r="O117" s="5">
        <f>ROUND((tblPayroll[[#This Row],[Basic Salary]]+tblPayroll[[#This Row],[Fixed Allowance]])*R_JHTEr,0)</f>
        <v>351500</v>
      </c>
      <c r="P117" s="5">
        <f>ROUND(MIN(tblPayroll[[#This Row],[Basic Salary]]+tblPayroll[[#This Row],[Fixed Allowance]],JPCap)*R_JPEr,0)</f>
        <v>190000</v>
      </c>
      <c r="Q117" s="5">
        <f>SUM(tblPayroll[[#This Row],[BPJS Health (Er)]:[JP (Er)]])</f>
        <v>972800</v>
      </c>
      <c r="R117" s="5">
        <f>tblPayroll[[#This Row],[Gross Salary]]+tblPayroll[[#This Row],[BPJS Health (Er)]]+tblPayroll[[#This Row],[JKK (Er)]]+tblPayroll[[#This Row],[JKM (Er)]]</f>
        <v>9931300</v>
      </c>
      <c r="S117" s="119">
        <f>IF(tblPayroll[[#This Row],[TER Cat]]="A",_xlfn.XLOOKUP(tblPayroll[[#This Row],[PPh 21 Base]],TerA_L,TerA_R,0,-1),IF(tblPayroll[[#This Row],[TER Cat]]="B",_xlfn.XLOOKUP(tblPayroll[[#This Row],[PPh 21 Base]],TerB_L,TerB_R,0,-1),_xlfn.XLOOKUP(tblPayroll[[#This Row],[PPh 21 Base]],TerC_L,TerC_R,0,-1)))</f>
        <v>0.02</v>
      </c>
      <c r="T117" s="5">
        <f>ROUND(tblPayroll[[#This Row],[PPh 21 Base]]*tblPayroll[[#This Row],[TER Rate]],0)</f>
        <v>198626</v>
      </c>
      <c r="U117" s="5">
        <f>ROUND(MIN(tblPayroll[[#This Row],[Basic Salary]]+tblPayroll[[#This Row],[Fixed Allowance]],BPJSKesCap)*R_KesEe,0)</f>
        <v>95000</v>
      </c>
      <c r="V117" s="5">
        <f>ROUND((tblPayroll[[#This Row],[Basic Salary]]+tblPayroll[[#This Row],[Fixed Allowance]])*R_JHTEe,0)</f>
        <v>190000</v>
      </c>
      <c r="W117" s="5">
        <f>ROUND(MIN(tblPayroll[[#This Row],[Basic Salary]]+tblPayroll[[#This Row],[Fixed Allowance]],JPCap)*R_JPEe,0)</f>
        <v>95000</v>
      </c>
      <c r="X117" s="5">
        <f>tblPayroll[[#This Row],[BPJS Health (Ee)]]+tblPayroll[[#This Row],[JHT (Ee)]]+tblPayroll[[#This Row],[JP (Ee)]]</f>
        <v>380000</v>
      </c>
      <c r="Y117" s="5">
        <f>tblPayroll[[#This Row],[Gross Salary]]-tblPayroll[[#This Row],[PPh 21]]-tblPayroll[[#This Row],[Employee BPJS Total]]</f>
        <v>8921374</v>
      </c>
      <c r="Z117" s="5">
        <f>tblPayroll[[#This Row],[Employer BPJS Total]]+tblPayroll[[#This Row],[Employee BPJS Total]]</f>
        <v>1352800</v>
      </c>
      <c r="AA117" s="5">
        <f>tblPayroll[[#This Row],[Gross Salary]]+tblPayroll[[#This Row],[Employer BPJS Total]]</f>
        <v>10472800</v>
      </c>
      <c r="AB117" s="4">
        <v>1130</v>
      </c>
    </row>
    <row r="118" spans="2:28" x14ac:dyDescent="0.35">
      <c r="B118" s="4">
        <v>8</v>
      </c>
      <c r="C118" s="113">
        <v>46259</v>
      </c>
      <c r="D118" s="4" t="s">
        <v>4803</v>
      </c>
      <c r="E118" s="1" t="str">
        <f>_xlfn.XLOOKUP(tblPayroll[[#This Row],[Employee ID]],tblEmployees[Employee ID],tblEmployees[Full Name],"")</f>
        <v>Fitri Handayani</v>
      </c>
      <c r="F118" s="1" t="str">
        <f>_xlfn.XLOOKUP(tblPayroll[[#This Row],[Employee ID]],tblEmployees[Employee ID],tblEmployees[Department],"")</f>
        <v>G&amp;A</v>
      </c>
      <c r="G118" s="1" t="str">
        <f>_xlfn.XLOOKUP(tblPayroll[[#This Row],[Employee ID]],tblEmployees[Employee ID],tblEmployees[TER Category],"")</f>
        <v>A</v>
      </c>
      <c r="H118" s="5">
        <f>_xlfn.XLOOKUP(tblPayroll[[#This Row],[Employee ID]],tblEmployees[Employee ID],tblEmployees[Basic Salary],"")</f>
        <v>8000000</v>
      </c>
      <c r="I118" s="5">
        <f>_xlfn.XLOOKUP(tblPayroll[[#This Row],[Employee ID]],tblEmployees[Employee ID],tblEmployees[Fixed Allowance],"")</f>
        <v>1000000</v>
      </c>
      <c r="J118" s="6">
        <v>0</v>
      </c>
      <c r="K118" s="5">
        <f>tblPayroll[[#This Row],[Basic Salary]]+tblPayroll[[#This Row],[Fixed Allowance]]+tblPayroll[[#This Row],[THR / Bonus]]</f>
        <v>9000000</v>
      </c>
      <c r="L118" s="5">
        <f>ROUND(MIN(tblPayroll[[#This Row],[Basic Salary]]+tblPayroll[[#This Row],[Fixed Allowance]],BPJSKesCap)*R_KesEr,0)</f>
        <v>360000</v>
      </c>
      <c r="M118" s="5">
        <f>ROUND((tblPayroll[[#This Row],[Basic Salary]]+tblPayroll[[#This Row],[Fixed Allowance]])*R_JKK,0)</f>
        <v>21600</v>
      </c>
      <c r="N118" s="5">
        <f>ROUND((tblPayroll[[#This Row],[Basic Salary]]+tblPayroll[[#This Row],[Fixed Allowance]])*R_JKM,0)</f>
        <v>27000</v>
      </c>
      <c r="O118" s="5">
        <f>ROUND((tblPayroll[[#This Row],[Basic Salary]]+tblPayroll[[#This Row],[Fixed Allowance]])*R_JHTEr,0)</f>
        <v>333000</v>
      </c>
      <c r="P118" s="5">
        <f>ROUND(MIN(tblPayroll[[#This Row],[Basic Salary]]+tblPayroll[[#This Row],[Fixed Allowance]],JPCap)*R_JPEr,0)</f>
        <v>180000</v>
      </c>
      <c r="Q118" s="5">
        <f>SUM(tblPayroll[[#This Row],[BPJS Health (Er)]:[JP (Er)]])</f>
        <v>921600</v>
      </c>
      <c r="R118" s="5">
        <f>tblPayroll[[#This Row],[Gross Salary]]+tblPayroll[[#This Row],[BPJS Health (Er)]]+tblPayroll[[#This Row],[JKK (Er)]]+tblPayroll[[#This Row],[JKM (Er)]]</f>
        <v>9408600</v>
      </c>
      <c r="S118" s="119">
        <f>IF(tblPayroll[[#This Row],[TER Cat]]="A",_xlfn.XLOOKUP(tblPayroll[[#This Row],[PPh 21 Base]],TerA_L,TerA_R,0,-1),IF(tblPayroll[[#This Row],[TER Cat]]="B",_xlfn.XLOOKUP(tblPayroll[[#This Row],[PPh 21 Base]],TerB_L,TerB_R,0,-1),_xlfn.XLOOKUP(tblPayroll[[#This Row],[PPh 21 Base]],TerC_L,TerC_R,0,-1)))</f>
        <v>1.7500000000000002E-2</v>
      </c>
      <c r="T118" s="5">
        <f>ROUND(tblPayroll[[#This Row],[PPh 21 Base]]*tblPayroll[[#This Row],[TER Rate]],0)</f>
        <v>164651</v>
      </c>
      <c r="U118" s="5">
        <f>ROUND(MIN(tblPayroll[[#This Row],[Basic Salary]]+tblPayroll[[#This Row],[Fixed Allowance]],BPJSKesCap)*R_KesEe,0)</f>
        <v>90000</v>
      </c>
      <c r="V118" s="5">
        <f>ROUND((tblPayroll[[#This Row],[Basic Salary]]+tblPayroll[[#This Row],[Fixed Allowance]])*R_JHTEe,0)</f>
        <v>180000</v>
      </c>
      <c r="W118" s="5">
        <f>ROUND(MIN(tblPayroll[[#This Row],[Basic Salary]]+tblPayroll[[#This Row],[Fixed Allowance]],JPCap)*R_JPEe,0)</f>
        <v>90000</v>
      </c>
      <c r="X118" s="5">
        <f>tblPayroll[[#This Row],[BPJS Health (Ee)]]+tblPayroll[[#This Row],[JHT (Ee)]]+tblPayroll[[#This Row],[JP (Ee)]]</f>
        <v>360000</v>
      </c>
      <c r="Y118" s="5">
        <f>tblPayroll[[#This Row],[Gross Salary]]-tblPayroll[[#This Row],[PPh 21]]-tblPayroll[[#This Row],[Employee BPJS Total]]</f>
        <v>8475349</v>
      </c>
      <c r="Z118" s="5">
        <f>tblPayroll[[#This Row],[Employer BPJS Total]]+tblPayroll[[#This Row],[Employee BPJS Total]]</f>
        <v>1281600</v>
      </c>
      <c r="AA118" s="5">
        <f>tblPayroll[[#This Row],[Gross Salary]]+tblPayroll[[#This Row],[Employer BPJS Total]]</f>
        <v>9921600</v>
      </c>
      <c r="AB118" s="4">
        <v>1130</v>
      </c>
    </row>
    <row r="119" spans="2:28" x14ac:dyDescent="0.35">
      <c r="B119" s="4">
        <v>8</v>
      </c>
      <c r="C119" s="113">
        <v>46259</v>
      </c>
      <c r="D119" s="4" t="s">
        <v>4809</v>
      </c>
      <c r="E119" s="1" t="str">
        <f>_xlfn.XLOOKUP(tblPayroll[[#This Row],[Employee ID]],tblEmployees[Employee ID],tblEmployees[Full Name],"")</f>
        <v>Rizky Ramadhan</v>
      </c>
      <c r="F119" s="1" t="str">
        <f>_xlfn.XLOOKUP(tblPayroll[[#This Row],[Employee ID]],tblEmployees[Employee ID],tblEmployees[Department],"")</f>
        <v>Selling</v>
      </c>
      <c r="G119" s="1" t="str">
        <f>_xlfn.XLOOKUP(tblPayroll[[#This Row],[Employee ID]],tblEmployees[Employee ID],tblEmployees[TER Category],"")</f>
        <v>A</v>
      </c>
      <c r="H119" s="5">
        <f>_xlfn.XLOOKUP(tblPayroll[[#This Row],[Employee ID]],tblEmployees[Employee ID],tblEmployees[Basic Salary],"")</f>
        <v>9000000</v>
      </c>
      <c r="I119" s="5">
        <f>_xlfn.XLOOKUP(tblPayroll[[#This Row],[Employee ID]],tblEmployees[Employee ID],tblEmployees[Fixed Allowance],"")</f>
        <v>1500000</v>
      </c>
      <c r="J119" s="6">
        <v>0</v>
      </c>
      <c r="K119" s="5">
        <f>tblPayroll[[#This Row],[Basic Salary]]+tblPayroll[[#This Row],[Fixed Allowance]]+tblPayroll[[#This Row],[THR / Bonus]]</f>
        <v>10500000</v>
      </c>
      <c r="L119" s="5">
        <f>ROUND(MIN(tblPayroll[[#This Row],[Basic Salary]]+tblPayroll[[#This Row],[Fixed Allowance]],BPJSKesCap)*R_KesEr,0)</f>
        <v>420000</v>
      </c>
      <c r="M119" s="5">
        <f>ROUND((tblPayroll[[#This Row],[Basic Salary]]+tblPayroll[[#This Row],[Fixed Allowance]])*R_JKK,0)</f>
        <v>25200</v>
      </c>
      <c r="N119" s="5">
        <f>ROUND((tblPayroll[[#This Row],[Basic Salary]]+tblPayroll[[#This Row],[Fixed Allowance]])*R_JKM,0)</f>
        <v>31500</v>
      </c>
      <c r="O119" s="5">
        <f>ROUND((tblPayroll[[#This Row],[Basic Salary]]+tblPayroll[[#This Row],[Fixed Allowance]])*R_JHTEr,0)</f>
        <v>388500</v>
      </c>
      <c r="P119" s="5">
        <f>ROUND(MIN(tblPayroll[[#This Row],[Basic Salary]]+tblPayroll[[#This Row],[Fixed Allowance]],JPCap)*R_JPEr,0)</f>
        <v>210000</v>
      </c>
      <c r="Q119" s="5">
        <f>SUM(tblPayroll[[#This Row],[BPJS Health (Er)]:[JP (Er)]])</f>
        <v>1075200</v>
      </c>
      <c r="R119" s="5">
        <f>tblPayroll[[#This Row],[Gross Salary]]+tblPayroll[[#This Row],[BPJS Health (Er)]]+tblPayroll[[#This Row],[JKK (Er)]]+tblPayroll[[#This Row],[JKM (Er)]]</f>
        <v>10976700</v>
      </c>
      <c r="S119" s="119">
        <f>IF(tblPayroll[[#This Row],[TER Cat]]="A",_xlfn.XLOOKUP(tblPayroll[[#This Row],[PPh 21 Base]],TerA_L,TerA_R,0,-1),IF(tblPayroll[[#This Row],[TER Cat]]="B",_xlfn.XLOOKUP(tblPayroll[[#This Row],[PPh 21 Base]],TerB_L,TerB_R,0,-1),_xlfn.XLOOKUP(tblPayroll[[#This Row],[PPh 21 Base]],TerC_L,TerC_R,0,-1)))</f>
        <v>0.03</v>
      </c>
      <c r="T119" s="5">
        <f>ROUND(tblPayroll[[#This Row],[PPh 21 Base]]*tblPayroll[[#This Row],[TER Rate]],0)</f>
        <v>329301</v>
      </c>
      <c r="U119" s="5">
        <f>ROUND(MIN(tblPayroll[[#This Row],[Basic Salary]]+tblPayroll[[#This Row],[Fixed Allowance]],BPJSKesCap)*R_KesEe,0)</f>
        <v>105000</v>
      </c>
      <c r="V119" s="5">
        <f>ROUND((tblPayroll[[#This Row],[Basic Salary]]+tblPayroll[[#This Row],[Fixed Allowance]])*R_JHTEe,0)</f>
        <v>210000</v>
      </c>
      <c r="W119" s="5">
        <f>ROUND(MIN(tblPayroll[[#This Row],[Basic Salary]]+tblPayroll[[#This Row],[Fixed Allowance]],JPCap)*R_JPEe,0)</f>
        <v>105000</v>
      </c>
      <c r="X119" s="5">
        <f>tblPayroll[[#This Row],[BPJS Health (Ee)]]+tblPayroll[[#This Row],[JHT (Ee)]]+tblPayroll[[#This Row],[JP (Ee)]]</f>
        <v>420000</v>
      </c>
      <c r="Y119" s="5">
        <f>tblPayroll[[#This Row],[Gross Salary]]-tblPayroll[[#This Row],[PPh 21]]-tblPayroll[[#This Row],[Employee BPJS Total]]</f>
        <v>9750699</v>
      </c>
      <c r="Z119" s="5">
        <f>tblPayroll[[#This Row],[Employer BPJS Total]]+tblPayroll[[#This Row],[Employee BPJS Total]]</f>
        <v>1495200</v>
      </c>
      <c r="AA119" s="5">
        <f>tblPayroll[[#This Row],[Gross Salary]]+tblPayroll[[#This Row],[Employer BPJS Total]]</f>
        <v>11575200</v>
      </c>
      <c r="AB119" s="4">
        <v>1130</v>
      </c>
    </row>
    <row r="120" spans="2:28" x14ac:dyDescent="0.35">
      <c r="B120" s="4">
        <v>8</v>
      </c>
      <c r="C120" s="113">
        <v>46259</v>
      </c>
      <c r="D120" s="4" t="s">
        <v>4814</v>
      </c>
      <c r="E120" s="1" t="str">
        <f>_xlfn.XLOOKUP(tblPayroll[[#This Row],[Employee ID]],tblEmployees[Employee ID],tblEmployees[Full Name],"")</f>
        <v>Nadia Putri</v>
      </c>
      <c r="F120" s="1" t="str">
        <f>_xlfn.XLOOKUP(tblPayroll[[#This Row],[Employee ID]],tblEmployees[Employee ID],tblEmployees[Department],"")</f>
        <v>Selling</v>
      </c>
      <c r="G120" s="1" t="str">
        <f>_xlfn.XLOOKUP(tblPayroll[[#This Row],[Employee ID]],tblEmployees[Employee ID],tblEmployees[TER Category],"")</f>
        <v>A</v>
      </c>
      <c r="H120" s="5">
        <f>_xlfn.XLOOKUP(tblPayroll[[#This Row],[Employee ID]],tblEmployees[Employee ID],tblEmployees[Basic Salary],"")</f>
        <v>5800000</v>
      </c>
      <c r="I120" s="5">
        <f>_xlfn.XLOOKUP(tblPayroll[[#This Row],[Employee ID]],tblEmployees[Employee ID],tblEmployees[Fixed Allowance],"")</f>
        <v>700000</v>
      </c>
      <c r="J120" s="6">
        <v>0</v>
      </c>
      <c r="K120" s="5">
        <f>tblPayroll[[#This Row],[Basic Salary]]+tblPayroll[[#This Row],[Fixed Allowance]]+tblPayroll[[#This Row],[THR / Bonus]]</f>
        <v>6500000</v>
      </c>
      <c r="L120" s="5">
        <f>ROUND(MIN(tblPayroll[[#This Row],[Basic Salary]]+tblPayroll[[#This Row],[Fixed Allowance]],BPJSKesCap)*R_KesEr,0)</f>
        <v>260000</v>
      </c>
      <c r="M120" s="5">
        <f>ROUND((tblPayroll[[#This Row],[Basic Salary]]+tblPayroll[[#This Row],[Fixed Allowance]])*R_JKK,0)</f>
        <v>15600</v>
      </c>
      <c r="N120" s="5">
        <f>ROUND((tblPayroll[[#This Row],[Basic Salary]]+tblPayroll[[#This Row],[Fixed Allowance]])*R_JKM,0)</f>
        <v>19500</v>
      </c>
      <c r="O120" s="5">
        <f>ROUND((tblPayroll[[#This Row],[Basic Salary]]+tblPayroll[[#This Row],[Fixed Allowance]])*R_JHTEr,0)</f>
        <v>240500</v>
      </c>
      <c r="P120" s="5">
        <f>ROUND(MIN(tblPayroll[[#This Row],[Basic Salary]]+tblPayroll[[#This Row],[Fixed Allowance]],JPCap)*R_JPEr,0)</f>
        <v>130000</v>
      </c>
      <c r="Q120" s="5">
        <f>SUM(tblPayroll[[#This Row],[BPJS Health (Er)]:[JP (Er)]])</f>
        <v>665600</v>
      </c>
      <c r="R120" s="5">
        <f>tblPayroll[[#This Row],[Gross Salary]]+tblPayroll[[#This Row],[BPJS Health (Er)]]+tblPayroll[[#This Row],[JKK (Er)]]+tblPayroll[[#This Row],[JKM (Er)]]</f>
        <v>6795100</v>
      </c>
      <c r="S120" s="119">
        <f>IF(tblPayroll[[#This Row],[TER Cat]]="A",_xlfn.XLOOKUP(tblPayroll[[#This Row],[PPh 21 Base]],TerA_L,TerA_R,0,-1),IF(tblPayroll[[#This Row],[TER Cat]]="B",_xlfn.XLOOKUP(tblPayroll[[#This Row],[PPh 21 Base]],TerB_L,TerB_R,0,-1),_xlfn.XLOOKUP(tblPayroll[[#This Row],[PPh 21 Base]],TerC_L,TerC_R,0,-1)))</f>
        <v>1.2500000000000001E-2</v>
      </c>
      <c r="T120" s="5">
        <f>ROUND(tblPayroll[[#This Row],[PPh 21 Base]]*tblPayroll[[#This Row],[TER Rate]],0)</f>
        <v>84939</v>
      </c>
      <c r="U120" s="5">
        <f>ROUND(MIN(tblPayroll[[#This Row],[Basic Salary]]+tblPayroll[[#This Row],[Fixed Allowance]],BPJSKesCap)*R_KesEe,0)</f>
        <v>65000</v>
      </c>
      <c r="V120" s="5">
        <f>ROUND((tblPayroll[[#This Row],[Basic Salary]]+tblPayroll[[#This Row],[Fixed Allowance]])*R_JHTEe,0)</f>
        <v>130000</v>
      </c>
      <c r="W120" s="5">
        <f>ROUND(MIN(tblPayroll[[#This Row],[Basic Salary]]+tblPayroll[[#This Row],[Fixed Allowance]],JPCap)*R_JPEe,0)</f>
        <v>65000</v>
      </c>
      <c r="X120" s="5">
        <f>tblPayroll[[#This Row],[BPJS Health (Ee)]]+tblPayroll[[#This Row],[JHT (Ee)]]+tblPayroll[[#This Row],[JP (Ee)]]</f>
        <v>260000</v>
      </c>
      <c r="Y120" s="5">
        <f>tblPayroll[[#This Row],[Gross Salary]]-tblPayroll[[#This Row],[PPh 21]]-tblPayroll[[#This Row],[Employee BPJS Total]]</f>
        <v>6155061</v>
      </c>
      <c r="Z120" s="5">
        <f>tblPayroll[[#This Row],[Employer BPJS Total]]+tblPayroll[[#This Row],[Employee BPJS Total]]</f>
        <v>925600</v>
      </c>
      <c r="AA120" s="5">
        <f>tblPayroll[[#This Row],[Gross Salary]]+tblPayroll[[#This Row],[Employer BPJS Total]]</f>
        <v>7165600</v>
      </c>
      <c r="AB120" s="4">
        <v>1130</v>
      </c>
    </row>
    <row r="121" spans="2:28" x14ac:dyDescent="0.35">
      <c r="B121" s="4">
        <v>8</v>
      </c>
      <c r="C121" s="113">
        <v>46259</v>
      </c>
      <c r="D121" s="4" t="s">
        <v>4819</v>
      </c>
      <c r="E121" s="1" t="str">
        <f>_xlfn.XLOOKUP(tblPayroll[[#This Row],[Employee ID]],tblEmployees[Employee ID],tblEmployees[Full Name],"")</f>
        <v>Dimas Pratama</v>
      </c>
      <c r="F121" s="1" t="str">
        <f>_xlfn.XLOOKUP(tblPayroll[[#This Row],[Employee ID]],tblEmployees[Employee ID],tblEmployees[Department],"")</f>
        <v>Selling</v>
      </c>
      <c r="G121" s="1" t="str">
        <f>_xlfn.XLOOKUP(tblPayroll[[#This Row],[Employee ID]],tblEmployees[Employee ID],tblEmployees[TER Category],"")</f>
        <v>A</v>
      </c>
      <c r="H121" s="5">
        <f>_xlfn.XLOOKUP(tblPayroll[[#This Row],[Employee ID]],tblEmployees[Employee ID],tblEmployees[Basic Salary],"")</f>
        <v>5800000</v>
      </c>
      <c r="I121" s="5">
        <f>_xlfn.XLOOKUP(tblPayroll[[#This Row],[Employee ID]],tblEmployees[Employee ID],tblEmployees[Fixed Allowance],"")</f>
        <v>700000</v>
      </c>
      <c r="J121" s="6">
        <v>0</v>
      </c>
      <c r="K121" s="5">
        <f>tblPayroll[[#This Row],[Basic Salary]]+tblPayroll[[#This Row],[Fixed Allowance]]+tblPayroll[[#This Row],[THR / Bonus]]</f>
        <v>6500000</v>
      </c>
      <c r="L121" s="5">
        <f>ROUND(MIN(tblPayroll[[#This Row],[Basic Salary]]+tblPayroll[[#This Row],[Fixed Allowance]],BPJSKesCap)*R_KesEr,0)</f>
        <v>260000</v>
      </c>
      <c r="M121" s="5">
        <f>ROUND((tblPayroll[[#This Row],[Basic Salary]]+tblPayroll[[#This Row],[Fixed Allowance]])*R_JKK,0)</f>
        <v>15600</v>
      </c>
      <c r="N121" s="5">
        <f>ROUND((tblPayroll[[#This Row],[Basic Salary]]+tblPayroll[[#This Row],[Fixed Allowance]])*R_JKM,0)</f>
        <v>19500</v>
      </c>
      <c r="O121" s="5">
        <f>ROUND((tblPayroll[[#This Row],[Basic Salary]]+tblPayroll[[#This Row],[Fixed Allowance]])*R_JHTEr,0)</f>
        <v>240500</v>
      </c>
      <c r="P121" s="5">
        <f>ROUND(MIN(tblPayroll[[#This Row],[Basic Salary]]+tblPayroll[[#This Row],[Fixed Allowance]],JPCap)*R_JPEr,0)</f>
        <v>130000</v>
      </c>
      <c r="Q121" s="5">
        <f>SUM(tblPayroll[[#This Row],[BPJS Health (Er)]:[JP (Er)]])</f>
        <v>665600</v>
      </c>
      <c r="R121" s="5">
        <f>tblPayroll[[#This Row],[Gross Salary]]+tblPayroll[[#This Row],[BPJS Health (Er)]]+tblPayroll[[#This Row],[JKK (Er)]]+tblPayroll[[#This Row],[JKM (Er)]]</f>
        <v>6795100</v>
      </c>
      <c r="S121" s="119">
        <f>IF(tblPayroll[[#This Row],[TER Cat]]="A",_xlfn.XLOOKUP(tblPayroll[[#This Row],[PPh 21 Base]],TerA_L,TerA_R,0,-1),IF(tblPayroll[[#This Row],[TER Cat]]="B",_xlfn.XLOOKUP(tblPayroll[[#This Row],[PPh 21 Base]],TerB_L,TerB_R,0,-1),_xlfn.XLOOKUP(tblPayroll[[#This Row],[PPh 21 Base]],TerC_L,TerC_R,0,-1)))</f>
        <v>1.2500000000000001E-2</v>
      </c>
      <c r="T121" s="5">
        <f>ROUND(tblPayroll[[#This Row],[PPh 21 Base]]*tblPayroll[[#This Row],[TER Rate]],0)</f>
        <v>84939</v>
      </c>
      <c r="U121" s="5">
        <f>ROUND(MIN(tblPayroll[[#This Row],[Basic Salary]]+tblPayroll[[#This Row],[Fixed Allowance]],BPJSKesCap)*R_KesEe,0)</f>
        <v>65000</v>
      </c>
      <c r="V121" s="5">
        <f>ROUND((tblPayroll[[#This Row],[Basic Salary]]+tblPayroll[[#This Row],[Fixed Allowance]])*R_JHTEe,0)</f>
        <v>130000</v>
      </c>
      <c r="W121" s="5">
        <f>ROUND(MIN(tblPayroll[[#This Row],[Basic Salary]]+tblPayroll[[#This Row],[Fixed Allowance]],JPCap)*R_JPEe,0)</f>
        <v>65000</v>
      </c>
      <c r="X121" s="5">
        <f>tblPayroll[[#This Row],[BPJS Health (Ee)]]+tblPayroll[[#This Row],[JHT (Ee)]]+tblPayroll[[#This Row],[JP (Ee)]]</f>
        <v>260000</v>
      </c>
      <c r="Y121" s="5">
        <f>tblPayroll[[#This Row],[Gross Salary]]-tblPayroll[[#This Row],[PPh 21]]-tblPayroll[[#This Row],[Employee BPJS Total]]</f>
        <v>6155061</v>
      </c>
      <c r="Z121" s="5">
        <f>tblPayroll[[#This Row],[Employer BPJS Total]]+tblPayroll[[#This Row],[Employee BPJS Total]]</f>
        <v>925600</v>
      </c>
      <c r="AA121" s="5">
        <f>tblPayroll[[#This Row],[Gross Salary]]+tblPayroll[[#This Row],[Employer BPJS Total]]</f>
        <v>7165600</v>
      </c>
      <c r="AB121" s="4">
        <v>1130</v>
      </c>
    </row>
    <row r="122" spans="2:28" x14ac:dyDescent="0.35">
      <c r="B122" s="4">
        <v>8</v>
      </c>
      <c r="C122" s="113">
        <v>46259</v>
      </c>
      <c r="D122" s="4" t="s">
        <v>4823</v>
      </c>
      <c r="E122" s="1" t="str">
        <f>_xlfn.XLOOKUP(tblPayroll[[#This Row],[Employee ID]],tblEmployees[Employee ID],tblEmployees[Full Name],"")</f>
        <v>Yusuf Hidayat</v>
      </c>
      <c r="F122" s="1" t="str">
        <f>_xlfn.XLOOKUP(tblPayroll[[#This Row],[Employee ID]],tblEmployees[Employee ID],tblEmployees[Department],"")</f>
        <v>Selling</v>
      </c>
      <c r="G122" s="1" t="str">
        <f>_xlfn.XLOOKUP(tblPayroll[[#This Row],[Employee ID]],tblEmployees[Employee ID],tblEmployees[TER Category],"")</f>
        <v>B</v>
      </c>
      <c r="H122" s="5">
        <f>_xlfn.XLOOKUP(tblPayroll[[#This Row],[Employee ID]],tblEmployees[Employee ID],tblEmployees[Basic Salary],"")</f>
        <v>7500000</v>
      </c>
      <c r="I122" s="5">
        <f>_xlfn.XLOOKUP(tblPayroll[[#This Row],[Employee ID]],tblEmployees[Employee ID],tblEmployees[Fixed Allowance],"")</f>
        <v>1000000</v>
      </c>
      <c r="J122" s="6">
        <v>0</v>
      </c>
      <c r="K122" s="5">
        <f>tblPayroll[[#This Row],[Basic Salary]]+tblPayroll[[#This Row],[Fixed Allowance]]+tblPayroll[[#This Row],[THR / Bonus]]</f>
        <v>8500000</v>
      </c>
      <c r="L122" s="5">
        <f>ROUND(MIN(tblPayroll[[#This Row],[Basic Salary]]+tblPayroll[[#This Row],[Fixed Allowance]],BPJSKesCap)*R_KesEr,0)</f>
        <v>340000</v>
      </c>
      <c r="M122" s="5">
        <f>ROUND((tblPayroll[[#This Row],[Basic Salary]]+tblPayroll[[#This Row],[Fixed Allowance]])*R_JKK,0)</f>
        <v>20400</v>
      </c>
      <c r="N122" s="5">
        <f>ROUND((tblPayroll[[#This Row],[Basic Salary]]+tblPayroll[[#This Row],[Fixed Allowance]])*R_JKM,0)</f>
        <v>25500</v>
      </c>
      <c r="O122" s="5">
        <f>ROUND((tblPayroll[[#This Row],[Basic Salary]]+tblPayroll[[#This Row],[Fixed Allowance]])*R_JHTEr,0)</f>
        <v>314500</v>
      </c>
      <c r="P122" s="5">
        <f>ROUND(MIN(tblPayroll[[#This Row],[Basic Salary]]+tblPayroll[[#This Row],[Fixed Allowance]],JPCap)*R_JPEr,0)</f>
        <v>170000</v>
      </c>
      <c r="Q122" s="5">
        <f>SUM(tblPayroll[[#This Row],[BPJS Health (Er)]:[JP (Er)]])</f>
        <v>870400</v>
      </c>
      <c r="R122" s="5">
        <f>tblPayroll[[#This Row],[Gross Salary]]+tblPayroll[[#This Row],[BPJS Health (Er)]]+tblPayroll[[#This Row],[JKK (Er)]]+tblPayroll[[#This Row],[JKM (Er)]]</f>
        <v>8885900</v>
      </c>
      <c r="S122" s="119">
        <f>IF(tblPayroll[[#This Row],[TER Cat]]="A",_xlfn.XLOOKUP(tblPayroll[[#This Row],[PPh 21 Base]],TerA_L,TerA_R,0,-1),IF(tblPayroll[[#This Row],[TER Cat]]="B",_xlfn.XLOOKUP(tblPayroll[[#This Row],[PPh 21 Base]],TerB_L,TerB_R,0,-1),_xlfn.XLOOKUP(tblPayroll[[#This Row],[PPh 21 Base]],TerC_L,TerC_R,0,-1)))</f>
        <v>0.01</v>
      </c>
      <c r="T122" s="5">
        <f>ROUND(tblPayroll[[#This Row],[PPh 21 Base]]*tblPayroll[[#This Row],[TER Rate]],0)</f>
        <v>88859</v>
      </c>
      <c r="U122" s="5">
        <f>ROUND(MIN(tblPayroll[[#This Row],[Basic Salary]]+tblPayroll[[#This Row],[Fixed Allowance]],BPJSKesCap)*R_KesEe,0)</f>
        <v>85000</v>
      </c>
      <c r="V122" s="5">
        <f>ROUND((tblPayroll[[#This Row],[Basic Salary]]+tblPayroll[[#This Row],[Fixed Allowance]])*R_JHTEe,0)</f>
        <v>170000</v>
      </c>
      <c r="W122" s="5">
        <f>ROUND(MIN(tblPayroll[[#This Row],[Basic Salary]]+tblPayroll[[#This Row],[Fixed Allowance]],JPCap)*R_JPEe,0)</f>
        <v>85000</v>
      </c>
      <c r="X122" s="5">
        <f>tblPayroll[[#This Row],[BPJS Health (Ee)]]+tblPayroll[[#This Row],[JHT (Ee)]]+tblPayroll[[#This Row],[JP (Ee)]]</f>
        <v>340000</v>
      </c>
      <c r="Y122" s="5">
        <f>tblPayroll[[#This Row],[Gross Salary]]-tblPayroll[[#This Row],[PPh 21]]-tblPayroll[[#This Row],[Employee BPJS Total]]</f>
        <v>8071141</v>
      </c>
      <c r="Z122" s="5">
        <f>tblPayroll[[#This Row],[Employer BPJS Total]]+tblPayroll[[#This Row],[Employee BPJS Total]]</f>
        <v>1210400</v>
      </c>
      <c r="AA122" s="5">
        <f>tblPayroll[[#This Row],[Gross Salary]]+tblPayroll[[#This Row],[Employer BPJS Total]]</f>
        <v>9370400</v>
      </c>
      <c r="AB122" s="4">
        <v>1130</v>
      </c>
    </row>
    <row r="123" spans="2:28" x14ac:dyDescent="0.35">
      <c r="B123" s="4">
        <v>8</v>
      </c>
      <c r="C123" s="113">
        <v>46259</v>
      </c>
      <c r="D123" s="4" t="s">
        <v>4828</v>
      </c>
      <c r="E123" s="1" t="str">
        <f>_xlfn.XLOOKUP(tblPayroll[[#This Row],[Employee ID]],tblEmployees[Employee ID],tblEmployees[Full Name],"")</f>
        <v>Lestari Wulandari</v>
      </c>
      <c r="F123" s="1" t="str">
        <f>_xlfn.XLOOKUP(tblPayroll[[#This Row],[Employee ID]],tblEmployees[Employee ID],tblEmployees[Department],"")</f>
        <v>Selling</v>
      </c>
      <c r="G123" s="1" t="str">
        <f>_xlfn.XLOOKUP(tblPayroll[[#This Row],[Employee ID]],tblEmployees[Employee ID],tblEmployees[TER Category],"")</f>
        <v>A</v>
      </c>
      <c r="H123" s="5">
        <f>_xlfn.XLOOKUP(tblPayroll[[#This Row],[Employee ID]],tblEmployees[Employee ID],tblEmployees[Basic Salary],"")</f>
        <v>5600000</v>
      </c>
      <c r="I123" s="5">
        <f>_xlfn.XLOOKUP(tblPayroll[[#This Row],[Employee ID]],tblEmployees[Employee ID],tblEmployees[Fixed Allowance],"")</f>
        <v>600000</v>
      </c>
      <c r="J123" s="6">
        <v>0</v>
      </c>
      <c r="K123" s="5">
        <f>tblPayroll[[#This Row],[Basic Salary]]+tblPayroll[[#This Row],[Fixed Allowance]]+tblPayroll[[#This Row],[THR / Bonus]]</f>
        <v>6200000</v>
      </c>
      <c r="L123" s="5">
        <f>ROUND(MIN(tblPayroll[[#This Row],[Basic Salary]]+tblPayroll[[#This Row],[Fixed Allowance]],BPJSKesCap)*R_KesEr,0)</f>
        <v>248000</v>
      </c>
      <c r="M123" s="5">
        <f>ROUND((tblPayroll[[#This Row],[Basic Salary]]+tblPayroll[[#This Row],[Fixed Allowance]])*R_JKK,0)</f>
        <v>14880</v>
      </c>
      <c r="N123" s="5">
        <f>ROUND((tblPayroll[[#This Row],[Basic Salary]]+tblPayroll[[#This Row],[Fixed Allowance]])*R_JKM,0)</f>
        <v>18600</v>
      </c>
      <c r="O123" s="5">
        <f>ROUND((tblPayroll[[#This Row],[Basic Salary]]+tblPayroll[[#This Row],[Fixed Allowance]])*R_JHTEr,0)</f>
        <v>229400</v>
      </c>
      <c r="P123" s="5">
        <f>ROUND(MIN(tblPayroll[[#This Row],[Basic Salary]]+tblPayroll[[#This Row],[Fixed Allowance]],JPCap)*R_JPEr,0)</f>
        <v>124000</v>
      </c>
      <c r="Q123" s="5">
        <f>SUM(tblPayroll[[#This Row],[BPJS Health (Er)]:[JP (Er)]])</f>
        <v>634880</v>
      </c>
      <c r="R123" s="5">
        <f>tblPayroll[[#This Row],[Gross Salary]]+tblPayroll[[#This Row],[BPJS Health (Er)]]+tblPayroll[[#This Row],[JKK (Er)]]+tblPayroll[[#This Row],[JKM (Er)]]</f>
        <v>6481480</v>
      </c>
      <c r="S123" s="119">
        <f>IF(tblPayroll[[#This Row],[TER Cat]]="A",_xlfn.XLOOKUP(tblPayroll[[#This Row],[PPh 21 Base]],TerA_L,TerA_R,0,-1),IF(tblPayroll[[#This Row],[TER Cat]]="B",_xlfn.XLOOKUP(tblPayroll[[#This Row],[PPh 21 Base]],TerB_L,TerB_R,0,-1),_xlfn.XLOOKUP(tblPayroll[[#This Row],[PPh 21 Base]],TerC_L,TerC_R,0,-1)))</f>
        <v>0.01</v>
      </c>
      <c r="T123" s="5">
        <f>ROUND(tblPayroll[[#This Row],[PPh 21 Base]]*tblPayroll[[#This Row],[TER Rate]],0)</f>
        <v>64815</v>
      </c>
      <c r="U123" s="5">
        <f>ROUND(MIN(tblPayroll[[#This Row],[Basic Salary]]+tblPayroll[[#This Row],[Fixed Allowance]],BPJSKesCap)*R_KesEe,0)</f>
        <v>62000</v>
      </c>
      <c r="V123" s="5">
        <f>ROUND((tblPayroll[[#This Row],[Basic Salary]]+tblPayroll[[#This Row],[Fixed Allowance]])*R_JHTEe,0)</f>
        <v>124000</v>
      </c>
      <c r="W123" s="5">
        <f>ROUND(MIN(tblPayroll[[#This Row],[Basic Salary]]+tblPayroll[[#This Row],[Fixed Allowance]],JPCap)*R_JPEe,0)</f>
        <v>62000</v>
      </c>
      <c r="X123" s="5">
        <f>tblPayroll[[#This Row],[BPJS Health (Ee)]]+tblPayroll[[#This Row],[JHT (Ee)]]+tblPayroll[[#This Row],[JP (Ee)]]</f>
        <v>248000</v>
      </c>
      <c r="Y123" s="5">
        <f>tblPayroll[[#This Row],[Gross Salary]]-tblPayroll[[#This Row],[PPh 21]]-tblPayroll[[#This Row],[Employee BPJS Total]]</f>
        <v>5887185</v>
      </c>
      <c r="Z123" s="5">
        <f>tblPayroll[[#This Row],[Employer BPJS Total]]+tblPayroll[[#This Row],[Employee BPJS Total]]</f>
        <v>882880</v>
      </c>
      <c r="AA123" s="5">
        <f>tblPayroll[[#This Row],[Gross Salary]]+tblPayroll[[#This Row],[Employer BPJS Total]]</f>
        <v>6834880</v>
      </c>
      <c r="AB123" s="4">
        <v>1130</v>
      </c>
    </row>
    <row r="124" spans="2:28" x14ac:dyDescent="0.35">
      <c r="B124" s="4">
        <v>8</v>
      </c>
      <c r="C124" s="113">
        <v>46259</v>
      </c>
      <c r="D124" s="4" t="s">
        <v>4834</v>
      </c>
      <c r="E124" s="1" t="str">
        <f>_xlfn.XLOOKUP(tblPayroll[[#This Row],[Employee ID]],tblEmployees[Employee ID],tblEmployees[Full Name],"")</f>
        <v>Bayu Nugroho</v>
      </c>
      <c r="F124" s="1" t="str">
        <f>_xlfn.XLOOKUP(tblPayroll[[#This Row],[Employee ID]],tblEmployees[Employee ID],tblEmployees[Department],"")</f>
        <v>Selling</v>
      </c>
      <c r="G124" s="1" t="str">
        <f>_xlfn.XLOOKUP(tblPayroll[[#This Row],[Employee ID]],tblEmployees[Employee ID],tblEmployees[TER Category],"")</f>
        <v>B</v>
      </c>
      <c r="H124" s="5">
        <f>_xlfn.XLOOKUP(tblPayroll[[#This Row],[Employee ID]],tblEmployees[Employee ID],tblEmployees[Basic Salary],"")</f>
        <v>5600000</v>
      </c>
      <c r="I124" s="5">
        <f>_xlfn.XLOOKUP(tblPayroll[[#This Row],[Employee ID]],tblEmployees[Employee ID],tblEmployees[Fixed Allowance],"")</f>
        <v>600000</v>
      </c>
      <c r="J124" s="6">
        <v>0</v>
      </c>
      <c r="K124" s="5">
        <f>tblPayroll[[#This Row],[Basic Salary]]+tblPayroll[[#This Row],[Fixed Allowance]]+tblPayroll[[#This Row],[THR / Bonus]]</f>
        <v>6200000</v>
      </c>
      <c r="L124" s="5">
        <f>ROUND(MIN(tblPayroll[[#This Row],[Basic Salary]]+tblPayroll[[#This Row],[Fixed Allowance]],BPJSKesCap)*R_KesEr,0)</f>
        <v>248000</v>
      </c>
      <c r="M124" s="5">
        <f>ROUND((tblPayroll[[#This Row],[Basic Salary]]+tblPayroll[[#This Row],[Fixed Allowance]])*R_JKK,0)</f>
        <v>14880</v>
      </c>
      <c r="N124" s="5">
        <f>ROUND((tblPayroll[[#This Row],[Basic Salary]]+tblPayroll[[#This Row],[Fixed Allowance]])*R_JKM,0)</f>
        <v>18600</v>
      </c>
      <c r="O124" s="5">
        <f>ROUND((tblPayroll[[#This Row],[Basic Salary]]+tblPayroll[[#This Row],[Fixed Allowance]])*R_JHTEr,0)</f>
        <v>229400</v>
      </c>
      <c r="P124" s="5">
        <f>ROUND(MIN(tblPayroll[[#This Row],[Basic Salary]]+tblPayroll[[#This Row],[Fixed Allowance]],JPCap)*R_JPEr,0)</f>
        <v>124000</v>
      </c>
      <c r="Q124" s="5">
        <f>SUM(tblPayroll[[#This Row],[BPJS Health (Er)]:[JP (Er)]])</f>
        <v>634880</v>
      </c>
      <c r="R124" s="5">
        <f>tblPayroll[[#This Row],[Gross Salary]]+tblPayroll[[#This Row],[BPJS Health (Er)]]+tblPayroll[[#This Row],[JKK (Er)]]+tblPayroll[[#This Row],[JKM (Er)]]</f>
        <v>6481480</v>
      </c>
      <c r="S124" s="119">
        <f>IF(tblPayroll[[#This Row],[TER Cat]]="A",_xlfn.XLOOKUP(tblPayroll[[#This Row],[PPh 21 Base]],TerA_L,TerA_R,0,-1),IF(tblPayroll[[#This Row],[TER Cat]]="B",_xlfn.XLOOKUP(tblPayroll[[#This Row],[PPh 21 Base]],TerB_L,TerB_R,0,-1),_xlfn.XLOOKUP(tblPayroll[[#This Row],[PPh 21 Base]],TerC_L,TerC_R,0,-1)))</f>
        <v>2.5000000000000001E-3</v>
      </c>
      <c r="T124" s="5">
        <f>ROUND(tblPayroll[[#This Row],[PPh 21 Base]]*tblPayroll[[#This Row],[TER Rate]],0)</f>
        <v>16204</v>
      </c>
      <c r="U124" s="5">
        <f>ROUND(MIN(tblPayroll[[#This Row],[Basic Salary]]+tblPayroll[[#This Row],[Fixed Allowance]],BPJSKesCap)*R_KesEe,0)</f>
        <v>62000</v>
      </c>
      <c r="V124" s="5">
        <f>ROUND((tblPayroll[[#This Row],[Basic Salary]]+tblPayroll[[#This Row],[Fixed Allowance]])*R_JHTEe,0)</f>
        <v>124000</v>
      </c>
      <c r="W124" s="5">
        <f>ROUND(MIN(tblPayroll[[#This Row],[Basic Salary]]+tblPayroll[[#This Row],[Fixed Allowance]],JPCap)*R_JPEe,0)</f>
        <v>62000</v>
      </c>
      <c r="X124" s="5">
        <f>tblPayroll[[#This Row],[BPJS Health (Ee)]]+tblPayroll[[#This Row],[JHT (Ee)]]+tblPayroll[[#This Row],[JP (Ee)]]</f>
        <v>248000</v>
      </c>
      <c r="Y124" s="5">
        <f>tblPayroll[[#This Row],[Gross Salary]]-tblPayroll[[#This Row],[PPh 21]]-tblPayroll[[#This Row],[Employee BPJS Total]]</f>
        <v>5935796</v>
      </c>
      <c r="Z124" s="5">
        <f>tblPayroll[[#This Row],[Employer BPJS Total]]+tblPayroll[[#This Row],[Employee BPJS Total]]</f>
        <v>882880</v>
      </c>
      <c r="AA124" s="5">
        <f>tblPayroll[[#This Row],[Gross Salary]]+tblPayroll[[#This Row],[Employer BPJS Total]]</f>
        <v>6834880</v>
      </c>
      <c r="AB124" s="4">
        <v>1130</v>
      </c>
    </row>
    <row r="125" spans="2:28" x14ac:dyDescent="0.35">
      <c r="B125" s="4">
        <v>8</v>
      </c>
      <c r="C125" s="113">
        <v>46259</v>
      </c>
      <c r="D125" s="4" t="s">
        <v>4839</v>
      </c>
      <c r="E125" s="1" t="str">
        <f>_xlfn.XLOOKUP(tblPayroll[[#This Row],[Employee ID]],tblEmployees[Employee ID],tblEmployees[Full Name],"")</f>
        <v>Maya Sari</v>
      </c>
      <c r="F125" s="1" t="str">
        <f>_xlfn.XLOOKUP(tblPayroll[[#This Row],[Employee ID]],tblEmployees[Employee ID],tblEmployees[Department],"")</f>
        <v>Selling</v>
      </c>
      <c r="G125" s="1" t="str">
        <f>_xlfn.XLOOKUP(tblPayroll[[#This Row],[Employee ID]],tblEmployees[Employee ID],tblEmployees[TER Category],"")</f>
        <v>A</v>
      </c>
      <c r="H125" s="5">
        <f>_xlfn.XLOOKUP(tblPayroll[[#This Row],[Employee ID]],tblEmployees[Employee ID],tblEmployees[Basic Salary],"")</f>
        <v>5700000</v>
      </c>
      <c r="I125" s="5">
        <f>_xlfn.XLOOKUP(tblPayroll[[#This Row],[Employee ID]],tblEmployees[Employee ID],tblEmployees[Fixed Allowance],"")</f>
        <v>600000</v>
      </c>
      <c r="J125" s="6">
        <v>0</v>
      </c>
      <c r="K125" s="5">
        <f>tblPayroll[[#This Row],[Basic Salary]]+tblPayroll[[#This Row],[Fixed Allowance]]+tblPayroll[[#This Row],[THR / Bonus]]</f>
        <v>6300000</v>
      </c>
      <c r="L125" s="5">
        <f>ROUND(MIN(tblPayroll[[#This Row],[Basic Salary]]+tblPayroll[[#This Row],[Fixed Allowance]],BPJSKesCap)*R_KesEr,0)</f>
        <v>252000</v>
      </c>
      <c r="M125" s="5">
        <f>ROUND((tblPayroll[[#This Row],[Basic Salary]]+tblPayroll[[#This Row],[Fixed Allowance]])*R_JKK,0)</f>
        <v>15120</v>
      </c>
      <c r="N125" s="5">
        <f>ROUND((tblPayroll[[#This Row],[Basic Salary]]+tblPayroll[[#This Row],[Fixed Allowance]])*R_JKM,0)</f>
        <v>18900</v>
      </c>
      <c r="O125" s="5">
        <f>ROUND((tblPayroll[[#This Row],[Basic Salary]]+tblPayroll[[#This Row],[Fixed Allowance]])*R_JHTEr,0)</f>
        <v>233100</v>
      </c>
      <c r="P125" s="5">
        <f>ROUND(MIN(tblPayroll[[#This Row],[Basic Salary]]+tblPayroll[[#This Row],[Fixed Allowance]],JPCap)*R_JPEr,0)</f>
        <v>126000</v>
      </c>
      <c r="Q125" s="5">
        <f>SUM(tblPayroll[[#This Row],[BPJS Health (Er)]:[JP (Er)]])</f>
        <v>645120</v>
      </c>
      <c r="R125" s="5">
        <f>tblPayroll[[#This Row],[Gross Salary]]+tblPayroll[[#This Row],[BPJS Health (Er)]]+tblPayroll[[#This Row],[JKK (Er)]]+tblPayroll[[#This Row],[JKM (Er)]]</f>
        <v>6586020</v>
      </c>
      <c r="S125" s="119">
        <f>IF(tblPayroll[[#This Row],[TER Cat]]="A",_xlfn.XLOOKUP(tblPayroll[[#This Row],[PPh 21 Base]],TerA_L,TerA_R,0,-1),IF(tblPayroll[[#This Row],[TER Cat]]="B",_xlfn.XLOOKUP(tblPayroll[[#This Row],[PPh 21 Base]],TerB_L,TerB_R,0,-1),_xlfn.XLOOKUP(tblPayroll[[#This Row],[PPh 21 Base]],TerC_L,TerC_R,0,-1)))</f>
        <v>0.01</v>
      </c>
      <c r="T125" s="5">
        <f>ROUND(tblPayroll[[#This Row],[PPh 21 Base]]*tblPayroll[[#This Row],[TER Rate]],0)</f>
        <v>65860</v>
      </c>
      <c r="U125" s="5">
        <f>ROUND(MIN(tblPayroll[[#This Row],[Basic Salary]]+tblPayroll[[#This Row],[Fixed Allowance]],BPJSKesCap)*R_KesEe,0)</f>
        <v>63000</v>
      </c>
      <c r="V125" s="5">
        <f>ROUND((tblPayroll[[#This Row],[Basic Salary]]+tblPayroll[[#This Row],[Fixed Allowance]])*R_JHTEe,0)</f>
        <v>126000</v>
      </c>
      <c r="W125" s="5">
        <f>ROUND(MIN(tblPayroll[[#This Row],[Basic Salary]]+tblPayroll[[#This Row],[Fixed Allowance]],JPCap)*R_JPEe,0)</f>
        <v>63000</v>
      </c>
      <c r="X125" s="5">
        <f>tblPayroll[[#This Row],[BPJS Health (Ee)]]+tblPayroll[[#This Row],[JHT (Ee)]]+tblPayroll[[#This Row],[JP (Ee)]]</f>
        <v>252000</v>
      </c>
      <c r="Y125" s="5">
        <f>tblPayroll[[#This Row],[Gross Salary]]-tblPayroll[[#This Row],[PPh 21]]-tblPayroll[[#This Row],[Employee BPJS Total]]</f>
        <v>5982140</v>
      </c>
      <c r="Z125" s="5">
        <f>tblPayroll[[#This Row],[Employer BPJS Total]]+tblPayroll[[#This Row],[Employee BPJS Total]]</f>
        <v>897120</v>
      </c>
      <c r="AA125" s="5">
        <f>tblPayroll[[#This Row],[Gross Salary]]+tblPayroll[[#This Row],[Employer BPJS Total]]</f>
        <v>6945120</v>
      </c>
      <c r="AB125" s="4">
        <v>1130</v>
      </c>
    </row>
    <row r="126" spans="2:28" x14ac:dyDescent="0.35">
      <c r="B126" s="4">
        <v>8</v>
      </c>
      <c r="C126" s="113">
        <v>46259</v>
      </c>
      <c r="D126" s="4" t="s">
        <v>4844</v>
      </c>
      <c r="E126" s="1" t="str">
        <f>_xlfn.XLOOKUP(tblPayroll[[#This Row],[Employee ID]],tblEmployees[Employee ID],tblEmployees[Full Name],"")</f>
        <v>Hendra Wijaya</v>
      </c>
      <c r="F126" s="1" t="str">
        <f>_xlfn.XLOOKUP(tblPayroll[[#This Row],[Employee ID]],tblEmployees[Employee ID],tblEmployees[Department],"")</f>
        <v>G&amp;A</v>
      </c>
      <c r="G126" s="1" t="str">
        <f>_xlfn.XLOOKUP(tblPayroll[[#This Row],[Employee ID]],tblEmployees[Employee ID],tblEmployees[TER Category],"")</f>
        <v>A</v>
      </c>
      <c r="H126" s="5">
        <f>_xlfn.XLOOKUP(tblPayroll[[#This Row],[Employee ID]],tblEmployees[Employee ID],tblEmployees[Basic Salary],"")</f>
        <v>9500000</v>
      </c>
      <c r="I126" s="5">
        <f>_xlfn.XLOOKUP(tblPayroll[[#This Row],[Employee ID]],tblEmployees[Employee ID],tblEmployees[Fixed Allowance],"")</f>
        <v>1000000</v>
      </c>
      <c r="J126" s="6">
        <v>0</v>
      </c>
      <c r="K126" s="5">
        <f>tblPayroll[[#This Row],[Basic Salary]]+tblPayroll[[#This Row],[Fixed Allowance]]+tblPayroll[[#This Row],[THR / Bonus]]</f>
        <v>10500000</v>
      </c>
      <c r="L126" s="5">
        <f>ROUND(MIN(tblPayroll[[#This Row],[Basic Salary]]+tblPayroll[[#This Row],[Fixed Allowance]],BPJSKesCap)*R_KesEr,0)</f>
        <v>420000</v>
      </c>
      <c r="M126" s="5">
        <f>ROUND((tblPayroll[[#This Row],[Basic Salary]]+tblPayroll[[#This Row],[Fixed Allowance]])*R_JKK,0)</f>
        <v>25200</v>
      </c>
      <c r="N126" s="5">
        <f>ROUND((tblPayroll[[#This Row],[Basic Salary]]+tblPayroll[[#This Row],[Fixed Allowance]])*R_JKM,0)</f>
        <v>31500</v>
      </c>
      <c r="O126" s="5">
        <f>ROUND((tblPayroll[[#This Row],[Basic Salary]]+tblPayroll[[#This Row],[Fixed Allowance]])*R_JHTEr,0)</f>
        <v>388500</v>
      </c>
      <c r="P126" s="5">
        <f>ROUND(MIN(tblPayroll[[#This Row],[Basic Salary]]+tblPayroll[[#This Row],[Fixed Allowance]],JPCap)*R_JPEr,0)</f>
        <v>210000</v>
      </c>
      <c r="Q126" s="5">
        <f>SUM(tblPayroll[[#This Row],[BPJS Health (Er)]:[JP (Er)]])</f>
        <v>1075200</v>
      </c>
      <c r="R126" s="5">
        <f>tblPayroll[[#This Row],[Gross Salary]]+tblPayroll[[#This Row],[BPJS Health (Er)]]+tblPayroll[[#This Row],[JKK (Er)]]+tblPayroll[[#This Row],[JKM (Er)]]</f>
        <v>10976700</v>
      </c>
      <c r="S126" s="119">
        <f>IF(tblPayroll[[#This Row],[TER Cat]]="A",_xlfn.XLOOKUP(tblPayroll[[#This Row],[PPh 21 Base]],TerA_L,TerA_R,0,-1),IF(tblPayroll[[#This Row],[TER Cat]]="B",_xlfn.XLOOKUP(tblPayroll[[#This Row],[PPh 21 Base]],TerB_L,TerB_R,0,-1),_xlfn.XLOOKUP(tblPayroll[[#This Row],[PPh 21 Base]],TerC_L,TerC_R,0,-1)))</f>
        <v>0.03</v>
      </c>
      <c r="T126" s="5">
        <f>ROUND(tblPayroll[[#This Row],[PPh 21 Base]]*tblPayroll[[#This Row],[TER Rate]],0)</f>
        <v>329301</v>
      </c>
      <c r="U126" s="5">
        <f>ROUND(MIN(tblPayroll[[#This Row],[Basic Salary]]+tblPayroll[[#This Row],[Fixed Allowance]],BPJSKesCap)*R_KesEe,0)</f>
        <v>105000</v>
      </c>
      <c r="V126" s="5">
        <f>ROUND((tblPayroll[[#This Row],[Basic Salary]]+tblPayroll[[#This Row],[Fixed Allowance]])*R_JHTEe,0)</f>
        <v>210000</v>
      </c>
      <c r="W126" s="5">
        <f>ROUND(MIN(tblPayroll[[#This Row],[Basic Salary]]+tblPayroll[[#This Row],[Fixed Allowance]],JPCap)*R_JPEe,0)</f>
        <v>105000</v>
      </c>
      <c r="X126" s="5">
        <f>tblPayroll[[#This Row],[BPJS Health (Ee)]]+tblPayroll[[#This Row],[JHT (Ee)]]+tblPayroll[[#This Row],[JP (Ee)]]</f>
        <v>420000</v>
      </c>
      <c r="Y126" s="5">
        <f>tblPayroll[[#This Row],[Gross Salary]]-tblPayroll[[#This Row],[PPh 21]]-tblPayroll[[#This Row],[Employee BPJS Total]]</f>
        <v>9750699</v>
      </c>
      <c r="Z126" s="5">
        <f>tblPayroll[[#This Row],[Employer BPJS Total]]+tblPayroll[[#This Row],[Employee BPJS Total]]</f>
        <v>1495200</v>
      </c>
      <c r="AA126" s="5">
        <f>tblPayroll[[#This Row],[Gross Salary]]+tblPayroll[[#This Row],[Employer BPJS Total]]</f>
        <v>11575200</v>
      </c>
      <c r="AB126" s="4">
        <v>1130</v>
      </c>
    </row>
    <row r="127" spans="2:28" x14ac:dyDescent="0.35">
      <c r="B127" s="4">
        <v>9</v>
      </c>
      <c r="C127" s="113">
        <v>46290</v>
      </c>
      <c r="D127" s="4" t="s">
        <v>4774</v>
      </c>
      <c r="E127" s="1" t="str">
        <f>_xlfn.XLOOKUP(tblPayroll[[#This Row],[Employee ID]],tblEmployees[Employee ID],tblEmployees[Full Name],"")</f>
        <v>Budi Santoso</v>
      </c>
      <c r="F127" s="1" t="str">
        <f>_xlfn.XLOOKUP(tblPayroll[[#This Row],[Employee ID]],tblEmployees[Employee ID],tblEmployees[Department],"")</f>
        <v>G&amp;A</v>
      </c>
      <c r="G127" s="1" t="str">
        <f>_xlfn.XLOOKUP(tblPayroll[[#This Row],[Employee ID]],tblEmployees[Employee ID],tblEmployees[TER Category],"")</f>
        <v>B</v>
      </c>
      <c r="H127" s="5">
        <f>_xlfn.XLOOKUP(tblPayroll[[#This Row],[Employee ID]],tblEmployees[Employee ID],tblEmployees[Basic Salary],"")</f>
        <v>25000000</v>
      </c>
      <c r="I127" s="5">
        <f>_xlfn.XLOOKUP(tblPayroll[[#This Row],[Employee ID]],tblEmployees[Employee ID],tblEmployees[Fixed Allowance],"")</f>
        <v>4000000</v>
      </c>
      <c r="J127" s="6">
        <v>0</v>
      </c>
      <c r="K127" s="5">
        <f>tblPayroll[[#This Row],[Basic Salary]]+tblPayroll[[#This Row],[Fixed Allowance]]+tblPayroll[[#This Row],[THR / Bonus]]</f>
        <v>29000000</v>
      </c>
      <c r="L127" s="5">
        <f>ROUND(MIN(tblPayroll[[#This Row],[Basic Salary]]+tblPayroll[[#This Row],[Fixed Allowance]],BPJSKesCap)*R_KesEr,0)</f>
        <v>480000</v>
      </c>
      <c r="M127" s="5">
        <f>ROUND((tblPayroll[[#This Row],[Basic Salary]]+tblPayroll[[#This Row],[Fixed Allowance]])*R_JKK,0)</f>
        <v>69600</v>
      </c>
      <c r="N127" s="5">
        <f>ROUND((tblPayroll[[#This Row],[Basic Salary]]+tblPayroll[[#This Row],[Fixed Allowance]])*R_JKM,0)</f>
        <v>87000</v>
      </c>
      <c r="O127" s="5">
        <f>ROUND((tblPayroll[[#This Row],[Basic Salary]]+tblPayroll[[#This Row],[Fixed Allowance]])*R_JHTEr,0)</f>
        <v>1073000</v>
      </c>
      <c r="P127" s="5">
        <f>ROUND(MIN(tblPayroll[[#This Row],[Basic Salary]]+tblPayroll[[#This Row],[Fixed Allowance]],JPCap)*R_JPEr,0)</f>
        <v>210948</v>
      </c>
      <c r="Q127" s="5">
        <f>SUM(tblPayroll[[#This Row],[BPJS Health (Er)]:[JP (Er)]])</f>
        <v>1920548</v>
      </c>
      <c r="R127" s="5">
        <f>tblPayroll[[#This Row],[Gross Salary]]+tblPayroll[[#This Row],[BPJS Health (Er)]]+tblPayroll[[#This Row],[JKK (Er)]]+tblPayroll[[#This Row],[JKM (Er)]]</f>
        <v>29636600</v>
      </c>
      <c r="S127" s="119">
        <f>IF(tblPayroll[[#This Row],[TER Cat]]="A",_xlfn.XLOOKUP(tblPayroll[[#This Row],[PPh 21 Base]],TerA_L,TerA_R,0,-1),IF(tblPayroll[[#This Row],[TER Cat]]="B",_xlfn.XLOOKUP(tblPayroll[[#This Row],[PPh 21 Base]],TerB_L,TerB_R,0,-1),_xlfn.XLOOKUP(tblPayroll[[#This Row],[PPh 21 Base]],TerC_L,TerC_R,0,-1)))</f>
        <v>0.12</v>
      </c>
      <c r="T127" s="5">
        <f>ROUND(tblPayroll[[#This Row],[PPh 21 Base]]*tblPayroll[[#This Row],[TER Rate]],0)</f>
        <v>3556392</v>
      </c>
      <c r="U127" s="5">
        <f>ROUND(MIN(tblPayroll[[#This Row],[Basic Salary]]+tblPayroll[[#This Row],[Fixed Allowance]],BPJSKesCap)*R_KesEe,0)</f>
        <v>120000</v>
      </c>
      <c r="V127" s="5">
        <f>ROUND((tblPayroll[[#This Row],[Basic Salary]]+tblPayroll[[#This Row],[Fixed Allowance]])*R_JHTEe,0)</f>
        <v>580000</v>
      </c>
      <c r="W127" s="5">
        <f>ROUND(MIN(tblPayroll[[#This Row],[Basic Salary]]+tblPayroll[[#This Row],[Fixed Allowance]],JPCap)*R_JPEe,0)</f>
        <v>105474</v>
      </c>
      <c r="X127" s="5">
        <f>tblPayroll[[#This Row],[BPJS Health (Ee)]]+tblPayroll[[#This Row],[JHT (Ee)]]+tblPayroll[[#This Row],[JP (Ee)]]</f>
        <v>805474</v>
      </c>
      <c r="Y127" s="5">
        <f>tblPayroll[[#This Row],[Gross Salary]]-tblPayroll[[#This Row],[PPh 21]]-tblPayroll[[#This Row],[Employee BPJS Total]]</f>
        <v>24638134</v>
      </c>
      <c r="Z127" s="5">
        <f>tblPayroll[[#This Row],[Employer BPJS Total]]+tblPayroll[[#This Row],[Employee BPJS Total]]</f>
        <v>2726022</v>
      </c>
      <c r="AA127" s="5">
        <f>tblPayroll[[#This Row],[Gross Salary]]+tblPayroll[[#This Row],[Employer BPJS Total]]</f>
        <v>30920548</v>
      </c>
      <c r="AB127" s="4">
        <v>1130</v>
      </c>
    </row>
    <row r="128" spans="2:28" x14ac:dyDescent="0.35">
      <c r="B128" s="4">
        <v>9</v>
      </c>
      <c r="C128" s="113">
        <v>46290</v>
      </c>
      <c r="D128" s="4" t="s">
        <v>4779</v>
      </c>
      <c r="E128" s="1" t="str">
        <f>_xlfn.XLOOKUP(tblPayroll[[#This Row],[Employee ID]],tblEmployees[Employee ID],tblEmployees[Full Name],"")</f>
        <v>Siti Rahmawati</v>
      </c>
      <c r="F128" s="1" t="str">
        <f>_xlfn.XLOOKUP(tblPayroll[[#This Row],[Employee ID]],tblEmployees[Employee ID],tblEmployees[Department],"")</f>
        <v>G&amp;A</v>
      </c>
      <c r="G128" s="1" t="str">
        <f>_xlfn.XLOOKUP(tblPayroll[[#This Row],[Employee ID]],tblEmployees[Employee ID],tblEmployees[TER Category],"")</f>
        <v>B</v>
      </c>
      <c r="H128" s="5">
        <f>_xlfn.XLOOKUP(tblPayroll[[#This Row],[Employee ID]],tblEmployees[Employee ID],tblEmployees[Basic Salary],"")</f>
        <v>20000000</v>
      </c>
      <c r="I128" s="5">
        <f>_xlfn.XLOOKUP(tblPayroll[[#This Row],[Employee ID]],tblEmployees[Employee ID],tblEmployees[Fixed Allowance],"")</f>
        <v>3000000</v>
      </c>
      <c r="J128" s="6">
        <v>0</v>
      </c>
      <c r="K128" s="5">
        <f>tblPayroll[[#This Row],[Basic Salary]]+tblPayroll[[#This Row],[Fixed Allowance]]+tblPayroll[[#This Row],[THR / Bonus]]</f>
        <v>23000000</v>
      </c>
      <c r="L128" s="5">
        <f>ROUND(MIN(tblPayroll[[#This Row],[Basic Salary]]+tblPayroll[[#This Row],[Fixed Allowance]],BPJSKesCap)*R_KesEr,0)</f>
        <v>480000</v>
      </c>
      <c r="M128" s="5">
        <f>ROUND((tblPayroll[[#This Row],[Basic Salary]]+tblPayroll[[#This Row],[Fixed Allowance]])*R_JKK,0)</f>
        <v>55200</v>
      </c>
      <c r="N128" s="5">
        <f>ROUND((tblPayroll[[#This Row],[Basic Salary]]+tblPayroll[[#This Row],[Fixed Allowance]])*R_JKM,0)</f>
        <v>69000</v>
      </c>
      <c r="O128" s="5">
        <f>ROUND((tblPayroll[[#This Row],[Basic Salary]]+tblPayroll[[#This Row],[Fixed Allowance]])*R_JHTEr,0)</f>
        <v>851000</v>
      </c>
      <c r="P128" s="5">
        <f>ROUND(MIN(tblPayroll[[#This Row],[Basic Salary]]+tblPayroll[[#This Row],[Fixed Allowance]],JPCap)*R_JPEr,0)</f>
        <v>210948</v>
      </c>
      <c r="Q128" s="5">
        <f>SUM(tblPayroll[[#This Row],[BPJS Health (Er)]:[JP (Er)]])</f>
        <v>1666148</v>
      </c>
      <c r="R128" s="5">
        <f>tblPayroll[[#This Row],[Gross Salary]]+tblPayroll[[#This Row],[BPJS Health (Er)]]+tblPayroll[[#This Row],[JKK (Er)]]+tblPayroll[[#This Row],[JKM (Er)]]</f>
        <v>23604200</v>
      </c>
      <c r="S128" s="119">
        <f>IF(tblPayroll[[#This Row],[TER Cat]]="A",_xlfn.XLOOKUP(tblPayroll[[#This Row],[PPh 21 Base]],TerA_L,TerA_R,0,-1),IF(tblPayroll[[#This Row],[TER Cat]]="B",_xlfn.XLOOKUP(tblPayroll[[#This Row],[PPh 21 Base]],TerB_L,TerB_R,0,-1),_xlfn.XLOOKUP(tblPayroll[[#This Row],[PPh 21 Base]],TerC_L,TerC_R,0,-1)))</f>
        <v>0.09</v>
      </c>
      <c r="T128" s="5">
        <f>ROUND(tblPayroll[[#This Row],[PPh 21 Base]]*tblPayroll[[#This Row],[TER Rate]],0)</f>
        <v>2124378</v>
      </c>
      <c r="U128" s="5">
        <f>ROUND(MIN(tblPayroll[[#This Row],[Basic Salary]]+tblPayroll[[#This Row],[Fixed Allowance]],BPJSKesCap)*R_KesEe,0)</f>
        <v>120000</v>
      </c>
      <c r="V128" s="5">
        <f>ROUND((tblPayroll[[#This Row],[Basic Salary]]+tblPayroll[[#This Row],[Fixed Allowance]])*R_JHTEe,0)</f>
        <v>460000</v>
      </c>
      <c r="W128" s="5">
        <f>ROUND(MIN(tblPayroll[[#This Row],[Basic Salary]]+tblPayroll[[#This Row],[Fixed Allowance]],JPCap)*R_JPEe,0)</f>
        <v>105474</v>
      </c>
      <c r="X128" s="5">
        <f>tblPayroll[[#This Row],[BPJS Health (Ee)]]+tblPayroll[[#This Row],[JHT (Ee)]]+tblPayroll[[#This Row],[JP (Ee)]]</f>
        <v>685474</v>
      </c>
      <c r="Y128" s="5">
        <f>tblPayroll[[#This Row],[Gross Salary]]-tblPayroll[[#This Row],[PPh 21]]-tblPayroll[[#This Row],[Employee BPJS Total]]</f>
        <v>20190148</v>
      </c>
      <c r="Z128" s="5">
        <f>tblPayroll[[#This Row],[Employer BPJS Total]]+tblPayroll[[#This Row],[Employee BPJS Total]]</f>
        <v>2351622</v>
      </c>
      <c r="AA128" s="5">
        <f>tblPayroll[[#This Row],[Gross Salary]]+tblPayroll[[#This Row],[Employer BPJS Total]]</f>
        <v>24666148</v>
      </c>
      <c r="AB128" s="4">
        <v>1130</v>
      </c>
    </row>
    <row r="129" spans="2:28" x14ac:dyDescent="0.35">
      <c r="B129" s="4">
        <v>9</v>
      </c>
      <c r="C129" s="113">
        <v>46290</v>
      </c>
      <c r="D129" s="4" t="s">
        <v>4783</v>
      </c>
      <c r="E129" s="1" t="str">
        <f>_xlfn.XLOOKUP(tblPayroll[[#This Row],[Employee ID]],tblEmployees[Employee ID],tblEmployees[Full Name],"")</f>
        <v>Dewi Lestari</v>
      </c>
      <c r="F129" s="1" t="str">
        <f>_xlfn.XLOOKUP(tblPayroll[[#This Row],[Employee ID]],tblEmployees[Employee ID],tblEmployees[Department],"")</f>
        <v>G&amp;A</v>
      </c>
      <c r="G129" s="1" t="str">
        <f>_xlfn.XLOOKUP(tblPayroll[[#This Row],[Employee ID]],tblEmployees[Employee ID],tblEmployees[TER Category],"")</f>
        <v>A</v>
      </c>
      <c r="H129" s="5">
        <f>_xlfn.XLOOKUP(tblPayroll[[#This Row],[Employee ID]],tblEmployees[Employee ID],tblEmployees[Basic Salary],"")</f>
        <v>15000000</v>
      </c>
      <c r="I129" s="5">
        <f>_xlfn.XLOOKUP(tblPayroll[[#This Row],[Employee ID]],tblEmployees[Employee ID],tblEmployees[Fixed Allowance],"")</f>
        <v>2000000</v>
      </c>
      <c r="J129" s="6">
        <v>0</v>
      </c>
      <c r="K129" s="5">
        <f>tblPayroll[[#This Row],[Basic Salary]]+tblPayroll[[#This Row],[Fixed Allowance]]+tblPayroll[[#This Row],[THR / Bonus]]</f>
        <v>17000000</v>
      </c>
      <c r="L129" s="5">
        <f>ROUND(MIN(tblPayroll[[#This Row],[Basic Salary]]+tblPayroll[[#This Row],[Fixed Allowance]],BPJSKesCap)*R_KesEr,0)</f>
        <v>480000</v>
      </c>
      <c r="M129" s="5">
        <f>ROUND((tblPayroll[[#This Row],[Basic Salary]]+tblPayroll[[#This Row],[Fixed Allowance]])*R_JKK,0)</f>
        <v>40800</v>
      </c>
      <c r="N129" s="5">
        <f>ROUND((tblPayroll[[#This Row],[Basic Salary]]+tblPayroll[[#This Row],[Fixed Allowance]])*R_JKM,0)</f>
        <v>51000</v>
      </c>
      <c r="O129" s="5">
        <f>ROUND((tblPayroll[[#This Row],[Basic Salary]]+tblPayroll[[#This Row],[Fixed Allowance]])*R_JHTEr,0)</f>
        <v>629000</v>
      </c>
      <c r="P129" s="5">
        <f>ROUND(MIN(tblPayroll[[#This Row],[Basic Salary]]+tblPayroll[[#This Row],[Fixed Allowance]],JPCap)*R_JPEr,0)</f>
        <v>210948</v>
      </c>
      <c r="Q129" s="5">
        <f>SUM(tblPayroll[[#This Row],[BPJS Health (Er)]:[JP (Er)]])</f>
        <v>1411748</v>
      </c>
      <c r="R129" s="5">
        <f>tblPayroll[[#This Row],[Gross Salary]]+tblPayroll[[#This Row],[BPJS Health (Er)]]+tblPayroll[[#This Row],[JKK (Er)]]+tblPayroll[[#This Row],[JKM (Er)]]</f>
        <v>17571800</v>
      </c>
      <c r="S129" s="119">
        <f>IF(tblPayroll[[#This Row],[TER Cat]]="A",_xlfn.XLOOKUP(tblPayroll[[#This Row],[PPh 21 Base]],TerA_L,TerA_R,0,-1),IF(tblPayroll[[#This Row],[TER Cat]]="B",_xlfn.XLOOKUP(tblPayroll[[#This Row],[PPh 21 Base]],TerB_L,TerB_R,0,-1),_xlfn.XLOOKUP(tblPayroll[[#This Row],[PPh 21 Base]],TerC_L,TerC_R,0,-1)))</f>
        <v>0.08</v>
      </c>
      <c r="T129" s="5">
        <f>ROUND(tblPayroll[[#This Row],[PPh 21 Base]]*tblPayroll[[#This Row],[TER Rate]],0)</f>
        <v>1405744</v>
      </c>
      <c r="U129" s="5">
        <f>ROUND(MIN(tblPayroll[[#This Row],[Basic Salary]]+tblPayroll[[#This Row],[Fixed Allowance]],BPJSKesCap)*R_KesEe,0)</f>
        <v>120000</v>
      </c>
      <c r="V129" s="5">
        <f>ROUND((tblPayroll[[#This Row],[Basic Salary]]+tblPayroll[[#This Row],[Fixed Allowance]])*R_JHTEe,0)</f>
        <v>340000</v>
      </c>
      <c r="W129" s="5">
        <f>ROUND(MIN(tblPayroll[[#This Row],[Basic Salary]]+tblPayroll[[#This Row],[Fixed Allowance]],JPCap)*R_JPEe,0)</f>
        <v>105474</v>
      </c>
      <c r="X129" s="5">
        <f>tblPayroll[[#This Row],[BPJS Health (Ee)]]+tblPayroll[[#This Row],[JHT (Ee)]]+tblPayroll[[#This Row],[JP (Ee)]]</f>
        <v>565474</v>
      </c>
      <c r="Y129" s="5">
        <f>tblPayroll[[#This Row],[Gross Salary]]-tblPayroll[[#This Row],[PPh 21]]-tblPayroll[[#This Row],[Employee BPJS Total]]</f>
        <v>15028782</v>
      </c>
      <c r="Z129" s="5">
        <f>tblPayroll[[#This Row],[Employer BPJS Total]]+tblPayroll[[#This Row],[Employee BPJS Total]]</f>
        <v>1977222</v>
      </c>
      <c r="AA129" s="5">
        <f>tblPayroll[[#This Row],[Gross Salary]]+tblPayroll[[#This Row],[Employer BPJS Total]]</f>
        <v>18411748</v>
      </c>
      <c r="AB129" s="4">
        <v>1130</v>
      </c>
    </row>
    <row r="130" spans="2:28" x14ac:dyDescent="0.35">
      <c r="B130" s="4">
        <v>9</v>
      </c>
      <c r="C130" s="113">
        <v>46290</v>
      </c>
      <c r="D130" s="4" t="s">
        <v>4787</v>
      </c>
      <c r="E130" s="1" t="str">
        <f>_xlfn.XLOOKUP(tblPayroll[[#This Row],[Employee ID]],tblEmployees[Employee ID],tblEmployees[Full Name],"")</f>
        <v>Agus Prasetyo</v>
      </c>
      <c r="F130" s="1" t="str">
        <f>_xlfn.XLOOKUP(tblPayroll[[#This Row],[Employee ID]],tblEmployees[Employee ID],tblEmployees[Department],"")</f>
        <v>Selling</v>
      </c>
      <c r="G130" s="1" t="str">
        <f>_xlfn.XLOOKUP(tblPayroll[[#This Row],[Employee ID]],tblEmployees[Employee ID],tblEmployees[TER Category],"")</f>
        <v>B</v>
      </c>
      <c r="H130" s="5">
        <f>_xlfn.XLOOKUP(tblPayroll[[#This Row],[Employee ID]],tblEmployees[Employee ID],tblEmployees[Basic Salary],"")</f>
        <v>14000000</v>
      </c>
      <c r="I130" s="5">
        <f>_xlfn.XLOOKUP(tblPayroll[[#This Row],[Employee ID]],tblEmployees[Employee ID],tblEmployees[Fixed Allowance],"")</f>
        <v>2000000</v>
      </c>
      <c r="J130" s="6">
        <v>0</v>
      </c>
      <c r="K130" s="5">
        <f>tblPayroll[[#This Row],[Basic Salary]]+tblPayroll[[#This Row],[Fixed Allowance]]+tblPayroll[[#This Row],[THR / Bonus]]</f>
        <v>16000000</v>
      </c>
      <c r="L130" s="5">
        <f>ROUND(MIN(tblPayroll[[#This Row],[Basic Salary]]+tblPayroll[[#This Row],[Fixed Allowance]],BPJSKesCap)*R_KesEr,0)</f>
        <v>480000</v>
      </c>
      <c r="M130" s="5">
        <f>ROUND((tblPayroll[[#This Row],[Basic Salary]]+tblPayroll[[#This Row],[Fixed Allowance]])*R_JKK,0)</f>
        <v>38400</v>
      </c>
      <c r="N130" s="5">
        <f>ROUND((tblPayroll[[#This Row],[Basic Salary]]+tblPayroll[[#This Row],[Fixed Allowance]])*R_JKM,0)</f>
        <v>48000</v>
      </c>
      <c r="O130" s="5">
        <f>ROUND((tblPayroll[[#This Row],[Basic Salary]]+tblPayroll[[#This Row],[Fixed Allowance]])*R_JHTEr,0)</f>
        <v>592000</v>
      </c>
      <c r="P130" s="5">
        <f>ROUND(MIN(tblPayroll[[#This Row],[Basic Salary]]+tblPayroll[[#This Row],[Fixed Allowance]],JPCap)*R_JPEr,0)</f>
        <v>210948</v>
      </c>
      <c r="Q130" s="5">
        <f>SUM(tblPayroll[[#This Row],[BPJS Health (Er)]:[JP (Er)]])</f>
        <v>1369348</v>
      </c>
      <c r="R130" s="5">
        <f>tblPayroll[[#This Row],[Gross Salary]]+tblPayroll[[#This Row],[BPJS Health (Er)]]+tblPayroll[[#This Row],[JKK (Er)]]+tblPayroll[[#This Row],[JKM (Er)]]</f>
        <v>16566400</v>
      </c>
      <c r="S130" s="119">
        <f>IF(tblPayroll[[#This Row],[TER Cat]]="A",_xlfn.XLOOKUP(tblPayroll[[#This Row],[PPh 21 Base]],TerA_L,TerA_R,0,-1),IF(tblPayroll[[#This Row],[TER Cat]]="B",_xlfn.XLOOKUP(tblPayroll[[#This Row],[PPh 21 Base]],TerB_L,TerB_R,0,-1),_xlfn.XLOOKUP(tblPayroll[[#This Row],[PPh 21 Base]],TerC_L,TerC_R,0,-1)))</f>
        <v>7.0000000000000007E-2</v>
      </c>
      <c r="T130" s="5">
        <f>ROUND(tblPayroll[[#This Row],[PPh 21 Base]]*tblPayroll[[#This Row],[TER Rate]],0)</f>
        <v>1159648</v>
      </c>
      <c r="U130" s="5">
        <f>ROUND(MIN(tblPayroll[[#This Row],[Basic Salary]]+tblPayroll[[#This Row],[Fixed Allowance]],BPJSKesCap)*R_KesEe,0)</f>
        <v>120000</v>
      </c>
      <c r="V130" s="5">
        <f>ROUND((tblPayroll[[#This Row],[Basic Salary]]+tblPayroll[[#This Row],[Fixed Allowance]])*R_JHTEe,0)</f>
        <v>320000</v>
      </c>
      <c r="W130" s="5">
        <f>ROUND(MIN(tblPayroll[[#This Row],[Basic Salary]]+tblPayroll[[#This Row],[Fixed Allowance]],JPCap)*R_JPEe,0)</f>
        <v>105474</v>
      </c>
      <c r="X130" s="5">
        <f>tblPayroll[[#This Row],[BPJS Health (Ee)]]+tblPayroll[[#This Row],[JHT (Ee)]]+tblPayroll[[#This Row],[JP (Ee)]]</f>
        <v>545474</v>
      </c>
      <c r="Y130" s="5">
        <f>tblPayroll[[#This Row],[Gross Salary]]-tblPayroll[[#This Row],[PPh 21]]-tblPayroll[[#This Row],[Employee BPJS Total]]</f>
        <v>14294878</v>
      </c>
      <c r="Z130" s="5">
        <f>tblPayroll[[#This Row],[Employer BPJS Total]]+tblPayroll[[#This Row],[Employee BPJS Total]]</f>
        <v>1914822</v>
      </c>
      <c r="AA130" s="5">
        <f>tblPayroll[[#This Row],[Gross Salary]]+tblPayroll[[#This Row],[Employer BPJS Total]]</f>
        <v>17369348</v>
      </c>
      <c r="AB130" s="4">
        <v>1130</v>
      </c>
    </row>
    <row r="131" spans="2:28" x14ac:dyDescent="0.35">
      <c r="B131" s="4">
        <v>9</v>
      </c>
      <c r="C131" s="113">
        <v>46290</v>
      </c>
      <c r="D131" s="4" t="s">
        <v>4793</v>
      </c>
      <c r="E131" s="1" t="str">
        <f>_xlfn.XLOOKUP(tblPayroll[[#This Row],[Employee ID]],tblEmployees[Employee ID],tblEmployees[Full Name],"")</f>
        <v>Rina Kartika</v>
      </c>
      <c r="F131" s="1" t="str">
        <f>_xlfn.XLOOKUP(tblPayroll[[#This Row],[Employee ID]],tblEmployees[Employee ID],tblEmployees[Department],"")</f>
        <v>Selling</v>
      </c>
      <c r="G131" s="1" t="str">
        <f>_xlfn.XLOOKUP(tblPayroll[[#This Row],[Employee ID]],tblEmployees[Employee ID],tblEmployees[TER Category],"")</f>
        <v>A</v>
      </c>
      <c r="H131" s="5">
        <f>_xlfn.XLOOKUP(tblPayroll[[#This Row],[Employee ID]],tblEmployees[Employee ID],tblEmployees[Basic Salary],"")</f>
        <v>12000000</v>
      </c>
      <c r="I131" s="5">
        <f>_xlfn.XLOOKUP(tblPayroll[[#This Row],[Employee ID]],tblEmployees[Employee ID],tblEmployees[Fixed Allowance],"")</f>
        <v>1500000</v>
      </c>
      <c r="J131" s="6">
        <v>0</v>
      </c>
      <c r="K131" s="5">
        <f>tblPayroll[[#This Row],[Basic Salary]]+tblPayroll[[#This Row],[Fixed Allowance]]+tblPayroll[[#This Row],[THR / Bonus]]</f>
        <v>13500000</v>
      </c>
      <c r="L131" s="5">
        <f>ROUND(MIN(tblPayroll[[#This Row],[Basic Salary]]+tblPayroll[[#This Row],[Fixed Allowance]],BPJSKesCap)*R_KesEr,0)</f>
        <v>480000</v>
      </c>
      <c r="M131" s="5">
        <f>ROUND((tblPayroll[[#This Row],[Basic Salary]]+tblPayroll[[#This Row],[Fixed Allowance]])*R_JKK,0)</f>
        <v>32400</v>
      </c>
      <c r="N131" s="5">
        <f>ROUND((tblPayroll[[#This Row],[Basic Salary]]+tblPayroll[[#This Row],[Fixed Allowance]])*R_JKM,0)</f>
        <v>40500</v>
      </c>
      <c r="O131" s="5">
        <f>ROUND((tblPayroll[[#This Row],[Basic Salary]]+tblPayroll[[#This Row],[Fixed Allowance]])*R_JHTEr,0)</f>
        <v>499500</v>
      </c>
      <c r="P131" s="5">
        <f>ROUND(MIN(tblPayroll[[#This Row],[Basic Salary]]+tblPayroll[[#This Row],[Fixed Allowance]],JPCap)*R_JPEr,0)</f>
        <v>210948</v>
      </c>
      <c r="Q131" s="5">
        <f>SUM(tblPayroll[[#This Row],[BPJS Health (Er)]:[JP (Er)]])</f>
        <v>1263348</v>
      </c>
      <c r="R131" s="5">
        <f>tblPayroll[[#This Row],[Gross Salary]]+tblPayroll[[#This Row],[BPJS Health (Er)]]+tblPayroll[[#This Row],[JKK (Er)]]+tblPayroll[[#This Row],[JKM (Er)]]</f>
        <v>14052900</v>
      </c>
      <c r="S131" s="119">
        <f>IF(tblPayroll[[#This Row],[TER Cat]]="A",_xlfn.XLOOKUP(tblPayroll[[#This Row],[PPh 21 Base]],TerA_L,TerA_R,0,-1),IF(tblPayroll[[#This Row],[TER Cat]]="B",_xlfn.XLOOKUP(tblPayroll[[#This Row],[PPh 21 Base]],TerB_L,TerB_R,0,-1),_xlfn.XLOOKUP(tblPayroll[[#This Row],[PPh 21 Base]],TerC_L,TerC_R,0,-1)))</f>
        <v>0.06</v>
      </c>
      <c r="T131" s="5">
        <f>ROUND(tblPayroll[[#This Row],[PPh 21 Base]]*tblPayroll[[#This Row],[TER Rate]],0)</f>
        <v>843174</v>
      </c>
      <c r="U131" s="5">
        <f>ROUND(MIN(tblPayroll[[#This Row],[Basic Salary]]+tblPayroll[[#This Row],[Fixed Allowance]],BPJSKesCap)*R_KesEe,0)</f>
        <v>120000</v>
      </c>
      <c r="V131" s="5">
        <f>ROUND((tblPayroll[[#This Row],[Basic Salary]]+tblPayroll[[#This Row],[Fixed Allowance]])*R_JHTEe,0)</f>
        <v>270000</v>
      </c>
      <c r="W131" s="5">
        <f>ROUND(MIN(tblPayroll[[#This Row],[Basic Salary]]+tblPayroll[[#This Row],[Fixed Allowance]],JPCap)*R_JPEe,0)</f>
        <v>105474</v>
      </c>
      <c r="X131" s="5">
        <f>tblPayroll[[#This Row],[BPJS Health (Ee)]]+tblPayroll[[#This Row],[JHT (Ee)]]+tblPayroll[[#This Row],[JP (Ee)]]</f>
        <v>495474</v>
      </c>
      <c r="Y131" s="5">
        <f>tblPayroll[[#This Row],[Gross Salary]]-tblPayroll[[#This Row],[PPh 21]]-tblPayroll[[#This Row],[Employee BPJS Total]]</f>
        <v>12161352</v>
      </c>
      <c r="Z131" s="5">
        <f>tblPayroll[[#This Row],[Employer BPJS Total]]+tblPayroll[[#This Row],[Employee BPJS Total]]</f>
        <v>1758822</v>
      </c>
      <c r="AA131" s="5">
        <f>tblPayroll[[#This Row],[Gross Salary]]+tblPayroll[[#This Row],[Employer BPJS Total]]</f>
        <v>14763348</v>
      </c>
      <c r="AB131" s="4">
        <v>1130</v>
      </c>
    </row>
    <row r="132" spans="2:28" x14ac:dyDescent="0.35">
      <c r="B132" s="4">
        <v>9</v>
      </c>
      <c r="C132" s="113">
        <v>46290</v>
      </c>
      <c r="D132" s="4" t="s">
        <v>4798</v>
      </c>
      <c r="E132" s="1" t="str">
        <f>_xlfn.XLOOKUP(tblPayroll[[#This Row],[Employee ID]],tblEmployees[Employee ID],tblEmployees[Full Name],"")</f>
        <v>Andi Saputra</v>
      </c>
      <c r="F132" s="1" t="str">
        <f>_xlfn.XLOOKUP(tblPayroll[[#This Row],[Employee ID]],tblEmployees[Employee ID],tblEmployees[Department],"")</f>
        <v>G&amp;A</v>
      </c>
      <c r="G132" s="1" t="str">
        <f>_xlfn.XLOOKUP(tblPayroll[[#This Row],[Employee ID]],tblEmployees[Employee ID],tblEmployees[TER Category],"")</f>
        <v>A</v>
      </c>
      <c r="H132" s="5">
        <f>_xlfn.XLOOKUP(tblPayroll[[#This Row],[Employee ID]],tblEmployees[Employee ID],tblEmployees[Basic Salary],"")</f>
        <v>8500000</v>
      </c>
      <c r="I132" s="5">
        <f>_xlfn.XLOOKUP(tblPayroll[[#This Row],[Employee ID]],tblEmployees[Employee ID],tblEmployees[Fixed Allowance],"")</f>
        <v>1000000</v>
      </c>
      <c r="J132" s="6">
        <v>0</v>
      </c>
      <c r="K132" s="5">
        <f>tblPayroll[[#This Row],[Basic Salary]]+tblPayroll[[#This Row],[Fixed Allowance]]+tblPayroll[[#This Row],[THR / Bonus]]</f>
        <v>9500000</v>
      </c>
      <c r="L132" s="5">
        <f>ROUND(MIN(tblPayroll[[#This Row],[Basic Salary]]+tblPayroll[[#This Row],[Fixed Allowance]],BPJSKesCap)*R_KesEr,0)</f>
        <v>380000</v>
      </c>
      <c r="M132" s="5">
        <f>ROUND((tblPayroll[[#This Row],[Basic Salary]]+tblPayroll[[#This Row],[Fixed Allowance]])*R_JKK,0)</f>
        <v>22800</v>
      </c>
      <c r="N132" s="5">
        <f>ROUND((tblPayroll[[#This Row],[Basic Salary]]+tblPayroll[[#This Row],[Fixed Allowance]])*R_JKM,0)</f>
        <v>28500</v>
      </c>
      <c r="O132" s="5">
        <f>ROUND((tblPayroll[[#This Row],[Basic Salary]]+tblPayroll[[#This Row],[Fixed Allowance]])*R_JHTEr,0)</f>
        <v>351500</v>
      </c>
      <c r="P132" s="5">
        <f>ROUND(MIN(tblPayroll[[#This Row],[Basic Salary]]+tblPayroll[[#This Row],[Fixed Allowance]],JPCap)*R_JPEr,0)</f>
        <v>190000</v>
      </c>
      <c r="Q132" s="5">
        <f>SUM(tblPayroll[[#This Row],[BPJS Health (Er)]:[JP (Er)]])</f>
        <v>972800</v>
      </c>
      <c r="R132" s="5">
        <f>tblPayroll[[#This Row],[Gross Salary]]+tblPayroll[[#This Row],[BPJS Health (Er)]]+tblPayroll[[#This Row],[JKK (Er)]]+tblPayroll[[#This Row],[JKM (Er)]]</f>
        <v>9931300</v>
      </c>
      <c r="S132" s="119">
        <f>IF(tblPayroll[[#This Row],[TER Cat]]="A",_xlfn.XLOOKUP(tblPayroll[[#This Row],[PPh 21 Base]],TerA_L,TerA_R,0,-1),IF(tblPayroll[[#This Row],[TER Cat]]="B",_xlfn.XLOOKUP(tblPayroll[[#This Row],[PPh 21 Base]],TerB_L,TerB_R,0,-1),_xlfn.XLOOKUP(tblPayroll[[#This Row],[PPh 21 Base]],TerC_L,TerC_R,0,-1)))</f>
        <v>0.02</v>
      </c>
      <c r="T132" s="5">
        <f>ROUND(tblPayroll[[#This Row],[PPh 21 Base]]*tblPayroll[[#This Row],[TER Rate]],0)</f>
        <v>198626</v>
      </c>
      <c r="U132" s="5">
        <f>ROUND(MIN(tblPayroll[[#This Row],[Basic Salary]]+tblPayroll[[#This Row],[Fixed Allowance]],BPJSKesCap)*R_KesEe,0)</f>
        <v>95000</v>
      </c>
      <c r="V132" s="5">
        <f>ROUND((tblPayroll[[#This Row],[Basic Salary]]+tblPayroll[[#This Row],[Fixed Allowance]])*R_JHTEe,0)</f>
        <v>190000</v>
      </c>
      <c r="W132" s="5">
        <f>ROUND(MIN(tblPayroll[[#This Row],[Basic Salary]]+tblPayroll[[#This Row],[Fixed Allowance]],JPCap)*R_JPEe,0)</f>
        <v>95000</v>
      </c>
      <c r="X132" s="5">
        <f>tblPayroll[[#This Row],[BPJS Health (Ee)]]+tblPayroll[[#This Row],[JHT (Ee)]]+tblPayroll[[#This Row],[JP (Ee)]]</f>
        <v>380000</v>
      </c>
      <c r="Y132" s="5">
        <f>tblPayroll[[#This Row],[Gross Salary]]-tblPayroll[[#This Row],[PPh 21]]-tblPayroll[[#This Row],[Employee BPJS Total]]</f>
        <v>8921374</v>
      </c>
      <c r="Z132" s="5">
        <f>tblPayroll[[#This Row],[Employer BPJS Total]]+tblPayroll[[#This Row],[Employee BPJS Total]]</f>
        <v>1352800</v>
      </c>
      <c r="AA132" s="5">
        <f>tblPayroll[[#This Row],[Gross Salary]]+tblPayroll[[#This Row],[Employer BPJS Total]]</f>
        <v>10472800</v>
      </c>
      <c r="AB132" s="4">
        <v>1130</v>
      </c>
    </row>
    <row r="133" spans="2:28" x14ac:dyDescent="0.35">
      <c r="B133" s="4">
        <v>9</v>
      </c>
      <c r="C133" s="113">
        <v>46290</v>
      </c>
      <c r="D133" s="4" t="s">
        <v>4803</v>
      </c>
      <c r="E133" s="1" t="str">
        <f>_xlfn.XLOOKUP(tblPayroll[[#This Row],[Employee ID]],tblEmployees[Employee ID],tblEmployees[Full Name],"")</f>
        <v>Fitri Handayani</v>
      </c>
      <c r="F133" s="1" t="str">
        <f>_xlfn.XLOOKUP(tblPayroll[[#This Row],[Employee ID]],tblEmployees[Employee ID],tblEmployees[Department],"")</f>
        <v>G&amp;A</v>
      </c>
      <c r="G133" s="1" t="str">
        <f>_xlfn.XLOOKUP(tblPayroll[[#This Row],[Employee ID]],tblEmployees[Employee ID],tblEmployees[TER Category],"")</f>
        <v>A</v>
      </c>
      <c r="H133" s="5">
        <f>_xlfn.XLOOKUP(tblPayroll[[#This Row],[Employee ID]],tblEmployees[Employee ID],tblEmployees[Basic Salary],"")</f>
        <v>8000000</v>
      </c>
      <c r="I133" s="5">
        <f>_xlfn.XLOOKUP(tblPayroll[[#This Row],[Employee ID]],tblEmployees[Employee ID],tblEmployees[Fixed Allowance],"")</f>
        <v>1000000</v>
      </c>
      <c r="J133" s="6">
        <v>0</v>
      </c>
      <c r="K133" s="5">
        <f>tblPayroll[[#This Row],[Basic Salary]]+tblPayroll[[#This Row],[Fixed Allowance]]+tblPayroll[[#This Row],[THR / Bonus]]</f>
        <v>9000000</v>
      </c>
      <c r="L133" s="5">
        <f>ROUND(MIN(tblPayroll[[#This Row],[Basic Salary]]+tblPayroll[[#This Row],[Fixed Allowance]],BPJSKesCap)*R_KesEr,0)</f>
        <v>360000</v>
      </c>
      <c r="M133" s="5">
        <f>ROUND((tblPayroll[[#This Row],[Basic Salary]]+tblPayroll[[#This Row],[Fixed Allowance]])*R_JKK,0)</f>
        <v>21600</v>
      </c>
      <c r="N133" s="5">
        <f>ROUND((tblPayroll[[#This Row],[Basic Salary]]+tblPayroll[[#This Row],[Fixed Allowance]])*R_JKM,0)</f>
        <v>27000</v>
      </c>
      <c r="O133" s="5">
        <f>ROUND((tblPayroll[[#This Row],[Basic Salary]]+tblPayroll[[#This Row],[Fixed Allowance]])*R_JHTEr,0)</f>
        <v>333000</v>
      </c>
      <c r="P133" s="5">
        <f>ROUND(MIN(tblPayroll[[#This Row],[Basic Salary]]+tblPayroll[[#This Row],[Fixed Allowance]],JPCap)*R_JPEr,0)</f>
        <v>180000</v>
      </c>
      <c r="Q133" s="5">
        <f>SUM(tblPayroll[[#This Row],[BPJS Health (Er)]:[JP (Er)]])</f>
        <v>921600</v>
      </c>
      <c r="R133" s="5">
        <f>tblPayroll[[#This Row],[Gross Salary]]+tblPayroll[[#This Row],[BPJS Health (Er)]]+tblPayroll[[#This Row],[JKK (Er)]]+tblPayroll[[#This Row],[JKM (Er)]]</f>
        <v>9408600</v>
      </c>
      <c r="S133" s="119">
        <f>IF(tblPayroll[[#This Row],[TER Cat]]="A",_xlfn.XLOOKUP(tblPayroll[[#This Row],[PPh 21 Base]],TerA_L,TerA_R,0,-1),IF(tblPayroll[[#This Row],[TER Cat]]="B",_xlfn.XLOOKUP(tblPayroll[[#This Row],[PPh 21 Base]],TerB_L,TerB_R,0,-1),_xlfn.XLOOKUP(tblPayroll[[#This Row],[PPh 21 Base]],TerC_L,TerC_R,0,-1)))</f>
        <v>1.7500000000000002E-2</v>
      </c>
      <c r="T133" s="5">
        <f>ROUND(tblPayroll[[#This Row],[PPh 21 Base]]*tblPayroll[[#This Row],[TER Rate]],0)</f>
        <v>164651</v>
      </c>
      <c r="U133" s="5">
        <f>ROUND(MIN(tblPayroll[[#This Row],[Basic Salary]]+tblPayroll[[#This Row],[Fixed Allowance]],BPJSKesCap)*R_KesEe,0)</f>
        <v>90000</v>
      </c>
      <c r="V133" s="5">
        <f>ROUND((tblPayroll[[#This Row],[Basic Salary]]+tblPayroll[[#This Row],[Fixed Allowance]])*R_JHTEe,0)</f>
        <v>180000</v>
      </c>
      <c r="W133" s="5">
        <f>ROUND(MIN(tblPayroll[[#This Row],[Basic Salary]]+tblPayroll[[#This Row],[Fixed Allowance]],JPCap)*R_JPEe,0)</f>
        <v>90000</v>
      </c>
      <c r="X133" s="5">
        <f>tblPayroll[[#This Row],[BPJS Health (Ee)]]+tblPayroll[[#This Row],[JHT (Ee)]]+tblPayroll[[#This Row],[JP (Ee)]]</f>
        <v>360000</v>
      </c>
      <c r="Y133" s="5">
        <f>tblPayroll[[#This Row],[Gross Salary]]-tblPayroll[[#This Row],[PPh 21]]-tblPayroll[[#This Row],[Employee BPJS Total]]</f>
        <v>8475349</v>
      </c>
      <c r="Z133" s="5">
        <f>tblPayroll[[#This Row],[Employer BPJS Total]]+tblPayroll[[#This Row],[Employee BPJS Total]]</f>
        <v>1281600</v>
      </c>
      <c r="AA133" s="5">
        <f>tblPayroll[[#This Row],[Gross Salary]]+tblPayroll[[#This Row],[Employer BPJS Total]]</f>
        <v>9921600</v>
      </c>
      <c r="AB133" s="4">
        <v>1130</v>
      </c>
    </row>
    <row r="134" spans="2:28" x14ac:dyDescent="0.35">
      <c r="B134" s="4">
        <v>9</v>
      </c>
      <c r="C134" s="113">
        <v>46290</v>
      </c>
      <c r="D134" s="4" t="s">
        <v>4809</v>
      </c>
      <c r="E134" s="1" t="str">
        <f>_xlfn.XLOOKUP(tblPayroll[[#This Row],[Employee ID]],tblEmployees[Employee ID],tblEmployees[Full Name],"")</f>
        <v>Rizky Ramadhan</v>
      </c>
      <c r="F134" s="1" t="str">
        <f>_xlfn.XLOOKUP(tblPayroll[[#This Row],[Employee ID]],tblEmployees[Employee ID],tblEmployees[Department],"")</f>
        <v>Selling</v>
      </c>
      <c r="G134" s="1" t="str">
        <f>_xlfn.XLOOKUP(tblPayroll[[#This Row],[Employee ID]],tblEmployees[Employee ID],tblEmployees[TER Category],"")</f>
        <v>A</v>
      </c>
      <c r="H134" s="5">
        <f>_xlfn.XLOOKUP(tblPayroll[[#This Row],[Employee ID]],tblEmployees[Employee ID],tblEmployees[Basic Salary],"")</f>
        <v>9000000</v>
      </c>
      <c r="I134" s="5">
        <f>_xlfn.XLOOKUP(tblPayroll[[#This Row],[Employee ID]],tblEmployees[Employee ID],tblEmployees[Fixed Allowance],"")</f>
        <v>1500000</v>
      </c>
      <c r="J134" s="6">
        <v>0</v>
      </c>
      <c r="K134" s="5">
        <f>tblPayroll[[#This Row],[Basic Salary]]+tblPayroll[[#This Row],[Fixed Allowance]]+tblPayroll[[#This Row],[THR / Bonus]]</f>
        <v>10500000</v>
      </c>
      <c r="L134" s="5">
        <f>ROUND(MIN(tblPayroll[[#This Row],[Basic Salary]]+tblPayroll[[#This Row],[Fixed Allowance]],BPJSKesCap)*R_KesEr,0)</f>
        <v>420000</v>
      </c>
      <c r="M134" s="5">
        <f>ROUND((tblPayroll[[#This Row],[Basic Salary]]+tblPayroll[[#This Row],[Fixed Allowance]])*R_JKK,0)</f>
        <v>25200</v>
      </c>
      <c r="N134" s="5">
        <f>ROUND((tblPayroll[[#This Row],[Basic Salary]]+tblPayroll[[#This Row],[Fixed Allowance]])*R_JKM,0)</f>
        <v>31500</v>
      </c>
      <c r="O134" s="5">
        <f>ROUND((tblPayroll[[#This Row],[Basic Salary]]+tblPayroll[[#This Row],[Fixed Allowance]])*R_JHTEr,0)</f>
        <v>388500</v>
      </c>
      <c r="P134" s="5">
        <f>ROUND(MIN(tblPayroll[[#This Row],[Basic Salary]]+tblPayroll[[#This Row],[Fixed Allowance]],JPCap)*R_JPEr,0)</f>
        <v>210000</v>
      </c>
      <c r="Q134" s="5">
        <f>SUM(tblPayroll[[#This Row],[BPJS Health (Er)]:[JP (Er)]])</f>
        <v>1075200</v>
      </c>
      <c r="R134" s="5">
        <f>tblPayroll[[#This Row],[Gross Salary]]+tblPayroll[[#This Row],[BPJS Health (Er)]]+tblPayroll[[#This Row],[JKK (Er)]]+tblPayroll[[#This Row],[JKM (Er)]]</f>
        <v>10976700</v>
      </c>
      <c r="S134" s="119">
        <f>IF(tblPayroll[[#This Row],[TER Cat]]="A",_xlfn.XLOOKUP(tblPayroll[[#This Row],[PPh 21 Base]],TerA_L,TerA_R,0,-1),IF(tblPayroll[[#This Row],[TER Cat]]="B",_xlfn.XLOOKUP(tblPayroll[[#This Row],[PPh 21 Base]],TerB_L,TerB_R,0,-1),_xlfn.XLOOKUP(tblPayroll[[#This Row],[PPh 21 Base]],TerC_L,TerC_R,0,-1)))</f>
        <v>0.03</v>
      </c>
      <c r="T134" s="5">
        <f>ROUND(tblPayroll[[#This Row],[PPh 21 Base]]*tblPayroll[[#This Row],[TER Rate]],0)</f>
        <v>329301</v>
      </c>
      <c r="U134" s="5">
        <f>ROUND(MIN(tblPayroll[[#This Row],[Basic Salary]]+tblPayroll[[#This Row],[Fixed Allowance]],BPJSKesCap)*R_KesEe,0)</f>
        <v>105000</v>
      </c>
      <c r="V134" s="5">
        <f>ROUND((tblPayroll[[#This Row],[Basic Salary]]+tblPayroll[[#This Row],[Fixed Allowance]])*R_JHTEe,0)</f>
        <v>210000</v>
      </c>
      <c r="W134" s="5">
        <f>ROUND(MIN(tblPayroll[[#This Row],[Basic Salary]]+tblPayroll[[#This Row],[Fixed Allowance]],JPCap)*R_JPEe,0)</f>
        <v>105000</v>
      </c>
      <c r="X134" s="5">
        <f>tblPayroll[[#This Row],[BPJS Health (Ee)]]+tblPayroll[[#This Row],[JHT (Ee)]]+tblPayroll[[#This Row],[JP (Ee)]]</f>
        <v>420000</v>
      </c>
      <c r="Y134" s="5">
        <f>tblPayroll[[#This Row],[Gross Salary]]-tblPayroll[[#This Row],[PPh 21]]-tblPayroll[[#This Row],[Employee BPJS Total]]</f>
        <v>9750699</v>
      </c>
      <c r="Z134" s="5">
        <f>tblPayroll[[#This Row],[Employer BPJS Total]]+tblPayroll[[#This Row],[Employee BPJS Total]]</f>
        <v>1495200</v>
      </c>
      <c r="AA134" s="5">
        <f>tblPayroll[[#This Row],[Gross Salary]]+tblPayroll[[#This Row],[Employer BPJS Total]]</f>
        <v>11575200</v>
      </c>
      <c r="AB134" s="4">
        <v>1130</v>
      </c>
    </row>
    <row r="135" spans="2:28" x14ac:dyDescent="0.35">
      <c r="B135" s="4">
        <v>9</v>
      </c>
      <c r="C135" s="113">
        <v>46290</v>
      </c>
      <c r="D135" s="4" t="s">
        <v>4814</v>
      </c>
      <c r="E135" s="1" t="str">
        <f>_xlfn.XLOOKUP(tblPayroll[[#This Row],[Employee ID]],tblEmployees[Employee ID],tblEmployees[Full Name],"")</f>
        <v>Nadia Putri</v>
      </c>
      <c r="F135" s="1" t="str">
        <f>_xlfn.XLOOKUP(tblPayroll[[#This Row],[Employee ID]],tblEmployees[Employee ID],tblEmployees[Department],"")</f>
        <v>Selling</v>
      </c>
      <c r="G135" s="1" t="str">
        <f>_xlfn.XLOOKUP(tblPayroll[[#This Row],[Employee ID]],tblEmployees[Employee ID],tblEmployees[TER Category],"")</f>
        <v>A</v>
      </c>
      <c r="H135" s="5">
        <f>_xlfn.XLOOKUP(tblPayroll[[#This Row],[Employee ID]],tblEmployees[Employee ID],tblEmployees[Basic Salary],"")</f>
        <v>5800000</v>
      </c>
      <c r="I135" s="5">
        <f>_xlfn.XLOOKUP(tblPayroll[[#This Row],[Employee ID]],tblEmployees[Employee ID],tblEmployees[Fixed Allowance],"")</f>
        <v>700000</v>
      </c>
      <c r="J135" s="6">
        <v>0</v>
      </c>
      <c r="K135" s="5">
        <f>tblPayroll[[#This Row],[Basic Salary]]+tblPayroll[[#This Row],[Fixed Allowance]]+tblPayroll[[#This Row],[THR / Bonus]]</f>
        <v>6500000</v>
      </c>
      <c r="L135" s="5">
        <f>ROUND(MIN(tblPayroll[[#This Row],[Basic Salary]]+tblPayroll[[#This Row],[Fixed Allowance]],BPJSKesCap)*R_KesEr,0)</f>
        <v>260000</v>
      </c>
      <c r="M135" s="5">
        <f>ROUND((tblPayroll[[#This Row],[Basic Salary]]+tblPayroll[[#This Row],[Fixed Allowance]])*R_JKK,0)</f>
        <v>15600</v>
      </c>
      <c r="N135" s="5">
        <f>ROUND((tblPayroll[[#This Row],[Basic Salary]]+tblPayroll[[#This Row],[Fixed Allowance]])*R_JKM,0)</f>
        <v>19500</v>
      </c>
      <c r="O135" s="5">
        <f>ROUND((tblPayroll[[#This Row],[Basic Salary]]+tblPayroll[[#This Row],[Fixed Allowance]])*R_JHTEr,0)</f>
        <v>240500</v>
      </c>
      <c r="P135" s="5">
        <f>ROUND(MIN(tblPayroll[[#This Row],[Basic Salary]]+tblPayroll[[#This Row],[Fixed Allowance]],JPCap)*R_JPEr,0)</f>
        <v>130000</v>
      </c>
      <c r="Q135" s="5">
        <f>SUM(tblPayroll[[#This Row],[BPJS Health (Er)]:[JP (Er)]])</f>
        <v>665600</v>
      </c>
      <c r="R135" s="5">
        <f>tblPayroll[[#This Row],[Gross Salary]]+tblPayroll[[#This Row],[BPJS Health (Er)]]+tblPayroll[[#This Row],[JKK (Er)]]+tblPayroll[[#This Row],[JKM (Er)]]</f>
        <v>6795100</v>
      </c>
      <c r="S135" s="119">
        <f>IF(tblPayroll[[#This Row],[TER Cat]]="A",_xlfn.XLOOKUP(tblPayroll[[#This Row],[PPh 21 Base]],TerA_L,TerA_R,0,-1),IF(tblPayroll[[#This Row],[TER Cat]]="B",_xlfn.XLOOKUP(tblPayroll[[#This Row],[PPh 21 Base]],TerB_L,TerB_R,0,-1),_xlfn.XLOOKUP(tblPayroll[[#This Row],[PPh 21 Base]],TerC_L,TerC_R,0,-1)))</f>
        <v>1.2500000000000001E-2</v>
      </c>
      <c r="T135" s="5">
        <f>ROUND(tblPayroll[[#This Row],[PPh 21 Base]]*tblPayroll[[#This Row],[TER Rate]],0)</f>
        <v>84939</v>
      </c>
      <c r="U135" s="5">
        <f>ROUND(MIN(tblPayroll[[#This Row],[Basic Salary]]+tblPayroll[[#This Row],[Fixed Allowance]],BPJSKesCap)*R_KesEe,0)</f>
        <v>65000</v>
      </c>
      <c r="V135" s="5">
        <f>ROUND((tblPayroll[[#This Row],[Basic Salary]]+tblPayroll[[#This Row],[Fixed Allowance]])*R_JHTEe,0)</f>
        <v>130000</v>
      </c>
      <c r="W135" s="5">
        <f>ROUND(MIN(tblPayroll[[#This Row],[Basic Salary]]+tblPayroll[[#This Row],[Fixed Allowance]],JPCap)*R_JPEe,0)</f>
        <v>65000</v>
      </c>
      <c r="X135" s="5">
        <f>tblPayroll[[#This Row],[BPJS Health (Ee)]]+tblPayroll[[#This Row],[JHT (Ee)]]+tblPayroll[[#This Row],[JP (Ee)]]</f>
        <v>260000</v>
      </c>
      <c r="Y135" s="5">
        <f>tblPayroll[[#This Row],[Gross Salary]]-tblPayroll[[#This Row],[PPh 21]]-tblPayroll[[#This Row],[Employee BPJS Total]]</f>
        <v>6155061</v>
      </c>
      <c r="Z135" s="5">
        <f>tblPayroll[[#This Row],[Employer BPJS Total]]+tblPayroll[[#This Row],[Employee BPJS Total]]</f>
        <v>925600</v>
      </c>
      <c r="AA135" s="5">
        <f>tblPayroll[[#This Row],[Gross Salary]]+tblPayroll[[#This Row],[Employer BPJS Total]]</f>
        <v>7165600</v>
      </c>
      <c r="AB135" s="4">
        <v>1130</v>
      </c>
    </row>
    <row r="136" spans="2:28" x14ac:dyDescent="0.35">
      <c r="B136" s="4">
        <v>9</v>
      </c>
      <c r="C136" s="113">
        <v>46290</v>
      </c>
      <c r="D136" s="4" t="s">
        <v>4819</v>
      </c>
      <c r="E136" s="1" t="str">
        <f>_xlfn.XLOOKUP(tblPayroll[[#This Row],[Employee ID]],tblEmployees[Employee ID],tblEmployees[Full Name],"")</f>
        <v>Dimas Pratama</v>
      </c>
      <c r="F136" s="1" t="str">
        <f>_xlfn.XLOOKUP(tblPayroll[[#This Row],[Employee ID]],tblEmployees[Employee ID],tblEmployees[Department],"")</f>
        <v>Selling</v>
      </c>
      <c r="G136" s="1" t="str">
        <f>_xlfn.XLOOKUP(tblPayroll[[#This Row],[Employee ID]],tblEmployees[Employee ID],tblEmployees[TER Category],"")</f>
        <v>A</v>
      </c>
      <c r="H136" s="5">
        <f>_xlfn.XLOOKUP(tblPayroll[[#This Row],[Employee ID]],tblEmployees[Employee ID],tblEmployees[Basic Salary],"")</f>
        <v>5800000</v>
      </c>
      <c r="I136" s="5">
        <f>_xlfn.XLOOKUP(tblPayroll[[#This Row],[Employee ID]],tblEmployees[Employee ID],tblEmployees[Fixed Allowance],"")</f>
        <v>700000</v>
      </c>
      <c r="J136" s="6">
        <v>0</v>
      </c>
      <c r="K136" s="5">
        <f>tblPayroll[[#This Row],[Basic Salary]]+tblPayroll[[#This Row],[Fixed Allowance]]+tblPayroll[[#This Row],[THR / Bonus]]</f>
        <v>6500000</v>
      </c>
      <c r="L136" s="5">
        <f>ROUND(MIN(tblPayroll[[#This Row],[Basic Salary]]+tblPayroll[[#This Row],[Fixed Allowance]],BPJSKesCap)*R_KesEr,0)</f>
        <v>260000</v>
      </c>
      <c r="M136" s="5">
        <f>ROUND((tblPayroll[[#This Row],[Basic Salary]]+tblPayroll[[#This Row],[Fixed Allowance]])*R_JKK,0)</f>
        <v>15600</v>
      </c>
      <c r="N136" s="5">
        <f>ROUND((tblPayroll[[#This Row],[Basic Salary]]+tblPayroll[[#This Row],[Fixed Allowance]])*R_JKM,0)</f>
        <v>19500</v>
      </c>
      <c r="O136" s="5">
        <f>ROUND((tblPayroll[[#This Row],[Basic Salary]]+tblPayroll[[#This Row],[Fixed Allowance]])*R_JHTEr,0)</f>
        <v>240500</v>
      </c>
      <c r="P136" s="5">
        <f>ROUND(MIN(tblPayroll[[#This Row],[Basic Salary]]+tblPayroll[[#This Row],[Fixed Allowance]],JPCap)*R_JPEr,0)</f>
        <v>130000</v>
      </c>
      <c r="Q136" s="5">
        <f>SUM(tblPayroll[[#This Row],[BPJS Health (Er)]:[JP (Er)]])</f>
        <v>665600</v>
      </c>
      <c r="R136" s="5">
        <f>tblPayroll[[#This Row],[Gross Salary]]+tblPayroll[[#This Row],[BPJS Health (Er)]]+tblPayroll[[#This Row],[JKK (Er)]]+tblPayroll[[#This Row],[JKM (Er)]]</f>
        <v>6795100</v>
      </c>
      <c r="S136" s="119">
        <f>IF(tblPayroll[[#This Row],[TER Cat]]="A",_xlfn.XLOOKUP(tblPayroll[[#This Row],[PPh 21 Base]],TerA_L,TerA_R,0,-1),IF(tblPayroll[[#This Row],[TER Cat]]="B",_xlfn.XLOOKUP(tblPayroll[[#This Row],[PPh 21 Base]],TerB_L,TerB_R,0,-1),_xlfn.XLOOKUP(tblPayroll[[#This Row],[PPh 21 Base]],TerC_L,TerC_R,0,-1)))</f>
        <v>1.2500000000000001E-2</v>
      </c>
      <c r="T136" s="5">
        <f>ROUND(tblPayroll[[#This Row],[PPh 21 Base]]*tblPayroll[[#This Row],[TER Rate]],0)</f>
        <v>84939</v>
      </c>
      <c r="U136" s="5">
        <f>ROUND(MIN(tblPayroll[[#This Row],[Basic Salary]]+tblPayroll[[#This Row],[Fixed Allowance]],BPJSKesCap)*R_KesEe,0)</f>
        <v>65000</v>
      </c>
      <c r="V136" s="5">
        <f>ROUND((tblPayroll[[#This Row],[Basic Salary]]+tblPayroll[[#This Row],[Fixed Allowance]])*R_JHTEe,0)</f>
        <v>130000</v>
      </c>
      <c r="W136" s="5">
        <f>ROUND(MIN(tblPayroll[[#This Row],[Basic Salary]]+tblPayroll[[#This Row],[Fixed Allowance]],JPCap)*R_JPEe,0)</f>
        <v>65000</v>
      </c>
      <c r="X136" s="5">
        <f>tblPayroll[[#This Row],[BPJS Health (Ee)]]+tblPayroll[[#This Row],[JHT (Ee)]]+tblPayroll[[#This Row],[JP (Ee)]]</f>
        <v>260000</v>
      </c>
      <c r="Y136" s="5">
        <f>tblPayroll[[#This Row],[Gross Salary]]-tblPayroll[[#This Row],[PPh 21]]-tblPayroll[[#This Row],[Employee BPJS Total]]</f>
        <v>6155061</v>
      </c>
      <c r="Z136" s="5">
        <f>tblPayroll[[#This Row],[Employer BPJS Total]]+tblPayroll[[#This Row],[Employee BPJS Total]]</f>
        <v>925600</v>
      </c>
      <c r="AA136" s="5">
        <f>tblPayroll[[#This Row],[Gross Salary]]+tblPayroll[[#This Row],[Employer BPJS Total]]</f>
        <v>7165600</v>
      </c>
      <c r="AB136" s="4">
        <v>1130</v>
      </c>
    </row>
    <row r="137" spans="2:28" x14ac:dyDescent="0.35">
      <c r="B137" s="4">
        <v>9</v>
      </c>
      <c r="C137" s="113">
        <v>46290</v>
      </c>
      <c r="D137" s="4" t="s">
        <v>4823</v>
      </c>
      <c r="E137" s="1" t="str">
        <f>_xlfn.XLOOKUP(tblPayroll[[#This Row],[Employee ID]],tblEmployees[Employee ID],tblEmployees[Full Name],"")</f>
        <v>Yusuf Hidayat</v>
      </c>
      <c r="F137" s="1" t="str">
        <f>_xlfn.XLOOKUP(tblPayroll[[#This Row],[Employee ID]],tblEmployees[Employee ID],tblEmployees[Department],"")</f>
        <v>Selling</v>
      </c>
      <c r="G137" s="1" t="str">
        <f>_xlfn.XLOOKUP(tblPayroll[[#This Row],[Employee ID]],tblEmployees[Employee ID],tblEmployees[TER Category],"")</f>
        <v>B</v>
      </c>
      <c r="H137" s="5">
        <f>_xlfn.XLOOKUP(tblPayroll[[#This Row],[Employee ID]],tblEmployees[Employee ID],tblEmployees[Basic Salary],"")</f>
        <v>7500000</v>
      </c>
      <c r="I137" s="5">
        <f>_xlfn.XLOOKUP(tblPayroll[[#This Row],[Employee ID]],tblEmployees[Employee ID],tblEmployees[Fixed Allowance],"")</f>
        <v>1000000</v>
      </c>
      <c r="J137" s="6">
        <v>0</v>
      </c>
      <c r="K137" s="5">
        <f>tblPayroll[[#This Row],[Basic Salary]]+tblPayroll[[#This Row],[Fixed Allowance]]+tblPayroll[[#This Row],[THR / Bonus]]</f>
        <v>8500000</v>
      </c>
      <c r="L137" s="5">
        <f>ROUND(MIN(tblPayroll[[#This Row],[Basic Salary]]+tblPayroll[[#This Row],[Fixed Allowance]],BPJSKesCap)*R_KesEr,0)</f>
        <v>340000</v>
      </c>
      <c r="M137" s="5">
        <f>ROUND((tblPayroll[[#This Row],[Basic Salary]]+tblPayroll[[#This Row],[Fixed Allowance]])*R_JKK,0)</f>
        <v>20400</v>
      </c>
      <c r="N137" s="5">
        <f>ROUND((tblPayroll[[#This Row],[Basic Salary]]+tblPayroll[[#This Row],[Fixed Allowance]])*R_JKM,0)</f>
        <v>25500</v>
      </c>
      <c r="O137" s="5">
        <f>ROUND((tblPayroll[[#This Row],[Basic Salary]]+tblPayroll[[#This Row],[Fixed Allowance]])*R_JHTEr,0)</f>
        <v>314500</v>
      </c>
      <c r="P137" s="5">
        <f>ROUND(MIN(tblPayroll[[#This Row],[Basic Salary]]+tblPayroll[[#This Row],[Fixed Allowance]],JPCap)*R_JPEr,0)</f>
        <v>170000</v>
      </c>
      <c r="Q137" s="5">
        <f>SUM(tblPayroll[[#This Row],[BPJS Health (Er)]:[JP (Er)]])</f>
        <v>870400</v>
      </c>
      <c r="R137" s="5">
        <f>tblPayroll[[#This Row],[Gross Salary]]+tblPayroll[[#This Row],[BPJS Health (Er)]]+tblPayroll[[#This Row],[JKK (Er)]]+tblPayroll[[#This Row],[JKM (Er)]]</f>
        <v>8885900</v>
      </c>
      <c r="S137" s="119">
        <f>IF(tblPayroll[[#This Row],[TER Cat]]="A",_xlfn.XLOOKUP(tblPayroll[[#This Row],[PPh 21 Base]],TerA_L,TerA_R,0,-1),IF(tblPayroll[[#This Row],[TER Cat]]="B",_xlfn.XLOOKUP(tblPayroll[[#This Row],[PPh 21 Base]],TerB_L,TerB_R,0,-1),_xlfn.XLOOKUP(tblPayroll[[#This Row],[PPh 21 Base]],TerC_L,TerC_R,0,-1)))</f>
        <v>0.01</v>
      </c>
      <c r="T137" s="5">
        <f>ROUND(tblPayroll[[#This Row],[PPh 21 Base]]*tblPayroll[[#This Row],[TER Rate]],0)</f>
        <v>88859</v>
      </c>
      <c r="U137" s="5">
        <f>ROUND(MIN(tblPayroll[[#This Row],[Basic Salary]]+tblPayroll[[#This Row],[Fixed Allowance]],BPJSKesCap)*R_KesEe,0)</f>
        <v>85000</v>
      </c>
      <c r="V137" s="5">
        <f>ROUND((tblPayroll[[#This Row],[Basic Salary]]+tblPayroll[[#This Row],[Fixed Allowance]])*R_JHTEe,0)</f>
        <v>170000</v>
      </c>
      <c r="W137" s="5">
        <f>ROUND(MIN(tblPayroll[[#This Row],[Basic Salary]]+tblPayroll[[#This Row],[Fixed Allowance]],JPCap)*R_JPEe,0)</f>
        <v>85000</v>
      </c>
      <c r="X137" s="5">
        <f>tblPayroll[[#This Row],[BPJS Health (Ee)]]+tblPayroll[[#This Row],[JHT (Ee)]]+tblPayroll[[#This Row],[JP (Ee)]]</f>
        <v>340000</v>
      </c>
      <c r="Y137" s="5">
        <f>tblPayroll[[#This Row],[Gross Salary]]-tblPayroll[[#This Row],[PPh 21]]-tblPayroll[[#This Row],[Employee BPJS Total]]</f>
        <v>8071141</v>
      </c>
      <c r="Z137" s="5">
        <f>tblPayroll[[#This Row],[Employer BPJS Total]]+tblPayroll[[#This Row],[Employee BPJS Total]]</f>
        <v>1210400</v>
      </c>
      <c r="AA137" s="5">
        <f>tblPayroll[[#This Row],[Gross Salary]]+tblPayroll[[#This Row],[Employer BPJS Total]]</f>
        <v>9370400</v>
      </c>
      <c r="AB137" s="4">
        <v>1130</v>
      </c>
    </row>
    <row r="138" spans="2:28" x14ac:dyDescent="0.35">
      <c r="B138" s="4">
        <v>9</v>
      </c>
      <c r="C138" s="113">
        <v>46290</v>
      </c>
      <c r="D138" s="4" t="s">
        <v>4828</v>
      </c>
      <c r="E138" s="1" t="str">
        <f>_xlfn.XLOOKUP(tblPayroll[[#This Row],[Employee ID]],tblEmployees[Employee ID],tblEmployees[Full Name],"")</f>
        <v>Lestari Wulandari</v>
      </c>
      <c r="F138" s="1" t="str">
        <f>_xlfn.XLOOKUP(tblPayroll[[#This Row],[Employee ID]],tblEmployees[Employee ID],tblEmployees[Department],"")</f>
        <v>Selling</v>
      </c>
      <c r="G138" s="1" t="str">
        <f>_xlfn.XLOOKUP(tblPayroll[[#This Row],[Employee ID]],tblEmployees[Employee ID],tblEmployees[TER Category],"")</f>
        <v>A</v>
      </c>
      <c r="H138" s="5">
        <f>_xlfn.XLOOKUP(tblPayroll[[#This Row],[Employee ID]],tblEmployees[Employee ID],tblEmployees[Basic Salary],"")</f>
        <v>5600000</v>
      </c>
      <c r="I138" s="5">
        <f>_xlfn.XLOOKUP(tblPayroll[[#This Row],[Employee ID]],tblEmployees[Employee ID],tblEmployees[Fixed Allowance],"")</f>
        <v>600000</v>
      </c>
      <c r="J138" s="6">
        <v>0</v>
      </c>
      <c r="K138" s="5">
        <f>tblPayroll[[#This Row],[Basic Salary]]+tblPayroll[[#This Row],[Fixed Allowance]]+tblPayroll[[#This Row],[THR / Bonus]]</f>
        <v>6200000</v>
      </c>
      <c r="L138" s="5">
        <f>ROUND(MIN(tblPayroll[[#This Row],[Basic Salary]]+tblPayroll[[#This Row],[Fixed Allowance]],BPJSKesCap)*R_KesEr,0)</f>
        <v>248000</v>
      </c>
      <c r="M138" s="5">
        <f>ROUND((tblPayroll[[#This Row],[Basic Salary]]+tblPayroll[[#This Row],[Fixed Allowance]])*R_JKK,0)</f>
        <v>14880</v>
      </c>
      <c r="N138" s="5">
        <f>ROUND((tblPayroll[[#This Row],[Basic Salary]]+tblPayroll[[#This Row],[Fixed Allowance]])*R_JKM,0)</f>
        <v>18600</v>
      </c>
      <c r="O138" s="5">
        <f>ROUND((tblPayroll[[#This Row],[Basic Salary]]+tblPayroll[[#This Row],[Fixed Allowance]])*R_JHTEr,0)</f>
        <v>229400</v>
      </c>
      <c r="P138" s="5">
        <f>ROUND(MIN(tblPayroll[[#This Row],[Basic Salary]]+tblPayroll[[#This Row],[Fixed Allowance]],JPCap)*R_JPEr,0)</f>
        <v>124000</v>
      </c>
      <c r="Q138" s="5">
        <f>SUM(tblPayroll[[#This Row],[BPJS Health (Er)]:[JP (Er)]])</f>
        <v>634880</v>
      </c>
      <c r="R138" s="5">
        <f>tblPayroll[[#This Row],[Gross Salary]]+tblPayroll[[#This Row],[BPJS Health (Er)]]+tblPayroll[[#This Row],[JKK (Er)]]+tblPayroll[[#This Row],[JKM (Er)]]</f>
        <v>6481480</v>
      </c>
      <c r="S138" s="119">
        <f>IF(tblPayroll[[#This Row],[TER Cat]]="A",_xlfn.XLOOKUP(tblPayroll[[#This Row],[PPh 21 Base]],TerA_L,TerA_R,0,-1),IF(tblPayroll[[#This Row],[TER Cat]]="B",_xlfn.XLOOKUP(tblPayroll[[#This Row],[PPh 21 Base]],TerB_L,TerB_R,0,-1),_xlfn.XLOOKUP(tblPayroll[[#This Row],[PPh 21 Base]],TerC_L,TerC_R,0,-1)))</f>
        <v>0.01</v>
      </c>
      <c r="T138" s="5">
        <f>ROUND(tblPayroll[[#This Row],[PPh 21 Base]]*tblPayroll[[#This Row],[TER Rate]],0)</f>
        <v>64815</v>
      </c>
      <c r="U138" s="5">
        <f>ROUND(MIN(tblPayroll[[#This Row],[Basic Salary]]+tblPayroll[[#This Row],[Fixed Allowance]],BPJSKesCap)*R_KesEe,0)</f>
        <v>62000</v>
      </c>
      <c r="V138" s="5">
        <f>ROUND((tblPayroll[[#This Row],[Basic Salary]]+tblPayroll[[#This Row],[Fixed Allowance]])*R_JHTEe,0)</f>
        <v>124000</v>
      </c>
      <c r="W138" s="5">
        <f>ROUND(MIN(tblPayroll[[#This Row],[Basic Salary]]+tblPayroll[[#This Row],[Fixed Allowance]],JPCap)*R_JPEe,0)</f>
        <v>62000</v>
      </c>
      <c r="X138" s="5">
        <f>tblPayroll[[#This Row],[BPJS Health (Ee)]]+tblPayroll[[#This Row],[JHT (Ee)]]+tblPayroll[[#This Row],[JP (Ee)]]</f>
        <v>248000</v>
      </c>
      <c r="Y138" s="5">
        <f>tblPayroll[[#This Row],[Gross Salary]]-tblPayroll[[#This Row],[PPh 21]]-tblPayroll[[#This Row],[Employee BPJS Total]]</f>
        <v>5887185</v>
      </c>
      <c r="Z138" s="5">
        <f>tblPayroll[[#This Row],[Employer BPJS Total]]+tblPayroll[[#This Row],[Employee BPJS Total]]</f>
        <v>882880</v>
      </c>
      <c r="AA138" s="5">
        <f>tblPayroll[[#This Row],[Gross Salary]]+tblPayroll[[#This Row],[Employer BPJS Total]]</f>
        <v>6834880</v>
      </c>
      <c r="AB138" s="4">
        <v>1130</v>
      </c>
    </row>
    <row r="139" spans="2:28" x14ac:dyDescent="0.35">
      <c r="B139" s="4">
        <v>9</v>
      </c>
      <c r="C139" s="113">
        <v>46290</v>
      </c>
      <c r="D139" s="4" t="s">
        <v>4834</v>
      </c>
      <c r="E139" s="1" t="str">
        <f>_xlfn.XLOOKUP(tblPayroll[[#This Row],[Employee ID]],tblEmployees[Employee ID],tblEmployees[Full Name],"")</f>
        <v>Bayu Nugroho</v>
      </c>
      <c r="F139" s="1" t="str">
        <f>_xlfn.XLOOKUP(tblPayroll[[#This Row],[Employee ID]],tblEmployees[Employee ID],tblEmployees[Department],"")</f>
        <v>Selling</v>
      </c>
      <c r="G139" s="1" t="str">
        <f>_xlfn.XLOOKUP(tblPayroll[[#This Row],[Employee ID]],tblEmployees[Employee ID],tblEmployees[TER Category],"")</f>
        <v>B</v>
      </c>
      <c r="H139" s="5">
        <f>_xlfn.XLOOKUP(tblPayroll[[#This Row],[Employee ID]],tblEmployees[Employee ID],tblEmployees[Basic Salary],"")</f>
        <v>5600000</v>
      </c>
      <c r="I139" s="5">
        <f>_xlfn.XLOOKUP(tblPayroll[[#This Row],[Employee ID]],tblEmployees[Employee ID],tblEmployees[Fixed Allowance],"")</f>
        <v>600000</v>
      </c>
      <c r="J139" s="6">
        <v>0</v>
      </c>
      <c r="K139" s="5">
        <f>tblPayroll[[#This Row],[Basic Salary]]+tblPayroll[[#This Row],[Fixed Allowance]]+tblPayroll[[#This Row],[THR / Bonus]]</f>
        <v>6200000</v>
      </c>
      <c r="L139" s="5">
        <f>ROUND(MIN(tblPayroll[[#This Row],[Basic Salary]]+tblPayroll[[#This Row],[Fixed Allowance]],BPJSKesCap)*R_KesEr,0)</f>
        <v>248000</v>
      </c>
      <c r="M139" s="5">
        <f>ROUND((tblPayroll[[#This Row],[Basic Salary]]+tblPayroll[[#This Row],[Fixed Allowance]])*R_JKK,0)</f>
        <v>14880</v>
      </c>
      <c r="N139" s="5">
        <f>ROUND((tblPayroll[[#This Row],[Basic Salary]]+tblPayroll[[#This Row],[Fixed Allowance]])*R_JKM,0)</f>
        <v>18600</v>
      </c>
      <c r="O139" s="5">
        <f>ROUND((tblPayroll[[#This Row],[Basic Salary]]+tblPayroll[[#This Row],[Fixed Allowance]])*R_JHTEr,0)</f>
        <v>229400</v>
      </c>
      <c r="P139" s="5">
        <f>ROUND(MIN(tblPayroll[[#This Row],[Basic Salary]]+tblPayroll[[#This Row],[Fixed Allowance]],JPCap)*R_JPEr,0)</f>
        <v>124000</v>
      </c>
      <c r="Q139" s="5">
        <f>SUM(tblPayroll[[#This Row],[BPJS Health (Er)]:[JP (Er)]])</f>
        <v>634880</v>
      </c>
      <c r="R139" s="5">
        <f>tblPayroll[[#This Row],[Gross Salary]]+tblPayroll[[#This Row],[BPJS Health (Er)]]+tblPayroll[[#This Row],[JKK (Er)]]+tblPayroll[[#This Row],[JKM (Er)]]</f>
        <v>6481480</v>
      </c>
      <c r="S139" s="119">
        <f>IF(tblPayroll[[#This Row],[TER Cat]]="A",_xlfn.XLOOKUP(tblPayroll[[#This Row],[PPh 21 Base]],TerA_L,TerA_R,0,-1),IF(tblPayroll[[#This Row],[TER Cat]]="B",_xlfn.XLOOKUP(tblPayroll[[#This Row],[PPh 21 Base]],TerB_L,TerB_R,0,-1),_xlfn.XLOOKUP(tblPayroll[[#This Row],[PPh 21 Base]],TerC_L,TerC_R,0,-1)))</f>
        <v>2.5000000000000001E-3</v>
      </c>
      <c r="T139" s="5">
        <f>ROUND(tblPayroll[[#This Row],[PPh 21 Base]]*tblPayroll[[#This Row],[TER Rate]],0)</f>
        <v>16204</v>
      </c>
      <c r="U139" s="5">
        <f>ROUND(MIN(tblPayroll[[#This Row],[Basic Salary]]+tblPayroll[[#This Row],[Fixed Allowance]],BPJSKesCap)*R_KesEe,0)</f>
        <v>62000</v>
      </c>
      <c r="V139" s="5">
        <f>ROUND((tblPayroll[[#This Row],[Basic Salary]]+tblPayroll[[#This Row],[Fixed Allowance]])*R_JHTEe,0)</f>
        <v>124000</v>
      </c>
      <c r="W139" s="5">
        <f>ROUND(MIN(tblPayroll[[#This Row],[Basic Salary]]+tblPayroll[[#This Row],[Fixed Allowance]],JPCap)*R_JPEe,0)</f>
        <v>62000</v>
      </c>
      <c r="X139" s="5">
        <f>tblPayroll[[#This Row],[BPJS Health (Ee)]]+tblPayroll[[#This Row],[JHT (Ee)]]+tblPayroll[[#This Row],[JP (Ee)]]</f>
        <v>248000</v>
      </c>
      <c r="Y139" s="5">
        <f>tblPayroll[[#This Row],[Gross Salary]]-tblPayroll[[#This Row],[PPh 21]]-tblPayroll[[#This Row],[Employee BPJS Total]]</f>
        <v>5935796</v>
      </c>
      <c r="Z139" s="5">
        <f>tblPayroll[[#This Row],[Employer BPJS Total]]+tblPayroll[[#This Row],[Employee BPJS Total]]</f>
        <v>882880</v>
      </c>
      <c r="AA139" s="5">
        <f>tblPayroll[[#This Row],[Gross Salary]]+tblPayroll[[#This Row],[Employer BPJS Total]]</f>
        <v>6834880</v>
      </c>
      <c r="AB139" s="4">
        <v>1130</v>
      </c>
    </row>
    <row r="140" spans="2:28" x14ac:dyDescent="0.35">
      <c r="B140" s="4">
        <v>9</v>
      </c>
      <c r="C140" s="113">
        <v>46290</v>
      </c>
      <c r="D140" s="4" t="s">
        <v>4839</v>
      </c>
      <c r="E140" s="1" t="str">
        <f>_xlfn.XLOOKUP(tblPayroll[[#This Row],[Employee ID]],tblEmployees[Employee ID],tblEmployees[Full Name],"")</f>
        <v>Maya Sari</v>
      </c>
      <c r="F140" s="1" t="str">
        <f>_xlfn.XLOOKUP(tblPayroll[[#This Row],[Employee ID]],tblEmployees[Employee ID],tblEmployees[Department],"")</f>
        <v>Selling</v>
      </c>
      <c r="G140" s="1" t="str">
        <f>_xlfn.XLOOKUP(tblPayroll[[#This Row],[Employee ID]],tblEmployees[Employee ID],tblEmployees[TER Category],"")</f>
        <v>A</v>
      </c>
      <c r="H140" s="5">
        <f>_xlfn.XLOOKUP(tblPayroll[[#This Row],[Employee ID]],tblEmployees[Employee ID],tblEmployees[Basic Salary],"")</f>
        <v>5700000</v>
      </c>
      <c r="I140" s="5">
        <f>_xlfn.XLOOKUP(tblPayroll[[#This Row],[Employee ID]],tblEmployees[Employee ID],tblEmployees[Fixed Allowance],"")</f>
        <v>600000</v>
      </c>
      <c r="J140" s="6">
        <v>0</v>
      </c>
      <c r="K140" s="5">
        <f>tblPayroll[[#This Row],[Basic Salary]]+tblPayroll[[#This Row],[Fixed Allowance]]+tblPayroll[[#This Row],[THR / Bonus]]</f>
        <v>6300000</v>
      </c>
      <c r="L140" s="5">
        <f>ROUND(MIN(tblPayroll[[#This Row],[Basic Salary]]+tblPayroll[[#This Row],[Fixed Allowance]],BPJSKesCap)*R_KesEr,0)</f>
        <v>252000</v>
      </c>
      <c r="M140" s="5">
        <f>ROUND((tblPayroll[[#This Row],[Basic Salary]]+tblPayroll[[#This Row],[Fixed Allowance]])*R_JKK,0)</f>
        <v>15120</v>
      </c>
      <c r="N140" s="5">
        <f>ROUND((tblPayroll[[#This Row],[Basic Salary]]+tblPayroll[[#This Row],[Fixed Allowance]])*R_JKM,0)</f>
        <v>18900</v>
      </c>
      <c r="O140" s="5">
        <f>ROUND((tblPayroll[[#This Row],[Basic Salary]]+tblPayroll[[#This Row],[Fixed Allowance]])*R_JHTEr,0)</f>
        <v>233100</v>
      </c>
      <c r="P140" s="5">
        <f>ROUND(MIN(tblPayroll[[#This Row],[Basic Salary]]+tblPayroll[[#This Row],[Fixed Allowance]],JPCap)*R_JPEr,0)</f>
        <v>126000</v>
      </c>
      <c r="Q140" s="5">
        <f>SUM(tblPayroll[[#This Row],[BPJS Health (Er)]:[JP (Er)]])</f>
        <v>645120</v>
      </c>
      <c r="R140" s="5">
        <f>tblPayroll[[#This Row],[Gross Salary]]+tblPayroll[[#This Row],[BPJS Health (Er)]]+tblPayroll[[#This Row],[JKK (Er)]]+tblPayroll[[#This Row],[JKM (Er)]]</f>
        <v>6586020</v>
      </c>
      <c r="S140" s="119">
        <f>IF(tblPayroll[[#This Row],[TER Cat]]="A",_xlfn.XLOOKUP(tblPayroll[[#This Row],[PPh 21 Base]],TerA_L,TerA_R,0,-1),IF(tblPayroll[[#This Row],[TER Cat]]="B",_xlfn.XLOOKUP(tblPayroll[[#This Row],[PPh 21 Base]],TerB_L,TerB_R,0,-1),_xlfn.XLOOKUP(tblPayroll[[#This Row],[PPh 21 Base]],TerC_L,TerC_R,0,-1)))</f>
        <v>0.01</v>
      </c>
      <c r="T140" s="5">
        <f>ROUND(tblPayroll[[#This Row],[PPh 21 Base]]*tblPayroll[[#This Row],[TER Rate]],0)</f>
        <v>65860</v>
      </c>
      <c r="U140" s="5">
        <f>ROUND(MIN(tblPayroll[[#This Row],[Basic Salary]]+tblPayroll[[#This Row],[Fixed Allowance]],BPJSKesCap)*R_KesEe,0)</f>
        <v>63000</v>
      </c>
      <c r="V140" s="5">
        <f>ROUND((tblPayroll[[#This Row],[Basic Salary]]+tblPayroll[[#This Row],[Fixed Allowance]])*R_JHTEe,0)</f>
        <v>126000</v>
      </c>
      <c r="W140" s="5">
        <f>ROUND(MIN(tblPayroll[[#This Row],[Basic Salary]]+tblPayroll[[#This Row],[Fixed Allowance]],JPCap)*R_JPEe,0)</f>
        <v>63000</v>
      </c>
      <c r="X140" s="5">
        <f>tblPayroll[[#This Row],[BPJS Health (Ee)]]+tblPayroll[[#This Row],[JHT (Ee)]]+tblPayroll[[#This Row],[JP (Ee)]]</f>
        <v>252000</v>
      </c>
      <c r="Y140" s="5">
        <f>tblPayroll[[#This Row],[Gross Salary]]-tblPayroll[[#This Row],[PPh 21]]-tblPayroll[[#This Row],[Employee BPJS Total]]</f>
        <v>5982140</v>
      </c>
      <c r="Z140" s="5">
        <f>tblPayroll[[#This Row],[Employer BPJS Total]]+tblPayroll[[#This Row],[Employee BPJS Total]]</f>
        <v>897120</v>
      </c>
      <c r="AA140" s="5">
        <f>tblPayroll[[#This Row],[Gross Salary]]+tblPayroll[[#This Row],[Employer BPJS Total]]</f>
        <v>6945120</v>
      </c>
      <c r="AB140" s="4">
        <v>1130</v>
      </c>
    </row>
    <row r="141" spans="2:28" x14ac:dyDescent="0.35">
      <c r="B141" s="4">
        <v>9</v>
      </c>
      <c r="C141" s="113">
        <v>46290</v>
      </c>
      <c r="D141" s="4" t="s">
        <v>4844</v>
      </c>
      <c r="E141" s="1" t="str">
        <f>_xlfn.XLOOKUP(tblPayroll[[#This Row],[Employee ID]],tblEmployees[Employee ID],tblEmployees[Full Name],"")</f>
        <v>Hendra Wijaya</v>
      </c>
      <c r="F141" s="1" t="str">
        <f>_xlfn.XLOOKUP(tblPayroll[[#This Row],[Employee ID]],tblEmployees[Employee ID],tblEmployees[Department],"")</f>
        <v>G&amp;A</v>
      </c>
      <c r="G141" s="1" t="str">
        <f>_xlfn.XLOOKUP(tblPayroll[[#This Row],[Employee ID]],tblEmployees[Employee ID],tblEmployees[TER Category],"")</f>
        <v>A</v>
      </c>
      <c r="H141" s="5">
        <f>_xlfn.XLOOKUP(tblPayroll[[#This Row],[Employee ID]],tblEmployees[Employee ID],tblEmployees[Basic Salary],"")</f>
        <v>9500000</v>
      </c>
      <c r="I141" s="5">
        <f>_xlfn.XLOOKUP(tblPayroll[[#This Row],[Employee ID]],tblEmployees[Employee ID],tblEmployees[Fixed Allowance],"")</f>
        <v>1000000</v>
      </c>
      <c r="J141" s="6">
        <v>0</v>
      </c>
      <c r="K141" s="5">
        <f>tblPayroll[[#This Row],[Basic Salary]]+tblPayroll[[#This Row],[Fixed Allowance]]+tblPayroll[[#This Row],[THR / Bonus]]</f>
        <v>10500000</v>
      </c>
      <c r="L141" s="5">
        <f>ROUND(MIN(tblPayroll[[#This Row],[Basic Salary]]+tblPayroll[[#This Row],[Fixed Allowance]],BPJSKesCap)*R_KesEr,0)</f>
        <v>420000</v>
      </c>
      <c r="M141" s="5">
        <f>ROUND((tblPayroll[[#This Row],[Basic Salary]]+tblPayroll[[#This Row],[Fixed Allowance]])*R_JKK,0)</f>
        <v>25200</v>
      </c>
      <c r="N141" s="5">
        <f>ROUND((tblPayroll[[#This Row],[Basic Salary]]+tblPayroll[[#This Row],[Fixed Allowance]])*R_JKM,0)</f>
        <v>31500</v>
      </c>
      <c r="O141" s="5">
        <f>ROUND((tblPayroll[[#This Row],[Basic Salary]]+tblPayroll[[#This Row],[Fixed Allowance]])*R_JHTEr,0)</f>
        <v>388500</v>
      </c>
      <c r="P141" s="5">
        <f>ROUND(MIN(tblPayroll[[#This Row],[Basic Salary]]+tblPayroll[[#This Row],[Fixed Allowance]],JPCap)*R_JPEr,0)</f>
        <v>210000</v>
      </c>
      <c r="Q141" s="5">
        <f>SUM(tblPayroll[[#This Row],[BPJS Health (Er)]:[JP (Er)]])</f>
        <v>1075200</v>
      </c>
      <c r="R141" s="5">
        <f>tblPayroll[[#This Row],[Gross Salary]]+tblPayroll[[#This Row],[BPJS Health (Er)]]+tblPayroll[[#This Row],[JKK (Er)]]+tblPayroll[[#This Row],[JKM (Er)]]</f>
        <v>10976700</v>
      </c>
      <c r="S141" s="119">
        <f>IF(tblPayroll[[#This Row],[TER Cat]]="A",_xlfn.XLOOKUP(tblPayroll[[#This Row],[PPh 21 Base]],TerA_L,TerA_R,0,-1),IF(tblPayroll[[#This Row],[TER Cat]]="B",_xlfn.XLOOKUP(tblPayroll[[#This Row],[PPh 21 Base]],TerB_L,TerB_R,0,-1),_xlfn.XLOOKUP(tblPayroll[[#This Row],[PPh 21 Base]],TerC_L,TerC_R,0,-1)))</f>
        <v>0.03</v>
      </c>
      <c r="T141" s="5">
        <f>ROUND(tblPayroll[[#This Row],[PPh 21 Base]]*tblPayroll[[#This Row],[TER Rate]],0)</f>
        <v>329301</v>
      </c>
      <c r="U141" s="5">
        <f>ROUND(MIN(tblPayroll[[#This Row],[Basic Salary]]+tblPayroll[[#This Row],[Fixed Allowance]],BPJSKesCap)*R_KesEe,0)</f>
        <v>105000</v>
      </c>
      <c r="V141" s="5">
        <f>ROUND((tblPayroll[[#This Row],[Basic Salary]]+tblPayroll[[#This Row],[Fixed Allowance]])*R_JHTEe,0)</f>
        <v>210000</v>
      </c>
      <c r="W141" s="5">
        <f>ROUND(MIN(tblPayroll[[#This Row],[Basic Salary]]+tblPayroll[[#This Row],[Fixed Allowance]],JPCap)*R_JPEe,0)</f>
        <v>105000</v>
      </c>
      <c r="X141" s="5">
        <f>tblPayroll[[#This Row],[BPJS Health (Ee)]]+tblPayroll[[#This Row],[JHT (Ee)]]+tblPayroll[[#This Row],[JP (Ee)]]</f>
        <v>420000</v>
      </c>
      <c r="Y141" s="5">
        <f>tblPayroll[[#This Row],[Gross Salary]]-tblPayroll[[#This Row],[PPh 21]]-tblPayroll[[#This Row],[Employee BPJS Total]]</f>
        <v>9750699</v>
      </c>
      <c r="Z141" s="5">
        <f>tblPayroll[[#This Row],[Employer BPJS Total]]+tblPayroll[[#This Row],[Employee BPJS Total]]</f>
        <v>1495200</v>
      </c>
      <c r="AA141" s="5">
        <f>tblPayroll[[#This Row],[Gross Salary]]+tblPayroll[[#This Row],[Employer BPJS Total]]</f>
        <v>11575200</v>
      </c>
      <c r="AB141" s="4">
        <v>1130</v>
      </c>
    </row>
    <row r="142" spans="2:28" x14ac:dyDescent="0.35">
      <c r="B142" s="4">
        <v>10</v>
      </c>
      <c r="C142" s="113">
        <v>46320</v>
      </c>
      <c r="D142" s="4" t="s">
        <v>4774</v>
      </c>
      <c r="E142" s="1" t="str">
        <f>_xlfn.XLOOKUP(tblPayroll[[#This Row],[Employee ID]],tblEmployees[Employee ID],tblEmployees[Full Name],"")</f>
        <v>Budi Santoso</v>
      </c>
      <c r="F142" s="1" t="str">
        <f>_xlfn.XLOOKUP(tblPayroll[[#This Row],[Employee ID]],tblEmployees[Employee ID],tblEmployees[Department],"")</f>
        <v>G&amp;A</v>
      </c>
      <c r="G142" s="1" t="str">
        <f>_xlfn.XLOOKUP(tblPayroll[[#This Row],[Employee ID]],tblEmployees[Employee ID],tblEmployees[TER Category],"")</f>
        <v>B</v>
      </c>
      <c r="H142" s="5">
        <f>_xlfn.XLOOKUP(tblPayroll[[#This Row],[Employee ID]],tblEmployees[Employee ID],tblEmployees[Basic Salary],"")</f>
        <v>25000000</v>
      </c>
      <c r="I142" s="5">
        <f>_xlfn.XLOOKUP(tblPayroll[[#This Row],[Employee ID]],tblEmployees[Employee ID],tblEmployees[Fixed Allowance],"")</f>
        <v>4000000</v>
      </c>
      <c r="J142" s="6">
        <v>0</v>
      </c>
      <c r="K142" s="5">
        <f>tblPayroll[[#This Row],[Basic Salary]]+tblPayroll[[#This Row],[Fixed Allowance]]+tblPayroll[[#This Row],[THR / Bonus]]</f>
        <v>29000000</v>
      </c>
      <c r="L142" s="5">
        <f>ROUND(MIN(tblPayroll[[#This Row],[Basic Salary]]+tblPayroll[[#This Row],[Fixed Allowance]],BPJSKesCap)*R_KesEr,0)</f>
        <v>480000</v>
      </c>
      <c r="M142" s="5">
        <f>ROUND((tblPayroll[[#This Row],[Basic Salary]]+tblPayroll[[#This Row],[Fixed Allowance]])*R_JKK,0)</f>
        <v>69600</v>
      </c>
      <c r="N142" s="5">
        <f>ROUND((tblPayroll[[#This Row],[Basic Salary]]+tblPayroll[[#This Row],[Fixed Allowance]])*R_JKM,0)</f>
        <v>87000</v>
      </c>
      <c r="O142" s="5">
        <f>ROUND((tblPayroll[[#This Row],[Basic Salary]]+tblPayroll[[#This Row],[Fixed Allowance]])*R_JHTEr,0)</f>
        <v>1073000</v>
      </c>
      <c r="P142" s="5">
        <f>ROUND(MIN(tblPayroll[[#This Row],[Basic Salary]]+tblPayroll[[#This Row],[Fixed Allowance]],JPCap)*R_JPEr,0)</f>
        <v>210948</v>
      </c>
      <c r="Q142" s="5">
        <f>SUM(tblPayroll[[#This Row],[BPJS Health (Er)]:[JP (Er)]])</f>
        <v>1920548</v>
      </c>
      <c r="R142" s="5">
        <f>tblPayroll[[#This Row],[Gross Salary]]+tblPayroll[[#This Row],[BPJS Health (Er)]]+tblPayroll[[#This Row],[JKK (Er)]]+tblPayroll[[#This Row],[JKM (Er)]]</f>
        <v>29636600</v>
      </c>
      <c r="S142" s="119">
        <f>IF(tblPayroll[[#This Row],[TER Cat]]="A",_xlfn.XLOOKUP(tblPayroll[[#This Row],[PPh 21 Base]],TerA_L,TerA_R,0,-1),IF(tblPayroll[[#This Row],[TER Cat]]="B",_xlfn.XLOOKUP(tblPayroll[[#This Row],[PPh 21 Base]],TerB_L,TerB_R,0,-1),_xlfn.XLOOKUP(tblPayroll[[#This Row],[PPh 21 Base]],TerC_L,TerC_R,0,-1)))</f>
        <v>0.12</v>
      </c>
      <c r="T142" s="5">
        <f>ROUND(tblPayroll[[#This Row],[PPh 21 Base]]*tblPayroll[[#This Row],[TER Rate]],0)</f>
        <v>3556392</v>
      </c>
      <c r="U142" s="5">
        <f>ROUND(MIN(tblPayroll[[#This Row],[Basic Salary]]+tblPayroll[[#This Row],[Fixed Allowance]],BPJSKesCap)*R_KesEe,0)</f>
        <v>120000</v>
      </c>
      <c r="V142" s="5">
        <f>ROUND((tblPayroll[[#This Row],[Basic Salary]]+tblPayroll[[#This Row],[Fixed Allowance]])*R_JHTEe,0)</f>
        <v>580000</v>
      </c>
      <c r="W142" s="5">
        <f>ROUND(MIN(tblPayroll[[#This Row],[Basic Salary]]+tblPayroll[[#This Row],[Fixed Allowance]],JPCap)*R_JPEe,0)</f>
        <v>105474</v>
      </c>
      <c r="X142" s="5">
        <f>tblPayroll[[#This Row],[BPJS Health (Ee)]]+tblPayroll[[#This Row],[JHT (Ee)]]+tblPayroll[[#This Row],[JP (Ee)]]</f>
        <v>805474</v>
      </c>
      <c r="Y142" s="5">
        <f>tblPayroll[[#This Row],[Gross Salary]]-tblPayroll[[#This Row],[PPh 21]]-tblPayroll[[#This Row],[Employee BPJS Total]]</f>
        <v>24638134</v>
      </c>
      <c r="Z142" s="5">
        <f>tblPayroll[[#This Row],[Employer BPJS Total]]+tblPayroll[[#This Row],[Employee BPJS Total]]</f>
        <v>2726022</v>
      </c>
      <c r="AA142" s="5">
        <f>tblPayroll[[#This Row],[Gross Salary]]+tblPayroll[[#This Row],[Employer BPJS Total]]</f>
        <v>30920548</v>
      </c>
      <c r="AB142" s="4">
        <v>1130</v>
      </c>
    </row>
    <row r="143" spans="2:28" x14ac:dyDescent="0.35">
      <c r="B143" s="4">
        <v>10</v>
      </c>
      <c r="C143" s="113">
        <v>46320</v>
      </c>
      <c r="D143" s="4" t="s">
        <v>4779</v>
      </c>
      <c r="E143" s="1" t="str">
        <f>_xlfn.XLOOKUP(tblPayroll[[#This Row],[Employee ID]],tblEmployees[Employee ID],tblEmployees[Full Name],"")</f>
        <v>Siti Rahmawati</v>
      </c>
      <c r="F143" s="1" t="str">
        <f>_xlfn.XLOOKUP(tblPayroll[[#This Row],[Employee ID]],tblEmployees[Employee ID],tblEmployees[Department],"")</f>
        <v>G&amp;A</v>
      </c>
      <c r="G143" s="1" t="str">
        <f>_xlfn.XLOOKUP(tblPayroll[[#This Row],[Employee ID]],tblEmployees[Employee ID],tblEmployees[TER Category],"")</f>
        <v>B</v>
      </c>
      <c r="H143" s="5">
        <f>_xlfn.XLOOKUP(tblPayroll[[#This Row],[Employee ID]],tblEmployees[Employee ID],tblEmployees[Basic Salary],"")</f>
        <v>20000000</v>
      </c>
      <c r="I143" s="5">
        <f>_xlfn.XLOOKUP(tblPayroll[[#This Row],[Employee ID]],tblEmployees[Employee ID],tblEmployees[Fixed Allowance],"")</f>
        <v>3000000</v>
      </c>
      <c r="J143" s="6">
        <v>0</v>
      </c>
      <c r="K143" s="5">
        <f>tblPayroll[[#This Row],[Basic Salary]]+tblPayroll[[#This Row],[Fixed Allowance]]+tblPayroll[[#This Row],[THR / Bonus]]</f>
        <v>23000000</v>
      </c>
      <c r="L143" s="5">
        <f>ROUND(MIN(tblPayroll[[#This Row],[Basic Salary]]+tblPayroll[[#This Row],[Fixed Allowance]],BPJSKesCap)*R_KesEr,0)</f>
        <v>480000</v>
      </c>
      <c r="M143" s="5">
        <f>ROUND((tblPayroll[[#This Row],[Basic Salary]]+tblPayroll[[#This Row],[Fixed Allowance]])*R_JKK,0)</f>
        <v>55200</v>
      </c>
      <c r="N143" s="5">
        <f>ROUND((tblPayroll[[#This Row],[Basic Salary]]+tblPayroll[[#This Row],[Fixed Allowance]])*R_JKM,0)</f>
        <v>69000</v>
      </c>
      <c r="O143" s="5">
        <f>ROUND((tblPayroll[[#This Row],[Basic Salary]]+tblPayroll[[#This Row],[Fixed Allowance]])*R_JHTEr,0)</f>
        <v>851000</v>
      </c>
      <c r="P143" s="5">
        <f>ROUND(MIN(tblPayroll[[#This Row],[Basic Salary]]+tblPayroll[[#This Row],[Fixed Allowance]],JPCap)*R_JPEr,0)</f>
        <v>210948</v>
      </c>
      <c r="Q143" s="5">
        <f>SUM(tblPayroll[[#This Row],[BPJS Health (Er)]:[JP (Er)]])</f>
        <v>1666148</v>
      </c>
      <c r="R143" s="5">
        <f>tblPayroll[[#This Row],[Gross Salary]]+tblPayroll[[#This Row],[BPJS Health (Er)]]+tblPayroll[[#This Row],[JKK (Er)]]+tblPayroll[[#This Row],[JKM (Er)]]</f>
        <v>23604200</v>
      </c>
      <c r="S143" s="119">
        <f>IF(tblPayroll[[#This Row],[TER Cat]]="A",_xlfn.XLOOKUP(tblPayroll[[#This Row],[PPh 21 Base]],TerA_L,TerA_R,0,-1),IF(tblPayroll[[#This Row],[TER Cat]]="B",_xlfn.XLOOKUP(tblPayroll[[#This Row],[PPh 21 Base]],TerB_L,TerB_R,0,-1),_xlfn.XLOOKUP(tblPayroll[[#This Row],[PPh 21 Base]],TerC_L,TerC_R,0,-1)))</f>
        <v>0.09</v>
      </c>
      <c r="T143" s="5">
        <f>ROUND(tblPayroll[[#This Row],[PPh 21 Base]]*tblPayroll[[#This Row],[TER Rate]],0)</f>
        <v>2124378</v>
      </c>
      <c r="U143" s="5">
        <f>ROUND(MIN(tblPayroll[[#This Row],[Basic Salary]]+tblPayroll[[#This Row],[Fixed Allowance]],BPJSKesCap)*R_KesEe,0)</f>
        <v>120000</v>
      </c>
      <c r="V143" s="5">
        <f>ROUND((tblPayroll[[#This Row],[Basic Salary]]+tblPayroll[[#This Row],[Fixed Allowance]])*R_JHTEe,0)</f>
        <v>460000</v>
      </c>
      <c r="W143" s="5">
        <f>ROUND(MIN(tblPayroll[[#This Row],[Basic Salary]]+tblPayroll[[#This Row],[Fixed Allowance]],JPCap)*R_JPEe,0)</f>
        <v>105474</v>
      </c>
      <c r="X143" s="5">
        <f>tblPayroll[[#This Row],[BPJS Health (Ee)]]+tblPayroll[[#This Row],[JHT (Ee)]]+tblPayroll[[#This Row],[JP (Ee)]]</f>
        <v>685474</v>
      </c>
      <c r="Y143" s="5">
        <f>tblPayroll[[#This Row],[Gross Salary]]-tblPayroll[[#This Row],[PPh 21]]-tblPayroll[[#This Row],[Employee BPJS Total]]</f>
        <v>20190148</v>
      </c>
      <c r="Z143" s="5">
        <f>tblPayroll[[#This Row],[Employer BPJS Total]]+tblPayroll[[#This Row],[Employee BPJS Total]]</f>
        <v>2351622</v>
      </c>
      <c r="AA143" s="5">
        <f>tblPayroll[[#This Row],[Gross Salary]]+tblPayroll[[#This Row],[Employer BPJS Total]]</f>
        <v>24666148</v>
      </c>
      <c r="AB143" s="4">
        <v>1130</v>
      </c>
    </row>
    <row r="144" spans="2:28" x14ac:dyDescent="0.35">
      <c r="B144" s="4">
        <v>10</v>
      </c>
      <c r="C144" s="113">
        <v>46320</v>
      </c>
      <c r="D144" s="4" t="s">
        <v>4783</v>
      </c>
      <c r="E144" s="1" t="str">
        <f>_xlfn.XLOOKUP(tblPayroll[[#This Row],[Employee ID]],tblEmployees[Employee ID],tblEmployees[Full Name],"")</f>
        <v>Dewi Lestari</v>
      </c>
      <c r="F144" s="1" t="str">
        <f>_xlfn.XLOOKUP(tblPayroll[[#This Row],[Employee ID]],tblEmployees[Employee ID],tblEmployees[Department],"")</f>
        <v>G&amp;A</v>
      </c>
      <c r="G144" s="1" t="str">
        <f>_xlfn.XLOOKUP(tblPayroll[[#This Row],[Employee ID]],tblEmployees[Employee ID],tblEmployees[TER Category],"")</f>
        <v>A</v>
      </c>
      <c r="H144" s="5">
        <f>_xlfn.XLOOKUP(tblPayroll[[#This Row],[Employee ID]],tblEmployees[Employee ID],tblEmployees[Basic Salary],"")</f>
        <v>15000000</v>
      </c>
      <c r="I144" s="5">
        <f>_xlfn.XLOOKUP(tblPayroll[[#This Row],[Employee ID]],tblEmployees[Employee ID],tblEmployees[Fixed Allowance],"")</f>
        <v>2000000</v>
      </c>
      <c r="J144" s="6">
        <v>0</v>
      </c>
      <c r="K144" s="5">
        <f>tblPayroll[[#This Row],[Basic Salary]]+tblPayroll[[#This Row],[Fixed Allowance]]+tblPayroll[[#This Row],[THR / Bonus]]</f>
        <v>17000000</v>
      </c>
      <c r="L144" s="5">
        <f>ROUND(MIN(tblPayroll[[#This Row],[Basic Salary]]+tblPayroll[[#This Row],[Fixed Allowance]],BPJSKesCap)*R_KesEr,0)</f>
        <v>480000</v>
      </c>
      <c r="M144" s="5">
        <f>ROUND((tblPayroll[[#This Row],[Basic Salary]]+tblPayroll[[#This Row],[Fixed Allowance]])*R_JKK,0)</f>
        <v>40800</v>
      </c>
      <c r="N144" s="5">
        <f>ROUND((tblPayroll[[#This Row],[Basic Salary]]+tblPayroll[[#This Row],[Fixed Allowance]])*R_JKM,0)</f>
        <v>51000</v>
      </c>
      <c r="O144" s="5">
        <f>ROUND((tblPayroll[[#This Row],[Basic Salary]]+tblPayroll[[#This Row],[Fixed Allowance]])*R_JHTEr,0)</f>
        <v>629000</v>
      </c>
      <c r="P144" s="5">
        <f>ROUND(MIN(tblPayroll[[#This Row],[Basic Salary]]+tblPayroll[[#This Row],[Fixed Allowance]],JPCap)*R_JPEr,0)</f>
        <v>210948</v>
      </c>
      <c r="Q144" s="5">
        <f>SUM(tblPayroll[[#This Row],[BPJS Health (Er)]:[JP (Er)]])</f>
        <v>1411748</v>
      </c>
      <c r="R144" s="5">
        <f>tblPayroll[[#This Row],[Gross Salary]]+tblPayroll[[#This Row],[BPJS Health (Er)]]+tblPayroll[[#This Row],[JKK (Er)]]+tblPayroll[[#This Row],[JKM (Er)]]</f>
        <v>17571800</v>
      </c>
      <c r="S144" s="119">
        <f>IF(tblPayroll[[#This Row],[TER Cat]]="A",_xlfn.XLOOKUP(tblPayroll[[#This Row],[PPh 21 Base]],TerA_L,TerA_R,0,-1),IF(tblPayroll[[#This Row],[TER Cat]]="B",_xlfn.XLOOKUP(tblPayroll[[#This Row],[PPh 21 Base]],TerB_L,TerB_R,0,-1),_xlfn.XLOOKUP(tblPayroll[[#This Row],[PPh 21 Base]],TerC_L,TerC_R,0,-1)))</f>
        <v>0.08</v>
      </c>
      <c r="T144" s="5">
        <f>ROUND(tblPayroll[[#This Row],[PPh 21 Base]]*tblPayroll[[#This Row],[TER Rate]],0)</f>
        <v>1405744</v>
      </c>
      <c r="U144" s="5">
        <f>ROUND(MIN(tblPayroll[[#This Row],[Basic Salary]]+tblPayroll[[#This Row],[Fixed Allowance]],BPJSKesCap)*R_KesEe,0)</f>
        <v>120000</v>
      </c>
      <c r="V144" s="5">
        <f>ROUND((tblPayroll[[#This Row],[Basic Salary]]+tblPayroll[[#This Row],[Fixed Allowance]])*R_JHTEe,0)</f>
        <v>340000</v>
      </c>
      <c r="W144" s="5">
        <f>ROUND(MIN(tblPayroll[[#This Row],[Basic Salary]]+tblPayroll[[#This Row],[Fixed Allowance]],JPCap)*R_JPEe,0)</f>
        <v>105474</v>
      </c>
      <c r="X144" s="5">
        <f>tblPayroll[[#This Row],[BPJS Health (Ee)]]+tblPayroll[[#This Row],[JHT (Ee)]]+tblPayroll[[#This Row],[JP (Ee)]]</f>
        <v>565474</v>
      </c>
      <c r="Y144" s="5">
        <f>tblPayroll[[#This Row],[Gross Salary]]-tblPayroll[[#This Row],[PPh 21]]-tblPayroll[[#This Row],[Employee BPJS Total]]</f>
        <v>15028782</v>
      </c>
      <c r="Z144" s="5">
        <f>tblPayroll[[#This Row],[Employer BPJS Total]]+tblPayroll[[#This Row],[Employee BPJS Total]]</f>
        <v>1977222</v>
      </c>
      <c r="AA144" s="5">
        <f>tblPayroll[[#This Row],[Gross Salary]]+tblPayroll[[#This Row],[Employer BPJS Total]]</f>
        <v>18411748</v>
      </c>
      <c r="AB144" s="4">
        <v>1130</v>
      </c>
    </row>
    <row r="145" spans="2:28" x14ac:dyDescent="0.35">
      <c r="B145" s="4">
        <v>10</v>
      </c>
      <c r="C145" s="113">
        <v>46320</v>
      </c>
      <c r="D145" s="4" t="s">
        <v>4787</v>
      </c>
      <c r="E145" s="1" t="str">
        <f>_xlfn.XLOOKUP(tblPayroll[[#This Row],[Employee ID]],tblEmployees[Employee ID],tblEmployees[Full Name],"")</f>
        <v>Agus Prasetyo</v>
      </c>
      <c r="F145" s="1" t="str">
        <f>_xlfn.XLOOKUP(tblPayroll[[#This Row],[Employee ID]],tblEmployees[Employee ID],tblEmployees[Department],"")</f>
        <v>Selling</v>
      </c>
      <c r="G145" s="1" t="str">
        <f>_xlfn.XLOOKUP(tblPayroll[[#This Row],[Employee ID]],tblEmployees[Employee ID],tblEmployees[TER Category],"")</f>
        <v>B</v>
      </c>
      <c r="H145" s="5">
        <f>_xlfn.XLOOKUP(tblPayroll[[#This Row],[Employee ID]],tblEmployees[Employee ID],tblEmployees[Basic Salary],"")</f>
        <v>14000000</v>
      </c>
      <c r="I145" s="5">
        <f>_xlfn.XLOOKUP(tblPayroll[[#This Row],[Employee ID]],tblEmployees[Employee ID],tblEmployees[Fixed Allowance],"")</f>
        <v>2000000</v>
      </c>
      <c r="J145" s="6">
        <v>0</v>
      </c>
      <c r="K145" s="5">
        <f>tblPayroll[[#This Row],[Basic Salary]]+tblPayroll[[#This Row],[Fixed Allowance]]+tblPayroll[[#This Row],[THR / Bonus]]</f>
        <v>16000000</v>
      </c>
      <c r="L145" s="5">
        <f>ROUND(MIN(tblPayroll[[#This Row],[Basic Salary]]+tblPayroll[[#This Row],[Fixed Allowance]],BPJSKesCap)*R_KesEr,0)</f>
        <v>480000</v>
      </c>
      <c r="M145" s="5">
        <f>ROUND((tblPayroll[[#This Row],[Basic Salary]]+tblPayroll[[#This Row],[Fixed Allowance]])*R_JKK,0)</f>
        <v>38400</v>
      </c>
      <c r="N145" s="5">
        <f>ROUND((tblPayroll[[#This Row],[Basic Salary]]+tblPayroll[[#This Row],[Fixed Allowance]])*R_JKM,0)</f>
        <v>48000</v>
      </c>
      <c r="O145" s="5">
        <f>ROUND((tblPayroll[[#This Row],[Basic Salary]]+tblPayroll[[#This Row],[Fixed Allowance]])*R_JHTEr,0)</f>
        <v>592000</v>
      </c>
      <c r="P145" s="5">
        <f>ROUND(MIN(tblPayroll[[#This Row],[Basic Salary]]+tblPayroll[[#This Row],[Fixed Allowance]],JPCap)*R_JPEr,0)</f>
        <v>210948</v>
      </c>
      <c r="Q145" s="5">
        <f>SUM(tblPayroll[[#This Row],[BPJS Health (Er)]:[JP (Er)]])</f>
        <v>1369348</v>
      </c>
      <c r="R145" s="5">
        <f>tblPayroll[[#This Row],[Gross Salary]]+tblPayroll[[#This Row],[BPJS Health (Er)]]+tblPayroll[[#This Row],[JKK (Er)]]+tblPayroll[[#This Row],[JKM (Er)]]</f>
        <v>16566400</v>
      </c>
      <c r="S145" s="119">
        <f>IF(tblPayroll[[#This Row],[TER Cat]]="A",_xlfn.XLOOKUP(tblPayroll[[#This Row],[PPh 21 Base]],TerA_L,TerA_R,0,-1),IF(tblPayroll[[#This Row],[TER Cat]]="B",_xlfn.XLOOKUP(tblPayroll[[#This Row],[PPh 21 Base]],TerB_L,TerB_R,0,-1),_xlfn.XLOOKUP(tblPayroll[[#This Row],[PPh 21 Base]],TerC_L,TerC_R,0,-1)))</f>
        <v>7.0000000000000007E-2</v>
      </c>
      <c r="T145" s="5">
        <f>ROUND(tblPayroll[[#This Row],[PPh 21 Base]]*tblPayroll[[#This Row],[TER Rate]],0)</f>
        <v>1159648</v>
      </c>
      <c r="U145" s="5">
        <f>ROUND(MIN(tblPayroll[[#This Row],[Basic Salary]]+tblPayroll[[#This Row],[Fixed Allowance]],BPJSKesCap)*R_KesEe,0)</f>
        <v>120000</v>
      </c>
      <c r="V145" s="5">
        <f>ROUND((tblPayroll[[#This Row],[Basic Salary]]+tblPayroll[[#This Row],[Fixed Allowance]])*R_JHTEe,0)</f>
        <v>320000</v>
      </c>
      <c r="W145" s="5">
        <f>ROUND(MIN(tblPayroll[[#This Row],[Basic Salary]]+tblPayroll[[#This Row],[Fixed Allowance]],JPCap)*R_JPEe,0)</f>
        <v>105474</v>
      </c>
      <c r="X145" s="5">
        <f>tblPayroll[[#This Row],[BPJS Health (Ee)]]+tblPayroll[[#This Row],[JHT (Ee)]]+tblPayroll[[#This Row],[JP (Ee)]]</f>
        <v>545474</v>
      </c>
      <c r="Y145" s="5">
        <f>tblPayroll[[#This Row],[Gross Salary]]-tblPayroll[[#This Row],[PPh 21]]-tblPayroll[[#This Row],[Employee BPJS Total]]</f>
        <v>14294878</v>
      </c>
      <c r="Z145" s="5">
        <f>tblPayroll[[#This Row],[Employer BPJS Total]]+tblPayroll[[#This Row],[Employee BPJS Total]]</f>
        <v>1914822</v>
      </c>
      <c r="AA145" s="5">
        <f>tblPayroll[[#This Row],[Gross Salary]]+tblPayroll[[#This Row],[Employer BPJS Total]]</f>
        <v>17369348</v>
      </c>
      <c r="AB145" s="4">
        <v>1130</v>
      </c>
    </row>
    <row r="146" spans="2:28" x14ac:dyDescent="0.35">
      <c r="B146" s="4">
        <v>10</v>
      </c>
      <c r="C146" s="113">
        <v>46320</v>
      </c>
      <c r="D146" s="4" t="s">
        <v>4793</v>
      </c>
      <c r="E146" s="1" t="str">
        <f>_xlfn.XLOOKUP(tblPayroll[[#This Row],[Employee ID]],tblEmployees[Employee ID],tblEmployees[Full Name],"")</f>
        <v>Rina Kartika</v>
      </c>
      <c r="F146" s="1" t="str">
        <f>_xlfn.XLOOKUP(tblPayroll[[#This Row],[Employee ID]],tblEmployees[Employee ID],tblEmployees[Department],"")</f>
        <v>Selling</v>
      </c>
      <c r="G146" s="1" t="str">
        <f>_xlfn.XLOOKUP(tblPayroll[[#This Row],[Employee ID]],tblEmployees[Employee ID],tblEmployees[TER Category],"")</f>
        <v>A</v>
      </c>
      <c r="H146" s="5">
        <f>_xlfn.XLOOKUP(tblPayroll[[#This Row],[Employee ID]],tblEmployees[Employee ID],tblEmployees[Basic Salary],"")</f>
        <v>12000000</v>
      </c>
      <c r="I146" s="5">
        <f>_xlfn.XLOOKUP(tblPayroll[[#This Row],[Employee ID]],tblEmployees[Employee ID],tblEmployees[Fixed Allowance],"")</f>
        <v>1500000</v>
      </c>
      <c r="J146" s="6">
        <v>0</v>
      </c>
      <c r="K146" s="5">
        <f>tblPayroll[[#This Row],[Basic Salary]]+tblPayroll[[#This Row],[Fixed Allowance]]+tblPayroll[[#This Row],[THR / Bonus]]</f>
        <v>13500000</v>
      </c>
      <c r="L146" s="5">
        <f>ROUND(MIN(tblPayroll[[#This Row],[Basic Salary]]+tblPayroll[[#This Row],[Fixed Allowance]],BPJSKesCap)*R_KesEr,0)</f>
        <v>480000</v>
      </c>
      <c r="M146" s="5">
        <f>ROUND((tblPayroll[[#This Row],[Basic Salary]]+tblPayroll[[#This Row],[Fixed Allowance]])*R_JKK,0)</f>
        <v>32400</v>
      </c>
      <c r="N146" s="5">
        <f>ROUND((tblPayroll[[#This Row],[Basic Salary]]+tblPayroll[[#This Row],[Fixed Allowance]])*R_JKM,0)</f>
        <v>40500</v>
      </c>
      <c r="O146" s="5">
        <f>ROUND((tblPayroll[[#This Row],[Basic Salary]]+tblPayroll[[#This Row],[Fixed Allowance]])*R_JHTEr,0)</f>
        <v>499500</v>
      </c>
      <c r="P146" s="5">
        <f>ROUND(MIN(tblPayroll[[#This Row],[Basic Salary]]+tblPayroll[[#This Row],[Fixed Allowance]],JPCap)*R_JPEr,0)</f>
        <v>210948</v>
      </c>
      <c r="Q146" s="5">
        <f>SUM(tblPayroll[[#This Row],[BPJS Health (Er)]:[JP (Er)]])</f>
        <v>1263348</v>
      </c>
      <c r="R146" s="5">
        <f>tblPayroll[[#This Row],[Gross Salary]]+tblPayroll[[#This Row],[BPJS Health (Er)]]+tblPayroll[[#This Row],[JKK (Er)]]+tblPayroll[[#This Row],[JKM (Er)]]</f>
        <v>14052900</v>
      </c>
      <c r="S146" s="119">
        <f>IF(tblPayroll[[#This Row],[TER Cat]]="A",_xlfn.XLOOKUP(tblPayroll[[#This Row],[PPh 21 Base]],TerA_L,TerA_R,0,-1),IF(tblPayroll[[#This Row],[TER Cat]]="B",_xlfn.XLOOKUP(tblPayroll[[#This Row],[PPh 21 Base]],TerB_L,TerB_R,0,-1),_xlfn.XLOOKUP(tblPayroll[[#This Row],[PPh 21 Base]],TerC_L,TerC_R,0,-1)))</f>
        <v>0.06</v>
      </c>
      <c r="T146" s="5">
        <f>ROUND(tblPayroll[[#This Row],[PPh 21 Base]]*tblPayroll[[#This Row],[TER Rate]],0)</f>
        <v>843174</v>
      </c>
      <c r="U146" s="5">
        <f>ROUND(MIN(tblPayroll[[#This Row],[Basic Salary]]+tblPayroll[[#This Row],[Fixed Allowance]],BPJSKesCap)*R_KesEe,0)</f>
        <v>120000</v>
      </c>
      <c r="V146" s="5">
        <f>ROUND((tblPayroll[[#This Row],[Basic Salary]]+tblPayroll[[#This Row],[Fixed Allowance]])*R_JHTEe,0)</f>
        <v>270000</v>
      </c>
      <c r="W146" s="5">
        <f>ROUND(MIN(tblPayroll[[#This Row],[Basic Salary]]+tblPayroll[[#This Row],[Fixed Allowance]],JPCap)*R_JPEe,0)</f>
        <v>105474</v>
      </c>
      <c r="X146" s="5">
        <f>tblPayroll[[#This Row],[BPJS Health (Ee)]]+tblPayroll[[#This Row],[JHT (Ee)]]+tblPayroll[[#This Row],[JP (Ee)]]</f>
        <v>495474</v>
      </c>
      <c r="Y146" s="5">
        <f>tblPayroll[[#This Row],[Gross Salary]]-tblPayroll[[#This Row],[PPh 21]]-tblPayroll[[#This Row],[Employee BPJS Total]]</f>
        <v>12161352</v>
      </c>
      <c r="Z146" s="5">
        <f>tblPayroll[[#This Row],[Employer BPJS Total]]+tblPayroll[[#This Row],[Employee BPJS Total]]</f>
        <v>1758822</v>
      </c>
      <c r="AA146" s="5">
        <f>tblPayroll[[#This Row],[Gross Salary]]+tblPayroll[[#This Row],[Employer BPJS Total]]</f>
        <v>14763348</v>
      </c>
      <c r="AB146" s="4">
        <v>1130</v>
      </c>
    </row>
    <row r="147" spans="2:28" x14ac:dyDescent="0.35">
      <c r="B147" s="4">
        <v>10</v>
      </c>
      <c r="C147" s="113">
        <v>46320</v>
      </c>
      <c r="D147" s="4" t="s">
        <v>4798</v>
      </c>
      <c r="E147" s="1" t="str">
        <f>_xlfn.XLOOKUP(tblPayroll[[#This Row],[Employee ID]],tblEmployees[Employee ID],tblEmployees[Full Name],"")</f>
        <v>Andi Saputra</v>
      </c>
      <c r="F147" s="1" t="str">
        <f>_xlfn.XLOOKUP(tblPayroll[[#This Row],[Employee ID]],tblEmployees[Employee ID],tblEmployees[Department],"")</f>
        <v>G&amp;A</v>
      </c>
      <c r="G147" s="1" t="str">
        <f>_xlfn.XLOOKUP(tblPayroll[[#This Row],[Employee ID]],tblEmployees[Employee ID],tblEmployees[TER Category],"")</f>
        <v>A</v>
      </c>
      <c r="H147" s="5">
        <f>_xlfn.XLOOKUP(tblPayroll[[#This Row],[Employee ID]],tblEmployees[Employee ID],tblEmployees[Basic Salary],"")</f>
        <v>8500000</v>
      </c>
      <c r="I147" s="5">
        <f>_xlfn.XLOOKUP(tblPayroll[[#This Row],[Employee ID]],tblEmployees[Employee ID],tblEmployees[Fixed Allowance],"")</f>
        <v>1000000</v>
      </c>
      <c r="J147" s="6">
        <v>0</v>
      </c>
      <c r="K147" s="5">
        <f>tblPayroll[[#This Row],[Basic Salary]]+tblPayroll[[#This Row],[Fixed Allowance]]+tblPayroll[[#This Row],[THR / Bonus]]</f>
        <v>9500000</v>
      </c>
      <c r="L147" s="5">
        <f>ROUND(MIN(tblPayroll[[#This Row],[Basic Salary]]+tblPayroll[[#This Row],[Fixed Allowance]],BPJSKesCap)*R_KesEr,0)</f>
        <v>380000</v>
      </c>
      <c r="M147" s="5">
        <f>ROUND((tblPayroll[[#This Row],[Basic Salary]]+tblPayroll[[#This Row],[Fixed Allowance]])*R_JKK,0)</f>
        <v>22800</v>
      </c>
      <c r="N147" s="5">
        <f>ROUND((tblPayroll[[#This Row],[Basic Salary]]+tblPayroll[[#This Row],[Fixed Allowance]])*R_JKM,0)</f>
        <v>28500</v>
      </c>
      <c r="O147" s="5">
        <f>ROUND((tblPayroll[[#This Row],[Basic Salary]]+tblPayroll[[#This Row],[Fixed Allowance]])*R_JHTEr,0)</f>
        <v>351500</v>
      </c>
      <c r="P147" s="5">
        <f>ROUND(MIN(tblPayroll[[#This Row],[Basic Salary]]+tblPayroll[[#This Row],[Fixed Allowance]],JPCap)*R_JPEr,0)</f>
        <v>190000</v>
      </c>
      <c r="Q147" s="5">
        <f>SUM(tblPayroll[[#This Row],[BPJS Health (Er)]:[JP (Er)]])</f>
        <v>972800</v>
      </c>
      <c r="R147" s="5">
        <f>tblPayroll[[#This Row],[Gross Salary]]+tblPayroll[[#This Row],[BPJS Health (Er)]]+tblPayroll[[#This Row],[JKK (Er)]]+tblPayroll[[#This Row],[JKM (Er)]]</f>
        <v>9931300</v>
      </c>
      <c r="S147" s="119">
        <f>IF(tblPayroll[[#This Row],[TER Cat]]="A",_xlfn.XLOOKUP(tblPayroll[[#This Row],[PPh 21 Base]],TerA_L,TerA_R,0,-1),IF(tblPayroll[[#This Row],[TER Cat]]="B",_xlfn.XLOOKUP(tblPayroll[[#This Row],[PPh 21 Base]],TerB_L,TerB_R,0,-1),_xlfn.XLOOKUP(tblPayroll[[#This Row],[PPh 21 Base]],TerC_L,TerC_R,0,-1)))</f>
        <v>0.02</v>
      </c>
      <c r="T147" s="5">
        <f>ROUND(tblPayroll[[#This Row],[PPh 21 Base]]*tblPayroll[[#This Row],[TER Rate]],0)</f>
        <v>198626</v>
      </c>
      <c r="U147" s="5">
        <f>ROUND(MIN(tblPayroll[[#This Row],[Basic Salary]]+tblPayroll[[#This Row],[Fixed Allowance]],BPJSKesCap)*R_KesEe,0)</f>
        <v>95000</v>
      </c>
      <c r="V147" s="5">
        <f>ROUND((tblPayroll[[#This Row],[Basic Salary]]+tblPayroll[[#This Row],[Fixed Allowance]])*R_JHTEe,0)</f>
        <v>190000</v>
      </c>
      <c r="W147" s="5">
        <f>ROUND(MIN(tblPayroll[[#This Row],[Basic Salary]]+tblPayroll[[#This Row],[Fixed Allowance]],JPCap)*R_JPEe,0)</f>
        <v>95000</v>
      </c>
      <c r="X147" s="5">
        <f>tblPayroll[[#This Row],[BPJS Health (Ee)]]+tblPayroll[[#This Row],[JHT (Ee)]]+tblPayroll[[#This Row],[JP (Ee)]]</f>
        <v>380000</v>
      </c>
      <c r="Y147" s="5">
        <f>tblPayroll[[#This Row],[Gross Salary]]-tblPayroll[[#This Row],[PPh 21]]-tblPayroll[[#This Row],[Employee BPJS Total]]</f>
        <v>8921374</v>
      </c>
      <c r="Z147" s="5">
        <f>tblPayroll[[#This Row],[Employer BPJS Total]]+tblPayroll[[#This Row],[Employee BPJS Total]]</f>
        <v>1352800</v>
      </c>
      <c r="AA147" s="5">
        <f>tblPayroll[[#This Row],[Gross Salary]]+tblPayroll[[#This Row],[Employer BPJS Total]]</f>
        <v>10472800</v>
      </c>
      <c r="AB147" s="4">
        <v>1130</v>
      </c>
    </row>
    <row r="148" spans="2:28" x14ac:dyDescent="0.35">
      <c r="B148" s="4">
        <v>10</v>
      </c>
      <c r="C148" s="113">
        <v>46320</v>
      </c>
      <c r="D148" s="4" t="s">
        <v>4803</v>
      </c>
      <c r="E148" s="1" t="str">
        <f>_xlfn.XLOOKUP(tblPayroll[[#This Row],[Employee ID]],tblEmployees[Employee ID],tblEmployees[Full Name],"")</f>
        <v>Fitri Handayani</v>
      </c>
      <c r="F148" s="1" t="str">
        <f>_xlfn.XLOOKUP(tblPayroll[[#This Row],[Employee ID]],tblEmployees[Employee ID],tblEmployees[Department],"")</f>
        <v>G&amp;A</v>
      </c>
      <c r="G148" s="1" t="str">
        <f>_xlfn.XLOOKUP(tblPayroll[[#This Row],[Employee ID]],tblEmployees[Employee ID],tblEmployees[TER Category],"")</f>
        <v>A</v>
      </c>
      <c r="H148" s="5">
        <f>_xlfn.XLOOKUP(tblPayroll[[#This Row],[Employee ID]],tblEmployees[Employee ID],tblEmployees[Basic Salary],"")</f>
        <v>8000000</v>
      </c>
      <c r="I148" s="5">
        <f>_xlfn.XLOOKUP(tblPayroll[[#This Row],[Employee ID]],tblEmployees[Employee ID],tblEmployees[Fixed Allowance],"")</f>
        <v>1000000</v>
      </c>
      <c r="J148" s="6">
        <v>0</v>
      </c>
      <c r="K148" s="5">
        <f>tblPayroll[[#This Row],[Basic Salary]]+tblPayroll[[#This Row],[Fixed Allowance]]+tblPayroll[[#This Row],[THR / Bonus]]</f>
        <v>9000000</v>
      </c>
      <c r="L148" s="5">
        <f>ROUND(MIN(tblPayroll[[#This Row],[Basic Salary]]+tblPayroll[[#This Row],[Fixed Allowance]],BPJSKesCap)*R_KesEr,0)</f>
        <v>360000</v>
      </c>
      <c r="M148" s="5">
        <f>ROUND((tblPayroll[[#This Row],[Basic Salary]]+tblPayroll[[#This Row],[Fixed Allowance]])*R_JKK,0)</f>
        <v>21600</v>
      </c>
      <c r="N148" s="5">
        <f>ROUND((tblPayroll[[#This Row],[Basic Salary]]+tblPayroll[[#This Row],[Fixed Allowance]])*R_JKM,0)</f>
        <v>27000</v>
      </c>
      <c r="O148" s="5">
        <f>ROUND((tblPayroll[[#This Row],[Basic Salary]]+tblPayroll[[#This Row],[Fixed Allowance]])*R_JHTEr,0)</f>
        <v>333000</v>
      </c>
      <c r="P148" s="5">
        <f>ROUND(MIN(tblPayroll[[#This Row],[Basic Salary]]+tblPayroll[[#This Row],[Fixed Allowance]],JPCap)*R_JPEr,0)</f>
        <v>180000</v>
      </c>
      <c r="Q148" s="5">
        <f>SUM(tblPayroll[[#This Row],[BPJS Health (Er)]:[JP (Er)]])</f>
        <v>921600</v>
      </c>
      <c r="R148" s="5">
        <f>tblPayroll[[#This Row],[Gross Salary]]+tblPayroll[[#This Row],[BPJS Health (Er)]]+tblPayroll[[#This Row],[JKK (Er)]]+tblPayroll[[#This Row],[JKM (Er)]]</f>
        <v>9408600</v>
      </c>
      <c r="S148" s="119">
        <f>IF(tblPayroll[[#This Row],[TER Cat]]="A",_xlfn.XLOOKUP(tblPayroll[[#This Row],[PPh 21 Base]],TerA_L,TerA_R,0,-1),IF(tblPayroll[[#This Row],[TER Cat]]="B",_xlfn.XLOOKUP(tblPayroll[[#This Row],[PPh 21 Base]],TerB_L,TerB_R,0,-1),_xlfn.XLOOKUP(tblPayroll[[#This Row],[PPh 21 Base]],TerC_L,TerC_R,0,-1)))</f>
        <v>1.7500000000000002E-2</v>
      </c>
      <c r="T148" s="5">
        <f>ROUND(tblPayroll[[#This Row],[PPh 21 Base]]*tblPayroll[[#This Row],[TER Rate]],0)</f>
        <v>164651</v>
      </c>
      <c r="U148" s="5">
        <f>ROUND(MIN(tblPayroll[[#This Row],[Basic Salary]]+tblPayroll[[#This Row],[Fixed Allowance]],BPJSKesCap)*R_KesEe,0)</f>
        <v>90000</v>
      </c>
      <c r="V148" s="5">
        <f>ROUND((tblPayroll[[#This Row],[Basic Salary]]+tblPayroll[[#This Row],[Fixed Allowance]])*R_JHTEe,0)</f>
        <v>180000</v>
      </c>
      <c r="W148" s="5">
        <f>ROUND(MIN(tblPayroll[[#This Row],[Basic Salary]]+tblPayroll[[#This Row],[Fixed Allowance]],JPCap)*R_JPEe,0)</f>
        <v>90000</v>
      </c>
      <c r="X148" s="5">
        <f>tblPayroll[[#This Row],[BPJS Health (Ee)]]+tblPayroll[[#This Row],[JHT (Ee)]]+tblPayroll[[#This Row],[JP (Ee)]]</f>
        <v>360000</v>
      </c>
      <c r="Y148" s="5">
        <f>tblPayroll[[#This Row],[Gross Salary]]-tblPayroll[[#This Row],[PPh 21]]-tblPayroll[[#This Row],[Employee BPJS Total]]</f>
        <v>8475349</v>
      </c>
      <c r="Z148" s="5">
        <f>tblPayroll[[#This Row],[Employer BPJS Total]]+tblPayroll[[#This Row],[Employee BPJS Total]]</f>
        <v>1281600</v>
      </c>
      <c r="AA148" s="5">
        <f>tblPayroll[[#This Row],[Gross Salary]]+tblPayroll[[#This Row],[Employer BPJS Total]]</f>
        <v>9921600</v>
      </c>
      <c r="AB148" s="4">
        <v>1130</v>
      </c>
    </row>
    <row r="149" spans="2:28" x14ac:dyDescent="0.35">
      <c r="B149" s="4">
        <v>10</v>
      </c>
      <c r="C149" s="113">
        <v>46320</v>
      </c>
      <c r="D149" s="4" t="s">
        <v>4809</v>
      </c>
      <c r="E149" s="1" t="str">
        <f>_xlfn.XLOOKUP(tblPayroll[[#This Row],[Employee ID]],tblEmployees[Employee ID],tblEmployees[Full Name],"")</f>
        <v>Rizky Ramadhan</v>
      </c>
      <c r="F149" s="1" t="str">
        <f>_xlfn.XLOOKUP(tblPayroll[[#This Row],[Employee ID]],tblEmployees[Employee ID],tblEmployees[Department],"")</f>
        <v>Selling</v>
      </c>
      <c r="G149" s="1" t="str">
        <f>_xlfn.XLOOKUP(tblPayroll[[#This Row],[Employee ID]],tblEmployees[Employee ID],tblEmployees[TER Category],"")</f>
        <v>A</v>
      </c>
      <c r="H149" s="5">
        <f>_xlfn.XLOOKUP(tblPayroll[[#This Row],[Employee ID]],tblEmployees[Employee ID],tblEmployees[Basic Salary],"")</f>
        <v>9000000</v>
      </c>
      <c r="I149" s="5">
        <f>_xlfn.XLOOKUP(tblPayroll[[#This Row],[Employee ID]],tblEmployees[Employee ID],tblEmployees[Fixed Allowance],"")</f>
        <v>1500000</v>
      </c>
      <c r="J149" s="6">
        <v>0</v>
      </c>
      <c r="K149" s="5">
        <f>tblPayroll[[#This Row],[Basic Salary]]+tblPayroll[[#This Row],[Fixed Allowance]]+tblPayroll[[#This Row],[THR / Bonus]]</f>
        <v>10500000</v>
      </c>
      <c r="L149" s="5">
        <f>ROUND(MIN(tblPayroll[[#This Row],[Basic Salary]]+tblPayroll[[#This Row],[Fixed Allowance]],BPJSKesCap)*R_KesEr,0)</f>
        <v>420000</v>
      </c>
      <c r="M149" s="5">
        <f>ROUND((tblPayroll[[#This Row],[Basic Salary]]+tblPayroll[[#This Row],[Fixed Allowance]])*R_JKK,0)</f>
        <v>25200</v>
      </c>
      <c r="N149" s="5">
        <f>ROUND((tblPayroll[[#This Row],[Basic Salary]]+tblPayroll[[#This Row],[Fixed Allowance]])*R_JKM,0)</f>
        <v>31500</v>
      </c>
      <c r="O149" s="5">
        <f>ROUND((tblPayroll[[#This Row],[Basic Salary]]+tblPayroll[[#This Row],[Fixed Allowance]])*R_JHTEr,0)</f>
        <v>388500</v>
      </c>
      <c r="P149" s="5">
        <f>ROUND(MIN(tblPayroll[[#This Row],[Basic Salary]]+tblPayroll[[#This Row],[Fixed Allowance]],JPCap)*R_JPEr,0)</f>
        <v>210000</v>
      </c>
      <c r="Q149" s="5">
        <f>SUM(tblPayroll[[#This Row],[BPJS Health (Er)]:[JP (Er)]])</f>
        <v>1075200</v>
      </c>
      <c r="R149" s="5">
        <f>tblPayroll[[#This Row],[Gross Salary]]+tblPayroll[[#This Row],[BPJS Health (Er)]]+tblPayroll[[#This Row],[JKK (Er)]]+tblPayroll[[#This Row],[JKM (Er)]]</f>
        <v>10976700</v>
      </c>
      <c r="S149" s="119">
        <f>IF(tblPayroll[[#This Row],[TER Cat]]="A",_xlfn.XLOOKUP(tblPayroll[[#This Row],[PPh 21 Base]],TerA_L,TerA_R,0,-1),IF(tblPayroll[[#This Row],[TER Cat]]="B",_xlfn.XLOOKUP(tblPayroll[[#This Row],[PPh 21 Base]],TerB_L,TerB_R,0,-1),_xlfn.XLOOKUP(tblPayroll[[#This Row],[PPh 21 Base]],TerC_L,TerC_R,0,-1)))</f>
        <v>0.03</v>
      </c>
      <c r="T149" s="5">
        <f>ROUND(tblPayroll[[#This Row],[PPh 21 Base]]*tblPayroll[[#This Row],[TER Rate]],0)</f>
        <v>329301</v>
      </c>
      <c r="U149" s="5">
        <f>ROUND(MIN(tblPayroll[[#This Row],[Basic Salary]]+tblPayroll[[#This Row],[Fixed Allowance]],BPJSKesCap)*R_KesEe,0)</f>
        <v>105000</v>
      </c>
      <c r="V149" s="5">
        <f>ROUND((tblPayroll[[#This Row],[Basic Salary]]+tblPayroll[[#This Row],[Fixed Allowance]])*R_JHTEe,0)</f>
        <v>210000</v>
      </c>
      <c r="W149" s="5">
        <f>ROUND(MIN(tblPayroll[[#This Row],[Basic Salary]]+tblPayroll[[#This Row],[Fixed Allowance]],JPCap)*R_JPEe,0)</f>
        <v>105000</v>
      </c>
      <c r="X149" s="5">
        <f>tblPayroll[[#This Row],[BPJS Health (Ee)]]+tblPayroll[[#This Row],[JHT (Ee)]]+tblPayroll[[#This Row],[JP (Ee)]]</f>
        <v>420000</v>
      </c>
      <c r="Y149" s="5">
        <f>tblPayroll[[#This Row],[Gross Salary]]-tblPayroll[[#This Row],[PPh 21]]-tblPayroll[[#This Row],[Employee BPJS Total]]</f>
        <v>9750699</v>
      </c>
      <c r="Z149" s="5">
        <f>tblPayroll[[#This Row],[Employer BPJS Total]]+tblPayroll[[#This Row],[Employee BPJS Total]]</f>
        <v>1495200</v>
      </c>
      <c r="AA149" s="5">
        <f>tblPayroll[[#This Row],[Gross Salary]]+tblPayroll[[#This Row],[Employer BPJS Total]]</f>
        <v>11575200</v>
      </c>
      <c r="AB149" s="4">
        <v>1130</v>
      </c>
    </row>
    <row r="150" spans="2:28" x14ac:dyDescent="0.35">
      <c r="B150" s="4">
        <v>10</v>
      </c>
      <c r="C150" s="113">
        <v>46320</v>
      </c>
      <c r="D150" s="4" t="s">
        <v>4814</v>
      </c>
      <c r="E150" s="1" t="str">
        <f>_xlfn.XLOOKUP(tblPayroll[[#This Row],[Employee ID]],tblEmployees[Employee ID],tblEmployees[Full Name],"")</f>
        <v>Nadia Putri</v>
      </c>
      <c r="F150" s="1" t="str">
        <f>_xlfn.XLOOKUP(tblPayroll[[#This Row],[Employee ID]],tblEmployees[Employee ID],tblEmployees[Department],"")</f>
        <v>Selling</v>
      </c>
      <c r="G150" s="1" t="str">
        <f>_xlfn.XLOOKUP(tblPayroll[[#This Row],[Employee ID]],tblEmployees[Employee ID],tblEmployees[TER Category],"")</f>
        <v>A</v>
      </c>
      <c r="H150" s="5">
        <f>_xlfn.XLOOKUP(tblPayroll[[#This Row],[Employee ID]],tblEmployees[Employee ID],tblEmployees[Basic Salary],"")</f>
        <v>5800000</v>
      </c>
      <c r="I150" s="5">
        <f>_xlfn.XLOOKUP(tblPayroll[[#This Row],[Employee ID]],tblEmployees[Employee ID],tblEmployees[Fixed Allowance],"")</f>
        <v>700000</v>
      </c>
      <c r="J150" s="6">
        <v>0</v>
      </c>
      <c r="K150" s="5">
        <f>tblPayroll[[#This Row],[Basic Salary]]+tblPayroll[[#This Row],[Fixed Allowance]]+tblPayroll[[#This Row],[THR / Bonus]]</f>
        <v>6500000</v>
      </c>
      <c r="L150" s="5">
        <f>ROUND(MIN(tblPayroll[[#This Row],[Basic Salary]]+tblPayroll[[#This Row],[Fixed Allowance]],BPJSKesCap)*R_KesEr,0)</f>
        <v>260000</v>
      </c>
      <c r="M150" s="5">
        <f>ROUND((tblPayroll[[#This Row],[Basic Salary]]+tblPayroll[[#This Row],[Fixed Allowance]])*R_JKK,0)</f>
        <v>15600</v>
      </c>
      <c r="N150" s="5">
        <f>ROUND((tblPayroll[[#This Row],[Basic Salary]]+tblPayroll[[#This Row],[Fixed Allowance]])*R_JKM,0)</f>
        <v>19500</v>
      </c>
      <c r="O150" s="5">
        <f>ROUND((tblPayroll[[#This Row],[Basic Salary]]+tblPayroll[[#This Row],[Fixed Allowance]])*R_JHTEr,0)</f>
        <v>240500</v>
      </c>
      <c r="P150" s="5">
        <f>ROUND(MIN(tblPayroll[[#This Row],[Basic Salary]]+tblPayroll[[#This Row],[Fixed Allowance]],JPCap)*R_JPEr,0)</f>
        <v>130000</v>
      </c>
      <c r="Q150" s="5">
        <f>SUM(tblPayroll[[#This Row],[BPJS Health (Er)]:[JP (Er)]])</f>
        <v>665600</v>
      </c>
      <c r="R150" s="5">
        <f>tblPayroll[[#This Row],[Gross Salary]]+tblPayroll[[#This Row],[BPJS Health (Er)]]+tblPayroll[[#This Row],[JKK (Er)]]+tblPayroll[[#This Row],[JKM (Er)]]</f>
        <v>6795100</v>
      </c>
      <c r="S150" s="119">
        <f>IF(tblPayroll[[#This Row],[TER Cat]]="A",_xlfn.XLOOKUP(tblPayroll[[#This Row],[PPh 21 Base]],TerA_L,TerA_R,0,-1),IF(tblPayroll[[#This Row],[TER Cat]]="B",_xlfn.XLOOKUP(tblPayroll[[#This Row],[PPh 21 Base]],TerB_L,TerB_R,0,-1),_xlfn.XLOOKUP(tblPayroll[[#This Row],[PPh 21 Base]],TerC_L,TerC_R,0,-1)))</f>
        <v>1.2500000000000001E-2</v>
      </c>
      <c r="T150" s="5">
        <f>ROUND(tblPayroll[[#This Row],[PPh 21 Base]]*tblPayroll[[#This Row],[TER Rate]],0)</f>
        <v>84939</v>
      </c>
      <c r="U150" s="5">
        <f>ROUND(MIN(tblPayroll[[#This Row],[Basic Salary]]+tblPayroll[[#This Row],[Fixed Allowance]],BPJSKesCap)*R_KesEe,0)</f>
        <v>65000</v>
      </c>
      <c r="V150" s="5">
        <f>ROUND((tblPayroll[[#This Row],[Basic Salary]]+tblPayroll[[#This Row],[Fixed Allowance]])*R_JHTEe,0)</f>
        <v>130000</v>
      </c>
      <c r="W150" s="5">
        <f>ROUND(MIN(tblPayroll[[#This Row],[Basic Salary]]+tblPayroll[[#This Row],[Fixed Allowance]],JPCap)*R_JPEe,0)</f>
        <v>65000</v>
      </c>
      <c r="X150" s="5">
        <f>tblPayroll[[#This Row],[BPJS Health (Ee)]]+tblPayroll[[#This Row],[JHT (Ee)]]+tblPayroll[[#This Row],[JP (Ee)]]</f>
        <v>260000</v>
      </c>
      <c r="Y150" s="5">
        <f>tblPayroll[[#This Row],[Gross Salary]]-tblPayroll[[#This Row],[PPh 21]]-tblPayroll[[#This Row],[Employee BPJS Total]]</f>
        <v>6155061</v>
      </c>
      <c r="Z150" s="5">
        <f>tblPayroll[[#This Row],[Employer BPJS Total]]+tblPayroll[[#This Row],[Employee BPJS Total]]</f>
        <v>925600</v>
      </c>
      <c r="AA150" s="5">
        <f>tblPayroll[[#This Row],[Gross Salary]]+tblPayroll[[#This Row],[Employer BPJS Total]]</f>
        <v>7165600</v>
      </c>
      <c r="AB150" s="4">
        <v>1130</v>
      </c>
    </row>
    <row r="151" spans="2:28" x14ac:dyDescent="0.35">
      <c r="B151" s="4">
        <v>10</v>
      </c>
      <c r="C151" s="113">
        <v>46320</v>
      </c>
      <c r="D151" s="4" t="s">
        <v>4819</v>
      </c>
      <c r="E151" s="1" t="str">
        <f>_xlfn.XLOOKUP(tblPayroll[[#This Row],[Employee ID]],tblEmployees[Employee ID],tblEmployees[Full Name],"")</f>
        <v>Dimas Pratama</v>
      </c>
      <c r="F151" s="1" t="str">
        <f>_xlfn.XLOOKUP(tblPayroll[[#This Row],[Employee ID]],tblEmployees[Employee ID],tblEmployees[Department],"")</f>
        <v>Selling</v>
      </c>
      <c r="G151" s="1" t="str">
        <f>_xlfn.XLOOKUP(tblPayroll[[#This Row],[Employee ID]],tblEmployees[Employee ID],tblEmployees[TER Category],"")</f>
        <v>A</v>
      </c>
      <c r="H151" s="5">
        <f>_xlfn.XLOOKUP(tblPayroll[[#This Row],[Employee ID]],tblEmployees[Employee ID],tblEmployees[Basic Salary],"")</f>
        <v>5800000</v>
      </c>
      <c r="I151" s="5">
        <f>_xlfn.XLOOKUP(tblPayroll[[#This Row],[Employee ID]],tblEmployees[Employee ID],tblEmployees[Fixed Allowance],"")</f>
        <v>700000</v>
      </c>
      <c r="J151" s="6">
        <v>0</v>
      </c>
      <c r="K151" s="5">
        <f>tblPayroll[[#This Row],[Basic Salary]]+tblPayroll[[#This Row],[Fixed Allowance]]+tblPayroll[[#This Row],[THR / Bonus]]</f>
        <v>6500000</v>
      </c>
      <c r="L151" s="5">
        <f>ROUND(MIN(tblPayroll[[#This Row],[Basic Salary]]+tblPayroll[[#This Row],[Fixed Allowance]],BPJSKesCap)*R_KesEr,0)</f>
        <v>260000</v>
      </c>
      <c r="M151" s="5">
        <f>ROUND((tblPayroll[[#This Row],[Basic Salary]]+tblPayroll[[#This Row],[Fixed Allowance]])*R_JKK,0)</f>
        <v>15600</v>
      </c>
      <c r="N151" s="5">
        <f>ROUND((tblPayroll[[#This Row],[Basic Salary]]+tblPayroll[[#This Row],[Fixed Allowance]])*R_JKM,0)</f>
        <v>19500</v>
      </c>
      <c r="O151" s="5">
        <f>ROUND((tblPayroll[[#This Row],[Basic Salary]]+tblPayroll[[#This Row],[Fixed Allowance]])*R_JHTEr,0)</f>
        <v>240500</v>
      </c>
      <c r="P151" s="5">
        <f>ROUND(MIN(tblPayroll[[#This Row],[Basic Salary]]+tblPayroll[[#This Row],[Fixed Allowance]],JPCap)*R_JPEr,0)</f>
        <v>130000</v>
      </c>
      <c r="Q151" s="5">
        <f>SUM(tblPayroll[[#This Row],[BPJS Health (Er)]:[JP (Er)]])</f>
        <v>665600</v>
      </c>
      <c r="R151" s="5">
        <f>tblPayroll[[#This Row],[Gross Salary]]+tblPayroll[[#This Row],[BPJS Health (Er)]]+tblPayroll[[#This Row],[JKK (Er)]]+tblPayroll[[#This Row],[JKM (Er)]]</f>
        <v>6795100</v>
      </c>
      <c r="S151" s="119">
        <f>IF(tblPayroll[[#This Row],[TER Cat]]="A",_xlfn.XLOOKUP(tblPayroll[[#This Row],[PPh 21 Base]],TerA_L,TerA_R,0,-1),IF(tblPayroll[[#This Row],[TER Cat]]="B",_xlfn.XLOOKUP(tblPayroll[[#This Row],[PPh 21 Base]],TerB_L,TerB_R,0,-1),_xlfn.XLOOKUP(tblPayroll[[#This Row],[PPh 21 Base]],TerC_L,TerC_R,0,-1)))</f>
        <v>1.2500000000000001E-2</v>
      </c>
      <c r="T151" s="5">
        <f>ROUND(tblPayroll[[#This Row],[PPh 21 Base]]*tblPayroll[[#This Row],[TER Rate]],0)</f>
        <v>84939</v>
      </c>
      <c r="U151" s="5">
        <f>ROUND(MIN(tblPayroll[[#This Row],[Basic Salary]]+tblPayroll[[#This Row],[Fixed Allowance]],BPJSKesCap)*R_KesEe,0)</f>
        <v>65000</v>
      </c>
      <c r="V151" s="5">
        <f>ROUND((tblPayroll[[#This Row],[Basic Salary]]+tblPayroll[[#This Row],[Fixed Allowance]])*R_JHTEe,0)</f>
        <v>130000</v>
      </c>
      <c r="W151" s="5">
        <f>ROUND(MIN(tblPayroll[[#This Row],[Basic Salary]]+tblPayroll[[#This Row],[Fixed Allowance]],JPCap)*R_JPEe,0)</f>
        <v>65000</v>
      </c>
      <c r="X151" s="5">
        <f>tblPayroll[[#This Row],[BPJS Health (Ee)]]+tblPayroll[[#This Row],[JHT (Ee)]]+tblPayroll[[#This Row],[JP (Ee)]]</f>
        <v>260000</v>
      </c>
      <c r="Y151" s="5">
        <f>tblPayroll[[#This Row],[Gross Salary]]-tblPayroll[[#This Row],[PPh 21]]-tblPayroll[[#This Row],[Employee BPJS Total]]</f>
        <v>6155061</v>
      </c>
      <c r="Z151" s="5">
        <f>tblPayroll[[#This Row],[Employer BPJS Total]]+tblPayroll[[#This Row],[Employee BPJS Total]]</f>
        <v>925600</v>
      </c>
      <c r="AA151" s="5">
        <f>tblPayroll[[#This Row],[Gross Salary]]+tblPayroll[[#This Row],[Employer BPJS Total]]</f>
        <v>7165600</v>
      </c>
      <c r="AB151" s="4">
        <v>1130</v>
      </c>
    </row>
    <row r="152" spans="2:28" x14ac:dyDescent="0.35">
      <c r="B152" s="4">
        <v>10</v>
      </c>
      <c r="C152" s="113">
        <v>46320</v>
      </c>
      <c r="D152" s="4" t="s">
        <v>4823</v>
      </c>
      <c r="E152" s="1" t="str">
        <f>_xlfn.XLOOKUP(tblPayroll[[#This Row],[Employee ID]],tblEmployees[Employee ID],tblEmployees[Full Name],"")</f>
        <v>Yusuf Hidayat</v>
      </c>
      <c r="F152" s="1" t="str">
        <f>_xlfn.XLOOKUP(tblPayroll[[#This Row],[Employee ID]],tblEmployees[Employee ID],tblEmployees[Department],"")</f>
        <v>Selling</v>
      </c>
      <c r="G152" s="1" t="str">
        <f>_xlfn.XLOOKUP(tblPayroll[[#This Row],[Employee ID]],tblEmployees[Employee ID],tblEmployees[TER Category],"")</f>
        <v>B</v>
      </c>
      <c r="H152" s="5">
        <f>_xlfn.XLOOKUP(tblPayroll[[#This Row],[Employee ID]],tblEmployees[Employee ID],tblEmployees[Basic Salary],"")</f>
        <v>7500000</v>
      </c>
      <c r="I152" s="5">
        <f>_xlfn.XLOOKUP(tblPayroll[[#This Row],[Employee ID]],tblEmployees[Employee ID],tblEmployees[Fixed Allowance],"")</f>
        <v>1000000</v>
      </c>
      <c r="J152" s="6">
        <v>0</v>
      </c>
      <c r="K152" s="5">
        <f>tblPayroll[[#This Row],[Basic Salary]]+tblPayroll[[#This Row],[Fixed Allowance]]+tblPayroll[[#This Row],[THR / Bonus]]</f>
        <v>8500000</v>
      </c>
      <c r="L152" s="5">
        <f>ROUND(MIN(tblPayroll[[#This Row],[Basic Salary]]+tblPayroll[[#This Row],[Fixed Allowance]],BPJSKesCap)*R_KesEr,0)</f>
        <v>340000</v>
      </c>
      <c r="M152" s="5">
        <f>ROUND((tblPayroll[[#This Row],[Basic Salary]]+tblPayroll[[#This Row],[Fixed Allowance]])*R_JKK,0)</f>
        <v>20400</v>
      </c>
      <c r="N152" s="5">
        <f>ROUND((tblPayroll[[#This Row],[Basic Salary]]+tblPayroll[[#This Row],[Fixed Allowance]])*R_JKM,0)</f>
        <v>25500</v>
      </c>
      <c r="O152" s="5">
        <f>ROUND((tblPayroll[[#This Row],[Basic Salary]]+tblPayroll[[#This Row],[Fixed Allowance]])*R_JHTEr,0)</f>
        <v>314500</v>
      </c>
      <c r="P152" s="5">
        <f>ROUND(MIN(tblPayroll[[#This Row],[Basic Salary]]+tblPayroll[[#This Row],[Fixed Allowance]],JPCap)*R_JPEr,0)</f>
        <v>170000</v>
      </c>
      <c r="Q152" s="5">
        <f>SUM(tblPayroll[[#This Row],[BPJS Health (Er)]:[JP (Er)]])</f>
        <v>870400</v>
      </c>
      <c r="R152" s="5">
        <f>tblPayroll[[#This Row],[Gross Salary]]+tblPayroll[[#This Row],[BPJS Health (Er)]]+tblPayroll[[#This Row],[JKK (Er)]]+tblPayroll[[#This Row],[JKM (Er)]]</f>
        <v>8885900</v>
      </c>
      <c r="S152" s="119">
        <f>IF(tblPayroll[[#This Row],[TER Cat]]="A",_xlfn.XLOOKUP(tblPayroll[[#This Row],[PPh 21 Base]],TerA_L,TerA_R,0,-1),IF(tblPayroll[[#This Row],[TER Cat]]="B",_xlfn.XLOOKUP(tblPayroll[[#This Row],[PPh 21 Base]],TerB_L,TerB_R,0,-1),_xlfn.XLOOKUP(tblPayroll[[#This Row],[PPh 21 Base]],TerC_L,TerC_R,0,-1)))</f>
        <v>0.01</v>
      </c>
      <c r="T152" s="5">
        <f>ROUND(tblPayroll[[#This Row],[PPh 21 Base]]*tblPayroll[[#This Row],[TER Rate]],0)</f>
        <v>88859</v>
      </c>
      <c r="U152" s="5">
        <f>ROUND(MIN(tblPayroll[[#This Row],[Basic Salary]]+tblPayroll[[#This Row],[Fixed Allowance]],BPJSKesCap)*R_KesEe,0)</f>
        <v>85000</v>
      </c>
      <c r="V152" s="5">
        <f>ROUND((tblPayroll[[#This Row],[Basic Salary]]+tblPayroll[[#This Row],[Fixed Allowance]])*R_JHTEe,0)</f>
        <v>170000</v>
      </c>
      <c r="W152" s="5">
        <f>ROUND(MIN(tblPayroll[[#This Row],[Basic Salary]]+tblPayroll[[#This Row],[Fixed Allowance]],JPCap)*R_JPEe,0)</f>
        <v>85000</v>
      </c>
      <c r="X152" s="5">
        <f>tblPayroll[[#This Row],[BPJS Health (Ee)]]+tblPayroll[[#This Row],[JHT (Ee)]]+tblPayroll[[#This Row],[JP (Ee)]]</f>
        <v>340000</v>
      </c>
      <c r="Y152" s="5">
        <f>tblPayroll[[#This Row],[Gross Salary]]-tblPayroll[[#This Row],[PPh 21]]-tblPayroll[[#This Row],[Employee BPJS Total]]</f>
        <v>8071141</v>
      </c>
      <c r="Z152" s="5">
        <f>tblPayroll[[#This Row],[Employer BPJS Total]]+tblPayroll[[#This Row],[Employee BPJS Total]]</f>
        <v>1210400</v>
      </c>
      <c r="AA152" s="5">
        <f>tblPayroll[[#This Row],[Gross Salary]]+tblPayroll[[#This Row],[Employer BPJS Total]]</f>
        <v>9370400</v>
      </c>
      <c r="AB152" s="4">
        <v>1130</v>
      </c>
    </row>
    <row r="153" spans="2:28" x14ac:dyDescent="0.35">
      <c r="B153" s="4">
        <v>10</v>
      </c>
      <c r="C153" s="113">
        <v>46320</v>
      </c>
      <c r="D153" s="4" t="s">
        <v>4828</v>
      </c>
      <c r="E153" s="1" t="str">
        <f>_xlfn.XLOOKUP(tblPayroll[[#This Row],[Employee ID]],tblEmployees[Employee ID],tblEmployees[Full Name],"")</f>
        <v>Lestari Wulandari</v>
      </c>
      <c r="F153" s="1" t="str">
        <f>_xlfn.XLOOKUP(tblPayroll[[#This Row],[Employee ID]],tblEmployees[Employee ID],tblEmployees[Department],"")</f>
        <v>Selling</v>
      </c>
      <c r="G153" s="1" t="str">
        <f>_xlfn.XLOOKUP(tblPayroll[[#This Row],[Employee ID]],tblEmployees[Employee ID],tblEmployees[TER Category],"")</f>
        <v>A</v>
      </c>
      <c r="H153" s="5">
        <f>_xlfn.XLOOKUP(tblPayroll[[#This Row],[Employee ID]],tblEmployees[Employee ID],tblEmployees[Basic Salary],"")</f>
        <v>5600000</v>
      </c>
      <c r="I153" s="5">
        <f>_xlfn.XLOOKUP(tblPayroll[[#This Row],[Employee ID]],tblEmployees[Employee ID],tblEmployees[Fixed Allowance],"")</f>
        <v>600000</v>
      </c>
      <c r="J153" s="6">
        <v>0</v>
      </c>
      <c r="K153" s="5">
        <f>tblPayroll[[#This Row],[Basic Salary]]+tblPayroll[[#This Row],[Fixed Allowance]]+tblPayroll[[#This Row],[THR / Bonus]]</f>
        <v>6200000</v>
      </c>
      <c r="L153" s="5">
        <f>ROUND(MIN(tblPayroll[[#This Row],[Basic Salary]]+tblPayroll[[#This Row],[Fixed Allowance]],BPJSKesCap)*R_KesEr,0)</f>
        <v>248000</v>
      </c>
      <c r="M153" s="5">
        <f>ROUND((tblPayroll[[#This Row],[Basic Salary]]+tblPayroll[[#This Row],[Fixed Allowance]])*R_JKK,0)</f>
        <v>14880</v>
      </c>
      <c r="N153" s="5">
        <f>ROUND((tblPayroll[[#This Row],[Basic Salary]]+tblPayroll[[#This Row],[Fixed Allowance]])*R_JKM,0)</f>
        <v>18600</v>
      </c>
      <c r="O153" s="5">
        <f>ROUND((tblPayroll[[#This Row],[Basic Salary]]+tblPayroll[[#This Row],[Fixed Allowance]])*R_JHTEr,0)</f>
        <v>229400</v>
      </c>
      <c r="P153" s="5">
        <f>ROUND(MIN(tblPayroll[[#This Row],[Basic Salary]]+tblPayroll[[#This Row],[Fixed Allowance]],JPCap)*R_JPEr,0)</f>
        <v>124000</v>
      </c>
      <c r="Q153" s="5">
        <f>SUM(tblPayroll[[#This Row],[BPJS Health (Er)]:[JP (Er)]])</f>
        <v>634880</v>
      </c>
      <c r="R153" s="5">
        <f>tblPayroll[[#This Row],[Gross Salary]]+tblPayroll[[#This Row],[BPJS Health (Er)]]+tblPayroll[[#This Row],[JKK (Er)]]+tblPayroll[[#This Row],[JKM (Er)]]</f>
        <v>6481480</v>
      </c>
      <c r="S153" s="119">
        <f>IF(tblPayroll[[#This Row],[TER Cat]]="A",_xlfn.XLOOKUP(tblPayroll[[#This Row],[PPh 21 Base]],TerA_L,TerA_R,0,-1),IF(tblPayroll[[#This Row],[TER Cat]]="B",_xlfn.XLOOKUP(tblPayroll[[#This Row],[PPh 21 Base]],TerB_L,TerB_R,0,-1),_xlfn.XLOOKUP(tblPayroll[[#This Row],[PPh 21 Base]],TerC_L,TerC_R,0,-1)))</f>
        <v>0.01</v>
      </c>
      <c r="T153" s="5">
        <f>ROUND(tblPayroll[[#This Row],[PPh 21 Base]]*tblPayroll[[#This Row],[TER Rate]],0)</f>
        <v>64815</v>
      </c>
      <c r="U153" s="5">
        <f>ROUND(MIN(tblPayroll[[#This Row],[Basic Salary]]+tblPayroll[[#This Row],[Fixed Allowance]],BPJSKesCap)*R_KesEe,0)</f>
        <v>62000</v>
      </c>
      <c r="V153" s="5">
        <f>ROUND((tblPayroll[[#This Row],[Basic Salary]]+tblPayroll[[#This Row],[Fixed Allowance]])*R_JHTEe,0)</f>
        <v>124000</v>
      </c>
      <c r="W153" s="5">
        <f>ROUND(MIN(tblPayroll[[#This Row],[Basic Salary]]+tblPayroll[[#This Row],[Fixed Allowance]],JPCap)*R_JPEe,0)</f>
        <v>62000</v>
      </c>
      <c r="X153" s="5">
        <f>tblPayroll[[#This Row],[BPJS Health (Ee)]]+tblPayroll[[#This Row],[JHT (Ee)]]+tblPayroll[[#This Row],[JP (Ee)]]</f>
        <v>248000</v>
      </c>
      <c r="Y153" s="5">
        <f>tblPayroll[[#This Row],[Gross Salary]]-tblPayroll[[#This Row],[PPh 21]]-tblPayroll[[#This Row],[Employee BPJS Total]]</f>
        <v>5887185</v>
      </c>
      <c r="Z153" s="5">
        <f>tblPayroll[[#This Row],[Employer BPJS Total]]+tblPayroll[[#This Row],[Employee BPJS Total]]</f>
        <v>882880</v>
      </c>
      <c r="AA153" s="5">
        <f>tblPayroll[[#This Row],[Gross Salary]]+tblPayroll[[#This Row],[Employer BPJS Total]]</f>
        <v>6834880</v>
      </c>
      <c r="AB153" s="4">
        <v>1130</v>
      </c>
    </row>
    <row r="154" spans="2:28" x14ac:dyDescent="0.35">
      <c r="B154" s="4">
        <v>10</v>
      </c>
      <c r="C154" s="113">
        <v>46320</v>
      </c>
      <c r="D154" s="4" t="s">
        <v>4834</v>
      </c>
      <c r="E154" s="1" t="str">
        <f>_xlfn.XLOOKUP(tblPayroll[[#This Row],[Employee ID]],tblEmployees[Employee ID],tblEmployees[Full Name],"")</f>
        <v>Bayu Nugroho</v>
      </c>
      <c r="F154" s="1" t="str">
        <f>_xlfn.XLOOKUP(tblPayroll[[#This Row],[Employee ID]],tblEmployees[Employee ID],tblEmployees[Department],"")</f>
        <v>Selling</v>
      </c>
      <c r="G154" s="1" t="str">
        <f>_xlfn.XLOOKUP(tblPayroll[[#This Row],[Employee ID]],tblEmployees[Employee ID],tblEmployees[TER Category],"")</f>
        <v>B</v>
      </c>
      <c r="H154" s="5">
        <f>_xlfn.XLOOKUP(tblPayroll[[#This Row],[Employee ID]],tblEmployees[Employee ID],tblEmployees[Basic Salary],"")</f>
        <v>5600000</v>
      </c>
      <c r="I154" s="5">
        <f>_xlfn.XLOOKUP(tblPayroll[[#This Row],[Employee ID]],tblEmployees[Employee ID],tblEmployees[Fixed Allowance],"")</f>
        <v>600000</v>
      </c>
      <c r="J154" s="6">
        <v>0</v>
      </c>
      <c r="K154" s="5">
        <f>tblPayroll[[#This Row],[Basic Salary]]+tblPayroll[[#This Row],[Fixed Allowance]]+tblPayroll[[#This Row],[THR / Bonus]]</f>
        <v>6200000</v>
      </c>
      <c r="L154" s="5">
        <f>ROUND(MIN(tblPayroll[[#This Row],[Basic Salary]]+tblPayroll[[#This Row],[Fixed Allowance]],BPJSKesCap)*R_KesEr,0)</f>
        <v>248000</v>
      </c>
      <c r="M154" s="5">
        <f>ROUND((tblPayroll[[#This Row],[Basic Salary]]+tblPayroll[[#This Row],[Fixed Allowance]])*R_JKK,0)</f>
        <v>14880</v>
      </c>
      <c r="N154" s="5">
        <f>ROUND((tblPayroll[[#This Row],[Basic Salary]]+tblPayroll[[#This Row],[Fixed Allowance]])*R_JKM,0)</f>
        <v>18600</v>
      </c>
      <c r="O154" s="5">
        <f>ROUND((tblPayroll[[#This Row],[Basic Salary]]+tblPayroll[[#This Row],[Fixed Allowance]])*R_JHTEr,0)</f>
        <v>229400</v>
      </c>
      <c r="P154" s="5">
        <f>ROUND(MIN(tblPayroll[[#This Row],[Basic Salary]]+tblPayroll[[#This Row],[Fixed Allowance]],JPCap)*R_JPEr,0)</f>
        <v>124000</v>
      </c>
      <c r="Q154" s="5">
        <f>SUM(tblPayroll[[#This Row],[BPJS Health (Er)]:[JP (Er)]])</f>
        <v>634880</v>
      </c>
      <c r="R154" s="5">
        <f>tblPayroll[[#This Row],[Gross Salary]]+tblPayroll[[#This Row],[BPJS Health (Er)]]+tblPayroll[[#This Row],[JKK (Er)]]+tblPayroll[[#This Row],[JKM (Er)]]</f>
        <v>6481480</v>
      </c>
      <c r="S154" s="119">
        <f>IF(tblPayroll[[#This Row],[TER Cat]]="A",_xlfn.XLOOKUP(tblPayroll[[#This Row],[PPh 21 Base]],TerA_L,TerA_R,0,-1),IF(tblPayroll[[#This Row],[TER Cat]]="B",_xlfn.XLOOKUP(tblPayroll[[#This Row],[PPh 21 Base]],TerB_L,TerB_R,0,-1),_xlfn.XLOOKUP(tblPayroll[[#This Row],[PPh 21 Base]],TerC_L,TerC_R,0,-1)))</f>
        <v>2.5000000000000001E-3</v>
      </c>
      <c r="T154" s="5">
        <f>ROUND(tblPayroll[[#This Row],[PPh 21 Base]]*tblPayroll[[#This Row],[TER Rate]],0)</f>
        <v>16204</v>
      </c>
      <c r="U154" s="5">
        <f>ROUND(MIN(tblPayroll[[#This Row],[Basic Salary]]+tblPayroll[[#This Row],[Fixed Allowance]],BPJSKesCap)*R_KesEe,0)</f>
        <v>62000</v>
      </c>
      <c r="V154" s="5">
        <f>ROUND((tblPayroll[[#This Row],[Basic Salary]]+tblPayroll[[#This Row],[Fixed Allowance]])*R_JHTEe,0)</f>
        <v>124000</v>
      </c>
      <c r="W154" s="5">
        <f>ROUND(MIN(tblPayroll[[#This Row],[Basic Salary]]+tblPayroll[[#This Row],[Fixed Allowance]],JPCap)*R_JPEe,0)</f>
        <v>62000</v>
      </c>
      <c r="X154" s="5">
        <f>tblPayroll[[#This Row],[BPJS Health (Ee)]]+tblPayroll[[#This Row],[JHT (Ee)]]+tblPayroll[[#This Row],[JP (Ee)]]</f>
        <v>248000</v>
      </c>
      <c r="Y154" s="5">
        <f>tblPayroll[[#This Row],[Gross Salary]]-tblPayroll[[#This Row],[PPh 21]]-tblPayroll[[#This Row],[Employee BPJS Total]]</f>
        <v>5935796</v>
      </c>
      <c r="Z154" s="5">
        <f>tblPayroll[[#This Row],[Employer BPJS Total]]+tblPayroll[[#This Row],[Employee BPJS Total]]</f>
        <v>882880</v>
      </c>
      <c r="AA154" s="5">
        <f>tblPayroll[[#This Row],[Gross Salary]]+tblPayroll[[#This Row],[Employer BPJS Total]]</f>
        <v>6834880</v>
      </c>
      <c r="AB154" s="4">
        <v>1130</v>
      </c>
    </row>
    <row r="155" spans="2:28" x14ac:dyDescent="0.35">
      <c r="B155" s="4">
        <v>10</v>
      </c>
      <c r="C155" s="113">
        <v>46320</v>
      </c>
      <c r="D155" s="4" t="s">
        <v>4839</v>
      </c>
      <c r="E155" s="1" t="str">
        <f>_xlfn.XLOOKUP(tblPayroll[[#This Row],[Employee ID]],tblEmployees[Employee ID],tblEmployees[Full Name],"")</f>
        <v>Maya Sari</v>
      </c>
      <c r="F155" s="1" t="str">
        <f>_xlfn.XLOOKUP(tblPayroll[[#This Row],[Employee ID]],tblEmployees[Employee ID],tblEmployees[Department],"")</f>
        <v>Selling</v>
      </c>
      <c r="G155" s="1" t="str">
        <f>_xlfn.XLOOKUP(tblPayroll[[#This Row],[Employee ID]],tblEmployees[Employee ID],tblEmployees[TER Category],"")</f>
        <v>A</v>
      </c>
      <c r="H155" s="5">
        <f>_xlfn.XLOOKUP(tblPayroll[[#This Row],[Employee ID]],tblEmployees[Employee ID],tblEmployees[Basic Salary],"")</f>
        <v>5700000</v>
      </c>
      <c r="I155" s="5">
        <f>_xlfn.XLOOKUP(tblPayroll[[#This Row],[Employee ID]],tblEmployees[Employee ID],tblEmployees[Fixed Allowance],"")</f>
        <v>600000</v>
      </c>
      <c r="J155" s="6">
        <v>0</v>
      </c>
      <c r="K155" s="5">
        <f>tblPayroll[[#This Row],[Basic Salary]]+tblPayroll[[#This Row],[Fixed Allowance]]+tblPayroll[[#This Row],[THR / Bonus]]</f>
        <v>6300000</v>
      </c>
      <c r="L155" s="5">
        <f>ROUND(MIN(tblPayroll[[#This Row],[Basic Salary]]+tblPayroll[[#This Row],[Fixed Allowance]],BPJSKesCap)*R_KesEr,0)</f>
        <v>252000</v>
      </c>
      <c r="M155" s="5">
        <f>ROUND((tblPayroll[[#This Row],[Basic Salary]]+tblPayroll[[#This Row],[Fixed Allowance]])*R_JKK,0)</f>
        <v>15120</v>
      </c>
      <c r="N155" s="5">
        <f>ROUND((tblPayroll[[#This Row],[Basic Salary]]+tblPayroll[[#This Row],[Fixed Allowance]])*R_JKM,0)</f>
        <v>18900</v>
      </c>
      <c r="O155" s="5">
        <f>ROUND((tblPayroll[[#This Row],[Basic Salary]]+tblPayroll[[#This Row],[Fixed Allowance]])*R_JHTEr,0)</f>
        <v>233100</v>
      </c>
      <c r="P155" s="5">
        <f>ROUND(MIN(tblPayroll[[#This Row],[Basic Salary]]+tblPayroll[[#This Row],[Fixed Allowance]],JPCap)*R_JPEr,0)</f>
        <v>126000</v>
      </c>
      <c r="Q155" s="5">
        <f>SUM(tblPayroll[[#This Row],[BPJS Health (Er)]:[JP (Er)]])</f>
        <v>645120</v>
      </c>
      <c r="R155" s="5">
        <f>tblPayroll[[#This Row],[Gross Salary]]+tblPayroll[[#This Row],[BPJS Health (Er)]]+tblPayroll[[#This Row],[JKK (Er)]]+tblPayroll[[#This Row],[JKM (Er)]]</f>
        <v>6586020</v>
      </c>
      <c r="S155" s="119">
        <f>IF(tblPayroll[[#This Row],[TER Cat]]="A",_xlfn.XLOOKUP(tblPayroll[[#This Row],[PPh 21 Base]],TerA_L,TerA_R,0,-1),IF(tblPayroll[[#This Row],[TER Cat]]="B",_xlfn.XLOOKUP(tblPayroll[[#This Row],[PPh 21 Base]],TerB_L,TerB_R,0,-1),_xlfn.XLOOKUP(tblPayroll[[#This Row],[PPh 21 Base]],TerC_L,TerC_R,0,-1)))</f>
        <v>0.01</v>
      </c>
      <c r="T155" s="5">
        <f>ROUND(tblPayroll[[#This Row],[PPh 21 Base]]*tblPayroll[[#This Row],[TER Rate]],0)</f>
        <v>65860</v>
      </c>
      <c r="U155" s="5">
        <f>ROUND(MIN(tblPayroll[[#This Row],[Basic Salary]]+tblPayroll[[#This Row],[Fixed Allowance]],BPJSKesCap)*R_KesEe,0)</f>
        <v>63000</v>
      </c>
      <c r="V155" s="5">
        <f>ROUND((tblPayroll[[#This Row],[Basic Salary]]+tblPayroll[[#This Row],[Fixed Allowance]])*R_JHTEe,0)</f>
        <v>126000</v>
      </c>
      <c r="W155" s="5">
        <f>ROUND(MIN(tblPayroll[[#This Row],[Basic Salary]]+tblPayroll[[#This Row],[Fixed Allowance]],JPCap)*R_JPEe,0)</f>
        <v>63000</v>
      </c>
      <c r="X155" s="5">
        <f>tblPayroll[[#This Row],[BPJS Health (Ee)]]+tblPayroll[[#This Row],[JHT (Ee)]]+tblPayroll[[#This Row],[JP (Ee)]]</f>
        <v>252000</v>
      </c>
      <c r="Y155" s="5">
        <f>tblPayroll[[#This Row],[Gross Salary]]-tblPayroll[[#This Row],[PPh 21]]-tblPayroll[[#This Row],[Employee BPJS Total]]</f>
        <v>5982140</v>
      </c>
      <c r="Z155" s="5">
        <f>tblPayroll[[#This Row],[Employer BPJS Total]]+tblPayroll[[#This Row],[Employee BPJS Total]]</f>
        <v>897120</v>
      </c>
      <c r="AA155" s="5">
        <f>tblPayroll[[#This Row],[Gross Salary]]+tblPayroll[[#This Row],[Employer BPJS Total]]</f>
        <v>6945120</v>
      </c>
      <c r="AB155" s="4">
        <v>1130</v>
      </c>
    </row>
    <row r="156" spans="2:28" x14ac:dyDescent="0.35">
      <c r="B156" s="4">
        <v>10</v>
      </c>
      <c r="C156" s="113">
        <v>46320</v>
      </c>
      <c r="D156" s="4" t="s">
        <v>4844</v>
      </c>
      <c r="E156" s="1" t="str">
        <f>_xlfn.XLOOKUP(tblPayroll[[#This Row],[Employee ID]],tblEmployees[Employee ID],tblEmployees[Full Name],"")</f>
        <v>Hendra Wijaya</v>
      </c>
      <c r="F156" s="1" t="str">
        <f>_xlfn.XLOOKUP(tblPayroll[[#This Row],[Employee ID]],tblEmployees[Employee ID],tblEmployees[Department],"")</f>
        <v>G&amp;A</v>
      </c>
      <c r="G156" s="1" t="str">
        <f>_xlfn.XLOOKUP(tblPayroll[[#This Row],[Employee ID]],tblEmployees[Employee ID],tblEmployees[TER Category],"")</f>
        <v>A</v>
      </c>
      <c r="H156" s="5">
        <f>_xlfn.XLOOKUP(tblPayroll[[#This Row],[Employee ID]],tblEmployees[Employee ID],tblEmployees[Basic Salary],"")</f>
        <v>9500000</v>
      </c>
      <c r="I156" s="5">
        <f>_xlfn.XLOOKUP(tblPayroll[[#This Row],[Employee ID]],tblEmployees[Employee ID],tblEmployees[Fixed Allowance],"")</f>
        <v>1000000</v>
      </c>
      <c r="J156" s="6">
        <v>0</v>
      </c>
      <c r="K156" s="5">
        <f>tblPayroll[[#This Row],[Basic Salary]]+tblPayroll[[#This Row],[Fixed Allowance]]+tblPayroll[[#This Row],[THR / Bonus]]</f>
        <v>10500000</v>
      </c>
      <c r="L156" s="5">
        <f>ROUND(MIN(tblPayroll[[#This Row],[Basic Salary]]+tblPayroll[[#This Row],[Fixed Allowance]],BPJSKesCap)*R_KesEr,0)</f>
        <v>420000</v>
      </c>
      <c r="M156" s="5">
        <f>ROUND((tblPayroll[[#This Row],[Basic Salary]]+tblPayroll[[#This Row],[Fixed Allowance]])*R_JKK,0)</f>
        <v>25200</v>
      </c>
      <c r="N156" s="5">
        <f>ROUND((tblPayroll[[#This Row],[Basic Salary]]+tblPayroll[[#This Row],[Fixed Allowance]])*R_JKM,0)</f>
        <v>31500</v>
      </c>
      <c r="O156" s="5">
        <f>ROUND((tblPayroll[[#This Row],[Basic Salary]]+tblPayroll[[#This Row],[Fixed Allowance]])*R_JHTEr,0)</f>
        <v>388500</v>
      </c>
      <c r="P156" s="5">
        <f>ROUND(MIN(tblPayroll[[#This Row],[Basic Salary]]+tblPayroll[[#This Row],[Fixed Allowance]],JPCap)*R_JPEr,0)</f>
        <v>210000</v>
      </c>
      <c r="Q156" s="5">
        <f>SUM(tblPayroll[[#This Row],[BPJS Health (Er)]:[JP (Er)]])</f>
        <v>1075200</v>
      </c>
      <c r="R156" s="5">
        <f>tblPayroll[[#This Row],[Gross Salary]]+tblPayroll[[#This Row],[BPJS Health (Er)]]+tblPayroll[[#This Row],[JKK (Er)]]+tblPayroll[[#This Row],[JKM (Er)]]</f>
        <v>10976700</v>
      </c>
      <c r="S156" s="119">
        <f>IF(tblPayroll[[#This Row],[TER Cat]]="A",_xlfn.XLOOKUP(tblPayroll[[#This Row],[PPh 21 Base]],TerA_L,TerA_R,0,-1),IF(tblPayroll[[#This Row],[TER Cat]]="B",_xlfn.XLOOKUP(tblPayroll[[#This Row],[PPh 21 Base]],TerB_L,TerB_R,0,-1),_xlfn.XLOOKUP(tblPayroll[[#This Row],[PPh 21 Base]],TerC_L,TerC_R,0,-1)))</f>
        <v>0.03</v>
      </c>
      <c r="T156" s="5">
        <f>ROUND(tblPayroll[[#This Row],[PPh 21 Base]]*tblPayroll[[#This Row],[TER Rate]],0)</f>
        <v>329301</v>
      </c>
      <c r="U156" s="5">
        <f>ROUND(MIN(tblPayroll[[#This Row],[Basic Salary]]+tblPayroll[[#This Row],[Fixed Allowance]],BPJSKesCap)*R_KesEe,0)</f>
        <v>105000</v>
      </c>
      <c r="V156" s="5">
        <f>ROUND((tblPayroll[[#This Row],[Basic Salary]]+tblPayroll[[#This Row],[Fixed Allowance]])*R_JHTEe,0)</f>
        <v>210000</v>
      </c>
      <c r="W156" s="5">
        <f>ROUND(MIN(tblPayroll[[#This Row],[Basic Salary]]+tblPayroll[[#This Row],[Fixed Allowance]],JPCap)*R_JPEe,0)</f>
        <v>105000</v>
      </c>
      <c r="X156" s="5">
        <f>tblPayroll[[#This Row],[BPJS Health (Ee)]]+tblPayroll[[#This Row],[JHT (Ee)]]+tblPayroll[[#This Row],[JP (Ee)]]</f>
        <v>420000</v>
      </c>
      <c r="Y156" s="5">
        <f>tblPayroll[[#This Row],[Gross Salary]]-tblPayroll[[#This Row],[PPh 21]]-tblPayroll[[#This Row],[Employee BPJS Total]]</f>
        <v>9750699</v>
      </c>
      <c r="Z156" s="5">
        <f>tblPayroll[[#This Row],[Employer BPJS Total]]+tblPayroll[[#This Row],[Employee BPJS Total]]</f>
        <v>1495200</v>
      </c>
      <c r="AA156" s="5">
        <f>tblPayroll[[#This Row],[Gross Salary]]+tblPayroll[[#This Row],[Employer BPJS Total]]</f>
        <v>11575200</v>
      </c>
      <c r="AB156" s="4">
        <v>1130</v>
      </c>
    </row>
    <row r="157" spans="2:28" x14ac:dyDescent="0.35">
      <c r="B157" s="4">
        <v>11</v>
      </c>
      <c r="C157" s="113">
        <v>46351</v>
      </c>
      <c r="D157" s="4" t="s">
        <v>4774</v>
      </c>
      <c r="E157" s="1" t="str">
        <f>_xlfn.XLOOKUP(tblPayroll[[#This Row],[Employee ID]],tblEmployees[Employee ID],tblEmployees[Full Name],"")</f>
        <v>Budi Santoso</v>
      </c>
      <c r="F157" s="1" t="str">
        <f>_xlfn.XLOOKUP(tblPayroll[[#This Row],[Employee ID]],tblEmployees[Employee ID],tblEmployees[Department],"")</f>
        <v>G&amp;A</v>
      </c>
      <c r="G157" s="1" t="str">
        <f>_xlfn.XLOOKUP(tblPayroll[[#This Row],[Employee ID]],tblEmployees[Employee ID],tblEmployees[TER Category],"")</f>
        <v>B</v>
      </c>
      <c r="H157" s="5">
        <f>_xlfn.XLOOKUP(tblPayroll[[#This Row],[Employee ID]],tblEmployees[Employee ID],tblEmployees[Basic Salary],"")</f>
        <v>25000000</v>
      </c>
      <c r="I157" s="5">
        <f>_xlfn.XLOOKUP(tblPayroll[[#This Row],[Employee ID]],tblEmployees[Employee ID],tblEmployees[Fixed Allowance],"")</f>
        <v>4000000</v>
      </c>
      <c r="J157" s="6">
        <v>0</v>
      </c>
      <c r="K157" s="5">
        <f>tblPayroll[[#This Row],[Basic Salary]]+tblPayroll[[#This Row],[Fixed Allowance]]+tblPayroll[[#This Row],[THR / Bonus]]</f>
        <v>29000000</v>
      </c>
      <c r="L157" s="5">
        <f>ROUND(MIN(tblPayroll[[#This Row],[Basic Salary]]+tblPayroll[[#This Row],[Fixed Allowance]],BPJSKesCap)*R_KesEr,0)</f>
        <v>480000</v>
      </c>
      <c r="M157" s="5">
        <f>ROUND((tblPayroll[[#This Row],[Basic Salary]]+tblPayroll[[#This Row],[Fixed Allowance]])*R_JKK,0)</f>
        <v>69600</v>
      </c>
      <c r="N157" s="5">
        <f>ROUND((tblPayroll[[#This Row],[Basic Salary]]+tblPayroll[[#This Row],[Fixed Allowance]])*R_JKM,0)</f>
        <v>87000</v>
      </c>
      <c r="O157" s="5">
        <f>ROUND((tblPayroll[[#This Row],[Basic Salary]]+tblPayroll[[#This Row],[Fixed Allowance]])*R_JHTEr,0)</f>
        <v>1073000</v>
      </c>
      <c r="P157" s="5">
        <f>ROUND(MIN(tblPayroll[[#This Row],[Basic Salary]]+tblPayroll[[#This Row],[Fixed Allowance]],JPCap)*R_JPEr,0)</f>
        <v>210948</v>
      </c>
      <c r="Q157" s="5">
        <f>SUM(tblPayroll[[#This Row],[BPJS Health (Er)]:[JP (Er)]])</f>
        <v>1920548</v>
      </c>
      <c r="R157" s="5">
        <f>tblPayroll[[#This Row],[Gross Salary]]+tblPayroll[[#This Row],[BPJS Health (Er)]]+tblPayroll[[#This Row],[JKK (Er)]]+tblPayroll[[#This Row],[JKM (Er)]]</f>
        <v>29636600</v>
      </c>
      <c r="S157" s="119">
        <f>IF(tblPayroll[[#This Row],[TER Cat]]="A",_xlfn.XLOOKUP(tblPayroll[[#This Row],[PPh 21 Base]],TerA_L,TerA_R,0,-1),IF(tblPayroll[[#This Row],[TER Cat]]="B",_xlfn.XLOOKUP(tblPayroll[[#This Row],[PPh 21 Base]],TerB_L,TerB_R,0,-1),_xlfn.XLOOKUP(tblPayroll[[#This Row],[PPh 21 Base]],TerC_L,TerC_R,0,-1)))</f>
        <v>0.12</v>
      </c>
      <c r="T157" s="5">
        <f>ROUND(tblPayroll[[#This Row],[PPh 21 Base]]*tblPayroll[[#This Row],[TER Rate]],0)</f>
        <v>3556392</v>
      </c>
      <c r="U157" s="5">
        <f>ROUND(MIN(tblPayroll[[#This Row],[Basic Salary]]+tblPayroll[[#This Row],[Fixed Allowance]],BPJSKesCap)*R_KesEe,0)</f>
        <v>120000</v>
      </c>
      <c r="V157" s="5">
        <f>ROUND((tblPayroll[[#This Row],[Basic Salary]]+tblPayroll[[#This Row],[Fixed Allowance]])*R_JHTEe,0)</f>
        <v>580000</v>
      </c>
      <c r="W157" s="5">
        <f>ROUND(MIN(tblPayroll[[#This Row],[Basic Salary]]+tblPayroll[[#This Row],[Fixed Allowance]],JPCap)*R_JPEe,0)</f>
        <v>105474</v>
      </c>
      <c r="X157" s="5">
        <f>tblPayroll[[#This Row],[BPJS Health (Ee)]]+tblPayroll[[#This Row],[JHT (Ee)]]+tblPayroll[[#This Row],[JP (Ee)]]</f>
        <v>805474</v>
      </c>
      <c r="Y157" s="5">
        <f>tblPayroll[[#This Row],[Gross Salary]]-tblPayroll[[#This Row],[PPh 21]]-tblPayroll[[#This Row],[Employee BPJS Total]]</f>
        <v>24638134</v>
      </c>
      <c r="Z157" s="5">
        <f>tblPayroll[[#This Row],[Employer BPJS Total]]+tblPayroll[[#This Row],[Employee BPJS Total]]</f>
        <v>2726022</v>
      </c>
      <c r="AA157" s="5">
        <f>tblPayroll[[#This Row],[Gross Salary]]+tblPayroll[[#This Row],[Employer BPJS Total]]</f>
        <v>30920548</v>
      </c>
      <c r="AB157" s="4">
        <v>1130</v>
      </c>
    </row>
    <row r="158" spans="2:28" x14ac:dyDescent="0.35">
      <c r="B158" s="4">
        <v>11</v>
      </c>
      <c r="C158" s="113">
        <v>46351</v>
      </c>
      <c r="D158" s="4" t="s">
        <v>4779</v>
      </c>
      <c r="E158" s="1" t="str">
        <f>_xlfn.XLOOKUP(tblPayroll[[#This Row],[Employee ID]],tblEmployees[Employee ID],tblEmployees[Full Name],"")</f>
        <v>Siti Rahmawati</v>
      </c>
      <c r="F158" s="1" t="str">
        <f>_xlfn.XLOOKUP(tblPayroll[[#This Row],[Employee ID]],tblEmployees[Employee ID],tblEmployees[Department],"")</f>
        <v>G&amp;A</v>
      </c>
      <c r="G158" s="1" t="str">
        <f>_xlfn.XLOOKUP(tblPayroll[[#This Row],[Employee ID]],tblEmployees[Employee ID],tblEmployees[TER Category],"")</f>
        <v>B</v>
      </c>
      <c r="H158" s="5">
        <f>_xlfn.XLOOKUP(tblPayroll[[#This Row],[Employee ID]],tblEmployees[Employee ID],tblEmployees[Basic Salary],"")</f>
        <v>20000000</v>
      </c>
      <c r="I158" s="5">
        <f>_xlfn.XLOOKUP(tblPayroll[[#This Row],[Employee ID]],tblEmployees[Employee ID],tblEmployees[Fixed Allowance],"")</f>
        <v>3000000</v>
      </c>
      <c r="J158" s="6">
        <v>0</v>
      </c>
      <c r="K158" s="5">
        <f>tblPayroll[[#This Row],[Basic Salary]]+tblPayroll[[#This Row],[Fixed Allowance]]+tblPayroll[[#This Row],[THR / Bonus]]</f>
        <v>23000000</v>
      </c>
      <c r="L158" s="5">
        <f>ROUND(MIN(tblPayroll[[#This Row],[Basic Salary]]+tblPayroll[[#This Row],[Fixed Allowance]],BPJSKesCap)*R_KesEr,0)</f>
        <v>480000</v>
      </c>
      <c r="M158" s="5">
        <f>ROUND((tblPayroll[[#This Row],[Basic Salary]]+tblPayroll[[#This Row],[Fixed Allowance]])*R_JKK,0)</f>
        <v>55200</v>
      </c>
      <c r="N158" s="5">
        <f>ROUND((tblPayroll[[#This Row],[Basic Salary]]+tblPayroll[[#This Row],[Fixed Allowance]])*R_JKM,0)</f>
        <v>69000</v>
      </c>
      <c r="O158" s="5">
        <f>ROUND((tblPayroll[[#This Row],[Basic Salary]]+tblPayroll[[#This Row],[Fixed Allowance]])*R_JHTEr,0)</f>
        <v>851000</v>
      </c>
      <c r="P158" s="5">
        <f>ROUND(MIN(tblPayroll[[#This Row],[Basic Salary]]+tblPayroll[[#This Row],[Fixed Allowance]],JPCap)*R_JPEr,0)</f>
        <v>210948</v>
      </c>
      <c r="Q158" s="5">
        <f>SUM(tblPayroll[[#This Row],[BPJS Health (Er)]:[JP (Er)]])</f>
        <v>1666148</v>
      </c>
      <c r="R158" s="5">
        <f>tblPayroll[[#This Row],[Gross Salary]]+tblPayroll[[#This Row],[BPJS Health (Er)]]+tblPayroll[[#This Row],[JKK (Er)]]+tblPayroll[[#This Row],[JKM (Er)]]</f>
        <v>23604200</v>
      </c>
      <c r="S158" s="119">
        <f>IF(tblPayroll[[#This Row],[TER Cat]]="A",_xlfn.XLOOKUP(tblPayroll[[#This Row],[PPh 21 Base]],TerA_L,TerA_R,0,-1),IF(tblPayroll[[#This Row],[TER Cat]]="B",_xlfn.XLOOKUP(tblPayroll[[#This Row],[PPh 21 Base]],TerB_L,TerB_R,0,-1),_xlfn.XLOOKUP(tblPayroll[[#This Row],[PPh 21 Base]],TerC_L,TerC_R,0,-1)))</f>
        <v>0.09</v>
      </c>
      <c r="T158" s="5">
        <f>ROUND(tblPayroll[[#This Row],[PPh 21 Base]]*tblPayroll[[#This Row],[TER Rate]],0)</f>
        <v>2124378</v>
      </c>
      <c r="U158" s="5">
        <f>ROUND(MIN(tblPayroll[[#This Row],[Basic Salary]]+tblPayroll[[#This Row],[Fixed Allowance]],BPJSKesCap)*R_KesEe,0)</f>
        <v>120000</v>
      </c>
      <c r="V158" s="5">
        <f>ROUND((tblPayroll[[#This Row],[Basic Salary]]+tblPayroll[[#This Row],[Fixed Allowance]])*R_JHTEe,0)</f>
        <v>460000</v>
      </c>
      <c r="W158" s="5">
        <f>ROUND(MIN(tblPayroll[[#This Row],[Basic Salary]]+tblPayroll[[#This Row],[Fixed Allowance]],JPCap)*R_JPEe,0)</f>
        <v>105474</v>
      </c>
      <c r="X158" s="5">
        <f>tblPayroll[[#This Row],[BPJS Health (Ee)]]+tblPayroll[[#This Row],[JHT (Ee)]]+tblPayroll[[#This Row],[JP (Ee)]]</f>
        <v>685474</v>
      </c>
      <c r="Y158" s="5">
        <f>tblPayroll[[#This Row],[Gross Salary]]-tblPayroll[[#This Row],[PPh 21]]-tblPayroll[[#This Row],[Employee BPJS Total]]</f>
        <v>20190148</v>
      </c>
      <c r="Z158" s="5">
        <f>tblPayroll[[#This Row],[Employer BPJS Total]]+tblPayroll[[#This Row],[Employee BPJS Total]]</f>
        <v>2351622</v>
      </c>
      <c r="AA158" s="5">
        <f>tblPayroll[[#This Row],[Gross Salary]]+tblPayroll[[#This Row],[Employer BPJS Total]]</f>
        <v>24666148</v>
      </c>
      <c r="AB158" s="4">
        <v>1130</v>
      </c>
    </row>
    <row r="159" spans="2:28" x14ac:dyDescent="0.35">
      <c r="B159" s="4">
        <v>11</v>
      </c>
      <c r="C159" s="113">
        <v>46351</v>
      </c>
      <c r="D159" s="4" t="s">
        <v>4783</v>
      </c>
      <c r="E159" s="1" t="str">
        <f>_xlfn.XLOOKUP(tblPayroll[[#This Row],[Employee ID]],tblEmployees[Employee ID],tblEmployees[Full Name],"")</f>
        <v>Dewi Lestari</v>
      </c>
      <c r="F159" s="1" t="str">
        <f>_xlfn.XLOOKUP(tblPayroll[[#This Row],[Employee ID]],tblEmployees[Employee ID],tblEmployees[Department],"")</f>
        <v>G&amp;A</v>
      </c>
      <c r="G159" s="1" t="str">
        <f>_xlfn.XLOOKUP(tblPayroll[[#This Row],[Employee ID]],tblEmployees[Employee ID],tblEmployees[TER Category],"")</f>
        <v>A</v>
      </c>
      <c r="H159" s="5">
        <f>_xlfn.XLOOKUP(tblPayroll[[#This Row],[Employee ID]],tblEmployees[Employee ID],tblEmployees[Basic Salary],"")</f>
        <v>15000000</v>
      </c>
      <c r="I159" s="5">
        <f>_xlfn.XLOOKUP(tblPayroll[[#This Row],[Employee ID]],tblEmployees[Employee ID],tblEmployees[Fixed Allowance],"")</f>
        <v>2000000</v>
      </c>
      <c r="J159" s="6">
        <v>0</v>
      </c>
      <c r="K159" s="5">
        <f>tblPayroll[[#This Row],[Basic Salary]]+tblPayroll[[#This Row],[Fixed Allowance]]+tblPayroll[[#This Row],[THR / Bonus]]</f>
        <v>17000000</v>
      </c>
      <c r="L159" s="5">
        <f>ROUND(MIN(tblPayroll[[#This Row],[Basic Salary]]+tblPayroll[[#This Row],[Fixed Allowance]],BPJSKesCap)*R_KesEr,0)</f>
        <v>480000</v>
      </c>
      <c r="M159" s="5">
        <f>ROUND((tblPayroll[[#This Row],[Basic Salary]]+tblPayroll[[#This Row],[Fixed Allowance]])*R_JKK,0)</f>
        <v>40800</v>
      </c>
      <c r="N159" s="5">
        <f>ROUND((tblPayroll[[#This Row],[Basic Salary]]+tblPayroll[[#This Row],[Fixed Allowance]])*R_JKM,0)</f>
        <v>51000</v>
      </c>
      <c r="O159" s="5">
        <f>ROUND((tblPayroll[[#This Row],[Basic Salary]]+tblPayroll[[#This Row],[Fixed Allowance]])*R_JHTEr,0)</f>
        <v>629000</v>
      </c>
      <c r="P159" s="5">
        <f>ROUND(MIN(tblPayroll[[#This Row],[Basic Salary]]+tblPayroll[[#This Row],[Fixed Allowance]],JPCap)*R_JPEr,0)</f>
        <v>210948</v>
      </c>
      <c r="Q159" s="5">
        <f>SUM(tblPayroll[[#This Row],[BPJS Health (Er)]:[JP (Er)]])</f>
        <v>1411748</v>
      </c>
      <c r="R159" s="5">
        <f>tblPayroll[[#This Row],[Gross Salary]]+tblPayroll[[#This Row],[BPJS Health (Er)]]+tblPayroll[[#This Row],[JKK (Er)]]+tblPayroll[[#This Row],[JKM (Er)]]</f>
        <v>17571800</v>
      </c>
      <c r="S159" s="119">
        <f>IF(tblPayroll[[#This Row],[TER Cat]]="A",_xlfn.XLOOKUP(tblPayroll[[#This Row],[PPh 21 Base]],TerA_L,TerA_R,0,-1),IF(tblPayroll[[#This Row],[TER Cat]]="B",_xlfn.XLOOKUP(tblPayroll[[#This Row],[PPh 21 Base]],TerB_L,TerB_R,0,-1),_xlfn.XLOOKUP(tblPayroll[[#This Row],[PPh 21 Base]],TerC_L,TerC_R,0,-1)))</f>
        <v>0.08</v>
      </c>
      <c r="T159" s="5">
        <f>ROUND(tblPayroll[[#This Row],[PPh 21 Base]]*tblPayroll[[#This Row],[TER Rate]],0)</f>
        <v>1405744</v>
      </c>
      <c r="U159" s="5">
        <f>ROUND(MIN(tblPayroll[[#This Row],[Basic Salary]]+tblPayroll[[#This Row],[Fixed Allowance]],BPJSKesCap)*R_KesEe,0)</f>
        <v>120000</v>
      </c>
      <c r="V159" s="5">
        <f>ROUND((tblPayroll[[#This Row],[Basic Salary]]+tblPayroll[[#This Row],[Fixed Allowance]])*R_JHTEe,0)</f>
        <v>340000</v>
      </c>
      <c r="W159" s="5">
        <f>ROUND(MIN(tblPayroll[[#This Row],[Basic Salary]]+tblPayroll[[#This Row],[Fixed Allowance]],JPCap)*R_JPEe,0)</f>
        <v>105474</v>
      </c>
      <c r="X159" s="5">
        <f>tblPayroll[[#This Row],[BPJS Health (Ee)]]+tblPayroll[[#This Row],[JHT (Ee)]]+tblPayroll[[#This Row],[JP (Ee)]]</f>
        <v>565474</v>
      </c>
      <c r="Y159" s="5">
        <f>tblPayroll[[#This Row],[Gross Salary]]-tblPayroll[[#This Row],[PPh 21]]-tblPayroll[[#This Row],[Employee BPJS Total]]</f>
        <v>15028782</v>
      </c>
      <c r="Z159" s="5">
        <f>tblPayroll[[#This Row],[Employer BPJS Total]]+tblPayroll[[#This Row],[Employee BPJS Total]]</f>
        <v>1977222</v>
      </c>
      <c r="AA159" s="5">
        <f>tblPayroll[[#This Row],[Gross Salary]]+tblPayroll[[#This Row],[Employer BPJS Total]]</f>
        <v>18411748</v>
      </c>
      <c r="AB159" s="4">
        <v>1130</v>
      </c>
    </row>
    <row r="160" spans="2:28" x14ac:dyDescent="0.35">
      <c r="B160" s="4">
        <v>11</v>
      </c>
      <c r="C160" s="113">
        <v>46351</v>
      </c>
      <c r="D160" s="4" t="s">
        <v>4787</v>
      </c>
      <c r="E160" s="1" t="str">
        <f>_xlfn.XLOOKUP(tblPayroll[[#This Row],[Employee ID]],tblEmployees[Employee ID],tblEmployees[Full Name],"")</f>
        <v>Agus Prasetyo</v>
      </c>
      <c r="F160" s="1" t="str">
        <f>_xlfn.XLOOKUP(tblPayroll[[#This Row],[Employee ID]],tblEmployees[Employee ID],tblEmployees[Department],"")</f>
        <v>Selling</v>
      </c>
      <c r="G160" s="1" t="str">
        <f>_xlfn.XLOOKUP(tblPayroll[[#This Row],[Employee ID]],tblEmployees[Employee ID],tblEmployees[TER Category],"")</f>
        <v>B</v>
      </c>
      <c r="H160" s="5">
        <f>_xlfn.XLOOKUP(tblPayroll[[#This Row],[Employee ID]],tblEmployees[Employee ID],tblEmployees[Basic Salary],"")</f>
        <v>14000000</v>
      </c>
      <c r="I160" s="5">
        <f>_xlfn.XLOOKUP(tblPayroll[[#This Row],[Employee ID]],tblEmployees[Employee ID],tblEmployees[Fixed Allowance],"")</f>
        <v>2000000</v>
      </c>
      <c r="J160" s="6">
        <v>0</v>
      </c>
      <c r="K160" s="5">
        <f>tblPayroll[[#This Row],[Basic Salary]]+tblPayroll[[#This Row],[Fixed Allowance]]+tblPayroll[[#This Row],[THR / Bonus]]</f>
        <v>16000000</v>
      </c>
      <c r="L160" s="5">
        <f>ROUND(MIN(tblPayroll[[#This Row],[Basic Salary]]+tblPayroll[[#This Row],[Fixed Allowance]],BPJSKesCap)*R_KesEr,0)</f>
        <v>480000</v>
      </c>
      <c r="M160" s="5">
        <f>ROUND((tblPayroll[[#This Row],[Basic Salary]]+tblPayroll[[#This Row],[Fixed Allowance]])*R_JKK,0)</f>
        <v>38400</v>
      </c>
      <c r="N160" s="5">
        <f>ROUND((tblPayroll[[#This Row],[Basic Salary]]+tblPayroll[[#This Row],[Fixed Allowance]])*R_JKM,0)</f>
        <v>48000</v>
      </c>
      <c r="O160" s="5">
        <f>ROUND((tblPayroll[[#This Row],[Basic Salary]]+tblPayroll[[#This Row],[Fixed Allowance]])*R_JHTEr,0)</f>
        <v>592000</v>
      </c>
      <c r="P160" s="5">
        <f>ROUND(MIN(tblPayroll[[#This Row],[Basic Salary]]+tblPayroll[[#This Row],[Fixed Allowance]],JPCap)*R_JPEr,0)</f>
        <v>210948</v>
      </c>
      <c r="Q160" s="5">
        <f>SUM(tblPayroll[[#This Row],[BPJS Health (Er)]:[JP (Er)]])</f>
        <v>1369348</v>
      </c>
      <c r="R160" s="5">
        <f>tblPayroll[[#This Row],[Gross Salary]]+tblPayroll[[#This Row],[BPJS Health (Er)]]+tblPayroll[[#This Row],[JKK (Er)]]+tblPayroll[[#This Row],[JKM (Er)]]</f>
        <v>16566400</v>
      </c>
      <c r="S160" s="119">
        <f>IF(tblPayroll[[#This Row],[TER Cat]]="A",_xlfn.XLOOKUP(tblPayroll[[#This Row],[PPh 21 Base]],TerA_L,TerA_R,0,-1),IF(tblPayroll[[#This Row],[TER Cat]]="B",_xlfn.XLOOKUP(tblPayroll[[#This Row],[PPh 21 Base]],TerB_L,TerB_R,0,-1),_xlfn.XLOOKUP(tblPayroll[[#This Row],[PPh 21 Base]],TerC_L,TerC_R,0,-1)))</f>
        <v>7.0000000000000007E-2</v>
      </c>
      <c r="T160" s="5">
        <f>ROUND(tblPayroll[[#This Row],[PPh 21 Base]]*tblPayroll[[#This Row],[TER Rate]],0)</f>
        <v>1159648</v>
      </c>
      <c r="U160" s="5">
        <f>ROUND(MIN(tblPayroll[[#This Row],[Basic Salary]]+tblPayroll[[#This Row],[Fixed Allowance]],BPJSKesCap)*R_KesEe,0)</f>
        <v>120000</v>
      </c>
      <c r="V160" s="5">
        <f>ROUND((tblPayroll[[#This Row],[Basic Salary]]+tblPayroll[[#This Row],[Fixed Allowance]])*R_JHTEe,0)</f>
        <v>320000</v>
      </c>
      <c r="W160" s="5">
        <f>ROUND(MIN(tblPayroll[[#This Row],[Basic Salary]]+tblPayroll[[#This Row],[Fixed Allowance]],JPCap)*R_JPEe,0)</f>
        <v>105474</v>
      </c>
      <c r="X160" s="5">
        <f>tblPayroll[[#This Row],[BPJS Health (Ee)]]+tblPayroll[[#This Row],[JHT (Ee)]]+tblPayroll[[#This Row],[JP (Ee)]]</f>
        <v>545474</v>
      </c>
      <c r="Y160" s="5">
        <f>tblPayroll[[#This Row],[Gross Salary]]-tblPayroll[[#This Row],[PPh 21]]-tblPayroll[[#This Row],[Employee BPJS Total]]</f>
        <v>14294878</v>
      </c>
      <c r="Z160" s="5">
        <f>tblPayroll[[#This Row],[Employer BPJS Total]]+tblPayroll[[#This Row],[Employee BPJS Total]]</f>
        <v>1914822</v>
      </c>
      <c r="AA160" s="5">
        <f>tblPayroll[[#This Row],[Gross Salary]]+tblPayroll[[#This Row],[Employer BPJS Total]]</f>
        <v>17369348</v>
      </c>
      <c r="AB160" s="4">
        <v>1130</v>
      </c>
    </row>
    <row r="161" spans="2:28" x14ac:dyDescent="0.35">
      <c r="B161" s="4">
        <v>11</v>
      </c>
      <c r="C161" s="113">
        <v>46351</v>
      </c>
      <c r="D161" s="4" t="s">
        <v>4793</v>
      </c>
      <c r="E161" s="1" t="str">
        <f>_xlfn.XLOOKUP(tblPayroll[[#This Row],[Employee ID]],tblEmployees[Employee ID],tblEmployees[Full Name],"")</f>
        <v>Rina Kartika</v>
      </c>
      <c r="F161" s="1" t="str">
        <f>_xlfn.XLOOKUP(tblPayroll[[#This Row],[Employee ID]],tblEmployees[Employee ID],tblEmployees[Department],"")</f>
        <v>Selling</v>
      </c>
      <c r="G161" s="1" t="str">
        <f>_xlfn.XLOOKUP(tblPayroll[[#This Row],[Employee ID]],tblEmployees[Employee ID],tblEmployees[TER Category],"")</f>
        <v>A</v>
      </c>
      <c r="H161" s="5">
        <f>_xlfn.XLOOKUP(tblPayroll[[#This Row],[Employee ID]],tblEmployees[Employee ID],tblEmployees[Basic Salary],"")</f>
        <v>12000000</v>
      </c>
      <c r="I161" s="5">
        <f>_xlfn.XLOOKUP(tblPayroll[[#This Row],[Employee ID]],tblEmployees[Employee ID],tblEmployees[Fixed Allowance],"")</f>
        <v>1500000</v>
      </c>
      <c r="J161" s="6">
        <v>0</v>
      </c>
      <c r="K161" s="5">
        <f>tblPayroll[[#This Row],[Basic Salary]]+tblPayroll[[#This Row],[Fixed Allowance]]+tblPayroll[[#This Row],[THR / Bonus]]</f>
        <v>13500000</v>
      </c>
      <c r="L161" s="5">
        <f>ROUND(MIN(tblPayroll[[#This Row],[Basic Salary]]+tblPayroll[[#This Row],[Fixed Allowance]],BPJSKesCap)*R_KesEr,0)</f>
        <v>480000</v>
      </c>
      <c r="M161" s="5">
        <f>ROUND((tblPayroll[[#This Row],[Basic Salary]]+tblPayroll[[#This Row],[Fixed Allowance]])*R_JKK,0)</f>
        <v>32400</v>
      </c>
      <c r="N161" s="5">
        <f>ROUND((tblPayroll[[#This Row],[Basic Salary]]+tblPayroll[[#This Row],[Fixed Allowance]])*R_JKM,0)</f>
        <v>40500</v>
      </c>
      <c r="O161" s="5">
        <f>ROUND((tblPayroll[[#This Row],[Basic Salary]]+tblPayroll[[#This Row],[Fixed Allowance]])*R_JHTEr,0)</f>
        <v>499500</v>
      </c>
      <c r="P161" s="5">
        <f>ROUND(MIN(tblPayroll[[#This Row],[Basic Salary]]+tblPayroll[[#This Row],[Fixed Allowance]],JPCap)*R_JPEr,0)</f>
        <v>210948</v>
      </c>
      <c r="Q161" s="5">
        <f>SUM(tblPayroll[[#This Row],[BPJS Health (Er)]:[JP (Er)]])</f>
        <v>1263348</v>
      </c>
      <c r="R161" s="5">
        <f>tblPayroll[[#This Row],[Gross Salary]]+tblPayroll[[#This Row],[BPJS Health (Er)]]+tblPayroll[[#This Row],[JKK (Er)]]+tblPayroll[[#This Row],[JKM (Er)]]</f>
        <v>14052900</v>
      </c>
      <c r="S161" s="119">
        <f>IF(tblPayroll[[#This Row],[TER Cat]]="A",_xlfn.XLOOKUP(tblPayroll[[#This Row],[PPh 21 Base]],TerA_L,TerA_R,0,-1),IF(tblPayroll[[#This Row],[TER Cat]]="B",_xlfn.XLOOKUP(tblPayroll[[#This Row],[PPh 21 Base]],TerB_L,TerB_R,0,-1),_xlfn.XLOOKUP(tblPayroll[[#This Row],[PPh 21 Base]],TerC_L,TerC_R,0,-1)))</f>
        <v>0.06</v>
      </c>
      <c r="T161" s="5">
        <f>ROUND(tblPayroll[[#This Row],[PPh 21 Base]]*tblPayroll[[#This Row],[TER Rate]],0)</f>
        <v>843174</v>
      </c>
      <c r="U161" s="5">
        <f>ROUND(MIN(tblPayroll[[#This Row],[Basic Salary]]+tblPayroll[[#This Row],[Fixed Allowance]],BPJSKesCap)*R_KesEe,0)</f>
        <v>120000</v>
      </c>
      <c r="V161" s="5">
        <f>ROUND((tblPayroll[[#This Row],[Basic Salary]]+tblPayroll[[#This Row],[Fixed Allowance]])*R_JHTEe,0)</f>
        <v>270000</v>
      </c>
      <c r="W161" s="5">
        <f>ROUND(MIN(tblPayroll[[#This Row],[Basic Salary]]+tblPayroll[[#This Row],[Fixed Allowance]],JPCap)*R_JPEe,0)</f>
        <v>105474</v>
      </c>
      <c r="X161" s="5">
        <f>tblPayroll[[#This Row],[BPJS Health (Ee)]]+tblPayroll[[#This Row],[JHT (Ee)]]+tblPayroll[[#This Row],[JP (Ee)]]</f>
        <v>495474</v>
      </c>
      <c r="Y161" s="5">
        <f>tblPayroll[[#This Row],[Gross Salary]]-tblPayroll[[#This Row],[PPh 21]]-tblPayroll[[#This Row],[Employee BPJS Total]]</f>
        <v>12161352</v>
      </c>
      <c r="Z161" s="5">
        <f>tblPayroll[[#This Row],[Employer BPJS Total]]+tblPayroll[[#This Row],[Employee BPJS Total]]</f>
        <v>1758822</v>
      </c>
      <c r="AA161" s="5">
        <f>tblPayroll[[#This Row],[Gross Salary]]+tblPayroll[[#This Row],[Employer BPJS Total]]</f>
        <v>14763348</v>
      </c>
      <c r="AB161" s="4">
        <v>1130</v>
      </c>
    </row>
    <row r="162" spans="2:28" x14ac:dyDescent="0.35">
      <c r="B162" s="4">
        <v>11</v>
      </c>
      <c r="C162" s="113">
        <v>46351</v>
      </c>
      <c r="D162" s="4" t="s">
        <v>4798</v>
      </c>
      <c r="E162" s="1" t="str">
        <f>_xlfn.XLOOKUP(tblPayroll[[#This Row],[Employee ID]],tblEmployees[Employee ID],tblEmployees[Full Name],"")</f>
        <v>Andi Saputra</v>
      </c>
      <c r="F162" s="1" t="str">
        <f>_xlfn.XLOOKUP(tblPayroll[[#This Row],[Employee ID]],tblEmployees[Employee ID],tblEmployees[Department],"")</f>
        <v>G&amp;A</v>
      </c>
      <c r="G162" s="1" t="str">
        <f>_xlfn.XLOOKUP(tblPayroll[[#This Row],[Employee ID]],tblEmployees[Employee ID],tblEmployees[TER Category],"")</f>
        <v>A</v>
      </c>
      <c r="H162" s="5">
        <f>_xlfn.XLOOKUP(tblPayroll[[#This Row],[Employee ID]],tblEmployees[Employee ID],tblEmployees[Basic Salary],"")</f>
        <v>8500000</v>
      </c>
      <c r="I162" s="5">
        <f>_xlfn.XLOOKUP(tblPayroll[[#This Row],[Employee ID]],tblEmployees[Employee ID],tblEmployees[Fixed Allowance],"")</f>
        <v>1000000</v>
      </c>
      <c r="J162" s="6">
        <v>0</v>
      </c>
      <c r="K162" s="5">
        <f>tblPayroll[[#This Row],[Basic Salary]]+tblPayroll[[#This Row],[Fixed Allowance]]+tblPayroll[[#This Row],[THR / Bonus]]</f>
        <v>9500000</v>
      </c>
      <c r="L162" s="5">
        <f>ROUND(MIN(tblPayroll[[#This Row],[Basic Salary]]+tblPayroll[[#This Row],[Fixed Allowance]],BPJSKesCap)*R_KesEr,0)</f>
        <v>380000</v>
      </c>
      <c r="M162" s="5">
        <f>ROUND((tblPayroll[[#This Row],[Basic Salary]]+tblPayroll[[#This Row],[Fixed Allowance]])*R_JKK,0)</f>
        <v>22800</v>
      </c>
      <c r="N162" s="5">
        <f>ROUND((tblPayroll[[#This Row],[Basic Salary]]+tblPayroll[[#This Row],[Fixed Allowance]])*R_JKM,0)</f>
        <v>28500</v>
      </c>
      <c r="O162" s="5">
        <f>ROUND((tblPayroll[[#This Row],[Basic Salary]]+tblPayroll[[#This Row],[Fixed Allowance]])*R_JHTEr,0)</f>
        <v>351500</v>
      </c>
      <c r="P162" s="5">
        <f>ROUND(MIN(tblPayroll[[#This Row],[Basic Salary]]+tblPayroll[[#This Row],[Fixed Allowance]],JPCap)*R_JPEr,0)</f>
        <v>190000</v>
      </c>
      <c r="Q162" s="5">
        <f>SUM(tblPayroll[[#This Row],[BPJS Health (Er)]:[JP (Er)]])</f>
        <v>972800</v>
      </c>
      <c r="R162" s="5">
        <f>tblPayroll[[#This Row],[Gross Salary]]+tblPayroll[[#This Row],[BPJS Health (Er)]]+tblPayroll[[#This Row],[JKK (Er)]]+tblPayroll[[#This Row],[JKM (Er)]]</f>
        <v>9931300</v>
      </c>
      <c r="S162" s="119">
        <f>IF(tblPayroll[[#This Row],[TER Cat]]="A",_xlfn.XLOOKUP(tblPayroll[[#This Row],[PPh 21 Base]],TerA_L,TerA_R,0,-1),IF(tblPayroll[[#This Row],[TER Cat]]="B",_xlfn.XLOOKUP(tblPayroll[[#This Row],[PPh 21 Base]],TerB_L,TerB_R,0,-1),_xlfn.XLOOKUP(tblPayroll[[#This Row],[PPh 21 Base]],TerC_L,TerC_R,0,-1)))</f>
        <v>0.02</v>
      </c>
      <c r="T162" s="5">
        <f>ROUND(tblPayroll[[#This Row],[PPh 21 Base]]*tblPayroll[[#This Row],[TER Rate]],0)</f>
        <v>198626</v>
      </c>
      <c r="U162" s="5">
        <f>ROUND(MIN(tblPayroll[[#This Row],[Basic Salary]]+tblPayroll[[#This Row],[Fixed Allowance]],BPJSKesCap)*R_KesEe,0)</f>
        <v>95000</v>
      </c>
      <c r="V162" s="5">
        <f>ROUND((tblPayroll[[#This Row],[Basic Salary]]+tblPayroll[[#This Row],[Fixed Allowance]])*R_JHTEe,0)</f>
        <v>190000</v>
      </c>
      <c r="W162" s="5">
        <f>ROUND(MIN(tblPayroll[[#This Row],[Basic Salary]]+tblPayroll[[#This Row],[Fixed Allowance]],JPCap)*R_JPEe,0)</f>
        <v>95000</v>
      </c>
      <c r="X162" s="5">
        <f>tblPayroll[[#This Row],[BPJS Health (Ee)]]+tblPayroll[[#This Row],[JHT (Ee)]]+tblPayroll[[#This Row],[JP (Ee)]]</f>
        <v>380000</v>
      </c>
      <c r="Y162" s="5">
        <f>tblPayroll[[#This Row],[Gross Salary]]-tblPayroll[[#This Row],[PPh 21]]-tblPayroll[[#This Row],[Employee BPJS Total]]</f>
        <v>8921374</v>
      </c>
      <c r="Z162" s="5">
        <f>tblPayroll[[#This Row],[Employer BPJS Total]]+tblPayroll[[#This Row],[Employee BPJS Total]]</f>
        <v>1352800</v>
      </c>
      <c r="AA162" s="5">
        <f>tblPayroll[[#This Row],[Gross Salary]]+tblPayroll[[#This Row],[Employer BPJS Total]]</f>
        <v>10472800</v>
      </c>
      <c r="AB162" s="4">
        <v>1130</v>
      </c>
    </row>
    <row r="163" spans="2:28" x14ac:dyDescent="0.35">
      <c r="B163" s="4">
        <v>11</v>
      </c>
      <c r="C163" s="113">
        <v>46351</v>
      </c>
      <c r="D163" s="4" t="s">
        <v>4803</v>
      </c>
      <c r="E163" s="1" t="str">
        <f>_xlfn.XLOOKUP(tblPayroll[[#This Row],[Employee ID]],tblEmployees[Employee ID],tblEmployees[Full Name],"")</f>
        <v>Fitri Handayani</v>
      </c>
      <c r="F163" s="1" t="str">
        <f>_xlfn.XLOOKUP(tblPayroll[[#This Row],[Employee ID]],tblEmployees[Employee ID],tblEmployees[Department],"")</f>
        <v>G&amp;A</v>
      </c>
      <c r="G163" s="1" t="str">
        <f>_xlfn.XLOOKUP(tblPayroll[[#This Row],[Employee ID]],tblEmployees[Employee ID],tblEmployees[TER Category],"")</f>
        <v>A</v>
      </c>
      <c r="H163" s="5">
        <f>_xlfn.XLOOKUP(tblPayroll[[#This Row],[Employee ID]],tblEmployees[Employee ID],tblEmployees[Basic Salary],"")</f>
        <v>8000000</v>
      </c>
      <c r="I163" s="5">
        <f>_xlfn.XLOOKUP(tblPayroll[[#This Row],[Employee ID]],tblEmployees[Employee ID],tblEmployees[Fixed Allowance],"")</f>
        <v>1000000</v>
      </c>
      <c r="J163" s="6">
        <v>0</v>
      </c>
      <c r="K163" s="5">
        <f>tblPayroll[[#This Row],[Basic Salary]]+tblPayroll[[#This Row],[Fixed Allowance]]+tblPayroll[[#This Row],[THR / Bonus]]</f>
        <v>9000000</v>
      </c>
      <c r="L163" s="5">
        <f>ROUND(MIN(tblPayroll[[#This Row],[Basic Salary]]+tblPayroll[[#This Row],[Fixed Allowance]],BPJSKesCap)*R_KesEr,0)</f>
        <v>360000</v>
      </c>
      <c r="M163" s="5">
        <f>ROUND((tblPayroll[[#This Row],[Basic Salary]]+tblPayroll[[#This Row],[Fixed Allowance]])*R_JKK,0)</f>
        <v>21600</v>
      </c>
      <c r="N163" s="5">
        <f>ROUND((tblPayroll[[#This Row],[Basic Salary]]+tblPayroll[[#This Row],[Fixed Allowance]])*R_JKM,0)</f>
        <v>27000</v>
      </c>
      <c r="O163" s="5">
        <f>ROUND((tblPayroll[[#This Row],[Basic Salary]]+tblPayroll[[#This Row],[Fixed Allowance]])*R_JHTEr,0)</f>
        <v>333000</v>
      </c>
      <c r="P163" s="5">
        <f>ROUND(MIN(tblPayroll[[#This Row],[Basic Salary]]+tblPayroll[[#This Row],[Fixed Allowance]],JPCap)*R_JPEr,0)</f>
        <v>180000</v>
      </c>
      <c r="Q163" s="5">
        <f>SUM(tblPayroll[[#This Row],[BPJS Health (Er)]:[JP (Er)]])</f>
        <v>921600</v>
      </c>
      <c r="R163" s="5">
        <f>tblPayroll[[#This Row],[Gross Salary]]+tblPayroll[[#This Row],[BPJS Health (Er)]]+tblPayroll[[#This Row],[JKK (Er)]]+tblPayroll[[#This Row],[JKM (Er)]]</f>
        <v>9408600</v>
      </c>
      <c r="S163" s="119">
        <f>IF(tblPayroll[[#This Row],[TER Cat]]="A",_xlfn.XLOOKUP(tblPayroll[[#This Row],[PPh 21 Base]],TerA_L,TerA_R,0,-1),IF(tblPayroll[[#This Row],[TER Cat]]="B",_xlfn.XLOOKUP(tblPayroll[[#This Row],[PPh 21 Base]],TerB_L,TerB_R,0,-1),_xlfn.XLOOKUP(tblPayroll[[#This Row],[PPh 21 Base]],TerC_L,TerC_R,0,-1)))</f>
        <v>1.7500000000000002E-2</v>
      </c>
      <c r="T163" s="5">
        <f>ROUND(tblPayroll[[#This Row],[PPh 21 Base]]*tblPayroll[[#This Row],[TER Rate]],0)</f>
        <v>164651</v>
      </c>
      <c r="U163" s="5">
        <f>ROUND(MIN(tblPayroll[[#This Row],[Basic Salary]]+tblPayroll[[#This Row],[Fixed Allowance]],BPJSKesCap)*R_KesEe,0)</f>
        <v>90000</v>
      </c>
      <c r="V163" s="5">
        <f>ROUND((tblPayroll[[#This Row],[Basic Salary]]+tblPayroll[[#This Row],[Fixed Allowance]])*R_JHTEe,0)</f>
        <v>180000</v>
      </c>
      <c r="W163" s="5">
        <f>ROUND(MIN(tblPayroll[[#This Row],[Basic Salary]]+tblPayroll[[#This Row],[Fixed Allowance]],JPCap)*R_JPEe,0)</f>
        <v>90000</v>
      </c>
      <c r="X163" s="5">
        <f>tblPayroll[[#This Row],[BPJS Health (Ee)]]+tblPayroll[[#This Row],[JHT (Ee)]]+tblPayroll[[#This Row],[JP (Ee)]]</f>
        <v>360000</v>
      </c>
      <c r="Y163" s="5">
        <f>tblPayroll[[#This Row],[Gross Salary]]-tblPayroll[[#This Row],[PPh 21]]-tblPayroll[[#This Row],[Employee BPJS Total]]</f>
        <v>8475349</v>
      </c>
      <c r="Z163" s="5">
        <f>tblPayroll[[#This Row],[Employer BPJS Total]]+tblPayroll[[#This Row],[Employee BPJS Total]]</f>
        <v>1281600</v>
      </c>
      <c r="AA163" s="5">
        <f>tblPayroll[[#This Row],[Gross Salary]]+tblPayroll[[#This Row],[Employer BPJS Total]]</f>
        <v>9921600</v>
      </c>
      <c r="AB163" s="4">
        <v>1130</v>
      </c>
    </row>
    <row r="164" spans="2:28" x14ac:dyDescent="0.35">
      <c r="B164" s="4">
        <v>11</v>
      </c>
      <c r="C164" s="113">
        <v>46351</v>
      </c>
      <c r="D164" s="4" t="s">
        <v>4809</v>
      </c>
      <c r="E164" s="1" t="str">
        <f>_xlfn.XLOOKUP(tblPayroll[[#This Row],[Employee ID]],tblEmployees[Employee ID],tblEmployees[Full Name],"")</f>
        <v>Rizky Ramadhan</v>
      </c>
      <c r="F164" s="1" t="str">
        <f>_xlfn.XLOOKUP(tblPayroll[[#This Row],[Employee ID]],tblEmployees[Employee ID],tblEmployees[Department],"")</f>
        <v>Selling</v>
      </c>
      <c r="G164" s="1" t="str">
        <f>_xlfn.XLOOKUP(tblPayroll[[#This Row],[Employee ID]],tblEmployees[Employee ID],tblEmployees[TER Category],"")</f>
        <v>A</v>
      </c>
      <c r="H164" s="5">
        <f>_xlfn.XLOOKUP(tblPayroll[[#This Row],[Employee ID]],tblEmployees[Employee ID],tblEmployees[Basic Salary],"")</f>
        <v>9000000</v>
      </c>
      <c r="I164" s="5">
        <f>_xlfn.XLOOKUP(tblPayroll[[#This Row],[Employee ID]],tblEmployees[Employee ID],tblEmployees[Fixed Allowance],"")</f>
        <v>1500000</v>
      </c>
      <c r="J164" s="6">
        <v>0</v>
      </c>
      <c r="K164" s="5">
        <f>tblPayroll[[#This Row],[Basic Salary]]+tblPayroll[[#This Row],[Fixed Allowance]]+tblPayroll[[#This Row],[THR / Bonus]]</f>
        <v>10500000</v>
      </c>
      <c r="L164" s="5">
        <f>ROUND(MIN(tblPayroll[[#This Row],[Basic Salary]]+tblPayroll[[#This Row],[Fixed Allowance]],BPJSKesCap)*R_KesEr,0)</f>
        <v>420000</v>
      </c>
      <c r="M164" s="5">
        <f>ROUND((tblPayroll[[#This Row],[Basic Salary]]+tblPayroll[[#This Row],[Fixed Allowance]])*R_JKK,0)</f>
        <v>25200</v>
      </c>
      <c r="N164" s="5">
        <f>ROUND((tblPayroll[[#This Row],[Basic Salary]]+tblPayroll[[#This Row],[Fixed Allowance]])*R_JKM,0)</f>
        <v>31500</v>
      </c>
      <c r="O164" s="5">
        <f>ROUND((tblPayroll[[#This Row],[Basic Salary]]+tblPayroll[[#This Row],[Fixed Allowance]])*R_JHTEr,0)</f>
        <v>388500</v>
      </c>
      <c r="P164" s="5">
        <f>ROUND(MIN(tblPayroll[[#This Row],[Basic Salary]]+tblPayroll[[#This Row],[Fixed Allowance]],JPCap)*R_JPEr,0)</f>
        <v>210000</v>
      </c>
      <c r="Q164" s="5">
        <f>SUM(tblPayroll[[#This Row],[BPJS Health (Er)]:[JP (Er)]])</f>
        <v>1075200</v>
      </c>
      <c r="R164" s="5">
        <f>tblPayroll[[#This Row],[Gross Salary]]+tblPayroll[[#This Row],[BPJS Health (Er)]]+tblPayroll[[#This Row],[JKK (Er)]]+tblPayroll[[#This Row],[JKM (Er)]]</f>
        <v>10976700</v>
      </c>
      <c r="S164" s="119">
        <f>IF(tblPayroll[[#This Row],[TER Cat]]="A",_xlfn.XLOOKUP(tblPayroll[[#This Row],[PPh 21 Base]],TerA_L,TerA_R,0,-1),IF(tblPayroll[[#This Row],[TER Cat]]="B",_xlfn.XLOOKUP(tblPayroll[[#This Row],[PPh 21 Base]],TerB_L,TerB_R,0,-1),_xlfn.XLOOKUP(tblPayroll[[#This Row],[PPh 21 Base]],TerC_L,TerC_R,0,-1)))</f>
        <v>0.03</v>
      </c>
      <c r="T164" s="5">
        <f>ROUND(tblPayroll[[#This Row],[PPh 21 Base]]*tblPayroll[[#This Row],[TER Rate]],0)</f>
        <v>329301</v>
      </c>
      <c r="U164" s="5">
        <f>ROUND(MIN(tblPayroll[[#This Row],[Basic Salary]]+tblPayroll[[#This Row],[Fixed Allowance]],BPJSKesCap)*R_KesEe,0)</f>
        <v>105000</v>
      </c>
      <c r="V164" s="5">
        <f>ROUND((tblPayroll[[#This Row],[Basic Salary]]+tblPayroll[[#This Row],[Fixed Allowance]])*R_JHTEe,0)</f>
        <v>210000</v>
      </c>
      <c r="W164" s="5">
        <f>ROUND(MIN(tblPayroll[[#This Row],[Basic Salary]]+tblPayroll[[#This Row],[Fixed Allowance]],JPCap)*R_JPEe,0)</f>
        <v>105000</v>
      </c>
      <c r="X164" s="5">
        <f>tblPayroll[[#This Row],[BPJS Health (Ee)]]+tblPayroll[[#This Row],[JHT (Ee)]]+tblPayroll[[#This Row],[JP (Ee)]]</f>
        <v>420000</v>
      </c>
      <c r="Y164" s="5">
        <f>tblPayroll[[#This Row],[Gross Salary]]-tblPayroll[[#This Row],[PPh 21]]-tblPayroll[[#This Row],[Employee BPJS Total]]</f>
        <v>9750699</v>
      </c>
      <c r="Z164" s="5">
        <f>tblPayroll[[#This Row],[Employer BPJS Total]]+tblPayroll[[#This Row],[Employee BPJS Total]]</f>
        <v>1495200</v>
      </c>
      <c r="AA164" s="5">
        <f>tblPayroll[[#This Row],[Gross Salary]]+tblPayroll[[#This Row],[Employer BPJS Total]]</f>
        <v>11575200</v>
      </c>
      <c r="AB164" s="4">
        <v>1130</v>
      </c>
    </row>
    <row r="165" spans="2:28" x14ac:dyDescent="0.35">
      <c r="B165" s="4">
        <v>11</v>
      </c>
      <c r="C165" s="113">
        <v>46351</v>
      </c>
      <c r="D165" s="4" t="s">
        <v>4814</v>
      </c>
      <c r="E165" s="1" t="str">
        <f>_xlfn.XLOOKUP(tblPayroll[[#This Row],[Employee ID]],tblEmployees[Employee ID],tblEmployees[Full Name],"")</f>
        <v>Nadia Putri</v>
      </c>
      <c r="F165" s="1" t="str">
        <f>_xlfn.XLOOKUP(tblPayroll[[#This Row],[Employee ID]],tblEmployees[Employee ID],tblEmployees[Department],"")</f>
        <v>Selling</v>
      </c>
      <c r="G165" s="1" t="str">
        <f>_xlfn.XLOOKUP(tblPayroll[[#This Row],[Employee ID]],tblEmployees[Employee ID],tblEmployees[TER Category],"")</f>
        <v>A</v>
      </c>
      <c r="H165" s="5">
        <f>_xlfn.XLOOKUP(tblPayroll[[#This Row],[Employee ID]],tblEmployees[Employee ID],tblEmployees[Basic Salary],"")</f>
        <v>5800000</v>
      </c>
      <c r="I165" s="5">
        <f>_xlfn.XLOOKUP(tblPayroll[[#This Row],[Employee ID]],tblEmployees[Employee ID],tblEmployees[Fixed Allowance],"")</f>
        <v>700000</v>
      </c>
      <c r="J165" s="6">
        <v>0</v>
      </c>
      <c r="K165" s="5">
        <f>tblPayroll[[#This Row],[Basic Salary]]+tblPayroll[[#This Row],[Fixed Allowance]]+tblPayroll[[#This Row],[THR / Bonus]]</f>
        <v>6500000</v>
      </c>
      <c r="L165" s="5">
        <f>ROUND(MIN(tblPayroll[[#This Row],[Basic Salary]]+tblPayroll[[#This Row],[Fixed Allowance]],BPJSKesCap)*R_KesEr,0)</f>
        <v>260000</v>
      </c>
      <c r="M165" s="5">
        <f>ROUND((tblPayroll[[#This Row],[Basic Salary]]+tblPayroll[[#This Row],[Fixed Allowance]])*R_JKK,0)</f>
        <v>15600</v>
      </c>
      <c r="N165" s="5">
        <f>ROUND((tblPayroll[[#This Row],[Basic Salary]]+tblPayroll[[#This Row],[Fixed Allowance]])*R_JKM,0)</f>
        <v>19500</v>
      </c>
      <c r="O165" s="5">
        <f>ROUND((tblPayroll[[#This Row],[Basic Salary]]+tblPayroll[[#This Row],[Fixed Allowance]])*R_JHTEr,0)</f>
        <v>240500</v>
      </c>
      <c r="P165" s="5">
        <f>ROUND(MIN(tblPayroll[[#This Row],[Basic Salary]]+tblPayroll[[#This Row],[Fixed Allowance]],JPCap)*R_JPEr,0)</f>
        <v>130000</v>
      </c>
      <c r="Q165" s="5">
        <f>SUM(tblPayroll[[#This Row],[BPJS Health (Er)]:[JP (Er)]])</f>
        <v>665600</v>
      </c>
      <c r="R165" s="5">
        <f>tblPayroll[[#This Row],[Gross Salary]]+tblPayroll[[#This Row],[BPJS Health (Er)]]+tblPayroll[[#This Row],[JKK (Er)]]+tblPayroll[[#This Row],[JKM (Er)]]</f>
        <v>6795100</v>
      </c>
      <c r="S165" s="119">
        <f>IF(tblPayroll[[#This Row],[TER Cat]]="A",_xlfn.XLOOKUP(tblPayroll[[#This Row],[PPh 21 Base]],TerA_L,TerA_R,0,-1),IF(tblPayroll[[#This Row],[TER Cat]]="B",_xlfn.XLOOKUP(tblPayroll[[#This Row],[PPh 21 Base]],TerB_L,TerB_R,0,-1),_xlfn.XLOOKUP(tblPayroll[[#This Row],[PPh 21 Base]],TerC_L,TerC_R,0,-1)))</f>
        <v>1.2500000000000001E-2</v>
      </c>
      <c r="T165" s="5">
        <f>ROUND(tblPayroll[[#This Row],[PPh 21 Base]]*tblPayroll[[#This Row],[TER Rate]],0)</f>
        <v>84939</v>
      </c>
      <c r="U165" s="5">
        <f>ROUND(MIN(tblPayroll[[#This Row],[Basic Salary]]+tblPayroll[[#This Row],[Fixed Allowance]],BPJSKesCap)*R_KesEe,0)</f>
        <v>65000</v>
      </c>
      <c r="V165" s="5">
        <f>ROUND((tblPayroll[[#This Row],[Basic Salary]]+tblPayroll[[#This Row],[Fixed Allowance]])*R_JHTEe,0)</f>
        <v>130000</v>
      </c>
      <c r="W165" s="5">
        <f>ROUND(MIN(tblPayroll[[#This Row],[Basic Salary]]+tblPayroll[[#This Row],[Fixed Allowance]],JPCap)*R_JPEe,0)</f>
        <v>65000</v>
      </c>
      <c r="X165" s="5">
        <f>tblPayroll[[#This Row],[BPJS Health (Ee)]]+tblPayroll[[#This Row],[JHT (Ee)]]+tblPayroll[[#This Row],[JP (Ee)]]</f>
        <v>260000</v>
      </c>
      <c r="Y165" s="5">
        <f>tblPayroll[[#This Row],[Gross Salary]]-tblPayroll[[#This Row],[PPh 21]]-tblPayroll[[#This Row],[Employee BPJS Total]]</f>
        <v>6155061</v>
      </c>
      <c r="Z165" s="5">
        <f>tblPayroll[[#This Row],[Employer BPJS Total]]+tblPayroll[[#This Row],[Employee BPJS Total]]</f>
        <v>925600</v>
      </c>
      <c r="AA165" s="5">
        <f>tblPayroll[[#This Row],[Gross Salary]]+tblPayroll[[#This Row],[Employer BPJS Total]]</f>
        <v>7165600</v>
      </c>
      <c r="AB165" s="4">
        <v>1130</v>
      </c>
    </row>
    <row r="166" spans="2:28" x14ac:dyDescent="0.35">
      <c r="B166" s="4">
        <v>11</v>
      </c>
      <c r="C166" s="113">
        <v>46351</v>
      </c>
      <c r="D166" s="4" t="s">
        <v>4819</v>
      </c>
      <c r="E166" s="1" t="str">
        <f>_xlfn.XLOOKUP(tblPayroll[[#This Row],[Employee ID]],tblEmployees[Employee ID],tblEmployees[Full Name],"")</f>
        <v>Dimas Pratama</v>
      </c>
      <c r="F166" s="1" t="str">
        <f>_xlfn.XLOOKUP(tblPayroll[[#This Row],[Employee ID]],tblEmployees[Employee ID],tblEmployees[Department],"")</f>
        <v>Selling</v>
      </c>
      <c r="G166" s="1" t="str">
        <f>_xlfn.XLOOKUP(tblPayroll[[#This Row],[Employee ID]],tblEmployees[Employee ID],tblEmployees[TER Category],"")</f>
        <v>A</v>
      </c>
      <c r="H166" s="5">
        <f>_xlfn.XLOOKUP(tblPayroll[[#This Row],[Employee ID]],tblEmployees[Employee ID],tblEmployees[Basic Salary],"")</f>
        <v>5800000</v>
      </c>
      <c r="I166" s="5">
        <f>_xlfn.XLOOKUP(tblPayroll[[#This Row],[Employee ID]],tblEmployees[Employee ID],tblEmployees[Fixed Allowance],"")</f>
        <v>700000</v>
      </c>
      <c r="J166" s="6">
        <v>0</v>
      </c>
      <c r="K166" s="5">
        <f>tblPayroll[[#This Row],[Basic Salary]]+tblPayroll[[#This Row],[Fixed Allowance]]+tblPayroll[[#This Row],[THR / Bonus]]</f>
        <v>6500000</v>
      </c>
      <c r="L166" s="5">
        <f>ROUND(MIN(tblPayroll[[#This Row],[Basic Salary]]+tblPayroll[[#This Row],[Fixed Allowance]],BPJSKesCap)*R_KesEr,0)</f>
        <v>260000</v>
      </c>
      <c r="M166" s="5">
        <f>ROUND((tblPayroll[[#This Row],[Basic Salary]]+tblPayroll[[#This Row],[Fixed Allowance]])*R_JKK,0)</f>
        <v>15600</v>
      </c>
      <c r="N166" s="5">
        <f>ROUND((tblPayroll[[#This Row],[Basic Salary]]+tblPayroll[[#This Row],[Fixed Allowance]])*R_JKM,0)</f>
        <v>19500</v>
      </c>
      <c r="O166" s="5">
        <f>ROUND((tblPayroll[[#This Row],[Basic Salary]]+tblPayroll[[#This Row],[Fixed Allowance]])*R_JHTEr,0)</f>
        <v>240500</v>
      </c>
      <c r="P166" s="5">
        <f>ROUND(MIN(tblPayroll[[#This Row],[Basic Salary]]+tblPayroll[[#This Row],[Fixed Allowance]],JPCap)*R_JPEr,0)</f>
        <v>130000</v>
      </c>
      <c r="Q166" s="5">
        <f>SUM(tblPayroll[[#This Row],[BPJS Health (Er)]:[JP (Er)]])</f>
        <v>665600</v>
      </c>
      <c r="R166" s="5">
        <f>tblPayroll[[#This Row],[Gross Salary]]+tblPayroll[[#This Row],[BPJS Health (Er)]]+tblPayroll[[#This Row],[JKK (Er)]]+tblPayroll[[#This Row],[JKM (Er)]]</f>
        <v>6795100</v>
      </c>
      <c r="S166" s="119">
        <f>IF(tblPayroll[[#This Row],[TER Cat]]="A",_xlfn.XLOOKUP(tblPayroll[[#This Row],[PPh 21 Base]],TerA_L,TerA_R,0,-1),IF(tblPayroll[[#This Row],[TER Cat]]="B",_xlfn.XLOOKUP(tblPayroll[[#This Row],[PPh 21 Base]],TerB_L,TerB_R,0,-1),_xlfn.XLOOKUP(tblPayroll[[#This Row],[PPh 21 Base]],TerC_L,TerC_R,0,-1)))</f>
        <v>1.2500000000000001E-2</v>
      </c>
      <c r="T166" s="5">
        <f>ROUND(tblPayroll[[#This Row],[PPh 21 Base]]*tblPayroll[[#This Row],[TER Rate]],0)</f>
        <v>84939</v>
      </c>
      <c r="U166" s="5">
        <f>ROUND(MIN(tblPayroll[[#This Row],[Basic Salary]]+tblPayroll[[#This Row],[Fixed Allowance]],BPJSKesCap)*R_KesEe,0)</f>
        <v>65000</v>
      </c>
      <c r="V166" s="5">
        <f>ROUND((tblPayroll[[#This Row],[Basic Salary]]+tblPayroll[[#This Row],[Fixed Allowance]])*R_JHTEe,0)</f>
        <v>130000</v>
      </c>
      <c r="W166" s="5">
        <f>ROUND(MIN(tblPayroll[[#This Row],[Basic Salary]]+tblPayroll[[#This Row],[Fixed Allowance]],JPCap)*R_JPEe,0)</f>
        <v>65000</v>
      </c>
      <c r="X166" s="5">
        <f>tblPayroll[[#This Row],[BPJS Health (Ee)]]+tblPayroll[[#This Row],[JHT (Ee)]]+tblPayroll[[#This Row],[JP (Ee)]]</f>
        <v>260000</v>
      </c>
      <c r="Y166" s="5">
        <f>tblPayroll[[#This Row],[Gross Salary]]-tblPayroll[[#This Row],[PPh 21]]-tblPayroll[[#This Row],[Employee BPJS Total]]</f>
        <v>6155061</v>
      </c>
      <c r="Z166" s="5">
        <f>tblPayroll[[#This Row],[Employer BPJS Total]]+tblPayroll[[#This Row],[Employee BPJS Total]]</f>
        <v>925600</v>
      </c>
      <c r="AA166" s="5">
        <f>tblPayroll[[#This Row],[Gross Salary]]+tblPayroll[[#This Row],[Employer BPJS Total]]</f>
        <v>7165600</v>
      </c>
      <c r="AB166" s="4">
        <v>1130</v>
      </c>
    </row>
    <row r="167" spans="2:28" x14ac:dyDescent="0.35">
      <c r="B167" s="4">
        <v>11</v>
      </c>
      <c r="C167" s="113">
        <v>46351</v>
      </c>
      <c r="D167" s="4" t="s">
        <v>4823</v>
      </c>
      <c r="E167" s="1" t="str">
        <f>_xlfn.XLOOKUP(tblPayroll[[#This Row],[Employee ID]],tblEmployees[Employee ID],tblEmployees[Full Name],"")</f>
        <v>Yusuf Hidayat</v>
      </c>
      <c r="F167" s="1" t="str">
        <f>_xlfn.XLOOKUP(tblPayroll[[#This Row],[Employee ID]],tblEmployees[Employee ID],tblEmployees[Department],"")</f>
        <v>Selling</v>
      </c>
      <c r="G167" s="1" t="str">
        <f>_xlfn.XLOOKUP(tblPayroll[[#This Row],[Employee ID]],tblEmployees[Employee ID],tblEmployees[TER Category],"")</f>
        <v>B</v>
      </c>
      <c r="H167" s="5">
        <f>_xlfn.XLOOKUP(tblPayroll[[#This Row],[Employee ID]],tblEmployees[Employee ID],tblEmployees[Basic Salary],"")</f>
        <v>7500000</v>
      </c>
      <c r="I167" s="5">
        <f>_xlfn.XLOOKUP(tblPayroll[[#This Row],[Employee ID]],tblEmployees[Employee ID],tblEmployees[Fixed Allowance],"")</f>
        <v>1000000</v>
      </c>
      <c r="J167" s="6">
        <v>0</v>
      </c>
      <c r="K167" s="5">
        <f>tblPayroll[[#This Row],[Basic Salary]]+tblPayroll[[#This Row],[Fixed Allowance]]+tblPayroll[[#This Row],[THR / Bonus]]</f>
        <v>8500000</v>
      </c>
      <c r="L167" s="5">
        <f>ROUND(MIN(tblPayroll[[#This Row],[Basic Salary]]+tblPayroll[[#This Row],[Fixed Allowance]],BPJSKesCap)*R_KesEr,0)</f>
        <v>340000</v>
      </c>
      <c r="M167" s="5">
        <f>ROUND((tblPayroll[[#This Row],[Basic Salary]]+tblPayroll[[#This Row],[Fixed Allowance]])*R_JKK,0)</f>
        <v>20400</v>
      </c>
      <c r="N167" s="5">
        <f>ROUND((tblPayroll[[#This Row],[Basic Salary]]+tblPayroll[[#This Row],[Fixed Allowance]])*R_JKM,0)</f>
        <v>25500</v>
      </c>
      <c r="O167" s="5">
        <f>ROUND((tblPayroll[[#This Row],[Basic Salary]]+tblPayroll[[#This Row],[Fixed Allowance]])*R_JHTEr,0)</f>
        <v>314500</v>
      </c>
      <c r="P167" s="5">
        <f>ROUND(MIN(tblPayroll[[#This Row],[Basic Salary]]+tblPayroll[[#This Row],[Fixed Allowance]],JPCap)*R_JPEr,0)</f>
        <v>170000</v>
      </c>
      <c r="Q167" s="5">
        <f>SUM(tblPayroll[[#This Row],[BPJS Health (Er)]:[JP (Er)]])</f>
        <v>870400</v>
      </c>
      <c r="R167" s="5">
        <f>tblPayroll[[#This Row],[Gross Salary]]+tblPayroll[[#This Row],[BPJS Health (Er)]]+tblPayroll[[#This Row],[JKK (Er)]]+tblPayroll[[#This Row],[JKM (Er)]]</f>
        <v>8885900</v>
      </c>
      <c r="S167" s="119">
        <f>IF(tblPayroll[[#This Row],[TER Cat]]="A",_xlfn.XLOOKUP(tblPayroll[[#This Row],[PPh 21 Base]],TerA_L,TerA_R,0,-1),IF(tblPayroll[[#This Row],[TER Cat]]="B",_xlfn.XLOOKUP(tblPayroll[[#This Row],[PPh 21 Base]],TerB_L,TerB_R,0,-1),_xlfn.XLOOKUP(tblPayroll[[#This Row],[PPh 21 Base]],TerC_L,TerC_R,0,-1)))</f>
        <v>0.01</v>
      </c>
      <c r="T167" s="5">
        <f>ROUND(tblPayroll[[#This Row],[PPh 21 Base]]*tblPayroll[[#This Row],[TER Rate]],0)</f>
        <v>88859</v>
      </c>
      <c r="U167" s="5">
        <f>ROUND(MIN(tblPayroll[[#This Row],[Basic Salary]]+tblPayroll[[#This Row],[Fixed Allowance]],BPJSKesCap)*R_KesEe,0)</f>
        <v>85000</v>
      </c>
      <c r="V167" s="5">
        <f>ROUND((tblPayroll[[#This Row],[Basic Salary]]+tblPayroll[[#This Row],[Fixed Allowance]])*R_JHTEe,0)</f>
        <v>170000</v>
      </c>
      <c r="W167" s="5">
        <f>ROUND(MIN(tblPayroll[[#This Row],[Basic Salary]]+tblPayroll[[#This Row],[Fixed Allowance]],JPCap)*R_JPEe,0)</f>
        <v>85000</v>
      </c>
      <c r="X167" s="5">
        <f>tblPayroll[[#This Row],[BPJS Health (Ee)]]+tblPayroll[[#This Row],[JHT (Ee)]]+tblPayroll[[#This Row],[JP (Ee)]]</f>
        <v>340000</v>
      </c>
      <c r="Y167" s="5">
        <f>tblPayroll[[#This Row],[Gross Salary]]-tblPayroll[[#This Row],[PPh 21]]-tblPayroll[[#This Row],[Employee BPJS Total]]</f>
        <v>8071141</v>
      </c>
      <c r="Z167" s="5">
        <f>tblPayroll[[#This Row],[Employer BPJS Total]]+tblPayroll[[#This Row],[Employee BPJS Total]]</f>
        <v>1210400</v>
      </c>
      <c r="AA167" s="5">
        <f>tblPayroll[[#This Row],[Gross Salary]]+tblPayroll[[#This Row],[Employer BPJS Total]]</f>
        <v>9370400</v>
      </c>
      <c r="AB167" s="4">
        <v>1130</v>
      </c>
    </row>
    <row r="168" spans="2:28" x14ac:dyDescent="0.35">
      <c r="B168" s="4">
        <v>11</v>
      </c>
      <c r="C168" s="113">
        <v>46351</v>
      </c>
      <c r="D168" s="4" t="s">
        <v>4828</v>
      </c>
      <c r="E168" s="1" t="str">
        <f>_xlfn.XLOOKUP(tblPayroll[[#This Row],[Employee ID]],tblEmployees[Employee ID],tblEmployees[Full Name],"")</f>
        <v>Lestari Wulandari</v>
      </c>
      <c r="F168" s="1" t="str">
        <f>_xlfn.XLOOKUP(tblPayroll[[#This Row],[Employee ID]],tblEmployees[Employee ID],tblEmployees[Department],"")</f>
        <v>Selling</v>
      </c>
      <c r="G168" s="1" t="str">
        <f>_xlfn.XLOOKUP(tblPayroll[[#This Row],[Employee ID]],tblEmployees[Employee ID],tblEmployees[TER Category],"")</f>
        <v>A</v>
      </c>
      <c r="H168" s="5">
        <f>_xlfn.XLOOKUP(tblPayroll[[#This Row],[Employee ID]],tblEmployees[Employee ID],tblEmployees[Basic Salary],"")</f>
        <v>5600000</v>
      </c>
      <c r="I168" s="5">
        <f>_xlfn.XLOOKUP(tblPayroll[[#This Row],[Employee ID]],tblEmployees[Employee ID],tblEmployees[Fixed Allowance],"")</f>
        <v>600000</v>
      </c>
      <c r="J168" s="6">
        <v>0</v>
      </c>
      <c r="K168" s="5">
        <f>tblPayroll[[#This Row],[Basic Salary]]+tblPayroll[[#This Row],[Fixed Allowance]]+tblPayroll[[#This Row],[THR / Bonus]]</f>
        <v>6200000</v>
      </c>
      <c r="L168" s="5">
        <f>ROUND(MIN(tblPayroll[[#This Row],[Basic Salary]]+tblPayroll[[#This Row],[Fixed Allowance]],BPJSKesCap)*R_KesEr,0)</f>
        <v>248000</v>
      </c>
      <c r="M168" s="5">
        <f>ROUND((tblPayroll[[#This Row],[Basic Salary]]+tblPayroll[[#This Row],[Fixed Allowance]])*R_JKK,0)</f>
        <v>14880</v>
      </c>
      <c r="N168" s="5">
        <f>ROUND((tblPayroll[[#This Row],[Basic Salary]]+tblPayroll[[#This Row],[Fixed Allowance]])*R_JKM,0)</f>
        <v>18600</v>
      </c>
      <c r="O168" s="5">
        <f>ROUND((tblPayroll[[#This Row],[Basic Salary]]+tblPayroll[[#This Row],[Fixed Allowance]])*R_JHTEr,0)</f>
        <v>229400</v>
      </c>
      <c r="P168" s="5">
        <f>ROUND(MIN(tblPayroll[[#This Row],[Basic Salary]]+tblPayroll[[#This Row],[Fixed Allowance]],JPCap)*R_JPEr,0)</f>
        <v>124000</v>
      </c>
      <c r="Q168" s="5">
        <f>SUM(tblPayroll[[#This Row],[BPJS Health (Er)]:[JP (Er)]])</f>
        <v>634880</v>
      </c>
      <c r="R168" s="5">
        <f>tblPayroll[[#This Row],[Gross Salary]]+tblPayroll[[#This Row],[BPJS Health (Er)]]+tblPayroll[[#This Row],[JKK (Er)]]+tblPayroll[[#This Row],[JKM (Er)]]</f>
        <v>6481480</v>
      </c>
      <c r="S168" s="119">
        <f>IF(tblPayroll[[#This Row],[TER Cat]]="A",_xlfn.XLOOKUP(tblPayroll[[#This Row],[PPh 21 Base]],TerA_L,TerA_R,0,-1),IF(tblPayroll[[#This Row],[TER Cat]]="B",_xlfn.XLOOKUP(tblPayroll[[#This Row],[PPh 21 Base]],TerB_L,TerB_R,0,-1),_xlfn.XLOOKUP(tblPayroll[[#This Row],[PPh 21 Base]],TerC_L,TerC_R,0,-1)))</f>
        <v>0.01</v>
      </c>
      <c r="T168" s="5">
        <f>ROUND(tblPayroll[[#This Row],[PPh 21 Base]]*tblPayroll[[#This Row],[TER Rate]],0)</f>
        <v>64815</v>
      </c>
      <c r="U168" s="5">
        <f>ROUND(MIN(tblPayroll[[#This Row],[Basic Salary]]+tblPayroll[[#This Row],[Fixed Allowance]],BPJSKesCap)*R_KesEe,0)</f>
        <v>62000</v>
      </c>
      <c r="V168" s="5">
        <f>ROUND((tblPayroll[[#This Row],[Basic Salary]]+tblPayroll[[#This Row],[Fixed Allowance]])*R_JHTEe,0)</f>
        <v>124000</v>
      </c>
      <c r="W168" s="5">
        <f>ROUND(MIN(tblPayroll[[#This Row],[Basic Salary]]+tblPayroll[[#This Row],[Fixed Allowance]],JPCap)*R_JPEe,0)</f>
        <v>62000</v>
      </c>
      <c r="X168" s="5">
        <f>tblPayroll[[#This Row],[BPJS Health (Ee)]]+tblPayroll[[#This Row],[JHT (Ee)]]+tblPayroll[[#This Row],[JP (Ee)]]</f>
        <v>248000</v>
      </c>
      <c r="Y168" s="5">
        <f>tblPayroll[[#This Row],[Gross Salary]]-tblPayroll[[#This Row],[PPh 21]]-tblPayroll[[#This Row],[Employee BPJS Total]]</f>
        <v>5887185</v>
      </c>
      <c r="Z168" s="5">
        <f>tblPayroll[[#This Row],[Employer BPJS Total]]+tblPayroll[[#This Row],[Employee BPJS Total]]</f>
        <v>882880</v>
      </c>
      <c r="AA168" s="5">
        <f>tblPayroll[[#This Row],[Gross Salary]]+tblPayroll[[#This Row],[Employer BPJS Total]]</f>
        <v>6834880</v>
      </c>
      <c r="AB168" s="4">
        <v>1130</v>
      </c>
    </row>
    <row r="169" spans="2:28" x14ac:dyDescent="0.35">
      <c r="B169" s="4">
        <v>11</v>
      </c>
      <c r="C169" s="113">
        <v>46351</v>
      </c>
      <c r="D169" s="4" t="s">
        <v>4834</v>
      </c>
      <c r="E169" s="1" t="str">
        <f>_xlfn.XLOOKUP(tblPayroll[[#This Row],[Employee ID]],tblEmployees[Employee ID],tblEmployees[Full Name],"")</f>
        <v>Bayu Nugroho</v>
      </c>
      <c r="F169" s="1" t="str">
        <f>_xlfn.XLOOKUP(tblPayroll[[#This Row],[Employee ID]],tblEmployees[Employee ID],tblEmployees[Department],"")</f>
        <v>Selling</v>
      </c>
      <c r="G169" s="1" t="str">
        <f>_xlfn.XLOOKUP(tblPayroll[[#This Row],[Employee ID]],tblEmployees[Employee ID],tblEmployees[TER Category],"")</f>
        <v>B</v>
      </c>
      <c r="H169" s="5">
        <f>_xlfn.XLOOKUP(tblPayroll[[#This Row],[Employee ID]],tblEmployees[Employee ID],tblEmployees[Basic Salary],"")</f>
        <v>5600000</v>
      </c>
      <c r="I169" s="5">
        <f>_xlfn.XLOOKUP(tblPayroll[[#This Row],[Employee ID]],tblEmployees[Employee ID],tblEmployees[Fixed Allowance],"")</f>
        <v>600000</v>
      </c>
      <c r="J169" s="6">
        <v>0</v>
      </c>
      <c r="K169" s="5">
        <f>tblPayroll[[#This Row],[Basic Salary]]+tblPayroll[[#This Row],[Fixed Allowance]]+tblPayroll[[#This Row],[THR / Bonus]]</f>
        <v>6200000</v>
      </c>
      <c r="L169" s="5">
        <f>ROUND(MIN(tblPayroll[[#This Row],[Basic Salary]]+tblPayroll[[#This Row],[Fixed Allowance]],BPJSKesCap)*R_KesEr,0)</f>
        <v>248000</v>
      </c>
      <c r="M169" s="5">
        <f>ROUND((tblPayroll[[#This Row],[Basic Salary]]+tblPayroll[[#This Row],[Fixed Allowance]])*R_JKK,0)</f>
        <v>14880</v>
      </c>
      <c r="N169" s="5">
        <f>ROUND((tblPayroll[[#This Row],[Basic Salary]]+tblPayroll[[#This Row],[Fixed Allowance]])*R_JKM,0)</f>
        <v>18600</v>
      </c>
      <c r="O169" s="5">
        <f>ROUND((tblPayroll[[#This Row],[Basic Salary]]+tblPayroll[[#This Row],[Fixed Allowance]])*R_JHTEr,0)</f>
        <v>229400</v>
      </c>
      <c r="P169" s="5">
        <f>ROUND(MIN(tblPayroll[[#This Row],[Basic Salary]]+tblPayroll[[#This Row],[Fixed Allowance]],JPCap)*R_JPEr,0)</f>
        <v>124000</v>
      </c>
      <c r="Q169" s="5">
        <f>SUM(tblPayroll[[#This Row],[BPJS Health (Er)]:[JP (Er)]])</f>
        <v>634880</v>
      </c>
      <c r="R169" s="5">
        <f>tblPayroll[[#This Row],[Gross Salary]]+tblPayroll[[#This Row],[BPJS Health (Er)]]+tblPayroll[[#This Row],[JKK (Er)]]+tblPayroll[[#This Row],[JKM (Er)]]</f>
        <v>6481480</v>
      </c>
      <c r="S169" s="119">
        <f>IF(tblPayroll[[#This Row],[TER Cat]]="A",_xlfn.XLOOKUP(tblPayroll[[#This Row],[PPh 21 Base]],TerA_L,TerA_R,0,-1),IF(tblPayroll[[#This Row],[TER Cat]]="B",_xlfn.XLOOKUP(tblPayroll[[#This Row],[PPh 21 Base]],TerB_L,TerB_R,0,-1),_xlfn.XLOOKUP(tblPayroll[[#This Row],[PPh 21 Base]],TerC_L,TerC_R,0,-1)))</f>
        <v>2.5000000000000001E-3</v>
      </c>
      <c r="T169" s="5">
        <f>ROUND(tblPayroll[[#This Row],[PPh 21 Base]]*tblPayroll[[#This Row],[TER Rate]],0)</f>
        <v>16204</v>
      </c>
      <c r="U169" s="5">
        <f>ROUND(MIN(tblPayroll[[#This Row],[Basic Salary]]+tblPayroll[[#This Row],[Fixed Allowance]],BPJSKesCap)*R_KesEe,0)</f>
        <v>62000</v>
      </c>
      <c r="V169" s="5">
        <f>ROUND((tblPayroll[[#This Row],[Basic Salary]]+tblPayroll[[#This Row],[Fixed Allowance]])*R_JHTEe,0)</f>
        <v>124000</v>
      </c>
      <c r="W169" s="5">
        <f>ROUND(MIN(tblPayroll[[#This Row],[Basic Salary]]+tblPayroll[[#This Row],[Fixed Allowance]],JPCap)*R_JPEe,0)</f>
        <v>62000</v>
      </c>
      <c r="X169" s="5">
        <f>tblPayroll[[#This Row],[BPJS Health (Ee)]]+tblPayroll[[#This Row],[JHT (Ee)]]+tblPayroll[[#This Row],[JP (Ee)]]</f>
        <v>248000</v>
      </c>
      <c r="Y169" s="5">
        <f>tblPayroll[[#This Row],[Gross Salary]]-tblPayroll[[#This Row],[PPh 21]]-tblPayroll[[#This Row],[Employee BPJS Total]]</f>
        <v>5935796</v>
      </c>
      <c r="Z169" s="5">
        <f>tblPayroll[[#This Row],[Employer BPJS Total]]+tblPayroll[[#This Row],[Employee BPJS Total]]</f>
        <v>882880</v>
      </c>
      <c r="AA169" s="5">
        <f>tblPayroll[[#This Row],[Gross Salary]]+tblPayroll[[#This Row],[Employer BPJS Total]]</f>
        <v>6834880</v>
      </c>
      <c r="AB169" s="4">
        <v>1130</v>
      </c>
    </row>
    <row r="170" spans="2:28" x14ac:dyDescent="0.35">
      <c r="B170" s="4">
        <v>11</v>
      </c>
      <c r="C170" s="113">
        <v>46351</v>
      </c>
      <c r="D170" s="4" t="s">
        <v>4839</v>
      </c>
      <c r="E170" s="1" t="str">
        <f>_xlfn.XLOOKUP(tblPayroll[[#This Row],[Employee ID]],tblEmployees[Employee ID],tblEmployees[Full Name],"")</f>
        <v>Maya Sari</v>
      </c>
      <c r="F170" s="1" t="str">
        <f>_xlfn.XLOOKUP(tblPayroll[[#This Row],[Employee ID]],tblEmployees[Employee ID],tblEmployees[Department],"")</f>
        <v>Selling</v>
      </c>
      <c r="G170" s="1" t="str">
        <f>_xlfn.XLOOKUP(tblPayroll[[#This Row],[Employee ID]],tblEmployees[Employee ID],tblEmployees[TER Category],"")</f>
        <v>A</v>
      </c>
      <c r="H170" s="5">
        <f>_xlfn.XLOOKUP(tblPayroll[[#This Row],[Employee ID]],tblEmployees[Employee ID],tblEmployees[Basic Salary],"")</f>
        <v>5700000</v>
      </c>
      <c r="I170" s="5">
        <f>_xlfn.XLOOKUP(tblPayroll[[#This Row],[Employee ID]],tblEmployees[Employee ID],tblEmployees[Fixed Allowance],"")</f>
        <v>600000</v>
      </c>
      <c r="J170" s="6">
        <v>0</v>
      </c>
      <c r="K170" s="5">
        <f>tblPayroll[[#This Row],[Basic Salary]]+tblPayroll[[#This Row],[Fixed Allowance]]+tblPayroll[[#This Row],[THR / Bonus]]</f>
        <v>6300000</v>
      </c>
      <c r="L170" s="5">
        <f>ROUND(MIN(tblPayroll[[#This Row],[Basic Salary]]+tblPayroll[[#This Row],[Fixed Allowance]],BPJSKesCap)*R_KesEr,0)</f>
        <v>252000</v>
      </c>
      <c r="M170" s="5">
        <f>ROUND((tblPayroll[[#This Row],[Basic Salary]]+tblPayroll[[#This Row],[Fixed Allowance]])*R_JKK,0)</f>
        <v>15120</v>
      </c>
      <c r="N170" s="5">
        <f>ROUND((tblPayroll[[#This Row],[Basic Salary]]+tblPayroll[[#This Row],[Fixed Allowance]])*R_JKM,0)</f>
        <v>18900</v>
      </c>
      <c r="O170" s="5">
        <f>ROUND((tblPayroll[[#This Row],[Basic Salary]]+tblPayroll[[#This Row],[Fixed Allowance]])*R_JHTEr,0)</f>
        <v>233100</v>
      </c>
      <c r="P170" s="5">
        <f>ROUND(MIN(tblPayroll[[#This Row],[Basic Salary]]+tblPayroll[[#This Row],[Fixed Allowance]],JPCap)*R_JPEr,0)</f>
        <v>126000</v>
      </c>
      <c r="Q170" s="5">
        <f>SUM(tblPayroll[[#This Row],[BPJS Health (Er)]:[JP (Er)]])</f>
        <v>645120</v>
      </c>
      <c r="R170" s="5">
        <f>tblPayroll[[#This Row],[Gross Salary]]+tblPayroll[[#This Row],[BPJS Health (Er)]]+tblPayroll[[#This Row],[JKK (Er)]]+tblPayroll[[#This Row],[JKM (Er)]]</f>
        <v>6586020</v>
      </c>
      <c r="S170" s="119">
        <f>IF(tblPayroll[[#This Row],[TER Cat]]="A",_xlfn.XLOOKUP(tblPayroll[[#This Row],[PPh 21 Base]],TerA_L,TerA_R,0,-1),IF(tblPayroll[[#This Row],[TER Cat]]="B",_xlfn.XLOOKUP(tblPayroll[[#This Row],[PPh 21 Base]],TerB_L,TerB_R,0,-1),_xlfn.XLOOKUP(tblPayroll[[#This Row],[PPh 21 Base]],TerC_L,TerC_R,0,-1)))</f>
        <v>0.01</v>
      </c>
      <c r="T170" s="5">
        <f>ROUND(tblPayroll[[#This Row],[PPh 21 Base]]*tblPayroll[[#This Row],[TER Rate]],0)</f>
        <v>65860</v>
      </c>
      <c r="U170" s="5">
        <f>ROUND(MIN(tblPayroll[[#This Row],[Basic Salary]]+tblPayroll[[#This Row],[Fixed Allowance]],BPJSKesCap)*R_KesEe,0)</f>
        <v>63000</v>
      </c>
      <c r="V170" s="5">
        <f>ROUND((tblPayroll[[#This Row],[Basic Salary]]+tblPayroll[[#This Row],[Fixed Allowance]])*R_JHTEe,0)</f>
        <v>126000</v>
      </c>
      <c r="W170" s="5">
        <f>ROUND(MIN(tblPayroll[[#This Row],[Basic Salary]]+tblPayroll[[#This Row],[Fixed Allowance]],JPCap)*R_JPEe,0)</f>
        <v>63000</v>
      </c>
      <c r="X170" s="5">
        <f>tblPayroll[[#This Row],[BPJS Health (Ee)]]+tblPayroll[[#This Row],[JHT (Ee)]]+tblPayroll[[#This Row],[JP (Ee)]]</f>
        <v>252000</v>
      </c>
      <c r="Y170" s="5">
        <f>tblPayroll[[#This Row],[Gross Salary]]-tblPayroll[[#This Row],[PPh 21]]-tblPayroll[[#This Row],[Employee BPJS Total]]</f>
        <v>5982140</v>
      </c>
      <c r="Z170" s="5">
        <f>tblPayroll[[#This Row],[Employer BPJS Total]]+tblPayroll[[#This Row],[Employee BPJS Total]]</f>
        <v>897120</v>
      </c>
      <c r="AA170" s="5">
        <f>tblPayroll[[#This Row],[Gross Salary]]+tblPayroll[[#This Row],[Employer BPJS Total]]</f>
        <v>6945120</v>
      </c>
      <c r="AB170" s="4">
        <v>1130</v>
      </c>
    </row>
    <row r="171" spans="2:28" x14ac:dyDescent="0.35">
      <c r="B171" s="4">
        <v>11</v>
      </c>
      <c r="C171" s="113">
        <v>46351</v>
      </c>
      <c r="D171" s="4" t="s">
        <v>4844</v>
      </c>
      <c r="E171" s="1" t="str">
        <f>_xlfn.XLOOKUP(tblPayroll[[#This Row],[Employee ID]],tblEmployees[Employee ID],tblEmployees[Full Name],"")</f>
        <v>Hendra Wijaya</v>
      </c>
      <c r="F171" s="1" t="str">
        <f>_xlfn.XLOOKUP(tblPayroll[[#This Row],[Employee ID]],tblEmployees[Employee ID],tblEmployees[Department],"")</f>
        <v>G&amp;A</v>
      </c>
      <c r="G171" s="1" t="str">
        <f>_xlfn.XLOOKUP(tblPayroll[[#This Row],[Employee ID]],tblEmployees[Employee ID],tblEmployees[TER Category],"")</f>
        <v>A</v>
      </c>
      <c r="H171" s="5">
        <f>_xlfn.XLOOKUP(tblPayroll[[#This Row],[Employee ID]],tblEmployees[Employee ID],tblEmployees[Basic Salary],"")</f>
        <v>9500000</v>
      </c>
      <c r="I171" s="5">
        <f>_xlfn.XLOOKUP(tblPayroll[[#This Row],[Employee ID]],tblEmployees[Employee ID],tblEmployees[Fixed Allowance],"")</f>
        <v>1000000</v>
      </c>
      <c r="J171" s="6">
        <v>0</v>
      </c>
      <c r="K171" s="5">
        <f>tblPayroll[[#This Row],[Basic Salary]]+tblPayroll[[#This Row],[Fixed Allowance]]+tblPayroll[[#This Row],[THR / Bonus]]</f>
        <v>10500000</v>
      </c>
      <c r="L171" s="5">
        <f>ROUND(MIN(tblPayroll[[#This Row],[Basic Salary]]+tblPayroll[[#This Row],[Fixed Allowance]],BPJSKesCap)*R_KesEr,0)</f>
        <v>420000</v>
      </c>
      <c r="M171" s="5">
        <f>ROUND((tblPayroll[[#This Row],[Basic Salary]]+tblPayroll[[#This Row],[Fixed Allowance]])*R_JKK,0)</f>
        <v>25200</v>
      </c>
      <c r="N171" s="5">
        <f>ROUND((tblPayroll[[#This Row],[Basic Salary]]+tblPayroll[[#This Row],[Fixed Allowance]])*R_JKM,0)</f>
        <v>31500</v>
      </c>
      <c r="O171" s="5">
        <f>ROUND((tblPayroll[[#This Row],[Basic Salary]]+tblPayroll[[#This Row],[Fixed Allowance]])*R_JHTEr,0)</f>
        <v>388500</v>
      </c>
      <c r="P171" s="5">
        <f>ROUND(MIN(tblPayroll[[#This Row],[Basic Salary]]+tblPayroll[[#This Row],[Fixed Allowance]],JPCap)*R_JPEr,0)</f>
        <v>210000</v>
      </c>
      <c r="Q171" s="5">
        <f>SUM(tblPayroll[[#This Row],[BPJS Health (Er)]:[JP (Er)]])</f>
        <v>1075200</v>
      </c>
      <c r="R171" s="5">
        <f>tblPayroll[[#This Row],[Gross Salary]]+tblPayroll[[#This Row],[BPJS Health (Er)]]+tblPayroll[[#This Row],[JKK (Er)]]+tblPayroll[[#This Row],[JKM (Er)]]</f>
        <v>10976700</v>
      </c>
      <c r="S171" s="119">
        <f>IF(tblPayroll[[#This Row],[TER Cat]]="A",_xlfn.XLOOKUP(tblPayroll[[#This Row],[PPh 21 Base]],TerA_L,TerA_R,0,-1),IF(tblPayroll[[#This Row],[TER Cat]]="B",_xlfn.XLOOKUP(tblPayroll[[#This Row],[PPh 21 Base]],TerB_L,TerB_R,0,-1),_xlfn.XLOOKUP(tblPayroll[[#This Row],[PPh 21 Base]],TerC_L,TerC_R,0,-1)))</f>
        <v>0.03</v>
      </c>
      <c r="T171" s="5">
        <f>ROUND(tblPayroll[[#This Row],[PPh 21 Base]]*tblPayroll[[#This Row],[TER Rate]],0)</f>
        <v>329301</v>
      </c>
      <c r="U171" s="5">
        <f>ROUND(MIN(tblPayroll[[#This Row],[Basic Salary]]+tblPayroll[[#This Row],[Fixed Allowance]],BPJSKesCap)*R_KesEe,0)</f>
        <v>105000</v>
      </c>
      <c r="V171" s="5">
        <f>ROUND((tblPayroll[[#This Row],[Basic Salary]]+tblPayroll[[#This Row],[Fixed Allowance]])*R_JHTEe,0)</f>
        <v>210000</v>
      </c>
      <c r="W171" s="5">
        <f>ROUND(MIN(tblPayroll[[#This Row],[Basic Salary]]+tblPayroll[[#This Row],[Fixed Allowance]],JPCap)*R_JPEe,0)</f>
        <v>105000</v>
      </c>
      <c r="X171" s="5">
        <f>tblPayroll[[#This Row],[BPJS Health (Ee)]]+tblPayroll[[#This Row],[JHT (Ee)]]+tblPayroll[[#This Row],[JP (Ee)]]</f>
        <v>420000</v>
      </c>
      <c r="Y171" s="5">
        <f>tblPayroll[[#This Row],[Gross Salary]]-tblPayroll[[#This Row],[PPh 21]]-tblPayroll[[#This Row],[Employee BPJS Total]]</f>
        <v>9750699</v>
      </c>
      <c r="Z171" s="5">
        <f>tblPayroll[[#This Row],[Employer BPJS Total]]+tblPayroll[[#This Row],[Employee BPJS Total]]</f>
        <v>1495200</v>
      </c>
      <c r="AA171" s="5">
        <f>tblPayroll[[#This Row],[Gross Salary]]+tblPayroll[[#This Row],[Employer BPJS Total]]</f>
        <v>11575200</v>
      </c>
      <c r="AB171" s="4">
        <v>1130</v>
      </c>
    </row>
    <row r="172" spans="2:28" x14ac:dyDescent="0.35">
      <c r="B172" s="4">
        <v>12</v>
      </c>
      <c r="C172" s="113">
        <v>46381</v>
      </c>
      <c r="D172" s="4" t="s">
        <v>4774</v>
      </c>
      <c r="E172" s="1" t="str">
        <f>_xlfn.XLOOKUP(tblPayroll[[#This Row],[Employee ID]],tblEmployees[Employee ID],tblEmployees[Full Name],"")</f>
        <v>Budi Santoso</v>
      </c>
      <c r="F172" s="1" t="str">
        <f>_xlfn.XLOOKUP(tblPayroll[[#This Row],[Employee ID]],tblEmployees[Employee ID],tblEmployees[Department],"")</f>
        <v>G&amp;A</v>
      </c>
      <c r="G172" s="1" t="str">
        <f>_xlfn.XLOOKUP(tblPayroll[[#This Row],[Employee ID]],tblEmployees[Employee ID],tblEmployees[TER Category],"")</f>
        <v>B</v>
      </c>
      <c r="H172" s="5">
        <f>_xlfn.XLOOKUP(tblPayroll[[#This Row],[Employee ID]],tblEmployees[Employee ID],tblEmployees[Basic Salary],"")</f>
        <v>25000000</v>
      </c>
      <c r="I172" s="5">
        <f>_xlfn.XLOOKUP(tblPayroll[[#This Row],[Employee ID]],tblEmployees[Employee ID],tblEmployees[Fixed Allowance],"")</f>
        <v>4000000</v>
      </c>
      <c r="J172" s="6">
        <v>0</v>
      </c>
      <c r="K172" s="5">
        <f>tblPayroll[[#This Row],[Basic Salary]]+tblPayroll[[#This Row],[Fixed Allowance]]+tblPayroll[[#This Row],[THR / Bonus]]</f>
        <v>29000000</v>
      </c>
      <c r="L172" s="5">
        <f>ROUND(MIN(tblPayroll[[#This Row],[Basic Salary]]+tblPayroll[[#This Row],[Fixed Allowance]],BPJSKesCap)*R_KesEr,0)</f>
        <v>480000</v>
      </c>
      <c r="M172" s="5">
        <f>ROUND((tblPayroll[[#This Row],[Basic Salary]]+tblPayroll[[#This Row],[Fixed Allowance]])*R_JKK,0)</f>
        <v>69600</v>
      </c>
      <c r="N172" s="5">
        <f>ROUND((tblPayroll[[#This Row],[Basic Salary]]+tblPayroll[[#This Row],[Fixed Allowance]])*R_JKM,0)</f>
        <v>87000</v>
      </c>
      <c r="O172" s="5">
        <f>ROUND((tblPayroll[[#This Row],[Basic Salary]]+tblPayroll[[#This Row],[Fixed Allowance]])*R_JHTEr,0)</f>
        <v>1073000</v>
      </c>
      <c r="P172" s="5">
        <f>ROUND(MIN(tblPayroll[[#This Row],[Basic Salary]]+tblPayroll[[#This Row],[Fixed Allowance]],JPCap)*R_JPEr,0)</f>
        <v>210948</v>
      </c>
      <c r="Q172" s="5">
        <f>SUM(tblPayroll[[#This Row],[BPJS Health (Er)]:[JP (Er)]])</f>
        <v>1920548</v>
      </c>
      <c r="R172" s="5">
        <f>tblPayroll[[#This Row],[Gross Salary]]+tblPayroll[[#This Row],[BPJS Health (Er)]]+tblPayroll[[#This Row],[JKK (Er)]]+tblPayroll[[#This Row],[JKM (Er)]]</f>
        <v>29636600</v>
      </c>
      <c r="S172" s="119">
        <f>IF(tblPayroll[[#This Row],[TER Cat]]="A",_xlfn.XLOOKUP(tblPayroll[[#This Row],[PPh 21 Base]],TerA_L,TerA_R,0,-1),IF(tblPayroll[[#This Row],[TER Cat]]="B",_xlfn.XLOOKUP(tblPayroll[[#This Row],[PPh 21 Base]],TerB_L,TerB_R,0,-1),_xlfn.XLOOKUP(tblPayroll[[#This Row],[PPh 21 Base]],TerC_L,TerC_R,0,-1)))</f>
        <v>0.12</v>
      </c>
      <c r="T172" s="5">
        <f>ROUND(tblPayroll[[#This Row],[PPh 21 Base]]*tblPayroll[[#This Row],[TER Rate]],0)</f>
        <v>3556392</v>
      </c>
      <c r="U172" s="5">
        <f>ROUND(MIN(tblPayroll[[#This Row],[Basic Salary]]+tblPayroll[[#This Row],[Fixed Allowance]],BPJSKesCap)*R_KesEe,0)</f>
        <v>120000</v>
      </c>
      <c r="V172" s="5">
        <f>ROUND((tblPayroll[[#This Row],[Basic Salary]]+tblPayroll[[#This Row],[Fixed Allowance]])*R_JHTEe,0)</f>
        <v>580000</v>
      </c>
      <c r="W172" s="5">
        <f>ROUND(MIN(tblPayroll[[#This Row],[Basic Salary]]+tblPayroll[[#This Row],[Fixed Allowance]],JPCap)*R_JPEe,0)</f>
        <v>105474</v>
      </c>
      <c r="X172" s="5">
        <f>tblPayroll[[#This Row],[BPJS Health (Ee)]]+tblPayroll[[#This Row],[JHT (Ee)]]+tblPayroll[[#This Row],[JP (Ee)]]</f>
        <v>805474</v>
      </c>
      <c r="Y172" s="5">
        <f>tblPayroll[[#This Row],[Gross Salary]]-tblPayroll[[#This Row],[PPh 21]]-tblPayroll[[#This Row],[Employee BPJS Total]]</f>
        <v>24638134</v>
      </c>
      <c r="Z172" s="5">
        <f>tblPayroll[[#This Row],[Employer BPJS Total]]+tblPayroll[[#This Row],[Employee BPJS Total]]</f>
        <v>2726022</v>
      </c>
      <c r="AA172" s="5">
        <f>tblPayroll[[#This Row],[Gross Salary]]+tblPayroll[[#This Row],[Employer BPJS Total]]</f>
        <v>30920548</v>
      </c>
      <c r="AB172" s="4">
        <v>1130</v>
      </c>
    </row>
    <row r="173" spans="2:28" x14ac:dyDescent="0.35">
      <c r="B173" s="4">
        <v>12</v>
      </c>
      <c r="C173" s="113">
        <v>46381</v>
      </c>
      <c r="D173" s="4" t="s">
        <v>4779</v>
      </c>
      <c r="E173" s="1" t="str">
        <f>_xlfn.XLOOKUP(tblPayroll[[#This Row],[Employee ID]],tblEmployees[Employee ID],tblEmployees[Full Name],"")</f>
        <v>Siti Rahmawati</v>
      </c>
      <c r="F173" s="1" t="str">
        <f>_xlfn.XLOOKUP(tblPayroll[[#This Row],[Employee ID]],tblEmployees[Employee ID],tblEmployees[Department],"")</f>
        <v>G&amp;A</v>
      </c>
      <c r="G173" s="1" t="str">
        <f>_xlfn.XLOOKUP(tblPayroll[[#This Row],[Employee ID]],tblEmployees[Employee ID],tblEmployees[TER Category],"")</f>
        <v>B</v>
      </c>
      <c r="H173" s="5">
        <f>_xlfn.XLOOKUP(tblPayroll[[#This Row],[Employee ID]],tblEmployees[Employee ID],tblEmployees[Basic Salary],"")</f>
        <v>20000000</v>
      </c>
      <c r="I173" s="5">
        <f>_xlfn.XLOOKUP(tblPayroll[[#This Row],[Employee ID]],tblEmployees[Employee ID],tblEmployees[Fixed Allowance],"")</f>
        <v>3000000</v>
      </c>
      <c r="J173" s="6">
        <v>0</v>
      </c>
      <c r="K173" s="5">
        <f>tblPayroll[[#This Row],[Basic Salary]]+tblPayroll[[#This Row],[Fixed Allowance]]+tblPayroll[[#This Row],[THR / Bonus]]</f>
        <v>23000000</v>
      </c>
      <c r="L173" s="5">
        <f>ROUND(MIN(tblPayroll[[#This Row],[Basic Salary]]+tblPayroll[[#This Row],[Fixed Allowance]],BPJSKesCap)*R_KesEr,0)</f>
        <v>480000</v>
      </c>
      <c r="M173" s="5">
        <f>ROUND((tblPayroll[[#This Row],[Basic Salary]]+tblPayroll[[#This Row],[Fixed Allowance]])*R_JKK,0)</f>
        <v>55200</v>
      </c>
      <c r="N173" s="5">
        <f>ROUND((tblPayroll[[#This Row],[Basic Salary]]+tblPayroll[[#This Row],[Fixed Allowance]])*R_JKM,0)</f>
        <v>69000</v>
      </c>
      <c r="O173" s="5">
        <f>ROUND((tblPayroll[[#This Row],[Basic Salary]]+tblPayroll[[#This Row],[Fixed Allowance]])*R_JHTEr,0)</f>
        <v>851000</v>
      </c>
      <c r="P173" s="5">
        <f>ROUND(MIN(tblPayroll[[#This Row],[Basic Salary]]+tblPayroll[[#This Row],[Fixed Allowance]],JPCap)*R_JPEr,0)</f>
        <v>210948</v>
      </c>
      <c r="Q173" s="5">
        <f>SUM(tblPayroll[[#This Row],[BPJS Health (Er)]:[JP (Er)]])</f>
        <v>1666148</v>
      </c>
      <c r="R173" s="5">
        <f>tblPayroll[[#This Row],[Gross Salary]]+tblPayroll[[#This Row],[BPJS Health (Er)]]+tblPayroll[[#This Row],[JKK (Er)]]+tblPayroll[[#This Row],[JKM (Er)]]</f>
        <v>23604200</v>
      </c>
      <c r="S173" s="119">
        <f>IF(tblPayroll[[#This Row],[TER Cat]]="A",_xlfn.XLOOKUP(tblPayroll[[#This Row],[PPh 21 Base]],TerA_L,TerA_R,0,-1),IF(tblPayroll[[#This Row],[TER Cat]]="B",_xlfn.XLOOKUP(tblPayroll[[#This Row],[PPh 21 Base]],TerB_L,TerB_R,0,-1),_xlfn.XLOOKUP(tblPayroll[[#This Row],[PPh 21 Base]],TerC_L,TerC_R,0,-1)))</f>
        <v>0.09</v>
      </c>
      <c r="T173" s="5">
        <f>ROUND(tblPayroll[[#This Row],[PPh 21 Base]]*tblPayroll[[#This Row],[TER Rate]],0)</f>
        <v>2124378</v>
      </c>
      <c r="U173" s="5">
        <f>ROUND(MIN(tblPayroll[[#This Row],[Basic Salary]]+tblPayroll[[#This Row],[Fixed Allowance]],BPJSKesCap)*R_KesEe,0)</f>
        <v>120000</v>
      </c>
      <c r="V173" s="5">
        <f>ROUND((tblPayroll[[#This Row],[Basic Salary]]+tblPayroll[[#This Row],[Fixed Allowance]])*R_JHTEe,0)</f>
        <v>460000</v>
      </c>
      <c r="W173" s="5">
        <f>ROUND(MIN(tblPayroll[[#This Row],[Basic Salary]]+tblPayroll[[#This Row],[Fixed Allowance]],JPCap)*R_JPEe,0)</f>
        <v>105474</v>
      </c>
      <c r="X173" s="5">
        <f>tblPayroll[[#This Row],[BPJS Health (Ee)]]+tblPayroll[[#This Row],[JHT (Ee)]]+tblPayroll[[#This Row],[JP (Ee)]]</f>
        <v>685474</v>
      </c>
      <c r="Y173" s="5">
        <f>tblPayroll[[#This Row],[Gross Salary]]-tblPayroll[[#This Row],[PPh 21]]-tblPayroll[[#This Row],[Employee BPJS Total]]</f>
        <v>20190148</v>
      </c>
      <c r="Z173" s="5">
        <f>tblPayroll[[#This Row],[Employer BPJS Total]]+tblPayroll[[#This Row],[Employee BPJS Total]]</f>
        <v>2351622</v>
      </c>
      <c r="AA173" s="5">
        <f>tblPayroll[[#This Row],[Gross Salary]]+tblPayroll[[#This Row],[Employer BPJS Total]]</f>
        <v>24666148</v>
      </c>
      <c r="AB173" s="4">
        <v>1130</v>
      </c>
    </row>
    <row r="174" spans="2:28" x14ac:dyDescent="0.35">
      <c r="B174" s="4">
        <v>12</v>
      </c>
      <c r="C174" s="113">
        <v>46381</v>
      </c>
      <c r="D174" s="4" t="s">
        <v>4783</v>
      </c>
      <c r="E174" s="1" t="str">
        <f>_xlfn.XLOOKUP(tblPayroll[[#This Row],[Employee ID]],tblEmployees[Employee ID],tblEmployees[Full Name],"")</f>
        <v>Dewi Lestari</v>
      </c>
      <c r="F174" s="1" t="str">
        <f>_xlfn.XLOOKUP(tblPayroll[[#This Row],[Employee ID]],tblEmployees[Employee ID],tblEmployees[Department],"")</f>
        <v>G&amp;A</v>
      </c>
      <c r="G174" s="1" t="str">
        <f>_xlfn.XLOOKUP(tblPayroll[[#This Row],[Employee ID]],tblEmployees[Employee ID],tblEmployees[TER Category],"")</f>
        <v>A</v>
      </c>
      <c r="H174" s="5">
        <f>_xlfn.XLOOKUP(tblPayroll[[#This Row],[Employee ID]],tblEmployees[Employee ID],tblEmployees[Basic Salary],"")</f>
        <v>15000000</v>
      </c>
      <c r="I174" s="5">
        <f>_xlfn.XLOOKUP(tblPayroll[[#This Row],[Employee ID]],tblEmployees[Employee ID],tblEmployees[Fixed Allowance],"")</f>
        <v>2000000</v>
      </c>
      <c r="J174" s="6">
        <v>0</v>
      </c>
      <c r="K174" s="5">
        <f>tblPayroll[[#This Row],[Basic Salary]]+tblPayroll[[#This Row],[Fixed Allowance]]+tblPayroll[[#This Row],[THR / Bonus]]</f>
        <v>17000000</v>
      </c>
      <c r="L174" s="5">
        <f>ROUND(MIN(tblPayroll[[#This Row],[Basic Salary]]+tblPayroll[[#This Row],[Fixed Allowance]],BPJSKesCap)*R_KesEr,0)</f>
        <v>480000</v>
      </c>
      <c r="M174" s="5">
        <f>ROUND((tblPayroll[[#This Row],[Basic Salary]]+tblPayroll[[#This Row],[Fixed Allowance]])*R_JKK,0)</f>
        <v>40800</v>
      </c>
      <c r="N174" s="5">
        <f>ROUND((tblPayroll[[#This Row],[Basic Salary]]+tblPayroll[[#This Row],[Fixed Allowance]])*R_JKM,0)</f>
        <v>51000</v>
      </c>
      <c r="O174" s="5">
        <f>ROUND((tblPayroll[[#This Row],[Basic Salary]]+tblPayroll[[#This Row],[Fixed Allowance]])*R_JHTEr,0)</f>
        <v>629000</v>
      </c>
      <c r="P174" s="5">
        <f>ROUND(MIN(tblPayroll[[#This Row],[Basic Salary]]+tblPayroll[[#This Row],[Fixed Allowance]],JPCap)*R_JPEr,0)</f>
        <v>210948</v>
      </c>
      <c r="Q174" s="5">
        <f>SUM(tblPayroll[[#This Row],[BPJS Health (Er)]:[JP (Er)]])</f>
        <v>1411748</v>
      </c>
      <c r="R174" s="5">
        <f>tblPayroll[[#This Row],[Gross Salary]]+tblPayroll[[#This Row],[BPJS Health (Er)]]+tblPayroll[[#This Row],[JKK (Er)]]+tblPayroll[[#This Row],[JKM (Er)]]</f>
        <v>17571800</v>
      </c>
      <c r="S174" s="119">
        <f>IF(tblPayroll[[#This Row],[TER Cat]]="A",_xlfn.XLOOKUP(tblPayroll[[#This Row],[PPh 21 Base]],TerA_L,TerA_R,0,-1),IF(tblPayroll[[#This Row],[TER Cat]]="B",_xlfn.XLOOKUP(tblPayroll[[#This Row],[PPh 21 Base]],TerB_L,TerB_R,0,-1),_xlfn.XLOOKUP(tblPayroll[[#This Row],[PPh 21 Base]],TerC_L,TerC_R,0,-1)))</f>
        <v>0.08</v>
      </c>
      <c r="T174" s="5">
        <f>ROUND(tblPayroll[[#This Row],[PPh 21 Base]]*tblPayroll[[#This Row],[TER Rate]],0)</f>
        <v>1405744</v>
      </c>
      <c r="U174" s="5">
        <f>ROUND(MIN(tblPayroll[[#This Row],[Basic Salary]]+tblPayroll[[#This Row],[Fixed Allowance]],BPJSKesCap)*R_KesEe,0)</f>
        <v>120000</v>
      </c>
      <c r="V174" s="5">
        <f>ROUND((tblPayroll[[#This Row],[Basic Salary]]+tblPayroll[[#This Row],[Fixed Allowance]])*R_JHTEe,0)</f>
        <v>340000</v>
      </c>
      <c r="W174" s="5">
        <f>ROUND(MIN(tblPayroll[[#This Row],[Basic Salary]]+tblPayroll[[#This Row],[Fixed Allowance]],JPCap)*R_JPEe,0)</f>
        <v>105474</v>
      </c>
      <c r="X174" s="5">
        <f>tblPayroll[[#This Row],[BPJS Health (Ee)]]+tblPayroll[[#This Row],[JHT (Ee)]]+tblPayroll[[#This Row],[JP (Ee)]]</f>
        <v>565474</v>
      </c>
      <c r="Y174" s="5">
        <f>tblPayroll[[#This Row],[Gross Salary]]-tblPayroll[[#This Row],[PPh 21]]-tblPayroll[[#This Row],[Employee BPJS Total]]</f>
        <v>15028782</v>
      </c>
      <c r="Z174" s="5">
        <f>tblPayroll[[#This Row],[Employer BPJS Total]]+tblPayroll[[#This Row],[Employee BPJS Total]]</f>
        <v>1977222</v>
      </c>
      <c r="AA174" s="5">
        <f>tblPayroll[[#This Row],[Gross Salary]]+tblPayroll[[#This Row],[Employer BPJS Total]]</f>
        <v>18411748</v>
      </c>
      <c r="AB174" s="4">
        <v>1130</v>
      </c>
    </row>
    <row r="175" spans="2:28" x14ac:dyDescent="0.35">
      <c r="B175" s="4">
        <v>12</v>
      </c>
      <c r="C175" s="113">
        <v>46381</v>
      </c>
      <c r="D175" s="4" t="s">
        <v>4787</v>
      </c>
      <c r="E175" s="1" t="str">
        <f>_xlfn.XLOOKUP(tblPayroll[[#This Row],[Employee ID]],tblEmployees[Employee ID],tblEmployees[Full Name],"")</f>
        <v>Agus Prasetyo</v>
      </c>
      <c r="F175" s="1" t="str">
        <f>_xlfn.XLOOKUP(tblPayroll[[#This Row],[Employee ID]],tblEmployees[Employee ID],tblEmployees[Department],"")</f>
        <v>Selling</v>
      </c>
      <c r="G175" s="1" t="str">
        <f>_xlfn.XLOOKUP(tblPayroll[[#This Row],[Employee ID]],tblEmployees[Employee ID],tblEmployees[TER Category],"")</f>
        <v>B</v>
      </c>
      <c r="H175" s="5">
        <f>_xlfn.XLOOKUP(tblPayroll[[#This Row],[Employee ID]],tblEmployees[Employee ID],tblEmployees[Basic Salary],"")</f>
        <v>14000000</v>
      </c>
      <c r="I175" s="5">
        <f>_xlfn.XLOOKUP(tblPayroll[[#This Row],[Employee ID]],tblEmployees[Employee ID],tblEmployees[Fixed Allowance],"")</f>
        <v>2000000</v>
      </c>
      <c r="J175" s="6">
        <v>0</v>
      </c>
      <c r="K175" s="5">
        <f>tblPayroll[[#This Row],[Basic Salary]]+tblPayroll[[#This Row],[Fixed Allowance]]+tblPayroll[[#This Row],[THR / Bonus]]</f>
        <v>16000000</v>
      </c>
      <c r="L175" s="5">
        <f>ROUND(MIN(tblPayroll[[#This Row],[Basic Salary]]+tblPayroll[[#This Row],[Fixed Allowance]],BPJSKesCap)*R_KesEr,0)</f>
        <v>480000</v>
      </c>
      <c r="M175" s="5">
        <f>ROUND((tblPayroll[[#This Row],[Basic Salary]]+tblPayroll[[#This Row],[Fixed Allowance]])*R_JKK,0)</f>
        <v>38400</v>
      </c>
      <c r="N175" s="5">
        <f>ROUND((tblPayroll[[#This Row],[Basic Salary]]+tblPayroll[[#This Row],[Fixed Allowance]])*R_JKM,0)</f>
        <v>48000</v>
      </c>
      <c r="O175" s="5">
        <f>ROUND((tblPayroll[[#This Row],[Basic Salary]]+tblPayroll[[#This Row],[Fixed Allowance]])*R_JHTEr,0)</f>
        <v>592000</v>
      </c>
      <c r="P175" s="5">
        <f>ROUND(MIN(tblPayroll[[#This Row],[Basic Salary]]+tblPayroll[[#This Row],[Fixed Allowance]],JPCap)*R_JPEr,0)</f>
        <v>210948</v>
      </c>
      <c r="Q175" s="5">
        <f>SUM(tblPayroll[[#This Row],[BPJS Health (Er)]:[JP (Er)]])</f>
        <v>1369348</v>
      </c>
      <c r="R175" s="5">
        <f>tblPayroll[[#This Row],[Gross Salary]]+tblPayroll[[#This Row],[BPJS Health (Er)]]+tblPayroll[[#This Row],[JKK (Er)]]+tblPayroll[[#This Row],[JKM (Er)]]</f>
        <v>16566400</v>
      </c>
      <c r="S175" s="119">
        <f>IF(tblPayroll[[#This Row],[TER Cat]]="A",_xlfn.XLOOKUP(tblPayroll[[#This Row],[PPh 21 Base]],TerA_L,TerA_R,0,-1),IF(tblPayroll[[#This Row],[TER Cat]]="B",_xlfn.XLOOKUP(tblPayroll[[#This Row],[PPh 21 Base]],TerB_L,TerB_R,0,-1),_xlfn.XLOOKUP(tblPayroll[[#This Row],[PPh 21 Base]],TerC_L,TerC_R,0,-1)))</f>
        <v>7.0000000000000007E-2</v>
      </c>
      <c r="T175" s="5">
        <f>ROUND(tblPayroll[[#This Row],[PPh 21 Base]]*tblPayroll[[#This Row],[TER Rate]],0)</f>
        <v>1159648</v>
      </c>
      <c r="U175" s="5">
        <f>ROUND(MIN(tblPayroll[[#This Row],[Basic Salary]]+tblPayroll[[#This Row],[Fixed Allowance]],BPJSKesCap)*R_KesEe,0)</f>
        <v>120000</v>
      </c>
      <c r="V175" s="5">
        <f>ROUND((tblPayroll[[#This Row],[Basic Salary]]+tblPayroll[[#This Row],[Fixed Allowance]])*R_JHTEe,0)</f>
        <v>320000</v>
      </c>
      <c r="W175" s="5">
        <f>ROUND(MIN(tblPayroll[[#This Row],[Basic Salary]]+tblPayroll[[#This Row],[Fixed Allowance]],JPCap)*R_JPEe,0)</f>
        <v>105474</v>
      </c>
      <c r="X175" s="5">
        <f>tblPayroll[[#This Row],[BPJS Health (Ee)]]+tblPayroll[[#This Row],[JHT (Ee)]]+tblPayroll[[#This Row],[JP (Ee)]]</f>
        <v>545474</v>
      </c>
      <c r="Y175" s="5">
        <f>tblPayroll[[#This Row],[Gross Salary]]-tblPayroll[[#This Row],[PPh 21]]-tblPayroll[[#This Row],[Employee BPJS Total]]</f>
        <v>14294878</v>
      </c>
      <c r="Z175" s="5">
        <f>tblPayroll[[#This Row],[Employer BPJS Total]]+tblPayroll[[#This Row],[Employee BPJS Total]]</f>
        <v>1914822</v>
      </c>
      <c r="AA175" s="5">
        <f>tblPayroll[[#This Row],[Gross Salary]]+tblPayroll[[#This Row],[Employer BPJS Total]]</f>
        <v>17369348</v>
      </c>
      <c r="AB175" s="4">
        <v>1130</v>
      </c>
    </row>
    <row r="176" spans="2:28" x14ac:dyDescent="0.35">
      <c r="B176" s="4">
        <v>12</v>
      </c>
      <c r="C176" s="113">
        <v>46381</v>
      </c>
      <c r="D176" s="4" t="s">
        <v>4793</v>
      </c>
      <c r="E176" s="1" t="str">
        <f>_xlfn.XLOOKUP(tblPayroll[[#This Row],[Employee ID]],tblEmployees[Employee ID],tblEmployees[Full Name],"")</f>
        <v>Rina Kartika</v>
      </c>
      <c r="F176" s="1" t="str">
        <f>_xlfn.XLOOKUP(tblPayroll[[#This Row],[Employee ID]],tblEmployees[Employee ID],tblEmployees[Department],"")</f>
        <v>Selling</v>
      </c>
      <c r="G176" s="1" t="str">
        <f>_xlfn.XLOOKUP(tblPayroll[[#This Row],[Employee ID]],tblEmployees[Employee ID],tblEmployees[TER Category],"")</f>
        <v>A</v>
      </c>
      <c r="H176" s="5">
        <f>_xlfn.XLOOKUP(tblPayroll[[#This Row],[Employee ID]],tblEmployees[Employee ID],tblEmployees[Basic Salary],"")</f>
        <v>12000000</v>
      </c>
      <c r="I176" s="5">
        <f>_xlfn.XLOOKUP(tblPayroll[[#This Row],[Employee ID]],tblEmployees[Employee ID],tblEmployees[Fixed Allowance],"")</f>
        <v>1500000</v>
      </c>
      <c r="J176" s="6">
        <v>0</v>
      </c>
      <c r="K176" s="5">
        <f>tblPayroll[[#This Row],[Basic Salary]]+tblPayroll[[#This Row],[Fixed Allowance]]+tblPayroll[[#This Row],[THR / Bonus]]</f>
        <v>13500000</v>
      </c>
      <c r="L176" s="5">
        <f>ROUND(MIN(tblPayroll[[#This Row],[Basic Salary]]+tblPayroll[[#This Row],[Fixed Allowance]],BPJSKesCap)*R_KesEr,0)</f>
        <v>480000</v>
      </c>
      <c r="M176" s="5">
        <f>ROUND((tblPayroll[[#This Row],[Basic Salary]]+tblPayroll[[#This Row],[Fixed Allowance]])*R_JKK,0)</f>
        <v>32400</v>
      </c>
      <c r="N176" s="5">
        <f>ROUND((tblPayroll[[#This Row],[Basic Salary]]+tblPayroll[[#This Row],[Fixed Allowance]])*R_JKM,0)</f>
        <v>40500</v>
      </c>
      <c r="O176" s="5">
        <f>ROUND((tblPayroll[[#This Row],[Basic Salary]]+tblPayroll[[#This Row],[Fixed Allowance]])*R_JHTEr,0)</f>
        <v>499500</v>
      </c>
      <c r="P176" s="5">
        <f>ROUND(MIN(tblPayroll[[#This Row],[Basic Salary]]+tblPayroll[[#This Row],[Fixed Allowance]],JPCap)*R_JPEr,0)</f>
        <v>210948</v>
      </c>
      <c r="Q176" s="5">
        <f>SUM(tblPayroll[[#This Row],[BPJS Health (Er)]:[JP (Er)]])</f>
        <v>1263348</v>
      </c>
      <c r="R176" s="5">
        <f>tblPayroll[[#This Row],[Gross Salary]]+tblPayroll[[#This Row],[BPJS Health (Er)]]+tblPayroll[[#This Row],[JKK (Er)]]+tblPayroll[[#This Row],[JKM (Er)]]</f>
        <v>14052900</v>
      </c>
      <c r="S176" s="119">
        <f>IF(tblPayroll[[#This Row],[TER Cat]]="A",_xlfn.XLOOKUP(tblPayroll[[#This Row],[PPh 21 Base]],TerA_L,TerA_R,0,-1),IF(tblPayroll[[#This Row],[TER Cat]]="B",_xlfn.XLOOKUP(tblPayroll[[#This Row],[PPh 21 Base]],TerB_L,TerB_R,0,-1),_xlfn.XLOOKUP(tblPayroll[[#This Row],[PPh 21 Base]],TerC_L,TerC_R,0,-1)))</f>
        <v>0.06</v>
      </c>
      <c r="T176" s="5">
        <f>ROUND(tblPayroll[[#This Row],[PPh 21 Base]]*tblPayroll[[#This Row],[TER Rate]],0)</f>
        <v>843174</v>
      </c>
      <c r="U176" s="5">
        <f>ROUND(MIN(tblPayroll[[#This Row],[Basic Salary]]+tblPayroll[[#This Row],[Fixed Allowance]],BPJSKesCap)*R_KesEe,0)</f>
        <v>120000</v>
      </c>
      <c r="V176" s="5">
        <f>ROUND((tblPayroll[[#This Row],[Basic Salary]]+tblPayroll[[#This Row],[Fixed Allowance]])*R_JHTEe,0)</f>
        <v>270000</v>
      </c>
      <c r="W176" s="5">
        <f>ROUND(MIN(tblPayroll[[#This Row],[Basic Salary]]+tblPayroll[[#This Row],[Fixed Allowance]],JPCap)*R_JPEe,0)</f>
        <v>105474</v>
      </c>
      <c r="X176" s="5">
        <f>tblPayroll[[#This Row],[BPJS Health (Ee)]]+tblPayroll[[#This Row],[JHT (Ee)]]+tblPayroll[[#This Row],[JP (Ee)]]</f>
        <v>495474</v>
      </c>
      <c r="Y176" s="5">
        <f>tblPayroll[[#This Row],[Gross Salary]]-tblPayroll[[#This Row],[PPh 21]]-tblPayroll[[#This Row],[Employee BPJS Total]]</f>
        <v>12161352</v>
      </c>
      <c r="Z176" s="5">
        <f>tblPayroll[[#This Row],[Employer BPJS Total]]+tblPayroll[[#This Row],[Employee BPJS Total]]</f>
        <v>1758822</v>
      </c>
      <c r="AA176" s="5">
        <f>tblPayroll[[#This Row],[Gross Salary]]+tblPayroll[[#This Row],[Employer BPJS Total]]</f>
        <v>14763348</v>
      </c>
      <c r="AB176" s="4">
        <v>1130</v>
      </c>
    </row>
    <row r="177" spans="2:28" x14ac:dyDescent="0.35">
      <c r="B177" s="4">
        <v>12</v>
      </c>
      <c r="C177" s="113">
        <v>46381</v>
      </c>
      <c r="D177" s="4" t="s">
        <v>4798</v>
      </c>
      <c r="E177" s="1" t="str">
        <f>_xlfn.XLOOKUP(tblPayroll[[#This Row],[Employee ID]],tblEmployees[Employee ID],tblEmployees[Full Name],"")</f>
        <v>Andi Saputra</v>
      </c>
      <c r="F177" s="1" t="str">
        <f>_xlfn.XLOOKUP(tblPayroll[[#This Row],[Employee ID]],tblEmployees[Employee ID],tblEmployees[Department],"")</f>
        <v>G&amp;A</v>
      </c>
      <c r="G177" s="1" t="str">
        <f>_xlfn.XLOOKUP(tblPayroll[[#This Row],[Employee ID]],tblEmployees[Employee ID],tblEmployees[TER Category],"")</f>
        <v>A</v>
      </c>
      <c r="H177" s="5">
        <f>_xlfn.XLOOKUP(tblPayroll[[#This Row],[Employee ID]],tblEmployees[Employee ID],tblEmployees[Basic Salary],"")</f>
        <v>8500000</v>
      </c>
      <c r="I177" s="5">
        <f>_xlfn.XLOOKUP(tblPayroll[[#This Row],[Employee ID]],tblEmployees[Employee ID],tblEmployees[Fixed Allowance],"")</f>
        <v>1000000</v>
      </c>
      <c r="J177" s="6">
        <v>0</v>
      </c>
      <c r="K177" s="5">
        <f>tblPayroll[[#This Row],[Basic Salary]]+tblPayroll[[#This Row],[Fixed Allowance]]+tblPayroll[[#This Row],[THR / Bonus]]</f>
        <v>9500000</v>
      </c>
      <c r="L177" s="5">
        <f>ROUND(MIN(tblPayroll[[#This Row],[Basic Salary]]+tblPayroll[[#This Row],[Fixed Allowance]],BPJSKesCap)*R_KesEr,0)</f>
        <v>380000</v>
      </c>
      <c r="M177" s="5">
        <f>ROUND((tblPayroll[[#This Row],[Basic Salary]]+tblPayroll[[#This Row],[Fixed Allowance]])*R_JKK,0)</f>
        <v>22800</v>
      </c>
      <c r="N177" s="5">
        <f>ROUND((tblPayroll[[#This Row],[Basic Salary]]+tblPayroll[[#This Row],[Fixed Allowance]])*R_JKM,0)</f>
        <v>28500</v>
      </c>
      <c r="O177" s="5">
        <f>ROUND((tblPayroll[[#This Row],[Basic Salary]]+tblPayroll[[#This Row],[Fixed Allowance]])*R_JHTEr,0)</f>
        <v>351500</v>
      </c>
      <c r="P177" s="5">
        <f>ROUND(MIN(tblPayroll[[#This Row],[Basic Salary]]+tblPayroll[[#This Row],[Fixed Allowance]],JPCap)*R_JPEr,0)</f>
        <v>190000</v>
      </c>
      <c r="Q177" s="5">
        <f>SUM(tblPayroll[[#This Row],[BPJS Health (Er)]:[JP (Er)]])</f>
        <v>972800</v>
      </c>
      <c r="R177" s="5">
        <f>tblPayroll[[#This Row],[Gross Salary]]+tblPayroll[[#This Row],[BPJS Health (Er)]]+tblPayroll[[#This Row],[JKK (Er)]]+tblPayroll[[#This Row],[JKM (Er)]]</f>
        <v>9931300</v>
      </c>
      <c r="S177" s="119">
        <f>IF(tblPayroll[[#This Row],[TER Cat]]="A",_xlfn.XLOOKUP(tblPayroll[[#This Row],[PPh 21 Base]],TerA_L,TerA_R,0,-1),IF(tblPayroll[[#This Row],[TER Cat]]="B",_xlfn.XLOOKUP(tblPayroll[[#This Row],[PPh 21 Base]],TerB_L,TerB_R,0,-1),_xlfn.XLOOKUP(tblPayroll[[#This Row],[PPh 21 Base]],TerC_L,TerC_R,0,-1)))</f>
        <v>0.02</v>
      </c>
      <c r="T177" s="5">
        <f>ROUND(tblPayroll[[#This Row],[PPh 21 Base]]*tblPayroll[[#This Row],[TER Rate]],0)</f>
        <v>198626</v>
      </c>
      <c r="U177" s="5">
        <f>ROUND(MIN(tblPayroll[[#This Row],[Basic Salary]]+tblPayroll[[#This Row],[Fixed Allowance]],BPJSKesCap)*R_KesEe,0)</f>
        <v>95000</v>
      </c>
      <c r="V177" s="5">
        <f>ROUND((tblPayroll[[#This Row],[Basic Salary]]+tblPayroll[[#This Row],[Fixed Allowance]])*R_JHTEe,0)</f>
        <v>190000</v>
      </c>
      <c r="W177" s="5">
        <f>ROUND(MIN(tblPayroll[[#This Row],[Basic Salary]]+tblPayroll[[#This Row],[Fixed Allowance]],JPCap)*R_JPEe,0)</f>
        <v>95000</v>
      </c>
      <c r="X177" s="5">
        <f>tblPayroll[[#This Row],[BPJS Health (Ee)]]+tblPayroll[[#This Row],[JHT (Ee)]]+tblPayroll[[#This Row],[JP (Ee)]]</f>
        <v>380000</v>
      </c>
      <c r="Y177" s="5">
        <f>tblPayroll[[#This Row],[Gross Salary]]-tblPayroll[[#This Row],[PPh 21]]-tblPayroll[[#This Row],[Employee BPJS Total]]</f>
        <v>8921374</v>
      </c>
      <c r="Z177" s="5">
        <f>tblPayroll[[#This Row],[Employer BPJS Total]]+tblPayroll[[#This Row],[Employee BPJS Total]]</f>
        <v>1352800</v>
      </c>
      <c r="AA177" s="5">
        <f>tblPayroll[[#This Row],[Gross Salary]]+tblPayroll[[#This Row],[Employer BPJS Total]]</f>
        <v>10472800</v>
      </c>
      <c r="AB177" s="4">
        <v>1130</v>
      </c>
    </row>
    <row r="178" spans="2:28" x14ac:dyDescent="0.35">
      <c r="B178" s="4">
        <v>12</v>
      </c>
      <c r="C178" s="113">
        <v>46381</v>
      </c>
      <c r="D178" s="4" t="s">
        <v>4803</v>
      </c>
      <c r="E178" s="1" t="str">
        <f>_xlfn.XLOOKUP(tblPayroll[[#This Row],[Employee ID]],tblEmployees[Employee ID],tblEmployees[Full Name],"")</f>
        <v>Fitri Handayani</v>
      </c>
      <c r="F178" s="1" t="str">
        <f>_xlfn.XLOOKUP(tblPayroll[[#This Row],[Employee ID]],tblEmployees[Employee ID],tblEmployees[Department],"")</f>
        <v>G&amp;A</v>
      </c>
      <c r="G178" s="1" t="str">
        <f>_xlfn.XLOOKUP(tblPayroll[[#This Row],[Employee ID]],tblEmployees[Employee ID],tblEmployees[TER Category],"")</f>
        <v>A</v>
      </c>
      <c r="H178" s="5">
        <f>_xlfn.XLOOKUP(tblPayroll[[#This Row],[Employee ID]],tblEmployees[Employee ID],tblEmployees[Basic Salary],"")</f>
        <v>8000000</v>
      </c>
      <c r="I178" s="5">
        <f>_xlfn.XLOOKUP(tblPayroll[[#This Row],[Employee ID]],tblEmployees[Employee ID],tblEmployees[Fixed Allowance],"")</f>
        <v>1000000</v>
      </c>
      <c r="J178" s="6">
        <v>0</v>
      </c>
      <c r="K178" s="5">
        <f>tblPayroll[[#This Row],[Basic Salary]]+tblPayroll[[#This Row],[Fixed Allowance]]+tblPayroll[[#This Row],[THR / Bonus]]</f>
        <v>9000000</v>
      </c>
      <c r="L178" s="5">
        <f>ROUND(MIN(tblPayroll[[#This Row],[Basic Salary]]+tblPayroll[[#This Row],[Fixed Allowance]],BPJSKesCap)*R_KesEr,0)</f>
        <v>360000</v>
      </c>
      <c r="M178" s="5">
        <f>ROUND((tblPayroll[[#This Row],[Basic Salary]]+tblPayroll[[#This Row],[Fixed Allowance]])*R_JKK,0)</f>
        <v>21600</v>
      </c>
      <c r="N178" s="5">
        <f>ROUND((tblPayroll[[#This Row],[Basic Salary]]+tblPayroll[[#This Row],[Fixed Allowance]])*R_JKM,0)</f>
        <v>27000</v>
      </c>
      <c r="O178" s="5">
        <f>ROUND((tblPayroll[[#This Row],[Basic Salary]]+tblPayroll[[#This Row],[Fixed Allowance]])*R_JHTEr,0)</f>
        <v>333000</v>
      </c>
      <c r="P178" s="5">
        <f>ROUND(MIN(tblPayroll[[#This Row],[Basic Salary]]+tblPayroll[[#This Row],[Fixed Allowance]],JPCap)*R_JPEr,0)</f>
        <v>180000</v>
      </c>
      <c r="Q178" s="5">
        <f>SUM(tblPayroll[[#This Row],[BPJS Health (Er)]:[JP (Er)]])</f>
        <v>921600</v>
      </c>
      <c r="R178" s="5">
        <f>tblPayroll[[#This Row],[Gross Salary]]+tblPayroll[[#This Row],[BPJS Health (Er)]]+tblPayroll[[#This Row],[JKK (Er)]]+tblPayroll[[#This Row],[JKM (Er)]]</f>
        <v>9408600</v>
      </c>
      <c r="S178" s="119">
        <f>IF(tblPayroll[[#This Row],[TER Cat]]="A",_xlfn.XLOOKUP(tblPayroll[[#This Row],[PPh 21 Base]],TerA_L,TerA_R,0,-1),IF(tblPayroll[[#This Row],[TER Cat]]="B",_xlfn.XLOOKUP(tblPayroll[[#This Row],[PPh 21 Base]],TerB_L,TerB_R,0,-1),_xlfn.XLOOKUP(tblPayroll[[#This Row],[PPh 21 Base]],TerC_L,TerC_R,0,-1)))</f>
        <v>1.7500000000000002E-2</v>
      </c>
      <c r="T178" s="5">
        <f>ROUND(tblPayroll[[#This Row],[PPh 21 Base]]*tblPayroll[[#This Row],[TER Rate]],0)</f>
        <v>164651</v>
      </c>
      <c r="U178" s="5">
        <f>ROUND(MIN(tblPayroll[[#This Row],[Basic Salary]]+tblPayroll[[#This Row],[Fixed Allowance]],BPJSKesCap)*R_KesEe,0)</f>
        <v>90000</v>
      </c>
      <c r="V178" s="5">
        <f>ROUND((tblPayroll[[#This Row],[Basic Salary]]+tblPayroll[[#This Row],[Fixed Allowance]])*R_JHTEe,0)</f>
        <v>180000</v>
      </c>
      <c r="W178" s="5">
        <f>ROUND(MIN(tblPayroll[[#This Row],[Basic Salary]]+tblPayroll[[#This Row],[Fixed Allowance]],JPCap)*R_JPEe,0)</f>
        <v>90000</v>
      </c>
      <c r="X178" s="5">
        <f>tblPayroll[[#This Row],[BPJS Health (Ee)]]+tblPayroll[[#This Row],[JHT (Ee)]]+tblPayroll[[#This Row],[JP (Ee)]]</f>
        <v>360000</v>
      </c>
      <c r="Y178" s="5">
        <f>tblPayroll[[#This Row],[Gross Salary]]-tblPayroll[[#This Row],[PPh 21]]-tblPayroll[[#This Row],[Employee BPJS Total]]</f>
        <v>8475349</v>
      </c>
      <c r="Z178" s="5">
        <f>tblPayroll[[#This Row],[Employer BPJS Total]]+tblPayroll[[#This Row],[Employee BPJS Total]]</f>
        <v>1281600</v>
      </c>
      <c r="AA178" s="5">
        <f>tblPayroll[[#This Row],[Gross Salary]]+tblPayroll[[#This Row],[Employer BPJS Total]]</f>
        <v>9921600</v>
      </c>
      <c r="AB178" s="4">
        <v>1130</v>
      </c>
    </row>
    <row r="179" spans="2:28" x14ac:dyDescent="0.35">
      <c r="B179" s="4">
        <v>12</v>
      </c>
      <c r="C179" s="113">
        <v>46381</v>
      </c>
      <c r="D179" s="4" t="s">
        <v>4809</v>
      </c>
      <c r="E179" s="1" t="str">
        <f>_xlfn.XLOOKUP(tblPayroll[[#This Row],[Employee ID]],tblEmployees[Employee ID],tblEmployees[Full Name],"")</f>
        <v>Rizky Ramadhan</v>
      </c>
      <c r="F179" s="1" t="str">
        <f>_xlfn.XLOOKUP(tblPayroll[[#This Row],[Employee ID]],tblEmployees[Employee ID],tblEmployees[Department],"")</f>
        <v>Selling</v>
      </c>
      <c r="G179" s="1" t="str">
        <f>_xlfn.XLOOKUP(tblPayroll[[#This Row],[Employee ID]],tblEmployees[Employee ID],tblEmployees[TER Category],"")</f>
        <v>A</v>
      </c>
      <c r="H179" s="5">
        <f>_xlfn.XLOOKUP(tblPayroll[[#This Row],[Employee ID]],tblEmployees[Employee ID],tblEmployees[Basic Salary],"")</f>
        <v>9000000</v>
      </c>
      <c r="I179" s="5">
        <f>_xlfn.XLOOKUP(tblPayroll[[#This Row],[Employee ID]],tblEmployees[Employee ID],tblEmployees[Fixed Allowance],"")</f>
        <v>1500000</v>
      </c>
      <c r="J179" s="6">
        <v>0</v>
      </c>
      <c r="K179" s="5">
        <f>tblPayroll[[#This Row],[Basic Salary]]+tblPayroll[[#This Row],[Fixed Allowance]]+tblPayroll[[#This Row],[THR / Bonus]]</f>
        <v>10500000</v>
      </c>
      <c r="L179" s="5">
        <f>ROUND(MIN(tblPayroll[[#This Row],[Basic Salary]]+tblPayroll[[#This Row],[Fixed Allowance]],BPJSKesCap)*R_KesEr,0)</f>
        <v>420000</v>
      </c>
      <c r="M179" s="5">
        <f>ROUND((tblPayroll[[#This Row],[Basic Salary]]+tblPayroll[[#This Row],[Fixed Allowance]])*R_JKK,0)</f>
        <v>25200</v>
      </c>
      <c r="N179" s="5">
        <f>ROUND((tblPayroll[[#This Row],[Basic Salary]]+tblPayroll[[#This Row],[Fixed Allowance]])*R_JKM,0)</f>
        <v>31500</v>
      </c>
      <c r="O179" s="5">
        <f>ROUND((tblPayroll[[#This Row],[Basic Salary]]+tblPayroll[[#This Row],[Fixed Allowance]])*R_JHTEr,0)</f>
        <v>388500</v>
      </c>
      <c r="P179" s="5">
        <f>ROUND(MIN(tblPayroll[[#This Row],[Basic Salary]]+tblPayroll[[#This Row],[Fixed Allowance]],JPCap)*R_JPEr,0)</f>
        <v>210000</v>
      </c>
      <c r="Q179" s="5">
        <f>SUM(tblPayroll[[#This Row],[BPJS Health (Er)]:[JP (Er)]])</f>
        <v>1075200</v>
      </c>
      <c r="R179" s="5">
        <f>tblPayroll[[#This Row],[Gross Salary]]+tblPayroll[[#This Row],[BPJS Health (Er)]]+tblPayroll[[#This Row],[JKK (Er)]]+tblPayroll[[#This Row],[JKM (Er)]]</f>
        <v>10976700</v>
      </c>
      <c r="S179" s="119">
        <f>IF(tblPayroll[[#This Row],[TER Cat]]="A",_xlfn.XLOOKUP(tblPayroll[[#This Row],[PPh 21 Base]],TerA_L,TerA_R,0,-1),IF(tblPayroll[[#This Row],[TER Cat]]="B",_xlfn.XLOOKUP(tblPayroll[[#This Row],[PPh 21 Base]],TerB_L,TerB_R,0,-1),_xlfn.XLOOKUP(tblPayroll[[#This Row],[PPh 21 Base]],TerC_L,TerC_R,0,-1)))</f>
        <v>0.03</v>
      </c>
      <c r="T179" s="5">
        <f>ROUND(tblPayroll[[#This Row],[PPh 21 Base]]*tblPayroll[[#This Row],[TER Rate]],0)</f>
        <v>329301</v>
      </c>
      <c r="U179" s="5">
        <f>ROUND(MIN(tblPayroll[[#This Row],[Basic Salary]]+tblPayroll[[#This Row],[Fixed Allowance]],BPJSKesCap)*R_KesEe,0)</f>
        <v>105000</v>
      </c>
      <c r="V179" s="5">
        <f>ROUND((tblPayroll[[#This Row],[Basic Salary]]+tblPayroll[[#This Row],[Fixed Allowance]])*R_JHTEe,0)</f>
        <v>210000</v>
      </c>
      <c r="W179" s="5">
        <f>ROUND(MIN(tblPayroll[[#This Row],[Basic Salary]]+tblPayroll[[#This Row],[Fixed Allowance]],JPCap)*R_JPEe,0)</f>
        <v>105000</v>
      </c>
      <c r="X179" s="5">
        <f>tblPayroll[[#This Row],[BPJS Health (Ee)]]+tblPayroll[[#This Row],[JHT (Ee)]]+tblPayroll[[#This Row],[JP (Ee)]]</f>
        <v>420000</v>
      </c>
      <c r="Y179" s="5">
        <f>tblPayroll[[#This Row],[Gross Salary]]-tblPayroll[[#This Row],[PPh 21]]-tblPayroll[[#This Row],[Employee BPJS Total]]</f>
        <v>9750699</v>
      </c>
      <c r="Z179" s="5">
        <f>tblPayroll[[#This Row],[Employer BPJS Total]]+tblPayroll[[#This Row],[Employee BPJS Total]]</f>
        <v>1495200</v>
      </c>
      <c r="AA179" s="5">
        <f>tblPayroll[[#This Row],[Gross Salary]]+tblPayroll[[#This Row],[Employer BPJS Total]]</f>
        <v>11575200</v>
      </c>
      <c r="AB179" s="4">
        <v>1130</v>
      </c>
    </row>
    <row r="180" spans="2:28" x14ac:dyDescent="0.35">
      <c r="B180" s="4">
        <v>12</v>
      </c>
      <c r="C180" s="113">
        <v>46381</v>
      </c>
      <c r="D180" s="4" t="s">
        <v>4814</v>
      </c>
      <c r="E180" s="1" t="str">
        <f>_xlfn.XLOOKUP(tblPayroll[[#This Row],[Employee ID]],tblEmployees[Employee ID],tblEmployees[Full Name],"")</f>
        <v>Nadia Putri</v>
      </c>
      <c r="F180" s="1" t="str">
        <f>_xlfn.XLOOKUP(tblPayroll[[#This Row],[Employee ID]],tblEmployees[Employee ID],tblEmployees[Department],"")</f>
        <v>Selling</v>
      </c>
      <c r="G180" s="1" t="str">
        <f>_xlfn.XLOOKUP(tblPayroll[[#This Row],[Employee ID]],tblEmployees[Employee ID],tblEmployees[TER Category],"")</f>
        <v>A</v>
      </c>
      <c r="H180" s="5">
        <f>_xlfn.XLOOKUP(tblPayroll[[#This Row],[Employee ID]],tblEmployees[Employee ID],tblEmployees[Basic Salary],"")</f>
        <v>5800000</v>
      </c>
      <c r="I180" s="5">
        <f>_xlfn.XLOOKUP(tblPayroll[[#This Row],[Employee ID]],tblEmployees[Employee ID],tblEmployees[Fixed Allowance],"")</f>
        <v>700000</v>
      </c>
      <c r="J180" s="6">
        <v>0</v>
      </c>
      <c r="K180" s="5">
        <f>tblPayroll[[#This Row],[Basic Salary]]+tblPayroll[[#This Row],[Fixed Allowance]]+tblPayroll[[#This Row],[THR / Bonus]]</f>
        <v>6500000</v>
      </c>
      <c r="L180" s="5">
        <f>ROUND(MIN(tblPayroll[[#This Row],[Basic Salary]]+tblPayroll[[#This Row],[Fixed Allowance]],BPJSKesCap)*R_KesEr,0)</f>
        <v>260000</v>
      </c>
      <c r="M180" s="5">
        <f>ROUND((tblPayroll[[#This Row],[Basic Salary]]+tblPayroll[[#This Row],[Fixed Allowance]])*R_JKK,0)</f>
        <v>15600</v>
      </c>
      <c r="N180" s="5">
        <f>ROUND((tblPayroll[[#This Row],[Basic Salary]]+tblPayroll[[#This Row],[Fixed Allowance]])*R_JKM,0)</f>
        <v>19500</v>
      </c>
      <c r="O180" s="5">
        <f>ROUND((tblPayroll[[#This Row],[Basic Salary]]+tblPayroll[[#This Row],[Fixed Allowance]])*R_JHTEr,0)</f>
        <v>240500</v>
      </c>
      <c r="P180" s="5">
        <f>ROUND(MIN(tblPayroll[[#This Row],[Basic Salary]]+tblPayroll[[#This Row],[Fixed Allowance]],JPCap)*R_JPEr,0)</f>
        <v>130000</v>
      </c>
      <c r="Q180" s="5">
        <f>SUM(tblPayroll[[#This Row],[BPJS Health (Er)]:[JP (Er)]])</f>
        <v>665600</v>
      </c>
      <c r="R180" s="5">
        <f>tblPayroll[[#This Row],[Gross Salary]]+tblPayroll[[#This Row],[BPJS Health (Er)]]+tblPayroll[[#This Row],[JKK (Er)]]+tblPayroll[[#This Row],[JKM (Er)]]</f>
        <v>6795100</v>
      </c>
      <c r="S180" s="119">
        <f>IF(tblPayroll[[#This Row],[TER Cat]]="A",_xlfn.XLOOKUP(tblPayroll[[#This Row],[PPh 21 Base]],TerA_L,TerA_R,0,-1),IF(tblPayroll[[#This Row],[TER Cat]]="B",_xlfn.XLOOKUP(tblPayroll[[#This Row],[PPh 21 Base]],TerB_L,TerB_R,0,-1),_xlfn.XLOOKUP(tblPayroll[[#This Row],[PPh 21 Base]],TerC_L,TerC_R,0,-1)))</f>
        <v>1.2500000000000001E-2</v>
      </c>
      <c r="T180" s="5">
        <f>ROUND(tblPayroll[[#This Row],[PPh 21 Base]]*tblPayroll[[#This Row],[TER Rate]],0)</f>
        <v>84939</v>
      </c>
      <c r="U180" s="5">
        <f>ROUND(MIN(tblPayroll[[#This Row],[Basic Salary]]+tblPayroll[[#This Row],[Fixed Allowance]],BPJSKesCap)*R_KesEe,0)</f>
        <v>65000</v>
      </c>
      <c r="V180" s="5">
        <f>ROUND((tblPayroll[[#This Row],[Basic Salary]]+tblPayroll[[#This Row],[Fixed Allowance]])*R_JHTEe,0)</f>
        <v>130000</v>
      </c>
      <c r="W180" s="5">
        <f>ROUND(MIN(tblPayroll[[#This Row],[Basic Salary]]+tblPayroll[[#This Row],[Fixed Allowance]],JPCap)*R_JPEe,0)</f>
        <v>65000</v>
      </c>
      <c r="X180" s="5">
        <f>tblPayroll[[#This Row],[BPJS Health (Ee)]]+tblPayroll[[#This Row],[JHT (Ee)]]+tblPayroll[[#This Row],[JP (Ee)]]</f>
        <v>260000</v>
      </c>
      <c r="Y180" s="5">
        <f>tblPayroll[[#This Row],[Gross Salary]]-tblPayroll[[#This Row],[PPh 21]]-tblPayroll[[#This Row],[Employee BPJS Total]]</f>
        <v>6155061</v>
      </c>
      <c r="Z180" s="5">
        <f>tblPayroll[[#This Row],[Employer BPJS Total]]+tblPayroll[[#This Row],[Employee BPJS Total]]</f>
        <v>925600</v>
      </c>
      <c r="AA180" s="5">
        <f>tblPayroll[[#This Row],[Gross Salary]]+tblPayroll[[#This Row],[Employer BPJS Total]]</f>
        <v>7165600</v>
      </c>
      <c r="AB180" s="4">
        <v>1130</v>
      </c>
    </row>
    <row r="181" spans="2:28" x14ac:dyDescent="0.35">
      <c r="B181" s="4">
        <v>12</v>
      </c>
      <c r="C181" s="113">
        <v>46381</v>
      </c>
      <c r="D181" s="4" t="s">
        <v>4819</v>
      </c>
      <c r="E181" s="1" t="str">
        <f>_xlfn.XLOOKUP(tblPayroll[[#This Row],[Employee ID]],tblEmployees[Employee ID],tblEmployees[Full Name],"")</f>
        <v>Dimas Pratama</v>
      </c>
      <c r="F181" s="1" t="str">
        <f>_xlfn.XLOOKUP(tblPayroll[[#This Row],[Employee ID]],tblEmployees[Employee ID],tblEmployees[Department],"")</f>
        <v>Selling</v>
      </c>
      <c r="G181" s="1" t="str">
        <f>_xlfn.XLOOKUP(tblPayroll[[#This Row],[Employee ID]],tblEmployees[Employee ID],tblEmployees[TER Category],"")</f>
        <v>A</v>
      </c>
      <c r="H181" s="5">
        <f>_xlfn.XLOOKUP(tblPayroll[[#This Row],[Employee ID]],tblEmployees[Employee ID],tblEmployees[Basic Salary],"")</f>
        <v>5800000</v>
      </c>
      <c r="I181" s="5">
        <f>_xlfn.XLOOKUP(tblPayroll[[#This Row],[Employee ID]],tblEmployees[Employee ID],tblEmployees[Fixed Allowance],"")</f>
        <v>700000</v>
      </c>
      <c r="J181" s="6">
        <v>0</v>
      </c>
      <c r="K181" s="5">
        <f>tblPayroll[[#This Row],[Basic Salary]]+tblPayroll[[#This Row],[Fixed Allowance]]+tblPayroll[[#This Row],[THR / Bonus]]</f>
        <v>6500000</v>
      </c>
      <c r="L181" s="5">
        <f>ROUND(MIN(tblPayroll[[#This Row],[Basic Salary]]+tblPayroll[[#This Row],[Fixed Allowance]],BPJSKesCap)*R_KesEr,0)</f>
        <v>260000</v>
      </c>
      <c r="M181" s="5">
        <f>ROUND((tblPayroll[[#This Row],[Basic Salary]]+tblPayroll[[#This Row],[Fixed Allowance]])*R_JKK,0)</f>
        <v>15600</v>
      </c>
      <c r="N181" s="5">
        <f>ROUND((tblPayroll[[#This Row],[Basic Salary]]+tblPayroll[[#This Row],[Fixed Allowance]])*R_JKM,0)</f>
        <v>19500</v>
      </c>
      <c r="O181" s="5">
        <f>ROUND((tblPayroll[[#This Row],[Basic Salary]]+tblPayroll[[#This Row],[Fixed Allowance]])*R_JHTEr,0)</f>
        <v>240500</v>
      </c>
      <c r="P181" s="5">
        <f>ROUND(MIN(tblPayroll[[#This Row],[Basic Salary]]+tblPayroll[[#This Row],[Fixed Allowance]],JPCap)*R_JPEr,0)</f>
        <v>130000</v>
      </c>
      <c r="Q181" s="5">
        <f>SUM(tblPayroll[[#This Row],[BPJS Health (Er)]:[JP (Er)]])</f>
        <v>665600</v>
      </c>
      <c r="R181" s="5">
        <f>tblPayroll[[#This Row],[Gross Salary]]+tblPayroll[[#This Row],[BPJS Health (Er)]]+tblPayroll[[#This Row],[JKK (Er)]]+tblPayroll[[#This Row],[JKM (Er)]]</f>
        <v>6795100</v>
      </c>
      <c r="S181" s="119">
        <f>IF(tblPayroll[[#This Row],[TER Cat]]="A",_xlfn.XLOOKUP(tblPayroll[[#This Row],[PPh 21 Base]],TerA_L,TerA_R,0,-1),IF(tblPayroll[[#This Row],[TER Cat]]="B",_xlfn.XLOOKUP(tblPayroll[[#This Row],[PPh 21 Base]],TerB_L,TerB_R,0,-1),_xlfn.XLOOKUP(tblPayroll[[#This Row],[PPh 21 Base]],TerC_L,TerC_R,0,-1)))</f>
        <v>1.2500000000000001E-2</v>
      </c>
      <c r="T181" s="5">
        <f>ROUND(tblPayroll[[#This Row],[PPh 21 Base]]*tblPayroll[[#This Row],[TER Rate]],0)</f>
        <v>84939</v>
      </c>
      <c r="U181" s="5">
        <f>ROUND(MIN(tblPayroll[[#This Row],[Basic Salary]]+tblPayroll[[#This Row],[Fixed Allowance]],BPJSKesCap)*R_KesEe,0)</f>
        <v>65000</v>
      </c>
      <c r="V181" s="5">
        <f>ROUND((tblPayroll[[#This Row],[Basic Salary]]+tblPayroll[[#This Row],[Fixed Allowance]])*R_JHTEe,0)</f>
        <v>130000</v>
      </c>
      <c r="W181" s="5">
        <f>ROUND(MIN(tblPayroll[[#This Row],[Basic Salary]]+tblPayroll[[#This Row],[Fixed Allowance]],JPCap)*R_JPEe,0)</f>
        <v>65000</v>
      </c>
      <c r="X181" s="5">
        <f>tblPayroll[[#This Row],[BPJS Health (Ee)]]+tblPayroll[[#This Row],[JHT (Ee)]]+tblPayroll[[#This Row],[JP (Ee)]]</f>
        <v>260000</v>
      </c>
      <c r="Y181" s="5">
        <f>tblPayroll[[#This Row],[Gross Salary]]-tblPayroll[[#This Row],[PPh 21]]-tblPayroll[[#This Row],[Employee BPJS Total]]</f>
        <v>6155061</v>
      </c>
      <c r="Z181" s="5">
        <f>tblPayroll[[#This Row],[Employer BPJS Total]]+tblPayroll[[#This Row],[Employee BPJS Total]]</f>
        <v>925600</v>
      </c>
      <c r="AA181" s="5">
        <f>tblPayroll[[#This Row],[Gross Salary]]+tblPayroll[[#This Row],[Employer BPJS Total]]</f>
        <v>7165600</v>
      </c>
      <c r="AB181" s="4">
        <v>1130</v>
      </c>
    </row>
    <row r="182" spans="2:28" x14ac:dyDescent="0.35">
      <c r="B182" s="4">
        <v>12</v>
      </c>
      <c r="C182" s="113">
        <v>46381</v>
      </c>
      <c r="D182" s="4" t="s">
        <v>4823</v>
      </c>
      <c r="E182" s="1" t="str">
        <f>_xlfn.XLOOKUP(tblPayroll[[#This Row],[Employee ID]],tblEmployees[Employee ID],tblEmployees[Full Name],"")</f>
        <v>Yusuf Hidayat</v>
      </c>
      <c r="F182" s="1" t="str">
        <f>_xlfn.XLOOKUP(tblPayroll[[#This Row],[Employee ID]],tblEmployees[Employee ID],tblEmployees[Department],"")</f>
        <v>Selling</v>
      </c>
      <c r="G182" s="1" t="str">
        <f>_xlfn.XLOOKUP(tblPayroll[[#This Row],[Employee ID]],tblEmployees[Employee ID],tblEmployees[TER Category],"")</f>
        <v>B</v>
      </c>
      <c r="H182" s="5">
        <f>_xlfn.XLOOKUP(tblPayroll[[#This Row],[Employee ID]],tblEmployees[Employee ID],tblEmployees[Basic Salary],"")</f>
        <v>7500000</v>
      </c>
      <c r="I182" s="5">
        <f>_xlfn.XLOOKUP(tblPayroll[[#This Row],[Employee ID]],tblEmployees[Employee ID],tblEmployees[Fixed Allowance],"")</f>
        <v>1000000</v>
      </c>
      <c r="J182" s="6">
        <v>0</v>
      </c>
      <c r="K182" s="5">
        <f>tblPayroll[[#This Row],[Basic Salary]]+tblPayroll[[#This Row],[Fixed Allowance]]+tblPayroll[[#This Row],[THR / Bonus]]</f>
        <v>8500000</v>
      </c>
      <c r="L182" s="5">
        <f>ROUND(MIN(tblPayroll[[#This Row],[Basic Salary]]+tblPayroll[[#This Row],[Fixed Allowance]],BPJSKesCap)*R_KesEr,0)</f>
        <v>340000</v>
      </c>
      <c r="M182" s="5">
        <f>ROUND((tblPayroll[[#This Row],[Basic Salary]]+tblPayroll[[#This Row],[Fixed Allowance]])*R_JKK,0)</f>
        <v>20400</v>
      </c>
      <c r="N182" s="5">
        <f>ROUND((tblPayroll[[#This Row],[Basic Salary]]+tblPayroll[[#This Row],[Fixed Allowance]])*R_JKM,0)</f>
        <v>25500</v>
      </c>
      <c r="O182" s="5">
        <f>ROUND((tblPayroll[[#This Row],[Basic Salary]]+tblPayroll[[#This Row],[Fixed Allowance]])*R_JHTEr,0)</f>
        <v>314500</v>
      </c>
      <c r="P182" s="5">
        <f>ROUND(MIN(tblPayroll[[#This Row],[Basic Salary]]+tblPayroll[[#This Row],[Fixed Allowance]],JPCap)*R_JPEr,0)</f>
        <v>170000</v>
      </c>
      <c r="Q182" s="5">
        <f>SUM(tblPayroll[[#This Row],[BPJS Health (Er)]:[JP (Er)]])</f>
        <v>870400</v>
      </c>
      <c r="R182" s="5">
        <f>tblPayroll[[#This Row],[Gross Salary]]+tblPayroll[[#This Row],[BPJS Health (Er)]]+tblPayroll[[#This Row],[JKK (Er)]]+tblPayroll[[#This Row],[JKM (Er)]]</f>
        <v>8885900</v>
      </c>
      <c r="S182" s="119">
        <f>IF(tblPayroll[[#This Row],[TER Cat]]="A",_xlfn.XLOOKUP(tblPayroll[[#This Row],[PPh 21 Base]],TerA_L,TerA_R,0,-1),IF(tblPayroll[[#This Row],[TER Cat]]="B",_xlfn.XLOOKUP(tblPayroll[[#This Row],[PPh 21 Base]],TerB_L,TerB_R,0,-1),_xlfn.XLOOKUP(tblPayroll[[#This Row],[PPh 21 Base]],TerC_L,TerC_R,0,-1)))</f>
        <v>0.01</v>
      </c>
      <c r="T182" s="5">
        <f>ROUND(tblPayroll[[#This Row],[PPh 21 Base]]*tblPayroll[[#This Row],[TER Rate]],0)</f>
        <v>88859</v>
      </c>
      <c r="U182" s="5">
        <f>ROUND(MIN(tblPayroll[[#This Row],[Basic Salary]]+tblPayroll[[#This Row],[Fixed Allowance]],BPJSKesCap)*R_KesEe,0)</f>
        <v>85000</v>
      </c>
      <c r="V182" s="5">
        <f>ROUND((tblPayroll[[#This Row],[Basic Salary]]+tblPayroll[[#This Row],[Fixed Allowance]])*R_JHTEe,0)</f>
        <v>170000</v>
      </c>
      <c r="W182" s="5">
        <f>ROUND(MIN(tblPayroll[[#This Row],[Basic Salary]]+tblPayroll[[#This Row],[Fixed Allowance]],JPCap)*R_JPEe,0)</f>
        <v>85000</v>
      </c>
      <c r="X182" s="5">
        <f>tblPayroll[[#This Row],[BPJS Health (Ee)]]+tblPayroll[[#This Row],[JHT (Ee)]]+tblPayroll[[#This Row],[JP (Ee)]]</f>
        <v>340000</v>
      </c>
      <c r="Y182" s="5">
        <f>tblPayroll[[#This Row],[Gross Salary]]-tblPayroll[[#This Row],[PPh 21]]-tblPayroll[[#This Row],[Employee BPJS Total]]</f>
        <v>8071141</v>
      </c>
      <c r="Z182" s="5">
        <f>tblPayroll[[#This Row],[Employer BPJS Total]]+tblPayroll[[#This Row],[Employee BPJS Total]]</f>
        <v>1210400</v>
      </c>
      <c r="AA182" s="5">
        <f>tblPayroll[[#This Row],[Gross Salary]]+tblPayroll[[#This Row],[Employer BPJS Total]]</f>
        <v>9370400</v>
      </c>
      <c r="AB182" s="4">
        <v>1130</v>
      </c>
    </row>
    <row r="183" spans="2:28" x14ac:dyDescent="0.35">
      <c r="B183" s="4">
        <v>12</v>
      </c>
      <c r="C183" s="113">
        <v>46381</v>
      </c>
      <c r="D183" s="4" t="s">
        <v>4828</v>
      </c>
      <c r="E183" s="1" t="str">
        <f>_xlfn.XLOOKUP(tblPayroll[[#This Row],[Employee ID]],tblEmployees[Employee ID],tblEmployees[Full Name],"")</f>
        <v>Lestari Wulandari</v>
      </c>
      <c r="F183" s="1" t="str">
        <f>_xlfn.XLOOKUP(tblPayroll[[#This Row],[Employee ID]],tblEmployees[Employee ID],tblEmployees[Department],"")</f>
        <v>Selling</v>
      </c>
      <c r="G183" s="1" t="str">
        <f>_xlfn.XLOOKUP(tblPayroll[[#This Row],[Employee ID]],tblEmployees[Employee ID],tblEmployees[TER Category],"")</f>
        <v>A</v>
      </c>
      <c r="H183" s="5">
        <f>_xlfn.XLOOKUP(tblPayroll[[#This Row],[Employee ID]],tblEmployees[Employee ID],tblEmployees[Basic Salary],"")</f>
        <v>5600000</v>
      </c>
      <c r="I183" s="5">
        <f>_xlfn.XLOOKUP(tblPayroll[[#This Row],[Employee ID]],tblEmployees[Employee ID],tblEmployees[Fixed Allowance],"")</f>
        <v>600000</v>
      </c>
      <c r="J183" s="6">
        <v>0</v>
      </c>
      <c r="K183" s="5">
        <f>tblPayroll[[#This Row],[Basic Salary]]+tblPayroll[[#This Row],[Fixed Allowance]]+tblPayroll[[#This Row],[THR / Bonus]]</f>
        <v>6200000</v>
      </c>
      <c r="L183" s="5">
        <f>ROUND(MIN(tblPayroll[[#This Row],[Basic Salary]]+tblPayroll[[#This Row],[Fixed Allowance]],BPJSKesCap)*R_KesEr,0)</f>
        <v>248000</v>
      </c>
      <c r="M183" s="5">
        <f>ROUND((tblPayroll[[#This Row],[Basic Salary]]+tblPayroll[[#This Row],[Fixed Allowance]])*R_JKK,0)</f>
        <v>14880</v>
      </c>
      <c r="N183" s="5">
        <f>ROUND((tblPayroll[[#This Row],[Basic Salary]]+tblPayroll[[#This Row],[Fixed Allowance]])*R_JKM,0)</f>
        <v>18600</v>
      </c>
      <c r="O183" s="5">
        <f>ROUND((tblPayroll[[#This Row],[Basic Salary]]+tblPayroll[[#This Row],[Fixed Allowance]])*R_JHTEr,0)</f>
        <v>229400</v>
      </c>
      <c r="P183" s="5">
        <f>ROUND(MIN(tblPayroll[[#This Row],[Basic Salary]]+tblPayroll[[#This Row],[Fixed Allowance]],JPCap)*R_JPEr,0)</f>
        <v>124000</v>
      </c>
      <c r="Q183" s="5">
        <f>SUM(tblPayroll[[#This Row],[BPJS Health (Er)]:[JP (Er)]])</f>
        <v>634880</v>
      </c>
      <c r="R183" s="5">
        <f>tblPayroll[[#This Row],[Gross Salary]]+tblPayroll[[#This Row],[BPJS Health (Er)]]+tblPayroll[[#This Row],[JKK (Er)]]+tblPayroll[[#This Row],[JKM (Er)]]</f>
        <v>6481480</v>
      </c>
      <c r="S183" s="119">
        <f>IF(tblPayroll[[#This Row],[TER Cat]]="A",_xlfn.XLOOKUP(tblPayroll[[#This Row],[PPh 21 Base]],TerA_L,TerA_R,0,-1),IF(tblPayroll[[#This Row],[TER Cat]]="B",_xlfn.XLOOKUP(tblPayroll[[#This Row],[PPh 21 Base]],TerB_L,TerB_R,0,-1),_xlfn.XLOOKUP(tblPayroll[[#This Row],[PPh 21 Base]],TerC_L,TerC_R,0,-1)))</f>
        <v>0.01</v>
      </c>
      <c r="T183" s="5">
        <f>ROUND(tblPayroll[[#This Row],[PPh 21 Base]]*tblPayroll[[#This Row],[TER Rate]],0)</f>
        <v>64815</v>
      </c>
      <c r="U183" s="5">
        <f>ROUND(MIN(tblPayroll[[#This Row],[Basic Salary]]+tblPayroll[[#This Row],[Fixed Allowance]],BPJSKesCap)*R_KesEe,0)</f>
        <v>62000</v>
      </c>
      <c r="V183" s="5">
        <f>ROUND((tblPayroll[[#This Row],[Basic Salary]]+tblPayroll[[#This Row],[Fixed Allowance]])*R_JHTEe,0)</f>
        <v>124000</v>
      </c>
      <c r="W183" s="5">
        <f>ROUND(MIN(tblPayroll[[#This Row],[Basic Salary]]+tblPayroll[[#This Row],[Fixed Allowance]],JPCap)*R_JPEe,0)</f>
        <v>62000</v>
      </c>
      <c r="X183" s="5">
        <f>tblPayroll[[#This Row],[BPJS Health (Ee)]]+tblPayroll[[#This Row],[JHT (Ee)]]+tblPayroll[[#This Row],[JP (Ee)]]</f>
        <v>248000</v>
      </c>
      <c r="Y183" s="5">
        <f>tblPayroll[[#This Row],[Gross Salary]]-tblPayroll[[#This Row],[PPh 21]]-tblPayroll[[#This Row],[Employee BPJS Total]]</f>
        <v>5887185</v>
      </c>
      <c r="Z183" s="5">
        <f>tblPayroll[[#This Row],[Employer BPJS Total]]+tblPayroll[[#This Row],[Employee BPJS Total]]</f>
        <v>882880</v>
      </c>
      <c r="AA183" s="5">
        <f>tblPayroll[[#This Row],[Gross Salary]]+tblPayroll[[#This Row],[Employer BPJS Total]]</f>
        <v>6834880</v>
      </c>
      <c r="AB183" s="4">
        <v>1130</v>
      </c>
    </row>
    <row r="184" spans="2:28" x14ac:dyDescent="0.35">
      <c r="B184" s="4">
        <v>12</v>
      </c>
      <c r="C184" s="113">
        <v>46381</v>
      </c>
      <c r="D184" s="4" t="s">
        <v>4834</v>
      </c>
      <c r="E184" s="1" t="str">
        <f>_xlfn.XLOOKUP(tblPayroll[[#This Row],[Employee ID]],tblEmployees[Employee ID],tblEmployees[Full Name],"")</f>
        <v>Bayu Nugroho</v>
      </c>
      <c r="F184" s="1" t="str">
        <f>_xlfn.XLOOKUP(tblPayroll[[#This Row],[Employee ID]],tblEmployees[Employee ID],tblEmployees[Department],"")</f>
        <v>Selling</v>
      </c>
      <c r="G184" s="1" t="str">
        <f>_xlfn.XLOOKUP(tblPayroll[[#This Row],[Employee ID]],tblEmployees[Employee ID],tblEmployees[TER Category],"")</f>
        <v>B</v>
      </c>
      <c r="H184" s="5">
        <f>_xlfn.XLOOKUP(tblPayroll[[#This Row],[Employee ID]],tblEmployees[Employee ID],tblEmployees[Basic Salary],"")</f>
        <v>5600000</v>
      </c>
      <c r="I184" s="5">
        <f>_xlfn.XLOOKUP(tblPayroll[[#This Row],[Employee ID]],tblEmployees[Employee ID],tblEmployees[Fixed Allowance],"")</f>
        <v>600000</v>
      </c>
      <c r="J184" s="6">
        <v>0</v>
      </c>
      <c r="K184" s="5">
        <f>tblPayroll[[#This Row],[Basic Salary]]+tblPayroll[[#This Row],[Fixed Allowance]]+tblPayroll[[#This Row],[THR / Bonus]]</f>
        <v>6200000</v>
      </c>
      <c r="L184" s="5">
        <f>ROUND(MIN(tblPayroll[[#This Row],[Basic Salary]]+tblPayroll[[#This Row],[Fixed Allowance]],BPJSKesCap)*R_KesEr,0)</f>
        <v>248000</v>
      </c>
      <c r="M184" s="5">
        <f>ROUND((tblPayroll[[#This Row],[Basic Salary]]+tblPayroll[[#This Row],[Fixed Allowance]])*R_JKK,0)</f>
        <v>14880</v>
      </c>
      <c r="N184" s="5">
        <f>ROUND((tblPayroll[[#This Row],[Basic Salary]]+tblPayroll[[#This Row],[Fixed Allowance]])*R_JKM,0)</f>
        <v>18600</v>
      </c>
      <c r="O184" s="5">
        <f>ROUND((tblPayroll[[#This Row],[Basic Salary]]+tblPayroll[[#This Row],[Fixed Allowance]])*R_JHTEr,0)</f>
        <v>229400</v>
      </c>
      <c r="P184" s="5">
        <f>ROUND(MIN(tblPayroll[[#This Row],[Basic Salary]]+tblPayroll[[#This Row],[Fixed Allowance]],JPCap)*R_JPEr,0)</f>
        <v>124000</v>
      </c>
      <c r="Q184" s="5">
        <f>SUM(tblPayroll[[#This Row],[BPJS Health (Er)]:[JP (Er)]])</f>
        <v>634880</v>
      </c>
      <c r="R184" s="5">
        <f>tblPayroll[[#This Row],[Gross Salary]]+tblPayroll[[#This Row],[BPJS Health (Er)]]+tblPayroll[[#This Row],[JKK (Er)]]+tblPayroll[[#This Row],[JKM (Er)]]</f>
        <v>6481480</v>
      </c>
      <c r="S184" s="119">
        <f>IF(tblPayroll[[#This Row],[TER Cat]]="A",_xlfn.XLOOKUP(tblPayroll[[#This Row],[PPh 21 Base]],TerA_L,TerA_R,0,-1),IF(tblPayroll[[#This Row],[TER Cat]]="B",_xlfn.XLOOKUP(tblPayroll[[#This Row],[PPh 21 Base]],TerB_L,TerB_R,0,-1),_xlfn.XLOOKUP(tblPayroll[[#This Row],[PPh 21 Base]],TerC_L,TerC_R,0,-1)))</f>
        <v>2.5000000000000001E-3</v>
      </c>
      <c r="T184" s="5">
        <f>ROUND(tblPayroll[[#This Row],[PPh 21 Base]]*tblPayroll[[#This Row],[TER Rate]],0)</f>
        <v>16204</v>
      </c>
      <c r="U184" s="5">
        <f>ROUND(MIN(tblPayroll[[#This Row],[Basic Salary]]+tblPayroll[[#This Row],[Fixed Allowance]],BPJSKesCap)*R_KesEe,0)</f>
        <v>62000</v>
      </c>
      <c r="V184" s="5">
        <f>ROUND((tblPayroll[[#This Row],[Basic Salary]]+tblPayroll[[#This Row],[Fixed Allowance]])*R_JHTEe,0)</f>
        <v>124000</v>
      </c>
      <c r="W184" s="5">
        <f>ROUND(MIN(tblPayroll[[#This Row],[Basic Salary]]+tblPayroll[[#This Row],[Fixed Allowance]],JPCap)*R_JPEe,0)</f>
        <v>62000</v>
      </c>
      <c r="X184" s="5">
        <f>tblPayroll[[#This Row],[BPJS Health (Ee)]]+tblPayroll[[#This Row],[JHT (Ee)]]+tblPayroll[[#This Row],[JP (Ee)]]</f>
        <v>248000</v>
      </c>
      <c r="Y184" s="5">
        <f>tblPayroll[[#This Row],[Gross Salary]]-tblPayroll[[#This Row],[PPh 21]]-tblPayroll[[#This Row],[Employee BPJS Total]]</f>
        <v>5935796</v>
      </c>
      <c r="Z184" s="5">
        <f>tblPayroll[[#This Row],[Employer BPJS Total]]+tblPayroll[[#This Row],[Employee BPJS Total]]</f>
        <v>882880</v>
      </c>
      <c r="AA184" s="5">
        <f>tblPayroll[[#This Row],[Gross Salary]]+tblPayroll[[#This Row],[Employer BPJS Total]]</f>
        <v>6834880</v>
      </c>
      <c r="AB184" s="4">
        <v>1130</v>
      </c>
    </row>
    <row r="185" spans="2:28" x14ac:dyDescent="0.35">
      <c r="B185" s="4">
        <v>12</v>
      </c>
      <c r="C185" s="113">
        <v>46381</v>
      </c>
      <c r="D185" s="4" t="s">
        <v>4839</v>
      </c>
      <c r="E185" s="1" t="str">
        <f>_xlfn.XLOOKUP(tblPayroll[[#This Row],[Employee ID]],tblEmployees[Employee ID],tblEmployees[Full Name],"")</f>
        <v>Maya Sari</v>
      </c>
      <c r="F185" s="1" t="str">
        <f>_xlfn.XLOOKUP(tblPayroll[[#This Row],[Employee ID]],tblEmployees[Employee ID],tblEmployees[Department],"")</f>
        <v>Selling</v>
      </c>
      <c r="G185" s="1" t="str">
        <f>_xlfn.XLOOKUP(tblPayroll[[#This Row],[Employee ID]],tblEmployees[Employee ID],tblEmployees[TER Category],"")</f>
        <v>A</v>
      </c>
      <c r="H185" s="5">
        <f>_xlfn.XLOOKUP(tblPayroll[[#This Row],[Employee ID]],tblEmployees[Employee ID],tblEmployees[Basic Salary],"")</f>
        <v>5700000</v>
      </c>
      <c r="I185" s="5">
        <f>_xlfn.XLOOKUP(tblPayroll[[#This Row],[Employee ID]],tblEmployees[Employee ID],tblEmployees[Fixed Allowance],"")</f>
        <v>600000</v>
      </c>
      <c r="J185" s="6">
        <v>0</v>
      </c>
      <c r="K185" s="5">
        <f>tblPayroll[[#This Row],[Basic Salary]]+tblPayroll[[#This Row],[Fixed Allowance]]+tblPayroll[[#This Row],[THR / Bonus]]</f>
        <v>6300000</v>
      </c>
      <c r="L185" s="5">
        <f>ROUND(MIN(tblPayroll[[#This Row],[Basic Salary]]+tblPayroll[[#This Row],[Fixed Allowance]],BPJSKesCap)*R_KesEr,0)</f>
        <v>252000</v>
      </c>
      <c r="M185" s="5">
        <f>ROUND((tblPayroll[[#This Row],[Basic Salary]]+tblPayroll[[#This Row],[Fixed Allowance]])*R_JKK,0)</f>
        <v>15120</v>
      </c>
      <c r="N185" s="5">
        <f>ROUND((tblPayroll[[#This Row],[Basic Salary]]+tblPayroll[[#This Row],[Fixed Allowance]])*R_JKM,0)</f>
        <v>18900</v>
      </c>
      <c r="O185" s="5">
        <f>ROUND((tblPayroll[[#This Row],[Basic Salary]]+tblPayroll[[#This Row],[Fixed Allowance]])*R_JHTEr,0)</f>
        <v>233100</v>
      </c>
      <c r="P185" s="5">
        <f>ROUND(MIN(tblPayroll[[#This Row],[Basic Salary]]+tblPayroll[[#This Row],[Fixed Allowance]],JPCap)*R_JPEr,0)</f>
        <v>126000</v>
      </c>
      <c r="Q185" s="5">
        <f>SUM(tblPayroll[[#This Row],[BPJS Health (Er)]:[JP (Er)]])</f>
        <v>645120</v>
      </c>
      <c r="R185" s="5">
        <f>tblPayroll[[#This Row],[Gross Salary]]+tblPayroll[[#This Row],[BPJS Health (Er)]]+tblPayroll[[#This Row],[JKK (Er)]]+tblPayroll[[#This Row],[JKM (Er)]]</f>
        <v>6586020</v>
      </c>
      <c r="S185" s="119">
        <f>IF(tblPayroll[[#This Row],[TER Cat]]="A",_xlfn.XLOOKUP(tblPayroll[[#This Row],[PPh 21 Base]],TerA_L,TerA_R,0,-1),IF(tblPayroll[[#This Row],[TER Cat]]="B",_xlfn.XLOOKUP(tblPayroll[[#This Row],[PPh 21 Base]],TerB_L,TerB_R,0,-1),_xlfn.XLOOKUP(tblPayroll[[#This Row],[PPh 21 Base]],TerC_L,TerC_R,0,-1)))</f>
        <v>0.01</v>
      </c>
      <c r="T185" s="5">
        <f>ROUND(tblPayroll[[#This Row],[PPh 21 Base]]*tblPayroll[[#This Row],[TER Rate]],0)</f>
        <v>65860</v>
      </c>
      <c r="U185" s="5">
        <f>ROUND(MIN(tblPayroll[[#This Row],[Basic Salary]]+tblPayroll[[#This Row],[Fixed Allowance]],BPJSKesCap)*R_KesEe,0)</f>
        <v>63000</v>
      </c>
      <c r="V185" s="5">
        <f>ROUND((tblPayroll[[#This Row],[Basic Salary]]+tblPayroll[[#This Row],[Fixed Allowance]])*R_JHTEe,0)</f>
        <v>126000</v>
      </c>
      <c r="W185" s="5">
        <f>ROUND(MIN(tblPayroll[[#This Row],[Basic Salary]]+tblPayroll[[#This Row],[Fixed Allowance]],JPCap)*R_JPEe,0)</f>
        <v>63000</v>
      </c>
      <c r="X185" s="5">
        <f>tblPayroll[[#This Row],[BPJS Health (Ee)]]+tblPayroll[[#This Row],[JHT (Ee)]]+tblPayroll[[#This Row],[JP (Ee)]]</f>
        <v>252000</v>
      </c>
      <c r="Y185" s="5">
        <f>tblPayroll[[#This Row],[Gross Salary]]-tblPayroll[[#This Row],[PPh 21]]-tblPayroll[[#This Row],[Employee BPJS Total]]</f>
        <v>5982140</v>
      </c>
      <c r="Z185" s="5">
        <f>tblPayroll[[#This Row],[Employer BPJS Total]]+tblPayroll[[#This Row],[Employee BPJS Total]]</f>
        <v>897120</v>
      </c>
      <c r="AA185" s="5">
        <f>tblPayroll[[#This Row],[Gross Salary]]+tblPayroll[[#This Row],[Employer BPJS Total]]</f>
        <v>6945120</v>
      </c>
      <c r="AB185" s="4">
        <v>1130</v>
      </c>
    </row>
    <row r="186" spans="2:28" x14ac:dyDescent="0.35">
      <c r="B186" s="4">
        <v>12</v>
      </c>
      <c r="C186" s="113">
        <v>46381</v>
      </c>
      <c r="D186" s="4" t="s">
        <v>4844</v>
      </c>
      <c r="E186" s="1" t="str">
        <f>_xlfn.XLOOKUP(tblPayroll[[#This Row],[Employee ID]],tblEmployees[Employee ID],tblEmployees[Full Name],"")</f>
        <v>Hendra Wijaya</v>
      </c>
      <c r="F186" s="1" t="str">
        <f>_xlfn.XLOOKUP(tblPayroll[[#This Row],[Employee ID]],tblEmployees[Employee ID],tblEmployees[Department],"")</f>
        <v>G&amp;A</v>
      </c>
      <c r="G186" s="1" t="str">
        <f>_xlfn.XLOOKUP(tblPayroll[[#This Row],[Employee ID]],tblEmployees[Employee ID],tblEmployees[TER Category],"")</f>
        <v>A</v>
      </c>
      <c r="H186" s="5">
        <f>_xlfn.XLOOKUP(tblPayroll[[#This Row],[Employee ID]],tblEmployees[Employee ID],tblEmployees[Basic Salary],"")</f>
        <v>9500000</v>
      </c>
      <c r="I186" s="5">
        <f>_xlfn.XLOOKUP(tblPayroll[[#This Row],[Employee ID]],tblEmployees[Employee ID],tblEmployees[Fixed Allowance],"")</f>
        <v>1000000</v>
      </c>
      <c r="J186" s="6">
        <v>0</v>
      </c>
      <c r="K186" s="5">
        <f>tblPayroll[[#This Row],[Basic Salary]]+tblPayroll[[#This Row],[Fixed Allowance]]+tblPayroll[[#This Row],[THR / Bonus]]</f>
        <v>10500000</v>
      </c>
      <c r="L186" s="5">
        <f>ROUND(MIN(tblPayroll[[#This Row],[Basic Salary]]+tblPayroll[[#This Row],[Fixed Allowance]],BPJSKesCap)*R_KesEr,0)</f>
        <v>420000</v>
      </c>
      <c r="M186" s="5">
        <f>ROUND((tblPayroll[[#This Row],[Basic Salary]]+tblPayroll[[#This Row],[Fixed Allowance]])*R_JKK,0)</f>
        <v>25200</v>
      </c>
      <c r="N186" s="5">
        <f>ROUND((tblPayroll[[#This Row],[Basic Salary]]+tblPayroll[[#This Row],[Fixed Allowance]])*R_JKM,0)</f>
        <v>31500</v>
      </c>
      <c r="O186" s="5">
        <f>ROUND((tblPayroll[[#This Row],[Basic Salary]]+tblPayroll[[#This Row],[Fixed Allowance]])*R_JHTEr,0)</f>
        <v>388500</v>
      </c>
      <c r="P186" s="5">
        <f>ROUND(MIN(tblPayroll[[#This Row],[Basic Salary]]+tblPayroll[[#This Row],[Fixed Allowance]],JPCap)*R_JPEr,0)</f>
        <v>210000</v>
      </c>
      <c r="Q186" s="5">
        <f>SUM(tblPayroll[[#This Row],[BPJS Health (Er)]:[JP (Er)]])</f>
        <v>1075200</v>
      </c>
      <c r="R186" s="5">
        <f>tblPayroll[[#This Row],[Gross Salary]]+tblPayroll[[#This Row],[BPJS Health (Er)]]+tblPayroll[[#This Row],[JKK (Er)]]+tblPayroll[[#This Row],[JKM (Er)]]</f>
        <v>10976700</v>
      </c>
      <c r="S186" s="119">
        <f>IF(tblPayroll[[#This Row],[TER Cat]]="A",_xlfn.XLOOKUP(tblPayroll[[#This Row],[PPh 21 Base]],TerA_L,TerA_R,0,-1),IF(tblPayroll[[#This Row],[TER Cat]]="B",_xlfn.XLOOKUP(tblPayroll[[#This Row],[PPh 21 Base]],TerB_L,TerB_R,0,-1),_xlfn.XLOOKUP(tblPayroll[[#This Row],[PPh 21 Base]],TerC_L,TerC_R,0,-1)))</f>
        <v>0.03</v>
      </c>
      <c r="T186" s="5">
        <f>ROUND(tblPayroll[[#This Row],[PPh 21 Base]]*tblPayroll[[#This Row],[TER Rate]],0)</f>
        <v>329301</v>
      </c>
      <c r="U186" s="5">
        <f>ROUND(MIN(tblPayroll[[#This Row],[Basic Salary]]+tblPayroll[[#This Row],[Fixed Allowance]],BPJSKesCap)*R_KesEe,0)</f>
        <v>105000</v>
      </c>
      <c r="V186" s="5">
        <f>ROUND((tblPayroll[[#This Row],[Basic Salary]]+tblPayroll[[#This Row],[Fixed Allowance]])*R_JHTEe,0)</f>
        <v>210000</v>
      </c>
      <c r="W186" s="5">
        <f>ROUND(MIN(tblPayroll[[#This Row],[Basic Salary]]+tblPayroll[[#This Row],[Fixed Allowance]],JPCap)*R_JPEe,0)</f>
        <v>105000</v>
      </c>
      <c r="X186" s="5">
        <f>tblPayroll[[#This Row],[BPJS Health (Ee)]]+tblPayroll[[#This Row],[JHT (Ee)]]+tblPayroll[[#This Row],[JP (Ee)]]</f>
        <v>420000</v>
      </c>
      <c r="Y186" s="5">
        <f>tblPayroll[[#This Row],[Gross Salary]]-tblPayroll[[#This Row],[PPh 21]]-tblPayroll[[#This Row],[Employee BPJS Total]]</f>
        <v>9750699</v>
      </c>
      <c r="Z186" s="5">
        <f>tblPayroll[[#This Row],[Employer BPJS Total]]+tblPayroll[[#This Row],[Employee BPJS Total]]</f>
        <v>1495200</v>
      </c>
      <c r="AA186" s="5">
        <f>tblPayroll[[#This Row],[Gross Salary]]+tblPayroll[[#This Row],[Employer BPJS Total]]</f>
        <v>11575200</v>
      </c>
      <c r="AB186" s="4">
        <v>1130</v>
      </c>
    </row>
  </sheetData>
  <mergeCells count="2">
    <mergeCell ref="B2:C2"/>
    <mergeCell ref="G2:H2"/>
  </mergeCells>
  <hyperlinks>
    <hyperlink ref="B2:C2" location="'Dashboard'!A1" tooltip="Go to Dashboard" display="🏠 HOME" xr:uid="{5C3C6874-EFED-436A-B089-E6E31009F6DA}"/>
    <hyperlink ref="E2" location="'Purchases'!A1" tooltip="Go to Purchases" display="◀ PREV" xr:uid="{CAA5BF64-1186-448A-9323-7725061F701C}"/>
    <hyperlink ref="G2:H2" location="'Fixed Assets'!A1" tooltip="Go to Fixed Assets" display="NEXT ▶" xr:uid="{CB530600-45A9-45CC-ACD7-5651468436A7}"/>
    <hyperlink ref="J2" location="'Dashboard'!B5" tooltip="Go to Dashboard" display="☰ MENU" xr:uid="{7EFED926-5A4D-4337-B7DB-F6EA027A91B2}"/>
    <hyperlink ref="L2" location="'General Journal'!A1" tooltip="Go to General Journal" display="Journal" xr:uid="{82F1D4FD-1DD2-45FE-BBA1-468E4CC7F8DB}"/>
    <hyperlink ref="N2" location="'Trial Balance'!A1" tooltip="Go to Trial Balance" display="Trial Bal." xr:uid="{101D2113-1BB9-46A1-87A5-BAF4BA771811}"/>
    <hyperlink ref="P2" location="'Income Statement'!A1" tooltip="Go to Income Statement" display="Income St." xr:uid="{10CE0D62-05CF-46A7-B60D-818B10D2624A}"/>
    <hyperlink ref="R2" location="'Balance Sheet'!A1" tooltip="Go to Balance Sheet" display="Balance Sh." xr:uid="{43F2A702-B86D-433B-8F65-A6114756FD81}"/>
    <hyperlink ref="T2" location="'Tax Reconciliation'!A1" tooltip="Go to Tax Reconciliation" display="Tax Recon" xr:uid="{7188ABA8-D935-4B1A-BBFA-618DA573645C}"/>
    <hyperlink ref="V2" location="'Bank Reconciliation'!A1" tooltip="Go to Bank Reconciliation" display="Bank Recon" xr:uid="{8B06E78A-6A0F-4564-8EBD-4CA1BAF74862}"/>
    <hyperlink ref="X2" location="'Controls'!A1" tooltip="Go to Controls" display="Controls" xr:uid="{A96CB433-0840-40DB-A48C-5C7E4C783D1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31A7-5102-4DE0-93B7-893CBA87CF00}">
  <sheetPr>
    <tabColor rgb="FFA78BFA"/>
  </sheetPr>
  <dimension ref="A1:BH30"/>
  <sheetViews>
    <sheetView showGridLines="0" topLeftCell="A9" workbookViewId="0"/>
  </sheetViews>
  <sheetFormatPr defaultRowHeight="14.5" x14ac:dyDescent="0.35"/>
  <cols>
    <col min="1" max="1" width="1.453125" style="1" customWidth="1"/>
    <col min="2" max="2" width="8.1796875" style="1" customWidth="1"/>
    <col min="3" max="3" width="25.453125" style="1" customWidth="1"/>
    <col min="4" max="4" width="21.81640625" style="1" customWidth="1"/>
    <col min="5" max="5" width="11.81640625" style="1" customWidth="1"/>
    <col min="6" max="6" width="14.54296875" style="1" customWidth="1"/>
    <col min="7" max="10" width="10" style="1" customWidth="1"/>
    <col min="11" max="14" width="13.6328125" style="1" customWidth="1"/>
    <col min="15" max="26" width="11.26953125" style="1" customWidth="1"/>
    <col min="27" max="30" width="14.54296875" style="1" customWidth="1"/>
    <col min="31" max="31" width="15.453125" style="1" customWidth="1"/>
    <col min="32" max="52" width="8.7265625" style="1"/>
  </cols>
  <sheetData>
    <row r="1" spans="1:60" ht="5" customHeight="1" x14ac:dyDescent="0.35"/>
    <row r="2" spans="1:60" ht="18" customHeight="1" thickBot="1" x14ac:dyDescent="0.4">
      <c r="A2" s="307"/>
      <c r="B2" s="312" t="s">
        <v>7075</v>
      </c>
      <c r="C2" s="313"/>
      <c r="D2" s="307"/>
      <c r="E2" s="309" t="s">
        <v>7076</v>
      </c>
      <c r="F2" s="307"/>
      <c r="G2" s="310" t="s">
        <v>7077</v>
      </c>
      <c r="H2" s="311"/>
      <c r="I2" s="307"/>
      <c r="J2" s="312" t="s">
        <v>7078</v>
      </c>
      <c r="K2" s="313"/>
      <c r="L2" s="307"/>
      <c r="M2" s="317" t="s">
        <v>7079</v>
      </c>
      <c r="N2" s="307"/>
      <c r="O2" s="317" t="s">
        <v>7080</v>
      </c>
      <c r="P2" s="307"/>
      <c r="Q2" s="317" t="s">
        <v>7081</v>
      </c>
      <c r="R2" s="307"/>
      <c r="S2" s="317" t="s">
        <v>7082</v>
      </c>
      <c r="T2" s="307"/>
      <c r="U2" s="317" t="s">
        <v>7083</v>
      </c>
      <c r="V2" s="307"/>
      <c r="W2" s="317" t="s">
        <v>7084</v>
      </c>
      <c r="X2" s="307"/>
      <c r="Y2" s="317" t="s">
        <v>7085</v>
      </c>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4868</v>
      </c>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row>
    <row r="5" spans="1:60" x14ac:dyDescent="0.35">
      <c r="B5" s="72" t="s">
        <v>4869</v>
      </c>
    </row>
    <row r="6" spans="1:60" x14ac:dyDescent="0.35">
      <c r="B6" s="1" t="s">
        <v>4870</v>
      </c>
      <c r="C6" s="1" t="s">
        <v>4871</v>
      </c>
      <c r="D6" s="1" t="s">
        <v>4872</v>
      </c>
      <c r="E6" s="1" t="s">
        <v>4873</v>
      </c>
      <c r="F6" s="1" t="s">
        <v>4874</v>
      </c>
      <c r="G6" s="1" t="s">
        <v>4875</v>
      </c>
    </row>
    <row r="7" spans="1:60" x14ac:dyDescent="0.35">
      <c r="B7" s="1" t="s">
        <v>4876</v>
      </c>
      <c r="C7" s="1">
        <v>0</v>
      </c>
      <c r="D7" s="1">
        <v>1610</v>
      </c>
      <c r="G7" s="1" t="s">
        <v>4877</v>
      </c>
    </row>
    <row r="8" spans="1:60" x14ac:dyDescent="0.35">
      <c r="B8" s="1" t="s">
        <v>4878</v>
      </c>
      <c r="C8" s="1">
        <v>20</v>
      </c>
      <c r="D8" s="1">
        <v>1620</v>
      </c>
      <c r="E8" s="1">
        <v>1691</v>
      </c>
      <c r="F8" s="1">
        <v>6240</v>
      </c>
      <c r="G8" s="1" t="s">
        <v>4879</v>
      </c>
    </row>
    <row r="9" spans="1:60" x14ac:dyDescent="0.35">
      <c r="B9" s="1" t="s">
        <v>4880</v>
      </c>
      <c r="C9" s="1">
        <v>8</v>
      </c>
      <c r="D9" s="1">
        <v>1630</v>
      </c>
      <c r="E9" s="1">
        <v>1693</v>
      </c>
      <c r="F9" s="1">
        <v>6240</v>
      </c>
      <c r="G9" s="1" t="s">
        <v>4881</v>
      </c>
    </row>
    <row r="10" spans="1:60" x14ac:dyDescent="0.35">
      <c r="B10" s="1" t="s">
        <v>4882</v>
      </c>
      <c r="C10" s="1">
        <v>8</v>
      </c>
      <c r="D10" s="1">
        <v>1640</v>
      </c>
      <c r="E10" s="1">
        <v>1694</v>
      </c>
      <c r="F10" s="1">
        <v>6240</v>
      </c>
      <c r="G10" s="1" t="s">
        <v>4881</v>
      </c>
    </row>
    <row r="11" spans="1:60" x14ac:dyDescent="0.35">
      <c r="B11" s="1" t="s">
        <v>4883</v>
      </c>
      <c r="C11" s="1">
        <v>4</v>
      </c>
      <c r="D11" s="1">
        <v>1650</v>
      </c>
      <c r="E11" s="1">
        <v>1695</v>
      </c>
      <c r="F11" s="1">
        <v>6240</v>
      </c>
      <c r="G11" s="1" t="s">
        <v>4884</v>
      </c>
    </row>
    <row r="12" spans="1:60" x14ac:dyDescent="0.35">
      <c r="B12" s="1" t="s">
        <v>4885</v>
      </c>
      <c r="C12" s="1">
        <v>4</v>
      </c>
      <c r="D12" s="1">
        <v>1710</v>
      </c>
      <c r="E12" s="1">
        <v>1719</v>
      </c>
      <c r="F12" s="1">
        <v>6250</v>
      </c>
      <c r="G12" s="1" t="s">
        <v>4886</v>
      </c>
    </row>
    <row r="14" spans="1:60" x14ac:dyDescent="0.35">
      <c r="N14" s="111" t="s">
        <v>4887</v>
      </c>
      <c r="O14" s="111">
        <v>1</v>
      </c>
      <c r="P14" s="111">
        <v>2</v>
      </c>
      <c r="Q14" s="111">
        <v>3</v>
      </c>
      <c r="R14" s="111">
        <v>4</v>
      </c>
      <c r="S14" s="111">
        <v>5</v>
      </c>
      <c r="T14" s="111">
        <v>6</v>
      </c>
      <c r="U14" s="111">
        <v>7</v>
      </c>
      <c r="V14" s="111">
        <v>8</v>
      </c>
      <c r="W14" s="111">
        <v>9</v>
      </c>
      <c r="X14" s="111">
        <v>10</v>
      </c>
      <c r="Y14" s="111">
        <v>11</v>
      </c>
      <c r="Z14" s="111">
        <v>12</v>
      </c>
    </row>
    <row r="15" spans="1:60" ht="24" customHeight="1" x14ac:dyDescent="0.35">
      <c r="B15" s="100" t="s">
        <v>4888</v>
      </c>
      <c r="C15" s="100" t="s">
        <v>4889</v>
      </c>
      <c r="D15" s="100" t="s">
        <v>4870</v>
      </c>
      <c r="E15" s="100" t="s">
        <v>4890</v>
      </c>
      <c r="F15" s="100" t="s">
        <v>4891</v>
      </c>
      <c r="G15" s="100" t="s">
        <v>4892</v>
      </c>
      <c r="H15" s="100" t="s">
        <v>4872</v>
      </c>
      <c r="I15" s="100" t="s">
        <v>4873</v>
      </c>
      <c r="J15" s="100" t="s">
        <v>4874</v>
      </c>
      <c r="K15" s="100" t="s">
        <v>4893</v>
      </c>
      <c r="L15" s="100" t="s">
        <v>4894</v>
      </c>
      <c r="M15" s="100" t="s">
        <v>4895</v>
      </c>
      <c r="N15" s="100" t="s">
        <v>4896</v>
      </c>
      <c r="O15" s="100" t="s">
        <v>4266</v>
      </c>
      <c r="P15" s="100" t="s">
        <v>4267</v>
      </c>
      <c r="Q15" s="100" t="s">
        <v>4268</v>
      </c>
      <c r="R15" s="100" t="s">
        <v>4269</v>
      </c>
      <c r="S15" s="100" t="s">
        <v>4897</v>
      </c>
      <c r="T15" s="100" t="s">
        <v>4270</v>
      </c>
      <c r="U15" s="100" t="s">
        <v>4271</v>
      </c>
      <c r="V15" s="100" t="s">
        <v>4898</v>
      </c>
      <c r="W15" s="100" t="s">
        <v>4272</v>
      </c>
      <c r="X15" s="100" t="s">
        <v>4899</v>
      </c>
      <c r="Y15" s="100" t="s">
        <v>4273</v>
      </c>
      <c r="Z15" s="100" t="s">
        <v>4900</v>
      </c>
      <c r="AA15" s="100" t="s">
        <v>4901</v>
      </c>
      <c r="AB15" s="100" t="s">
        <v>4902</v>
      </c>
      <c r="AC15" s="100" t="s">
        <v>4903</v>
      </c>
      <c r="AD15" s="100" t="s">
        <v>4904</v>
      </c>
      <c r="AE15" s="100" t="s">
        <v>4276</v>
      </c>
    </row>
    <row r="16" spans="1:60" x14ac:dyDescent="0.35">
      <c r="B16" s="4" t="s">
        <v>4905</v>
      </c>
      <c r="C16" s="4" t="s">
        <v>4906</v>
      </c>
      <c r="D16" s="4" t="s">
        <v>4876</v>
      </c>
      <c r="E16" s="113">
        <v>43179</v>
      </c>
      <c r="F16" s="6">
        <v>1200000000</v>
      </c>
      <c r="G16" s="1">
        <f>_xlfn.XLOOKUP(tblFA[[#This Row],[Asset Class]],tblFAClass[Asset Class],tblFAClass[Useful Life (years)])</f>
        <v>0</v>
      </c>
      <c r="H16" s="1">
        <f>_xlfn.XLOOKUP(tblFA[[#This Row],[Asset Class]],tblFAClass[Asset Class],tblFAClass[Cost Account])</f>
        <v>1610</v>
      </c>
      <c r="I16" s="1">
        <f>_xlfn.XLOOKUP(tblFA[[#This Row],[Asset Class]],tblFAClass[Asset Class],tblFAClass[Acc. Dep. Account])</f>
        <v>0</v>
      </c>
      <c r="J16" s="1">
        <f>_xlfn.XLOOKUP(tblFA[[#This Row],[Asset Class]],tblFAClass[Asset Class],tblFAClass[Expense Account])</f>
        <v>0</v>
      </c>
      <c r="K16" s="5">
        <f>IF(tblFA[[#This Row],[Useful Life (yrs)]]=0,0,ROUND(tblFA[[#This Row],[Cost]]/(tblFA[[#This Row],[Useful Life (yrs)]]*12),0))</f>
        <v>0</v>
      </c>
      <c r="L16" s="112">
        <f>DATE(YEAR(tblFA[[#This Row],[Acquisition Date]]),MONTH(tblFA[[#This Row],[Acquisition Date]]),1)</f>
        <v>43160</v>
      </c>
      <c r="M16"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0</v>
      </c>
      <c r="N16" s="5">
        <f>IF(tblFA[[#This Row],[Acquisition Date]]&gt;CompDate,0,tblFA[[#This Row],[Cost]]-tblFA[[#This Row],[Opening Acc. Dep.]])</f>
        <v>1200000000</v>
      </c>
      <c r="O16"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0</v>
      </c>
      <c r="P16"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0</v>
      </c>
      <c r="Q16"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0</v>
      </c>
      <c r="R16"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0</v>
      </c>
      <c r="S16"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0</v>
      </c>
      <c r="T16"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0</v>
      </c>
      <c r="U16"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0</v>
      </c>
      <c r="V16"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0</v>
      </c>
      <c r="W16"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0</v>
      </c>
      <c r="X16"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0</v>
      </c>
      <c r="Y16"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0</v>
      </c>
      <c r="Z16"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0</v>
      </c>
      <c r="AA16" s="5" cm="1">
        <f t="array" ref="AA16">SUMPRODUCT(($O$14:$Z$14&lt;=CutOff)*tblFA[[#This Row],[Jan]:[Dec]])</f>
        <v>0</v>
      </c>
      <c r="AB16" s="5">
        <f>IF(tblFA[[#This Row],[Acquisition Date]]&gt;PEnd,0,tblFA[[#This Row],[Opening Acc. Dep.]]+tblFA[[#This Row],[YTD Depreciation]])</f>
        <v>0</v>
      </c>
      <c r="AC16" s="5">
        <f>IF(tblFA[[#This Row],[Acquisition Date]]&lt;=PEnd,tblFA[[#This Row],[Cost]],0)</f>
        <v>1200000000</v>
      </c>
      <c r="AD16" s="5">
        <f>tblFA[[#This Row],[Cost at Period End]]-tblFA[[#This Row],[Acc. Dep. at Period End]]</f>
        <v>1200000000</v>
      </c>
      <c r="AE16" s="1" t="str">
        <f>IF(tblFA[[#This Row],[Acquisition Date]]&gt;PEnd,"Not yet acquired",IF(tblFA[[#This Row],[Useful Life (yrs)]]=0,"Not depreciated",IF(tblFA[[#This Row],[NBV at Period End]]&lt;=0,"Fully depreciated","Active")))</f>
        <v>Not depreciated</v>
      </c>
    </row>
    <row r="17" spans="2:31" x14ac:dyDescent="0.35">
      <c r="B17" s="4" t="s">
        <v>4907</v>
      </c>
      <c r="C17" s="4" t="s">
        <v>4908</v>
      </c>
      <c r="D17" s="4" t="s">
        <v>4878</v>
      </c>
      <c r="E17" s="113">
        <v>43191</v>
      </c>
      <c r="F17" s="6">
        <v>1800000000</v>
      </c>
      <c r="G17" s="1">
        <f>_xlfn.XLOOKUP(tblFA[[#This Row],[Asset Class]],tblFAClass[Asset Class],tblFAClass[Useful Life (years)])</f>
        <v>20</v>
      </c>
      <c r="H17" s="1">
        <f>_xlfn.XLOOKUP(tblFA[[#This Row],[Asset Class]],tblFAClass[Asset Class],tblFAClass[Cost Account])</f>
        <v>1620</v>
      </c>
      <c r="I17" s="1">
        <f>_xlfn.XLOOKUP(tblFA[[#This Row],[Asset Class]],tblFAClass[Asset Class],tblFAClass[Acc. Dep. Account])</f>
        <v>1691</v>
      </c>
      <c r="J17" s="1">
        <f>_xlfn.XLOOKUP(tblFA[[#This Row],[Asset Class]],tblFAClass[Asset Class],tblFAClass[Expense Account])</f>
        <v>6240</v>
      </c>
      <c r="K17" s="5">
        <f>IF(tblFA[[#This Row],[Useful Life (yrs)]]=0,0,ROUND(tblFA[[#This Row],[Cost]]/(tblFA[[#This Row],[Useful Life (yrs)]]*12),0))</f>
        <v>7500000</v>
      </c>
      <c r="L17" s="112">
        <f>DATE(YEAR(tblFA[[#This Row],[Acquisition Date]]),MONTH(tblFA[[#This Row],[Acquisition Date]]),1)</f>
        <v>43191</v>
      </c>
      <c r="M17"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697500000</v>
      </c>
      <c r="N17" s="5">
        <f>IF(tblFA[[#This Row],[Acquisition Date]]&gt;CompDate,0,tblFA[[#This Row],[Cost]]-tblFA[[#This Row],[Opening Acc. Dep.]])</f>
        <v>1102500000</v>
      </c>
      <c r="O17"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7500000</v>
      </c>
      <c r="P17"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7500000</v>
      </c>
      <c r="Q17"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7500000</v>
      </c>
      <c r="R17"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7500000</v>
      </c>
      <c r="S17"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7500000</v>
      </c>
      <c r="T17"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7500000</v>
      </c>
      <c r="U17"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7500000</v>
      </c>
      <c r="V17"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7500000</v>
      </c>
      <c r="W17"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7500000</v>
      </c>
      <c r="X17"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7500000</v>
      </c>
      <c r="Y17"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7500000</v>
      </c>
      <c r="Z17"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7500000</v>
      </c>
      <c r="AA17" s="5" cm="1">
        <f t="array" ref="AA17">SUMPRODUCT(($O$14:$Z$14&lt;=CutOff)*tblFA[[#This Row],[Jan]:[Dec]])</f>
        <v>75000000</v>
      </c>
      <c r="AB17" s="5">
        <f>IF(tblFA[[#This Row],[Acquisition Date]]&gt;PEnd,0,tblFA[[#This Row],[Opening Acc. Dep.]]+tblFA[[#This Row],[YTD Depreciation]])</f>
        <v>772500000</v>
      </c>
      <c r="AC17" s="5">
        <f>IF(tblFA[[#This Row],[Acquisition Date]]&lt;=PEnd,tblFA[[#This Row],[Cost]],0)</f>
        <v>1800000000</v>
      </c>
      <c r="AD17" s="5">
        <f>tblFA[[#This Row],[Cost at Period End]]-tblFA[[#This Row],[Acc. Dep. at Period End]]</f>
        <v>1027500000</v>
      </c>
      <c r="AE17" s="1" t="str">
        <f>IF(tblFA[[#This Row],[Acquisition Date]]&gt;PEnd,"Not yet acquired",IF(tblFA[[#This Row],[Useful Life (yrs)]]=0,"Not depreciated",IF(tblFA[[#This Row],[NBV at Period End]]&lt;=0,"Fully depreciated","Active")))</f>
        <v>Active</v>
      </c>
    </row>
    <row r="18" spans="2:31" x14ac:dyDescent="0.35">
      <c r="B18" s="4" t="s">
        <v>4909</v>
      </c>
      <c r="C18" s="4" t="s">
        <v>4910</v>
      </c>
      <c r="D18" s="4" t="s">
        <v>4880</v>
      </c>
      <c r="E18" s="113">
        <v>44362</v>
      </c>
      <c r="F18" s="6">
        <v>420000000</v>
      </c>
      <c r="G18" s="1">
        <f>_xlfn.XLOOKUP(tblFA[[#This Row],[Asset Class]],tblFAClass[Asset Class],tblFAClass[Useful Life (years)])</f>
        <v>8</v>
      </c>
      <c r="H18" s="1">
        <f>_xlfn.XLOOKUP(tblFA[[#This Row],[Asset Class]],tblFAClass[Asset Class],tblFAClass[Cost Account])</f>
        <v>1630</v>
      </c>
      <c r="I18" s="1">
        <f>_xlfn.XLOOKUP(tblFA[[#This Row],[Asset Class]],tblFAClass[Asset Class],tblFAClass[Acc. Dep. Account])</f>
        <v>1693</v>
      </c>
      <c r="J18" s="1">
        <f>_xlfn.XLOOKUP(tblFA[[#This Row],[Asset Class]],tblFAClass[Asset Class],tblFAClass[Expense Account])</f>
        <v>6240</v>
      </c>
      <c r="K18" s="5">
        <f>IF(tblFA[[#This Row],[Useful Life (yrs)]]=0,0,ROUND(tblFA[[#This Row],[Cost]]/(tblFA[[#This Row],[Useful Life (yrs)]]*12),0))</f>
        <v>4375000</v>
      </c>
      <c r="L18" s="112">
        <f>DATE(YEAR(tblFA[[#This Row],[Acquisition Date]]),MONTH(tblFA[[#This Row],[Acquisition Date]]),1)</f>
        <v>44348</v>
      </c>
      <c r="M18"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240625000</v>
      </c>
      <c r="N18" s="5">
        <f>IF(tblFA[[#This Row],[Acquisition Date]]&gt;CompDate,0,tblFA[[#This Row],[Cost]]-tblFA[[#This Row],[Opening Acc. Dep.]])</f>
        <v>179375000</v>
      </c>
      <c r="O18"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4375000</v>
      </c>
      <c r="P18"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4375000</v>
      </c>
      <c r="Q18"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4375000</v>
      </c>
      <c r="R18"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4375000</v>
      </c>
      <c r="S18"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4375000</v>
      </c>
      <c r="T18"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4375000</v>
      </c>
      <c r="U18"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4375000</v>
      </c>
      <c r="V18"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4375000</v>
      </c>
      <c r="W18"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4375000</v>
      </c>
      <c r="X18"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4375000</v>
      </c>
      <c r="Y18"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4375000</v>
      </c>
      <c r="Z18"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4375000</v>
      </c>
      <c r="AA18" s="5" cm="1">
        <f t="array" ref="AA18">SUMPRODUCT(($O$14:$Z$14&lt;=CutOff)*tblFA[[#This Row],[Jan]:[Dec]])</f>
        <v>43750000</v>
      </c>
      <c r="AB18" s="5">
        <f>IF(tblFA[[#This Row],[Acquisition Date]]&gt;PEnd,0,tblFA[[#This Row],[Opening Acc. Dep.]]+tblFA[[#This Row],[YTD Depreciation]])</f>
        <v>284375000</v>
      </c>
      <c r="AC18" s="5">
        <f>IF(tblFA[[#This Row],[Acquisition Date]]&lt;=PEnd,tblFA[[#This Row],[Cost]],0)</f>
        <v>420000000</v>
      </c>
      <c r="AD18" s="5">
        <f>tblFA[[#This Row],[Cost at Period End]]-tblFA[[#This Row],[Acc. Dep. at Period End]]</f>
        <v>135625000</v>
      </c>
      <c r="AE18" s="1" t="str">
        <f>IF(tblFA[[#This Row],[Acquisition Date]]&gt;PEnd,"Not yet acquired",IF(tblFA[[#This Row],[Useful Life (yrs)]]=0,"Not depreciated",IF(tblFA[[#This Row],[NBV at Period End]]&lt;=0,"Fully depreciated","Active")))</f>
        <v>Active</v>
      </c>
    </row>
    <row r="19" spans="2:31" x14ac:dyDescent="0.35">
      <c r="B19" s="4" t="s">
        <v>4911</v>
      </c>
      <c r="C19" s="4" t="s">
        <v>4912</v>
      </c>
      <c r="D19" s="4" t="s">
        <v>4880</v>
      </c>
      <c r="E19" s="113">
        <v>44602</v>
      </c>
      <c r="F19" s="6">
        <v>280000000</v>
      </c>
      <c r="G19" s="1">
        <f>_xlfn.XLOOKUP(tblFA[[#This Row],[Asset Class]],tblFAClass[Asset Class],tblFAClass[Useful Life (years)])</f>
        <v>8</v>
      </c>
      <c r="H19" s="1">
        <f>_xlfn.XLOOKUP(tblFA[[#This Row],[Asset Class]],tblFAClass[Asset Class],tblFAClass[Cost Account])</f>
        <v>1630</v>
      </c>
      <c r="I19" s="1">
        <f>_xlfn.XLOOKUP(tblFA[[#This Row],[Asset Class]],tblFAClass[Asset Class],tblFAClass[Acc. Dep. Account])</f>
        <v>1693</v>
      </c>
      <c r="J19" s="1">
        <f>_xlfn.XLOOKUP(tblFA[[#This Row],[Asset Class]],tblFAClass[Asset Class],tblFAClass[Expense Account])</f>
        <v>6240</v>
      </c>
      <c r="K19" s="5">
        <f>IF(tblFA[[#This Row],[Useful Life (yrs)]]=0,0,ROUND(tblFA[[#This Row],[Cost]]/(tblFA[[#This Row],[Useful Life (yrs)]]*12),0))</f>
        <v>2916667</v>
      </c>
      <c r="L19" s="112">
        <f>DATE(YEAR(tblFA[[#This Row],[Acquisition Date]]),MONTH(tblFA[[#This Row],[Acquisition Date]]),1)</f>
        <v>44593</v>
      </c>
      <c r="M19"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137083349</v>
      </c>
      <c r="N19" s="5">
        <f>IF(tblFA[[#This Row],[Acquisition Date]]&gt;CompDate,0,tblFA[[#This Row],[Cost]]-tblFA[[#This Row],[Opening Acc. Dep.]])</f>
        <v>142916651</v>
      </c>
      <c r="O19"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2916667</v>
      </c>
      <c r="P19"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2916667</v>
      </c>
      <c r="Q19"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2916667</v>
      </c>
      <c r="R19"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2916667</v>
      </c>
      <c r="S19"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2916667</v>
      </c>
      <c r="T19"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2916667</v>
      </c>
      <c r="U19"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2916667</v>
      </c>
      <c r="V19"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2916667</v>
      </c>
      <c r="W19"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2916667</v>
      </c>
      <c r="X19"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2916667</v>
      </c>
      <c r="Y19"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2916667</v>
      </c>
      <c r="Z19"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2916667</v>
      </c>
      <c r="AA19" s="5" cm="1">
        <f t="array" ref="AA19">SUMPRODUCT(($O$14:$Z$14&lt;=CutOff)*tblFA[[#This Row],[Jan]:[Dec]])</f>
        <v>29166670</v>
      </c>
      <c r="AB19" s="5">
        <f>IF(tblFA[[#This Row],[Acquisition Date]]&gt;PEnd,0,tblFA[[#This Row],[Opening Acc. Dep.]]+tblFA[[#This Row],[YTD Depreciation]])</f>
        <v>166250019</v>
      </c>
      <c r="AC19" s="5">
        <f>IF(tblFA[[#This Row],[Acquisition Date]]&lt;=PEnd,tblFA[[#This Row],[Cost]],0)</f>
        <v>280000000</v>
      </c>
      <c r="AD19" s="5">
        <f>tblFA[[#This Row],[Cost at Period End]]-tblFA[[#This Row],[Acc. Dep. at Period End]]</f>
        <v>113749981</v>
      </c>
      <c r="AE19" s="1" t="str">
        <f>IF(tblFA[[#This Row],[Acquisition Date]]&gt;PEnd,"Not yet acquired",IF(tblFA[[#This Row],[Useful Life (yrs)]]=0,"Not depreciated",IF(tblFA[[#This Row],[NBV at Period End]]&lt;=0,"Fully depreciated","Active")))</f>
        <v>Active</v>
      </c>
    </row>
    <row r="20" spans="2:31" x14ac:dyDescent="0.35">
      <c r="B20" s="4" t="s">
        <v>4913</v>
      </c>
      <c r="C20" s="4" t="s">
        <v>4914</v>
      </c>
      <c r="D20" s="4" t="s">
        <v>4882</v>
      </c>
      <c r="E20" s="113">
        <v>43678</v>
      </c>
      <c r="F20" s="6">
        <v>350000000</v>
      </c>
      <c r="G20" s="1">
        <f>_xlfn.XLOOKUP(tblFA[[#This Row],[Asset Class]],tblFAClass[Asset Class],tblFAClass[Useful Life (years)])</f>
        <v>8</v>
      </c>
      <c r="H20" s="1">
        <f>_xlfn.XLOOKUP(tblFA[[#This Row],[Asset Class]],tblFAClass[Asset Class],tblFAClass[Cost Account])</f>
        <v>1640</v>
      </c>
      <c r="I20" s="1">
        <f>_xlfn.XLOOKUP(tblFA[[#This Row],[Asset Class]],tblFAClass[Asset Class],tblFAClass[Acc. Dep. Account])</f>
        <v>1694</v>
      </c>
      <c r="J20" s="1">
        <f>_xlfn.XLOOKUP(tblFA[[#This Row],[Asset Class]],tblFAClass[Asset Class],tblFAClass[Expense Account])</f>
        <v>6240</v>
      </c>
      <c r="K20" s="5">
        <f>IF(tblFA[[#This Row],[Useful Life (yrs)]]=0,0,ROUND(tblFA[[#This Row],[Cost]]/(tblFA[[#This Row],[Useful Life (yrs)]]*12),0))</f>
        <v>3645833</v>
      </c>
      <c r="L20" s="112">
        <f>DATE(YEAR(tblFA[[#This Row],[Acquisition Date]]),MONTH(tblFA[[#This Row],[Acquisition Date]]),1)</f>
        <v>43678</v>
      </c>
      <c r="M20"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280729141</v>
      </c>
      <c r="N20" s="5">
        <f>IF(tblFA[[#This Row],[Acquisition Date]]&gt;CompDate,0,tblFA[[#This Row],[Cost]]-tblFA[[#This Row],[Opening Acc. Dep.]])</f>
        <v>69270859</v>
      </c>
      <c r="O20"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3645833</v>
      </c>
      <c r="P20"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3645833</v>
      </c>
      <c r="Q20"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3645833</v>
      </c>
      <c r="R20"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3645833</v>
      </c>
      <c r="S20"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3645833</v>
      </c>
      <c r="T20"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3645833</v>
      </c>
      <c r="U20"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3645833</v>
      </c>
      <c r="V20"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3645833</v>
      </c>
      <c r="W20"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3645833</v>
      </c>
      <c r="X20"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3645833</v>
      </c>
      <c r="Y20"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3645833</v>
      </c>
      <c r="Z20"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3645833</v>
      </c>
      <c r="AA20" s="5" cm="1">
        <f t="array" ref="AA20">SUMPRODUCT(($O$14:$Z$14&lt;=CutOff)*tblFA[[#This Row],[Jan]:[Dec]])</f>
        <v>36458330</v>
      </c>
      <c r="AB20" s="5">
        <f>IF(tblFA[[#This Row],[Acquisition Date]]&gt;PEnd,0,tblFA[[#This Row],[Opening Acc. Dep.]]+tblFA[[#This Row],[YTD Depreciation]])</f>
        <v>317187471</v>
      </c>
      <c r="AC20" s="5">
        <f>IF(tblFA[[#This Row],[Acquisition Date]]&lt;=PEnd,tblFA[[#This Row],[Cost]],0)</f>
        <v>350000000</v>
      </c>
      <c r="AD20" s="5">
        <f>tblFA[[#This Row],[Cost at Period End]]-tblFA[[#This Row],[Acc. Dep. at Period End]]</f>
        <v>32812529</v>
      </c>
      <c r="AE20" s="1" t="str">
        <f>IF(tblFA[[#This Row],[Acquisition Date]]&gt;PEnd,"Not yet acquired",IF(tblFA[[#This Row],[Useful Life (yrs)]]=0,"Not depreciated",IF(tblFA[[#This Row],[NBV at Period End]]&lt;=0,"Fully depreciated","Active")))</f>
        <v>Active</v>
      </c>
    </row>
    <row r="21" spans="2:31" x14ac:dyDescent="0.35">
      <c r="B21" s="4" t="s">
        <v>4915</v>
      </c>
      <c r="C21" s="4" t="s">
        <v>4916</v>
      </c>
      <c r="D21" s="4" t="s">
        <v>4882</v>
      </c>
      <c r="E21" s="113">
        <v>44805</v>
      </c>
      <c r="F21" s="6">
        <v>260000000</v>
      </c>
      <c r="G21" s="1">
        <f>_xlfn.XLOOKUP(tblFA[[#This Row],[Asset Class]],tblFAClass[Asset Class],tblFAClass[Useful Life (years)])</f>
        <v>8</v>
      </c>
      <c r="H21" s="1">
        <f>_xlfn.XLOOKUP(tblFA[[#This Row],[Asset Class]],tblFAClass[Asset Class],tblFAClass[Cost Account])</f>
        <v>1640</v>
      </c>
      <c r="I21" s="1">
        <f>_xlfn.XLOOKUP(tblFA[[#This Row],[Asset Class]],tblFAClass[Asset Class],tblFAClass[Acc. Dep. Account])</f>
        <v>1694</v>
      </c>
      <c r="J21" s="1">
        <f>_xlfn.XLOOKUP(tblFA[[#This Row],[Asset Class]],tblFAClass[Asset Class],tblFAClass[Expense Account])</f>
        <v>6240</v>
      </c>
      <c r="K21" s="5">
        <f>IF(tblFA[[#This Row],[Useful Life (yrs)]]=0,0,ROUND(tblFA[[#This Row],[Cost]]/(tblFA[[#This Row],[Useful Life (yrs)]]*12),0))</f>
        <v>2708333</v>
      </c>
      <c r="L21" s="112">
        <f>DATE(YEAR(tblFA[[#This Row],[Acquisition Date]]),MONTH(tblFA[[#This Row],[Acquisition Date]]),1)</f>
        <v>44805</v>
      </c>
      <c r="M21"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108333320</v>
      </c>
      <c r="N21" s="5">
        <f>IF(tblFA[[#This Row],[Acquisition Date]]&gt;CompDate,0,tblFA[[#This Row],[Cost]]-tblFA[[#This Row],[Opening Acc. Dep.]])</f>
        <v>151666680</v>
      </c>
      <c r="O21"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2708333</v>
      </c>
      <c r="P21"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2708333</v>
      </c>
      <c r="Q21"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2708333</v>
      </c>
      <c r="R21"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2708333</v>
      </c>
      <c r="S21"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2708333</v>
      </c>
      <c r="T21"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2708333</v>
      </c>
      <c r="U21"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2708333</v>
      </c>
      <c r="V21"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2708333</v>
      </c>
      <c r="W21"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2708333</v>
      </c>
      <c r="X21"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2708333</v>
      </c>
      <c r="Y21"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2708333</v>
      </c>
      <c r="Z21"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2708333</v>
      </c>
      <c r="AA21" s="5" cm="1">
        <f t="array" ref="AA21">SUMPRODUCT(($O$14:$Z$14&lt;=CutOff)*tblFA[[#This Row],[Jan]:[Dec]])</f>
        <v>27083330</v>
      </c>
      <c r="AB21" s="5">
        <f>IF(tblFA[[#This Row],[Acquisition Date]]&gt;PEnd,0,tblFA[[#This Row],[Opening Acc. Dep.]]+tblFA[[#This Row],[YTD Depreciation]])</f>
        <v>135416650</v>
      </c>
      <c r="AC21" s="5">
        <f>IF(tblFA[[#This Row],[Acquisition Date]]&lt;=PEnd,tblFA[[#This Row],[Cost]],0)</f>
        <v>260000000</v>
      </c>
      <c r="AD21" s="5">
        <f>tblFA[[#This Row],[Cost at Period End]]-tblFA[[#This Row],[Acc. Dep. at Period End]]</f>
        <v>124583350</v>
      </c>
      <c r="AE21" s="1" t="str">
        <f>IF(tblFA[[#This Row],[Acquisition Date]]&gt;PEnd,"Not yet acquired",IF(tblFA[[#This Row],[Useful Life (yrs)]]=0,"Not depreciated",IF(tblFA[[#This Row],[NBV at Period End]]&lt;=0,"Fully depreciated","Active")))</f>
        <v>Active</v>
      </c>
    </row>
    <row r="22" spans="2:31" x14ac:dyDescent="0.35">
      <c r="B22" s="4" t="s">
        <v>4917</v>
      </c>
      <c r="C22" s="4" t="s">
        <v>4918</v>
      </c>
      <c r="D22" s="4" t="s">
        <v>4882</v>
      </c>
      <c r="E22" s="113">
        <v>43952</v>
      </c>
      <c r="F22" s="6">
        <v>190000000</v>
      </c>
      <c r="G22" s="1">
        <f>_xlfn.XLOOKUP(tblFA[[#This Row],[Asset Class]],tblFAClass[Asset Class],tblFAClass[Useful Life (years)])</f>
        <v>8</v>
      </c>
      <c r="H22" s="1">
        <f>_xlfn.XLOOKUP(tblFA[[#This Row],[Asset Class]],tblFAClass[Asset Class],tblFAClass[Cost Account])</f>
        <v>1640</v>
      </c>
      <c r="I22" s="1">
        <f>_xlfn.XLOOKUP(tblFA[[#This Row],[Asset Class]],tblFAClass[Asset Class],tblFAClass[Acc. Dep. Account])</f>
        <v>1694</v>
      </c>
      <c r="J22" s="1">
        <f>_xlfn.XLOOKUP(tblFA[[#This Row],[Asset Class]],tblFAClass[Asset Class],tblFAClass[Expense Account])</f>
        <v>6240</v>
      </c>
      <c r="K22" s="5">
        <f>IF(tblFA[[#This Row],[Useful Life (yrs)]]=0,0,ROUND(tblFA[[#This Row],[Cost]]/(tblFA[[#This Row],[Useful Life (yrs)]]*12),0))</f>
        <v>1979167</v>
      </c>
      <c r="L22" s="112">
        <f>DATE(YEAR(tblFA[[#This Row],[Acquisition Date]]),MONTH(tblFA[[#This Row],[Acquisition Date]]),1)</f>
        <v>43952</v>
      </c>
      <c r="M22"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134583356</v>
      </c>
      <c r="N22" s="5">
        <f>IF(tblFA[[#This Row],[Acquisition Date]]&gt;CompDate,0,tblFA[[#This Row],[Cost]]-tblFA[[#This Row],[Opening Acc. Dep.]])</f>
        <v>55416644</v>
      </c>
      <c r="O22"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1979167</v>
      </c>
      <c r="P22"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1979167</v>
      </c>
      <c r="Q22"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1979167</v>
      </c>
      <c r="R22"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1979167</v>
      </c>
      <c r="S22"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1979167</v>
      </c>
      <c r="T22"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1979167</v>
      </c>
      <c r="U22"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1979167</v>
      </c>
      <c r="V22"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1979167</v>
      </c>
      <c r="W22"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1979167</v>
      </c>
      <c r="X22"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1979167</v>
      </c>
      <c r="Y22"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1979167</v>
      </c>
      <c r="Z22"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1979167</v>
      </c>
      <c r="AA22" s="5" cm="1">
        <f t="array" ref="AA22">SUMPRODUCT(($O$14:$Z$14&lt;=CutOff)*tblFA[[#This Row],[Jan]:[Dec]])</f>
        <v>19791670</v>
      </c>
      <c r="AB22" s="5">
        <f>IF(tblFA[[#This Row],[Acquisition Date]]&gt;PEnd,0,tblFA[[#This Row],[Opening Acc. Dep.]]+tblFA[[#This Row],[YTD Depreciation]])</f>
        <v>154375026</v>
      </c>
      <c r="AC22" s="5">
        <f>IF(tblFA[[#This Row],[Acquisition Date]]&lt;=PEnd,tblFA[[#This Row],[Cost]],0)</f>
        <v>190000000</v>
      </c>
      <c r="AD22" s="5">
        <f>tblFA[[#This Row],[Cost at Period End]]-tblFA[[#This Row],[Acc. Dep. at Period End]]</f>
        <v>35624974</v>
      </c>
      <c r="AE22" s="1" t="str">
        <f>IF(tblFA[[#This Row],[Acquisition Date]]&gt;PEnd,"Not yet acquired",IF(tblFA[[#This Row],[Useful Life (yrs)]]=0,"Not depreciated",IF(tblFA[[#This Row],[NBV at Period End]]&lt;=0,"Fully depreciated","Active")))</f>
        <v>Active</v>
      </c>
    </row>
    <row r="23" spans="2:31" x14ac:dyDescent="0.35">
      <c r="B23" s="4" t="s">
        <v>4919</v>
      </c>
      <c r="C23" s="4" t="s">
        <v>4920</v>
      </c>
      <c r="D23" s="4" t="s">
        <v>4883</v>
      </c>
      <c r="E23" s="113">
        <v>44206</v>
      </c>
      <c r="F23" s="6">
        <v>120000000</v>
      </c>
      <c r="G23" s="1">
        <f>_xlfn.XLOOKUP(tblFA[[#This Row],[Asset Class]],tblFAClass[Asset Class],tblFAClass[Useful Life (years)])</f>
        <v>4</v>
      </c>
      <c r="H23" s="1">
        <f>_xlfn.XLOOKUP(tblFA[[#This Row],[Asset Class]],tblFAClass[Asset Class],tblFAClass[Cost Account])</f>
        <v>1650</v>
      </c>
      <c r="I23" s="1">
        <f>_xlfn.XLOOKUP(tblFA[[#This Row],[Asset Class]],tblFAClass[Asset Class],tblFAClass[Acc. Dep. Account])</f>
        <v>1695</v>
      </c>
      <c r="J23" s="1">
        <f>_xlfn.XLOOKUP(tblFA[[#This Row],[Asset Class]],tblFAClass[Asset Class],tblFAClass[Expense Account])</f>
        <v>6240</v>
      </c>
      <c r="K23" s="5">
        <f>IF(tblFA[[#This Row],[Useful Life (yrs)]]=0,0,ROUND(tblFA[[#This Row],[Cost]]/(tblFA[[#This Row],[Useful Life (yrs)]]*12),0))</f>
        <v>2500000</v>
      </c>
      <c r="L23" s="112">
        <f>DATE(YEAR(tblFA[[#This Row],[Acquisition Date]]),MONTH(tblFA[[#This Row],[Acquisition Date]]),1)</f>
        <v>44197</v>
      </c>
      <c r="M23"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120000000</v>
      </c>
      <c r="N23" s="5">
        <f>IF(tblFA[[#This Row],[Acquisition Date]]&gt;CompDate,0,tblFA[[#This Row],[Cost]]-tblFA[[#This Row],[Opening Acc. Dep.]])</f>
        <v>0</v>
      </c>
      <c r="O23"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0</v>
      </c>
      <c r="P23"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0</v>
      </c>
      <c r="Q23"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0</v>
      </c>
      <c r="R23"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0</v>
      </c>
      <c r="S23"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0</v>
      </c>
      <c r="T23"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0</v>
      </c>
      <c r="U23"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0</v>
      </c>
      <c r="V23"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0</v>
      </c>
      <c r="W23"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0</v>
      </c>
      <c r="X23"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0</v>
      </c>
      <c r="Y23"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0</v>
      </c>
      <c r="Z23"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0</v>
      </c>
      <c r="AA23" s="5" cm="1">
        <f t="array" ref="AA23">SUMPRODUCT(($O$14:$Z$14&lt;=CutOff)*tblFA[[#This Row],[Jan]:[Dec]])</f>
        <v>0</v>
      </c>
      <c r="AB23" s="5">
        <f>IF(tblFA[[#This Row],[Acquisition Date]]&gt;PEnd,0,tblFA[[#This Row],[Opening Acc. Dep.]]+tblFA[[#This Row],[YTD Depreciation]])</f>
        <v>120000000</v>
      </c>
      <c r="AC23" s="5">
        <f>IF(tblFA[[#This Row],[Acquisition Date]]&lt;=PEnd,tblFA[[#This Row],[Cost]],0)</f>
        <v>120000000</v>
      </c>
      <c r="AD23" s="5">
        <f>tblFA[[#This Row],[Cost at Period End]]-tblFA[[#This Row],[Acc. Dep. at Period End]]</f>
        <v>0</v>
      </c>
      <c r="AE23" s="1" t="str">
        <f>IF(tblFA[[#This Row],[Acquisition Date]]&gt;PEnd,"Not yet acquired",IF(tblFA[[#This Row],[Useful Life (yrs)]]=0,"Not depreciated",IF(tblFA[[#This Row],[NBV at Period End]]&lt;=0,"Fully depreciated","Active")))</f>
        <v>Fully depreciated</v>
      </c>
    </row>
    <row r="24" spans="2:31" x14ac:dyDescent="0.35">
      <c r="B24" s="4" t="s">
        <v>4921</v>
      </c>
      <c r="C24" s="4" t="s">
        <v>4922</v>
      </c>
      <c r="D24" s="4" t="s">
        <v>4883</v>
      </c>
      <c r="E24" s="113">
        <v>45108</v>
      </c>
      <c r="F24" s="6">
        <v>96000000</v>
      </c>
      <c r="G24" s="1">
        <f>_xlfn.XLOOKUP(tblFA[[#This Row],[Asset Class]],tblFAClass[Asset Class],tblFAClass[Useful Life (years)])</f>
        <v>4</v>
      </c>
      <c r="H24" s="1">
        <f>_xlfn.XLOOKUP(tblFA[[#This Row],[Asset Class]],tblFAClass[Asset Class],tblFAClass[Cost Account])</f>
        <v>1650</v>
      </c>
      <c r="I24" s="1">
        <f>_xlfn.XLOOKUP(tblFA[[#This Row],[Asset Class]],tblFAClass[Asset Class],tblFAClass[Acc. Dep. Account])</f>
        <v>1695</v>
      </c>
      <c r="J24" s="1">
        <f>_xlfn.XLOOKUP(tblFA[[#This Row],[Asset Class]],tblFAClass[Asset Class],tblFAClass[Expense Account])</f>
        <v>6240</v>
      </c>
      <c r="K24" s="5">
        <f>IF(tblFA[[#This Row],[Useful Life (yrs)]]=0,0,ROUND(tblFA[[#This Row],[Cost]]/(tblFA[[#This Row],[Useful Life (yrs)]]*12),0))</f>
        <v>2000000</v>
      </c>
      <c r="L24" s="112">
        <f>DATE(YEAR(tblFA[[#This Row],[Acquisition Date]]),MONTH(tblFA[[#This Row],[Acquisition Date]]),1)</f>
        <v>45108</v>
      </c>
      <c r="M24"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60000000</v>
      </c>
      <c r="N24" s="5">
        <f>IF(tblFA[[#This Row],[Acquisition Date]]&gt;CompDate,0,tblFA[[#This Row],[Cost]]-tblFA[[#This Row],[Opening Acc. Dep.]])</f>
        <v>36000000</v>
      </c>
      <c r="O24"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2000000</v>
      </c>
      <c r="P24"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2000000</v>
      </c>
      <c r="Q24"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2000000</v>
      </c>
      <c r="R24"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2000000</v>
      </c>
      <c r="S24"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2000000</v>
      </c>
      <c r="T24"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2000000</v>
      </c>
      <c r="U24"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2000000</v>
      </c>
      <c r="V24"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2000000</v>
      </c>
      <c r="W24"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2000000</v>
      </c>
      <c r="X24"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2000000</v>
      </c>
      <c r="Y24"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2000000</v>
      </c>
      <c r="Z24"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2000000</v>
      </c>
      <c r="AA24" s="5" cm="1">
        <f t="array" ref="AA24">SUMPRODUCT(($O$14:$Z$14&lt;=CutOff)*tblFA[[#This Row],[Jan]:[Dec]])</f>
        <v>20000000</v>
      </c>
      <c r="AB24" s="5">
        <f>IF(tblFA[[#This Row],[Acquisition Date]]&gt;PEnd,0,tblFA[[#This Row],[Opening Acc. Dep.]]+tblFA[[#This Row],[YTD Depreciation]])</f>
        <v>80000000</v>
      </c>
      <c r="AC24" s="5">
        <f>IF(tblFA[[#This Row],[Acquisition Date]]&lt;=PEnd,tblFA[[#This Row],[Cost]],0)</f>
        <v>96000000</v>
      </c>
      <c r="AD24" s="5">
        <f>tblFA[[#This Row],[Cost at Period End]]-tblFA[[#This Row],[Acc. Dep. at Period End]]</f>
        <v>16000000</v>
      </c>
      <c r="AE24" s="1" t="str">
        <f>IF(tblFA[[#This Row],[Acquisition Date]]&gt;PEnd,"Not yet acquired",IF(tblFA[[#This Row],[Useful Life (yrs)]]=0,"Not depreciated",IF(tblFA[[#This Row],[NBV at Period End]]&lt;=0,"Fully depreciated","Active")))</f>
        <v>Active</v>
      </c>
    </row>
    <row r="25" spans="2:31" x14ac:dyDescent="0.35">
      <c r="B25" s="4" t="s">
        <v>4923</v>
      </c>
      <c r="C25" s="4" t="s">
        <v>4924</v>
      </c>
      <c r="D25" s="4" t="s">
        <v>4883</v>
      </c>
      <c r="E25" s="113">
        <v>45352</v>
      </c>
      <c r="F25" s="6">
        <v>54000000</v>
      </c>
      <c r="G25" s="1">
        <f>_xlfn.XLOOKUP(tblFA[[#This Row],[Asset Class]],tblFAClass[Asset Class],tblFAClass[Useful Life (years)])</f>
        <v>4</v>
      </c>
      <c r="H25" s="1">
        <f>_xlfn.XLOOKUP(tblFA[[#This Row],[Asset Class]],tblFAClass[Asset Class],tblFAClass[Cost Account])</f>
        <v>1650</v>
      </c>
      <c r="I25" s="1">
        <f>_xlfn.XLOOKUP(tblFA[[#This Row],[Asset Class]],tblFAClass[Asset Class],tblFAClass[Acc. Dep. Account])</f>
        <v>1695</v>
      </c>
      <c r="J25" s="1">
        <f>_xlfn.XLOOKUP(tblFA[[#This Row],[Asset Class]],tblFAClass[Asset Class],tblFAClass[Expense Account])</f>
        <v>6240</v>
      </c>
      <c r="K25" s="5">
        <f>IF(tblFA[[#This Row],[Useful Life (yrs)]]=0,0,ROUND(tblFA[[#This Row],[Cost]]/(tblFA[[#This Row],[Useful Life (yrs)]]*12),0))</f>
        <v>1125000</v>
      </c>
      <c r="L25" s="112">
        <f>DATE(YEAR(tblFA[[#This Row],[Acquisition Date]]),MONTH(tblFA[[#This Row],[Acquisition Date]]),1)</f>
        <v>45352</v>
      </c>
      <c r="M25"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24750000</v>
      </c>
      <c r="N25" s="5">
        <f>IF(tblFA[[#This Row],[Acquisition Date]]&gt;CompDate,0,tblFA[[#This Row],[Cost]]-tblFA[[#This Row],[Opening Acc. Dep.]])</f>
        <v>29250000</v>
      </c>
      <c r="O25"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1125000</v>
      </c>
      <c r="P25"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1125000</v>
      </c>
      <c r="Q25"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1125000</v>
      </c>
      <c r="R25"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1125000</v>
      </c>
      <c r="S25"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1125000</v>
      </c>
      <c r="T25"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1125000</v>
      </c>
      <c r="U25"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1125000</v>
      </c>
      <c r="V25"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1125000</v>
      </c>
      <c r="W25"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1125000</v>
      </c>
      <c r="X25"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1125000</v>
      </c>
      <c r="Y25"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1125000</v>
      </c>
      <c r="Z25"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1125000</v>
      </c>
      <c r="AA25" s="5" cm="1">
        <f t="array" ref="AA25">SUMPRODUCT(($O$14:$Z$14&lt;=CutOff)*tblFA[[#This Row],[Jan]:[Dec]])</f>
        <v>11250000</v>
      </c>
      <c r="AB25" s="5">
        <f>IF(tblFA[[#This Row],[Acquisition Date]]&gt;PEnd,0,tblFA[[#This Row],[Opening Acc. Dep.]]+tblFA[[#This Row],[YTD Depreciation]])</f>
        <v>36000000</v>
      </c>
      <c r="AC25" s="5">
        <f>IF(tblFA[[#This Row],[Acquisition Date]]&lt;=PEnd,tblFA[[#This Row],[Cost]],0)</f>
        <v>54000000</v>
      </c>
      <c r="AD25" s="5">
        <f>tblFA[[#This Row],[Cost at Period End]]-tblFA[[#This Row],[Acc. Dep. at Period End]]</f>
        <v>18000000</v>
      </c>
      <c r="AE25" s="1" t="str">
        <f>IF(tblFA[[#This Row],[Acquisition Date]]&gt;PEnd,"Not yet acquired",IF(tblFA[[#This Row],[Useful Life (yrs)]]=0,"Not depreciated",IF(tblFA[[#This Row],[NBV at Period End]]&lt;=0,"Fully depreciated","Active")))</f>
        <v>Active</v>
      </c>
    </row>
    <row r="26" spans="2:31" x14ac:dyDescent="0.35">
      <c r="B26" s="4" t="s">
        <v>4925</v>
      </c>
      <c r="C26" s="4" t="s">
        <v>4926</v>
      </c>
      <c r="D26" s="4" t="s">
        <v>4885</v>
      </c>
      <c r="E26" s="113">
        <v>44927</v>
      </c>
      <c r="F26" s="6">
        <v>180000000</v>
      </c>
      <c r="G26" s="1">
        <f>_xlfn.XLOOKUP(tblFA[[#This Row],[Asset Class]],tblFAClass[Asset Class],tblFAClass[Useful Life (years)])</f>
        <v>4</v>
      </c>
      <c r="H26" s="1">
        <f>_xlfn.XLOOKUP(tblFA[[#This Row],[Asset Class]],tblFAClass[Asset Class],tblFAClass[Cost Account])</f>
        <v>1710</v>
      </c>
      <c r="I26" s="1">
        <f>_xlfn.XLOOKUP(tblFA[[#This Row],[Asset Class]],tblFAClass[Asset Class],tblFAClass[Acc. Dep. Account])</f>
        <v>1719</v>
      </c>
      <c r="J26" s="1">
        <f>_xlfn.XLOOKUP(tblFA[[#This Row],[Asset Class]],tblFAClass[Asset Class],tblFAClass[Expense Account])</f>
        <v>6250</v>
      </c>
      <c r="K26" s="5">
        <f>IF(tblFA[[#This Row],[Useful Life (yrs)]]=0,0,ROUND(tblFA[[#This Row],[Cost]]/(tblFA[[#This Row],[Useful Life (yrs)]]*12),0))</f>
        <v>3750000</v>
      </c>
      <c r="L26" s="112">
        <f>DATE(YEAR(tblFA[[#This Row],[Acquisition Date]]),MONTH(tblFA[[#This Row],[Acquisition Date]]),1)</f>
        <v>44927</v>
      </c>
      <c r="M26"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135000000</v>
      </c>
      <c r="N26" s="5">
        <f>IF(tblFA[[#This Row],[Acquisition Date]]&gt;CompDate,0,tblFA[[#This Row],[Cost]]-tblFA[[#This Row],[Opening Acc. Dep.]])</f>
        <v>45000000</v>
      </c>
      <c r="O26"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3750000</v>
      </c>
      <c r="P26"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3750000</v>
      </c>
      <c r="Q26"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3750000</v>
      </c>
      <c r="R26"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3750000</v>
      </c>
      <c r="S26"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3750000</v>
      </c>
      <c r="T26"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3750000</v>
      </c>
      <c r="U26"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3750000</v>
      </c>
      <c r="V26"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3750000</v>
      </c>
      <c r="W26"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3750000</v>
      </c>
      <c r="X26"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3750000</v>
      </c>
      <c r="Y26"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3750000</v>
      </c>
      <c r="Z26"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3750000</v>
      </c>
      <c r="AA26" s="5" cm="1">
        <f t="array" ref="AA26">SUMPRODUCT(($O$14:$Z$14&lt;=CutOff)*tblFA[[#This Row],[Jan]:[Dec]])</f>
        <v>37500000</v>
      </c>
      <c r="AB26" s="5">
        <f>IF(tblFA[[#This Row],[Acquisition Date]]&gt;PEnd,0,tblFA[[#This Row],[Opening Acc. Dep.]]+tblFA[[#This Row],[YTD Depreciation]])</f>
        <v>172500000</v>
      </c>
      <c r="AC26" s="5">
        <f>IF(tblFA[[#This Row],[Acquisition Date]]&lt;=PEnd,tblFA[[#This Row],[Cost]],0)</f>
        <v>180000000</v>
      </c>
      <c r="AD26" s="5">
        <f>tblFA[[#This Row],[Cost at Period End]]-tblFA[[#This Row],[Acc. Dep. at Period End]]</f>
        <v>7500000</v>
      </c>
      <c r="AE26" s="1" t="str">
        <f>IF(tblFA[[#This Row],[Acquisition Date]]&gt;PEnd,"Not yet acquired",IF(tblFA[[#This Row],[Useful Life (yrs)]]=0,"Not depreciated",IF(tblFA[[#This Row],[NBV at Period End]]&lt;=0,"Fully depreciated","Active")))</f>
        <v>Active</v>
      </c>
    </row>
    <row r="27" spans="2:31" x14ac:dyDescent="0.35">
      <c r="B27" s="4" t="s">
        <v>4927</v>
      </c>
      <c r="C27" s="4" t="s">
        <v>4928</v>
      </c>
      <c r="D27" s="4" t="s">
        <v>4882</v>
      </c>
      <c r="E27" s="113">
        <v>46096</v>
      </c>
      <c r="F27" s="6">
        <v>180000000</v>
      </c>
      <c r="G27" s="1">
        <f>_xlfn.XLOOKUP(tblFA[[#This Row],[Asset Class]],tblFAClass[Asset Class],tblFAClass[Useful Life (years)])</f>
        <v>8</v>
      </c>
      <c r="H27" s="1">
        <f>_xlfn.XLOOKUP(tblFA[[#This Row],[Asset Class]],tblFAClass[Asset Class],tblFAClass[Cost Account])</f>
        <v>1640</v>
      </c>
      <c r="I27" s="1">
        <f>_xlfn.XLOOKUP(tblFA[[#This Row],[Asset Class]],tblFAClass[Asset Class],tblFAClass[Acc. Dep. Account])</f>
        <v>1694</v>
      </c>
      <c r="J27" s="1">
        <f>_xlfn.XLOOKUP(tblFA[[#This Row],[Asset Class]],tblFAClass[Asset Class],tblFAClass[Expense Account])</f>
        <v>6240</v>
      </c>
      <c r="K27" s="5">
        <f>IF(tblFA[[#This Row],[Useful Life (yrs)]]=0,0,ROUND(tblFA[[#This Row],[Cost]]/(tblFA[[#This Row],[Useful Life (yrs)]]*12),0))</f>
        <v>1875000</v>
      </c>
      <c r="L27" s="112">
        <f>DATE(YEAR(tblFA[[#This Row],[Acquisition Date]]),MONTH(tblFA[[#This Row],[Acquisition Date]]),1)</f>
        <v>46082</v>
      </c>
      <c r="M27"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0</v>
      </c>
      <c r="N27" s="5">
        <f>IF(tblFA[[#This Row],[Acquisition Date]]&gt;CompDate,0,tblFA[[#This Row],[Cost]]-tblFA[[#This Row],[Opening Acc. Dep.]])</f>
        <v>0</v>
      </c>
      <c r="O27"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0</v>
      </c>
      <c r="P27"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0</v>
      </c>
      <c r="Q27"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1875000</v>
      </c>
      <c r="R27"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1875000</v>
      </c>
      <c r="S27"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1875000</v>
      </c>
      <c r="T27"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1875000</v>
      </c>
      <c r="U27"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1875000</v>
      </c>
      <c r="V27"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1875000</v>
      </c>
      <c r="W27"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1875000</v>
      </c>
      <c r="X27"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1875000</v>
      </c>
      <c r="Y27"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1875000</v>
      </c>
      <c r="Z27"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1875000</v>
      </c>
      <c r="AA27" s="5" cm="1">
        <f t="array" ref="AA27">SUMPRODUCT(($O$14:$Z$14&lt;=CutOff)*tblFA[[#This Row],[Jan]:[Dec]])</f>
        <v>15000000</v>
      </c>
      <c r="AB27" s="5">
        <f>IF(tblFA[[#This Row],[Acquisition Date]]&gt;PEnd,0,tblFA[[#This Row],[Opening Acc. Dep.]]+tblFA[[#This Row],[YTD Depreciation]])</f>
        <v>15000000</v>
      </c>
      <c r="AC27" s="5">
        <f>IF(tblFA[[#This Row],[Acquisition Date]]&lt;=PEnd,tblFA[[#This Row],[Cost]],0)</f>
        <v>180000000</v>
      </c>
      <c r="AD27" s="5">
        <f>tblFA[[#This Row],[Cost at Period End]]-tblFA[[#This Row],[Acc. Dep. at Period End]]</f>
        <v>165000000</v>
      </c>
      <c r="AE27" s="1" t="str">
        <f>IF(tblFA[[#This Row],[Acquisition Date]]&gt;PEnd,"Not yet acquired",IF(tblFA[[#This Row],[Useful Life (yrs)]]=0,"Not depreciated",IF(tblFA[[#This Row],[NBV at Period End]]&lt;=0,"Fully depreciated","Active")))</f>
        <v>Active</v>
      </c>
    </row>
    <row r="28" spans="2:31" x14ac:dyDescent="0.35">
      <c r="B28" s="4" t="s">
        <v>4929</v>
      </c>
      <c r="C28" s="4" t="s">
        <v>4930</v>
      </c>
      <c r="D28" s="4" t="s">
        <v>4880</v>
      </c>
      <c r="E28" s="113">
        <v>46244</v>
      </c>
      <c r="F28" s="6">
        <v>320000000</v>
      </c>
      <c r="G28" s="1">
        <f>_xlfn.XLOOKUP(tblFA[[#This Row],[Asset Class]],tblFAClass[Asset Class],tblFAClass[Useful Life (years)])</f>
        <v>8</v>
      </c>
      <c r="H28" s="1">
        <f>_xlfn.XLOOKUP(tblFA[[#This Row],[Asset Class]],tblFAClass[Asset Class],tblFAClass[Cost Account])</f>
        <v>1630</v>
      </c>
      <c r="I28" s="1">
        <f>_xlfn.XLOOKUP(tblFA[[#This Row],[Asset Class]],tblFAClass[Asset Class],tblFAClass[Acc. Dep. Account])</f>
        <v>1693</v>
      </c>
      <c r="J28" s="1">
        <f>_xlfn.XLOOKUP(tblFA[[#This Row],[Asset Class]],tblFAClass[Asset Class],tblFAClass[Expense Account])</f>
        <v>6240</v>
      </c>
      <c r="K28" s="5">
        <f>IF(tblFA[[#This Row],[Useful Life (yrs)]]=0,0,ROUND(tblFA[[#This Row],[Cost]]/(tblFA[[#This Row],[Useful Life (yrs)]]*12),0))</f>
        <v>3333333</v>
      </c>
      <c r="L28" s="112">
        <f>DATE(YEAR(tblFA[[#This Row],[Acquisition Date]]),MONTH(tblFA[[#This Row],[Acquisition Date]]),1)</f>
        <v>46235</v>
      </c>
      <c r="M28"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0</v>
      </c>
      <c r="N28" s="5">
        <f>IF(tblFA[[#This Row],[Acquisition Date]]&gt;CompDate,0,tblFA[[#This Row],[Cost]]-tblFA[[#This Row],[Opening Acc. Dep.]])</f>
        <v>0</v>
      </c>
      <c r="O28"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0</v>
      </c>
      <c r="P28"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0</v>
      </c>
      <c r="Q28"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0</v>
      </c>
      <c r="R28"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0</v>
      </c>
      <c r="S28"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0</v>
      </c>
      <c r="T28"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0</v>
      </c>
      <c r="U28"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0</v>
      </c>
      <c r="V28"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3333333</v>
      </c>
      <c r="W28"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3333333</v>
      </c>
      <c r="X28"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3333333</v>
      </c>
      <c r="Y28"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3333333</v>
      </c>
      <c r="Z28"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3333333</v>
      </c>
      <c r="AA28" s="5" cm="1">
        <f t="array" ref="AA28">SUMPRODUCT(($O$14:$Z$14&lt;=CutOff)*tblFA[[#This Row],[Jan]:[Dec]])</f>
        <v>9999999</v>
      </c>
      <c r="AB28" s="5">
        <f>IF(tblFA[[#This Row],[Acquisition Date]]&gt;PEnd,0,tblFA[[#This Row],[Opening Acc. Dep.]]+tblFA[[#This Row],[YTD Depreciation]])</f>
        <v>9999999</v>
      </c>
      <c r="AC28" s="5">
        <f>IF(tblFA[[#This Row],[Acquisition Date]]&lt;=PEnd,tblFA[[#This Row],[Cost]],0)</f>
        <v>320000000</v>
      </c>
      <c r="AD28" s="5">
        <f>tblFA[[#This Row],[Cost at Period End]]-tblFA[[#This Row],[Acc. Dep. at Period End]]</f>
        <v>310000001</v>
      </c>
      <c r="AE28" s="1" t="str">
        <f>IF(tblFA[[#This Row],[Acquisition Date]]&gt;PEnd,"Not yet acquired",IF(tblFA[[#This Row],[Useful Life (yrs)]]=0,"Not depreciated",IF(tblFA[[#This Row],[NBV at Period End]]&lt;=0,"Fully depreciated","Active")))</f>
        <v>Active</v>
      </c>
    </row>
    <row r="29" spans="2:31" x14ac:dyDescent="0.35">
      <c r="B29" s="4" t="s">
        <v>4931</v>
      </c>
      <c r="C29" s="4" t="s">
        <v>4932</v>
      </c>
      <c r="D29" s="4" t="s">
        <v>4885</v>
      </c>
      <c r="E29" s="113">
        <v>46185</v>
      </c>
      <c r="F29" s="6">
        <v>60000000</v>
      </c>
      <c r="G29" s="1">
        <f>_xlfn.XLOOKUP(tblFA[[#This Row],[Asset Class]],tblFAClass[Asset Class],tblFAClass[Useful Life (years)])</f>
        <v>4</v>
      </c>
      <c r="H29" s="1">
        <f>_xlfn.XLOOKUP(tblFA[[#This Row],[Asset Class]],tblFAClass[Asset Class],tblFAClass[Cost Account])</f>
        <v>1710</v>
      </c>
      <c r="I29" s="1">
        <f>_xlfn.XLOOKUP(tblFA[[#This Row],[Asset Class]],tblFAClass[Asset Class],tblFAClass[Acc. Dep. Account])</f>
        <v>1719</v>
      </c>
      <c r="J29" s="1">
        <f>_xlfn.XLOOKUP(tblFA[[#This Row],[Asset Class]],tblFAClass[Asset Class],tblFAClass[Expense Account])</f>
        <v>6250</v>
      </c>
      <c r="K29" s="5">
        <f>IF(tblFA[[#This Row],[Useful Life (yrs)]]=0,0,ROUND(tblFA[[#This Row],[Cost]]/(tblFA[[#This Row],[Useful Life (yrs)]]*12),0))</f>
        <v>1250000</v>
      </c>
      <c r="L29" s="112">
        <f>DATE(YEAR(tblFA[[#This Row],[Acquisition Date]]),MONTH(tblFA[[#This Row],[Acquisition Date]]),1)</f>
        <v>46174</v>
      </c>
      <c r="M29" s="5">
        <f>_xlfn.LET(_xlpm.nm,tblFA[[#This Row],[Useful Life (yrs)]]*12,_xlpm.s,YEAR(tblFA[[#This Row],[Dep. Start]])*12+MONTH(tblFA[[#This Row],[Dep. Start]]),_xlpm.e,MAX(0,MIN(_xlpm.nm,YEAR(CompDate)*12+MONTH(CompDate)-_xlpm.s+1)),IF(OR(_xlpm.nm=0,tblFA[[#This Row],[Acquisition Date]]&gt;CompDate),0,IF(_xlpm.e&gt;=_xlpm.nm,tblFA[[#This Row],[Cost]],tblFA[[#This Row],[Monthly Depreciation]]*_xlpm.e)))</f>
        <v>0</v>
      </c>
      <c r="N29" s="5">
        <f>IF(tblFA[[#This Row],[Acquisition Date]]&gt;CompDate,0,tblFA[[#This Row],[Cost]]-tblFA[[#This Row],[Opening Acc. Dep.]])</f>
        <v>0</v>
      </c>
      <c r="O29" s="5">
        <f>_xlfn.LET(_xlpm.nm,tblFA[[#This Row],[Useful Life (yrs)]]*12,_xlpm.s,YEAR(tblFA[[#This Row],[Dep. Start]])*12+MONTH(tblFA[[#This Row],[Dep. Start]]),_xlpm.i,FYear*12+O$14,IF(AND(_xlpm.nm&gt;0,_xlpm.i&gt;=_xlpm.s,_xlpm.i&lt;_xlpm.s+_xlpm.nm),IF(_xlpm.i=_xlpm.s+_xlpm.nm-1,tblFA[[#This Row],[Cost]]-tblFA[[#This Row],[Monthly Depreciation]]*(_xlpm.nm-1),tblFA[[#This Row],[Monthly Depreciation]]),0))</f>
        <v>0</v>
      </c>
      <c r="P29" s="5">
        <f>_xlfn.LET(_xlpm.nm,tblFA[[#This Row],[Useful Life (yrs)]]*12,_xlpm.s,YEAR(tblFA[[#This Row],[Dep. Start]])*12+MONTH(tblFA[[#This Row],[Dep. Start]]),_xlpm.i,FYear*12+P$14,IF(AND(_xlpm.nm&gt;0,_xlpm.i&gt;=_xlpm.s,_xlpm.i&lt;_xlpm.s+_xlpm.nm),IF(_xlpm.i=_xlpm.s+_xlpm.nm-1,tblFA[[#This Row],[Cost]]-tblFA[[#This Row],[Monthly Depreciation]]*(_xlpm.nm-1),tblFA[[#This Row],[Monthly Depreciation]]),0))</f>
        <v>0</v>
      </c>
      <c r="Q29" s="5">
        <f>_xlfn.LET(_xlpm.nm,tblFA[[#This Row],[Useful Life (yrs)]]*12,_xlpm.s,YEAR(tblFA[[#This Row],[Dep. Start]])*12+MONTH(tblFA[[#This Row],[Dep. Start]]),_xlpm.i,FYear*12+Q$14,IF(AND(_xlpm.nm&gt;0,_xlpm.i&gt;=_xlpm.s,_xlpm.i&lt;_xlpm.s+_xlpm.nm),IF(_xlpm.i=_xlpm.s+_xlpm.nm-1,tblFA[[#This Row],[Cost]]-tblFA[[#This Row],[Monthly Depreciation]]*(_xlpm.nm-1),tblFA[[#This Row],[Monthly Depreciation]]),0))</f>
        <v>0</v>
      </c>
      <c r="R29" s="5">
        <f>_xlfn.LET(_xlpm.nm,tblFA[[#This Row],[Useful Life (yrs)]]*12,_xlpm.s,YEAR(tblFA[[#This Row],[Dep. Start]])*12+MONTH(tblFA[[#This Row],[Dep. Start]]),_xlpm.i,FYear*12+R$14,IF(AND(_xlpm.nm&gt;0,_xlpm.i&gt;=_xlpm.s,_xlpm.i&lt;_xlpm.s+_xlpm.nm),IF(_xlpm.i=_xlpm.s+_xlpm.nm-1,tblFA[[#This Row],[Cost]]-tblFA[[#This Row],[Monthly Depreciation]]*(_xlpm.nm-1),tblFA[[#This Row],[Monthly Depreciation]]),0))</f>
        <v>0</v>
      </c>
      <c r="S29" s="5">
        <f>_xlfn.LET(_xlpm.nm,tblFA[[#This Row],[Useful Life (yrs)]]*12,_xlpm.s,YEAR(tblFA[[#This Row],[Dep. Start]])*12+MONTH(tblFA[[#This Row],[Dep. Start]]),_xlpm.i,FYear*12+S$14,IF(AND(_xlpm.nm&gt;0,_xlpm.i&gt;=_xlpm.s,_xlpm.i&lt;_xlpm.s+_xlpm.nm),IF(_xlpm.i=_xlpm.s+_xlpm.nm-1,tblFA[[#This Row],[Cost]]-tblFA[[#This Row],[Monthly Depreciation]]*(_xlpm.nm-1),tblFA[[#This Row],[Monthly Depreciation]]),0))</f>
        <v>0</v>
      </c>
      <c r="T29" s="5">
        <f>_xlfn.LET(_xlpm.nm,tblFA[[#This Row],[Useful Life (yrs)]]*12,_xlpm.s,YEAR(tblFA[[#This Row],[Dep. Start]])*12+MONTH(tblFA[[#This Row],[Dep. Start]]),_xlpm.i,FYear*12+T$14,IF(AND(_xlpm.nm&gt;0,_xlpm.i&gt;=_xlpm.s,_xlpm.i&lt;_xlpm.s+_xlpm.nm),IF(_xlpm.i=_xlpm.s+_xlpm.nm-1,tblFA[[#This Row],[Cost]]-tblFA[[#This Row],[Monthly Depreciation]]*(_xlpm.nm-1),tblFA[[#This Row],[Monthly Depreciation]]),0))</f>
        <v>1250000</v>
      </c>
      <c r="U29" s="5">
        <f>_xlfn.LET(_xlpm.nm,tblFA[[#This Row],[Useful Life (yrs)]]*12,_xlpm.s,YEAR(tblFA[[#This Row],[Dep. Start]])*12+MONTH(tblFA[[#This Row],[Dep. Start]]),_xlpm.i,FYear*12+U$14,IF(AND(_xlpm.nm&gt;0,_xlpm.i&gt;=_xlpm.s,_xlpm.i&lt;_xlpm.s+_xlpm.nm),IF(_xlpm.i=_xlpm.s+_xlpm.nm-1,tblFA[[#This Row],[Cost]]-tblFA[[#This Row],[Monthly Depreciation]]*(_xlpm.nm-1),tblFA[[#This Row],[Monthly Depreciation]]),0))</f>
        <v>1250000</v>
      </c>
      <c r="V29" s="5">
        <f>_xlfn.LET(_xlpm.nm,tblFA[[#This Row],[Useful Life (yrs)]]*12,_xlpm.s,YEAR(tblFA[[#This Row],[Dep. Start]])*12+MONTH(tblFA[[#This Row],[Dep. Start]]),_xlpm.i,FYear*12+V$14,IF(AND(_xlpm.nm&gt;0,_xlpm.i&gt;=_xlpm.s,_xlpm.i&lt;_xlpm.s+_xlpm.nm),IF(_xlpm.i=_xlpm.s+_xlpm.nm-1,tblFA[[#This Row],[Cost]]-tblFA[[#This Row],[Monthly Depreciation]]*(_xlpm.nm-1),tblFA[[#This Row],[Monthly Depreciation]]),0))</f>
        <v>1250000</v>
      </c>
      <c r="W29" s="5">
        <f>_xlfn.LET(_xlpm.nm,tblFA[[#This Row],[Useful Life (yrs)]]*12,_xlpm.s,YEAR(tblFA[[#This Row],[Dep. Start]])*12+MONTH(tblFA[[#This Row],[Dep. Start]]),_xlpm.i,FYear*12+W$14,IF(AND(_xlpm.nm&gt;0,_xlpm.i&gt;=_xlpm.s,_xlpm.i&lt;_xlpm.s+_xlpm.nm),IF(_xlpm.i=_xlpm.s+_xlpm.nm-1,tblFA[[#This Row],[Cost]]-tblFA[[#This Row],[Monthly Depreciation]]*(_xlpm.nm-1),tblFA[[#This Row],[Monthly Depreciation]]),0))</f>
        <v>1250000</v>
      </c>
      <c r="X29" s="5">
        <f>_xlfn.LET(_xlpm.nm,tblFA[[#This Row],[Useful Life (yrs)]]*12,_xlpm.s,YEAR(tblFA[[#This Row],[Dep. Start]])*12+MONTH(tblFA[[#This Row],[Dep. Start]]),_xlpm.i,FYear*12+X$14,IF(AND(_xlpm.nm&gt;0,_xlpm.i&gt;=_xlpm.s,_xlpm.i&lt;_xlpm.s+_xlpm.nm),IF(_xlpm.i=_xlpm.s+_xlpm.nm-1,tblFA[[#This Row],[Cost]]-tblFA[[#This Row],[Monthly Depreciation]]*(_xlpm.nm-1),tblFA[[#This Row],[Monthly Depreciation]]),0))</f>
        <v>1250000</v>
      </c>
      <c r="Y29" s="5">
        <f>_xlfn.LET(_xlpm.nm,tblFA[[#This Row],[Useful Life (yrs)]]*12,_xlpm.s,YEAR(tblFA[[#This Row],[Dep. Start]])*12+MONTH(tblFA[[#This Row],[Dep. Start]]),_xlpm.i,FYear*12+Y$14,IF(AND(_xlpm.nm&gt;0,_xlpm.i&gt;=_xlpm.s,_xlpm.i&lt;_xlpm.s+_xlpm.nm),IF(_xlpm.i=_xlpm.s+_xlpm.nm-1,tblFA[[#This Row],[Cost]]-tblFA[[#This Row],[Monthly Depreciation]]*(_xlpm.nm-1),tblFA[[#This Row],[Monthly Depreciation]]),0))</f>
        <v>1250000</v>
      </c>
      <c r="Z29" s="5">
        <f>_xlfn.LET(_xlpm.nm,tblFA[[#This Row],[Useful Life (yrs)]]*12,_xlpm.s,YEAR(tblFA[[#This Row],[Dep. Start]])*12+MONTH(tblFA[[#This Row],[Dep. Start]]),_xlpm.i,FYear*12+Z$14,IF(AND(_xlpm.nm&gt;0,_xlpm.i&gt;=_xlpm.s,_xlpm.i&lt;_xlpm.s+_xlpm.nm),IF(_xlpm.i=_xlpm.s+_xlpm.nm-1,tblFA[[#This Row],[Cost]]-tblFA[[#This Row],[Monthly Depreciation]]*(_xlpm.nm-1),tblFA[[#This Row],[Monthly Depreciation]]),0))</f>
        <v>1250000</v>
      </c>
      <c r="AA29" s="5" cm="1">
        <f t="array" ref="AA29">SUMPRODUCT(($O$14:$Z$14&lt;=CutOff)*tblFA[[#This Row],[Jan]:[Dec]])</f>
        <v>6250000</v>
      </c>
      <c r="AB29" s="5">
        <f>IF(tblFA[[#This Row],[Acquisition Date]]&gt;PEnd,0,tblFA[[#This Row],[Opening Acc. Dep.]]+tblFA[[#This Row],[YTD Depreciation]])</f>
        <v>6250000</v>
      </c>
      <c r="AC29" s="5">
        <f>IF(tblFA[[#This Row],[Acquisition Date]]&lt;=PEnd,tblFA[[#This Row],[Cost]],0)</f>
        <v>60000000</v>
      </c>
      <c r="AD29" s="5">
        <f>tblFA[[#This Row],[Cost at Period End]]-tblFA[[#This Row],[Acc. Dep. at Period End]]</f>
        <v>53750000</v>
      </c>
      <c r="AE29" s="1" t="str">
        <f>IF(tblFA[[#This Row],[Acquisition Date]]&gt;PEnd,"Not yet acquired",IF(tblFA[[#This Row],[Useful Life (yrs)]]=0,"Not depreciated",IF(tblFA[[#This Row],[NBV at Period End]]&lt;=0,"Fully depreciated","Active")))</f>
        <v>Active</v>
      </c>
    </row>
    <row r="30" spans="2:31" x14ac:dyDescent="0.35">
      <c r="B30" s="1" t="s">
        <v>4265</v>
      </c>
      <c r="F30" s="5">
        <f>SUBTOTAL(109,tblFA[Cost])</f>
        <v>5510000000</v>
      </c>
      <c r="K30" s="5"/>
      <c r="L30" s="5"/>
      <c r="M30" s="5">
        <f>SUBTOTAL(109,tblFA[Opening Acc. Dep.])</f>
        <v>1938604166</v>
      </c>
      <c r="N30" s="5">
        <f>SUBTOTAL(109,tblFA[Opening NBV])</f>
        <v>3011395834</v>
      </c>
      <c r="O30" s="5">
        <f>SUBTOTAL(109,tblFA[Jan])</f>
        <v>30000000</v>
      </c>
      <c r="P30" s="5">
        <f>SUBTOTAL(109,tblFA[Feb])</f>
        <v>30000000</v>
      </c>
      <c r="Q30" s="5">
        <f>SUBTOTAL(109,tblFA[Mar])</f>
        <v>31875000</v>
      </c>
      <c r="R30" s="5">
        <f>SUBTOTAL(109,tblFA[Apr])</f>
        <v>31875000</v>
      </c>
      <c r="S30" s="5">
        <f>SUBTOTAL(109,tblFA[May])</f>
        <v>31875000</v>
      </c>
      <c r="T30" s="5">
        <f>SUBTOTAL(109,tblFA[Jun])</f>
        <v>33125000</v>
      </c>
      <c r="U30" s="5">
        <f>SUBTOTAL(109,tblFA[Jul])</f>
        <v>33125000</v>
      </c>
      <c r="V30" s="5">
        <f>SUBTOTAL(109,tblFA[Aug])</f>
        <v>36458333</v>
      </c>
      <c r="W30" s="5">
        <f>SUBTOTAL(109,tblFA[Sep])</f>
        <v>36458333</v>
      </c>
      <c r="X30" s="5">
        <f>SUBTOTAL(109,tblFA[Oct])</f>
        <v>36458333</v>
      </c>
      <c r="Y30" s="5">
        <f>SUBTOTAL(109,tblFA[Nov])</f>
        <v>36458333</v>
      </c>
      <c r="Z30" s="5">
        <f>SUBTOTAL(109,tblFA[Dec])</f>
        <v>36458333</v>
      </c>
      <c r="AA30" s="5">
        <f>SUBTOTAL(109,tblFA[YTD Depreciation])</f>
        <v>331249999</v>
      </c>
      <c r="AB30" s="5">
        <f>SUBTOTAL(109,tblFA[Acc. Dep. at Period End])</f>
        <v>2269854165</v>
      </c>
      <c r="AC30" s="5">
        <f>SUBTOTAL(109,tblFA[Cost at Period End])</f>
        <v>5510000000</v>
      </c>
      <c r="AD30" s="5">
        <f>SUBTOTAL(109,tblFA[NBV at Period End])</f>
        <v>3240145835</v>
      </c>
      <c r="AE30" s="1">
        <f>SUBTOTAL(103,tblFA[Status])</f>
        <v>14</v>
      </c>
    </row>
  </sheetData>
  <mergeCells count="3">
    <mergeCell ref="B2:C2"/>
    <mergeCell ref="G2:H2"/>
    <mergeCell ref="J2:K2"/>
  </mergeCells>
  <dataValidations count="1">
    <dataValidation type="list" allowBlank="1" showInputMessage="1" showErrorMessage="1" sqref="D16:D29" xr:uid="{B15FD6F0-FF5C-4AB0-B8D6-B14291150E53}">
      <formula1>$B$7:$B$12</formula1>
    </dataValidation>
  </dataValidations>
  <hyperlinks>
    <hyperlink ref="B2:C2" location="'Dashboard'!A1" tooltip="Go to Dashboard" display="🏠 HOME" xr:uid="{5CA80446-8B5F-4AC1-80CF-C0E46605DD08}"/>
    <hyperlink ref="E2" location="'Payroll'!A1" tooltip="Go to Payroll" display="◀ PREV" xr:uid="{728B5817-6158-470D-B480-262F778E5705}"/>
    <hyperlink ref="G2:H2" location="'Prepaid Schedule'!A1" tooltip="Go to Prepaid Schedule" display="NEXT ▶" xr:uid="{CD2F2DD3-7DB2-40EE-8100-884E75A945C8}"/>
    <hyperlink ref="J2:K2" location="'Dashboard'!B5" tooltip="Go to Dashboard" display="☰ MENU" xr:uid="{53C4BF45-19A5-4AF1-998C-EB4A79D998D0}"/>
    <hyperlink ref="M2" location="'General Journal'!A1" tooltip="Go to General Journal" display="Journal" xr:uid="{9F0C26CC-1467-43BC-867A-5319D4431631}"/>
    <hyperlink ref="O2" location="'Trial Balance'!A1" tooltip="Go to Trial Balance" display="Trial Bal." xr:uid="{F42C7EDF-82E2-4C7C-84AF-28F3EF2EC8C6}"/>
    <hyperlink ref="Q2" location="'Income Statement'!A1" tooltip="Go to Income Statement" display="Income St." xr:uid="{3D460040-6907-42EF-87EB-D8F6C0EB6035}"/>
    <hyperlink ref="S2" location="'Balance Sheet'!A1" tooltip="Go to Balance Sheet" display="Balance Sh." xr:uid="{8CB982B7-1DE4-499E-B061-5942845F4D86}"/>
    <hyperlink ref="U2" location="'Tax Reconciliation'!A1" tooltip="Go to Tax Reconciliation" display="Tax Recon" xr:uid="{80C4505D-1828-4006-B3C2-2A5D611E9FE0}"/>
    <hyperlink ref="W2" location="'Bank Reconciliation'!A1" tooltip="Go to Bank Reconciliation" display="Bank Recon" xr:uid="{0AFB244C-7C7F-4F80-8826-B4DD3B7D065A}"/>
    <hyperlink ref="Y2" location="'Controls'!A1" tooltip="Go to Controls" display="Controls" xr:uid="{0C1795CD-4707-4BC9-83BA-AF2E249E70F2}"/>
  </hyperlinks>
  <pageMargins left="0.7" right="0.7" top="0.75" bottom="0.75" header="0.3" footer="0.3"/>
  <legacy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383C-4429-42E0-A6E3-654337FDB4B1}">
  <sheetPr>
    <tabColor rgb="FFA78BFA"/>
  </sheetPr>
  <dimension ref="A1:BH24"/>
  <sheetViews>
    <sheetView showGridLines="0" topLeftCell="A12" workbookViewId="0">
      <selection activeCell="C16" sqref="C16"/>
    </sheetView>
  </sheetViews>
  <sheetFormatPr defaultRowHeight="14.5" x14ac:dyDescent="0.35"/>
  <cols>
    <col min="1" max="1" width="1.453125" style="1" customWidth="1"/>
    <col min="2" max="2" width="9.08984375" style="1" customWidth="1"/>
    <col min="3" max="3" width="29.08984375" style="1" customWidth="1"/>
    <col min="4" max="4" width="10.90625" style="1" customWidth="1"/>
    <col min="5" max="7" width="10" style="1" customWidth="1"/>
    <col min="8" max="8" width="11.81640625" style="1" customWidth="1"/>
    <col min="9" max="9" width="13.6328125" style="1" customWidth="1"/>
    <col min="10" max="10" width="11.81640625" style="1" customWidth="1"/>
    <col min="11" max="11" width="8.1796875" style="1" customWidth="1"/>
    <col min="12" max="12" width="11.81640625" style="1" customWidth="1"/>
    <col min="13" max="14" width="13.6328125" style="1" customWidth="1"/>
    <col min="15" max="26" width="10.90625" style="1" customWidth="1"/>
    <col min="27" max="28" width="14.54296875" style="1" customWidth="1"/>
    <col min="29" max="29" width="21.81640625" style="1" customWidth="1"/>
    <col min="30" max="52" width="8.7265625" style="1"/>
  </cols>
  <sheetData>
    <row r="1" spans="1:60" ht="5" customHeight="1" x14ac:dyDescent="0.35"/>
    <row r="2" spans="1:60" ht="18" customHeight="1" thickBot="1" x14ac:dyDescent="0.4">
      <c r="A2" s="307"/>
      <c r="B2" s="312" t="s">
        <v>7075</v>
      </c>
      <c r="C2" s="313"/>
      <c r="D2" s="307"/>
      <c r="E2" s="310" t="s">
        <v>7076</v>
      </c>
      <c r="F2" s="311"/>
      <c r="G2" s="307"/>
      <c r="H2" s="309" t="s">
        <v>7077</v>
      </c>
      <c r="I2" s="307"/>
      <c r="J2" s="308" t="s">
        <v>7078</v>
      </c>
      <c r="K2" s="307"/>
      <c r="L2" s="317" t="s">
        <v>7079</v>
      </c>
      <c r="M2" s="307"/>
      <c r="N2" s="317" t="s">
        <v>7080</v>
      </c>
      <c r="O2" s="307"/>
      <c r="P2" s="314" t="s">
        <v>7081</v>
      </c>
      <c r="Q2" s="315"/>
      <c r="R2" s="307"/>
      <c r="S2" s="314" t="s">
        <v>7082</v>
      </c>
      <c r="T2" s="315"/>
      <c r="U2" s="307"/>
      <c r="V2" s="314" t="s">
        <v>7083</v>
      </c>
      <c r="W2" s="315"/>
      <c r="X2" s="307"/>
      <c r="Y2" s="314" t="s">
        <v>7084</v>
      </c>
      <c r="Z2" s="315"/>
      <c r="AA2" s="307"/>
      <c r="AB2" s="317" t="s">
        <v>7085</v>
      </c>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4933</v>
      </c>
      <c r="C4" s="67"/>
      <c r="D4" s="67"/>
      <c r="E4" s="67"/>
      <c r="F4" s="67"/>
      <c r="G4" s="67"/>
      <c r="H4" s="67"/>
      <c r="I4" s="67"/>
      <c r="J4" s="67"/>
      <c r="K4" s="67"/>
      <c r="L4" s="67"/>
      <c r="M4" s="67"/>
      <c r="N4" s="67"/>
      <c r="O4" s="67"/>
      <c r="P4" s="67"/>
      <c r="Q4" s="67"/>
      <c r="R4" s="67"/>
      <c r="S4" s="67"/>
      <c r="T4" s="67"/>
      <c r="U4" s="67"/>
      <c r="V4" s="67"/>
      <c r="W4" s="67"/>
      <c r="X4" s="67"/>
      <c r="Y4" s="67"/>
      <c r="Z4" s="67"/>
      <c r="AA4" s="67"/>
      <c r="AB4" s="67"/>
      <c r="AC4" s="67"/>
    </row>
    <row r="5" spans="1:60" x14ac:dyDescent="0.35">
      <c r="B5" s="72" t="s">
        <v>4934</v>
      </c>
    </row>
    <row r="7" spans="1:60" x14ac:dyDescent="0.35">
      <c r="B7" s="1" t="s">
        <v>4659</v>
      </c>
      <c r="C7" s="1" t="s">
        <v>4935</v>
      </c>
      <c r="D7" s="1" t="s">
        <v>4874</v>
      </c>
    </row>
    <row r="8" spans="1:60" x14ac:dyDescent="0.35">
      <c r="B8" s="1" t="s">
        <v>4936</v>
      </c>
      <c r="C8" s="1">
        <v>1410</v>
      </c>
      <c r="D8" s="1">
        <v>6220</v>
      </c>
    </row>
    <row r="9" spans="1:60" x14ac:dyDescent="0.35">
      <c r="B9" s="1" t="s">
        <v>4688</v>
      </c>
      <c r="C9" s="1">
        <v>1420</v>
      </c>
      <c r="D9" s="1">
        <v>6260</v>
      </c>
    </row>
    <row r="10" spans="1:60" x14ac:dyDescent="0.35">
      <c r="B10" s="1" t="s">
        <v>4885</v>
      </c>
      <c r="C10" s="1">
        <v>1430</v>
      </c>
      <c r="D10" s="1">
        <v>6265</v>
      </c>
    </row>
    <row r="14" spans="1:60" x14ac:dyDescent="0.35">
      <c r="N14" s="111" t="s">
        <v>4887</v>
      </c>
      <c r="O14" s="111">
        <v>1</v>
      </c>
      <c r="P14" s="111">
        <v>2</v>
      </c>
      <c r="Q14" s="111">
        <v>3</v>
      </c>
      <c r="R14" s="111">
        <v>4</v>
      </c>
      <c r="S14" s="111">
        <v>5</v>
      </c>
      <c r="T14" s="111">
        <v>6</v>
      </c>
      <c r="U14" s="111">
        <v>7</v>
      </c>
      <c r="V14" s="111">
        <v>8</v>
      </c>
      <c r="W14" s="111">
        <v>9</v>
      </c>
      <c r="X14" s="111">
        <v>10</v>
      </c>
      <c r="Y14" s="111">
        <v>11</v>
      </c>
      <c r="Z14" s="111">
        <v>12</v>
      </c>
    </row>
    <row r="15" spans="1:60" ht="24" customHeight="1" x14ac:dyDescent="0.35">
      <c r="B15" s="100" t="s">
        <v>4937</v>
      </c>
      <c r="C15" s="100" t="s">
        <v>4368</v>
      </c>
      <c r="D15" s="100" t="s">
        <v>4659</v>
      </c>
      <c r="E15" s="100" t="s">
        <v>4657</v>
      </c>
      <c r="F15" s="100" t="s">
        <v>4935</v>
      </c>
      <c r="G15" s="100" t="s">
        <v>4874</v>
      </c>
      <c r="H15" s="100" t="s">
        <v>4938</v>
      </c>
      <c r="I15" s="100" t="s">
        <v>4939</v>
      </c>
      <c r="J15" s="100" t="s">
        <v>4940</v>
      </c>
      <c r="K15" s="100" t="s">
        <v>4941</v>
      </c>
      <c r="L15" s="100" t="s">
        <v>4942</v>
      </c>
      <c r="M15" s="100" t="s">
        <v>4943</v>
      </c>
      <c r="N15" s="100" t="s">
        <v>4944</v>
      </c>
      <c r="O15" s="100" t="s">
        <v>4266</v>
      </c>
      <c r="P15" s="100" t="s">
        <v>4267</v>
      </c>
      <c r="Q15" s="100" t="s">
        <v>4268</v>
      </c>
      <c r="R15" s="100" t="s">
        <v>4269</v>
      </c>
      <c r="S15" s="100" t="s">
        <v>4897</v>
      </c>
      <c r="T15" s="100" t="s">
        <v>4270</v>
      </c>
      <c r="U15" s="100" t="s">
        <v>4271</v>
      </c>
      <c r="V15" s="100" t="s">
        <v>4898</v>
      </c>
      <c r="W15" s="100" t="s">
        <v>4272</v>
      </c>
      <c r="X15" s="100" t="s">
        <v>4899</v>
      </c>
      <c r="Y15" s="100" t="s">
        <v>4273</v>
      </c>
      <c r="Z15" s="100" t="s">
        <v>4900</v>
      </c>
      <c r="AA15" s="100" t="s">
        <v>4945</v>
      </c>
      <c r="AB15" s="100" t="s">
        <v>4946</v>
      </c>
      <c r="AC15" s="100" t="s">
        <v>4276</v>
      </c>
    </row>
    <row r="16" spans="1:60" x14ac:dyDescent="0.35">
      <c r="B16" s="4" t="s">
        <v>4947</v>
      </c>
      <c r="C16" s="4" t="s">
        <v>4948</v>
      </c>
      <c r="D16" s="4" t="s">
        <v>4936</v>
      </c>
      <c r="E16" s="4" t="s">
        <v>4680</v>
      </c>
      <c r="F16" s="1">
        <f>_xlfn.XLOOKUP(tblPrepaid[[#This Row],[Category]],tblPrepaidCat[Category],tblPrepaidCat[Prepaid Account])</f>
        <v>1410</v>
      </c>
      <c r="G16" s="1">
        <f>_xlfn.XLOOKUP(tblPrepaid[[#This Row],[Category]],tblPrepaidCat[Category],tblPrepaidCat[Expense Account])</f>
        <v>6220</v>
      </c>
      <c r="H16" s="113">
        <v>46009</v>
      </c>
      <c r="I16" s="6">
        <v>132000000</v>
      </c>
      <c r="J16" s="113">
        <v>46023</v>
      </c>
      <c r="K16" s="4">
        <v>12</v>
      </c>
      <c r="L16" s="109">
        <f>EOMONTH(tblPrepaid[[#This Row],[Coverage Start]],tblPrepaid[[#This Row],[Months]]-1)</f>
        <v>46387</v>
      </c>
      <c r="M16" s="5">
        <f>ROUND(tblPrepaid[[#This Row],[Amount]]/tblPrepaid[[#This Row],[Months]],0)</f>
        <v>11000000</v>
      </c>
      <c r="N16"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132000000</v>
      </c>
      <c r="O16"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11000000</v>
      </c>
      <c r="P16"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11000000</v>
      </c>
      <c r="Q16"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11000000</v>
      </c>
      <c r="R16"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11000000</v>
      </c>
      <c r="S16"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11000000</v>
      </c>
      <c r="T16"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11000000</v>
      </c>
      <c r="U16"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11000000</v>
      </c>
      <c r="V16"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11000000</v>
      </c>
      <c r="W16"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11000000</v>
      </c>
      <c r="X16"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11000000</v>
      </c>
      <c r="Y16"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11000000</v>
      </c>
      <c r="Z16"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11000000</v>
      </c>
      <c r="AA16" s="5" cm="1">
        <f t="array" ref="AA16">SUMPRODUCT(($O$14:$Z$14&lt;=CutOff)*tblPrepaid[[#This Row],[Jan]:[Dec]])</f>
        <v>110000000</v>
      </c>
      <c r="AB16" s="5">
        <f>IF(tblPrepaid[[#This Row],[Payment Date]]&lt;=CompDate,tblPrepaid[[#This Row],[Opening Balance]]-tblPrepaid[[#This Row],[YTD Amortization]],IF(tblPrepaid[[#This Row],[Payment Date]]&lt;=PEnd,tblPrepaid[[#This Row],[Amount]]-tblPrepaid[[#This Row],[YTD Amortization]],0))</f>
        <v>22000000</v>
      </c>
      <c r="AC16" s="1" t="str">
        <f>IF(tblPrepaid[[#This Row],[Payment Date]]&gt;PEnd,"Not yet paid",IF(tblPrepaid[[#This Row],[Balance at Period End]]&lt;=0,"Fully amortized",IF(tblPrepaid[[#This Row],[Coverage Start]]&gt;PEnd,"Paid - coverage not started","Active")))</f>
        <v>Active</v>
      </c>
    </row>
    <row r="17" spans="2:29" x14ac:dyDescent="0.35">
      <c r="B17" s="4" t="s">
        <v>4949</v>
      </c>
      <c r="C17" s="4" t="s">
        <v>4950</v>
      </c>
      <c r="D17" s="4" t="s">
        <v>4936</v>
      </c>
      <c r="E17" s="4" t="s">
        <v>4680</v>
      </c>
      <c r="F17" s="1">
        <f>_xlfn.XLOOKUP(tblPrepaid[[#This Row],[Category]],tblPrepaidCat[Category],tblPrepaidCat[Prepaid Account])</f>
        <v>1410</v>
      </c>
      <c r="G17" s="1">
        <f>_xlfn.XLOOKUP(tblPrepaid[[#This Row],[Category]],tblPrepaidCat[Category],tblPrepaidCat[Expense Account])</f>
        <v>6220</v>
      </c>
      <c r="H17" s="113">
        <v>46374</v>
      </c>
      <c r="I17" s="6">
        <v>144000000</v>
      </c>
      <c r="J17" s="113">
        <v>46388</v>
      </c>
      <c r="K17" s="4">
        <v>12</v>
      </c>
      <c r="L17" s="109">
        <f>EOMONTH(tblPrepaid[[#This Row],[Coverage Start]],tblPrepaid[[#This Row],[Months]]-1)</f>
        <v>46752</v>
      </c>
      <c r="M17" s="5">
        <f>ROUND(tblPrepaid[[#This Row],[Amount]]/tblPrepaid[[#This Row],[Months]],0)</f>
        <v>12000000</v>
      </c>
      <c r="N17"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0</v>
      </c>
      <c r="O17"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0</v>
      </c>
      <c r="P17"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0</v>
      </c>
      <c r="Q17"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0</v>
      </c>
      <c r="R17"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0</v>
      </c>
      <c r="S17"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0</v>
      </c>
      <c r="T17"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0</v>
      </c>
      <c r="U17"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0</v>
      </c>
      <c r="V17"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0</v>
      </c>
      <c r="W17"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0</v>
      </c>
      <c r="X17"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0</v>
      </c>
      <c r="Y17"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0</v>
      </c>
      <c r="Z17"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0</v>
      </c>
      <c r="AA17" s="5" cm="1">
        <f t="array" ref="AA17">SUMPRODUCT(($O$14:$Z$14&lt;=CutOff)*tblPrepaid[[#This Row],[Jan]:[Dec]])</f>
        <v>0</v>
      </c>
      <c r="AB17" s="5">
        <f>IF(tblPrepaid[[#This Row],[Payment Date]]&lt;=CompDate,tblPrepaid[[#This Row],[Opening Balance]]-tblPrepaid[[#This Row],[YTD Amortization]],IF(tblPrepaid[[#This Row],[Payment Date]]&lt;=PEnd,tblPrepaid[[#This Row],[Amount]]-tblPrepaid[[#This Row],[YTD Amortization]],0))</f>
        <v>0</v>
      </c>
      <c r="AC17" s="1" t="str">
        <f>IF(tblPrepaid[[#This Row],[Payment Date]]&gt;PEnd,"Not yet paid",IF(tblPrepaid[[#This Row],[Balance at Period End]]&lt;=0,"Fully amortized",IF(tblPrepaid[[#This Row],[Coverage Start]]&gt;PEnd,"Paid - coverage not started","Active")))</f>
        <v>Not yet paid</v>
      </c>
    </row>
    <row r="18" spans="2:29" x14ac:dyDescent="0.35">
      <c r="B18" s="4" t="s">
        <v>4951</v>
      </c>
      <c r="C18" s="4" t="s">
        <v>4952</v>
      </c>
      <c r="D18" s="4" t="s">
        <v>4688</v>
      </c>
      <c r="E18" s="4" t="s">
        <v>4686</v>
      </c>
      <c r="F18" s="1">
        <f>_xlfn.XLOOKUP(tblPrepaid[[#This Row],[Category]],tblPrepaidCat[Category],tblPrepaidCat[Prepaid Account])</f>
        <v>1420</v>
      </c>
      <c r="G18" s="1">
        <f>_xlfn.XLOOKUP(tblPrepaid[[#This Row],[Category]],tblPrepaidCat[Category],tblPrepaidCat[Expense Account])</f>
        <v>6260</v>
      </c>
      <c r="H18" s="113">
        <v>45955</v>
      </c>
      <c r="I18" s="6">
        <v>30000000</v>
      </c>
      <c r="J18" s="113">
        <v>45962</v>
      </c>
      <c r="K18" s="4">
        <v>12</v>
      </c>
      <c r="L18" s="109">
        <f>EOMONTH(tblPrepaid[[#This Row],[Coverage Start]],tblPrepaid[[#This Row],[Months]]-1)</f>
        <v>46326</v>
      </c>
      <c r="M18" s="5">
        <f>ROUND(tblPrepaid[[#This Row],[Amount]]/tblPrepaid[[#This Row],[Months]],0)</f>
        <v>2500000</v>
      </c>
      <c r="N18"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25000000</v>
      </c>
      <c r="O18"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2500000</v>
      </c>
      <c r="P18"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2500000</v>
      </c>
      <c r="Q18"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2500000</v>
      </c>
      <c r="R18"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2500000</v>
      </c>
      <c r="S18"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2500000</v>
      </c>
      <c r="T18"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2500000</v>
      </c>
      <c r="U18"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2500000</v>
      </c>
      <c r="V18"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2500000</v>
      </c>
      <c r="W18"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2500000</v>
      </c>
      <c r="X18"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2500000</v>
      </c>
      <c r="Y18"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0</v>
      </c>
      <c r="Z18"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0</v>
      </c>
      <c r="AA18" s="5" cm="1">
        <f t="array" ref="AA18">SUMPRODUCT(($O$14:$Z$14&lt;=CutOff)*tblPrepaid[[#This Row],[Jan]:[Dec]])</f>
        <v>25000000</v>
      </c>
      <c r="AB18" s="5">
        <f>IF(tblPrepaid[[#This Row],[Payment Date]]&lt;=CompDate,tblPrepaid[[#This Row],[Opening Balance]]-tblPrepaid[[#This Row],[YTD Amortization]],IF(tblPrepaid[[#This Row],[Payment Date]]&lt;=PEnd,tblPrepaid[[#This Row],[Amount]]-tblPrepaid[[#This Row],[YTD Amortization]],0))</f>
        <v>0</v>
      </c>
      <c r="AC18" s="1" t="str">
        <f>IF(tblPrepaid[[#This Row],[Payment Date]]&gt;PEnd,"Not yet paid",IF(tblPrepaid[[#This Row],[Balance at Period End]]&lt;=0,"Fully amortized",IF(tblPrepaid[[#This Row],[Coverage Start]]&gt;PEnd,"Paid - coverage not started","Active")))</f>
        <v>Fully amortized</v>
      </c>
    </row>
    <row r="19" spans="2:29" x14ac:dyDescent="0.35">
      <c r="B19" s="4" t="s">
        <v>4953</v>
      </c>
      <c r="C19" s="4" t="s">
        <v>4954</v>
      </c>
      <c r="D19" s="4" t="s">
        <v>4688</v>
      </c>
      <c r="E19" s="4" t="s">
        <v>4686</v>
      </c>
      <c r="F19" s="1">
        <f>_xlfn.XLOOKUP(tblPrepaid[[#This Row],[Category]],tblPrepaidCat[Category],tblPrepaidCat[Prepaid Account])</f>
        <v>1420</v>
      </c>
      <c r="G19" s="1">
        <f>_xlfn.XLOOKUP(tblPrepaid[[#This Row],[Category]],tblPrepaidCat[Category],tblPrepaidCat[Expense Account])</f>
        <v>6260</v>
      </c>
      <c r="H19" s="113">
        <v>46321</v>
      </c>
      <c r="I19" s="6">
        <v>36000000</v>
      </c>
      <c r="J19" s="113">
        <v>46327</v>
      </c>
      <c r="K19" s="4">
        <v>12</v>
      </c>
      <c r="L19" s="109">
        <f>EOMONTH(tblPrepaid[[#This Row],[Coverage Start]],tblPrepaid[[#This Row],[Months]]-1)</f>
        <v>46691</v>
      </c>
      <c r="M19" s="5">
        <f>ROUND(tblPrepaid[[#This Row],[Amount]]/tblPrepaid[[#This Row],[Months]],0)</f>
        <v>3000000</v>
      </c>
      <c r="N19"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0</v>
      </c>
      <c r="O19"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0</v>
      </c>
      <c r="P19"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0</v>
      </c>
      <c r="Q19"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0</v>
      </c>
      <c r="R19"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0</v>
      </c>
      <c r="S19"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0</v>
      </c>
      <c r="T19"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0</v>
      </c>
      <c r="U19"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0</v>
      </c>
      <c r="V19"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0</v>
      </c>
      <c r="W19"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0</v>
      </c>
      <c r="X19"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0</v>
      </c>
      <c r="Y19"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3000000</v>
      </c>
      <c r="Z19"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3000000</v>
      </c>
      <c r="AA19" s="5" cm="1">
        <f t="array" ref="AA19">SUMPRODUCT(($O$14:$Z$14&lt;=CutOff)*tblPrepaid[[#This Row],[Jan]:[Dec]])</f>
        <v>0</v>
      </c>
      <c r="AB19" s="5">
        <f>IF(tblPrepaid[[#This Row],[Payment Date]]&lt;=CompDate,tblPrepaid[[#This Row],[Opening Balance]]-tblPrepaid[[#This Row],[YTD Amortization]],IF(tblPrepaid[[#This Row],[Payment Date]]&lt;=PEnd,tblPrepaid[[#This Row],[Amount]]-tblPrepaid[[#This Row],[YTD Amortization]],0))</f>
        <v>36000000</v>
      </c>
      <c r="AC19" s="1" t="str">
        <f>IF(tblPrepaid[[#This Row],[Payment Date]]&gt;PEnd,"Not yet paid",IF(tblPrepaid[[#This Row],[Balance at Period End]]&lt;=0,"Fully amortized",IF(tblPrepaid[[#This Row],[Coverage Start]]&gt;PEnd,"Paid - coverage not started","Active")))</f>
        <v>Paid - coverage not started</v>
      </c>
    </row>
    <row r="20" spans="2:29" x14ac:dyDescent="0.35">
      <c r="B20" s="4" t="s">
        <v>4955</v>
      </c>
      <c r="C20" s="4" t="s">
        <v>4956</v>
      </c>
      <c r="D20" s="4" t="s">
        <v>4885</v>
      </c>
      <c r="E20" s="4" t="s">
        <v>4693</v>
      </c>
      <c r="F20" s="1">
        <f>_xlfn.XLOOKUP(tblPrepaid[[#This Row],[Category]],tblPrepaidCat[Category],tblPrepaidCat[Prepaid Account])</f>
        <v>1430</v>
      </c>
      <c r="G20" s="1">
        <f>_xlfn.XLOOKUP(tblPrepaid[[#This Row],[Category]],tblPrepaidCat[Category],tblPrepaidCat[Expense Account])</f>
        <v>6265</v>
      </c>
      <c r="H20" s="113">
        <v>45833</v>
      </c>
      <c r="I20" s="6">
        <v>30000000</v>
      </c>
      <c r="J20" s="113">
        <v>45839</v>
      </c>
      <c r="K20" s="4">
        <v>12</v>
      </c>
      <c r="L20" s="109">
        <f>EOMONTH(tblPrepaid[[#This Row],[Coverage Start]],tblPrepaid[[#This Row],[Months]]-1)</f>
        <v>46203</v>
      </c>
      <c r="M20" s="5">
        <f>ROUND(tblPrepaid[[#This Row],[Amount]]/tblPrepaid[[#This Row],[Months]],0)</f>
        <v>2500000</v>
      </c>
      <c r="N20"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15000000</v>
      </c>
      <c r="O20"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2500000</v>
      </c>
      <c r="P20"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2500000</v>
      </c>
      <c r="Q20"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2500000</v>
      </c>
      <c r="R20"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2500000</v>
      </c>
      <c r="S20"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2500000</v>
      </c>
      <c r="T20"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2500000</v>
      </c>
      <c r="U20"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0</v>
      </c>
      <c r="V20"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0</v>
      </c>
      <c r="W20"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0</v>
      </c>
      <c r="X20"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0</v>
      </c>
      <c r="Y20"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0</v>
      </c>
      <c r="Z20"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0</v>
      </c>
      <c r="AA20" s="5" cm="1">
        <f t="array" ref="AA20">SUMPRODUCT(($O$14:$Z$14&lt;=CutOff)*tblPrepaid[[#This Row],[Jan]:[Dec]])</f>
        <v>15000000</v>
      </c>
      <c r="AB20" s="5">
        <f>IF(tblPrepaid[[#This Row],[Payment Date]]&lt;=CompDate,tblPrepaid[[#This Row],[Opening Balance]]-tblPrepaid[[#This Row],[YTD Amortization]],IF(tblPrepaid[[#This Row],[Payment Date]]&lt;=PEnd,tblPrepaid[[#This Row],[Amount]]-tblPrepaid[[#This Row],[YTD Amortization]],0))</f>
        <v>0</v>
      </c>
      <c r="AC20" s="1" t="str">
        <f>IF(tblPrepaid[[#This Row],[Payment Date]]&gt;PEnd,"Not yet paid",IF(tblPrepaid[[#This Row],[Balance at Period End]]&lt;=0,"Fully amortized",IF(tblPrepaid[[#This Row],[Coverage Start]]&gt;PEnd,"Paid - coverage not started","Active")))</f>
        <v>Fully amortized</v>
      </c>
    </row>
    <row r="21" spans="2:29" x14ac:dyDescent="0.35">
      <c r="B21" s="4" t="s">
        <v>4957</v>
      </c>
      <c r="C21" s="4" t="s">
        <v>4958</v>
      </c>
      <c r="D21" s="4" t="s">
        <v>4885</v>
      </c>
      <c r="E21" s="4" t="s">
        <v>4693</v>
      </c>
      <c r="F21" s="1">
        <f>_xlfn.XLOOKUP(tblPrepaid[[#This Row],[Category]],tblPrepaidCat[Category],tblPrepaidCat[Prepaid Account])</f>
        <v>1430</v>
      </c>
      <c r="G21" s="1">
        <f>_xlfn.XLOOKUP(tblPrepaid[[#This Row],[Category]],tblPrepaidCat[Category],tblPrepaidCat[Expense Account])</f>
        <v>6265</v>
      </c>
      <c r="H21" s="113">
        <v>46197</v>
      </c>
      <c r="I21" s="6">
        <v>30000000</v>
      </c>
      <c r="J21" s="113">
        <v>46204</v>
      </c>
      <c r="K21" s="4">
        <v>12</v>
      </c>
      <c r="L21" s="109">
        <f>EOMONTH(tblPrepaid[[#This Row],[Coverage Start]],tblPrepaid[[#This Row],[Months]]-1)</f>
        <v>46568</v>
      </c>
      <c r="M21" s="5">
        <f>ROUND(tblPrepaid[[#This Row],[Amount]]/tblPrepaid[[#This Row],[Months]],0)</f>
        <v>2500000</v>
      </c>
      <c r="N21"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0</v>
      </c>
      <c r="O21"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0</v>
      </c>
      <c r="P21"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0</v>
      </c>
      <c r="Q21"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0</v>
      </c>
      <c r="R21"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0</v>
      </c>
      <c r="S21"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0</v>
      </c>
      <c r="T21"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0</v>
      </c>
      <c r="U21"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2500000</v>
      </c>
      <c r="V21"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2500000</v>
      </c>
      <c r="W21"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2500000</v>
      </c>
      <c r="X21"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2500000</v>
      </c>
      <c r="Y21"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2500000</v>
      </c>
      <c r="Z21"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2500000</v>
      </c>
      <c r="AA21" s="5" cm="1">
        <f t="array" ref="AA21">SUMPRODUCT(($O$14:$Z$14&lt;=CutOff)*tblPrepaid[[#This Row],[Jan]:[Dec]])</f>
        <v>10000000</v>
      </c>
      <c r="AB21" s="5">
        <f>IF(tblPrepaid[[#This Row],[Payment Date]]&lt;=CompDate,tblPrepaid[[#This Row],[Opening Balance]]-tblPrepaid[[#This Row],[YTD Amortization]],IF(tblPrepaid[[#This Row],[Payment Date]]&lt;=PEnd,tblPrepaid[[#This Row],[Amount]]-tblPrepaid[[#This Row],[YTD Amortization]],0))</f>
        <v>20000000</v>
      </c>
      <c r="AC21" s="1" t="str">
        <f>IF(tblPrepaid[[#This Row],[Payment Date]]&gt;PEnd,"Not yet paid",IF(tblPrepaid[[#This Row],[Balance at Period End]]&lt;=0,"Fully amortized",IF(tblPrepaid[[#This Row],[Coverage Start]]&gt;PEnd,"Paid - coverage not started","Active")))</f>
        <v>Active</v>
      </c>
    </row>
    <row r="22" spans="2:29" x14ac:dyDescent="0.35">
      <c r="B22" s="4" t="s">
        <v>4959</v>
      </c>
      <c r="C22" s="4" t="s">
        <v>4960</v>
      </c>
      <c r="D22" s="4" t="s">
        <v>4885</v>
      </c>
      <c r="E22" s="4" t="s">
        <v>4693</v>
      </c>
      <c r="F22" s="1">
        <f>_xlfn.XLOOKUP(tblPrepaid[[#This Row],[Category]],tblPrepaidCat[Category],tblPrepaidCat[Prepaid Account])</f>
        <v>1430</v>
      </c>
      <c r="G22" s="1">
        <f>_xlfn.XLOOKUP(tblPrepaid[[#This Row],[Category]],tblPrepaidCat[Category],tblPrepaidCat[Expense Account])</f>
        <v>6265</v>
      </c>
      <c r="H22" s="113">
        <v>46030</v>
      </c>
      <c r="I22" s="6">
        <v>18000000</v>
      </c>
      <c r="J22" s="113">
        <v>46023</v>
      </c>
      <c r="K22" s="4">
        <v>12</v>
      </c>
      <c r="L22" s="109">
        <f>EOMONTH(tblPrepaid[[#This Row],[Coverage Start]],tblPrepaid[[#This Row],[Months]]-1)</f>
        <v>46387</v>
      </c>
      <c r="M22" s="5">
        <f>ROUND(tblPrepaid[[#This Row],[Amount]]/tblPrepaid[[#This Row],[Months]],0)</f>
        <v>1500000</v>
      </c>
      <c r="N22"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0</v>
      </c>
      <c r="O22"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1500000</v>
      </c>
      <c r="P22"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1500000</v>
      </c>
      <c r="Q22"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1500000</v>
      </c>
      <c r="R22"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1500000</v>
      </c>
      <c r="S22"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1500000</v>
      </c>
      <c r="T22"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1500000</v>
      </c>
      <c r="U22"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1500000</v>
      </c>
      <c r="V22"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1500000</v>
      </c>
      <c r="W22"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1500000</v>
      </c>
      <c r="X22"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1500000</v>
      </c>
      <c r="Y22"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1500000</v>
      </c>
      <c r="Z22"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1500000</v>
      </c>
      <c r="AA22" s="5" cm="1">
        <f t="array" ref="AA22">SUMPRODUCT(($O$14:$Z$14&lt;=CutOff)*tblPrepaid[[#This Row],[Jan]:[Dec]])</f>
        <v>15000000</v>
      </c>
      <c r="AB22" s="5">
        <f>IF(tblPrepaid[[#This Row],[Payment Date]]&lt;=CompDate,tblPrepaid[[#This Row],[Opening Balance]]-tblPrepaid[[#This Row],[YTD Amortization]],IF(tblPrepaid[[#This Row],[Payment Date]]&lt;=PEnd,tblPrepaid[[#This Row],[Amount]]-tblPrepaid[[#This Row],[YTD Amortization]],0))</f>
        <v>3000000</v>
      </c>
      <c r="AC22" s="1" t="str">
        <f>IF(tblPrepaid[[#This Row],[Payment Date]]&gt;PEnd,"Not yet paid",IF(tblPrepaid[[#This Row],[Balance at Period End]]&lt;=0,"Fully amortized",IF(tblPrepaid[[#This Row],[Coverage Start]]&gt;PEnd,"Paid - coverage not started","Active")))</f>
        <v>Active</v>
      </c>
    </row>
    <row r="23" spans="2:29" x14ac:dyDescent="0.35">
      <c r="B23" s="4" t="s">
        <v>4961</v>
      </c>
      <c r="C23" s="4" t="s">
        <v>4962</v>
      </c>
      <c r="D23" s="4" t="s">
        <v>4885</v>
      </c>
      <c r="E23" s="4" t="s">
        <v>4693</v>
      </c>
      <c r="F23" s="1">
        <f>_xlfn.XLOOKUP(tblPrepaid[[#This Row],[Category]],tblPrepaidCat[Category],tblPrepaidCat[Prepaid Account])</f>
        <v>1430</v>
      </c>
      <c r="G23" s="1">
        <f>_xlfn.XLOOKUP(tblPrepaid[[#This Row],[Category]],tblPrepaidCat[Category],tblPrepaidCat[Expense Account])</f>
        <v>6265</v>
      </c>
      <c r="H23" s="113">
        <v>46058</v>
      </c>
      <c r="I23" s="6">
        <v>24000000</v>
      </c>
      <c r="J23" s="113">
        <v>46054</v>
      </c>
      <c r="K23" s="4">
        <v>12</v>
      </c>
      <c r="L23" s="109">
        <f>EOMONTH(tblPrepaid[[#This Row],[Coverage Start]],tblPrepaid[[#This Row],[Months]]-1)</f>
        <v>46418</v>
      </c>
      <c r="M23" s="5">
        <f>ROUND(tblPrepaid[[#This Row],[Amount]]/tblPrepaid[[#This Row],[Months]],0)</f>
        <v>2000000</v>
      </c>
      <c r="N23" s="5">
        <f>_xlfn.LET(_xlpm.s,YEAR(tblPrepaid[[#This Row],[Coverage Start]])*12+MONTH(tblPrepaid[[#This Row],[Coverage Start]]),_xlpm.e,MAX(0,MIN(tblPrepaid[[#This Row],[Months]],YEAR(CompDate)*12+MONTH(CompDate)-_xlpm.s+1)),IF(tblPrepaid[[#This Row],[Payment Date]]&gt;CompDate,0,IF(_xlpm.e&gt;=tblPrepaid[[#This Row],[Months]],0,tblPrepaid[[#This Row],[Amount]]-tblPrepaid[[#This Row],[Monthly Amortization]]*_xlpm.e)))</f>
        <v>0</v>
      </c>
      <c r="O23" s="5">
        <f>_xlfn.LET(_xlpm.n,tblPrepaid[[#This Row],[Months]],_xlpm.s,YEAR(tblPrepaid[[#This Row],[Coverage Start]])*12+MONTH(tblPrepaid[[#This Row],[Coverage Start]]),_xlpm.i,FYear*12+O$14,IF(AND(_xlpm.i&gt;=_xlpm.s,_xlpm.i&lt;_xlpm.s+_xlpm.n),IF(_xlpm.i=_xlpm.s+_xlpm.n-1,tblPrepaid[[#This Row],[Amount]]-tblPrepaid[[#This Row],[Monthly Amortization]]*(_xlpm.n-1),tblPrepaid[[#This Row],[Monthly Amortization]]),0))</f>
        <v>0</v>
      </c>
      <c r="P23" s="5">
        <f>_xlfn.LET(_xlpm.n,tblPrepaid[[#This Row],[Months]],_xlpm.s,YEAR(tblPrepaid[[#This Row],[Coverage Start]])*12+MONTH(tblPrepaid[[#This Row],[Coverage Start]]),_xlpm.i,FYear*12+P$14,IF(AND(_xlpm.i&gt;=_xlpm.s,_xlpm.i&lt;_xlpm.s+_xlpm.n),IF(_xlpm.i=_xlpm.s+_xlpm.n-1,tblPrepaid[[#This Row],[Amount]]-tblPrepaid[[#This Row],[Monthly Amortization]]*(_xlpm.n-1),tblPrepaid[[#This Row],[Monthly Amortization]]),0))</f>
        <v>2000000</v>
      </c>
      <c r="Q23" s="5">
        <f>_xlfn.LET(_xlpm.n,tblPrepaid[[#This Row],[Months]],_xlpm.s,YEAR(tblPrepaid[[#This Row],[Coverage Start]])*12+MONTH(tblPrepaid[[#This Row],[Coverage Start]]),_xlpm.i,FYear*12+Q$14,IF(AND(_xlpm.i&gt;=_xlpm.s,_xlpm.i&lt;_xlpm.s+_xlpm.n),IF(_xlpm.i=_xlpm.s+_xlpm.n-1,tblPrepaid[[#This Row],[Amount]]-tblPrepaid[[#This Row],[Monthly Amortization]]*(_xlpm.n-1),tblPrepaid[[#This Row],[Monthly Amortization]]),0))</f>
        <v>2000000</v>
      </c>
      <c r="R23" s="5">
        <f>_xlfn.LET(_xlpm.n,tblPrepaid[[#This Row],[Months]],_xlpm.s,YEAR(tblPrepaid[[#This Row],[Coverage Start]])*12+MONTH(tblPrepaid[[#This Row],[Coverage Start]]),_xlpm.i,FYear*12+R$14,IF(AND(_xlpm.i&gt;=_xlpm.s,_xlpm.i&lt;_xlpm.s+_xlpm.n),IF(_xlpm.i=_xlpm.s+_xlpm.n-1,tblPrepaid[[#This Row],[Amount]]-tblPrepaid[[#This Row],[Monthly Amortization]]*(_xlpm.n-1),tblPrepaid[[#This Row],[Monthly Amortization]]),0))</f>
        <v>2000000</v>
      </c>
      <c r="S23" s="5">
        <f>_xlfn.LET(_xlpm.n,tblPrepaid[[#This Row],[Months]],_xlpm.s,YEAR(tblPrepaid[[#This Row],[Coverage Start]])*12+MONTH(tblPrepaid[[#This Row],[Coverage Start]]),_xlpm.i,FYear*12+S$14,IF(AND(_xlpm.i&gt;=_xlpm.s,_xlpm.i&lt;_xlpm.s+_xlpm.n),IF(_xlpm.i=_xlpm.s+_xlpm.n-1,tblPrepaid[[#This Row],[Amount]]-tblPrepaid[[#This Row],[Monthly Amortization]]*(_xlpm.n-1),tblPrepaid[[#This Row],[Monthly Amortization]]),0))</f>
        <v>2000000</v>
      </c>
      <c r="T23" s="5">
        <f>_xlfn.LET(_xlpm.n,tblPrepaid[[#This Row],[Months]],_xlpm.s,YEAR(tblPrepaid[[#This Row],[Coverage Start]])*12+MONTH(tblPrepaid[[#This Row],[Coverage Start]]),_xlpm.i,FYear*12+T$14,IF(AND(_xlpm.i&gt;=_xlpm.s,_xlpm.i&lt;_xlpm.s+_xlpm.n),IF(_xlpm.i=_xlpm.s+_xlpm.n-1,tblPrepaid[[#This Row],[Amount]]-tblPrepaid[[#This Row],[Monthly Amortization]]*(_xlpm.n-1),tblPrepaid[[#This Row],[Monthly Amortization]]),0))</f>
        <v>2000000</v>
      </c>
      <c r="U23" s="5">
        <f>_xlfn.LET(_xlpm.n,tblPrepaid[[#This Row],[Months]],_xlpm.s,YEAR(tblPrepaid[[#This Row],[Coverage Start]])*12+MONTH(tblPrepaid[[#This Row],[Coverage Start]]),_xlpm.i,FYear*12+U$14,IF(AND(_xlpm.i&gt;=_xlpm.s,_xlpm.i&lt;_xlpm.s+_xlpm.n),IF(_xlpm.i=_xlpm.s+_xlpm.n-1,tblPrepaid[[#This Row],[Amount]]-tblPrepaid[[#This Row],[Monthly Amortization]]*(_xlpm.n-1),tblPrepaid[[#This Row],[Monthly Amortization]]),0))</f>
        <v>2000000</v>
      </c>
      <c r="V23" s="5">
        <f>_xlfn.LET(_xlpm.n,tblPrepaid[[#This Row],[Months]],_xlpm.s,YEAR(tblPrepaid[[#This Row],[Coverage Start]])*12+MONTH(tblPrepaid[[#This Row],[Coverage Start]]),_xlpm.i,FYear*12+V$14,IF(AND(_xlpm.i&gt;=_xlpm.s,_xlpm.i&lt;_xlpm.s+_xlpm.n),IF(_xlpm.i=_xlpm.s+_xlpm.n-1,tblPrepaid[[#This Row],[Amount]]-tblPrepaid[[#This Row],[Monthly Amortization]]*(_xlpm.n-1),tblPrepaid[[#This Row],[Monthly Amortization]]),0))</f>
        <v>2000000</v>
      </c>
      <c r="W23" s="5">
        <f>_xlfn.LET(_xlpm.n,tblPrepaid[[#This Row],[Months]],_xlpm.s,YEAR(tblPrepaid[[#This Row],[Coverage Start]])*12+MONTH(tblPrepaid[[#This Row],[Coverage Start]]),_xlpm.i,FYear*12+W$14,IF(AND(_xlpm.i&gt;=_xlpm.s,_xlpm.i&lt;_xlpm.s+_xlpm.n),IF(_xlpm.i=_xlpm.s+_xlpm.n-1,tblPrepaid[[#This Row],[Amount]]-tblPrepaid[[#This Row],[Monthly Amortization]]*(_xlpm.n-1),tblPrepaid[[#This Row],[Monthly Amortization]]),0))</f>
        <v>2000000</v>
      </c>
      <c r="X23" s="5">
        <f>_xlfn.LET(_xlpm.n,tblPrepaid[[#This Row],[Months]],_xlpm.s,YEAR(tblPrepaid[[#This Row],[Coverage Start]])*12+MONTH(tblPrepaid[[#This Row],[Coverage Start]]),_xlpm.i,FYear*12+X$14,IF(AND(_xlpm.i&gt;=_xlpm.s,_xlpm.i&lt;_xlpm.s+_xlpm.n),IF(_xlpm.i=_xlpm.s+_xlpm.n-1,tblPrepaid[[#This Row],[Amount]]-tblPrepaid[[#This Row],[Monthly Amortization]]*(_xlpm.n-1),tblPrepaid[[#This Row],[Monthly Amortization]]),0))</f>
        <v>2000000</v>
      </c>
      <c r="Y23" s="5">
        <f>_xlfn.LET(_xlpm.n,tblPrepaid[[#This Row],[Months]],_xlpm.s,YEAR(tblPrepaid[[#This Row],[Coverage Start]])*12+MONTH(tblPrepaid[[#This Row],[Coverage Start]]),_xlpm.i,FYear*12+Y$14,IF(AND(_xlpm.i&gt;=_xlpm.s,_xlpm.i&lt;_xlpm.s+_xlpm.n),IF(_xlpm.i=_xlpm.s+_xlpm.n-1,tblPrepaid[[#This Row],[Amount]]-tblPrepaid[[#This Row],[Monthly Amortization]]*(_xlpm.n-1),tblPrepaid[[#This Row],[Monthly Amortization]]),0))</f>
        <v>2000000</v>
      </c>
      <c r="Z23" s="5">
        <f>_xlfn.LET(_xlpm.n,tblPrepaid[[#This Row],[Months]],_xlpm.s,YEAR(tblPrepaid[[#This Row],[Coverage Start]])*12+MONTH(tblPrepaid[[#This Row],[Coverage Start]]),_xlpm.i,FYear*12+Z$14,IF(AND(_xlpm.i&gt;=_xlpm.s,_xlpm.i&lt;_xlpm.s+_xlpm.n),IF(_xlpm.i=_xlpm.s+_xlpm.n-1,tblPrepaid[[#This Row],[Amount]]-tblPrepaid[[#This Row],[Monthly Amortization]]*(_xlpm.n-1),tblPrepaid[[#This Row],[Monthly Amortization]]),0))</f>
        <v>2000000</v>
      </c>
      <c r="AA23" s="5" cm="1">
        <f t="array" ref="AA23">SUMPRODUCT(($O$14:$Z$14&lt;=CutOff)*tblPrepaid[[#This Row],[Jan]:[Dec]])</f>
        <v>18000000</v>
      </c>
      <c r="AB23" s="5">
        <f>IF(tblPrepaid[[#This Row],[Payment Date]]&lt;=CompDate,tblPrepaid[[#This Row],[Opening Balance]]-tblPrepaid[[#This Row],[YTD Amortization]],IF(tblPrepaid[[#This Row],[Payment Date]]&lt;=PEnd,tblPrepaid[[#This Row],[Amount]]-tblPrepaid[[#This Row],[YTD Amortization]],0))</f>
        <v>6000000</v>
      </c>
      <c r="AC23" s="1" t="str">
        <f>IF(tblPrepaid[[#This Row],[Payment Date]]&gt;PEnd,"Not yet paid",IF(tblPrepaid[[#This Row],[Balance at Period End]]&lt;=0,"Fully amortized",IF(tblPrepaid[[#This Row],[Coverage Start]]&gt;PEnd,"Paid - coverage not started","Active")))</f>
        <v>Active</v>
      </c>
    </row>
    <row r="24" spans="2:29" x14ac:dyDescent="0.35">
      <c r="B24" s="1" t="s">
        <v>4265</v>
      </c>
      <c r="I24" s="5">
        <f>SUBTOTAL(109,tblPrepaid[Amount])</f>
        <v>444000000</v>
      </c>
      <c r="M24" s="5"/>
      <c r="N24" s="5">
        <f>SUBTOTAL(109,tblPrepaid[Opening Balance])</f>
        <v>172000000</v>
      </c>
      <c r="O24" s="5">
        <f>SUBTOTAL(109,tblPrepaid[Jan])</f>
        <v>17500000</v>
      </c>
      <c r="P24" s="5">
        <f>SUBTOTAL(109,tblPrepaid[Feb])</f>
        <v>19500000</v>
      </c>
      <c r="Q24" s="5">
        <f>SUBTOTAL(109,tblPrepaid[Mar])</f>
        <v>19500000</v>
      </c>
      <c r="R24" s="5">
        <f>SUBTOTAL(109,tblPrepaid[Apr])</f>
        <v>19500000</v>
      </c>
      <c r="S24" s="5">
        <f>SUBTOTAL(109,tblPrepaid[May])</f>
        <v>19500000</v>
      </c>
      <c r="T24" s="5">
        <f>SUBTOTAL(109,tblPrepaid[Jun])</f>
        <v>19500000</v>
      </c>
      <c r="U24" s="5">
        <f>SUBTOTAL(109,tblPrepaid[Jul])</f>
        <v>19500000</v>
      </c>
      <c r="V24" s="5">
        <f>SUBTOTAL(109,tblPrepaid[Aug])</f>
        <v>19500000</v>
      </c>
      <c r="W24" s="5">
        <f>SUBTOTAL(109,tblPrepaid[Sep])</f>
        <v>19500000</v>
      </c>
      <c r="X24" s="5">
        <f>SUBTOTAL(109,tblPrepaid[Oct])</f>
        <v>19500000</v>
      </c>
      <c r="Y24" s="5">
        <f>SUBTOTAL(109,tblPrepaid[Nov])</f>
        <v>20000000</v>
      </c>
      <c r="Z24" s="5">
        <f>SUBTOTAL(109,tblPrepaid[Dec])</f>
        <v>20000000</v>
      </c>
      <c r="AA24" s="5">
        <f>SUBTOTAL(109,tblPrepaid[YTD Amortization])</f>
        <v>193000000</v>
      </c>
      <c r="AB24" s="5">
        <f>SUBTOTAL(109,tblPrepaid[Balance at Period End])</f>
        <v>87000000</v>
      </c>
      <c r="AC24" s="1">
        <f>SUBTOTAL(103,tblPrepaid[Status])</f>
        <v>8</v>
      </c>
    </row>
  </sheetData>
  <mergeCells count="6">
    <mergeCell ref="B2:C2"/>
    <mergeCell ref="E2:F2"/>
    <mergeCell ref="P2:Q2"/>
    <mergeCell ref="S2:T2"/>
    <mergeCell ref="V2:W2"/>
    <mergeCell ref="Y2:Z2"/>
  </mergeCells>
  <dataValidations count="1">
    <dataValidation type="list" allowBlank="1" showInputMessage="1" showErrorMessage="1" sqref="D16:D23" xr:uid="{D626916F-14E5-4716-A0F7-11CD3B824E7D}">
      <formula1>$B$8:$B$10</formula1>
    </dataValidation>
  </dataValidations>
  <hyperlinks>
    <hyperlink ref="B2:C2" location="'Dashboard'!A1" tooltip="Go to Dashboard" display="🏠 HOME" xr:uid="{E4A2912D-9A4B-4EF4-BAD5-5A5DC52A610C}"/>
    <hyperlink ref="E2:F2" location="'Fixed Assets'!A1" tooltip="Go to Fixed Assets" display="◀ PREV" xr:uid="{17EF5D9F-487A-4C1E-A93F-2132A17C3323}"/>
    <hyperlink ref="H2" location="'General Journal'!A1" tooltip="Go to General Journal" display="NEXT ▶" xr:uid="{A6BB0369-1F3A-4145-996B-2CF11FBDF615}"/>
    <hyperlink ref="J2" location="'Dashboard'!B5" tooltip="Go to Dashboard" display="☰ MENU" xr:uid="{407852D6-463F-42E7-826A-2BC2FCA8A95D}"/>
    <hyperlink ref="L2" location="'General Journal'!A1" tooltip="Go to General Journal" display="Journal" xr:uid="{EE2FD9DC-847B-4942-A93A-173BBE6A19A9}"/>
    <hyperlink ref="N2" location="'Trial Balance'!A1" tooltip="Go to Trial Balance" display="Trial Bal." xr:uid="{270B4D7C-7C1E-4707-AC02-0288D722CC3B}"/>
    <hyperlink ref="P2:Q2" location="'Income Statement'!A1" tooltip="Go to Income Statement" display="Income St." xr:uid="{3D5B8FCA-86C8-4966-8B11-1BA8E4B91944}"/>
    <hyperlink ref="S2:T2" location="'Balance Sheet'!A1" tooltip="Go to Balance Sheet" display="Balance Sh." xr:uid="{4882BB5D-68A5-4F45-BC51-562AC5C52BEB}"/>
    <hyperlink ref="V2:W2" location="'Tax Reconciliation'!A1" tooltip="Go to Tax Reconciliation" display="Tax Recon" xr:uid="{284353A9-4253-427E-81C2-B35C871D6B8F}"/>
    <hyperlink ref="Y2:Z2" location="'Bank Reconciliation'!A1" tooltip="Go to Bank Reconciliation" display="Bank Recon" xr:uid="{2C774ED5-023C-4084-9BEF-2D268BBA30A7}"/>
    <hyperlink ref="AB2" location="'Controls'!A1" tooltip="Go to Controls" display="Controls" xr:uid="{6C839EBC-FC3E-4757-8047-B4C3F04D90DA}"/>
  </hyperlinks>
  <pageMargins left="0.7" right="0.7" top="0.75" bottom="0.75" header="0.3" footer="0.3"/>
  <legacy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5E6D-1CAA-447E-A4B4-D7EBC9269BFE}">
  <sheetPr>
    <tabColor rgb="FFF59E0B"/>
  </sheetPr>
  <dimension ref="A1:BH981"/>
  <sheetViews>
    <sheetView showGridLines="0" workbookViewId="0">
      <pane ySplit="6" topLeftCell="A7" activePane="bottomLeft" state="frozen"/>
      <selection pane="bottomLeft"/>
    </sheetView>
  </sheetViews>
  <sheetFormatPr defaultRowHeight="14.5" x14ac:dyDescent="0.35"/>
  <cols>
    <col min="1" max="1" width="1.453125" style="1" customWidth="1"/>
    <col min="2" max="2" width="11.26953125" style="1" customWidth="1"/>
    <col min="3" max="3" width="15.453125" style="1" customWidth="1"/>
    <col min="4" max="4" width="8.1796875" style="1" customWidth="1"/>
    <col min="5" max="5" width="34.54296875" style="1" customWidth="1"/>
    <col min="6" max="6" width="41.81640625" style="1" customWidth="1"/>
    <col min="7" max="8" width="15.453125" style="1" customWidth="1"/>
    <col min="9" max="9" width="16.36328125" style="1" customWidth="1"/>
    <col min="10" max="10" width="6.36328125" style="1" customWidth="1"/>
    <col min="11" max="11" width="25.453125" style="1" customWidth="1"/>
    <col min="12" max="12" width="11.81640625" style="1" customWidth="1"/>
    <col min="13" max="13" width="8.1796875" style="1" customWidth="1"/>
    <col min="14" max="52" width="8.7265625" style="1"/>
  </cols>
  <sheetData>
    <row r="1" spans="1:60" ht="5" customHeight="1" x14ac:dyDescent="0.35"/>
    <row r="2" spans="1:60" ht="18" customHeight="1" thickBot="1" x14ac:dyDescent="0.4">
      <c r="A2" s="307"/>
      <c r="B2" s="308" t="s">
        <v>7075</v>
      </c>
      <c r="C2" s="307"/>
      <c r="D2" s="310" t="s">
        <v>7076</v>
      </c>
      <c r="E2" s="311"/>
      <c r="F2" s="307"/>
      <c r="G2" s="309" t="s">
        <v>7077</v>
      </c>
      <c r="H2" s="307"/>
      <c r="I2" s="308" t="s">
        <v>7078</v>
      </c>
      <c r="J2" s="307"/>
      <c r="K2" s="319" t="s">
        <v>7079</v>
      </c>
      <c r="L2" s="307"/>
      <c r="M2" s="314" t="s">
        <v>7080</v>
      </c>
      <c r="N2" s="315"/>
      <c r="O2" s="307"/>
      <c r="P2" s="314" t="s">
        <v>7081</v>
      </c>
      <c r="Q2" s="315"/>
      <c r="R2" s="307"/>
      <c r="S2" s="314" t="s">
        <v>7082</v>
      </c>
      <c r="T2" s="315"/>
      <c r="U2" s="307"/>
      <c r="V2" s="314" t="s">
        <v>7083</v>
      </c>
      <c r="W2" s="315"/>
      <c r="X2" s="307"/>
      <c r="Y2" s="314" t="s">
        <v>7084</v>
      </c>
      <c r="Z2" s="315"/>
      <c r="AA2" s="307"/>
      <c r="AB2" s="314" t="s">
        <v>7085</v>
      </c>
      <c r="AC2" s="315"/>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6536</v>
      </c>
      <c r="C4" s="67"/>
      <c r="D4" s="67"/>
      <c r="E4" s="67"/>
      <c r="F4" s="67"/>
      <c r="G4" s="67"/>
      <c r="H4" s="67"/>
      <c r="I4" s="67"/>
      <c r="J4" s="67"/>
      <c r="K4" s="67"/>
      <c r="L4" s="67"/>
      <c r="M4" s="67"/>
    </row>
    <row r="5" spans="1:60" x14ac:dyDescent="0.35">
      <c r="B5" s="72" t="s">
        <v>6537</v>
      </c>
    </row>
    <row r="6" spans="1:60" x14ac:dyDescent="0.35">
      <c r="B6" s="1" t="s">
        <v>5072</v>
      </c>
      <c r="C6" s="1" t="s">
        <v>5645</v>
      </c>
      <c r="D6" s="1" t="s">
        <v>4864</v>
      </c>
      <c r="E6" s="1" t="s">
        <v>4965</v>
      </c>
      <c r="F6" s="1" t="s">
        <v>4368</v>
      </c>
      <c r="G6" s="1" t="s">
        <v>4262</v>
      </c>
      <c r="H6" s="1" t="s">
        <v>5646</v>
      </c>
      <c r="I6" s="1" t="s">
        <v>5647</v>
      </c>
      <c r="J6" s="1" t="s">
        <v>5081</v>
      </c>
      <c r="K6" s="1" t="s">
        <v>4967</v>
      </c>
      <c r="L6" s="1" t="s">
        <v>5648</v>
      </c>
      <c r="M6" s="1" t="s">
        <v>5649</v>
      </c>
    </row>
    <row r="7" spans="1:60" x14ac:dyDescent="0.35">
      <c r="B7" s="109">
        <v>46032</v>
      </c>
      <c r="C7" s="1" t="s">
        <v>5650</v>
      </c>
      <c r="D7" s="1">
        <v>2230</v>
      </c>
      <c r="E7" s="1" t="str">
        <f>_xlfn.XLOOKUP(tblGJ[[#This Row],[Account Code]],tblCOA[Code],tblCOA[Account Name],"⚠ Invalid account")</f>
        <v>WHT Payable - Art. 21</v>
      </c>
      <c r="F7" s="1" t="s">
        <v>5957</v>
      </c>
      <c r="G7" s="5">
        <f>IF(MONTH(tblGJ[[#This Row],[Date]])=1,_xlfn.XLOOKUP(2230,tblCOA[Code],tblCOA[Opening Balance]),SUMIFS(tblPayroll[PPh 21],tblPayroll[Period],MONTH(tblGJ[[#This Row],[Date]])-1))</f>
        <v>14000000</v>
      </c>
      <c r="H7" s="5"/>
      <c r="I7" s="1" t="s">
        <v>6528</v>
      </c>
      <c r="J7" s="1">
        <f>MONTH(tblGJ[[#This Row],[Date]])</f>
        <v>1</v>
      </c>
      <c r="K7" s="1" t="str">
        <f>_xlfn.XLOOKUP(tblGJ[[#This Row],[Account Code]],tblCOA[Code],tblCOA[FS Line],"")</f>
        <v>Taxes payable</v>
      </c>
      <c r="L7" s="121" t="str">
        <f>IF(OR(tblGJ[[#This Row],[Account Code]]=1120,tblGJ[[#This Row],[Account Code]]=1130),_xlfn.MINIFS(tblBank[Value Date],tblBank[Reference],tblGJ[[#This Row],[Voucher No]],tblBank[Account Code],tblGJ[[#This Row],[Account Code]]),"")</f>
        <v/>
      </c>
      <c r="M7" s="1" t="str">
        <f>IF(tblGJ[[#This Row],[Date]]&lt;=PEnd,"Yes","No")</f>
        <v>Yes</v>
      </c>
    </row>
    <row r="8" spans="1:60" x14ac:dyDescent="0.35">
      <c r="B8" s="109">
        <v>46032</v>
      </c>
      <c r="C8" s="1" t="s">
        <v>5650</v>
      </c>
      <c r="D8" s="1">
        <v>1120</v>
      </c>
      <c r="E8" s="1" t="str">
        <f>_xlfn.XLOOKUP(tblGJ[[#This Row],[Account Code]],tblCOA[Code],tblCOA[Account Name],"⚠ Invalid account")</f>
        <v>Bank BCA - Current Account</v>
      </c>
      <c r="F8" s="1" t="s">
        <v>5957</v>
      </c>
      <c r="G8" s="5"/>
      <c r="H8" s="5">
        <f>IF(MONTH(tblGJ[[#This Row],[Date]])=1,_xlfn.XLOOKUP(2230,tblCOA[Code],tblCOA[Opening Balance]),SUMIFS(tblPayroll[PPh 21],tblPayroll[Period],MONTH(tblGJ[[#This Row],[Date]])-1))</f>
        <v>14000000</v>
      </c>
      <c r="I8" s="1" t="s">
        <v>6528</v>
      </c>
      <c r="J8" s="1">
        <f>MONTH(tblGJ[[#This Row],[Date]])</f>
        <v>1</v>
      </c>
      <c r="K8" s="1" t="str">
        <f>_xlfn.XLOOKUP(tblGJ[[#This Row],[Account Code]],tblCOA[Code],tblCOA[FS Line],"")</f>
        <v>Cash and cash equivalents</v>
      </c>
      <c r="L8" s="121">
        <f>IF(OR(tblGJ[[#This Row],[Account Code]]=1120,tblGJ[[#This Row],[Account Code]]=1130),_xlfn.MINIFS(tblBank[Value Date],tblBank[Reference],tblGJ[[#This Row],[Voucher No]],tblBank[Account Code],tblGJ[[#This Row],[Account Code]]),"")</f>
        <v>46032</v>
      </c>
      <c r="M8" s="1" t="str">
        <f>IF(tblGJ[[#This Row],[Date]]&lt;=PEnd,"Yes","No")</f>
        <v>Yes</v>
      </c>
    </row>
    <row r="9" spans="1:60" x14ac:dyDescent="0.35">
      <c r="B9" s="109">
        <v>46032</v>
      </c>
      <c r="C9" s="1" t="s">
        <v>5651</v>
      </c>
      <c r="D9" s="1">
        <v>2150</v>
      </c>
      <c r="E9" s="1" t="str">
        <f>_xlfn.XLOOKUP(tblGJ[[#This Row],[Account Code]],tblCOA[Code],tblCOA[Account Name],"⚠ Invalid account")</f>
        <v>BPJS Payable</v>
      </c>
      <c r="F9" s="1" t="s">
        <v>5958</v>
      </c>
      <c r="G9" s="5">
        <f>IF(MONTH(tblGJ[[#This Row],[Date]])=1,_xlfn.XLOOKUP(2150,tblCOA[Code],tblCOA[Opening Balance]),SUMIFS(tblPayroll[BPJS Payable],tblPayroll[Period],MONTH(tblGJ[[#This Row],[Date]])-1))</f>
        <v>18000000</v>
      </c>
      <c r="H9" s="5"/>
      <c r="I9" s="1" t="s">
        <v>6528</v>
      </c>
      <c r="J9" s="1">
        <f>MONTH(tblGJ[[#This Row],[Date]])</f>
        <v>1</v>
      </c>
      <c r="K9" s="1" t="str">
        <f>_xlfn.XLOOKUP(tblGJ[[#This Row],[Account Code]],tblCOA[Code],tblCOA[FS Line],"")</f>
        <v>Accrued expenses</v>
      </c>
      <c r="L9" s="121" t="str">
        <f>IF(OR(tblGJ[[#This Row],[Account Code]]=1120,tblGJ[[#This Row],[Account Code]]=1130),_xlfn.MINIFS(tblBank[Value Date],tblBank[Reference],tblGJ[[#This Row],[Voucher No]],tblBank[Account Code],tblGJ[[#This Row],[Account Code]]),"")</f>
        <v/>
      </c>
      <c r="M9" s="1" t="str">
        <f>IF(tblGJ[[#This Row],[Date]]&lt;=PEnd,"Yes","No")</f>
        <v>Yes</v>
      </c>
    </row>
    <row r="10" spans="1:60" x14ac:dyDescent="0.35">
      <c r="B10" s="109">
        <v>46032</v>
      </c>
      <c r="C10" s="1" t="s">
        <v>5651</v>
      </c>
      <c r="D10" s="1">
        <v>1120</v>
      </c>
      <c r="E10" s="1" t="str">
        <f>_xlfn.XLOOKUP(tblGJ[[#This Row],[Account Code]],tblCOA[Code],tblCOA[Account Name],"⚠ Invalid account")</f>
        <v>Bank BCA - Current Account</v>
      </c>
      <c r="F10" s="1" t="s">
        <v>5958</v>
      </c>
      <c r="G10" s="5"/>
      <c r="H10" s="5">
        <f>IF(MONTH(tblGJ[[#This Row],[Date]])=1,_xlfn.XLOOKUP(2150,tblCOA[Code],tblCOA[Opening Balance]),SUMIFS(tblPayroll[BPJS Payable],tblPayroll[Period],MONTH(tblGJ[[#This Row],[Date]])-1))</f>
        <v>18000000</v>
      </c>
      <c r="I10" s="1" t="s">
        <v>6528</v>
      </c>
      <c r="J10" s="1">
        <f>MONTH(tblGJ[[#This Row],[Date]])</f>
        <v>1</v>
      </c>
      <c r="K10" s="1" t="str">
        <f>_xlfn.XLOOKUP(tblGJ[[#This Row],[Account Code]],tblCOA[Code],tblCOA[FS Line],"")</f>
        <v>Cash and cash equivalents</v>
      </c>
      <c r="L10" s="121">
        <f>IF(OR(tblGJ[[#This Row],[Account Code]]=1120,tblGJ[[#This Row],[Account Code]]=1130),_xlfn.MINIFS(tblBank[Value Date],tblBank[Reference],tblGJ[[#This Row],[Voucher No]],tblBank[Account Code],tblGJ[[#This Row],[Account Code]]),"")</f>
        <v>46032</v>
      </c>
      <c r="M10" s="1" t="str">
        <f>IF(tblGJ[[#This Row],[Date]]&lt;=PEnd,"Yes","No")</f>
        <v>Yes</v>
      </c>
    </row>
    <row r="11" spans="1:60" x14ac:dyDescent="0.35">
      <c r="B11" s="109">
        <v>46034</v>
      </c>
      <c r="C11" s="1" t="s">
        <v>5652</v>
      </c>
      <c r="D11" s="1">
        <v>2130</v>
      </c>
      <c r="E11" s="1" t="str">
        <f>_xlfn.XLOOKUP(tblGJ[[#This Row],[Account Code]],tblCOA[Code],tblCOA[Account Name],"⚠ Invalid account")</f>
        <v>Accrued Expenses</v>
      </c>
      <c r="F11" s="1" t="s">
        <v>5959</v>
      </c>
      <c r="G11" s="5">
        <f>_xlfn.XLOOKUP(2130,tblCOA[Code],tblCOA[Opening Balance])</f>
        <v>45000000</v>
      </c>
      <c r="H11" s="5"/>
      <c r="I11" s="1" t="s">
        <v>4263</v>
      </c>
      <c r="J11" s="1">
        <f>MONTH(tblGJ[[#This Row],[Date]])</f>
        <v>1</v>
      </c>
      <c r="K11" s="1" t="str">
        <f>_xlfn.XLOOKUP(tblGJ[[#This Row],[Account Code]],tblCOA[Code],tblCOA[FS Line],"")</f>
        <v>Accrued expenses</v>
      </c>
      <c r="L11" s="121" t="str">
        <f>IF(OR(tblGJ[[#This Row],[Account Code]]=1120,tblGJ[[#This Row],[Account Code]]=1130),_xlfn.MINIFS(tblBank[Value Date],tblBank[Reference],tblGJ[[#This Row],[Voucher No]],tblBank[Account Code],tblGJ[[#This Row],[Account Code]]),"")</f>
        <v/>
      </c>
      <c r="M11" s="1" t="str">
        <f>IF(tblGJ[[#This Row],[Date]]&lt;=PEnd,"Yes","No")</f>
        <v>Yes</v>
      </c>
    </row>
    <row r="12" spans="1:60" x14ac:dyDescent="0.35">
      <c r="B12" s="109">
        <v>46034</v>
      </c>
      <c r="C12" s="1" t="s">
        <v>5652</v>
      </c>
      <c r="D12" s="1">
        <v>1120</v>
      </c>
      <c r="E12" s="1" t="str">
        <f>_xlfn.XLOOKUP(tblGJ[[#This Row],[Account Code]],tblCOA[Code],tblCOA[Account Name],"⚠ Invalid account")</f>
        <v>Bank BCA - Current Account</v>
      </c>
      <c r="F12" s="1" t="s">
        <v>5959</v>
      </c>
      <c r="G12" s="5"/>
      <c r="H12" s="5">
        <f>_xlfn.XLOOKUP(2130,tblCOA[Code],tblCOA[Opening Balance])</f>
        <v>45000000</v>
      </c>
      <c r="I12" s="1" t="s">
        <v>4263</v>
      </c>
      <c r="J12" s="1">
        <f>MONTH(tblGJ[[#This Row],[Date]])</f>
        <v>1</v>
      </c>
      <c r="K12" s="1" t="str">
        <f>_xlfn.XLOOKUP(tblGJ[[#This Row],[Account Code]],tblCOA[Code],tblCOA[FS Line],"")</f>
        <v>Cash and cash equivalents</v>
      </c>
      <c r="L12" s="121">
        <f>IF(OR(tblGJ[[#This Row],[Account Code]]=1120,tblGJ[[#This Row],[Account Code]]=1130),_xlfn.MINIFS(tblBank[Value Date],tblBank[Reference],tblGJ[[#This Row],[Voucher No]],tblBank[Account Code],tblGJ[[#This Row],[Account Code]]),"")</f>
        <v>46034</v>
      </c>
      <c r="M12" s="1" t="str">
        <f>IF(tblGJ[[#This Row],[Date]]&lt;=PEnd,"Yes","No")</f>
        <v>Yes</v>
      </c>
    </row>
    <row r="13" spans="1:60" x14ac:dyDescent="0.35">
      <c r="B13" s="109">
        <v>46037</v>
      </c>
      <c r="C13" s="1" t="s">
        <v>5653</v>
      </c>
      <c r="D13" s="1">
        <v>2240</v>
      </c>
      <c r="E13" s="1" t="str">
        <f>_xlfn.XLOOKUP(tblGJ[[#This Row],[Account Code]],tblCOA[Code],tblCOA[Account Name],"⚠ Invalid account")</f>
        <v>WHT Payable - Unifikasi (Art. 23/4(2))</v>
      </c>
      <c r="F13" s="1" t="s">
        <v>5960</v>
      </c>
      <c r="G13" s="5">
        <f>IF(MONTH(tblGJ[[#This Row],[Date]])=1,_xlfn.XLOOKUP(2240,tblCOA[Code],tblCOA[Opening Balance]),SUMIFS(tblPurchases[WHT Amount],tblPurchases[Month],MONTH(tblGJ[[#This Row],[Date]])-1))</f>
        <v>6500000</v>
      </c>
      <c r="H13" s="5"/>
      <c r="I13" s="1" t="s">
        <v>6528</v>
      </c>
      <c r="J13" s="1">
        <f>MONTH(tblGJ[[#This Row],[Date]])</f>
        <v>1</v>
      </c>
      <c r="K13" s="1" t="str">
        <f>_xlfn.XLOOKUP(tblGJ[[#This Row],[Account Code]],tblCOA[Code],tblCOA[FS Line],"")</f>
        <v>Taxes payable</v>
      </c>
      <c r="L13" s="121" t="str">
        <f>IF(OR(tblGJ[[#This Row],[Account Code]]=1120,tblGJ[[#This Row],[Account Code]]=1130),_xlfn.MINIFS(tblBank[Value Date],tblBank[Reference],tblGJ[[#This Row],[Voucher No]],tblBank[Account Code],tblGJ[[#This Row],[Account Code]]),"")</f>
        <v/>
      </c>
      <c r="M13" s="1" t="str">
        <f>IF(tblGJ[[#This Row],[Date]]&lt;=PEnd,"Yes","No")</f>
        <v>Yes</v>
      </c>
    </row>
    <row r="14" spans="1:60" x14ac:dyDescent="0.35">
      <c r="B14" s="109">
        <v>46037</v>
      </c>
      <c r="C14" s="1" t="s">
        <v>5653</v>
      </c>
      <c r="D14" s="1">
        <v>1120</v>
      </c>
      <c r="E14" s="1" t="str">
        <f>_xlfn.XLOOKUP(tblGJ[[#This Row],[Account Code]],tblCOA[Code],tblCOA[Account Name],"⚠ Invalid account")</f>
        <v>Bank BCA - Current Account</v>
      </c>
      <c r="F14" s="1" t="s">
        <v>5960</v>
      </c>
      <c r="G14" s="5"/>
      <c r="H14" s="5">
        <f>IF(MONTH(tblGJ[[#This Row],[Date]])=1,_xlfn.XLOOKUP(2240,tblCOA[Code],tblCOA[Opening Balance]),SUMIFS(tblPurchases[WHT Amount],tblPurchases[Month],MONTH(tblGJ[[#This Row],[Date]])-1))</f>
        <v>6500000</v>
      </c>
      <c r="I14" s="1" t="s">
        <v>6528</v>
      </c>
      <c r="J14" s="1">
        <f>MONTH(tblGJ[[#This Row],[Date]])</f>
        <v>1</v>
      </c>
      <c r="K14" s="1" t="str">
        <f>_xlfn.XLOOKUP(tblGJ[[#This Row],[Account Code]],tblCOA[Code],tblCOA[FS Line],"")</f>
        <v>Cash and cash equivalents</v>
      </c>
      <c r="L14" s="121">
        <f>IF(OR(tblGJ[[#This Row],[Account Code]]=1120,tblGJ[[#This Row],[Account Code]]=1130),_xlfn.MINIFS(tblBank[Value Date],tblBank[Reference],tblGJ[[#This Row],[Voucher No]],tblBank[Account Code],tblGJ[[#This Row],[Account Code]]),"")</f>
        <v>46037</v>
      </c>
      <c r="M14" s="1" t="str">
        <f>IF(tblGJ[[#This Row],[Date]]&lt;=PEnd,"Yes","No")</f>
        <v>Yes</v>
      </c>
    </row>
    <row r="15" spans="1:60" x14ac:dyDescent="0.35">
      <c r="B15" s="109">
        <v>46037</v>
      </c>
      <c r="C15" s="1" t="s">
        <v>5654</v>
      </c>
      <c r="D15" s="1">
        <v>1520</v>
      </c>
      <c r="E15" s="1" t="str">
        <f>_xlfn.XLOOKUP(tblGJ[[#This Row],[Account Code]],tblCOA[Code],tblCOA[Account Name],"⚠ Invalid account")</f>
        <v>Prepaid Income Tax - Art. 25</v>
      </c>
      <c r="F15" s="1" t="s">
        <v>5961</v>
      </c>
      <c r="G15" s="5">
        <f>PPh25Inst</f>
        <v>20000000</v>
      </c>
      <c r="H15" s="5"/>
      <c r="I15" s="1" t="s">
        <v>6528</v>
      </c>
      <c r="J15" s="1">
        <f>MONTH(tblGJ[[#This Row],[Date]])</f>
        <v>1</v>
      </c>
      <c r="K15" s="1" t="str">
        <f>_xlfn.XLOOKUP(tblGJ[[#This Row],[Account Code]],tblCOA[Code],tblCOA[FS Line],"")</f>
        <v>Prepaid taxes</v>
      </c>
      <c r="L15" s="121" t="str">
        <f>IF(OR(tblGJ[[#This Row],[Account Code]]=1120,tblGJ[[#This Row],[Account Code]]=1130),_xlfn.MINIFS(tblBank[Value Date],tblBank[Reference],tblGJ[[#This Row],[Voucher No]],tblBank[Account Code],tblGJ[[#This Row],[Account Code]]),"")</f>
        <v/>
      </c>
      <c r="M15" s="1" t="str">
        <f>IF(tblGJ[[#This Row],[Date]]&lt;=PEnd,"Yes","No")</f>
        <v>Yes</v>
      </c>
    </row>
    <row r="16" spans="1:60" x14ac:dyDescent="0.35">
      <c r="B16" s="109">
        <v>46037</v>
      </c>
      <c r="C16" s="1" t="s">
        <v>5654</v>
      </c>
      <c r="D16" s="1">
        <v>1120</v>
      </c>
      <c r="E16" s="1" t="str">
        <f>_xlfn.XLOOKUP(tblGJ[[#This Row],[Account Code]],tblCOA[Code],tblCOA[Account Name],"⚠ Invalid account")</f>
        <v>Bank BCA - Current Account</v>
      </c>
      <c r="F16" s="1" t="s">
        <v>5961</v>
      </c>
      <c r="G16" s="5"/>
      <c r="H16" s="5">
        <f>PPh25Inst</f>
        <v>20000000</v>
      </c>
      <c r="I16" s="1" t="s">
        <v>6528</v>
      </c>
      <c r="J16" s="1">
        <f>MONTH(tblGJ[[#This Row],[Date]])</f>
        <v>1</v>
      </c>
      <c r="K16" s="1" t="str">
        <f>_xlfn.XLOOKUP(tblGJ[[#This Row],[Account Code]],tblCOA[Code],tblCOA[FS Line],"")</f>
        <v>Cash and cash equivalents</v>
      </c>
      <c r="L16" s="121">
        <f>IF(OR(tblGJ[[#This Row],[Account Code]]=1120,tblGJ[[#This Row],[Account Code]]=1130),_xlfn.MINIFS(tblBank[Value Date],tblBank[Reference],tblGJ[[#This Row],[Voucher No]],tblBank[Account Code],tblGJ[[#This Row],[Account Code]]),"")</f>
        <v>46037</v>
      </c>
      <c r="M16" s="1" t="str">
        <f>IF(tblGJ[[#This Row],[Date]]&lt;=PEnd,"Yes","No")</f>
        <v>Yes</v>
      </c>
    </row>
    <row r="17" spans="2:13" x14ac:dyDescent="0.35">
      <c r="B17" s="109">
        <v>46037</v>
      </c>
      <c r="C17" s="1" t="s">
        <v>5655</v>
      </c>
      <c r="D17" s="1">
        <v>2110</v>
      </c>
      <c r="E17" s="1" t="str">
        <f>_xlfn.XLOOKUP(tblGJ[[#This Row],[Account Code]],tblCOA[Code],tblCOA[Account Name],"⚠ Invalid account")</f>
        <v>Trade Payables</v>
      </c>
      <c r="F17" s="1" t="s">
        <v>5962</v>
      </c>
      <c r="G17" s="5">
        <f>_xlfn.XLOOKUP(2110,tblCOA[Code],tblCOA[Opening Balance])</f>
        <v>620000000</v>
      </c>
      <c r="H17" s="5"/>
      <c r="I17" s="1" t="s">
        <v>6529</v>
      </c>
      <c r="J17" s="1">
        <f>MONTH(tblGJ[[#This Row],[Date]])</f>
        <v>1</v>
      </c>
      <c r="K17" s="1" t="str">
        <f>_xlfn.XLOOKUP(tblGJ[[#This Row],[Account Code]],tblCOA[Code],tblCOA[FS Line],"")</f>
        <v>Trade payables</v>
      </c>
      <c r="L17" s="121" t="str">
        <f>IF(OR(tblGJ[[#This Row],[Account Code]]=1120,tblGJ[[#This Row],[Account Code]]=1130),_xlfn.MINIFS(tblBank[Value Date],tblBank[Reference],tblGJ[[#This Row],[Voucher No]],tblBank[Account Code],tblGJ[[#This Row],[Account Code]]),"")</f>
        <v/>
      </c>
      <c r="M17" s="1" t="str">
        <f>IF(tblGJ[[#This Row],[Date]]&lt;=PEnd,"Yes","No")</f>
        <v>Yes</v>
      </c>
    </row>
    <row r="18" spans="2:13" x14ac:dyDescent="0.35">
      <c r="B18" s="109">
        <v>46037</v>
      </c>
      <c r="C18" s="1" t="s">
        <v>5655</v>
      </c>
      <c r="D18" s="1">
        <v>1120</v>
      </c>
      <c r="E18" s="1" t="str">
        <f>_xlfn.XLOOKUP(tblGJ[[#This Row],[Account Code]],tblCOA[Code],tblCOA[Account Name],"⚠ Invalid account")</f>
        <v>Bank BCA - Current Account</v>
      </c>
      <c r="F18" s="1" t="s">
        <v>5962</v>
      </c>
      <c r="G18" s="5"/>
      <c r="H18" s="5">
        <f>_xlfn.XLOOKUP(2110,tblCOA[Code],tblCOA[Opening Balance])</f>
        <v>620000000</v>
      </c>
      <c r="I18" s="1" t="s">
        <v>6529</v>
      </c>
      <c r="J18" s="1">
        <f>MONTH(tblGJ[[#This Row],[Date]])</f>
        <v>1</v>
      </c>
      <c r="K18" s="1" t="str">
        <f>_xlfn.XLOOKUP(tblGJ[[#This Row],[Account Code]],tblCOA[Code],tblCOA[FS Line],"")</f>
        <v>Cash and cash equivalents</v>
      </c>
      <c r="L18" s="121">
        <f>IF(OR(tblGJ[[#This Row],[Account Code]]=1120,tblGJ[[#This Row],[Account Code]]=1130),_xlfn.MINIFS(tblBank[Value Date],tblBank[Reference],tblGJ[[#This Row],[Voucher No]],tblBank[Account Code],tblGJ[[#This Row],[Account Code]]),"")</f>
        <v>46037</v>
      </c>
      <c r="M18" s="1" t="str">
        <f>IF(tblGJ[[#This Row],[Date]]&lt;=PEnd,"Yes","No")</f>
        <v>Yes</v>
      </c>
    </row>
    <row r="19" spans="2:13" x14ac:dyDescent="0.35">
      <c r="B19" s="109">
        <v>46042</v>
      </c>
      <c r="C19" s="1" t="s">
        <v>5656</v>
      </c>
      <c r="D19" s="1">
        <v>1120</v>
      </c>
      <c r="E19" s="1" t="str">
        <f>_xlfn.XLOOKUP(tblGJ[[#This Row],[Account Code]],tblCOA[Code],tblCOA[Account Name],"⚠ Invalid account")</f>
        <v>Bank BCA - Current Account</v>
      </c>
      <c r="F19" s="1" t="s">
        <v>5963</v>
      </c>
      <c r="G19" s="5">
        <f>IF(MONTH(tblGJ[[#This Row],[Date]])=1,_xlfn.XLOOKUP(1210,tblCOA[Code],tblCOA[Opening Balance]),SUMIFS(tblSales[Total incl. VAT],tblSales[Month],MONTH(tblGJ[[#This Row],[Date]])-1,tblSales[Payment Method],Products!$O$15))</f>
        <v>420000000</v>
      </c>
      <c r="H19" s="5"/>
      <c r="I19" s="1" t="s">
        <v>6530</v>
      </c>
      <c r="J19" s="1">
        <f>MONTH(tblGJ[[#This Row],[Date]])</f>
        <v>1</v>
      </c>
      <c r="K19" s="1" t="str">
        <f>_xlfn.XLOOKUP(tblGJ[[#This Row],[Account Code]],tblCOA[Code],tblCOA[FS Line],"")</f>
        <v>Cash and cash equivalents</v>
      </c>
      <c r="L19" s="121">
        <f>IF(OR(tblGJ[[#This Row],[Account Code]]=1120,tblGJ[[#This Row],[Account Code]]=1130),_xlfn.MINIFS(tblBank[Value Date],tblBank[Reference],tblGJ[[#This Row],[Voucher No]],tblBank[Account Code],tblGJ[[#This Row],[Account Code]]),"")</f>
        <v>46042</v>
      </c>
      <c r="M19" s="1" t="str">
        <f>IF(tblGJ[[#This Row],[Date]]&lt;=PEnd,"Yes","No")</f>
        <v>Yes</v>
      </c>
    </row>
    <row r="20" spans="2:13" x14ac:dyDescent="0.35">
      <c r="B20" s="109">
        <v>46042</v>
      </c>
      <c r="C20" s="1" t="s">
        <v>5656</v>
      </c>
      <c r="D20" s="1">
        <v>1210</v>
      </c>
      <c r="E20" s="1" t="str">
        <f>_xlfn.XLOOKUP(tblGJ[[#This Row],[Account Code]],tblCOA[Code],tblCOA[Account Name],"⚠ Invalid account")</f>
        <v>Trade Receivables</v>
      </c>
      <c r="F20" s="1" t="s">
        <v>5964</v>
      </c>
      <c r="G20" s="5"/>
      <c r="H20" s="5">
        <f>IF(MONTH(tblGJ[[#This Row],[Date]])=1,_xlfn.XLOOKUP(1210,tblCOA[Code],tblCOA[Opening Balance]),SUMIFS(tblSales[Total incl. VAT],tblSales[Month],MONTH(tblGJ[[#This Row],[Date]])-1,tblSales[Payment Method],Products!$O$15))</f>
        <v>420000000</v>
      </c>
      <c r="I20" s="1" t="s">
        <v>6530</v>
      </c>
      <c r="J20" s="1">
        <f>MONTH(tblGJ[[#This Row],[Date]])</f>
        <v>1</v>
      </c>
      <c r="K20" s="1" t="str">
        <f>_xlfn.XLOOKUP(tblGJ[[#This Row],[Account Code]],tblCOA[Code],tblCOA[FS Line],"")</f>
        <v>Trade receivables - net</v>
      </c>
      <c r="L20" s="121" t="str">
        <f>IF(OR(tblGJ[[#This Row],[Account Code]]=1120,tblGJ[[#This Row],[Account Code]]=1130),_xlfn.MINIFS(tblBank[Value Date],tblBank[Reference],tblGJ[[#This Row],[Voucher No]],tblBank[Account Code],tblGJ[[#This Row],[Account Code]]),"")</f>
        <v/>
      </c>
      <c r="M20" s="1" t="str">
        <f>IF(tblGJ[[#This Row],[Date]]&lt;=PEnd,"Yes","No")</f>
        <v>Yes</v>
      </c>
    </row>
    <row r="21" spans="2:13" x14ac:dyDescent="0.35">
      <c r="B21" s="109">
        <v>46046</v>
      </c>
      <c r="C21" s="1" t="s">
        <v>5657</v>
      </c>
      <c r="D21" s="1">
        <v>1130</v>
      </c>
      <c r="E21" s="1" t="str">
        <f>_xlfn.XLOOKUP(tblGJ[[#This Row],[Account Code]],tblCOA[Code],tblCOA[Account Name],"⚠ Invalid account")</f>
        <v>Bank Mandiri - Current Account</v>
      </c>
      <c r="F21" s="1" t="s">
        <v>5965</v>
      </c>
      <c r="G21" s="5">
        <f>SUMIFS(tblPayroll[Net Pay],tblPayroll[Period],MONTH(tblGJ[[#This Row],[Date]]))</f>
        <v>161397799</v>
      </c>
      <c r="H21" s="5"/>
      <c r="I21" s="1" t="s">
        <v>6531</v>
      </c>
      <c r="J21" s="1">
        <f>MONTH(tblGJ[[#This Row],[Date]])</f>
        <v>1</v>
      </c>
      <c r="K21" s="1" t="str">
        <f>_xlfn.XLOOKUP(tblGJ[[#This Row],[Account Code]],tblCOA[Code],tblCOA[FS Line],"")</f>
        <v>Cash and cash equivalents</v>
      </c>
      <c r="L21" s="121">
        <f>IF(OR(tblGJ[[#This Row],[Account Code]]=1120,tblGJ[[#This Row],[Account Code]]=1130),_xlfn.MINIFS(tblBank[Value Date],tblBank[Reference],tblGJ[[#This Row],[Voucher No]],tblBank[Account Code],tblGJ[[#This Row],[Account Code]]),"")</f>
        <v>46046</v>
      </c>
      <c r="M21" s="1" t="str">
        <f>IF(tblGJ[[#This Row],[Date]]&lt;=PEnd,"Yes","No")</f>
        <v>Yes</v>
      </c>
    </row>
    <row r="22" spans="2:13" x14ac:dyDescent="0.35">
      <c r="B22" s="109">
        <v>46046</v>
      </c>
      <c r="C22" s="1" t="s">
        <v>5657</v>
      </c>
      <c r="D22" s="1">
        <v>1120</v>
      </c>
      <c r="E22" s="1" t="str">
        <f>_xlfn.XLOOKUP(tblGJ[[#This Row],[Account Code]],tblCOA[Code],tblCOA[Account Name],"⚠ Invalid account")</f>
        <v>Bank BCA - Current Account</v>
      </c>
      <c r="F22" s="1" t="s">
        <v>5966</v>
      </c>
      <c r="G22" s="5"/>
      <c r="H22" s="5">
        <f>SUMIFS(tblPayroll[Net Pay],tblPayroll[Period],MONTH(tblGJ[[#This Row],[Date]]))</f>
        <v>161397799</v>
      </c>
      <c r="I22" s="1" t="s">
        <v>6531</v>
      </c>
      <c r="J22" s="1">
        <f>MONTH(tblGJ[[#This Row],[Date]])</f>
        <v>1</v>
      </c>
      <c r="K22" s="1" t="str">
        <f>_xlfn.XLOOKUP(tblGJ[[#This Row],[Account Code]],tblCOA[Code],tblCOA[FS Line],"")</f>
        <v>Cash and cash equivalents</v>
      </c>
      <c r="L22" s="121">
        <f>IF(OR(tblGJ[[#This Row],[Account Code]]=1120,tblGJ[[#This Row],[Account Code]]=1130),_xlfn.MINIFS(tblBank[Value Date],tblBank[Reference],tblGJ[[#This Row],[Voucher No]],tblBank[Account Code],tblGJ[[#This Row],[Account Code]]),"")</f>
        <v>46046</v>
      </c>
      <c r="M22" s="1" t="str">
        <f>IF(tblGJ[[#This Row],[Date]]&lt;=PEnd,"Yes","No")</f>
        <v>Yes</v>
      </c>
    </row>
    <row r="23" spans="2:13" x14ac:dyDescent="0.35">
      <c r="B23" s="109">
        <v>46047</v>
      </c>
      <c r="C23" s="1" t="s">
        <v>5658</v>
      </c>
      <c r="D23" s="1">
        <v>6110</v>
      </c>
      <c r="E23" s="1" t="str">
        <f>_xlfn.XLOOKUP(tblGJ[[#This Row],[Account Code]],tblCOA[Code],tblCOA[Account Name],"⚠ Invalid account")</f>
        <v>Salaries &amp; Allowances - Selling</v>
      </c>
      <c r="F23" s="1" t="s">
        <v>5967</v>
      </c>
      <c r="G23" s="5">
        <f>SUMIFS(tblPayroll[Gross Salary],tblPayroll[Period],MONTH(tblGJ[[#This Row],[Date]]),tblPayroll[Department],"Selling")</f>
        <v>80200000</v>
      </c>
      <c r="H23" s="5"/>
      <c r="I23" s="1" t="s">
        <v>6531</v>
      </c>
      <c r="J23" s="1">
        <f>MONTH(tblGJ[[#This Row],[Date]])</f>
        <v>1</v>
      </c>
      <c r="K23" s="1" t="str">
        <f>_xlfn.XLOOKUP(tblGJ[[#This Row],[Account Code]],tblCOA[Code],tblCOA[FS Line],"")</f>
        <v>Selling expenses</v>
      </c>
      <c r="L23" s="121" t="str">
        <f>IF(OR(tblGJ[[#This Row],[Account Code]]=1120,tblGJ[[#This Row],[Account Code]]=1130),_xlfn.MINIFS(tblBank[Value Date],tblBank[Reference],tblGJ[[#This Row],[Voucher No]],tblBank[Account Code],tblGJ[[#This Row],[Account Code]]),"")</f>
        <v/>
      </c>
      <c r="M23" s="1" t="str">
        <f>IF(tblGJ[[#This Row],[Date]]&lt;=PEnd,"Yes","No")</f>
        <v>Yes</v>
      </c>
    </row>
    <row r="24" spans="2:13" x14ac:dyDescent="0.35">
      <c r="B24" s="109">
        <v>46047</v>
      </c>
      <c r="C24" s="1" t="s">
        <v>5658</v>
      </c>
      <c r="D24" s="1">
        <v>6111</v>
      </c>
      <c r="E24" s="1" t="str">
        <f>_xlfn.XLOOKUP(tblGJ[[#This Row],[Account Code]],tblCOA[Code],tblCOA[Account Name],"⚠ Invalid account")</f>
        <v>BPJS Employer Contributions - Selling</v>
      </c>
      <c r="F24" s="1" t="s">
        <v>5968</v>
      </c>
      <c r="G24" s="5">
        <f>SUMIFS(tblPayroll[Employer BPJS Total],tblPayroll[Period],MONTH(tblGJ[[#This Row],[Date]]),tblPayroll[Department],"Selling")</f>
        <v>7824376</v>
      </c>
      <c r="H24" s="5"/>
      <c r="I24" s="1" t="s">
        <v>6531</v>
      </c>
      <c r="J24" s="1">
        <f>MONTH(tblGJ[[#This Row],[Date]])</f>
        <v>1</v>
      </c>
      <c r="K24" s="1" t="str">
        <f>_xlfn.XLOOKUP(tblGJ[[#This Row],[Account Code]],tblCOA[Code],tblCOA[FS Line],"")</f>
        <v>Selling expenses</v>
      </c>
      <c r="L24" s="121" t="str">
        <f>IF(OR(tblGJ[[#This Row],[Account Code]]=1120,tblGJ[[#This Row],[Account Code]]=1130),_xlfn.MINIFS(tblBank[Value Date],tblBank[Reference],tblGJ[[#This Row],[Voucher No]],tblBank[Account Code],tblGJ[[#This Row],[Account Code]]),"")</f>
        <v/>
      </c>
      <c r="M24" s="1" t="str">
        <f>IF(tblGJ[[#This Row],[Date]]&lt;=PEnd,"Yes","No")</f>
        <v>Yes</v>
      </c>
    </row>
    <row r="25" spans="2:13" x14ac:dyDescent="0.35">
      <c r="B25" s="109">
        <v>46047</v>
      </c>
      <c r="C25" s="1" t="s">
        <v>5658</v>
      </c>
      <c r="D25" s="1">
        <v>6210</v>
      </c>
      <c r="E25" s="1" t="str">
        <f>_xlfn.XLOOKUP(tblGJ[[#This Row],[Account Code]],tblCOA[Code],tblCOA[Account Name],"⚠ Invalid account")</f>
        <v>Salaries &amp; Allowances - G&amp;A</v>
      </c>
      <c r="F25" s="1" t="s">
        <v>5969</v>
      </c>
      <c r="G25" s="5">
        <f>SUMIFS(tblPayroll[Gross Salary],tblPayroll[Period],MONTH(tblGJ[[#This Row],[Date]]),tblPayroll[Department],"G&amp;A")</f>
        <v>98000000</v>
      </c>
      <c r="H25" s="5"/>
      <c r="I25" s="1" t="s">
        <v>6531</v>
      </c>
      <c r="J25" s="1">
        <f>MONTH(tblGJ[[#This Row],[Date]])</f>
        <v>1</v>
      </c>
      <c r="K25" s="1" t="str">
        <f>_xlfn.XLOOKUP(tblGJ[[#This Row],[Account Code]],tblCOA[Code],tblCOA[FS Line],"")</f>
        <v>General &amp; administrative expenses</v>
      </c>
      <c r="L25" s="121" t="str">
        <f>IF(OR(tblGJ[[#This Row],[Account Code]]=1120,tblGJ[[#This Row],[Account Code]]=1130),_xlfn.MINIFS(tblBank[Value Date],tblBank[Reference],tblGJ[[#This Row],[Voucher No]],tblBank[Account Code],tblGJ[[#This Row],[Account Code]]),"")</f>
        <v/>
      </c>
      <c r="M25" s="1" t="str">
        <f>IF(tblGJ[[#This Row],[Date]]&lt;=PEnd,"Yes","No")</f>
        <v>Yes</v>
      </c>
    </row>
    <row r="26" spans="2:13" x14ac:dyDescent="0.35">
      <c r="B26" s="109">
        <v>46047</v>
      </c>
      <c r="C26" s="1" t="s">
        <v>5658</v>
      </c>
      <c r="D26" s="1">
        <v>6211</v>
      </c>
      <c r="E26" s="1" t="str">
        <f>_xlfn.XLOOKUP(tblGJ[[#This Row],[Account Code]],tblCOA[Code],tblCOA[Account Name],"⚠ Invalid account")</f>
        <v>BPJS Employer Contributions - G&amp;A</v>
      </c>
      <c r="F26" s="1" t="s">
        <v>5970</v>
      </c>
      <c r="G26" s="5">
        <f>SUMIFS(tblPayroll[Employer BPJS Total],tblPayroll[Period],MONTH(tblGJ[[#This Row],[Date]]),tblPayroll[Department],"G&amp;A")</f>
        <v>7968044</v>
      </c>
      <c r="H26" s="5"/>
      <c r="I26" s="1" t="s">
        <v>6531</v>
      </c>
      <c r="J26" s="1">
        <f>MONTH(tblGJ[[#This Row],[Date]])</f>
        <v>1</v>
      </c>
      <c r="K26" s="1" t="str">
        <f>_xlfn.XLOOKUP(tblGJ[[#This Row],[Account Code]],tblCOA[Code],tblCOA[FS Line],"")</f>
        <v>General &amp; administrative expenses</v>
      </c>
      <c r="L26" s="121" t="str">
        <f>IF(OR(tblGJ[[#This Row],[Account Code]]=1120,tblGJ[[#This Row],[Account Code]]=1130),_xlfn.MINIFS(tblBank[Value Date],tblBank[Reference],tblGJ[[#This Row],[Voucher No]],tblBank[Account Code],tblGJ[[#This Row],[Account Code]]),"")</f>
        <v/>
      </c>
      <c r="M26" s="1" t="str">
        <f>IF(tblGJ[[#This Row],[Date]]&lt;=PEnd,"Yes","No")</f>
        <v>Yes</v>
      </c>
    </row>
    <row r="27" spans="2:13" x14ac:dyDescent="0.35">
      <c r="B27" s="109">
        <v>46047</v>
      </c>
      <c r="C27" s="1" t="s">
        <v>5658</v>
      </c>
      <c r="D27" s="1">
        <v>2230</v>
      </c>
      <c r="E27" s="1" t="str">
        <f>_xlfn.XLOOKUP(tblGJ[[#This Row],[Account Code]],tblCOA[Code],tblCOA[Account Name],"⚠ Invalid account")</f>
        <v>WHT Payable - Art. 21</v>
      </c>
      <c r="F27" s="1" t="s">
        <v>5971</v>
      </c>
      <c r="G27" s="5"/>
      <c r="H27" s="5">
        <f>SUMIFS(tblPayroll[PPh 21],tblPayroll[Period],MONTH(tblGJ[[#This Row],[Date]]))</f>
        <v>10516831</v>
      </c>
      <c r="I27" s="1" t="s">
        <v>6531</v>
      </c>
      <c r="J27" s="1">
        <f>MONTH(tblGJ[[#This Row],[Date]])</f>
        <v>1</v>
      </c>
      <c r="K27" s="1" t="str">
        <f>_xlfn.XLOOKUP(tblGJ[[#This Row],[Account Code]],tblCOA[Code],tblCOA[FS Line],"")</f>
        <v>Taxes payable</v>
      </c>
      <c r="L27" s="121" t="str">
        <f>IF(OR(tblGJ[[#This Row],[Account Code]]=1120,tblGJ[[#This Row],[Account Code]]=1130),_xlfn.MINIFS(tblBank[Value Date],tblBank[Reference],tblGJ[[#This Row],[Voucher No]],tblBank[Account Code],tblGJ[[#This Row],[Account Code]]),"")</f>
        <v/>
      </c>
      <c r="M27" s="1" t="str">
        <f>IF(tblGJ[[#This Row],[Date]]&lt;=PEnd,"Yes","No")</f>
        <v>Yes</v>
      </c>
    </row>
    <row r="28" spans="2:13" x14ac:dyDescent="0.35">
      <c r="B28" s="109">
        <v>46047</v>
      </c>
      <c r="C28" s="1" t="s">
        <v>5658</v>
      </c>
      <c r="D28" s="1">
        <v>2150</v>
      </c>
      <c r="E28" s="1" t="str">
        <f>_xlfn.XLOOKUP(tblGJ[[#This Row],[Account Code]],tblCOA[Code],tblCOA[Account Name],"⚠ Invalid account")</f>
        <v>BPJS Payable</v>
      </c>
      <c r="F28" s="1" t="s">
        <v>5972</v>
      </c>
      <c r="G28" s="5"/>
      <c r="H28" s="5">
        <f>SUMIFS(tblPayroll[BPJS Payable],tblPayroll[Period],MONTH(tblGJ[[#This Row],[Date]]))</f>
        <v>22077790</v>
      </c>
      <c r="I28" s="1" t="s">
        <v>6531</v>
      </c>
      <c r="J28" s="1">
        <f>MONTH(tblGJ[[#This Row],[Date]])</f>
        <v>1</v>
      </c>
      <c r="K28" s="1" t="str">
        <f>_xlfn.XLOOKUP(tblGJ[[#This Row],[Account Code]],tblCOA[Code],tblCOA[FS Line],"")</f>
        <v>Accrued expenses</v>
      </c>
      <c r="L28" s="121" t="str">
        <f>IF(OR(tblGJ[[#This Row],[Account Code]]=1120,tblGJ[[#This Row],[Account Code]]=1130),_xlfn.MINIFS(tblBank[Value Date],tblBank[Reference],tblGJ[[#This Row],[Voucher No]],tblBank[Account Code],tblGJ[[#This Row],[Account Code]]),"")</f>
        <v/>
      </c>
      <c r="M28" s="1" t="str">
        <f>IF(tblGJ[[#This Row],[Date]]&lt;=PEnd,"Yes","No")</f>
        <v>Yes</v>
      </c>
    </row>
    <row r="29" spans="2:13" x14ac:dyDescent="0.35">
      <c r="B29" s="109">
        <v>46047</v>
      </c>
      <c r="C29" s="1" t="s">
        <v>5658</v>
      </c>
      <c r="D29" s="1">
        <v>1130</v>
      </c>
      <c r="E29" s="1" t="str">
        <f>_xlfn.XLOOKUP(tblGJ[[#This Row],[Account Code]],tblCOA[Code],tblCOA[Account Name],"⚠ Invalid account")</f>
        <v>Bank Mandiri - Current Account</v>
      </c>
      <c r="F29" s="1" t="s">
        <v>5973</v>
      </c>
      <c r="G29" s="5"/>
      <c r="H29" s="5">
        <f>SUMIFS(tblPayroll[Net Pay],tblPayroll[Period],MONTH(tblGJ[[#This Row],[Date]]))</f>
        <v>161397799</v>
      </c>
      <c r="I29" s="1" t="s">
        <v>6531</v>
      </c>
      <c r="J29" s="1">
        <f>MONTH(tblGJ[[#This Row],[Date]])</f>
        <v>1</v>
      </c>
      <c r="K29" s="1" t="str">
        <f>_xlfn.XLOOKUP(tblGJ[[#This Row],[Account Code]],tblCOA[Code],tblCOA[FS Line],"")</f>
        <v>Cash and cash equivalents</v>
      </c>
      <c r="L29" s="121">
        <f>IF(OR(tblGJ[[#This Row],[Account Code]]=1120,tblGJ[[#This Row],[Account Code]]=1130),_xlfn.MINIFS(tblBank[Value Date],tblBank[Reference],tblGJ[[#This Row],[Voucher No]],tblBank[Account Code],tblGJ[[#This Row],[Account Code]]),"")</f>
        <v>46047</v>
      </c>
      <c r="M29" s="1" t="str">
        <f>IF(tblGJ[[#This Row],[Date]]&lt;=PEnd,"Yes","No")</f>
        <v>Yes</v>
      </c>
    </row>
    <row r="30" spans="2:13" x14ac:dyDescent="0.35">
      <c r="B30" s="109">
        <v>46050</v>
      </c>
      <c r="C30" s="1" t="s">
        <v>5659</v>
      </c>
      <c r="D30" s="1">
        <v>2220</v>
      </c>
      <c r="E30" s="1" t="str">
        <f>_xlfn.XLOOKUP(tblGJ[[#This Row],[Account Code]],tblCOA[Code],tblCOA[Account Name],"⚠ Invalid account")</f>
        <v>VAT Payable - Net</v>
      </c>
      <c r="F30" s="1" t="s">
        <v>5974</v>
      </c>
      <c r="G30" s="5">
        <f>IF(MONTH(tblGJ[[#This Row],[Date]])=1,_xlfn.XLOOKUP(2220,tblCOA[Code],tblCOA[Opening Balance]),SUMIFS(tblSales[Output VAT],tblSales[Month],MONTH(tblGJ[[#This Row],[Date]])-1)-SUMIFS(tblPurchases[Input VAT],tblPurchases[Month],MONTH(tblGJ[[#This Row],[Date]])-1))</f>
        <v>85000000</v>
      </c>
      <c r="H30" s="5"/>
      <c r="I30" s="1" t="s">
        <v>6528</v>
      </c>
      <c r="J30" s="1">
        <f>MONTH(tblGJ[[#This Row],[Date]])</f>
        <v>1</v>
      </c>
      <c r="K30" s="1" t="str">
        <f>_xlfn.XLOOKUP(tblGJ[[#This Row],[Account Code]],tblCOA[Code],tblCOA[FS Line],"")</f>
        <v>Taxes payable</v>
      </c>
      <c r="L30" s="121" t="str">
        <f>IF(OR(tblGJ[[#This Row],[Account Code]]=1120,tblGJ[[#This Row],[Account Code]]=1130),_xlfn.MINIFS(tblBank[Value Date],tblBank[Reference],tblGJ[[#This Row],[Voucher No]],tblBank[Account Code],tblGJ[[#This Row],[Account Code]]),"")</f>
        <v/>
      </c>
      <c r="M30" s="1" t="str">
        <f>IF(tblGJ[[#This Row],[Date]]&lt;=PEnd,"Yes","No")</f>
        <v>Yes</v>
      </c>
    </row>
    <row r="31" spans="2:13" x14ac:dyDescent="0.35">
      <c r="B31" s="109">
        <v>46050</v>
      </c>
      <c r="C31" s="1" t="s">
        <v>5659</v>
      </c>
      <c r="D31" s="1">
        <v>1120</v>
      </c>
      <c r="E31" s="1" t="str">
        <f>_xlfn.XLOOKUP(tblGJ[[#This Row],[Account Code]],tblCOA[Code],tblCOA[Account Name],"⚠ Invalid account")</f>
        <v>Bank BCA - Current Account</v>
      </c>
      <c r="F31" s="1" t="s">
        <v>5974</v>
      </c>
      <c r="G31" s="5"/>
      <c r="H31" s="5">
        <f>IF(MONTH(tblGJ[[#This Row],[Date]])=1,_xlfn.XLOOKUP(2220,tblCOA[Code],tblCOA[Opening Balance]),SUMIFS(tblSales[Output VAT],tblSales[Month],MONTH(tblGJ[[#This Row],[Date]])-1)-SUMIFS(tblPurchases[Input VAT],tblPurchases[Month],MONTH(tblGJ[[#This Row],[Date]])-1))</f>
        <v>85000000</v>
      </c>
      <c r="I31" s="1" t="s">
        <v>6528</v>
      </c>
      <c r="J31" s="1">
        <f>MONTH(tblGJ[[#This Row],[Date]])</f>
        <v>1</v>
      </c>
      <c r="K31" s="1" t="str">
        <f>_xlfn.XLOOKUP(tblGJ[[#This Row],[Account Code]],tblCOA[Code],tblCOA[FS Line],"")</f>
        <v>Cash and cash equivalents</v>
      </c>
      <c r="L31" s="121">
        <f>IF(OR(tblGJ[[#This Row],[Account Code]]=1120,tblGJ[[#This Row],[Account Code]]=1130),_xlfn.MINIFS(tblBank[Value Date],tblBank[Reference],tblGJ[[#This Row],[Voucher No]],tblBank[Account Code],tblGJ[[#This Row],[Account Code]]),"")</f>
        <v>46050</v>
      </c>
      <c r="M31" s="1" t="str">
        <f>IF(tblGJ[[#This Row],[Date]]&lt;=PEnd,"Yes","No")</f>
        <v>Yes</v>
      </c>
    </row>
    <row r="32" spans="2:13" x14ac:dyDescent="0.35">
      <c r="B32" s="109">
        <v>46050</v>
      </c>
      <c r="C32" s="1" t="s">
        <v>5660</v>
      </c>
      <c r="D32" s="1">
        <v>2410</v>
      </c>
      <c r="E32" s="1" t="str">
        <f>_xlfn.XLOOKUP(tblGJ[[#This Row],[Account Code]],tblCOA[Code],tblCOA[Account Name],"⚠ Invalid account")</f>
        <v>Long-term Bank Loan</v>
      </c>
      <c r="F32" s="1" t="s">
        <v>5975</v>
      </c>
      <c r="G32" s="5">
        <v>25000000</v>
      </c>
      <c r="H32" s="5"/>
      <c r="I32" s="1" t="s">
        <v>4263</v>
      </c>
      <c r="J32" s="1">
        <f>MONTH(tblGJ[[#This Row],[Date]])</f>
        <v>1</v>
      </c>
      <c r="K32" s="1" t="str">
        <f>_xlfn.XLOOKUP(tblGJ[[#This Row],[Account Code]],tblCOA[Code],tblCOA[FS Line],"")</f>
        <v>Long-term bank loans</v>
      </c>
      <c r="L32" s="121" t="str">
        <f>IF(OR(tblGJ[[#This Row],[Account Code]]=1120,tblGJ[[#This Row],[Account Code]]=1130),_xlfn.MINIFS(tblBank[Value Date],tblBank[Reference],tblGJ[[#This Row],[Voucher No]],tblBank[Account Code],tblGJ[[#This Row],[Account Code]]),"")</f>
        <v/>
      </c>
      <c r="M32" s="1" t="str">
        <f>IF(tblGJ[[#This Row],[Date]]&lt;=PEnd,"Yes","No")</f>
        <v>Yes</v>
      </c>
    </row>
    <row r="33" spans="2:13" x14ac:dyDescent="0.35">
      <c r="B33" s="109">
        <v>46050</v>
      </c>
      <c r="C33" s="1" t="s">
        <v>5660</v>
      </c>
      <c r="D33" s="1">
        <v>7210</v>
      </c>
      <c r="E33" s="1" t="str">
        <f>_xlfn.XLOOKUP(tblGJ[[#This Row],[Account Code]],tblCOA[Code],tblCOA[Account Name],"⚠ Invalid account")</f>
        <v>Interest Expense - Bank Loans</v>
      </c>
      <c r="F33" s="1" t="s">
        <v>5976</v>
      </c>
      <c r="G33" s="5">
        <v>11250000</v>
      </c>
      <c r="H33" s="5"/>
      <c r="I33" s="1" t="s">
        <v>4263</v>
      </c>
      <c r="J33" s="1">
        <f>MONTH(tblGJ[[#This Row],[Date]])</f>
        <v>1</v>
      </c>
      <c r="K33" s="1" t="str">
        <f>_xlfn.XLOOKUP(tblGJ[[#This Row],[Account Code]],tblCOA[Code],tblCOA[FS Line],"")</f>
        <v>Finance costs</v>
      </c>
      <c r="L33" s="121" t="str">
        <f>IF(OR(tblGJ[[#This Row],[Account Code]]=1120,tblGJ[[#This Row],[Account Code]]=1130),_xlfn.MINIFS(tblBank[Value Date],tblBank[Reference],tblGJ[[#This Row],[Voucher No]],tblBank[Account Code],tblGJ[[#This Row],[Account Code]]),"")</f>
        <v/>
      </c>
      <c r="M33" s="1" t="str">
        <f>IF(tblGJ[[#This Row],[Date]]&lt;=PEnd,"Yes","No")</f>
        <v>Yes</v>
      </c>
    </row>
    <row r="34" spans="2:13" x14ac:dyDescent="0.35">
      <c r="B34" s="109">
        <v>46050</v>
      </c>
      <c r="C34" s="1" t="s">
        <v>5660</v>
      </c>
      <c r="D34" s="1">
        <v>1120</v>
      </c>
      <c r="E34" s="1" t="str">
        <f>_xlfn.XLOOKUP(tblGJ[[#This Row],[Account Code]],tblCOA[Code],tblCOA[Account Name],"⚠ Invalid account")</f>
        <v>Bank BCA - Current Account</v>
      </c>
      <c r="F34" s="1" t="s">
        <v>5977</v>
      </c>
      <c r="G34" s="5"/>
      <c r="H34" s="5">
        <v>36250000</v>
      </c>
      <c r="I34" s="1" t="s">
        <v>4263</v>
      </c>
      <c r="J34" s="1">
        <f>MONTH(tblGJ[[#This Row],[Date]])</f>
        <v>1</v>
      </c>
      <c r="K34" s="1" t="str">
        <f>_xlfn.XLOOKUP(tblGJ[[#This Row],[Account Code]],tblCOA[Code],tblCOA[FS Line],"")</f>
        <v>Cash and cash equivalents</v>
      </c>
      <c r="L34" s="121">
        <f>IF(OR(tblGJ[[#This Row],[Account Code]]=1120,tblGJ[[#This Row],[Account Code]]=1130),_xlfn.MINIFS(tblBank[Value Date],tblBank[Reference],tblGJ[[#This Row],[Voucher No]],tblBank[Account Code],tblGJ[[#This Row],[Account Code]]),"")</f>
        <v>46050</v>
      </c>
      <c r="M34" s="1" t="str">
        <f>IF(tblGJ[[#This Row],[Date]]&lt;=PEnd,"Yes","No")</f>
        <v>Yes</v>
      </c>
    </row>
    <row r="35" spans="2:13" x14ac:dyDescent="0.35">
      <c r="B35" s="109">
        <v>46050</v>
      </c>
      <c r="C35" s="1" t="s">
        <v>5661</v>
      </c>
      <c r="D35" s="1">
        <v>7210</v>
      </c>
      <c r="E35" s="1" t="str">
        <f>_xlfn.XLOOKUP(tblGJ[[#This Row],[Account Code]],tblCOA[Code],tblCOA[Account Name],"⚠ Invalid account")</f>
        <v>Interest Expense - Bank Loans</v>
      </c>
      <c r="F35" s="1" t="s">
        <v>5978</v>
      </c>
      <c r="G35" s="5">
        <v>2500000</v>
      </c>
      <c r="H35" s="5"/>
      <c r="I35" s="1" t="s">
        <v>4263</v>
      </c>
      <c r="J35" s="1">
        <f>MONTH(tblGJ[[#This Row],[Date]])</f>
        <v>1</v>
      </c>
      <c r="K35" s="1" t="str">
        <f>_xlfn.XLOOKUP(tblGJ[[#This Row],[Account Code]],tblCOA[Code],tblCOA[FS Line],"")</f>
        <v>Finance costs</v>
      </c>
      <c r="L35" s="121" t="str">
        <f>IF(OR(tblGJ[[#This Row],[Account Code]]=1120,tblGJ[[#This Row],[Account Code]]=1130),_xlfn.MINIFS(tblBank[Value Date],tblBank[Reference],tblGJ[[#This Row],[Voucher No]],tblBank[Account Code],tblGJ[[#This Row],[Account Code]]),"")</f>
        <v/>
      </c>
      <c r="M35" s="1" t="str">
        <f>IF(tblGJ[[#This Row],[Date]]&lt;=PEnd,"Yes","No")</f>
        <v>Yes</v>
      </c>
    </row>
    <row r="36" spans="2:13" x14ac:dyDescent="0.35">
      <c r="B36" s="109">
        <v>46050</v>
      </c>
      <c r="C36" s="1" t="s">
        <v>5661</v>
      </c>
      <c r="D36" s="1">
        <v>1120</v>
      </c>
      <c r="E36" s="1" t="str">
        <f>_xlfn.XLOOKUP(tblGJ[[#This Row],[Account Code]],tblCOA[Code],tblCOA[Account Name],"⚠ Invalid account")</f>
        <v>Bank BCA - Current Account</v>
      </c>
      <c r="F36" s="1" t="s">
        <v>5979</v>
      </c>
      <c r="G36" s="5"/>
      <c r="H36" s="5">
        <v>2500000</v>
      </c>
      <c r="I36" s="1" t="s">
        <v>4263</v>
      </c>
      <c r="J36" s="1">
        <f>MONTH(tblGJ[[#This Row],[Date]])</f>
        <v>1</v>
      </c>
      <c r="K36" s="1" t="str">
        <f>_xlfn.XLOOKUP(tblGJ[[#This Row],[Account Code]],tblCOA[Code],tblCOA[FS Line],"")</f>
        <v>Cash and cash equivalents</v>
      </c>
      <c r="L36" s="121">
        <f>IF(OR(tblGJ[[#This Row],[Account Code]]=1120,tblGJ[[#This Row],[Account Code]]=1130),_xlfn.MINIFS(tblBank[Value Date],tblBank[Reference],tblGJ[[#This Row],[Voucher No]],tblBank[Account Code],tblGJ[[#This Row],[Account Code]]),"")</f>
        <v>46050</v>
      </c>
      <c r="M36" s="1" t="str">
        <f>IF(tblGJ[[#This Row],[Date]]&lt;=PEnd,"Yes","No")</f>
        <v>Yes</v>
      </c>
    </row>
    <row r="37" spans="2:13" x14ac:dyDescent="0.35">
      <c r="B37" s="109">
        <v>46053</v>
      </c>
      <c r="C37" s="1" t="s">
        <v>5662</v>
      </c>
      <c r="D37" s="1">
        <v>1110</v>
      </c>
      <c r="E37" s="1" t="str">
        <f>_xlfn.XLOOKUP(tblGJ[[#This Row],[Account Code]],tblCOA[Code],tblCOA[Account Name],"⚠ Invalid account")</f>
        <v>Cash on Hand</v>
      </c>
      <c r="F37" s="1" t="s">
        <v>5980</v>
      </c>
      <c r="G37" s="5">
        <f>SUMIFS(tblSales[Total incl. VAT],tblSales[Month],MONTH(tblGJ[[#This Row],[Date]]),tblSales[Payment Method],Products!$O$13)</f>
        <v>135314550</v>
      </c>
      <c r="H37" s="5"/>
      <c r="I37" s="1" t="s">
        <v>6532</v>
      </c>
      <c r="J37" s="1">
        <f>MONTH(tblGJ[[#This Row],[Date]])</f>
        <v>1</v>
      </c>
      <c r="K37" s="1" t="str">
        <f>_xlfn.XLOOKUP(tblGJ[[#This Row],[Account Code]],tblCOA[Code],tblCOA[FS Line],"")</f>
        <v>Cash and cash equivalents</v>
      </c>
      <c r="L37" s="121" t="str">
        <f>IF(OR(tblGJ[[#This Row],[Account Code]]=1120,tblGJ[[#This Row],[Account Code]]=1130),_xlfn.MINIFS(tblBank[Value Date],tblBank[Reference],tblGJ[[#This Row],[Voucher No]],tblBank[Account Code],tblGJ[[#This Row],[Account Code]]),"")</f>
        <v/>
      </c>
      <c r="M37" s="1" t="str">
        <f>IF(tblGJ[[#This Row],[Date]]&lt;=PEnd,"Yes","No")</f>
        <v>Yes</v>
      </c>
    </row>
    <row r="38" spans="2:13" x14ac:dyDescent="0.35">
      <c r="B38" s="109">
        <v>46053</v>
      </c>
      <c r="C38" s="1" t="s">
        <v>5662</v>
      </c>
      <c r="D38" s="1">
        <v>1120</v>
      </c>
      <c r="E38" s="1" t="str">
        <f>_xlfn.XLOOKUP(tblGJ[[#This Row],[Account Code]],tblCOA[Code],tblCOA[Account Name],"⚠ Invalid account")</f>
        <v>Bank BCA - Current Account</v>
      </c>
      <c r="F38" s="1" t="s">
        <v>5981</v>
      </c>
      <c r="G38" s="5">
        <f>SUMIFS(tblSales[Total incl. VAT],tblSales[Month],MONTH(tblGJ[[#This Row],[Date]]),tblSales[Payment Method],Products!$O$14)</f>
        <v>173215500</v>
      </c>
      <c r="H38" s="5"/>
      <c r="I38" s="1" t="s">
        <v>6532</v>
      </c>
      <c r="J38" s="1">
        <f>MONTH(tblGJ[[#This Row],[Date]])</f>
        <v>1</v>
      </c>
      <c r="K38" s="1" t="str">
        <f>_xlfn.XLOOKUP(tblGJ[[#This Row],[Account Code]],tblCOA[Code],tblCOA[FS Line],"")</f>
        <v>Cash and cash equivalents</v>
      </c>
      <c r="L38" s="121">
        <f>IF(OR(tblGJ[[#This Row],[Account Code]]=1120,tblGJ[[#This Row],[Account Code]]=1130),_xlfn.MINIFS(tblBank[Value Date],tblBank[Reference],tblGJ[[#This Row],[Voucher No]],tblBank[Account Code],tblGJ[[#This Row],[Account Code]]),"")</f>
        <v>46053</v>
      </c>
      <c r="M38" s="1" t="str">
        <f>IF(tblGJ[[#This Row],[Date]]&lt;=PEnd,"Yes","No")</f>
        <v>Yes</v>
      </c>
    </row>
    <row r="39" spans="2:13" x14ac:dyDescent="0.35">
      <c r="B39" s="109">
        <v>46053</v>
      </c>
      <c r="C39" s="1" t="s">
        <v>5662</v>
      </c>
      <c r="D39" s="1">
        <v>1210</v>
      </c>
      <c r="E39" s="1" t="str">
        <f>_xlfn.XLOOKUP(tblGJ[[#This Row],[Account Code]],tblCOA[Code],tblCOA[Account Name],"⚠ Invalid account")</f>
        <v>Trade Receivables</v>
      </c>
      <c r="F39" s="1" t="s">
        <v>5982</v>
      </c>
      <c r="G39" s="5">
        <f>SUMIFS(tblSales[Total incl. VAT],tblSales[Month],MONTH(tblGJ[[#This Row],[Date]]),tblSales[Payment Method],Products!$O$15)</f>
        <v>882494400</v>
      </c>
      <c r="H39" s="5"/>
      <c r="I39" s="1" t="s">
        <v>6532</v>
      </c>
      <c r="J39" s="1">
        <f>MONTH(tblGJ[[#This Row],[Date]])</f>
        <v>1</v>
      </c>
      <c r="K39" s="1" t="str">
        <f>_xlfn.XLOOKUP(tblGJ[[#This Row],[Account Code]],tblCOA[Code],tblCOA[FS Line],"")</f>
        <v>Trade receivables - net</v>
      </c>
      <c r="L39" s="121" t="str">
        <f>IF(OR(tblGJ[[#This Row],[Account Code]]=1120,tblGJ[[#This Row],[Account Code]]=1130),_xlfn.MINIFS(tblBank[Value Date],tblBank[Reference],tblGJ[[#This Row],[Voucher No]],tblBank[Account Code],tblGJ[[#This Row],[Account Code]]),"")</f>
        <v/>
      </c>
      <c r="M39" s="1" t="str">
        <f>IF(tblGJ[[#This Row],[Date]]&lt;=PEnd,"Yes","No")</f>
        <v>Yes</v>
      </c>
    </row>
    <row r="40" spans="2:13" x14ac:dyDescent="0.35">
      <c r="B40" s="109">
        <v>46053</v>
      </c>
      <c r="C40" s="1" t="s">
        <v>5662</v>
      </c>
      <c r="D40" s="1">
        <v>4100</v>
      </c>
      <c r="E40" s="1" t="str">
        <f>_xlfn.XLOOKUP(tblGJ[[#This Row],[Account Code]],tblCOA[Code],tblCOA[Account Name],"⚠ Invalid account")</f>
        <v>Sales of goods</v>
      </c>
      <c r="F40" s="1" t="s">
        <v>5983</v>
      </c>
      <c r="G40" s="5"/>
      <c r="H40" s="5">
        <f>SUMIFS(tblSales[DPP (excl. VAT)],tblSales[Month],MONTH(tblGJ[[#This Row],[Date]]))</f>
        <v>1072995000</v>
      </c>
      <c r="I40" s="1" t="s">
        <v>6532</v>
      </c>
      <c r="J40" s="1">
        <f>MONTH(tblGJ[[#This Row],[Date]])</f>
        <v>1</v>
      </c>
      <c r="K40" s="1" t="str">
        <f>_xlfn.XLOOKUP(tblGJ[[#This Row],[Account Code]],tblCOA[Code],tblCOA[FS Line],"")</f>
        <v>Revenue</v>
      </c>
      <c r="L40" s="121" t="str">
        <f>IF(OR(tblGJ[[#This Row],[Account Code]]=1120,tblGJ[[#This Row],[Account Code]]=1130),_xlfn.MINIFS(tblBank[Value Date],tblBank[Reference],tblGJ[[#This Row],[Voucher No]],tblBank[Account Code],tblGJ[[#This Row],[Account Code]]),"")</f>
        <v/>
      </c>
      <c r="M40" s="1" t="str">
        <f>IF(tblGJ[[#This Row],[Date]]&lt;=PEnd,"Yes","No")</f>
        <v>Yes</v>
      </c>
    </row>
    <row r="41" spans="2:13" x14ac:dyDescent="0.35">
      <c r="B41" s="109">
        <v>46053</v>
      </c>
      <c r="C41" s="1" t="s">
        <v>5662</v>
      </c>
      <c r="D41" s="1">
        <v>2210</v>
      </c>
      <c r="E41" s="1" t="str">
        <f>_xlfn.XLOOKUP(tblGJ[[#This Row],[Account Code]],tblCOA[Code],tblCOA[Account Name],"⚠ Invalid account")</f>
        <v>Output VAT (PPN Keluaran)</v>
      </c>
      <c r="F41" s="1" t="s">
        <v>5984</v>
      </c>
      <c r="G41" s="5"/>
      <c r="H41" s="5">
        <f>SUMIFS(tblSales[Output VAT],tblSales[Month],MONTH(tblGJ[[#This Row],[Date]]))</f>
        <v>118029450</v>
      </c>
      <c r="I41" s="1" t="s">
        <v>6532</v>
      </c>
      <c r="J41" s="1">
        <f>MONTH(tblGJ[[#This Row],[Date]])</f>
        <v>1</v>
      </c>
      <c r="K41" s="1" t="str">
        <f>_xlfn.XLOOKUP(tblGJ[[#This Row],[Account Code]],tblCOA[Code],tblCOA[FS Line],"")</f>
        <v>Taxes payable</v>
      </c>
      <c r="L41" s="121" t="str">
        <f>IF(OR(tblGJ[[#This Row],[Account Code]]=1120,tblGJ[[#This Row],[Account Code]]=1130),_xlfn.MINIFS(tblBank[Value Date],tblBank[Reference],tblGJ[[#This Row],[Voucher No]],tblBank[Account Code],tblGJ[[#This Row],[Account Code]]),"")</f>
        <v/>
      </c>
      <c r="M41" s="1" t="str">
        <f>IF(tblGJ[[#This Row],[Date]]&lt;=PEnd,"Yes","No")</f>
        <v>Yes</v>
      </c>
    </row>
    <row r="42" spans="2:13" x14ac:dyDescent="0.35">
      <c r="B42" s="109">
        <v>46053</v>
      </c>
      <c r="C42" s="1" t="s">
        <v>5663</v>
      </c>
      <c r="D42" s="1">
        <v>5100</v>
      </c>
      <c r="E42" s="1" t="str">
        <f>_xlfn.XLOOKUP(tblGJ[[#This Row],[Account Code]],tblCOA[Code],tblCOA[Account Name],"⚠ Invalid account")</f>
        <v>Cost of goods sold</v>
      </c>
      <c r="F42" s="1" t="s">
        <v>5985</v>
      </c>
      <c r="G42" s="5">
        <f>SUMIFS(tblSales[COGS],tblSales[Month],MONTH(tblGJ[[#This Row],[Date]]))</f>
        <v>639772000</v>
      </c>
      <c r="H42" s="5"/>
      <c r="I42" s="1" t="s">
        <v>6532</v>
      </c>
      <c r="J42" s="1">
        <f>MONTH(tblGJ[[#This Row],[Date]])</f>
        <v>1</v>
      </c>
      <c r="K42" s="1" t="str">
        <f>_xlfn.XLOOKUP(tblGJ[[#This Row],[Account Code]],tblCOA[Code],tblCOA[FS Line],"")</f>
        <v>Cost of revenue</v>
      </c>
      <c r="L42" s="121" t="str">
        <f>IF(OR(tblGJ[[#This Row],[Account Code]]=1120,tblGJ[[#This Row],[Account Code]]=1130),_xlfn.MINIFS(tblBank[Value Date],tblBank[Reference],tblGJ[[#This Row],[Voucher No]],tblBank[Account Code],tblGJ[[#This Row],[Account Code]]),"")</f>
        <v/>
      </c>
      <c r="M42" s="1" t="str">
        <f>IF(tblGJ[[#This Row],[Date]]&lt;=PEnd,"Yes","No")</f>
        <v>Yes</v>
      </c>
    </row>
    <row r="43" spans="2:13" x14ac:dyDescent="0.35">
      <c r="B43" s="109">
        <v>46053</v>
      </c>
      <c r="C43" s="1" t="s">
        <v>5663</v>
      </c>
      <c r="D43" s="1">
        <v>1310</v>
      </c>
      <c r="E43" s="1" t="str">
        <f>_xlfn.XLOOKUP(tblGJ[[#This Row],[Account Code]],tblCOA[Code],tblCOA[Account Name],"⚠ Invalid account")</f>
        <v>Merchandise inventory</v>
      </c>
      <c r="F43" s="1" t="s">
        <v>5986</v>
      </c>
      <c r="G43" s="5"/>
      <c r="H43" s="5">
        <f>SUMIFS(tblSales[COGS],tblSales[Month],MONTH(tblGJ[[#This Row],[Date]]))</f>
        <v>639772000</v>
      </c>
      <c r="I43" s="1" t="s">
        <v>6532</v>
      </c>
      <c r="J43" s="1">
        <f>MONTH(tblGJ[[#This Row],[Date]])</f>
        <v>1</v>
      </c>
      <c r="K43" s="1" t="str">
        <f>_xlfn.XLOOKUP(tblGJ[[#This Row],[Account Code]],tblCOA[Code],tblCOA[FS Line],"")</f>
        <v>Inventories</v>
      </c>
      <c r="L43" s="121" t="str">
        <f>IF(OR(tblGJ[[#This Row],[Account Code]]=1120,tblGJ[[#This Row],[Account Code]]=1130),_xlfn.MINIFS(tblBank[Value Date],tblBank[Reference],tblGJ[[#This Row],[Voucher No]],tblBank[Account Code],tblGJ[[#This Row],[Account Code]]),"")</f>
        <v/>
      </c>
      <c r="M43" s="1" t="str">
        <f>IF(tblGJ[[#This Row],[Date]]&lt;=PEnd,"Yes","No")</f>
        <v>Yes</v>
      </c>
    </row>
    <row r="44" spans="2:13" x14ac:dyDescent="0.35">
      <c r="B44" s="109">
        <v>46053</v>
      </c>
      <c r="C44" s="1" t="s">
        <v>5664</v>
      </c>
      <c r="D44" s="1">
        <v>1120</v>
      </c>
      <c r="E44" s="1" t="str">
        <f>_xlfn.XLOOKUP(tblGJ[[#This Row],[Account Code]],tblCOA[Code],tblCOA[Account Name],"⚠ Invalid account")</f>
        <v>Bank BCA - Current Account</v>
      </c>
      <c r="F44" s="1" t="s">
        <v>5987</v>
      </c>
      <c r="G44" s="5">
        <f>SUMIFS(tblSales[Total incl. VAT],tblSales[Month],MONTH(tblGJ[[#This Row],[Date]]),tblSales[Payment Method],Products!$O$13)</f>
        <v>135314550</v>
      </c>
      <c r="H44" s="5"/>
      <c r="I44" s="1" t="s">
        <v>6532</v>
      </c>
      <c r="J44" s="1">
        <f>MONTH(tblGJ[[#This Row],[Date]])</f>
        <v>1</v>
      </c>
      <c r="K44" s="1" t="str">
        <f>_xlfn.XLOOKUP(tblGJ[[#This Row],[Account Code]],tblCOA[Code],tblCOA[FS Line],"")</f>
        <v>Cash and cash equivalents</v>
      </c>
      <c r="L44" s="121">
        <f>IF(OR(tblGJ[[#This Row],[Account Code]]=1120,tblGJ[[#This Row],[Account Code]]=1130),_xlfn.MINIFS(tblBank[Value Date],tblBank[Reference],tblGJ[[#This Row],[Voucher No]],tblBank[Account Code],tblGJ[[#This Row],[Account Code]]),"")</f>
        <v>46053</v>
      </c>
      <c r="M44" s="1" t="str">
        <f>IF(tblGJ[[#This Row],[Date]]&lt;=PEnd,"Yes","No")</f>
        <v>Yes</v>
      </c>
    </row>
    <row r="45" spans="2:13" x14ac:dyDescent="0.35">
      <c r="B45" s="109">
        <v>46053</v>
      </c>
      <c r="C45" s="1" t="s">
        <v>5664</v>
      </c>
      <c r="D45" s="1">
        <v>1110</v>
      </c>
      <c r="E45" s="1" t="str">
        <f>_xlfn.XLOOKUP(tblGJ[[#This Row],[Account Code]],tblCOA[Code],tblCOA[Account Name],"⚠ Invalid account")</f>
        <v>Cash on Hand</v>
      </c>
      <c r="F45" s="1" t="s">
        <v>5987</v>
      </c>
      <c r="G45" s="5"/>
      <c r="H45" s="5">
        <f>SUMIFS(tblSales[Total incl. VAT],tblSales[Month],MONTH(tblGJ[[#This Row],[Date]]),tblSales[Payment Method],Products!$O$13)</f>
        <v>135314550</v>
      </c>
      <c r="I45" s="1" t="s">
        <v>6532</v>
      </c>
      <c r="J45" s="1">
        <f>MONTH(tblGJ[[#This Row],[Date]])</f>
        <v>1</v>
      </c>
      <c r="K45" s="1" t="str">
        <f>_xlfn.XLOOKUP(tblGJ[[#This Row],[Account Code]],tblCOA[Code],tblCOA[FS Line],"")</f>
        <v>Cash and cash equivalents</v>
      </c>
      <c r="L45" s="121" t="str">
        <f>IF(OR(tblGJ[[#This Row],[Account Code]]=1120,tblGJ[[#This Row],[Account Code]]=1130),_xlfn.MINIFS(tblBank[Value Date],tblBank[Reference],tblGJ[[#This Row],[Voucher No]],tblBank[Account Code],tblGJ[[#This Row],[Account Code]]),"")</f>
        <v/>
      </c>
      <c r="M45" s="1" t="str">
        <f>IF(tblGJ[[#This Row],[Date]]&lt;=PEnd,"Yes","No")</f>
        <v>Yes</v>
      </c>
    </row>
    <row r="46" spans="2:13" x14ac:dyDescent="0.35">
      <c r="B46" s="109">
        <v>46053</v>
      </c>
      <c r="C46" s="1" t="s">
        <v>5665</v>
      </c>
      <c r="D46" s="1">
        <v>1310</v>
      </c>
      <c r="E46" s="1" t="str">
        <f>_xlfn.XLOOKUP(tblGJ[[#This Row],[Account Code]],tblCOA[Code],tblCOA[Account Name],"⚠ Invalid account")</f>
        <v>Merchandise inventory</v>
      </c>
      <c r="F46" s="1" t="s">
        <v>5988</v>
      </c>
      <c r="G46" s="5">
        <f>SUMIFS(tblPurchases[DPP (excl. VAT)],tblPurchases[Account Code],tblGJ[[#This Row],[Account Code]],tblPurchases[Month],MONTH(tblGJ[[#This Row],[Date]]))</f>
        <v>646926000</v>
      </c>
      <c r="H46" s="5"/>
      <c r="I46" s="1" t="s">
        <v>6533</v>
      </c>
      <c r="J46" s="1">
        <f>MONTH(tblGJ[[#This Row],[Date]])</f>
        <v>1</v>
      </c>
      <c r="K46" s="1" t="str">
        <f>_xlfn.XLOOKUP(tblGJ[[#This Row],[Account Code]],tblCOA[Code],tblCOA[FS Line],"")</f>
        <v>Inventories</v>
      </c>
      <c r="L46" s="121" t="str">
        <f>IF(OR(tblGJ[[#This Row],[Account Code]]=1120,tblGJ[[#This Row],[Account Code]]=1130),_xlfn.MINIFS(tblBank[Value Date],tblBank[Reference],tblGJ[[#This Row],[Voucher No]],tblBank[Account Code],tblGJ[[#This Row],[Account Code]]),"")</f>
        <v/>
      </c>
      <c r="M46" s="1" t="str">
        <f>IF(tblGJ[[#This Row],[Date]]&lt;=PEnd,"Yes","No")</f>
        <v>Yes</v>
      </c>
    </row>
    <row r="47" spans="2:13" x14ac:dyDescent="0.35">
      <c r="B47" s="109">
        <v>46053</v>
      </c>
      <c r="C47" s="1" t="s">
        <v>5665</v>
      </c>
      <c r="D47" s="1">
        <v>1430</v>
      </c>
      <c r="E47" s="1" t="str">
        <f>_xlfn.XLOOKUP(tblGJ[[#This Row],[Account Code]],tblCOA[Code],tblCOA[Account Name],"⚠ Invalid account")</f>
        <v>Prepaid Software Subscriptions</v>
      </c>
      <c r="F47" s="1" t="s">
        <v>5988</v>
      </c>
      <c r="G47" s="5">
        <f>SUMIFS(tblPurchases[DPP (excl. VAT)],tblPurchases[Account Code],tblGJ[[#This Row],[Account Code]],tblPurchases[Month],MONTH(tblGJ[[#This Row],[Date]]))</f>
        <v>18000000</v>
      </c>
      <c r="H47" s="5"/>
      <c r="I47" s="1" t="s">
        <v>6533</v>
      </c>
      <c r="J47" s="1">
        <f>MONTH(tblGJ[[#This Row],[Date]])</f>
        <v>1</v>
      </c>
      <c r="K47" s="1" t="str">
        <f>_xlfn.XLOOKUP(tblGJ[[#This Row],[Account Code]],tblCOA[Code],tblCOA[FS Line],"")</f>
        <v>Prepaid expenses</v>
      </c>
      <c r="L47" s="121" t="str">
        <f>IF(OR(tblGJ[[#This Row],[Account Code]]=1120,tblGJ[[#This Row],[Account Code]]=1130),_xlfn.MINIFS(tblBank[Value Date],tblBank[Reference],tblGJ[[#This Row],[Voucher No]],tblBank[Account Code],tblGJ[[#This Row],[Account Code]]),"")</f>
        <v/>
      </c>
      <c r="M47" s="1" t="str">
        <f>IF(tblGJ[[#This Row],[Date]]&lt;=PEnd,"Yes","No")</f>
        <v>Yes</v>
      </c>
    </row>
    <row r="48" spans="2:13" x14ac:dyDescent="0.35">
      <c r="B48" s="109">
        <v>46053</v>
      </c>
      <c r="C48" s="1" t="s">
        <v>5665</v>
      </c>
      <c r="D48" s="1">
        <v>6120</v>
      </c>
      <c r="E48" s="1" t="str">
        <f>_xlfn.XLOOKUP(tblGJ[[#This Row],[Account Code]],tblCOA[Code],tblCOA[Account Name],"⚠ Invalid account")</f>
        <v>Advertising &amp; Promotion</v>
      </c>
      <c r="F48" s="1" t="s">
        <v>5988</v>
      </c>
      <c r="G48" s="5">
        <f>SUMIFS(tblPurchases[DPP (excl. VAT)],tblPurchases[Account Code],tblGJ[[#This Row],[Account Code]],tblPurchases[Month],MONTH(tblGJ[[#This Row],[Date]]))</f>
        <v>11803000</v>
      </c>
      <c r="H48" s="5"/>
      <c r="I48" s="1" t="s">
        <v>6533</v>
      </c>
      <c r="J48" s="1">
        <f>MONTH(tblGJ[[#This Row],[Date]])</f>
        <v>1</v>
      </c>
      <c r="K48" s="1" t="str">
        <f>_xlfn.XLOOKUP(tblGJ[[#This Row],[Account Code]],tblCOA[Code],tblCOA[FS Line],"")</f>
        <v>Selling expenses</v>
      </c>
      <c r="L48" s="121" t="str">
        <f>IF(OR(tblGJ[[#This Row],[Account Code]]=1120,tblGJ[[#This Row],[Account Code]]=1130),_xlfn.MINIFS(tblBank[Value Date],tblBank[Reference],tblGJ[[#This Row],[Voucher No]],tblBank[Account Code],tblGJ[[#This Row],[Account Code]]),"")</f>
        <v/>
      </c>
      <c r="M48" s="1" t="str">
        <f>IF(tblGJ[[#This Row],[Date]]&lt;=PEnd,"Yes","No")</f>
        <v>Yes</v>
      </c>
    </row>
    <row r="49" spans="2:13" x14ac:dyDescent="0.35">
      <c r="B49" s="109">
        <v>46053</v>
      </c>
      <c r="C49" s="1" t="s">
        <v>5665</v>
      </c>
      <c r="D49" s="1">
        <v>6130</v>
      </c>
      <c r="E49" s="1" t="str">
        <f>_xlfn.XLOOKUP(tblGJ[[#This Row],[Account Code]],tblCOA[Code],tblCOA[Account Name],"⚠ Invalid account")</f>
        <v>Marketplace &amp; Sales Commissions</v>
      </c>
      <c r="F49" s="1" t="s">
        <v>5988</v>
      </c>
      <c r="G49" s="5">
        <f>SUMIFS(tblPurchases[DPP (excl. VAT)],tblPurchases[Account Code],tblGJ[[#This Row],[Account Code]],tblPurchases[Month],MONTH(tblGJ[[#This Row],[Date]]))</f>
        <v>2560000</v>
      </c>
      <c r="H49" s="5"/>
      <c r="I49" s="1" t="s">
        <v>6533</v>
      </c>
      <c r="J49" s="1">
        <f>MONTH(tblGJ[[#This Row],[Date]])</f>
        <v>1</v>
      </c>
      <c r="K49" s="1" t="str">
        <f>_xlfn.XLOOKUP(tblGJ[[#This Row],[Account Code]],tblCOA[Code],tblCOA[FS Line],"")</f>
        <v>Selling expenses</v>
      </c>
      <c r="L49" s="121" t="str">
        <f>IF(OR(tblGJ[[#This Row],[Account Code]]=1120,tblGJ[[#This Row],[Account Code]]=1130),_xlfn.MINIFS(tblBank[Value Date],tblBank[Reference],tblGJ[[#This Row],[Voucher No]],tblBank[Account Code],tblGJ[[#This Row],[Account Code]]),"")</f>
        <v/>
      </c>
      <c r="M49" s="1" t="str">
        <f>IF(tblGJ[[#This Row],[Date]]&lt;=PEnd,"Yes","No")</f>
        <v>Yes</v>
      </c>
    </row>
    <row r="50" spans="2:13" x14ac:dyDescent="0.35">
      <c r="B50" s="109">
        <v>46053</v>
      </c>
      <c r="C50" s="1" t="s">
        <v>5665</v>
      </c>
      <c r="D50" s="1">
        <v>6140</v>
      </c>
      <c r="E50" s="1" t="str">
        <f>_xlfn.XLOOKUP(tblGJ[[#This Row],[Account Code]],tblCOA[Code],tblCOA[Account Name],"⚠ Invalid account")</f>
        <v>Shipping &amp; Delivery</v>
      </c>
      <c r="F50" s="1" t="s">
        <v>5988</v>
      </c>
      <c r="G50" s="5">
        <f>SUMIFS(tblPurchases[DPP (excl. VAT)],tblPurchases[Account Code],tblGJ[[#This Row],[Account Code]],tblPurchases[Month],MONTH(tblGJ[[#This Row],[Date]]))</f>
        <v>9657000</v>
      </c>
      <c r="H50" s="5"/>
      <c r="I50" s="1" t="s">
        <v>6533</v>
      </c>
      <c r="J50" s="1">
        <f>MONTH(tblGJ[[#This Row],[Date]])</f>
        <v>1</v>
      </c>
      <c r="K50" s="1" t="str">
        <f>_xlfn.XLOOKUP(tblGJ[[#This Row],[Account Code]],tblCOA[Code],tblCOA[FS Line],"")</f>
        <v>Selling expenses</v>
      </c>
      <c r="L50" s="121" t="str">
        <f>IF(OR(tblGJ[[#This Row],[Account Code]]=1120,tblGJ[[#This Row],[Account Code]]=1130),_xlfn.MINIFS(tblBank[Value Date],tblBank[Reference],tblGJ[[#This Row],[Voucher No]],tblBank[Account Code],tblGJ[[#This Row],[Account Code]]),"")</f>
        <v/>
      </c>
      <c r="M50" s="1" t="str">
        <f>IF(tblGJ[[#This Row],[Date]]&lt;=PEnd,"Yes","No")</f>
        <v>Yes</v>
      </c>
    </row>
    <row r="51" spans="2:13" x14ac:dyDescent="0.35">
      <c r="B51" s="109">
        <v>46053</v>
      </c>
      <c r="C51" s="1" t="s">
        <v>5665</v>
      </c>
      <c r="D51" s="1">
        <v>6230</v>
      </c>
      <c r="E51" s="1" t="str">
        <f>_xlfn.XLOOKUP(tblGJ[[#This Row],[Account Code]],tblCOA[Code],tblCOA[Account Name],"⚠ Invalid account")</f>
        <v>Utilities &amp; Telecommunication</v>
      </c>
      <c r="F51" s="1" t="s">
        <v>5988</v>
      </c>
      <c r="G51" s="5">
        <f>SUMIFS(tblPurchases[DPP (excl. VAT)],tblPurchases[Account Code],tblGJ[[#This Row],[Account Code]],tblPurchases[Month],MONTH(tblGJ[[#This Row],[Date]]))</f>
        <v>11103000</v>
      </c>
      <c r="H51" s="5"/>
      <c r="I51" s="1" t="s">
        <v>6533</v>
      </c>
      <c r="J51" s="1">
        <f>MONTH(tblGJ[[#This Row],[Date]])</f>
        <v>1</v>
      </c>
      <c r="K51" s="1" t="str">
        <f>_xlfn.XLOOKUP(tblGJ[[#This Row],[Account Code]],tblCOA[Code],tblCOA[FS Line],"")</f>
        <v>General &amp; administrative expenses</v>
      </c>
      <c r="L51" s="121" t="str">
        <f>IF(OR(tblGJ[[#This Row],[Account Code]]=1120,tblGJ[[#This Row],[Account Code]]=1130),_xlfn.MINIFS(tblBank[Value Date],tblBank[Reference],tblGJ[[#This Row],[Voucher No]],tblBank[Account Code],tblGJ[[#This Row],[Account Code]]),"")</f>
        <v/>
      </c>
      <c r="M51" s="1" t="str">
        <f>IF(tblGJ[[#This Row],[Date]]&lt;=PEnd,"Yes","No")</f>
        <v>Yes</v>
      </c>
    </row>
    <row r="52" spans="2:13" x14ac:dyDescent="0.35">
      <c r="B52" s="109">
        <v>46053</v>
      </c>
      <c r="C52" s="1" t="s">
        <v>5665</v>
      </c>
      <c r="D52" s="1">
        <v>6270</v>
      </c>
      <c r="E52" s="1" t="str">
        <f>_xlfn.XLOOKUP(tblGJ[[#This Row],[Account Code]],tblCOA[Code],tblCOA[Account Name],"⚠ Invalid account")</f>
        <v>Office Supplies</v>
      </c>
      <c r="F52" s="1" t="s">
        <v>5988</v>
      </c>
      <c r="G52" s="5">
        <f>SUMIFS(tblPurchases[DPP (excl. VAT)],tblPurchases[Account Code],tblGJ[[#This Row],[Account Code]],tblPurchases[Month],MONTH(tblGJ[[#This Row],[Date]]))</f>
        <v>2692000</v>
      </c>
      <c r="H52" s="5"/>
      <c r="I52" s="1" t="s">
        <v>6533</v>
      </c>
      <c r="J52" s="1">
        <f>MONTH(tblGJ[[#This Row],[Date]])</f>
        <v>1</v>
      </c>
      <c r="K52" s="1" t="str">
        <f>_xlfn.XLOOKUP(tblGJ[[#This Row],[Account Code]],tblCOA[Code],tblCOA[FS Line],"")</f>
        <v>General &amp; administrative expenses</v>
      </c>
      <c r="L52" s="121" t="str">
        <f>IF(OR(tblGJ[[#This Row],[Account Code]]=1120,tblGJ[[#This Row],[Account Code]]=1130),_xlfn.MINIFS(tblBank[Value Date],tblBank[Reference],tblGJ[[#This Row],[Voucher No]],tblBank[Account Code],tblGJ[[#This Row],[Account Code]]),"")</f>
        <v/>
      </c>
      <c r="M52" s="1" t="str">
        <f>IF(tblGJ[[#This Row],[Date]]&lt;=PEnd,"Yes","No")</f>
        <v>Yes</v>
      </c>
    </row>
    <row r="53" spans="2:13" x14ac:dyDescent="0.35">
      <c r="B53" s="109">
        <v>46053</v>
      </c>
      <c r="C53" s="1" t="s">
        <v>5665</v>
      </c>
      <c r="D53" s="1">
        <v>6295</v>
      </c>
      <c r="E53" s="1" t="str">
        <f>_xlfn.XLOOKUP(tblGJ[[#This Row],[Account Code]],tblCOA[Code],tblCOA[Account Name],"⚠ Invalid account")</f>
        <v>Repairs &amp; Maintenance</v>
      </c>
      <c r="F53" s="1" t="s">
        <v>5988</v>
      </c>
      <c r="G53" s="5">
        <f>SUMIFS(tblPurchases[DPP (excl. VAT)],tblPurchases[Account Code],tblGJ[[#This Row],[Account Code]],tblPurchases[Month],MONTH(tblGJ[[#This Row],[Date]]))</f>
        <v>3685000</v>
      </c>
      <c r="H53" s="5"/>
      <c r="I53" s="1" t="s">
        <v>6533</v>
      </c>
      <c r="J53" s="1">
        <f>MONTH(tblGJ[[#This Row],[Date]])</f>
        <v>1</v>
      </c>
      <c r="K53" s="1" t="str">
        <f>_xlfn.XLOOKUP(tblGJ[[#This Row],[Account Code]],tblCOA[Code],tblCOA[FS Line],"")</f>
        <v>General &amp; administrative expenses</v>
      </c>
      <c r="L53" s="121" t="str">
        <f>IF(OR(tblGJ[[#This Row],[Account Code]]=1120,tblGJ[[#This Row],[Account Code]]=1130),_xlfn.MINIFS(tblBank[Value Date],tblBank[Reference],tblGJ[[#This Row],[Voucher No]],tblBank[Account Code],tblGJ[[#This Row],[Account Code]]),"")</f>
        <v/>
      </c>
      <c r="M53" s="1" t="str">
        <f>IF(tblGJ[[#This Row],[Date]]&lt;=PEnd,"Yes","No")</f>
        <v>Yes</v>
      </c>
    </row>
    <row r="54" spans="2:13" x14ac:dyDescent="0.35">
      <c r="B54" s="109">
        <v>46053</v>
      </c>
      <c r="C54" s="1" t="s">
        <v>5665</v>
      </c>
      <c r="D54" s="1">
        <v>6296</v>
      </c>
      <c r="E54" s="1" t="str">
        <f>_xlfn.XLOOKUP(tblGJ[[#This Row],[Account Code]],tblCOA[Code],tblCOA[Account Name],"⚠ Invalid account")</f>
        <v>Entertainment &amp; Donations</v>
      </c>
      <c r="F54" s="1" t="s">
        <v>5988</v>
      </c>
      <c r="G54" s="5">
        <f>SUMIFS(tblPurchases[DPP (excl. VAT)],tblPurchases[Account Code],tblGJ[[#This Row],[Account Code]],tblPurchases[Month],MONTH(tblGJ[[#This Row],[Date]]))</f>
        <v>2449000</v>
      </c>
      <c r="H54" s="5"/>
      <c r="I54" s="1" t="s">
        <v>6533</v>
      </c>
      <c r="J54" s="1">
        <f>MONTH(tblGJ[[#This Row],[Date]])</f>
        <v>1</v>
      </c>
      <c r="K54" s="1" t="str">
        <f>_xlfn.XLOOKUP(tblGJ[[#This Row],[Account Code]],tblCOA[Code],tblCOA[FS Line],"")</f>
        <v>General &amp; administrative expenses</v>
      </c>
      <c r="L54" s="121" t="str">
        <f>IF(OR(tblGJ[[#This Row],[Account Code]]=1120,tblGJ[[#This Row],[Account Code]]=1130),_xlfn.MINIFS(tblBank[Value Date],tblBank[Reference],tblGJ[[#This Row],[Voucher No]],tblBank[Account Code],tblGJ[[#This Row],[Account Code]]),"")</f>
        <v/>
      </c>
      <c r="M54" s="1" t="str">
        <f>IF(tblGJ[[#This Row],[Date]]&lt;=PEnd,"Yes","No")</f>
        <v>Yes</v>
      </c>
    </row>
    <row r="55" spans="2:13" x14ac:dyDescent="0.35">
      <c r="B55" s="109">
        <v>46053</v>
      </c>
      <c r="C55" s="1" t="s">
        <v>5665</v>
      </c>
      <c r="D55" s="1">
        <v>1510</v>
      </c>
      <c r="E55" s="1" t="str">
        <f>_xlfn.XLOOKUP(tblGJ[[#This Row],[Account Code]],tblCOA[Code],tblCOA[Account Name],"⚠ Invalid account")</f>
        <v>Input VAT (PPN Masukan)</v>
      </c>
      <c r="F55" s="1" t="s">
        <v>5989</v>
      </c>
      <c r="G55" s="5">
        <f>SUMIFS(tblPurchases[Input VAT],tblPurchases[Month],MONTH(tblGJ[[#This Row],[Date]]))</f>
        <v>66331100</v>
      </c>
      <c r="H55" s="5"/>
      <c r="I55" s="1" t="s">
        <v>6533</v>
      </c>
      <c r="J55" s="1">
        <f>MONTH(tblGJ[[#This Row],[Date]])</f>
        <v>1</v>
      </c>
      <c r="K55" s="1" t="str">
        <f>_xlfn.XLOOKUP(tblGJ[[#This Row],[Account Code]],tblCOA[Code],tblCOA[FS Line],"")</f>
        <v>Prepaid taxes</v>
      </c>
      <c r="L55" s="121" t="str">
        <f>IF(OR(tblGJ[[#This Row],[Account Code]]=1120,tblGJ[[#This Row],[Account Code]]=1130),_xlfn.MINIFS(tblBank[Value Date],tblBank[Reference],tblGJ[[#This Row],[Voucher No]],tblBank[Account Code],tblGJ[[#This Row],[Account Code]]),"")</f>
        <v/>
      </c>
      <c r="M55" s="1" t="str">
        <f>IF(tblGJ[[#This Row],[Date]]&lt;=PEnd,"Yes","No")</f>
        <v>Yes</v>
      </c>
    </row>
    <row r="56" spans="2:13" x14ac:dyDescent="0.35">
      <c r="B56" s="109">
        <v>46053</v>
      </c>
      <c r="C56" s="1" t="s">
        <v>5665</v>
      </c>
      <c r="D56" s="1">
        <v>2240</v>
      </c>
      <c r="E56" s="1" t="str">
        <f>_xlfn.XLOOKUP(tblGJ[[#This Row],[Account Code]],tblCOA[Code],tblCOA[Account Name],"⚠ Invalid account")</f>
        <v>WHT Payable - Unifikasi (Art. 23/4(2))</v>
      </c>
      <c r="F56" s="1" t="s">
        <v>5990</v>
      </c>
      <c r="G56" s="5"/>
      <c r="H56" s="5">
        <f>SUMIFS(tblPurchases[WHT Amount],tblPurchases[Month],MONTH(tblGJ[[#This Row],[Date]]))</f>
        <v>914100</v>
      </c>
      <c r="I56" s="1" t="s">
        <v>6533</v>
      </c>
      <c r="J56" s="1">
        <f>MONTH(tblGJ[[#This Row],[Date]])</f>
        <v>1</v>
      </c>
      <c r="K56" s="1" t="str">
        <f>_xlfn.XLOOKUP(tblGJ[[#This Row],[Account Code]],tblCOA[Code],tblCOA[FS Line],"")</f>
        <v>Taxes payable</v>
      </c>
      <c r="L56" s="121" t="str">
        <f>IF(OR(tblGJ[[#This Row],[Account Code]]=1120,tblGJ[[#This Row],[Account Code]]=1130),_xlfn.MINIFS(tblBank[Value Date],tblBank[Reference],tblGJ[[#This Row],[Voucher No]],tblBank[Account Code],tblGJ[[#This Row],[Account Code]]),"")</f>
        <v/>
      </c>
      <c r="M56" s="1" t="str">
        <f>IF(tblGJ[[#This Row],[Date]]&lt;=PEnd,"Yes","No")</f>
        <v>Yes</v>
      </c>
    </row>
    <row r="57" spans="2:13" x14ac:dyDescent="0.35">
      <c r="B57" s="109">
        <v>46053</v>
      </c>
      <c r="C57" s="1" t="s">
        <v>5665</v>
      </c>
      <c r="D57" s="1">
        <v>2110</v>
      </c>
      <c r="E57" s="1" t="str">
        <f>_xlfn.XLOOKUP(tblGJ[[#This Row],[Account Code]],tblCOA[Code],tblCOA[Account Name],"⚠ Invalid account")</f>
        <v>Trade Payables</v>
      </c>
      <c r="F57" s="1" t="s">
        <v>5991</v>
      </c>
      <c r="G57" s="5"/>
      <c r="H57" s="5">
        <f>SUMIFS(tblPurchases[Total Payable],tblPurchases[Month],MONTH(tblGJ[[#This Row],[Date]]))</f>
        <v>774292000</v>
      </c>
      <c r="I57" s="1" t="s">
        <v>6533</v>
      </c>
      <c r="J57" s="1">
        <f>MONTH(tblGJ[[#This Row],[Date]])</f>
        <v>1</v>
      </c>
      <c r="K57" s="1" t="str">
        <f>_xlfn.XLOOKUP(tblGJ[[#This Row],[Account Code]],tblCOA[Code],tblCOA[FS Line],"")</f>
        <v>Trade payables</v>
      </c>
      <c r="L57" s="121" t="str">
        <f>IF(OR(tblGJ[[#This Row],[Account Code]]=1120,tblGJ[[#This Row],[Account Code]]=1130),_xlfn.MINIFS(tblBank[Value Date],tblBank[Reference],tblGJ[[#This Row],[Voucher No]],tblBank[Account Code],tblGJ[[#This Row],[Account Code]]),"")</f>
        <v/>
      </c>
      <c r="M57" s="1" t="str">
        <f>IF(tblGJ[[#This Row],[Date]]&lt;=PEnd,"Yes","No")</f>
        <v>Yes</v>
      </c>
    </row>
    <row r="58" spans="2:13" x14ac:dyDescent="0.35">
      <c r="B58" s="109">
        <v>46053</v>
      </c>
      <c r="C58" s="1" t="s">
        <v>5666</v>
      </c>
      <c r="D58" s="1">
        <v>2110</v>
      </c>
      <c r="E58" s="1" t="str">
        <f>_xlfn.XLOOKUP(tblGJ[[#This Row],[Account Code]],tblCOA[Code],tblCOA[Account Name],"⚠ Invalid account")</f>
        <v>Trade Payables</v>
      </c>
      <c r="F58" s="1" t="s">
        <v>5992</v>
      </c>
      <c r="G58" s="5">
        <f>SUMIFS(tblPurchases[Total Payable],tblPurchases[Pay Month],MONTH(tblGJ[[#This Row],[Date]]),tblPurchases[Paid From],1120)</f>
        <v>137735630</v>
      </c>
      <c r="H58" s="5"/>
      <c r="I58" s="1" t="s">
        <v>6529</v>
      </c>
      <c r="J58" s="1">
        <f>MONTH(tblGJ[[#This Row],[Date]])</f>
        <v>1</v>
      </c>
      <c r="K58" s="1" t="str">
        <f>_xlfn.XLOOKUP(tblGJ[[#This Row],[Account Code]],tblCOA[Code],tblCOA[FS Line],"")</f>
        <v>Trade payables</v>
      </c>
      <c r="L58" s="121" t="str">
        <f>IF(OR(tblGJ[[#This Row],[Account Code]]=1120,tblGJ[[#This Row],[Account Code]]=1130),_xlfn.MINIFS(tblBank[Value Date],tblBank[Reference],tblGJ[[#This Row],[Voucher No]],tblBank[Account Code],tblGJ[[#This Row],[Account Code]]),"")</f>
        <v/>
      </c>
      <c r="M58" s="1" t="str">
        <f>IF(tblGJ[[#This Row],[Date]]&lt;=PEnd,"Yes","No")</f>
        <v>Yes</v>
      </c>
    </row>
    <row r="59" spans="2:13" x14ac:dyDescent="0.35">
      <c r="B59" s="109">
        <v>46053</v>
      </c>
      <c r="C59" s="1" t="s">
        <v>5666</v>
      </c>
      <c r="D59" s="1">
        <v>1120</v>
      </c>
      <c r="E59" s="1" t="str">
        <f>_xlfn.XLOOKUP(tblGJ[[#This Row],[Account Code]],tblCOA[Code],tblCOA[Account Name],"⚠ Invalid account")</f>
        <v>Bank BCA - Current Account</v>
      </c>
      <c r="F59" s="1" t="s">
        <v>5992</v>
      </c>
      <c r="G59" s="5"/>
      <c r="H59" s="5">
        <f>SUMIFS(tblPurchases[Total Payable],tblPurchases[Pay Month],MONTH(tblGJ[[#This Row],[Date]]),tblPurchases[Paid From],1120)</f>
        <v>137735630</v>
      </c>
      <c r="I59" s="1" t="s">
        <v>6529</v>
      </c>
      <c r="J59" s="1">
        <f>MONTH(tblGJ[[#This Row],[Date]])</f>
        <v>1</v>
      </c>
      <c r="K59" s="1" t="str">
        <f>_xlfn.XLOOKUP(tblGJ[[#This Row],[Account Code]],tblCOA[Code],tblCOA[FS Line],"")</f>
        <v>Cash and cash equivalents</v>
      </c>
      <c r="L59" s="121">
        <f>IF(OR(tblGJ[[#This Row],[Account Code]]=1120,tblGJ[[#This Row],[Account Code]]=1130),_xlfn.MINIFS(tblBank[Value Date],tblBank[Reference],tblGJ[[#This Row],[Voucher No]],tblBank[Account Code],tblGJ[[#This Row],[Account Code]]),"")</f>
        <v>46053</v>
      </c>
      <c r="M59" s="1" t="str">
        <f>IF(tblGJ[[#This Row],[Date]]&lt;=PEnd,"Yes","No")</f>
        <v>Yes</v>
      </c>
    </row>
    <row r="60" spans="2:13" x14ac:dyDescent="0.35">
      <c r="B60" s="109">
        <v>46053</v>
      </c>
      <c r="C60" s="1" t="s">
        <v>5667</v>
      </c>
      <c r="D60" s="1">
        <v>2210</v>
      </c>
      <c r="E60" s="1" t="str">
        <f>_xlfn.XLOOKUP(tblGJ[[#This Row],[Account Code]],tblCOA[Code],tblCOA[Account Name],"⚠ Invalid account")</f>
        <v>Output VAT (PPN Keluaran)</v>
      </c>
      <c r="F60" s="1" t="s">
        <v>5993</v>
      </c>
      <c r="G60" s="5">
        <f>SUMIFS(tblSales[Output VAT],tblSales[Month],MONTH(tblGJ[[#This Row],[Date]]))</f>
        <v>118029450</v>
      </c>
      <c r="H60" s="5"/>
      <c r="I60" s="1" t="s">
        <v>6528</v>
      </c>
      <c r="J60" s="1">
        <f>MONTH(tblGJ[[#This Row],[Date]])</f>
        <v>1</v>
      </c>
      <c r="K60" s="1" t="str">
        <f>_xlfn.XLOOKUP(tblGJ[[#This Row],[Account Code]],tblCOA[Code],tblCOA[FS Line],"")</f>
        <v>Taxes payable</v>
      </c>
      <c r="L60" s="121" t="str">
        <f>IF(OR(tblGJ[[#This Row],[Account Code]]=1120,tblGJ[[#This Row],[Account Code]]=1130),_xlfn.MINIFS(tblBank[Value Date],tblBank[Reference],tblGJ[[#This Row],[Voucher No]],tblBank[Account Code],tblGJ[[#This Row],[Account Code]]),"")</f>
        <v/>
      </c>
      <c r="M60" s="1" t="str">
        <f>IF(tblGJ[[#This Row],[Date]]&lt;=PEnd,"Yes","No")</f>
        <v>Yes</v>
      </c>
    </row>
    <row r="61" spans="2:13" x14ac:dyDescent="0.35">
      <c r="B61" s="109">
        <v>46053</v>
      </c>
      <c r="C61" s="1" t="s">
        <v>5667</v>
      </c>
      <c r="D61" s="1">
        <v>1510</v>
      </c>
      <c r="E61" s="1" t="str">
        <f>_xlfn.XLOOKUP(tblGJ[[#This Row],[Account Code]],tblCOA[Code],tblCOA[Account Name],"⚠ Invalid account")</f>
        <v>Input VAT (PPN Masukan)</v>
      </c>
      <c r="F61" s="1" t="s">
        <v>5994</v>
      </c>
      <c r="G61" s="5"/>
      <c r="H61" s="5">
        <f>SUMIFS(tblPurchases[Input VAT],tblPurchases[Month],MONTH(tblGJ[[#This Row],[Date]]))</f>
        <v>66331100</v>
      </c>
      <c r="I61" s="1" t="s">
        <v>6528</v>
      </c>
      <c r="J61" s="1">
        <f>MONTH(tblGJ[[#This Row],[Date]])</f>
        <v>1</v>
      </c>
      <c r="K61" s="1" t="str">
        <f>_xlfn.XLOOKUP(tblGJ[[#This Row],[Account Code]],tblCOA[Code],tblCOA[FS Line],"")</f>
        <v>Prepaid taxes</v>
      </c>
      <c r="L61" s="121" t="str">
        <f>IF(OR(tblGJ[[#This Row],[Account Code]]=1120,tblGJ[[#This Row],[Account Code]]=1130),_xlfn.MINIFS(tblBank[Value Date],tblBank[Reference],tblGJ[[#This Row],[Voucher No]],tblBank[Account Code],tblGJ[[#This Row],[Account Code]]),"")</f>
        <v/>
      </c>
      <c r="M61" s="1" t="str">
        <f>IF(tblGJ[[#This Row],[Date]]&lt;=PEnd,"Yes","No")</f>
        <v>Yes</v>
      </c>
    </row>
    <row r="62" spans="2:13" x14ac:dyDescent="0.35">
      <c r="B62" s="109">
        <v>46053</v>
      </c>
      <c r="C62" s="1" t="s">
        <v>5667</v>
      </c>
      <c r="D62" s="1">
        <v>2220</v>
      </c>
      <c r="E62" s="1" t="str">
        <f>_xlfn.XLOOKUP(tblGJ[[#This Row],[Account Code]],tblCOA[Code],tblCOA[Account Name],"⚠ Invalid account")</f>
        <v>VAT Payable - Net</v>
      </c>
      <c r="F62" s="1" t="s">
        <v>5995</v>
      </c>
      <c r="G62" s="5"/>
      <c r="H62" s="5">
        <f>SUMIFS(tblSales[Output VAT],tblSales[Month],MONTH(tblGJ[[#This Row],[Date]]))-SUMIFS(tblPurchases[Input VAT],tblPurchases[Month],MONTH(tblGJ[[#This Row],[Date]]))</f>
        <v>51698350</v>
      </c>
      <c r="I62" s="1" t="s">
        <v>6528</v>
      </c>
      <c r="J62" s="1">
        <f>MONTH(tblGJ[[#This Row],[Date]])</f>
        <v>1</v>
      </c>
      <c r="K62" s="1" t="str">
        <f>_xlfn.XLOOKUP(tblGJ[[#This Row],[Account Code]],tblCOA[Code],tblCOA[FS Line],"")</f>
        <v>Taxes payable</v>
      </c>
      <c r="L62" s="121" t="str">
        <f>IF(OR(tblGJ[[#This Row],[Account Code]]=1120,tblGJ[[#This Row],[Account Code]]=1130),_xlfn.MINIFS(tblBank[Value Date],tblBank[Reference],tblGJ[[#This Row],[Voucher No]],tblBank[Account Code],tblGJ[[#This Row],[Account Code]]),"")</f>
        <v/>
      </c>
      <c r="M62" s="1" t="str">
        <f>IF(tblGJ[[#This Row],[Date]]&lt;=PEnd,"Yes","No")</f>
        <v>Yes</v>
      </c>
    </row>
    <row r="63" spans="2:13" x14ac:dyDescent="0.35">
      <c r="B63" s="109">
        <v>46053</v>
      </c>
      <c r="C63" s="1" t="s">
        <v>5668</v>
      </c>
      <c r="D63" s="1">
        <v>6240</v>
      </c>
      <c r="E63" s="1" t="str">
        <f>_xlfn.XLOOKUP(tblGJ[[#This Row],[Account Code]],tblCOA[Code],tblCOA[Account Name],"⚠ Invalid account")</f>
        <v>Depreciation Expense</v>
      </c>
      <c r="F63" s="1" t="s">
        <v>5996</v>
      </c>
      <c r="G63" s="5">
        <f>SUMIFS(INDEX(tblFA[[Jan]:[Dec]],0,MONTH(tblGJ[[#This Row],[Date]])),tblFA[Expense Account],tblGJ[[#This Row],[Account Code]])</f>
        <v>26250000</v>
      </c>
      <c r="H63" s="5"/>
      <c r="I63" s="1" t="s">
        <v>6534</v>
      </c>
      <c r="J63" s="1">
        <f>MONTH(tblGJ[[#This Row],[Date]])</f>
        <v>1</v>
      </c>
      <c r="K63" s="1" t="str">
        <f>_xlfn.XLOOKUP(tblGJ[[#This Row],[Account Code]],tblCOA[Code],tblCOA[FS Line],"")</f>
        <v>General &amp; administrative expenses</v>
      </c>
      <c r="L63" s="121" t="str">
        <f>IF(OR(tblGJ[[#This Row],[Account Code]]=1120,tblGJ[[#This Row],[Account Code]]=1130),_xlfn.MINIFS(tblBank[Value Date],tblBank[Reference],tblGJ[[#This Row],[Voucher No]],tblBank[Account Code],tblGJ[[#This Row],[Account Code]]),"")</f>
        <v/>
      </c>
      <c r="M63" s="1" t="str">
        <f>IF(tblGJ[[#This Row],[Date]]&lt;=PEnd,"Yes","No")</f>
        <v>Yes</v>
      </c>
    </row>
    <row r="64" spans="2:13" x14ac:dyDescent="0.35">
      <c r="B64" s="109">
        <v>46053</v>
      </c>
      <c r="C64" s="1" t="s">
        <v>5668</v>
      </c>
      <c r="D64" s="1">
        <v>6250</v>
      </c>
      <c r="E64" s="1" t="str">
        <f>_xlfn.XLOOKUP(tblGJ[[#This Row],[Account Code]],tblCOA[Code],tblCOA[Account Name],"⚠ Invalid account")</f>
        <v>Amortization Expense - Software</v>
      </c>
      <c r="F64" s="1" t="s">
        <v>5997</v>
      </c>
      <c r="G64" s="5">
        <f>SUMIFS(INDEX(tblFA[[Jan]:[Dec]],0,MONTH(tblGJ[[#This Row],[Date]])),tblFA[Expense Account],tblGJ[[#This Row],[Account Code]])</f>
        <v>3750000</v>
      </c>
      <c r="H64" s="5"/>
      <c r="I64" s="1" t="s">
        <v>6534</v>
      </c>
      <c r="J64" s="1">
        <f>MONTH(tblGJ[[#This Row],[Date]])</f>
        <v>1</v>
      </c>
      <c r="K64" s="1" t="str">
        <f>_xlfn.XLOOKUP(tblGJ[[#This Row],[Account Code]],tblCOA[Code],tblCOA[FS Line],"")</f>
        <v>General &amp; administrative expenses</v>
      </c>
      <c r="L64" s="121" t="str">
        <f>IF(OR(tblGJ[[#This Row],[Account Code]]=1120,tblGJ[[#This Row],[Account Code]]=1130),_xlfn.MINIFS(tblBank[Value Date],tblBank[Reference],tblGJ[[#This Row],[Voucher No]],tblBank[Account Code],tblGJ[[#This Row],[Account Code]]),"")</f>
        <v/>
      </c>
      <c r="M64" s="1" t="str">
        <f>IF(tblGJ[[#This Row],[Date]]&lt;=PEnd,"Yes","No")</f>
        <v>Yes</v>
      </c>
    </row>
    <row r="65" spans="2:13" x14ac:dyDescent="0.35">
      <c r="B65" s="109">
        <v>46053</v>
      </c>
      <c r="C65" s="1" t="s">
        <v>5668</v>
      </c>
      <c r="D65" s="1">
        <v>1691</v>
      </c>
      <c r="E65" s="1" t="str">
        <f>_xlfn.XLOOKUP(tblGJ[[#This Row],[Account Code]],tblCOA[Code],tblCOA[Account Name],"⚠ Invalid account")</f>
        <v>Acc. Depreciation - Buildings</v>
      </c>
      <c r="F65" s="1" t="s">
        <v>5998</v>
      </c>
      <c r="G65" s="5"/>
      <c r="H65" s="5">
        <f>SUMIFS(INDEX(tblFA[[Jan]:[Dec]],0,MONTH(tblGJ[[#This Row],[Date]])),tblFA[Acc. Dep. Account],tblGJ[[#This Row],[Account Code]])</f>
        <v>7500000</v>
      </c>
      <c r="I65" s="1" t="s">
        <v>6534</v>
      </c>
      <c r="J65" s="1">
        <f>MONTH(tblGJ[[#This Row],[Date]])</f>
        <v>1</v>
      </c>
      <c r="K65" s="1" t="str">
        <f>_xlfn.XLOOKUP(tblGJ[[#This Row],[Account Code]],tblCOA[Code],tblCOA[FS Line],"")</f>
        <v>Fixed assets - net</v>
      </c>
      <c r="L65" s="121" t="str">
        <f>IF(OR(tblGJ[[#This Row],[Account Code]]=1120,tblGJ[[#This Row],[Account Code]]=1130),_xlfn.MINIFS(tblBank[Value Date],tblBank[Reference],tblGJ[[#This Row],[Voucher No]],tblBank[Account Code],tblGJ[[#This Row],[Account Code]]),"")</f>
        <v/>
      </c>
      <c r="M65" s="1" t="str">
        <f>IF(tblGJ[[#This Row],[Date]]&lt;=PEnd,"Yes","No")</f>
        <v>Yes</v>
      </c>
    </row>
    <row r="66" spans="2:13" x14ac:dyDescent="0.35">
      <c r="B66" s="109">
        <v>46053</v>
      </c>
      <c r="C66" s="1" t="s">
        <v>5668</v>
      </c>
      <c r="D66" s="1">
        <v>1693</v>
      </c>
      <c r="E66" s="1" t="str">
        <f>_xlfn.XLOOKUP(tblGJ[[#This Row],[Account Code]],tblCOA[Code],tblCOA[Account Name],"⚠ Invalid account")</f>
        <v>Acc. Depreciation - Vehicles</v>
      </c>
      <c r="F66" s="1" t="s">
        <v>5998</v>
      </c>
      <c r="G66" s="5"/>
      <c r="H66" s="5">
        <f>SUMIFS(INDEX(tblFA[[Jan]:[Dec]],0,MONTH(tblGJ[[#This Row],[Date]])),tblFA[Acc. Dep. Account],tblGJ[[#This Row],[Account Code]])</f>
        <v>7291667</v>
      </c>
      <c r="I66" s="1" t="s">
        <v>6534</v>
      </c>
      <c r="J66" s="1">
        <f>MONTH(tblGJ[[#This Row],[Date]])</f>
        <v>1</v>
      </c>
      <c r="K66" s="1" t="str">
        <f>_xlfn.XLOOKUP(tblGJ[[#This Row],[Account Code]],tblCOA[Code],tblCOA[FS Line],"")</f>
        <v>Fixed assets - net</v>
      </c>
      <c r="L66" s="121" t="str">
        <f>IF(OR(tblGJ[[#This Row],[Account Code]]=1120,tblGJ[[#This Row],[Account Code]]=1130),_xlfn.MINIFS(tblBank[Value Date],tblBank[Reference],tblGJ[[#This Row],[Voucher No]],tblBank[Account Code],tblGJ[[#This Row],[Account Code]]),"")</f>
        <v/>
      </c>
      <c r="M66" s="1" t="str">
        <f>IF(tblGJ[[#This Row],[Date]]&lt;=PEnd,"Yes","No")</f>
        <v>Yes</v>
      </c>
    </row>
    <row r="67" spans="2:13" x14ac:dyDescent="0.35">
      <c r="B67" s="109">
        <v>46053</v>
      </c>
      <c r="C67" s="1" t="s">
        <v>5668</v>
      </c>
      <c r="D67" s="1">
        <v>1694</v>
      </c>
      <c r="E67" s="1" t="str">
        <f>_xlfn.XLOOKUP(tblGJ[[#This Row],[Account Code]],tblCOA[Code],tblCOA[Account Name],"⚠ Invalid account")</f>
        <v>Acc. Depreciation - Machinery &amp; Equipment</v>
      </c>
      <c r="F67" s="1" t="s">
        <v>5998</v>
      </c>
      <c r="G67" s="5"/>
      <c r="H67" s="5">
        <f>SUMIFS(INDEX(tblFA[[Jan]:[Dec]],0,MONTH(tblGJ[[#This Row],[Date]])),tblFA[Acc. Dep. Account],tblGJ[[#This Row],[Account Code]])</f>
        <v>8333333</v>
      </c>
      <c r="I67" s="1" t="s">
        <v>6534</v>
      </c>
      <c r="J67" s="1">
        <f>MONTH(tblGJ[[#This Row],[Date]])</f>
        <v>1</v>
      </c>
      <c r="K67" s="1" t="str">
        <f>_xlfn.XLOOKUP(tblGJ[[#This Row],[Account Code]],tblCOA[Code],tblCOA[FS Line],"")</f>
        <v>Fixed assets - net</v>
      </c>
      <c r="L67" s="121" t="str">
        <f>IF(OR(tblGJ[[#This Row],[Account Code]]=1120,tblGJ[[#This Row],[Account Code]]=1130),_xlfn.MINIFS(tblBank[Value Date],tblBank[Reference],tblGJ[[#This Row],[Voucher No]],tblBank[Account Code],tblGJ[[#This Row],[Account Code]]),"")</f>
        <v/>
      </c>
      <c r="M67" s="1" t="str">
        <f>IF(tblGJ[[#This Row],[Date]]&lt;=PEnd,"Yes","No")</f>
        <v>Yes</v>
      </c>
    </row>
    <row r="68" spans="2:13" x14ac:dyDescent="0.35">
      <c r="B68" s="109">
        <v>46053</v>
      </c>
      <c r="C68" s="1" t="s">
        <v>5668</v>
      </c>
      <c r="D68" s="1">
        <v>1695</v>
      </c>
      <c r="E68" s="1" t="str">
        <f>_xlfn.XLOOKUP(tblGJ[[#This Row],[Account Code]],tblCOA[Code],tblCOA[Account Name],"⚠ Invalid account")</f>
        <v>Acc. Depreciation - Office Furniture &amp; Equipment</v>
      </c>
      <c r="F68" s="1" t="s">
        <v>5998</v>
      </c>
      <c r="G68" s="5"/>
      <c r="H68" s="5">
        <f>SUMIFS(INDEX(tblFA[[Jan]:[Dec]],0,MONTH(tblGJ[[#This Row],[Date]])),tblFA[Acc. Dep. Account],tblGJ[[#This Row],[Account Code]])</f>
        <v>3125000</v>
      </c>
      <c r="I68" s="1" t="s">
        <v>6534</v>
      </c>
      <c r="J68" s="1">
        <f>MONTH(tblGJ[[#This Row],[Date]])</f>
        <v>1</v>
      </c>
      <c r="K68" s="1" t="str">
        <f>_xlfn.XLOOKUP(tblGJ[[#This Row],[Account Code]],tblCOA[Code],tblCOA[FS Line],"")</f>
        <v>Fixed assets - net</v>
      </c>
      <c r="L68" s="121" t="str">
        <f>IF(OR(tblGJ[[#This Row],[Account Code]]=1120,tblGJ[[#This Row],[Account Code]]=1130),_xlfn.MINIFS(tblBank[Value Date],tblBank[Reference],tblGJ[[#This Row],[Voucher No]],tblBank[Account Code],tblGJ[[#This Row],[Account Code]]),"")</f>
        <v/>
      </c>
      <c r="M68" s="1" t="str">
        <f>IF(tblGJ[[#This Row],[Date]]&lt;=PEnd,"Yes","No")</f>
        <v>Yes</v>
      </c>
    </row>
    <row r="69" spans="2:13" x14ac:dyDescent="0.35">
      <c r="B69" s="109">
        <v>46053</v>
      </c>
      <c r="C69" s="1" t="s">
        <v>5668</v>
      </c>
      <c r="D69" s="1">
        <v>1719</v>
      </c>
      <c r="E69" s="1" t="str">
        <f>_xlfn.XLOOKUP(tblGJ[[#This Row],[Account Code]],tblCOA[Code],tblCOA[Account Name],"⚠ Invalid account")</f>
        <v>Acc. Amortization - Software</v>
      </c>
      <c r="F69" s="1" t="s">
        <v>5998</v>
      </c>
      <c r="G69" s="5"/>
      <c r="H69" s="5">
        <f>SUMIFS(INDEX(tblFA[[Jan]:[Dec]],0,MONTH(tblGJ[[#This Row],[Date]])),tblFA[Acc. Dep. Account],tblGJ[[#This Row],[Account Code]])</f>
        <v>3750000</v>
      </c>
      <c r="I69" s="1" t="s">
        <v>6534</v>
      </c>
      <c r="J69" s="1">
        <f>MONTH(tblGJ[[#This Row],[Date]])</f>
        <v>1</v>
      </c>
      <c r="K69" s="1" t="str">
        <f>_xlfn.XLOOKUP(tblGJ[[#This Row],[Account Code]],tblCOA[Code],tblCOA[FS Line],"")</f>
        <v>Intangible assets - net</v>
      </c>
      <c r="L69" s="121" t="str">
        <f>IF(OR(tblGJ[[#This Row],[Account Code]]=1120,tblGJ[[#This Row],[Account Code]]=1130),_xlfn.MINIFS(tblBank[Value Date],tblBank[Reference],tblGJ[[#This Row],[Voucher No]],tblBank[Account Code],tblGJ[[#This Row],[Account Code]]),"")</f>
        <v/>
      </c>
      <c r="M69" s="1" t="str">
        <f>IF(tblGJ[[#This Row],[Date]]&lt;=PEnd,"Yes","No")</f>
        <v>Yes</v>
      </c>
    </row>
    <row r="70" spans="2:13" x14ac:dyDescent="0.35">
      <c r="B70" s="109">
        <v>46053</v>
      </c>
      <c r="C70" s="1" t="s">
        <v>5669</v>
      </c>
      <c r="D70" s="1">
        <v>6220</v>
      </c>
      <c r="E70" s="1" t="str">
        <f>_xlfn.XLOOKUP(tblGJ[[#This Row],[Account Code]],tblCOA[Code],tblCOA[Account Name],"⚠ Invalid account")</f>
        <v>Rent Expense</v>
      </c>
      <c r="F70" s="1" t="s">
        <v>5999</v>
      </c>
      <c r="G70" s="5">
        <f>SUMIFS(INDEX(tblPrepaid[[Jan]:[Dec]],0,MONTH(tblGJ[[#This Row],[Date]])),tblPrepaid[Expense Account],tblGJ[[#This Row],[Account Code]])</f>
        <v>11000000</v>
      </c>
      <c r="H70" s="5"/>
      <c r="I70" s="1" t="s">
        <v>6535</v>
      </c>
      <c r="J70" s="1">
        <f>MONTH(tblGJ[[#This Row],[Date]])</f>
        <v>1</v>
      </c>
      <c r="K70" s="1" t="str">
        <f>_xlfn.XLOOKUP(tblGJ[[#This Row],[Account Code]],tblCOA[Code],tblCOA[FS Line],"")</f>
        <v>General &amp; administrative expenses</v>
      </c>
      <c r="L70" s="121" t="str">
        <f>IF(OR(tblGJ[[#This Row],[Account Code]]=1120,tblGJ[[#This Row],[Account Code]]=1130),_xlfn.MINIFS(tblBank[Value Date],tblBank[Reference],tblGJ[[#This Row],[Voucher No]],tblBank[Account Code],tblGJ[[#This Row],[Account Code]]),"")</f>
        <v/>
      </c>
      <c r="M70" s="1" t="str">
        <f>IF(tblGJ[[#This Row],[Date]]&lt;=PEnd,"Yes","No")</f>
        <v>Yes</v>
      </c>
    </row>
    <row r="71" spans="2:13" x14ac:dyDescent="0.35">
      <c r="B71" s="109">
        <v>46053</v>
      </c>
      <c r="C71" s="1" t="s">
        <v>5669</v>
      </c>
      <c r="D71" s="1">
        <v>6260</v>
      </c>
      <c r="E71" s="1" t="str">
        <f>_xlfn.XLOOKUP(tblGJ[[#This Row],[Account Code]],tblCOA[Code],tblCOA[Account Name],"⚠ Invalid account")</f>
        <v>Insurance Expense</v>
      </c>
      <c r="F71" s="1" t="s">
        <v>5999</v>
      </c>
      <c r="G71" s="5">
        <f>SUMIFS(INDEX(tblPrepaid[[Jan]:[Dec]],0,MONTH(tblGJ[[#This Row],[Date]])),tblPrepaid[Expense Account],tblGJ[[#This Row],[Account Code]])</f>
        <v>2500000</v>
      </c>
      <c r="H71" s="5"/>
      <c r="I71" s="1" t="s">
        <v>6535</v>
      </c>
      <c r="J71" s="1">
        <f>MONTH(tblGJ[[#This Row],[Date]])</f>
        <v>1</v>
      </c>
      <c r="K71" s="1" t="str">
        <f>_xlfn.XLOOKUP(tblGJ[[#This Row],[Account Code]],tblCOA[Code],tblCOA[FS Line],"")</f>
        <v>General &amp; administrative expenses</v>
      </c>
      <c r="L71" s="121" t="str">
        <f>IF(OR(tblGJ[[#This Row],[Account Code]]=1120,tblGJ[[#This Row],[Account Code]]=1130),_xlfn.MINIFS(tblBank[Value Date],tblBank[Reference],tblGJ[[#This Row],[Voucher No]],tblBank[Account Code],tblGJ[[#This Row],[Account Code]]),"")</f>
        <v/>
      </c>
      <c r="M71" s="1" t="str">
        <f>IF(tblGJ[[#This Row],[Date]]&lt;=PEnd,"Yes","No")</f>
        <v>Yes</v>
      </c>
    </row>
    <row r="72" spans="2:13" x14ac:dyDescent="0.35">
      <c r="B72" s="109">
        <v>46053</v>
      </c>
      <c r="C72" s="1" t="s">
        <v>5669</v>
      </c>
      <c r="D72" s="1">
        <v>6265</v>
      </c>
      <c r="E72" s="1" t="str">
        <f>_xlfn.XLOOKUP(tblGJ[[#This Row],[Account Code]],tblCOA[Code],tblCOA[Account Name],"⚠ Invalid account")</f>
        <v>Software Subscription Expense</v>
      </c>
      <c r="F72" s="1" t="s">
        <v>5999</v>
      </c>
      <c r="G72" s="5">
        <f>SUMIFS(INDEX(tblPrepaid[[Jan]:[Dec]],0,MONTH(tblGJ[[#This Row],[Date]])),tblPrepaid[Expense Account],tblGJ[[#This Row],[Account Code]])</f>
        <v>4000000</v>
      </c>
      <c r="H72" s="5"/>
      <c r="I72" s="1" t="s">
        <v>6535</v>
      </c>
      <c r="J72" s="1">
        <f>MONTH(tblGJ[[#This Row],[Date]])</f>
        <v>1</v>
      </c>
      <c r="K72" s="1" t="str">
        <f>_xlfn.XLOOKUP(tblGJ[[#This Row],[Account Code]],tblCOA[Code],tblCOA[FS Line],"")</f>
        <v>General &amp; administrative expenses</v>
      </c>
      <c r="L72" s="121" t="str">
        <f>IF(OR(tblGJ[[#This Row],[Account Code]]=1120,tblGJ[[#This Row],[Account Code]]=1130),_xlfn.MINIFS(tblBank[Value Date],tblBank[Reference],tblGJ[[#This Row],[Voucher No]],tblBank[Account Code],tblGJ[[#This Row],[Account Code]]),"")</f>
        <v/>
      </c>
      <c r="M72" s="1" t="str">
        <f>IF(tblGJ[[#This Row],[Date]]&lt;=PEnd,"Yes","No")</f>
        <v>Yes</v>
      </c>
    </row>
    <row r="73" spans="2:13" x14ac:dyDescent="0.35">
      <c r="B73" s="109">
        <v>46053</v>
      </c>
      <c r="C73" s="1" t="s">
        <v>5669</v>
      </c>
      <c r="D73" s="1">
        <v>1410</v>
      </c>
      <c r="E73" s="1" t="str">
        <f>_xlfn.XLOOKUP(tblGJ[[#This Row],[Account Code]],tblCOA[Code],tblCOA[Account Name],"⚠ Invalid account")</f>
        <v>Prepaid Rent</v>
      </c>
      <c r="F73" s="1" t="s">
        <v>5999</v>
      </c>
      <c r="G73" s="5"/>
      <c r="H73" s="5">
        <f>SUMIFS(INDEX(tblPrepaid[[Jan]:[Dec]],0,MONTH(tblGJ[[#This Row],[Date]])),tblPrepaid[Prepaid Account],tblGJ[[#This Row],[Account Code]])</f>
        <v>11000000</v>
      </c>
      <c r="I73" s="1" t="s">
        <v>6535</v>
      </c>
      <c r="J73" s="1">
        <f>MONTH(tblGJ[[#This Row],[Date]])</f>
        <v>1</v>
      </c>
      <c r="K73" s="1" t="str">
        <f>_xlfn.XLOOKUP(tblGJ[[#This Row],[Account Code]],tblCOA[Code],tblCOA[FS Line],"")</f>
        <v>Prepaid expenses</v>
      </c>
      <c r="L73" s="121" t="str">
        <f>IF(OR(tblGJ[[#This Row],[Account Code]]=1120,tblGJ[[#This Row],[Account Code]]=1130),_xlfn.MINIFS(tblBank[Value Date],tblBank[Reference],tblGJ[[#This Row],[Voucher No]],tblBank[Account Code],tblGJ[[#This Row],[Account Code]]),"")</f>
        <v/>
      </c>
      <c r="M73" s="1" t="str">
        <f>IF(tblGJ[[#This Row],[Date]]&lt;=PEnd,"Yes","No")</f>
        <v>Yes</v>
      </c>
    </row>
    <row r="74" spans="2:13" x14ac:dyDescent="0.35">
      <c r="B74" s="109">
        <v>46053</v>
      </c>
      <c r="C74" s="1" t="s">
        <v>5669</v>
      </c>
      <c r="D74" s="1">
        <v>1420</v>
      </c>
      <c r="E74" s="1" t="str">
        <f>_xlfn.XLOOKUP(tblGJ[[#This Row],[Account Code]],tblCOA[Code],tblCOA[Account Name],"⚠ Invalid account")</f>
        <v>Prepaid Insurance</v>
      </c>
      <c r="F74" s="1" t="s">
        <v>5999</v>
      </c>
      <c r="G74" s="5"/>
      <c r="H74" s="5">
        <f>SUMIFS(INDEX(tblPrepaid[[Jan]:[Dec]],0,MONTH(tblGJ[[#This Row],[Date]])),tblPrepaid[Prepaid Account],tblGJ[[#This Row],[Account Code]])</f>
        <v>2500000</v>
      </c>
      <c r="I74" s="1" t="s">
        <v>6535</v>
      </c>
      <c r="J74" s="1">
        <f>MONTH(tblGJ[[#This Row],[Date]])</f>
        <v>1</v>
      </c>
      <c r="K74" s="1" t="str">
        <f>_xlfn.XLOOKUP(tblGJ[[#This Row],[Account Code]],tblCOA[Code],tblCOA[FS Line],"")</f>
        <v>Prepaid expenses</v>
      </c>
      <c r="L74" s="121" t="str">
        <f>IF(OR(tblGJ[[#This Row],[Account Code]]=1120,tblGJ[[#This Row],[Account Code]]=1130),_xlfn.MINIFS(tblBank[Value Date],tblBank[Reference],tblGJ[[#This Row],[Voucher No]],tblBank[Account Code],tblGJ[[#This Row],[Account Code]]),"")</f>
        <v/>
      </c>
      <c r="M74" s="1" t="str">
        <f>IF(tblGJ[[#This Row],[Date]]&lt;=PEnd,"Yes","No")</f>
        <v>Yes</v>
      </c>
    </row>
    <row r="75" spans="2:13" x14ac:dyDescent="0.35">
      <c r="B75" s="109">
        <v>46053</v>
      </c>
      <c r="C75" s="1" t="s">
        <v>5669</v>
      </c>
      <c r="D75" s="1">
        <v>1430</v>
      </c>
      <c r="E75" s="1" t="str">
        <f>_xlfn.XLOOKUP(tblGJ[[#This Row],[Account Code]],tblCOA[Code],tblCOA[Account Name],"⚠ Invalid account")</f>
        <v>Prepaid Software Subscriptions</v>
      </c>
      <c r="F75" s="1" t="s">
        <v>5999</v>
      </c>
      <c r="G75" s="5"/>
      <c r="H75" s="5">
        <f>SUMIFS(INDEX(tblPrepaid[[Jan]:[Dec]],0,MONTH(tblGJ[[#This Row],[Date]])),tblPrepaid[Prepaid Account],tblGJ[[#This Row],[Account Code]])</f>
        <v>4000000</v>
      </c>
      <c r="I75" s="1" t="s">
        <v>6535</v>
      </c>
      <c r="J75" s="1">
        <f>MONTH(tblGJ[[#This Row],[Date]])</f>
        <v>1</v>
      </c>
      <c r="K75" s="1" t="str">
        <f>_xlfn.XLOOKUP(tblGJ[[#This Row],[Account Code]],tblCOA[Code],tblCOA[FS Line],"")</f>
        <v>Prepaid expenses</v>
      </c>
      <c r="L75" s="121" t="str">
        <f>IF(OR(tblGJ[[#This Row],[Account Code]]=1120,tblGJ[[#This Row],[Account Code]]=1130),_xlfn.MINIFS(tblBank[Value Date],tblBank[Reference],tblGJ[[#This Row],[Voucher No]],tblBank[Account Code],tblGJ[[#This Row],[Account Code]]),"")</f>
        <v/>
      </c>
      <c r="M75" s="1" t="str">
        <f>IF(tblGJ[[#This Row],[Date]]&lt;=PEnd,"Yes","No")</f>
        <v>Yes</v>
      </c>
    </row>
    <row r="76" spans="2:13" x14ac:dyDescent="0.35">
      <c r="B76" s="109">
        <v>46053</v>
      </c>
      <c r="C76" s="1" t="s">
        <v>5670</v>
      </c>
      <c r="D76" s="1">
        <v>6290</v>
      </c>
      <c r="E76" s="1" t="str">
        <f>_xlfn.XLOOKUP(tblGJ[[#This Row],[Account Code]],tblCOA[Code],tblCOA[Account Name],"⚠ Invalid account")</f>
        <v>Employee Benefits Expense</v>
      </c>
      <c r="F76" s="1" t="s">
        <v>6000</v>
      </c>
      <c r="G76" s="5">
        <v>3000000</v>
      </c>
      <c r="H76" s="5"/>
      <c r="I76" s="1" t="s">
        <v>4263</v>
      </c>
      <c r="J76" s="1">
        <f>MONTH(tblGJ[[#This Row],[Date]])</f>
        <v>1</v>
      </c>
      <c r="K76" s="1" t="str">
        <f>_xlfn.XLOOKUP(tblGJ[[#This Row],[Account Code]],tblCOA[Code],tblCOA[FS Line],"")</f>
        <v>General &amp; administrative expenses</v>
      </c>
      <c r="L76" s="121" t="str">
        <f>IF(OR(tblGJ[[#This Row],[Account Code]]=1120,tblGJ[[#This Row],[Account Code]]=1130),_xlfn.MINIFS(tblBank[Value Date],tblBank[Reference],tblGJ[[#This Row],[Voucher No]],tblBank[Account Code],tblGJ[[#This Row],[Account Code]]),"")</f>
        <v/>
      </c>
      <c r="M76" s="1" t="str">
        <f>IF(tblGJ[[#This Row],[Date]]&lt;=PEnd,"Yes","No")</f>
        <v>Yes</v>
      </c>
    </row>
    <row r="77" spans="2:13" x14ac:dyDescent="0.35">
      <c r="B77" s="109">
        <v>46053</v>
      </c>
      <c r="C77" s="1" t="s">
        <v>5670</v>
      </c>
      <c r="D77" s="1">
        <v>2420</v>
      </c>
      <c r="E77" s="1" t="str">
        <f>_xlfn.XLOOKUP(tblGJ[[#This Row],[Account Code]],tblCOA[Code],tblCOA[Account Name],"⚠ Invalid account")</f>
        <v>Employee Benefits Liability</v>
      </c>
      <c r="F77" s="1" t="s">
        <v>6001</v>
      </c>
      <c r="G77" s="5"/>
      <c r="H77" s="5">
        <v>3000000</v>
      </c>
      <c r="I77" s="1" t="s">
        <v>4263</v>
      </c>
      <c r="J77" s="1">
        <f>MONTH(tblGJ[[#This Row],[Date]])</f>
        <v>1</v>
      </c>
      <c r="K77" s="1" t="str">
        <f>_xlfn.XLOOKUP(tblGJ[[#This Row],[Account Code]],tblCOA[Code],tblCOA[FS Line],"")</f>
        <v>Employee benefits liability</v>
      </c>
      <c r="L77" s="121" t="str">
        <f>IF(OR(tblGJ[[#This Row],[Account Code]]=1120,tblGJ[[#This Row],[Account Code]]=1130),_xlfn.MINIFS(tblBank[Value Date],tblBank[Reference],tblGJ[[#This Row],[Voucher No]],tblBank[Account Code],tblGJ[[#This Row],[Account Code]]),"")</f>
        <v/>
      </c>
      <c r="M77" s="1" t="str">
        <f>IF(tblGJ[[#This Row],[Date]]&lt;=PEnd,"Yes","No")</f>
        <v>Yes</v>
      </c>
    </row>
    <row r="78" spans="2:13" x14ac:dyDescent="0.35">
      <c r="B78" s="109">
        <v>46053</v>
      </c>
      <c r="C78" s="1" t="s">
        <v>5671</v>
      </c>
      <c r="D78" s="1">
        <v>1120</v>
      </c>
      <c r="E78" s="1" t="str">
        <f>_xlfn.XLOOKUP(tblGJ[[#This Row],[Account Code]],tblCOA[Code],tblCOA[Account Name],"⚠ Invalid account")</f>
        <v>Bank BCA - Current Account</v>
      </c>
      <c r="F78" s="1" t="s">
        <v>6002</v>
      </c>
      <c r="G78" s="5">
        <v>1333333</v>
      </c>
      <c r="H78" s="5"/>
      <c r="I78" s="1" t="s">
        <v>4263</v>
      </c>
      <c r="J78" s="1">
        <f>MONTH(tblGJ[[#This Row],[Date]])</f>
        <v>1</v>
      </c>
      <c r="K78" s="1" t="str">
        <f>_xlfn.XLOOKUP(tblGJ[[#This Row],[Account Code]],tblCOA[Code],tblCOA[FS Line],"")</f>
        <v>Cash and cash equivalents</v>
      </c>
      <c r="L78" s="121">
        <f>IF(OR(tblGJ[[#This Row],[Account Code]]=1120,tblGJ[[#This Row],[Account Code]]=1130),_xlfn.MINIFS(tblBank[Value Date],tblBank[Reference],tblGJ[[#This Row],[Voucher No]],tblBank[Account Code],tblGJ[[#This Row],[Account Code]]),"")</f>
        <v>46053</v>
      </c>
      <c r="M78" s="1" t="str">
        <f>IF(tblGJ[[#This Row],[Date]]&lt;=PEnd,"Yes","No")</f>
        <v>Yes</v>
      </c>
    </row>
    <row r="79" spans="2:13" x14ac:dyDescent="0.35">
      <c r="B79" s="109">
        <v>46053</v>
      </c>
      <c r="C79" s="1" t="s">
        <v>5671</v>
      </c>
      <c r="D79" s="1">
        <v>8200</v>
      </c>
      <c r="E79" s="1" t="str">
        <f>_xlfn.XLOOKUP(tblGJ[[#This Row],[Account Code]],tblCOA[Code],tblCOA[Account Name],"⚠ Invalid account")</f>
        <v>Final Income Tax Expense</v>
      </c>
      <c r="F79" s="1" t="s">
        <v>6003</v>
      </c>
      <c r="G79" s="5">
        <v>333334</v>
      </c>
      <c r="H79" s="5"/>
      <c r="I79" s="1" t="s">
        <v>4263</v>
      </c>
      <c r="J79" s="1">
        <f>MONTH(tblGJ[[#This Row],[Date]])</f>
        <v>1</v>
      </c>
      <c r="K79" s="1" t="str">
        <f>_xlfn.XLOOKUP(tblGJ[[#This Row],[Account Code]],tblCOA[Code],tblCOA[FS Line],"")</f>
        <v>Other expenses</v>
      </c>
      <c r="L79" s="121" t="str">
        <f>IF(OR(tblGJ[[#This Row],[Account Code]]=1120,tblGJ[[#This Row],[Account Code]]=1130),_xlfn.MINIFS(tblBank[Value Date],tblBank[Reference],tblGJ[[#This Row],[Voucher No]],tblBank[Account Code],tblGJ[[#This Row],[Account Code]]),"")</f>
        <v/>
      </c>
      <c r="M79" s="1" t="str">
        <f>IF(tblGJ[[#This Row],[Date]]&lt;=PEnd,"Yes","No")</f>
        <v>Yes</v>
      </c>
    </row>
    <row r="80" spans="2:13" x14ac:dyDescent="0.35">
      <c r="B80" s="109">
        <v>46053</v>
      </c>
      <c r="C80" s="1" t="s">
        <v>5671</v>
      </c>
      <c r="D80" s="1">
        <v>7110</v>
      </c>
      <c r="E80" s="1" t="str">
        <f>_xlfn.XLOOKUP(tblGJ[[#This Row],[Account Code]],tblCOA[Code],tblCOA[Account Name],"⚠ Invalid account")</f>
        <v>Interest Income - Time Deposit</v>
      </c>
      <c r="F80" s="1" t="s">
        <v>6004</v>
      </c>
      <c r="G80" s="5"/>
      <c r="H80" s="5">
        <v>1666667</v>
      </c>
      <c r="I80" s="1" t="s">
        <v>4263</v>
      </c>
      <c r="J80" s="1">
        <f>MONTH(tblGJ[[#This Row],[Date]])</f>
        <v>1</v>
      </c>
      <c r="K80" s="1" t="str">
        <f>_xlfn.XLOOKUP(tblGJ[[#This Row],[Account Code]],tblCOA[Code],tblCOA[FS Line],"")</f>
        <v>Other income</v>
      </c>
      <c r="L80" s="121" t="str">
        <f>IF(OR(tblGJ[[#This Row],[Account Code]]=1120,tblGJ[[#This Row],[Account Code]]=1130),_xlfn.MINIFS(tblBank[Value Date],tblBank[Reference],tblGJ[[#This Row],[Voucher No]],tblBank[Account Code],tblGJ[[#This Row],[Account Code]]),"")</f>
        <v/>
      </c>
      <c r="M80" s="1" t="str">
        <f>IF(tblGJ[[#This Row],[Date]]&lt;=PEnd,"Yes","No")</f>
        <v>Yes</v>
      </c>
    </row>
    <row r="81" spans="2:13" x14ac:dyDescent="0.35">
      <c r="B81" s="109">
        <v>46053</v>
      </c>
      <c r="C81" s="1" t="s">
        <v>5672</v>
      </c>
      <c r="D81" s="1">
        <v>1120</v>
      </c>
      <c r="E81" s="1" t="str">
        <f>_xlfn.XLOOKUP(tblGJ[[#This Row],[Account Code]],tblCOA[Code],tblCOA[Account Name],"⚠ Invalid account")</f>
        <v>Bank BCA - Current Account</v>
      </c>
      <c r="F81" s="1" t="s">
        <v>6005</v>
      </c>
      <c r="G81" s="5">
        <v>472940</v>
      </c>
      <c r="H81" s="5"/>
      <c r="I81" s="1" t="s">
        <v>4263</v>
      </c>
      <c r="J81" s="1">
        <f>MONTH(tblGJ[[#This Row],[Date]])</f>
        <v>1</v>
      </c>
      <c r="K81" s="1" t="str">
        <f>_xlfn.XLOOKUP(tblGJ[[#This Row],[Account Code]],tblCOA[Code],tblCOA[FS Line],"")</f>
        <v>Cash and cash equivalents</v>
      </c>
      <c r="L81" s="121">
        <f>IF(OR(tblGJ[[#This Row],[Account Code]]=1120,tblGJ[[#This Row],[Account Code]]=1130),_xlfn.MINIFS(tblBank[Value Date],tblBank[Reference],tblGJ[[#This Row],[Voucher No]],tblBank[Account Code],tblGJ[[#This Row],[Account Code]]),"")</f>
        <v>46053</v>
      </c>
      <c r="M81" s="1" t="str">
        <f>IF(tblGJ[[#This Row],[Date]]&lt;=PEnd,"Yes","No")</f>
        <v>Yes</v>
      </c>
    </row>
    <row r="82" spans="2:13" x14ac:dyDescent="0.35">
      <c r="B82" s="109">
        <v>46053</v>
      </c>
      <c r="C82" s="1" t="s">
        <v>5672</v>
      </c>
      <c r="D82" s="1">
        <v>7120</v>
      </c>
      <c r="E82" s="1" t="str">
        <f>_xlfn.XLOOKUP(tblGJ[[#This Row],[Account Code]],tblCOA[Code],tblCOA[Account Name],"⚠ Invalid account")</f>
        <v>Interest Income - Current Account</v>
      </c>
      <c r="F82" s="1" t="s">
        <v>6005</v>
      </c>
      <c r="G82" s="5"/>
      <c r="H82" s="5">
        <v>472940</v>
      </c>
      <c r="I82" s="1" t="s">
        <v>4263</v>
      </c>
      <c r="J82" s="1">
        <f>MONTH(tblGJ[[#This Row],[Date]])</f>
        <v>1</v>
      </c>
      <c r="K82" s="1" t="str">
        <f>_xlfn.XLOOKUP(tblGJ[[#This Row],[Account Code]],tblCOA[Code],tblCOA[FS Line],"")</f>
        <v>Other income</v>
      </c>
      <c r="L82" s="121" t="str">
        <f>IF(OR(tblGJ[[#This Row],[Account Code]]=1120,tblGJ[[#This Row],[Account Code]]=1130),_xlfn.MINIFS(tblBank[Value Date],tblBank[Reference],tblGJ[[#This Row],[Voucher No]],tblBank[Account Code],tblGJ[[#This Row],[Account Code]]),"")</f>
        <v/>
      </c>
      <c r="M82" s="1" t="str">
        <f>IF(tblGJ[[#This Row],[Date]]&lt;=PEnd,"Yes","No")</f>
        <v>Yes</v>
      </c>
    </row>
    <row r="83" spans="2:13" x14ac:dyDescent="0.35">
      <c r="B83" s="109">
        <v>46053</v>
      </c>
      <c r="C83" s="1" t="s">
        <v>5673</v>
      </c>
      <c r="D83" s="1">
        <v>8200</v>
      </c>
      <c r="E83" s="1" t="str">
        <f>_xlfn.XLOOKUP(tblGJ[[#This Row],[Account Code]],tblCOA[Code],tblCOA[Account Name],"⚠ Invalid account")</f>
        <v>Final Income Tax Expense</v>
      </c>
      <c r="F83" s="1" t="s">
        <v>6006</v>
      </c>
      <c r="G83" s="5">
        <v>94588</v>
      </c>
      <c r="H83" s="5"/>
      <c r="I83" s="1" t="s">
        <v>4263</v>
      </c>
      <c r="J83" s="1">
        <f>MONTH(tblGJ[[#This Row],[Date]])</f>
        <v>1</v>
      </c>
      <c r="K83" s="1" t="str">
        <f>_xlfn.XLOOKUP(tblGJ[[#This Row],[Account Code]],tblCOA[Code],tblCOA[FS Line],"")</f>
        <v>Other expenses</v>
      </c>
      <c r="L83" s="121" t="str">
        <f>IF(OR(tblGJ[[#This Row],[Account Code]]=1120,tblGJ[[#This Row],[Account Code]]=1130),_xlfn.MINIFS(tblBank[Value Date],tblBank[Reference],tblGJ[[#This Row],[Voucher No]],tblBank[Account Code],tblGJ[[#This Row],[Account Code]]),"")</f>
        <v/>
      </c>
      <c r="M83" s="1" t="str">
        <f>IF(tblGJ[[#This Row],[Date]]&lt;=PEnd,"Yes","No")</f>
        <v>Yes</v>
      </c>
    </row>
    <row r="84" spans="2:13" x14ac:dyDescent="0.35">
      <c r="B84" s="109">
        <v>46053</v>
      </c>
      <c r="C84" s="1" t="s">
        <v>5673</v>
      </c>
      <c r="D84" s="1">
        <v>1120</v>
      </c>
      <c r="E84" s="1" t="str">
        <f>_xlfn.XLOOKUP(tblGJ[[#This Row],[Account Code]],tblCOA[Code],tblCOA[Account Name],"⚠ Invalid account")</f>
        <v>Bank BCA - Current Account</v>
      </c>
      <c r="F84" s="1" t="s">
        <v>6006</v>
      </c>
      <c r="G84" s="5"/>
      <c r="H84" s="5">
        <v>94588</v>
      </c>
      <c r="I84" s="1" t="s">
        <v>4263</v>
      </c>
      <c r="J84" s="1">
        <f>MONTH(tblGJ[[#This Row],[Date]])</f>
        <v>1</v>
      </c>
      <c r="K84" s="1" t="str">
        <f>_xlfn.XLOOKUP(tblGJ[[#This Row],[Account Code]],tblCOA[Code],tblCOA[FS Line],"")</f>
        <v>Cash and cash equivalents</v>
      </c>
      <c r="L84" s="121">
        <f>IF(OR(tblGJ[[#This Row],[Account Code]]=1120,tblGJ[[#This Row],[Account Code]]=1130),_xlfn.MINIFS(tblBank[Value Date],tblBank[Reference],tblGJ[[#This Row],[Voucher No]],tblBank[Account Code],tblGJ[[#This Row],[Account Code]]),"")</f>
        <v>46053</v>
      </c>
      <c r="M84" s="1" t="str">
        <f>IF(tblGJ[[#This Row],[Date]]&lt;=PEnd,"Yes","No")</f>
        <v>Yes</v>
      </c>
    </row>
    <row r="85" spans="2:13" x14ac:dyDescent="0.35">
      <c r="B85" s="109">
        <v>46053</v>
      </c>
      <c r="C85" s="1" t="s">
        <v>5674</v>
      </c>
      <c r="D85" s="1">
        <v>7220</v>
      </c>
      <c r="E85" s="1" t="str">
        <f>_xlfn.XLOOKUP(tblGJ[[#This Row],[Account Code]],tblCOA[Code],tblCOA[Account Name],"⚠ Invalid account")</f>
        <v>Bank Charges</v>
      </c>
      <c r="F85" s="1" t="s">
        <v>6007</v>
      </c>
      <c r="G85" s="5">
        <v>150000</v>
      </c>
      <c r="H85" s="5"/>
      <c r="I85" s="1" t="s">
        <v>4263</v>
      </c>
      <c r="J85" s="1">
        <f>MONTH(tblGJ[[#This Row],[Date]])</f>
        <v>1</v>
      </c>
      <c r="K85" s="1" t="str">
        <f>_xlfn.XLOOKUP(tblGJ[[#This Row],[Account Code]],tblCOA[Code],tblCOA[FS Line],"")</f>
        <v>Other expenses</v>
      </c>
      <c r="L85" s="121" t="str">
        <f>IF(OR(tblGJ[[#This Row],[Account Code]]=1120,tblGJ[[#This Row],[Account Code]]=1130),_xlfn.MINIFS(tblBank[Value Date],tblBank[Reference],tblGJ[[#This Row],[Voucher No]],tblBank[Account Code],tblGJ[[#This Row],[Account Code]]),"")</f>
        <v/>
      </c>
      <c r="M85" s="1" t="str">
        <f>IF(tblGJ[[#This Row],[Date]]&lt;=PEnd,"Yes","No")</f>
        <v>Yes</v>
      </c>
    </row>
    <row r="86" spans="2:13" x14ac:dyDescent="0.35">
      <c r="B86" s="109">
        <v>46053</v>
      </c>
      <c r="C86" s="1" t="s">
        <v>5674</v>
      </c>
      <c r="D86" s="1">
        <v>1120</v>
      </c>
      <c r="E86" s="1" t="str">
        <f>_xlfn.XLOOKUP(tblGJ[[#This Row],[Account Code]],tblCOA[Code],tblCOA[Account Name],"⚠ Invalid account")</f>
        <v>Bank BCA - Current Account</v>
      </c>
      <c r="F86" s="1" t="s">
        <v>6007</v>
      </c>
      <c r="G86" s="5"/>
      <c r="H86" s="5">
        <v>150000</v>
      </c>
      <c r="I86" s="1" t="s">
        <v>4263</v>
      </c>
      <c r="J86" s="1">
        <f>MONTH(tblGJ[[#This Row],[Date]])</f>
        <v>1</v>
      </c>
      <c r="K86" s="1" t="str">
        <f>_xlfn.XLOOKUP(tblGJ[[#This Row],[Account Code]],tblCOA[Code],tblCOA[FS Line],"")</f>
        <v>Cash and cash equivalents</v>
      </c>
      <c r="L86" s="121">
        <f>IF(OR(tblGJ[[#This Row],[Account Code]]=1120,tblGJ[[#This Row],[Account Code]]=1130),_xlfn.MINIFS(tblBank[Value Date],tblBank[Reference],tblGJ[[#This Row],[Voucher No]],tblBank[Account Code],tblGJ[[#This Row],[Account Code]]),"")</f>
        <v>46053</v>
      </c>
      <c r="M86" s="1" t="str">
        <f>IF(tblGJ[[#This Row],[Date]]&lt;=PEnd,"Yes","No")</f>
        <v>Yes</v>
      </c>
    </row>
    <row r="87" spans="2:13" x14ac:dyDescent="0.35">
      <c r="B87" s="109">
        <v>46053</v>
      </c>
      <c r="C87" s="1" t="s">
        <v>5675</v>
      </c>
      <c r="D87" s="1">
        <v>1130</v>
      </c>
      <c r="E87" s="1" t="str">
        <f>_xlfn.XLOOKUP(tblGJ[[#This Row],[Account Code]],tblCOA[Code],tblCOA[Account Name],"⚠ Invalid account")</f>
        <v>Bank Mandiri - Current Account</v>
      </c>
      <c r="F87" s="1" t="s">
        <v>6008</v>
      </c>
      <c r="G87" s="5">
        <v>64751</v>
      </c>
      <c r="H87" s="5"/>
      <c r="I87" s="1" t="s">
        <v>4263</v>
      </c>
      <c r="J87" s="1">
        <f>MONTH(tblGJ[[#This Row],[Date]])</f>
        <v>1</v>
      </c>
      <c r="K87" s="1" t="str">
        <f>_xlfn.XLOOKUP(tblGJ[[#This Row],[Account Code]],tblCOA[Code],tblCOA[FS Line],"")</f>
        <v>Cash and cash equivalents</v>
      </c>
      <c r="L87" s="121">
        <f>IF(OR(tblGJ[[#This Row],[Account Code]]=1120,tblGJ[[#This Row],[Account Code]]=1130),_xlfn.MINIFS(tblBank[Value Date],tblBank[Reference],tblGJ[[#This Row],[Voucher No]],tblBank[Account Code],tblGJ[[#This Row],[Account Code]]),"")</f>
        <v>46053</v>
      </c>
      <c r="M87" s="1" t="str">
        <f>IF(tblGJ[[#This Row],[Date]]&lt;=PEnd,"Yes","No")</f>
        <v>Yes</v>
      </c>
    </row>
    <row r="88" spans="2:13" x14ac:dyDescent="0.35">
      <c r="B88" s="109">
        <v>46053</v>
      </c>
      <c r="C88" s="1" t="s">
        <v>5675</v>
      </c>
      <c r="D88" s="1">
        <v>7120</v>
      </c>
      <c r="E88" s="1" t="str">
        <f>_xlfn.XLOOKUP(tblGJ[[#This Row],[Account Code]],tblCOA[Code],tblCOA[Account Name],"⚠ Invalid account")</f>
        <v>Interest Income - Current Account</v>
      </c>
      <c r="F88" s="1" t="s">
        <v>6008</v>
      </c>
      <c r="G88" s="5"/>
      <c r="H88" s="5">
        <v>64751</v>
      </c>
      <c r="I88" s="1" t="s">
        <v>4263</v>
      </c>
      <c r="J88" s="1">
        <f>MONTH(tblGJ[[#This Row],[Date]])</f>
        <v>1</v>
      </c>
      <c r="K88" s="1" t="str">
        <f>_xlfn.XLOOKUP(tblGJ[[#This Row],[Account Code]],tblCOA[Code],tblCOA[FS Line],"")</f>
        <v>Other income</v>
      </c>
      <c r="L88" s="121" t="str">
        <f>IF(OR(tblGJ[[#This Row],[Account Code]]=1120,tblGJ[[#This Row],[Account Code]]=1130),_xlfn.MINIFS(tblBank[Value Date],tblBank[Reference],tblGJ[[#This Row],[Voucher No]],tblBank[Account Code],tblGJ[[#This Row],[Account Code]]),"")</f>
        <v/>
      </c>
      <c r="M88" s="1" t="str">
        <f>IF(tblGJ[[#This Row],[Date]]&lt;=PEnd,"Yes","No")</f>
        <v>Yes</v>
      </c>
    </row>
    <row r="89" spans="2:13" x14ac:dyDescent="0.35">
      <c r="B89" s="109">
        <v>46053</v>
      </c>
      <c r="C89" s="1" t="s">
        <v>5676</v>
      </c>
      <c r="D89" s="1">
        <v>8200</v>
      </c>
      <c r="E89" s="1" t="str">
        <f>_xlfn.XLOOKUP(tblGJ[[#This Row],[Account Code]],tblCOA[Code],tblCOA[Account Name],"⚠ Invalid account")</f>
        <v>Final Income Tax Expense</v>
      </c>
      <c r="F89" s="1" t="s">
        <v>6009</v>
      </c>
      <c r="G89" s="5">
        <v>12950</v>
      </c>
      <c r="H89" s="5"/>
      <c r="I89" s="1" t="s">
        <v>4263</v>
      </c>
      <c r="J89" s="1">
        <f>MONTH(tblGJ[[#This Row],[Date]])</f>
        <v>1</v>
      </c>
      <c r="K89" s="1" t="str">
        <f>_xlfn.XLOOKUP(tblGJ[[#This Row],[Account Code]],tblCOA[Code],tblCOA[FS Line],"")</f>
        <v>Other expenses</v>
      </c>
      <c r="L89" s="121" t="str">
        <f>IF(OR(tblGJ[[#This Row],[Account Code]]=1120,tblGJ[[#This Row],[Account Code]]=1130),_xlfn.MINIFS(tblBank[Value Date],tblBank[Reference],tblGJ[[#This Row],[Voucher No]],tblBank[Account Code],tblGJ[[#This Row],[Account Code]]),"")</f>
        <v/>
      </c>
      <c r="M89" s="1" t="str">
        <f>IF(tblGJ[[#This Row],[Date]]&lt;=PEnd,"Yes","No")</f>
        <v>Yes</v>
      </c>
    </row>
    <row r="90" spans="2:13" x14ac:dyDescent="0.35">
      <c r="B90" s="109">
        <v>46053</v>
      </c>
      <c r="C90" s="1" t="s">
        <v>5676</v>
      </c>
      <c r="D90" s="1">
        <v>1130</v>
      </c>
      <c r="E90" s="1" t="str">
        <f>_xlfn.XLOOKUP(tblGJ[[#This Row],[Account Code]],tblCOA[Code],tblCOA[Account Name],"⚠ Invalid account")</f>
        <v>Bank Mandiri - Current Account</v>
      </c>
      <c r="F90" s="1" t="s">
        <v>6009</v>
      </c>
      <c r="G90" s="5"/>
      <c r="H90" s="5">
        <v>12950</v>
      </c>
      <c r="I90" s="1" t="s">
        <v>4263</v>
      </c>
      <c r="J90" s="1">
        <f>MONTH(tblGJ[[#This Row],[Date]])</f>
        <v>1</v>
      </c>
      <c r="K90" s="1" t="str">
        <f>_xlfn.XLOOKUP(tblGJ[[#This Row],[Account Code]],tblCOA[Code],tblCOA[FS Line],"")</f>
        <v>Cash and cash equivalents</v>
      </c>
      <c r="L90" s="121">
        <f>IF(OR(tblGJ[[#This Row],[Account Code]]=1120,tblGJ[[#This Row],[Account Code]]=1130),_xlfn.MINIFS(tblBank[Value Date],tblBank[Reference],tblGJ[[#This Row],[Voucher No]],tblBank[Account Code],tblGJ[[#This Row],[Account Code]]),"")</f>
        <v>46053</v>
      </c>
      <c r="M90" s="1" t="str">
        <f>IF(tblGJ[[#This Row],[Date]]&lt;=PEnd,"Yes","No")</f>
        <v>Yes</v>
      </c>
    </row>
    <row r="91" spans="2:13" x14ac:dyDescent="0.35">
      <c r="B91" s="109">
        <v>46053</v>
      </c>
      <c r="C91" s="1" t="s">
        <v>5677</v>
      </c>
      <c r="D91" s="1">
        <v>7220</v>
      </c>
      <c r="E91" s="1" t="str">
        <f>_xlfn.XLOOKUP(tblGJ[[#This Row],[Account Code]],tblCOA[Code],tblCOA[Account Name],"⚠ Invalid account")</f>
        <v>Bank Charges</v>
      </c>
      <c r="F91" s="1" t="s">
        <v>6010</v>
      </c>
      <c r="G91" s="5">
        <v>118500</v>
      </c>
      <c r="H91" s="5"/>
      <c r="I91" s="1" t="s">
        <v>4263</v>
      </c>
      <c r="J91" s="1">
        <f>MONTH(tblGJ[[#This Row],[Date]])</f>
        <v>1</v>
      </c>
      <c r="K91" s="1" t="str">
        <f>_xlfn.XLOOKUP(tblGJ[[#This Row],[Account Code]],tblCOA[Code],tblCOA[FS Line],"")</f>
        <v>Other expenses</v>
      </c>
      <c r="L91" s="121" t="str">
        <f>IF(OR(tblGJ[[#This Row],[Account Code]]=1120,tblGJ[[#This Row],[Account Code]]=1130),_xlfn.MINIFS(tblBank[Value Date],tblBank[Reference],tblGJ[[#This Row],[Voucher No]],tblBank[Account Code],tblGJ[[#This Row],[Account Code]]),"")</f>
        <v/>
      </c>
      <c r="M91" s="1" t="str">
        <f>IF(tblGJ[[#This Row],[Date]]&lt;=PEnd,"Yes","No")</f>
        <v>Yes</v>
      </c>
    </row>
    <row r="92" spans="2:13" x14ac:dyDescent="0.35">
      <c r="B92" s="109">
        <v>46053</v>
      </c>
      <c r="C92" s="1" t="s">
        <v>5677</v>
      </c>
      <c r="D92" s="1">
        <v>1130</v>
      </c>
      <c r="E92" s="1" t="str">
        <f>_xlfn.XLOOKUP(tblGJ[[#This Row],[Account Code]],tblCOA[Code],tblCOA[Account Name],"⚠ Invalid account")</f>
        <v>Bank Mandiri - Current Account</v>
      </c>
      <c r="F92" s="1" t="s">
        <v>6010</v>
      </c>
      <c r="G92" s="5"/>
      <c r="H92" s="5">
        <v>118500</v>
      </c>
      <c r="I92" s="1" t="s">
        <v>4263</v>
      </c>
      <c r="J92" s="1">
        <f>MONTH(tblGJ[[#This Row],[Date]])</f>
        <v>1</v>
      </c>
      <c r="K92" s="1" t="str">
        <f>_xlfn.XLOOKUP(tblGJ[[#This Row],[Account Code]],tblCOA[Code],tblCOA[FS Line],"")</f>
        <v>Cash and cash equivalents</v>
      </c>
      <c r="L92" s="121">
        <f>IF(OR(tblGJ[[#This Row],[Account Code]]=1120,tblGJ[[#This Row],[Account Code]]=1130),_xlfn.MINIFS(tblBank[Value Date],tblBank[Reference],tblGJ[[#This Row],[Voucher No]],tblBank[Account Code],tblGJ[[#This Row],[Account Code]]),"")</f>
        <v>46053</v>
      </c>
      <c r="M92" s="1" t="str">
        <f>IF(tblGJ[[#This Row],[Date]]&lt;=PEnd,"Yes","No")</f>
        <v>Yes</v>
      </c>
    </row>
    <row r="93" spans="2:13" x14ac:dyDescent="0.35">
      <c r="B93" s="109">
        <v>46063</v>
      </c>
      <c r="C93" s="1" t="s">
        <v>5678</v>
      </c>
      <c r="D93" s="1">
        <v>2230</v>
      </c>
      <c r="E93" s="1" t="str">
        <f>_xlfn.XLOOKUP(tblGJ[[#This Row],[Account Code]],tblCOA[Code],tblCOA[Account Name],"⚠ Invalid account")</f>
        <v>WHT Payable - Art. 21</v>
      </c>
      <c r="F93" s="1" t="s">
        <v>5957</v>
      </c>
      <c r="G93" s="5">
        <f>IF(MONTH(tblGJ[[#This Row],[Date]])=1,_xlfn.XLOOKUP(2230,tblCOA[Code],tblCOA[Opening Balance]),SUMIFS(tblPayroll[PPh 21],tblPayroll[Period],MONTH(tblGJ[[#This Row],[Date]])-1))</f>
        <v>10516831</v>
      </c>
      <c r="H93" s="5"/>
      <c r="I93" s="1" t="s">
        <v>6528</v>
      </c>
      <c r="J93" s="1">
        <f>MONTH(tblGJ[[#This Row],[Date]])</f>
        <v>2</v>
      </c>
      <c r="K93" s="1" t="str">
        <f>_xlfn.XLOOKUP(tblGJ[[#This Row],[Account Code]],tblCOA[Code],tblCOA[FS Line],"")</f>
        <v>Taxes payable</v>
      </c>
      <c r="L93" s="121" t="str">
        <f>IF(OR(tblGJ[[#This Row],[Account Code]]=1120,tblGJ[[#This Row],[Account Code]]=1130),_xlfn.MINIFS(tblBank[Value Date],tblBank[Reference],tblGJ[[#This Row],[Voucher No]],tblBank[Account Code],tblGJ[[#This Row],[Account Code]]),"")</f>
        <v/>
      </c>
      <c r="M93" s="1" t="str">
        <f>IF(tblGJ[[#This Row],[Date]]&lt;=PEnd,"Yes","No")</f>
        <v>Yes</v>
      </c>
    </row>
    <row r="94" spans="2:13" x14ac:dyDescent="0.35">
      <c r="B94" s="109">
        <v>46063</v>
      </c>
      <c r="C94" s="1" t="s">
        <v>5678</v>
      </c>
      <c r="D94" s="1">
        <v>1120</v>
      </c>
      <c r="E94" s="1" t="str">
        <f>_xlfn.XLOOKUP(tblGJ[[#This Row],[Account Code]],tblCOA[Code],tblCOA[Account Name],"⚠ Invalid account")</f>
        <v>Bank BCA - Current Account</v>
      </c>
      <c r="F94" s="1" t="s">
        <v>5957</v>
      </c>
      <c r="G94" s="5"/>
      <c r="H94" s="5">
        <f>IF(MONTH(tblGJ[[#This Row],[Date]])=1,_xlfn.XLOOKUP(2230,tblCOA[Code],tblCOA[Opening Balance]),SUMIFS(tblPayroll[PPh 21],tblPayroll[Period],MONTH(tblGJ[[#This Row],[Date]])-1))</f>
        <v>10516831</v>
      </c>
      <c r="I94" s="1" t="s">
        <v>6528</v>
      </c>
      <c r="J94" s="1">
        <f>MONTH(tblGJ[[#This Row],[Date]])</f>
        <v>2</v>
      </c>
      <c r="K94" s="1" t="str">
        <f>_xlfn.XLOOKUP(tblGJ[[#This Row],[Account Code]],tblCOA[Code],tblCOA[FS Line],"")</f>
        <v>Cash and cash equivalents</v>
      </c>
      <c r="L94" s="121">
        <f>IF(OR(tblGJ[[#This Row],[Account Code]]=1120,tblGJ[[#This Row],[Account Code]]=1130),_xlfn.MINIFS(tblBank[Value Date],tblBank[Reference],tblGJ[[#This Row],[Voucher No]],tblBank[Account Code],tblGJ[[#This Row],[Account Code]]),"")</f>
        <v>46063</v>
      </c>
      <c r="M94" s="1" t="str">
        <f>IF(tblGJ[[#This Row],[Date]]&lt;=PEnd,"Yes","No")</f>
        <v>Yes</v>
      </c>
    </row>
    <row r="95" spans="2:13" x14ac:dyDescent="0.35">
      <c r="B95" s="109">
        <v>46063</v>
      </c>
      <c r="C95" s="1" t="s">
        <v>5679</v>
      </c>
      <c r="D95" s="1">
        <v>2150</v>
      </c>
      <c r="E95" s="1" t="str">
        <f>_xlfn.XLOOKUP(tblGJ[[#This Row],[Account Code]],tblCOA[Code],tblCOA[Account Name],"⚠ Invalid account")</f>
        <v>BPJS Payable</v>
      </c>
      <c r="F95" s="1" t="s">
        <v>5958</v>
      </c>
      <c r="G95" s="5">
        <f>IF(MONTH(tblGJ[[#This Row],[Date]])=1,_xlfn.XLOOKUP(2150,tblCOA[Code],tblCOA[Opening Balance]),SUMIFS(tblPayroll[BPJS Payable],tblPayroll[Period],MONTH(tblGJ[[#This Row],[Date]])-1))</f>
        <v>22077790</v>
      </c>
      <c r="H95" s="5"/>
      <c r="I95" s="1" t="s">
        <v>6528</v>
      </c>
      <c r="J95" s="1">
        <f>MONTH(tblGJ[[#This Row],[Date]])</f>
        <v>2</v>
      </c>
      <c r="K95" s="1" t="str">
        <f>_xlfn.XLOOKUP(tblGJ[[#This Row],[Account Code]],tblCOA[Code],tblCOA[FS Line],"")</f>
        <v>Accrued expenses</v>
      </c>
      <c r="L95" s="121" t="str">
        <f>IF(OR(tblGJ[[#This Row],[Account Code]]=1120,tblGJ[[#This Row],[Account Code]]=1130),_xlfn.MINIFS(tblBank[Value Date],tblBank[Reference],tblGJ[[#This Row],[Voucher No]],tblBank[Account Code],tblGJ[[#This Row],[Account Code]]),"")</f>
        <v/>
      </c>
      <c r="M95" s="1" t="str">
        <f>IF(tblGJ[[#This Row],[Date]]&lt;=PEnd,"Yes","No")</f>
        <v>Yes</v>
      </c>
    </row>
    <row r="96" spans="2:13" x14ac:dyDescent="0.35">
      <c r="B96" s="109">
        <v>46063</v>
      </c>
      <c r="C96" s="1" t="s">
        <v>5679</v>
      </c>
      <c r="D96" s="1">
        <v>1120</v>
      </c>
      <c r="E96" s="1" t="str">
        <f>_xlfn.XLOOKUP(tblGJ[[#This Row],[Account Code]],tblCOA[Code],tblCOA[Account Name],"⚠ Invalid account")</f>
        <v>Bank BCA - Current Account</v>
      </c>
      <c r="F96" s="1" t="s">
        <v>5958</v>
      </c>
      <c r="G96" s="5"/>
      <c r="H96" s="5">
        <f>IF(MONTH(tblGJ[[#This Row],[Date]])=1,_xlfn.XLOOKUP(2150,tblCOA[Code],tblCOA[Opening Balance]),SUMIFS(tblPayroll[BPJS Payable],tblPayroll[Period],MONTH(tblGJ[[#This Row],[Date]])-1))</f>
        <v>22077790</v>
      </c>
      <c r="I96" s="1" t="s">
        <v>6528</v>
      </c>
      <c r="J96" s="1">
        <f>MONTH(tblGJ[[#This Row],[Date]])</f>
        <v>2</v>
      </c>
      <c r="K96" s="1" t="str">
        <f>_xlfn.XLOOKUP(tblGJ[[#This Row],[Account Code]],tblCOA[Code],tblCOA[FS Line],"")</f>
        <v>Cash and cash equivalents</v>
      </c>
      <c r="L96" s="121">
        <f>IF(OR(tblGJ[[#This Row],[Account Code]]=1120,tblGJ[[#This Row],[Account Code]]=1130),_xlfn.MINIFS(tblBank[Value Date],tblBank[Reference],tblGJ[[#This Row],[Voucher No]],tblBank[Account Code],tblGJ[[#This Row],[Account Code]]),"")</f>
        <v>46063</v>
      </c>
      <c r="M96" s="1" t="str">
        <f>IF(tblGJ[[#This Row],[Date]]&lt;=PEnd,"Yes","No")</f>
        <v>Yes</v>
      </c>
    </row>
    <row r="97" spans="2:13" x14ac:dyDescent="0.35">
      <c r="B97" s="109">
        <v>46068</v>
      </c>
      <c r="C97" s="1" t="s">
        <v>5680</v>
      </c>
      <c r="D97" s="1">
        <v>2240</v>
      </c>
      <c r="E97" s="1" t="str">
        <f>_xlfn.XLOOKUP(tblGJ[[#This Row],[Account Code]],tblCOA[Code],tblCOA[Account Name],"⚠ Invalid account")</f>
        <v>WHT Payable - Unifikasi (Art. 23/4(2))</v>
      </c>
      <c r="F97" s="1" t="s">
        <v>5960</v>
      </c>
      <c r="G97" s="5">
        <f>IF(MONTH(tblGJ[[#This Row],[Date]])=1,_xlfn.XLOOKUP(2240,tblCOA[Code],tblCOA[Opening Balance]),SUMIFS(tblPurchases[WHT Amount],tblPurchases[Month],MONTH(tblGJ[[#This Row],[Date]])-1))</f>
        <v>914100</v>
      </c>
      <c r="H97" s="5"/>
      <c r="I97" s="1" t="s">
        <v>6528</v>
      </c>
      <c r="J97" s="1">
        <f>MONTH(tblGJ[[#This Row],[Date]])</f>
        <v>2</v>
      </c>
      <c r="K97" s="1" t="str">
        <f>_xlfn.XLOOKUP(tblGJ[[#This Row],[Account Code]],tblCOA[Code],tblCOA[FS Line],"")</f>
        <v>Taxes payable</v>
      </c>
      <c r="L97" s="121" t="str">
        <f>IF(OR(tblGJ[[#This Row],[Account Code]]=1120,tblGJ[[#This Row],[Account Code]]=1130),_xlfn.MINIFS(tblBank[Value Date],tblBank[Reference],tblGJ[[#This Row],[Voucher No]],tblBank[Account Code],tblGJ[[#This Row],[Account Code]]),"")</f>
        <v/>
      </c>
      <c r="M97" s="1" t="str">
        <f>IF(tblGJ[[#This Row],[Date]]&lt;=PEnd,"Yes","No")</f>
        <v>Yes</v>
      </c>
    </row>
    <row r="98" spans="2:13" x14ac:dyDescent="0.35">
      <c r="B98" s="109">
        <v>46068</v>
      </c>
      <c r="C98" s="1" t="s">
        <v>5680</v>
      </c>
      <c r="D98" s="1">
        <v>1120</v>
      </c>
      <c r="E98" s="1" t="str">
        <f>_xlfn.XLOOKUP(tblGJ[[#This Row],[Account Code]],tblCOA[Code],tblCOA[Account Name],"⚠ Invalid account")</f>
        <v>Bank BCA - Current Account</v>
      </c>
      <c r="F98" s="1" t="s">
        <v>5960</v>
      </c>
      <c r="G98" s="5"/>
      <c r="H98" s="5">
        <f>IF(MONTH(tblGJ[[#This Row],[Date]])=1,_xlfn.XLOOKUP(2240,tblCOA[Code],tblCOA[Opening Balance]),SUMIFS(tblPurchases[WHT Amount],tblPurchases[Month],MONTH(tblGJ[[#This Row],[Date]])-1))</f>
        <v>914100</v>
      </c>
      <c r="I98" s="1" t="s">
        <v>6528</v>
      </c>
      <c r="J98" s="1">
        <f>MONTH(tblGJ[[#This Row],[Date]])</f>
        <v>2</v>
      </c>
      <c r="K98" s="1" t="str">
        <f>_xlfn.XLOOKUP(tblGJ[[#This Row],[Account Code]],tblCOA[Code],tblCOA[FS Line],"")</f>
        <v>Cash and cash equivalents</v>
      </c>
      <c r="L98" s="121">
        <f>IF(OR(tblGJ[[#This Row],[Account Code]]=1120,tblGJ[[#This Row],[Account Code]]=1130),_xlfn.MINIFS(tblBank[Value Date],tblBank[Reference],tblGJ[[#This Row],[Voucher No]],tblBank[Account Code],tblGJ[[#This Row],[Account Code]]),"")</f>
        <v>46068</v>
      </c>
      <c r="M98" s="1" t="str">
        <f>IF(tblGJ[[#This Row],[Date]]&lt;=PEnd,"Yes","No")</f>
        <v>Yes</v>
      </c>
    </row>
    <row r="99" spans="2:13" x14ac:dyDescent="0.35">
      <c r="B99" s="109">
        <v>46068</v>
      </c>
      <c r="C99" s="1" t="s">
        <v>5681</v>
      </c>
      <c r="D99" s="1">
        <v>1520</v>
      </c>
      <c r="E99" s="1" t="str">
        <f>_xlfn.XLOOKUP(tblGJ[[#This Row],[Account Code]],tblCOA[Code],tblCOA[Account Name],"⚠ Invalid account")</f>
        <v>Prepaid Income Tax - Art. 25</v>
      </c>
      <c r="F99" s="1" t="s">
        <v>6011</v>
      </c>
      <c r="G99" s="5">
        <f>PPh25Inst</f>
        <v>20000000</v>
      </c>
      <c r="H99" s="5"/>
      <c r="I99" s="1" t="s">
        <v>6528</v>
      </c>
      <c r="J99" s="1">
        <f>MONTH(tblGJ[[#This Row],[Date]])</f>
        <v>2</v>
      </c>
      <c r="K99" s="1" t="str">
        <f>_xlfn.XLOOKUP(tblGJ[[#This Row],[Account Code]],tblCOA[Code],tblCOA[FS Line],"")</f>
        <v>Prepaid taxes</v>
      </c>
      <c r="L99" s="121" t="str">
        <f>IF(OR(tblGJ[[#This Row],[Account Code]]=1120,tblGJ[[#This Row],[Account Code]]=1130),_xlfn.MINIFS(tblBank[Value Date],tblBank[Reference],tblGJ[[#This Row],[Voucher No]],tblBank[Account Code],tblGJ[[#This Row],[Account Code]]),"")</f>
        <v/>
      </c>
      <c r="M99" s="1" t="str">
        <f>IF(tblGJ[[#This Row],[Date]]&lt;=PEnd,"Yes","No")</f>
        <v>Yes</v>
      </c>
    </row>
    <row r="100" spans="2:13" x14ac:dyDescent="0.35">
      <c r="B100" s="109">
        <v>46068</v>
      </c>
      <c r="C100" s="1" t="s">
        <v>5681</v>
      </c>
      <c r="D100" s="1">
        <v>1120</v>
      </c>
      <c r="E100" s="1" t="str">
        <f>_xlfn.XLOOKUP(tblGJ[[#This Row],[Account Code]],tblCOA[Code],tblCOA[Account Name],"⚠ Invalid account")</f>
        <v>Bank BCA - Current Account</v>
      </c>
      <c r="F100" s="1" t="s">
        <v>6011</v>
      </c>
      <c r="G100" s="5"/>
      <c r="H100" s="5">
        <f>PPh25Inst</f>
        <v>20000000</v>
      </c>
      <c r="I100" s="1" t="s">
        <v>6528</v>
      </c>
      <c r="J100" s="1">
        <f>MONTH(tblGJ[[#This Row],[Date]])</f>
        <v>2</v>
      </c>
      <c r="K100" s="1" t="str">
        <f>_xlfn.XLOOKUP(tblGJ[[#This Row],[Account Code]],tblCOA[Code],tblCOA[FS Line],"")</f>
        <v>Cash and cash equivalents</v>
      </c>
      <c r="L100" s="121">
        <f>IF(OR(tblGJ[[#This Row],[Account Code]]=1120,tblGJ[[#This Row],[Account Code]]=1130),_xlfn.MINIFS(tblBank[Value Date],tblBank[Reference],tblGJ[[#This Row],[Voucher No]],tblBank[Account Code],tblGJ[[#This Row],[Account Code]]),"")</f>
        <v>46068</v>
      </c>
      <c r="M100" s="1" t="str">
        <f>IF(tblGJ[[#This Row],[Date]]&lt;=PEnd,"Yes","No")</f>
        <v>Yes</v>
      </c>
    </row>
    <row r="101" spans="2:13" x14ac:dyDescent="0.35">
      <c r="B101" s="109">
        <v>46073</v>
      </c>
      <c r="C101" s="1" t="s">
        <v>5682</v>
      </c>
      <c r="D101" s="1">
        <v>1120</v>
      </c>
      <c r="E101" s="1" t="str">
        <f>_xlfn.XLOOKUP(tblGJ[[#This Row],[Account Code]],tblCOA[Code],tblCOA[Account Name],"⚠ Invalid account")</f>
        <v>Bank BCA - Current Account</v>
      </c>
      <c r="F101" s="1" t="s">
        <v>6012</v>
      </c>
      <c r="G101" s="5">
        <f>IF(MONTH(tblGJ[[#This Row],[Date]])=1,_xlfn.XLOOKUP(1210,tblCOA[Code],tblCOA[Opening Balance]),SUMIFS(tblSales[Total incl. VAT],tblSales[Month],MONTH(tblGJ[[#This Row],[Date]])-1,tblSales[Payment Method],Products!$O$15))</f>
        <v>882494400</v>
      </c>
      <c r="H101" s="5"/>
      <c r="I101" s="1" t="s">
        <v>6530</v>
      </c>
      <c r="J101" s="1">
        <f>MONTH(tblGJ[[#This Row],[Date]])</f>
        <v>2</v>
      </c>
      <c r="K101" s="1" t="str">
        <f>_xlfn.XLOOKUP(tblGJ[[#This Row],[Account Code]],tblCOA[Code],tblCOA[FS Line],"")</f>
        <v>Cash and cash equivalents</v>
      </c>
      <c r="L101" s="121">
        <f>IF(OR(tblGJ[[#This Row],[Account Code]]=1120,tblGJ[[#This Row],[Account Code]]=1130),_xlfn.MINIFS(tblBank[Value Date],tblBank[Reference],tblGJ[[#This Row],[Voucher No]],tblBank[Account Code],tblGJ[[#This Row],[Account Code]]),"")</f>
        <v>46073</v>
      </c>
      <c r="M101" s="1" t="str">
        <f>IF(tblGJ[[#This Row],[Date]]&lt;=PEnd,"Yes","No")</f>
        <v>Yes</v>
      </c>
    </row>
    <row r="102" spans="2:13" x14ac:dyDescent="0.35">
      <c r="B102" s="109">
        <v>46073</v>
      </c>
      <c r="C102" s="1" t="s">
        <v>5682</v>
      </c>
      <c r="D102" s="1">
        <v>1210</v>
      </c>
      <c r="E102" s="1" t="str">
        <f>_xlfn.XLOOKUP(tblGJ[[#This Row],[Account Code]],tblCOA[Code],tblCOA[Account Name],"⚠ Invalid account")</f>
        <v>Trade Receivables</v>
      </c>
      <c r="F102" s="1" t="s">
        <v>6013</v>
      </c>
      <c r="G102" s="5"/>
      <c r="H102" s="5">
        <f>IF(MONTH(tblGJ[[#This Row],[Date]])=1,_xlfn.XLOOKUP(1210,tblCOA[Code],tblCOA[Opening Balance]),SUMIFS(tblSales[Total incl. VAT],tblSales[Month],MONTH(tblGJ[[#This Row],[Date]])-1,tblSales[Payment Method],Products!$O$15))</f>
        <v>882494400</v>
      </c>
      <c r="I102" s="1" t="s">
        <v>6530</v>
      </c>
      <c r="J102" s="1">
        <f>MONTH(tblGJ[[#This Row],[Date]])</f>
        <v>2</v>
      </c>
      <c r="K102" s="1" t="str">
        <f>_xlfn.XLOOKUP(tblGJ[[#This Row],[Account Code]],tblCOA[Code],tblCOA[FS Line],"")</f>
        <v>Trade receivables - net</v>
      </c>
      <c r="L102" s="121" t="str">
        <f>IF(OR(tblGJ[[#This Row],[Account Code]]=1120,tblGJ[[#This Row],[Account Code]]=1130),_xlfn.MINIFS(tblBank[Value Date],tblBank[Reference],tblGJ[[#This Row],[Voucher No]],tblBank[Account Code],tblGJ[[#This Row],[Account Code]]),"")</f>
        <v/>
      </c>
      <c r="M102" s="1" t="str">
        <f>IF(tblGJ[[#This Row],[Date]]&lt;=PEnd,"Yes","No")</f>
        <v>Yes</v>
      </c>
    </row>
    <row r="103" spans="2:13" x14ac:dyDescent="0.35">
      <c r="B103" s="109">
        <v>46077</v>
      </c>
      <c r="C103" s="1" t="s">
        <v>5683</v>
      </c>
      <c r="D103" s="1">
        <v>1130</v>
      </c>
      <c r="E103" s="1" t="str">
        <f>_xlfn.XLOOKUP(tblGJ[[#This Row],[Account Code]],tblCOA[Code],tblCOA[Account Name],"⚠ Invalid account")</f>
        <v>Bank Mandiri - Current Account</v>
      </c>
      <c r="F103" s="1" t="s">
        <v>6014</v>
      </c>
      <c r="G103" s="5">
        <f>SUMIFS(tblPayroll[Net Pay],tblPayroll[Period],MONTH(tblGJ[[#This Row],[Date]]))</f>
        <v>161397799</v>
      </c>
      <c r="H103" s="5"/>
      <c r="I103" s="1" t="s">
        <v>6531</v>
      </c>
      <c r="J103" s="1">
        <f>MONTH(tblGJ[[#This Row],[Date]])</f>
        <v>2</v>
      </c>
      <c r="K103" s="1" t="str">
        <f>_xlfn.XLOOKUP(tblGJ[[#This Row],[Account Code]],tblCOA[Code],tblCOA[FS Line],"")</f>
        <v>Cash and cash equivalents</v>
      </c>
      <c r="L103" s="121">
        <f>IF(OR(tblGJ[[#This Row],[Account Code]]=1120,tblGJ[[#This Row],[Account Code]]=1130),_xlfn.MINIFS(tblBank[Value Date],tblBank[Reference],tblGJ[[#This Row],[Voucher No]],tblBank[Account Code],tblGJ[[#This Row],[Account Code]]),"")</f>
        <v>46077</v>
      </c>
      <c r="M103" s="1" t="str">
        <f>IF(tblGJ[[#This Row],[Date]]&lt;=PEnd,"Yes","No")</f>
        <v>Yes</v>
      </c>
    </row>
    <row r="104" spans="2:13" x14ac:dyDescent="0.35">
      <c r="B104" s="109">
        <v>46077</v>
      </c>
      <c r="C104" s="1" t="s">
        <v>5683</v>
      </c>
      <c r="D104" s="1">
        <v>1120</v>
      </c>
      <c r="E104" s="1" t="str">
        <f>_xlfn.XLOOKUP(tblGJ[[#This Row],[Account Code]],tblCOA[Code],tblCOA[Account Name],"⚠ Invalid account")</f>
        <v>Bank BCA - Current Account</v>
      </c>
      <c r="F104" s="1" t="s">
        <v>6015</v>
      </c>
      <c r="G104" s="5"/>
      <c r="H104" s="5">
        <f>SUMIFS(tblPayroll[Net Pay],tblPayroll[Period],MONTH(tblGJ[[#This Row],[Date]]))</f>
        <v>161397799</v>
      </c>
      <c r="I104" s="1" t="s">
        <v>6531</v>
      </c>
      <c r="J104" s="1">
        <f>MONTH(tblGJ[[#This Row],[Date]])</f>
        <v>2</v>
      </c>
      <c r="K104" s="1" t="str">
        <f>_xlfn.XLOOKUP(tblGJ[[#This Row],[Account Code]],tblCOA[Code],tblCOA[FS Line],"")</f>
        <v>Cash and cash equivalents</v>
      </c>
      <c r="L104" s="121">
        <f>IF(OR(tblGJ[[#This Row],[Account Code]]=1120,tblGJ[[#This Row],[Account Code]]=1130),_xlfn.MINIFS(tblBank[Value Date],tblBank[Reference],tblGJ[[#This Row],[Voucher No]],tblBank[Account Code],tblGJ[[#This Row],[Account Code]]),"")</f>
        <v>46077</v>
      </c>
      <c r="M104" s="1" t="str">
        <f>IF(tblGJ[[#This Row],[Date]]&lt;=PEnd,"Yes","No")</f>
        <v>Yes</v>
      </c>
    </row>
    <row r="105" spans="2:13" x14ac:dyDescent="0.35">
      <c r="B105" s="109">
        <v>46078</v>
      </c>
      <c r="C105" s="1" t="s">
        <v>5684</v>
      </c>
      <c r="D105" s="1">
        <v>6110</v>
      </c>
      <c r="E105" s="1" t="str">
        <f>_xlfn.XLOOKUP(tblGJ[[#This Row],[Account Code]],tblCOA[Code],tblCOA[Account Name],"⚠ Invalid account")</f>
        <v>Salaries &amp; Allowances - Selling</v>
      </c>
      <c r="F105" s="1" t="s">
        <v>6016</v>
      </c>
      <c r="G105" s="5">
        <f>SUMIFS(tblPayroll[Gross Salary],tblPayroll[Period],MONTH(tblGJ[[#This Row],[Date]]),tblPayroll[Department],"Selling")</f>
        <v>80200000</v>
      </c>
      <c r="H105" s="5"/>
      <c r="I105" s="1" t="s">
        <v>6531</v>
      </c>
      <c r="J105" s="1">
        <f>MONTH(tblGJ[[#This Row],[Date]])</f>
        <v>2</v>
      </c>
      <c r="K105" s="1" t="str">
        <f>_xlfn.XLOOKUP(tblGJ[[#This Row],[Account Code]],tblCOA[Code],tblCOA[FS Line],"")</f>
        <v>Selling expenses</v>
      </c>
      <c r="L105" s="121" t="str">
        <f>IF(OR(tblGJ[[#This Row],[Account Code]]=1120,tblGJ[[#This Row],[Account Code]]=1130),_xlfn.MINIFS(tblBank[Value Date],tblBank[Reference],tblGJ[[#This Row],[Voucher No]],tblBank[Account Code],tblGJ[[#This Row],[Account Code]]),"")</f>
        <v/>
      </c>
      <c r="M105" s="1" t="str">
        <f>IF(tblGJ[[#This Row],[Date]]&lt;=PEnd,"Yes","No")</f>
        <v>Yes</v>
      </c>
    </row>
    <row r="106" spans="2:13" x14ac:dyDescent="0.35">
      <c r="B106" s="109">
        <v>46078</v>
      </c>
      <c r="C106" s="1" t="s">
        <v>5684</v>
      </c>
      <c r="D106" s="1">
        <v>6111</v>
      </c>
      <c r="E106" s="1" t="str">
        <f>_xlfn.XLOOKUP(tblGJ[[#This Row],[Account Code]],tblCOA[Code],tblCOA[Account Name],"⚠ Invalid account")</f>
        <v>BPJS Employer Contributions - Selling</v>
      </c>
      <c r="F106" s="1" t="s">
        <v>6017</v>
      </c>
      <c r="G106" s="5">
        <f>SUMIFS(tblPayroll[Employer BPJS Total],tblPayroll[Period],MONTH(tblGJ[[#This Row],[Date]]),tblPayroll[Department],"Selling")</f>
        <v>7824376</v>
      </c>
      <c r="H106" s="5"/>
      <c r="I106" s="1" t="s">
        <v>6531</v>
      </c>
      <c r="J106" s="1">
        <f>MONTH(tblGJ[[#This Row],[Date]])</f>
        <v>2</v>
      </c>
      <c r="K106" s="1" t="str">
        <f>_xlfn.XLOOKUP(tblGJ[[#This Row],[Account Code]],tblCOA[Code],tblCOA[FS Line],"")</f>
        <v>Selling expenses</v>
      </c>
      <c r="L106" s="121" t="str">
        <f>IF(OR(tblGJ[[#This Row],[Account Code]]=1120,tblGJ[[#This Row],[Account Code]]=1130),_xlfn.MINIFS(tblBank[Value Date],tblBank[Reference],tblGJ[[#This Row],[Voucher No]],tblBank[Account Code],tblGJ[[#This Row],[Account Code]]),"")</f>
        <v/>
      </c>
      <c r="M106" s="1" t="str">
        <f>IF(tblGJ[[#This Row],[Date]]&lt;=PEnd,"Yes","No")</f>
        <v>Yes</v>
      </c>
    </row>
    <row r="107" spans="2:13" x14ac:dyDescent="0.35">
      <c r="B107" s="109">
        <v>46078</v>
      </c>
      <c r="C107" s="1" t="s">
        <v>5684</v>
      </c>
      <c r="D107" s="1">
        <v>6210</v>
      </c>
      <c r="E107" s="1" t="str">
        <f>_xlfn.XLOOKUP(tblGJ[[#This Row],[Account Code]],tblCOA[Code],tblCOA[Account Name],"⚠ Invalid account")</f>
        <v>Salaries &amp; Allowances - G&amp;A</v>
      </c>
      <c r="F107" s="1" t="s">
        <v>6018</v>
      </c>
      <c r="G107" s="5">
        <f>SUMIFS(tblPayroll[Gross Salary],tblPayroll[Period],MONTH(tblGJ[[#This Row],[Date]]),tblPayroll[Department],"G&amp;A")</f>
        <v>98000000</v>
      </c>
      <c r="H107" s="5"/>
      <c r="I107" s="1" t="s">
        <v>6531</v>
      </c>
      <c r="J107" s="1">
        <f>MONTH(tblGJ[[#This Row],[Date]])</f>
        <v>2</v>
      </c>
      <c r="K107" s="1" t="str">
        <f>_xlfn.XLOOKUP(tblGJ[[#This Row],[Account Code]],tblCOA[Code],tblCOA[FS Line],"")</f>
        <v>General &amp; administrative expenses</v>
      </c>
      <c r="L107" s="121" t="str">
        <f>IF(OR(tblGJ[[#This Row],[Account Code]]=1120,tblGJ[[#This Row],[Account Code]]=1130),_xlfn.MINIFS(tblBank[Value Date],tblBank[Reference],tblGJ[[#This Row],[Voucher No]],tblBank[Account Code],tblGJ[[#This Row],[Account Code]]),"")</f>
        <v/>
      </c>
      <c r="M107" s="1" t="str">
        <f>IF(tblGJ[[#This Row],[Date]]&lt;=PEnd,"Yes","No")</f>
        <v>Yes</v>
      </c>
    </row>
    <row r="108" spans="2:13" x14ac:dyDescent="0.35">
      <c r="B108" s="109">
        <v>46078</v>
      </c>
      <c r="C108" s="1" t="s">
        <v>5684</v>
      </c>
      <c r="D108" s="1">
        <v>6211</v>
      </c>
      <c r="E108" s="1" t="str">
        <f>_xlfn.XLOOKUP(tblGJ[[#This Row],[Account Code]],tblCOA[Code],tblCOA[Account Name],"⚠ Invalid account")</f>
        <v>BPJS Employer Contributions - G&amp;A</v>
      </c>
      <c r="F108" s="1" t="s">
        <v>6019</v>
      </c>
      <c r="G108" s="5">
        <f>SUMIFS(tblPayroll[Employer BPJS Total],tblPayroll[Period],MONTH(tblGJ[[#This Row],[Date]]),tblPayroll[Department],"G&amp;A")</f>
        <v>7968044</v>
      </c>
      <c r="H108" s="5"/>
      <c r="I108" s="1" t="s">
        <v>6531</v>
      </c>
      <c r="J108" s="1">
        <f>MONTH(tblGJ[[#This Row],[Date]])</f>
        <v>2</v>
      </c>
      <c r="K108" s="1" t="str">
        <f>_xlfn.XLOOKUP(tblGJ[[#This Row],[Account Code]],tblCOA[Code],tblCOA[FS Line],"")</f>
        <v>General &amp; administrative expenses</v>
      </c>
      <c r="L108" s="121" t="str">
        <f>IF(OR(tblGJ[[#This Row],[Account Code]]=1120,tblGJ[[#This Row],[Account Code]]=1130),_xlfn.MINIFS(tblBank[Value Date],tblBank[Reference],tblGJ[[#This Row],[Voucher No]],tblBank[Account Code],tblGJ[[#This Row],[Account Code]]),"")</f>
        <v/>
      </c>
      <c r="M108" s="1" t="str">
        <f>IF(tblGJ[[#This Row],[Date]]&lt;=PEnd,"Yes","No")</f>
        <v>Yes</v>
      </c>
    </row>
    <row r="109" spans="2:13" x14ac:dyDescent="0.35">
      <c r="B109" s="109">
        <v>46078</v>
      </c>
      <c r="C109" s="1" t="s">
        <v>5684</v>
      </c>
      <c r="D109" s="1">
        <v>2230</v>
      </c>
      <c r="E109" s="1" t="str">
        <f>_xlfn.XLOOKUP(tblGJ[[#This Row],[Account Code]],tblCOA[Code],tblCOA[Account Name],"⚠ Invalid account")</f>
        <v>WHT Payable - Art. 21</v>
      </c>
      <c r="F109" s="1" t="s">
        <v>6020</v>
      </c>
      <c r="G109" s="5"/>
      <c r="H109" s="5">
        <f>SUMIFS(tblPayroll[PPh 21],tblPayroll[Period],MONTH(tblGJ[[#This Row],[Date]]))</f>
        <v>10516831</v>
      </c>
      <c r="I109" s="1" t="s">
        <v>6531</v>
      </c>
      <c r="J109" s="1">
        <f>MONTH(tblGJ[[#This Row],[Date]])</f>
        <v>2</v>
      </c>
      <c r="K109" s="1" t="str">
        <f>_xlfn.XLOOKUP(tblGJ[[#This Row],[Account Code]],tblCOA[Code],tblCOA[FS Line],"")</f>
        <v>Taxes payable</v>
      </c>
      <c r="L109" s="121" t="str">
        <f>IF(OR(tblGJ[[#This Row],[Account Code]]=1120,tblGJ[[#This Row],[Account Code]]=1130),_xlfn.MINIFS(tblBank[Value Date],tblBank[Reference],tblGJ[[#This Row],[Voucher No]],tblBank[Account Code],tblGJ[[#This Row],[Account Code]]),"")</f>
        <v/>
      </c>
      <c r="M109" s="1" t="str">
        <f>IF(tblGJ[[#This Row],[Date]]&lt;=PEnd,"Yes","No")</f>
        <v>Yes</v>
      </c>
    </row>
    <row r="110" spans="2:13" x14ac:dyDescent="0.35">
      <c r="B110" s="109">
        <v>46078</v>
      </c>
      <c r="C110" s="1" t="s">
        <v>5684</v>
      </c>
      <c r="D110" s="1">
        <v>2150</v>
      </c>
      <c r="E110" s="1" t="str">
        <f>_xlfn.XLOOKUP(tblGJ[[#This Row],[Account Code]],tblCOA[Code],tblCOA[Account Name],"⚠ Invalid account")</f>
        <v>BPJS Payable</v>
      </c>
      <c r="F110" s="1" t="s">
        <v>6021</v>
      </c>
      <c r="G110" s="5"/>
      <c r="H110" s="5">
        <f>SUMIFS(tblPayroll[BPJS Payable],tblPayroll[Period],MONTH(tblGJ[[#This Row],[Date]]))</f>
        <v>22077790</v>
      </c>
      <c r="I110" s="1" t="s">
        <v>6531</v>
      </c>
      <c r="J110" s="1">
        <f>MONTH(tblGJ[[#This Row],[Date]])</f>
        <v>2</v>
      </c>
      <c r="K110" s="1" t="str">
        <f>_xlfn.XLOOKUP(tblGJ[[#This Row],[Account Code]],tblCOA[Code],tblCOA[FS Line],"")</f>
        <v>Accrued expenses</v>
      </c>
      <c r="L110" s="121" t="str">
        <f>IF(OR(tblGJ[[#This Row],[Account Code]]=1120,tblGJ[[#This Row],[Account Code]]=1130),_xlfn.MINIFS(tblBank[Value Date],tblBank[Reference],tblGJ[[#This Row],[Voucher No]],tblBank[Account Code],tblGJ[[#This Row],[Account Code]]),"")</f>
        <v/>
      </c>
      <c r="M110" s="1" t="str">
        <f>IF(tblGJ[[#This Row],[Date]]&lt;=PEnd,"Yes","No")</f>
        <v>Yes</v>
      </c>
    </row>
    <row r="111" spans="2:13" x14ac:dyDescent="0.35">
      <c r="B111" s="109">
        <v>46078</v>
      </c>
      <c r="C111" s="1" t="s">
        <v>5684</v>
      </c>
      <c r="D111" s="1">
        <v>1130</v>
      </c>
      <c r="E111" s="1" t="str">
        <f>_xlfn.XLOOKUP(tblGJ[[#This Row],[Account Code]],tblCOA[Code],tblCOA[Account Name],"⚠ Invalid account")</f>
        <v>Bank Mandiri - Current Account</v>
      </c>
      <c r="F111" s="1" t="s">
        <v>6022</v>
      </c>
      <c r="G111" s="5"/>
      <c r="H111" s="5">
        <f>SUMIFS(tblPayroll[Net Pay],tblPayroll[Period],MONTH(tblGJ[[#This Row],[Date]]))</f>
        <v>161397799</v>
      </c>
      <c r="I111" s="1" t="s">
        <v>6531</v>
      </c>
      <c r="J111" s="1">
        <f>MONTH(tblGJ[[#This Row],[Date]])</f>
        <v>2</v>
      </c>
      <c r="K111" s="1" t="str">
        <f>_xlfn.XLOOKUP(tblGJ[[#This Row],[Account Code]],tblCOA[Code],tblCOA[FS Line],"")</f>
        <v>Cash and cash equivalents</v>
      </c>
      <c r="L111" s="121">
        <f>IF(OR(tblGJ[[#This Row],[Account Code]]=1120,tblGJ[[#This Row],[Account Code]]=1130),_xlfn.MINIFS(tblBank[Value Date],tblBank[Reference],tblGJ[[#This Row],[Voucher No]],tblBank[Account Code],tblGJ[[#This Row],[Account Code]]),"")</f>
        <v>46078</v>
      </c>
      <c r="M111" s="1" t="str">
        <f>IF(tblGJ[[#This Row],[Date]]&lt;=PEnd,"Yes","No")</f>
        <v>Yes</v>
      </c>
    </row>
    <row r="112" spans="2:13" x14ac:dyDescent="0.35">
      <c r="B112" s="109">
        <v>46081</v>
      </c>
      <c r="C112" s="1" t="s">
        <v>5685</v>
      </c>
      <c r="D112" s="1">
        <v>1110</v>
      </c>
      <c r="E112" s="1" t="str">
        <f>_xlfn.XLOOKUP(tblGJ[[#This Row],[Account Code]],tblCOA[Code],tblCOA[Account Name],"⚠ Invalid account")</f>
        <v>Cash on Hand</v>
      </c>
      <c r="F112" s="1" t="s">
        <v>6023</v>
      </c>
      <c r="G112" s="5">
        <f>SUMIFS(tblSales[Total incl. VAT],tblSales[Month],MONTH(tblGJ[[#This Row],[Date]]),tblSales[Payment Method],Products!$O$13)</f>
        <v>133738350</v>
      </c>
      <c r="H112" s="5"/>
      <c r="I112" s="1" t="s">
        <v>6532</v>
      </c>
      <c r="J112" s="1">
        <f>MONTH(tblGJ[[#This Row],[Date]])</f>
        <v>2</v>
      </c>
      <c r="K112" s="1" t="str">
        <f>_xlfn.XLOOKUP(tblGJ[[#This Row],[Account Code]],tblCOA[Code],tblCOA[FS Line],"")</f>
        <v>Cash and cash equivalents</v>
      </c>
      <c r="L112" s="121" t="str">
        <f>IF(OR(tblGJ[[#This Row],[Account Code]]=1120,tblGJ[[#This Row],[Account Code]]=1130),_xlfn.MINIFS(tblBank[Value Date],tblBank[Reference],tblGJ[[#This Row],[Voucher No]],tblBank[Account Code],tblGJ[[#This Row],[Account Code]]),"")</f>
        <v/>
      </c>
      <c r="M112" s="1" t="str">
        <f>IF(tblGJ[[#This Row],[Date]]&lt;=PEnd,"Yes","No")</f>
        <v>Yes</v>
      </c>
    </row>
    <row r="113" spans="2:13" x14ac:dyDescent="0.35">
      <c r="B113" s="109">
        <v>46081</v>
      </c>
      <c r="C113" s="1" t="s">
        <v>5685</v>
      </c>
      <c r="D113" s="1">
        <v>1120</v>
      </c>
      <c r="E113" s="1" t="str">
        <f>_xlfn.XLOOKUP(tblGJ[[#This Row],[Account Code]],tblCOA[Code],tblCOA[Account Name],"⚠ Invalid account")</f>
        <v>Bank BCA - Current Account</v>
      </c>
      <c r="F113" s="1" t="s">
        <v>6024</v>
      </c>
      <c r="G113" s="5">
        <f>SUMIFS(tblSales[Total incl. VAT],tblSales[Month],MONTH(tblGJ[[#This Row],[Date]]),tblSales[Payment Method],Products!$O$14)</f>
        <v>177755400</v>
      </c>
      <c r="H113" s="5"/>
      <c r="I113" s="1" t="s">
        <v>6532</v>
      </c>
      <c r="J113" s="1">
        <f>MONTH(tblGJ[[#This Row],[Date]])</f>
        <v>2</v>
      </c>
      <c r="K113" s="1" t="str">
        <f>_xlfn.XLOOKUP(tblGJ[[#This Row],[Account Code]],tblCOA[Code],tblCOA[FS Line],"")</f>
        <v>Cash and cash equivalents</v>
      </c>
      <c r="L113" s="121">
        <f>IF(OR(tblGJ[[#This Row],[Account Code]]=1120,tblGJ[[#This Row],[Account Code]]=1130),_xlfn.MINIFS(tblBank[Value Date],tblBank[Reference],tblGJ[[#This Row],[Voucher No]],tblBank[Account Code],tblGJ[[#This Row],[Account Code]]),"")</f>
        <v>46081</v>
      </c>
      <c r="M113" s="1" t="str">
        <f>IF(tblGJ[[#This Row],[Date]]&lt;=PEnd,"Yes","No")</f>
        <v>Yes</v>
      </c>
    </row>
    <row r="114" spans="2:13" x14ac:dyDescent="0.35">
      <c r="B114" s="109">
        <v>46081</v>
      </c>
      <c r="C114" s="1" t="s">
        <v>5685</v>
      </c>
      <c r="D114" s="1">
        <v>1210</v>
      </c>
      <c r="E114" s="1" t="str">
        <f>_xlfn.XLOOKUP(tblGJ[[#This Row],[Account Code]],tblCOA[Code],tblCOA[Account Name],"⚠ Invalid account")</f>
        <v>Trade Receivables</v>
      </c>
      <c r="F114" s="1" t="s">
        <v>6025</v>
      </c>
      <c r="G114" s="5">
        <f>SUMIFS(tblSales[Total incl. VAT],tblSales[Month],MONTH(tblGJ[[#This Row],[Date]]),tblSales[Payment Method],Products!$O$15)</f>
        <v>759595200</v>
      </c>
      <c r="H114" s="5"/>
      <c r="I114" s="1" t="s">
        <v>6532</v>
      </c>
      <c r="J114" s="1">
        <f>MONTH(tblGJ[[#This Row],[Date]])</f>
        <v>2</v>
      </c>
      <c r="K114" s="1" t="str">
        <f>_xlfn.XLOOKUP(tblGJ[[#This Row],[Account Code]],tblCOA[Code],tblCOA[FS Line],"")</f>
        <v>Trade receivables - net</v>
      </c>
      <c r="L114" s="121" t="str">
        <f>IF(OR(tblGJ[[#This Row],[Account Code]]=1120,tblGJ[[#This Row],[Account Code]]=1130),_xlfn.MINIFS(tblBank[Value Date],tblBank[Reference],tblGJ[[#This Row],[Voucher No]],tblBank[Account Code],tblGJ[[#This Row],[Account Code]]),"")</f>
        <v/>
      </c>
      <c r="M114" s="1" t="str">
        <f>IF(tblGJ[[#This Row],[Date]]&lt;=PEnd,"Yes","No")</f>
        <v>Yes</v>
      </c>
    </row>
    <row r="115" spans="2:13" x14ac:dyDescent="0.35">
      <c r="B115" s="109">
        <v>46081</v>
      </c>
      <c r="C115" s="1" t="s">
        <v>5685</v>
      </c>
      <c r="D115" s="1">
        <v>4100</v>
      </c>
      <c r="E115" s="1" t="str">
        <f>_xlfn.XLOOKUP(tblGJ[[#This Row],[Account Code]],tblCOA[Code],tblCOA[Account Name],"⚠ Invalid account")</f>
        <v>Sales of goods</v>
      </c>
      <c r="F115" s="1" t="s">
        <v>6026</v>
      </c>
      <c r="G115" s="5"/>
      <c r="H115" s="5">
        <f>SUMIFS(tblSales[DPP (excl. VAT)],tblSales[Month],MONTH(tblGJ[[#This Row],[Date]]))</f>
        <v>964945000</v>
      </c>
      <c r="I115" s="1" t="s">
        <v>6532</v>
      </c>
      <c r="J115" s="1">
        <f>MONTH(tblGJ[[#This Row],[Date]])</f>
        <v>2</v>
      </c>
      <c r="K115" s="1" t="str">
        <f>_xlfn.XLOOKUP(tblGJ[[#This Row],[Account Code]],tblCOA[Code],tblCOA[FS Line],"")</f>
        <v>Revenue</v>
      </c>
      <c r="L115" s="121" t="str">
        <f>IF(OR(tblGJ[[#This Row],[Account Code]]=1120,tblGJ[[#This Row],[Account Code]]=1130),_xlfn.MINIFS(tblBank[Value Date],tblBank[Reference],tblGJ[[#This Row],[Voucher No]],tblBank[Account Code],tblGJ[[#This Row],[Account Code]]),"")</f>
        <v/>
      </c>
      <c r="M115" s="1" t="str">
        <f>IF(tblGJ[[#This Row],[Date]]&lt;=PEnd,"Yes","No")</f>
        <v>Yes</v>
      </c>
    </row>
    <row r="116" spans="2:13" x14ac:dyDescent="0.35">
      <c r="B116" s="109">
        <v>46081</v>
      </c>
      <c r="C116" s="1" t="s">
        <v>5685</v>
      </c>
      <c r="D116" s="1">
        <v>2210</v>
      </c>
      <c r="E116" s="1" t="str">
        <f>_xlfn.XLOOKUP(tblGJ[[#This Row],[Account Code]],tblCOA[Code],tblCOA[Account Name],"⚠ Invalid account")</f>
        <v>Output VAT (PPN Keluaran)</v>
      </c>
      <c r="F116" s="1" t="s">
        <v>6027</v>
      </c>
      <c r="G116" s="5"/>
      <c r="H116" s="5">
        <f>SUMIFS(tblSales[Output VAT],tblSales[Month],MONTH(tblGJ[[#This Row],[Date]]))</f>
        <v>106143950</v>
      </c>
      <c r="I116" s="1" t="s">
        <v>6532</v>
      </c>
      <c r="J116" s="1">
        <f>MONTH(tblGJ[[#This Row],[Date]])</f>
        <v>2</v>
      </c>
      <c r="K116" s="1" t="str">
        <f>_xlfn.XLOOKUP(tblGJ[[#This Row],[Account Code]],tblCOA[Code],tblCOA[FS Line],"")</f>
        <v>Taxes payable</v>
      </c>
      <c r="L116" s="121" t="str">
        <f>IF(OR(tblGJ[[#This Row],[Account Code]]=1120,tblGJ[[#This Row],[Account Code]]=1130),_xlfn.MINIFS(tblBank[Value Date],tblBank[Reference],tblGJ[[#This Row],[Voucher No]],tblBank[Account Code],tblGJ[[#This Row],[Account Code]]),"")</f>
        <v/>
      </c>
      <c r="M116" s="1" t="str">
        <f>IF(tblGJ[[#This Row],[Date]]&lt;=PEnd,"Yes","No")</f>
        <v>Yes</v>
      </c>
    </row>
    <row r="117" spans="2:13" x14ac:dyDescent="0.35">
      <c r="B117" s="109">
        <v>46081</v>
      </c>
      <c r="C117" s="1" t="s">
        <v>5686</v>
      </c>
      <c r="D117" s="1">
        <v>5100</v>
      </c>
      <c r="E117" s="1" t="str">
        <f>_xlfn.XLOOKUP(tblGJ[[#This Row],[Account Code]],tblCOA[Code],tblCOA[Account Name],"⚠ Invalid account")</f>
        <v>Cost of goods sold</v>
      </c>
      <c r="F117" s="1" t="s">
        <v>6028</v>
      </c>
      <c r="G117" s="5">
        <f>SUMIFS(tblSales[COGS],tblSales[Month],MONTH(tblGJ[[#This Row],[Date]]))</f>
        <v>578840000</v>
      </c>
      <c r="H117" s="5"/>
      <c r="I117" s="1" t="s">
        <v>6532</v>
      </c>
      <c r="J117" s="1">
        <f>MONTH(tblGJ[[#This Row],[Date]])</f>
        <v>2</v>
      </c>
      <c r="K117" s="1" t="str">
        <f>_xlfn.XLOOKUP(tblGJ[[#This Row],[Account Code]],tblCOA[Code],tblCOA[FS Line],"")</f>
        <v>Cost of revenue</v>
      </c>
      <c r="L117" s="121" t="str">
        <f>IF(OR(tblGJ[[#This Row],[Account Code]]=1120,tblGJ[[#This Row],[Account Code]]=1130),_xlfn.MINIFS(tblBank[Value Date],tblBank[Reference],tblGJ[[#This Row],[Voucher No]],tblBank[Account Code],tblGJ[[#This Row],[Account Code]]),"")</f>
        <v/>
      </c>
      <c r="M117" s="1" t="str">
        <f>IF(tblGJ[[#This Row],[Date]]&lt;=PEnd,"Yes","No")</f>
        <v>Yes</v>
      </c>
    </row>
    <row r="118" spans="2:13" x14ac:dyDescent="0.35">
      <c r="B118" s="109">
        <v>46081</v>
      </c>
      <c r="C118" s="1" t="s">
        <v>5686</v>
      </c>
      <c r="D118" s="1">
        <v>1310</v>
      </c>
      <c r="E118" s="1" t="str">
        <f>_xlfn.XLOOKUP(tblGJ[[#This Row],[Account Code]],tblCOA[Code],tblCOA[Account Name],"⚠ Invalid account")</f>
        <v>Merchandise inventory</v>
      </c>
      <c r="F118" s="1" t="s">
        <v>6029</v>
      </c>
      <c r="G118" s="5"/>
      <c r="H118" s="5">
        <f>SUMIFS(tblSales[COGS],tblSales[Month],MONTH(tblGJ[[#This Row],[Date]]))</f>
        <v>578840000</v>
      </c>
      <c r="I118" s="1" t="s">
        <v>6532</v>
      </c>
      <c r="J118" s="1">
        <f>MONTH(tblGJ[[#This Row],[Date]])</f>
        <v>2</v>
      </c>
      <c r="K118" s="1" t="str">
        <f>_xlfn.XLOOKUP(tblGJ[[#This Row],[Account Code]],tblCOA[Code],tblCOA[FS Line],"")</f>
        <v>Inventories</v>
      </c>
      <c r="L118" s="121" t="str">
        <f>IF(OR(tblGJ[[#This Row],[Account Code]]=1120,tblGJ[[#This Row],[Account Code]]=1130),_xlfn.MINIFS(tblBank[Value Date],tblBank[Reference],tblGJ[[#This Row],[Voucher No]],tblBank[Account Code],tblGJ[[#This Row],[Account Code]]),"")</f>
        <v/>
      </c>
      <c r="M118" s="1" t="str">
        <f>IF(tblGJ[[#This Row],[Date]]&lt;=PEnd,"Yes","No")</f>
        <v>Yes</v>
      </c>
    </row>
    <row r="119" spans="2:13" x14ac:dyDescent="0.35">
      <c r="B119" s="109">
        <v>46081</v>
      </c>
      <c r="C119" s="1" t="s">
        <v>5687</v>
      </c>
      <c r="D119" s="1">
        <v>1120</v>
      </c>
      <c r="E119" s="1" t="str">
        <f>_xlfn.XLOOKUP(tblGJ[[#This Row],[Account Code]],tblCOA[Code],tblCOA[Account Name],"⚠ Invalid account")</f>
        <v>Bank BCA - Current Account</v>
      </c>
      <c r="F119" s="1" t="s">
        <v>6030</v>
      </c>
      <c r="G119" s="5">
        <f>SUMIFS(tblSales[Total incl. VAT],tblSales[Month],MONTH(tblGJ[[#This Row],[Date]]),tblSales[Payment Method],Products!$O$13)</f>
        <v>133738350</v>
      </c>
      <c r="H119" s="5"/>
      <c r="I119" s="1" t="s">
        <v>6532</v>
      </c>
      <c r="J119" s="1">
        <f>MONTH(tblGJ[[#This Row],[Date]])</f>
        <v>2</v>
      </c>
      <c r="K119" s="1" t="str">
        <f>_xlfn.XLOOKUP(tblGJ[[#This Row],[Account Code]],tblCOA[Code],tblCOA[FS Line],"")</f>
        <v>Cash and cash equivalents</v>
      </c>
      <c r="L119" s="121">
        <f>IF(OR(tblGJ[[#This Row],[Account Code]]=1120,tblGJ[[#This Row],[Account Code]]=1130),_xlfn.MINIFS(tblBank[Value Date],tblBank[Reference],tblGJ[[#This Row],[Voucher No]],tblBank[Account Code],tblGJ[[#This Row],[Account Code]]),"")</f>
        <v>46081</v>
      </c>
      <c r="M119" s="1" t="str">
        <f>IF(tblGJ[[#This Row],[Date]]&lt;=PEnd,"Yes","No")</f>
        <v>Yes</v>
      </c>
    </row>
    <row r="120" spans="2:13" x14ac:dyDescent="0.35">
      <c r="B120" s="109">
        <v>46081</v>
      </c>
      <c r="C120" s="1" t="s">
        <v>5687</v>
      </c>
      <c r="D120" s="1">
        <v>1110</v>
      </c>
      <c r="E120" s="1" t="str">
        <f>_xlfn.XLOOKUP(tblGJ[[#This Row],[Account Code]],tblCOA[Code],tblCOA[Account Name],"⚠ Invalid account")</f>
        <v>Cash on Hand</v>
      </c>
      <c r="F120" s="1" t="s">
        <v>6030</v>
      </c>
      <c r="G120" s="5"/>
      <c r="H120" s="5">
        <f>SUMIFS(tblSales[Total incl. VAT],tblSales[Month],MONTH(tblGJ[[#This Row],[Date]]),tblSales[Payment Method],Products!$O$13)</f>
        <v>133738350</v>
      </c>
      <c r="I120" s="1" t="s">
        <v>6532</v>
      </c>
      <c r="J120" s="1">
        <f>MONTH(tblGJ[[#This Row],[Date]])</f>
        <v>2</v>
      </c>
      <c r="K120" s="1" t="str">
        <f>_xlfn.XLOOKUP(tblGJ[[#This Row],[Account Code]],tblCOA[Code],tblCOA[FS Line],"")</f>
        <v>Cash and cash equivalents</v>
      </c>
      <c r="L120" s="121" t="str">
        <f>IF(OR(tblGJ[[#This Row],[Account Code]]=1120,tblGJ[[#This Row],[Account Code]]=1130),_xlfn.MINIFS(tblBank[Value Date],tblBank[Reference],tblGJ[[#This Row],[Voucher No]],tblBank[Account Code],tblGJ[[#This Row],[Account Code]]),"")</f>
        <v/>
      </c>
      <c r="M120" s="1" t="str">
        <f>IF(tblGJ[[#This Row],[Date]]&lt;=PEnd,"Yes","No")</f>
        <v>Yes</v>
      </c>
    </row>
    <row r="121" spans="2:13" x14ac:dyDescent="0.35">
      <c r="B121" s="109">
        <v>46081</v>
      </c>
      <c r="C121" s="1" t="s">
        <v>5688</v>
      </c>
      <c r="D121" s="1">
        <v>1310</v>
      </c>
      <c r="E121" s="1" t="str">
        <f>_xlfn.XLOOKUP(tblGJ[[#This Row],[Account Code]],tblCOA[Code],tblCOA[Account Name],"⚠ Invalid account")</f>
        <v>Merchandise inventory</v>
      </c>
      <c r="F121" s="1" t="s">
        <v>6031</v>
      </c>
      <c r="G121" s="5">
        <f>SUMIFS(tblPurchases[DPP (excl. VAT)],tblPurchases[Account Code],tblGJ[[#This Row],[Account Code]],tblPurchases[Month],MONTH(tblGJ[[#This Row],[Date]]))</f>
        <v>574748000</v>
      </c>
      <c r="H121" s="5"/>
      <c r="I121" s="1" t="s">
        <v>6533</v>
      </c>
      <c r="J121" s="1">
        <f>MONTH(tblGJ[[#This Row],[Date]])</f>
        <v>2</v>
      </c>
      <c r="K121" s="1" t="str">
        <f>_xlfn.XLOOKUP(tblGJ[[#This Row],[Account Code]],tblCOA[Code],tblCOA[FS Line],"")</f>
        <v>Inventories</v>
      </c>
      <c r="L121" s="121" t="str">
        <f>IF(OR(tblGJ[[#This Row],[Account Code]]=1120,tblGJ[[#This Row],[Account Code]]=1130),_xlfn.MINIFS(tblBank[Value Date],tblBank[Reference],tblGJ[[#This Row],[Voucher No]],tblBank[Account Code],tblGJ[[#This Row],[Account Code]]),"")</f>
        <v/>
      </c>
      <c r="M121" s="1" t="str">
        <f>IF(tblGJ[[#This Row],[Date]]&lt;=PEnd,"Yes","No")</f>
        <v>Yes</v>
      </c>
    </row>
    <row r="122" spans="2:13" x14ac:dyDescent="0.35">
      <c r="B122" s="109">
        <v>46081</v>
      </c>
      <c r="C122" s="1" t="s">
        <v>5688</v>
      </c>
      <c r="D122" s="1">
        <v>1430</v>
      </c>
      <c r="E122" s="1" t="str">
        <f>_xlfn.XLOOKUP(tblGJ[[#This Row],[Account Code]],tblCOA[Code],tblCOA[Account Name],"⚠ Invalid account")</f>
        <v>Prepaid Software Subscriptions</v>
      </c>
      <c r="F122" s="1" t="s">
        <v>6031</v>
      </c>
      <c r="G122" s="5">
        <f>SUMIFS(tblPurchases[DPP (excl. VAT)],tblPurchases[Account Code],tblGJ[[#This Row],[Account Code]],tblPurchases[Month],MONTH(tblGJ[[#This Row],[Date]]))</f>
        <v>24000000</v>
      </c>
      <c r="H122" s="5"/>
      <c r="I122" s="1" t="s">
        <v>6533</v>
      </c>
      <c r="J122" s="1">
        <f>MONTH(tblGJ[[#This Row],[Date]])</f>
        <v>2</v>
      </c>
      <c r="K122" s="1" t="str">
        <f>_xlfn.XLOOKUP(tblGJ[[#This Row],[Account Code]],tblCOA[Code],tblCOA[FS Line],"")</f>
        <v>Prepaid expenses</v>
      </c>
      <c r="L122" s="121" t="str">
        <f>IF(OR(tblGJ[[#This Row],[Account Code]]=1120,tblGJ[[#This Row],[Account Code]]=1130),_xlfn.MINIFS(tblBank[Value Date],tblBank[Reference],tblGJ[[#This Row],[Voucher No]],tblBank[Account Code],tblGJ[[#This Row],[Account Code]]),"")</f>
        <v/>
      </c>
      <c r="M122" s="1" t="str">
        <f>IF(tblGJ[[#This Row],[Date]]&lt;=PEnd,"Yes","No")</f>
        <v>Yes</v>
      </c>
    </row>
    <row r="123" spans="2:13" x14ac:dyDescent="0.35">
      <c r="B123" s="109">
        <v>46081</v>
      </c>
      <c r="C123" s="1" t="s">
        <v>5688</v>
      </c>
      <c r="D123" s="1">
        <v>6120</v>
      </c>
      <c r="E123" s="1" t="str">
        <f>_xlfn.XLOOKUP(tblGJ[[#This Row],[Account Code]],tblCOA[Code],tblCOA[Account Name],"⚠ Invalid account")</f>
        <v>Advertising &amp; Promotion</v>
      </c>
      <c r="F123" s="1" t="s">
        <v>6031</v>
      </c>
      <c r="G123" s="5">
        <f>SUMIFS(tblPurchases[DPP (excl. VAT)],tblPurchases[Account Code],tblGJ[[#This Row],[Account Code]],tblPurchases[Month],MONTH(tblGJ[[#This Row],[Date]]))</f>
        <v>10614000</v>
      </c>
      <c r="H123" s="5"/>
      <c r="I123" s="1" t="s">
        <v>6533</v>
      </c>
      <c r="J123" s="1">
        <f>MONTH(tblGJ[[#This Row],[Date]])</f>
        <v>2</v>
      </c>
      <c r="K123" s="1" t="str">
        <f>_xlfn.XLOOKUP(tblGJ[[#This Row],[Account Code]],tblCOA[Code],tblCOA[FS Line],"")</f>
        <v>Selling expenses</v>
      </c>
      <c r="L123" s="121" t="str">
        <f>IF(OR(tblGJ[[#This Row],[Account Code]]=1120,tblGJ[[#This Row],[Account Code]]=1130),_xlfn.MINIFS(tblBank[Value Date],tblBank[Reference],tblGJ[[#This Row],[Voucher No]],tblBank[Account Code],tblGJ[[#This Row],[Account Code]]),"")</f>
        <v/>
      </c>
      <c r="M123" s="1" t="str">
        <f>IF(tblGJ[[#This Row],[Date]]&lt;=PEnd,"Yes","No")</f>
        <v>Yes</v>
      </c>
    </row>
    <row r="124" spans="2:13" x14ac:dyDescent="0.35">
      <c r="B124" s="109">
        <v>46081</v>
      </c>
      <c r="C124" s="1" t="s">
        <v>5688</v>
      </c>
      <c r="D124" s="1">
        <v>6130</v>
      </c>
      <c r="E124" s="1" t="str">
        <f>_xlfn.XLOOKUP(tblGJ[[#This Row],[Account Code]],tblCOA[Code],tblCOA[Account Name],"⚠ Invalid account")</f>
        <v>Marketplace &amp; Sales Commissions</v>
      </c>
      <c r="F124" s="1" t="s">
        <v>6031</v>
      </c>
      <c r="G124" s="5">
        <f>SUMIFS(tblPurchases[DPP (excl. VAT)],tblPurchases[Account Code],tblGJ[[#This Row],[Account Code]],tblPurchases[Month],MONTH(tblGJ[[#This Row],[Date]]))</f>
        <v>2319000</v>
      </c>
      <c r="H124" s="5"/>
      <c r="I124" s="1" t="s">
        <v>6533</v>
      </c>
      <c r="J124" s="1">
        <f>MONTH(tblGJ[[#This Row],[Date]])</f>
        <v>2</v>
      </c>
      <c r="K124" s="1" t="str">
        <f>_xlfn.XLOOKUP(tblGJ[[#This Row],[Account Code]],tblCOA[Code],tblCOA[FS Line],"")</f>
        <v>Selling expenses</v>
      </c>
      <c r="L124" s="121" t="str">
        <f>IF(OR(tblGJ[[#This Row],[Account Code]]=1120,tblGJ[[#This Row],[Account Code]]=1130),_xlfn.MINIFS(tblBank[Value Date],tblBank[Reference],tblGJ[[#This Row],[Voucher No]],tblBank[Account Code],tblGJ[[#This Row],[Account Code]]),"")</f>
        <v/>
      </c>
      <c r="M124" s="1" t="str">
        <f>IF(tblGJ[[#This Row],[Date]]&lt;=PEnd,"Yes","No")</f>
        <v>Yes</v>
      </c>
    </row>
    <row r="125" spans="2:13" x14ac:dyDescent="0.35">
      <c r="B125" s="109">
        <v>46081</v>
      </c>
      <c r="C125" s="1" t="s">
        <v>5688</v>
      </c>
      <c r="D125" s="1">
        <v>6140</v>
      </c>
      <c r="E125" s="1" t="str">
        <f>_xlfn.XLOOKUP(tblGJ[[#This Row],[Account Code]],tblCOA[Code],tblCOA[Account Name],"⚠ Invalid account")</f>
        <v>Shipping &amp; Delivery</v>
      </c>
      <c r="F125" s="1" t="s">
        <v>6031</v>
      </c>
      <c r="G125" s="5">
        <f>SUMIFS(tblPurchases[DPP (excl. VAT)],tblPurchases[Account Code],tblGJ[[#This Row],[Account Code]],tblPurchases[Month],MONTH(tblGJ[[#This Row],[Date]]))</f>
        <v>8685000</v>
      </c>
      <c r="H125" s="5"/>
      <c r="I125" s="1" t="s">
        <v>6533</v>
      </c>
      <c r="J125" s="1">
        <f>MONTH(tblGJ[[#This Row],[Date]])</f>
        <v>2</v>
      </c>
      <c r="K125" s="1" t="str">
        <f>_xlfn.XLOOKUP(tblGJ[[#This Row],[Account Code]],tblCOA[Code],tblCOA[FS Line],"")</f>
        <v>Selling expenses</v>
      </c>
      <c r="L125" s="121" t="str">
        <f>IF(OR(tblGJ[[#This Row],[Account Code]]=1120,tblGJ[[#This Row],[Account Code]]=1130),_xlfn.MINIFS(tblBank[Value Date],tblBank[Reference],tblGJ[[#This Row],[Voucher No]],tblBank[Account Code],tblGJ[[#This Row],[Account Code]]),"")</f>
        <v/>
      </c>
      <c r="M125" s="1" t="str">
        <f>IF(tblGJ[[#This Row],[Date]]&lt;=PEnd,"Yes","No")</f>
        <v>Yes</v>
      </c>
    </row>
    <row r="126" spans="2:13" x14ac:dyDescent="0.35">
      <c r="B126" s="109">
        <v>46081</v>
      </c>
      <c r="C126" s="1" t="s">
        <v>5688</v>
      </c>
      <c r="D126" s="1">
        <v>6230</v>
      </c>
      <c r="E126" s="1" t="str">
        <f>_xlfn.XLOOKUP(tblGJ[[#This Row],[Account Code]],tblCOA[Code],tblCOA[Account Name],"⚠ Invalid account")</f>
        <v>Utilities &amp; Telecommunication</v>
      </c>
      <c r="F126" s="1" t="s">
        <v>6031</v>
      </c>
      <c r="G126" s="5">
        <f>SUMIFS(tblPurchases[DPP (excl. VAT)],tblPurchases[Account Code],tblGJ[[#This Row],[Account Code]],tblPurchases[Month],MONTH(tblGJ[[#This Row],[Date]]))</f>
        <v>11755000</v>
      </c>
      <c r="H126" s="5"/>
      <c r="I126" s="1" t="s">
        <v>6533</v>
      </c>
      <c r="J126" s="1">
        <f>MONTH(tblGJ[[#This Row],[Date]])</f>
        <v>2</v>
      </c>
      <c r="K126" s="1" t="str">
        <f>_xlfn.XLOOKUP(tblGJ[[#This Row],[Account Code]],tblCOA[Code],tblCOA[FS Line],"")</f>
        <v>General &amp; administrative expenses</v>
      </c>
      <c r="L126" s="121" t="str">
        <f>IF(OR(tblGJ[[#This Row],[Account Code]]=1120,tblGJ[[#This Row],[Account Code]]=1130),_xlfn.MINIFS(tblBank[Value Date],tblBank[Reference],tblGJ[[#This Row],[Voucher No]],tblBank[Account Code],tblGJ[[#This Row],[Account Code]]),"")</f>
        <v/>
      </c>
      <c r="M126" s="1" t="str">
        <f>IF(tblGJ[[#This Row],[Date]]&lt;=PEnd,"Yes","No")</f>
        <v>Yes</v>
      </c>
    </row>
    <row r="127" spans="2:13" x14ac:dyDescent="0.35">
      <c r="B127" s="109">
        <v>46081</v>
      </c>
      <c r="C127" s="1" t="s">
        <v>5688</v>
      </c>
      <c r="D127" s="1">
        <v>6270</v>
      </c>
      <c r="E127" s="1" t="str">
        <f>_xlfn.XLOOKUP(tblGJ[[#This Row],[Account Code]],tblCOA[Code],tblCOA[Account Name],"⚠ Invalid account")</f>
        <v>Office Supplies</v>
      </c>
      <c r="F127" s="1" t="s">
        <v>6031</v>
      </c>
      <c r="G127" s="5">
        <f>SUMIFS(tblPurchases[DPP (excl. VAT)],tblPurchases[Account Code],tblGJ[[#This Row],[Account Code]],tblPurchases[Month],MONTH(tblGJ[[#This Row],[Date]]))</f>
        <v>3243000</v>
      </c>
      <c r="H127" s="5"/>
      <c r="I127" s="1" t="s">
        <v>6533</v>
      </c>
      <c r="J127" s="1">
        <f>MONTH(tblGJ[[#This Row],[Date]])</f>
        <v>2</v>
      </c>
      <c r="K127" s="1" t="str">
        <f>_xlfn.XLOOKUP(tblGJ[[#This Row],[Account Code]],tblCOA[Code],tblCOA[FS Line],"")</f>
        <v>General &amp; administrative expenses</v>
      </c>
      <c r="L127" s="121" t="str">
        <f>IF(OR(tblGJ[[#This Row],[Account Code]]=1120,tblGJ[[#This Row],[Account Code]]=1130),_xlfn.MINIFS(tblBank[Value Date],tblBank[Reference],tblGJ[[#This Row],[Voucher No]],tblBank[Account Code],tblGJ[[#This Row],[Account Code]]),"")</f>
        <v/>
      </c>
      <c r="M127" s="1" t="str">
        <f>IF(tblGJ[[#This Row],[Date]]&lt;=PEnd,"Yes","No")</f>
        <v>Yes</v>
      </c>
    </row>
    <row r="128" spans="2:13" x14ac:dyDescent="0.35">
      <c r="B128" s="109">
        <v>46081</v>
      </c>
      <c r="C128" s="1" t="s">
        <v>5688</v>
      </c>
      <c r="D128" s="1">
        <v>6295</v>
      </c>
      <c r="E128" s="1" t="str">
        <f>_xlfn.XLOOKUP(tblGJ[[#This Row],[Account Code]],tblCOA[Code],tblCOA[Account Name],"⚠ Invalid account")</f>
        <v>Repairs &amp; Maintenance</v>
      </c>
      <c r="F128" s="1" t="s">
        <v>6031</v>
      </c>
      <c r="G128" s="5">
        <f>SUMIFS(tblPurchases[DPP (excl. VAT)],tblPurchases[Account Code],tblGJ[[#This Row],[Account Code]],tblPurchases[Month],MONTH(tblGJ[[#This Row],[Date]]))</f>
        <v>4428000</v>
      </c>
      <c r="H128" s="5"/>
      <c r="I128" s="1" t="s">
        <v>6533</v>
      </c>
      <c r="J128" s="1">
        <f>MONTH(tblGJ[[#This Row],[Date]])</f>
        <v>2</v>
      </c>
      <c r="K128" s="1" t="str">
        <f>_xlfn.XLOOKUP(tblGJ[[#This Row],[Account Code]],tblCOA[Code],tblCOA[FS Line],"")</f>
        <v>General &amp; administrative expenses</v>
      </c>
      <c r="L128" s="121" t="str">
        <f>IF(OR(tblGJ[[#This Row],[Account Code]]=1120,tblGJ[[#This Row],[Account Code]]=1130),_xlfn.MINIFS(tblBank[Value Date],tblBank[Reference],tblGJ[[#This Row],[Voucher No]],tblBank[Account Code],tblGJ[[#This Row],[Account Code]]),"")</f>
        <v/>
      </c>
      <c r="M128" s="1" t="str">
        <f>IF(tblGJ[[#This Row],[Date]]&lt;=PEnd,"Yes","No")</f>
        <v>Yes</v>
      </c>
    </row>
    <row r="129" spans="2:13" x14ac:dyDescent="0.35">
      <c r="B129" s="109">
        <v>46081</v>
      </c>
      <c r="C129" s="1" t="s">
        <v>5688</v>
      </c>
      <c r="D129" s="1">
        <v>6296</v>
      </c>
      <c r="E129" s="1" t="str">
        <f>_xlfn.XLOOKUP(tblGJ[[#This Row],[Account Code]],tblCOA[Code],tblCOA[Account Name],"⚠ Invalid account")</f>
        <v>Entertainment &amp; Donations</v>
      </c>
      <c r="F129" s="1" t="s">
        <v>6031</v>
      </c>
      <c r="G129" s="5">
        <f>SUMIFS(tblPurchases[DPP (excl. VAT)],tblPurchases[Account Code],tblGJ[[#This Row],[Account Code]],tblPurchases[Month],MONTH(tblGJ[[#This Row],[Date]]))</f>
        <v>2660000</v>
      </c>
      <c r="H129" s="5"/>
      <c r="I129" s="1" t="s">
        <v>6533</v>
      </c>
      <c r="J129" s="1">
        <f>MONTH(tblGJ[[#This Row],[Date]])</f>
        <v>2</v>
      </c>
      <c r="K129" s="1" t="str">
        <f>_xlfn.XLOOKUP(tblGJ[[#This Row],[Account Code]],tblCOA[Code],tblCOA[FS Line],"")</f>
        <v>General &amp; administrative expenses</v>
      </c>
      <c r="L129" s="121" t="str">
        <f>IF(OR(tblGJ[[#This Row],[Account Code]]=1120,tblGJ[[#This Row],[Account Code]]=1130),_xlfn.MINIFS(tblBank[Value Date],tblBank[Reference],tblGJ[[#This Row],[Voucher No]],tblBank[Account Code],tblGJ[[#This Row],[Account Code]]),"")</f>
        <v/>
      </c>
      <c r="M129" s="1" t="str">
        <f>IF(tblGJ[[#This Row],[Date]]&lt;=PEnd,"Yes","No")</f>
        <v>Yes</v>
      </c>
    </row>
    <row r="130" spans="2:13" x14ac:dyDescent="0.35">
      <c r="B130" s="109">
        <v>46081</v>
      </c>
      <c r="C130" s="1" t="s">
        <v>5688</v>
      </c>
      <c r="D130" s="1">
        <v>1510</v>
      </c>
      <c r="E130" s="1" t="str">
        <f>_xlfn.XLOOKUP(tblGJ[[#This Row],[Account Code]],tblCOA[Code],tblCOA[Account Name],"⚠ Invalid account")</f>
        <v>Input VAT (PPN Masukan)</v>
      </c>
      <c r="F130" s="1" t="s">
        <v>6032</v>
      </c>
      <c r="G130" s="5">
        <f>SUMIFS(tblPurchases[Input VAT],tblPurchases[Month],MONTH(tblGJ[[#This Row],[Date]]))</f>
        <v>60049990</v>
      </c>
      <c r="H130" s="5"/>
      <c r="I130" s="1" t="s">
        <v>6533</v>
      </c>
      <c r="J130" s="1">
        <f>MONTH(tblGJ[[#This Row],[Date]])</f>
        <v>2</v>
      </c>
      <c r="K130" s="1" t="str">
        <f>_xlfn.XLOOKUP(tblGJ[[#This Row],[Account Code]],tblCOA[Code],tblCOA[FS Line],"")</f>
        <v>Prepaid taxes</v>
      </c>
      <c r="L130" s="121" t="str">
        <f>IF(OR(tblGJ[[#This Row],[Account Code]]=1120,tblGJ[[#This Row],[Account Code]]=1130),_xlfn.MINIFS(tblBank[Value Date],tblBank[Reference],tblGJ[[#This Row],[Voucher No]],tblBank[Account Code],tblGJ[[#This Row],[Account Code]]),"")</f>
        <v/>
      </c>
      <c r="M130" s="1" t="str">
        <f>IF(tblGJ[[#This Row],[Date]]&lt;=PEnd,"Yes","No")</f>
        <v>Yes</v>
      </c>
    </row>
    <row r="131" spans="2:13" x14ac:dyDescent="0.35">
      <c r="B131" s="109">
        <v>46081</v>
      </c>
      <c r="C131" s="1" t="s">
        <v>5688</v>
      </c>
      <c r="D131" s="1">
        <v>2240</v>
      </c>
      <c r="E131" s="1" t="str">
        <f>_xlfn.XLOOKUP(tblGJ[[#This Row],[Account Code]],tblCOA[Code],tblCOA[Account Name],"⚠ Invalid account")</f>
        <v>WHT Payable - Unifikasi (Art. 23/4(2))</v>
      </c>
      <c r="F131" s="1" t="s">
        <v>6033</v>
      </c>
      <c r="G131" s="5"/>
      <c r="H131" s="5">
        <f>SUMIFS(tblPurchases[WHT Amount],tblPurchases[Month],MONTH(tblGJ[[#This Row],[Date]]))</f>
        <v>1000920</v>
      </c>
      <c r="I131" s="1" t="s">
        <v>6533</v>
      </c>
      <c r="J131" s="1">
        <f>MONTH(tblGJ[[#This Row],[Date]])</f>
        <v>2</v>
      </c>
      <c r="K131" s="1" t="str">
        <f>_xlfn.XLOOKUP(tblGJ[[#This Row],[Account Code]],tblCOA[Code],tblCOA[FS Line],"")</f>
        <v>Taxes payable</v>
      </c>
      <c r="L131" s="121" t="str">
        <f>IF(OR(tblGJ[[#This Row],[Account Code]]=1120,tblGJ[[#This Row],[Account Code]]=1130),_xlfn.MINIFS(tblBank[Value Date],tblBank[Reference],tblGJ[[#This Row],[Voucher No]],tblBank[Account Code],tblGJ[[#This Row],[Account Code]]),"")</f>
        <v/>
      </c>
      <c r="M131" s="1" t="str">
        <f>IF(tblGJ[[#This Row],[Date]]&lt;=PEnd,"Yes","No")</f>
        <v>Yes</v>
      </c>
    </row>
    <row r="132" spans="2:13" x14ac:dyDescent="0.35">
      <c r="B132" s="109">
        <v>46081</v>
      </c>
      <c r="C132" s="1" t="s">
        <v>5688</v>
      </c>
      <c r="D132" s="1">
        <v>2110</v>
      </c>
      <c r="E132" s="1" t="str">
        <f>_xlfn.XLOOKUP(tblGJ[[#This Row],[Account Code]],tblCOA[Code],tblCOA[Account Name],"⚠ Invalid account")</f>
        <v>Trade Payables</v>
      </c>
      <c r="F132" s="1" t="s">
        <v>6034</v>
      </c>
      <c r="G132" s="5"/>
      <c r="H132" s="5">
        <f>SUMIFS(tblPurchases[Total Payable],tblPurchases[Month],MONTH(tblGJ[[#This Row],[Date]]))</f>
        <v>701501070</v>
      </c>
      <c r="I132" s="1" t="s">
        <v>6533</v>
      </c>
      <c r="J132" s="1">
        <f>MONTH(tblGJ[[#This Row],[Date]])</f>
        <v>2</v>
      </c>
      <c r="K132" s="1" t="str">
        <f>_xlfn.XLOOKUP(tblGJ[[#This Row],[Account Code]],tblCOA[Code],tblCOA[FS Line],"")</f>
        <v>Trade payables</v>
      </c>
      <c r="L132" s="121" t="str">
        <f>IF(OR(tblGJ[[#This Row],[Account Code]]=1120,tblGJ[[#This Row],[Account Code]]=1130),_xlfn.MINIFS(tblBank[Value Date],tblBank[Reference],tblGJ[[#This Row],[Voucher No]],tblBank[Account Code],tblGJ[[#This Row],[Account Code]]),"")</f>
        <v/>
      </c>
      <c r="M132" s="1" t="str">
        <f>IF(tblGJ[[#This Row],[Date]]&lt;=PEnd,"Yes","No")</f>
        <v>Yes</v>
      </c>
    </row>
    <row r="133" spans="2:13" x14ac:dyDescent="0.35">
      <c r="B133" s="109">
        <v>46081</v>
      </c>
      <c r="C133" s="1" t="s">
        <v>5689</v>
      </c>
      <c r="D133" s="1">
        <v>2110</v>
      </c>
      <c r="E133" s="1" t="str">
        <f>_xlfn.XLOOKUP(tblGJ[[#This Row],[Account Code]],tblCOA[Code],tblCOA[Account Name],"⚠ Invalid account")</f>
        <v>Trade Payables</v>
      </c>
      <c r="F133" s="1" t="s">
        <v>6035</v>
      </c>
      <c r="G133" s="5">
        <f>SUMIFS(tblPurchases[Total Payable],tblPurchases[Pay Month],MONTH(tblGJ[[#This Row],[Date]]),tblPurchases[Paid From],1120)</f>
        <v>772218860</v>
      </c>
      <c r="H133" s="5"/>
      <c r="I133" s="1" t="s">
        <v>6529</v>
      </c>
      <c r="J133" s="1">
        <f>MONTH(tblGJ[[#This Row],[Date]])</f>
        <v>2</v>
      </c>
      <c r="K133" s="1" t="str">
        <f>_xlfn.XLOOKUP(tblGJ[[#This Row],[Account Code]],tblCOA[Code],tblCOA[FS Line],"")</f>
        <v>Trade payables</v>
      </c>
      <c r="L133" s="121" t="str">
        <f>IF(OR(tblGJ[[#This Row],[Account Code]]=1120,tblGJ[[#This Row],[Account Code]]=1130),_xlfn.MINIFS(tblBank[Value Date],tblBank[Reference],tblGJ[[#This Row],[Voucher No]],tblBank[Account Code],tblGJ[[#This Row],[Account Code]]),"")</f>
        <v/>
      </c>
      <c r="M133" s="1" t="str">
        <f>IF(tblGJ[[#This Row],[Date]]&lt;=PEnd,"Yes","No")</f>
        <v>Yes</v>
      </c>
    </row>
    <row r="134" spans="2:13" x14ac:dyDescent="0.35">
      <c r="B134" s="109">
        <v>46081</v>
      </c>
      <c r="C134" s="1" t="s">
        <v>5689</v>
      </c>
      <c r="D134" s="1">
        <v>1120</v>
      </c>
      <c r="E134" s="1" t="str">
        <f>_xlfn.XLOOKUP(tblGJ[[#This Row],[Account Code]],tblCOA[Code],tblCOA[Account Name],"⚠ Invalid account")</f>
        <v>Bank BCA - Current Account</v>
      </c>
      <c r="F134" s="1" t="s">
        <v>6035</v>
      </c>
      <c r="G134" s="5"/>
      <c r="H134" s="5">
        <f>SUMIFS(tblPurchases[Total Payable],tblPurchases[Pay Month],MONTH(tblGJ[[#This Row],[Date]]),tblPurchases[Paid From],1120)</f>
        <v>772218860</v>
      </c>
      <c r="I134" s="1" t="s">
        <v>6529</v>
      </c>
      <c r="J134" s="1">
        <f>MONTH(tblGJ[[#This Row],[Date]])</f>
        <v>2</v>
      </c>
      <c r="K134" s="1" t="str">
        <f>_xlfn.XLOOKUP(tblGJ[[#This Row],[Account Code]],tblCOA[Code],tblCOA[FS Line],"")</f>
        <v>Cash and cash equivalents</v>
      </c>
      <c r="L134" s="121">
        <f>IF(OR(tblGJ[[#This Row],[Account Code]]=1120,tblGJ[[#This Row],[Account Code]]=1130),_xlfn.MINIFS(tblBank[Value Date],tblBank[Reference],tblGJ[[#This Row],[Voucher No]],tblBank[Account Code],tblGJ[[#This Row],[Account Code]]),"")</f>
        <v>46081</v>
      </c>
      <c r="M134" s="1" t="str">
        <f>IF(tblGJ[[#This Row],[Date]]&lt;=PEnd,"Yes","No")</f>
        <v>Yes</v>
      </c>
    </row>
    <row r="135" spans="2:13" x14ac:dyDescent="0.35">
      <c r="B135" s="109">
        <v>46081</v>
      </c>
      <c r="C135" s="1" t="s">
        <v>5690</v>
      </c>
      <c r="D135" s="1">
        <v>2210</v>
      </c>
      <c r="E135" s="1" t="str">
        <f>_xlfn.XLOOKUP(tblGJ[[#This Row],[Account Code]],tblCOA[Code],tblCOA[Account Name],"⚠ Invalid account")</f>
        <v>Output VAT (PPN Keluaran)</v>
      </c>
      <c r="F135" s="1" t="s">
        <v>6036</v>
      </c>
      <c r="G135" s="5">
        <f>SUMIFS(tblSales[Output VAT],tblSales[Month],MONTH(tblGJ[[#This Row],[Date]]))</f>
        <v>106143950</v>
      </c>
      <c r="H135" s="5"/>
      <c r="I135" s="1" t="s">
        <v>6528</v>
      </c>
      <c r="J135" s="1">
        <f>MONTH(tblGJ[[#This Row],[Date]])</f>
        <v>2</v>
      </c>
      <c r="K135" s="1" t="str">
        <f>_xlfn.XLOOKUP(tblGJ[[#This Row],[Account Code]],tblCOA[Code],tblCOA[FS Line],"")</f>
        <v>Taxes payable</v>
      </c>
      <c r="L135" s="121" t="str">
        <f>IF(OR(tblGJ[[#This Row],[Account Code]]=1120,tblGJ[[#This Row],[Account Code]]=1130),_xlfn.MINIFS(tblBank[Value Date],tblBank[Reference],tblGJ[[#This Row],[Voucher No]],tblBank[Account Code],tblGJ[[#This Row],[Account Code]]),"")</f>
        <v/>
      </c>
      <c r="M135" s="1" t="str">
        <f>IF(tblGJ[[#This Row],[Date]]&lt;=PEnd,"Yes","No")</f>
        <v>Yes</v>
      </c>
    </row>
    <row r="136" spans="2:13" x14ac:dyDescent="0.35">
      <c r="B136" s="109">
        <v>46081</v>
      </c>
      <c r="C136" s="1" t="s">
        <v>5690</v>
      </c>
      <c r="D136" s="1">
        <v>1510</v>
      </c>
      <c r="E136" s="1" t="str">
        <f>_xlfn.XLOOKUP(tblGJ[[#This Row],[Account Code]],tblCOA[Code],tblCOA[Account Name],"⚠ Invalid account")</f>
        <v>Input VAT (PPN Masukan)</v>
      </c>
      <c r="F136" s="1" t="s">
        <v>6037</v>
      </c>
      <c r="G136" s="5"/>
      <c r="H136" s="5">
        <f>SUMIFS(tblPurchases[Input VAT],tblPurchases[Month],MONTH(tblGJ[[#This Row],[Date]]))</f>
        <v>60049990</v>
      </c>
      <c r="I136" s="1" t="s">
        <v>6528</v>
      </c>
      <c r="J136" s="1">
        <f>MONTH(tblGJ[[#This Row],[Date]])</f>
        <v>2</v>
      </c>
      <c r="K136" s="1" t="str">
        <f>_xlfn.XLOOKUP(tblGJ[[#This Row],[Account Code]],tblCOA[Code],tblCOA[FS Line],"")</f>
        <v>Prepaid taxes</v>
      </c>
      <c r="L136" s="121" t="str">
        <f>IF(OR(tblGJ[[#This Row],[Account Code]]=1120,tblGJ[[#This Row],[Account Code]]=1130),_xlfn.MINIFS(tblBank[Value Date],tblBank[Reference],tblGJ[[#This Row],[Voucher No]],tblBank[Account Code],tblGJ[[#This Row],[Account Code]]),"")</f>
        <v/>
      </c>
      <c r="M136" s="1" t="str">
        <f>IF(tblGJ[[#This Row],[Date]]&lt;=PEnd,"Yes","No")</f>
        <v>Yes</v>
      </c>
    </row>
    <row r="137" spans="2:13" x14ac:dyDescent="0.35">
      <c r="B137" s="109">
        <v>46081</v>
      </c>
      <c r="C137" s="1" t="s">
        <v>5690</v>
      </c>
      <c r="D137" s="1">
        <v>2220</v>
      </c>
      <c r="E137" s="1" t="str">
        <f>_xlfn.XLOOKUP(tblGJ[[#This Row],[Account Code]],tblCOA[Code],tblCOA[Account Name],"⚠ Invalid account")</f>
        <v>VAT Payable - Net</v>
      </c>
      <c r="F137" s="1" t="s">
        <v>6038</v>
      </c>
      <c r="G137" s="5"/>
      <c r="H137" s="5">
        <f>SUMIFS(tblSales[Output VAT],tblSales[Month],MONTH(tblGJ[[#This Row],[Date]]))-SUMIFS(tblPurchases[Input VAT],tblPurchases[Month],MONTH(tblGJ[[#This Row],[Date]]))</f>
        <v>46093960</v>
      </c>
      <c r="I137" s="1" t="s">
        <v>6528</v>
      </c>
      <c r="J137" s="1">
        <f>MONTH(tblGJ[[#This Row],[Date]])</f>
        <v>2</v>
      </c>
      <c r="K137" s="1" t="str">
        <f>_xlfn.XLOOKUP(tblGJ[[#This Row],[Account Code]],tblCOA[Code],tblCOA[FS Line],"")</f>
        <v>Taxes payable</v>
      </c>
      <c r="L137" s="121" t="str">
        <f>IF(OR(tblGJ[[#This Row],[Account Code]]=1120,tblGJ[[#This Row],[Account Code]]=1130),_xlfn.MINIFS(tblBank[Value Date],tblBank[Reference],tblGJ[[#This Row],[Voucher No]],tblBank[Account Code],tblGJ[[#This Row],[Account Code]]),"")</f>
        <v/>
      </c>
      <c r="M137" s="1" t="str">
        <f>IF(tblGJ[[#This Row],[Date]]&lt;=PEnd,"Yes","No")</f>
        <v>Yes</v>
      </c>
    </row>
    <row r="138" spans="2:13" x14ac:dyDescent="0.35">
      <c r="B138" s="109">
        <v>46081</v>
      </c>
      <c r="C138" s="1" t="s">
        <v>5691</v>
      </c>
      <c r="D138" s="1">
        <v>2220</v>
      </c>
      <c r="E138" s="1" t="str">
        <f>_xlfn.XLOOKUP(tblGJ[[#This Row],[Account Code]],tblCOA[Code],tblCOA[Account Name],"⚠ Invalid account")</f>
        <v>VAT Payable - Net</v>
      </c>
      <c r="F138" s="1" t="s">
        <v>5974</v>
      </c>
      <c r="G138" s="5">
        <f>IF(MONTH(tblGJ[[#This Row],[Date]])=1,_xlfn.XLOOKUP(2220,tblCOA[Code],tblCOA[Opening Balance]),SUMIFS(tblSales[Output VAT],tblSales[Month],MONTH(tblGJ[[#This Row],[Date]])-1)-SUMIFS(tblPurchases[Input VAT],tblPurchases[Month],MONTH(tblGJ[[#This Row],[Date]])-1))</f>
        <v>51698350</v>
      </c>
      <c r="H138" s="5"/>
      <c r="I138" s="1" t="s">
        <v>6528</v>
      </c>
      <c r="J138" s="1">
        <f>MONTH(tblGJ[[#This Row],[Date]])</f>
        <v>2</v>
      </c>
      <c r="K138" s="1" t="str">
        <f>_xlfn.XLOOKUP(tblGJ[[#This Row],[Account Code]],tblCOA[Code],tblCOA[FS Line],"")</f>
        <v>Taxes payable</v>
      </c>
      <c r="L138" s="121" t="str">
        <f>IF(OR(tblGJ[[#This Row],[Account Code]]=1120,tblGJ[[#This Row],[Account Code]]=1130),_xlfn.MINIFS(tblBank[Value Date],tblBank[Reference],tblGJ[[#This Row],[Voucher No]],tblBank[Account Code],tblGJ[[#This Row],[Account Code]]),"")</f>
        <v/>
      </c>
      <c r="M138" s="1" t="str">
        <f>IF(tblGJ[[#This Row],[Date]]&lt;=PEnd,"Yes","No")</f>
        <v>Yes</v>
      </c>
    </row>
    <row r="139" spans="2:13" x14ac:dyDescent="0.35">
      <c r="B139" s="109">
        <v>46081</v>
      </c>
      <c r="C139" s="1" t="s">
        <v>5691</v>
      </c>
      <c r="D139" s="1">
        <v>1120</v>
      </c>
      <c r="E139" s="1" t="str">
        <f>_xlfn.XLOOKUP(tblGJ[[#This Row],[Account Code]],tblCOA[Code],tblCOA[Account Name],"⚠ Invalid account")</f>
        <v>Bank BCA - Current Account</v>
      </c>
      <c r="F139" s="1" t="s">
        <v>5974</v>
      </c>
      <c r="G139" s="5"/>
      <c r="H139" s="5">
        <f>IF(MONTH(tblGJ[[#This Row],[Date]])=1,_xlfn.XLOOKUP(2220,tblCOA[Code],tblCOA[Opening Balance]),SUMIFS(tblSales[Output VAT],tblSales[Month],MONTH(tblGJ[[#This Row],[Date]])-1)-SUMIFS(tblPurchases[Input VAT],tblPurchases[Month],MONTH(tblGJ[[#This Row],[Date]])-1))</f>
        <v>51698350</v>
      </c>
      <c r="I139" s="1" t="s">
        <v>6528</v>
      </c>
      <c r="J139" s="1">
        <f>MONTH(tblGJ[[#This Row],[Date]])</f>
        <v>2</v>
      </c>
      <c r="K139" s="1" t="str">
        <f>_xlfn.XLOOKUP(tblGJ[[#This Row],[Account Code]],tblCOA[Code],tblCOA[FS Line],"")</f>
        <v>Cash and cash equivalents</v>
      </c>
      <c r="L139" s="121">
        <f>IF(OR(tblGJ[[#This Row],[Account Code]]=1120,tblGJ[[#This Row],[Account Code]]=1130),_xlfn.MINIFS(tblBank[Value Date],tblBank[Reference],tblGJ[[#This Row],[Voucher No]],tblBank[Account Code],tblGJ[[#This Row],[Account Code]]),"")</f>
        <v>46081</v>
      </c>
      <c r="M139" s="1" t="str">
        <f>IF(tblGJ[[#This Row],[Date]]&lt;=PEnd,"Yes","No")</f>
        <v>Yes</v>
      </c>
    </row>
    <row r="140" spans="2:13" x14ac:dyDescent="0.35">
      <c r="B140" s="109">
        <v>46081</v>
      </c>
      <c r="C140" s="1" t="s">
        <v>5692</v>
      </c>
      <c r="D140" s="1">
        <v>6240</v>
      </c>
      <c r="E140" s="1" t="str">
        <f>_xlfn.XLOOKUP(tblGJ[[#This Row],[Account Code]],tblCOA[Code],tblCOA[Account Name],"⚠ Invalid account")</f>
        <v>Depreciation Expense</v>
      </c>
      <c r="F140" s="1" t="s">
        <v>6039</v>
      </c>
      <c r="G140" s="5">
        <f>SUMIFS(INDEX(tblFA[[Jan]:[Dec]],0,MONTH(tblGJ[[#This Row],[Date]])),tblFA[Expense Account],tblGJ[[#This Row],[Account Code]])</f>
        <v>26250000</v>
      </c>
      <c r="H140" s="5"/>
      <c r="I140" s="1" t="s">
        <v>6534</v>
      </c>
      <c r="J140" s="1">
        <f>MONTH(tblGJ[[#This Row],[Date]])</f>
        <v>2</v>
      </c>
      <c r="K140" s="1" t="str">
        <f>_xlfn.XLOOKUP(tblGJ[[#This Row],[Account Code]],tblCOA[Code],tblCOA[FS Line],"")</f>
        <v>General &amp; administrative expenses</v>
      </c>
      <c r="L140" s="121" t="str">
        <f>IF(OR(tblGJ[[#This Row],[Account Code]]=1120,tblGJ[[#This Row],[Account Code]]=1130),_xlfn.MINIFS(tblBank[Value Date],tblBank[Reference],tblGJ[[#This Row],[Voucher No]],tblBank[Account Code],tblGJ[[#This Row],[Account Code]]),"")</f>
        <v/>
      </c>
      <c r="M140" s="1" t="str">
        <f>IF(tblGJ[[#This Row],[Date]]&lt;=PEnd,"Yes","No")</f>
        <v>Yes</v>
      </c>
    </row>
    <row r="141" spans="2:13" x14ac:dyDescent="0.35">
      <c r="B141" s="109">
        <v>46081</v>
      </c>
      <c r="C141" s="1" t="s">
        <v>5692</v>
      </c>
      <c r="D141" s="1">
        <v>6250</v>
      </c>
      <c r="E141" s="1" t="str">
        <f>_xlfn.XLOOKUP(tblGJ[[#This Row],[Account Code]],tblCOA[Code],tblCOA[Account Name],"⚠ Invalid account")</f>
        <v>Amortization Expense - Software</v>
      </c>
      <c r="F141" s="1" t="s">
        <v>6040</v>
      </c>
      <c r="G141" s="5">
        <f>SUMIFS(INDEX(tblFA[[Jan]:[Dec]],0,MONTH(tblGJ[[#This Row],[Date]])),tblFA[Expense Account],tblGJ[[#This Row],[Account Code]])</f>
        <v>3750000</v>
      </c>
      <c r="H141" s="5"/>
      <c r="I141" s="1" t="s">
        <v>6534</v>
      </c>
      <c r="J141" s="1">
        <f>MONTH(tblGJ[[#This Row],[Date]])</f>
        <v>2</v>
      </c>
      <c r="K141" s="1" t="str">
        <f>_xlfn.XLOOKUP(tblGJ[[#This Row],[Account Code]],tblCOA[Code],tblCOA[FS Line],"")</f>
        <v>General &amp; administrative expenses</v>
      </c>
      <c r="L141" s="121" t="str">
        <f>IF(OR(tblGJ[[#This Row],[Account Code]]=1120,tblGJ[[#This Row],[Account Code]]=1130),_xlfn.MINIFS(tblBank[Value Date],tblBank[Reference],tblGJ[[#This Row],[Voucher No]],tblBank[Account Code],tblGJ[[#This Row],[Account Code]]),"")</f>
        <v/>
      </c>
      <c r="M141" s="1" t="str">
        <f>IF(tblGJ[[#This Row],[Date]]&lt;=PEnd,"Yes","No")</f>
        <v>Yes</v>
      </c>
    </row>
    <row r="142" spans="2:13" x14ac:dyDescent="0.35">
      <c r="B142" s="109">
        <v>46081</v>
      </c>
      <c r="C142" s="1" t="s">
        <v>5692</v>
      </c>
      <c r="D142" s="1">
        <v>1691</v>
      </c>
      <c r="E142" s="1" t="str">
        <f>_xlfn.XLOOKUP(tblGJ[[#This Row],[Account Code]],tblCOA[Code],tblCOA[Account Name],"⚠ Invalid account")</f>
        <v>Acc. Depreciation - Buildings</v>
      </c>
      <c r="F142" s="1" t="s">
        <v>6041</v>
      </c>
      <c r="G142" s="5"/>
      <c r="H142" s="5">
        <f>SUMIFS(INDEX(tblFA[[Jan]:[Dec]],0,MONTH(tblGJ[[#This Row],[Date]])),tblFA[Acc. Dep. Account],tblGJ[[#This Row],[Account Code]])</f>
        <v>7500000</v>
      </c>
      <c r="I142" s="1" t="s">
        <v>6534</v>
      </c>
      <c r="J142" s="1">
        <f>MONTH(tblGJ[[#This Row],[Date]])</f>
        <v>2</v>
      </c>
      <c r="K142" s="1" t="str">
        <f>_xlfn.XLOOKUP(tblGJ[[#This Row],[Account Code]],tblCOA[Code],tblCOA[FS Line],"")</f>
        <v>Fixed assets - net</v>
      </c>
      <c r="L142" s="121" t="str">
        <f>IF(OR(tblGJ[[#This Row],[Account Code]]=1120,tblGJ[[#This Row],[Account Code]]=1130),_xlfn.MINIFS(tblBank[Value Date],tblBank[Reference],tblGJ[[#This Row],[Voucher No]],tblBank[Account Code],tblGJ[[#This Row],[Account Code]]),"")</f>
        <v/>
      </c>
      <c r="M142" s="1" t="str">
        <f>IF(tblGJ[[#This Row],[Date]]&lt;=PEnd,"Yes","No")</f>
        <v>Yes</v>
      </c>
    </row>
    <row r="143" spans="2:13" x14ac:dyDescent="0.35">
      <c r="B143" s="109">
        <v>46081</v>
      </c>
      <c r="C143" s="1" t="s">
        <v>5692</v>
      </c>
      <c r="D143" s="1">
        <v>1693</v>
      </c>
      <c r="E143" s="1" t="str">
        <f>_xlfn.XLOOKUP(tblGJ[[#This Row],[Account Code]],tblCOA[Code],tblCOA[Account Name],"⚠ Invalid account")</f>
        <v>Acc. Depreciation - Vehicles</v>
      </c>
      <c r="F143" s="1" t="s">
        <v>6041</v>
      </c>
      <c r="G143" s="5"/>
      <c r="H143" s="5">
        <f>SUMIFS(INDEX(tblFA[[Jan]:[Dec]],0,MONTH(tblGJ[[#This Row],[Date]])),tblFA[Acc. Dep. Account],tblGJ[[#This Row],[Account Code]])</f>
        <v>7291667</v>
      </c>
      <c r="I143" s="1" t="s">
        <v>6534</v>
      </c>
      <c r="J143" s="1">
        <f>MONTH(tblGJ[[#This Row],[Date]])</f>
        <v>2</v>
      </c>
      <c r="K143" s="1" t="str">
        <f>_xlfn.XLOOKUP(tblGJ[[#This Row],[Account Code]],tblCOA[Code],tblCOA[FS Line],"")</f>
        <v>Fixed assets - net</v>
      </c>
      <c r="L143" s="121" t="str">
        <f>IF(OR(tblGJ[[#This Row],[Account Code]]=1120,tblGJ[[#This Row],[Account Code]]=1130),_xlfn.MINIFS(tblBank[Value Date],tblBank[Reference],tblGJ[[#This Row],[Voucher No]],tblBank[Account Code],tblGJ[[#This Row],[Account Code]]),"")</f>
        <v/>
      </c>
      <c r="M143" s="1" t="str">
        <f>IF(tblGJ[[#This Row],[Date]]&lt;=PEnd,"Yes","No")</f>
        <v>Yes</v>
      </c>
    </row>
    <row r="144" spans="2:13" x14ac:dyDescent="0.35">
      <c r="B144" s="109">
        <v>46081</v>
      </c>
      <c r="C144" s="1" t="s">
        <v>5692</v>
      </c>
      <c r="D144" s="1">
        <v>1694</v>
      </c>
      <c r="E144" s="1" t="str">
        <f>_xlfn.XLOOKUP(tblGJ[[#This Row],[Account Code]],tblCOA[Code],tblCOA[Account Name],"⚠ Invalid account")</f>
        <v>Acc. Depreciation - Machinery &amp; Equipment</v>
      </c>
      <c r="F144" s="1" t="s">
        <v>6041</v>
      </c>
      <c r="G144" s="5"/>
      <c r="H144" s="5">
        <f>SUMIFS(INDEX(tblFA[[Jan]:[Dec]],0,MONTH(tblGJ[[#This Row],[Date]])),tblFA[Acc. Dep. Account],tblGJ[[#This Row],[Account Code]])</f>
        <v>8333333</v>
      </c>
      <c r="I144" s="1" t="s">
        <v>6534</v>
      </c>
      <c r="J144" s="1">
        <f>MONTH(tblGJ[[#This Row],[Date]])</f>
        <v>2</v>
      </c>
      <c r="K144" s="1" t="str">
        <f>_xlfn.XLOOKUP(tblGJ[[#This Row],[Account Code]],tblCOA[Code],tblCOA[FS Line],"")</f>
        <v>Fixed assets - net</v>
      </c>
      <c r="L144" s="121" t="str">
        <f>IF(OR(tblGJ[[#This Row],[Account Code]]=1120,tblGJ[[#This Row],[Account Code]]=1130),_xlfn.MINIFS(tblBank[Value Date],tblBank[Reference],tblGJ[[#This Row],[Voucher No]],tblBank[Account Code],tblGJ[[#This Row],[Account Code]]),"")</f>
        <v/>
      </c>
      <c r="M144" s="1" t="str">
        <f>IF(tblGJ[[#This Row],[Date]]&lt;=PEnd,"Yes","No")</f>
        <v>Yes</v>
      </c>
    </row>
    <row r="145" spans="2:13" x14ac:dyDescent="0.35">
      <c r="B145" s="109">
        <v>46081</v>
      </c>
      <c r="C145" s="1" t="s">
        <v>5692</v>
      </c>
      <c r="D145" s="1">
        <v>1695</v>
      </c>
      <c r="E145" s="1" t="str">
        <f>_xlfn.XLOOKUP(tblGJ[[#This Row],[Account Code]],tblCOA[Code],tblCOA[Account Name],"⚠ Invalid account")</f>
        <v>Acc. Depreciation - Office Furniture &amp; Equipment</v>
      </c>
      <c r="F145" s="1" t="s">
        <v>6041</v>
      </c>
      <c r="G145" s="5"/>
      <c r="H145" s="5">
        <f>SUMIFS(INDEX(tblFA[[Jan]:[Dec]],0,MONTH(tblGJ[[#This Row],[Date]])),tblFA[Acc. Dep. Account],tblGJ[[#This Row],[Account Code]])</f>
        <v>3125000</v>
      </c>
      <c r="I145" s="1" t="s">
        <v>6534</v>
      </c>
      <c r="J145" s="1">
        <f>MONTH(tblGJ[[#This Row],[Date]])</f>
        <v>2</v>
      </c>
      <c r="K145" s="1" t="str">
        <f>_xlfn.XLOOKUP(tblGJ[[#This Row],[Account Code]],tblCOA[Code],tblCOA[FS Line],"")</f>
        <v>Fixed assets - net</v>
      </c>
      <c r="L145" s="121" t="str">
        <f>IF(OR(tblGJ[[#This Row],[Account Code]]=1120,tblGJ[[#This Row],[Account Code]]=1130),_xlfn.MINIFS(tblBank[Value Date],tblBank[Reference],tblGJ[[#This Row],[Voucher No]],tblBank[Account Code],tblGJ[[#This Row],[Account Code]]),"")</f>
        <v/>
      </c>
      <c r="M145" s="1" t="str">
        <f>IF(tblGJ[[#This Row],[Date]]&lt;=PEnd,"Yes","No")</f>
        <v>Yes</v>
      </c>
    </row>
    <row r="146" spans="2:13" x14ac:dyDescent="0.35">
      <c r="B146" s="109">
        <v>46081</v>
      </c>
      <c r="C146" s="1" t="s">
        <v>5692</v>
      </c>
      <c r="D146" s="1">
        <v>1719</v>
      </c>
      <c r="E146" s="1" t="str">
        <f>_xlfn.XLOOKUP(tblGJ[[#This Row],[Account Code]],tblCOA[Code],tblCOA[Account Name],"⚠ Invalid account")</f>
        <v>Acc. Amortization - Software</v>
      </c>
      <c r="F146" s="1" t="s">
        <v>6041</v>
      </c>
      <c r="G146" s="5"/>
      <c r="H146" s="5">
        <f>SUMIFS(INDEX(tblFA[[Jan]:[Dec]],0,MONTH(tblGJ[[#This Row],[Date]])),tblFA[Acc. Dep. Account],tblGJ[[#This Row],[Account Code]])</f>
        <v>3750000</v>
      </c>
      <c r="I146" s="1" t="s">
        <v>6534</v>
      </c>
      <c r="J146" s="1">
        <f>MONTH(tblGJ[[#This Row],[Date]])</f>
        <v>2</v>
      </c>
      <c r="K146" s="1" t="str">
        <f>_xlfn.XLOOKUP(tblGJ[[#This Row],[Account Code]],tblCOA[Code],tblCOA[FS Line],"")</f>
        <v>Intangible assets - net</v>
      </c>
      <c r="L146" s="121" t="str">
        <f>IF(OR(tblGJ[[#This Row],[Account Code]]=1120,tblGJ[[#This Row],[Account Code]]=1130),_xlfn.MINIFS(tblBank[Value Date],tblBank[Reference],tblGJ[[#This Row],[Voucher No]],tblBank[Account Code],tblGJ[[#This Row],[Account Code]]),"")</f>
        <v/>
      </c>
      <c r="M146" s="1" t="str">
        <f>IF(tblGJ[[#This Row],[Date]]&lt;=PEnd,"Yes","No")</f>
        <v>Yes</v>
      </c>
    </row>
    <row r="147" spans="2:13" x14ac:dyDescent="0.35">
      <c r="B147" s="109">
        <v>46081</v>
      </c>
      <c r="C147" s="1" t="s">
        <v>5693</v>
      </c>
      <c r="D147" s="1">
        <v>6220</v>
      </c>
      <c r="E147" s="1" t="str">
        <f>_xlfn.XLOOKUP(tblGJ[[#This Row],[Account Code]],tblCOA[Code],tblCOA[Account Name],"⚠ Invalid account")</f>
        <v>Rent Expense</v>
      </c>
      <c r="F147" s="1" t="s">
        <v>6042</v>
      </c>
      <c r="G147" s="5">
        <f>SUMIFS(INDEX(tblPrepaid[[Jan]:[Dec]],0,MONTH(tblGJ[[#This Row],[Date]])),tblPrepaid[Expense Account],tblGJ[[#This Row],[Account Code]])</f>
        <v>11000000</v>
      </c>
      <c r="H147" s="5"/>
      <c r="I147" s="1" t="s">
        <v>6535</v>
      </c>
      <c r="J147" s="1">
        <f>MONTH(tblGJ[[#This Row],[Date]])</f>
        <v>2</v>
      </c>
      <c r="K147" s="1" t="str">
        <f>_xlfn.XLOOKUP(tblGJ[[#This Row],[Account Code]],tblCOA[Code],tblCOA[FS Line],"")</f>
        <v>General &amp; administrative expenses</v>
      </c>
      <c r="L147" s="121" t="str">
        <f>IF(OR(tblGJ[[#This Row],[Account Code]]=1120,tblGJ[[#This Row],[Account Code]]=1130),_xlfn.MINIFS(tblBank[Value Date],tblBank[Reference],tblGJ[[#This Row],[Voucher No]],tblBank[Account Code],tblGJ[[#This Row],[Account Code]]),"")</f>
        <v/>
      </c>
      <c r="M147" s="1" t="str">
        <f>IF(tblGJ[[#This Row],[Date]]&lt;=PEnd,"Yes","No")</f>
        <v>Yes</v>
      </c>
    </row>
    <row r="148" spans="2:13" x14ac:dyDescent="0.35">
      <c r="B148" s="109">
        <v>46081</v>
      </c>
      <c r="C148" s="1" t="s">
        <v>5693</v>
      </c>
      <c r="D148" s="1">
        <v>6260</v>
      </c>
      <c r="E148" s="1" t="str">
        <f>_xlfn.XLOOKUP(tblGJ[[#This Row],[Account Code]],tblCOA[Code],tblCOA[Account Name],"⚠ Invalid account")</f>
        <v>Insurance Expense</v>
      </c>
      <c r="F148" s="1" t="s">
        <v>6042</v>
      </c>
      <c r="G148" s="5">
        <f>SUMIFS(INDEX(tblPrepaid[[Jan]:[Dec]],0,MONTH(tblGJ[[#This Row],[Date]])),tblPrepaid[Expense Account],tblGJ[[#This Row],[Account Code]])</f>
        <v>2500000</v>
      </c>
      <c r="H148" s="5"/>
      <c r="I148" s="1" t="s">
        <v>6535</v>
      </c>
      <c r="J148" s="1">
        <f>MONTH(tblGJ[[#This Row],[Date]])</f>
        <v>2</v>
      </c>
      <c r="K148" s="1" t="str">
        <f>_xlfn.XLOOKUP(tblGJ[[#This Row],[Account Code]],tblCOA[Code],tblCOA[FS Line],"")</f>
        <v>General &amp; administrative expenses</v>
      </c>
      <c r="L148" s="121" t="str">
        <f>IF(OR(tblGJ[[#This Row],[Account Code]]=1120,tblGJ[[#This Row],[Account Code]]=1130),_xlfn.MINIFS(tblBank[Value Date],tblBank[Reference],tblGJ[[#This Row],[Voucher No]],tblBank[Account Code],tblGJ[[#This Row],[Account Code]]),"")</f>
        <v/>
      </c>
      <c r="M148" s="1" t="str">
        <f>IF(tblGJ[[#This Row],[Date]]&lt;=PEnd,"Yes","No")</f>
        <v>Yes</v>
      </c>
    </row>
    <row r="149" spans="2:13" x14ac:dyDescent="0.35">
      <c r="B149" s="109">
        <v>46081</v>
      </c>
      <c r="C149" s="1" t="s">
        <v>5693</v>
      </c>
      <c r="D149" s="1">
        <v>6265</v>
      </c>
      <c r="E149" s="1" t="str">
        <f>_xlfn.XLOOKUP(tblGJ[[#This Row],[Account Code]],tblCOA[Code],tblCOA[Account Name],"⚠ Invalid account")</f>
        <v>Software Subscription Expense</v>
      </c>
      <c r="F149" s="1" t="s">
        <v>6042</v>
      </c>
      <c r="G149" s="5">
        <f>SUMIFS(INDEX(tblPrepaid[[Jan]:[Dec]],0,MONTH(tblGJ[[#This Row],[Date]])),tblPrepaid[Expense Account],tblGJ[[#This Row],[Account Code]])</f>
        <v>6000000</v>
      </c>
      <c r="H149" s="5"/>
      <c r="I149" s="1" t="s">
        <v>6535</v>
      </c>
      <c r="J149" s="1">
        <f>MONTH(tblGJ[[#This Row],[Date]])</f>
        <v>2</v>
      </c>
      <c r="K149" s="1" t="str">
        <f>_xlfn.XLOOKUP(tblGJ[[#This Row],[Account Code]],tblCOA[Code],tblCOA[FS Line],"")</f>
        <v>General &amp; administrative expenses</v>
      </c>
      <c r="L149" s="121" t="str">
        <f>IF(OR(tblGJ[[#This Row],[Account Code]]=1120,tblGJ[[#This Row],[Account Code]]=1130),_xlfn.MINIFS(tblBank[Value Date],tblBank[Reference],tblGJ[[#This Row],[Voucher No]],tblBank[Account Code],tblGJ[[#This Row],[Account Code]]),"")</f>
        <v/>
      </c>
      <c r="M149" s="1" t="str">
        <f>IF(tblGJ[[#This Row],[Date]]&lt;=PEnd,"Yes","No")</f>
        <v>Yes</v>
      </c>
    </row>
    <row r="150" spans="2:13" x14ac:dyDescent="0.35">
      <c r="B150" s="109">
        <v>46081</v>
      </c>
      <c r="C150" s="1" t="s">
        <v>5693</v>
      </c>
      <c r="D150" s="1">
        <v>1410</v>
      </c>
      <c r="E150" s="1" t="str">
        <f>_xlfn.XLOOKUP(tblGJ[[#This Row],[Account Code]],tblCOA[Code],tblCOA[Account Name],"⚠ Invalid account")</f>
        <v>Prepaid Rent</v>
      </c>
      <c r="F150" s="1" t="s">
        <v>6042</v>
      </c>
      <c r="G150" s="5"/>
      <c r="H150" s="5">
        <f>SUMIFS(INDEX(tblPrepaid[[Jan]:[Dec]],0,MONTH(tblGJ[[#This Row],[Date]])),tblPrepaid[Prepaid Account],tblGJ[[#This Row],[Account Code]])</f>
        <v>11000000</v>
      </c>
      <c r="I150" s="1" t="s">
        <v>6535</v>
      </c>
      <c r="J150" s="1">
        <f>MONTH(tblGJ[[#This Row],[Date]])</f>
        <v>2</v>
      </c>
      <c r="K150" s="1" t="str">
        <f>_xlfn.XLOOKUP(tblGJ[[#This Row],[Account Code]],tblCOA[Code],tblCOA[FS Line],"")</f>
        <v>Prepaid expenses</v>
      </c>
      <c r="L150" s="121" t="str">
        <f>IF(OR(tblGJ[[#This Row],[Account Code]]=1120,tblGJ[[#This Row],[Account Code]]=1130),_xlfn.MINIFS(tblBank[Value Date],tblBank[Reference],tblGJ[[#This Row],[Voucher No]],tblBank[Account Code],tblGJ[[#This Row],[Account Code]]),"")</f>
        <v/>
      </c>
      <c r="M150" s="1" t="str">
        <f>IF(tblGJ[[#This Row],[Date]]&lt;=PEnd,"Yes","No")</f>
        <v>Yes</v>
      </c>
    </row>
    <row r="151" spans="2:13" x14ac:dyDescent="0.35">
      <c r="B151" s="109">
        <v>46081</v>
      </c>
      <c r="C151" s="1" t="s">
        <v>5693</v>
      </c>
      <c r="D151" s="1">
        <v>1420</v>
      </c>
      <c r="E151" s="1" t="str">
        <f>_xlfn.XLOOKUP(tblGJ[[#This Row],[Account Code]],tblCOA[Code],tblCOA[Account Name],"⚠ Invalid account")</f>
        <v>Prepaid Insurance</v>
      </c>
      <c r="F151" s="1" t="s">
        <v>6042</v>
      </c>
      <c r="G151" s="5"/>
      <c r="H151" s="5">
        <f>SUMIFS(INDEX(tblPrepaid[[Jan]:[Dec]],0,MONTH(tblGJ[[#This Row],[Date]])),tblPrepaid[Prepaid Account],tblGJ[[#This Row],[Account Code]])</f>
        <v>2500000</v>
      </c>
      <c r="I151" s="1" t="s">
        <v>6535</v>
      </c>
      <c r="J151" s="1">
        <f>MONTH(tblGJ[[#This Row],[Date]])</f>
        <v>2</v>
      </c>
      <c r="K151" s="1" t="str">
        <f>_xlfn.XLOOKUP(tblGJ[[#This Row],[Account Code]],tblCOA[Code],tblCOA[FS Line],"")</f>
        <v>Prepaid expenses</v>
      </c>
      <c r="L151" s="121" t="str">
        <f>IF(OR(tblGJ[[#This Row],[Account Code]]=1120,tblGJ[[#This Row],[Account Code]]=1130),_xlfn.MINIFS(tblBank[Value Date],tblBank[Reference],tblGJ[[#This Row],[Voucher No]],tblBank[Account Code],tblGJ[[#This Row],[Account Code]]),"")</f>
        <v/>
      </c>
      <c r="M151" s="1" t="str">
        <f>IF(tblGJ[[#This Row],[Date]]&lt;=PEnd,"Yes","No")</f>
        <v>Yes</v>
      </c>
    </row>
    <row r="152" spans="2:13" x14ac:dyDescent="0.35">
      <c r="B152" s="109">
        <v>46081</v>
      </c>
      <c r="C152" s="1" t="s">
        <v>5693</v>
      </c>
      <c r="D152" s="1">
        <v>1430</v>
      </c>
      <c r="E152" s="1" t="str">
        <f>_xlfn.XLOOKUP(tblGJ[[#This Row],[Account Code]],tblCOA[Code],tblCOA[Account Name],"⚠ Invalid account")</f>
        <v>Prepaid Software Subscriptions</v>
      </c>
      <c r="F152" s="1" t="s">
        <v>6042</v>
      </c>
      <c r="G152" s="5"/>
      <c r="H152" s="5">
        <f>SUMIFS(INDEX(tblPrepaid[[Jan]:[Dec]],0,MONTH(tblGJ[[#This Row],[Date]])),tblPrepaid[Prepaid Account],tblGJ[[#This Row],[Account Code]])</f>
        <v>6000000</v>
      </c>
      <c r="I152" s="1" t="s">
        <v>6535</v>
      </c>
      <c r="J152" s="1">
        <f>MONTH(tblGJ[[#This Row],[Date]])</f>
        <v>2</v>
      </c>
      <c r="K152" s="1" t="str">
        <f>_xlfn.XLOOKUP(tblGJ[[#This Row],[Account Code]],tblCOA[Code],tblCOA[FS Line],"")</f>
        <v>Prepaid expenses</v>
      </c>
      <c r="L152" s="121" t="str">
        <f>IF(OR(tblGJ[[#This Row],[Account Code]]=1120,tblGJ[[#This Row],[Account Code]]=1130),_xlfn.MINIFS(tblBank[Value Date],tblBank[Reference],tblGJ[[#This Row],[Voucher No]],tblBank[Account Code],tblGJ[[#This Row],[Account Code]]),"")</f>
        <v/>
      </c>
      <c r="M152" s="1" t="str">
        <f>IF(tblGJ[[#This Row],[Date]]&lt;=PEnd,"Yes","No")</f>
        <v>Yes</v>
      </c>
    </row>
    <row r="153" spans="2:13" x14ac:dyDescent="0.35">
      <c r="B153" s="109">
        <v>46081</v>
      </c>
      <c r="C153" s="1" t="s">
        <v>5694</v>
      </c>
      <c r="D153" s="1">
        <v>6290</v>
      </c>
      <c r="E153" s="1" t="str">
        <f>_xlfn.XLOOKUP(tblGJ[[#This Row],[Account Code]],tblCOA[Code],tblCOA[Account Name],"⚠ Invalid account")</f>
        <v>Employee Benefits Expense</v>
      </c>
      <c r="F153" s="1" t="s">
        <v>6043</v>
      </c>
      <c r="G153" s="5">
        <v>3000000</v>
      </c>
      <c r="H153" s="5"/>
      <c r="I153" s="1" t="s">
        <v>4263</v>
      </c>
      <c r="J153" s="1">
        <f>MONTH(tblGJ[[#This Row],[Date]])</f>
        <v>2</v>
      </c>
      <c r="K153" s="1" t="str">
        <f>_xlfn.XLOOKUP(tblGJ[[#This Row],[Account Code]],tblCOA[Code],tblCOA[FS Line],"")</f>
        <v>General &amp; administrative expenses</v>
      </c>
      <c r="L153" s="121" t="str">
        <f>IF(OR(tblGJ[[#This Row],[Account Code]]=1120,tblGJ[[#This Row],[Account Code]]=1130),_xlfn.MINIFS(tblBank[Value Date],tblBank[Reference],tblGJ[[#This Row],[Voucher No]],tblBank[Account Code],tblGJ[[#This Row],[Account Code]]),"")</f>
        <v/>
      </c>
      <c r="M153" s="1" t="str">
        <f>IF(tblGJ[[#This Row],[Date]]&lt;=PEnd,"Yes","No")</f>
        <v>Yes</v>
      </c>
    </row>
    <row r="154" spans="2:13" x14ac:dyDescent="0.35">
      <c r="B154" s="109">
        <v>46081</v>
      </c>
      <c r="C154" s="1" t="s">
        <v>5694</v>
      </c>
      <c r="D154" s="1">
        <v>2420</v>
      </c>
      <c r="E154" s="1" t="str">
        <f>_xlfn.XLOOKUP(tblGJ[[#This Row],[Account Code]],tblCOA[Code],tblCOA[Account Name],"⚠ Invalid account")</f>
        <v>Employee Benefits Liability</v>
      </c>
      <c r="F154" s="1" t="s">
        <v>6044</v>
      </c>
      <c r="G154" s="5"/>
      <c r="H154" s="5">
        <v>3000000</v>
      </c>
      <c r="I154" s="1" t="s">
        <v>4263</v>
      </c>
      <c r="J154" s="1">
        <f>MONTH(tblGJ[[#This Row],[Date]])</f>
        <v>2</v>
      </c>
      <c r="K154" s="1" t="str">
        <f>_xlfn.XLOOKUP(tblGJ[[#This Row],[Account Code]],tblCOA[Code],tblCOA[FS Line],"")</f>
        <v>Employee benefits liability</v>
      </c>
      <c r="L154" s="121" t="str">
        <f>IF(OR(tblGJ[[#This Row],[Account Code]]=1120,tblGJ[[#This Row],[Account Code]]=1130),_xlfn.MINIFS(tblBank[Value Date],tblBank[Reference],tblGJ[[#This Row],[Voucher No]],tblBank[Account Code],tblGJ[[#This Row],[Account Code]]),"")</f>
        <v/>
      </c>
      <c r="M154" s="1" t="str">
        <f>IF(tblGJ[[#This Row],[Date]]&lt;=PEnd,"Yes","No")</f>
        <v>Yes</v>
      </c>
    </row>
    <row r="155" spans="2:13" x14ac:dyDescent="0.35">
      <c r="B155" s="109">
        <v>46081</v>
      </c>
      <c r="C155" s="1" t="s">
        <v>5695</v>
      </c>
      <c r="D155" s="1">
        <v>1120</v>
      </c>
      <c r="E155" s="1" t="str">
        <f>_xlfn.XLOOKUP(tblGJ[[#This Row],[Account Code]],tblCOA[Code],tblCOA[Account Name],"⚠ Invalid account")</f>
        <v>Bank BCA - Current Account</v>
      </c>
      <c r="F155" s="1" t="s">
        <v>6045</v>
      </c>
      <c r="G155" s="5">
        <v>1333333</v>
      </c>
      <c r="H155" s="5"/>
      <c r="I155" s="1" t="s">
        <v>4263</v>
      </c>
      <c r="J155" s="1">
        <f>MONTH(tblGJ[[#This Row],[Date]])</f>
        <v>2</v>
      </c>
      <c r="K155" s="1" t="str">
        <f>_xlfn.XLOOKUP(tblGJ[[#This Row],[Account Code]],tblCOA[Code],tblCOA[FS Line],"")</f>
        <v>Cash and cash equivalents</v>
      </c>
      <c r="L155" s="121">
        <f>IF(OR(tblGJ[[#This Row],[Account Code]]=1120,tblGJ[[#This Row],[Account Code]]=1130),_xlfn.MINIFS(tblBank[Value Date],tblBank[Reference],tblGJ[[#This Row],[Voucher No]],tblBank[Account Code],tblGJ[[#This Row],[Account Code]]),"")</f>
        <v>46081</v>
      </c>
      <c r="M155" s="1" t="str">
        <f>IF(tblGJ[[#This Row],[Date]]&lt;=PEnd,"Yes","No")</f>
        <v>Yes</v>
      </c>
    </row>
    <row r="156" spans="2:13" x14ac:dyDescent="0.35">
      <c r="B156" s="109">
        <v>46081</v>
      </c>
      <c r="C156" s="1" t="s">
        <v>5695</v>
      </c>
      <c r="D156" s="1">
        <v>8200</v>
      </c>
      <c r="E156" s="1" t="str">
        <f>_xlfn.XLOOKUP(tblGJ[[#This Row],[Account Code]],tblCOA[Code],tblCOA[Account Name],"⚠ Invalid account")</f>
        <v>Final Income Tax Expense</v>
      </c>
      <c r="F156" s="1" t="s">
        <v>6046</v>
      </c>
      <c r="G156" s="5">
        <v>333334</v>
      </c>
      <c r="H156" s="5"/>
      <c r="I156" s="1" t="s">
        <v>4263</v>
      </c>
      <c r="J156" s="1">
        <f>MONTH(tblGJ[[#This Row],[Date]])</f>
        <v>2</v>
      </c>
      <c r="K156" s="1" t="str">
        <f>_xlfn.XLOOKUP(tblGJ[[#This Row],[Account Code]],tblCOA[Code],tblCOA[FS Line],"")</f>
        <v>Other expenses</v>
      </c>
      <c r="L156" s="121" t="str">
        <f>IF(OR(tblGJ[[#This Row],[Account Code]]=1120,tblGJ[[#This Row],[Account Code]]=1130),_xlfn.MINIFS(tblBank[Value Date],tblBank[Reference],tblGJ[[#This Row],[Voucher No]],tblBank[Account Code],tblGJ[[#This Row],[Account Code]]),"")</f>
        <v/>
      </c>
      <c r="M156" s="1" t="str">
        <f>IF(tblGJ[[#This Row],[Date]]&lt;=PEnd,"Yes","No")</f>
        <v>Yes</v>
      </c>
    </row>
    <row r="157" spans="2:13" x14ac:dyDescent="0.35">
      <c r="B157" s="109">
        <v>46081</v>
      </c>
      <c r="C157" s="1" t="s">
        <v>5695</v>
      </c>
      <c r="D157" s="1">
        <v>7110</v>
      </c>
      <c r="E157" s="1" t="str">
        <f>_xlfn.XLOOKUP(tblGJ[[#This Row],[Account Code]],tblCOA[Code],tblCOA[Account Name],"⚠ Invalid account")</f>
        <v>Interest Income - Time Deposit</v>
      </c>
      <c r="F157" s="1" t="s">
        <v>6047</v>
      </c>
      <c r="G157" s="5"/>
      <c r="H157" s="5">
        <v>1666667</v>
      </c>
      <c r="I157" s="1" t="s">
        <v>4263</v>
      </c>
      <c r="J157" s="1">
        <f>MONTH(tblGJ[[#This Row],[Date]])</f>
        <v>2</v>
      </c>
      <c r="K157" s="1" t="str">
        <f>_xlfn.XLOOKUP(tblGJ[[#This Row],[Account Code]],tblCOA[Code],tblCOA[FS Line],"")</f>
        <v>Other income</v>
      </c>
      <c r="L157" s="121" t="str">
        <f>IF(OR(tblGJ[[#This Row],[Account Code]]=1120,tblGJ[[#This Row],[Account Code]]=1130),_xlfn.MINIFS(tblBank[Value Date],tblBank[Reference],tblGJ[[#This Row],[Voucher No]],tblBank[Account Code],tblGJ[[#This Row],[Account Code]]),"")</f>
        <v/>
      </c>
      <c r="M157" s="1" t="str">
        <f>IF(tblGJ[[#This Row],[Date]]&lt;=PEnd,"Yes","No")</f>
        <v>Yes</v>
      </c>
    </row>
    <row r="158" spans="2:13" x14ac:dyDescent="0.35">
      <c r="B158" s="109">
        <v>46081</v>
      </c>
      <c r="C158" s="1" t="s">
        <v>5696</v>
      </c>
      <c r="D158" s="1">
        <v>1120</v>
      </c>
      <c r="E158" s="1" t="str">
        <f>_xlfn.XLOOKUP(tblGJ[[#This Row],[Account Code]],tblCOA[Code],tblCOA[Account Name],"⚠ Invalid account")</f>
        <v>Bank BCA - Current Account</v>
      </c>
      <c r="F158" s="1" t="s">
        <v>6048</v>
      </c>
      <c r="G158" s="5">
        <v>538310</v>
      </c>
      <c r="H158" s="5"/>
      <c r="I158" s="1" t="s">
        <v>4263</v>
      </c>
      <c r="J158" s="1">
        <f>MONTH(tblGJ[[#This Row],[Date]])</f>
        <v>2</v>
      </c>
      <c r="K158" s="1" t="str">
        <f>_xlfn.XLOOKUP(tblGJ[[#This Row],[Account Code]],tblCOA[Code],tblCOA[FS Line],"")</f>
        <v>Cash and cash equivalents</v>
      </c>
      <c r="L158" s="121">
        <f>IF(OR(tblGJ[[#This Row],[Account Code]]=1120,tblGJ[[#This Row],[Account Code]]=1130),_xlfn.MINIFS(tblBank[Value Date],tblBank[Reference],tblGJ[[#This Row],[Voucher No]],tblBank[Account Code],tblGJ[[#This Row],[Account Code]]),"")</f>
        <v>46081</v>
      </c>
      <c r="M158" s="1" t="str">
        <f>IF(tblGJ[[#This Row],[Date]]&lt;=PEnd,"Yes","No")</f>
        <v>Yes</v>
      </c>
    </row>
    <row r="159" spans="2:13" x14ac:dyDescent="0.35">
      <c r="B159" s="109">
        <v>46081</v>
      </c>
      <c r="C159" s="1" t="s">
        <v>5696</v>
      </c>
      <c r="D159" s="1">
        <v>7120</v>
      </c>
      <c r="E159" s="1" t="str">
        <f>_xlfn.XLOOKUP(tblGJ[[#This Row],[Account Code]],tblCOA[Code],tblCOA[Account Name],"⚠ Invalid account")</f>
        <v>Interest Income - Current Account</v>
      </c>
      <c r="F159" s="1" t="s">
        <v>6048</v>
      </c>
      <c r="G159" s="5"/>
      <c r="H159" s="5">
        <v>538310</v>
      </c>
      <c r="I159" s="1" t="s">
        <v>4263</v>
      </c>
      <c r="J159" s="1">
        <f>MONTH(tblGJ[[#This Row],[Date]])</f>
        <v>2</v>
      </c>
      <c r="K159" s="1" t="str">
        <f>_xlfn.XLOOKUP(tblGJ[[#This Row],[Account Code]],tblCOA[Code],tblCOA[FS Line],"")</f>
        <v>Other income</v>
      </c>
      <c r="L159" s="121" t="str">
        <f>IF(OR(tblGJ[[#This Row],[Account Code]]=1120,tblGJ[[#This Row],[Account Code]]=1130),_xlfn.MINIFS(tblBank[Value Date],tblBank[Reference],tblGJ[[#This Row],[Voucher No]],tblBank[Account Code],tblGJ[[#This Row],[Account Code]]),"")</f>
        <v/>
      </c>
      <c r="M159" s="1" t="str">
        <f>IF(tblGJ[[#This Row],[Date]]&lt;=PEnd,"Yes","No")</f>
        <v>Yes</v>
      </c>
    </row>
    <row r="160" spans="2:13" x14ac:dyDescent="0.35">
      <c r="B160" s="109">
        <v>46081</v>
      </c>
      <c r="C160" s="1" t="s">
        <v>5697</v>
      </c>
      <c r="D160" s="1">
        <v>8200</v>
      </c>
      <c r="E160" s="1" t="str">
        <f>_xlfn.XLOOKUP(tblGJ[[#This Row],[Account Code]],tblCOA[Code],tblCOA[Account Name],"⚠ Invalid account")</f>
        <v>Final Income Tax Expense</v>
      </c>
      <c r="F160" s="1" t="s">
        <v>6049</v>
      </c>
      <c r="G160" s="5">
        <v>107662</v>
      </c>
      <c r="H160" s="5"/>
      <c r="I160" s="1" t="s">
        <v>4263</v>
      </c>
      <c r="J160" s="1">
        <f>MONTH(tblGJ[[#This Row],[Date]])</f>
        <v>2</v>
      </c>
      <c r="K160" s="1" t="str">
        <f>_xlfn.XLOOKUP(tblGJ[[#This Row],[Account Code]],tblCOA[Code],tblCOA[FS Line],"")</f>
        <v>Other expenses</v>
      </c>
      <c r="L160" s="121" t="str">
        <f>IF(OR(tblGJ[[#This Row],[Account Code]]=1120,tblGJ[[#This Row],[Account Code]]=1130),_xlfn.MINIFS(tblBank[Value Date],tblBank[Reference],tblGJ[[#This Row],[Voucher No]],tblBank[Account Code],tblGJ[[#This Row],[Account Code]]),"")</f>
        <v/>
      </c>
      <c r="M160" s="1" t="str">
        <f>IF(tblGJ[[#This Row],[Date]]&lt;=PEnd,"Yes","No")</f>
        <v>Yes</v>
      </c>
    </row>
    <row r="161" spans="2:13" x14ac:dyDescent="0.35">
      <c r="B161" s="109">
        <v>46081</v>
      </c>
      <c r="C161" s="1" t="s">
        <v>5697</v>
      </c>
      <c r="D161" s="1">
        <v>1120</v>
      </c>
      <c r="E161" s="1" t="str">
        <f>_xlfn.XLOOKUP(tblGJ[[#This Row],[Account Code]],tblCOA[Code],tblCOA[Account Name],"⚠ Invalid account")</f>
        <v>Bank BCA - Current Account</v>
      </c>
      <c r="F161" s="1" t="s">
        <v>6049</v>
      </c>
      <c r="G161" s="5"/>
      <c r="H161" s="5">
        <v>107662</v>
      </c>
      <c r="I161" s="1" t="s">
        <v>4263</v>
      </c>
      <c r="J161" s="1">
        <f>MONTH(tblGJ[[#This Row],[Date]])</f>
        <v>2</v>
      </c>
      <c r="K161" s="1" t="str">
        <f>_xlfn.XLOOKUP(tblGJ[[#This Row],[Account Code]],tblCOA[Code],tblCOA[FS Line],"")</f>
        <v>Cash and cash equivalents</v>
      </c>
      <c r="L161" s="121">
        <f>IF(OR(tblGJ[[#This Row],[Account Code]]=1120,tblGJ[[#This Row],[Account Code]]=1130),_xlfn.MINIFS(tblBank[Value Date],tblBank[Reference],tblGJ[[#This Row],[Voucher No]],tblBank[Account Code],tblGJ[[#This Row],[Account Code]]),"")</f>
        <v>46081</v>
      </c>
      <c r="M161" s="1" t="str">
        <f>IF(tblGJ[[#This Row],[Date]]&lt;=PEnd,"Yes","No")</f>
        <v>Yes</v>
      </c>
    </row>
    <row r="162" spans="2:13" x14ac:dyDescent="0.35">
      <c r="B162" s="109">
        <v>46081</v>
      </c>
      <c r="C162" s="1" t="s">
        <v>5698</v>
      </c>
      <c r="D162" s="1">
        <v>7220</v>
      </c>
      <c r="E162" s="1" t="str">
        <f>_xlfn.XLOOKUP(tblGJ[[#This Row],[Account Code]],tblCOA[Code],tblCOA[Account Name],"⚠ Invalid account")</f>
        <v>Bank Charges</v>
      </c>
      <c r="F162" s="1" t="s">
        <v>6050</v>
      </c>
      <c r="G162" s="5">
        <v>150000</v>
      </c>
      <c r="H162" s="5"/>
      <c r="I162" s="1" t="s">
        <v>4263</v>
      </c>
      <c r="J162" s="1">
        <f>MONTH(tblGJ[[#This Row],[Date]])</f>
        <v>2</v>
      </c>
      <c r="K162" s="1" t="str">
        <f>_xlfn.XLOOKUP(tblGJ[[#This Row],[Account Code]],tblCOA[Code],tblCOA[FS Line],"")</f>
        <v>Other expenses</v>
      </c>
      <c r="L162" s="121" t="str">
        <f>IF(OR(tblGJ[[#This Row],[Account Code]]=1120,tblGJ[[#This Row],[Account Code]]=1130),_xlfn.MINIFS(tblBank[Value Date],tblBank[Reference],tblGJ[[#This Row],[Voucher No]],tblBank[Account Code],tblGJ[[#This Row],[Account Code]]),"")</f>
        <v/>
      </c>
      <c r="M162" s="1" t="str">
        <f>IF(tblGJ[[#This Row],[Date]]&lt;=PEnd,"Yes","No")</f>
        <v>Yes</v>
      </c>
    </row>
    <row r="163" spans="2:13" x14ac:dyDescent="0.35">
      <c r="B163" s="109">
        <v>46081</v>
      </c>
      <c r="C163" s="1" t="s">
        <v>5698</v>
      </c>
      <c r="D163" s="1">
        <v>1120</v>
      </c>
      <c r="E163" s="1" t="str">
        <f>_xlfn.XLOOKUP(tblGJ[[#This Row],[Account Code]],tblCOA[Code],tblCOA[Account Name],"⚠ Invalid account")</f>
        <v>Bank BCA - Current Account</v>
      </c>
      <c r="F163" s="1" t="s">
        <v>6050</v>
      </c>
      <c r="G163" s="5"/>
      <c r="H163" s="5">
        <v>150000</v>
      </c>
      <c r="I163" s="1" t="s">
        <v>4263</v>
      </c>
      <c r="J163" s="1">
        <f>MONTH(tblGJ[[#This Row],[Date]])</f>
        <v>2</v>
      </c>
      <c r="K163" s="1" t="str">
        <f>_xlfn.XLOOKUP(tblGJ[[#This Row],[Account Code]],tblCOA[Code],tblCOA[FS Line],"")</f>
        <v>Cash and cash equivalents</v>
      </c>
      <c r="L163" s="121">
        <f>IF(OR(tblGJ[[#This Row],[Account Code]]=1120,tblGJ[[#This Row],[Account Code]]=1130),_xlfn.MINIFS(tblBank[Value Date],tblBank[Reference],tblGJ[[#This Row],[Voucher No]],tblBank[Account Code],tblGJ[[#This Row],[Account Code]]),"")</f>
        <v>46081</v>
      </c>
      <c r="M163" s="1" t="str">
        <f>IF(tblGJ[[#This Row],[Date]]&lt;=PEnd,"Yes","No")</f>
        <v>Yes</v>
      </c>
    </row>
    <row r="164" spans="2:13" x14ac:dyDescent="0.35">
      <c r="B164" s="109">
        <v>46081</v>
      </c>
      <c r="C164" s="1" t="s">
        <v>5699</v>
      </c>
      <c r="D164" s="1">
        <v>1130</v>
      </c>
      <c r="E164" s="1" t="str">
        <f>_xlfn.XLOOKUP(tblGJ[[#This Row],[Account Code]],tblCOA[Code],tblCOA[Account Name],"⚠ Invalid account")</f>
        <v>Bank Mandiri - Current Account</v>
      </c>
      <c r="F164" s="1" t="s">
        <v>6051</v>
      </c>
      <c r="G164" s="5">
        <v>72753</v>
      </c>
      <c r="H164" s="5"/>
      <c r="I164" s="1" t="s">
        <v>4263</v>
      </c>
      <c r="J164" s="1">
        <f>MONTH(tblGJ[[#This Row],[Date]])</f>
        <v>2</v>
      </c>
      <c r="K164" s="1" t="str">
        <f>_xlfn.XLOOKUP(tblGJ[[#This Row],[Account Code]],tblCOA[Code],tblCOA[FS Line],"")</f>
        <v>Cash and cash equivalents</v>
      </c>
      <c r="L164" s="121">
        <f>IF(OR(tblGJ[[#This Row],[Account Code]]=1120,tblGJ[[#This Row],[Account Code]]=1130),_xlfn.MINIFS(tblBank[Value Date],tblBank[Reference],tblGJ[[#This Row],[Voucher No]],tblBank[Account Code],tblGJ[[#This Row],[Account Code]]),"")</f>
        <v>46081</v>
      </c>
      <c r="M164" s="1" t="str">
        <f>IF(tblGJ[[#This Row],[Date]]&lt;=PEnd,"Yes","No")</f>
        <v>Yes</v>
      </c>
    </row>
    <row r="165" spans="2:13" x14ac:dyDescent="0.35">
      <c r="B165" s="109">
        <v>46081</v>
      </c>
      <c r="C165" s="1" t="s">
        <v>5699</v>
      </c>
      <c r="D165" s="1">
        <v>7120</v>
      </c>
      <c r="E165" s="1" t="str">
        <f>_xlfn.XLOOKUP(tblGJ[[#This Row],[Account Code]],tblCOA[Code],tblCOA[Account Name],"⚠ Invalid account")</f>
        <v>Interest Income - Current Account</v>
      </c>
      <c r="F165" s="1" t="s">
        <v>6051</v>
      </c>
      <c r="G165" s="5"/>
      <c r="H165" s="5">
        <v>72753</v>
      </c>
      <c r="I165" s="1" t="s">
        <v>4263</v>
      </c>
      <c r="J165" s="1">
        <f>MONTH(tblGJ[[#This Row],[Date]])</f>
        <v>2</v>
      </c>
      <c r="K165" s="1" t="str">
        <f>_xlfn.XLOOKUP(tblGJ[[#This Row],[Account Code]],tblCOA[Code],tblCOA[FS Line],"")</f>
        <v>Other income</v>
      </c>
      <c r="L165" s="121" t="str">
        <f>IF(OR(tblGJ[[#This Row],[Account Code]]=1120,tblGJ[[#This Row],[Account Code]]=1130),_xlfn.MINIFS(tblBank[Value Date],tblBank[Reference],tblGJ[[#This Row],[Voucher No]],tblBank[Account Code],tblGJ[[#This Row],[Account Code]]),"")</f>
        <v/>
      </c>
      <c r="M165" s="1" t="str">
        <f>IF(tblGJ[[#This Row],[Date]]&lt;=PEnd,"Yes","No")</f>
        <v>Yes</v>
      </c>
    </row>
    <row r="166" spans="2:13" x14ac:dyDescent="0.35">
      <c r="B166" s="109">
        <v>46081</v>
      </c>
      <c r="C166" s="1" t="s">
        <v>5700</v>
      </c>
      <c r="D166" s="1">
        <v>8200</v>
      </c>
      <c r="E166" s="1" t="str">
        <f>_xlfn.XLOOKUP(tblGJ[[#This Row],[Account Code]],tblCOA[Code],tblCOA[Account Name],"⚠ Invalid account")</f>
        <v>Final Income Tax Expense</v>
      </c>
      <c r="F166" s="1" t="s">
        <v>6052</v>
      </c>
      <c r="G166" s="5">
        <v>14551</v>
      </c>
      <c r="H166" s="5"/>
      <c r="I166" s="1" t="s">
        <v>4263</v>
      </c>
      <c r="J166" s="1">
        <f>MONTH(tblGJ[[#This Row],[Date]])</f>
        <v>2</v>
      </c>
      <c r="K166" s="1" t="str">
        <f>_xlfn.XLOOKUP(tblGJ[[#This Row],[Account Code]],tblCOA[Code],tblCOA[FS Line],"")</f>
        <v>Other expenses</v>
      </c>
      <c r="L166" s="121" t="str">
        <f>IF(OR(tblGJ[[#This Row],[Account Code]]=1120,tblGJ[[#This Row],[Account Code]]=1130),_xlfn.MINIFS(tblBank[Value Date],tblBank[Reference],tblGJ[[#This Row],[Voucher No]],tblBank[Account Code],tblGJ[[#This Row],[Account Code]]),"")</f>
        <v/>
      </c>
      <c r="M166" s="1" t="str">
        <f>IF(tblGJ[[#This Row],[Date]]&lt;=PEnd,"Yes","No")</f>
        <v>Yes</v>
      </c>
    </row>
    <row r="167" spans="2:13" x14ac:dyDescent="0.35">
      <c r="B167" s="109">
        <v>46081</v>
      </c>
      <c r="C167" s="1" t="s">
        <v>5700</v>
      </c>
      <c r="D167" s="1">
        <v>1130</v>
      </c>
      <c r="E167" s="1" t="str">
        <f>_xlfn.XLOOKUP(tblGJ[[#This Row],[Account Code]],tblCOA[Code],tblCOA[Account Name],"⚠ Invalid account")</f>
        <v>Bank Mandiri - Current Account</v>
      </c>
      <c r="F167" s="1" t="s">
        <v>6052</v>
      </c>
      <c r="G167" s="5"/>
      <c r="H167" s="5">
        <v>14551</v>
      </c>
      <c r="I167" s="1" t="s">
        <v>4263</v>
      </c>
      <c r="J167" s="1">
        <f>MONTH(tblGJ[[#This Row],[Date]])</f>
        <v>2</v>
      </c>
      <c r="K167" s="1" t="str">
        <f>_xlfn.XLOOKUP(tblGJ[[#This Row],[Account Code]],tblCOA[Code],tblCOA[FS Line],"")</f>
        <v>Cash and cash equivalents</v>
      </c>
      <c r="L167" s="121">
        <f>IF(OR(tblGJ[[#This Row],[Account Code]]=1120,tblGJ[[#This Row],[Account Code]]=1130),_xlfn.MINIFS(tblBank[Value Date],tblBank[Reference],tblGJ[[#This Row],[Voucher No]],tblBank[Account Code],tblGJ[[#This Row],[Account Code]]),"")</f>
        <v>46081</v>
      </c>
      <c r="M167" s="1" t="str">
        <f>IF(tblGJ[[#This Row],[Date]]&lt;=PEnd,"Yes","No")</f>
        <v>Yes</v>
      </c>
    </row>
    <row r="168" spans="2:13" x14ac:dyDescent="0.35">
      <c r="B168" s="109">
        <v>46081</v>
      </c>
      <c r="C168" s="1" t="s">
        <v>5701</v>
      </c>
      <c r="D168" s="1">
        <v>7220</v>
      </c>
      <c r="E168" s="1" t="str">
        <f>_xlfn.XLOOKUP(tblGJ[[#This Row],[Account Code]],tblCOA[Code],tblCOA[Account Name],"⚠ Invalid account")</f>
        <v>Bank Charges</v>
      </c>
      <c r="F168" s="1" t="s">
        <v>6053</v>
      </c>
      <c r="G168" s="5">
        <v>118500</v>
      </c>
      <c r="H168" s="5"/>
      <c r="I168" s="1" t="s">
        <v>4263</v>
      </c>
      <c r="J168" s="1">
        <f>MONTH(tblGJ[[#This Row],[Date]])</f>
        <v>2</v>
      </c>
      <c r="K168" s="1" t="str">
        <f>_xlfn.XLOOKUP(tblGJ[[#This Row],[Account Code]],tblCOA[Code],tblCOA[FS Line],"")</f>
        <v>Other expenses</v>
      </c>
      <c r="L168" s="121" t="str">
        <f>IF(OR(tblGJ[[#This Row],[Account Code]]=1120,tblGJ[[#This Row],[Account Code]]=1130),_xlfn.MINIFS(tblBank[Value Date],tblBank[Reference],tblGJ[[#This Row],[Voucher No]],tblBank[Account Code],tblGJ[[#This Row],[Account Code]]),"")</f>
        <v/>
      </c>
      <c r="M168" s="1" t="str">
        <f>IF(tblGJ[[#This Row],[Date]]&lt;=PEnd,"Yes","No")</f>
        <v>Yes</v>
      </c>
    </row>
    <row r="169" spans="2:13" x14ac:dyDescent="0.35">
      <c r="B169" s="109">
        <v>46081</v>
      </c>
      <c r="C169" s="1" t="s">
        <v>5701</v>
      </c>
      <c r="D169" s="1">
        <v>1130</v>
      </c>
      <c r="E169" s="1" t="str">
        <f>_xlfn.XLOOKUP(tblGJ[[#This Row],[Account Code]],tblCOA[Code],tblCOA[Account Name],"⚠ Invalid account")</f>
        <v>Bank Mandiri - Current Account</v>
      </c>
      <c r="F169" s="1" t="s">
        <v>6053</v>
      </c>
      <c r="G169" s="5"/>
      <c r="H169" s="5">
        <v>118500</v>
      </c>
      <c r="I169" s="1" t="s">
        <v>4263</v>
      </c>
      <c r="J169" s="1">
        <f>MONTH(tblGJ[[#This Row],[Date]])</f>
        <v>2</v>
      </c>
      <c r="K169" s="1" t="str">
        <f>_xlfn.XLOOKUP(tblGJ[[#This Row],[Account Code]],tblCOA[Code],tblCOA[FS Line],"")</f>
        <v>Cash and cash equivalents</v>
      </c>
      <c r="L169" s="121">
        <f>IF(OR(tblGJ[[#This Row],[Account Code]]=1120,tblGJ[[#This Row],[Account Code]]=1130),_xlfn.MINIFS(tblBank[Value Date],tblBank[Reference],tblGJ[[#This Row],[Voucher No]],tblBank[Account Code],tblGJ[[#This Row],[Account Code]]),"")</f>
        <v>46081</v>
      </c>
      <c r="M169" s="1" t="str">
        <f>IF(tblGJ[[#This Row],[Date]]&lt;=PEnd,"Yes","No")</f>
        <v>Yes</v>
      </c>
    </row>
    <row r="170" spans="2:13" x14ac:dyDescent="0.35">
      <c r="B170" s="109">
        <v>46081</v>
      </c>
      <c r="C170" s="1" t="s">
        <v>5702</v>
      </c>
      <c r="D170" s="1">
        <v>2410</v>
      </c>
      <c r="E170" s="1" t="str">
        <f>_xlfn.XLOOKUP(tblGJ[[#This Row],[Account Code]],tblCOA[Code],tblCOA[Account Name],"⚠ Invalid account")</f>
        <v>Long-term Bank Loan</v>
      </c>
      <c r="F170" s="1" t="s">
        <v>6054</v>
      </c>
      <c r="G170" s="5">
        <v>25000000</v>
      </c>
      <c r="H170" s="5"/>
      <c r="I170" s="1" t="s">
        <v>4263</v>
      </c>
      <c r="J170" s="1">
        <f>MONTH(tblGJ[[#This Row],[Date]])</f>
        <v>2</v>
      </c>
      <c r="K170" s="1" t="str">
        <f>_xlfn.XLOOKUP(tblGJ[[#This Row],[Account Code]],tblCOA[Code],tblCOA[FS Line],"")</f>
        <v>Long-term bank loans</v>
      </c>
      <c r="L170" s="121" t="str">
        <f>IF(OR(tblGJ[[#This Row],[Account Code]]=1120,tblGJ[[#This Row],[Account Code]]=1130),_xlfn.MINIFS(tblBank[Value Date],tblBank[Reference],tblGJ[[#This Row],[Voucher No]],tblBank[Account Code],tblGJ[[#This Row],[Account Code]]),"")</f>
        <v/>
      </c>
      <c r="M170" s="1" t="str">
        <f>IF(tblGJ[[#This Row],[Date]]&lt;=PEnd,"Yes","No")</f>
        <v>Yes</v>
      </c>
    </row>
    <row r="171" spans="2:13" x14ac:dyDescent="0.35">
      <c r="B171" s="109">
        <v>46081</v>
      </c>
      <c r="C171" s="1" t="s">
        <v>5702</v>
      </c>
      <c r="D171" s="1">
        <v>7210</v>
      </c>
      <c r="E171" s="1" t="str">
        <f>_xlfn.XLOOKUP(tblGJ[[#This Row],[Account Code]],tblCOA[Code],tblCOA[Account Name],"⚠ Invalid account")</f>
        <v>Interest Expense - Bank Loans</v>
      </c>
      <c r="F171" s="1" t="s">
        <v>6055</v>
      </c>
      <c r="G171" s="5">
        <v>11062500</v>
      </c>
      <c r="H171" s="5"/>
      <c r="I171" s="1" t="s">
        <v>4263</v>
      </c>
      <c r="J171" s="1">
        <f>MONTH(tblGJ[[#This Row],[Date]])</f>
        <v>2</v>
      </c>
      <c r="K171" s="1" t="str">
        <f>_xlfn.XLOOKUP(tblGJ[[#This Row],[Account Code]],tblCOA[Code],tblCOA[FS Line],"")</f>
        <v>Finance costs</v>
      </c>
      <c r="L171" s="121" t="str">
        <f>IF(OR(tblGJ[[#This Row],[Account Code]]=1120,tblGJ[[#This Row],[Account Code]]=1130),_xlfn.MINIFS(tblBank[Value Date],tblBank[Reference],tblGJ[[#This Row],[Voucher No]],tblBank[Account Code],tblGJ[[#This Row],[Account Code]]),"")</f>
        <v/>
      </c>
      <c r="M171" s="1" t="str">
        <f>IF(tblGJ[[#This Row],[Date]]&lt;=PEnd,"Yes","No")</f>
        <v>Yes</v>
      </c>
    </row>
    <row r="172" spans="2:13" x14ac:dyDescent="0.35">
      <c r="B172" s="109">
        <v>46081</v>
      </c>
      <c r="C172" s="1" t="s">
        <v>5702</v>
      </c>
      <c r="D172" s="1">
        <v>1120</v>
      </c>
      <c r="E172" s="1" t="str">
        <f>_xlfn.XLOOKUP(tblGJ[[#This Row],[Account Code]],tblCOA[Code],tblCOA[Account Name],"⚠ Invalid account")</f>
        <v>Bank BCA - Current Account</v>
      </c>
      <c r="F172" s="1" t="s">
        <v>6056</v>
      </c>
      <c r="G172" s="5"/>
      <c r="H172" s="5">
        <v>36062500</v>
      </c>
      <c r="I172" s="1" t="s">
        <v>4263</v>
      </c>
      <c r="J172" s="1">
        <f>MONTH(tblGJ[[#This Row],[Date]])</f>
        <v>2</v>
      </c>
      <c r="K172" s="1" t="str">
        <f>_xlfn.XLOOKUP(tblGJ[[#This Row],[Account Code]],tblCOA[Code],tblCOA[FS Line],"")</f>
        <v>Cash and cash equivalents</v>
      </c>
      <c r="L172" s="121">
        <f>IF(OR(tblGJ[[#This Row],[Account Code]]=1120,tblGJ[[#This Row],[Account Code]]=1130),_xlfn.MINIFS(tblBank[Value Date],tblBank[Reference],tblGJ[[#This Row],[Voucher No]],tblBank[Account Code],tblGJ[[#This Row],[Account Code]]),"")</f>
        <v>46081</v>
      </c>
      <c r="M172" s="1" t="str">
        <f>IF(tblGJ[[#This Row],[Date]]&lt;=PEnd,"Yes","No")</f>
        <v>Yes</v>
      </c>
    </row>
    <row r="173" spans="2:13" x14ac:dyDescent="0.35">
      <c r="B173" s="109">
        <v>46081</v>
      </c>
      <c r="C173" s="1" t="s">
        <v>5703</v>
      </c>
      <c r="D173" s="1">
        <v>7210</v>
      </c>
      <c r="E173" s="1" t="str">
        <f>_xlfn.XLOOKUP(tblGJ[[#This Row],[Account Code]],tblCOA[Code],tblCOA[Account Name],"⚠ Invalid account")</f>
        <v>Interest Expense - Bank Loans</v>
      </c>
      <c r="F173" s="1" t="s">
        <v>6057</v>
      </c>
      <c r="G173" s="5">
        <v>2500000</v>
      </c>
      <c r="H173" s="5"/>
      <c r="I173" s="1" t="s">
        <v>4263</v>
      </c>
      <c r="J173" s="1">
        <f>MONTH(tblGJ[[#This Row],[Date]])</f>
        <v>2</v>
      </c>
      <c r="K173" s="1" t="str">
        <f>_xlfn.XLOOKUP(tblGJ[[#This Row],[Account Code]],tblCOA[Code],tblCOA[FS Line],"")</f>
        <v>Finance costs</v>
      </c>
      <c r="L173" s="121" t="str">
        <f>IF(OR(tblGJ[[#This Row],[Account Code]]=1120,tblGJ[[#This Row],[Account Code]]=1130),_xlfn.MINIFS(tblBank[Value Date],tblBank[Reference],tblGJ[[#This Row],[Voucher No]],tblBank[Account Code],tblGJ[[#This Row],[Account Code]]),"")</f>
        <v/>
      </c>
      <c r="M173" s="1" t="str">
        <f>IF(tblGJ[[#This Row],[Date]]&lt;=PEnd,"Yes","No")</f>
        <v>Yes</v>
      </c>
    </row>
    <row r="174" spans="2:13" x14ac:dyDescent="0.35">
      <c r="B174" s="109">
        <v>46081</v>
      </c>
      <c r="C174" s="1" t="s">
        <v>5703</v>
      </c>
      <c r="D174" s="1">
        <v>1120</v>
      </c>
      <c r="E174" s="1" t="str">
        <f>_xlfn.XLOOKUP(tblGJ[[#This Row],[Account Code]],tblCOA[Code],tblCOA[Account Name],"⚠ Invalid account")</f>
        <v>Bank BCA - Current Account</v>
      </c>
      <c r="F174" s="1" t="s">
        <v>6058</v>
      </c>
      <c r="G174" s="5"/>
      <c r="H174" s="5">
        <v>2500000</v>
      </c>
      <c r="I174" s="1" t="s">
        <v>4263</v>
      </c>
      <c r="J174" s="1">
        <f>MONTH(tblGJ[[#This Row],[Date]])</f>
        <v>2</v>
      </c>
      <c r="K174" s="1" t="str">
        <f>_xlfn.XLOOKUP(tblGJ[[#This Row],[Account Code]],tblCOA[Code],tblCOA[FS Line],"")</f>
        <v>Cash and cash equivalents</v>
      </c>
      <c r="L174" s="121">
        <f>IF(OR(tblGJ[[#This Row],[Account Code]]=1120,tblGJ[[#This Row],[Account Code]]=1130),_xlfn.MINIFS(tblBank[Value Date],tblBank[Reference],tblGJ[[#This Row],[Voucher No]],tblBank[Account Code],tblGJ[[#This Row],[Account Code]]),"")</f>
        <v>46081</v>
      </c>
      <c r="M174" s="1" t="str">
        <f>IF(tblGJ[[#This Row],[Date]]&lt;=PEnd,"Yes","No")</f>
        <v>Yes</v>
      </c>
    </row>
    <row r="175" spans="2:13" x14ac:dyDescent="0.35">
      <c r="B175" s="109">
        <v>46091</v>
      </c>
      <c r="C175" s="1" t="s">
        <v>5704</v>
      </c>
      <c r="D175" s="1">
        <v>2230</v>
      </c>
      <c r="E175" s="1" t="str">
        <f>_xlfn.XLOOKUP(tblGJ[[#This Row],[Account Code]],tblCOA[Code],tblCOA[Account Name],"⚠ Invalid account")</f>
        <v>WHT Payable - Art. 21</v>
      </c>
      <c r="F175" s="1" t="s">
        <v>5957</v>
      </c>
      <c r="G175" s="5">
        <f>IF(MONTH(tblGJ[[#This Row],[Date]])=1,_xlfn.XLOOKUP(2230,tblCOA[Code],tblCOA[Opening Balance]),SUMIFS(tblPayroll[PPh 21],tblPayroll[Period],MONTH(tblGJ[[#This Row],[Date]])-1))</f>
        <v>10516831</v>
      </c>
      <c r="H175" s="5"/>
      <c r="I175" s="1" t="s">
        <v>6528</v>
      </c>
      <c r="J175" s="1">
        <f>MONTH(tblGJ[[#This Row],[Date]])</f>
        <v>3</v>
      </c>
      <c r="K175" s="1" t="str">
        <f>_xlfn.XLOOKUP(tblGJ[[#This Row],[Account Code]],tblCOA[Code],tblCOA[FS Line],"")</f>
        <v>Taxes payable</v>
      </c>
      <c r="L175" s="121" t="str">
        <f>IF(OR(tblGJ[[#This Row],[Account Code]]=1120,tblGJ[[#This Row],[Account Code]]=1130),_xlfn.MINIFS(tblBank[Value Date],tblBank[Reference],tblGJ[[#This Row],[Voucher No]],tblBank[Account Code],tblGJ[[#This Row],[Account Code]]),"")</f>
        <v/>
      </c>
      <c r="M175" s="1" t="str">
        <f>IF(tblGJ[[#This Row],[Date]]&lt;=PEnd,"Yes","No")</f>
        <v>Yes</v>
      </c>
    </row>
    <row r="176" spans="2:13" x14ac:dyDescent="0.35">
      <c r="B176" s="109">
        <v>46091</v>
      </c>
      <c r="C176" s="1" t="s">
        <v>5704</v>
      </c>
      <c r="D176" s="1">
        <v>1120</v>
      </c>
      <c r="E176" s="1" t="str">
        <f>_xlfn.XLOOKUP(tblGJ[[#This Row],[Account Code]],tblCOA[Code],tblCOA[Account Name],"⚠ Invalid account")</f>
        <v>Bank BCA - Current Account</v>
      </c>
      <c r="F176" s="1" t="s">
        <v>5957</v>
      </c>
      <c r="G176" s="5"/>
      <c r="H176" s="5">
        <f>IF(MONTH(tblGJ[[#This Row],[Date]])=1,_xlfn.XLOOKUP(2230,tblCOA[Code],tblCOA[Opening Balance]),SUMIFS(tblPayroll[PPh 21],tblPayroll[Period],MONTH(tblGJ[[#This Row],[Date]])-1))</f>
        <v>10516831</v>
      </c>
      <c r="I176" s="1" t="s">
        <v>6528</v>
      </c>
      <c r="J176" s="1">
        <f>MONTH(tblGJ[[#This Row],[Date]])</f>
        <v>3</v>
      </c>
      <c r="K176" s="1" t="str">
        <f>_xlfn.XLOOKUP(tblGJ[[#This Row],[Account Code]],tblCOA[Code],tblCOA[FS Line],"")</f>
        <v>Cash and cash equivalents</v>
      </c>
      <c r="L176" s="121">
        <f>IF(OR(tblGJ[[#This Row],[Account Code]]=1120,tblGJ[[#This Row],[Account Code]]=1130),_xlfn.MINIFS(tblBank[Value Date],tblBank[Reference],tblGJ[[#This Row],[Voucher No]],tblBank[Account Code],tblGJ[[#This Row],[Account Code]]),"")</f>
        <v>46091</v>
      </c>
      <c r="M176" s="1" t="str">
        <f>IF(tblGJ[[#This Row],[Date]]&lt;=PEnd,"Yes","No")</f>
        <v>Yes</v>
      </c>
    </row>
    <row r="177" spans="2:13" x14ac:dyDescent="0.35">
      <c r="B177" s="109">
        <v>46091</v>
      </c>
      <c r="C177" s="1" t="s">
        <v>5705</v>
      </c>
      <c r="D177" s="1">
        <v>2150</v>
      </c>
      <c r="E177" s="1" t="str">
        <f>_xlfn.XLOOKUP(tblGJ[[#This Row],[Account Code]],tblCOA[Code],tblCOA[Account Name],"⚠ Invalid account")</f>
        <v>BPJS Payable</v>
      </c>
      <c r="F177" s="1" t="s">
        <v>5958</v>
      </c>
      <c r="G177" s="5">
        <f>IF(MONTH(tblGJ[[#This Row],[Date]])=1,_xlfn.XLOOKUP(2150,tblCOA[Code],tblCOA[Opening Balance]),SUMIFS(tblPayroll[BPJS Payable],tblPayroll[Period],MONTH(tblGJ[[#This Row],[Date]])-1))</f>
        <v>22077790</v>
      </c>
      <c r="H177" s="5"/>
      <c r="I177" s="1" t="s">
        <v>6528</v>
      </c>
      <c r="J177" s="1">
        <f>MONTH(tblGJ[[#This Row],[Date]])</f>
        <v>3</v>
      </c>
      <c r="K177" s="1" t="str">
        <f>_xlfn.XLOOKUP(tblGJ[[#This Row],[Account Code]],tblCOA[Code],tblCOA[FS Line],"")</f>
        <v>Accrued expenses</v>
      </c>
      <c r="L177" s="121" t="str">
        <f>IF(OR(tblGJ[[#This Row],[Account Code]]=1120,tblGJ[[#This Row],[Account Code]]=1130),_xlfn.MINIFS(tblBank[Value Date],tblBank[Reference],tblGJ[[#This Row],[Voucher No]],tblBank[Account Code],tblGJ[[#This Row],[Account Code]]),"")</f>
        <v/>
      </c>
      <c r="M177" s="1" t="str">
        <f>IF(tblGJ[[#This Row],[Date]]&lt;=PEnd,"Yes","No")</f>
        <v>Yes</v>
      </c>
    </row>
    <row r="178" spans="2:13" x14ac:dyDescent="0.35">
      <c r="B178" s="109">
        <v>46091</v>
      </c>
      <c r="C178" s="1" t="s">
        <v>5705</v>
      </c>
      <c r="D178" s="1">
        <v>1120</v>
      </c>
      <c r="E178" s="1" t="str">
        <f>_xlfn.XLOOKUP(tblGJ[[#This Row],[Account Code]],tblCOA[Code],tblCOA[Account Name],"⚠ Invalid account")</f>
        <v>Bank BCA - Current Account</v>
      </c>
      <c r="F178" s="1" t="s">
        <v>5958</v>
      </c>
      <c r="G178" s="5"/>
      <c r="H178" s="5">
        <f>IF(MONTH(tblGJ[[#This Row],[Date]])=1,_xlfn.XLOOKUP(2150,tblCOA[Code],tblCOA[Opening Balance]),SUMIFS(tblPayroll[BPJS Payable],tblPayroll[Period],MONTH(tblGJ[[#This Row],[Date]])-1))</f>
        <v>22077790</v>
      </c>
      <c r="I178" s="1" t="s">
        <v>6528</v>
      </c>
      <c r="J178" s="1">
        <f>MONTH(tblGJ[[#This Row],[Date]])</f>
        <v>3</v>
      </c>
      <c r="K178" s="1" t="str">
        <f>_xlfn.XLOOKUP(tblGJ[[#This Row],[Account Code]],tblCOA[Code],tblCOA[FS Line],"")</f>
        <v>Cash and cash equivalents</v>
      </c>
      <c r="L178" s="121">
        <f>IF(OR(tblGJ[[#This Row],[Account Code]]=1120,tblGJ[[#This Row],[Account Code]]=1130),_xlfn.MINIFS(tblBank[Value Date],tblBank[Reference],tblGJ[[#This Row],[Voucher No]],tblBank[Account Code],tblGJ[[#This Row],[Account Code]]),"")</f>
        <v>46091</v>
      </c>
      <c r="M178" s="1" t="str">
        <f>IF(tblGJ[[#This Row],[Date]]&lt;=PEnd,"Yes","No")</f>
        <v>Yes</v>
      </c>
    </row>
    <row r="179" spans="2:13" x14ac:dyDescent="0.35">
      <c r="B179" s="109">
        <v>46096</v>
      </c>
      <c r="C179" s="1" t="s">
        <v>5706</v>
      </c>
      <c r="D179" s="1">
        <v>2240</v>
      </c>
      <c r="E179" s="1" t="str">
        <f>_xlfn.XLOOKUP(tblGJ[[#This Row],[Account Code]],tblCOA[Code],tblCOA[Account Name],"⚠ Invalid account")</f>
        <v>WHT Payable - Unifikasi (Art. 23/4(2))</v>
      </c>
      <c r="F179" s="1" t="s">
        <v>5960</v>
      </c>
      <c r="G179" s="5">
        <f>IF(MONTH(tblGJ[[#This Row],[Date]])=1,_xlfn.XLOOKUP(2240,tblCOA[Code],tblCOA[Opening Balance]),SUMIFS(tblPurchases[WHT Amount],tblPurchases[Month],MONTH(tblGJ[[#This Row],[Date]])-1))</f>
        <v>1000920</v>
      </c>
      <c r="H179" s="5"/>
      <c r="I179" s="1" t="s">
        <v>6528</v>
      </c>
      <c r="J179" s="1">
        <f>MONTH(tblGJ[[#This Row],[Date]])</f>
        <v>3</v>
      </c>
      <c r="K179" s="1" t="str">
        <f>_xlfn.XLOOKUP(tblGJ[[#This Row],[Account Code]],tblCOA[Code],tblCOA[FS Line],"")</f>
        <v>Taxes payable</v>
      </c>
      <c r="L179" s="121" t="str">
        <f>IF(OR(tblGJ[[#This Row],[Account Code]]=1120,tblGJ[[#This Row],[Account Code]]=1130),_xlfn.MINIFS(tblBank[Value Date],tblBank[Reference],tblGJ[[#This Row],[Voucher No]],tblBank[Account Code],tblGJ[[#This Row],[Account Code]]),"")</f>
        <v/>
      </c>
      <c r="M179" s="1" t="str">
        <f>IF(tblGJ[[#This Row],[Date]]&lt;=PEnd,"Yes","No")</f>
        <v>Yes</v>
      </c>
    </row>
    <row r="180" spans="2:13" x14ac:dyDescent="0.35">
      <c r="B180" s="109">
        <v>46096</v>
      </c>
      <c r="C180" s="1" t="s">
        <v>5706</v>
      </c>
      <c r="D180" s="1">
        <v>1120</v>
      </c>
      <c r="E180" s="1" t="str">
        <f>_xlfn.XLOOKUP(tblGJ[[#This Row],[Account Code]],tblCOA[Code],tblCOA[Account Name],"⚠ Invalid account")</f>
        <v>Bank BCA - Current Account</v>
      </c>
      <c r="F180" s="1" t="s">
        <v>5960</v>
      </c>
      <c r="G180" s="5"/>
      <c r="H180" s="5">
        <f>IF(MONTH(tblGJ[[#This Row],[Date]])=1,_xlfn.XLOOKUP(2240,tblCOA[Code],tblCOA[Opening Balance]),SUMIFS(tblPurchases[WHT Amount],tblPurchases[Month],MONTH(tblGJ[[#This Row],[Date]])-1))</f>
        <v>1000920</v>
      </c>
      <c r="I180" s="1" t="s">
        <v>6528</v>
      </c>
      <c r="J180" s="1">
        <f>MONTH(tblGJ[[#This Row],[Date]])</f>
        <v>3</v>
      </c>
      <c r="K180" s="1" t="str">
        <f>_xlfn.XLOOKUP(tblGJ[[#This Row],[Account Code]],tblCOA[Code],tblCOA[FS Line],"")</f>
        <v>Cash and cash equivalents</v>
      </c>
      <c r="L180" s="121">
        <f>IF(OR(tblGJ[[#This Row],[Account Code]]=1120,tblGJ[[#This Row],[Account Code]]=1130),_xlfn.MINIFS(tblBank[Value Date],tblBank[Reference],tblGJ[[#This Row],[Voucher No]],tblBank[Account Code],tblGJ[[#This Row],[Account Code]]),"")</f>
        <v>46096</v>
      </c>
      <c r="M180" s="1" t="str">
        <f>IF(tblGJ[[#This Row],[Date]]&lt;=PEnd,"Yes","No")</f>
        <v>Yes</v>
      </c>
    </row>
    <row r="181" spans="2:13" x14ac:dyDescent="0.35">
      <c r="B181" s="109">
        <v>46096</v>
      </c>
      <c r="C181" s="1" t="s">
        <v>5707</v>
      </c>
      <c r="D181" s="1">
        <v>1520</v>
      </c>
      <c r="E181" s="1" t="str">
        <f>_xlfn.XLOOKUP(tblGJ[[#This Row],[Account Code]],tblCOA[Code],tblCOA[Account Name],"⚠ Invalid account")</f>
        <v>Prepaid Income Tax - Art. 25</v>
      </c>
      <c r="F181" s="1" t="s">
        <v>6059</v>
      </c>
      <c r="G181" s="5">
        <f>PPh25Inst</f>
        <v>20000000</v>
      </c>
      <c r="H181" s="5"/>
      <c r="I181" s="1" t="s">
        <v>6528</v>
      </c>
      <c r="J181" s="1">
        <f>MONTH(tblGJ[[#This Row],[Date]])</f>
        <v>3</v>
      </c>
      <c r="K181" s="1" t="str">
        <f>_xlfn.XLOOKUP(tblGJ[[#This Row],[Account Code]],tblCOA[Code],tblCOA[FS Line],"")</f>
        <v>Prepaid taxes</v>
      </c>
      <c r="L181" s="121" t="str">
        <f>IF(OR(tblGJ[[#This Row],[Account Code]]=1120,tblGJ[[#This Row],[Account Code]]=1130),_xlfn.MINIFS(tblBank[Value Date],tblBank[Reference],tblGJ[[#This Row],[Voucher No]],tblBank[Account Code],tblGJ[[#This Row],[Account Code]]),"")</f>
        <v/>
      </c>
      <c r="M181" s="1" t="str">
        <f>IF(tblGJ[[#This Row],[Date]]&lt;=PEnd,"Yes","No")</f>
        <v>Yes</v>
      </c>
    </row>
    <row r="182" spans="2:13" x14ac:dyDescent="0.35">
      <c r="B182" s="109">
        <v>46096</v>
      </c>
      <c r="C182" s="1" t="s">
        <v>5707</v>
      </c>
      <c r="D182" s="1">
        <v>1120</v>
      </c>
      <c r="E182" s="1" t="str">
        <f>_xlfn.XLOOKUP(tblGJ[[#This Row],[Account Code]],tblCOA[Code],tblCOA[Account Name],"⚠ Invalid account")</f>
        <v>Bank BCA - Current Account</v>
      </c>
      <c r="F182" s="1" t="s">
        <v>6059</v>
      </c>
      <c r="G182" s="5"/>
      <c r="H182" s="5">
        <f>PPh25Inst</f>
        <v>20000000</v>
      </c>
      <c r="I182" s="1" t="s">
        <v>6528</v>
      </c>
      <c r="J182" s="1">
        <f>MONTH(tblGJ[[#This Row],[Date]])</f>
        <v>3</v>
      </c>
      <c r="K182" s="1" t="str">
        <f>_xlfn.XLOOKUP(tblGJ[[#This Row],[Account Code]],tblCOA[Code],tblCOA[FS Line],"")</f>
        <v>Cash and cash equivalents</v>
      </c>
      <c r="L182" s="121">
        <f>IF(OR(tblGJ[[#This Row],[Account Code]]=1120,tblGJ[[#This Row],[Account Code]]=1130),_xlfn.MINIFS(tblBank[Value Date],tblBank[Reference],tblGJ[[#This Row],[Voucher No]],tblBank[Account Code],tblGJ[[#This Row],[Account Code]]),"")</f>
        <v>46096</v>
      </c>
      <c r="M182" s="1" t="str">
        <f>IF(tblGJ[[#This Row],[Date]]&lt;=PEnd,"Yes","No")</f>
        <v>Yes</v>
      </c>
    </row>
    <row r="183" spans="2:13" x14ac:dyDescent="0.35">
      <c r="B183" s="109">
        <v>46101</v>
      </c>
      <c r="C183" s="1" t="s">
        <v>5708</v>
      </c>
      <c r="D183" s="1">
        <v>1120</v>
      </c>
      <c r="E183" s="1" t="str">
        <f>_xlfn.XLOOKUP(tblGJ[[#This Row],[Account Code]],tblCOA[Code],tblCOA[Account Name],"⚠ Invalid account")</f>
        <v>Bank BCA - Current Account</v>
      </c>
      <c r="F183" s="1" t="s">
        <v>6060</v>
      </c>
      <c r="G183" s="5">
        <f>IF(MONTH(tblGJ[[#This Row],[Date]])=1,_xlfn.XLOOKUP(1210,tblCOA[Code],tblCOA[Opening Balance]),SUMIFS(tblSales[Total incl. VAT],tblSales[Month],MONTH(tblGJ[[#This Row],[Date]])-1,tblSales[Payment Method],Products!$O$15))</f>
        <v>759595200</v>
      </c>
      <c r="H183" s="5"/>
      <c r="I183" s="1" t="s">
        <v>6530</v>
      </c>
      <c r="J183" s="1">
        <f>MONTH(tblGJ[[#This Row],[Date]])</f>
        <v>3</v>
      </c>
      <c r="K183" s="1" t="str">
        <f>_xlfn.XLOOKUP(tblGJ[[#This Row],[Account Code]],tblCOA[Code],tblCOA[FS Line],"")</f>
        <v>Cash and cash equivalents</v>
      </c>
      <c r="L183" s="121">
        <f>IF(OR(tblGJ[[#This Row],[Account Code]]=1120,tblGJ[[#This Row],[Account Code]]=1130),_xlfn.MINIFS(tblBank[Value Date],tblBank[Reference],tblGJ[[#This Row],[Voucher No]],tblBank[Account Code],tblGJ[[#This Row],[Account Code]]),"")</f>
        <v>46101</v>
      </c>
      <c r="M183" s="1" t="str">
        <f>IF(tblGJ[[#This Row],[Date]]&lt;=PEnd,"Yes","No")</f>
        <v>Yes</v>
      </c>
    </row>
    <row r="184" spans="2:13" x14ac:dyDescent="0.35">
      <c r="B184" s="109">
        <v>46101</v>
      </c>
      <c r="C184" s="1" t="s">
        <v>5708</v>
      </c>
      <c r="D184" s="1">
        <v>1210</v>
      </c>
      <c r="E184" s="1" t="str">
        <f>_xlfn.XLOOKUP(tblGJ[[#This Row],[Account Code]],tblCOA[Code],tblCOA[Account Name],"⚠ Invalid account")</f>
        <v>Trade Receivables</v>
      </c>
      <c r="F184" s="1" t="s">
        <v>6061</v>
      </c>
      <c r="G184" s="5"/>
      <c r="H184" s="5">
        <f>IF(MONTH(tblGJ[[#This Row],[Date]])=1,_xlfn.XLOOKUP(1210,tblCOA[Code],tblCOA[Opening Balance]),SUMIFS(tblSales[Total incl. VAT],tblSales[Month],MONTH(tblGJ[[#This Row],[Date]])-1,tblSales[Payment Method],Products!$O$15))</f>
        <v>759595200</v>
      </c>
      <c r="I184" s="1" t="s">
        <v>6530</v>
      </c>
      <c r="J184" s="1">
        <f>MONTH(tblGJ[[#This Row],[Date]])</f>
        <v>3</v>
      </c>
      <c r="K184" s="1" t="str">
        <f>_xlfn.XLOOKUP(tblGJ[[#This Row],[Account Code]],tblCOA[Code],tblCOA[FS Line],"")</f>
        <v>Trade receivables - net</v>
      </c>
      <c r="L184" s="121" t="str">
        <f>IF(OR(tblGJ[[#This Row],[Account Code]]=1120,tblGJ[[#This Row],[Account Code]]=1130),_xlfn.MINIFS(tblBank[Value Date],tblBank[Reference],tblGJ[[#This Row],[Voucher No]],tblBank[Account Code],tblGJ[[#This Row],[Account Code]]),"")</f>
        <v/>
      </c>
      <c r="M184" s="1" t="str">
        <f>IF(tblGJ[[#This Row],[Date]]&lt;=PEnd,"Yes","No")</f>
        <v>Yes</v>
      </c>
    </row>
    <row r="185" spans="2:13" x14ac:dyDescent="0.35">
      <c r="B185" s="109">
        <v>46105</v>
      </c>
      <c r="C185" s="1" t="s">
        <v>5709</v>
      </c>
      <c r="D185" s="1">
        <v>1130</v>
      </c>
      <c r="E185" s="1" t="str">
        <f>_xlfn.XLOOKUP(tblGJ[[#This Row],[Account Code]],tblCOA[Code],tblCOA[Account Name],"⚠ Invalid account")</f>
        <v>Bank Mandiri - Current Account</v>
      </c>
      <c r="F185" s="1" t="s">
        <v>6062</v>
      </c>
      <c r="G185" s="5">
        <f>SUMIFS(tblPayroll[Net Pay],tblPayroll[Period],MONTH(tblGJ[[#This Row],[Date]]))</f>
        <v>307134938</v>
      </c>
      <c r="H185" s="5"/>
      <c r="I185" s="1" t="s">
        <v>6531</v>
      </c>
      <c r="J185" s="1">
        <f>MONTH(tblGJ[[#This Row],[Date]])</f>
        <v>3</v>
      </c>
      <c r="K185" s="1" t="str">
        <f>_xlfn.XLOOKUP(tblGJ[[#This Row],[Account Code]],tblCOA[Code],tblCOA[FS Line],"")</f>
        <v>Cash and cash equivalents</v>
      </c>
      <c r="L185" s="121">
        <f>IF(OR(tblGJ[[#This Row],[Account Code]]=1120,tblGJ[[#This Row],[Account Code]]=1130),_xlfn.MINIFS(tblBank[Value Date],tblBank[Reference],tblGJ[[#This Row],[Voucher No]],tblBank[Account Code],tblGJ[[#This Row],[Account Code]]),"")</f>
        <v>46105</v>
      </c>
      <c r="M185" s="1" t="str">
        <f>IF(tblGJ[[#This Row],[Date]]&lt;=PEnd,"Yes","No")</f>
        <v>Yes</v>
      </c>
    </row>
    <row r="186" spans="2:13" x14ac:dyDescent="0.35">
      <c r="B186" s="109">
        <v>46105</v>
      </c>
      <c r="C186" s="1" t="s">
        <v>5709</v>
      </c>
      <c r="D186" s="1">
        <v>1120</v>
      </c>
      <c r="E186" s="1" t="str">
        <f>_xlfn.XLOOKUP(tblGJ[[#This Row],[Account Code]],tblCOA[Code],tblCOA[Account Name],"⚠ Invalid account")</f>
        <v>Bank BCA - Current Account</v>
      </c>
      <c r="F186" s="1" t="s">
        <v>6063</v>
      </c>
      <c r="G186" s="5"/>
      <c r="H186" s="5">
        <f>SUMIFS(tblPayroll[Net Pay],tblPayroll[Period],MONTH(tblGJ[[#This Row],[Date]]))</f>
        <v>307134938</v>
      </c>
      <c r="I186" s="1" t="s">
        <v>6531</v>
      </c>
      <c r="J186" s="1">
        <f>MONTH(tblGJ[[#This Row],[Date]])</f>
        <v>3</v>
      </c>
      <c r="K186" s="1" t="str">
        <f>_xlfn.XLOOKUP(tblGJ[[#This Row],[Account Code]],tblCOA[Code],tblCOA[FS Line],"")</f>
        <v>Cash and cash equivalents</v>
      </c>
      <c r="L186" s="121">
        <f>IF(OR(tblGJ[[#This Row],[Account Code]]=1120,tblGJ[[#This Row],[Account Code]]=1130),_xlfn.MINIFS(tblBank[Value Date],tblBank[Reference],tblGJ[[#This Row],[Voucher No]],tblBank[Account Code],tblGJ[[#This Row],[Account Code]]),"")</f>
        <v>46105</v>
      </c>
      <c r="M186" s="1" t="str">
        <f>IF(tblGJ[[#This Row],[Date]]&lt;=PEnd,"Yes","No")</f>
        <v>Yes</v>
      </c>
    </row>
    <row r="187" spans="2:13" x14ac:dyDescent="0.35">
      <c r="B187" s="109">
        <v>46106</v>
      </c>
      <c r="C187" s="1" t="s">
        <v>5710</v>
      </c>
      <c r="D187" s="1">
        <v>6110</v>
      </c>
      <c r="E187" s="1" t="str">
        <f>_xlfn.XLOOKUP(tblGJ[[#This Row],[Account Code]],tblCOA[Code],tblCOA[Account Name],"⚠ Invalid account")</f>
        <v>Salaries &amp; Allowances - Selling</v>
      </c>
      <c r="F187" s="1" t="s">
        <v>6064</v>
      </c>
      <c r="G187" s="5">
        <f>SUMIFS(tblPayroll[Gross Salary],tblPayroll[Period],MONTH(tblGJ[[#This Row],[Date]]),tblPayroll[Department],"Selling")</f>
        <v>160400000</v>
      </c>
      <c r="H187" s="5"/>
      <c r="I187" s="1" t="s">
        <v>6531</v>
      </c>
      <c r="J187" s="1">
        <f>MONTH(tblGJ[[#This Row],[Date]])</f>
        <v>3</v>
      </c>
      <c r="K187" s="1" t="str">
        <f>_xlfn.XLOOKUP(tblGJ[[#This Row],[Account Code]],tblCOA[Code],tblCOA[FS Line],"")</f>
        <v>Selling expenses</v>
      </c>
      <c r="L187" s="121" t="str">
        <f>IF(OR(tblGJ[[#This Row],[Account Code]]=1120,tblGJ[[#This Row],[Account Code]]=1130),_xlfn.MINIFS(tblBank[Value Date],tblBank[Reference],tblGJ[[#This Row],[Voucher No]],tblBank[Account Code],tblGJ[[#This Row],[Account Code]]),"")</f>
        <v/>
      </c>
      <c r="M187" s="1" t="str">
        <f>IF(tblGJ[[#This Row],[Date]]&lt;=PEnd,"Yes","No")</f>
        <v>Yes</v>
      </c>
    </row>
    <row r="188" spans="2:13" x14ac:dyDescent="0.35">
      <c r="B188" s="109">
        <v>46106</v>
      </c>
      <c r="C188" s="1" t="s">
        <v>5710</v>
      </c>
      <c r="D188" s="1">
        <v>6111</v>
      </c>
      <c r="E188" s="1" t="str">
        <f>_xlfn.XLOOKUP(tblGJ[[#This Row],[Account Code]],tblCOA[Code],tblCOA[Account Name],"⚠ Invalid account")</f>
        <v>BPJS Employer Contributions - Selling</v>
      </c>
      <c r="F188" s="1" t="s">
        <v>6065</v>
      </c>
      <c r="G188" s="5">
        <f>SUMIFS(tblPayroll[Employer BPJS Total],tblPayroll[Period],MONTH(tblGJ[[#This Row],[Date]]),tblPayroll[Department],"Selling")</f>
        <v>7824376</v>
      </c>
      <c r="H188" s="5"/>
      <c r="I188" s="1" t="s">
        <v>6531</v>
      </c>
      <c r="J188" s="1">
        <f>MONTH(tblGJ[[#This Row],[Date]])</f>
        <v>3</v>
      </c>
      <c r="K188" s="1" t="str">
        <f>_xlfn.XLOOKUP(tblGJ[[#This Row],[Account Code]],tblCOA[Code],tblCOA[FS Line],"")</f>
        <v>Selling expenses</v>
      </c>
      <c r="L188" s="121" t="str">
        <f>IF(OR(tblGJ[[#This Row],[Account Code]]=1120,tblGJ[[#This Row],[Account Code]]=1130),_xlfn.MINIFS(tblBank[Value Date],tblBank[Reference],tblGJ[[#This Row],[Voucher No]],tblBank[Account Code],tblGJ[[#This Row],[Account Code]]),"")</f>
        <v/>
      </c>
      <c r="M188" s="1" t="str">
        <f>IF(tblGJ[[#This Row],[Date]]&lt;=PEnd,"Yes","No")</f>
        <v>Yes</v>
      </c>
    </row>
    <row r="189" spans="2:13" x14ac:dyDescent="0.35">
      <c r="B189" s="109">
        <v>46106</v>
      </c>
      <c r="C189" s="1" t="s">
        <v>5710</v>
      </c>
      <c r="D189" s="1">
        <v>6210</v>
      </c>
      <c r="E189" s="1" t="str">
        <f>_xlfn.XLOOKUP(tblGJ[[#This Row],[Account Code]],tblCOA[Code],tblCOA[Account Name],"⚠ Invalid account")</f>
        <v>Salaries &amp; Allowances - G&amp;A</v>
      </c>
      <c r="F189" s="1" t="s">
        <v>6066</v>
      </c>
      <c r="G189" s="5">
        <f>SUMIFS(tblPayroll[Gross Salary],tblPayroll[Period],MONTH(tblGJ[[#This Row],[Date]]),tblPayroll[Department],"G&amp;A")</f>
        <v>196000000</v>
      </c>
      <c r="H189" s="5"/>
      <c r="I189" s="1" t="s">
        <v>6531</v>
      </c>
      <c r="J189" s="1">
        <f>MONTH(tblGJ[[#This Row],[Date]])</f>
        <v>3</v>
      </c>
      <c r="K189" s="1" t="str">
        <f>_xlfn.XLOOKUP(tblGJ[[#This Row],[Account Code]],tblCOA[Code],tblCOA[FS Line],"")</f>
        <v>General &amp; administrative expenses</v>
      </c>
      <c r="L189" s="121" t="str">
        <f>IF(OR(tblGJ[[#This Row],[Account Code]]=1120,tblGJ[[#This Row],[Account Code]]=1130),_xlfn.MINIFS(tblBank[Value Date],tblBank[Reference],tblGJ[[#This Row],[Voucher No]],tblBank[Account Code],tblGJ[[#This Row],[Account Code]]),"")</f>
        <v/>
      </c>
      <c r="M189" s="1" t="str">
        <f>IF(tblGJ[[#This Row],[Date]]&lt;=PEnd,"Yes","No")</f>
        <v>Yes</v>
      </c>
    </row>
    <row r="190" spans="2:13" x14ac:dyDescent="0.35">
      <c r="B190" s="109">
        <v>46106</v>
      </c>
      <c r="C190" s="1" t="s">
        <v>5710</v>
      </c>
      <c r="D190" s="1">
        <v>6211</v>
      </c>
      <c r="E190" s="1" t="str">
        <f>_xlfn.XLOOKUP(tblGJ[[#This Row],[Account Code]],tblCOA[Code],tblCOA[Account Name],"⚠ Invalid account")</f>
        <v>BPJS Employer Contributions - G&amp;A</v>
      </c>
      <c r="F190" s="1" t="s">
        <v>6067</v>
      </c>
      <c r="G190" s="5">
        <f>SUMIFS(tblPayroll[Employer BPJS Total],tblPayroll[Period],MONTH(tblGJ[[#This Row],[Date]]),tblPayroll[Department],"G&amp;A")</f>
        <v>7968044</v>
      </c>
      <c r="H190" s="5"/>
      <c r="I190" s="1" t="s">
        <v>6531</v>
      </c>
      <c r="J190" s="1">
        <f>MONTH(tblGJ[[#This Row],[Date]])</f>
        <v>3</v>
      </c>
      <c r="K190" s="1" t="str">
        <f>_xlfn.XLOOKUP(tblGJ[[#This Row],[Account Code]],tblCOA[Code],tblCOA[FS Line],"")</f>
        <v>General &amp; administrative expenses</v>
      </c>
      <c r="L190" s="121" t="str">
        <f>IF(OR(tblGJ[[#This Row],[Account Code]]=1120,tblGJ[[#This Row],[Account Code]]=1130),_xlfn.MINIFS(tblBank[Value Date],tblBank[Reference],tblGJ[[#This Row],[Voucher No]],tblBank[Account Code],tblGJ[[#This Row],[Account Code]]),"")</f>
        <v/>
      </c>
      <c r="M190" s="1" t="str">
        <f>IF(tblGJ[[#This Row],[Date]]&lt;=PEnd,"Yes","No")</f>
        <v>Yes</v>
      </c>
    </row>
    <row r="191" spans="2:13" x14ac:dyDescent="0.35">
      <c r="B191" s="109">
        <v>46106</v>
      </c>
      <c r="C191" s="1" t="s">
        <v>5710</v>
      </c>
      <c r="D191" s="1">
        <v>2230</v>
      </c>
      <c r="E191" s="1" t="str">
        <f>_xlfn.XLOOKUP(tblGJ[[#This Row],[Account Code]],tblCOA[Code],tblCOA[Account Name],"⚠ Invalid account")</f>
        <v>WHT Payable - Art. 21</v>
      </c>
      <c r="F191" s="1" t="s">
        <v>6068</v>
      </c>
      <c r="G191" s="5"/>
      <c r="H191" s="5">
        <f>SUMIFS(tblPayroll[PPh 21],tblPayroll[Period],MONTH(tblGJ[[#This Row],[Date]]))</f>
        <v>42979692</v>
      </c>
      <c r="I191" s="1" t="s">
        <v>6531</v>
      </c>
      <c r="J191" s="1">
        <f>MONTH(tblGJ[[#This Row],[Date]])</f>
        <v>3</v>
      </c>
      <c r="K191" s="1" t="str">
        <f>_xlfn.XLOOKUP(tblGJ[[#This Row],[Account Code]],tblCOA[Code],tblCOA[FS Line],"")</f>
        <v>Taxes payable</v>
      </c>
      <c r="L191" s="121" t="str">
        <f>IF(OR(tblGJ[[#This Row],[Account Code]]=1120,tblGJ[[#This Row],[Account Code]]=1130),_xlfn.MINIFS(tblBank[Value Date],tblBank[Reference],tblGJ[[#This Row],[Voucher No]],tblBank[Account Code],tblGJ[[#This Row],[Account Code]]),"")</f>
        <v/>
      </c>
      <c r="M191" s="1" t="str">
        <f>IF(tblGJ[[#This Row],[Date]]&lt;=PEnd,"Yes","No")</f>
        <v>Yes</v>
      </c>
    </row>
    <row r="192" spans="2:13" x14ac:dyDescent="0.35">
      <c r="B192" s="109">
        <v>46106</v>
      </c>
      <c r="C192" s="1" t="s">
        <v>5710</v>
      </c>
      <c r="D192" s="1">
        <v>2150</v>
      </c>
      <c r="E192" s="1" t="str">
        <f>_xlfn.XLOOKUP(tblGJ[[#This Row],[Account Code]],tblCOA[Code],tblCOA[Account Name],"⚠ Invalid account")</f>
        <v>BPJS Payable</v>
      </c>
      <c r="F192" s="1" t="s">
        <v>6069</v>
      </c>
      <c r="G192" s="5"/>
      <c r="H192" s="5">
        <f>SUMIFS(tblPayroll[BPJS Payable],tblPayroll[Period],MONTH(tblGJ[[#This Row],[Date]]))</f>
        <v>22077790</v>
      </c>
      <c r="I192" s="1" t="s">
        <v>6531</v>
      </c>
      <c r="J192" s="1">
        <f>MONTH(tblGJ[[#This Row],[Date]])</f>
        <v>3</v>
      </c>
      <c r="K192" s="1" t="str">
        <f>_xlfn.XLOOKUP(tblGJ[[#This Row],[Account Code]],tblCOA[Code],tblCOA[FS Line],"")</f>
        <v>Accrued expenses</v>
      </c>
      <c r="L192" s="121" t="str">
        <f>IF(OR(tblGJ[[#This Row],[Account Code]]=1120,tblGJ[[#This Row],[Account Code]]=1130),_xlfn.MINIFS(tblBank[Value Date],tblBank[Reference],tblGJ[[#This Row],[Voucher No]],tblBank[Account Code],tblGJ[[#This Row],[Account Code]]),"")</f>
        <v/>
      </c>
      <c r="M192" s="1" t="str">
        <f>IF(tblGJ[[#This Row],[Date]]&lt;=PEnd,"Yes","No")</f>
        <v>Yes</v>
      </c>
    </row>
    <row r="193" spans="2:13" x14ac:dyDescent="0.35">
      <c r="B193" s="109">
        <v>46106</v>
      </c>
      <c r="C193" s="1" t="s">
        <v>5710</v>
      </c>
      <c r="D193" s="1">
        <v>1130</v>
      </c>
      <c r="E193" s="1" t="str">
        <f>_xlfn.XLOOKUP(tblGJ[[#This Row],[Account Code]],tblCOA[Code],tblCOA[Account Name],"⚠ Invalid account")</f>
        <v>Bank Mandiri - Current Account</v>
      </c>
      <c r="F193" s="1" t="s">
        <v>6070</v>
      </c>
      <c r="G193" s="5"/>
      <c r="H193" s="5">
        <f>SUMIFS(tblPayroll[Net Pay],tblPayroll[Period],MONTH(tblGJ[[#This Row],[Date]]))</f>
        <v>307134938</v>
      </c>
      <c r="I193" s="1" t="s">
        <v>6531</v>
      </c>
      <c r="J193" s="1">
        <f>MONTH(tblGJ[[#This Row],[Date]])</f>
        <v>3</v>
      </c>
      <c r="K193" s="1" t="str">
        <f>_xlfn.XLOOKUP(tblGJ[[#This Row],[Account Code]],tblCOA[Code],tblCOA[FS Line],"")</f>
        <v>Cash and cash equivalents</v>
      </c>
      <c r="L193" s="121">
        <f>IF(OR(tblGJ[[#This Row],[Account Code]]=1120,tblGJ[[#This Row],[Account Code]]=1130),_xlfn.MINIFS(tblBank[Value Date],tblBank[Reference],tblGJ[[#This Row],[Voucher No]],tblBank[Account Code],tblGJ[[#This Row],[Account Code]]),"")</f>
        <v>46106</v>
      </c>
      <c r="M193" s="1" t="str">
        <f>IF(tblGJ[[#This Row],[Date]]&lt;=PEnd,"Yes","No")</f>
        <v>Yes</v>
      </c>
    </row>
    <row r="194" spans="2:13" x14ac:dyDescent="0.35">
      <c r="B194" s="109">
        <v>46109</v>
      </c>
      <c r="C194" s="1" t="s">
        <v>5711</v>
      </c>
      <c r="D194" s="1">
        <v>2220</v>
      </c>
      <c r="E194" s="1" t="str">
        <f>_xlfn.XLOOKUP(tblGJ[[#This Row],[Account Code]],tblCOA[Code],tblCOA[Account Name],"⚠ Invalid account")</f>
        <v>VAT Payable - Net</v>
      </c>
      <c r="F194" s="1" t="s">
        <v>5974</v>
      </c>
      <c r="G194" s="5">
        <f>IF(MONTH(tblGJ[[#This Row],[Date]])=1,_xlfn.XLOOKUP(2220,tblCOA[Code],tblCOA[Opening Balance]),SUMIFS(tblSales[Output VAT],tblSales[Month],MONTH(tblGJ[[#This Row],[Date]])-1)-SUMIFS(tblPurchases[Input VAT],tblPurchases[Month],MONTH(tblGJ[[#This Row],[Date]])-1))</f>
        <v>46093960</v>
      </c>
      <c r="H194" s="5"/>
      <c r="I194" s="1" t="s">
        <v>6528</v>
      </c>
      <c r="J194" s="1">
        <f>MONTH(tblGJ[[#This Row],[Date]])</f>
        <v>3</v>
      </c>
      <c r="K194" s="1" t="str">
        <f>_xlfn.XLOOKUP(tblGJ[[#This Row],[Account Code]],tblCOA[Code],tblCOA[FS Line],"")</f>
        <v>Taxes payable</v>
      </c>
      <c r="L194" s="121" t="str">
        <f>IF(OR(tblGJ[[#This Row],[Account Code]]=1120,tblGJ[[#This Row],[Account Code]]=1130),_xlfn.MINIFS(tblBank[Value Date],tblBank[Reference],tblGJ[[#This Row],[Voucher No]],tblBank[Account Code],tblGJ[[#This Row],[Account Code]]),"")</f>
        <v/>
      </c>
      <c r="M194" s="1" t="str">
        <f>IF(tblGJ[[#This Row],[Date]]&lt;=PEnd,"Yes","No")</f>
        <v>Yes</v>
      </c>
    </row>
    <row r="195" spans="2:13" x14ac:dyDescent="0.35">
      <c r="B195" s="109">
        <v>46109</v>
      </c>
      <c r="C195" s="1" t="s">
        <v>5711</v>
      </c>
      <c r="D195" s="1">
        <v>1120</v>
      </c>
      <c r="E195" s="1" t="str">
        <f>_xlfn.XLOOKUP(tblGJ[[#This Row],[Account Code]],tblCOA[Code],tblCOA[Account Name],"⚠ Invalid account")</f>
        <v>Bank BCA - Current Account</v>
      </c>
      <c r="F195" s="1" t="s">
        <v>5974</v>
      </c>
      <c r="G195" s="5"/>
      <c r="H195" s="5">
        <f>IF(MONTH(tblGJ[[#This Row],[Date]])=1,_xlfn.XLOOKUP(2220,tblCOA[Code],tblCOA[Opening Balance]),SUMIFS(tblSales[Output VAT],tblSales[Month],MONTH(tblGJ[[#This Row],[Date]])-1)-SUMIFS(tblPurchases[Input VAT],tblPurchases[Month],MONTH(tblGJ[[#This Row],[Date]])-1))</f>
        <v>46093960</v>
      </c>
      <c r="I195" s="1" t="s">
        <v>6528</v>
      </c>
      <c r="J195" s="1">
        <f>MONTH(tblGJ[[#This Row],[Date]])</f>
        <v>3</v>
      </c>
      <c r="K195" s="1" t="str">
        <f>_xlfn.XLOOKUP(tblGJ[[#This Row],[Account Code]],tblCOA[Code],tblCOA[FS Line],"")</f>
        <v>Cash and cash equivalents</v>
      </c>
      <c r="L195" s="121">
        <f>IF(OR(tblGJ[[#This Row],[Account Code]]=1120,tblGJ[[#This Row],[Account Code]]=1130),_xlfn.MINIFS(tblBank[Value Date],tblBank[Reference],tblGJ[[#This Row],[Voucher No]],tblBank[Account Code],tblGJ[[#This Row],[Account Code]]),"")</f>
        <v>46109</v>
      </c>
      <c r="M195" s="1" t="str">
        <f>IF(tblGJ[[#This Row],[Date]]&lt;=PEnd,"Yes","No")</f>
        <v>Yes</v>
      </c>
    </row>
    <row r="196" spans="2:13" x14ac:dyDescent="0.35">
      <c r="B196" s="109">
        <v>46109</v>
      </c>
      <c r="C196" s="1" t="s">
        <v>5712</v>
      </c>
      <c r="D196" s="1">
        <v>2410</v>
      </c>
      <c r="E196" s="1" t="str">
        <f>_xlfn.XLOOKUP(tblGJ[[#This Row],[Account Code]],tblCOA[Code],tblCOA[Account Name],"⚠ Invalid account")</f>
        <v>Long-term Bank Loan</v>
      </c>
      <c r="F196" s="1" t="s">
        <v>6071</v>
      </c>
      <c r="G196" s="5">
        <v>25000000</v>
      </c>
      <c r="H196" s="5"/>
      <c r="I196" s="1" t="s">
        <v>4263</v>
      </c>
      <c r="J196" s="1">
        <f>MONTH(tblGJ[[#This Row],[Date]])</f>
        <v>3</v>
      </c>
      <c r="K196" s="1" t="str">
        <f>_xlfn.XLOOKUP(tblGJ[[#This Row],[Account Code]],tblCOA[Code],tblCOA[FS Line],"")</f>
        <v>Long-term bank loans</v>
      </c>
      <c r="L196" s="121" t="str">
        <f>IF(OR(tblGJ[[#This Row],[Account Code]]=1120,tblGJ[[#This Row],[Account Code]]=1130),_xlfn.MINIFS(tblBank[Value Date],tblBank[Reference],tblGJ[[#This Row],[Voucher No]],tblBank[Account Code],tblGJ[[#This Row],[Account Code]]),"")</f>
        <v/>
      </c>
      <c r="M196" s="1" t="str">
        <f>IF(tblGJ[[#This Row],[Date]]&lt;=PEnd,"Yes","No")</f>
        <v>Yes</v>
      </c>
    </row>
    <row r="197" spans="2:13" x14ac:dyDescent="0.35">
      <c r="B197" s="109">
        <v>46109</v>
      </c>
      <c r="C197" s="1" t="s">
        <v>5712</v>
      </c>
      <c r="D197" s="1">
        <v>7210</v>
      </c>
      <c r="E197" s="1" t="str">
        <f>_xlfn.XLOOKUP(tblGJ[[#This Row],[Account Code]],tblCOA[Code],tblCOA[Account Name],"⚠ Invalid account")</f>
        <v>Interest Expense - Bank Loans</v>
      </c>
      <c r="F197" s="1" t="s">
        <v>6072</v>
      </c>
      <c r="G197" s="5">
        <v>10875000</v>
      </c>
      <c r="H197" s="5"/>
      <c r="I197" s="1" t="s">
        <v>4263</v>
      </c>
      <c r="J197" s="1">
        <f>MONTH(tblGJ[[#This Row],[Date]])</f>
        <v>3</v>
      </c>
      <c r="K197" s="1" t="str">
        <f>_xlfn.XLOOKUP(tblGJ[[#This Row],[Account Code]],tblCOA[Code],tblCOA[FS Line],"")</f>
        <v>Finance costs</v>
      </c>
      <c r="L197" s="121" t="str">
        <f>IF(OR(tblGJ[[#This Row],[Account Code]]=1120,tblGJ[[#This Row],[Account Code]]=1130),_xlfn.MINIFS(tblBank[Value Date],tblBank[Reference],tblGJ[[#This Row],[Voucher No]],tblBank[Account Code],tblGJ[[#This Row],[Account Code]]),"")</f>
        <v/>
      </c>
      <c r="M197" s="1" t="str">
        <f>IF(tblGJ[[#This Row],[Date]]&lt;=PEnd,"Yes","No")</f>
        <v>Yes</v>
      </c>
    </row>
    <row r="198" spans="2:13" x14ac:dyDescent="0.35">
      <c r="B198" s="109">
        <v>46109</v>
      </c>
      <c r="C198" s="1" t="s">
        <v>5712</v>
      </c>
      <c r="D198" s="1">
        <v>1120</v>
      </c>
      <c r="E198" s="1" t="str">
        <f>_xlfn.XLOOKUP(tblGJ[[#This Row],[Account Code]],tblCOA[Code],tblCOA[Account Name],"⚠ Invalid account")</f>
        <v>Bank BCA - Current Account</v>
      </c>
      <c r="F198" s="1" t="s">
        <v>6073</v>
      </c>
      <c r="G198" s="5"/>
      <c r="H198" s="5">
        <v>35875000</v>
      </c>
      <c r="I198" s="1" t="s">
        <v>4263</v>
      </c>
      <c r="J198" s="1">
        <f>MONTH(tblGJ[[#This Row],[Date]])</f>
        <v>3</v>
      </c>
      <c r="K198" s="1" t="str">
        <f>_xlfn.XLOOKUP(tblGJ[[#This Row],[Account Code]],tblCOA[Code],tblCOA[FS Line],"")</f>
        <v>Cash and cash equivalents</v>
      </c>
      <c r="L198" s="121">
        <f>IF(OR(tblGJ[[#This Row],[Account Code]]=1120,tblGJ[[#This Row],[Account Code]]=1130),_xlfn.MINIFS(tblBank[Value Date],tblBank[Reference],tblGJ[[#This Row],[Voucher No]],tblBank[Account Code],tblGJ[[#This Row],[Account Code]]),"")</f>
        <v>46109</v>
      </c>
      <c r="M198" s="1" t="str">
        <f>IF(tblGJ[[#This Row],[Date]]&lt;=PEnd,"Yes","No")</f>
        <v>Yes</v>
      </c>
    </row>
    <row r="199" spans="2:13" x14ac:dyDescent="0.35">
      <c r="B199" s="109">
        <v>46109</v>
      </c>
      <c r="C199" s="1" t="s">
        <v>5713</v>
      </c>
      <c r="D199" s="1">
        <v>7210</v>
      </c>
      <c r="E199" s="1" t="str">
        <f>_xlfn.XLOOKUP(tblGJ[[#This Row],[Account Code]],tblCOA[Code],tblCOA[Account Name],"⚠ Invalid account")</f>
        <v>Interest Expense - Bank Loans</v>
      </c>
      <c r="F199" s="1" t="s">
        <v>6074</v>
      </c>
      <c r="G199" s="5">
        <v>2500000</v>
      </c>
      <c r="H199" s="5"/>
      <c r="I199" s="1" t="s">
        <v>4263</v>
      </c>
      <c r="J199" s="1">
        <f>MONTH(tblGJ[[#This Row],[Date]])</f>
        <v>3</v>
      </c>
      <c r="K199" s="1" t="str">
        <f>_xlfn.XLOOKUP(tblGJ[[#This Row],[Account Code]],tblCOA[Code],tblCOA[FS Line],"")</f>
        <v>Finance costs</v>
      </c>
      <c r="L199" s="121" t="str">
        <f>IF(OR(tblGJ[[#This Row],[Account Code]]=1120,tblGJ[[#This Row],[Account Code]]=1130),_xlfn.MINIFS(tblBank[Value Date],tblBank[Reference],tblGJ[[#This Row],[Voucher No]],tblBank[Account Code],tblGJ[[#This Row],[Account Code]]),"")</f>
        <v/>
      </c>
      <c r="M199" s="1" t="str">
        <f>IF(tblGJ[[#This Row],[Date]]&lt;=PEnd,"Yes","No")</f>
        <v>Yes</v>
      </c>
    </row>
    <row r="200" spans="2:13" x14ac:dyDescent="0.35">
      <c r="B200" s="109">
        <v>46109</v>
      </c>
      <c r="C200" s="1" t="s">
        <v>5713</v>
      </c>
      <c r="D200" s="1">
        <v>1120</v>
      </c>
      <c r="E200" s="1" t="str">
        <f>_xlfn.XLOOKUP(tblGJ[[#This Row],[Account Code]],tblCOA[Code],tblCOA[Account Name],"⚠ Invalid account")</f>
        <v>Bank BCA - Current Account</v>
      </c>
      <c r="F200" s="1" t="s">
        <v>6075</v>
      </c>
      <c r="G200" s="5"/>
      <c r="H200" s="5">
        <v>2500000</v>
      </c>
      <c r="I200" s="1" t="s">
        <v>4263</v>
      </c>
      <c r="J200" s="1">
        <f>MONTH(tblGJ[[#This Row],[Date]])</f>
        <v>3</v>
      </c>
      <c r="K200" s="1" t="str">
        <f>_xlfn.XLOOKUP(tblGJ[[#This Row],[Account Code]],tblCOA[Code],tblCOA[FS Line],"")</f>
        <v>Cash and cash equivalents</v>
      </c>
      <c r="L200" s="121">
        <f>IF(OR(tblGJ[[#This Row],[Account Code]]=1120,tblGJ[[#This Row],[Account Code]]=1130),_xlfn.MINIFS(tblBank[Value Date],tblBank[Reference],tblGJ[[#This Row],[Voucher No]],tblBank[Account Code],tblGJ[[#This Row],[Account Code]]),"")</f>
        <v>46109</v>
      </c>
      <c r="M200" s="1" t="str">
        <f>IF(tblGJ[[#This Row],[Date]]&lt;=PEnd,"Yes","No")</f>
        <v>Yes</v>
      </c>
    </row>
    <row r="201" spans="2:13" x14ac:dyDescent="0.35">
      <c r="B201" s="109">
        <v>46112</v>
      </c>
      <c r="C201" s="1" t="s">
        <v>5714</v>
      </c>
      <c r="D201" s="1">
        <v>1110</v>
      </c>
      <c r="E201" s="1" t="str">
        <f>_xlfn.XLOOKUP(tblGJ[[#This Row],[Account Code]],tblCOA[Code],tblCOA[Account Name],"⚠ Invalid account")</f>
        <v>Cash on Hand</v>
      </c>
      <c r="F201" s="1" t="s">
        <v>6076</v>
      </c>
      <c r="G201" s="5">
        <f>SUMIFS(tblSales[Total incl. VAT],tblSales[Month],MONTH(tblGJ[[#This Row],[Date]]),tblSales[Payment Method],Products!$O$13)</f>
        <v>181240800</v>
      </c>
      <c r="H201" s="5"/>
      <c r="I201" s="1" t="s">
        <v>6532</v>
      </c>
      <c r="J201" s="1">
        <f>MONTH(tblGJ[[#This Row],[Date]])</f>
        <v>3</v>
      </c>
      <c r="K201" s="1" t="str">
        <f>_xlfn.XLOOKUP(tblGJ[[#This Row],[Account Code]],tblCOA[Code],tblCOA[FS Line],"")</f>
        <v>Cash and cash equivalents</v>
      </c>
      <c r="L201" s="121" t="str">
        <f>IF(OR(tblGJ[[#This Row],[Account Code]]=1120,tblGJ[[#This Row],[Account Code]]=1130),_xlfn.MINIFS(tblBank[Value Date],tblBank[Reference],tblGJ[[#This Row],[Voucher No]],tblBank[Account Code],tblGJ[[#This Row],[Account Code]]),"")</f>
        <v/>
      </c>
      <c r="M201" s="1" t="str">
        <f>IF(tblGJ[[#This Row],[Date]]&lt;=PEnd,"Yes","No")</f>
        <v>Yes</v>
      </c>
    </row>
    <row r="202" spans="2:13" x14ac:dyDescent="0.35">
      <c r="B202" s="109">
        <v>46112</v>
      </c>
      <c r="C202" s="1" t="s">
        <v>5714</v>
      </c>
      <c r="D202" s="1">
        <v>1120</v>
      </c>
      <c r="E202" s="1" t="str">
        <f>_xlfn.XLOOKUP(tblGJ[[#This Row],[Account Code]],tblCOA[Code],tblCOA[Account Name],"⚠ Invalid account")</f>
        <v>Bank BCA - Current Account</v>
      </c>
      <c r="F202" s="1" t="s">
        <v>6077</v>
      </c>
      <c r="G202" s="5">
        <f>SUMIFS(tblSales[Total incl. VAT],tblSales[Month],MONTH(tblGJ[[#This Row],[Date]]),tblSales[Payment Method],Products!$O$14)</f>
        <v>255816150</v>
      </c>
      <c r="H202" s="5"/>
      <c r="I202" s="1" t="s">
        <v>6532</v>
      </c>
      <c r="J202" s="1">
        <f>MONTH(tblGJ[[#This Row],[Date]])</f>
        <v>3</v>
      </c>
      <c r="K202" s="1" t="str">
        <f>_xlfn.XLOOKUP(tblGJ[[#This Row],[Account Code]],tblCOA[Code],tblCOA[FS Line],"")</f>
        <v>Cash and cash equivalents</v>
      </c>
      <c r="L202" s="121">
        <f>IF(OR(tblGJ[[#This Row],[Account Code]]=1120,tblGJ[[#This Row],[Account Code]]=1130),_xlfn.MINIFS(tblBank[Value Date],tblBank[Reference],tblGJ[[#This Row],[Voucher No]],tblBank[Account Code],tblGJ[[#This Row],[Account Code]]),"")</f>
        <v>46112</v>
      </c>
      <c r="M202" s="1" t="str">
        <f>IF(tblGJ[[#This Row],[Date]]&lt;=PEnd,"Yes","No")</f>
        <v>Yes</v>
      </c>
    </row>
    <row r="203" spans="2:13" x14ac:dyDescent="0.35">
      <c r="B203" s="109">
        <v>46112</v>
      </c>
      <c r="C203" s="1" t="s">
        <v>5714</v>
      </c>
      <c r="D203" s="1">
        <v>1210</v>
      </c>
      <c r="E203" s="1" t="str">
        <f>_xlfn.XLOOKUP(tblGJ[[#This Row],[Account Code]],tblCOA[Code],tblCOA[Account Name],"⚠ Invalid account")</f>
        <v>Trade Receivables</v>
      </c>
      <c r="F203" s="1" t="s">
        <v>6078</v>
      </c>
      <c r="G203" s="5">
        <f>SUMIFS(tblSales[Total incl. VAT],tblSales[Month],MONTH(tblGJ[[#This Row],[Date]]),tblSales[Payment Method],Products!$O$15)</f>
        <v>1047529200</v>
      </c>
      <c r="H203" s="5"/>
      <c r="I203" s="1" t="s">
        <v>6532</v>
      </c>
      <c r="J203" s="1">
        <f>MONTH(tblGJ[[#This Row],[Date]])</f>
        <v>3</v>
      </c>
      <c r="K203" s="1" t="str">
        <f>_xlfn.XLOOKUP(tblGJ[[#This Row],[Account Code]],tblCOA[Code],tblCOA[FS Line],"")</f>
        <v>Trade receivables - net</v>
      </c>
      <c r="L203" s="121" t="str">
        <f>IF(OR(tblGJ[[#This Row],[Account Code]]=1120,tblGJ[[#This Row],[Account Code]]=1130),_xlfn.MINIFS(tblBank[Value Date],tblBank[Reference],tblGJ[[#This Row],[Voucher No]],tblBank[Account Code],tblGJ[[#This Row],[Account Code]]),"")</f>
        <v/>
      </c>
      <c r="M203" s="1" t="str">
        <f>IF(tblGJ[[#This Row],[Date]]&lt;=PEnd,"Yes","No")</f>
        <v>Yes</v>
      </c>
    </row>
    <row r="204" spans="2:13" x14ac:dyDescent="0.35">
      <c r="B204" s="109">
        <v>46112</v>
      </c>
      <c r="C204" s="1" t="s">
        <v>5714</v>
      </c>
      <c r="D204" s="1">
        <v>4100</v>
      </c>
      <c r="E204" s="1" t="str">
        <f>_xlfn.XLOOKUP(tblGJ[[#This Row],[Account Code]],tblCOA[Code],tblCOA[Account Name],"⚠ Invalid account")</f>
        <v>Sales of goods</v>
      </c>
      <c r="F204" s="1" t="s">
        <v>6079</v>
      </c>
      <c r="G204" s="5"/>
      <c r="H204" s="5">
        <f>SUMIFS(tblSales[DPP (excl. VAT)],tblSales[Month],MONTH(tblGJ[[#This Row],[Date]]))</f>
        <v>1337465000</v>
      </c>
      <c r="I204" s="1" t="s">
        <v>6532</v>
      </c>
      <c r="J204" s="1">
        <f>MONTH(tblGJ[[#This Row],[Date]])</f>
        <v>3</v>
      </c>
      <c r="K204" s="1" t="str">
        <f>_xlfn.XLOOKUP(tblGJ[[#This Row],[Account Code]],tblCOA[Code],tblCOA[FS Line],"")</f>
        <v>Revenue</v>
      </c>
      <c r="L204" s="121" t="str">
        <f>IF(OR(tblGJ[[#This Row],[Account Code]]=1120,tblGJ[[#This Row],[Account Code]]=1130),_xlfn.MINIFS(tblBank[Value Date],tblBank[Reference],tblGJ[[#This Row],[Voucher No]],tblBank[Account Code],tblGJ[[#This Row],[Account Code]]),"")</f>
        <v/>
      </c>
      <c r="M204" s="1" t="str">
        <f>IF(tblGJ[[#This Row],[Date]]&lt;=PEnd,"Yes","No")</f>
        <v>Yes</v>
      </c>
    </row>
    <row r="205" spans="2:13" x14ac:dyDescent="0.35">
      <c r="B205" s="109">
        <v>46112</v>
      </c>
      <c r="C205" s="1" t="s">
        <v>5714</v>
      </c>
      <c r="D205" s="1">
        <v>2210</v>
      </c>
      <c r="E205" s="1" t="str">
        <f>_xlfn.XLOOKUP(tblGJ[[#This Row],[Account Code]],tblCOA[Code],tblCOA[Account Name],"⚠ Invalid account")</f>
        <v>Output VAT (PPN Keluaran)</v>
      </c>
      <c r="F205" s="1" t="s">
        <v>6080</v>
      </c>
      <c r="G205" s="5"/>
      <c r="H205" s="5">
        <f>SUMIFS(tblSales[Output VAT],tblSales[Month],MONTH(tblGJ[[#This Row],[Date]]))</f>
        <v>147121150</v>
      </c>
      <c r="I205" s="1" t="s">
        <v>6532</v>
      </c>
      <c r="J205" s="1">
        <f>MONTH(tblGJ[[#This Row],[Date]])</f>
        <v>3</v>
      </c>
      <c r="K205" s="1" t="str">
        <f>_xlfn.XLOOKUP(tblGJ[[#This Row],[Account Code]],tblCOA[Code],tblCOA[FS Line],"")</f>
        <v>Taxes payable</v>
      </c>
      <c r="L205" s="121" t="str">
        <f>IF(OR(tblGJ[[#This Row],[Account Code]]=1120,tblGJ[[#This Row],[Account Code]]=1130),_xlfn.MINIFS(tblBank[Value Date],tblBank[Reference],tblGJ[[#This Row],[Voucher No]],tblBank[Account Code],tblGJ[[#This Row],[Account Code]]),"")</f>
        <v/>
      </c>
      <c r="M205" s="1" t="str">
        <f>IF(tblGJ[[#This Row],[Date]]&lt;=PEnd,"Yes","No")</f>
        <v>Yes</v>
      </c>
    </row>
    <row r="206" spans="2:13" x14ac:dyDescent="0.35">
      <c r="B206" s="109">
        <v>46112</v>
      </c>
      <c r="C206" s="1" t="s">
        <v>5715</v>
      </c>
      <c r="D206" s="1">
        <v>5100</v>
      </c>
      <c r="E206" s="1" t="str">
        <f>_xlfn.XLOOKUP(tblGJ[[#This Row],[Account Code]],tblCOA[Code],tblCOA[Account Name],"⚠ Invalid account")</f>
        <v>Cost of goods sold</v>
      </c>
      <c r="F206" s="1" t="s">
        <v>6081</v>
      </c>
      <c r="G206" s="5">
        <f>SUMIFS(tblSales[COGS],tblSales[Month],MONTH(tblGJ[[#This Row],[Date]]))</f>
        <v>805660000</v>
      </c>
      <c r="H206" s="5"/>
      <c r="I206" s="1" t="s">
        <v>6532</v>
      </c>
      <c r="J206" s="1">
        <f>MONTH(tblGJ[[#This Row],[Date]])</f>
        <v>3</v>
      </c>
      <c r="K206" s="1" t="str">
        <f>_xlfn.XLOOKUP(tblGJ[[#This Row],[Account Code]],tblCOA[Code],tblCOA[FS Line],"")</f>
        <v>Cost of revenue</v>
      </c>
      <c r="L206" s="121" t="str">
        <f>IF(OR(tblGJ[[#This Row],[Account Code]]=1120,tblGJ[[#This Row],[Account Code]]=1130),_xlfn.MINIFS(tblBank[Value Date],tblBank[Reference],tblGJ[[#This Row],[Voucher No]],tblBank[Account Code],tblGJ[[#This Row],[Account Code]]),"")</f>
        <v/>
      </c>
      <c r="M206" s="1" t="str">
        <f>IF(tblGJ[[#This Row],[Date]]&lt;=PEnd,"Yes","No")</f>
        <v>Yes</v>
      </c>
    </row>
    <row r="207" spans="2:13" x14ac:dyDescent="0.35">
      <c r="B207" s="109">
        <v>46112</v>
      </c>
      <c r="C207" s="1" t="s">
        <v>5715</v>
      </c>
      <c r="D207" s="1">
        <v>1310</v>
      </c>
      <c r="E207" s="1" t="str">
        <f>_xlfn.XLOOKUP(tblGJ[[#This Row],[Account Code]],tblCOA[Code],tblCOA[Account Name],"⚠ Invalid account")</f>
        <v>Merchandise inventory</v>
      </c>
      <c r="F207" s="1" t="s">
        <v>6082</v>
      </c>
      <c r="G207" s="5"/>
      <c r="H207" s="5">
        <f>SUMIFS(tblSales[COGS],tblSales[Month],MONTH(tblGJ[[#This Row],[Date]]))</f>
        <v>805660000</v>
      </c>
      <c r="I207" s="1" t="s">
        <v>6532</v>
      </c>
      <c r="J207" s="1">
        <f>MONTH(tblGJ[[#This Row],[Date]])</f>
        <v>3</v>
      </c>
      <c r="K207" s="1" t="str">
        <f>_xlfn.XLOOKUP(tblGJ[[#This Row],[Account Code]],tblCOA[Code],tblCOA[FS Line],"")</f>
        <v>Inventories</v>
      </c>
      <c r="L207" s="121" t="str">
        <f>IF(OR(tblGJ[[#This Row],[Account Code]]=1120,tblGJ[[#This Row],[Account Code]]=1130),_xlfn.MINIFS(tblBank[Value Date],tblBank[Reference],tblGJ[[#This Row],[Voucher No]],tblBank[Account Code],tblGJ[[#This Row],[Account Code]]),"")</f>
        <v/>
      </c>
      <c r="M207" s="1" t="str">
        <f>IF(tblGJ[[#This Row],[Date]]&lt;=PEnd,"Yes","No")</f>
        <v>Yes</v>
      </c>
    </row>
    <row r="208" spans="2:13" x14ac:dyDescent="0.35">
      <c r="B208" s="109">
        <v>46112</v>
      </c>
      <c r="C208" s="1" t="s">
        <v>5716</v>
      </c>
      <c r="D208" s="1">
        <v>1120</v>
      </c>
      <c r="E208" s="1" t="str">
        <f>_xlfn.XLOOKUP(tblGJ[[#This Row],[Account Code]],tblCOA[Code],tblCOA[Account Name],"⚠ Invalid account")</f>
        <v>Bank BCA - Current Account</v>
      </c>
      <c r="F208" s="1" t="s">
        <v>6083</v>
      </c>
      <c r="G208" s="5">
        <f>SUMIFS(tblSales[Total incl. VAT],tblSales[Month],MONTH(tblGJ[[#This Row],[Date]]),tblSales[Payment Method],Products!$O$13)</f>
        <v>181240800</v>
      </c>
      <c r="H208" s="5"/>
      <c r="I208" s="1" t="s">
        <v>6532</v>
      </c>
      <c r="J208" s="1">
        <f>MONTH(tblGJ[[#This Row],[Date]])</f>
        <v>3</v>
      </c>
      <c r="K208" s="1" t="str">
        <f>_xlfn.XLOOKUP(tblGJ[[#This Row],[Account Code]],tblCOA[Code],tblCOA[FS Line],"")</f>
        <v>Cash and cash equivalents</v>
      </c>
      <c r="L208" s="121">
        <f>IF(OR(tblGJ[[#This Row],[Account Code]]=1120,tblGJ[[#This Row],[Account Code]]=1130),_xlfn.MINIFS(tblBank[Value Date],tblBank[Reference],tblGJ[[#This Row],[Voucher No]],tblBank[Account Code],tblGJ[[#This Row],[Account Code]]),"")</f>
        <v>46112</v>
      </c>
      <c r="M208" s="1" t="str">
        <f>IF(tblGJ[[#This Row],[Date]]&lt;=PEnd,"Yes","No")</f>
        <v>Yes</v>
      </c>
    </row>
    <row r="209" spans="2:13" x14ac:dyDescent="0.35">
      <c r="B209" s="109">
        <v>46112</v>
      </c>
      <c r="C209" s="1" t="s">
        <v>5716</v>
      </c>
      <c r="D209" s="1">
        <v>1110</v>
      </c>
      <c r="E209" s="1" t="str">
        <f>_xlfn.XLOOKUP(tblGJ[[#This Row],[Account Code]],tblCOA[Code],tblCOA[Account Name],"⚠ Invalid account")</f>
        <v>Cash on Hand</v>
      </c>
      <c r="F209" s="1" t="s">
        <v>6083</v>
      </c>
      <c r="G209" s="5"/>
      <c r="H209" s="5">
        <f>SUMIFS(tblSales[Total incl. VAT],tblSales[Month],MONTH(tblGJ[[#This Row],[Date]]),tblSales[Payment Method],Products!$O$13)</f>
        <v>181240800</v>
      </c>
      <c r="I209" s="1" t="s">
        <v>6532</v>
      </c>
      <c r="J209" s="1">
        <f>MONTH(tblGJ[[#This Row],[Date]])</f>
        <v>3</v>
      </c>
      <c r="K209" s="1" t="str">
        <f>_xlfn.XLOOKUP(tblGJ[[#This Row],[Account Code]],tblCOA[Code],tblCOA[FS Line],"")</f>
        <v>Cash and cash equivalents</v>
      </c>
      <c r="L209" s="121" t="str">
        <f>IF(OR(tblGJ[[#This Row],[Account Code]]=1120,tblGJ[[#This Row],[Account Code]]=1130),_xlfn.MINIFS(tblBank[Value Date],tblBank[Reference],tblGJ[[#This Row],[Voucher No]],tblBank[Account Code],tblGJ[[#This Row],[Account Code]]),"")</f>
        <v/>
      </c>
      <c r="M209" s="1" t="str">
        <f>IF(tblGJ[[#This Row],[Date]]&lt;=PEnd,"Yes","No")</f>
        <v>Yes</v>
      </c>
    </row>
    <row r="210" spans="2:13" x14ac:dyDescent="0.35">
      <c r="B210" s="109">
        <v>46112</v>
      </c>
      <c r="C210" s="1" t="s">
        <v>5717</v>
      </c>
      <c r="D210" s="1">
        <v>1310</v>
      </c>
      <c r="E210" s="1" t="str">
        <f>_xlfn.XLOOKUP(tblGJ[[#This Row],[Account Code]],tblCOA[Code],tblCOA[Account Name],"⚠ Invalid account")</f>
        <v>Merchandise inventory</v>
      </c>
      <c r="F210" s="1" t="s">
        <v>6084</v>
      </c>
      <c r="G210" s="5">
        <f>SUMIFS(tblPurchases[DPP (excl. VAT)],tblPurchases[Account Code],tblGJ[[#This Row],[Account Code]],tblPurchases[Month],MONTH(tblGJ[[#This Row],[Date]]))</f>
        <v>815496000</v>
      </c>
      <c r="H210" s="5"/>
      <c r="I210" s="1" t="s">
        <v>6533</v>
      </c>
      <c r="J210" s="1">
        <f>MONTH(tblGJ[[#This Row],[Date]])</f>
        <v>3</v>
      </c>
      <c r="K210" s="1" t="str">
        <f>_xlfn.XLOOKUP(tblGJ[[#This Row],[Account Code]],tblCOA[Code],tblCOA[FS Line],"")</f>
        <v>Inventories</v>
      </c>
      <c r="L210" s="121" t="str">
        <f>IF(OR(tblGJ[[#This Row],[Account Code]]=1120,tblGJ[[#This Row],[Account Code]]=1130),_xlfn.MINIFS(tblBank[Value Date],tblBank[Reference],tblGJ[[#This Row],[Voucher No]],tblBank[Account Code],tblGJ[[#This Row],[Account Code]]),"")</f>
        <v/>
      </c>
      <c r="M210" s="1" t="str">
        <f>IF(tblGJ[[#This Row],[Date]]&lt;=PEnd,"Yes","No")</f>
        <v>Yes</v>
      </c>
    </row>
    <row r="211" spans="2:13" x14ac:dyDescent="0.35">
      <c r="B211" s="109">
        <v>46112</v>
      </c>
      <c r="C211" s="1" t="s">
        <v>5717</v>
      </c>
      <c r="D211" s="1">
        <v>1640</v>
      </c>
      <c r="E211" s="1" t="str">
        <f>_xlfn.XLOOKUP(tblGJ[[#This Row],[Account Code]],tblCOA[Code],tblCOA[Account Name],"⚠ Invalid account")</f>
        <v>Machinery &amp; Equipment</v>
      </c>
      <c r="F211" s="1" t="s">
        <v>6084</v>
      </c>
      <c r="G211" s="5">
        <f>SUMIFS(tblPurchases[DPP (excl. VAT)],tblPurchases[Account Code],tblGJ[[#This Row],[Account Code]],tblPurchases[Month],MONTH(tblGJ[[#This Row],[Date]]))</f>
        <v>180000000</v>
      </c>
      <c r="H211" s="5"/>
      <c r="I211" s="1" t="s">
        <v>6533</v>
      </c>
      <c r="J211" s="1">
        <f>MONTH(tblGJ[[#This Row],[Date]])</f>
        <v>3</v>
      </c>
      <c r="K211" s="1" t="str">
        <f>_xlfn.XLOOKUP(tblGJ[[#This Row],[Account Code]],tblCOA[Code],tblCOA[FS Line],"")</f>
        <v>Fixed assets - net</v>
      </c>
      <c r="L211" s="121" t="str">
        <f>IF(OR(tblGJ[[#This Row],[Account Code]]=1120,tblGJ[[#This Row],[Account Code]]=1130),_xlfn.MINIFS(tblBank[Value Date],tblBank[Reference],tblGJ[[#This Row],[Voucher No]],tblBank[Account Code],tblGJ[[#This Row],[Account Code]]),"")</f>
        <v/>
      </c>
      <c r="M211" s="1" t="str">
        <f>IF(tblGJ[[#This Row],[Date]]&lt;=PEnd,"Yes","No")</f>
        <v>Yes</v>
      </c>
    </row>
    <row r="212" spans="2:13" x14ac:dyDescent="0.35">
      <c r="B212" s="109">
        <v>46112</v>
      </c>
      <c r="C212" s="1" t="s">
        <v>5717</v>
      </c>
      <c r="D212" s="1">
        <v>6120</v>
      </c>
      <c r="E212" s="1" t="str">
        <f>_xlfn.XLOOKUP(tblGJ[[#This Row],[Account Code]],tblCOA[Code],tblCOA[Account Name],"⚠ Invalid account")</f>
        <v>Advertising &amp; Promotion</v>
      </c>
      <c r="F212" s="1" t="s">
        <v>6084</v>
      </c>
      <c r="G212" s="5">
        <f>SUMIFS(tblPurchases[DPP (excl. VAT)],tblPurchases[Account Code],tblGJ[[#This Row],[Account Code]],tblPurchases[Month],MONTH(tblGJ[[#This Row],[Date]]))</f>
        <v>14712000</v>
      </c>
      <c r="H212" s="5"/>
      <c r="I212" s="1" t="s">
        <v>6533</v>
      </c>
      <c r="J212" s="1">
        <f>MONTH(tblGJ[[#This Row],[Date]])</f>
        <v>3</v>
      </c>
      <c r="K212" s="1" t="str">
        <f>_xlfn.XLOOKUP(tblGJ[[#This Row],[Account Code]],tblCOA[Code],tblCOA[FS Line],"")</f>
        <v>Selling expenses</v>
      </c>
      <c r="L212" s="121" t="str">
        <f>IF(OR(tblGJ[[#This Row],[Account Code]]=1120,tblGJ[[#This Row],[Account Code]]=1130),_xlfn.MINIFS(tblBank[Value Date],tblBank[Reference],tblGJ[[#This Row],[Voucher No]],tblBank[Account Code],tblGJ[[#This Row],[Account Code]]),"")</f>
        <v/>
      </c>
      <c r="M212" s="1" t="str">
        <f>IF(tblGJ[[#This Row],[Date]]&lt;=PEnd,"Yes","No")</f>
        <v>Yes</v>
      </c>
    </row>
    <row r="213" spans="2:13" x14ac:dyDescent="0.35">
      <c r="B213" s="109">
        <v>46112</v>
      </c>
      <c r="C213" s="1" t="s">
        <v>5717</v>
      </c>
      <c r="D213" s="1">
        <v>6130</v>
      </c>
      <c r="E213" s="1" t="str">
        <f>_xlfn.XLOOKUP(tblGJ[[#This Row],[Account Code]],tblCOA[Code],tblCOA[Account Name],"⚠ Invalid account")</f>
        <v>Marketplace &amp; Sales Commissions</v>
      </c>
      <c r="F213" s="1" t="s">
        <v>6084</v>
      </c>
      <c r="G213" s="5">
        <f>SUMIFS(tblPurchases[DPP (excl. VAT)],tblPurchases[Account Code],tblGJ[[#This Row],[Account Code]],tblPurchases[Month],MONTH(tblGJ[[#This Row],[Date]]))</f>
        <v>3692000</v>
      </c>
      <c r="H213" s="5"/>
      <c r="I213" s="1" t="s">
        <v>6533</v>
      </c>
      <c r="J213" s="1">
        <f>MONTH(tblGJ[[#This Row],[Date]])</f>
        <v>3</v>
      </c>
      <c r="K213" s="1" t="str">
        <f>_xlfn.XLOOKUP(tblGJ[[#This Row],[Account Code]],tblCOA[Code],tblCOA[FS Line],"")</f>
        <v>Selling expenses</v>
      </c>
      <c r="L213" s="121" t="str">
        <f>IF(OR(tblGJ[[#This Row],[Account Code]]=1120,tblGJ[[#This Row],[Account Code]]=1130),_xlfn.MINIFS(tblBank[Value Date],tblBank[Reference],tblGJ[[#This Row],[Voucher No]],tblBank[Account Code],tblGJ[[#This Row],[Account Code]]),"")</f>
        <v/>
      </c>
      <c r="M213" s="1" t="str">
        <f>IF(tblGJ[[#This Row],[Date]]&lt;=PEnd,"Yes","No")</f>
        <v>Yes</v>
      </c>
    </row>
    <row r="214" spans="2:13" x14ac:dyDescent="0.35">
      <c r="B214" s="109">
        <v>46112</v>
      </c>
      <c r="C214" s="1" t="s">
        <v>5717</v>
      </c>
      <c r="D214" s="1">
        <v>6140</v>
      </c>
      <c r="E214" s="1" t="str">
        <f>_xlfn.XLOOKUP(tblGJ[[#This Row],[Account Code]],tblCOA[Code],tblCOA[Account Name],"⚠ Invalid account")</f>
        <v>Shipping &amp; Delivery</v>
      </c>
      <c r="F214" s="1" t="s">
        <v>6084</v>
      </c>
      <c r="G214" s="5">
        <f>SUMIFS(tblPurchases[DPP (excl. VAT)],tblPurchases[Account Code],tblGJ[[#This Row],[Account Code]],tblPurchases[Month],MONTH(tblGJ[[#This Row],[Date]]))</f>
        <v>12037000</v>
      </c>
      <c r="H214" s="5"/>
      <c r="I214" s="1" t="s">
        <v>6533</v>
      </c>
      <c r="J214" s="1">
        <f>MONTH(tblGJ[[#This Row],[Date]])</f>
        <v>3</v>
      </c>
      <c r="K214" s="1" t="str">
        <f>_xlfn.XLOOKUP(tblGJ[[#This Row],[Account Code]],tblCOA[Code],tblCOA[FS Line],"")</f>
        <v>Selling expenses</v>
      </c>
      <c r="L214" s="121" t="str">
        <f>IF(OR(tblGJ[[#This Row],[Account Code]]=1120,tblGJ[[#This Row],[Account Code]]=1130),_xlfn.MINIFS(tblBank[Value Date],tblBank[Reference],tblGJ[[#This Row],[Voucher No]],tblBank[Account Code],tblGJ[[#This Row],[Account Code]]),"")</f>
        <v/>
      </c>
      <c r="M214" s="1" t="str">
        <f>IF(tblGJ[[#This Row],[Date]]&lt;=PEnd,"Yes","No")</f>
        <v>Yes</v>
      </c>
    </row>
    <row r="215" spans="2:13" x14ac:dyDescent="0.35">
      <c r="B215" s="109">
        <v>46112</v>
      </c>
      <c r="C215" s="1" t="s">
        <v>5717</v>
      </c>
      <c r="D215" s="1">
        <v>6230</v>
      </c>
      <c r="E215" s="1" t="str">
        <f>_xlfn.XLOOKUP(tblGJ[[#This Row],[Account Code]],tblCOA[Code],tblCOA[Account Name],"⚠ Invalid account")</f>
        <v>Utilities &amp; Telecommunication</v>
      </c>
      <c r="F215" s="1" t="s">
        <v>6084</v>
      </c>
      <c r="G215" s="5">
        <f>SUMIFS(tblPurchases[DPP (excl. VAT)],tblPurchases[Account Code],tblGJ[[#This Row],[Account Code]],tblPurchases[Month],MONTH(tblGJ[[#This Row],[Date]]))</f>
        <v>13545000</v>
      </c>
      <c r="H215" s="5"/>
      <c r="I215" s="1" t="s">
        <v>6533</v>
      </c>
      <c r="J215" s="1">
        <f>MONTH(tblGJ[[#This Row],[Date]])</f>
        <v>3</v>
      </c>
      <c r="K215" s="1" t="str">
        <f>_xlfn.XLOOKUP(tblGJ[[#This Row],[Account Code]],tblCOA[Code],tblCOA[FS Line],"")</f>
        <v>General &amp; administrative expenses</v>
      </c>
      <c r="L215" s="121" t="str">
        <f>IF(OR(tblGJ[[#This Row],[Account Code]]=1120,tblGJ[[#This Row],[Account Code]]=1130),_xlfn.MINIFS(tblBank[Value Date],tblBank[Reference],tblGJ[[#This Row],[Voucher No]],tblBank[Account Code],tblGJ[[#This Row],[Account Code]]),"")</f>
        <v/>
      </c>
      <c r="M215" s="1" t="str">
        <f>IF(tblGJ[[#This Row],[Date]]&lt;=PEnd,"Yes","No")</f>
        <v>Yes</v>
      </c>
    </row>
    <row r="216" spans="2:13" x14ac:dyDescent="0.35">
      <c r="B216" s="109">
        <v>46112</v>
      </c>
      <c r="C216" s="1" t="s">
        <v>5717</v>
      </c>
      <c r="D216" s="1">
        <v>6270</v>
      </c>
      <c r="E216" s="1" t="str">
        <f>_xlfn.XLOOKUP(tblGJ[[#This Row],[Account Code]],tblCOA[Code],tblCOA[Account Name],"⚠ Invalid account")</f>
        <v>Office Supplies</v>
      </c>
      <c r="F216" s="1" t="s">
        <v>6084</v>
      </c>
      <c r="G216" s="5">
        <f>SUMIFS(tblPurchases[DPP (excl. VAT)],tblPurchases[Account Code],tblGJ[[#This Row],[Account Code]],tblPurchases[Month],MONTH(tblGJ[[#This Row],[Date]]))</f>
        <v>2638000</v>
      </c>
      <c r="H216" s="5"/>
      <c r="I216" s="1" t="s">
        <v>6533</v>
      </c>
      <c r="J216" s="1">
        <f>MONTH(tblGJ[[#This Row],[Date]])</f>
        <v>3</v>
      </c>
      <c r="K216" s="1" t="str">
        <f>_xlfn.XLOOKUP(tblGJ[[#This Row],[Account Code]],tblCOA[Code],tblCOA[FS Line],"")</f>
        <v>General &amp; administrative expenses</v>
      </c>
      <c r="L216" s="121" t="str">
        <f>IF(OR(tblGJ[[#This Row],[Account Code]]=1120,tblGJ[[#This Row],[Account Code]]=1130),_xlfn.MINIFS(tblBank[Value Date],tblBank[Reference],tblGJ[[#This Row],[Voucher No]],tblBank[Account Code],tblGJ[[#This Row],[Account Code]]),"")</f>
        <v/>
      </c>
      <c r="M216" s="1" t="str">
        <f>IF(tblGJ[[#This Row],[Date]]&lt;=PEnd,"Yes","No")</f>
        <v>Yes</v>
      </c>
    </row>
    <row r="217" spans="2:13" x14ac:dyDescent="0.35">
      <c r="B217" s="109">
        <v>46112</v>
      </c>
      <c r="C217" s="1" t="s">
        <v>5717</v>
      </c>
      <c r="D217" s="1">
        <v>6280</v>
      </c>
      <c r="E217" s="1" t="str">
        <f>_xlfn.XLOOKUP(tblGJ[[#This Row],[Account Code]],tblCOA[Code],tblCOA[Account Name],"⚠ Invalid account")</f>
        <v>Professional Fees</v>
      </c>
      <c r="F217" s="1" t="s">
        <v>6084</v>
      </c>
      <c r="G217" s="5">
        <f>SUMIFS(tblPurchases[DPP (excl. VAT)],tblPurchases[Account Code],tblGJ[[#This Row],[Account Code]],tblPurchases[Month],MONTH(tblGJ[[#This Row],[Date]]))</f>
        <v>25000000</v>
      </c>
      <c r="H217" s="5"/>
      <c r="I217" s="1" t="s">
        <v>6533</v>
      </c>
      <c r="J217" s="1">
        <f>MONTH(tblGJ[[#This Row],[Date]])</f>
        <v>3</v>
      </c>
      <c r="K217" s="1" t="str">
        <f>_xlfn.XLOOKUP(tblGJ[[#This Row],[Account Code]],tblCOA[Code],tblCOA[FS Line],"")</f>
        <v>General &amp; administrative expenses</v>
      </c>
      <c r="L217" s="121" t="str">
        <f>IF(OR(tblGJ[[#This Row],[Account Code]]=1120,tblGJ[[#This Row],[Account Code]]=1130),_xlfn.MINIFS(tblBank[Value Date],tblBank[Reference],tblGJ[[#This Row],[Voucher No]],tblBank[Account Code],tblGJ[[#This Row],[Account Code]]),"")</f>
        <v/>
      </c>
      <c r="M217" s="1" t="str">
        <f>IF(tblGJ[[#This Row],[Date]]&lt;=PEnd,"Yes","No")</f>
        <v>Yes</v>
      </c>
    </row>
    <row r="218" spans="2:13" x14ac:dyDescent="0.35">
      <c r="B218" s="109">
        <v>46112</v>
      </c>
      <c r="C218" s="1" t="s">
        <v>5717</v>
      </c>
      <c r="D218" s="1">
        <v>6295</v>
      </c>
      <c r="E218" s="1" t="str">
        <f>_xlfn.XLOOKUP(tblGJ[[#This Row],[Account Code]],tblCOA[Code],tblCOA[Account Name],"⚠ Invalid account")</f>
        <v>Repairs &amp; Maintenance</v>
      </c>
      <c r="F218" s="1" t="s">
        <v>6084</v>
      </c>
      <c r="G218" s="5">
        <f>SUMIFS(tblPurchases[DPP (excl. VAT)],tblPurchases[Account Code],tblGJ[[#This Row],[Account Code]],tblPurchases[Month],MONTH(tblGJ[[#This Row],[Date]]))</f>
        <v>4530000</v>
      </c>
      <c r="H218" s="5"/>
      <c r="I218" s="1" t="s">
        <v>6533</v>
      </c>
      <c r="J218" s="1">
        <f>MONTH(tblGJ[[#This Row],[Date]])</f>
        <v>3</v>
      </c>
      <c r="K218" s="1" t="str">
        <f>_xlfn.XLOOKUP(tblGJ[[#This Row],[Account Code]],tblCOA[Code],tblCOA[FS Line],"")</f>
        <v>General &amp; administrative expenses</v>
      </c>
      <c r="L218" s="121" t="str">
        <f>IF(OR(tblGJ[[#This Row],[Account Code]]=1120,tblGJ[[#This Row],[Account Code]]=1130),_xlfn.MINIFS(tblBank[Value Date],tblBank[Reference],tblGJ[[#This Row],[Voucher No]],tblBank[Account Code],tblGJ[[#This Row],[Account Code]]),"")</f>
        <v/>
      </c>
      <c r="M218" s="1" t="str">
        <f>IF(tblGJ[[#This Row],[Date]]&lt;=PEnd,"Yes","No")</f>
        <v>Yes</v>
      </c>
    </row>
    <row r="219" spans="2:13" x14ac:dyDescent="0.35">
      <c r="B219" s="109">
        <v>46112</v>
      </c>
      <c r="C219" s="1" t="s">
        <v>5717</v>
      </c>
      <c r="D219" s="1">
        <v>6296</v>
      </c>
      <c r="E219" s="1" t="str">
        <f>_xlfn.XLOOKUP(tblGJ[[#This Row],[Account Code]],tblCOA[Code],tblCOA[Account Name],"⚠ Invalid account")</f>
        <v>Entertainment &amp; Donations</v>
      </c>
      <c r="F219" s="1" t="s">
        <v>6084</v>
      </c>
      <c r="G219" s="5">
        <f>SUMIFS(tblPurchases[DPP (excl. VAT)],tblPurchases[Account Code],tblGJ[[#This Row],[Account Code]],tblPurchases[Month],MONTH(tblGJ[[#This Row],[Date]]))</f>
        <v>2328000</v>
      </c>
      <c r="H219" s="5"/>
      <c r="I219" s="1" t="s">
        <v>6533</v>
      </c>
      <c r="J219" s="1">
        <f>MONTH(tblGJ[[#This Row],[Date]])</f>
        <v>3</v>
      </c>
      <c r="K219" s="1" t="str">
        <f>_xlfn.XLOOKUP(tblGJ[[#This Row],[Account Code]],tblCOA[Code],tblCOA[FS Line],"")</f>
        <v>General &amp; administrative expenses</v>
      </c>
      <c r="L219" s="121" t="str">
        <f>IF(OR(tblGJ[[#This Row],[Account Code]]=1120,tblGJ[[#This Row],[Account Code]]=1130),_xlfn.MINIFS(tblBank[Value Date],tblBank[Reference],tblGJ[[#This Row],[Voucher No]],tblBank[Account Code],tblGJ[[#This Row],[Account Code]]),"")</f>
        <v/>
      </c>
      <c r="M219" s="1" t="str">
        <f>IF(tblGJ[[#This Row],[Date]]&lt;=PEnd,"Yes","No")</f>
        <v>Yes</v>
      </c>
    </row>
    <row r="220" spans="2:13" x14ac:dyDescent="0.35">
      <c r="B220" s="109">
        <v>46112</v>
      </c>
      <c r="C220" s="1" t="s">
        <v>5717</v>
      </c>
      <c r="D220" s="1">
        <v>1510</v>
      </c>
      <c r="E220" s="1" t="str">
        <f>_xlfn.XLOOKUP(tblGJ[[#This Row],[Account Code]],tblCOA[Code],tblCOA[Account Name],"⚠ Invalid account")</f>
        <v>Input VAT (PPN Masukan)</v>
      </c>
      <c r="F220" s="1" t="s">
        <v>6085</v>
      </c>
      <c r="G220" s="5">
        <f>SUMIFS(tblPurchases[Input VAT],tblPurchases[Month],MONTH(tblGJ[[#This Row],[Date]]))</f>
        <v>103637380</v>
      </c>
      <c r="H220" s="5"/>
      <c r="I220" s="1" t="s">
        <v>6533</v>
      </c>
      <c r="J220" s="1">
        <f>MONTH(tblGJ[[#This Row],[Date]])</f>
        <v>3</v>
      </c>
      <c r="K220" s="1" t="str">
        <f>_xlfn.XLOOKUP(tblGJ[[#This Row],[Account Code]],tblCOA[Code],tblCOA[FS Line],"")</f>
        <v>Prepaid taxes</v>
      </c>
      <c r="L220" s="121" t="str">
        <f>IF(OR(tblGJ[[#This Row],[Account Code]]=1120,tblGJ[[#This Row],[Account Code]]=1130),_xlfn.MINIFS(tblBank[Value Date],tblBank[Reference],tblGJ[[#This Row],[Voucher No]],tblBank[Account Code],tblGJ[[#This Row],[Account Code]]),"")</f>
        <v/>
      </c>
      <c r="M220" s="1" t="str">
        <f>IF(tblGJ[[#This Row],[Date]]&lt;=PEnd,"Yes","No")</f>
        <v>Yes</v>
      </c>
    </row>
    <row r="221" spans="2:13" x14ac:dyDescent="0.35">
      <c r="B221" s="109">
        <v>46112</v>
      </c>
      <c r="C221" s="1" t="s">
        <v>5717</v>
      </c>
      <c r="D221" s="1">
        <v>2240</v>
      </c>
      <c r="E221" s="1" t="str">
        <f>_xlfn.XLOOKUP(tblGJ[[#This Row],[Account Code]],tblCOA[Code],tblCOA[Account Name],"⚠ Invalid account")</f>
        <v>WHT Payable - Unifikasi (Art. 23/4(2))</v>
      </c>
      <c r="F221" s="1" t="s">
        <v>6086</v>
      </c>
      <c r="G221" s="5"/>
      <c r="H221" s="5">
        <f>SUMIFS(tblPurchases[WHT Amount],tblPurchases[Month],MONTH(tblGJ[[#This Row],[Date]]))</f>
        <v>1199420</v>
      </c>
      <c r="I221" s="1" t="s">
        <v>6533</v>
      </c>
      <c r="J221" s="1">
        <f>MONTH(tblGJ[[#This Row],[Date]])</f>
        <v>3</v>
      </c>
      <c r="K221" s="1" t="str">
        <f>_xlfn.XLOOKUP(tblGJ[[#This Row],[Account Code]],tblCOA[Code],tblCOA[FS Line],"")</f>
        <v>Taxes payable</v>
      </c>
      <c r="L221" s="121" t="str">
        <f>IF(OR(tblGJ[[#This Row],[Account Code]]=1120,tblGJ[[#This Row],[Account Code]]=1130),_xlfn.MINIFS(tblBank[Value Date],tblBank[Reference],tblGJ[[#This Row],[Voucher No]],tblBank[Account Code],tblGJ[[#This Row],[Account Code]]),"")</f>
        <v/>
      </c>
      <c r="M221" s="1" t="str">
        <f>IF(tblGJ[[#This Row],[Date]]&lt;=PEnd,"Yes","No")</f>
        <v>Yes</v>
      </c>
    </row>
    <row r="222" spans="2:13" x14ac:dyDescent="0.35">
      <c r="B222" s="109">
        <v>46112</v>
      </c>
      <c r="C222" s="1" t="s">
        <v>5717</v>
      </c>
      <c r="D222" s="1">
        <v>2110</v>
      </c>
      <c r="E222" s="1" t="str">
        <f>_xlfn.XLOOKUP(tblGJ[[#This Row],[Account Code]],tblCOA[Code],tblCOA[Account Name],"⚠ Invalid account")</f>
        <v>Trade Payables</v>
      </c>
      <c r="F222" s="1" t="s">
        <v>6087</v>
      </c>
      <c r="G222" s="5"/>
      <c r="H222" s="5">
        <f>SUMIFS(tblPurchases[Total Payable],tblPurchases[Month],MONTH(tblGJ[[#This Row],[Date]]))</f>
        <v>1176415960</v>
      </c>
      <c r="I222" s="1" t="s">
        <v>6533</v>
      </c>
      <c r="J222" s="1">
        <f>MONTH(tblGJ[[#This Row],[Date]])</f>
        <v>3</v>
      </c>
      <c r="K222" s="1" t="str">
        <f>_xlfn.XLOOKUP(tblGJ[[#This Row],[Account Code]],tblCOA[Code],tblCOA[FS Line],"")</f>
        <v>Trade payables</v>
      </c>
      <c r="L222" s="121" t="str">
        <f>IF(OR(tblGJ[[#This Row],[Account Code]]=1120,tblGJ[[#This Row],[Account Code]]=1130),_xlfn.MINIFS(tblBank[Value Date],tblBank[Reference],tblGJ[[#This Row],[Voucher No]],tblBank[Account Code],tblGJ[[#This Row],[Account Code]]),"")</f>
        <v/>
      </c>
      <c r="M222" s="1" t="str">
        <f>IF(tblGJ[[#This Row],[Date]]&lt;=PEnd,"Yes","No")</f>
        <v>Yes</v>
      </c>
    </row>
    <row r="223" spans="2:13" x14ac:dyDescent="0.35">
      <c r="B223" s="109">
        <v>46112</v>
      </c>
      <c r="C223" s="1" t="s">
        <v>5718</v>
      </c>
      <c r="D223" s="1">
        <v>2110</v>
      </c>
      <c r="E223" s="1" t="str">
        <f>_xlfn.XLOOKUP(tblGJ[[#This Row],[Account Code]],tblCOA[Code],tblCOA[Account Name],"⚠ Invalid account")</f>
        <v>Trade Payables</v>
      </c>
      <c r="F223" s="1" t="s">
        <v>6088</v>
      </c>
      <c r="G223" s="5">
        <f>SUMIFS(tblPurchases[Total Payable],tblPurchases[Pay Month],MONTH(tblGJ[[#This Row],[Date]]),tblPurchases[Paid From],1120)</f>
        <v>712602930</v>
      </c>
      <c r="H223" s="5"/>
      <c r="I223" s="1" t="s">
        <v>6529</v>
      </c>
      <c r="J223" s="1">
        <f>MONTH(tblGJ[[#This Row],[Date]])</f>
        <v>3</v>
      </c>
      <c r="K223" s="1" t="str">
        <f>_xlfn.XLOOKUP(tblGJ[[#This Row],[Account Code]],tblCOA[Code],tblCOA[FS Line],"")</f>
        <v>Trade payables</v>
      </c>
      <c r="L223" s="121" t="str">
        <f>IF(OR(tblGJ[[#This Row],[Account Code]]=1120,tblGJ[[#This Row],[Account Code]]=1130),_xlfn.MINIFS(tblBank[Value Date],tblBank[Reference],tblGJ[[#This Row],[Voucher No]],tblBank[Account Code],tblGJ[[#This Row],[Account Code]]),"")</f>
        <v/>
      </c>
      <c r="M223" s="1" t="str">
        <f>IF(tblGJ[[#This Row],[Date]]&lt;=PEnd,"Yes","No")</f>
        <v>Yes</v>
      </c>
    </row>
    <row r="224" spans="2:13" x14ac:dyDescent="0.35">
      <c r="B224" s="109">
        <v>46112</v>
      </c>
      <c r="C224" s="1" t="s">
        <v>5718</v>
      </c>
      <c r="D224" s="1">
        <v>1120</v>
      </c>
      <c r="E224" s="1" t="str">
        <f>_xlfn.XLOOKUP(tblGJ[[#This Row],[Account Code]],tblCOA[Code],tblCOA[Account Name],"⚠ Invalid account")</f>
        <v>Bank BCA - Current Account</v>
      </c>
      <c r="F224" s="1" t="s">
        <v>6088</v>
      </c>
      <c r="G224" s="5"/>
      <c r="H224" s="5">
        <f>SUMIFS(tblPurchases[Total Payable],tblPurchases[Pay Month],MONTH(tblGJ[[#This Row],[Date]]),tblPurchases[Paid From],1120)</f>
        <v>712602930</v>
      </c>
      <c r="I224" s="1" t="s">
        <v>6529</v>
      </c>
      <c r="J224" s="1">
        <f>MONTH(tblGJ[[#This Row],[Date]])</f>
        <v>3</v>
      </c>
      <c r="K224" s="1" t="str">
        <f>_xlfn.XLOOKUP(tblGJ[[#This Row],[Account Code]],tblCOA[Code],tblCOA[FS Line],"")</f>
        <v>Cash and cash equivalents</v>
      </c>
      <c r="L224" s="121">
        <f>IF(OR(tblGJ[[#This Row],[Account Code]]=1120,tblGJ[[#This Row],[Account Code]]=1130),_xlfn.MINIFS(tblBank[Value Date],tblBank[Reference],tblGJ[[#This Row],[Voucher No]],tblBank[Account Code],tblGJ[[#This Row],[Account Code]]),"")</f>
        <v>46112</v>
      </c>
      <c r="M224" s="1" t="str">
        <f>IF(tblGJ[[#This Row],[Date]]&lt;=PEnd,"Yes","No")</f>
        <v>Yes</v>
      </c>
    </row>
    <row r="225" spans="2:13" x14ac:dyDescent="0.35">
      <c r="B225" s="109">
        <v>46112</v>
      </c>
      <c r="C225" s="1" t="s">
        <v>5719</v>
      </c>
      <c r="D225" s="1">
        <v>2210</v>
      </c>
      <c r="E225" s="1" t="str">
        <f>_xlfn.XLOOKUP(tblGJ[[#This Row],[Account Code]],tblCOA[Code],tblCOA[Account Name],"⚠ Invalid account")</f>
        <v>Output VAT (PPN Keluaran)</v>
      </c>
      <c r="F225" s="1" t="s">
        <v>6089</v>
      </c>
      <c r="G225" s="5">
        <f>SUMIFS(tblSales[Output VAT],tblSales[Month],MONTH(tblGJ[[#This Row],[Date]]))</f>
        <v>147121150</v>
      </c>
      <c r="H225" s="5"/>
      <c r="I225" s="1" t="s">
        <v>6528</v>
      </c>
      <c r="J225" s="1">
        <f>MONTH(tblGJ[[#This Row],[Date]])</f>
        <v>3</v>
      </c>
      <c r="K225" s="1" t="str">
        <f>_xlfn.XLOOKUP(tblGJ[[#This Row],[Account Code]],tblCOA[Code],tblCOA[FS Line],"")</f>
        <v>Taxes payable</v>
      </c>
      <c r="L225" s="121" t="str">
        <f>IF(OR(tblGJ[[#This Row],[Account Code]]=1120,tblGJ[[#This Row],[Account Code]]=1130),_xlfn.MINIFS(tblBank[Value Date],tblBank[Reference],tblGJ[[#This Row],[Voucher No]],tblBank[Account Code],tblGJ[[#This Row],[Account Code]]),"")</f>
        <v/>
      </c>
      <c r="M225" s="1" t="str">
        <f>IF(tblGJ[[#This Row],[Date]]&lt;=PEnd,"Yes","No")</f>
        <v>Yes</v>
      </c>
    </row>
    <row r="226" spans="2:13" x14ac:dyDescent="0.35">
      <c r="B226" s="109">
        <v>46112</v>
      </c>
      <c r="C226" s="1" t="s">
        <v>5719</v>
      </c>
      <c r="D226" s="1">
        <v>1510</v>
      </c>
      <c r="E226" s="1" t="str">
        <f>_xlfn.XLOOKUP(tblGJ[[#This Row],[Account Code]],tblCOA[Code],tblCOA[Account Name],"⚠ Invalid account")</f>
        <v>Input VAT (PPN Masukan)</v>
      </c>
      <c r="F226" s="1" t="s">
        <v>6090</v>
      </c>
      <c r="G226" s="5"/>
      <c r="H226" s="5">
        <f>SUMIFS(tblPurchases[Input VAT],tblPurchases[Month],MONTH(tblGJ[[#This Row],[Date]]))</f>
        <v>103637380</v>
      </c>
      <c r="I226" s="1" t="s">
        <v>6528</v>
      </c>
      <c r="J226" s="1">
        <f>MONTH(tblGJ[[#This Row],[Date]])</f>
        <v>3</v>
      </c>
      <c r="K226" s="1" t="str">
        <f>_xlfn.XLOOKUP(tblGJ[[#This Row],[Account Code]],tblCOA[Code],tblCOA[FS Line],"")</f>
        <v>Prepaid taxes</v>
      </c>
      <c r="L226" s="121" t="str">
        <f>IF(OR(tblGJ[[#This Row],[Account Code]]=1120,tblGJ[[#This Row],[Account Code]]=1130),_xlfn.MINIFS(tblBank[Value Date],tblBank[Reference],tblGJ[[#This Row],[Voucher No]],tblBank[Account Code],tblGJ[[#This Row],[Account Code]]),"")</f>
        <v/>
      </c>
      <c r="M226" s="1" t="str">
        <f>IF(tblGJ[[#This Row],[Date]]&lt;=PEnd,"Yes","No")</f>
        <v>Yes</v>
      </c>
    </row>
    <row r="227" spans="2:13" x14ac:dyDescent="0.35">
      <c r="B227" s="109">
        <v>46112</v>
      </c>
      <c r="C227" s="1" t="s">
        <v>5719</v>
      </c>
      <c r="D227" s="1">
        <v>2220</v>
      </c>
      <c r="E227" s="1" t="str">
        <f>_xlfn.XLOOKUP(tblGJ[[#This Row],[Account Code]],tblCOA[Code],tblCOA[Account Name],"⚠ Invalid account")</f>
        <v>VAT Payable - Net</v>
      </c>
      <c r="F227" s="1" t="s">
        <v>6091</v>
      </c>
      <c r="G227" s="5"/>
      <c r="H227" s="5">
        <f>SUMIFS(tblSales[Output VAT],tblSales[Month],MONTH(tblGJ[[#This Row],[Date]]))-SUMIFS(tblPurchases[Input VAT],tblPurchases[Month],MONTH(tblGJ[[#This Row],[Date]]))</f>
        <v>43483770</v>
      </c>
      <c r="I227" s="1" t="s">
        <v>6528</v>
      </c>
      <c r="J227" s="1">
        <f>MONTH(tblGJ[[#This Row],[Date]])</f>
        <v>3</v>
      </c>
      <c r="K227" s="1" t="str">
        <f>_xlfn.XLOOKUP(tblGJ[[#This Row],[Account Code]],tblCOA[Code],tblCOA[FS Line],"")</f>
        <v>Taxes payable</v>
      </c>
      <c r="L227" s="121" t="str">
        <f>IF(OR(tblGJ[[#This Row],[Account Code]]=1120,tblGJ[[#This Row],[Account Code]]=1130),_xlfn.MINIFS(tblBank[Value Date],tblBank[Reference],tblGJ[[#This Row],[Voucher No]],tblBank[Account Code],tblGJ[[#This Row],[Account Code]]),"")</f>
        <v/>
      </c>
      <c r="M227" s="1" t="str">
        <f>IF(tblGJ[[#This Row],[Date]]&lt;=PEnd,"Yes","No")</f>
        <v>Yes</v>
      </c>
    </row>
    <row r="228" spans="2:13" x14ac:dyDescent="0.35">
      <c r="B228" s="109">
        <v>46112</v>
      </c>
      <c r="C228" s="1" t="s">
        <v>5720</v>
      </c>
      <c r="D228" s="1">
        <v>6240</v>
      </c>
      <c r="E228" s="1" t="str">
        <f>_xlfn.XLOOKUP(tblGJ[[#This Row],[Account Code]],tblCOA[Code],tblCOA[Account Name],"⚠ Invalid account")</f>
        <v>Depreciation Expense</v>
      </c>
      <c r="F228" s="1" t="s">
        <v>6092</v>
      </c>
      <c r="G228" s="5">
        <f>SUMIFS(INDEX(tblFA[[Jan]:[Dec]],0,MONTH(tblGJ[[#This Row],[Date]])),tblFA[Expense Account],tblGJ[[#This Row],[Account Code]])</f>
        <v>28125000</v>
      </c>
      <c r="H228" s="5"/>
      <c r="I228" s="1" t="s">
        <v>6534</v>
      </c>
      <c r="J228" s="1">
        <f>MONTH(tblGJ[[#This Row],[Date]])</f>
        <v>3</v>
      </c>
      <c r="K228" s="1" t="str">
        <f>_xlfn.XLOOKUP(tblGJ[[#This Row],[Account Code]],tblCOA[Code],tblCOA[FS Line],"")</f>
        <v>General &amp; administrative expenses</v>
      </c>
      <c r="L228" s="121" t="str">
        <f>IF(OR(tblGJ[[#This Row],[Account Code]]=1120,tblGJ[[#This Row],[Account Code]]=1130),_xlfn.MINIFS(tblBank[Value Date],tblBank[Reference],tblGJ[[#This Row],[Voucher No]],tblBank[Account Code],tblGJ[[#This Row],[Account Code]]),"")</f>
        <v/>
      </c>
      <c r="M228" s="1" t="str">
        <f>IF(tblGJ[[#This Row],[Date]]&lt;=PEnd,"Yes","No")</f>
        <v>Yes</v>
      </c>
    </row>
    <row r="229" spans="2:13" x14ac:dyDescent="0.35">
      <c r="B229" s="109">
        <v>46112</v>
      </c>
      <c r="C229" s="1" t="s">
        <v>5720</v>
      </c>
      <c r="D229" s="1">
        <v>6250</v>
      </c>
      <c r="E229" s="1" t="str">
        <f>_xlfn.XLOOKUP(tblGJ[[#This Row],[Account Code]],tblCOA[Code],tblCOA[Account Name],"⚠ Invalid account")</f>
        <v>Amortization Expense - Software</v>
      </c>
      <c r="F229" s="1" t="s">
        <v>6093</v>
      </c>
      <c r="G229" s="5">
        <f>SUMIFS(INDEX(tblFA[[Jan]:[Dec]],0,MONTH(tblGJ[[#This Row],[Date]])),tblFA[Expense Account],tblGJ[[#This Row],[Account Code]])</f>
        <v>3750000</v>
      </c>
      <c r="H229" s="5"/>
      <c r="I229" s="1" t="s">
        <v>6534</v>
      </c>
      <c r="J229" s="1">
        <f>MONTH(tblGJ[[#This Row],[Date]])</f>
        <v>3</v>
      </c>
      <c r="K229" s="1" t="str">
        <f>_xlfn.XLOOKUP(tblGJ[[#This Row],[Account Code]],tblCOA[Code],tblCOA[FS Line],"")</f>
        <v>General &amp; administrative expenses</v>
      </c>
      <c r="L229" s="121" t="str">
        <f>IF(OR(tblGJ[[#This Row],[Account Code]]=1120,tblGJ[[#This Row],[Account Code]]=1130),_xlfn.MINIFS(tblBank[Value Date],tblBank[Reference],tblGJ[[#This Row],[Voucher No]],tblBank[Account Code],tblGJ[[#This Row],[Account Code]]),"")</f>
        <v/>
      </c>
      <c r="M229" s="1" t="str">
        <f>IF(tblGJ[[#This Row],[Date]]&lt;=PEnd,"Yes","No")</f>
        <v>Yes</v>
      </c>
    </row>
    <row r="230" spans="2:13" x14ac:dyDescent="0.35">
      <c r="B230" s="109">
        <v>46112</v>
      </c>
      <c r="C230" s="1" t="s">
        <v>5720</v>
      </c>
      <c r="D230" s="1">
        <v>1691</v>
      </c>
      <c r="E230" s="1" t="str">
        <f>_xlfn.XLOOKUP(tblGJ[[#This Row],[Account Code]],tblCOA[Code],tblCOA[Account Name],"⚠ Invalid account")</f>
        <v>Acc. Depreciation - Buildings</v>
      </c>
      <c r="F230" s="1" t="s">
        <v>6094</v>
      </c>
      <c r="G230" s="5"/>
      <c r="H230" s="5">
        <f>SUMIFS(INDEX(tblFA[[Jan]:[Dec]],0,MONTH(tblGJ[[#This Row],[Date]])),tblFA[Acc. Dep. Account],tblGJ[[#This Row],[Account Code]])</f>
        <v>7500000</v>
      </c>
      <c r="I230" s="1" t="s">
        <v>6534</v>
      </c>
      <c r="J230" s="1">
        <f>MONTH(tblGJ[[#This Row],[Date]])</f>
        <v>3</v>
      </c>
      <c r="K230" s="1" t="str">
        <f>_xlfn.XLOOKUP(tblGJ[[#This Row],[Account Code]],tblCOA[Code],tblCOA[FS Line],"")</f>
        <v>Fixed assets - net</v>
      </c>
      <c r="L230" s="121" t="str">
        <f>IF(OR(tblGJ[[#This Row],[Account Code]]=1120,tblGJ[[#This Row],[Account Code]]=1130),_xlfn.MINIFS(tblBank[Value Date],tblBank[Reference],tblGJ[[#This Row],[Voucher No]],tblBank[Account Code],tblGJ[[#This Row],[Account Code]]),"")</f>
        <v/>
      </c>
      <c r="M230" s="1" t="str">
        <f>IF(tblGJ[[#This Row],[Date]]&lt;=PEnd,"Yes","No")</f>
        <v>Yes</v>
      </c>
    </row>
    <row r="231" spans="2:13" x14ac:dyDescent="0.35">
      <c r="B231" s="109">
        <v>46112</v>
      </c>
      <c r="C231" s="1" t="s">
        <v>5720</v>
      </c>
      <c r="D231" s="1">
        <v>1693</v>
      </c>
      <c r="E231" s="1" t="str">
        <f>_xlfn.XLOOKUP(tblGJ[[#This Row],[Account Code]],tblCOA[Code],tblCOA[Account Name],"⚠ Invalid account")</f>
        <v>Acc. Depreciation - Vehicles</v>
      </c>
      <c r="F231" s="1" t="s">
        <v>6094</v>
      </c>
      <c r="G231" s="5"/>
      <c r="H231" s="5">
        <f>SUMIFS(INDEX(tblFA[[Jan]:[Dec]],0,MONTH(tblGJ[[#This Row],[Date]])),tblFA[Acc. Dep. Account],tblGJ[[#This Row],[Account Code]])</f>
        <v>7291667</v>
      </c>
      <c r="I231" s="1" t="s">
        <v>6534</v>
      </c>
      <c r="J231" s="1">
        <f>MONTH(tblGJ[[#This Row],[Date]])</f>
        <v>3</v>
      </c>
      <c r="K231" s="1" t="str">
        <f>_xlfn.XLOOKUP(tblGJ[[#This Row],[Account Code]],tblCOA[Code],tblCOA[FS Line],"")</f>
        <v>Fixed assets - net</v>
      </c>
      <c r="L231" s="121" t="str">
        <f>IF(OR(tblGJ[[#This Row],[Account Code]]=1120,tblGJ[[#This Row],[Account Code]]=1130),_xlfn.MINIFS(tblBank[Value Date],tblBank[Reference],tblGJ[[#This Row],[Voucher No]],tblBank[Account Code],tblGJ[[#This Row],[Account Code]]),"")</f>
        <v/>
      </c>
      <c r="M231" s="1" t="str">
        <f>IF(tblGJ[[#This Row],[Date]]&lt;=PEnd,"Yes","No")</f>
        <v>Yes</v>
      </c>
    </row>
    <row r="232" spans="2:13" x14ac:dyDescent="0.35">
      <c r="B232" s="109">
        <v>46112</v>
      </c>
      <c r="C232" s="1" t="s">
        <v>5720</v>
      </c>
      <c r="D232" s="1">
        <v>1694</v>
      </c>
      <c r="E232" s="1" t="str">
        <f>_xlfn.XLOOKUP(tblGJ[[#This Row],[Account Code]],tblCOA[Code],tblCOA[Account Name],"⚠ Invalid account")</f>
        <v>Acc. Depreciation - Machinery &amp; Equipment</v>
      </c>
      <c r="F232" s="1" t="s">
        <v>6094</v>
      </c>
      <c r="G232" s="5"/>
      <c r="H232" s="5">
        <f>SUMIFS(INDEX(tblFA[[Jan]:[Dec]],0,MONTH(tblGJ[[#This Row],[Date]])),tblFA[Acc. Dep. Account],tblGJ[[#This Row],[Account Code]])</f>
        <v>10208333</v>
      </c>
      <c r="I232" s="1" t="s">
        <v>6534</v>
      </c>
      <c r="J232" s="1">
        <f>MONTH(tblGJ[[#This Row],[Date]])</f>
        <v>3</v>
      </c>
      <c r="K232" s="1" t="str">
        <f>_xlfn.XLOOKUP(tblGJ[[#This Row],[Account Code]],tblCOA[Code],tblCOA[FS Line],"")</f>
        <v>Fixed assets - net</v>
      </c>
      <c r="L232" s="121" t="str">
        <f>IF(OR(tblGJ[[#This Row],[Account Code]]=1120,tblGJ[[#This Row],[Account Code]]=1130),_xlfn.MINIFS(tblBank[Value Date],tblBank[Reference],tblGJ[[#This Row],[Voucher No]],tblBank[Account Code],tblGJ[[#This Row],[Account Code]]),"")</f>
        <v/>
      </c>
      <c r="M232" s="1" t="str">
        <f>IF(tblGJ[[#This Row],[Date]]&lt;=PEnd,"Yes","No")</f>
        <v>Yes</v>
      </c>
    </row>
    <row r="233" spans="2:13" x14ac:dyDescent="0.35">
      <c r="B233" s="109">
        <v>46112</v>
      </c>
      <c r="C233" s="1" t="s">
        <v>5720</v>
      </c>
      <c r="D233" s="1">
        <v>1695</v>
      </c>
      <c r="E233" s="1" t="str">
        <f>_xlfn.XLOOKUP(tblGJ[[#This Row],[Account Code]],tblCOA[Code],tblCOA[Account Name],"⚠ Invalid account")</f>
        <v>Acc. Depreciation - Office Furniture &amp; Equipment</v>
      </c>
      <c r="F233" s="1" t="s">
        <v>6094</v>
      </c>
      <c r="G233" s="5"/>
      <c r="H233" s="5">
        <f>SUMIFS(INDEX(tblFA[[Jan]:[Dec]],0,MONTH(tblGJ[[#This Row],[Date]])),tblFA[Acc. Dep. Account],tblGJ[[#This Row],[Account Code]])</f>
        <v>3125000</v>
      </c>
      <c r="I233" s="1" t="s">
        <v>6534</v>
      </c>
      <c r="J233" s="1">
        <f>MONTH(tblGJ[[#This Row],[Date]])</f>
        <v>3</v>
      </c>
      <c r="K233" s="1" t="str">
        <f>_xlfn.XLOOKUP(tblGJ[[#This Row],[Account Code]],tblCOA[Code],tblCOA[FS Line],"")</f>
        <v>Fixed assets - net</v>
      </c>
      <c r="L233" s="121" t="str">
        <f>IF(OR(tblGJ[[#This Row],[Account Code]]=1120,tblGJ[[#This Row],[Account Code]]=1130),_xlfn.MINIFS(tblBank[Value Date],tblBank[Reference],tblGJ[[#This Row],[Voucher No]],tblBank[Account Code],tblGJ[[#This Row],[Account Code]]),"")</f>
        <v/>
      </c>
      <c r="M233" s="1" t="str">
        <f>IF(tblGJ[[#This Row],[Date]]&lt;=PEnd,"Yes","No")</f>
        <v>Yes</v>
      </c>
    </row>
    <row r="234" spans="2:13" x14ac:dyDescent="0.35">
      <c r="B234" s="109">
        <v>46112</v>
      </c>
      <c r="C234" s="1" t="s">
        <v>5720</v>
      </c>
      <c r="D234" s="1">
        <v>1719</v>
      </c>
      <c r="E234" s="1" t="str">
        <f>_xlfn.XLOOKUP(tblGJ[[#This Row],[Account Code]],tblCOA[Code],tblCOA[Account Name],"⚠ Invalid account")</f>
        <v>Acc. Amortization - Software</v>
      </c>
      <c r="F234" s="1" t="s">
        <v>6094</v>
      </c>
      <c r="G234" s="5"/>
      <c r="H234" s="5">
        <f>SUMIFS(INDEX(tblFA[[Jan]:[Dec]],0,MONTH(tblGJ[[#This Row],[Date]])),tblFA[Acc. Dep. Account],tblGJ[[#This Row],[Account Code]])</f>
        <v>3750000</v>
      </c>
      <c r="I234" s="1" t="s">
        <v>6534</v>
      </c>
      <c r="J234" s="1">
        <f>MONTH(tblGJ[[#This Row],[Date]])</f>
        <v>3</v>
      </c>
      <c r="K234" s="1" t="str">
        <f>_xlfn.XLOOKUP(tblGJ[[#This Row],[Account Code]],tblCOA[Code],tblCOA[FS Line],"")</f>
        <v>Intangible assets - net</v>
      </c>
      <c r="L234" s="121" t="str">
        <f>IF(OR(tblGJ[[#This Row],[Account Code]]=1120,tblGJ[[#This Row],[Account Code]]=1130),_xlfn.MINIFS(tblBank[Value Date],tblBank[Reference],tblGJ[[#This Row],[Voucher No]],tblBank[Account Code],tblGJ[[#This Row],[Account Code]]),"")</f>
        <v/>
      </c>
      <c r="M234" s="1" t="str">
        <f>IF(tblGJ[[#This Row],[Date]]&lt;=PEnd,"Yes","No")</f>
        <v>Yes</v>
      </c>
    </row>
    <row r="235" spans="2:13" x14ac:dyDescent="0.35">
      <c r="B235" s="109">
        <v>46112</v>
      </c>
      <c r="C235" s="1" t="s">
        <v>5721</v>
      </c>
      <c r="D235" s="1">
        <v>6220</v>
      </c>
      <c r="E235" s="1" t="str">
        <f>_xlfn.XLOOKUP(tblGJ[[#This Row],[Account Code]],tblCOA[Code],tblCOA[Account Name],"⚠ Invalid account")</f>
        <v>Rent Expense</v>
      </c>
      <c r="F235" s="1" t="s">
        <v>6095</v>
      </c>
      <c r="G235" s="5">
        <f>SUMIFS(INDEX(tblPrepaid[[Jan]:[Dec]],0,MONTH(tblGJ[[#This Row],[Date]])),tblPrepaid[Expense Account],tblGJ[[#This Row],[Account Code]])</f>
        <v>11000000</v>
      </c>
      <c r="H235" s="5"/>
      <c r="I235" s="1" t="s">
        <v>6535</v>
      </c>
      <c r="J235" s="1">
        <f>MONTH(tblGJ[[#This Row],[Date]])</f>
        <v>3</v>
      </c>
      <c r="K235" s="1" t="str">
        <f>_xlfn.XLOOKUP(tblGJ[[#This Row],[Account Code]],tblCOA[Code],tblCOA[FS Line],"")</f>
        <v>General &amp; administrative expenses</v>
      </c>
      <c r="L235" s="121" t="str">
        <f>IF(OR(tblGJ[[#This Row],[Account Code]]=1120,tblGJ[[#This Row],[Account Code]]=1130),_xlfn.MINIFS(tblBank[Value Date],tblBank[Reference],tblGJ[[#This Row],[Voucher No]],tblBank[Account Code],tblGJ[[#This Row],[Account Code]]),"")</f>
        <v/>
      </c>
      <c r="M235" s="1" t="str">
        <f>IF(tblGJ[[#This Row],[Date]]&lt;=PEnd,"Yes","No")</f>
        <v>Yes</v>
      </c>
    </row>
    <row r="236" spans="2:13" x14ac:dyDescent="0.35">
      <c r="B236" s="109">
        <v>46112</v>
      </c>
      <c r="C236" s="1" t="s">
        <v>5721</v>
      </c>
      <c r="D236" s="1">
        <v>6260</v>
      </c>
      <c r="E236" s="1" t="str">
        <f>_xlfn.XLOOKUP(tblGJ[[#This Row],[Account Code]],tblCOA[Code],tblCOA[Account Name],"⚠ Invalid account")</f>
        <v>Insurance Expense</v>
      </c>
      <c r="F236" s="1" t="s">
        <v>6095</v>
      </c>
      <c r="G236" s="5">
        <f>SUMIFS(INDEX(tblPrepaid[[Jan]:[Dec]],0,MONTH(tblGJ[[#This Row],[Date]])),tblPrepaid[Expense Account],tblGJ[[#This Row],[Account Code]])</f>
        <v>2500000</v>
      </c>
      <c r="H236" s="5"/>
      <c r="I236" s="1" t="s">
        <v>6535</v>
      </c>
      <c r="J236" s="1">
        <f>MONTH(tblGJ[[#This Row],[Date]])</f>
        <v>3</v>
      </c>
      <c r="K236" s="1" t="str">
        <f>_xlfn.XLOOKUP(tblGJ[[#This Row],[Account Code]],tblCOA[Code],tblCOA[FS Line],"")</f>
        <v>General &amp; administrative expenses</v>
      </c>
      <c r="L236" s="121" t="str">
        <f>IF(OR(tblGJ[[#This Row],[Account Code]]=1120,tblGJ[[#This Row],[Account Code]]=1130),_xlfn.MINIFS(tblBank[Value Date],tblBank[Reference],tblGJ[[#This Row],[Voucher No]],tblBank[Account Code],tblGJ[[#This Row],[Account Code]]),"")</f>
        <v/>
      </c>
      <c r="M236" s="1" t="str">
        <f>IF(tblGJ[[#This Row],[Date]]&lt;=PEnd,"Yes","No")</f>
        <v>Yes</v>
      </c>
    </row>
    <row r="237" spans="2:13" x14ac:dyDescent="0.35">
      <c r="B237" s="109">
        <v>46112</v>
      </c>
      <c r="C237" s="1" t="s">
        <v>5721</v>
      </c>
      <c r="D237" s="1">
        <v>6265</v>
      </c>
      <c r="E237" s="1" t="str">
        <f>_xlfn.XLOOKUP(tblGJ[[#This Row],[Account Code]],tblCOA[Code],tblCOA[Account Name],"⚠ Invalid account")</f>
        <v>Software Subscription Expense</v>
      </c>
      <c r="F237" s="1" t="s">
        <v>6095</v>
      </c>
      <c r="G237" s="5">
        <f>SUMIFS(INDEX(tblPrepaid[[Jan]:[Dec]],0,MONTH(tblGJ[[#This Row],[Date]])),tblPrepaid[Expense Account],tblGJ[[#This Row],[Account Code]])</f>
        <v>6000000</v>
      </c>
      <c r="H237" s="5"/>
      <c r="I237" s="1" t="s">
        <v>6535</v>
      </c>
      <c r="J237" s="1">
        <f>MONTH(tblGJ[[#This Row],[Date]])</f>
        <v>3</v>
      </c>
      <c r="K237" s="1" t="str">
        <f>_xlfn.XLOOKUP(tblGJ[[#This Row],[Account Code]],tblCOA[Code],tblCOA[FS Line],"")</f>
        <v>General &amp; administrative expenses</v>
      </c>
      <c r="L237" s="121" t="str">
        <f>IF(OR(tblGJ[[#This Row],[Account Code]]=1120,tblGJ[[#This Row],[Account Code]]=1130),_xlfn.MINIFS(tblBank[Value Date],tblBank[Reference],tblGJ[[#This Row],[Voucher No]],tblBank[Account Code],tblGJ[[#This Row],[Account Code]]),"")</f>
        <v/>
      </c>
      <c r="M237" s="1" t="str">
        <f>IF(tblGJ[[#This Row],[Date]]&lt;=PEnd,"Yes","No")</f>
        <v>Yes</v>
      </c>
    </row>
    <row r="238" spans="2:13" x14ac:dyDescent="0.35">
      <c r="B238" s="109">
        <v>46112</v>
      </c>
      <c r="C238" s="1" t="s">
        <v>5721</v>
      </c>
      <c r="D238" s="1">
        <v>1410</v>
      </c>
      <c r="E238" s="1" t="str">
        <f>_xlfn.XLOOKUP(tblGJ[[#This Row],[Account Code]],tblCOA[Code],tblCOA[Account Name],"⚠ Invalid account")</f>
        <v>Prepaid Rent</v>
      </c>
      <c r="F238" s="1" t="s">
        <v>6095</v>
      </c>
      <c r="G238" s="5"/>
      <c r="H238" s="5">
        <f>SUMIFS(INDEX(tblPrepaid[[Jan]:[Dec]],0,MONTH(tblGJ[[#This Row],[Date]])),tblPrepaid[Prepaid Account],tblGJ[[#This Row],[Account Code]])</f>
        <v>11000000</v>
      </c>
      <c r="I238" s="1" t="s">
        <v>6535</v>
      </c>
      <c r="J238" s="1">
        <f>MONTH(tblGJ[[#This Row],[Date]])</f>
        <v>3</v>
      </c>
      <c r="K238" s="1" t="str">
        <f>_xlfn.XLOOKUP(tblGJ[[#This Row],[Account Code]],tblCOA[Code],tblCOA[FS Line],"")</f>
        <v>Prepaid expenses</v>
      </c>
      <c r="L238" s="121" t="str">
        <f>IF(OR(tblGJ[[#This Row],[Account Code]]=1120,tblGJ[[#This Row],[Account Code]]=1130),_xlfn.MINIFS(tblBank[Value Date],tblBank[Reference],tblGJ[[#This Row],[Voucher No]],tblBank[Account Code],tblGJ[[#This Row],[Account Code]]),"")</f>
        <v/>
      </c>
      <c r="M238" s="1" t="str">
        <f>IF(tblGJ[[#This Row],[Date]]&lt;=PEnd,"Yes","No")</f>
        <v>Yes</v>
      </c>
    </row>
    <row r="239" spans="2:13" x14ac:dyDescent="0.35">
      <c r="B239" s="109">
        <v>46112</v>
      </c>
      <c r="C239" s="1" t="s">
        <v>5721</v>
      </c>
      <c r="D239" s="1">
        <v>1420</v>
      </c>
      <c r="E239" s="1" t="str">
        <f>_xlfn.XLOOKUP(tblGJ[[#This Row],[Account Code]],tblCOA[Code],tblCOA[Account Name],"⚠ Invalid account")</f>
        <v>Prepaid Insurance</v>
      </c>
      <c r="F239" s="1" t="s">
        <v>6095</v>
      </c>
      <c r="G239" s="5"/>
      <c r="H239" s="5">
        <f>SUMIFS(INDEX(tblPrepaid[[Jan]:[Dec]],0,MONTH(tblGJ[[#This Row],[Date]])),tblPrepaid[Prepaid Account],tblGJ[[#This Row],[Account Code]])</f>
        <v>2500000</v>
      </c>
      <c r="I239" s="1" t="s">
        <v>6535</v>
      </c>
      <c r="J239" s="1">
        <f>MONTH(tblGJ[[#This Row],[Date]])</f>
        <v>3</v>
      </c>
      <c r="K239" s="1" t="str">
        <f>_xlfn.XLOOKUP(tblGJ[[#This Row],[Account Code]],tblCOA[Code],tblCOA[FS Line],"")</f>
        <v>Prepaid expenses</v>
      </c>
      <c r="L239" s="121" t="str">
        <f>IF(OR(tblGJ[[#This Row],[Account Code]]=1120,tblGJ[[#This Row],[Account Code]]=1130),_xlfn.MINIFS(tblBank[Value Date],tblBank[Reference],tblGJ[[#This Row],[Voucher No]],tblBank[Account Code],tblGJ[[#This Row],[Account Code]]),"")</f>
        <v/>
      </c>
      <c r="M239" s="1" t="str">
        <f>IF(tblGJ[[#This Row],[Date]]&lt;=PEnd,"Yes","No")</f>
        <v>Yes</v>
      </c>
    </row>
    <row r="240" spans="2:13" x14ac:dyDescent="0.35">
      <c r="B240" s="109">
        <v>46112</v>
      </c>
      <c r="C240" s="1" t="s">
        <v>5721</v>
      </c>
      <c r="D240" s="1">
        <v>1430</v>
      </c>
      <c r="E240" s="1" t="str">
        <f>_xlfn.XLOOKUP(tblGJ[[#This Row],[Account Code]],tblCOA[Code],tblCOA[Account Name],"⚠ Invalid account")</f>
        <v>Prepaid Software Subscriptions</v>
      </c>
      <c r="F240" s="1" t="s">
        <v>6095</v>
      </c>
      <c r="G240" s="5"/>
      <c r="H240" s="5">
        <f>SUMIFS(INDEX(tblPrepaid[[Jan]:[Dec]],0,MONTH(tblGJ[[#This Row],[Date]])),tblPrepaid[Prepaid Account],tblGJ[[#This Row],[Account Code]])</f>
        <v>6000000</v>
      </c>
      <c r="I240" s="1" t="s">
        <v>6535</v>
      </c>
      <c r="J240" s="1">
        <f>MONTH(tblGJ[[#This Row],[Date]])</f>
        <v>3</v>
      </c>
      <c r="K240" s="1" t="str">
        <f>_xlfn.XLOOKUP(tblGJ[[#This Row],[Account Code]],tblCOA[Code],tblCOA[FS Line],"")</f>
        <v>Prepaid expenses</v>
      </c>
      <c r="L240" s="121" t="str">
        <f>IF(OR(tblGJ[[#This Row],[Account Code]]=1120,tblGJ[[#This Row],[Account Code]]=1130),_xlfn.MINIFS(tblBank[Value Date],tblBank[Reference],tblGJ[[#This Row],[Voucher No]],tblBank[Account Code],tblGJ[[#This Row],[Account Code]]),"")</f>
        <v/>
      </c>
      <c r="M240" s="1" t="str">
        <f>IF(tblGJ[[#This Row],[Date]]&lt;=PEnd,"Yes","No")</f>
        <v>Yes</v>
      </c>
    </row>
    <row r="241" spans="2:13" x14ac:dyDescent="0.35">
      <c r="B241" s="109">
        <v>46112</v>
      </c>
      <c r="C241" s="1" t="s">
        <v>5722</v>
      </c>
      <c r="D241" s="1">
        <v>6290</v>
      </c>
      <c r="E241" s="1" t="str">
        <f>_xlfn.XLOOKUP(tblGJ[[#This Row],[Account Code]],tblCOA[Code],tblCOA[Account Name],"⚠ Invalid account")</f>
        <v>Employee Benefits Expense</v>
      </c>
      <c r="F241" s="1" t="s">
        <v>6096</v>
      </c>
      <c r="G241" s="5">
        <v>3000000</v>
      </c>
      <c r="H241" s="5"/>
      <c r="I241" s="1" t="s">
        <v>4263</v>
      </c>
      <c r="J241" s="1">
        <f>MONTH(tblGJ[[#This Row],[Date]])</f>
        <v>3</v>
      </c>
      <c r="K241" s="1" t="str">
        <f>_xlfn.XLOOKUP(tblGJ[[#This Row],[Account Code]],tblCOA[Code],tblCOA[FS Line],"")</f>
        <v>General &amp; administrative expenses</v>
      </c>
      <c r="L241" s="121" t="str">
        <f>IF(OR(tblGJ[[#This Row],[Account Code]]=1120,tblGJ[[#This Row],[Account Code]]=1130),_xlfn.MINIFS(tblBank[Value Date],tblBank[Reference],tblGJ[[#This Row],[Voucher No]],tblBank[Account Code],tblGJ[[#This Row],[Account Code]]),"")</f>
        <v/>
      </c>
      <c r="M241" s="1" t="str">
        <f>IF(tblGJ[[#This Row],[Date]]&lt;=PEnd,"Yes","No")</f>
        <v>Yes</v>
      </c>
    </row>
    <row r="242" spans="2:13" x14ac:dyDescent="0.35">
      <c r="B242" s="109">
        <v>46112</v>
      </c>
      <c r="C242" s="1" t="s">
        <v>5722</v>
      </c>
      <c r="D242" s="1">
        <v>2420</v>
      </c>
      <c r="E242" s="1" t="str">
        <f>_xlfn.XLOOKUP(tblGJ[[#This Row],[Account Code]],tblCOA[Code],tblCOA[Account Name],"⚠ Invalid account")</f>
        <v>Employee Benefits Liability</v>
      </c>
      <c r="F242" s="1" t="s">
        <v>6097</v>
      </c>
      <c r="G242" s="5"/>
      <c r="H242" s="5">
        <v>3000000</v>
      </c>
      <c r="I242" s="1" t="s">
        <v>4263</v>
      </c>
      <c r="J242" s="1">
        <f>MONTH(tblGJ[[#This Row],[Date]])</f>
        <v>3</v>
      </c>
      <c r="K242" s="1" t="str">
        <f>_xlfn.XLOOKUP(tblGJ[[#This Row],[Account Code]],tblCOA[Code],tblCOA[FS Line],"")</f>
        <v>Employee benefits liability</v>
      </c>
      <c r="L242" s="121" t="str">
        <f>IF(OR(tblGJ[[#This Row],[Account Code]]=1120,tblGJ[[#This Row],[Account Code]]=1130),_xlfn.MINIFS(tblBank[Value Date],tblBank[Reference],tblGJ[[#This Row],[Voucher No]],tblBank[Account Code],tblGJ[[#This Row],[Account Code]]),"")</f>
        <v/>
      </c>
      <c r="M242" s="1" t="str">
        <f>IF(tblGJ[[#This Row],[Date]]&lt;=PEnd,"Yes","No")</f>
        <v>Yes</v>
      </c>
    </row>
    <row r="243" spans="2:13" x14ac:dyDescent="0.35">
      <c r="B243" s="109">
        <v>46112</v>
      </c>
      <c r="C243" s="1" t="s">
        <v>5723</v>
      </c>
      <c r="D243" s="1">
        <v>1120</v>
      </c>
      <c r="E243" s="1" t="str">
        <f>_xlfn.XLOOKUP(tblGJ[[#This Row],[Account Code]],tblCOA[Code],tblCOA[Account Name],"⚠ Invalid account")</f>
        <v>Bank BCA - Current Account</v>
      </c>
      <c r="F243" s="1" t="s">
        <v>6098</v>
      </c>
      <c r="G243" s="5">
        <v>1333333</v>
      </c>
      <c r="H243" s="5"/>
      <c r="I243" s="1" t="s">
        <v>4263</v>
      </c>
      <c r="J243" s="1">
        <f>MONTH(tblGJ[[#This Row],[Date]])</f>
        <v>3</v>
      </c>
      <c r="K243" s="1" t="str">
        <f>_xlfn.XLOOKUP(tblGJ[[#This Row],[Account Code]],tblCOA[Code],tblCOA[FS Line],"")</f>
        <v>Cash and cash equivalents</v>
      </c>
      <c r="L243" s="121">
        <f>IF(OR(tblGJ[[#This Row],[Account Code]]=1120,tblGJ[[#This Row],[Account Code]]=1130),_xlfn.MINIFS(tblBank[Value Date],tblBank[Reference],tblGJ[[#This Row],[Voucher No]],tblBank[Account Code],tblGJ[[#This Row],[Account Code]]),"")</f>
        <v>46112</v>
      </c>
      <c r="M243" s="1" t="str">
        <f>IF(tblGJ[[#This Row],[Date]]&lt;=PEnd,"Yes","No")</f>
        <v>Yes</v>
      </c>
    </row>
    <row r="244" spans="2:13" x14ac:dyDescent="0.35">
      <c r="B244" s="109">
        <v>46112</v>
      </c>
      <c r="C244" s="1" t="s">
        <v>5723</v>
      </c>
      <c r="D244" s="1">
        <v>8200</v>
      </c>
      <c r="E244" s="1" t="str">
        <f>_xlfn.XLOOKUP(tblGJ[[#This Row],[Account Code]],tblCOA[Code],tblCOA[Account Name],"⚠ Invalid account")</f>
        <v>Final Income Tax Expense</v>
      </c>
      <c r="F244" s="1" t="s">
        <v>6099</v>
      </c>
      <c r="G244" s="5">
        <v>333334</v>
      </c>
      <c r="H244" s="5"/>
      <c r="I244" s="1" t="s">
        <v>4263</v>
      </c>
      <c r="J244" s="1">
        <f>MONTH(tblGJ[[#This Row],[Date]])</f>
        <v>3</v>
      </c>
      <c r="K244" s="1" t="str">
        <f>_xlfn.XLOOKUP(tblGJ[[#This Row],[Account Code]],tblCOA[Code],tblCOA[FS Line],"")</f>
        <v>Other expenses</v>
      </c>
      <c r="L244" s="121" t="str">
        <f>IF(OR(tblGJ[[#This Row],[Account Code]]=1120,tblGJ[[#This Row],[Account Code]]=1130),_xlfn.MINIFS(tblBank[Value Date],tblBank[Reference],tblGJ[[#This Row],[Voucher No]],tblBank[Account Code],tblGJ[[#This Row],[Account Code]]),"")</f>
        <v/>
      </c>
      <c r="M244" s="1" t="str">
        <f>IF(tblGJ[[#This Row],[Date]]&lt;=PEnd,"Yes","No")</f>
        <v>Yes</v>
      </c>
    </row>
    <row r="245" spans="2:13" x14ac:dyDescent="0.35">
      <c r="B245" s="109">
        <v>46112</v>
      </c>
      <c r="C245" s="1" t="s">
        <v>5723</v>
      </c>
      <c r="D245" s="1">
        <v>7110</v>
      </c>
      <c r="E245" s="1" t="str">
        <f>_xlfn.XLOOKUP(tblGJ[[#This Row],[Account Code]],tblCOA[Code],tblCOA[Account Name],"⚠ Invalid account")</f>
        <v>Interest Income - Time Deposit</v>
      </c>
      <c r="F245" s="1" t="s">
        <v>6100</v>
      </c>
      <c r="G245" s="5"/>
      <c r="H245" s="5">
        <v>1666667</v>
      </c>
      <c r="I245" s="1" t="s">
        <v>4263</v>
      </c>
      <c r="J245" s="1">
        <f>MONTH(tblGJ[[#This Row],[Date]])</f>
        <v>3</v>
      </c>
      <c r="K245" s="1" t="str">
        <f>_xlfn.XLOOKUP(tblGJ[[#This Row],[Account Code]],tblCOA[Code],tblCOA[FS Line],"")</f>
        <v>Other income</v>
      </c>
      <c r="L245" s="121" t="str">
        <f>IF(OR(tblGJ[[#This Row],[Account Code]]=1120,tblGJ[[#This Row],[Account Code]]=1130),_xlfn.MINIFS(tblBank[Value Date],tblBank[Reference],tblGJ[[#This Row],[Voucher No]],tblBank[Account Code],tblGJ[[#This Row],[Account Code]]),"")</f>
        <v/>
      </c>
      <c r="M245" s="1" t="str">
        <f>IF(tblGJ[[#This Row],[Date]]&lt;=PEnd,"Yes","No")</f>
        <v>Yes</v>
      </c>
    </row>
    <row r="246" spans="2:13" x14ac:dyDescent="0.35">
      <c r="B246" s="109">
        <v>46112</v>
      </c>
      <c r="C246" s="1" t="s">
        <v>5724</v>
      </c>
      <c r="D246" s="1">
        <v>1120</v>
      </c>
      <c r="E246" s="1" t="str">
        <f>_xlfn.XLOOKUP(tblGJ[[#This Row],[Account Code]],tblCOA[Code],tblCOA[Account Name],"⚠ Invalid account")</f>
        <v>Bank BCA - Current Account</v>
      </c>
      <c r="F246" s="1" t="s">
        <v>6101</v>
      </c>
      <c r="G246" s="5">
        <v>493692</v>
      </c>
      <c r="H246" s="5"/>
      <c r="I246" s="1" t="s">
        <v>4263</v>
      </c>
      <c r="J246" s="1">
        <f>MONTH(tblGJ[[#This Row],[Date]])</f>
        <v>3</v>
      </c>
      <c r="K246" s="1" t="str">
        <f>_xlfn.XLOOKUP(tblGJ[[#This Row],[Account Code]],tblCOA[Code],tblCOA[FS Line],"")</f>
        <v>Cash and cash equivalents</v>
      </c>
      <c r="L246" s="121">
        <f>IF(OR(tblGJ[[#This Row],[Account Code]]=1120,tblGJ[[#This Row],[Account Code]]=1130),_xlfn.MINIFS(tblBank[Value Date],tblBank[Reference],tblGJ[[#This Row],[Voucher No]],tblBank[Account Code],tblGJ[[#This Row],[Account Code]]),"")</f>
        <v>46112</v>
      </c>
      <c r="M246" s="1" t="str">
        <f>IF(tblGJ[[#This Row],[Date]]&lt;=PEnd,"Yes","No")</f>
        <v>Yes</v>
      </c>
    </row>
    <row r="247" spans="2:13" x14ac:dyDescent="0.35">
      <c r="B247" s="109">
        <v>46112</v>
      </c>
      <c r="C247" s="1" t="s">
        <v>5724</v>
      </c>
      <c r="D247" s="1">
        <v>7120</v>
      </c>
      <c r="E247" s="1" t="str">
        <f>_xlfn.XLOOKUP(tblGJ[[#This Row],[Account Code]],tblCOA[Code],tblCOA[Account Name],"⚠ Invalid account")</f>
        <v>Interest Income - Current Account</v>
      </c>
      <c r="F247" s="1" t="s">
        <v>6101</v>
      </c>
      <c r="G247" s="5"/>
      <c r="H247" s="5">
        <v>493692</v>
      </c>
      <c r="I247" s="1" t="s">
        <v>4263</v>
      </c>
      <c r="J247" s="1">
        <f>MONTH(tblGJ[[#This Row],[Date]])</f>
        <v>3</v>
      </c>
      <c r="K247" s="1" t="str">
        <f>_xlfn.XLOOKUP(tblGJ[[#This Row],[Account Code]],tblCOA[Code],tblCOA[FS Line],"")</f>
        <v>Other income</v>
      </c>
      <c r="L247" s="121" t="str">
        <f>IF(OR(tblGJ[[#This Row],[Account Code]]=1120,tblGJ[[#This Row],[Account Code]]=1130),_xlfn.MINIFS(tblBank[Value Date],tblBank[Reference],tblGJ[[#This Row],[Voucher No]],tblBank[Account Code],tblGJ[[#This Row],[Account Code]]),"")</f>
        <v/>
      </c>
      <c r="M247" s="1" t="str">
        <f>IF(tblGJ[[#This Row],[Date]]&lt;=PEnd,"Yes","No")</f>
        <v>Yes</v>
      </c>
    </row>
    <row r="248" spans="2:13" x14ac:dyDescent="0.35">
      <c r="B248" s="109">
        <v>46112</v>
      </c>
      <c r="C248" s="1" t="s">
        <v>5725</v>
      </c>
      <c r="D248" s="1">
        <v>8200</v>
      </c>
      <c r="E248" s="1" t="str">
        <f>_xlfn.XLOOKUP(tblGJ[[#This Row],[Account Code]],tblCOA[Code],tblCOA[Account Name],"⚠ Invalid account")</f>
        <v>Final Income Tax Expense</v>
      </c>
      <c r="F248" s="1" t="s">
        <v>6102</v>
      </c>
      <c r="G248" s="5">
        <v>98738</v>
      </c>
      <c r="H248" s="5"/>
      <c r="I248" s="1" t="s">
        <v>4263</v>
      </c>
      <c r="J248" s="1">
        <f>MONTH(tblGJ[[#This Row],[Date]])</f>
        <v>3</v>
      </c>
      <c r="K248" s="1" t="str">
        <f>_xlfn.XLOOKUP(tblGJ[[#This Row],[Account Code]],tblCOA[Code],tblCOA[FS Line],"")</f>
        <v>Other expenses</v>
      </c>
      <c r="L248" s="121" t="str">
        <f>IF(OR(tblGJ[[#This Row],[Account Code]]=1120,tblGJ[[#This Row],[Account Code]]=1130),_xlfn.MINIFS(tblBank[Value Date],tblBank[Reference],tblGJ[[#This Row],[Voucher No]],tblBank[Account Code],tblGJ[[#This Row],[Account Code]]),"")</f>
        <v/>
      </c>
      <c r="M248" s="1" t="str">
        <f>IF(tblGJ[[#This Row],[Date]]&lt;=PEnd,"Yes","No")</f>
        <v>Yes</v>
      </c>
    </row>
    <row r="249" spans="2:13" x14ac:dyDescent="0.35">
      <c r="B249" s="109">
        <v>46112</v>
      </c>
      <c r="C249" s="1" t="s">
        <v>5725</v>
      </c>
      <c r="D249" s="1">
        <v>1120</v>
      </c>
      <c r="E249" s="1" t="str">
        <f>_xlfn.XLOOKUP(tblGJ[[#This Row],[Account Code]],tblCOA[Code],tblCOA[Account Name],"⚠ Invalid account")</f>
        <v>Bank BCA - Current Account</v>
      </c>
      <c r="F249" s="1" t="s">
        <v>6102</v>
      </c>
      <c r="G249" s="5"/>
      <c r="H249" s="5">
        <v>98738</v>
      </c>
      <c r="I249" s="1" t="s">
        <v>4263</v>
      </c>
      <c r="J249" s="1">
        <f>MONTH(tblGJ[[#This Row],[Date]])</f>
        <v>3</v>
      </c>
      <c r="K249" s="1" t="str">
        <f>_xlfn.XLOOKUP(tblGJ[[#This Row],[Account Code]],tblCOA[Code],tblCOA[FS Line],"")</f>
        <v>Cash and cash equivalents</v>
      </c>
      <c r="L249" s="121">
        <f>IF(OR(tblGJ[[#This Row],[Account Code]]=1120,tblGJ[[#This Row],[Account Code]]=1130),_xlfn.MINIFS(tblBank[Value Date],tblBank[Reference],tblGJ[[#This Row],[Voucher No]],tblBank[Account Code],tblGJ[[#This Row],[Account Code]]),"")</f>
        <v>46112</v>
      </c>
      <c r="M249" s="1" t="str">
        <f>IF(tblGJ[[#This Row],[Date]]&lt;=PEnd,"Yes","No")</f>
        <v>Yes</v>
      </c>
    </row>
    <row r="250" spans="2:13" x14ac:dyDescent="0.35">
      <c r="B250" s="109">
        <v>46112</v>
      </c>
      <c r="C250" s="1" t="s">
        <v>5726</v>
      </c>
      <c r="D250" s="1">
        <v>7220</v>
      </c>
      <c r="E250" s="1" t="str">
        <f>_xlfn.XLOOKUP(tblGJ[[#This Row],[Account Code]],tblCOA[Code],tblCOA[Account Name],"⚠ Invalid account")</f>
        <v>Bank Charges</v>
      </c>
      <c r="F250" s="1" t="s">
        <v>6103</v>
      </c>
      <c r="G250" s="5">
        <v>150000</v>
      </c>
      <c r="H250" s="5"/>
      <c r="I250" s="1" t="s">
        <v>4263</v>
      </c>
      <c r="J250" s="1">
        <f>MONTH(tblGJ[[#This Row],[Date]])</f>
        <v>3</v>
      </c>
      <c r="K250" s="1" t="str">
        <f>_xlfn.XLOOKUP(tblGJ[[#This Row],[Account Code]],tblCOA[Code],tblCOA[FS Line],"")</f>
        <v>Other expenses</v>
      </c>
      <c r="L250" s="121" t="str">
        <f>IF(OR(tblGJ[[#This Row],[Account Code]]=1120,tblGJ[[#This Row],[Account Code]]=1130),_xlfn.MINIFS(tblBank[Value Date],tblBank[Reference],tblGJ[[#This Row],[Voucher No]],tblBank[Account Code],tblGJ[[#This Row],[Account Code]]),"")</f>
        <v/>
      </c>
      <c r="M250" s="1" t="str">
        <f>IF(tblGJ[[#This Row],[Date]]&lt;=PEnd,"Yes","No")</f>
        <v>Yes</v>
      </c>
    </row>
    <row r="251" spans="2:13" x14ac:dyDescent="0.35">
      <c r="B251" s="109">
        <v>46112</v>
      </c>
      <c r="C251" s="1" t="s">
        <v>5726</v>
      </c>
      <c r="D251" s="1">
        <v>1120</v>
      </c>
      <c r="E251" s="1" t="str">
        <f>_xlfn.XLOOKUP(tblGJ[[#This Row],[Account Code]],tblCOA[Code],tblCOA[Account Name],"⚠ Invalid account")</f>
        <v>Bank BCA - Current Account</v>
      </c>
      <c r="F251" s="1" t="s">
        <v>6103</v>
      </c>
      <c r="G251" s="5"/>
      <c r="H251" s="5">
        <v>150000</v>
      </c>
      <c r="I251" s="1" t="s">
        <v>4263</v>
      </c>
      <c r="J251" s="1">
        <f>MONTH(tblGJ[[#This Row],[Date]])</f>
        <v>3</v>
      </c>
      <c r="K251" s="1" t="str">
        <f>_xlfn.XLOOKUP(tblGJ[[#This Row],[Account Code]],tblCOA[Code],tblCOA[FS Line],"")</f>
        <v>Cash and cash equivalents</v>
      </c>
      <c r="L251" s="121">
        <f>IF(OR(tblGJ[[#This Row],[Account Code]]=1120,tblGJ[[#This Row],[Account Code]]=1130),_xlfn.MINIFS(tblBank[Value Date],tblBank[Reference],tblGJ[[#This Row],[Voucher No]],tblBank[Account Code],tblGJ[[#This Row],[Account Code]]),"")</f>
        <v>46112</v>
      </c>
      <c r="M251" s="1" t="str">
        <f>IF(tblGJ[[#This Row],[Date]]&lt;=PEnd,"Yes","No")</f>
        <v>Yes</v>
      </c>
    </row>
    <row r="252" spans="2:13" x14ac:dyDescent="0.35">
      <c r="B252" s="109">
        <v>46112</v>
      </c>
      <c r="C252" s="1" t="s">
        <v>5727</v>
      </c>
      <c r="D252" s="1">
        <v>1130</v>
      </c>
      <c r="E252" s="1" t="str">
        <f>_xlfn.XLOOKUP(tblGJ[[#This Row],[Account Code]],tblCOA[Code],tblCOA[Account Name],"⚠ Invalid account")</f>
        <v>Bank Mandiri - Current Account</v>
      </c>
      <c r="F252" s="1" t="s">
        <v>6104</v>
      </c>
      <c r="G252" s="5">
        <v>65076</v>
      </c>
      <c r="H252" s="5"/>
      <c r="I252" s="1" t="s">
        <v>4263</v>
      </c>
      <c r="J252" s="1">
        <f>MONTH(tblGJ[[#This Row],[Date]])</f>
        <v>3</v>
      </c>
      <c r="K252" s="1" t="str">
        <f>_xlfn.XLOOKUP(tblGJ[[#This Row],[Account Code]],tblCOA[Code],tblCOA[FS Line],"")</f>
        <v>Cash and cash equivalents</v>
      </c>
      <c r="L252" s="121">
        <f>IF(OR(tblGJ[[#This Row],[Account Code]]=1120,tblGJ[[#This Row],[Account Code]]=1130),_xlfn.MINIFS(tblBank[Value Date],tblBank[Reference],tblGJ[[#This Row],[Voucher No]],tblBank[Account Code],tblGJ[[#This Row],[Account Code]]),"")</f>
        <v>46112</v>
      </c>
      <c r="M252" s="1" t="str">
        <f>IF(tblGJ[[#This Row],[Date]]&lt;=PEnd,"Yes","No")</f>
        <v>Yes</v>
      </c>
    </row>
    <row r="253" spans="2:13" x14ac:dyDescent="0.35">
      <c r="B253" s="109">
        <v>46112</v>
      </c>
      <c r="C253" s="1" t="s">
        <v>5727</v>
      </c>
      <c r="D253" s="1">
        <v>7120</v>
      </c>
      <c r="E253" s="1" t="str">
        <f>_xlfn.XLOOKUP(tblGJ[[#This Row],[Account Code]],tblCOA[Code],tblCOA[Account Name],"⚠ Invalid account")</f>
        <v>Interest Income - Current Account</v>
      </c>
      <c r="F253" s="1" t="s">
        <v>6104</v>
      </c>
      <c r="G253" s="5"/>
      <c r="H253" s="5">
        <v>65076</v>
      </c>
      <c r="I253" s="1" t="s">
        <v>4263</v>
      </c>
      <c r="J253" s="1">
        <f>MONTH(tblGJ[[#This Row],[Date]])</f>
        <v>3</v>
      </c>
      <c r="K253" s="1" t="str">
        <f>_xlfn.XLOOKUP(tblGJ[[#This Row],[Account Code]],tblCOA[Code],tblCOA[FS Line],"")</f>
        <v>Other income</v>
      </c>
      <c r="L253" s="121" t="str">
        <f>IF(OR(tblGJ[[#This Row],[Account Code]]=1120,tblGJ[[#This Row],[Account Code]]=1130),_xlfn.MINIFS(tblBank[Value Date],tblBank[Reference],tblGJ[[#This Row],[Voucher No]],tblBank[Account Code],tblGJ[[#This Row],[Account Code]]),"")</f>
        <v/>
      </c>
      <c r="M253" s="1" t="str">
        <f>IF(tblGJ[[#This Row],[Date]]&lt;=PEnd,"Yes","No")</f>
        <v>Yes</v>
      </c>
    </row>
    <row r="254" spans="2:13" x14ac:dyDescent="0.35">
      <c r="B254" s="109">
        <v>46112</v>
      </c>
      <c r="C254" s="1" t="s">
        <v>5728</v>
      </c>
      <c r="D254" s="1">
        <v>8200</v>
      </c>
      <c r="E254" s="1" t="str">
        <f>_xlfn.XLOOKUP(tblGJ[[#This Row],[Account Code]],tblCOA[Code],tblCOA[Account Name],"⚠ Invalid account")</f>
        <v>Final Income Tax Expense</v>
      </c>
      <c r="F254" s="1" t="s">
        <v>6105</v>
      </c>
      <c r="G254" s="5">
        <v>13015</v>
      </c>
      <c r="H254" s="5"/>
      <c r="I254" s="1" t="s">
        <v>4263</v>
      </c>
      <c r="J254" s="1">
        <f>MONTH(tblGJ[[#This Row],[Date]])</f>
        <v>3</v>
      </c>
      <c r="K254" s="1" t="str">
        <f>_xlfn.XLOOKUP(tblGJ[[#This Row],[Account Code]],tblCOA[Code],tblCOA[FS Line],"")</f>
        <v>Other expenses</v>
      </c>
      <c r="L254" s="121" t="str">
        <f>IF(OR(tblGJ[[#This Row],[Account Code]]=1120,tblGJ[[#This Row],[Account Code]]=1130),_xlfn.MINIFS(tblBank[Value Date],tblBank[Reference],tblGJ[[#This Row],[Voucher No]],tblBank[Account Code],tblGJ[[#This Row],[Account Code]]),"")</f>
        <v/>
      </c>
      <c r="M254" s="1" t="str">
        <f>IF(tblGJ[[#This Row],[Date]]&lt;=PEnd,"Yes","No")</f>
        <v>Yes</v>
      </c>
    </row>
    <row r="255" spans="2:13" x14ac:dyDescent="0.35">
      <c r="B255" s="109">
        <v>46112</v>
      </c>
      <c r="C255" s="1" t="s">
        <v>5728</v>
      </c>
      <c r="D255" s="1">
        <v>1130</v>
      </c>
      <c r="E255" s="1" t="str">
        <f>_xlfn.XLOOKUP(tblGJ[[#This Row],[Account Code]],tblCOA[Code],tblCOA[Account Name],"⚠ Invalid account")</f>
        <v>Bank Mandiri - Current Account</v>
      </c>
      <c r="F255" s="1" t="s">
        <v>6105</v>
      </c>
      <c r="G255" s="5"/>
      <c r="H255" s="5">
        <v>13015</v>
      </c>
      <c r="I255" s="1" t="s">
        <v>4263</v>
      </c>
      <c r="J255" s="1">
        <f>MONTH(tblGJ[[#This Row],[Date]])</f>
        <v>3</v>
      </c>
      <c r="K255" s="1" t="str">
        <f>_xlfn.XLOOKUP(tblGJ[[#This Row],[Account Code]],tblCOA[Code],tblCOA[FS Line],"")</f>
        <v>Cash and cash equivalents</v>
      </c>
      <c r="L255" s="121">
        <f>IF(OR(tblGJ[[#This Row],[Account Code]]=1120,tblGJ[[#This Row],[Account Code]]=1130),_xlfn.MINIFS(tblBank[Value Date],tblBank[Reference],tblGJ[[#This Row],[Voucher No]],tblBank[Account Code],tblGJ[[#This Row],[Account Code]]),"")</f>
        <v>46112</v>
      </c>
      <c r="M255" s="1" t="str">
        <f>IF(tblGJ[[#This Row],[Date]]&lt;=PEnd,"Yes","No")</f>
        <v>Yes</v>
      </c>
    </row>
    <row r="256" spans="2:13" x14ac:dyDescent="0.35">
      <c r="B256" s="109">
        <v>46112</v>
      </c>
      <c r="C256" s="1" t="s">
        <v>5729</v>
      </c>
      <c r="D256" s="1">
        <v>7220</v>
      </c>
      <c r="E256" s="1" t="str">
        <f>_xlfn.XLOOKUP(tblGJ[[#This Row],[Account Code]],tblCOA[Code],tblCOA[Account Name],"⚠ Invalid account")</f>
        <v>Bank Charges</v>
      </c>
      <c r="F256" s="1" t="s">
        <v>6106</v>
      </c>
      <c r="G256" s="5">
        <v>118500</v>
      </c>
      <c r="H256" s="5"/>
      <c r="I256" s="1" t="s">
        <v>4263</v>
      </c>
      <c r="J256" s="1">
        <f>MONTH(tblGJ[[#This Row],[Date]])</f>
        <v>3</v>
      </c>
      <c r="K256" s="1" t="str">
        <f>_xlfn.XLOOKUP(tblGJ[[#This Row],[Account Code]],tblCOA[Code],tblCOA[FS Line],"")</f>
        <v>Other expenses</v>
      </c>
      <c r="L256" s="121" t="str">
        <f>IF(OR(tblGJ[[#This Row],[Account Code]]=1120,tblGJ[[#This Row],[Account Code]]=1130),_xlfn.MINIFS(tblBank[Value Date],tblBank[Reference],tblGJ[[#This Row],[Voucher No]],tblBank[Account Code],tblGJ[[#This Row],[Account Code]]),"")</f>
        <v/>
      </c>
      <c r="M256" s="1" t="str">
        <f>IF(tblGJ[[#This Row],[Date]]&lt;=PEnd,"Yes","No")</f>
        <v>Yes</v>
      </c>
    </row>
    <row r="257" spans="2:13" x14ac:dyDescent="0.35">
      <c r="B257" s="109">
        <v>46112</v>
      </c>
      <c r="C257" s="1" t="s">
        <v>5729</v>
      </c>
      <c r="D257" s="1">
        <v>1130</v>
      </c>
      <c r="E257" s="1" t="str">
        <f>_xlfn.XLOOKUP(tblGJ[[#This Row],[Account Code]],tblCOA[Code],tblCOA[Account Name],"⚠ Invalid account")</f>
        <v>Bank Mandiri - Current Account</v>
      </c>
      <c r="F257" s="1" t="s">
        <v>6106</v>
      </c>
      <c r="G257" s="5"/>
      <c r="H257" s="5">
        <v>118500</v>
      </c>
      <c r="I257" s="1" t="s">
        <v>4263</v>
      </c>
      <c r="J257" s="1">
        <f>MONTH(tblGJ[[#This Row],[Date]])</f>
        <v>3</v>
      </c>
      <c r="K257" s="1" t="str">
        <f>_xlfn.XLOOKUP(tblGJ[[#This Row],[Account Code]],tblCOA[Code],tblCOA[FS Line],"")</f>
        <v>Cash and cash equivalents</v>
      </c>
      <c r="L257" s="121">
        <f>IF(OR(tblGJ[[#This Row],[Account Code]]=1120,tblGJ[[#This Row],[Account Code]]=1130),_xlfn.MINIFS(tblBank[Value Date],tblBank[Reference],tblGJ[[#This Row],[Voucher No]],tblBank[Account Code],tblGJ[[#This Row],[Account Code]]),"")</f>
        <v>46112</v>
      </c>
      <c r="M257" s="1" t="str">
        <f>IF(tblGJ[[#This Row],[Date]]&lt;=PEnd,"Yes","No")</f>
        <v>Yes</v>
      </c>
    </row>
    <row r="258" spans="2:13" x14ac:dyDescent="0.35">
      <c r="B258" s="109">
        <v>46122</v>
      </c>
      <c r="C258" s="1" t="s">
        <v>5730</v>
      </c>
      <c r="D258" s="1">
        <v>2230</v>
      </c>
      <c r="E258" s="1" t="str">
        <f>_xlfn.XLOOKUP(tblGJ[[#This Row],[Account Code]],tblCOA[Code],tblCOA[Account Name],"⚠ Invalid account")</f>
        <v>WHT Payable - Art. 21</v>
      </c>
      <c r="F258" s="1" t="s">
        <v>5957</v>
      </c>
      <c r="G258" s="5">
        <f>IF(MONTH(tblGJ[[#This Row],[Date]])=1,_xlfn.XLOOKUP(2230,tblCOA[Code],tblCOA[Opening Balance]),SUMIFS(tblPayroll[PPh 21],tblPayroll[Period],MONTH(tblGJ[[#This Row],[Date]])-1))</f>
        <v>42979692</v>
      </c>
      <c r="H258" s="5"/>
      <c r="I258" s="1" t="s">
        <v>6528</v>
      </c>
      <c r="J258" s="1">
        <f>MONTH(tblGJ[[#This Row],[Date]])</f>
        <v>4</v>
      </c>
      <c r="K258" s="1" t="str">
        <f>_xlfn.XLOOKUP(tblGJ[[#This Row],[Account Code]],tblCOA[Code],tblCOA[FS Line],"")</f>
        <v>Taxes payable</v>
      </c>
      <c r="L258" s="121" t="str">
        <f>IF(OR(tblGJ[[#This Row],[Account Code]]=1120,tblGJ[[#This Row],[Account Code]]=1130),_xlfn.MINIFS(tblBank[Value Date],tblBank[Reference],tblGJ[[#This Row],[Voucher No]],tblBank[Account Code],tblGJ[[#This Row],[Account Code]]),"")</f>
        <v/>
      </c>
      <c r="M258" s="1" t="str">
        <f>IF(tblGJ[[#This Row],[Date]]&lt;=PEnd,"Yes","No")</f>
        <v>Yes</v>
      </c>
    </row>
    <row r="259" spans="2:13" x14ac:dyDescent="0.35">
      <c r="B259" s="109">
        <v>46122</v>
      </c>
      <c r="C259" s="1" t="s">
        <v>5730</v>
      </c>
      <c r="D259" s="1">
        <v>1120</v>
      </c>
      <c r="E259" s="1" t="str">
        <f>_xlfn.XLOOKUP(tblGJ[[#This Row],[Account Code]],tblCOA[Code],tblCOA[Account Name],"⚠ Invalid account")</f>
        <v>Bank BCA - Current Account</v>
      </c>
      <c r="F259" s="1" t="s">
        <v>5957</v>
      </c>
      <c r="G259" s="5"/>
      <c r="H259" s="5">
        <f>IF(MONTH(tblGJ[[#This Row],[Date]])=1,_xlfn.XLOOKUP(2230,tblCOA[Code],tblCOA[Opening Balance]),SUMIFS(tblPayroll[PPh 21],tblPayroll[Period],MONTH(tblGJ[[#This Row],[Date]])-1))</f>
        <v>42979692</v>
      </c>
      <c r="I259" s="1" t="s">
        <v>6528</v>
      </c>
      <c r="J259" s="1">
        <f>MONTH(tblGJ[[#This Row],[Date]])</f>
        <v>4</v>
      </c>
      <c r="K259" s="1" t="str">
        <f>_xlfn.XLOOKUP(tblGJ[[#This Row],[Account Code]],tblCOA[Code],tblCOA[FS Line],"")</f>
        <v>Cash and cash equivalents</v>
      </c>
      <c r="L259" s="121">
        <f>IF(OR(tblGJ[[#This Row],[Account Code]]=1120,tblGJ[[#This Row],[Account Code]]=1130),_xlfn.MINIFS(tblBank[Value Date],tblBank[Reference],tblGJ[[#This Row],[Voucher No]],tblBank[Account Code],tblGJ[[#This Row],[Account Code]]),"")</f>
        <v>46122</v>
      </c>
      <c r="M259" s="1" t="str">
        <f>IF(tblGJ[[#This Row],[Date]]&lt;=PEnd,"Yes","No")</f>
        <v>Yes</v>
      </c>
    </row>
    <row r="260" spans="2:13" x14ac:dyDescent="0.35">
      <c r="B260" s="109">
        <v>46122</v>
      </c>
      <c r="C260" s="1" t="s">
        <v>5731</v>
      </c>
      <c r="D260" s="1">
        <v>2150</v>
      </c>
      <c r="E260" s="1" t="str">
        <f>_xlfn.XLOOKUP(tblGJ[[#This Row],[Account Code]],tblCOA[Code],tblCOA[Account Name],"⚠ Invalid account")</f>
        <v>BPJS Payable</v>
      </c>
      <c r="F260" s="1" t="s">
        <v>5958</v>
      </c>
      <c r="G260" s="5">
        <f>IF(MONTH(tblGJ[[#This Row],[Date]])=1,_xlfn.XLOOKUP(2150,tblCOA[Code],tblCOA[Opening Balance]),SUMIFS(tblPayroll[BPJS Payable],tblPayroll[Period],MONTH(tblGJ[[#This Row],[Date]])-1))</f>
        <v>22077790</v>
      </c>
      <c r="H260" s="5"/>
      <c r="I260" s="1" t="s">
        <v>6528</v>
      </c>
      <c r="J260" s="1">
        <f>MONTH(tblGJ[[#This Row],[Date]])</f>
        <v>4</v>
      </c>
      <c r="K260" s="1" t="str">
        <f>_xlfn.XLOOKUP(tblGJ[[#This Row],[Account Code]],tblCOA[Code],tblCOA[FS Line],"")</f>
        <v>Accrued expenses</v>
      </c>
      <c r="L260" s="121" t="str">
        <f>IF(OR(tblGJ[[#This Row],[Account Code]]=1120,tblGJ[[#This Row],[Account Code]]=1130),_xlfn.MINIFS(tblBank[Value Date],tblBank[Reference],tblGJ[[#This Row],[Voucher No]],tblBank[Account Code],tblGJ[[#This Row],[Account Code]]),"")</f>
        <v/>
      </c>
      <c r="M260" s="1" t="str">
        <f>IF(tblGJ[[#This Row],[Date]]&lt;=PEnd,"Yes","No")</f>
        <v>Yes</v>
      </c>
    </row>
    <row r="261" spans="2:13" x14ac:dyDescent="0.35">
      <c r="B261" s="109">
        <v>46122</v>
      </c>
      <c r="C261" s="1" t="s">
        <v>5731</v>
      </c>
      <c r="D261" s="1">
        <v>1120</v>
      </c>
      <c r="E261" s="1" t="str">
        <f>_xlfn.XLOOKUP(tblGJ[[#This Row],[Account Code]],tblCOA[Code],tblCOA[Account Name],"⚠ Invalid account")</f>
        <v>Bank BCA - Current Account</v>
      </c>
      <c r="F261" s="1" t="s">
        <v>5958</v>
      </c>
      <c r="G261" s="5"/>
      <c r="H261" s="5">
        <f>IF(MONTH(tblGJ[[#This Row],[Date]])=1,_xlfn.XLOOKUP(2150,tblCOA[Code],tblCOA[Opening Balance]),SUMIFS(tblPayroll[BPJS Payable],tblPayroll[Period],MONTH(tblGJ[[#This Row],[Date]])-1))</f>
        <v>22077790</v>
      </c>
      <c r="I261" s="1" t="s">
        <v>6528</v>
      </c>
      <c r="J261" s="1">
        <f>MONTH(tblGJ[[#This Row],[Date]])</f>
        <v>4</v>
      </c>
      <c r="K261" s="1" t="str">
        <f>_xlfn.XLOOKUP(tblGJ[[#This Row],[Account Code]],tblCOA[Code],tblCOA[FS Line],"")</f>
        <v>Cash and cash equivalents</v>
      </c>
      <c r="L261" s="121">
        <f>IF(OR(tblGJ[[#This Row],[Account Code]]=1120,tblGJ[[#This Row],[Account Code]]=1130),_xlfn.MINIFS(tblBank[Value Date],tblBank[Reference],tblGJ[[#This Row],[Voucher No]],tblBank[Account Code],tblGJ[[#This Row],[Account Code]]),"")</f>
        <v>46122</v>
      </c>
      <c r="M261" s="1" t="str">
        <f>IF(tblGJ[[#This Row],[Date]]&lt;=PEnd,"Yes","No")</f>
        <v>Yes</v>
      </c>
    </row>
    <row r="262" spans="2:13" x14ac:dyDescent="0.35">
      <c r="B262" s="109">
        <v>46127</v>
      </c>
      <c r="C262" s="1" t="s">
        <v>5732</v>
      </c>
      <c r="D262" s="1">
        <v>2240</v>
      </c>
      <c r="E262" s="1" t="str">
        <f>_xlfn.XLOOKUP(tblGJ[[#This Row],[Account Code]],tblCOA[Code],tblCOA[Account Name],"⚠ Invalid account")</f>
        <v>WHT Payable - Unifikasi (Art. 23/4(2))</v>
      </c>
      <c r="F262" s="1" t="s">
        <v>5960</v>
      </c>
      <c r="G262" s="5">
        <f>IF(MONTH(tblGJ[[#This Row],[Date]])=1,_xlfn.XLOOKUP(2240,tblCOA[Code],tblCOA[Opening Balance]),SUMIFS(tblPurchases[WHT Amount],tblPurchases[Month],MONTH(tblGJ[[#This Row],[Date]])-1))</f>
        <v>1199420</v>
      </c>
      <c r="H262" s="5"/>
      <c r="I262" s="1" t="s">
        <v>6528</v>
      </c>
      <c r="J262" s="1">
        <f>MONTH(tblGJ[[#This Row],[Date]])</f>
        <v>4</v>
      </c>
      <c r="K262" s="1" t="str">
        <f>_xlfn.XLOOKUP(tblGJ[[#This Row],[Account Code]],tblCOA[Code],tblCOA[FS Line],"")</f>
        <v>Taxes payable</v>
      </c>
      <c r="L262" s="121" t="str">
        <f>IF(OR(tblGJ[[#This Row],[Account Code]]=1120,tblGJ[[#This Row],[Account Code]]=1130),_xlfn.MINIFS(tblBank[Value Date],tblBank[Reference],tblGJ[[#This Row],[Voucher No]],tblBank[Account Code],tblGJ[[#This Row],[Account Code]]),"")</f>
        <v/>
      </c>
      <c r="M262" s="1" t="str">
        <f>IF(tblGJ[[#This Row],[Date]]&lt;=PEnd,"Yes","No")</f>
        <v>Yes</v>
      </c>
    </row>
    <row r="263" spans="2:13" x14ac:dyDescent="0.35">
      <c r="B263" s="109">
        <v>46127</v>
      </c>
      <c r="C263" s="1" t="s">
        <v>5732</v>
      </c>
      <c r="D263" s="1">
        <v>1120</v>
      </c>
      <c r="E263" s="1" t="str">
        <f>_xlfn.XLOOKUP(tblGJ[[#This Row],[Account Code]],tblCOA[Code],tblCOA[Account Name],"⚠ Invalid account")</f>
        <v>Bank BCA - Current Account</v>
      </c>
      <c r="F263" s="1" t="s">
        <v>5960</v>
      </c>
      <c r="G263" s="5"/>
      <c r="H263" s="5">
        <f>IF(MONTH(tblGJ[[#This Row],[Date]])=1,_xlfn.XLOOKUP(2240,tblCOA[Code],tblCOA[Opening Balance]),SUMIFS(tblPurchases[WHT Amount],tblPurchases[Month],MONTH(tblGJ[[#This Row],[Date]])-1))</f>
        <v>1199420</v>
      </c>
      <c r="I263" s="1" t="s">
        <v>6528</v>
      </c>
      <c r="J263" s="1">
        <f>MONTH(tblGJ[[#This Row],[Date]])</f>
        <v>4</v>
      </c>
      <c r="K263" s="1" t="str">
        <f>_xlfn.XLOOKUP(tblGJ[[#This Row],[Account Code]],tblCOA[Code],tblCOA[FS Line],"")</f>
        <v>Cash and cash equivalents</v>
      </c>
      <c r="L263" s="121">
        <f>IF(OR(tblGJ[[#This Row],[Account Code]]=1120,tblGJ[[#This Row],[Account Code]]=1130),_xlfn.MINIFS(tblBank[Value Date],tblBank[Reference],tblGJ[[#This Row],[Voucher No]],tblBank[Account Code],tblGJ[[#This Row],[Account Code]]),"")</f>
        <v>46127</v>
      </c>
      <c r="M263" s="1" t="str">
        <f>IF(tblGJ[[#This Row],[Date]]&lt;=PEnd,"Yes","No")</f>
        <v>Yes</v>
      </c>
    </row>
    <row r="264" spans="2:13" x14ac:dyDescent="0.35">
      <c r="B264" s="109">
        <v>46127</v>
      </c>
      <c r="C264" s="1" t="s">
        <v>5733</v>
      </c>
      <c r="D264" s="1">
        <v>1520</v>
      </c>
      <c r="E264" s="1" t="str">
        <f>_xlfn.XLOOKUP(tblGJ[[#This Row],[Account Code]],tblCOA[Code],tblCOA[Account Name],"⚠ Invalid account")</f>
        <v>Prepaid Income Tax - Art. 25</v>
      </c>
      <c r="F264" s="1" t="s">
        <v>6107</v>
      </c>
      <c r="G264" s="5">
        <f>PPh25Inst</f>
        <v>20000000</v>
      </c>
      <c r="H264" s="5"/>
      <c r="I264" s="1" t="s">
        <v>6528</v>
      </c>
      <c r="J264" s="1">
        <f>MONTH(tblGJ[[#This Row],[Date]])</f>
        <v>4</v>
      </c>
      <c r="K264" s="1" t="str">
        <f>_xlfn.XLOOKUP(tblGJ[[#This Row],[Account Code]],tblCOA[Code],tblCOA[FS Line],"")</f>
        <v>Prepaid taxes</v>
      </c>
      <c r="L264" s="121" t="str">
        <f>IF(OR(tblGJ[[#This Row],[Account Code]]=1120,tblGJ[[#This Row],[Account Code]]=1130),_xlfn.MINIFS(tblBank[Value Date],tblBank[Reference],tblGJ[[#This Row],[Voucher No]],tblBank[Account Code],tblGJ[[#This Row],[Account Code]]),"")</f>
        <v/>
      </c>
      <c r="M264" s="1" t="str">
        <f>IF(tblGJ[[#This Row],[Date]]&lt;=PEnd,"Yes","No")</f>
        <v>Yes</v>
      </c>
    </row>
    <row r="265" spans="2:13" x14ac:dyDescent="0.35">
      <c r="B265" s="109">
        <v>46127</v>
      </c>
      <c r="C265" s="1" t="s">
        <v>5733</v>
      </c>
      <c r="D265" s="1">
        <v>1120</v>
      </c>
      <c r="E265" s="1" t="str">
        <f>_xlfn.XLOOKUP(tblGJ[[#This Row],[Account Code]],tblCOA[Code],tblCOA[Account Name],"⚠ Invalid account")</f>
        <v>Bank BCA - Current Account</v>
      </c>
      <c r="F265" s="1" t="s">
        <v>6107</v>
      </c>
      <c r="G265" s="5"/>
      <c r="H265" s="5">
        <f>PPh25Inst</f>
        <v>20000000</v>
      </c>
      <c r="I265" s="1" t="s">
        <v>6528</v>
      </c>
      <c r="J265" s="1">
        <f>MONTH(tblGJ[[#This Row],[Date]])</f>
        <v>4</v>
      </c>
      <c r="K265" s="1" t="str">
        <f>_xlfn.XLOOKUP(tblGJ[[#This Row],[Account Code]],tblCOA[Code],tblCOA[FS Line],"")</f>
        <v>Cash and cash equivalents</v>
      </c>
      <c r="L265" s="121">
        <f>IF(OR(tblGJ[[#This Row],[Account Code]]=1120,tblGJ[[#This Row],[Account Code]]=1130),_xlfn.MINIFS(tblBank[Value Date],tblBank[Reference],tblGJ[[#This Row],[Voucher No]],tblBank[Account Code],tblGJ[[#This Row],[Account Code]]),"")</f>
        <v>46127</v>
      </c>
      <c r="M265" s="1" t="str">
        <f>IF(tblGJ[[#This Row],[Date]]&lt;=PEnd,"Yes","No")</f>
        <v>Yes</v>
      </c>
    </row>
    <row r="266" spans="2:13" x14ac:dyDescent="0.35">
      <c r="B266" s="109">
        <v>46132</v>
      </c>
      <c r="C266" s="1" t="s">
        <v>5734</v>
      </c>
      <c r="D266" s="1">
        <v>1120</v>
      </c>
      <c r="E266" s="1" t="str">
        <f>_xlfn.XLOOKUP(tblGJ[[#This Row],[Account Code]],tblCOA[Code],tblCOA[Account Name],"⚠ Invalid account")</f>
        <v>Bank BCA - Current Account</v>
      </c>
      <c r="F266" s="1" t="s">
        <v>6108</v>
      </c>
      <c r="G266" s="5">
        <f>IF(MONTH(tblGJ[[#This Row],[Date]])=1,_xlfn.XLOOKUP(1210,tblCOA[Code],tblCOA[Opening Balance]),SUMIFS(tblSales[Total incl. VAT],tblSales[Month],MONTH(tblGJ[[#This Row],[Date]])-1,tblSales[Payment Method],Products!$O$15))</f>
        <v>1047529200</v>
      </c>
      <c r="H266" s="5"/>
      <c r="I266" s="1" t="s">
        <v>6530</v>
      </c>
      <c r="J266" s="1">
        <f>MONTH(tblGJ[[#This Row],[Date]])</f>
        <v>4</v>
      </c>
      <c r="K266" s="1" t="str">
        <f>_xlfn.XLOOKUP(tblGJ[[#This Row],[Account Code]],tblCOA[Code],tblCOA[FS Line],"")</f>
        <v>Cash and cash equivalents</v>
      </c>
      <c r="L266" s="121">
        <f>IF(OR(tblGJ[[#This Row],[Account Code]]=1120,tblGJ[[#This Row],[Account Code]]=1130),_xlfn.MINIFS(tblBank[Value Date],tblBank[Reference],tblGJ[[#This Row],[Voucher No]],tblBank[Account Code],tblGJ[[#This Row],[Account Code]]),"")</f>
        <v>46132</v>
      </c>
      <c r="M266" s="1" t="str">
        <f>IF(tblGJ[[#This Row],[Date]]&lt;=PEnd,"Yes","No")</f>
        <v>Yes</v>
      </c>
    </row>
    <row r="267" spans="2:13" x14ac:dyDescent="0.35">
      <c r="B267" s="109">
        <v>46132</v>
      </c>
      <c r="C267" s="1" t="s">
        <v>5734</v>
      </c>
      <c r="D267" s="1">
        <v>1210</v>
      </c>
      <c r="E267" s="1" t="str">
        <f>_xlfn.XLOOKUP(tblGJ[[#This Row],[Account Code]],tblCOA[Code],tblCOA[Account Name],"⚠ Invalid account")</f>
        <v>Trade Receivables</v>
      </c>
      <c r="F267" s="1" t="s">
        <v>6109</v>
      </c>
      <c r="G267" s="5"/>
      <c r="H267" s="5">
        <f>IF(MONTH(tblGJ[[#This Row],[Date]])=1,_xlfn.XLOOKUP(1210,tblCOA[Code],tblCOA[Opening Balance]),SUMIFS(tblSales[Total incl. VAT],tblSales[Month],MONTH(tblGJ[[#This Row],[Date]])-1,tblSales[Payment Method],Products!$O$15))</f>
        <v>1047529200</v>
      </c>
      <c r="I267" s="1" t="s">
        <v>6530</v>
      </c>
      <c r="J267" s="1">
        <f>MONTH(tblGJ[[#This Row],[Date]])</f>
        <v>4</v>
      </c>
      <c r="K267" s="1" t="str">
        <f>_xlfn.XLOOKUP(tblGJ[[#This Row],[Account Code]],tblCOA[Code],tblCOA[FS Line],"")</f>
        <v>Trade receivables - net</v>
      </c>
      <c r="L267" s="121" t="str">
        <f>IF(OR(tblGJ[[#This Row],[Account Code]]=1120,tblGJ[[#This Row],[Account Code]]=1130),_xlfn.MINIFS(tblBank[Value Date],tblBank[Reference],tblGJ[[#This Row],[Voucher No]],tblBank[Account Code],tblGJ[[#This Row],[Account Code]]),"")</f>
        <v/>
      </c>
      <c r="M267" s="1" t="str">
        <f>IF(tblGJ[[#This Row],[Date]]&lt;=PEnd,"Yes","No")</f>
        <v>Yes</v>
      </c>
    </row>
    <row r="268" spans="2:13" x14ac:dyDescent="0.35">
      <c r="B268" s="109">
        <v>46136</v>
      </c>
      <c r="C268" s="1" t="s">
        <v>5735</v>
      </c>
      <c r="D268" s="1">
        <v>1130</v>
      </c>
      <c r="E268" s="1" t="str">
        <f>_xlfn.XLOOKUP(tblGJ[[#This Row],[Account Code]],tblCOA[Code],tblCOA[Account Name],"⚠ Invalid account")</f>
        <v>Bank Mandiri - Current Account</v>
      </c>
      <c r="F268" s="1" t="s">
        <v>6110</v>
      </c>
      <c r="G268" s="5">
        <f>SUMIFS(tblPayroll[Net Pay],tblPayroll[Period],MONTH(tblGJ[[#This Row],[Date]]))</f>
        <v>161397799</v>
      </c>
      <c r="H268" s="5"/>
      <c r="I268" s="1" t="s">
        <v>6531</v>
      </c>
      <c r="J268" s="1">
        <f>MONTH(tblGJ[[#This Row],[Date]])</f>
        <v>4</v>
      </c>
      <c r="K268" s="1" t="str">
        <f>_xlfn.XLOOKUP(tblGJ[[#This Row],[Account Code]],tblCOA[Code],tblCOA[FS Line],"")</f>
        <v>Cash and cash equivalents</v>
      </c>
      <c r="L268" s="121">
        <f>IF(OR(tblGJ[[#This Row],[Account Code]]=1120,tblGJ[[#This Row],[Account Code]]=1130),_xlfn.MINIFS(tblBank[Value Date],tblBank[Reference],tblGJ[[#This Row],[Voucher No]],tblBank[Account Code],tblGJ[[#This Row],[Account Code]]),"")</f>
        <v>46136</v>
      </c>
      <c r="M268" s="1" t="str">
        <f>IF(tblGJ[[#This Row],[Date]]&lt;=PEnd,"Yes","No")</f>
        <v>Yes</v>
      </c>
    </row>
    <row r="269" spans="2:13" x14ac:dyDescent="0.35">
      <c r="B269" s="109">
        <v>46136</v>
      </c>
      <c r="C269" s="1" t="s">
        <v>5735</v>
      </c>
      <c r="D269" s="1">
        <v>1120</v>
      </c>
      <c r="E269" s="1" t="str">
        <f>_xlfn.XLOOKUP(tblGJ[[#This Row],[Account Code]],tblCOA[Code],tblCOA[Account Name],"⚠ Invalid account")</f>
        <v>Bank BCA - Current Account</v>
      </c>
      <c r="F269" s="1" t="s">
        <v>6111</v>
      </c>
      <c r="G269" s="5"/>
      <c r="H269" s="5">
        <f>SUMIFS(tblPayroll[Net Pay],tblPayroll[Period],MONTH(tblGJ[[#This Row],[Date]]))</f>
        <v>161397799</v>
      </c>
      <c r="I269" s="1" t="s">
        <v>6531</v>
      </c>
      <c r="J269" s="1">
        <f>MONTH(tblGJ[[#This Row],[Date]])</f>
        <v>4</v>
      </c>
      <c r="K269" s="1" t="str">
        <f>_xlfn.XLOOKUP(tblGJ[[#This Row],[Account Code]],tblCOA[Code],tblCOA[FS Line],"")</f>
        <v>Cash and cash equivalents</v>
      </c>
      <c r="L269" s="121">
        <f>IF(OR(tblGJ[[#This Row],[Account Code]]=1120,tblGJ[[#This Row],[Account Code]]=1130),_xlfn.MINIFS(tblBank[Value Date],tblBank[Reference],tblGJ[[#This Row],[Voucher No]],tblBank[Account Code],tblGJ[[#This Row],[Account Code]]),"")</f>
        <v>46136</v>
      </c>
      <c r="M269" s="1" t="str">
        <f>IF(tblGJ[[#This Row],[Date]]&lt;=PEnd,"Yes","No")</f>
        <v>Yes</v>
      </c>
    </row>
    <row r="270" spans="2:13" x14ac:dyDescent="0.35">
      <c r="B270" s="109">
        <v>46137</v>
      </c>
      <c r="C270" s="1" t="s">
        <v>5736</v>
      </c>
      <c r="D270" s="1">
        <v>6110</v>
      </c>
      <c r="E270" s="1" t="str">
        <f>_xlfn.XLOOKUP(tblGJ[[#This Row],[Account Code]],tblCOA[Code],tblCOA[Account Name],"⚠ Invalid account")</f>
        <v>Salaries &amp; Allowances - Selling</v>
      </c>
      <c r="F270" s="1" t="s">
        <v>6112</v>
      </c>
      <c r="G270" s="5">
        <f>SUMIFS(tblPayroll[Gross Salary],tblPayroll[Period],MONTH(tblGJ[[#This Row],[Date]]),tblPayroll[Department],"Selling")</f>
        <v>80200000</v>
      </c>
      <c r="H270" s="5"/>
      <c r="I270" s="1" t="s">
        <v>6531</v>
      </c>
      <c r="J270" s="1">
        <f>MONTH(tblGJ[[#This Row],[Date]])</f>
        <v>4</v>
      </c>
      <c r="K270" s="1" t="str">
        <f>_xlfn.XLOOKUP(tblGJ[[#This Row],[Account Code]],tblCOA[Code],tblCOA[FS Line],"")</f>
        <v>Selling expenses</v>
      </c>
      <c r="L270" s="121" t="str">
        <f>IF(OR(tblGJ[[#This Row],[Account Code]]=1120,tblGJ[[#This Row],[Account Code]]=1130),_xlfn.MINIFS(tblBank[Value Date],tblBank[Reference],tblGJ[[#This Row],[Voucher No]],tblBank[Account Code],tblGJ[[#This Row],[Account Code]]),"")</f>
        <v/>
      </c>
      <c r="M270" s="1" t="str">
        <f>IF(tblGJ[[#This Row],[Date]]&lt;=PEnd,"Yes","No")</f>
        <v>Yes</v>
      </c>
    </row>
    <row r="271" spans="2:13" x14ac:dyDescent="0.35">
      <c r="B271" s="109">
        <v>46137</v>
      </c>
      <c r="C271" s="1" t="s">
        <v>5736</v>
      </c>
      <c r="D271" s="1">
        <v>6111</v>
      </c>
      <c r="E271" s="1" t="str">
        <f>_xlfn.XLOOKUP(tblGJ[[#This Row],[Account Code]],tblCOA[Code],tblCOA[Account Name],"⚠ Invalid account")</f>
        <v>BPJS Employer Contributions - Selling</v>
      </c>
      <c r="F271" s="1" t="s">
        <v>6113</v>
      </c>
      <c r="G271" s="5">
        <f>SUMIFS(tblPayroll[Employer BPJS Total],tblPayroll[Period],MONTH(tblGJ[[#This Row],[Date]]),tblPayroll[Department],"Selling")</f>
        <v>7824376</v>
      </c>
      <c r="H271" s="5"/>
      <c r="I271" s="1" t="s">
        <v>6531</v>
      </c>
      <c r="J271" s="1">
        <f>MONTH(tblGJ[[#This Row],[Date]])</f>
        <v>4</v>
      </c>
      <c r="K271" s="1" t="str">
        <f>_xlfn.XLOOKUP(tblGJ[[#This Row],[Account Code]],tblCOA[Code],tblCOA[FS Line],"")</f>
        <v>Selling expenses</v>
      </c>
      <c r="L271" s="121" t="str">
        <f>IF(OR(tblGJ[[#This Row],[Account Code]]=1120,tblGJ[[#This Row],[Account Code]]=1130),_xlfn.MINIFS(tblBank[Value Date],tblBank[Reference],tblGJ[[#This Row],[Voucher No]],tblBank[Account Code],tblGJ[[#This Row],[Account Code]]),"")</f>
        <v/>
      </c>
      <c r="M271" s="1" t="str">
        <f>IF(tblGJ[[#This Row],[Date]]&lt;=PEnd,"Yes","No")</f>
        <v>Yes</v>
      </c>
    </row>
    <row r="272" spans="2:13" x14ac:dyDescent="0.35">
      <c r="B272" s="109">
        <v>46137</v>
      </c>
      <c r="C272" s="1" t="s">
        <v>5736</v>
      </c>
      <c r="D272" s="1">
        <v>6210</v>
      </c>
      <c r="E272" s="1" t="str">
        <f>_xlfn.XLOOKUP(tblGJ[[#This Row],[Account Code]],tblCOA[Code],tblCOA[Account Name],"⚠ Invalid account")</f>
        <v>Salaries &amp; Allowances - G&amp;A</v>
      </c>
      <c r="F272" s="1" t="s">
        <v>6114</v>
      </c>
      <c r="G272" s="5">
        <f>SUMIFS(tblPayroll[Gross Salary],tblPayroll[Period],MONTH(tblGJ[[#This Row],[Date]]),tblPayroll[Department],"G&amp;A")</f>
        <v>98000000</v>
      </c>
      <c r="H272" s="5"/>
      <c r="I272" s="1" t="s">
        <v>6531</v>
      </c>
      <c r="J272" s="1">
        <f>MONTH(tblGJ[[#This Row],[Date]])</f>
        <v>4</v>
      </c>
      <c r="K272" s="1" t="str">
        <f>_xlfn.XLOOKUP(tblGJ[[#This Row],[Account Code]],tblCOA[Code],tblCOA[FS Line],"")</f>
        <v>General &amp; administrative expenses</v>
      </c>
      <c r="L272" s="121" t="str">
        <f>IF(OR(tblGJ[[#This Row],[Account Code]]=1120,tblGJ[[#This Row],[Account Code]]=1130),_xlfn.MINIFS(tblBank[Value Date],tblBank[Reference],tblGJ[[#This Row],[Voucher No]],tblBank[Account Code],tblGJ[[#This Row],[Account Code]]),"")</f>
        <v/>
      </c>
      <c r="M272" s="1" t="str">
        <f>IF(tblGJ[[#This Row],[Date]]&lt;=PEnd,"Yes","No")</f>
        <v>Yes</v>
      </c>
    </row>
    <row r="273" spans="2:13" x14ac:dyDescent="0.35">
      <c r="B273" s="109">
        <v>46137</v>
      </c>
      <c r="C273" s="1" t="s">
        <v>5736</v>
      </c>
      <c r="D273" s="1">
        <v>6211</v>
      </c>
      <c r="E273" s="1" t="str">
        <f>_xlfn.XLOOKUP(tblGJ[[#This Row],[Account Code]],tblCOA[Code],tblCOA[Account Name],"⚠ Invalid account")</f>
        <v>BPJS Employer Contributions - G&amp;A</v>
      </c>
      <c r="F273" s="1" t="s">
        <v>6115</v>
      </c>
      <c r="G273" s="5">
        <f>SUMIFS(tblPayroll[Employer BPJS Total],tblPayroll[Period],MONTH(tblGJ[[#This Row],[Date]]),tblPayroll[Department],"G&amp;A")</f>
        <v>7968044</v>
      </c>
      <c r="H273" s="5"/>
      <c r="I273" s="1" t="s">
        <v>6531</v>
      </c>
      <c r="J273" s="1">
        <f>MONTH(tblGJ[[#This Row],[Date]])</f>
        <v>4</v>
      </c>
      <c r="K273" s="1" t="str">
        <f>_xlfn.XLOOKUP(tblGJ[[#This Row],[Account Code]],tblCOA[Code],tblCOA[FS Line],"")</f>
        <v>General &amp; administrative expenses</v>
      </c>
      <c r="L273" s="121" t="str">
        <f>IF(OR(tblGJ[[#This Row],[Account Code]]=1120,tblGJ[[#This Row],[Account Code]]=1130),_xlfn.MINIFS(tblBank[Value Date],tblBank[Reference],tblGJ[[#This Row],[Voucher No]],tblBank[Account Code],tblGJ[[#This Row],[Account Code]]),"")</f>
        <v/>
      </c>
      <c r="M273" s="1" t="str">
        <f>IF(tblGJ[[#This Row],[Date]]&lt;=PEnd,"Yes","No")</f>
        <v>Yes</v>
      </c>
    </row>
    <row r="274" spans="2:13" x14ac:dyDescent="0.35">
      <c r="B274" s="109">
        <v>46137</v>
      </c>
      <c r="C274" s="1" t="s">
        <v>5736</v>
      </c>
      <c r="D274" s="1">
        <v>2230</v>
      </c>
      <c r="E274" s="1" t="str">
        <f>_xlfn.XLOOKUP(tblGJ[[#This Row],[Account Code]],tblCOA[Code],tblCOA[Account Name],"⚠ Invalid account")</f>
        <v>WHT Payable - Art. 21</v>
      </c>
      <c r="F274" s="1" t="s">
        <v>6116</v>
      </c>
      <c r="G274" s="5"/>
      <c r="H274" s="5">
        <f>SUMIFS(tblPayroll[PPh 21],tblPayroll[Period],MONTH(tblGJ[[#This Row],[Date]]))</f>
        <v>10516831</v>
      </c>
      <c r="I274" s="1" t="s">
        <v>6531</v>
      </c>
      <c r="J274" s="1">
        <f>MONTH(tblGJ[[#This Row],[Date]])</f>
        <v>4</v>
      </c>
      <c r="K274" s="1" t="str">
        <f>_xlfn.XLOOKUP(tblGJ[[#This Row],[Account Code]],tblCOA[Code],tblCOA[FS Line],"")</f>
        <v>Taxes payable</v>
      </c>
      <c r="L274" s="121" t="str">
        <f>IF(OR(tblGJ[[#This Row],[Account Code]]=1120,tblGJ[[#This Row],[Account Code]]=1130),_xlfn.MINIFS(tblBank[Value Date],tblBank[Reference],tblGJ[[#This Row],[Voucher No]],tblBank[Account Code],tblGJ[[#This Row],[Account Code]]),"")</f>
        <v/>
      </c>
      <c r="M274" s="1" t="str">
        <f>IF(tblGJ[[#This Row],[Date]]&lt;=PEnd,"Yes","No")</f>
        <v>Yes</v>
      </c>
    </row>
    <row r="275" spans="2:13" x14ac:dyDescent="0.35">
      <c r="B275" s="109">
        <v>46137</v>
      </c>
      <c r="C275" s="1" t="s">
        <v>5736</v>
      </c>
      <c r="D275" s="1">
        <v>2150</v>
      </c>
      <c r="E275" s="1" t="str">
        <f>_xlfn.XLOOKUP(tblGJ[[#This Row],[Account Code]],tblCOA[Code],tblCOA[Account Name],"⚠ Invalid account")</f>
        <v>BPJS Payable</v>
      </c>
      <c r="F275" s="1" t="s">
        <v>6117</v>
      </c>
      <c r="G275" s="5"/>
      <c r="H275" s="5">
        <f>SUMIFS(tblPayroll[BPJS Payable],tblPayroll[Period],MONTH(tblGJ[[#This Row],[Date]]))</f>
        <v>22077790</v>
      </c>
      <c r="I275" s="1" t="s">
        <v>6531</v>
      </c>
      <c r="J275" s="1">
        <f>MONTH(tblGJ[[#This Row],[Date]])</f>
        <v>4</v>
      </c>
      <c r="K275" s="1" t="str">
        <f>_xlfn.XLOOKUP(tblGJ[[#This Row],[Account Code]],tblCOA[Code],tblCOA[FS Line],"")</f>
        <v>Accrued expenses</v>
      </c>
      <c r="L275" s="121" t="str">
        <f>IF(OR(tblGJ[[#This Row],[Account Code]]=1120,tblGJ[[#This Row],[Account Code]]=1130),_xlfn.MINIFS(tblBank[Value Date],tblBank[Reference],tblGJ[[#This Row],[Voucher No]],tblBank[Account Code],tblGJ[[#This Row],[Account Code]]),"")</f>
        <v/>
      </c>
      <c r="M275" s="1" t="str">
        <f>IF(tblGJ[[#This Row],[Date]]&lt;=PEnd,"Yes","No")</f>
        <v>Yes</v>
      </c>
    </row>
    <row r="276" spans="2:13" x14ac:dyDescent="0.35">
      <c r="B276" s="109">
        <v>46137</v>
      </c>
      <c r="C276" s="1" t="s">
        <v>5736</v>
      </c>
      <c r="D276" s="1">
        <v>1130</v>
      </c>
      <c r="E276" s="1" t="str">
        <f>_xlfn.XLOOKUP(tblGJ[[#This Row],[Account Code]],tblCOA[Code],tblCOA[Account Name],"⚠ Invalid account")</f>
        <v>Bank Mandiri - Current Account</v>
      </c>
      <c r="F276" s="1" t="s">
        <v>6118</v>
      </c>
      <c r="G276" s="5"/>
      <c r="H276" s="5">
        <f>SUMIFS(tblPayroll[Net Pay],tblPayroll[Period],MONTH(tblGJ[[#This Row],[Date]]))</f>
        <v>161397799</v>
      </c>
      <c r="I276" s="1" t="s">
        <v>6531</v>
      </c>
      <c r="J276" s="1">
        <f>MONTH(tblGJ[[#This Row],[Date]])</f>
        <v>4</v>
      </c>
      <c r="K276" s="1" t="str">
        <f>_xlfn.XLOOKUP(tblGJ[[#This Row],[Account Code]],tblCOA[Code],tblCOA[FS Line],"")</f>
        <v>Cash and cash equivalents</v>
      </c>
      <c r="L276" s="121">
        <f>IF(OR(tblGJ[[#This Row],[Account Code]]=1120,tblGJ[[#This Row],[Account Code]]=1130),_xlfn.MINIFS(tblBank[Value Date],tblBank[Reference],tblGJ[[#This Row],[Voucher No]],tblBank[Account Code],tblGJ[[#This Row],[Account Code]]),"")</f>
        <v>46137</v>
      </c>
      <c r="M276" s="1" t="str">
        <f>IF(tblGJ[[#This Row],[Date]]&lt;=PEnd,"Yes","No")</f>
        <v>Yes</v>
      </c>
    </row>
    <row r="277" spans="2:13" x14ac:dyDescent="0.35">
      <c r="B277" s="109">
        <v>46140</v>
      </c>
      <c r="C277" s="1" t="s">
        <v>5737</v>
      </c>
      <c r="D277" s="1">
        <v>2220</v>
      </c>
      <c r="E277" s="1" t="str">
        <f>_xlfn.XLOOKUP(tblGJ[[#This Row],[Account Code]],tblCOA[Code],tblCOA[Account Name],"⚠ Invalid account")</f>
        <v>VAT Payable - Net</v>
      </c>
      <c r="F277" s="1" t="s">
        <v>5974</v>
      </c>
      <c r="G277" s="5">
        <f>IF(MONTH(tblGJ[[#This Row],[Date]])=1,_xlfn.XLOOKUP(2220,tblCOA[Code],tblCOA[Opening Balance]),SUMIFS(tblSales[Output VAT],tblSales[Month],MONTH(tblGJ[[#This Row],[Date]])-1)-SUMIFS(tblPurchases[Input VAT],tblPurchases[Month],MONTH(tblGJ[[#This Row],[Date]])-1))</f>
        <v>43483770</v>
      </c>
      <c r="H277" s="5"/>
      <c r="I277" s="1" t="s">
        <v>6528</v>
      </c>
      <c r="J277" s="1">
        <f>MONTH(tblGJ[[#This Row],[Date]])</f>
        <v>4</v>
      </c>
      <c r="K277" s="1" t="str">
        <f>_xlfn.XLOOKUP(tblGJ[[#This Row],[Account Code]],tblCOA[Code],tblCOA[FS Line],"")</f>
        <v>Taxes payable</v>
      </c>
      <c r="L277" s="121" t="str">
        <f>IF(OR(tblGJ[[#This Row],[Account Code]]=1120,tblGJ[[#This Row],[Account Code]]=1130),_xlfn.MINIFS(tblBank[Value Date],tblBank[Reference],tblGJ[[#This Row],[Voucher No]],tblBank[Account Code],tblGJ[[#This Row],[Account Code]]),"")</f>
        <v/>
      </c>
      <c r="M277" s="1" t="str">
        <f>IF(tblGJ[[#This Row],[Date]]&lt;=PEnd,"Yes","No")</f>
        <v>Yes</v>
      </c>
    </row>
    <row r="278" spans="2:13" x14ac:dyDescent="0.35">
      <c r="B278" s="109">
        <v>46140</v>
      </c>
      <c r="C278" s="1" t="s">
        <v>5737</v>
      </c>
      <c r="D278" s="1">
        <v>1120</v>
      </c>
      <c r="E278" s="1" t="str">
        <f>_xlfn.XLOOKUP(tblGJ[[#This Row],[Account Code]],tblCOA[Code],tblCOA[Account Name],"⚠ Invalid account")</f>
        <v>Bank BCA - Current Account</v>
      </c>
      <c r="F278" s="1" t="s">
        <v>5974</v>
      </c>
      <c r="G278" s="5"/>
      <c r="H278" s="5">
        <f>IF(MONTH(tblGJ[[#This Row],[Date]])=1,_xlfn.XLOOKUP(2220,tblCOA[Code],tblCOA[Opening Balance]),SUMIFS(tblSales[Output VAT],tblSales[Month],MONTH(tblGJ[[#This Row],[Date]])-1)-SUMIFS(tblPurchases[Input VAT],tblPurchases[Month],MONTH(tblGJ[[#This Row],[Date]])-1))</f>
        <v>43483770</v>
      </c>
      <c r="I278" s="1" t="s">
        <v>6528</v>
      </c>
      <c r="J278" s="1">
        <f>MONTH(tblGJ[[#This Row],[Date]])</f>
        <v>4</v>
      </c>
      <c r="K278" s="1" t="str">
        <f>_xlfn.XLOOKUP(tblGJ[[#This Row],[Account Code]],tblCOA[Code],tblCOA[FS Line],"")</f>
        <v>Cash and cash equivalents</v>
      </c>
      <c r="L278" s="121">
        <f>IF(OR(tblGJ[[#This Row],[Account Code]]=1120,tblGJ[[#This Row],[Account Code]]=1130),_xlfn.MINIFS(tblBank[Value Date],tblBank[Reference],tblGJ[[#This Row],[Voucher No]],tblBank[Account Code],tblGJ[[#This Row],[Account Code]]),"")</f>
        <v>46140</v>
      </c>
      <c r="M278" s="1" t="str">
        <f>IF(tblGJ[[#This Row],[Date]]&lt;=PEnd,"Yes","No")</f>
        <v>Yes</v>
      </c>
    </row>
    <row r="279" spans="2:13" x14ac:dyDescent="0.35">
      <c r="B279" s="109">
        <v>46140</v>
      </c>
      <c r="C279" s="1" t="s">
        <v>5738</v>
      </c>
      <c r="D279" s="1">
        <v>2410</v>
      </c>
      <c r="E279" s="1" t="str">
        <f>_xlfn.XLOOKUP(tblGJ[[#This Row],[Account Code]],tblCOA[Code],tblCOA[Account Name],"⚠ Invalid account")</f>
        <v>Long-term Bank Loan</v>
      </c>
      <c r="F279" s="1" t="s">
        <v>6119</v>
      </c>
      <c r="G279" s="5">
        <v>25000000</v>
      </c>
      <c r="H279" s="5"/>
      <c r="I279" s="1" t="s">
        <v>4263</v>
      </c>
      <c r="J279" s="1">
        <f>MONTH(tblGJ[[#This Row],[Date]])</f>
        <v>4</v>
      </c>
      <c r="K279" s="1" t="str">
        <f>_xlfn.XLOOKUP(tblGJ[[#This Row],[Account Code]],tblCOA[Code],tblCOA[FS Line],"")</f>
        <v>Long-term bank loans</v>
      </c>
      <c r="L279" s="121" t="str">
        <f>IF(OR(tblGJ[[#This Row],[Account Code]]=1120,tblGJ[[#This Row],[Account Code]]=1130),_xlfn.MINIFS(tblBank[Value Date],tblBank[Reference],tblGJ[[#This Row],[Voucher No]],tblBank[Account Code],tblGJ[[#This Row],[Account Code]]),"")</f>
        <v/>
      </c>
      <c r="M279" s="1" t="str">
        <f>IF(tblGJ[[#This Row],[Date]]&lt;=PEnd,"Yes","No")</f>
        <v>Yes</v>
      </c>
    </row>
    <row r="280" spans="2:13" x14ac:dyDescent="0.35">
      <c r="B280" s="109">
        <v>46140</v>
      </c>
      <c r="C280" s="1" t="s">
        <v>5738</v>
      </c>
      <c r="D280" s="1">
        <v>7210</v>
      </c>
      <c r="E280" s="1" t="str">
        <f>_xlfn.XLOOKUP(tblGJ[[#This Row],[Account Code]],tblCOA[Code],tblCOA[Account Name],"⚠ Invalid account")</f>
        <v>Interest Expense - Bank Loans</v>
      </c>
      <c r="F280" s="1" t="s">
        <v>6120</v>
      </c>
      <c r="G280" s="5">
        <v>10687500</v>
      </c>
      <c r="H280" s="5"/>
      <c r="I280" s="1" t="s">
        <v>4263</v>
      </c>
      <c r="J280" s="1">
        <f>MONTH(tblGJ[[#This Row],[Date]])</f>
        <v>4</v>
      </c>
      <c r="K280" s="1" t="str">
        <f>_xlfn.XLOOKUP(tblGJ[[#This Row],[Account Code]],tblCOA[Code],tblCOA[FS Line],"")</f>
        <v>Finance costs</v>
      </c>
      <c r="L280" s="121" t="str">
        <f>IF(OR(tblGJ[[#This Row],[Account Code]]=1120,tblGJ[[#This Row],[Account Code]]=1130),_xlfn.MINIFS(tblBank[Value Date],tblBank[Reference],tblGJ[[#This Row],[Voucher No]],tblBank[Account Code],tblGJ[[#This Row],[Account Code]]),"")</f>
        <v/>
      </c>
      <c r="M280" s="1" t="str">
        <f>IF(tblGJ[[#This Row],[Date]]&lt;=PEnd,"Yes","No")</f>
        <v>Yes</v>
      </c>
    </row>
    <row r="281" spans="2:13" x14ac:dyDescent="0.35">
      <c r="B281" s="109">
        <v>46140</v>
      </c>
      <c r="C281" s="1" t="s">
        <v>5738</v>
      </c>
      <c r="D281" s="1">
        <v>1120</v>
      </c>
      <c r="E281" s="1" t="str">
        <f>_xlfn.XLOOKUP(tblGJ[[#This Row],[Account Code]],tblCOA[Code],tblCOA[Account Name],"⚠ Invalid account")</f>
        <v>Bank BCA - Current Account</v>
      </c>
      <c r="F281" s="1" t="s">
        <v>6121</v>
      </c>
      <c r="G281" s="5"/>
      <c r="H281" s="5">
        <v>35687500</v>
      </c>
      <c r="I281" s="1" t="s">
        <v>4263</v>
      </c>
      <c r="J281" s="1">
        <f>MONTH(tblGJ[[#This Row],[Date]])</f>
        <v>4</v>
      </c>
      <c r="K281" s="1" t="str">
        <f>_xlfn.XLOOKUP(tblGJ[[#This Row],[Account Code]],tblCOA[Code],tblCOA[FS Line],"")</f>
        <v>Cash and cash equivalents</v>
      </c>
      <c r="L281" s="121">
        <f>IF(OR(tblGJ[[#This Row],[Account Code]]=1120,tblGJ[[#This Row],[Account Code]]=1130),_xlfn.MINIFS(tblBank[Value Date],tblBank[Reference],tblGJ[[#This Row],[Voucher No]],tblBank[Account Code],tblGJ[[#This Row],[Account Code]]),"")</f>
        <v>46140</v>
      </c>
      <c r="M281" s="1" t="str">
        <f>IF(tblGJ[[#This Row],[Date]]&lt;=PEnd,"Yes","No")</f>
        <v>Yes</v>
      </c>
    </row>
    <row r="282" spans="2:13" x14ac:dyDescent="0.35">
      <c r="B282" s="109">
        <v>46140</v>
      </c>
      <c r="C282" s="1" t="s">
        <v>5739</v>
      </c>
      <c r="D282" s="1">
        <v>7210</v>
      </c>
      <c r="E282" s="1" t="str">
        <f>_xlfn.XLOOKUP(tblGJ[[#This Row],[Account Code]],tblCOA[Code],tblCOA[Account Name],"⚠ Invalid account")</f>
        <v>Interest Expense - Bank Loans</v>
      </c>
      <c r="F282" s="1" t="s">
        <v>6122</v>
      </c>
      <c r="G282" s="5">
        <v>2500000</v>
      </c>
      <c r="H282" s="5"/>
      <c r="I282" s="1" t="s">
        <v>4263</v>
      </c>
      <c r="J282" s="1">
        <f>MONTH(tblGJ[[#This Row],[Date]])</f>
        <v>4</v>
      </c>
      <c r="K282" s="1" t="str">
        <f>_xlfn.XLOOKUP(tblGJ[[#This Row],[Account Code]],tblCOA[Code],tblCOA[FS Line],"")</f>
        <v>Finance costs</v>
      </c>
      <c r="L282" s="121" t="str">
        <f>IF(OR(tblGJ[[#This Row],[Account Code]]=1120,tblGJ[[#This Row],[Account Code]]=1130),_xlfn.MINIFS(tblBank[Value Date],tblBank[Reference],tblGJ[[#This Row],[Voucher No]],tblBank[Account Code],tblGJ[[#This Row],[Account Code]]),"")</f>
        <v/>
      </c>
      <c r="M282" s="1" t="str">
        <f>IF(tblGJ[[#This Row],[Date]]&lt;=PEnd,"Yes","No")</f>
        <v>Yes</v>
      </c>
    </row>
    <row r="283" spans="2:13" x14ac:dyDescent="0.35">
      <c r="B283" s="109">
        <v>46140</v>
      </c>
      <c r="C283" s="1" t="s">
        <v>5739</v>
      </c>
      <c r="D283" s="1">
        <v>1120</v>
      </c>
      <c r="E283" s="1" t="str">
        <f>_xlfn.XLOOKUP(tblGJ[[#This Row],[Account Code]],tblCOA[Code],tblCOA[Account Name],"⚠ Invalid account")</f>
        <v>Bank BCA - Current Account</v>
      </c>
      <c r="F283" s="1" t="s">
        <v>6123</v>
      </c>
      <c r="G283" s="5"/>
      <c r="H283" s="5">
        <v>2500000</v>
      </c>
      <c r="I283" s="1" t="s">
        <v>4263</v>
      </c>
      <c r="J283" s="1">
        <f>MONTH(tblGJ[[#This Row],[Date]])</f>
        <v>4</v>
      </c>
      <c r="K283" s="1" t="str">
        <f>_xlfn.XLOOKUP(tblGJ[[#This Row],[Account Code]],tblCOA[Code],tblCOA[FS Line],"")</f>
        <v>Cash and cash equivalents</v>
      </c>
      <c r="L283" s="121">
        <f>IF(OR(tblGJ[[#This Row],[Account Code]]=1120,tblGJ[[#This Row],[Account Code]]=1130),_xlfn.MINIFS(tblBank[Value Date],tblBank[Reference],tblGJ[[#This Row],[Voucher No]],tblBank[Account Code],tblGJ[[#This Row],[Account Code]]),"")</f>
        <v>46140</v>
      </c>
      <c r="M283" s="1" t="str">
        <f>IF(tblGJ[[#This Row],[Date]]&lt;=PEnd,"Yes","No")</f>
        <v>Yes</v>
      </c>
    </row>
    <row r="284" spans="2:13" x14ac:dyDescent="0.35">
      <c r="B284" s="109">
        <v>46140</v>
      </c>
      <c r="C284" s="1" t="s">
        <v>5740</v>
      </c>
      <c r="D284" s="1">
        <v>2250</v>
      </c>
      <c r="E284" s="1" t="str">
        <f>_xlfn.XLOOKUP(tblGJ[[#This Row],[Account Code]],tblCOA[Code],tblCOA[Account Name],"⚠ Invalid account")</f>
        <v>Corporate Income Tax Payable (Art. 29)</v>
      </c>
      <c r="F284" s="1" t="s">
        <v>6124</v>
      </c>
      <c r="G284" s="5">
        <f>_xlfn.XLOOKUP(2250,tblCOA[Code],tblCOA[Opening Balance])</f>
        <v>60000000</v>
      </c>
      <c r="H284" s="5"/>
      <c r="I284" s="1" t="s">
        <v>6528</v>
      </c>
      <c r="J284" s="1">
        <f>MONTH(tblGJ[[#This Row],[Date]])</f>
        <v>4</v>
      </c>
      <c r="K284" s="1" t="str">
        <f>_xlfn.XLOOKUP(tblGJ[[#This Row],[Account Code]],tblCOA[Code],tblCOA[FS Line],"")</f>
        <v>Taxes payable</v>
      </c>
      <c r="L284" s="121" t="str">
        <f>IF(OR(tblGJ[[#This Row],[Account Code]]=1120,tblGJ[[#This Row],[Account Code]]=1130),_xlfn.MINIFS(tblBank[Value Date],tblBank[Reference],tblGJ[[#This Row],[Voucher No]],tblBank[Account Code],tblGJ[[#This Row],[Account Code]]),"")</f>
        <v/>
      </c>
      <c r="M284" s="1" t="str">
        <f>IF(tblGJ[[#This Row],[Date]]&lt;=PEnd,"Yes","No")</f>
        <v>Yes</v>
      </c>
    </row>
    <row r="285" spans="2:13" x14ac:dyDescent="0.35">
      <c r="B285" s="109">
        <v>46140</v>
      </c>
      <c r="C285" s="1" t="s">
        <v>5740</v>
      </c>
      <c r="D285" s="1">
        <v>1120</v>
      </c>
      <c r="E285" s="1" t="str">
        <f>_xlfn.XLOOKUP(tblGJ[[#This Row],[Account Code]],tblCOA[Code],tblCOA[Account Name],"⚠ Invalid account")</f>
        <v>Bank BCA - Current Account</v>
      </c>
      <c r="F285" s="1" t="s">
        <v>6124</v>
      </c>
      <c r="G285" s="5"/>
      <c r="H285" s="5">
        <f>_xlfn.XLOOKUP(2250,tblCOA[Code],tblCOA[Opening Balance])</f>
        <v>60000000</v>
      </c>
      <c r="I285" s="1" t="s">
        <v>6528</v>
      </c>
      <c r="J285" s="1">
        <f>MONTH(tblGJ[[#This Row],[Date]])</f>
        <v>4</v>
      </c>
      <c r="K285" s="1" t="str">
        <f>_xlfn.XLOOKUP(tblGJ[[#This Row],[Account Code]],tblCOA[Code],tblCOA[FS Line],"")</f>
        <v>Cash and cash equivalents</v>
      </c>
      <c r="L285" s="121">
        <f>IF(OR(tblGJ[[#This Row],[Account Code]]=1120,tblGJ[[#This Row],[Account Code]]=1130),_xlfn.MINIFS(tblBank[Value Date],tblBank[Reference],tblGJ[[#This Row],[Voucher No]],tblBank[Account Code],tblGJ[[#This Row],[Account Code]]),"")</f>
        <v>46140</v>
      </c>
      <c r="M285" s="1" t="str">
        <f>IF(tblGJ[[#This Row],[Date]]&lt;=PEnd,"Yes","No")</f>
        <v>Yes</v>
      </c>
    </row>
    <row r="286" spans="2:13" x14ac:dyDescent="0.35">
      <c r="B286" s="109">
        <v>46142</v>
      </c>
      <c r="C286" s="1" t="s">
        <v>5741</v>
      </c>
      <c r="D286" s="1">
        <v>1110</v>
      </c>
      <c r="E286" s="1" t="str">
        <f>_xlfn.XLOOKUP(tblGJ[[#This Row],[Account Code]],tblCOA[Code],tblCOA[Account Name],"⚠ Invalid account")</f>
        <v>Cash on Hand</v>
      </c>
      <c r="F286" s="1" t="s">
        <v>6125</v>
      </c>
      <c r="G286" s="5">
        <f>SUMIFS(tblSales[Total incl. VAT],tblSales[Month],MONTH(tblGJ[[#This Row],[Date]]),tblSales[Payment Method],Products!$O$13)</f>
        <v>135875100</v>
      </c>
      <c r="H286" s="5"/>
      <c r="I286" s="1" t="s">
        <v>6532</v>
      </c>
      <c r="J286" s="1">
        <f>MONTH(tblGJ[[#This Row],[Date]])</f>
        <v>4</v>
      </c>
      <c r="K286" s="1" t="str">
        <f>_xlfn.XLOOKUP(tblGJ[[#This Row],[Account Code]],tblCOA[Code],tblCOA[FS Line],"")</f>
        <v>Cash and cash equivalents</v>
      </c>
      <c r="L286" s="121" t="str">
        <f>IF(OR(tblGJ[[#This Row],[Account Code]]=1120,tblGJ[[#This Row],[Account Code]]=1130),_xlfn.MINIFS(tblBank[Value Date],tblBank[Reference],tblGJ[[#This Row],[Voucher No]],tblBank[Account Code],tblGJ[[#This Row],[Account Code]]),"")</f>
        <v/>
      </c>
      <c r="M286" s="1" t="str">
        <f>IF(tblGJ[[#This Row],[Date]]&lt;=PEnd,"Yes","No")</f>
        <v>Yes</v>
      </c>
    </row>
    <row r="287" spans="2:13" x14ac:dyDescent="0.35">
      <c r="B287" s="109">
        <v>46142</v>
      </c>
      <c r="C287" s="1" t="s">
        <v>5741</v>
      </c>
      <c r="D287" s="1">
        <v>1120</v>
      </c>
      <c r="E287" s="1" t="str">
        <f>_xlfn.XLOOKUP(tblGJ[[#This Row],[Account Code]],tblCOA[Code],tblCOA[Account Name],"⚠ Invalid account")</f>
        <v>Bank BCA - Current Account</v>
      </c>
      <c r="F287" s="1" t="s">
        <v>6126</v>
      </c>
      <c r="G287" s="5">
        <f>SUMIFS(tblSales[Total incl. VAT],tblSales[Month],MONTH(tblGJ[[#This Row],[Date]]),tblSales[Payment Method],Products!$O$14)</f>
        <v>215184600</v>
      </c>
      <c r="H287" s="5"/>
      <c r="I287" s="1" t="s">
        <v>6532</v>
      </c>
      <c r="J287" s="1">
        <f>MONTH(tblGJ[[#This Row],[Date]])</f>
        <v>4</v>
      </c>
      <c r="K287" s="1" t="str">
        <f>_xlfn.XLOOKUP(tblGJ[[#This Row],[Account Code]],tblCOA[Code],tblCOA[FS Line],"")</f>
        <v>Cash and cash equivalents</v>
      </c>
      <c r="L287" s="121">
        <f>IF(OR(tblGJ[[#This Row],[Account Code]]=1120,tblGJ[[#This Row],[Account Code]]=1130),_xlfn.MINIFS(tblBank[Value Date],tblBank[Reference],tblGJ[[#This Row],[Voucher No]],tblBank[Account Code],tblGJ[[#This Row],[Account Code]]),"")</f>
        <v>46142</v>
      </c>
      <c r="M287" s="1" t="str">
        <f>IF(tblGJ[[#This Row],[Date]]&lt;=PEnd,"Yes","No")</f>
        <v>Yes</v>
      </c>
    </row>
    <row r="288" spans="2:13" x14ac:dyDescent="0.35">
      <c r="B288" s="109">
        <v>46142</v>
      </c>
      <c r="C288" s="1" t="s">
        <v>5741</v>
      </c>
      <c r="D288" s="1">
        <v>1210</v>
      </c>
      <c r="E288" s="1" t="str">
        <f>_xlfn.XLOOKUP(tblGJ[[#This Row],[Account Code]],tblCOA[Code],tblCOA[Account Name],"⚠ Invalid account")</f>
        <v>Trade Receivables</v>
      </c>
      <c r="F288" s="1" t="s">
        <v>6127</v>
      </c>
      <c r="G288" s="5">
        <f>SUMIFS(tblSales[Total incl. VAT],tblSales[Month],MONTH(tblGJ[[#This Row],[Date]]),tblSales[Payment Method],Products!$O$15)</f>
        <v>865400400</v>
      </c>
      <c r="H288" s="5"/>
      <c r="I288" s="1" t="s">
        <v>6532</v>
      </c>
      <c r="J288" s="1">
        <f>MONTH(tblGJ[[#This Row],[Date]])</f>
        <v>4</v>
      </c>
      <c r="K288" s="1" t="str">
        <f>_xlfn.XLOOKUP(tblGJ[[#This Row],[Account Code]],tblCOA[Code],tblCOA[FS Line],"")</f>
        <v>Trade receivables - net</v>
      </c>
      <c r="L288" s="121" t="str">
        <f>IF(OR(tblGJ[[#This Row],[Account Code]]=1120,tblGJ[[#This Row],[Account Code]]=1130),_xlfn.MINIFS(tblBank[Value Date],tblBank[Reference],tblGJ[[#This Row],[Voucher No]],tblBank[Account Code],tblGJ[[#This Row],[Account Code]]),"")</f>
        <v/>
      </c>
      <c r="M288" s="1" t="str">
        <f>IF(tblGJ[[#This Row],[Date]]&lt;=PEnd,"Yes","No")</f>
        <v>Yes</v>
      </c>
    </row>
    <row r="289" spans="2:13" x14ac:dyDescent="0.35">
      <c r="B289" s="109">
        <v>46142</v>
      </c>
      <c r="C289" s="1" t="s">
        <v>5741</v>
      </c>
      <c r="D289" s="1">
        <v>4100</v>
      </c>
      <c r="E289" s="1" t="str">
        <f>_xlfn.XLOOKUP(tblGJ[[#This Row],[Account Code]],tblCOA[Code],tblCOA[Account Name],"⚠ Invalid account")</f>
        <v>Sales of goods</v>
      </c>
      <c r="F289" s="1" t="s">
        <v>6128</v>
      </c>
      <c r="G289" s="5"/>
      <c r="H289" s="5">
        <f>SUMIFS(tblSales[DPP (excl. VAT)],tblSales[Month],MONTH(tblGJ[[#This Row],[Date]]))</f>
        <v>1095910000</v>
      </c>
      <c r="I289" s="1" t="s">
        <v>6532</v>
      </c>
      <c r="J289" s="1">
        <f>MONTH(tblGJ[[#This Row],[Date]])</f>
        <v>4</v>
      </c>
      <c r="K289" s="1" t="str">
        <f>_xlfn.XLOOKUP(tblGJ[[#This Row],[Account Code]],tblCOA[Code],tblCOA[FS Line],"")</f>
        <v>Revenue</v>
      </c>
      <c r="L289" s="121" t="str">
        <f>IF(OR(tblGJ[[#This Row],[Account Code]]=1120,tblGJ[[#This Row],[Account Code]]=1130),_xlfn.MINIFS(tblBank[Value Date],tblBank[Reference],tblGJ[[#This Row],[Voucher No]],tblBank[Account Code],tblGJ[[#This Row],[Account Code]]),"")</f>
        <v/>
      </c>
      <c r="M289" s="1" t="str">
        <f>IF(tblGJ[[#This Row],[Date]]&lt;=PEnd,"Yes","No")</f>
        <v>Yes</v>
      </c>
    </row>
    <row r="290" spans="2:13" x14ac:dyDescent="0.35">
      <c r="B290" s="109">
        <v>46142</v>
      </c>
      <c r="C290" s="1" t="s">
        <v>5741</v>
      </c>
      <c r="D290" s="1">
        <v>2210</v>
      </c>
      <c r="E290" s="1" t="str">
        <f>_xlfn.XLOOKUP(tblGJ[[#This Row],[Account Code]],tblCOA[Code],tblCOA[Account Name],"⚠ Invalid account")</f>
        <v>Output VAT (PPN Keluaran)</v>
      </c>
      <c r="F290" s="1" t="s">
        <v>6129</v>
      </c>
      <c r="G290" s="5"/>
      <c r="H290" s="5">
        <f>SUMIFS(tblSales[Output VAT],tblSales[Month],MONTH(tblGJ[[#This Row],[Date]]))</f>
        <v>120550100</v>
      </c>
      <c r="I290" s="1" t="s">
        <v>6532</v>
      </c>
      <c r="J290" s="1">
        <f>MONTH(tblGJ[[#This Row],[Date]])</f>
        <v>4</v>
      </c>
      <c r="K290" s="1" t="str">
        <f>_xlfn.XLOOKUP(tblGJ[[#This Row],[Account Code]],tblCOA[Code],tblCOA[FS Line],"")</f>
        <v>Taxes payable</v>
      </c>
      <c r="L290" s="121" t="str">
        <f>IF(OR(tblGJ[[#This Row],[Account Code]]=1120,tblGJ[[#This Row],[Account Code]]=1130),_xlfn.MINIFS(tblBank[Value Date],tblBank[Reference],tblGJ[[#This Row],[Voucher No]],tblBank[Account Code],tblGJ[[#This Row],[Account Code]]),"")</f>
        <v/>
      </c>
      <c r="M290" s="1" t="str">
        <f>IF(tblGJ[[#This Row],[Date]]&lt;=PEnd,"Yes","No")</f>
        <v>Yes</v>
      </c>
    </row>
    <row r="291" spans="2:13" x14ac:dyDescent="0.35">
      <c r="B291" s="109">
        <v>46142</v>
      </c>
      <c r="C291" s="1" t="s">
        <v>5742</v>
      </c>
      <c r="D291" s="1">
        <v>5100</v>
      </c>
      <c r="E291" s="1" t="str">
        <f>_xlfn.XLOOKUP(tblGJ[[#This Row],[Account Code]],tblCOA[Code],tblCOA[Account Name],"⚠ Invalid account")</f>
        <v>Cost of goods sold</v>
      </c>
      <c r="F291" s="1" t="s">
        <v>6130</v>
      </c>
      <c r="G291" s="5">
        <f>SUMIFS(tblSales[COGS],tblSales[Month],MONTH(tblGJ[[#This Row],[Date]]))</f>
        <v>661435000</v>
      </c>
      <c r="H291" s="5"/>
      <c r="I291" s="1" t="s">
        <v>6532</v>
      </c>
      <c r="J291" s="1">
        <f>MONTH(tblGJ[[#This Row],[Date]])</f>
        <v>4</v>
      </c>
      <c r="K291" s="1" t="str">
        <f>_xlfn.XLOOKUP(tblGJ[[#This Row],[Account Code]],tblCOA[Code],tblCOA[FS Line],"")</f>
        <v>Cost of revenue</v>
      </c>
      <c r="L291" s="121" t="str">
        <f>IF(OR(tblGJ[[#This Row],[Account Code]]=1120,tblGJ[[#This Row],[Account Code]]=1130),_xlfn.MINIFS(tblBank[Value Date],tblBank[Reference],tblGJ[[#This Row],[Voucher No]],tblBank[Account Code],tblGJ[[#This Row],[Account Code]]),"")</f>
        <v/>
      </c>
      <c r="M291" s="1" t="str">
        <f>IF(tblGJ[[#This Row],[Date]]&lt;=PEnd,"Yes","No")</f>
        <v>Yes</v>
      </c>
    </row>
    <row r="292" spans="2:13" x14ac:dyDescent="0.35">
      <c r="B292" s="109">
        <v>46142</v>
      </c>
      <c r="C292" s="1" t="s">
        <v>5742</v>
      </c>
      <c r="D292" s="1">
        <v>1310</v>
      </c>
      <c r="E292" s="1" t="str">
        <f>_xlfn.XLOOKUP(tblGJ[[#This Row],[Account Code]],tblCOA[Code],tblCOA[Account Name],"⚠ Invalid account")</f>
        <v>Merchandise inventory</v>
      </c>
      <c r="F292" s="1" t="s">
        <v>6131</v>
      </c>
      <c r="G292" s="5"/>
      <c r="H292" s="5">
        <f>SUMIFS(tblSales[COGS],tblSales[Month],MONTH(tblGJ[[#This Row],[Date]]))</f>
        <v>661435000</v>
      </c>
      <c r="I292" s="1" t="s">
        <v>6532</v>
      </c>
      <c r="J292" s="1">
        <f>MONTH(tblGJ[[#This Row],[Date]])</f>
        <v>4</v>
      </c>
      <c r="K292" s="1" t="str">
        <f>_xlfn.XLOOKUP(tblGJ[[#This Row],[Account Code]],tblCOA[Code],tblCOA[FS Line],"")</f>
        <v>Inventories</v>
      </c>
      <c r="L292" s="121" t="str">
        <f>IF(OR(tblGJ[[#This Row],[Account Code]]=1120,tblGJ[[#This Row],[Account Code]]=1130),_xlfn.MINIFS(tblBank[Value Date],tblBank[Reference],tblGJ[[#This Row],[Voucher No]],tblBank[Account Code],tblGJ[[#This Row],[Account Code]]),"")</f>
        <v/>
      </c>
      <c r="M292" s="1" t="str">
        <f>IF(tblGJ[[#This Row],[Date]]&lt;=PEnd,"Yes","No")</f>
        <v>Yes</v>
      </c>
    </row>
    <row r="293" spans="2:13" x14ac:dyDescent="0.35">
      <c r="B293" s="109">
        <v>46142</v>
      </c>
      <c r="C293" s="1" t="s">
        <v>5743</v>
      </c>
      <c r="D293" s="1">
        <v>1120</v>
      </c>
      <c r="E293" s="1" t="str">
        <f>_xlfn.XLOOKUP(tblGJ[[#This Row],[Account Code]],tblCOA[Code],tblCOA[Account Name],"⚠ Invalid account")</f>
        <v>Bank BCA - Current Account</v>
      </c>
      <c r="F293" s="1" t="s">
        <v>6132</v>
      </c>
      <c r="G293" s="5">
        <f>SUMIFS(tblSales[Total incl. VAT],tblSales[Month],MONTH(tblGJ[[#This Row],[Date]]),tblSales[Payment Method],Products!$O$13)</f>
        <v>135875100</v>
      </c>
      <c r="H293" s="5"/>
      <c r="I293" s="1" t="s">
        <v>6532</v>
      </c>
      <c r="J293" s="1">
        <f>MONTH(tblGJ[[#This Row],[Date]])</f>
        <v>4</v>
      </c>
      <c r="K293" s="1" t="str">
        <f>_xlfn.XLOOKUP(tblGJ[[#This Row],[Account Code]],tblCOA[Code],tblCOA[FS Line],"")</f>
        <v>Cash and cash equivalents</v>
      </c>
      <c r="L293" s="121">
        <f>IF(OR(tblGJ[[#This Row],[Account Code]]=1120,tblGJ[[#This Row],[Account Code]]=1130),_xlfn.MINIFS(tblBank[Value Date],tblBank[Reference],tblGJ[[#This Row],[Voucher No]],tblBank[Account Code],tblGJ[[#This Row],[Account Code]]),"")</f>
        <v>46142</v>
      </c>
      <c r="M293" s="1" t="str">
        <f>IF(tblGJ[[#This Row],[Date]]&lt;=PEnd,"Yes","No")</f>
        <v>Yes</v>
      </c>
    </row>
    <row r="294" spans="2:13" x14ac:dyDescent="0.35">
      <c r="B294" s="109">
        <v>46142</v>
      </c>
      <c r="C294" s="1" t="s">
        <v>5743</v>
      </c>
      <c r="D294" s="1">
        <v>1110</v>
      </c>
      <c r="E294" s="1" t="str">
        <f>_xlfn.XLOOKUP(tblGJ[[#This Row],[Account Code]],tblCOA[Code],tblCOA[Account Name],"⚠ Invalid account")</f>
        <v>Cash on Hand</v>
      </c>
      <c r="F294" s="1" t="s">
        <v>6132</v>
      </c>
      <c r="G294" s="5"/>
      <c r="H294" s="5">
        <f>SUMIFS(tblSales[Total incl. VAT],tblSales[Month],MONTH(tblGJ[[#This Row],[Date]]),tblSales[Payment Method],Products!$O$13)</f>
        <v>135875100</v>
      </c>
      <c r="I294" s="1" t="s">
        <v>6532</v>
      </c>
      <c r="J294" s="1">
        <f>MONTH(tblGJ[[#This Row],[Date]])</f>
        <v>4</v>
      </c>
      <c r="K294" s="1" t="str">
        <f>_xlfn.XLOOKUP(tblGJ[[#This Row],[Account Code]],tblCOA[Code],tblCOA[FS Line],"")</f>
        <v>Cash and cash equivalents</v>
      </c>
      <c r="L294" s="121" t="str">
        <f>IF(OR(tblGJ[[#This Row],[Account Code]]=1120,tblGJ[[#This Row],[Account Code]]=1130),_xlfn.MINIFS(tblBank[Value Date],tblBank[Reference],tblGJ[[#This Row],[Voucher No]],tblBank[Account Code],tblGJ[[#This Row],[Account Code]]),"")</f>
        <v/>
      </c>
      <c r="M294" s="1" t="str">
        <f>IF(tblGJ[[#This Row],[Date]]&lt;=PEnd,"Yes","No")</f>
        <v>Yes</v>
      </c>
    </row>
    <row r="295" spans="2:13" x14ac:dyDescent="0.35">
      <c r="B295" s="109">
        <v>46142</v>
      </c>
      <c r="C295" s="1" t="s">
        <v>5744</v>
      </c>
      <c r="D295" s="1">
        <v>1310</v>
      </c>
      <c r="E295" s="1" t="str">
        <f>_xlfn.XLOOKUP(tblGJ[[#This Row],[Account Code]],tblCOA[Code],tblCOA[Account Name],"⚠ Invalid account")</f>
        <v>Merchandise inventory</v>
      </c>
      <c r="F295" s="1" t="s">
        <v>6133</v>
      </c>
      <c r="G295" s="5">
        <f>SUMIFS(tblPurchases[DPP (excl. VAT)],tblPurchases[Account Code],tblGJ[[#This Row],[Account Code]],tblPurchases[Month],MONTH(tblGJ[[#This Row],[Date]]))</f>
        <v>678419000</v>
      </c>
      <c r="H295" s="5"/>
      <c r="I295" s="1" t="s">
        <v>6533</v>
      </c>
      <c r="J295" s="1">
        <f>MONTH(tblGJ[[#This Row],[Date]])</f>
        <v>4</v>
      </c>
      <c r="K295" s="1" t="str">
        <f>_xlfn.XLOOKUP(tblGJ[[#This Row],[Account Code]],tblCOA[Code],tblCOA[FS Line],"")</f>
        <v>Inventories</v>
      </c>
      <c r="L295" s="121" t="str">
        <f>IF(OR(tblGJ[[#This Row],[Account Code]]=1120,tblGJ[[#This Row],[Account Code]]=1130),_xlfn.MINIFS(tblBank[Value Date],tblBank[Reference],tblGJ[[#This Row],[Voucher No]],tblBank[Account Code],tblGJ[[#This Row],[Account Code]]),"")</f>
        <v/>
      </c>
      <c r="M295" s="1" t="str">
        <f>IF(tblGJ[[#This Row],[Date]]&lt;=PEnd,"Yes","No")</f>
        <v>Yes</v>
      </c>
    </row>
    <row r="296" spans="2:13" x14ac:dyDescent="0.35">
      <c r="B296" s="109">
        <v>46142</v>
      </c>
      <c r="C296" s="1" t="s">
        <v>5744</v>
      </c>
      <c r="D296" s="1">
        <v>6120</v>
      </c>
      <c r="E296" s="1" t="str">
        <f>_xlfn.XLOOKUP(tblGJ[[#This Row],[Account Code]],tblCOA[Code],tblCOA[Account Name],"⚠ Invalid account")</f>
        <v>Advertising &amp; Promotion</v>
      </c>
      <c r="F296" s="1" t="s">
        <v>6133</v>
      </c>
      <c r="G296" s="5">
        <f>SUMIFS(tblPurchases[DPP (excl. VAT)],tblPurchases[Account Code],tblGJ[[#This Row],[Account Code]],tblPurchases[Month],MONTH(tblGJ[[#This Row],[Date]]))</f>
        <v>12055000</v>
      </c>
      <c r="H296" s="5"/>
      <c r="I296" s="1" t="s">
        <v>6533</v>
      </c>
      <c r="J296" s="1">
        <f>MONTH(tblGJ[[#This Row],[Date]])</f>
        <v>4</v>
      </c>
      <c r="K296" s="1" t="str">
        <f>_xlfn.XLOOKUP(tblGJ[[#This Row],[Account Code]],tblCOA[Code],tblCOA[FS Line],"")</f>
        <v>Selling expenses</v>
      </c>
      <c r="L296" s="121" t="str">
        <f>IF(OR(tblGJ[[#This Row],[Account Code]]=1120,tblGJ[[#This Row],[Account Code]]=1130),_xlfn.MINIFS(tblBank[Value Date],tblBank[Reference],tblGJ[[#This Row],[Voucher No]],tblBank[Account Code],tblGJ[[#This Row],[Account Code]]),"")</f>
        <v/>
      </c>
      <c r="M296" s="1" t="str">
        <f>IF(tblGJ[[#This Row],[Date]]&lt;=PEnd,"Yes","No")</f>
        <v>Yes</v>
      </c>
    </row>
    <row r="297" spans="2:13" x14ac:dyDescent="0.35">
      <c r="B297" s="109">
        <v>46142</v>
      </c>
      <c r="C297" s="1" t="s">
        <v>5744</v>
      </c>
      <c r="D297" s="1">
        <v>6130</v>
      </c>
      <c r="E297" s="1" t="str">
        <f>_xlfn.XLOOKUP(tblGJ[[#This Row],[Account Code]],tblCOA[Code],tblCOA[Account Name],"⚠ Invalid account")</f>
        <v>Marketplace &amp; Sales Commissions</v>
      </c>
      <c r="F297" s="1" t="s">
        <v>6133</v>
      </c>
      <c r="G297" s="5">
        <f>SUMIFS(tblPurchases[DPP (excl. VAT)],tblPurchases[Account Code],tblGJ[[#This Row],[Account Code]],tblPurchases[Month],MONTH(tblGJ[[#This Row],[Date]]))</f>
        <v>3054000</v>
      </c>
      <c r="H297" s="5"/>
      <c r="I297" s="1" t="s">
        <v>6533</v>
      </c>
      <c r="J297" s="1">
        <f>MONTH(tblGJ[[#This Row],[Date]])</f>
        <v>4</v>
      </c>
      <c r="K297" s="1" t="str">
        <f>_xlfn.XLOOKUP(tblGJ[[#This Row],[Account Code]],tblCOA[Code],tblCOA[FS Line],"")</f>
        <v>Selling expenses</v>
      </c>
      <c r="L297" s="121" t="str">
        <f>IF(OR(tblGJ[[#This Row],[Account Code]]=1120,tblGJ[[#This Row],[Account Code]]=1130),_xlfn.MINIFS(tblBank[Value Date],tblBank[Reference],tblGJ[[#This Row],[Voucher No]],tblBank[Account Code],tblGJ[[#This Row],[Account Code]]),"")</f>
        <v/>
      </c>
      <c r="M297" s="1" t="str">
        <f>IF(tblGJ[[#This Row],[Date]]&lt;=PEnd,"Yes","No")</f>
        <v>Yes</v>
      </c>
    </row>
    <row r="298" spans="2:13" x14ac:dyDescent="0.35">
      <c r="B298" s="109">
        <v>46142</v>
      </c>
      <c r="C298" s="1" t="s">
        <v>5744</v>
      </c>
      <c r="D298" s="1">
        <v>6140</v>
      </c>
      <c r="E298" s="1" t="str">
        <f>_xlfn.XLOOKUP(tblGJ[[#This Row],[Account Code]],tblCOA[Code],tblCOA[Account Name],"⚠ Invalid account")</f>
        <v>Shipping &amp; Delivery</v>
      </c>
      <c r="F298" s="1" t="s">
        <v>6133</v>
      </c>
      <c r="G298" s="5">
        <f>SUMIFS(tblPurchases[DPP (excl. VAT)],tblPurchases[Account Code],tblGJ[[#This Row],[Account Code]],tblPurchases[Month],MONTH(tblGJ[[#This Row],[Date]]))</f>
        <v>9863000</v>
      </c>
      <c r="H298" s="5"/>
      <c r="I298" s="1" t="s">
        <v>6533</v>
      </c>
      <c r="J298" s="1">
        <f>MONTH(tblGJ[[#This Row],[Date]])</f>
        <v>4</v>
      </c>
      <c r="K298" s="1" t="str">
        <f>_xlfn.XLOOKUP(tblGJ[[#This Row],[Account Code]],tblCOA[Code],tblCOA[FS Line],"")</f>
        <v>Selling expenses</v>
      </c>
      <c r="L298" s="121" t="str">
        <f>IF(OR(tblGJ[[#This Row],[Account Code]]=1120,tblGJ[[#This Row],[Account Code]]=1130),_xlfn.MINIFS(tblBank[Value Date],tblBank[Reference],tblGJ[[#This Row],[Voucher No]],tblBank[Account Code],tblGJ[[#This Row],[Account Code]]),"")</f>
        <v/>
      </c>
      <c r="M298" s="1" t="str">
        <f>IF(tblGJ[[#This Row],[Date]]&lt;=PEnd,"Yes","No")</f>
        <v>Yes</v>
      </c>
    </row>
    <row r="299" spans="2:13" x14ac:dyDescent="0.35">
      <c r="B299" s="109">
        <v>46142</v>
      </c>
      <c r="C299" s="1" t="s">
        <v>5744</v>
      </c>
      <c r="D299" s="1">
        <v>6230</v>
      </c>
      <c r="E299" s="1" t="str">
        <f>_xlfn.XLOOKUP(tblGJ[[#This Row],[Account Code]],tblCOA[Code],tblCOA[Account Name],"⚠ Invalid account")</f>
        <v>Utilities &amp; Telecommunication</v>
      </c>
      <c r="F299" s="1" t="s">
        <v>6133</v>
      </c>
      <c r="G299" s="5">
        <f>SUMIFS(tblPurchases[DPP (excl. VAT)],tblPurchases[Account Code],tblGJ[[#This Row],[Account Code]],tblPurchases[Month],MONTH(tblGJ[[#This Row],[Date]]))</f>
        <v>12575000</v>
      </c>
      <c r="H299" s="5"/>
      <c r="I299" s="1" t="s">
        <v>6533</v>
      </c>
      <c r="J299" s="1">
        <f>MONTH(tblGJ[[#This Row],[Date]])</f>
        <v>4</v>
      </c>
      <c r="K299" s="1" t="str">
        <f>_xlfn.XLOOKUP(tblGJ[[#This Row],[Account Code]],tblCOA[Code],tblCOA[FS Line],"")</f>
        <v>General &amp; administrative expenses</v>
      </c>
      <c r="L299" s="121" t="str">
        <f>IF(OR(tblGJ[[#This Row],[Account Code]]=1120,tblGJ[[#This Row],[Account Code]]=1130),_xlfn.MINIFS(tblBank[Value Date],tblBank[Reference],tblGJ[[#This Row],[Voucher No]],tblBank[Account Code],tblGJ[[#This Row],[Account Code]]),"")</f>
        <v/>
      </c>
      <c r="M299" s="1" t="str">
        <f>IF(tblGJ[[#This Row],[Date]]&lt;=PEnd,"Yes","No")</f>
        <v>Yes</v>
      </c>
    </row>
    <row r="300" spans="2:13" x14ac:dyDescent="0.35">
      <c r="B300" s="109">
        <v>46142</v>
      </c>
      <c r="C300" s="1" t="s">
        <v>5744</v>
      </c>
      <c r="D300" s="1">
        <v>6270</v>
      </c>
      <c r="E300" s="1" t="str">
        <f>_xlfn.XLOOKUP(tblGJ[[#This Row],[Account Code]],tblCOA[Code],tblCOA[Account Name],"⚠ Invalid account")</f>
        <v>Office Supplies</v>
      </c>
      <c r="F300" s="1" t="s">
        <v>6133</v>
      </c>
      <c r="G300" s="5">
        <f>SUMIFS(tblPurchases[DPP (excl. VAT)],tblPurchases[Account Code],tblGJ[[#This Row],[Account Code]],tblPurchases[Month],MONTH(tblGJ[[#This Row],[Date]]))</f>
        <v>2586000</v>
      </c>
      <c r="H300" s="5"/>
      <c r="I300" s="1" t="s">
        <v>6533</v>
      </c>
      <c r="J300" s="1">
        <f>MONTH(tblGJ[[#This Row],[Date]])</f>
        <v>4</v>
      </c>
      <c r="K300" s="1" t="str">
        <f>_xlfn.XLOOKUP(tblGJ[[#This Row],[Account Code]],tblCOA[Code],tblCOA[FS Line],"")</f>
        <v>General &amp; administrative expenses</v>
      </c>
      <c r="L300" s="121" t="str">
        <f>IF(OR(tblGJ[[#This Row],[Account Code]]=1120,tblGJ[[#This Row],[Account Code]]=1130),_xlfn.MINIFS(tblBank[Value Date],tblBank[Reference],tblGJ[[#This Row],[Voucher No]],tblBank[Account Code],tblGJ[[#This Row],[Account Code]]),"")</f>
        <v/>
      </c>
      <c r="M300" s="1" t="str">
        <f>IF(tblGJ[[#This Row],[Date]]&lt;=PEnd,"Yes","No")</f>
        <v>Yes</v>
      </c>
    </row>
    <row r="301" spans="2:13" x14ac:dyDescent="0.35">
      <c r="B301" s="109">
        <v>46142</v>
      </c>
      <c r="C301" s="1" t="s">
        <v>5744</v>
      </c>
      <c r="D301" s="1">
        <v>6280</v>
      </c>
      <c r="E301" s="1" t="str">
        <f>_xlfn.XLOOKUP(tblGJ[[#This Row],[Account Code]],tblCOA[Code],tblCOA[Account Name],"⚠ Invalid account")</f>
        <v>Professional Fees</v>
      </c>
      <c r="F301" s="1" t="s">
        <v>6133</v>
      </c>
      <c r="G301" s="5">
        <f>SUMIFS(tblPurchases[DPP (excl. VAT)],tblPurchases[Account Code],tblGJ[[#This Row],[Account Code]],tblPurchases[Month],MONTH(tblGJ[[#This Row],[Date]]))</f>
        <v>65000000</v>
      </c>
      <c r="H301" s="5"/>
      <c r="I301" s="1" t="s">
        <v>6533</v>
      </c>
      <c r="J301" s="1">
        <f>MONTH(tblGJ[[#This Row],[Date]])</f>
        <v>4</v>
      </c>
      <c r="K301" s="1" t="str">
        <f>_xlfn.XLOOKUP(tblGJ[[#This Row],[Account Code]],tblCOA[Code],tblCOA[FS Line],"")</f>
        <v>General &amp; administrative expenses</v>
      </c>
      <c r="L301" s="121" t="str">
        <f>IF(OR(tblGJ[[#This Row],[Account Code]]=1120,tblGJ[[#This Row],[Account Code]]=1130),_xlfn.MINIFS(tblBank[Value Date],tblBank[Reference],tblGJ[[#This Row],[Voucher No]],tblBank[Account Code],tblGJ[[#This Row],[Account Code]]),"")</f>
        <v/>
      </c>
      <c r="M301" s="1" t="str">
        <f>IF(tblGJ[[#This Row],[Date]]&lt;=PEnd,"Yes","No")</f>
        <v>Yes</v>
      </c>
    </row>
    <row r="302" spans="2:13" x14ac:dyDescent="0.35">
      <c r="B302" s="109">
        <v>46142</v>
      </c>
      <c r="C302" s="1" t="s">
        <v>5744</v>
      </c>
      <c r="D302" s="1">
        <v>6295</v>
      </c>
      <c r="E302" s="1" t="str">
        <f>_xlfn.XLOOKUP(tblGJ[[#This Row],[Account Code]],tblCOA[Code],tblCOA[Account Name],"⚠ Invalid account")</f>
        <v>Repairs &amp; Maintenance</v>
      </c>
      <c r="F302" s="1" t="s">
        <v>6133</v>
      </c>
      <c r="G302" s="5">
        <f>SUMIFS(tblPurchases[DPP (excl. VAT)],tblPurchases[Account Code],tblGJ[[#This Row],[Account Code]],tblPurchases[Month],MONTH(tblGJ[[#This Row],[Date]]))</f>
        <v>4882000</v>
      </c>
      <c r="H302" s="5"/>
      <c r="I302" s="1" t="s">
        <v>6533</v>
      </c>
      <c r="J302" s="1">
        <f>MONTH(tblGJ[[#This Row],[Date]])</f>
        <v>4</v>
      </c>
      <c r="K302" s="1" t="str">
        <f>_xlfn.XLOOKUP(tblGJ[[#This Row],[Account Code]],tblCOA[Code],tblCOA[FS Line],"")</f>
        <v>General &amp; administrative expenses</v>
      </c>
      <c r="L302" s="121" t="str">
        <f>IF(OR(tblGJ[[#This Row],[Account Code]]=1120,tblGJ[[#This Row],[Account Code]]=1130),_xlfn.MINIFS(tblBank[Value Date],tblBank[Reference],tblGJ[[#This Row],[Voucher No]],tblBank[Account Code],tblGJ[[#This Row],[Account Code]]),"")</f>
        <v/>
      </c>
      <c r="M302" s="1" t="str">
        <f>IF(tblGJ[[#This Row],[Date]]&lt;=PEnd,"Yes","No")</f>
        <v>Yes</v>
      </c>
    </row>
    <row r="303" spans="2:13" x14ac:dyDescent="0.35">
      <c r="B303" s="109">
        <v>46142</v>
      </c>
      <c r="C303" s="1" t="s">
        <v>5744</v>
      </c>
      <c r="D303" s="1">
        <v>6296</v>
      </c>
      <c r="E303" s="1" t="str">
        <f>_xlfn.XLOOKUP(tblGJ[[#This Row],[Account Code]],tblCOA[Code],tblCOA[Account Name],"⚠ Invalid account")</f>
        <v>Entertainment &amp; Donations</v>
      </c>
      <c r="F303" s="1" t="s">
        <v>6133</v>
      </c>
      <c r="G303" s="5">
        <f>SUMIFS(tblPurchases[DPP (excl. VAT)],tblPurchases[Account Code],tblGJ[[#This Row],[Account Code]],tblPurchases[Month],MONTH(tblGJ[[#This Row],[Date]]))</f>
        <v>2599000</v>
      </c>
      <c r="H303" s="5"/>
      <c r="I303" s="1" t="s">
        <v>6533</v>
      </c>
      <c r="J303" s="1">
        <f>MONTH(tblGJ[[#This Row],[Date]])</f>
        <v>4</v>
      </c>
      <c r="K303" s="1" t="str">
        <f>_xlfn.XLOOKUP(tblGJ[[#This Row],[Account Code]],tblCOA[Code],tblCOA[FS Line],"")</f>
        <v>General &amp; administrative expenses</v>
      </c>
      <c r="L303" s="121" t="str">
        <f>IF(OR(tblGJ[[#This Row],[Account Code]]=1120,tblGJ[[#This Row],[Account Code]]=1130),_xlfn.MINIFS(tblBank[Value Date],tblBank[Reference],tblGJ[[#This Row],[Voucher No]],tblBank[Account Code],tblGJ[[#This Row],[Account Code]]),"")</f>
        <v/>
      </c>
      <c r="M303" s="1" t="str">
        <f>IF(tblGJ[[#This Row],[Date]]&lt;=PEnd,"Yes","No")</f>
        <v>Yes</v>
      </c>
    </row>
    <row r="304" spans="2:13" x14ac:dyDescent="0.35">
      <c r="B304" s="109">
        <v>46142</v>
      </c>
      <c r="C304" s="1" t="s">
        <v>5744</v>
      </c>
      <c r="D304" s="1">
        <v>1510</v>
      </c>
      <c r="E304" s="1" t="str">
        <f>_xlfn.XLOOKUP(tblGJ[[#This Row],[Account Code]],tblCOA[Code],tblCOA[Account Name],"⚠ Invalid account")</f>
        <v>Input VAT (PPN Masukan)</v>
      </c>
      <c r="F304" s="1" t="s">
        <v>6134</v>
      </c>
      <c r="G304" s="5">
        <f>SUMIFS(tblPurchases[Input VAT],tblPurchases[Month],MONTH(tblGJ[[#This Row],[Date]]))</f>
        <v>74712330</v>
      </c>
      <c r="H304" s="5"/>
      <c r="I304" s="1" t="s">
        <v>6533</v>
      </c>
      <c r="J304" s="1">
        <f>MONTH(tblGJ[[#This Row],[Date]])</f>
        <v>4</v>
      </c>
      <c r="K304" s="1" t="str">
        <f>_xlfn.XLOOKUP(tblGJ[[#This Row],[Account Code]],tblCOA[Code],tblCOA[FS Line],"")</f>
        <v>Prepaid taxes</v>
      </c>
      <c r="L304" s="121" t="str">
        <f>IF(OR(tblGJ[[#This Row],[Account Code]]=1120,tblGJ[[#This Row],[Account Code]]=1130),_xlfn.MINIFS(tblBank[Value Date],tblBank[Reference],tblGJ[[#This Row],[Voucher No]],tblBank[Account Code],tblGJ[[#This Row],[Account Code]]),"")</f>
        <v/>
      </c>
      <c r="M304" s="1" t="str">
        <f>IF(tblGJ[[#This Row],[Date]]&lt;=PEnd,"Yes","No")</f>
        <v>Yes</v>
      </c>
    </row>
    <row r="305" spans="2:13" x14ac:dyDescent="0.35">
      <c r="B305" s="109">
        <v>46142</v>
      </c>
      <c r="C305" s="1" t="s">
        <v>5744</v>
      </c>
      <c r="D305" s="1">
        <v>2240</v>
      </c>
      <c r="E305" s="1" t="str">
        <f>_xlfn.XLOOKUP(tblGJ[[#This Row],[Account Code]],tblCOA[Code],tblCOA[Account Name],"⚠ Invalid account")</f>
        <v>WHT Payable - Unifikasi (Art. 23/4(2))</v>
      </c>
      <c r="F305" s="1" t="s">
        <v>6135</v>
      </c>
      <c r="G305" s="5"/>
      <c r="H305" s="5">
        <f>SUMIFS(tblPurchases[WHT Amount],tblPurchases[Month],MONTH(tblGJ[[#This Row],[Date]]))</f>
        <v>1897080</v>
      </c>
      <c r="I305" s="1" t="s">
        <v>6533</v>
      </c>
      <c r="J305" s="1">
        <f>MONTH(tblGJ[[#This Row],[Date]])</f>
        <v>4</v>
      </c>
      <c r="K305" s="1" t="str">
        <f>_xlfn.XLOOKUP(tblGJ[[#This Row],[Account Code]],tblCOA[Code],tblCOA[FS Line],"")</f>
        <v>Taxes payable</v>
      </c>
      <c r="L305" s="121" t="str">
        <f>IF(OR(tblGJ[[#This Row],[Account Code]]=1120,tblGJ[[#This Row],[Account Code]]=1130),_xlfn.MINIFS(tblBank[Value Date],tblBank[Reference],tblGJ[[#This Row],[Voucher No]],tblBank[Account Code],tblGJ[[#This Row],[Account Code]]),"")</f>
        <v/>
      </c>
      <c r="M305" s="1" t="str">
        <f>IF(tblGJ[[#This Row],[Date]]&lt;=PEnd,"Yes","No")</f>
        <v>Yes</v>
      </c>
    </row>
    <row r="306" spans="2:13" x14ac:dyDescent="0.35">
      <c r="B306" s="109">
        <v>46142</v>
      </c>
      <c r="C306" s="1" t="s">
        <v>5744</v>
      </c>
      <c r="D306" s="1">
        <v>2110</v>
      </c>
      <c r="E306" s="1" t="str">
        <f>_xlfn.XLOOKUP(tblGJ[[#This Row],[Account Code]],tblCOA[Code],tblCOA[Account Name],"⚠ Invalid account")</f>
        <v>Trade Payables</v>
      </c>
      <c r="F306" s="1" t="s">
        <v>6136</v>
      </c>
      <c r="G306" s="5"/>
      <c r="H306" s="5">
        <f>SUMIFS(tblPurchases[Total Payable],tblPurchases[Month],MONTH(tblGJ[[#This Row],[Date]]))</f>
        <v>863848250</v>
      </c>
      <c r="I306" s="1" t="s">
        <v>6533</v>
      </c>
      <c r="J306" s="1">
        <f>MONTH(tblGJ[[#This Row],[Date]])</f>
        <v>4</v>
      </c>
      <c r="K306" s="1" t="str">
        <f>_xlfn.XLOOKUP(tblGJ[[#This Row],[Account Code]],tblCOA[Code],tblCOA[FS Line],"")</f>
        <v>Trade payables</v>
      </c>
      <c r="L306" s="121" t="str">
        <f>IF(OR(tblGJ[[#This Row],[Account Code]]=1120,tblGJ[[#This Row],[Account Code]]=1130),_xlfn.MINIFS(tblBank[Value Date],tblBank[Reference],tblGJ[[#This Row],[Voucher No]],tblBank[Account Code],tblGJ[[#This Row],[Account Code]]),"")</f>
        <v/>
      </c>
      <c r="M306" s="1" t="str">
        <f>IF(tblGJ[[#This Row],[Date]]&lt;=PEnd,"Yes","No")</f>
        <v>Yes</v>
      </c>
    </row>
    <row r="307" spans="2:13" x14ac:dyDescent="0.35">
      <c r="B307" s="109">
        <v>46142</v>
      </c>
      <c r="C307" s="1" t="s">
        <v>5745</v>
      </c>
      <c r="D307" s="1">
        <v>2110</v>
      </c>
      <c r="E307" s="1" t="str">
        <f>_xlfn.XLOOKUP(tblGJ[[#This Row],[Account Code]],tblCOA[Code],tblCOA[Account Name],"⚠ Invalid account")</f>
        <v>Trade Payables</v>
      </c>
      <c r="F307" s="1" t="s">
        <v>6137</v>
      </c>
      <c r="G307" s="5">
        <f>SUMIFS(tblPurchases[Total Payable],tblPurchases[Pay Month],MONTH(tblGJ[[#This Row],[Date]]),tblPurchases[Paid From],1120)</f>
        <v>1226192220</v>
      </c>
      <c r="H307" s="5"/>
      <c r="I307" s="1" t="s">
        <v>6529</v>
      </c>
      <c r="J307" s="1">
        <f>MONTH(tblGJ[[#This Row],[Date]])</f>
        <v>4</v>
      </c>
      <c r="K307" s="1" t="str">
        <f>_xlfn.XLOOKUP(tblGJ[[#This Row],[Account Code]],tblCOA[Code],tblCOA[FS Line],"")</f>
        <v>Trade payables</v>
      </c>
      <c r="L307" s="121" t="str">
        <f>IF(OR(tblGJ[[#This Row],[Account Code]]=1120,tblGJ[[#This Row],[Account Code]]=1130),_xlfn.MINIFS(tblBank[Value Date],tblBank[Reference],tblGJ[[#This Row],[Voucher No]],tblBank[Account Code],tblGJ[[#This Row],[Account Code]]),"")</f>
        <v/>
      </c>
      <c r="M307" s="1" t="str">
        <f>IF(tblGJ[[#This Row],[Date]]&lt;=PEnd,"Yes","No")</f>
        <v>Yes</v>
      </c>
    </row>
    <row r="308" spans="2:13" x14ac:dyDescent="0.35">
      <c r="B308" s="109">
        <v>46142</v>
      </c>
      <c r="C308" s="1" t="s">
        <v>5745</v>
      </c>
      <c r="D308" s="1">
        <v>1120</v>
      </c>
      <c r="E308" s="1" t="str">
        <f>_xlfn.XLOOKUP(tblGJ[[#This Row],[Account Code]],tblCOA[Code],tblCOA[Account Name],"⚠ Invalid account")</f>
        <v>Bank BCA - Current Account</v>
      </c>
      <c r="F308" s="1" t="s">
        <v>6137</v>
      </c>
      <c r="G308" s="5"/>
      <c r="H308" s="5">
        <f>SUMIFS(tblPurchases[Total Payable],tblPurchases[Pay Month],MONTH(tblGJ[[#This Row],[Date]]),tblPurchases[Paid From],1120)</f>
        <v>1226192220</v>
      </c>
      <c r="I308" s="1" t="s">
        <v>6529</v>
      </c>
      <c r="J308" s="1">
        <f>MONTH(tblGJ[[#This Row],[Date]])</f>
        <v>4</v>
      </c>
      <c r="K308" s="1" t="str">
        <f>_xlfn.XLOOKUP(tblGJ[[#This Row],[Account Code]],tblCOA[Code],tblCOA[FS Line],"")</f>
        <v>Cash and cash equivalents</v>
      </c>
      <c r="L308" s="121">
        <f>IF(OR(tblGJ[[#This Row],[Account Code]]=1120,tblGJ[[#This Row],[Account Code]]=1130),_xlfn.MINIFS(tblBank[Value Date],tblBank[Reference],tblGJ[[#This Row],[Voucher No]],tblBank[Account Code],tblGJ[[#This Row],[Account Code]]),"")</f>
        <v>46142</v>
      </c>
      <c r="M308" s="1" t="str">
        <f>IF(tblGJ[[#This Row],[Date]]&lt;=PEnd,"Yes","No")</f>
        <v>Yes</v>
      </c>
    </row>
    <row r="309" spans="2:13" x14ac:dyDescent="0.35">
      <c r="B309" s="109">
        <v>46142</v>
      </c>
      <c r="C309" s="1" t="s">
        <v>5746</v>
      </c>
      <c r="D309" s="1">
        <v>2210</v>
      </c>
      <c r="E309" s="1" t="str">
        <f>_xlfn.XLOOKUP(tblGJ[[#This Row],[Account Code]],tblCOA[Code],tblCOA[Account Name],"⚠ Invalid account")</f>
        <v>Output VAT (PPN Keluaran)</v>
      </c>
      <c r="F309" s="1" t="s">
        <v>6138</v>
      </c>
      <c r="G309" s="5">
        <f>SUMIFS(tblSales[Output VAT],tblSales[Month],MONTH(tblGJ[[#This Row],[Date]]))</f>
        <v>120550100</v>
      </c>
      <c r="H309" s="5"/>
      <c r="I309" s="1" t="s">
        <v>6528</v>
      </c>
      <c r="J309" s="1">
        <f>MONTH(tblGJ[[#This Row],[Date]])</f>
        <v>4</v>
      </c>
      <c r="K309" s="1" t="str">
        <f>_xlfn.XLOOKUP(tblGJ[[#This Row],[Account Code]],tblCOA[Code],tblCOA[FS Line],"")</f>
        <v>Taxes payable</v>
      </c>
      <c r="L309" s="121" t="str">
        <f>IF(OR(tblGJ[[#This Row],[Account Code]]=1120,tblGJ[[#This Row],[Account Code]]=1130),_xlfn.MINIFS(tblBank[Value Date],tblBank[Reference],tblGJ[[#This Row],[Voucher No]],tblBank[Account Code],tblGJ[[#This Row],[Account Code]]),"")</f>
        <v/>
      </c>
      <c r="M309" s="1" t="str">
        <f>IF(tblGJ[[#This Row],[Date]]&lt;=PEnd,"Yes","No")</f>
        <v>Yes</v>
      </c>
    </row>
    <row r="310" spans="2:13" x14ac:dyDescent="0.35">
      <c r="B310" s="109">
        <v>46142</v>
      </c>
      <c r="C310" s="1" t="s">
        <v>5746</v>
      </c>
      <c r="D310" s="1">
        <v>1510</v>
      </c>
      <c r="E310" s="1" t="str">
        <f>_xlfn.XLOOKUP(tblGJ[[#This Row],[Account Code]],tblCOA[Code],tblCOA[Account Name],"⚠ Invalid account")</f>
        <v>Input VAT (PPN Masukan)</v>
      </c>
      <c r="F310" s="1" t="s">
        <v>6139</v>
      </c>
      <c r="G310" s="5"/>
      <c r="H310" s="5">
        <f>SUMIFS(tblPurchases[Input VAT],tblPurchases[Month],MONTH(tblGJ[[#This Row],[Date]]))</f>
        <v>74712330</v>
      </c>
      <c r="I310" s="1" t="s">
        <v>6528</v>
      </c>
      <c r="J310" s="1">
        <f>MONTH(tblGJ[[#This Row],[Date]])</f>
        <v>4</v>
      </c>
      <c r="K310" s="1" t="str">
        <f>_xlfn.XLOOKUP(tblGJ[[#This Row],[Account Code]],tblCOA[Code],tblCOA[FS Line],"")</f>
        <v>Prepaid taxes</v>
      </c>
      <c r="L310" s="121" t="str">
        <f>IF(OR(tblGJ[[#This Row],[Account Code]]=1120,tblGJ[[#This Row],[Account Code]]=1130),_xlfn.MINIFS(tblBank[Value Date],tblBank[Reference],tblGJ[[#This Row],[Voucher No]],tblBank[Account Code],tblGJ[[#This Row],[Account Code]]),"")</f>
        <v/>
      </c>
      <c r="M310" s="1" t="str">
        <f>IF(tblGJ[[#This Row],[Date]]&lt;=PEnd,"Yes","No")</f>
        <v>Yes</v>
      </c>
    </row>
    <row r="311" spans="2:13" x14ac:dyDescent="0.35">
      <c r="B311" s="109">
        <v>46142</v>
      </c>
      <c r="C311" s="1" t="s">
        <v>5746</v>
      </c>
      <c r="D311" s="1">
        <v>2220</v>
      </c>
      <c r="E311" s="1" t="str">
        <f>_xlfn.XLOOKUP(tblGJ[[#This Row],[Account Code]],tblCOA[Code],tblCOA[Account Name],"⚠ Invalid account")</f>
        <v>VAT Payable - Net</v>
      </c>
      <c r="F311" s="1" t="s">
        <v>6140</v>
      </c>
      <c r="G311" s="5"/>
      <c r="H311" s="5">
        <f>SUMIFS(tblSales[Output VAT],tblSales[Month],MONTH(tblGJ[[#This Row],[Date]]))-SUMIFS(tblPurchases[Input VAT],tblPurchases[Month],MONTH(tblGJ[[#This Row],[Date]]))</f>
        <v>45837770</v>
      </c>
      <c r="I311" s="1" t="s">
        <v>6528</v>
      </c>
      <c r="J311" s="1">
        <f>MONTH(tblGJ[[#This Row],[Date]])</f>
        <v>4</v>
      </c>
      <c r="K311" s="1" t="str">
        <f>_xlfn.XLOOKUP(tblGJ[[#This Row],[Account Code]],tblCOA[Code],tblCOA[FS Line],"")</f>
        <v>Taxes payable</v>
      </c>
      <c r="L311" s="121" t="str">
        <f>IF(OR(tblGJ[[#This Row],[Account Code]]=1120,tblGJ[[#This Row],[Account Code]]=1130),_xlfn.MINIFS(tblBank[Value Date],tblBank[Reference],tblGJ[[#This Row],[Voucher No]],tblBank[Account Code],tblGJ[[#This Row],[Account Code]]),"")</f>
        <v/>
      </c>
      <c r="M311" s="1" t="str">
        <f>IF(tblGJ[[#This Row],[Date]]&lt;=PEnd,"Yes","No")</f>
        <v>Yes</v>
      </c>
    </row>
    <row r="312" spans="2:13" x14ac:dyDescent="0.35">
      <c r="B312" s="109">
        <v>46142</v>
      </c>
      <c r="C312" s="1" t="s">
        <v>5747</v>
      </c>
      <c r="D312" s="1">
        <v>6240</v>
      </c>
      <c r="E312" s="1" t="str">
        <f>_xlfn.XLOOKUP(tblGJ[[#This Row],[Account Code]],tblCOA[Code],tblCOA[Account Name],"⚠ Invalid account")</f>
        <v>Depreciation Expense</v>
      </c>
      <c r="F312" s="1" t="s">
        <v>6141</v>
      </c>
      <c r="G312" s="5">
        <f>SUMIFS(INDEX(tblFA[[Jan]:[Dec]],0,MONTH(tblGJ[[#This Row],[Date]])),tblFA[Expense Account],tblGJ[[#This Row],[Account Code]])</f>
        <v>28125000</v>
      </c>
      <c r="H312" s="5"/>
      <c r="I312" s="1" t="s">
        <v>6534</v>
      </c>
      <c r="J312" s="1">
        <f>MONTH(tblGJ[[#This Row],[Date]])</f>
        <v>4</v>
      </c>
      <c r="K312" s="1" t="str">
        <f>_xlfn.XLOOKUP(tblGJ[[#This Row],[Account Code]],tblCOA[Code],tblCOA[FS Line],"")</f>
        <v>General &amp; administrative expenses</v>
      </c>
      <c r="L312" s="121" t="str">
        <f>IF(OR(tblGJ[[#This Row],[Account Code]]=1120,tblGJ[[#This Row],[Account Code]]=1130),_xlfn.MINIFS(tblBank[Value Date],tblBank[Reference],tblGJ[[#This Row],[Voucher No]],tblBank[Account Code],tblGJ[[#This Row],[Account Code]]),"")</f>
        <v/>
      </c>
      <c r="M312" s="1" t="str">
        <f>IF(tblGJ[[#This Row],[Date]]&lt;=PEnd,"Yes","No")</f>
        <v>Yes</v>
      </c>
    </row>
    <row r="313" spans="2:13" x14ac:dyDescent="0.35">
      <c r="B313" s="109">
        <v>46142</v>
      </c>
      <c r="C313" s="1" t="s">
        <v>5747</v>
      </c>
      <c r="D313" s="1">
        <v>6250</v>
      </c>
      <c r="E313" s="1" t="str">
        <f>_xlfn.XLOOKUP(tblGJ[[#This Row],[Account Code]],tblCOA[Code],tblCOA[Account Name],"⚠ Invalid account")</f>
        <v>Amortization Expense - Software</v>
      </c>
      <c r="F313" s="1" t="s">
        <v>6142</v>
      </c>
      <c r="G313" s="5">
        <f>SUMIFS(INDEX(tblFA[[Jan]:[Dec]],0,MONTH(tblGJ[[#This Row],[Date]])),tblFA[Expense Account],tblGJ[[#This Row],[Account Code]])</f>
        <v>3750000</v>
      </c>
      <c r="H313" s="5"/>
      <c r="I313" s="1" t="s">
        <v>6534</v>
      </c>
      <c r="J313" s="1">
        <f>MONTH(tblGJ[[#This Row],[Date]])</f>
        <v>4</v>
      </c>
      <c r="K313" s="1" t="str">
        <f>_xlfn.XLOOKUP(tblGJ[[#This Row],[Account Code]],tblCOA[Code],tblCOA[FS Line],"")</f>
        <v>General &amp; administrative expenses</v>
      </c>
      <c r="L313" s="121" t="str">
        <f>IF(OR(tblGJ[[#This Row],[Account Code]]=1120,tblGJ[[#This Row],[Account Code]]=1130),_xlfn.MINIFS(tblBank[Value Date],tblBank[Reference],tblGJ[[#This Row],[Voucher No]],tblBank[Account Code],tblGJ[[#This Row],[Account Code]]),"")</f>
        <v/>
      </c>
      <c r="M313" s="1" t="str">
        <f>IF(tblGJ[[#This Row],[Date]]&lt;=PEnd,"Yes","No")</f>
        <v>Yes</v>
      </c>
    </row>
    <row r="314" spans="2:13" x14ac:dyDescent="0.35">
      <c r="B314" s="109">
        <v>46142</v>
      </c>
      <c r="C314" s="1" t="s">
        <v>5747</v>
      </c>
      <c r="D314" s="1">
        <v>1691</v>
      </c>
      <c r="E314" s="1" t="str">
        <f>_xlfn.XLOOKUP(tblGJ[[#This Row],[Account Code]],tblCOA[Code],tblCOA[Account Name],"⚠ Invalid account")</f>
        <v>Acc. Depreciation - Buildings</v>
      </c>
      <c r="F314" s="1" t="s">
        <v>6143</v>
      </c>
      <c r="G314" s="5"/>
      <c r="H314" s="5">
        <f>SUMIFS(INDEX(tblFA[[Jan]:[Dec]],0,MONTH(tblGJ[[#This Row],[Date]])),tblFA[Acc. Dep. Account],tblGJ[[#This Row],[Account Code]])</f>
        <v>7500000</v>
      </c>
      <c r="I314" s="1" t="s">
        <v>6534</v>
      </c>
      <c r="J314" s="1">
        <f>MONTH(tblGJ[[#This Row],[Date]])</f>
        <v>4</v>
      </c>
      <c r="K314" s="1" t="str">
        <f>_xlfn.XLOOKUP(tblGJ[[#This Row],[Account Code]],tblCOA[Code],tblCOA[FS Line],"")</f>
        <v>Fixed assets - net</v>
      </c>
      <c r="L314" s="121" t="str">
        <f>IF(OR(tblGJ[[#This Row],[Account Code]]=1120,tblGJ[[#This Row],[Account Code]]=1130),_xlfn.MINIFS(tblBank[Value Date],tblBank[Reference],tblGJ[[#This Row],[Voucher No]],tblBank[Account Code],tblGJ[[#This Row],[Account Code]]),"")</f>
        <v/>
      </c>
      <c r="M314" s="1" t="str">
        <f>IF(tblGJ[[#This Row],[Date]]&lt;=PEnd,"Yes","No")</f>
        <v>Yes</v>
      </c>
    </row>
    <row r="315" spans="2:13" x14ac:dyDescent="0.35">
      <c r="B315" s="109">
        <v>46142</v>
      </c>
      <c r="C315" s="1" t="s">
        <v>5747</v>
      </c>
      <c r="D315" s="1">
        <v>1693</v>
      </c>
      <c r="E315" s="1" t="str">
        <f>_xlfn.XLOOKUP(tblGJ[[#This Row],[Account Code]],tblCOA[Code],tblCOA[Account Name],"⚠ Invalid account")</f>
        <v>Acc. Depreciation - Vehicles</v>
      </c>
      <c r="F315" s="1" t="s">
        <v>6143</v>
      </c>
      <c r="G315" s="5"/>
      <c r="H315" s="5">
        <f>SUMIFS(INDEX(tblFA[[Jan]:[Dec]],0,MONTH(tblGJ[[#This Row],[Date]])),tblFA[Acc. Dep. Account],tblGJ[[#This Row],[Account Code]])</f>
        <v>7291667</v>
      </c>
      <c r="I315" s="1" t="s">
        <v>6534</v>
      </c>
      <c r="J315" s="1">
        <f>MONTH(tblGJ[[#This Row],[Date]])</f>
        <v>4</v>
      </c>
      <c r="K315" s="1" t="str">
        <f>_xlfn.XLOOKUP(tblGJ[[#This Row],[Account Code]],tblCOA[Code],tblCOA[FS Line],"")</f>
        <v>Fixed assets - net</v>
      </c>
      <c r="L315" s="121" t="str">
        <f>IF(OR(tblGJ[[#This Row],[Account Code]]=1120,tblGJ[[#This Row],[Account Code]]=1130),_xlfn.MINIFS(tblBank[Value Date],tblBank[Reference],tblGJ[[#This Row],[Voucher No]],tblBank[Account Code],tblGJ[[#This Row],[Account Code]]),"")</f>
        <v/>
      </c>
      <c r="M315" s="1" t="str">
        <f>IF(tblGJ[[#This Row],[Date]]&lt;=PEnd,"Yes","No")</f>
        <v>Yes</v>
      </c>
    </row>
    <row r="316" spans="2:13" x14ac:dyDescent="0.35">
      <c r="B316" s="109">
        <v>46142</v>
      </c>
      <c r="C316" s="1" t="s">
        <v>5747</v>
      </c>
      <c r="D316" s="1">
        <v>1694</v>
      </c>
      <c r="E316" s="1" t="str">
        <f>_xlfn.XLOOKUP(tblGJ[[#This Row],[Account Code]],tblCOA[Code],tblCOA[Account Name],"⚠ Invalid account")</f>
        <v>Acc. Depreciation - Machinery &amp; Equipment</v>
      </c>
      <c r="F316" s="1" t="s">
        <v>6143</v>
      </c>
      <c r="G316" s="5"/>
      <c r="H316" s="5">
        <f>SUMIFS(INDEX(tblFA[[Jan]:[Dec]],0,MONTH(tblGJ[[#This Row],[Date]])),tblFA[Acc. Dep. Account],tblGJ[[#This Row],[Account Code]])</f>
        <v>10208333</v>
      </c>
      <c r="I316" s="1" t="s">
        <v>6534</v>
      </c>
      <c r="J316" s="1">
        <f>MONTH(tblGJ[[#This Row],[Date]])</f>
        <v>4</v>
      </c>
      <c r="K316" s="1" t="str">
        <f>_xlfn.XLOOKUP(tblGJ[[#This Row],[Account Code]],tblCOA[Code],tblCOA[FS Line],"")</f>
        <v>Fixed assets - net</v>
      </c>
      <c r="L316" s="121" t="str">
        <f>IF(OR(tblGJ[[#This Row],[Account Code]]=1120,tblGJ[[#This Row],[Account Code]]=1130),_xlfn.MINIFS(tblBank[Value Date],tblBank[Reference],tblGJ[[#This Row],[Voucher No]],tblBank[Account Code],tblGJ[[#This Row],[Account Code]]),"")</f>
        <v/>
      </c>
      <c r="M316" s="1" t="str">
        <f>IF(tblGJ[[#This Row],[Date]]&lt;=PEnd,"Yes","No")</f>
        <v>Yes</v>
      </c>
    </row>
    <row r="317" spans="2:13" x14ac:dyDescent="0.35">
      <c r="B317" s="109">
        <v>46142</v>
      </c>
      <c r="C317" s="1" t="s">
        <v>5747</v>
      </c>
      <c r="D317" s="1">
        <v>1695</v>
      </c>
      <c r="E317" s="1" t="str">
        <f>_xlfn.XLOOKUP(tblGJ[[#This Row],[Account Code]],tblCOA[Code],tblCOA[Account Name],"⚠ Invalid account")</f>
        <v>Acc. Depreciation - Office Furniture &amp; Equipment</v>
      </c>
      <c r="F317" s="1" t="s">
        <v>6143</v>
      </c>
      <c r="G317" s="5"/>
      <c r="H317" s="5">
        <f>SUMIFS(INDEX(tblFA[[Jan]:[Dec]],0,MONTH(tblGJ[[#This Row],[Date]])),tblFA[Acc. Dep. Account],tblGJ[[#This Row],[Account Code]])</f>
        <v>3125000</v>
      </c>
      <c r="I317" s="1" t="s">
        <v>6534</v>
      </c>
      <c r="J317" s="1">
        <f>MONTH(tblGJ[[#This Row],[Date]])</f>
        <v>4</v>
      </c>
      <c r="K317" s="1" t="str">
        <f>_xlfn.XLOOKUP(tblGJ[[#This Row],[Account Code]],tblCOA[Code],tblCOA[FS Line],"")</f>
        <v>Fixed assets - net</v>
      </c>
      <c r="L317" s="121" t="str">
        <f>IF(OR(tblGJ[[#This Row],[Account Code]]=1120,tblGJ[[#This Row],[Account Code]]=1130),_xlfn.MINIFS(tblBank[Value Date],tblBank[Reference],tblGJ[[#This Row],[Voucher No]],tblBank[Account Code],tblGJ[[#This Row],[Account Code]]),"")</f>
        <v/>
      </c>
      <c r="M317" s="1" t="str">
        <f>IF(tblGJ[[#This Row],[Date]]&lt;=PEnd,"Yes","No")</f>
        <v>Yes</v>
      </c>
    </row>
    <row r="318" spans="2:13" x14ac:dyDescent="0.35">
      <c r="B318" s="109">
        <v>46142</v>
      </c>
      <c r="C318" s="1" t="s">
        <v>5747</v>
      </c>
      <c r="D318" s="1">
        <v>1719</v>
      </c>
      <c r="E318" s="1" t="str">
        <f>_xlfn.XLOOKUP(tblGJ[[#This Row],[Account Code]],tblCOA[Code],tblCOA[Account Name],"⚠ Invalid account")</f>
        <v>Acc. Amortization - Software</v>
      </c>
      <c r="F318" s="1" t="s">
        <v>6143</v>
      </c>
      <c r="G318" s="5"/>
      <c r="H318" s="5">
        <f>SUMIFS(INDEX(tblFA[[Jan]:[Dec]],0,MONTH(tblGJ[[#This Row],[Date]])),tblFA[Acc. Dep. Account],tblGJ[[#This Row],[Account Code]])</f>
        <v>3750000</v>
      </c>
      <c r="I318" s="1" t="s">
        <v>6534</v>
      </c>
      <c r="J318" s="1">
        <f>MONTH(tblGJ[[#This Row],[Date]])</f>
        <v>4</v>
      </c>
      <c r="K318" s="1" t="str">
        <f>_xlfn.XLOOKUP(tblGJ[[#This Row],[Account Code]],tblCOA[Code],tblCOA[FS Line],"")</f>
        <v>Intangible assets - net</v>
      </c>
      <c r="L318" s="121" t="str">
        <f>IF(OR(tblGJ[[#This Row],[Account Code]]=1120,tblGJ[[#This Row],[Account Code]]=1130),_xlfn.MINIFS(tblBank[Value Date],tblBank[Reference],tblGJ[[#This Row],[Voucher No]],tblBank[Account Code],tblGJ[[#This Row],[Account Code]]),"")</f>
        <v/>
      </c>
      <c r="M318" s="1" t="str">
        <f>IF(tblGJ[[#This Row],[Date]]&lt;=PEnd,"Yes","No")</f>
        <v>Yes</v>
      </c>
    </row>
    <row r="319" spans="2:13" x14ac:dyDescent="0.35">
      <c r="B319" s="109">
        <v>46142</v>
      </c>
      <c r="C319" s="1" t="s">
        <v>5748</v>
      </c>
      <c r="D319" s="1">
        <v>6220</v>
      </c>
      <c r="E319" s="1" t="str">
        <f>_xlfn.XLOOKUP(tblGJ[[#This Row],[Account Code]],tblCOA[Code],tblCOA[Account Name],"⚠ Invalid account")</f>
        <v>Rent Expense</v>
      </c>
      <c r="F319" s="1" t="s">
        <v>6144</v>
      </c>
      <c r="G319" s="5">
        <f>SUMIFS(INDEX(tblPrepaid[[Jan]:[Dec]],0,MONTH(tblGJ[[#This Row],[Date]])),tblPrepaid[Expense Account],tblGJ[[#This Row],[Account Code]])</f>
        <v>11000000</v>
      </c>
      <c r="H319" s="5"/>
      <c r="I319" s="1" t="s">
        <v>6535</v>
      </c>
      <c r="J319" s="1">
        <f>MONTH(tblGJ[[#This Row],[Date]])</f>
        <v>4</v>
      </c>
      <c r="K319" s="1" t="str">
        <f>_xlfn.XLOOKUP(tblGJ[[#This Row],[Account Code]],tblCOA[Code],tblCOA[FS Line],"")</f>
        <v>General &amp; administrative expenses</v>
      </c>
      <c r="L319" s="121" t="str">
        <f>IF(OR(tblGJ[[#This Row],[Account Code]]=1120,tblGJ[[#This Row],[Account Code]]=1130),_xlfn.MINIFS(tblBank[Value Date],tblBank[Reference],tblGJ[[#This Row],[Voucher No]],tblBank[Account Code],tblGJ[[#This Row],[Account Code]]),"")</f>
        <v/>
      </c>
      <c r="M319" s="1" t="str">
        <f>IF(tblGJ[[#This Row],[Date]]&lt;=PEnd,"Yes","No")</f>
        <v>Yes</v>
      </c>
    </row>
    <row r="320" spans="2:13" x14ac:dyDescent="0.35">
      <c r="B320" s="109">
        <v>46142</v>
      </c>
      <c r="C320" s="1" t="s">
        <v>5748</v>
      </c>
      <c r="D320" s="1">
        <v>6260</v>
      </c>
      <c r="E320" s="1" t="str">
        <f>_xlfn.XLOOKUP(tblGJ[[#This Row],[Account Code]],tblCOA[Code],tblCOA[Account Name],"⚠ Invalid account")</f>
        <v>Insurance Expense</v>
      </c>
      <c r="F320" s="1" t="s">
        <v>6144</v>
      </c>
      <c r="G320" s="5">
        <f>SUMIFS(INDEX(tblPrepaid[[Jan]:[Dec]],0,MONTH(tblGJ[[#This Row],[Date]])),tblPrepaid[Expense Account],tblGJ[[#This Row],[Account Code]])</f>
        <v>2500000</v>
      </c>
      <c r="H320" s="5"/>
      <c r="I320" s="1" t="s">
        <v>6535</v>
      </c>
      <c r="J320" s="1">
        <f>MONTH(tblGJ[[#This Row],[Date]])</f>
        <v>4</v>
      </c>
      <c r="K320" s="1" t="str">
        <f>_xlfn.XLOOKUP(tblGJ[[#This Row],[Account Code]],tblCOA[Code],tblCOA[FS Line],"")</f>
        <v>General &amp; administrative expenses</v>
      </c>
      <c r="L320" s="121" t="str">
        <f>IF(OR(tblGJ[[#This Row],[Account Code]]=1120,tblGJ[[#This Row],[Account Code]]=1130),_xlfn.MINIFS(tblBank[Value Date],tblBank[Reference],tblGJ[[#This Row],[Voucher No]],tblBank[Account Code],tblGJ[[#This Row],[Account Code]]),"")</f>
        <v/>
      </c>
      <c r="M320" s="1" t="str">
        <f>IF(tblGJ[[#This Row],[Date]]&lt;=PEnd,"Yes","No")</f>
        <v>Yes</v>
      </c>
    </row>
    <row r="321" spans="2:13" x14ac:dyDescent="0.35">
      <c r="B321" s="109">
        <v>46142</v>
      </c>
      <c r="C321" s="1" t="s">
        <v>5748</v>
      </c>
      <c r="D321" s="1">
        <v>6265</v>
      </c>
      <c r="E321" s="1" t="str">
        <f>_xlfn.XLOOKUP(tblGJ[[#This Row],[Account Code]],tblCOA[Code],tblCOA[Account Name],"⚠ Invalid account")</f>
        <v>Software Subscription Expense</v>
      </c>
      <c r="F321" s="1" t="s">
        <v>6144</v>
      </c>
      <c r="G321" s="5">
        <f>SUMIFS(INDEX(tblPrepaid[[Jan]:[Dec]],0,MONTH(tblGJ[[#This Row],[Date]])),tblPrepaid[Expense Account],tblGJ[[#This Row],[Account Code]])</f>
        <v>6000000</v>
      </c>
      <c r="H321" s="5"/>
      <c r="I321" s="1" t="s">
        <v>6535</v>
      </c>
      <c r="J321" s="1">
        <f>MONTH(tblGJ[[#This Row],[Date]])</f>
        <v>4</v>
      </c>
      <c r="K321" s="1" t="str">
        <f>_xlfn.XLOOKUP(tblGJ[[#This Row],[Account Code]],tblCOA[Code],tblCOA[FS Line],"")</f>
        <v>General &amp; administrative expenses</v>
      </c>
      <c r="L321" s="121" t="str">
        <f>IF(OR(tblGJ[[#This Row],[Account Code]]=1120,tblGJ[[#This Row],[Account Code]]=1130),_xlfn.MINIFS(tblBank[Value Date],tblBank[Reference],tblGJ[[#This Row],[Voucher No]],tblBank[Account Code],tblGJ[[#This Row],[Account Code]]),"")</f>
        <v/>
      </c>
      <c r="M321" s="1" t="str">
        <f>IF(tblGJ[[#This Row],[Date]]&lt;=PEnd,"Yes","No")</f>
        <v>Yes</v>
      </c>
    </row>
    <row r="322" spans="2:13" x14ac:dyDescent="0.35">
      <c r="B322" s="109">
        <v>46142</v>
      </c>
      <c r="C322" s="1" t="s">
        <v>5748</v>
      </c>
      <c r="D322" s="1">
        <v>1410</v>
      </c>
      <c r="E322" s="1" t="str">
        <f>_xlfn.XLOOKUP(tblGJ[[#This Row],[Account Code]],tblCOA[Code],tblCOA[Account Name],"⚠ Invalid account")</f>
        <v>Prepaid Rent</v>
      </c>
      <c r="F322" s="1" t="s">
        <v>6144</v>
      </c>
      <c r="G322" s="5"/>
      <c r="H322" s="5">
        <f>SUMIFS(INDEX(tblPrepaid[[Jan]:[Dec]],0,MONTH(tblGJ[[#This Row],[Date]])),tblPrepaid[Prepaid Account],tblGJ[[#This Row],[Account Code]])</f>
        <v>11000000</v>
      </c>
      <c r="I322" s="1" t="s">
        <v>6535</v>
      </c>
      <c r="J322" s="1">
        <f>MONTH(tblGJ[[#This Row],[Date]])</f>
        <v>4</v>
      </c>
      <c r="K322" s="1" t="str">
        <f>_xlfn.XLOOKUP(tblGJ[[#This Row],[Account Code]],tblCOA[Code],tblCOA[FS Line],"")</f>
        <v>Prepaid expenses</v>
      </c>
      <c r="L322" s="121" t="str">
        <f>IF(OR(tblGJ[[#This Row],[Account Code]]=1120,tblGJ[[#This Row],[Account Code]]=1130),_xlfn.MINIFS(tblBank[Value Date],tblBank[Reference],tblGJ[[#This Row],[Voucher No]],tblBank[Account Code],tblGJ[[#This Row],[Account Code]]),"")</f>
        <v/>
      </c>
      <c r="M322" s="1" t="str">
        <f>IF(tblGJ[[#This Row],[Date]]&lt;=PEnd,"Yes","No")</f>
        <v>Yes</v>
      </c>
    </row>
    <row r="323" spans="2:13" x14ac:dyDescent="0.35">
      <c r="B323" s="109">
        <v>46142</v>
      </c>
      <c r="C323" s="1" t="s">
        <v>5748</v>
      </c>
      <c r="D323" s="1">
        <v>1420</v>
      </c>
      <c r="E323" s="1" t="str">
        <f>_xlfn.XLOOKUP(tblGJ[[#This Row],[Account Code]],tblCOA[Code],tblCOA[Account Name],"⚠ Invalid account")</f>
        <v>Prepaid Insurance</v>
      </c>
      <c r="F323" s="1" t="s">
        <v>6144</v>
      </c>
      <c r="G323" s="5"/>
      <c r="H323" s="5">
        <f>SUMIFS(INDEX(tblPrepaid[[Jan]:[Dec]],0,MONTH(tblGJ[[#This Row],[Date]])),tblPrepaid[Prepaid Account],tblGJ[[#This Row],[Account Code]])</f>
        <v>2500000</v>
      </c>
      <c r="I323" s="1" t="s">
        <v>6535</v>
      </c>
      <c r="J323" s="1">
        <f>MONTH(tblGJ[[#This Row],[Date]])</f>
        <v>4</v>
      </c>
      <c r="K323" s="1" t="str">
        <f>_xlfn.XLOOKUP(tblGJ[[#This Row],[Account Code]],tblCOA[Code],tblCOA[FS Line],"")</f>
        <v>Prepaid expenses</v>
      </c>
      <c r="L323" s="121" t="str">
        <f>IF(OR(tblGJ[[#This Row],[Account Code]]=1120,tblGJ[[#This Row],[Account Code]]=1130),_xlfn.MINIFS(tblBank[Value Date],tblBank[Reference],tblGJ[[#This Row],[Voucher No]],tblBank[Account Code],tblGJ[[#This Row],[Account Code]]),"")</f>
        <v/>
      </c>
      <c r="M323" s="1" t="str">
        <f>IF(tblGJ[[#This Row],[Date]]&lt;=PEnd,"Yes","No")</f>
        <v>Yes</v>
      </c>
    </row>
    <row r="324" spans="2:13" x14ac:dyDescent="0.35">
      <c r="B324" s="109">
        <v>46142</v>
      </c>
      <c r="C324" s="1" t="s">
        <v>5748</v>
      </c>
      <c r="D324" s="1">
        <v>1430</v>
      </c>
      <c r="E324" s="1" t="str">
        <f>_xlfn.XLOOKUP(tblGJ[[#This Row],[Account Code]],tblCOA[Code],tblCOA[Account Name],"⚠ Invalid account")</f>
        <v>Prepaid Software Subscriptions</v>
      </c>
      <c r="F324" s="1" t="s">
        <v>6144</v>
      </c>
      <c r="G324" s="5"/>
      <c r="H324" s="5">
        <f>SUMIFS(INDEX(tblPrepaid[[Jan]:[Dec]],0,MONTH(tblGJ[[#This Row],[Date]])),tblPrepaid[Prepaid Account],tblGJ[[#This Row],[Account Code]])</f>
        <v>6000000</v>
      </c>
      <c r="I324" s="1" t="s">
        <v>6535</v>
      </c>
      <c r="J324" s="1">
        <f>MONTH(tblGJ[[#This Row],[Date]])</f>
        <v>4</v>
      </c>
      <c r="K324" s="1" t="str">
        <f>_xlfn.XLOOKUP(tblGJ[[#This Row],[Account Code]],tblCOA[Code],tblCOA[FS Line],"")</f>
        <v>Prepaid expenses</v>
      </c>
      <c r="L324" s="121" t="str">
        <f>IF(OR(tblGJ[[#This Row],[Account Code]]=1120,tblGJ[[#This Row],[Account Code]]=1130),_xlfn.MINIFS(tblBank[Value Date],tblBank[Reference],tblGJ[[#This Row],[Voucher No]],tblBank[Account Code],tblGJ[[#This Row],[Account Code]]),"")</f>
        <v/>
      </c>
      <c r="M324" s="1" t="str">
        <f>IF(tblGJ[[#This Row],[Date]]&lt;=PEnd,"Yes","No")</f>
        <v>Yes</v>
      </c>
    </row>
    <row r="325" spans="2:13" x14ac:dyDescent="0.35">
      <c r="B325" s="109">
        <v>46142</v>
      </c>
      <c r="C325" s="1" t="s">
        <v>5749</v>
      </c>
      <c r="D325" s="1">
        <v>6290</v>
      </c>
      <c r="E325" s="1" t="str">
        <f>_xlfn.XLOOKUP(tblGJ[[#This Row],[Account Code]],tblCOA[Code],tblCOA[Account Name],"⚠ Invalid account")</f>
        <v>Employee Benefits Expense</v>
      </c>
      <c r="F325" s="1" t="s">
        <v>6145</v>
      </c>
      <c r="G325" s="5">
        <v>3000000</v>
      </c>
      <c r="H325" s="5"/>
      <c r="I325" s="1" t="s">
        <v>4263</v>
      </c>
      <c r="J325" s="1">
        <f>MONTH(tblGJ[[#This Row],[Date]])</f>
        <v>4</v>
      </c>
      <c r="K325" s="1" t="str">
        <f>_xlfn.XLOOKUP(tblGJ[[#This Row],[Account Code]],tblCOA[Code],tblCOA[FS Line],"")</f>
        <v>General &amp; administrative expenses</v>
      </c>
      <c r="L325" s="121" t="str">
        <f>IF(OR(tblGJ[[#This Row],[Account Code]]=1120,tblGJ[[#This Row],[Account Code]]=1130),_xlfn.MINIFS(tblBank[Value Date],tblBank[Reference],tblGJ[[#This Row],[Voucher No]],tblBank[Account Code],tblGJ[[#This Row],[Account Code]]),"")</f>
        <v/>
      </c>
      <c r="M325" s="1" t="str">
        <f>IF(tblGJ[[#This Row],[Date]]&lt;=PEnd,"Yes","No")</f>
        <v>Yes</v>
      </c>
    </row>
    <row r="326" spans="2:13" x14ac:dyDescent="0.35">
      <c r="B326" s="109">
        <v>46142</v>
      </c>
      <c r="C326" s="1" t="s">
        <v>5749</v>
      </c>
      <c r="D326" s="1">
        <v>2420</v>
      </c>
      <c r="E326" s="1" t="str">
        <f>_xlfn.XLOOKUP(tblGJ[[#This Row],[Account Code]],tblCOA[Code],tblCOA[Account Name],"⚠ Invalid account")</f>
        <v>Employee Benefits Liability</v>
      </c>
      <c r="F326" s="1" t="s">
        <v>6146</v>
      </c>
      <c r="G326" s="5"/>
      <c r="H326" s="5">
        <v>3000000</v>
      </c>
      <c r="I326" s="1" t="s">
        <v>4263</v>
      </c>
      <c r="J326" s="1">
        <f>MONTH(tblGJ[[#This Row],[Date]])</f>
        <v>4</v>
      </c>
      <c r="K326" s="1" t="str">
        <f>_xlfn.XLOOKUP(tblGJ[[#This Row],[Account Code]],tblCOA[Code],tblCOA[FS Line],"")</f>
        <v>Employee benefits liability</v>
      </c>
      <c r="L326" s="121" t="str">
        <f>IF(OR(tblGJ[[#This Row],[Account Code]]=1120,tblGJ[[#This Row],[Account Code]]=1130),_xlfn.MINIFS(tblBank[Value Date],tblBank[Reference],tblGJ[[#This Row],[Voucher No]],tblBank[Account Code],tblGJ[[#This Row],[Account Code]]),"")</f>
        <v/>
      </c>
      <c r="M326" s="1" t="str">
        <f>IF(tblGJ[[#This Row],[Date]]&lt;=PEnd,"Yes","No")</f>
        <v>Yes</v>
      </c>
    </row>
    <row r="327" spans="2:13" x14ac:dyDescent="0.35">
      <c r="B327" s="109">
        <v>46142</v>
      </c>
      <c r="C327" s="1" t="s">
        <v>5750</v>
      </c>
      <c r="D327" s="1">
        <v>1120</v>
      </c>
      <c r="E327" s="1" t="str">
        <f>_xlfn.XLOOKUP(tblGJ[[#This Row],[Account Code]],tblCOA[Code],tblCOA[Account Name],"⚠ Invalid account")</f>
        <v>Bank BCA - Current Account</v>
      </c>
      <c r="F327" s="1" t="s">
        <v>6147</v>
      </c>
      <c r="G327" s="5">
        <v>1333333</v>
      </c>
      <c r="H327" s="5"/>
      <c r="I327" s="1" t="s">
        <v>4263</v>
      </c>
      <c r="J327" s="1">
        <f>MONTH(tblGJ[[#This Row],[Date]])</f>
        <v>4</v>
      </c>
      <c r="K327" s="1" t="str">
        <f>_xlfn.XLOOKUP(tblGJ[[#This Row],[Account Code]],tblCOA[Code],tblCOA[FS Line],"")</f>
        <v>Cash and cash equivalents</v>
      </c>
      <c r="L327" s="121">
        <f>IF(OR(tblGJ[[#This Row],[Account Code]]=1120,tblGJ[[#This Row],[Account Code]]=1130),_xlfn.MINIFS(tblBank[Value Date],tblBank[Reference],tblGJ[[#This Row],[Voucher No]],tblBank[Account Code],tblGJ[[#This Row],[Account Code]]),"")</f>
        <v>46142</v>
      </c>
      <c r="M327" s="1" t="str">
        <f>IF(tblGJ[[#This Row],[Date]]&lt;=PEnd,"Yes","No")</f>
        <v>Yes</v>
      </c>
    </row>
    <row r="328" spans="2:13" x14ac:dyDescent="0.35">
      <c r="B328" s="109">
        <v>46142</v>
      </c>
      <c r="C328" s="1" t="s">
        <v>5750</v>
      </c>
      <c r="D328" s="1">
        <v>8200</v>
      </c>
      <c r="E328" s="1" t="str">
        <f>_xlfn.XLOOKUP(tblGJ[[#This Row],[Account Code]],tblCOA[Code],tblCOA[Account Name],"⚠ Invalid account")</f>
        <v>Final Income Tax Expense</v>
      </c>
      <c r="F328" s="1" t="s">
        <v>6148</v>
      </c>
      <c r="G328" s="5">
        <v>333334</v>
      </c>
      <c r="H328" s="5"/>
      <c r="I328" s="1" t="s">
        <v>4263</v>
      </c>
      <c r="J328" s="1">
        <f>MONTH(tblGJ[[#This Row],[Date]])</f>
        <v>4</v>
      </c>
      <c r="K328" s="1" t="str">
        <f>_xlfn.XLOOKUP(tblGJ[[#This Row],[Account Code]],tblCOA[Code],tblCOA[FS Line],"")</f>
        <v>Other expenses</v>
      </c>
      <c r="L328" s="121" t="str">
        <f>IF(OR(tblGJ[[#This Row],[Account Code]]=1120,tblGJ[[#This Row],[Account Code]]=1130),_xlfn.MINIFS(tblBank[Value Date],tblBank[Reference],tblGJ[[#This Row],[Voucher No]],tblBank[Account Code],tblGJ[[#This Row],[Account Code]]),"")</f>
        <v/>
      </c>
      <c r="M328" s="1" t="str">
        <f>IF(tblGJ[[#This Row],[Date]]&lt;=PEnd,"Yes","No")</f>
        <v>Yes</v>
      </c>
    </row>
    <row r="329" spans="2:13" x14ac:dyDescent="0.35">
      <c r="B329" s="109">
        <v>46142</v>
      </c>
      <c r="C329" s="1" t="s">
        <v>5750</v>
      </c>
      <c r="D329" s="1">
        <v>7110</v>
      </c>
      <c r="E329" s="1" t="str">
        <f>_xlfn.XLOOKUP(tblGJ[[#This Row],[Account Code]],tblCOA[Code],tblCOA[Account Name],"⚠ Invalid account")</f>
        <v>Interest Income - Time Deposit</v>
      </c>
      <c r="F329" s="1" t="s">
        <v>6149</v>
      </c>
      <c r="G329" s="5"/>
      <c r="H329" s="5">
        <v>1666667</v>
      </c>
      <c r="I329" s="1" t="s">
        <v>4263</v>
      </c>
      <c r="J329" s="1">
        <f>MONTH(tblGJ[[#This Row],[Date]])</f>
        <v>4</v>
      </c>
      <c r="K329" s="1" t="str">
        <f>_xlfn.XLOOKUP(tblGJ[[#This Row],[Account Code]],tblCOA[Code],tblCOA[FS Line],"")</f>
        <v>Other income</v>
      </c>
      <c r="L329" s="121" t="str">
        <f>IF(OR(tblGJ[[#This Row],[Account Code]]=1120,tblGJ[[#This Row],[Account Code]]=1130),_xlfn.MINIFS(tblBank[Value Date],tblBank[Reference],tblGJ[[#This Row],[Voucher No]],tblBank[Account Code],tblGJ[[#This Row],[Account Code]]),"")</f>
        <v/>
      </c>
      <c r="M329" s="1" t="str">
        <f>IF(tblGJ[[#This Row],[Date]]&lt;=PEnd,"Yes","No")</f>
        <v>Yes</v>
      </c>
    </row>
    <row r="330" spans="2:13" x14ac:dyDescent="0.35">
      <c r="B330" s="109">
        <v>46142</v>
      </c>
      <c r="C330" s="1" t="s">
        <v>5751</v>
      </c>
      <c r="D330" s="1">
        <v>1120</v>
      </c>
      <c r="E330" s="1" t="str">
        <f>_xlfn.XLOOKUP(tblGJ[[#This Row],[Account Code]],tblCOA[Code],tblCOA[Account Name],"⚠ Invalid account")</f>
        <v>Bank BCA - Current Account</v>
      </c>
      <c r="F330" s="1" t="s">
        <v>6150</v>
      </c>
      <c r="G330" s="5">
        <v>424147</v>
      </c>
      <c r="H330" s="5"/>
      <c r="I330" s="1" t="s">
        <v>4263</v>
      </c>
      <c r="J330" s="1">
        <f>MONTH(tblGJ[[#This Row],[Date]])</f>
        <v>4</v>
      </c>
      <c r="K330" s="1" t="str">
        <f>_xlfn.XLOOKUP(tblGJ[[#This Row],[Account Code]],tblCOA[Code],tblCOA[FS Line],"")</f>
        <v>Cash and cash equivalents</v>
      </c>
      <c r="L330" s="121">
        <f>IF(OR(tblGJ[[#This Row],[Account Code]]=1120,tblGJ[[#This Row],[Account Code]]=1130),_xlfn.MINIFS(tblBank[Value Date],tblBank[Reference],tblGJ[[#This Row],[Voucher No]],tblBank[Account Code],tblGJ[[#This Row],[Account Code]]),"")</f>
        <v>46142</v>
      </c>
      <c r="M330" s="1" t="str">
        <f>IF(tblGJ[[#This Row],[Date]]&lt;=PEnd,"Yes","No")</f>
        <v>Yes</v>
      </c>
    </row>
    <row r="331" spans="2:13" x14ac:dyDescent="0.35">
      <c r="B331" s="109">
        <v>46142</v>
      </c>
      <c r="C331" s="1" t="s">
        <v>5751</v>
      </c>
      <c r="D331" s="1">
        <v>7120</v>
      </c>
      <c r="E331" s="1" t="str">
        <f>_xlfn.XLOOKUP(tblGJ[[#This Row],[Account Code]],tblCOA[Code],tblCOA[Account Name],"⚠ Invalid account")</f>
        <v>Interest Income - Current Account</v>
      </c>
      <c r="F331" s="1" t="s">
        <v>6150</v>
      </c>
      <c r="G331" s="5"/>
      <c r="H331" s="5">
        <v>424147</v>
      </c>
      <c r="I331" s="1" t="s">
        <v>4263</v>
      </c>
      <c r="J331" s="1">
        <f>MONTH(tblGJ[[#This Row],[Date]])</f>
        <v>4</v>
      </c>
      <c r="K331" s="1" t="str">
        <f>_xlfn.XLOOKUP(tblGJ[[#This Row],[Account Code]],tblCOA[Code],tblCOA[FS Line],"")</f>
        <v>Other income</v>
      </c>
      <c r="L331" s="121" t="str">
        <f>IF(OR(tblGJ[[#This Row],[Account Code]]=1120,tblGJ[[#This Row],[Account Code]]=1130),_xlfn.MINIFS(tblBank[Value Date],tblBank[Reference],tblGJ[[#This Row],[Voucher No]],tblBank[Account Code],tblGJ[[#This Row],[Account Code]]),"")</f>
        <v/>
      </c>
      <c r="M331" s="1" t="str">
        <f>IF(tblGJ[[#This Row],[Date]]&lt;=PEnd,"Yes","No")</f>
        <v>Yes</v>
      </c>
    </row>
    <row r="332" spans="2:13" x14ac:dyDescent="0.35">
      <c r="B332" s="109">
        <v>46142</v>
      </c>
      <c r="C332" s="1" t="s">
        <v>5752</v>
      </c>
      <c r="D332" s="1">
        <v>8200</v>
      </c>
      <c r="E332" s="1" t="str">
        <f>_xlfn.XLOOKUP(tblGJ[[#This Row],[Account Code]],tblCOA[Code],tblCOA[Account Name],"⚠ Invalid account")</f>
        <v>Final Income Tax Expense</v>
      </c>
      <c r="F332" s="1" t="s">
        <v>6151</v>
      </c>
      <c r="G332" s="5">
        <v>84829</v>
      </c>
      <c r="H332" s="5"/>
      <c r="I332" s="1" t="s">
        <v>4263</v>
      </c>
      <c r="J332" s="1">
        <f>MONTH(tblGJ[[#This Row],[Date]])</f>
        <v>4</v>
      </c>
      <c r="K332" s="1" t="str">
        <f>_xlfn.XLOOKUP(tblGJ[[#This Row],[Account Code]],tblCOA[Code],tblCOA[FS Line],"")</f>
        <v>Other expenses</v>
      </c>
      <c r="L332" s="121" t="str">
        <f>IF(OR(tblGJ[[#This Row],[Account Code]]=1120,tblGJ[[#This Row],[Account Code]]=1130),_xlfn.MINIFS(tblBank[Value Date],tblBank[Reference],tblGJ[[#This Row],[Voucher No]],tblBank[Account Code],tblGJ[[#This Row],[Account Code]]),"")</f>
        <v/>
      </c>
      <c r="M332" s="1" t="str">
        <f>IF(tblGJ[[#This Row],[Date]]&lt;=PEnd,"Yes","No")</f>
        <v>Yes</v>
      </c>
    </row>
    <row r="333" spans="2:13" x14ac:dyDescent="0.35">
      <c r="B333" s="109">
        <v>46142</v>
      </c>
      <c r="C333" s="1" t="s">
        <v>5752</v>
      </c>
      <c r="D333" s="1">
        <v>1120</v>
      </c>
      <c r="E333" s="1" t="str">
        <f>_xlfn.XLOOKUP(tblGJ[[#This Row],[Account Code]],tblCOA[Code],tblCOA[Account Name],"⚠ Invalid account")</f>
        <v>Bank BCA - Current Account</v>
      </c>
      <c r="F333" s="1" t="s">
        <v>6151</v>
      </c>
      <c r="G333" s="5"/>
      <c r="H333" s="5">
        <v>84829</v>
      </c>
      <c r="I333" s="1" t="s">
        <v>4263</v>
      </c>
      <c r="J333" s="1">
        <f>MONTH(tblGJ[[#This Row],[Date]])</f>
        <v>4</v>
      </c>
      <c r="K333" s="1" t="str">
        <f>_xlfn.XLOOKUP(tblGJ[[#This Row],[Account Code]],tblCOA[Code],tblCOA[FS Line],"")</f>
        <v>Cash and cash equivalents</v>
      </c>
      <c r="L333" s="121">
        <f>IF(OR(tblGJ[[#This Row],[Account Code]]=1120,tblGJ[[#This Row],[Account Code]]=1130),_xlfn.MINIFS(tblBank[Value Date],tblBank[Reference],tblGJ[[#This Row],[Voucher No]],tblBank[Account Code],tblGJ[[#This Row],[Account Code]]),"")</f>
        <v>46142</v>
      </c>
      <c r="M333" s="1" t="str">
        <f>IF(tblGJ[[#This Row],[Date]]&lt;=PEnd,"Yes","No")</f>
        <v>Yes</v>
      </c>
    </row>
    <row r="334" spans="2:13" x14ac:dyDescent="0.35">
      <c r="B334" s="109">
        <v>46142</v>
      </c>
      <c r="C334" s="1" t="s">
        <v>5753</v>
      </c>
      <c r="D334" s="1">
        <v>7220</v>
      </c>
      <c r="E334" s="1" t="str">
        <f>_xlfn.XLOOKUP(tblGJ[[#This Row],[Account Code]],tblCOA[Code],tblCOA[Account Name],"⚠ Invalid account")</f>
        <v>Bank Charges</v>
      </c>
      <c r="F334" s="1" t="s">
        <v>6152</v>
      </c>
      <c r="G334" s="5">
        <v>150000</v>
      </c>
      <c r="H334" s="5"/>
      <c r="I334" s="1" t="s">
        <v>4263</v>
      </c>
      <c r="J334" s="1">
        <f>MONTH(tblGJ[[#This Row],[Date]])</f>
        <v>4</v>
      </c>
      <c r="K334" s="1" t="str">
        <f>_xlfn.XLOOKUP(tblGJ[[#This Row],[Account Code]],tblCOA[Code],tblCOA[FS Line],"")</f>
        <v>Other expenses</v>
      </c>
      <c r="L334" s="121" t="str">
        <f>IF(OR(tblGJ[[#This Row],[Account Code]]=1120,tblGJ[[#This Row],[Account Code]]=1130),_xlfn.MINIFS(tblBank[Value Date],tblBank[Reference],tblGJ[[#This Row],[Voucher No]],tblBank[Account Code],tblGJ[[#This Row],[Account Code]]),"")</f>
        <v/>
      </c>
      <c r="M334" s="1" t="str">
        <f>IF(tblGJ[[#This Row],[Date]]&lt;=PEnd,"Yes","No")</f>
        <v>Yes</v>
      </c>
    </row>
    <row r="335" spans="2:13" x14ac:dyDescent="0.35">
      <c r="B335" s="109">
        <v>46142</v>
      </c>
      <c r="C335" s="1" t="s">
        <v>5753</v>
      </c>
      <c r="D335" s="1">
        <v>1120</v>
      </c>
      <c r="E335" s="1" t="str">
        <f>_xlfn.XLOOKUP(tblGJ[[#This Row],[Account Code]],tblCOA[Code],tblCOA[Account Name],"⚠ Invalid account")</f>
        <v>Bank BCA - Current Account</v>
      </c>
      <c r="F335" s="1" t="s">
        <v>6152</v>
      </c>
      <c r="G335" s="5"/>
      <c r="H335" s="5">
        <v>150000</v>
      </c>
      <c r="I335" s="1" t="s">
        <v>4263</v>
      </c>
      <c r="J335" s="1">
        <f>MONTH(tblGJ[[#This Row],[Date]])</f>
        <v>4</v>
      </c>
      <c r="K335" s="1" t="str">
        <f>_xlfn.XLOOKUP(tblGJ[[#This Row],[Account Code]],tblCOA[Code],tblCOA[FS Line],"")</f>
        <v>Cash and cash equivalents</v>
      </c>
      <c r="L335" s="121">
        <f>IF(OR(tblGJ[[#This Row],[Account Code]]=1120,tblGJ[[#This Row],[Account Code]]=1130),_xlfn.MINIFS(tblBank[Value Date],tblBank[Reference],tblGJ[[#This Row],[Voucher No]],tblBank[Account Code],tblGJ[[#This Row],[Account Code]]),"")</f>
        <v>46142</v>
      </c>
      <c r="M335" s="1" t="str">
        <f>IF(tblGJ[[#This Row],[Date]]&lt;=PEnd,"Yes","No")</f>
        <v>Yes</v>
      </c>
    </row>
    <row r="336" spans="2:13" x14ac:dyDescent="0.35">
      <c r="B336" s="109">
        <v>46142</v>
      </c>
      <c r="C336" s="1" t="s">
        <v>5754</v>
      </c>
      <c r="D336" s="1">
        <v>1130</v>
      </c>
      <c r="E336" s="1" t="str">
        <f>_xlfn.XLOOKUP(tblGJ[[#This Row],[Account Code]],tblCOA[Code],tblCOA[Account Name],"⚠ Invalid account")</f>
        <v>Bank Mandiri - Current Account</v>
      </c>
      <c r="F336" s="1" t="s">
        <v>6153</v>
      </c>
      <c r="G336" s="5">
        <v>69050</v>
      </c>
      <c r="H336" s="5"/>
      <c r="I336" s="1" t="s">
        <v>4263</v>
      </c>
      <c r="J336" s="1">
        <f>MONTH(tblGJ[[#This Row],[Date]])</f>
        <v>4</v>
      </c>
      <c r="K336" s="1" t="str">
        <f>_xlfn.XLOOKUP(tblGJ[[#This Row],[Account Code]],tblCOA[Code],tblCOA[FS Line],"")</f>
        <v>Cash and cash equivalents</v>
      </c>
      <c r="L336" s="121">
        <f>IF(OR(tblGJ[[#This Row],[Account Code]]=1120,tblGJ[[#This Row],[Account Code]]=1130),_xlfn.MINIFS(tblBank[Value Date],tblBank[Reference],tblGJ[[#This Row],[Voucher No]],tblBank[Account Code],tblGJ[[#This Row],[Account Code]]),"")</f>
        <v>46142</v>
      </c>
      <c r="M336" s="1" t="str">
        <f>IF(tblGJ[[#This Row],[Date]]&lt;=PEnd,"Yes","No")</f>
        <v>Yes</v>
      </c>
    </row>
    <row r="337" spans="2:13" x14ac:dyDescent="0.35">
      <c r="B337" s="109">
        <v>46142</v>
      </c>
      <c r="C337" s="1" t="s">
        <v>5754</v>
      </c>
      <c r="D337" s="1">
        <v>7120</v>
      </c>
      <c r="E337" s="1" t="str">
        <f>_xlfn.XLOOKUP(tblGJ[[#This Row],[Account Code]],tblCOA[Code],tblCOA[Account Name],"⚠ Invalid account")</f>
        <v>Interest Income - Current Account</v>
      </c>
      <c r="F337" s="1" t="s">
        <v>6153</v>
      </c>
      <c r="G337" s="5"/>
      <c r="H337" s="5">
        <v>69050</v>
      </c>
      <c r="I337" s="1" t="s">
        <v>4263</v>
      </c>
      <c r="J337" s="1">
        <f>MONTH(tblGJ[[#This Row],[Date]])</f>
        <v>4</v>
      </c>
      <c r="K337" s="1" t="str">
        <f>_xlfn.XLOOKUP(tblGJ[[#This Row],[Account Code]],tblCOA[Code],tblCOA[FS Line],"")</f>
        <v>Other income</v>
      </c>
      <c r="L337" s="121" t="str">
        <f>IF(OR(tblGJ[[#This Row],[Account Code]]=1120,tblGJ[[#This Row],[Account Code]]=1130),_xlfn.MINIFS(tblBank[Value Date],tblBank[Reference],tblGJ[[#This Row],[Voucher No]],tblBank[Account Code],tblGJ[[#This Row],[Account Code]]),"")</f>
        <v/>
      </c>
      <c r="M337" s="1" t="str">
        <f>IF(tblGJ[[#This Row],[Date]]&lt;=PEnd,"Yes","No")</f>
        <v>Yes</v>
      </c>
    </row>
    <row r="338" spans="2:13" x14ac:dyDescent="0.35">
      <c r="B338" s="109">
        <v>46142</v>
      </c>
      <c r="C338" s="1" t="s">
        <v>5755</v>
      </c>
      <c r="D338" s="1">
        <v>8200</v>
      </c>
      <c r="E338" s="1" t="str">
        <f>_xlfn.XLOOKUP(tblGJ[[#This Row],[Account Code]],tblCOA[Code],tblCOA[Account Name],"⚠ Invalid account")</f>
        <v>Final Income Tax Expense</v>
      </c>
      <c r="F338" s="1" t="s">
        <v>6154</v>
      </c>
      <c r="G338" s="5">
        <v>13810</v>
      </c>
      <c r="H338" s="5"/>
      <c r="I338" s="1" t="s">
        <v>4263</v>
      </c>
      <c r="J338" s="1">
        <f>MONTH(tblGJ[[#This Row],[Date]])</f>
        <v>4</v>
      </c>
      <c r="K338" s="1" t="str">
        <f>_xlfn.XLOOKUP(tblGJ[[#This Row],[Account Code]],tblCOA[Code],tblCOA[FS Line],"")</f>
        <v>Other expenses</v>
      </c>
      <c r="L338" s="121" t="str">
        <f>IF(OR(tblGJ[[#This Row],[Account Code]]=1120,tblGJ[[#This Row],[Account Code]]=1130),_xlfn.MINIFS(tblBank[Value Date],tblBank[Reference],tblGJ[[#This Row],[Voucher No]],tblBank[Account Code],tblGJ[[#This Row],[Account Code]]),"")</f>
        <v/>
      </c>
      <c r="M338" s="1" t="str">
        <f>IF(tblGJ[[#This Row],[Date]]&lt;=PEnd,"Yes","No")</f>
        <v>Yes</v>
      </c>
    </row>
    <row r="339" spans="2:13" x14ac:dyDescent="0.35">
      <c r="B339" s="109">
        <v>46142</v>
      </c>
      <c r="C339" s="1" t="s">
        <v>5755</v>
      </c>
      <c r="D339" s="1">
        <v>1130</v>
      </c>
      <c r="E339" s="1" t="str">
        <f>_xlfn.XLOOKUP(tblGJ[[#This Row],[Account Code]],tblCOA[Code],tblCOA[Account Name],"⚠ Invalid account")</f>
        <v>Bank Mandiri - Current Account</v>
      </c>
      <c r="F339" s="1" t="s">
        <v>6154</v>
      </c>
      <c r="G339" s="5"/>
      <c r="H339" s="5">
        <v>13810</v>
      </c>
      <c r="I339" s="1" t="s">
        <v>4263</v>
      </c>
      <c r="J339" s="1">
        <f>MONTH(tblGJ[[#This Row],[Date]])</f>
        <v>4</v>
      </c>
      <c r="K339" s="1" t="str">
        <f>_xlfn.XLOOKUP(tblGJ[[#This Row],[Account Code]],tblCOA[Code],tblCOA[FS Line],"")</f>
        <v>Cash and cash equivalents</v>
      </c>
      <c r="L339" s="121">
        <f>IF(OR(tblGJ[[#This Row],[Account Code]]=1120,tblGJ[[#This Row],[Account Code]]=1130),_xlfn.MINIFS(tblBank[Value Date],tblBank[Reference],tblGJ[[#This Row],[Voucher No]],tblBank[Account Code],tblGJ[[#This Row],[Account Code]]),"")</f>
        <v>46142</v>
      </c>
      <c r="M339" s="1" t="str">
        <f>IF(tblGJ[[#This Row],[Date]]&lt;=PEnd,"Yes","No")</f>
        <v>Yes</v>
      </c>
    </row>
    <row r="340" spans="2:13" x14ac:dyDescent="0.35">
      <c r="B340" s="109">
        <v>46142</v>
      </c>
      <c r="C340" s="1" t="s">
        <v>5756</v>
      </c>
      <c r="D340" s="1">
        <v>7220</v>
      </c>
      <c r="E340" s="1" t="str">
        <f>_xlfn.XLOOKUP(tblGJ[[#This Row],[Account Code]],tblCOA[Code],tblCOA[Account Name],"⚠ Invalid account")</f>
        <v>Bank Charges</v>
      </c>
      <c r="F340" s="1" t="s">
        <v>6155</v>
      </c>
      <c r="G340" s="5">
        <v>118500</v>
      </c>
      <c r="H340" s="5"/>
      <c r="I340" s="1" t="s">
        <v>4263</v>
      </c>
      <c r="J340" s="1">
        <f>MONTH(tblGJ[[#This Row],[Date]])</f>
        <v>4</v>
      </c>
      <c r="K340" s="1" t="str">
        <f>_xlfn.XLOOKUP(tblGJ[[#This Row],[Account Code]],tblCOA[Code],tblCOA[FS Line],"")</f>
        <v>Other expenses</v>
      </c>
      <c r="L340" s="121" t="str">
        <f>IF(OR(tblGJ[[#This Row],[Account Code]]=1120,tblGJ[[#This Row],[Account Code]]=1130),_xlfn.MINIFS(tblBank[Value Date],tblBank[Reference],tblGJ[[#This Row],[Voucher No]],tblBank[Account Code],tblGJ[[#This Row],[Account Code]]),"")</f>
        <v/>
      </c>
      <c r="M340" s="1" t="str">
        <f>IF(tblGJ[[#This Row],[Date]]&lt;=PEnd,"Yes","No")</f>
        <v>Yes</v>
      </c>
    </row>
    <row r="341" spans="2:13" x14ac:dyDescent="0.35">
      <c r="B341" s="109">
        <v>46142</v>
      </c>
      <c r="C341" s="1" t="s">
        <v>5756</v>
      </c>
      <c r="D341" s="1">
        <v>1130</v>
      </c>
      <c r="E341" s="1" t="str">
        <f>_xlfn.XLOOKUP(tblGJ[[#This Row],[Account Code]],tblCOA[Code],tblCOA[Account Name],"⚠ Invalid account")</f>
        <v>Bank Mandiri - Current Account</v>
      </c>
      <c r="F341" s="1" t="s">
        <v>6155</v>
      </c>
      <c r="G341" s="5"/>
      <c r="H341" s="5">
        <v>118500</v>
      </c>
      <c r="I341" s="1" t="s">
        <v>4263</v>
      </c>
      <c r="J341" s="1">
        <f>MONTH(tblGJ[[#This Row],[Date]])</f>
        <v>4</v>
      </c>
      <c r="K341" s="1" t="str">
        <f>_xlfn.XLOOKUP(tblGJ[[#This Row],[Account Code]],tblCOA[Code],tblCOA[FS Line],"")</f>
        <v>Cash and cash equivalents</v>
      </c>
      <c r="L341" s="121">
        <f>IF(OR(tblGJ[[#This Row],[Account Code]]=1120,tblGJ[[#This Row],[Account Code]]=1130),_xlfn.MINIFS(tblBank[Value Date],tblBank[Reference],tblGJ[[#This Row],[Voucher No]],tblBank[Account Code],tblGJ[[#This Row],[Account Code]]),"")</f>
        <v>46142</v>
      </c>
      <c r="M341" s="1" t="str">
        <f>IF(tblGJ[[#This Row],[Date]]&lt;=PEnd,"Yes","No")</f>
        <v>Yes</v>
      </c>
    </row>
    <row r="342" spans="2:13" x14ac:dyDescent="0.35">
      <c r="B342" s="109">
        <v>46152</v>
      </c>
      <c r="C342" s="1" t="s">
        <v>5757</v>
      </c>
      <c r="D342" s="1">
        <v>2230</v>
      </c>
      <c r="E342" s="1" t="str">
        <f>_xlfn.XLOOKUP(tblGJ[[#This Row],[Account Code]],tblCOA[Code],tblCOA[Account Name],"⚠ Invalid account")</f>
        <v>WHT Payable - Art. 21</v>
      </c>
      <c r="F342" s="1" t="s">
        <v>5957</v>
      </c>
      <c r="G342" s="5">
        <f>IF(MONTH(tblGJ[[#This Row],[Date]])=1,_xlfn.XLOOKUP(2230,tblCOA[Code],tblCOA[Opening Balance]),SUMIFS(tblPayroll[PPh 21],tblPayroll[Period],MONTH(tblGJ[[#This Row],[Date]])-1))</f>
        <v>10516831</v>
      </c>
      <c r="H342" s="5"/>
      <c r="I342" s="1" t="s">
        <v>6528</v>
      </c>
      <c r="J342" s="1">
        <f>MONTH(tblGJ[[#This Row],[Date]])</f>
        <v>5</v>
      </c>
      <c r="K342" s="1" t="str">
        <f>_xlfn.XLOOKUP(tblGJ[[#This Row],[Account Code]],tblCOA[Code],tblCOA[FS Line],"")</f>
        <v>Taxes payable</v>
      </c>
      <c r="L342" s="121" t="str">
        <f>IF(OR(tblGJ[[#This Row],[Account Code]]=1120,tblGJ[[#This Row],[Account Code]]=1130),_xlfn.MINIFS(tblBank[Value Date],tblBank[Reference],tblGJ[[#This Row],[Voucher No]],tblBank[Account Code],tblGJ[[#This Row],[Account Code]]),"")</f>
        <v/>
      </c>
      <c r="M342" s="1" t="str">
        <f>IF(tblGJ[[#This Row],[Date]]&lt;=PEnd,"Yes","No")</f>
        <v>Yes</v>
      </c>
    </row>
    <row r="343" spans="2:13" x14ac:dyDescent="0.35">
      <c r="B343" s="109">
        <v>46152</v>
      </c>
      <c r="C343" s="1" t="s">
        <v>5757</v>
      </c>
      <c r="D343" s="1">
        <v>1120</v>
      </c>
      <c r="E343" s="1" t="str">
        <f>_xlfn.XLOOKUP(tblGJ[[#This Row],[Account Code]],tblCOA[Code],tblCOA[Account Name],"⚠ Invalid account")</f>
        <v>Bank BCA - Current Account</v>
      </c>
      <c r="F343" s="1" t="s">
        <v>5957</v>
      </c>
      <c r="G343" s="5"/>
      <c r="H343" s="5">
        <f>IF(MONTH(tblGJ[[#This Row],[Date]])=1,_xlfn.XLOOKUP(2230,tblCOA[Code],tblCOA[Opening Balance]),SUMIFS(tblPayroll[PPh 21],tblPayroll[Period],MONTH(tblGJ[[#This Row],[Date]])-1))</f>
        <v>10516831</v>
      </c>
      <c r="I343" s="1" t="s">
        <v>6528</v>
      </c>
      <c r="J343" s="1">
        <f>MONTH(tblGJ[[#This Row],[Date]])</f>
        <v>5</v>
      </c>
      <c r="K343" s="1" t="str">
        <f>_xlfn.XLOOKUP(tblGJ[[#This Row],[Account Code]],tblCOA[Code],tblCOA[FS Line],"")</f>
        <v>Cash and cash equivalents</v>
      </c>
      <c r="L343" s="121">
        <f>IF(OR(tblGJ[[#This Row],[Account Code]]=1120,tblGJ[[#This Row],[Account Code]]=1130),_xlfn.MINIFS(tblBank[Value Date],tblBank[Reference],tblGJ[[#This Row],[Voucher No]],tblBank[Account Code],tblGJ[[#This Row],[Account Code]]),"")</f>
        <v>46152</v>
      </c>
      <c r="M343" s="1" t="str">
        <f>IF(tblGJ[[#This Row],[Date]]&lt;=PEnd,"Yes","No")</f>
        <v>Yes</v>
      </c>
    </row>
    <row r="344" spans="2:13" x14ac:dyDescent="0.35">
      <c r="B344" s="109">
        <v>46152</v>
      </c>
      <c r="C344" s="1" t="s">
        <v>5758</v>
      </c>
      <c r="D344" s="1">
        <v>2150</v>
      </c>
      <c r="E344" s="1" t="str">
        <f>_xlfn.XLOOKUP(tblGJ[[#This Row],[Account Code]],tblCOA[Code],tblCOA[Account Name],"⚠ Invalid account")</f>
        <v>BPJS Payable</v>
      </c>
      <c r="F344" s="1" t="s">
        <v>5958</v>
      </c>
      <c r="G344" s="5">
        <f>IF(MONTH(tblGJ[[#This Row],[Date]])=1,_xlfn.XLOOKUP(2150,tblCOA[Code],tblCOA[Opening Balance]),SUMIFS(tblPayroll[BPJS Payable],tblPayroll[Period],MONTH(tblGJ[[#This Row],[Date]])-1))</f>
        <v>22077790</v>
      </c>
      <c r="H344" s="5"/>
      <c r="I344" s="1" t="s">
        <v>6528</v>
      </c>
      <c r="J344" s="1">
        <f>MONTH(tblGJ[[#This Row],[Date]])</f>
        <v>5</v>
      </c>
      <c r="K344" s="1" t="str">
        <f>_xlfn.XLOOKUP(tblGJ[[#This Row],[Account Code]],tblCOA[Code],tblCOA[FS Line],"")</f>
        <v>Accrued expenses</v>
      </c>
      <c r="L344" s="121" t="str">
        <f>IF(OR(tblGJ[[#This Row],[Account Code]]=1120,tblGJ[[#This Row],[Account Code]]=1130),_xlfn.MINIFS(tblBank[Value Date],tblBank[Reference],tblGJ[[#This Row],[Voucher No]],tblBank[Account Code],tblGJ[[#This Row],[Account Code]]),"")</f>
        <v/>
      </c>
      <c r="M344" s="1" t="str">
        <f>IF(tblGJ[[#This Row],[Date]]&lt;=PEnd,"Yes","No")</f>
        <v>Yes</v>
      </c>
    </row>
    <row r="345" spans="2:13" x14ac:dyDescent="0.35">
      <c r="B345" s="109">
        <v>46152</v>
      </c>
      <c r="C345" s="1" t="s">
        <v>5758</v>
      </c>
      <c r="D345" s="1">
        <v>1120</v>
      </c>
      <c r="E345" s="1" t="str">
        <f>_xlfn.XLOOKUP(tblGJ[[#This Row],[Account Code]],tblCOA[Code],tblCOA[Account Name],"⚠ Invalid account")</f>
        <v>Bank BCA - Current Account</v>
      </c>
      <c r="F345" s="1" t="s">
        <v>5958</v>
      </c>
      <c r="G345" s="5"/>
      <c r="H345" s="5">
        <f>IF(MONTH(tblGJ[[#This Row],[Date]])=1,_xlfn.XLOOKUP(2150,tblCOA[Code],tblCOA[Opening Balance]),SUMIFS(tblPayroll[BPJS Payable],tblPayroll[Period],MONTH(tblGJ[[#This Row],[Date]])-1))</f>
        <v>22077790</v>
      </c>
      <c r="I345" s="1" t="s">
        <v>6528</v>
      </c>
      <c r="J345" s="1">
        <f>MONTH(tblGJ[[#This Row],[Date]])</f>
        <v>5</v>
      </c>
      <c r="K345" s="1" t="str">
        <f>_xlfn.XLOOKUP(tblGJ[[#This Row],[Account Code]],tblCOA[Code],tblCOA[FS Line],"")</f>
        <v>Cash and cash equivalents</v>
      </c>
      <c r="L345" s="121">
        <f>IF(OR(tblGJ[[#This Row],[Account Code]]=1120,tblGJ[[#This Row],[Account Code]]=1130),_xlfn.MINIFS(tblBank[Value Date],tblBank[Reference],tblGJ[[#This Row],[Voucher No]],tblBank[Account Code],tblGJ[[#This Row],[Account Code]]),"")</f>
        <v>46152</v>
      </c>
      <c r="M345" s="1" t="str">
        <f>IF(tblGJ[[#This Row],[Date]]&lt;=PEnd,"Yes","No")</f>
        <v>Yes</v>
      </c>
    </row>
    <row r="346" spans="2:13" x14ac:dyDescent="0.35">
      <c r="B346" s="109">
        <v>46157</v>
      </c>
      <c r="C346" s="1" t="s">
        <v>5759</v>
      </c>
      <c r="D346" s="1">
        <v>2240</v>
      </c>
      <c r="E346" s="1" t="str">
        <f>_xlfn.XLOOKUP(tblGJ[[#This Row],[Account Code]],tblCOA[Code],tblCOA[Account Name],"⚠ Invalid account")</f>
        <v>WHT Payable - Unifikasi (Art. 23/4(2))</v>
      </c>
      <c r="F346" s="1" t="s">
        <v>5960</v>
      </c>
      <c r="G346" s="5">
        <f>IF(MONTH(tblGJ[[#This Row],[Date]])=1,_xlfn.XLOOKUP(2240,tblCOA[Code],tblCOA[Opening Balance]),SUMIFS(tblPurchases[WHT Amount],tblPurchases[Month],MONTH(tblGJ[[#This Row],[Date]])-1))</f>
        <v>1897080</v>
      </c>
      <c r="H346" s="5"/>
      <c r="I346" s="1" t="s">
        <v>6528</v>
      </c>
      <c r="J346" s="1">
        <f>MONTH(tblGJ[[#This Row],[Date]])</f>
        <v>5</v>
      </c>
      <c r="K346" s="1" t="str">
        <f>_xlfn.XLOOKUP(tblGJ[[#This Row],[Account Code]],tblCOA[Code],tblCOA[FS Line],"")</f>
        <v>Taxes payable</v>
      </c>
      <c r="L346" s="121" t="str">
        <f>IF(OR(tblGJ[[#This Row],[Account Code]]=1120,tblGJ[[#This Row],[Account Code]]=1130),_xlfn.MINIFS(tblBank[Value Date],tblBank[Reference],tblGJ[[#This Row],[Voucher No]],tblBank[Account Code],tblGJ[[#This Row],[Account Code]]),"")</f>
        <v/>
      </c>
      <c r="M346" s="1" t="str">
        <f>IF(tblGJ[[#This Row],[Date]]&lt;=PEnd,"Yes","No")</f>
        <v>Yes</v>
      </c>
    </row>
    <row r="347" spans="2:13" x14ac:dyDescent="0.35">
      <c r="B347" s="109">
        <v>46157</v>
      </c>
      <c r="C347" s="1" t="s">
        <v>5759</v>
      </c>
      <c r="D347" s="1">
        <v>1120</v>
      </c>
      <c r="E347" s="1" t="str">
        <f>_xlfn.XLOOKUP(tblGJ[[#This Row],[Account Code]],tblCOA[Code],tblCOA[Account Name],"⚠ Invalid account")</f>
        <v>Bank BCA - Current Account</v>
      </c>
      <c r="F347" s="1" t="s">
        <v>5960</v>
      </c>
      <c r="G347" s="5"/>
      <c r="H347" s="5">
        <f>IF(MONTH(tblGJ[[#This Row],[Date]])=1,_xlfn.XLOOKUP(2240,tblCOA[Code],tblCOA[Opening Balance]),SUMIFS(tblPurchases[WHT Amount],tblPurchases[Month],MONTH(tblGJ[[#This Row],[Date]])-1))</f>
        <v>1897080</v>
      </c>
      <c r="I347" s="1" t="s">
        <v>6528</v>
      </c>
      <c r="J347" s="1">
        <f>MONTH(tblGJ[[#This Row],[Date]])</f>
        <v>5</v>
      </c>
      <c r="K347" s="1" t="str">
        <f>_xlfn.XLOOKUP(tblGJ[[#This Row],[Account Code]],tblCOA[Code],tblCOA[FS Line],"")</f>
        <v>Cash and cash equivalents</v>
      </c>
      <c r="L347" s="121">
        <f>IF(OR(tblGJ[[#This Row],[Account Code]]=1120,tblGJ[[#This Row],[Account Code]]=1130),_xlfn.MINIFS(tblBank[Value Date],tblBank[Reference],tblGJ[[#This Row],[Voucher No]],tblBank[Account Code],tblGJ[[#This Row],[Account Code]]),"")</f>
        <v>46157</v>
      </c>
      <c r="M347" s="1" t="str">
        <f>IF(tblGJ[[#This Row],[Date]]&lt;=PEnd,"Yes","No")</f>
        <v>Yes</v>
      </c>
    </row>
    <row r="348" spans="2:13" x14ac:dyDescent="0.35">
      <c r="B348" s="109">
        <v>46157</v>
      </c>
      <c r="C348" s="1" t="s">
        <v>5760</v>
      </c>
      <c r="D348" s="1">
        <v>1520</v>
      </c>
      <c r="E348" s="1" t="str">
        <f>_xlfn.XLOOKUP(tblGJ[[#This Row],[Account Code]],tblCOA[Code],tblCOA[Account Name],"⚠ Invalid account")</f>
        <v>Prepaid Income Tax - Art. 25</v>
      </c>
      <c r="F348" s="1" t="s">
        <v>6156</v>
      </c>
      <c r="G348" s="5">
        <f>PPh25Inst</f>
        <v>20000000</v>
      </c>
      <c r="H348" s="5"/>
      <c r="I348" s="1" t="s">
        <v>6528</v>
      </c>
      <c r="J348" s="1">
        <f>MONTH(tblGJ[[#This Row],[Date]])</f>
        <v>5</v>
      </c>
      <c r="K348" s="1" t="str">
        <f>_xlfn.XLOOKUP(tblGJ[[#This Row],[Account Code]],tblCOA[Code],tblCOA[FS Line],"")</f>
        <v>Prepaid taxes</v>
      </c>
      <c r="L348" s="121" t="str">
        <f>IF(OR(tblGJ[[#This Row],[Account Code]]=1120,tblGJ[[#This Row],[Account Code]]=1130),_xlfn.MINIFS(tblBank[Value Date],tblBank[Reference],tblGJ[[#This Row],[Voucher No]],tblBank[Account Code],tblGJ[[#This Row],[Account Code]]),"")</f>
        <v/>
      </c>
      <c r="M348" s="1" t="str">
        <f>IF(tblGJ[[#This Row],[Date]]&lt;=PEnd,"Yes","No")</f>
        <v>Yes</v>
      </c>
    </row>
    <row r="349" spans="2:13" x14ac:dyDescent="0.35">
      <c r="B349" s="109">
        <v>46157</v>
      </c>
      <c r="C349" s="1" t="s">
        <v>5760</v>
      </c>
      <c r="D349" s="1">
        <v>1120</v>
      </c>
      <c r="E349" s="1" t="str">
        <f>_xlfn.XLOOKUP(tblGJ[[#This Row],[Account Code]],tblCOA[Code],tblCOA[Account Name],"⚠ Invalid account")</f>
        <v>Bank BCA - Current Account</v>
      </c>
      <c r="F349" s="1" t="s">
        <v>6156</v>
      </c>
      <c r="G349" s="5"/>
      <c r="H349" s="5">
        <f>PPh25Inst</f>
        <v>20000000</v>
      </c>
      <c r="I349" s="1" t="s">
        <v>6528</v>
      </c>
      <c r="J349" s="1">
        <f>MONTH(tblGJ[[#This Row],[Date]])</f>
        <v>5</v>
      </c>
      <c r="K349" s="1" t="str">
        <f>_xlfn.XLOOKUP(tblGJ[[#This Row],[Account Code]],tblCOA[Code],tblCOA[FS Line],"")</f>
        <v>Cash and cash equivalents</v>
      </c>
      <c r="L349" s="121">
        <f>IF(OR(tblGJ[[#This Row],[Account Code]]=1120,tblGJ[[#This Row],[Account Code]]=1130),_xlfn.MINIFS(tblBank[Value Date],tblBank[Reference],tblGJ[[#This Row],[Voucher No]],tblBank[Account Code],tblGJ[[#This Row],[Account Code]]),"")</f>
        <v>46157</v>
      </c>
      <c r="M349" s="1" t="str">
        <f>IF(tblGJ[[#This Row],[Date]]&lt;=PEnd,"Yes","No")</f>
        <v>Yes</v>
      </c>
    </row>
    <row r="350" spans="2:13" x14ac:dyDescent="0.35">
      <c r="B350" s="109">
        <v>46162</v>
      </c>
      <c r="C350" s="1" t="s">
        <v>5761</v>
      </c>
      <c r="D350" s="1">
        <v>1120</v>
      </c>
      <c r="E350" s="1" t="str">
        <f>_xlfn.XLOOKUP(tblGJ[[#This Row],[Account Code]],tblCOA[Code],tblCOA[Account Name],"⚠ Invalid account")</f>
        <v>Bank BCA - Current Account</v>
      </c>
      <c r="F350" s="1" t="s">
        <v>6157</v>
      </c>
      <c r="G350" s="5">
        <f>IF(MONTH(tblGJ[[#This Row],[Date]])=1,_xlfn.XLOOKUP(1210,tblCOA[Code],tblCOA[Opening Balance]),SUMIFS(tblSales[Total incl. VAT],tblSales[Month],MONTH(tblGJ[[#This Row],[Date]])-1,tblSales[Payment Method],Products!$O$15))</f>
        <v>865400400</v>
      </c>
      <c r="H350" s="5"/>
      <c r="I350" s="1" t="s">
        <v>6530</v>
      </c>
      <c r="J350" s="1">
        <f>MONTH(tblGJ[[#This Row],[Date]])</f>
        <v>5</v>
      </c>
      <c r="K350" s="1" t="str">
        <f>_xlfn.XLOOKUP(tblGJ[[#This Row],[Account Code]],tblCOA[Code],tblCOA[FS Line],"")</f>
        <v>Cash and cash equivalents</v>
      </c>
      <c r="L350" s="121">
        <f>IF(OR(tblGJ[[#This Row],[Account Code]]=1120,tblGJ[[#This Row],[Account Code]]=1130),_xlfn.MINIFS(tblBank[Value Date],tblBank[Reference],tblGJ[[#This Row],[Voucher No]],tblBank[Account Code],tblGJ[[#This Row],[Account Code]]),"")</f>
        <v>46162</v>
      </c>
      <c r="M350" s="1" t="str">
        <f>IF(tblGJ[[#This Row],[Date]]&lt;=PEnd,"Yes","No")</f>
        <v>Yes</v>
      </c>
    </row>
    <row r="351" spans="2:13" x14ac:dyDescent="0.35">
      <c r="B351" s="109">
        <v>46162</v>
      </c>
      <c r="C351" s="1" t="s">
        <v>5761</v>
      </c>
      <c r="D351" s="1">
        <v>1210</v>
      </c>
      <c r="E351" s="1" t="str">
        <f>_xlfn.XLOOKUP(tblGJ[[#This Row],[Account Code]],tblCOA[Code],tblCOA[Account Name],"⚠ Invalid account")</f>
        <v>Trade Receivables</v>
      </c>
      <c r="F351" s="1" t="s">
        <v>6158</v>
      </c>
      <c r="G351" s="5"/>
      <c r="H351" s="5">
        <f>IF(MONTH(tblGJ[[#This Row],[Date]])=1,_xlfn.XLOOKUP(1210,tblCOA[Code],tblCOA[Opening Balance]),SUMIFS(tblSales[Total incl. VAT],tblSales[Month],MONTH(tblGJ[[#This Row],[Date]])-1,tblSales[Payment Method],Products!$O$15))</f>
        <v>865400400</v>
      </c>
      <c r="I351" s="1" t="s">
        <v>6530</v>
      </c>
      <c r="J351" s="1">
        <f>MONTH(tblGJ[[#This Row],[Date]])</f>
        <v>5</v>
      </c>
      <c r="K351" s="1" t="str">
        <f>_xlfn.XLOOKUP(tblGJ[[#This Row],[Account Code]],tblCOA[Code],tblCOA[FS Line],"")</f>
        <v>Trade receivables - net</v>
      </c>
      <c r="L351" s="121" t="str">
        <f>IF(OR(tblGJ[[#This Row],[Account Code]]=1120,tblGJ[[#This Row],[Account Code]]=1130),_xlfn.MINIFS(tblBank[Value Date],tblBank[Reference],tblGJ[[#This Row],[Voucher No]],tblBank[Account Code],tblGJ[[#This Row],[Account Code]]),"")</f>
        <v/>
      </c>
      <c r="M351" s="1" t="str">
        <f>IF(tblGJ[[#This Row],[Date]]&lt;=PEnd,"Yes","No")</f>
        <v>Yes</v>
      </c>
    </row>
    <row r="352" spans="2:13" x14ac:dyDescent="0.35">
      <c r="B352" s="109">
        <v>46166</v>
      </c>
      <c r="C352" s="1" t="s">
        <v>5762</v>
      </c>
      <c r="D352" s="1">
        <v>1130</v>
      </c>
      <c r="E352" s="1" t="str">
        <f>_xlfn.XLOOKUP(tblGJ[[#This Row],[Account Code]],tblCOA[Code],tblCOA[Account Name],"⚠ Invalid account")</f>
        <v>Bank Mandiri - Current Account</v>
      </c>
      <c r="F352" s="1" t="s">
        <v>6159</v>
      </c>
      <c r="G352" s="5">
        <f>SUMIFS(tblPayroll[Net Pay],tblPayroll[Period],MONTH(tblGJ[[#This Row],[Date]]))</f>
        <v>161397799</v>
      </c>
      <c r="H352" s="5"/>
      <c r="I352" s="1" t="s">
        <v>6531</v>
      </c>
      <c r="J352" s="1">
        <f>MONTH(tblGJ[[#This Row],[Date]])</f>
        <v>5</v>
      </c>
      <c r="K352" s="1" t="str">
        <f>_xlfn.XLOOKUP(tblGJ[[#This Row],[Account Code]],tblCOA[Code],tblCOA[FS Line],"")</f>
        <v>Cash and cash equivalents</v>
      </c>
      <c r="L352" s="121">
        <f>IF(OR(tblGJ[[#This Row],[Account Code]]=1120,tblGJ[[#This Row],[Account Code]]=1130),_xlfn.MINIFS(tblBank[Value Date],tblBank[Reference],tblGJ[[#This Row],[Voucher No]],tblBank[Account Code],tblGJ[[#This Row],[Account Code]]),"")</f>
        <v>46166</v>
      </c>
      <c r="M352" s="1" t="str">
        <f>IF(tblGJ[[#This Row],[Date]]&lt;=PEnd,"Yes","No")</f>
        <v>Yes</v>
      </c>
    </row>
    <row r="353" spans="2:13" x14ac:dyDescent="0.35">
      <c r="B353" s="109">
        <v>46166</v>
      </c>
      <c r="C353" s="1" t="s">
        <v>5762</v>
      </c>
      <c r="D353" s="1">
        <v>1120</v>
      </c>
      <c r="E353" s="1" t="str">
        <f>_xlfn.XLOOKUP(tblGJ[[#This Row],[Account Code]],tblCOA[Code],tblCOA[Account Name],"⚠ Invalid account")</f>
        <v>Bank BCA - Current Account</v>
      </c>
      <c r="F353" s="1" t="s">
        <v>6160</v>
      </c>
      <c r="G353" s="5"/>
      <c r="H353" s="5">
        <f>SUMIFS(tblPayroll[Net Pay],tblPayroll[Period],MONTH(tblGJ[[#This Row],[Date]]))</f>
        <v>161397799</v>
      </c>
      <c r="I353" s="1" t="s">
        <v>6531</v>
      </c>
      <c r="J353" s="1">
        <f>MONTH(tblGJ[[#This Row],[Date]])</f>
        <v>5</v>
      </c>
      <c r="K353" s="1" t="str">
        <f>_xlfn.XLOOKUP(tblGJ[[#This Row],[Account Code]],tblCOA[Code],tblCOA[FS Line],"")</f>
        <v>Cash and cash equivalents</v>
      </c>
      <c r="L353" s="121">
        <f>IF(OR(tblGJ[[#This Row],[Account Code]]=1120,tblGJ[[#This Row],[Account Code]]=1130),_xlfn.MINIFS(tblBank[Value Date],tblBank[Reference],tblGJ[[#This Row],[Voucher No]],tblBank[Account Code],tblGJ[[#This Row],[Account Code]]),"")</f>
        <v>46166</v>
      </c>
      <c r="M353" s="1" t="str">
        <f>IF(tblGJ[[#This Row],[Date]]&lt;=PEnd,"Yes","No")</f>
        <v>Yes</v>
      </c>
    </row>
    <row r="354" spans="2:13" x14ac:dyDescent="0.35">
      <c r="B354" s="109">
        <v>46167</v>
      </c>
      <c r="C354" s="1" t="s">
        <v>5763</v>
      </c>
      <c r="D354" s="1">
        <v>6110</v>
      </c>
      <c r="E354" s="1" t="str">
        <f>_xlfn.XLOOKUP(tblGJ[[#This Row],[Account Code]],tblCOA[Code],tblCOA[Account Name],"⚠ Invalid account")</f>
        <v>Salaries &amp; Allowances - Selling</v>
      </c>
      <c r="F354" s="1" t="s">
        <v>6161</v>
      </c>
      <c r="G354" s="5">
        <f>SUMIFS(tblPayroll[Gross Salary],tblPayroll[Period],MONTH(tblGJ[[#This Row],[Date]]),tblPayroll[Department],"Selling")</f>
        <v>80200000</v>
      </c>
      <c r="H354" s="5"/>
      <c r="I354" s="1" t="s">
        <v>6531</v>
      </c>
      <c r="J354" s="1">
        <f>MONTH(tblGJ[[#This Row],[Date]])</f>
        <v>5</v>
      </c>
      <c r="K354" s="1" t="str">
        <f>_xlfn.XLOOKUP(tblGJ[[#This Row],[Account Code]],tblCOA[Code],tblCOA[FS Line],"")</f>
        <v>Selling expenses</v>
      </c>
      <c r="L354" s="121" t="str">
        <f>IF(OR(tblGJ[[#This Row],[Account Code]]=1120,tblGJ[[#This Row],[Account Code]]=1130),_xlfn.MINIFS(tblBank[Value Date],tblBank[Reference],tblGJ[[#This Row],[Voucher No]],tblBank[Account Code],tblGJ[[#This Row],[Account Code]]),"")</f>
        <v/>
      </c>
      <c r="M354" s="1" t="str">
        <f>IF(tblGJ[[#This Row],[Date]]&lt;=PEnd,"Yes","No")</f>
        <v>Yes</v>
      </c>
    </row>
    <row r="355" spans="2:13" x14ac:dyDescent="0.35">
      <c r="B355" s="109">
        <v>46167</v>
      </c>
      <c r="C355" s="1" t="s">
        <v>5763</v>
      </c>
      <c r="D355" s="1">
        <v>6111</v>
      </c>
      <c r="E355" s="1" t="str">
        <f>_xlfn.XLOOKUP(tblGJ[[#This Row],[Account Code]],tblCOA[Code],tblCOA[Account Name],"⚠ Invalid account")</f>
        <v>BPJS Employer Contributions - Selling</v>
      </c>
      <c r="F355" s="1" t="s">
        <v>6162</v>
      </c>
      <c r="G355" s="5">
        <f>SUMIFS(tblPayroll[Employer BPJS Total],tblPayroll[Period],MONTH(tblGJ[[#This Row],[Date]]),tblPayroll[Department],"Selling")</f>
        <v>7824376</v>
      </c>
      <c r="H355" s="5"/>
      <c r="I355" s="1" t="s">
        <v>6531</v>
      </c>
      <c r="J355" s="1">
        <f>MONTH(tblGJ[[#This Row],[Date]])</f>
        <v>5</v>
      </c>
      <c r="K355" s="1" t="str">
        <f>_xlfn.XLOOKUP(tblGJ[[#This Row],[Account Code]],tblCOA[Code],tblCOA[FS Line],"")</f>
        <v>Selling expenses</v>
      </c>
      <c r="L355" s="121" t="str">
        <f>IF(OR(tblGJ[[#This Row],[Account Code]]=1120,tblGJ[[#This Row],[Account Code]]=1130),_xlfn.MINIFS(tblBank[Value Date],tblBank[Reference],tblGJ[[#This Row],[Voucher No]],tblBank[Account Code],tblGJ[[#This Row],[Account Code]]),"")</f>
        <v/>
      </c>
      <c r="M355" s="1" t="str">
        <f>IF(tblGJ[[#This Row],[Date]]&lt;=PEnd,"Yes","No")</f>
        <v>Yes</v>
      </c>
    </row>
    <row r="356" spans="2:13" x14ac:dyDescent="0.35">
      <c r="B356" s="109">
        <v>46167</v>
      </c>
      <c r="C356" s="1" t="s">
        <v>5763</v>
      </c>
      <c r="D356" s="1">
        <v>6210</v>
      </c>
      <c r="E356" s="1" t="str">
        <f>_xlfn.XLOOKUP(tblGJ[[#This Row],[Account Code]],tblCOA[Code],tblCOA[Account Name],"⚠ Invalid account")</f>
        <v>Salaries &amp; Allowances - G&amp;A</v>
      </c>
      <c r="F356" s="1" t="s">
        <v>6163</v>
      </c>
      <c r="G356" s="5">
        <f>SUMIFS(tblPayroll[Gross Salary],tblPayroll[Period],MONTH(tblGJ[[#This Row],[Date]]),tblPayroll[Department],"G&amp;A")</f>
        <v>98000000</v>
      </c>
      <c r="H356" s="5"/>
      <c r="I356" s="1" t="s">
        <v>6531</v>
      </c>
      <c r="J356" s="1">
        <f>MONTH(tblGJ[[#This Row],[Date]])</f>
        <v>5</v>
      </c>
      <c r="K356" s="1" t="str">
        <f>_xlfn.XLOOKUP(tblGJ[[#This Row],[Account Code]],tblCOA[Code],tblCOA[FS Line],"")</f>
        <v>General &amp; administrative expenses</v>
      </c>
      <c r="L356" s="121" t="str">
        <f>IF(OR(tblGJ[[#This Row],[Account Code]]=1120,tblGJ[[#This Row],[Account Code]]=1130),_xlfn.MINIFS(tblBank[Value Date],tblBank[Reference],tblGJ[[#This Row],[Voucher No]],tblBank[Account Code],tblGJ[[#This Row],[Account Code]]),"")</f>
        <v/>
      </c>
      <c r="M356" s="1" t="str">
        <f>IF(tblGJ[[#This Row],[Date]]&lt;=PEnd,"Yes","No")</f>
        <v>Yes</v>
      </c>
    </row>
    <row r="357" spans="2:13" x14ac:dyDescent="0.35">
      <c r="B357" s="109">
        <v>46167</v>
      </c>
      <c r="C357" s="1" t="s">
        <v>5763</v>
      </c>
      <c r="D357" s="1">
        <v>6211</v>
      </c>
      <c r="E357" s="1" t="str">
        <f>_xlfn.XLOOKUP(tblGJ[[#This Row],[Account Code]],tblCOA[Code],tblCOA[Account Name],"⚠ Invalid account")</f>
        <v>BPJS Employer Contributions - G&amp;A</v>
      </c>
      <c r="F357" s="1" t="s">
        <v>6164</v>
      </c>
      <c r="G357" s="5">
        <f>SUMIFS(tblPayroll[Employer BPJS Total],tblPayroll[Period],MONTH(tblGJ[[#This Row],[Date]]),tblPayroll[Department],"G&amp;A")</f>
        <v>7968044</v>
      </c>
      <c r="H357" s="5"/>
      <c r="I357" s="1" t="s">
        <v>6531</v>
      </c>
      <c r="J357" s="1">
        <f>MONTH(tblGJ[[#This Row],[Date]])</f>
        <v>5</v>
      </c>
      <c r="K357" s="1" t="str">
        <f>_xlfn.XLOOKUP(tblGJ[[#This Row],[Account Code]],tblCOA[Code],tblCOA[FS Line],"")</f>
        <v>General &amp; administrative expenses</v>
      </c>
      <c r="L357" s="121" t="str">
        <f>IF(OR(tblGJ[[#This Row],[Account Code]]=1120,tblGJ[[#This Row],[Account Code]]=1130),_xlfn.MINIFS(tblBank[Value Date],tblBank[Reference],tblGJ[[#This Row],[Voucher No]],tblBank[Account Code],tblGJ[[#This Row],[Account Code]]),"")</f>
        <v/>
      </c>
      <c r="M357" s="1" t="str">
        <f>IF(tblGJ[[#This Row],[Date]]&lt;=PEnd,"Yes","No")</f>
        <v>Yes</v>
      </c>
    </row>
    <row r="358" spans="2:13" x14ac:dyDescent="0.35">
      <c r="B358" s="109">
        <v>46167</v>
      </c>
      <c r="C358" s="1" t="s">
        <v>5763</v>
      </c>
      <c r="D358" s="1">
        <v>2230</v>
      </c>
      <c r="E358" s="1" t="str">
        <f>_xlfn.XLOOKUP(tblGJ[[#This Row],[Account Code]],tblCOA[Code],tblCOA[Account Name],"⚠ Invalid account")</f>
        <v>WHT Payable - Art. 21</v>
      </c>
      <c r="F358" s="1" t="s">
        <v>6165</v>
      </c>
      <c r="G358" s="5"/>
      <c r="H358" s="5">
        <f>SUMIFS(tblPayroll[PPh 21],tblPayroll[Period],MONTH(tblGJ[[#This Row],[Date]]))</f>
        <v>10516831</v>
      </c>
      <c r="I358" s="1" t="s">
        <v>6531</v>
      </c>
      <c r="J358" s="1">
        <f>MONTH(tblGJ[[#This Row],[Date]])</f>
        <v>5</v>
      </c>
      <c r="K358" s="1" t="str">
        <f>_xlfn.XLOOKUP(tblGJ[[#This Row],[Account Code]],tblCOA[Code],tblCOA[FS Line],"")</f>
        <v>Taxes payable</v>
      </c>
      <c r="L358" s="121" t="str">
        <f>IF(OR(tblGJ[[#This Row],[Account Code]]=1120,tblGJ[[#This Row],[Account Code]]=1130),_xlfn.MINIFS(tblBank[Value Date],tblBank[Reference],tblGJ[[#This Row],[Voucher No]],tblBank[Account Code],tblGJ[[#This Row],[Account Code]]),"")</f>
        <v/>
      </c>
      <c r="M358" s="1" t="str">
        <f>IF(tblGJ[[#This Row],[Date]]&lt;=PEnd,"Yes","No")</f>
        <v>Yes</v>
      </c>
    </row>
    <row r="359" spans="2:13" x14ac:dyDescent="0.35">
      <c r="B359" s="109">
        <v>46167</v>
      </c>
      <c r="C359" s="1" t="s">
        <v>5763</v>
      </c>
      <c r="D359" s="1">
        <v>2150</v>
      </c>
      <c r="E359" s="1" t="str">
        <f>_xlfn.XLOOKUP(tblGJ[[#This Row],[Account Code]],tblCOA[Code],tblCOA[Account Name],"⚠ Invalid account")</f>
        <v>BPJS Payable</v>
      </c>
      <c r="F359" s="1" t="s">
        <v>6166</v>
      </c>
      <c r="G359" s="5"/>
      <c r="H359" s="5">
        <f>SUMIFS(tblPayroll[BPJS Payable],tblPayroll[Period],MONTH(tblGJ[[#This Row],[Date]]))</f>
        <v>22077790</v>
      </c>
      <c r="I359" s="1" t="s">
        <v>6531</v>
      </c>
      <c r="J359" s="1">
        <f>MONTH(tblGJ[[#This Row],[Date]])</f>
        <v>5</v>
      </c>
      <c r="K359" s="1" t="str">
        <f>_xlfn.XLOOKUP(tblGJ[[#This Row],[Account Code]],tblCOA[Code],tblCOA[FS Line],"")</f>
        <v>Accrued expenses</v>
      </c>
      <c r="L359" s="121" t="str">
        <f>IF(OR(tblGJ[[#This Row],[Account Code]]=1120,tblGJ[[#This Row],[Account Code]]=1130),_xlfn.MINIFS(tblBank[Value Date],tblBank[Reference],tblGJ[[#This Row],[Voucher No]],tblBank[Account Code],tblGJ[[#This Row],[Account Code]]),"")</f>
        <v/>
      </c>
      <c r="M359" s="1" t="str">
        <f>IF(tblGJ[[#This Row],[Date]]&lt;=PEnd,"Yes","No")</f>
        <v>Yes</v>
      </c>
    </row>
    <row r="360" spans="2:13" x14ac:dyDescent="0.35">
      <c r="B360" s="109">
        <v>46167</v>
      </c>
      <c r="C360" s="1" t="s">
        <v>5763</v>
      </c>
      <c r="D360" s="1">
        <v>1130</v>
      </c>
      <c r="E360" s="1" t="str">
        <f>_xlfn.XLOOKUP(tblGJ[[#This Row],[Account Code]],tblCOA[Code],tblCOA[Account Name],"⚠ Invalid account")</f>
        <v>Bank Mandiri - Current Account</v>
      </c>
      <c r="F360" s="1" t="s">
        <v>6167</v>
      </c>
      <c r="G360" s="5"/>
      <c r="H360" s="5">
        <f>SUMIFS(tblPayroll[Net Pay],tblPayroll[Period],MONTH(tblGJ[[#This Row],[Date]]))</f>
        <v>161397799</v>
      </c>
      <c r="I360" s="1" t="s">
        <v>6531</v>
      </c>
      <c r="J360" s="1">
        <f>MONTH(tblGJ[[#This Row],[Date]])</f>
        <v>5</v>
      </c>
      <c r="K360" s="1" t="str">
        <f>_xlfn.XLOOKUP(tblGJ[[#This Row],[Account Code]],tblCOA[Code],tblCOA[FS Line],"")</f>
        <v>Cash and cash equivalents</v>
      </c>
      <c r="L360" s="121">
        <f>IF(OR(tblGJ[[#This Row],[Account Code]]=1120,tblGJ[[#This Row],[Account Code]]=1130),_xlfn.MINIFS(tblBank[Value Date],tblBank[Reference],tblGJ[[#This Row],[Voucher No]],tblBank[Account Code],tblGJ[[#This Row],[Account Code]]),"")</f>
        <v>46167</v>
      </c>
      <c r="M360" s="1" t="str">
        <f>IF(tblGJ[[#This Row],[Date]]&lt;=PEnd,"Yes","No")</f>
        <v>Yes</v>
      </c>
    </row>
    <row r="361" spans="2:13" x14ac:dyDescent="0.35">
      <c r="B361" s="109">
        <v>46170</v>
      </c>
      <c r="C361" s="1" t="s">
        <v>5764</v>
      </c>
      <c r="D361" s="1">
        <v>2220</v>
      </c>
      <c r="E361" s="1" t="str">
        <f>_xlfn.XLOOKUP(tblGJ[[#This Row],[Account Code]],tblCOA[Code],tblCOA[Account Name],"⚠ Invalid account")</f>
        <v>VAT Payable - Net</v>
      </c>
      <c r="F361" s="1" t="s">
        <v>5974</v>
      </c>
      <c r="G361" s="5">
        <f>IF(MONTH(tblGJ[[#This Row],[Date]])=1,_xlfn.XLOOKUP(2220,tblCOA[Code],tblCOA[Opening Balance]),SUMIFS(tblSales[Output VAT],tblSales[Month],MONTH(tblGJ[[#This Row],[Date]])-1)-SUMIFS(tblPurchases[Input VAT],tblPurchases[Month],MONTH(tblGJ[[#This Row],[Date]])-1))</f>
        <v>45837770</v>
      </c>
      <c r="H361" s="5"/>
      <c r="I361" s="1" t="s">
        <v>6528</v>
      </c>
      <c r="J361" s="1">
        <f>MONTH(tblGJ[[#This Row],[Date]])</f>
        <v>5</v>
      </c>
      <c r="K361" s="1" t="str">
        <f>_xlfn.XLOOKUP(tblGJ[[#This Row],[Account Code]],tblCOA[Code],tblCOA[FS Line],"")</f>
        <v>Taxes payable</v>
      </c>
      <c r="L361" s="121" t="str">
        <f>IF(OR(tblGJ[[#This Row],[Account Code]]=1120,tblGJ[[#This Row],[Account Code]]=1130),_xlfn.MINIFS(tblBank[Value Date],tblBank[Reference],tblGJ[[#This Row],[Voucher No]],tblBank[Account Code],tblGJ[[#This Row],[Account Code]]),"")</f>
        <v/>
      </c>
      <c r="M361" s="1" t="str">
        <f>IF(tblGJ[[#This Row],[Date]]&lt;=PEnd,"Yes","No")</f>
        <v>Yes</v>
      </c>
    </row>
    <row r="362" spans="2:13" x14ac:dyDescent="0.35">
      <c r="B362" s="109">
        <v>46170</v>
      </c>
      <c r="C362" s="1" t="s">
        <v>5764</v>
      </c>
      <c r="D362" s="1">
        <v>1120</v>
      </c>
      <c r="E362" s="1" t="str">
        <f>_xlfn.XLOOKUP(tblGJ[[#This Row],[Account Code]],tblCOA[Code],tblCOA[Account Name],"⚠ Invalid account")</f>
        <v>Bank BCA - Current Account</v>
      </c>
      <c r="F362" s="1" t="s">
        <v>5974</v>
      </c>
      <c r="G362" s="5"/>
      <c r="H362" s="5">
        <f>IF(MONTH(tblGJ[[#This Row],[Date]])=1,_xlfn.XLOOKUP(2220,tblCOA[Code],tblCOA[Opening Balance]),SUMIFS(tblSales[Output VAT],tblSales[Month],MONTH(tblGJ[[#This Row],[Date]])-1)-SUMIFS(tblPurchases[Input VAT],tblPurchases[Month],MONTH(tblGJ[[#This Row],[Date]])-1))</f>
        <v>45837770</v>
      </c>
      <c r="I362" s="1" t="s">
        <v>6528</v>
      </c>
      <c r="J362" s="1">
        <f>MONTH(tblGJ[[#This Row],[Date]])</f>
        <v>5</v>
      </c>
      <c r="K362" s="1" t="str">
        <f>_xlfn.XLOOKUP(tblGJ[[#This Row],[Account Code]],tblCOA[Code],tblCOA[FS Line],"")</f>
        <v>Cash and cash equivalents</v>
      </c>
      <c r="L362" s="121">
        <f>IF(OR(tblGJ[[#This Row],[Account Code]]=1120,tblGJ[[#This Row],[Account Code]]=1130),_xlfn.MINIFS(tblBank[Value Date],tblBank[Reference],tblGJ[[#This Row],[Voucher No]],tblBank[Account Code],tblGJ[[#This Row],[Account Code]]),"")</f>
        <v>46170</v>
      </c>
      <c r="M362" s="1" t="str">
        <f>IF(tblGJ[[#This Row],[Date]]&lt;=PEnd,"Yes","No")</f>
        <v>Yes</v>
      </c>
    </row>
    <row r="363" spans="2:13" x14ac:dyDescent="0.35">
      <c r="B363" s="109">
        <v>46170</v>
      </c>
      <c r="C363" s="1" t="s">
        <v>5765</v>
      </c>
      <c r="D363" s="1">
        <v>2410</v>
      </c>
      <c r="E363" s="1" t="str">
        <f>_xlfn.XLOOKUP(tblGJ[[#This Row],[Account Code]],tblCOA[Code],tblCOA[Account Name],"⚠ Invalid account")</f>
        <v>Long-term Bank Loan</v>
      </c>
      <c r="F363" s="1" t="s">
        <v>6168</v>
      </c>
      <c r="G363" s="5">
        <v>25000000</v>
      </c>
      <c r="H363" s="5"/>
      <c r="I363" s="1" t="s">
        <v>4263</v>
      </c>
      <c r="J363" s="1">
        <f>MONTH(tblGJ[[#This Row],[Date]])</f>
        <v>5</v>
      </c>
      <c r="K363" s="1" t="str">
        <f>_xlfn.XLOOKUP(tblGJ[[#This Row],[Account Code]],tblCOA[Code],tblCOA[FS Line],"")</f>
        <v>Long-term bank loans</v>
      </c>
      <c r="L363" s="121" t="str">
        <f>IF(OR(tblGJ[[#This Row],[Account Code]]=1120,tblGJ[[#This Row],[Account Code]]=1130),_xlfn.MINIFS(tblBank[Value Date],tblBank[Reference],tblGJ[[#This Row],[Voucher No]],tblBank[Account Code],tblGJ[[#This Row],[Account Code]]),"")</f>
        <v/>
      </c>
      <c r="M363" s="1" t="str">
        <f>IF(tblGJ[[#This Row],[Date]]&lt;=PEnd,"Yes","No")</f>
        <v>Yes</v>
      </c>
    </row>
    <row r="364" spans="2:13" x14ac:dyDescent="0.35">
      <c r="B364" s="109">
        <v>46170</v>
      </c>
      <c r="C364" s="1" t="s">
        <v>5765</v>
      </c>
      <c r="D364" s="1">
        <v>7210</v>
      </c>
      <c r="E364" s="1" t="str">
        <f>_xlfn.XLOOKUP(tblGJ[[#This Row],[Account Code]],tblCOA[Code],tblCOA[Account Name],"⚠ Invalid account")</f>
        <v>Interest Expense - Bank Loans</v>
      </c>
      <c r="F364" s="1" t="s">
        <v>6169</v>
      </c>
      <c r="G364" s="5">
        <v>10500000</v>
      </c>
      <c r="H364" s="5"/>
      <c r="I364" s="1" t="s">
        <v>4263</v>
      </c>
      <c r="J364" s="1">
        <f>MONTH(tblGJ[[#This Row],[Date]])</f>
        <v>5</v>
      </c>
      <c r="K364" s="1" t="str">
        <f>_xlfn.XLOOKUP(tblGJ[[#This Row],[Account Code]],tblCOA[Code],tblCOA[FS Line],"")</f>
        <v>Finance costs</v>
      </c>
      <c r="L364" s="121" t="str">
        <f>IF(OR(tblGJ[[#This Row],[Account Code]]=1120,tblGJ[[#This Row],[Account Code]]=1130),_xlfn.MINIFS(tblBank[Value Date],tblBank[Reference],tblGJ[[#This Row],[Voucher No]],tblBank[Account Code],tblGJ[[#This Row],[Account Code]]),"")</f>
        <v/>
      </c>
      <c r="M364" s="1" t="str">
        <f>IF(tblGJ[[#This Row],[Date]]&lt;=PEnd,"Yes","No")</f>
        <v>Yes</v>
      </c>
    </row>
    <row r="365" spans="2:13" x14ac:dyDescent="0.35">
      <c r="B365" s="109">
        <v>46170</v>
      </c>
      <c r="C365" s="1" t="s">
        <v>5765</v>
      </c>
      <c r="D365" s="1">
        <v>1120</v>
      </c>
      <c r="E365" s="1" t="str">
        <f>_xlfn.XLOOKUP(tblGJ[[#This Row],[Account Code]],tblCOA[Code],tblCOA[Account Name],"⚠ Invalid account")</f>
        <v>Bank BCA - Current Account</v>
      </c>
      <c r="F365" s="1" t="s">
        <v>6170</v>
      </c>
      <c r="G365" s="5"/>
      <c r="H365" s="5">
        <v>35500000</v>
      </c>
      <c r="I365" s="1" t="s">
        <v>4263</v>
      </c>
      <c r="J365" s="1">
        <f>MONTH(tblGJ[[#This Row],[Date]])</f>
        <v>5</v>
      </c>
      <c r="K365" s="1" t="str">
        <f>_xlfn.XLOOKUP(tblGJ[[#This Row],[Account Code]],tblCOA[Code],tblCOA[FS Line],"")</f>
        <v>Cash and cash equivalents</v>
      </c>
      <c r="L365" s="121">
        <f>IF(OR(tblGJ[[#This Row],[Account Code]]=1120,tblGJ[[#This Row],[Account Code]]=1130),_xlfn.MINIFS(tblBank[Value Date],tblBank[Reference],tblGJ[[#This Row],[Voucher No]],tblBank[Account Code],tblGJ[[#This Row],[Account Code]]),"")</f>
        <v>46170</v>
      </c>
      <c r="M365" s="1" t="str">
        <f>IF(tblGJ[[#This Row],[Date]]&lt;=PEnd,"Yes","No")</f>
        <v>Yes</v>
      </c>
    </row>
    <row r="366" spans="2:13" x14ac:dyDescent="0.35">
      <c r="B366" s="109">
        <v>46170</v>
      </c>
      <c r="C366" s="1" t="s">
        <v>5766</v>
      </c>
      <c r="D366" s="1">
        <v>7210</v>
      </c>
      <c r="E366" s="1" t="str">
        <f>_xlfn.XLOOKUP(tblGJ[[#This Row],[Account Code]],tblCOA[Code],tblCOA[Account Name],"⚠ Invalid account")</f>
        <v>Interest Expense - Bank Loans</v>
      </c>
      <c r="F366" s="1" t="s">
        <v>6171</v>
      </c>
      <c r="G366" s="5">
        <v>2500000</v>
      </c>
      <c r="H366" s="5"/>
      <c r="I366" s="1" t="s">
        <v>4263</v>
      </c>
      <c r="J366" s="1">
        <f>MONTH(tblGJ[[#This Row],[Date]])</f>
        <v>5</v>
      </c>
      <c r="K366" s="1" t="str">
        <f>_xlfn.XLOOKUP(tblGJ[[#This Row],[Account Code]],tblCOA[Code],tblCOA[FS Line],"")</f>
        <v>Finance costs</v>
      </c>
      <c r="L366" s="121" t="str">
        <f>IF(OR(tblGJ[[#This Row],[Account Code]]=1120,tblGJ[[#This Row],[Account Code]]=1130),_xlfn.MINIFS(tblBank[Value Date],tblBank[Reference],tblGJ[[#This Row],[Voucher No]],tblBank[Account Code],tblGJ[[#This Row],[Account Code]]),"")</f>
        <v/>
      </c>
      <c r="M366" s="1" t="str">
        <f>IF(tblGJ[[#This Row],[Date]]&lt;=PEnd,"Yes","No")</f>
        <v>Yes</v>
      </c>
    </row>
    <row r="367" spans="2:13" x14ac:dyDescent="0.35">
      <c r="B367" s="109">
        <v>46170</v>
      </c>
      <c r="C367" s="1" t="s">
        <v>5766</v>
      </c>
      <c r="D367" s="1">
        <v>1120</v>
      </c>
      <c r="E367" s="1" t="str">
        <f>_xlfn.XLOOKUP(tblGJ[[#This Row],[Account Code]],tblCOA[Code],tblCOA[Account Name],"⚠ Invalid account")</f>
        <v>Bank BCA - Current Account</v>
      </c>
      <c r="F367" s="1" t="s">
        <v>6172</v>
      </c>
      <c r="G367" s="5"/>
      <c r="H367" s="5">
        <v>2500000</v>
      </c>
      <c r="I367" s="1" t="s">
        <v>4263</v>
      </c>
      <c r="J367" s="1">
        <f>MONTH(tblGJ[[#This Row],[Date]])</f>
        <v>5</v>
      </c>
      <c r="K367" s="1" t="str">
        <f>_xlfn.XLOOKUP(tblGJ[[#This Row],[Account Code]],tblCOA[Code],tblCOA[FS Line],"")</f>
        <v>Cash and cash equivalents</v>
      </c>
      <c r="L367" s="121">
        <f>IF(OR(tblGJ[[#This Row],[Account Code]]=1120,tblGJ[[#This Row],[Account Code]]=1130),_xlfn.MINIFS(tblBank[Value Date],tblBank[Reference],tblGJ[[#This Row],[Voucher No]],tblBank[Account Code],tblGJ[[#This Row],[Account Code]]),"")</f>
        <v>46170</v>
      </c>
      <c r="M367" s="1" t="str">
        <f>IF(tblGJ[[#This Row],[Date]]&lt;=PEnd,"Yes","No")</f>
        <v>Yes</v>
      </c>
    </row>
    <row r="368" spans="2:13" x14ac:dyDescent="0.35">
      <c r="B368" s="109">
        <v>46170</v>
      </c>
      <c r="C368" s="1" t="s">
        <v>5767</v>
      </c>
      <c r="D368" s="1">
        <v>3310</v>
      </c>
      <c r="E368" s="1" t="str">
        <f>_xlfn.XLOOKUP(tblGJ[[#This Row],[Account Code]],tblCOA[Code],tblCOA[Account Name],"⚠ Invalid account")</f>
        <v>Dividends</v>
      </c>
      <c r="F368" s="1" t="s">
        <v>6173</v>
      </c>
      <c r="G368" s="5">
        <v>300000000</v>
      </c>
      <c r="H368" s="5"/>
      <c r="I368" s="1" t="s">
        <v>4263</v>
      </c>
      <c r="J368" s="1">
        <f>MONTH(tblGJ[[#This Row],[Date]])</f>
        <v>5</v>
      </c>
      <c r="K368" s="1" t="str">
        <f>_xlfn.XLOOKUP(tblGJ[[#This Row],[Account Code]],tblCOA[Code],tblCOA[FS Line],"")</f>
        <v>Retained earnings</v>
      </c>
      <c r="L368" s="121" t="str">
        <f>IF(OR(tblGJ[[#This Row],[Account Code]]=1120,tblGJ[[#This Row],[Account Code]]=1130),_xlfn.MINIFS(tblBank[Value Date],tblBank[Reference],tblGJ[[#This Row],[Voucher No]],tblBank[Account Code],tblGJ[[#This Row],[Account Code]]),"")</f>
        <v/>
      </c>
      <c r="M368" s="1" t="str">
        <f>IF(tblGJ[[#This Row],[Date]]&lt;=PEnd,"Yes","No")</f>
        <v>Yes</v>
      </c>
    </row>
    <row r="369" spans="2:13" x14ac:dyDescent="0.35">
      <c r="B369" s="109">
        <v>46170</v>
      </c>
      <c r="C369" s="1" t="s">
        <v>5767</v>
      </c>
      <c r="D369" s="1">
        <v>1120</v>
      </c>
      <c r="E369" s="1" t="str">
        <f>_xlfn.XLOOKUP(tblGJ[[#This Row],[Account Code]],tblCOA[Code],tblCOA[Account Name],"⚠ Invalid account")</f>
        <v>Bank BCA - Current Account</v>
      </c>
      <c r="F369" s="1" t="s">
        <v>6174</v>
      </c>
      <c r="G369" s="5"/>
      <c r="H369" s="5">
        <v>300000000</v>
      </c>
      <c r="I369" s="1" t="s">
        <v>4263</v>
      </c>
      <c r="J369" s="1">
        <f>MONTH(tblGJ[[#This Row],[Date]])</f>
        <v>5</v>
      </c>
      <c r="K369" s="1" t="str">
        <f>_xlfn.XLOOKUP(tblGJ[[#This Row],[Account Code]],tblCOA[Code],tblCOA[FS Line],"")</f>
        <v>Cash and cash equivalents</v>
      </c>
      <c r="L369" s="121">
        <f>IF(OR(tblGJ[[#This Row],[Account Code]]=1120,tblGJ[[#This Row],[Account Code]]=1130),_xlfn.MINIFS(tblBank[Value Date],tblBank[Reference],tblGJ[[#This Row],[Voucher No]],tblBank[Account Code],tblGJ[[#This Row],[Account Code]]),"")</f>
        <v>46170</v>
      </c>
      <c r="M369" s="1" t="str">
        <f>IF(tblGJ[[#This Row],[Date]]&lt;=PEnd,"Yes","No")</f>
        <v>Yes</v>
      </c>
    </row>
    <row r="370" spans="2:13" x14ac:dyDescent="0.35">
      <c r="B370" s="109">
        <v>46173</v>
      </c>
      <c r="C370" s="1" t="s">
        <v>5768</v>
      </c>
      <c r="D370" s="1">
        <v>1110</v>
      </c>
      <c r="E370" s="1" t="str">
        <f>_xlfn.XLOOKUP(tblGJ[[#This Row],[Account Code]],tblCOA[Code],tblCOA[Account Name],"⚠ Invalid account")</f>
        <v>Cash on Hand</v>
      </c>
      <c r="F370" s="1" t="s">
        <v>6175</v>
      </c>
      <c r="G370" s="5">
        <f>SUMIFS(tblSales[Total incl. VAT],tblSales[Month],MONTH(tblGJ[[#This Row],[Date]]),tblSales[Payment Method],Products!$O$13)</f>
        <v>159684600</v>
      </c>
      <c r="H370" s="5"/>
      <c r="I370" s="1" t="s">
        <v>6532</v>
      </c>
      <c r="J370" s="1">
        <f>MONTH(tblGJ[[#This Row],[Date]])</f>
        <v>5</v>
      </c>
      <c r="K370" s="1" t="str">
        <f>_xlfn.XLOOKUP(tblGJ[[#This Row],[Account Code]],tblCOA[Code],tblCOA[FS Line],"")</f>
        <v>Cash and cash equivalents</v>
      </c>
      <c r="L370" s="121" t="str">
        <f>IF(OR(tblGJ[[#This Row],[Account Code]]=1120,tblGJ[[#This Row],[Account Code]]=1130),_xlfn.MINIFS(tblBank[Value Date],tblBank[Reference],tblGJ[[#This Row],[Voucher No]],tblBank[Account Code],tblGJ[[#This Row],[Account Code]]),"")</f>
        <v/>
      </c>
      <c r="M370" s="1" t="str">
        <f>IF(tblGJ[[#This Row],[Date]]&lt;=PEnd,"Yes","No")</f>
        <v>Yes</v>
      </c>
    </row>
    <row r="371" spans="2:13" x14ac:dyDescent="0.35">
      <c r="B371" s="109">
        <v>46173</v>
      </c>
      <c r="C371" s="1" t="s">
        <v>5768</v>
      </c>
      <c r="D371" s="1">
        <v>1120</v>
      </c>
      <c r="E371" s="1" t="str">
        <f>_xlfn.XLOOKUP(tblGJ[[#This Row],[Account Code]],tblCOA[Code],tblCOA[Account Name],"⚠ Invalid account")</f>
        <v>Bank BCA - Current Account</v>
      </c>
      <c r="F371" s="1" t="s">
        <v>6176</v>
      </c>
      <c r="G371" s="5">
        <f>SUMIFS(tblSales[Total incl. VAT],tblSales[Month],MONTH(tblGJ[[#This Row],[Date]]),tblSales[Payment Method],Products!$O$14)</f>
        <v>199616850</v>
      </c>
      <c r="H371" s="5"/>
      <c r="I371" s="1" t="s">
        <v>6532</v>
      </c>
      <c r="J371" s="1">
        <f>MONTH(tblGJ[[#This Row],[Date]])</f>
        <v>5</v>
      </c>
      <c r="K371" s="1" t="str">
        <f>_xlfn.XLOOKUP(tblGJ[[#This Row],[Account Code]],tblCOA[Code],tblCOA[FS Line],"")</f>
        <v>Cash and cash equivalents</v>
      </c>
      <c r="L371" s="121">
        <f>IF(OR(tblGJ[[#This Row],[Account Code]]=1120,tblGJ[[#This Row],[Account Code]]=1130),_xlfn.MINIFS(tblBank[Value Date],tblBank[Reference],tblGJ[[#This Row],[Voucher No]],tblBank[Account Code],tblGJ[[#This Row],[Account Code]]),"")</f>
        <v>46173</v>
      </c>
      <c r="M371" s="1" t="str">
        <f>IF(tblGJ[[#This Row],[Date]]&lt;=PEnd,"Yes","No")</f>
        <v>Yes</v>
      </c>
    </row>
    <row r="372" spans="2:13" x14ac:dyDescent="0.35">
      <c r="B372" s="109">
        <v>46173</v>
      </c>
      <c r="C372" s="1" t="s">
        <v>5768</v>
      </c>
      <c r="D372" s="1">
        <v>1210</v>
      </c>
      <c r="E372" s="1" t="str">
        <f>_xlfn.XLOOKUP(tblGJ[[#This Row],[Account Code]],tblCOA[Code],tblCOA[Account Name],"⚠ Invalid account")</f>
        <v>Trade Receivables</v>
      </c>
      <c r="F372" s="1" t="s">
        <v>6177</v>
      </c>
      <c r="G372" s="5">
        <f>SUMIFS(tblSales[Total incl. VAT],tblSales[Month],MONTH(tblGJ[[#This Row],[Date]]),tblSales[Payment Method],Products!$O$15)</f>
        <v>845242800</v>
      </c>
      <c r="H372" s="5"/>
      <c r="I372" s="1" t="s">
        <v>6532</v>
      </c>
      <c r="J372" s="1">
        <f>MONTH(tblGJ[[#This Row],[Date]])</f>
        <v>5</v>
      </c>
      <c r="K372" s="1" t="str">
        <f>_xlfn.XLOOKUP(tblGJ[[#This Row],[Account Code]],tblCOA[Code],tblCOA[FS Line],"")</f>
        <v>Trade receivables - net</v>
      </c>
      <c r="L372" s="121" t="str">
        <f>IF(OR(tblGJ[[#This Row],[Account Code]]=1120,tblGJ[[#This Row],[Account Code]]=1130),_xlfn.MINIFS(tblBank[Value Date],tblBank[Reference],tblGJ[[#This Row],[Voucher No]],tblBank[Account Code],tblGJ[[#This Row],[Account Code]]),"")</f>
        <v/>
      </c>
      <c r="M372" s="1" t="str">
        <f>IF(tblGJ[[#This Row],[Date]]&lt;=PEnd,"Yes","No")</f>
        <v>Yes</v>
      </c>
    </row>
    <row r="373" spans="2:13" x14ac:dyDescent="0.35">
      <c r="B373" s="109">
        <v>46173</v>
      </c>
      <c r="C373" s="1" t="s">
        <v>5768</v>
      </c>
      <c r="D373" s="1">
        <v>4100</v>
      </c>
      <c r="E373" s="1" t="str">
        <f>_xlfn.XLOOKUP(tblGJ[[#This Row],[Account Code]],tblCOA[Code],tblCOA[Account Name],"⚠ Invalid account")</f>
        <v>Sales of goods</v>
      </c>
      <c r="F373" s="1" t="s">
        <v>6178</v>
      </c>
      <c r="G373" s="5"/>
      <c r="H373" s="5">
        <f>SUMIFS(tblSales[DPP (excl. VAT)],tblSales[Month],MONTH(tblGJ[[#This Row],[Date]]))</f>
        <v>1085175000</v>
      </c>
      <c r="I373" s="1" t="s">
        <v>6532</v>
      </c>
      <c r="J373" s="1">
        <f>MONTH(tblGJ[[#This Row],[Date]])</f>
        <v>5</v>
      </c>
      <c r="K373" s="1" t="str">
        <f>_xlfn.XLOOKUP(tblGJ[[#This Row],[Account Code]],tblCOA[Code],tblCOA[FS Line],"")</f>
        <v>Revenue</v>
      </c>
      <c r="L373" s="121" t="str">
        <f>IF(OR(tblGJ[[#This Row],[Account Code]]=1120,tblGJ[[#This Row],[Account Code]]=1130),_xlfn.MINIFS(tblBank[Value Date],tblBank[Reference],tblGJ[[#This Row],[Voucher No]],tblBank[Account Code],tblGJ[[#This Row],[Account Code]]),"")</f>
        <v/>
      </c>
      <c r="M373" s="1" t="str">
        <f>IF(tblGJ[[#This Row],[Date]]&lt;=PEnd,"Yes","No")</f>
        <v>Yes</v>
      </c>
    </row>
    <row r="374" spans="2:13" x14ac:dyDescent="0.35">
      <c r="B374" s="109">
        <v>46173</v>
      </c>
      <c r="C374" s="1" t="s">
        <v>5768</v>
      </c>
      <c r="D374" s="1">
        <v>2210</v>
      </c>
      <c r="E374" s="1" t="str">
        <f>_xlfn.XLOOKUP(tblGJ[[#This Row],[Account Code]],tblCOA[Code],tblCOA[Account Name],"⚠ Invalid account")</f>
        <v>Output VAT (PPN Keluaran)</v>
      </c>
      <c r="F374" s="1" t="s">
        <v>6179</v>
      </c>
      <c r="G374" s="5"/>
      <c r="H374" s="5">
        <f>SUMIFS(tblSales[Output VAT],tblSales[Month],MONTH(tblGJ[[#This Row],[Date]]))</f>
        <v>119369250</v>
      </c>
      <c r="I374" s="1" t="s">
        <v>6532</v>
      </c>
      <c r="J374" s="1">
        <f>MONTH(tblGJ[[#This Row],[Date]])</f>
        <v>5</v>
      </c>
      <c r="K374" s="1" t="str">
        <f>_xlfn.XLOOKUP(tblGJ[[#This Row],[Account Code]],tblCOA[Code],tblCOA[FS Line],"")</f>
        <v>Taxes payable</v>
      </c>
      <c r="L374" s="121" t="str">
        <f>IF(OR(tblGJ[[#This Row],[Account Code]]=1120,tblGJ[[#This Row],[Account Code]]=1130),_xlfn.MINIFS(tblBank[Value Date],tblBank[Reference],tblGJ[[#This Row],[Voucher No]],tblBank[Account Code],tblGJ[[#This Row],[Account Code]]),"")</f>
        <v/>
      </c>
      <c r="M374" s="1" t="str">
        <f>IF(tblGJ[[#This Row],[Date]]&lt;=PEnd,"Yes","No")</f>
        <v>Yes</v>
      </c>
    </row>
    <row r="375" spans="2:13" x14ac:dyDescent="0.35">
      <c r="B375" s="109">
        <v>46173</v>
      </c>
      <c r="C375" s="1" t="s">
        <v>5769</v>
      </c>
      <c r="D375" s="1">
        <v>5100</v>
      </c>
      <c r="E375" s="1" t="str">
        <f>_xlfn.XLOOKUP(tblGJ[[#This Row],[Account Code]],tblCOA[Code],tblCOA[Account Name],"⚠ Invalid account")</f>
        <v>Cost of goods sold</v>
      </c>
      <c r="F375" s="1" t="s">
        <v>6180</v>
      </c>
      <c r="G375" s="5">
        <f>SUMIFS(tblSales[COGS],tblSales[Month],MONTH(tblGJ[[#This Row],[Date]]))</f>
        <v>654953000</v>
      </c>
      <c r="H375" s="5"/>
      <c r="I375" s="1" t="s">
        <v>6532</v>
      </c>
      <c r="J375" s="1">
        <f>MONTH(tblGJ[[#This Row],[Date]])</f>
        <v>5</v>
      </c>
      <c r="K375" s="1" t="str">
        <f>_xlfn.XLOOKUP(tblGJ[[#This Row],[Account Code]],tblCOA[Code],tblCOA[FS Line],"")</f>
        <v>Cost of revenue</v>
      </c>
      <c r="L375" s="121" t="str">
        <f>IF(OR(tblGJ[[#This Row],[Account Code]]=1120,tblGJ[[#This Row],[Account Code]]=1130),_xlfn.MINIFS(tblBank[Value Date],tblBank[Reference],tblGJ[[#This Row],[Voucher No]],tblBank[Account Code],tblGJ[[#This Row],[Account Code]]),"")</f>
        <v/>
      </c>
      <c r="M375" s="1" t="str">
        <f>IF(tblGJ[[#This Row],[Date]]&lt;=PEnd,"Yes","No")</f>
        <v>Yes</v>
      </c>
    </row>
    <row r="376" spans="2:13" x14ac:dyDescent="0.35">
      <c r="B376" s="109">
        <v>46173</v>
      </c>
      <c r="C376" s="1" t="s">
        <v>5769</v>
      </c>
      <c r="D376" s="1">
        <v>1310</v>
      </c>
      <c r="E376" s="1" t="str">
        <f>_xlfn.XLOOKUP(tblGJ[[#This Row],[Account Code]],tblCOA[Code],tblCOA[Account Name],"⚠ Invalid account")</f>
        <v>Merchandise inventory</v>
      </c>
      <c r="F376" s="1" t="s">
        <v>6181</v>
      </c>
      <c r="G376" s="5"/>
      <c r="H376" s="5">
        <f>SUMIFS(tblSales[COGS],tblSales[Month],MONTH(tblGJ[[#This Row],[Date]]))</f>
        <v>654953000</v>
      </c>
      <c r="I376" s="1" t="s">
        <v>6532</v>
      </c>
      <c r="J376" s="1">
        <f>MONTH(tblGJ[[#This Row],[Date]])</f>
        <v>5</v>
      </c>
      <c r="K376" s="1" t="str">
        <f>_xlfn.XLOOKUP(tblGJ[[#This Row],[Account Code]],tblCOA[Code],tblCOA[FS Line],"")</f>
        <v>Inventories</v>
      </c>
      <c r="L376" s="121" t="str">
        <f>IF(OR(tblGJ[[#This Row],[Account Code]]=1120,tblGJ[[#This Row],[Account Code]]=1130),_xlfn.MINIFS(tblBank[Value Date],tblBank[Reference],tblGJ[[#This Row],[Voucher No]],tblBank[Account Code],tblGJ[[#This Row],[Account Code]]),"")</f>
        <v/>
      </c>
      <c r="M376" s="1" t="str">
        <f>IF(tblGJ[[#This Row],[Date]]&lt;=PEnd,"Yes","No")</f>
        <v>Yes</v>
      </c>
    </row>
    <row r="377" spans="2:13" x14ac:dyDescent="0.35">
      <c r="B377" s="109">
        <v>46173</v>
      </c>
      <c r="C377" s="1" t="s">
        <v>5770</v>
      </c>
      <c r="D377" s="1">
        <v>1120</v>
      </c>
      <c r="E377" s="1" t="str">
        <f>_xlfn.XLOOKUP(tblGJ[[#This Row],[Account Code]],tblCOA[Code],tblCOA[Account Name],"⚠ Invalid account")</f>
        <v>Bank BCA - Current Account</v>
      </c>
      <c r="F377" s="1" t="s">
        <v>6182</v>
      </c>
      <c r="G377" s="5">
        <f>SUMIFS(tblSales[Total incl. VAT],tblSales[Month],MONTH(tblGJ[[#This Row],[Date]]),tblSales[Payment Method],Products!$O$13)</f>
        <v>159684600</v>
      </c>
      <c r="H377" s="5"/>
      <c r="I377" s="1" t="s">
        <v>6532</v>
      </c>
      <c r="J377" s="1">
        <f>MONTH(tblGJ[[#This Row],[Date]])</f>
        <v>5</v>
      </c>
      <c r="K377" s="1" t="str">
        <f>_xlfn.XLOOKUP(tblGJ[[#This Row],[Account Code]],tblCOA[Code],tblCOA[FS Line],"")</f>
        <v>Cash and cash equivalents</v>
      </c>
      <c r="L377" s="121">
        <f>IF(OR(tblGJ[[#This Row],[Account Code]]=1120,tblGJ[[#This Row],[Account Code]]=1130),_xlfn.MINIFS(tblBank[Value Date],tblBank[Reference],tblGJ[[#This Row],[Voucher No]],tblBank[Account Code],tblGJ[[#This Row],[Account Code]]),"")</f>
        <v>46173</v>
      </c>
      <c r="M377" s="1" t="str">
        <f>IF(tblGJ[[#This Row],[Date]]&lt;=PEnd,"Yes","No")</f>
        <v>Yes</v>
      </c>
    </row>
    <row r="378" spans="2:13" x14ac:dyDescent="0.35">
      <c r="B378" s="109">
        <v>46173</v>
      </c>
      <c r="C378" s="1" t="s">
        <v>5770</v>
      </c>
      <c r="D378" s="1">
        <v>1110</v>
      </c>
      <c r="E378" s="1" t="str">
        <f>_xlfn.XLOOKUP(tblGJ[[#This Row],[Account Code]],tblCOA[Code],tblCOA[Account Name],"⚠ Invalid account")</f>
        <v>Cash on Hand</v>
      </c>
      <c r="F378" s="1" t="s">
        <v>6182</v>
      </c>
      <c r="G378" s="5"/>
      <c r="H378" s="5">
        <f>SUMIFS(tblSales[Total incl. VAT],tblSales[Month],MONTH(tblGJ[[#This Row],[Date]]),tblSales[Payment Method],Products!$O$13)</f>
        <v>159684600</v>
      </c>
      <c r="I378" s="1" t="s">
        <v>6532</v>
      </c>
      <c r="J378" s="1">
        <f>MONTH(tblGJ[[#This Row],[Date]])</f>
        <v>5</v>
      </c>
      <c r="K378" s="1" t="str">
        <f>_xlfn.XLOOKUP(tblGJ[[#This Row],[Account Code]],tblCOA[Code],tblCOA[FS Line],"")</f>
        <v>Cash and cash equivalents</v>
      </c>
      <c r="L378" s="121" t="str">
        <f>IF(OR(tblGJ[[#This Row],[Account Code]]=1120,tblGJ[[#This Row],[Account Code]]=1130),_xlfn.MINIFS(tblBank[Value Date],tblBank[Reference],tblGJ[[#This Row],[Voucher No]],tblBank[Account Code],tblGJ[[#This Row],[Account Code]]),"")</f>
        <v/>
      </c>
      <c r="M378" s="1" t="str">
        <f>IF(tblGJ[[#This Row],[Date]]&lt;=PEnd,"Yes","No")</f>
        <v>Yes</v>
      </c>
    </row>
    <row r="379" spans="2:13" x14ac:dyDescent="0.35">
      <c r="B379" s="109">
        <v>46173</v>
      </c>
      <c r="C379" s="1" t="s">
        <v>5771</v>
      </c>
      <c r="D379" s="1">
        <v>1310</v>
      </c>
      <c r="E379" s="1" t="str">
        <f>_xlfn.XLOOKUP(tblGJ[[#This Row],[Account Code]],tblCOA[Code],tblCOA[Account Name],"⚠ Invalid account")</f>
        <v>Merchandise inventory</v>
      </c>
      <c r="F379" s="1" t="s">
        <v>6183</v>
      </c>
      <c r="G379" s="5">
        <f>SUMIFS(tblPurchases[DPP (excl. VAT)],tblPurchases[Account Code],tblGJ[[#This Row],[Account Code]],tblPurchases[Month],MONTH(tblGJ[[#This Row],[Date]]))</f>
        <v>673894000</v>
      </c>
      <c r="H379" s="5"/>
      <c r="I379" s="1" t="s">
        <v>6533</v>
      </c>
      <c r="J379" s="1">
        <f>MONTH(tblGJ[[#This Row],[Date]])</f>
        <v>5</v>
      </c>
      <c r="K379" s="1" t="str">
        <f>_xlfn.XLOOKUP(tblGJ[[#This Row],[Account Code]],tblCOA[Code],tblCOA[FS Line],"")</f>
        <v>Inventories</v>
      </c>
      <c r="L379" s="121" t="str">
        <f>IF(OR(tblGJ[[#This Row],[Account Code]]=1120,tblGJ[[#This Row],[Account Code]]=1130),_xlfn.MINIFS(tblBank[Value Date],tblBank[Reference],tblGJ[[#This Row],[Voucher No]],tblBank[Account Code],tblGJ[[#This Row],[Account Code]]),"")</f>
        <v/>
      </c>
      <c r="M379" s="1" t="str">
        <f>IF(tblGJ[[#This Row],[Date]]&lt;=PEnd,"Yes","No")</f>
        <v>Yes</v>
      </c>
    </row>
    <row r="380" spans="2:13" x14ac:dyDescent="0.35">
      <c r="B380" s="109">
        <v>46173</v>
      </c>
      <c r="C380" s="1" t="s">
        <v>5771</v>
      </c>
      <c r="D380" s="1">
        <v>6120</v>
      </c>
      <c r="E380" s="1" t="str">
        <f>_xlfn.XLOOKUP(tblGJ[[#This Row],[Account Code]],tblCOA[Code],tblCOA[Account Name],"⚠ Invalid account")</f>
        <v>Advertising &amp; Promotion</v>
      </c>
      <c r="F380" s="1" t="s">
        <v>6183</v>
      </c>
      <c r="G380" s="5">
        <f>SUMIFS(tblPurchases[DPP (excl. VAT)],tblPurchases[Account Code],tblGJ[[#This Row],[Account Code]],tblPurchases[Month],MONTH(tblGJ[[#This Row],[Date]]))</f>
        <v>11937000</v>
      </c>
      <c r="H380" s="5"/>
      <c r="I380" s="1" t="s">
        <v>6533</v>
      </c>
      <c r="J380" s="1">
        <f>MONTH(tblGJ[[#This Row],[Date]])</f>
        <v>5</v>
      </c>
      <c r="K380" s="1" t="str">
        <f>_xlfn.XLOOKUP(tblGJ[[#This Row],[Account Code]],tblCOA[Code],tblCOA[FS Line],"")</f>
        <v>Selling expenses</v>
      </c>
      <c r="L380" s="121" t="str">
        <f>IF(OR(tblGJ[[#This Row],[Account Code]]=1120,tblGJ[[#This Row],[Account Code]]=1130),_xlfn.MINIFS(tblBank[Value Date],tblBank[Reference],tblGJ[[#This Row],[Voucher No]],tblBank[Account Code],tblGJ[[#This Row],[Account Code]]),"")</f>
        <v/>
      </c>
      <c r="M380" s="1" t="str">
        <f>IF(tblGJ[[#This Row],[Date]]&lt;=PEnd,"Yes","No")</f>
        <v>Yes</v>
      </c>
    </row>
    <row r="381" spans="2:13" x14ac:dyDescent="0.35">
      <c r="B381" s="109">
        <v>46173</v>
      </c>
      <c r="C381" s="1" t="s">
        <v>5771</v>
      </c>
      <c r="D381" s="1">
        <v>6130</v>
      </c>
      <c r="E381" s="1" t="str">
        <f>_xlfn.XLOOKUP(tblGJ[[#This Row],[Account Code]],tblCOA[Code],tblCOA[Account Name],"⚠ Invalid account")</f>
        <v>Marketplace &amp; Sales Commissions</v>
      </c>
      <c r="F381" s="1" t="s">
        <v>6183</v>
      </c>
      <c r="G381" s="5">
        <f>SUMIFS(tblPurchases[DPP (excl. VAT)],tblPurchases[Account Code],tblGJ[[#This Row],[Account Code]],tblPurchases[Month],MONTH(tblGJ[[#This Row],[Date]]))</f>
        <v>2837000</v>
      </c>
      <c r="H381" s="5"/>
      <c r="I381" s="1" t="s">
        <v>6533</v>
      </c>
      <c r="J381" s="1">
        <f>MONTH(tblGJ[[#This Row],[Date]])</f>
        <v>5</v>
      </c>
      <c r="K381" s="1" t="str">
        <f>_xlfn.XLOOKUP(tblGJ[[#This Row],[Account Code]],tblCOA[Code],tblCOA[FS Line],"")</f>
        <v>Selling expenses</v>
      </c>
      <c r="L381" s="121" t="str">
        <f>IF(OR(tblGJ[[#This Row],[Account Code]]=1120,tblGJ[[#This Row],[Account Code]]=1130),_xlfn.MINIFS(tblBank[Value Date],tblBank[Reference],tblGJ[[#This Row],[Voucher No]],tblBank[Account Code],tblGJ[[#This Row],[Account Code]]),"")</f>
        <v/>
      </c>
      <c r="M381" s="1" t="str">
        <f>IF(tblGJ[[#This Row],[Date]]&lt;=PEnd,"Yes","No")</f>
        <v>Yes</v>
      </c>
    </row>
    <row r="382" spans="2:13" x14ac:dyDescent="0.35">
      <c r="B382" s="109">
        <v>46173</v>
      </c>
      <c r="C382" s="1" t="s">
        <v>5771</v>
      </c>
      <c r="D382" s="1">
        <v>6140</v>
      </c>
      <c r="E382" s="1" t="str">
        <f>_xlfn.XLOOKUP(tblGJ[[#This Row],[Account Code]],tblCOA[Code],tblCOA[Account Name],"⚠ Invalid account")</f>
        <v>Shipping &amp; Delivery</v>
      </c>
      <c r="F382" s="1" t="s">
        <v>6183</v>
      </c>
      <c r="G382" s="5">
        <f>SUMIFS(tblPurchases[DPP (excl. VAT)],tblPurchases[Account Code],tblGJ[[#This Row],[Account Code]],tblPurchases[Month],MONTH(tblGJ[[#This Row],[Date]]))</f>
        <v>9767000</v>
      </c>
      <c r="H382" s="5"/>
      <c r="I382" s="1" t="s">
        <v>6533</v>
      </c>
      <c r="J382" s="1">
        <f>MONTH(tblGJ[[#This Row],[Date]])</f>
        <v>5</v>
      </c>
      <c r="K382" s="1" t="str">
        <f>_xlfn.XLOOKUP(tblGJ[[#This Row],[Account Code]],tblCOA[Code],tblCOA[FS Line],"")</f>
        <v>Selling expenses</v>
      </c>
      <c r="L382" s="121" t="str">
        <f>IF(OR(tblGJ[[#This Row],[Account Code]]=1120,tblGJ[[#This Row],[Account Code]]=1130),_xlfn.MINIFS(tblBank[Value Date],tblBank[Reference],tblGJ[[#This Row],[Voucher No]],tblBank[Account Code],tblGJ[[#This Row],[Account Code]]),"")</f>
        <v/>
      </c>
      <c r="M382" s="1" t="str">
        <f>IF(tblGJ[[#This Row],[Date]]&lt;=PEnd,"Yes","No")</f>
        <v>Yes</v>
      </c>
    </row>
    <row r="383" spans="2:13" x14ac:dyDescent="0.35">
      <c r="B383" s="109">
        <v>46173</v>
      </c>
      <c r="C383" s="1" t="s">
        <v>5771</v>
      </c>
      <c r="D383" s="1">
        <v>6230</v>
      </c>
      <c r="E383" s="1" t="str">
        <f>_xlfn.XLOOKUP(tblGJ[[#This Row],[Account Code]],tblCOA[Code],tblCOA[Account Name],"⚠ Invalid account")</f>
        <v>Utilities &amp; Telecommunication</v>
      </c>
      <c r="F383" s="1" t="s">
        <v>6183</v>
      </c>
      <c r="G383" s="5">
        <f>SUMIFS(tblPurchases[DPP (excl. VAT)],tblPurchases[Account Code],tblGJ[[#This Row],[Account Code]],tblPurchases[Month],MONTH(tblGJ[[#This Row],[Date]]))</f>
        <v>11371000</v>
      </c>
      <c r="H383" s="5"/>
      <c r="I383" s="1" t="s">
        <v>6533</v>
      </c>
      <c r="J383" s="1">
        <f>MONTH(tblGJ[[#This Row],[Date]])</f>
        <v>5</v>
      </c>
      <c r="K383" s="1" t="str">
        <f>_xlfn.XLOOKUP(tblGJ[[#This Row],[Account Code]],tblCOA[Code],tblCOA[FS Line],"")</f>
        <v>General &amp; administrative expenses</v>
      </c>
      <c r="L383" s="121" t="str">
        <f>IF(OR(tblGJ[[#This Row],[Account Code]]=1120,tblGJ[[#This Row],[Account Code]]=1130),_xlfn.MINIFS(tblBank[Value Date],tblBank[Reference],tblGJ[[#This Row],[Voucher No]],tblBank[Account Code],tblGJ[[#This Row],[Account Code]]),"")</f>
        <v/>
      </c>
      <c r="M383" s="1" t="str">
        <f>IF(tblGJ[[#This Row],[Date]]&lt;=PEnd,"Yes","No")</f>
        <v>Yes</v>
      </c>
    </row>
    <row r="384" spans="2:13" x14ac:dyDescent="0.35">
      <c r="B384" s="109">
        <v>46173</v>
      </c>
      <c r="C384" s="1" t="s">
        <v>5771</v>
      </c>
      <c r="D384" s="1">
        <v>6270</v>
      </c>
      <c r="E384" s="1" t="str">
        <f>_xlfn.XLOOKUP(tblGJ[[#This Row],[Account Code]],tblCOA[Code],tblCOA[Account Name],"⚠ Invalid account")</f>
        <v>Office Supplies</v>
      </c>
      <c r="F384" s="1" t="s">
        <v>6183</v>
      </c>
      <c r="G384" s="5">
        <f>SUMIFS(tblPurchases[DPP (excl. VAT)],tblPurchases[Account Code],tblGJ[[#This Row],[Account Code]],tblPurchases[Month],MONTH(tblGJ[[#This Row],[Date]]))</f>
        <v>2865000</v>
      </c>
      <c r="H384" s="5"/>
      <c r="I384" s="1" t="s">
        <v>6533</v>
      </c>
      <c r="J384" s="1">
        <f>MONTH(tblGJ[[#This Row],[Date]])</f>
        <v>5</v>
      </c>
      <c r="K384" s="1" t="str">
        <f>_xlfn.XLOOKUP(tblGJ[[#This Row],[Account Code]],tblCOA[Code],tblCOA[FS Line],"")</f>
        <v>General &amp; administrative expenses</v>
      </c>
      <c r="L384" s="121" t="str">
        <f>IF(OR(tblGJ[[#This Row],[Account Code]]=1120,tblGJ[[#This Row],[Account Code]]=1130),_xlfn.MINIFS(tblBank[Value Date],tblBank[Reference],tblGJ[[#This Row],[Voucher No]],tblBank[Account Code],tblGJ[[#This Row],[Account Code]]),"")</f>
        <v/>
      </c>
      <c r="M384" s="1" t="str">
        <f>IF(tblGJ[[#This Row],[Date]]&lt;=PEnd,"Yes","No")</f>
        <v>Yes</v>
      </c>
    </row>
    <row r="385" spans="2:13" x14ac:dyDescent="0.35">
      <c r="B385" s="109">
        <v>46173</v>
      </c>
      <c r="C385" s="1" t="s">
        <v>5771</v>
      </c>
      <c r="D385" s="1">
        <v>6295</v>
      </c>
      <c r="E385" s="1" t="str">
        <f>_xlfn.XLOOKUP(tblGJ[[#This Row],[Account Code]],tblCOA[Code],tblCOA[Account Name],"⚠ Invalid account")</f>
        <v>Repairs &amp; Maintenance</v>
      </c>
      <c r="F385" s="1" t="s">
        <v>6183</v>
      </c>
      <c r="G385" s="5">
        <f>SUMIFS(tblPurchases[DPP (excl. VAT)],tblPurchases[Account Code],tblGJ[[#This Row],[Account Code]],tblPurchases[Month],MONTH(tblGJ[[#This Row],[Date]]))</f>
        <v>3571000</v>
      </c>
      <c r="H385" s="5"/>
      <c r="I385" s="1" t="s">
        <v>6533</v>
      </c>
      <c r="J385" s="1">
        <f>MONTH(tblGJ[[#This Row],[Date]])</f>
        <v>5</v>
      </c>
      <c r="K385" s="1" t="str">
        <f>_xlfn.XLOOKUP(tblGJ[[#This Row],[Account Code]],tblCOA[Code],tblCOA[FS Line],"")</f>
        <v>General &amp; administrative expenses</v>
      </c>
      <c r="L385" s="121" t="str">
        <f>IF(OR(tblGJ[[#This Row],[Account Code]]=1120,tblGJ[[#This Row],[Account Code]]=1130),_xlfn.MINIFS(tblBank[Value Date],tblBank[Reference],tblGJ[[#This Row],[Voucher No]],tblBank[Account Code],tblGJ[[#This Row],[Account Code]]),"")</f>
        <v/>
      </c>
      <c r="M385" s="1" t="str">
        <f>IF(tblGJ[[#This Row],[Date]]&lt;=PEnd,"Yes","No")</f>
        <v>Yes</v>
      </c>
    </row>
    <row r="386" spans="2:13" x14ac:dyDescent="0.35">
      <c r="B386" s="109">
        <v>46173</v>
      </c>
      <c r="C386" s="1" t="s">
        <v>5771</v>
      </c>
      <c r="D386" s="1">
        <v>6296</v>
      </c>
      <c r="E386" s="1" t="str">
        <f>_xlfn.XLOOKUP(tblGJ[[#This Row],[Account Code]],tblCOA[Code],tblCOA[Account Name],"⚠ Invalid account")</f>
        <v>Entertainment &amp; Donations</v>
      </c>
      <c r="F386" s="1" t="s">
        <v>6183</v>
      </c>
      <c r="G386" s="5">
        <f>SUMIFS(tblPurchases[DPP (excl. VAT)],tblPurchases[Account Code],tblGJ[[#This Row],[Account Code]],tblPurchases[Month],MONTH(tblGJ[[#This Row],[Date]]))</f>
        <v>2674000</v>
      </c>
      <c r="H386" s="5"/>
      <c r="I386" s="1" t="s">
        <v>6533</v>
      </c>
      <c r="J386" s="1">
        <f>MONTH(tblGJ[[#This Row],[Date]])</f>
        <v>5</v>
      </c>
      <c r="K386" s="1" t="str">
        <f>_xlfn.XLOOKUP(tblGJ[[#This Row],[Account Code]],tblCOA[Code],tblCOA[FS Line],"")</f>
        <v>General &amp; administrative expenses</v>
      </c>
      <c r="L386" s="121" t="str">
        <f>IF(OR(tblGJ[[#This Row],[Account Code]]=1120,tblGJ[[#This Row],[Account Code]]=1130),_xlfn.MINIFS(tblBank[Value Date],tblBank[Reference],tblGJ[[#This Row],[Voucher No]],tblBank[Account Code],tblGJ[[#This Row],[Account Code]]),"")</f>
        <v/>
      </c>
      <c r="M386" s="1" t="str">
        <f>IF(tblGJ[[#This Row],[Date]]&lt;=PEnd,"Yes","No")</f>
        <v>Yes</v>
      </c>
    </row>
    <row r="387" spans="2:13" x14ac:dyDescent="0.35">
      <c r="B387" s="109">
        <v>46173</v>
      </c>
      <c r="C387" s="1" t="s">
        <v>5771</v>
      </c>
      <c r="D387" s="1">
        <v>1510</v>
      </c>
      <c r="E387" s="1" t="str">
        <f>_xlfn.XLOOKUP(tblGJ[[#This Row],[Account Code]],tblCOA[Code],tblCOA[Account Name],"⚠ Invalid account")</f>
        <v>Input VAT (PPN Masukan)</v>
      </c>
      <c r="F387" s="1" t="s">
        <v>6184</v>
      </c>
      <c r="G387" s="5">
        <f>SUMIFS(tblPurchases[Input VAT],tblPurchases[Month],MONTH(tblGJ[[#This Row],[Date]]))</f>
        <v>66959420</v>
      </c>
      <c r="H387" s="5"/>
      <c r="I387" s="1" t="s">
        <v>6533</v>
      </c>
      <c r="J387" s="1">
        <f>MONTH(tblGJ[[#This Row],[Date]])</f>
        <v>5</v>
      </c>
      <c r="K387" s="1" t="str">
        <f>_xlfn.XLOOKUP(tblGJ[[#This Row],[Account Code]],tblCOA[Code],tblCOA[FS Line],"")</f>
        <v>Prepaid taxes</v>
      </c>
      <c r="L387" s="121" t="str">
        <f>IF(OR(tblGJ[[#This Row],[Account Code]]=1120,tblGJ[[#This Row],[Account Code]]=1130),_xlfn.MINIFS(tblBank[Value Date],tblBank[Reference],tblGJ[[#This Row],[Voucher No]],tblBank[Account Code],tblGJ[[#This Row],[Account Code]]),"")</f>
        <v/>
      </c>
      <c r="M387" s="1" t="str">
        <f>IF(tblGJ[[#This Row],[Date]]&lt;=PEnd,"Yes","No")</f>
        <v>Yes</v>
      </c>
    </row>
    <row r="388" spans="2:13" x14ac:dyDescent="0.35">
      <c r="B388" s="109">
        <v>46173</v>
      </c>
      <c r="C388" s="1" t="s">
        <v>5771</v>
      </c>
      <c r="D388" s="1">
        <v>2240</v>
      </c>
      <c r="E388" s="1" t="str">
        <f>_xlfn.XLOOKUP(tblGJ[[#This Row],[Account Code]],tblCOA[Code],tblCOA[Account Name],"⚠ Invalid account")</f>
        <v>WHT Payable - Unifikasi (Art. 23/4(2))</v>
      </c>
      <c r="F388" s="1" t="s">
        <v>6185</v>
      </c>
      <c r="G388" s="5"/>
      <c r="H388" s="5">
        <f>SUMIFS(tblPurchases[WHT Amount],tblPurchases[Month],MONTH(tblGJ[[#This Row],[Date]]))</f>
        <v>562240</v>
      </c>
      <c r="I388" s="1" t="s">
        <v>6533</v>
      </c>
      <c r="J388" s="1">
        <f>MONTH(tblGJ[[#This Row],[Date]])</f>
        <v>5</v>
      </c>
      <c r="K388" s="1" t="str">
        <f>_xlfn.XLOOKUP(tblGJ[[#This Row],[Account Code]],tblCOA[Code],tblCOA[FS Line],"")</f>
        <v>Taxes payable</v>
      </c>
      <c r="L388" s="121" t="str">
        <f>IF(OR(tblGJ[[#This Row],[Account Code]]=1120,tblGJ[[#This Row],[Account Code]]=1130),_xlfn.MINIFS(tblBank[Value Date],tblBank[Reference],tblGJ[[#This Row],[Voucher No]],tblBank[Account Code],tblGJ[[#This Row],[Account Code]]),"")</f>
        <v/>
      </c>
      <c r="M388" s="1" t="str">
        <f>IF(tblGJ[[#This Row],[Date]]&lt;=PEnd,"Yes","No")</f>
        <v>Yes</v>
      </c>
    </row>
    <row r="389" spans="2:13" x14ac:dyDescent="0.35">
      <c r="B389" s="109">
        <v>46173</v>
      </c>
      <c r="C389" s="1" t="s">
        <v>5771</v>
      </c>
      <c r="D389" s="1">
        <v>2110</v>
      </c>
      <c r="E389" s="1" t="str">
        <f>_xlfn.XLOOKUP(tblGJ[[#This Row],[Account Code]],tblCOA[Code],tblCOA[Account Name],"⚠ Invalid account")</f>
        <v>Trade Payables</v>
      </c>
      <c r="F389" s="1" t="s">
        <v>6186</v>
      </c>
      <c r="G389" s="5"/>
      <c r="H389" s="5">
        <f>SUMIFS(tblPurchases[Total Payable],tblPurchases[Month],MONTH(tblGJ[[#This Row],[Date]]))</f>
        <v>785313180</v>
      </c>
      <c r="I389" s="1" t="s">
        <v>6533</v>
      </c>
      <c r="J389" s="1">
        <f>MONTH(tblGJ[[#This Row],[Date]])</f>
        <v>5</v>
      </c>
      <c r="K389" s="1" t="str">
        <f>_xlfn.XLOOKUP(tblGJ[[#This Row],[Account Code]],tblCOA[Code],tblCOA[FS Line],"")</f>
        <v>Trade payables</v>
      </c>
      <c r="L389" s="121" t="str">
        <f>IF(OR(tblGJ[[#This Row],[Account Code]]=1120,tblGJ[[#This Row],[Account Code]]=1130),_xlfn.MINIFS(tblBank[Value Date],tblBank[Reference],tblGJ[[#This Row],[Voucher No]],tblBank[Account Code],tblGJ[[#This Row],[Account Code]]),"")</f>
        <v/>
      </c>
      <c r="M389" s="1" t="str">
        <f>IF(tblGJ[[#This Row],[Date]]&lt;=PEnd,"Yes","No")</f>
        <v>Yes</v>
      </c>
    </row>
    <row r="390" spans="2:13" x14ac:dyDescent="0.35">
      <c r="B390" s="109">
        <v>46173</v>
      </c>
      <c r="C390" s="1" t="s">
        <v>5772</v>
      </c>
      <c r="D390" s="1">
        <v>2110</v>
      </c>
      <c r="E390" s="1" t="str">
        <f>_xlfn.XLOOKUP(tblGJ[[#This Row],[Account Code]],tblCOA[Code],tblCOA[Account Name],"⚠ Invalid account")</f>
        <v>Trade Payables</v>
      </c>
      <c r="F390" s="1" t="s">
        <v>6187</v>
      </c>
      <c r="G390" s="5">
        <f>SUMIFS(tblPurchases[Total Payable],tblPurchases[Pay Month],MONTH(tblGJ[[#This Row],[Date]]),tblPurchases[Paid From],1120)</f>
        <v>790052030</v>
      </c>
      <c r="H390" s="5"/>
      <c r="I390" s="1" t="s">
        <v>6529</v>
      </c>
      <c r="J390" s="1">
        <f>MONTH(tblGJ[[#This Row],[Date]])</f>
        <v>5</v>
      </c>
      <c r="K390" s="1" t="str">
        <f>_xlfn.XLOOKUP(tblGJ[[#This Row],[Account Code]],tblCOA[Code],tblCOA[FS Line],"")</f>
        <v>Trade payables</v>
      </c>
      <c r="L390" s="121" t="str">
        <f>IF(OR(tblGJ[[#This Row],[Account Code]]=1120,tblGJ[[#This Row],[Account Code]]=1130),_xlfn.MINIFS(tblBank[Value Date],tblBank[Reference],tblGJ[[#This Row],[Voucher No]],tblBank[Account Code],tblGJ[[#This Row],[Account Code]]),"")</f>
        <v/>
      </c>
      <c r="M390" s="1" t="str">
        <f>IF(tblGJ[[#This Row],[Date]]&lt;=PEnd,"Yes","No")</f>
        <v>Yes</v>
      </c>
    </row>
    <row r="391" spans="2:13" x14ac:dyDescent="0.35">
      <c r="B391" s="109">
        <v>46173</v>
      </c>
      <c r="C391" s="1" t="s">
        <v>5772</v>
      </c>
      <c r="D391" s="1">
        <v>1120</v>
      </c>
      <c r="E391" s="1" t="str">
        <f>_xlfn.XLOOKUP(tblGJ[[#This Row],[Account Code]],tblCOA[Code],tblCOA[Account Name],"⚠ Invalid account")</f>
        <v>Bank BCA - Current Account</v>
      </c>
      <c r="F391" s="1" t="s">
        <v>6187</v>
      </c>
      <c r="G391" s="5"/>
      <c r="H391" s="5">
        <f>SUMIFS(tblPurchases[Total Payable],tblPurchases[Pay Month],MONTH(tblGJ[[#This Row],[Date]]),tblPurchases[Paid From],1120)</f>
        <v>790052030</v>
      </c>
      <c r="I391" s="1" t="s">
        <v>6529</v>
      </c>
      <c r="J391" s="1">
        <f>MONTH(tblGJ[[#This Row],[Date]])</f>
        <v>5</v>
      </c>
      <c r="K391" s="1" t="str">
        <f>_xlfn.XLOOKUP(tblGJ[[#This Row],[Account Code]],tblCOA[Code],tblCOA[FS Line],"")</f>
        <v>Cash and cash equivalents</v>
      </c>
      <c r="L391" s="121">
        <f>IF(OR(tblGJ[[#This Row],[Account Code]]=1120,tblGJ[[#This Row],[Account Code]]=1130),_xlfn.MINIFS(tblBank[Value Date],tblBank[Reference],tblGJ[[#This Row],[Voucher No]],tblBank[Account Code],tblGJ[[#This Row],[Account Code]]),"")</f>
        <v>46173</v>
      </c>
      <c r="M391" s="1" t="str">
        <f>IF(tblGJ[[#This Row],[Date]]&lt;=PEnd,"Yes","No")</f>
        <v>Yes</v>
      </c>
    </row>
    <row r="392" spans="2:13" x14ac:dyDescent="0.35">
      <c r="B392" s="109">
        <v>46173</v>
      </c>
      <c r="C392" s="1" t="s">
        <v>5773</v>
      </c>
      <c r="D392" s="1">
        <v>2210</v>
      </c>
      <c r="E392" s="1" t="str">
        <f>_xlfn.XLOOKUP(tblGJ[[#This Row],[Account Code]],tblCOA[Code],tblCOA[Account Name],"⚠ Invalid account")</f>
        <v>Output VAT (PPN Keluaran)</v>
      </c>
      <c r="F392" s="1" t="s">
        <v>6188</v>
      </c>
      <c r="G392" s="5">
        <f>SUMIFS(tblSales[Output VAT],tblSales[Month],MONTH(tblGJ[[#This Row],[Date]]))</f>
        <v>119369250</v>
      </c>
      <c r="H392" s="5"/>
      <c r="I392" s="1" t="s">
        <v>6528</v>
      </c>
      <c r="J392" s="1">
        <f>MONTH(tblGJ[[#This Row],[Date]])</f>
        <v>5</v>
      </c>
      <c r="K392" s="1" t="str">
        <f>_xlfn.XLOOKUP(tblGJ[[#This Row],[Account Code]],tblCOA[Code],tblCOA[FS Line],"")</f>
        <v>Taxes payable</v>
      </c>
      <c r="L392" s="121" t="str">
        <f>IF(OR(tblGJ[[#This Row],[Account Code]]=1120,tblGJ[[#This Row],[Account Code]]=1130),_xlfn.MINIFS(tblBank[Value Date],tblBank[Reference],tblGJ[[#This Row],[Voucher No]],tblBank[Account Code],tblGJ[[#This Row],[Account Code]]),"")</f>
        <v/>
      </c>
      <c r="M392" s="1" t="str">
        <f>IF(tblGJ[[#This Row],[Date]]&lt;=PEnd,"Yes","No")</f>
        <v>Yes</v>
      </c>
    </row>
    <row r="393" spans="2:13" x14ac:dyDescent="0.35">
      <c r="B393" s="109">
        <v>46173</v>
      </c>
      <c r="C393" s="1" t="s">
        <v>5773</v>
      </c>
      <c r="D393" s="1">
        <v>1510</v>
      </c>
      <c r="E393" s="1" t="str">
        <f>_xlfn.XLOOKUP(tblGJ[[#This Row],[Account Code]],tblCOA[Code],tblCOA[Account Name],"⚠ Invalid account")</f>
        <v>Input VAT (PPN Masukan)</v>
      </c>
      <c r="F393" s="1" t="s">
        <v>6189</v>
      </c>
      <c r="G393" s="5"/>
      <c r="H393" s="5">
        <f>SUMIFS(tblPurchases[Input VAT],tblPurchases[Month],MONTH(tblGJ[[#This Row],[Date]]))</f>
        <v>66959420</v>
      </c>
      <c r="I393" s="1" t="s">
        <v>6528</v>
      </c>
      <c r="J393" s="1">
        <f>MONTH(tblGJ[[#This Row],[Date]])</f>
        <v>5</v>
      </c>
      <c r="K393" s="1" t="str">
        <f>_xlfn.XLOOKUP(tblGJ[[#This Row],[Account Code]],tblCOA[Code],tblCOA[FS Line],"")</f>
        <v>Prepaid taxes</v>
      </c>
      <c r="L393" s="121" t="str">
        <f>IF(OR(tblGJ[[#This Row],[Account Code]]=1120,tblGJ[[#This Row],[Account Code]]=1130),_xlfn.MINIFS(tblBank[Value Date],tblBank[Reference],tblGJ[[#This Row],[Voucher No]],tblBank[Account Code],tblGJ[[#This Row],[Account Code]]),"")</f>
        <v/>
      </c>
      <c r="M393" s="1" t="str">
        <f>IF(tblGJ[[#This Row],[Date]]&lt;=PEnd,"Yes","No")</f>
        <v>Yes</v>
      </c>
    </row>
    <row r="394" spans="2:13" x14ac:dyDescent="0.35">
      <c r="B394" s="109">
        <v>46173</v>
      </c>
      <c r="C394" s="1" t="s">
        <v>5773</v>
      </c>
      <c r="D394" s="1">
        <v>2220</v>
      </c>
      <c r="E394" s="1" t="str">
        <f>_xlfn.XLOOKUP(tblGJ[[#This Row],[Account Code]],tblCOA[Code],tblCOA[Account Name],"⚠ Invalid account")</f>
        <v>VAT Payable - Net</v>
      </c>
      <c r="F394" s="1" t="s">
        <v>6190</v>
      </c>
      <c r="G394" s="5"/>
      <c r="H394" s="5">
        <f>SUMIFS(tblSales[Output VAT],tblSales[Month],MONTH(tblGJ[[#This Row],[Date]]))-SUMIFS(tblPurchases[Input VAT],tblPurchases[Month],MONTH(tblGJ[[#This Row],[Date]]))</f>
        <v>52409830</v>
      </c>
      <c r="I394" s="1" t="s">
        <v>6528</v>
      </c>
      <c r="J394" s="1">
        <f>MONTH(tblGJ[[#This Row],[Date]])</f>
        <v>5</v>
      </c>
      <c r="K394" s="1" t="str">
        <f>_xlfn.XLOOKUP(tblGJ[[#This Row],[Account Code]],tblCOA[Code],tblCOA[FS Line],"")</f>
        <v>Taxes payable</v>
      </c>
      <c r="L394" s="121" t="str">
        <f>IF(OR(tblGJ[[#This Row],[Account Code]]=1120,tblGJ[[#This Row],[Account Code]]=1130),_xlfn.MINIFS(tblBank[Value Date],tblBank[Reference],tblGJ[[#This Row],[Voucher No]],tblBank[Account Code],tblGJ[[#This Row],[Account Code]]),"")</f>
        <v/>
      </c>
      <c r="M394" s="1" t="str">
        <f>IF(tblGJ[[#This Row],[Date]]&lt;=PEnd,"Yes","No")</f>
        <v>Yes</v>
      </c>
    </row>
    <row r="395" spans="2:13" x14ac:dyDescent="0.35">
      <c r="B395" s="109">
        <v>46173</v>
      </c>
      <c r="C395" s="1" t="s">
        <v>5774</v>
      </c>
      <c r="D395" s="1">
        <v>6240</v>
      </c>
      <c r="E395" s="1" t="str">
        <f>_xlfn.XLOOKUP(tblGJ[[#This Row],[Account Code]],tblCOA[Code],tblCOA[Account Name],"⚠ Invalid account")</f>
        <v>Depreciation Expense</v>
      </c>
      <c r="F395" s="1" t="s">
        <v>6191</v>
      </c>
      <c r="G395" s="5">
        <f>SUMIFS(INDEX(tblFA[[Jan]:[Dec]],0,MONTH(tblGJ[[#This Row],[Date]])),tblFA[Expense Account],tblGJ[[#This Row],[Account Code]])</f>
        <v>28125000</v>
      </c>
      <c r="H395" s="5"/>
      <c r="I395" s="1" t="s">
        <v>6534</v>
      </c>
      <c r="J395" s="1">
        <f>MONTH(tblGJ[[#This Row],[Date]])</f>
        <v>5</v>
      </c>
      <c r="K395" s="1" t="str">
        <f>_xlfn.XLOOKUP(tblGJ[[#This Row],[Account Code]],tblCOA[Code],tblCOA[FS Line],"")</f>
        <v>General &amp; administrative expenses</v>
      </c>
      <c r="L395" s="121" t="str">
        <f>IF(OR(tblGJ[[#This Row],[Account Code]]=1120,tblGJ[[#This Row],[Account Code]]=1130),_xlfn.MINIFS(tblBank[Value Date],tblBank[Reference],tblGJ[[#This Row],[Voucher No]],tblBank[Account Code],tblGJ[[#This Row],[Account Code]]),"")</f>
        <v/>
      </c>
      <c r="M395" s="1" t="str">
        <f>IF(tblGJ[[#This Row],[Date]]&lt;=PEnd,"Yes","No")</f>
        <v>Yes</v>
      </c>
    </row>
    <row r="396" spans="2:13" x14ac:dyDescent="0.35">
      <c r="B396" s="109">
        <v>46173</v>
      </c>
      <c r="C396" s="1" t="s">
        <v>5774</v>
      </c>
      <c r="D396" s="1">
        <v>6250</v>
      </c>
      <c r="E396" s="1" t="str">
        <f>_xlfn.XLOOKUP(tblGJ[[#This Row],[Account Code]],tblCOA[Code],tblCOA[Account Name],"⚠ Invalid account")</f>
        <v>Amortization Expense - Software</v>
      </c>
      <c r="F396" s="1" t="s">
        <v>6192</v>
      </c>
      <c r="G396" s="5">
        <f>SUMIFS(INDEX(tblFA[[Jan]:[Dec]],0,MONTH(tblGJ[[#This Row],[Date]])),tblFA[Expense Account],tblGJ[[#This Row],[Account Code]])</f>
        <v>3750000</v>
      </c>
      <c r="H396" s="5"/>
      <c r="I396" s="1" t="s">
        <v>6534</v>
      </c>
      <c r="J396" s="1">
        <f>MONTH(tblGJ[[#This Row],[Date]])</f>
        <v>5</v>
      </c>
      <c r="K396" s="1" t="str">
        <f>_xlfn.XLOOKUP(tblGJ[[#This Row],[Account Code]],tblCOA[Code],tblCOA[FS Line],"")</f>
        <v>General &amp; administrative expenses</v>
      </c>
      <c r="L396" s="121" t="str">
        <f>IF(OR(tblGJ[[#This Row],[Account Code]]=1120,tblGJ[[#This Row],[Account Code]]=1130),_xlfn.MINIFS(tblBank[Value Date],tblBank[Reference],tblGJ[[#This Row],[Voucher No]],tblBank[Account Code],tblGJ[[#This Row],[Account Code]]),"")</f>
        <v/>
      </c>
      <c r="M396" s="1" t="str">
        <f>IF(tblGJ[[#This Row],[Date]]&lt;=PEnd,"Yes","No")</f>
        <v>Yes</v>
      </c>
    </row>
    <row r="397" spans="2:13" x14ac:dyDescent="0.35">
      <c r="B397" s="109">
        <v>46173</v>
      </c>
      <c r="C397" s="1" t="s">
        <v>5774</v>
      </c>
      <c r="D397" s="1">
        <v>1691</v>
      </c>
      <c r="E397" s="1" t="str">
        <f>_xlfn.XLOOKUP(tblGJ[[#This Row],[Account Code]],tblCOA[Code],tblCOA[Account Name],"⚠ Invalid account")</f>
        <v>Acc. Depreciation - Buildings</v>
      </c>
      <c r="F397" s="1" t="s">
        <v>6193</v>
      </c>
      <c r="G397" s="5"/>
      <c r="H397" s="5">
        <f>SUMIFS(INDEX(tblFA[[Jan]:[Dec]],0,MONTH(tblGJ[[#This Row],[Date]])),tblFA[Acc. Dep. Account],tblGJ[[#This Row],[Account Code]])</f>
        <v>7500000</v>
      </c>
      <c r="I397" s="1" t="s">
        <v>6534</v>
      </c>
      <c r="J397" s="1">
        <f>MONTH(tblGJ[[#This Row],[Date]])</f>
        <v>5</v>
      </c>
      <c r="K397" s="1" t="str">
        <f>_xlfn.XLOOKUP(tblGJ[[#This Row],[Account Code]],tblCOA[Code],tblCOA[FS Line],"")</f>
        <v>Fixed assets - net</v>
      </c>
      <c r="L397" s="121" t="str">
        <f>IF(OR(tblGJ[[#This Row],[Account Code]]=1120,tblGJ[[#This Row],[Account Code]]=1130),_xlfn.MINIFS(tblBank[Value Date],tblBank[Reference],tblGJ[[#This Row],[Voucher No]],tblBank[Account Code],tblGJ[[#This Row],[Account Code]]),"")</f>
        <v/>
      </c>
      <c r="M397" s="1" t="str">
        <f>IF(tblGJ[[#This Row],[Date]]&lt;=PEnd,"Yes","No")</f>
        <v>Yes</v>
      </c>
    </row>
    <row r="398" spans="2:13" x14ac:dyDescent="0.35">
      <c r="B398" s="109">
        <v>46173</v>
      </c>
      <c r="C398" s="1" t="s">
        <v>5774</v>
      </c>
      <c r="D398" s="1">
        <v>1693</v>
      </c>
      <c r="E398" s="1" t="str">
        <f>_xlfn.XLOOKUP(tblGJ[[#This Row],[Account Code]],tblCOA[Code],tblCOA[Account Name],"⚠ Invalid account")</f>
        <v>Acc. Depreciation - Vehicles</v>
      </c>
      <c r="F398" s="1" t="s">
        <v>6193</v>
      </c>
      <c r="G398" s="5"/>
      <c r="H398" s="5">
        <f>SUMIFS(INDEX(tblFA[[Jan]:[Dec]],0,MONTH(tblGJ[[#This Row],[Date]])),tblFA[Acc. Dep. Account],tblGJ[[#This Row],[Account Code]])</f>
        <v>7291667</v>
      </c>
      <c r="I398" s="1" t="s">
        <v>6534</v>
      </c>
      <c r="J398" s="1">
        <f>MONTH(tblGJ[[#This Row],[Date]])</f>
        <v>5</v>
      </c>
      <c r="K398" s="1" t="str">
        <f>_xlfn.XLOOKUP(tblGJ[[#This Row],[Account Code]],tblCOA[Code],tblCOA[FS Line],"")</f>
        <v>Fixed assets - net</v>
      </c>
      <c r="L398" s="121" t="str">
        <f>IF(OR(tblGJ[[#This Row],[Account Code]]=1120,tblGJ[[#This Row],[Account Code]]=1130),_xlfn.MINIFS(tblBank[Value Date],tblBank[Reference],tblGJ[[#This Row],[Voucher No]],tblBank[Account Code],tblGJ[[#This Row],[Account Code]]),"")</f>
        <v/>
      </c>
      <c r="M398" s="1" t="str">
        <f>IF(tblGJ[[#This Row],[Date]]&lt;=PEnd,"Yes","No")</f>
        <v>Yes</v>
      </c>
    </row>
    <row r="399" spans="2:13" x14ac:dyDescent="0.35">
      <c r="B399" s="109">
        <v>46173</v>
      </c>
      <c r="C399" s="1" t="s">
        <v>5774</v>
      </c>
      <c r="D399" s="1">
        <v>1694</v>
      </c>
      <c r="E399" s="1" t="str">
        <f>_xlfn.XLOOKUP(tblGJ[[#This Row],[Account Code]],tblCOA[Code],tblCOA[Account Name],"⚠ Invalid account")</f>
        <v>Acc. Depreciation - Machinery &amp; Equipment</v>
      </c>
      <c r="F399" s="1" t="s">
        <v>6193</v>
      </c>
      <c r="G399" s="5"/>
      <c r="H399" s="5">
        <f>SUMIFS(INDEX(tblFA[[Jan]:[Dec]],0,MONTH(tblGJ[[#This Row],[Date]])),tblFA[Acc. Dep. Account],tblGJ[[#This Row],[Account Code]])</f>
        <v>10208333</v>
      </c>
      <c r="I399" s="1" t="s">
        <v>6534</v>
      </c>
      <c r="J399" s="1">
        <f>MONTH(tblGJ[[#This Row],[Date]])</f>
        <v>5</v>
      </c>
      <c r="K399" s="1" t="str">
        <f>_xlfn.XLOOKUP(tblGJ[[#This Row],[Account Code]],tblCOA[Code],tblCOA[FS Line],"")</f>
        <v>Fixed assets - net</v>
      </c>
      <c r="L399" s="121" t="str">
        <f>IF(OR(tblGJ[[#This Row],[Account Code]]=1120,tblGJ[[#This Row],[Account Code]]=1130),_xlfn.MINIFS(tblBank[Value Date],tblBank[Reference],tblGJ[[#This Row],[Voucher No]],tblBank[Account Code],tblGJ[[#This Row],[Account Code]]),"")</f>
        <v/>
      </c>
      <c r="M399" s="1" t="str">
        <f>IF(tblGJ[[#This Row],[Date]]&lt;=PEnd,"Yes","No")</f>
        <v>Yes</v>
      </c>
    </row>
    <row r="400" spans="2:13" x14ac:dyDescent="0.35">
      <c r="B400" s="109">
        <v>46173</v>
      </c>
      <c r="C400" s="1" t="s">
        <v>5774</v>
      </c>
      <c r="D400" s="1">
        <v>1695</v>
      </c>
      <c r="E400" s="1" t="str">
        <f>_xlfn.XLOOKUP(tblGJ[[#This Row],[Account Code]],tblCOA[Code],tblCOA[Account Name],"⚠ Invalid account")</f>
        <v>Acc. Depreciation - Office Furniture &amp; Equipment</v>
      </c>
      <c r="F400" s="1" t="s">
        <v>6193</v>
      </c>
      <c r="G400" s="5"/>
      <c r="H400" s="5">
        <f>SUMIFS(INDEX(tblFA[[Jan]:[Dec]],0,MONTH(tblGJ[[#This Row],[Date]])),tblFA[Acc. Dep. Account],tblGJ[[#This Row],[Account Code]])</f>
        <v>3125000</v>
      </c>
      <c r="I400" s="1" t="s">
        <v>6534</v>
      </c>
      <c r="J400" s="1">
        <f>MONTH(tblGJ[[#This Row],[Date]])</f>
        <v>5</v>
      </c>
      <c r="K400" s="1" t="str">
        <f>_xlfn.XLOOKUP(tblGJ[[#This Row],[Account Code]],tblCOA[Code],tblCOA[FS Line],"")</f>
        <v>Fixed assets - net</v>
      </c>
      <c r="L400" s="121" t="str">
        <f>IF(OR(tblGJ[[#This Row],[Account Code]]=1120,tblGJ[[#This Row],[Account Code]]=1130),_xlfn.MINIFS(tblBank[Value Date],tblBank[Reference],tblGJ[[#This Row],[Voucher No]],tblBank[Account Code],tblGJ[[#This Row],[Account Code]]),"")</f>
        <v/>
      </c>
      <c r="M400" s="1" t="str">
        <f>IF(tblGJ[[#This Row],[Date]]&lt;=PEnd,"Yes","No")</f>
        <v>Yes</v>
      </c>
    </row>
    <row r="401" spans="2:13" x14ac:dyDescent="0.35">
      <c r="B401" s="109">
        <v>46173</v>
      </c>
      <c r="C401" s="1" t="s">
        <v>5774</v>
      </c>
      <c r="D401" s="1">
        <v>1719</v>
      </c>
      <c r="E401" s="1" t="str">
        <f>_xlfn.XLOOKUP(tblGJ[[#This Row],[Account Code]],tblCOA[Code],tblCOA[Account Name],"⚠ Invalid account")</f>
        <v>Acc. Amortization - Software</v>
      </c>
      <c r="F401" s="1" t="s">
        <v>6193</v>
      </c>
      <c r="G401" s="5"/>
      <c r="H401" s="5">
        <f>SUMIFS(INDEX(tblFA[[Jan]:[Dec]],0,MONTH(tblGJ[[#This Row],[Date]])),tblFA[Acc. Dep. Account],tblGJ[[#This Row],[Account Code]])</f>
        <v>3750000</v>
      </c>
      <c r="I401" s="1" t="s">
        <v>6534</v>
      </c>
      <c r="J401" s="1">
        <f>MONTH(tblGJ[[#This Row],[Date]])</f>
        <v>5</v>
      </c>
      <c r="K401" s="1" t="str">
        <f>_xlfn.XLOOKUP(tblGJ[[#This Row],[Account Code]],tblCOA[Code],tblCOA[FS Line],"")</f>
        <v>Intangible assets - net</v>
      </c>
      <c r="L401" s="121" t="str">
        <f>IF(OR(tblGJ[[#This Row],[Account Code]]=1120,tblGJ[[#This Row],[Account Code]]=1130),_xlfn.MINIFS(tblBank[Value Date],tblBank[Reference],tblGJ[[#This Row],[Voucher No]],tblBank[Account Code],tblGJ[[#This Row],[Account Code]]),"")</f>
        <v/>
      </c>
      <c r="M401" s="1" t="str">
        <f>IF(tblGJ[[#This Row],[Date]]&lt;=PEnd,"Yes","No")</f>
        <v>Yes</v>
      </c>
    </row>
    <row r="402" spans="2:13" x14ac:dyDescent="0.35">
      <c r="B402" s="109">
        <v>46173</v>
      </c>
      <c r="C402" s="1" t="s">
        <v>5775</v>
      </c>
      <c r="D402" s="1">
        <v>6220</v>
      </c>
      <c r="E402" s="1" t="str">
        <f>_xlfn.XLOOKUP(tblGJ[[#This Row],[Account Code]],tblCOA[Code],tblCOA[Account Name],"⚠ Invalid account")</f>
        <v>Rent Expense</v>
      </c>
      <c r="F402" s="1" t="s">
        <v>6194</v>
      </c>
      <c r="G402" s="5">
        <f>SUMIFS(INDEX(tblPrepaid[[Jan]:[Dec]],0,MONTH(tblGJ[[#This Row],[Date]])),tblPrepaid[Expense Account],tblGJ[[#This Row],[Account Code]])</f>
        <v>11000000</v>
      </c>
      <c r="H402" s="5"/>
      <c r="I402" s="1" t="s">
        <v>6535</v>
      </c>
      <c r="J402" s="1">
        <f>MONTH(tblGJ[[#This Row],[Date]])</f>
        <v>5</v>
      </c>
      <c r="K402" s="1" t="str">
        <f>_xlfn.XLOOKUP(tblGJ[[#This Row],[Account Code]],tblCOA[Code],tblCOA[FS Line],"")</f>
        <v>General &amp; administrative expenses</v>
      </c>
      <c r="L402" s="121" t="str">
        <f>IF(OR(tblGJ[[#This Row],[Account Code]]=1120,tblGJ[[#This Row],[Account Code]]=1130),_xlfn.MINIFS(tblBank[Value Date],tblBank[Reference],tblGJ[[#This Row],[Voucher No]],tblBank[Account Code],tblGJ[[#This Row],[Account Code]]),"")</f>
        <v/>
      </c>
      <c r="M402" s="1" t="str">
        <f>IF(tblGJ[[#This Row],[Date]]&lt;=PEnd,"Yes","No")</f>
        <v>Yes</v>
      </c>
    </row>
    <row r="403" spans="2:13" x14ac:dyDescent="0.35">
      <c r="B403" s="109">
        <v>46173</v>
      </c>
      <c r="C403" s="1" t="s">
        <v>5775</v>
      </c>
      <c r="D403" s="1">
        <v>6260</v>
      </c>
      <c r="E403" s="1" t="str">
        <f>_xlfn.XLOOKUP(tblGJ[[#This Row],[Account Code]],tblCOA[Code],tblCOA[Account Name],"⚠ Invalid account")</f>
        <v>Insurance Expense</v>
      </c>
      <c r="F403" s="1" t="s">
        <v>6194</v>
      </c>
      <c r="G403" s="5">
        <f>SUMIFS(INDEX(tblPrepaid[[Jan]:[Dec]],0,MONTH(tblGJ[[#This Row],[Date]])),tblPrepaid[Expense Account],tblGJ[[#This Row],[Account Code]])</f>
        <v>2500000</v>
      </c>
      <c r="H403" s="5"/>
      <c r="I403" s="1" t="s">
        <v>6535</v>
      </c>
      <c r="J403" s="1">
        <f>MONTH(tblGJ[[#This Row],[Date]])</f>
        <v>5</v>
      </c>
      <c r="K403" s="1" t="str">
        <f>_xlfn.XLOOKUP(tblGJ[[#This Row],[Account Code]],tblCOA[Code],tblCOA[FS Line],"")</f>
        <v>General &amp; administrative expenses</v>
      </c>
      <c r="L403" s="121" t="str">
        <f>IF(OR(tblGJ[[#This Row],[Account Code]]=1120,tblGJ[[#This Row],[Account Code]]=1130),_xlfn.MINIFS(tblBank[Value Date],tblBank[Reference],tblGJ[[#This Row],[Voucher No]],tblBank[Account Code],tblGJ[[#This Row],[Account Code]]),"")</f>
        <v/>
      </c>
      <c r="M403" s="1" t="str">
        <f>IF(tblGJ[[#This Row],[Date]]&lt;=PEnd,"Yes","No")</f>
        <v>Yes</v>
      </c>
    </row>
    <row r="404" spans="2:13" x14ac:dyDescent="0.35">
      <c r="B404" s="109">
        <v>46173</v>
      </c>
      <c r="C404" s="1" t="s">
        <v>5775</v>
      </c>
      <c r="D404" s="1">
        <v>6265</v>
      </c>
      <c r="E404" s="1" t="str">
        <f>_xlfn.XLOOKUP(tblGJ[[#This Row],[Account Code]],tblCOA[Code],tblCOA[Account Name],"⚠ Invalid account")</f>
        <v>Software Subscription Expense</v>
      </c>
      <c r="F404" s="1" t="s">
        <v>6194</v>
      </c>
      <c r="G404" s="5">
        <f>SUMIFS(INDEX(tblPrepaid[[Jan]:[Dec]],0,MONTH(tblGJ[[#This Row],[Date]])),tblPrepaid[Expense Account],tblGJ[[#This Row],[Account Code]])</f>
        <v>6000000</v>
      </c>
      <c r="H404" s="5"/>
      <c r="I404" s="1" t="s">
        <v>6535</v>
      </c>
      <c r="J404" s="1">
        <f>MONTH(tblGJ[[#This Row],[Date]])</f>
        <v>5</v>
      </c>
      <c r="K404" s="1" t="str">
        <f>_xlfn.XLOOKUP(tblGJ[[#This Row],[Account Code]],tblCOA[Code],tblCOA[FS Line],"")</f>
        <v>General &amp; administrative expenses</v>
      </c>
      <c r="L404" s="121" t="str">
        <f>IF(OR(tblGJ[[#This Row],[Account Code]]=1120,tblGJ[[#This Row],[Account Code]]=1130),_xlfn.MINIFS(tblBank[Value Date],tblBank[Reference],tblGJ[[#This Row],[Voucher No]],tblBank[Account Code],tblGJ[[#This Row],[Account Code]]),"")</f>
        <v/>
      </c>
      <c r="M404" s="1" t="str">
        <f>IF(tblGJ[[#This Row],[Date]]&lt;=PEnd,"Yes","No")</f>
        <v>Yes</v>
      </c>
    </row>
    <row r="405" spans="2:13" x14ac:dyDescent="0.35">
      <c r="B405" s="109">
        <v>46173</v>
      </c>
      <c r="C405" s="1" t="s">
        <v>5775</v>
      </c>
      <c r="D405" s="1">
        <v>1410</v>
      </c>
      <c r="E405" s="1" t="str">
        <f>_xlfn.XLOOKUP(tblGJ[[#This Row],[Account Code]],tblCOA[Code],tblCOA[Account Name],"⚠ Invalid account")</f>
        <v>Prepaid Rent</v>
      </c>
      <c r="F405" s="1" t="s">
        <v>6194</v>
      </c>
      <c r="G405" s="5"/>
      <c r="H405" s="5">
        <f>SUMIFS(INDEX(tblPrepaid[[Jan]:[Dec]],0,MONTH(tblGJ[[#This Row],[Date]])),tblPrepaid[Prepaid Account],tblGJ[[#This Row],[Account Code]])</f>
        <v>11000000</v>
      </c>
      <c r="I405" s="1" t="s">
        <v>6535</v>
      </c>
      <c r="J405" s="1">
        <f>MONTH(tblGJ[[#This Row],[Date]])</f>
        <v>5</v>
      </c>
      <c r="K405" s="1" t="str">
        <f>_xlfn.XLOOKUP(tblGJ[[#This Row],[Account Code]],tblCOA[Code],tblCOA[FS Line],"")</f>
        <v>Prepaid expenses</v>
      </c>
      <c r="L405" s="121" t="str">
        <f>IF(OR(tblGJ[[#This Row],[Account Code]]=1120,tblGJ[[#This Row],[Account Code]]=1130),_xlfn.MINIFS(tblBank[Value Date],tblBank[Reference],tblGJ[[#This Row],[Voucher No]],tblBank[Account Code],tblGJ[[#This Row],[Account Code]]),"")</f>
        <v/>
      </c>
      <c r="M405" s="1" t="str">
        <f>IF(tblGJ[[#This Row],[Date]]&lt;=PEnd,"Yes","No")</f>
        <v>Yes</v>
      </c>
    </row>
    <row r="406" spans="2:13" x14ac:dyDescent="0.35">
      <c r="B406" s="109">
        <v>46173</v>
      </c>
      <c r="C406" s="1" t="s">
        <v>5775</v>
      </c>
      <c r="D406" s="1">
        <v>1420</v>
      </c>
      <c r="E406" s="1" t="str">
        <f>_xlfn.XLOOKUP(tblGJ[[#This Row],[Account Code]],tblCOA[Code],tblCOA[Account Name],"⚠ Invalid account")</f>
        <v>Prepaid Insurance</v>
      </c>
      <c r="F406" s="1" t="s">
        <v>6194</v>
      </c>
      <c r="G406" s="5"/>
      <c r="H406" s="5">
        <f>SUMIFS(INDEX(tblPrepaid[[Jan]:[Dec]],0,MONTH(tblGJ[[#This Row],[Date]])),tblPrepaid[Prepaid Account],tblGJ[[#This Row],[Account Code]])</f>
        <v>2500000</v>
      </c>
      <c r="I406" s="1" t="s">
        <v>6535</v>
      </c>
      <c r="J406" s="1">
        <f>MONTH(tblGJ[[#This Row],[Date]])</f>
        <v>5</v>
      </c>
      <c r="K406" s="1" t="str">
        <f>_xlfn.XLOOKUP(tblGJ[[#This Row],[Account Code]],tblCOA[Code],tblCOA[FS Line],"")</f>
        <v>Prepaid expenses</v>
      </c>
      <c r="L406" s="121" t="str">
        <f>IF(OR(tblGJ[[#This Row],[Account Code]]=1120,tblGJ[[#This Row],[Account Code]]=1130),_xlfn.MINIFS(tblBank[Value Date],tblBank[Reference],tblGJ[[#This Row],[Voucher No]],tblBank[Account Code],tblGJ[[#This Row],[Account Code]]),"")</f>
        <v/>
      </c>
      <c r="M406" s="1" t="str">
        <f>IF(tblGJ[[#This Row],[Date]]&lt;=PEnd,"Yes","No")</f>
        <v>Yes</v>
      </c>
    </row>
    <row r="407" spans="2:13" x14ac:dyDescent="0.35">
      <c r="B407" s="109">
        <v>46173</v>
      </c>
      <c r="C407" s="1" t="s">
        <v>5775</v>
      </c>
      <c r="D407" s="1">
        <v>1430</v>
      </c>
      <c r="E407" s="1" t="str">
        <f>_xlfn.XLOOKUP(tblGJ[[#This Row],[Account Code]],tblCOA[Code],tblCOA[Account Name],"⚠ Invalid account")</f>
        <v>Prepaid Software Subscriptions</v>
      </c>
      <c r="F407" s="1" t="s">
        <v>6194</v>
      </c>
      <c r="G407" s="5"/>
      <c r="H407" s="5">
        <f>SUMIFS(INDEX(tblPrepaid[[Jan]:[Dec]],0,MONTH(tblGJ[[#This Row],[Date]])),tblPrepaid[Prepaid Account],tblGJ[[#This Row],[Account Code]])</f>
        <v>6000000</v>
      </c>
      <c r="I407" s="1" t="s">
        <v>6535</v>
      </c>
      <c r="J407" s="1">
        <f>MONTH(tblGJ[[#This Row],[Date]])</f>
        <v>5</v>
      </c>
      <c r="K407" s="1" t="str">
        <f>_xlfn.XLOOKUP(tblGJ[[#This Row],[Account Code]],tblCOA[Code],tblCOA[FS Line],"")</f>
        <v>Prepaid expenses</v>
      </c>
      <c r="L407" s="121" t="str">
        <f>IF(OR(tblGJ[[#This Row],[Account Code]]=1120,tblGJ[[#This Row],[Account Code]]=1130),_xlfn.MINIFS(tblBank[Value Date],tblBank[Reference],tblGJ[[#This Row],[Voucher No]],tblBank[Account Code],tblGJ[[#This Row],[Account Code]]),"")</f>
        <v/>
      </c>
      <c r="M407" s="1" t="str">
        <f>IF(tblGJ[[#This Row],[Date]]&lt;=PEnd,"Yes","No")</f>
        <v>Yes</v>
      </c>
    </row>
    <row r="408" spans="2:13" x14ac:dyDescent="0.35">
      <c r="B408" s="109">
        <v>46173</v>
      </c>
      <c r="C408" s="1" t="s">
        <v>5776</v>
      </c>
      <c r="D408" s="1">
        <v>6290</v>
      </c>
      <c r="E408" s="1" t="str">
        <f>_xlfn.XLOOKUP(tblGJ[[#This Row],[Account Code]],tblCOA[Code],tblCOA[Account Name],"⚠ Invalid account")</f>
        <v>Employee Benefits Expense</v>
      </c>
      <c r="F408" s="1" t="s">
        <v>6195</v>
      </c>
      <c r="G408" s="5">
        <v>3000000</v>
      </c>
      <c r="H408" s="5"/>
      <c r="I408" s="1" t="s">
        <v>4263</v>
      </c>
      <c r="J408" s="1">
        <f>MONTH(tblGJ[[#This Row],[Date]])</f>
        <v>5</v>
      </c>
      <c r="K408" s="1" t="str">
        <f>_xlfn.XLOOKUP(tblGJ[[#This Row],[Account Code]],tblCOA[Code],tblCOA[FS Line],"")</f>
        <v>General &amp; administrative expenses</v>
      </c>
      <c r="L408" s="121" t="str">
        <f>IF(OR(tblGJ[[#This Row],[Account Code]]=1120,tblGJ[[#This Row],[Account Code]]=1130),_xlfn.MINIFS(tblBank[Value Date],tblBank[Reference],tblGJ[[#This Row],[Voucher No]],tblBank[Account Code],tblGJ[[#This Row],[Account Code]]),"")</f>
        <v/>
      </c>
      <c r="M408" s="1" t="str">
        <f>IF(tblGJ[[#This Row],[Date]]&lt;=PEnd,"Yes","No")</f>
        <v>Yes</v>
      </c>
    </row>
    <row r="409" spans="2:13" x14ac:dyDescent="0.35">
      <c r="B409" s="109">
        <v>46173</v>
      </c>
      <c r="C409" s="1" t="s">
        <v>5776</v>
      </c>
      <c r="D409" s="1">
        <v>2420</v>
      </c>
      <c r="E409" s="1" t="str">
        <f>_xlfn.XLOOKUP(tblGJ[[#This Row],[Account Code]],tblCOA[Code],tblCOA[Account Name],"⚠ Invalid account")</f>
        <v>Employee Benefits Liability</v>
      </c>
      <c r="F409" s="1" t="s">
        <v>6196</v>
      </c>
      <c r="G409" s="5"/>
      <c r="H409" s="5">
        <v>3000000</v>
      </c>
      <c r="I409" s="1" t="s">
        <v>4263</v>
      </c>
      <c r="J409" s="1">
        <f>MONTH(tblGJ[[#This Row],[Date]])</f>
        <v>5</v>
      </c>
      <c r="K409" s="1" t="str">
        <f>_xlfn.XLOOKUP(tblGJ[[#This Row],[Account Code]],tblCOA[Code],tblCOA[FS Line],"")</f>
        <v>Employee benefits liability</v>
      </c>
      <c r="L409" s="121" t="str">
        <f>IF(OR(tblGJ[[#This Row],[Account Code]]=1120,tblGJ[[#This Row],[Account Code]]=1130),_xlfn.MINIFS(tblBank[Value Date],tblBank[Reference],tblGJ[[#This Row],[Voucher No]],tblBank[Account Code],tblGJ[[#This Row],[Account Code]]),"")</f>
        <v/>
      </c>
      <c r="M409" s="1" t="str">
        <f>IF(tblGJ[[#This Row],[Date]]&lt;=PEnd,"Yes","No")</f>
        <v>Yes</v>
      </c>
    </row>
    <row r="410" spans="2:13" x14ac:dyDescent="0.35">
      <c r="B410" s="109">
        <v>46173</v>
      </c>
      <c r="C410" s="1" t="s">
        <v>5777</v>
      </c>
      <c r="D410" s="1">
        <v>1120</v>
      </c>
      <c r="E410" s="1" t="str">
        <f>_xlfn.XLOOKUP(tblGJ[[#This Row],[Account Code]],tblCOA[Code],tblCOA[Account Name],"⚠ Invalid account")</f>
        <v>Bank BCA - Current Account</v>
      </c>
      <c r="F410" s="1" t="s">
        <v>6197</v>
      </c>
      <c r="G410" s="5">
        <v>1333333</v>
      </c>
      <c r="H410" s="5"/>
      <c r="I410" s="1" t="s">
        <v>4263</v>
      </c>
      <c r="J410" s="1">
        <f>MONTH(tblGJ[[#This Row],[Date]])</f>
        <v>5</v>
      </c>
      <c r="K410" s="1" t="str">
        <f>_xlfn.XLOOKUP(tblGJ[[#This Row],[Account Code]],tblCOA[Code],tblCOA[FS Line],"")</f>
        <v>Cash and cash equivalents</v>
      </c>
      <c r="L410" s="121">
        <f>IF(OR(tblGJ[[#This Row],[Account Code]]=1120,tblGJ[[#This Row],[Account Code]]=1130),_xlfn.MINIFS(tblBank[Value Date],tblBank[Reference],tblGJ[[#This Row],[Voucher No]],tblBank[Account Code],tblGJ[[#This Row],[Account Code]]),"")</f>
        <v>46173</v>
      </c>
      <c r="M410" s="1" t="str">
        <f>IF(tblGJ[[#This Row],[Date]]&lt;=PEnd,"Yes","No")</f>
        <v>Yes</v>
      </c>
    </row>
    <row r="411" spans="2:13" x14ac:dyDescent="0.35">
      <c r="B411" s="109">
        <v>46173</v>
      </c>
      <c r="C411" s="1" t="s">
        <v>5777</v>
      </c>
      <c r="D411" s="1">
        <v>8200</v>
      </c>
      <c r="E411" s="1" t="str">
        <f>_xlfn.XLOOKUP(tblGJ[[#This Row],[Account Code]],tblCOA[Code],tblCOA[Account Name],"⚠ Invalid account")</f>
        <v>Final Income Tax Expense</v>
      </c>
      <c r="F411" s="1" t="s">
        <v>6198</v>
      </c>
      <c r="G411" s="5">
        <v>333334</v>
      </c>
      <c r="H411" s="5"/>
      <c r="I411" s="1" t="s">
        <v>4263</v>
      </c>
      <c r="J411" s="1">
        <f>MONTH(tblGJ[[#This Row],[Date]])</f>
        <v>5</v>
      </c>
      <c r="K411" s="1" t="str">
        <f>_xlfn.XLOOKUP(tblGJ[[#This Row],[Account Code]],tblCOA[Code],tblCOA[FS Line],"")</f>
        <v>Other expenses</v>
      </c>
      <c r="L411" s="121" t="str">
        <f>IF(OR(tblGJ[[#This Row],[Account Code]]=1120,tblGJ[[#This Row],[Account Code]]=1130),_xlfn.MINIFS(tblBank[Value Date],tblBank[Reference],tblGJ[[#This Row],[Voucher No]],tblBank[Account Code],tblGJ[[#This Row],[Account Code]]),"")</f>
        <v/>
      </c>
      <c r="M411" s="1" t="str">
        <f>IF(tblGJ[[#This Row],[Date]]&lt;=PEnd,"Yes","No")</f>
        <v>Yes</v>
      </c>
    </row>
    <row r="412" spans="2:13" x14ac:dyDescent="0.35">
      <c r="B412" s="109">
        <v>46173</v>
      </c>
      <c r="C412" s="1" t="s">
        <v>5777</v>
      </c>
      <c r="D412" s="1">
        <v>7110</v>
      </c>
      <c r="E412" s="1" t="str">
        <f>_xlfn.XLOOKUP(tblGJ[[#This Row],[Account Code]],tblCOA[Code],tblCOA[Account Name],"⚠ Invalid account")</f>
        <v>Interest Income - Time Deposit</v>
      </c>
      <c r="F412" s="1" t="s">
        <v>6199</v>
      </c>
      <c r="G412" s="5"/>
      <c r="H412" s="5">
        <v>1666667</v>
      </c>
      <c r="I412" s="1" t="s">
        <v>4263</v>
      </c>
      <c r="J412" s="1">
        <f>MONTH(tblGJ[[#This Row],[Date]])</f>
        <v>5</v>
      </c>
      <c r="K412" s="1" t="str">
        <f>_xlfn.XLOOKUP(tblGJ[[#This Row],[Account Code]],tblCOA[Code],tblCOA[FS Line],"")</f>
        <v>Other income</v>
      </c>
      <c r="L412" s="121" t="str">
        <f>IF(OR(tblGJ[[#This Row],[Account Code]]=1120,tblGJ[[#This Row],[Account Code]]=1130),_xlfn.MINIFS(tblBank[Value Date],tblBank[Reference],tblGJ[[#This Row],[Voucher No]],tblBank[Account Code],tblGJ[[#This Row],[Account Code]]),"")</f>
        <v/>
      </c>
      <c r="M412" s="1" t="str">
        <f>IF(tblGJ[[#This Row],[Date]]&lt;=PEnd,"Yes","No")</f>
        <v>Yes</v>
      </c>
    </row>
    <row r="413" spans="2:13" x14ac:dyDescent="0.35">
      <c r="B413" s="109">
        <v>46173</v>
      </c>
      <c r="C413" s="1" t="s">
        <v>5778</v>
      </c>
      <c r="D413" s="1">
        <v>1120</v>
      </c>
      <c r="E413" s="1" t="str">
        <f>_xlfn.XLOOKUP(tblGJ[[#This Row],[Account Code]],tblCOA[Code],tblCOA[Account Name],"⚠ Invalid account")</f>
        <v>Bank BCA - Current Account</v>
      </c>
      <c r="F413" s="1" t="s">
        <v>6200</v>
      </c>
      <c r="G413" s="5">
        <v>438506</v>
      </c>
      <c r="H413" s="5"/>
      <c r="I413" s="1" t="s">
        <v>4263</v>
      </c>
      <c r="J413" s="1">
        <f>MONTH(tblGJ[[#This Row],[Date]])</f>
        <v>5</v>
      </c>
      <c r="K413" s="1" t="str">
        <f>_xlfn.XLOOKUP(tblGJ[[#This Row],[Account Code]],tblCOA[Code],tblCOA[FS Line],"")</f>
        <v>Cash and cash equivalents</v>
      </c>
      <c r="L413" s="121">
        <f>IF(OR(tblGJ[[#This Row],[Account Code]]=1120,tblGJ[[#This Row],[Account Code]]=1130),_xlfn.MINIFS(tblBank[Value Date],tblBank[Reference],tblGJ[[#This Row],[Voucher No]],tblBank[Account Code],tblGJ[[#This Row],[Account Code]]),"")</f>
        <v>46173</v>
      </c>
      <c r="M413" s="1" t="str">
        <f>IF(tblGJ[[#This Row],[Date]]&lt;=PEnd,"Yes","No")</f>
        <v>Yes</v>
      </c>
    </row>
    <row r="414" spans="2:13" x14ac:dyDescent="0.35">
      <c r="B414" s="109">
        <v>46173</v>
      </c>
      <c r="C414" s="1" t="s">
        <v>5778</v>
      </c>
      <c r="D414" s="1">
        <v>7120</v>
      </c>
      <c r="E414" s="1" t="str">
        <f>_xlfn.XLOOKUP(tblGJ[[#This Row],[Account Code]],tblCOA[Code],tblCOA[Account Name],"⚠ Invalid account")</f>
        <v>Interest Income - Current Account</v>
      </c>
      <c r="F414" s="1" t="s">
        <v>6200</v>
      </c>
      <c r="G414" s="5"/>
      <c r="H414" s="5">
        <v>438506</v>
      </c>
      <c r="I414" s="1" t="s">
        <v>4263</v>
      </c>
      <c r="J414" s="1">
        <f>MONTH(tblGJ[[#This Row],[Date]])</f>
        <v>5</v>
      </c>
      <c r="K414" s="1" t="str">
        <f>_xlfn.XLOOKUP(tblGJ[[#This Row],[Account Code]],tblCOA[Code],tblCOA[FS Line],"")</f>
        <v>Other income</v>
      </c>
      <c r="L414" s="121" t="str">
        <f>IF(OR(tblGJ[[#This Row],[Account Code]]=1120,tblGJ[[#This Row],[Account Code]]=1130),_xlfn.MINIFS(tblBank[Value Date],tblBank[Reference],tblGJ[[#This Row],[Voucher No]],tblBank[Account Code],tblGJ[[#This Row],[Account Code]]),"")</f>
        <v/>
      </c>
      <c r="M414" s="1" t="str">
        <f>IF(tblGJ[[#This Row],[Date]]&lt;=PEnd,"Yes","No")</f>
        <v>Yes</v>
      </c>
    </row>
    <row r="415" spans="2:13" x14ac:dyDescent="0.35">
      <c r="B415" s="109">
        <v>46173</v>
      </c>
      <c r="C415" s="1" t="s">
        <v>5779</v>
      </c>
      <c r="D415" s="1">
        <v>8200</v>
      </c>
      <c r="E415" s="1" t="str">
        <f>_xlfn.XLOOKUP(tblGJ[[#This Row],[Account Code]],tblCOA[Code],tblCOA[Account Name],"⚠ Invalid account")</f>
        <v>Final Income Tax Expense</v>
      </c>
      <c r="F415" s="1" t="s">
        <v>6201</v>
      </c>
      <c r="G415" s="5">
        <v>87701</v>
      </c>
      <c r="H415" s="5"/>
      <c r="I415" s="1" t="s">
        <v>4263</v>
      </c>
      <c r="J415" s="1">
        <f>MONTH(tblGJ[[#This Row],[Date]])</f>
        <v>5</v>
      </c>
      <c r="K415" s="1" t="str">
        <f>_xlfn.XLOOKUP(tblGJ[[#This Row],[Account Code]],tblCOA[Code],tblCOA[FS Line],"")</f>
        <v>Other expenses</v>
      </c>
      <c r="L415" s="121" t="str">
        <f>IF(OR(tblGJ[[#This Row],[Account Code]]=1120,tblGJ[[#This Row],[Account Code]]=1130),_xlfn.MINIFS(tblBank[Value Date],tblBank[Reference],tblGJ[[#This Row],[Voucher No]],tblBank[Account Code],tblGJ[[#This Row],[Account Code]]),"")</f>
        <v/>
      </c>
      <c r="M415" s="1" t="str">
        <f>IF(tblGJ[[#This Row],[Date]]&lt;=PEnd,"Yes","No")</f>
        <v>Yes</v>
      </c>
    </row>
    <row r="416" spans="2:13" x14ac:dyDescent="0.35">
      <c r="B416" s="109">
        <v>46173</v>
      </c>
      <c r="C416" s="1" t="s">
        <v>5779</v>
      </c>
      <c r="D416" s="1">
        <v>1120</v>
      </c>
      <c r="E416" s="1" t="str">
        <f>_xlfn.XLOOKUP(tblGJ[[#This Row],[Account Code]],tblCOA[Code],tblCOA[Account Name],"⚠ Invalid account")</f>
        <v>Bank BCA - Current Account</v>
      </c>
      <c r="F416" s="1" t="s">
        <v>6201</v>
      </c>
      <c r="G416" s="5"/>
      <c r="H416" s="5">
        <v>87701</v>
      </c>
      <c r="I416" s="1" t="s">
        <v>4263</v>
      </c>
      <c r="J416" s="1">
        <f>MONTH(tblGJ[[#This Row],[Date]])</f>
        <v>5</v>
      </c>
      <c r="K416" s="1" t="str">
        <f>_xlfn.XLOOKUP(tblGJ[[#This Row],[Account Code]],tblCOA[Code],tblCOA[FS Line],"")</f>
        <v>Cash and cash equivalents</v>
      </c>
      <c r="L416" s="121">
        <f>IF(OR(tblGJ[[#This Row],[Account Code]]=1120,tblGJ[[#This Row],[Account Code]]=1130),_xlfn.MINIFS(tblBank[Value Date],tblBank[Reference],tblGJ[[#This Row],[Voucher No]],tblBank[Account Code],tblGJ[[#This Row],[Account Code]]),"")</f>
        <v>46173</v>
      </c>
      <c r="M416" s="1" t="str">
        <f>IF(tblGJ[[#This Row],[Date]]&lt;=PEnd,"Yes","No")</f>
        <v>Yes</v>
      </c>
    </row>
    <row r="417" spans="2:13" x14ac:dyDescent="0.35">
      <c r="B417" s="109">
        <v>46173</v>
      </c>
      <c r="C417" s="1" t="s">
        <v>5780</v>
      </c>
      <c r="D417" s="1">
        <v>7220</v>
      </c>
      <c r="E417" s="1" t="str">
        <f>_xlfn.XLOOKUP(tblGJ[[#This Row],[Account Code]],tblCOA[Code],tblCOA[Account Name],"⚠ Invalid account")</f>
        <v>Bank Charges</v>
      </c>
      <c r="F417" s="1" t="s">
        <v>6202</v>
      </c>
      <c r="G417" s="5">
        <v>150000</v>
      </c>
      <c r="H417" s="5"/>
      <c r="I417" s="1" t="s">
        <v>4263</v>
      </c>
      <c r="J417" s="1">
        <f>MONTH(tblGJ[[#This Row],[Date]])</f>
        <v>5</v>
      </c>
      <c r="K417" s="1" t="str">
        <f>_xlfn.XLOOKUP(tblGJ[[#This Row],[Account Code]],tblCOA[Code],tblCOA[FS Line],"")</f>
        <v>Other expenses</v>
      </c>
      <c r="L417" s="121" t="str">
        <f>IF(OR(tblGJ[[#This Row],[Account Code]]=1120,tblGJ[[#This Row],[Account Code]]=1130),_xlfn.MINIFS(tblBank[Value Date],tblBank[Reference],tblGJ[[#This Row],[Voucher No]],tblBank[Account Code],tblGJ[[#This Row],[Account Code]]),"")</f>
        <v/>
      </c>
      <c r="M417" s="1" t="str">
        <f>IF(tblGJ[[#This Row],[Date]]&lt;=PEnd,"Yes","No")</f>
        <v>Yes</v>
      </c>
    </row>
    <row r="418" spans="2:13" x14ac:dyDescent="0.35">
      <c r="B418" s="109">
        <v>46173</v>
      </c>
      <c r="C418" s="1" t="s">
        <v>5780</v>
      </c>
      <c r="D418" s="1">
        <v>1120</v>
      </c>
      <c r="E418" s="1" t="str">
        <f>_xlfn.XLOOKUP(tblGJ[[#This Row],[Account Code]],tblCOA[Code],tblCOA[Account Name],"⚠ Invalid account")</f>
        <v>Bank BCA - Current Account</v>
      </c>
      <c r="F418" s="1" t="s">
        <v>6202</v>
      </c>
      <c r="G418" s="5"/>
      <c r="H418" s="5">
        <v>150000</v>
      </c>
      <c r="I418" s="1" t="s">
        <v>4263</v>
      </c>
      <c r="J418" s="1">
        <f>MONTH(tblGJ[[#This Row],[Date]])</f>
        <v>5</v>
      </c>
      <c r="K418" s="1" t="str">
        <f>_xlfn.XLOOKUP(tblGJ[[#This Row],[Account Code]],tblCOA[Code],tblCOA[FS Line],"")</f>
        <v>Cash and cash equivalents</v>
      </c>
      <c r="L418" s="121">
        <f>IF(OR(tblGJ[[#This Row],[Account Code]]=1120,tblGJ[[#This Row],[Account Code]]=1130),_xlfn.MINIFS(tblBank[Value Date],tblBank[Reference],tblGJ[[#This Row],[Voucher No]],tblBank[Account Code],tblGJ[[#This Row],[Account Code]]),"")</f>
        <v>46173</v>
      </c>
      <c r="M418" s="1" t="str">
        <f>IF(tblGJ[[#This Row],[Date]]&lt;=PEnd,"Yes","No")</f>
        <v>Yes</v>
      </c>
    </row>
    <row r="419" spans="2:13" x14ac:dyDescent="0.35">
      <c r="B419" s="109">
        <v>46173</v>
      </c>
      <c r="C419" s="1" t="s">
        <v>5781</v>
      </c>
      <c r="D419" s="1">
        <v>1130</v>
      </c>
      <c r="E419" s="1" t="str">
        <f>_xlfn.XLOOKUP(tblGJ[[#This Row],[Account Code]],tblCOA[Code],tblCOA[Account Name],"⚠ Invalid account")</f>
        <v>Bank Mandiri - Current Account</v>
      </c>
      <c r="F419" s="1" t="s">
        <v>6203</v>
      </c>
      <c r="G419" s="5">
        <v>75570</v>
      </c>
      <c r="H419" s="5"/>
      <c r="I419" s="1" t="s">
        <v>4263</v>
      </c>
      <c r="J419" s="1">
        <f>MONTH(tblGJ[[#This Row],[Date]])</f>
        <v>5</v>
      </c>
      <c r="K419" s="1" t="str">
        <f>_xlfn.XLOOKUP(tblGJ[[#This Row],[Account Code]],tblCOA[Code],tblCOA[FS Line],"")</f>
        <v>Cash and cash equivalents</v>
      </c>
      <c r="L419" s="121">
        <f>IF(OR(tblGJ[[#This Row],[Account Code]]=1120,tblGJ[[#This Row],[Account Code]]=1130),_xlfn.MINIFS(tblBank[Value Date],tblBank[Reference],tblGJ[[#This Row],[Voucher No]],tblBank[Account Code],tblGJ[[#This Row],[Account Code]]),"")</f>
        <v>46173</v>
      </c>
      <c r="M419" s="1" t="str">
        <f>IF(tblGJ[[#This Row],[Date]]&lt;=PEnd,"Yes","No")</f>
        <v>Yes</v>
      </c>
    </row>
    <row r="420" spans="2:13" x14ac:dyDescent="0.35">
      <c r="B420" s="109">
        <v>46173</v>
      </c>
      <c r="C420" s="1" t="s">
        <v>5781</v>
      </c>
      <c r="D420" s="1">
        <v>7120</v>
      </c>
      <c r="E420" s="1" t="str">
        <f>_xlfn.XLOOKUP(tblGJ[[#This Row],[Account Code]],tblCOA[Code],tblCOA[Account Name],"⚠ Invalid account")</f>
        <v>Interest Income - Current Account</v>
      </c>
      <c r="F420" s="1" t="s">
        <v>6203</v>
      </c>
      <c r="G420" s="5"/>
      <c r="H420" s="5">
        <v>75570</v>
      </c>
      <c r="I420" s="1" t="s">
        <v>4263</v>
      </c>
      <c r="J420" s="1">
        <f>MONTH(tblGJ[[#This Row],[Date]])</f>
        <v>5</v>
      </c>
      <c r="K420" s="1" t="str">
        <f>_xlfn.XLOOKUP(tblGJ[[#This Row],[Account Code]],tblCOA[Code],tblCOA[FS Line],"")</f>
        <v>Other income</v>
      </c>
      <c r="L420" s="121" t="str">
        <f>IF(OR(tblGJ[[#This Row],[Account Code]]=1120,tblGJ[[#This Row],[Account Code]]=1130),_xlfn.MINIFS(tblBank[Value Date],tblBank[Reference],tblGJ[[#This Row],[Voucher No]],tblBank[Account Code],tblGJ[[#This Row],[Account Code]]),"")</f>
        <v/>
      </c>
      <c r="M420" s="1" t="str">
        <f>IF(tblGJ[[#This Row],[Date]]&lt;=PEnd,"Yes","No")</f>
        <v>Yes</v>
      </c>
    </row>
    <row r="421" spans="2:13" x14ac:dyDescent="0.35">
      <c r="B421" s="109">
        <v>46173</v>
      </c>
      <c r="C421" s="1" t="s">
        <v>5782</v>
      </c>
      <c r="D421" s="1">
        <v>8200</v>
      </c>
      <c r="E421" s="1" t="str">
        <f>_xlfn.XLOOKUP(tblGJ[[#This Row],[Account Code]],tblCOA[Code],tblCOA[Account Name],"⚠ Invalid account")</f>
        <v>Final Income Tax Expense</v>
      </c>
      <c r="F421" s="1" t="s">
        <v>6204</v>
      </c>
      <c r="G421" s="5">
        <v>15114</v>
      </c>
      <c r="H421" s="5"/>
      <c r="I421" s="1" t="s">
        <v>4263</v>
      </c>
      <c r="J421" s="1">
        <f>MONTH(tblGJ[[#This Row],[Date]])</f>
        <v>5</v>
      </c>
      <c r="K421" s="1" t="str">
        <f>_xlfn.XLOOKUP(tblGJ[[#This Row],[Account Code]],tblCOA[Code],tblCOA[FS Line],"")</f>
        <v>Other expenses</v>
      </c>
      <c r="L421" s="121" t="str">
        <f>IF(OR(tblGJ[[#This Row],[Account Code]]=1120,tblGJ[[#This Row],[Account Code]]=1130),_xlfn.MINIFS(tblBank[Value Date],tblBank[Reference],tblGJ[[#This Row],[Voucher No]],tblBank[Account Code],tblGJ[[#This Row],[Account Code]]),"")</f>
        <v/>
      </c>
      <c r="M421" s="1" t="str">
        <f>IF(tblGJ[[#This Row],[Date]]&lt;=PEnd,"Yes","No")</f>
        <v>Yes</v>
      </c>
    </row>
    <row r="422" spans="2:13" x14ac:dyDescent="0.35">
      <c r="B422" s="109">
        <v>46173</v>
      </c>
      <c r="C422" s="1" t="s">
        <v>5782</v>
      </c>
      <c r="D422" s="1">
        <v>1130</v>
      </c>
      <c r="E422" s="1" t="str">
        <f>_xlfn.XLOOKUP(tblGJ[[#This Row],[Account Code]],tblCOA[Code],tblCOA[Account Name],"⚠ Invalid account")</f>
        <v>Bank Mandiri - Current Account</v>
      </c>
      <c r="F422" s="1" t="s">
        <v>6204</v>
      </c>
      <c r="G422" s="5"/>
      <c r="H422" s="5">
        <v>15114</v>
      </c>
      <c r="I422" s="1" t="s">
        <v>4263</v>
      </c>
      <c r="J422" s="1">
        <f>MONTH(tblGJ[[#This Row],[Date]])</f>
        <v>5</v>
      </c>
      <c r="K422" s="1" t="str">
        <f>_xlfn.XLOOKUP(tblGJ[[#This Row],[Account Code]],tblCOA[Code],tblCOA[FS Line],"")</f>
        <v>Cash and cash equivalents</v>
      </c>
      <c r="L422" s="121">
        <f>IF(OR(tblGJ[[#This Row],[Account Code]]=1120,tblGJ[[#This Row],[Account Code]]=1130),_xlfn.MINIFS(tblBank[Value Date],tblBank[Reference],tblGJ[[#This Row],[Voucher No]],tblBank[Account Code],tblGJ[[#This Row],[Account Code]]),"")</f>
        <v>46173</v>
      </c>
      <c r="M422" s="1" t="str">
        <f>IF(tblGJ[[#This Row],[Date]]&lt;=PEnd,"Yes","No")</f>
        <v>Yes</v>
      </c>
    </row>
    <row r="423" spans="2:13" x14ac:dyDescent="0.35">
      <c r="B423" s="109">
        <v>46173</v>
      </c>
      <c r="C423" s="1" t="s">
        <v>5783</v>
      </c>
      <c r="D423" s="1">
        <v>7220</v>
      </c>
      <c r="E423" s="1" t="str">
        <f>_xlfn.XLOOKUP(tblGJ[[#This Row],[Account Code]],tblCOA[Code],tblCOA[Account Name],"⚠ Invalid account")</f>
        <v>Bank Charges</v>
      </c>
      <c r="F423" s="1" t="s">
        <v>6205</v>
      </c>
      <c r="G423" s="5">
        <v>118500</v>
      </c>
      <c r="H423" s="5"/>
      <c r="I423" s="1" t="s">
        <v>4263</v>
      </c>
      <c r="J423" s="1">
        <f>MONTH(tblGJ[[#This Row],[Date]])</f>
        <v>5</v>
      </c>
      <c r="K423" s="1" t="str">
        <f>_xlfn.XLOOKUP(tblGJ[[#This Row],[Account Code]],tblCOA[Code],tblCOA[FS Line],"")</f>
        <v>Other expenses</v>
      </c>
      <c r="L423" s="121" t="str">
        <f>IF(OR(tblGJ[[#This Row],[Account Code]]=1120,tblGJ[[#This Row],[Account Code]]=1130),_xlfn.MINIFS(tblBank[Value Date],tblBank[Reference],tblGJ[[#This Row],[Voucher No]],tblBank[Account Code],tblGJ[[#This Row],[Account Code]]),"")</f>
        <v/>
      </c>
      <c r="M423" s="1" t="str">
        <f>IF(tblGJ[[#This Row],[Date]]&lt;=PEnd,"Yes","No")</f>
        <v>Yes</v>
      </c>
    </row>
    <row r="424" spans="2:13" x14ac:dyDescent="0.35">
      <c r="B424" s="109">
        <v>46173</v>
      </c>
      <c r="C424" s="1" t="s">
        <v>5783</v>
      </c>
      <c r="D424" s="1">
        <v>1130</v>
      </c>
      <c r="E424" s="1" t="str">
        <f>_xlfn.XLOOKUP(tblGJ[[#This Row],[Account Code]],tblCOA[Code],tblCOA[Account Name],"⚠ Invalid account")</f>
        <v>Bank Mandiri - Current Account</v>
      </c>
      <c r="F424" s="1" t="s">
        <v>6205</v>
      </c>
      <c r="G424" s="5"/>
      <c r="H424" s="5">
        <v>118500</v>
      </c>
      <c r="I424" s="1" t="s">
        <v>4263</v>
      </c>
      <c r="J424" s="1">
        <f>MONTH(tblGJ[[#This Row],[Date]])</f>
        <v>5</v>
      </c>
      <c r="K424" s="1" t="str">
        <f>_xlfn.XLOOKUP(tblGJ[[#This Row],[Account Code]],tblCOA[Code],tblCOA[FS Line],"")</f>
        <v>Cash and cash equivalents</v>
      </c>
      <c r="L424" s="121">
        <f>IF(OR(tblGJ[[#This Row],[Account Code]]=1120,tblGJ[[#This Row],[Account Code]]=1130),_xlfn.MINIFS(tblBank[Value Date],tblBank[Reference],tblGJ[[#This Row],[Voucher No]],tblBank[Account Code],tblGJ[[#This Row],[Account Code]]),"")</f>
        <v>46173</v>
      </c>
      <c r="M424" s="1" t="str">
        <f>IF(tblGJ[[#This Row],[Date]]&lt;=PEnd,"Yes","No")</f>
        <v>Yes</v>
      </c>
    </row>
    <row r="425" spans="2:13" x14ac:dyDescent="0.35">
      <c r="B425" s="109">
        <v>46183</v>
      </c>
      <c r="C425" s="1" t="s">
        <v>5784</v>
      </c>
      <c r="D425" s="1">
        <v>2230</v>
      </c>
      <c r="E425" s="1" t="str">
        <f>_xlfn.XLOOKUP(tblGJ[[#This Row],[Account Code]],tblCOA[Code],tblCOA[Account Name],"⚠ Invalid account")</f>
        <v>WHT Payable - Art. 21</v>
      </c>
      <c r="F425" s="1" t="s">
        <v>5957</v>
      </c>
      <c r="G425" s="5">
        <f>IF(MONTH(tblGJ[[#This Row],[Date]])=1,_xlfn.XLOOKUP(2230,tblCOA[Code],tblCOA[Opening Balance]),SUMIFS(tblPayroll[PPh 21],tblPayroll[Period],MONTH(tblGJ[[#This Row],[Date]])-1))</f>
        <v>10516831</v>
      </c>
      <c r="H425" s="5"/>
      <c r="I425" s="1" t="s">
        <v>6528</v>
      </c>
      <c r="J425" s="1">
        <f>MONTH(tblGJ[[#This Row],[Date]])</f>
        <v>6</v>
      </c>
      <c r="K425" s="1" t="str">
        <f>_xlfn.XLOOKUP(tblGJ[[#This Row],[Account Code]],tblCOA[Code],tblCOA[FS Line],"")</f>
        <v>Taxes payable</v>
      </c>
      <c r="L425" s="121" t="str">
        <f>IF(OR(tblGJ[[#This Row],[Account Code]]=1120,tblGJ[[#This Row],[Account Code]]=1130),_xlfn.MINIFS(tblBank[Value Date],tblBank[Reference],tblGJ[[#This Row],[Voucher No]],tblBank[Account Code],tblGJ[[#This Row],[Account Code]]),"")</f>
        <v/>
      </c>
      <c r="M425" s="1" t="str">
        <f>IF(tblGJ[[#This Row],[Date]]&lt;=PEnd,"Yes","No")</f>
        <v>Yes</v>
      </c>
    </row>
    <row r="426" spans="2:13" x14ac:dyDescent="0.35">
      <c r="B426" s="109">
        <v>46183</v>
      </c>
      <c r="C426" s="1" t="s">
        <v>5784</v>
      </c>
      <c r="D426" s="1">
        <v>1120</v>
      </c>
      <c r="E426" s="1" t="str">
        <f>_xlfn.XLOOKUP(tblGJ[[#This Row],[Account Code]],tblCOA[Code],tblCOA[Account Name],"⚠ Invalid account")</f>
        <v>Bank BCA - Current Account</v>
      </c>
      <c r="F426" s="1" t="s">
        <v>5957</v>
      </c>
      <c r="G426" s="5"/>
      <c r="H426" s="5">
        <f>IF(MONTH(tblGJ[[#This Row],[Date]])=1,_xlfn.XLOOKUP(2230,tblCOA[Code],tblCOA[Opening Balance]),SUMIFS(tblPayroll[PPh 21],tblPayroll[Period],MONTH(tblGJ[[#This Row],[Date]])-1))</f>
        <v>10516831</v>
      </c>
      <c r="I426" s="1" t="s">
        <v>6528</v>
      </c>
      <c r="J426" s="1">
        <f>MONTH(tblGJ[[#This Row],[Date]])</f>
        <v>6</v>
      </c>
      <c r="K426" s="1" t="str">
        <f>_xlfn.XLOOKUP(tblGJ[[#This Row],[Account Code]],tblCOA[Code],tblCOA[FS Line],"")</f>
        <v>Cash and cash equivalents</v>
      </c>
      <c r="L426" s="121">
        <f>IF(OR(tblGJ[[#This Row],[Account Code]]=1120,tblGJ[[#This Row],[Account Code]]=1130),_xlfn.MINIFS(tblBank[Value Date],tblBank[Reference],tblGJ[[#This Row],[Voucher No]],tblBank[Account Code],tblGJ[[#This Row],[Account Code]]),"")</f>
        <v>46183</v>
      </c>
      <c r="M426" s="1" t="str">
        <f>IF(tblGJ[[#This Row],[Date]]&lt;=PEnd,"Yes","No")</f>
        <v>Yes</v>
      </c>
    </row>
    <row r="427" spans="2:13" x14ac:dyDescent="0.35">
      <c r="B427" s="109">
        <v>46183</v>
      </c>
      <c r="C427" s="1" t="s">
        <v>5785</v>
      </c>
      <c r="D427" s="1">
        <v>2150</v>
      </c>
      <c r="E427" s="1" t="str">
        <f>_xlfn.XLOOKUP(tblGJ[[#This Row],[Account Code]],tblCOA[Code],tblCOA[Account Name],"⚠ Invalid account")</f>
        <v>BPJS Payable</v>
      </c>
      <c r="F427" s="1" t="s">
        <v>5958</v>
      </c>
      <c r="G427" s="5">
        <f>IF(MONTH(tblGJ[[#This Row],[Date]])=1,_xlfn.XLOOKUP(2150,tblCOA[Code],tblCOA[Opening Balance]),SUMIFS(tblPayroll[BPJS Payable],tblPayroll[Period],MONTH(tblGJ[[#This Row],[Date]])-1))</f>
        <v>22077790</v>
      </c>
      <c r="H427" s="5"/>
      <c r="I427" s="1" t="s">
        <v>6528</v>
      </c>
      <c r="J427" s="1">
        <f>MONTH(tblGJ[[#This Row],[Date]])</f>
        <v>6</v>
      </c>
      <c r="K427" s="1" t="str">
        <f>_xlfn.XLOOKUP(tblGJ[[#This Row],[Account Code]],tblCOA[Code],tblCOA[FS Line],"")</f>
        <v>Accrued expenses</v>
      </c>
      <c r="L427" s="121" t="str">
        <f>IF(OR(tblGJ[[#This Row],[Account Code]]=1120,tblGJ[[#This Row],[Account Code]]=1130),_xlfn.MINIFS(tblBank[Value Date],tblBank[Reference],tblGJ[[#This Row],[Voucher No]],tblBank[Account Code],tblGJ[[#This Row],[Account Code]]),"")</f>
        <v/>
      </c>
      <c r="M427" s="1" t="str">
        <f>IF(tblGJ[[#This Row],[Date]]&lt;=PEnd,"Yes","No")</f>
        <v>Yes</v>
      </c>
    </row>
    <row r="428" spans="2:13" x14ac:dyDescent="0.35">
      <c r="B428" s="109">
        <v>46183</v>
      </c>
      <c r="C428" s="1" t="s">
        <v>5785</v>
      </c>
      <c r="D428" s="1">
        <v>1120</v>
      </c>
      <c r="E428" s="1" t="str">
        <f>_xlfn.XLOOKUP(tblGJ[[#This Row],[Account Code]],tblCOA[Code],tblCOA[Account Name],"⚠ Invalid account")</f>
        <v>Bank BCA - Current Account</v>
      </c>
      <c r="F428" s="1" t="s">
        <v>5958</v>
      </c>
      <c r="G428" s="5"/>
      <c r="H428" s="5">
        <f>IF(MONTH(tblGJ[[#This Row],[Date]])=1,_xlfn.XLOOKUP(2150,tblCOA[Code],tblCOA[Opening Balance]),SUMIFS(tblPayroll[BPJS Payable],tblPayroll[Period],MONTH(tblGJ[[#This Row],[Date]])-1))</f>
        <v>22077790</v>
      </c>
      <c r="I428" s="1" t="s">
        <v>6528</v>
      </c>
      <c r="J428" s="1">
        <f>MONTH(tblGJ[[#This Row],[Date]])</f>
        <v>6</v>
      </c>
      <c r="K428" s="1" t="str">
        <f>_xlfn.XLOOKUP(tblGJ[[#This Row],[Account Code]],tblCOA[Code],tblCOA[FS Line],"")</f>
        <v>Cash and cash equivalents</v>
      </c>
      <c r="L428" s="121">
        <f>IF(OR(tblGJ[[#This Row],[Account Code]]=1120,tblGJ[[#This Row],[Account Code]]=1130),_xlfn.MINIFS(tblBank[Value Date],tblBank[Reference],tblGJ[[#This Row],[Voucher No]],tblBank[Account Code],tblGJ[[#This Row],[Account Code]]),"")</f>
        <v>46183</v>
      </c>
      <c r="M428" s="1" t="str">
        <f>IF(tblGJ[[#This Row],[Date]]&lt;=PEnd,"Yes","No")</f>
        <v>Yes</v>
      </c>
    </row>
    <row r="429" spans="2:13" x14ac:dyDescent="0.35">
      <c r="B429" s="109">
        <v>46188</v>
      </c>
      <c r="C429" s="1" t="s">
        <v>5786</v>
      </c>
      <c r="D429" s="1">
        <v>2240</v>
      </c>
      <c r="E429" s="1" t="str">
        <f>_xlfn.XLOOKUP(tblGJ[[#This Row],[Account Code]],tblCOA[Code],tblCOA[Account Name],"⚠ Invalid account")</f>
        <v>WHT Payable - Unifikasi (Art. 23/4(2))</v>
      </c>
      <c r="F429" s="1" t="s">
        <v>5960</v>
      </c>
      <c r="G429" s="5">
        <f>IF(MONTH(tblGJ[[#This Row],[Date]])=1,_xlfn.XLOOKUP(2240,tblCOA[Code],tblCOA[Opening Balance]),SUMIFS(tblPurchases[WHT Amount],tblPurchases[Month],MONTH(tblGJ[[#This Row],[Date]])-1))</f>
        <v>562240</v>
      </c>
      <c r="H429" s="5"/>
      <c r="I429" s="1" t="s">
        <v>6528</v>
      </c>
      <c r="J429" s="1">
        <f>MONTH(tblGJ[[#This Row],[Date]])</f>
        <v>6</v>
      </c>
      <c r="K429" s="1" t="str">
        <f>_xlfn.XLOOKUP(tblGJ[[#This Row],[Account Code]],tblCOA[Code],tblCOA[FS Line],"")</f>
        <v>Taxes payable</v>
      </c>
      <c r="L429" s="121" t="str">
        <f>IF(OR(tblGJ[[#This Row],[Account Code]]=1120,tblGJ[[#This Row],[Account Code]]=1130),_xlfn.MINIFS(tblBank[Value Date],tblBank[Reference],tblGJ[[#This Row],[Voucher No]],tblBank[Account Code],tblGJ[[#This Row],[Account Code]]),"")</f>
        <v/>
      </c>
      <c r="M429" s="1" t="str">
        <f>IF(tblGJ[[#This Row],[Date]]&lt;=PEnd,"Yes","No")</f>
        <v>Yes</v>
      </c>
    </row>
    <row r="430" spans="2:13" x14ac:dyDescent="0.35">
      <c r="B430" s="109">
        <v>46188</v>
      </c>
      <c r="C430" s="1" t="s">
        <v>5786</v>
      </c>
      <c r="D430" s="1">
        <v>1120</v>
      </c>
      <c r="E430" s="1" t="str">
        <f>_xlfn.XLOOKUP(tblGJ[[#This Row],[Account Code]],tblCOA[Code],tblCOA[Account Name],"⚠ Invalid account")</f>
        <v>Bank BCA - Current Account</v>
      </c>
      <c r="F430" s="1" t="s">
        <v>5960</v>
      </c>
      <c r="G430" s="5"/>
      <c r="H430" s="5">
        <f>IF(MONTH(tblGJ[[#This Row],[Date]])=1,_xlfn.XLOOKUP(2240,tblCOA[Code],tblCOA[Opening Balance]),SUMIFS(tblPurchases[WHT Amount],tblPurchases[Month],MONTH(tblGJ[[#This Row],[Date]])-1))</f>
        <v>562240</v>
      </c>
      <c r="I430" s="1" t="s">
        <v>6528</v>
      </c>
      <c r="J430" s="1">
        <f>MONTH(tblGJ[[#This Row],[Date]])</f>
        <v>6</v>
      </c>
      <c r="K430" s="1" t="str">
        <f>_xlfn.XLOOKUP(tblGJ[[#This Row],[Account Code]],tblCOA[Code],tblCOA[FS Line],"")</f>
        <v>Cash and cash equivalents</v>
      </c>
      <c r="L430" s="121">
        <f>IF(OR(tblGJ[[#This Row],[Account Code]]=1120,tblGJ[[#This Row],[Account Code]]=1130),_xlfn.MINIFS(tblBank[Value Date],tblBank[Reference],tblGJ[[#This Row],[Voucher No]],tblBank[Account Code],tblGJ[[#This Row],[Account Code]]),"")</f>
        <v>46188</v>
      </c>
      <c r="M430" s="1" t="str">
        <f>IF(tblGJ[[#This Row],[Date]]&lt;=PEnd,"Yes","No")</f>
        <v>Yes</v>
      </c>
    </row>
    <row r="431" spans="2:13" x14ac:dyDescent="0.35">
      <c r="B431" s="109">
        <v>46188</v>
      </c>
      <c r="C431" s="1" t="s">
        <v>5787</v>
      </c>
      <c r="D431" s="1">
        <v>1520</v>
      </c>
      <c r="E431" s="1" t="str">
        <f>_xlfn.XLOOKUP(tblGJ[[#This Row],[Account Code]],tblCOA[Code],tblCOA[Account Name],"⚠ Invalid account")</f>
        <v>Prepaid Income Tax - Art. 25</v>
      </c>
      <c r="F431" s="1" t="s">
        <v>6206</v>
      </c>
      <c r="G431" s="5">
        <f>PPh25Inst</f>
        <v>20000000</v>
      </c>
      <c r="H431" s="5"/>
      <c r="I431" s="1" t="s">
        <v>6528</v>
      </c>
      <c r="J431" s="1">
        <f>MONTH(tblGJ[[#This Row],[Date]])</f>
        <v>6</v>
      </c>
      <c r="K431" s="1" t="str">
        <f>_xlfn.XLOOKUP(tblGJ[[#This Row],[Account Code]],tblCOA[Code],tblCOA[FS Line],"")</f>
        <v>Prepaid taxes</v>
      </c>
      <c r="L431" s="121" t="str">
        <f>IF(OR(tblGJ[[#This Row],[Account Code]]=1120,tblGJ[[#This Row],[Account Code]]=1130),_xlfn.MINIFS(tblBank[Value Date],tblBank[Reference],tblGJ[[#This Row],[Voucher No]],tblBank[Account Code],tblGJ[[#This Row],[Account Code]]),"")</f>
        <v/>
      </c>
      <c r="M431" s="1" t="str">
        <f>IF(tblGJ[[#This Row],[Date]]&lt;=PEnd,"Yes","No")</f>
        <v>Yes</v>
      </c>
    </row>
    <row r="432" spans="2:13" x14ac:dyDescent="0.35">
      <c r="B432" s="109">
        <v>46188</v>
      </c>
      <c r="C432" s="1" t="s">
        <v>5787</v>
      </c>
      <c r="D432" s="1">
        <v>1120</v>
      </c>
      <c r="E432" s="1" t="str">
        <f>_xlfn.XLOOKUP(tblGJ[[#This Row],[Account Code]],tblCOA[Code],tblCOA[Account Name],"⚠ Invalid account")</f>
        <v>Bank BCA - Current Account</v>
      </c>
      <c r="F432" s="1" t="s">
        <v>6206</v>
      </c>
      <c r="G432" s="5"/>
      <c r="H432" s="5">
        <f>PPh25Inst</f>
        <v>20000000</v>
      </c>
      <c r="I432" s="1" t="s">
        <v>6528</v>
      </c>
      <c r="J432" s="1">
        <f>MONTH(tblGJ[[#This Row],[Date]])</f>
        <v>6</v>
      </c>
      <c r="K432" s="1" t="str">
        <f>_xlfn.XLOOKUP(tblGJ[[#This Row],[Account Code]],tblCOA[Code],tblCOA[FS Line],"")</f>
        <v>Cash and cash equivalents</v>
      </c>
      <c r="L432" s="121">
        <f>IF(OR(tblGJ[[#This Row],[Account Code]]=1120,tblGJ[[#This Row],[Account Code]]=1130),_xlfn.MINIFS(tblBank[Value Date],tblBank[Reference],tblGJ[[#This Row],[Voucher No]],tblBank[Account Code],tblGJ[[#This Row],[Account Code]]),"")</f>
        <v>46188</v>
      </c>
      <c r="M432" s="1" t="str">
        <f>IF(tblGJ[[#This Row],[Date]]&lt;=PEnd,"Yes","No")</f>
        <v>Yes</v>
      </c>
    </row>
    <row r="433" spans="2:13" x14ac:dyDescent="0.35">
      <c r="B433" s="109">
        <v>46193</v>
      </c>
      <c r="C433" s="1" t="s">
        <v>5788</v>
      </c>
      <c r="D433" s="1">
        <v>1120</v>
      </c>
      <c r="E433" s="1" t="str">
        <f>_xlfn.XLOOKUP(tblGJ[[#This Row],[Account Code]],tblCOA[Code],tblCOA[Account Name],"⚠ Invalid account")</f>
        <v>Bank BCA - Current Account</v>
      </c>
      <c r="F433" s="1" t="s">
        <v>6207</v>
      </c>
      <c r="G433" s="5">
        <f>IF(MONTH(tblGJ[[#This Row],[Date]])=1,_xlfn.XLOOKUP(1210,tblCOA[Code],tblCOA[Opening Balance]),SUMIFS(tblSales[Total incl. VAT],tblSales[Month],MONTH(tblGJ[[#This Row],[Date]])-1,tblSales[Payment Method],Products!$O$15))</f>
        <v>845242800</v>
      </c>
      <c r="H433" s="5"/>
      <c r="I433" s="1" t="s">
        <v>6530</v>
      </c>
      <c r="J433" s="1">
        <f>MONTH(tblGJ[[#This Row],[Date]])</f>
        <v>6</v>
      </c>
      <c r="K433" s="1" t="str">
        <f>_xlfn.XLOOKUP(tblGJ[[#This Row],[Account Code]],tblCOA[Code],tblCOA[FS Line],"")</f>
        <v>Cash and cash equivalents</v>
      </c>
      <c r="L433" s="121">
        <f>IF(OR(tblGJ[[#This Row],[Account Code]]=1120,tblGJ[[#This Row],[Account Code]]=1130),_xlfn.MINIFS(tblBank[Value Date],tblBank[Reference],tblGJ[[#This Row],[Voucher No]],tblBank[Account Code],tblGJ[[#This Row],[Account Code]]),"")</f>
        <v>46193</v>
      </c>
      <c r="M433" s="1" t="str">
        <f>IF(tblGJ[[#This Row],[Date]]&lt;=PEnd,"Yes","No")</f>
        <v>Yes</v>
      </c>
    </row>
    <row r="434" spans="2:13" x14ac:dyDescent="0.35">
      <c r="B434" s="109">
        <v>46193</v>
      </c>
      <c r="C434" s="1" t="s">
        <v>5788</v>
      </c>
      <c r="D434" s="1">
        <v>1210</v>
      </c>
      <c r="E434" s="1" t="str">
        <f>_xlfn.XLOOKUP(tblGJ[[#This Row],[Account Code]],tblCOA[Code],tblCOA[Account Name],"⚠ Invalid account")</f>
        <v>Trade Receivables</v>
      </c>
      <c r="F434" s="1" t="s">
        <v>6208</v>
      </c>
      <c r="G434" s="5"/>
      <c r="H434" s="5">
        <f>IF(MONTH(tblGJ[[#This Row],[Date]])=1,_xlfn.XLOOKUP(1210,tblCOA[Code],tblCOA[Opening Balance]),SUMIFS(tblSales[Total incl. VAT],tblSales[Month],MONTH(tblGJ[[#This Row],[Date]])-1,tblSales[Payment Method],Products!$O$15))</f>
        <v>845242800</v>
      </c>
      <c r="I434" s="1" t="s">
        <v>6530</v>
      </c>
      <c r="J434" s="1">
        <f>MONTH(tblGJ[[#This Row],[Date]])</f>
        <v>6</v>
      </c>
      <c r="K434" s="1" t="str">
        <f>_xlfn.XLOOKUP(tblGJ[[#This Row],[Account Code]],tblCOA[Code],tblCOA[FS Line],"")</f>
        <v>Trade receivables - net</v>
      </c>
      <c r="L434" s="121" t="str">
        <f>IF(OR(tblGJ[[#This Row],[Account Code]]=1120,tblGJ[[#This Row],[Account Code]]=1130),_xlfn.MINIFS(tblBank[Value Date],tblBank[Reference],tblGJ[[#This Row],[Voucher No]],tblBank[Account Code],tblGJ[[#This Row],[Account Code]]),"")</f>
        <v/>
      </c>
      <c r="M434" s="1" t="str">
        <f>IF(tblGJ[[#This Row],[Date]]&lt;=PEnd,"Yes","No")</f>
        <v>Yes</v>
      </c>
    </row>
    <row r="435" spans="2:13" x14ac:dyDescent="0.35">
      <c r="B435" s="109">
        <v>46197</v>
      </c>
      <c r="C435" s="1" t="s">
        <v>5789</v>
      </c>
      <c r="D435" s="1">
        <v>1130</v>
      </c>
      <c r="E435" s="1" t="str">
        <f>_xlfn.XLOOKUP(tblGJ[[#This Row],[Account Code]],tblCOA[Code],tblCOA[Account Name],"⚠ Invalid account")</f>
        <v>Bank Mandiri - Current Account</v>
      </c>
      <c r="F435" s="1" t="s">
        <v>6209</v>
      </c>
      <c r="G435" s="5">
        <f>SUMIFS(tblPayroll[Net Pay],tblPayroll[Period],MONTH(tblGJ[[#This Row],[Date]]))</f>
        <v>161397799</v>
      </c>
      <c r="H435" s="5"/>
      <c r="I435" s="1" t="s">
        <v>6531</v>
      </c>
      <c r="J435" s="1">
        <f>MONTH(tblGJ[[#This Row],[Date]])</f>
        <v>6</v>
      </c>
      <c r="K435" s="1" t="str">
        <f>_xlfn.XLOOKUP(tblGJ[[#This Row],[Account Code]],tblCOA[Code],tblCOA[FS Line],"")</f>
        <v>Cash and cash equivalents</v>
      </c>
      <c r="L435" s="121">
        <f>IF(OR(tblGJ[[#This Row],[Account Code]]=1120,tblGJ[[#This Row],[Account Code]]=1130),_xlfn.MINIFS(tblBank[Value Date],tblBank[Reference],tblGJ[[#This Row],[Voucher No]],tblBank[Account Code],tblGJ[[#This Row],[Account Code]]),"")</f>
        <v>46197</v>
      </c>
      <c r="M435" s="1" t="str">
        <f>IF(tblGJ[[#This Row],[Date]]&lt;=PEnd,"Yes","No")</f>
        <v>Yes</v>
      </c>
    </row>
    <row r="436" spans="2:13" x14ac:dyDescent="0.35">
      <c r="B436" s="109">
        <v>46197</v>
      </c>
      <c r="C436" s="1" t="s">
        <v>5789</v>
      </c>
      <c r="D436" s="1">
        <v>1120</v>
      </c>
      <c r="E436" s="1" t="str">
        <f>_xlfn.XLOOKUP(tblGJ[[#This Row],[Account Code]],tblCOA[Code],tblCOA[Account Name],"⚠ Invalid account")</f>
        <v>Bank BCA - Current Account</v>
      </c>
      <c r="F436" s="1" t="s">
        <v>6210</v>
      </c>
      <c r="G436" s="5"/>
      <c r="H436" s="5">
        <f>SUMIFS(tblPayroll[Net Pay],tblPayroll[Period],MONTH(tblGJ[[#This Row],[Date]]))</f>
        <v>161397799</v>
      </c>
      <c r="I436" s="1" t="s">
        <v>6531</v>
      </c>
      <c r="J436" s="1">
        <f>MONTH(tblGJ[[#This Row],[Date]])</f>
        <v>6</v>
      </c>
      <c r="K436" s="1" t="str">
        <f>_xlfn.XLOOKUP(tblGJ[[#This Row],[Account Code]],tblCOA[Code],tblCOA[FS Line],"")</f>
        <v>Cash and cash equivalents</v>
      </c>
      <c r="L436" s="121">
        <f>IF(OR(tblGJ[[#This Row],[Account Code]]=1120,tblGJ[[#This Row],[Account Code]]=1130),_xlfn.MINIFS(tblBank[Value Date],tblBank[Reference],tblGJ[[#This Row],[Voucher No]],tblBank[Account Code],tblGJ[[#This Row],[Account Code]]),"")</f>
        <v>46197</v>
      </c>
      <c r="M436" s="1" t="str">
        <f>IF(tblGJ[[#This Row],[Date]]&lt;=PEnd,"Yes","No")</f>
        <v>Yes</v>
      </c>
    </row>
    <row r="437" spans="2:13" x14ac:dyDescent="0.35">
      <c r="B437" s="109">
        <v>46198</v>
      </c>
      <c r="C437" s="1" t="s">
        <v>5790</v>
      </c>
      <c r="D437" s="1">
        <v>6110</v>
      </c>
      <c r="E437" s="1" t="str">
        <f>_xlfn.XLOOKUP(tblGJ[[#This Row],[Account Code]],tblCOA[Code],tblCOA[Account Name],"⚠ Invalid account")</f>
        <v>Salaries &amp; Allowances - Selling</v>
      </c>
      <c r="F437" s="1" t="s">
        <v>6211</v>
      </c>
      <c r="G437" s="5">
        <f>SUMIFS(tblPayroll[Gross Salary],tblPayroll[Period],MONTH(tblGJ[[#This Row],[Date]]),tblPayroll[Department],"Selling")</f>
        <v>80200000</v>
      </c>
      <c r="H437" s="5"/>
      <c r="I437" s="1" t="s">
        <v>6531</v>
      </c>
      <c r="J437" s="1">
        <f>MONTH(tblGJ[[#This Row],[Date]])</f>
        <v>6</v>
      </c>
      <c r="K437" s="1" t="str">
        <f>_xlfn.XLOOKUP(tblGJ[[#This Row],[Account Code]],tblCOA[Code],tblCOA[FS Line],"")</f>
        <v>Selling expenses</v>
      </c>
      <c r="L437" s="121" t="str">
        <f>IF(OR(tblGJ[[#This Row],[Account Code]]=1120,tblGJ[[#This Row],[Account Code]]=1130),_xlfn.MINIFS(tblBank[Value Date],tblBank[Reference],tblGJ[[#This Row],[Voucher No]],tblBank[Account Code],tblGJ[[#This Row],[Account Code]]),"")</f>
        <v/>
      </c>
      <c r="M437" s="1" t="str">
        <f>IF(tblGJ[[#This Row],[Date]]&lt;=PEnd,"Yes","No")</f>
        <v>Yes</v>
      </c>
    </row>
    <row r="438" spans="2:13" x14ac:dyDescent="0.35">
      <c r="B438" s="109">
        <v>46198</v>
      </c>
      <c r="C438" s="1" t="s">
        <v>5790</v>
      </c>
      <c r="D438" s="1">
        <v>6111</v>
      </c>
      <c r="E438" s="1" t="str">
        <f>_xlfn.XLOOKUP(tblGJ[[#This Row],[Account Code]],tblCOA[Code],tblCOA[Account Name],"⚠ Invalid account")</f>
        <v>BPJS Employer Contributions - Selling</v>
      </c>
      <c r="F438" s="1" t="s">
        <v>6212</v>
      </c>
      <c r="G438" s="5">
        <f>SUMIFS(tblPayroll[Employer BPJS Total],tblPayroll[Period],MONTH(tblGJ[[#This Row],[Date]]),tblPayroll[Department],"Selling")</f>
        <v>7824376</v>
      </c>
      <c r="H438" s="5"/>
      <c r="I438" s="1" t="s">
        <v>6531</v>
      </c>
      <c r="J438" s="1">
        <f>MONTH(tblGJ[[#This Row],[Date]])</f>
        <v>6</v>
      </c>
      <c r="K438" s="1" t="str">
        <f>_xlfn.XLOOKUP(tblGJ[[#This Row],[Account Code]],tblCOA[Code],tblCOA[FS Line],"")</f>
        <v>Selling expenses</v>
      </c>
      <c r="L438" s="121" t="str">
        <f>IF(OR(tblGJ[[#This Row],[Account Code]]=1120,tblGJ[[#This Row],[Account Code]]=1130),_xlfn.MINIFS(tblBank[Value Date],tblBank[Reference],tblGJ[[#This Row],[Voucher No]],tblBank[Account Code],tblGJ[[#This Row],[Account Code]]),"")</f>
        <v/>
      </c>
      <c r="M438" s="1" t="str">
        <f>IF(tblGJ[[#This Row],[Date]]&lt;=PEnd,"Yes","No")</f>
        <v>Yes</v>
      </c>
    </row>
    <row r="439" spans="2:13" x14ac:dyDescent="0.35">
      <c r="B439" s="109">
        <v>46198</v>
      </c>
      <c r="C439" s="1" t="s">
        <v>5790</v>
      </c>
      <c r="D439" s="1">
        <v>6210</v>
      </c>
      <c r="E439" s="1" t="str">
        <f>_xlfn.XLOOKUP(tblGJ[[#This Row],[Account Code]],tblCOA[Code],tblCOA[Account Name],"⚠ Invalid account")</f>
        <v>Salaries &amp; Allowances - G&amp;A</v>
      </c>
      <c r="F439" s="1" t="s">
        <v>6213</v>
      </c>
      <c r="G439" s="5">
        <f>SUMIFS(tblPayroll[Gross Salary],tblPayroll[Period],MONTH(tblGJ[[#This Row],[Date]]),tblPayroll[Department],"G&amp;A")</f>
        <v>98000000</v>
      </c>
      <c r="H439" s="5"/>
      <c r="I439" s="1" t="s">
        <v>6531</v>
      </c>
      <c r="J439" s="1">
        <f>MONTH(tblGJ[[#This Row],[Date]])</f>
        <v>6</v>
      </c>
      <c r="K439" s="1" t="str">
        <f>_xlfn.XLOOKUP(tblGJ[[#This Row],[Account Code]],tblCOA[Code],tblCOA[FS Line],"")</f>
        <v>General &amp; administrative expenses</v>
      </c>
      <c r="L439" s="121" t="str">
        <f>IF(OR(tblGJ[[#This Row],[Account Code]]=1120,tblGJ[[#This Row],[Account Code]]=1130),_xlfn.MINIFS(tblBank[Value Date],tblBank[Reference],tblGJ[[#This Row],[Voucher No]],tblBank[Account Code],tblGJ[[#This Row],[Account Code]]),"")</f>
        <v/>
      </c>
      <c r="M439" s="1" t="str">
        <f>IF(tblGJ[[#This Row],[Date]]&lt;=PEnd,"Yes","No")</f>
        <v>Yes</v>
      </c>
    </row>
    <row r="440" spans="2:13" x14ac:dyDescent="0.35">
      <c r="B440" s="109">
        <v>46198</v>
      </c>
      <c r="C440" s="1" t="s">
        <v>5790</v>
      </c>
      <c r="D440" s="1">
        <v>6211</v>
      </c>
      <c r="E440" s="1" t="str">
        <f>_xlfn.XLOOKUP(tblGJ[[#This Row],[Account Code]],tblCOA[Code],tblCOA[Account Name],"⚠ Invalid account")</f>
        <v>BPJS Employer Contributions - G&amp;A</v>
      </c>
      <c r="F440" s="1" t="s">
        <v>6214</v>
      </c>
      <c r="G440" s="5">
        <f>SUMIFS(tblPayroll[Employer BPJS Total],tblPayroll[Period],MONTH(tblGJ[[#This Row],[Date]]),tblPayroll[Department],"G&amp;A")</f>
        <v>7968044</v>
      </c>
      <c r="H440" s="5"/>
      <c r="I440" s="1" t="s">
        <v>6531</v>
      </c>
      <c r="J440" s="1">
        <f>MONTH(tblGJ[[#This Row],[Date]])</f>
        <v>6</v>
      </c>
      <c r="K440" s="1" t="str">
        <f>_xlfn.XLOOKUP(tblGJ[[#This Row],[Account Code]],tblCOA[Code],tblCOA[FS Line],"")</f>
        <v>General &amp; administrative expenses</v>
      </c>
      <c r="L440" s="121" t="str">
        <f>IF(OR(tblGJ[[#This Row],[Account Code]]=1120,tblGJ[[#This Row],[Account Code]]=1130),_xlfn.MINIFS(tblBank[Value Date],tblBank[Reference],tblGJ[[#This Row],[Voucher No]],tblBank[Account Code],tblGJ[[#This Row],[Account Code]]),"")</f>
        <v/>
      </c>
      <c r="M440" s="1" t="str">
        <f>IF(tblGJ[[#This Row],[Date]]&lt;=PEnd,"Yes","No")</f>
        <v>Yes</v>
      </c>
    </row>
    <row r="441" spans="2:13" x14ac:dyDescent="0.35">
      <c r="B441" s="109">
        <v>46198</v>
      </c>
      <c r="C441" s="1" t="s">
        <v>5790</v>
      </c>
      <c r="D441" s="1">
        <v>2230</v>
      </c>
      <c r="E441" s="1" t="str">
        <f>_xlfn.XLOOKUP(tblGJ[[#This Row],[Account Code]],tblCOA[Code],tblCOA[Account Name],"⚠ Invalid account")</f>
        <v>WHT Payable - Art. 21</v>
      </c>
      <c r="F441" s="1" t="s">
        <v>6215</v>
      </c>
      <c r="G441" s="5"/>
      <c r="H441" s="5">
        <f>SUMIFS(tblPayroll[PPh 21],tblPayroll[Period],MONTH(tblGJ[[#This Row],[Date]]))</f>
        <v>10516831</v>
      </c>
      <c r="I441" s="1" t="s">
        <v>6531</v>
      </c>
      <c r="J441" s="1">
        <f>MONTH(tblGJ[[#This Row],[Date]])</f>
        <v>6</v>
      </c>
      <c r="K441" s="1" t="str">
        <f>_xlfn.XLOOKUP(tblGJ[[#This Row],[Account Code]],tblCOA[Code],tblCOA[FS Line],"")</f>
        <v>Taxes payable</v>
      </c>
      <c r="L441" s="121" t="str">
        <f>IF(OR(tblGJ[[#This Row],[Account Code]]=1120,tblGJ[[#This Row],[Account Code]]=1130),_xlfn.MINIFS(tblBank[Value Date],tblBank[Reference],tblGJ[[#This Row],[Voucher No]],tblBank[Account Code],tblGJ[[#This Row],[Account Code]]),"")</f>
        <v/>
      </c>
      <c r="M441" s="1" t="str">
        <f>IF(tblGJ[[#This Row],[Date]]&lt;=PEnd,"Yes","No")</f>
        <v>Yes</v>
      </c>
    </row>
    <row r="442" spans="2:13" x14ac:dyDescent="0.35">
      <c r="B442" s="109">
        <v>46198</v>
      </c>
      <c r="C442" s="1" t="s">
        <v>5790</v>
      </c>
      <c r="D442" s="1">
        <v>2150</v>
      </c>
      <c r="E442" s="1" t="str">
        <f>_xlfn.XLOOKUP(tblGJ[[#This Row],[Account Code]],tblCOA[Code],tblCOA[Account Name],"⚠ Invalid account")</f>
        <v>BPJS Payable</v>
      </c>
      <c r="F442" s="1" t="s">
        <v>6216</v>
      </c>
      <c r="G442" s="5"/>
      <c r="H442" s="5">
        <f>SUMIFS(tblPayroll[BPJS Payable],tblPayroll[Period],MONTH(tblGJ[[#This Row],[Date]]))</f>
        <v>22077790</v>
      </c>
      <c r="I442" s="1" t="s">
        <v>6531</v>
      </c>
      <c r="J442" s="1">
        <f>MONTH(tblGJ[[#This Row],[Date]])</f>
        <v>6</v>
      </c>
      <c r="K442" s="1" t="str">
        <f>_xlfn.XLOOKUP(tblGJ[[#This Row],[Account Code]],tblCOA[Code],tblCOA[FS Line],"")</f>
        <v>Accrued expenses</v>
      </c>
      <c r="L442" s="121" t="str">
        <f>IF(OR(tblGJ[[#This Row],[Account Code]]=1120,tblGJ[[#This Row],[Account Code]]=1130),_xlfn.MINIFS(tblBank[Value Date],tblBank[Reference],tblGJ[[#This Row],[Voucher No]],tblBank[Account Code],tblGJ[[#This Row],[Account Code]]),"")</f>
        <v/>
      </c>
      <c r="M442" s="1" t="str">
        <f>IF(tblGJ[[#This Row],[Date]]&lt;=PEnd,"Yes","No")</f>
        <v>Yes</v>
      </c>
    </row>
    <row r="443" spans="2:13" x14ac:dyDescent="0.35">
      <c r="B443" s="109">
        <v>46198</v>
      </c>
      <c r="C443" s="1" t="s">
        <v>5790</v>
      </c>
      <c r="D443" s="1">
        <v>1130</v>
      </c>
      <c r="E443" s="1" t="str">
        <f>_xlfn.XLOOKUP(tblGJ[[#This Row],[Account Code]],tblCOA[Code],tblCOA[Account Name],"⚠ Invalid account")</f>
        <v>Bank Mandiri - Current Account</v>
      </c>
      <c r="F443" s="1" t="s">
        <v>6217</v>
      </c>
      <c r="G443" s="5"/>
      <c r="H443" s="5">
        <f>SUMIFS(tblPayroll[Net Pay],tblPayroll[Period],MONTH(tblGJ[[#This Row],[Date]]))</f>
        <v>161397799</v>
      </c>
      <c r="I443" s="1" t="s">
        <v>6531</v>
      </c>
      <c r="J443" s="1">
        <f>MONTH(tblGJ[[#This Row],[Date]])</f>
        <v>6</v>
      </c>
      <c r="K443" s="1" t="str">
        <f>_xlfn.XLOOKUP(tblGJ[[#This Row],[Account Code]],tblCOA[Code],tblCOA[FS Line],"")</f>
        <v>Cash and cash equivalents</v>
      </c>
      <c r="L443" s="121">
        <f>IF(OR(tblGJ[[#This Row],[Account Code]]=1120,tblGJ[[#This Row],[Account Code]]=1130),_xlfn.MINIFS(tblBank[Value Date],tblBank[Reference],tblGJ[[#This Row],[Voucher No]],tblBank[Account Code],tblGJ[[#This Row],[Account Code]]),"")</f>
        <v>46198</v>
      </c>
      <c r="M443" s="1" t="str">
        <f>IF(tblGJ[[#This Row],[Date]]&lt;=PEnd,"Yes","No")</f>
        <v>Yes</v>
      </c>
    </row>
    <row r="444" spans="2:13" x14ac:dyDescent="0.35">
      <c r="B444" s="109">
        <v>46201</v>
      </c>
      <c r="C444" s="1" t="s">
        <v>5791</v>
      </c>
      <c r="D444" s="1">
        <v>2220</v>
      </c>
      <c r="E444" s="1" t="str">
        <f>_xlfn.XLOOKUP(tblGJ[[#This Row],[Account Code]],tblCOA[Code],tblCOA[Account Name],"⚠ Invalid account")</f>
        <v>VAT Payable - Net</v>
      </c>
      <c r="F444" s="1" t="s">
        <v>5974</v>
      </c>
      <c r="G444" s="5">
        <f>IF(MONTH(tblGJ[[#This Row],[Date]])=1,_xlfn.XLOOKUP(2220,tblCOA[Code],tblCOA[Opening Balance]),SUMIFS(tblSales[Output VAT],tblSales[Month],MONTH(tblGJ[[#This Row],[Date]])-1)-SUMIFS(tblPurchases[Input VAT],tblPurchases[Month],MONTH(tblGJ[[#This Row],[Date]])-1))</f>
        <v>52409830</v>
      </c>
      <c r="H444" s="5"/>
      <c r="I444" s="1" t="s">
        <v>6528</v>
      </c>
      <c r="J444" s="1">
        <f>MONTH(tblGJ[[#This Row],[Date]])</f>
        <v>6</v>
      </c>
      <c r="K444" s="1" t="str">
        <f>_xlfn.XLOOKUP(tblGJ[[#This Row],[Account Code]],tblCOA[Code],tblCOA[FS Line],"")</f>
        <v>Taxes payable</v>
      </c>
      <c r="L444" s="121" t="str">
        <f>IF(OR(tblGJ[[#This Row],[Account Code]]=1120,tblGJ[[#This Row],[Account Code]]=1130),_xlfn.MINIFS(tblBank[Value Date],tblBank[Reference],tblGJ[[#This Row],[Voucher No]],tblBank[Account Code],tblGJ[[#This Row],[Account Code]]),"")</f>
        <v/>
      </c>
      <c r="M444" s="1" t="str">
        <f>IF(tblGJ[[#This Row],[Date]]&lt;=PEnd,"Yes","No")</f>
        <v>Yes</v>
      </c>
    </row>
    <row r="445" spans="2:13" x14ac:dyDescent="0.35">
      <c r="B445" s="109">
        <v>46201</v>
      </c>
      <c r="C445" s="1" t="s">
        <v>5791</v>
      </c>
      <c r="D445" s="1">
        <v>1120</v>
      </c>
      <c r="E445" s="1" t="str">
        <f>_xlfn.XLOOKUP(tblGJ[[#This Row],[Account Code]],tblCOA[Code],tblCOA[Account Name],"⚠ Invalid account")</f>
        <v>Bank BCA - Current Account</v>
      </c>
      <c r="F445" s="1" t="s">
        <v>5974</v>
      </c>
      <c r="G445" s="5"/>
      <c r="H445" s="5">
        <f>IF(MONTH(tblGJ[[#This Row],[Date]])=1,_xlfn.XLOOKUP(2220,tblCOA[Code],tblCOA[Opening Balance]),SUMIFS(tblSales[Output VAT],tblSales[Month],MONTH(tblGJ[[#This Row],[Date]])-1)-SUMIFS(tblPurchases[Input VAT],tblPurchases[Month],MONTH(tblGJ[[#This Row],[Date]])-1))</f>
        <v>52409830</v>
      </c>
      <c r="I445" s="1" t="s">
        <v>6528</v>
      </c>
      <c r="J445" s="1">
        <f>MONTH(tblGJ[[#This Row],[Date]])</f>
        <v>6</v>
      </c>
      <c r="K445" s="1" t="str">
        <f>_xlfn.XLOOKUP(tblGJ[[#This Row],[Account Code]],tblCOA[Code],tblCOA[FS Line],"")</f>
        <v>Cash and cash equivalents</v>
      </c>
      <c r="L445" s="121">
        <f>IF(OR(tblGJ[[#This Row],[Account Code]]=1120,tblGJ[[#This Row],[Account Code]]=1130),_xlfn.MINIFS(tblBank[Value Date],tblBank[Reference],tblGJ[[#This Row],[Voucher No]],tblBank[Account Code],tblGJ[[#This Row],[Account Code]]),"")</f>
        <v>46201</v>
      </c>
      <c r="M445" s="1" t="str">
        <f>IF(tblGJ[[#This Row],[Date]]&lt;=PEnd,"Yes","No")</f>
        <v>Yes</v>
      </c>
    </row>
    <row r="446" spans="2:13" x14ac:dyDescent="0.35">
      <c r="B446" s="109">
        <v>46201</v>
      </c>
      <c r="C446" s="1" t="s">
        <v>5792</v>
      </c>
      <c r="D446" s="1">
        <v>2410</v>
      </c>
      <c r="E446" s="1" t="str">
        <f>_xlfn.XLOOKUP(tblGJ[[#This Row],[Account Code]],tblCOA[Code],tblCOA[Account Name],"⚠ Invalid account")</f>
        <v>Long-term Bank Loan</v>
      </c>
      <c r="F446" s="1" t="s">
        <v>6218</v>
      </c>
      <c r="G446" s="5">
        <v>25000000</v>
      </c>
      <c r="H446" s="5"/>
      <c r="I446" s="1" t="s">
        <v>4263</v>
      </c>
      <c r="J446" s="1">
        <f>MONTH(tblGJ[[#This Row],[Date]])</f>
        <v>6</v>
      </c>
      <c r="K446" s="1" t="str">
        <f>_xlfn.XLOOKUP(tblGJ[[#This Row],[Account Code]],tblCOA[Code],tblCOA[FS Line],"")</f>
        <v>Long-term bank loans</v>
      </c>
      <c r="L446" s="121" t="str">
        <f>IF(OR(tblGJ[[#This Row],[Account Code]]=1120,tblGJ[[#This Row],[Account Code]]=1130),_xlfn.MINIFS(tblBank[Value Date],tblBank[Reference],tblGJ[[#This Row],[Voucher No]],tblBank[Account Code],tblGJ[[#This Row],[Account Code]]),"")</f>
        <v/>
      </c>
      <c r="M446" s="1" t="str">
        <f>IF(tblGJ[[#This Row],[Date]]&lt;=PEnd,"Yes","No")</f>
        <v>Yes</v>
      </c>
    </row>
    <row r="447" spans="2:13" x14ac:dyDescent="0.35">
      <c r="B447" s="109">
        <v>46201</v>
      </c>
      <c r="C447" s="1" t="s">
        <v>5792</v>
      </c>
      <c r="D447" s="1">
        <v>7210</v>
      </c>
      <c r="E447" s="1" t="str">
        <f>_xlfn.XLOOKUP(tblGJ[[#This Row],[Account Code]],tblCOA[Code],tblCOA[Account Name],"⚠ Invalid account")</f>
        <v>Interest Expense - Bank Loans</v>
      </c>
      <c r="F447" s="1" t="s">
        <v>6219</v>
      </c>
      <c r="G447" s="5">
        <v>10312500</v>
      </c>
      <c r="H447" s="5"/>
      <c r="I447" s="1" t="s">
        <v>4263</v>
      </c>
      <c r="J447" s="1">
        <f>MONTH(tblGJ[[#This Row],[Date]])</f>
        <v>6</v>
      </c>
      <c r="K447" s="1" t="str">
        <f>_xlfn.XLOOKUP(tblGJ[[#This Row],[Account Code]],tblCOA[Code],tblCOA[FS Line],"")</f>
        <v>Finance costs</v>
      </c>
      <c r="L447" s="121" t="str">
        <f>IF(OR(tblGJ[[#This Row],[Account Code]]=1120,tblGJ[[#This Row],[Account Code]]=1130),_xlfn.MINIFS(tblBank[Value Date],tblBank[Reference],tblGJ[[#This Row],[Voucher No]],tblBank[Account Code],tblGJ[[#This Row],[Account Code]]),"")</f>
        <v/>
      </c>
      <c r="M447" s="1" t="str">
        <f>IF(tblGJ[[#This Row],[Date]]&lt;=PEnd,"Yes","No")</f>
        <v>Yes</v>
      </c>
    </row>
    <row r="448" spans="2:13" x14ac:dyDescent="0.35">
      <c r="B448" s="109">
        <v>46201</v>
      </c>
      <c r="C448" s="1" t="s">
        <v>5792</v>
      </c>
      <c r="D448" s="1">
        <v>1120</v>
      </c>
      <c r="E448" s="1" t="str">
        <f>_xlfn.XLOOKUP(tblGJ[[#This Row],[Account Code]],tblCOA[Code],tblCOA[Account Name],"⚠ Invalid account")</f>
        <v>Bank BCA - Current Account</v>
      </c>
      <c r="F448" s="1" t="s">
        <v>6220</v>
      </c>
      <c r="G448" s="5"/>
      <c r="H448" s="5">
        <v>35312500</v>
      </c>
      <c r="I448" s="1" t="s">
        <v>4263</v>
      </c>
      <c r="J448" s="1">
        <f>MONTH(tblGJ[[#This Row],[Date]])</f>
        <v>6</v>
      </c>
      <c r="K448" s="1" t="str">
        <f>_xlfn.XLOOKUP(tblGJ[[#This Row],[Account Code]],tblCOA[Code],tblCOA[FS Line],"")</f>
        <v>Cash and cash equivalents</v>
      </c>
      <c r="L448" s="121">
        <f>IF(OR(tblGJ[[#This Row],[Account Code]]=1120,tblGJ[[#This Row],[Account Code]]=1130),_xlfn.MINIFS(tblBank[Value Date],tblBank[Reference],tblGJ[[#This Row],[Voucher No]],tblBank[Account Code],tblGJ[[#This Row],[Account Code]]),"")</f>
        <v>46201</v>
      </c>
      <c r="M448" s="1" t="str">
        <f>IF(tblGJ[[#This Row],[Date]]&lt;=PEnd,"Yes","No")</f>
        <v>Yes</v>
      </c>
    </row>
    <row r="449" spans="2:13" x14ac:dyDescent="0.35">
      <c r="B449" s="109">
        <v>46201</v>
      </c>
      <c r="C449" s="1" t="s">
        <v>5793</v>
      </c>
      <c r="D449" s="1">
        <v>7210</v>
      </c>
      <c r="E449" s="1" t="str">
        <f>_xlfn.XLOOKUP(tblGJ[[#This Row],[Account Code]],tblCOA[Code],tblCOA[Account Name],"⚠ Invalid account")</f>
        <v>Interest Expense - Bank Loans</v>
      </c>
      <c r="F449" s="1" t="s">
        <v>6221</v>
      </c>
      <c r="G449" s="5">
        <v>2500000</v>
      </c>
      <c r="H449" s="5"/>
      <c r="I449" s="1" t="s">
        <v>4263</v>
      </c>
      <c r="J449" s="1">
        <f>MONTH(tblGJ[[#This Row],[Date]])</f>
        <v>6</v>
      </c>
      <c r="K449" s="1" t="str">
        <f>_xlfn.XLOOKUP(tblGJ[[#This Row],[Account Code]],tblCOA[Code],tblCOA[FS Line],"")</f>
        <v>Finance costs</v>
      </c>
      <c r="L449" s="121" t="str">
        <f>IF(OR(tblGJ[[#This Row],[Account Code]]=1120,tblGJ[[#This Row],[Account Code]]=1130),_xlfn.MINIFS(tblBank[Value Date],tblBank[Reference],tblGJ[[#This Row],[Voucher No]],tblBank[Account Code],tblGJ[[#This Row],[Account Code]]),"")</f>
        <v/>
      </c>
      <c r="M449" s="1" t="str">
        <f>IF(tblGJ[[#This Row],[Date]]&lt;=PEnd,"Yes","No")</f>
        <v>Yes</v>
      </c>
    </row>
    <row r="450" spans="2:13" x14ac:dyDescent="0.35">
      <c r="B450" s="109">
        <v>46201</v>
      </c>
      <c r="C450" s="1" t="s">
        <v>5793</v>
      </c>
      <c r="D450" s="1">
        <v>1120</v>
      </c>
      <c r="E450" s="1" t="str">
        <f>_xlfn.XLOOKUP(tblGJ[[#This Row],[Account Code]],tblCOA[Code],tblCOA[Account Name],"⚠ Invalid account")</f>
        <v>Bank BCA - Current Account</v>
      </c>
      <c r="F450" s="1" t="s">
        <v>6222</v>
      </c>
      <c r="G450" s="5"/>
      <c r="H450" s="5">
        <v>2500000</v>
      </c>
      <c r="I450" s="1" t="s">
        <v>4263</v>
      </c>
      <c r="J450" s="1">
        <f>MONTH(tblGJ[[#This Row],[Date]])</f>
        <v>6</v>
      </c>
      <c r="K450" s="1" t="str">
        <f>_xlfn.XLOOKUP(tblGJ[[#This Row],[Account Code]],tblCOA[Code],tblCOA[FS Line],"")</f>
        <v>Cash and cash equivalents</v>
      </c>
      <c r="L450" s="121">
        <f>IF(OR(tblGJ[[#This Row],[Account Code]]=1120,tblGJ[[#This Row],[Account Code]]=1130),_xlfn.MINIFS(tblBank[Value Date],tblBank[Reference],tblGJ[[#This Row],[Voucher No]],tblBank[Account Code],tblGJ[[#This Row],[Account Code]]),"")</f>
        <v>46201</v>
      </c>
      <c r="M450" s="1" t="str">
        <f>IF(tblGJ[[#This Row],[Date]]&lt;=PEnd,"Yes","No")</f>
        <v>Yes</v>
      </c>
    </row>
    <row r="451" spans="2:13" x14ac:dyDescent="0.35">
      <c r="B451" s="109">
        <v>46203</v>
      </c>
      <c r="C451" s="1" t="s">
        <v>5794</v>
      </c>
      <c r="D451" s="1">
        <v>1110</v>
      </c>
      <c r="E451" s="1" t="str">
        <f>_xlfn.XLOOKUP(tblGJ[[#This Row],[Account Code]],tblCOA[Code],tblCOA[Account Name],"⚠ Invalid account")</f>
        <v>Cash on Hand</v>
      </c>
      <c r="F451" s="1" t="s">
        <v>6223</v>
      </c>
      <c r="G451" s="5">
        <f>SUMIFS(tblSales[Total incl. VAT],tblSales[Month],MONTH(tblGJ[[#This Row],[Date]]),tblSales[Payment Method],Products!$O$13)</f>
        <v>143900400</v>
      </c>
      <c r="H451" s="5"/>
      <c r="I451" s="1" t="s">
        <v>6532</v>
      </c>
      <c r="J451" s="1">
        <f>MONTH(tblGJ[[#This Row],[Date]])</f>
        <v>6</v>
      </c>
      <c r="K451" s="1" t="str">
        <f>_xlfn.XLOOKUP(tblGJ[[#This Row],[Account Code]],tblCOA[Code],tblCOA[FS Line],"")</f>
        <v>Cash and cash equivalents</v>
      </c>
      <c r="L451" s="121" t="str">
        <f>IF(OR(tblGJ[[#This Row],[Account Code]]=1120,tblGJ[[#This Row],[Account Code]]=1130),_xlfn.MINIFS(tblBank[Value Date],tblBank[Reference],tblGJ[[#This Row],[Voucher No]],tblBank[Account Code],tblGJ[[#This Row],[Account Code]]),"")</f>
        <v/>
      </c>
      <c r="M451" s="1" t="str">
        <f>IF(tblGJ[[#This Row],[Date]]&lt;=PEnd,"Yes","No")</f>
        <v>Yes</v>
      </c>
    </row>
    <row r="452" spans="2:13" x14ac:dyDescent="0.35">
      <c r="B452" s="109">
        <v>46203</v>
      </c>
      <c r="C452" s="1" t="s">
        <v>5794</v>
      </c>
      <c r="D452" s="1">
        <v>1120</v>
      </c>
      <c r="E452" s="1" t="str">
        <f>_xlfn.XLOOKUP(tblGJ[[#This Row],[Account Code]],tblCOA[Code],tblCOA[Account Name],"⚠ Invalid account")</f>
        <v>Bank BCA - Current Account</v>
      </c>
      <c r="F452" s="1" t="s">
        <v>6224</v>
      </c>
      <c r="G452" s="5">
        <f>SUMIFS(tblSales[Total incl. VAT],tblSales[Month],MONTH(tblGJ[[#This Row],[Date]]),tblSales[Payment Method],Products!$O$14)</f>
        <v>208063950</v>
      </c>
      <c r="H452" s="5"/>
      <c r="I452" s="1" t="s">
        <v>6532</v>
      </c>
      <c r="J452" s="1">
        <f>MONTH(tblGJ[[#This Row],[Date]])</f>
        <v>6</v>
      </c>
      <c r="K452" s="1" t="str">
        <f>_xlfn.XLOOKUP(tblGJ[[#This Row],[Account Code]],tblCOA[Code],tblCOA[FS Line],"")</f>
        <v>Cash and cash equivalents</v>
      </c>
      <c r="L452" s="121">
        <f>IF(OR(tblGJ[[#This Row],[Account Code]]=1120,tblGJ[[#This Row],[Account Code]]=1130),_xlfn.MINIFS(tblBank[Value Date],tblBank[Reference],tblGJ[[#This Row],[Voucher No]],tblBank[Account Code],tblGJ[[#This Row],[Account Code]]),"")</f>
        <v>46203</v>
      </c>
      <c r="M452" s="1" t="str">
        <f>IF(tblGJ[[#This Row],[Date]]&lt;=PEnd,"Yes","No")</f>
        <v>Yes</v>
      </c>
    </row>
    <row r="453" spans="2:13" x14ac:dyDescent="0.35">
      <c r="B453" s="109">
        <v>46203</v>
      </c>
      <c r="C453" s="1" t="s">
        <v>5794</v>
      </c>
      <c r="D453" s="1">
        <v>1210</v>
      </c>
      <c r="E453" s="1" t="str">
        <f>_xlfn.XLOOKUP(tblGJ[[#This Row],[Account Code]],tblCOA[Code],tblCOA[Account Name],"⚠ Invalid account")</f>
        <v>Trade Receivables</v>
      </c>
      <c r="F453" s="1" t="s">
        <v>6225</v>
      </c>
      <c r="G453" s="5">
        <f>SUMIFS(tblSales[Total incl. VAT],tblSales[Month],MONTH(tblGJ[[#This Row],[Date]]),tblSales[Payment Method],Products!$O$15)</f>
        <v>916771200</v>
      </c>
      <c r="H453" s="5"/>
      <c r="I453" s="1" t="s">
        <v>6532</v>
      </c>
      <c r="J453" s="1">
        <f>MONTH(tblGJ[[#This Row],[Date]])</f>
        <v>6</v>
      </c>
      <c r="K453" s="1" t="str">
        <f>_xlfn.XLOOKUP(tblGJ[[#This Row],[Account Code]],tblCOA[Code],tblCOA[FS Line],"")</f>
        <v>Trade receivables - net</v>
      </c>
      <c r="L453" s="121" t="str">
        <f>IF(OR(tblGJ[[#This Row],[Account Code]]=1120,tblGJ[[#This Row],[Account Code]]=1130),_xlfn.MINIFS(tblBank[Value Date],tblBank[Reference],tblGJ[[#This Row],[Voucher No]],tblBank[Account Code],tblGJ[[#This Row],[Account Code]]),"")</f>
        <v/>
      </c>
      <c r="M453" s="1" t="str">
        <f>IF(tblGJ[[#This Row],[Date]]&lt;=PEnd,"Yes","No")</f>
        <v>Yes</v>
      </c>
    </row>
    <row r="454" spans="2:13" x14ac:dyDescent="0.35">
      <c r="B454" s="109">
        <v>46203</v>
      </c>
      <c r="C454" s="1" t="s">
        <v>5794</v>
      </c>
      <c r="D454" s="1">
        <v>4100</v>
      </c>
      <c r="E454" s="1" t="str">
        <f>_xlfn.XLOOKUP(tblGJ[[#This Row],[Account Code]],tblCOA[Code],tblCOA[Account Name],"⚠ Invalid account")</f>
        <v>Sales of goods</v>
      </c>
      <c r="F454" s="1" t="s">
        <v>6226</v>
      </c>
      <c r="G454" s="5"/>
      <c r="H454" s="5">
        <f>SUMIFS(tblSales[DPP (excl. VAT)],tblSales[Month],MONTH(tblGJ[[#This Row],[Date]]))</f>
        <v>1143005000</v>
      </c>
      <c r="I454" s="1" t="s">
        <v>6532</v>
      </c>
      <c r="J454" s="1">
        <f>MONTH(tblGJ[[#This Row],[Date]])</f>
        <v>6</v>
      </c>
      <c r="K454" s="1" t="str">
        <f>_xlfn.XLOOKUP(tblGJ[[#This Row],[Account Code]],tblCOA[Code],tblCOA[FS Line],"")</f>
        <v>Revenue</v>
      </c>
      <c r="L454" s="121" t="str">
        <f>IF(OR(tblGJ[[#This Row],[Account Code]]=1120,tblGJ[[#This Row],[Account Code]]=1130),_xlfn.MINIFS(tblBank[Value Date],tblBank[Reference],tblGJ[[#This Row],[Voucher No]],tblBank[Account Code],tblGJ[[#This Row],[Account Code]]),"")</f>
        <v/>
      </c>
      <c r="M454" s="1" t="str">
        <f>IF(tblGJ[[#This Row],[Date]]&lt;=PEnd,"Yes","No")</f>
        <v>Yes</v>
      </c>
    </row>
    <row r="455" spans="2:13" x14ac:dyDescent="0.35">
      <c r="B455" s="109">
        <v>46203</v>
      </c>
      <c r="C455" s="1" t="s">
        <v>5794</v>
      </c>
      <c r="D455" s="1">
        <v>2210</v>
      </c>
      <c r="E455" s="1" t="str">
        <f>_xlfn.XLOOKUP(tblGJ[[#This Row],[Account Code]],tblCOA[Code],tblCOA[Account Name],"⚠ Invalid account")</f>
        <v>Output VAT (PPN Keluaran)</v>
      </c>
      <c r="F455" s="1" t="s">
        <v>6227</v>
      </c>
      <c r="G455" s="5"/>
      <c r="H455" s="5">
        <f>SUMIFS(tblSales[Output VAT],tblSales[Month],MONTH(tblGJ[[#This Row],[Date]]))</f>
        <v>125730550</v>
      </c>
      <c r="I455" s="1" t="s">
        <v>6532</v>
      </c>
      <c r="J455" s="1">
        <f>MONTH(tblGJ[[#This Row],[Date]])</f>
        <v>6</v>
      </c>
      <c r="K455" s="1" t="str">
        <f>_xlfn.XLOOKUP(tblGJ[[#This Row],[Account Code]],tblCOA[Code],tblCOA[FS Line],"")</f>
        <v>Taxes payable</v>
      </c>
      <c r="L455" s="121" t="str">
        <f>IF(OR(tblGJ[[#This Row],[Account Code]]=1120,tblGJ[[#This Row],[Account Code]]=1130),_xlfn.MINIFS(tblBank[Value Date],tblBank[Reference],tblGJ[[#This Row],[Voucher No]],tblBank[Account Code],tblGJ[[#This Row],[Account Code]]),"")</f>
        <v/>
      </c>
      <c r="M455" s="1" t="str">
        <f>IF(tblGJ[[#This Row],[Date]]&lt;=PEnd,"Yes","No")</f>
        <v>Yes</v>
      </c>
    </row>
    <row r="456" spans="2:13" x14ac:dyDescent="0.35">
      <c r="B456" s="109">
        <v>46203</v>
      </c>
      <c r="C456" s="1" t="s">
        <v>5795</v>
      </c>
      <c r="D456" s="1">
        <v>5100</v>
      </c>
      <c r="E456" s="1" t="str">
        <f>_xlfn.XLOOKUP(tblGJ[[#This Row],[Account Code]],tblCOA[Code],tblCOA[Account Name],"⚠ Invalid account")</f>
        <v>Cost of goods sold</v>
      </c>
      <c r="F456" s="1" t="s">
        <v>6228</v>
      </c>
      <c r="G456" s="5">
        <f>SUMIFS(tblSales[COGS],tblSales[Month],MONTH(tblGJ[[#This Row],[Date]]))</f>
        <v>685840000</v>
      </c>
      <c r="H456" s="5"/>
      <c r="I456" s="1" t="s">
        <v>6532</v>
      </c>
      <c r="J456" s="1">
        <f>MONTH(tblGJ[[#This Row],[Date]])</f>
        <v>6</v>
      </c>
      <c r="K456" s="1" t="str">
        <f>_xlfn.XLOOKUP(tblGJ[[#This Row],[Account Code]],tblCOA[Code],tblCOA[FS Line],"")</f>
        <v>Cost of revenue</v>
      </c>
      <c r="L456" s="121" t="str">
        <f>IF(OR(tblGJ[[#This Row],[Account Code]]=1120,tblGJ[[#This Row],[Account Code]]=1130),_xlfn.MINIFS(tblBank[Value Date],tblBank[Reference],tblGJ[[#This Row],[Voucher No]],tblBank[Account Code],tblGJ[[#This Row],[Account Code]]),"")</f>
        <v/>
      </c>
      <c r="M456" s="1" t="str">
        <f>IF(tblGJ[[#This Row],[Date]]&lt;=PEnd,"Yes","No")</f>
        <v>Yes</v>
      </c>
    </row>
    <row r="457" spans="2:13" x14ac:dyDescent="0.35">
      <c r="B457" s="109">
        <v>46203</v>
      </c>
      <c r="C457" s="1" t="s">
        <v>5795</v>
      </c>
      <c r="D457" s="1">
        <v>1310</v>
      </c>
      <c r="E457" s="1" t="str">
        <f>_xlfn.XLOOKUP(tblGJ[[#This Row],[Account Code]],tblCOA[Code],tblCOA[Account Name],"⚠ Invalid account")</f>
        <v>Merchandise inventory</v>
      </c>
      <c r="F457" s="1" t="s">
        <v>6229</v>
      </c>
      <c r="G457" s="5"/>
      <c r="H457" s="5">
        <f>SUMIFS(tblSales[COGS],tblSales[Month],MONTH(tblGJ[[#This Row],[Date]]))</f>
        <v>685840000</v>
      </c>
      <c r="I457" s="1" t="s">
        <v>6532</v>
      </c>
      <c r="J457" s="1">
        <f>MONTH(tblGJ[[#This Row],[Date]])</f>
        <v>6</v>
      </c>
      <c r="K457" s="1" t="str">
        <f>_xlfn.XLOOKUP(tblGJ[[#This Row],[Account Code]],tblCOA[Code],tblCOA[FS Line],"")</f>
        <v>Inventories</v>
      </c>
      <c r="L457" s="121" t="str">
        <f>IF(OR(tblGJ[[#This Row],[Account Code]]=1120,tblGJ[[#This Row],[Account Code]]=1130),_xlfn.MINIFS(tblBank[Value Date],tblBank[Reference],tblGJ[[#This Row],[Voucher No]],tblBank[Account Code],tblGJ[[#This Row],[Account Code]]),"")</f>
        <v/>
      </c>
      <c r="M457" s="1" t="str">
        <f>IF(tblGJ[[#This Row],[Date]]&lt;=PEnd,"Yes","No")</f>
        <v>Yes</v>
      </c>
    </row>
    <row r="458" spans="2:13" x14ac:dyDescent="0.35">
      <c r="B458" s="109">
        <v>46203</v>
      </c>
      <c r="C458" s="1" t="s">
        <v>5796</v>
      </c>
      <c r="D458" s="1">
        <v>1120</v>
      </c>
      <c r="E458" s="1" t="str">
        <f>_xlfn.XLOOKUP(tblGJ[[#This Row],[Account Code]],tblCOA[Code],tblCOA[Account Name],"⚠ Invalid account")</f>
        <v>Bank BCA - Current Account</v>
      </c>
      <c r="F458" s="1" t="s">
        <v>6230</v>
      </c>
      <c r="G458" s="5">
        <f>SUMIFS(tblSales[Total incl. VAT],tblSales[Month],MONTH(tblGJ[[#This Row],[Date]]),tblSales[Payment Method],Products!$O$13)</f>
        <v>143900400</v>
      </c>
      <c r="H458" s="5"/>
      <c r="I458" s="1" t="s">
        <v>6532</v>
      </c>
      <c r="J458" s="1">
        <f>MONTH(tblGJ[[#This Row],[Date]])</f>
        <v>6</v>
      </c>
      <c r="K458" s="1" t="str">
        <f>_xlfn.XLOOKUP(tblGJ[[#This Row],[Account Code]],tblCOA[Code],tblCOA[FS Line],"")</f>
        <v>Cash and cash equivalents</v>
      </c>
      <c r="L458" s="121">
        <f>IF(OR(tblGJ[[#This Row],[Account Code]]=1120,tblGJ[[#This Row],[Account Code]]=1130),_xlfn.MINIFS(tblBank[Value Date],tblBank[Reference],tblGJ[[#This Row],[Voucher No]],tblBank[Account Code],tblGJ[[#This Row],[Account Code]]),"")</f>
        <v>46203</v>
      </c>
      <c r="M458" s="1" t="str">
        <f>IF(tblGJ[[#This Row],[Date]]&lt;=PEnd,"Yes","No")</f>
        <v>Yes</v>
      </c>
    </row>
    <row r="459" spans="2:13" x14ac:dyDescent="0.35">
      <c r="B459" s="109">
        <v>46203</v>
      </c>
      <c r="C459" s="1" t="s">
        <v>5796</v>
      </c>
      <c r="D459" s="1">
        <v>1110</v>
      </c>
      <c r="E459" s="1" t="str">
        <f>_xlfn.XLOOKUP(tblGJ[[#This Row],[Account Code]],tblCOA[Code],tblCOA[Account Name],"⚠ Invalid account")</f>
        <v>Cash on Hand</v>
      </c>
      <c r="F459" s="1" t="s">
        <v>6230</v>
      </c>
      <c r="G459" s="5"/>
      <c r="H459" s="5">
        <f>SUMIFS(tblSales[Total incl. VAT],tblSales[Month],MONTH(tblGJ[[#This Row],[Date]]),tblSales[Payment Method],Products!$O$13)</f>
        <v>143900400</v>
      </c>
      <c r="I459" s="1" t="s">
        <v>6532</v>
      </c>
      <c r="J459" s="1">
        <f>MONTH(tblGJ[[#This Row],[Date]])</f>
        <v>6</v>
      </c>
      <c r="K459" s="1" t="str">
        <f>_xlfn.XLOOKUP(tblGJ[[#This Row],[Account Code]],tblCOA[Code],tblCOA[FS Line],"")</f>
        <v>Cash and cash equivalents</v>
      </c>
      <c r="L459" s="121" t="str">
        <f>IF(OR(tblGJ[[#This Row],[Account Code]]=1120,tblGJ[[#This Row],[Account Code]]=1130),_xlfn.MINIFS(tblBank[Value Date],tblBank[Reference],tblGJ[[#This Row],[Voucher No]],tblBank[Account Code],tblGJ[[#This Row],[Account Code]]),"")</f>
        <v/>
      </c>
      <c r="M459" s="1" t="str">
        <f>IF(tblGJ[[#This Row],[Date]]&lt;=PEnd,"Yes","No")</f>
        <v>Yes</v>
      </c>
    </row>
    <row r="460" spans="2:13" x14ac:dyDescent="0.35">
      <c r="B460" s="109">
        <v>46203</v>
      </c>
      <c r="C460" s="1" t="s">
        <v>5797</v>
      </c>
      <c r="D460" s="1">
        <v>1310</v>
      </c>
      <c r="E460" s="1" t="str">
        <f>_xlfn.XLOOKUP(tblGJ[[#This Row],[Account Code]],tblCOA[Code],tblCOA[Account Name],"⚠ Invalid account")</f>
        <v>Merchandise inventory</v>
      </c>
      <c r="F460" s="1" t="s">
        <v>6231</v>
      </c>
      <c r="G460" s="5">
        <f>SUMIFS(tblPurchases[DPP (excl. VAT)],tblPurchases[Account Code],tblGJ[[#This Row],[Account Code]],tblPurchases[Month],MONTH(tblGJ[[#This Row],[Date]]))</f>
        <v>689199000</v>
      </c>
      <c r="H460" s="5"/>
      <c r="I460" s="1" t="s">
        <v>6533</v>
      </c>
      <c r="J460" s="1">
        <f>MONTH(tblGJ[[#This Row],[Date]])</f>
        <v>6</v>
      </c>
      <c r="K460" s="1" t="str">
        <f>_xlfn.XLOOKUP(tblGJ[[#This Row],[Account Code]],tblCOA[Code],tblCOA[FS Line],"")</f>
        <v>Inventories</v>
      </c>
      <c r="L460" s="121" t="str">
        <f>IF(OR(tblGJ[[#This Row],[Account Code]]=1120,tblGJ[[#This Row],[Account Code]]=1130),_xlfn.MINIFS(tblBank[Value Date],tblBank[Reference],tblGJ[[#This Row],[Voucher No]],tblBank[Account Code],tblGJ[[#This Row],[Account Code]]),"")</f>
        <v/>
      </c>
      <c r="M460" s="1" t="str">
        <f>IF(tblGJ[[#This Row],[Date]]&lt;=PEnd,"Yes","No")</f>
        <v>Yes</v>
      </c>
    </row>
    <row r="461" spans="2:13" x14ac:dyDescent="0.35">
      <c r="B461" s="109">
        <v>46203</v>
      </c>
      <c r="C461" s="1" t="s">
        <v>5797</v>
      </c>
      <c r="D461" s="1">
        <v>1430</v>
      </c>
      <c r="E461" s="1" t="str">
        <f>_xlfn.XLOOKUP(tblGJ[[#This Row],[Account Code]],tblCOA[Code],tblCOA[Account Name],"⚠ Invalid account")</f>
        <v>Prepaid Software Subscriptions</v>
      </c>
      <c r="F461" s="1" t="s">
        <v>6231</v>
      </c>
      <c r="G461" s="5">
        <f>SUMIFS(tblPurchases[DPP (excl. VAT)],tblPurchases[Account Code],tblGJ[[#This Row],[Account Code]],tblPurchases[Month],MONTH(tblGJ[[#This Row],[Date]]))</f>
        <v>30000000</v>
      </c>
      <c r="H461" s="5"/>
      <c r="I461" s="1" t="s">
        <v>6533</v>
      </c>
      <c r="J461" s="1">
        <f>MONTH(tblGJ[[#This Row],[Date]])</f>
        <v>6</v>
      </c>
      <c r="K461" s="1" t="str">
        <f>_xlfn.XLOOKUP(tblGJ[[#This Row],[Account Code]],tblCOA[Code],tblCOA[FS Line],"")</f>
        <v>Prepaid expenses</v>
      </c>
      <c r="L461" s="121" t="str">
        <f>IF(OR(tblGJ[[#This Row],[Account Code]]=1120,tblGJ[[#This Row],[Account Code]]=1130),_xlfn.MINIFS(tblBank[Value Date],tblBank[Reference],tblGJ[[#This Row],[Voucher No]],tblBank[Account Code],tblGJ[[#This Row],[Account Code]]),"")</f>
        <v/>
      </c>
      <c r="M461" s="1" t="str">
        <f>IF(tblGJ[[#This Row],[Date]]&lt;=PEnd,"Yes","No")</f>
        <v>Yes</v>
      </c>
    </row>
    <row r="462" spans="2:13" x14ac:dyDescent="0.35">
      <c r="B462" s="109">
        <v>46203</v>
      </c>
      <c r="C462" s="1" t="s">
        <v>5797</v>
      </c>
      <c r="D462" s="1">
        <v>1710</v>
      </c>
      <c r="E462" s="1" t="str">
        <f>_xlfn.XLOOKUP(tblGJ[[#This Row],[Account Code]],tblCOA[Code],tblCOA[Account Name],"⚠ Invalid account")</f>
        <v>Software &amp; Licenses</v>
      </c>
      <c r="F462" s="1" t="s">
        <v>6231</v>
      </c>
      <c r="G462" s="5">
        <f>SUMIFS(tblPurchases[DPP (excl. VAT)],tblPurchases[Account Code],tblGJ[[#This Row],[Account Code]],tblPurchases[Month],MONTH(tblGJ[[#This Row],[Date]]))</f>
        <v>60000000</v>
      </c>
      <c r="H462" s="5"/>
      <c r="I462" s="1" t="s">
        <v>6533</v>
      </c>
      <c r="J462" s="1">
        <f>MONTH(tblGJ[[#This Row],[Date]])</f>
        <v>6</v>
      </c>
      <c r="K462" s="1" t="str">
        <f>_xlfn.XLOOKUP(tblGJ[[#This Row],[Account Code]],tblCOA[Code],tblCOA[FS Line],"")</f>
        <v>Intangible assets - net</v>
      </c>
      <c r="L462" s="121" t="str">
        <f>IF(OR(tblGJ[[#This Row],[Account Code]]=1120,tblGJ[[#This Row],[Account Code]]=1130),_xlfn.MINIFS(tblBank[Value Date],tblBank[Reference],tblGJ[[#This Row],[Voucher No]],tblBank[Account Code],tblGJ[[#This Row],[Account Code]]),"")</f>
        <v/>
      </c>
      <c r="M462" s="1" t="str">
        <f>IF(tblGJ[[#This Row],[Date]]&lt;=PEnd,"Yes","No")</f>
        <v>Yes</v>
      </c>
    </row>
    <row r="463" spans="2:13" x14ac:dyDescent="0.35">
      <c r="B463" s="109">
        <v>46203</v>
      </c>
      <c r="C463" s="1" t="s">
        <v>5797</v>
      </c>
      <c r="D463" s="1">
        <v>6120</v>
      </c>
      <c r="E463" s="1" t="str">
        <f>_xlfn.XLOOKUP(tblGJ[[#This Row],[Account Code]],tblCOA[Code],tblCOA[Account Name],"⚠ Invalid account")</f>
        <v>Advertising &amp; Promotion</v>
      </c>
      <c r="F463" s="1" t="s">
        <v>6231</v>
      </c>
      <c r="G463" s="5">
        <f>SUMIFS(tblPurchases[DPP (excl. VAT)],tblPurchases[Account Code],tblGJ[[#This Row],[Account Code]],tblPurchases[Month],MONTH(tblGJ[[#This Row],[Date]]))</f>
        <v>12573000</v>
      </c>
      <c r="H463" s="5"/>
      <c r="I463" s="1" t="s">
        <v>6533</v>
      </c>
      <c r="J463" s="1">
        <f>MONTH(tblGJ[[#This Row],[Date]])</f>
        <v>6</v>
      </c>
      <c r="K463" s="1" t="str">
        <f>_xlfn.XLOOKUP(tblGJ[[#This Row],[Account Code]],tblCOA[Code],tblCOA[FS Line],"")</f>
        <v>Selling expenses</v>
      </c>
      <c r="L463" s="121" t="str">
        <f>IF(OR(tblGJ[[#This Row],[Account Code]]=1120,tblGJ[[#This Row],[Account Code]]=1130),_xlfn.MINIFS(tblBank[Value Date],tblBank[Reference],tblGJ[[#This Row],[Voucher No]],tblBank[Account Code],tblGJ[[#This Row],[Account Code]]),"")</f>
        <v/>
      </c>
      <c r="M463" s="1" t="str">
        <f>IF(tblGJ[[#This Row],[Date]]&lt;=PEnd,"Yes","No")</f>
        <v>Yes</v>
      </c>
    </row>
    <row r="464" spans="2:13" x14ac:dyDescent="0.35">
      <c r="B464" s="109">
        <v>46203</v>
      </c>
      <c r="C464" s="1" t="s">
        <v>5797</v>
      </c>
      <c r="D464" s="1">
        <v>6130</v>
      </c>
      <c r="E464" s="1" t="str">
        <f>_xlfn.XLOOKUP(tblGJ[[#This Row],[Account Code]],tblCOA[Code],tblCOA[Account Name],"⚠ Invalid account")</f>
        <v>Marketplace &amp; Sales Commissions</v>
      </c>
      <c r="F464" s="1" t="s">
        <v>6231</v>
      </c>
      <c r="G464" s="5">
        <f>SUMIFS(tblPurchases[DPP (excl. VAT)],tblPurchases[Account Code],tblGJ[[#This Row],[Account Code]],tblPurchases[Month],MONTH(tblGJ[[#This Row],[Date]]))</f>
        <v>3063000</v>
      </c>
      <c r="H464" s="5"/>
      <c r="I464" s="1" t="s">
        <v>6533</v>
      </c>
      <c r="J464" s="1">
        <f>MONTH(tblGJ[[#This Row],[Date]])</f>
        <v>6</v>
      </c>
      <c r="K464" s="1" t="str">
        <f>_xlfn.XLOOKUP(tblGJ[[#This Row],[Account Code]],tblCOA[Code],tblCOA[FS Line],"")</f>
        <v>Selling expenses</v>
      </c>
      <c r="L464" s="121" t="str">
        <f>IF(OR(tblGJ[[#This Row],[Account Code]]=1120,tblGJ[[#This Row],[Account Code]]=1130),_xlfn.MINIFS(tblBank[Value Date],tblBank[Reference],tblGJ[[#This Row],[Voucher No]],tblBank[Account Code],tblGJ[[#This Row],[Account Code]]),"")</f>
        <v/>
      </c>
      <c r="M464" s="1" t="str">
        <f>IF(tblGJ[[#This Row],[Date]]&lt;=PEnd,"Yes","No")</f>
        <v>Yes</v>
      </c>
    </row>
    <row r="465" spans="2:13" x14ac:dyDescent="0.35">
      <c r="B465" s="109">
        <v>46203</v>
      </c>
      <c r="C465" s="1" t="s">
        <v>5797</v>
      </c>
      <c r="D465" s="1">
        <v>6140</v>
      </c>
      <c r="E465" s="1" t="str">
        <f>_xlfn.XLOOKUP(tblGJ[[#This Row],[Account Code]],tblCOA[Code],tblCOA[Account Name],"⚠ Invalid account")</f>
        <v>Shipping &amp; Delivery</v>
      </c>
      <c r="F465" s="1" t="s">
        <v>6231</v>
      </c>
      <c r="G465" s="5">
        <f>SUMIFS(tblPurchases[DPP (excl. VAT)],tblPurchases[Account Code],tblGJ[[#This Row],[Account Code]],tblPurchases[Month],MONTH(tblGJ[[#This Row],[Date]]))</f>
        <v>10287000</v>
      </c>
      <c r="H465" s="5"/>
      <c r="I465" s="1" t="s">
        <v>6533</v>
      </c>
      <c r="J465" s="1">
        <f>MONTH(tblGJ[[#This Row],[Date]])</f>
        <v>6</v>
      </c>
      <c r="K465" s="1" t="str">
        <f>_xlfn.XLOOKUP(tblGJ[[#This Row],[Account Code]],tblCOA[Code],tblCOA[FS Line],"")</f>
        <v>Selling expenses</v>
      </c>
      <c r="L465" s="121" t="str">
        <f>IF(OR(tblGJ[[#This Row],[Account Code]]=1120,tblGJ[[#This Row],[Account Code]]=1130),_xlfn.MINIFS(tblBank[Value Date],tblBank[Reference],tblGJ[[#This Row],[Voucher No]],tblBank[Account Code],tblGJ[[#This Row],[Account Code]]),"")</f>
        <v/>
      </c>
      <c r="M465" s="1" t="str">
        <f>IF(tblGJ[[#This Row],[Date]]&lt;=PEnd,"Yes","No")</f>
        <v>Yes</v>
      </c>
    </row>
    <row r="466" spans="2:13" x14ac:dyDescent="0.35">
      <c r="B466" s="109">
        <v>46203</v>
      </c>
      <c r="C466" s="1" t="s">
        <v>5797</v>
      </c>
      <c r="D466" s="1">
        <v>6230</v>
      </c>
      <c r="E466" s="1" t="str">
        <f>_xlfn.XLOOKUP(tblGJ[[#This Row],[Account Code]],tblCOA[Code],tblCOA[Account Name],"⚠ Invalid account")</f>
        <v>Utilities &amp; Telecommunication</v>
      </c>
      <c r="F466" s="1" t="s">
        <v>6231</v>
      </c>
      <c r="G466" s="5">
        <f>SUMIFS(tblPurchases[DPP (excl. VAT)],tblPurchases[Account Code],tblGJ[[#This Row],[Account Code]],tblPurchases[Month],MONTH(tblGJ[[#This Row],[Date]]))</f>
        <v>12902000</v>
      </c>
      <c r="H466" s="5"/>
      <c r="I466" s="1" t="s">
        <v>6533</v>
      </c>
      <c r="J466" s="1">
        <f>MONTH(tblGJ[[#This Row],[Date]])</f>
        <v>6</v>
      </c>
      <c r="K466" s="1" t="str">
        <f>_xlfn.XLOOKUP(tblGJ[[#This Row],[Account Code]],tblCOA[Code],tblCOA[FS Line],"")</f>
        <v>General &amp; administrative expenses</v>
      </c>
      <c r="L466" s="121" t="str">
        <f>IF(OR(tblGJ[[#This Row],[Account Code]]=1120,tblGJ[[#This Row],[Account Code]]=1130),_xlfn.MINIFS(tblBank[Value Date],tblBank[Reference],tblGJ[[#This Row],[Voucher No]],tblBank[Account Code],tblGJ[[#This Row],[Account Code]]),"")</f>
        <v/>
      </c>
      <c r="M466" s="1" t="str">
        <f>IF(tblGJ[[#This Row],[Date]]&lt;=PEnd,"Yes","No")</f>
        <v>Yes</v>
      </c>
    </row>
    <row r="467" spans="2:13" x14ac:dyDescent="0.35">
      <c r="B467" s="109">
        <v>46203</v>
      </c>
      <c r="C467" s="1" t="s">
        <v>5797</v>
      </c>
      <c r="D467" s="1">
        <v>6270</v>
      </c>
      <c r="E467" s="1" t="str">
        <f>_xlfn.XLOOKUP(tblGJ[[#This Row],[Account Code]],tblCOA[Code],tblCOA[Account Name],"⚠ Invalid account")</f>
        <v>Office Supplies</v>
      </c>
      <c r="F467" s="1" t="s">
        <v>6231</v>
      </c>
      <c r="G467" s="5">
        <f>SUMIFS(tblPurchases[DPP (excl. VAT)],tblPurchases[Account Code],tblGJ[[#This Row],[Account Code]],tblPurchases[Month],MONTH(tblGJ[[#This Row],[Date]]))</f>
        <v>3229000</v>
      </c>
      <c r="H467" s="5"/>
      <c r="I467" s="1" t="s">
        <v>6533</v>
      </c>
      <c r="J467" s="1">
        <f>MONTH(tblGJ[[#This Row],[Date]])</f>
        <v>6</v>
      </c>
      <c r="K467" s="1" t="str">
        <f>_xlfn.XLOOKUP(tblGJ[[#This Row],[Account Code]],tblCOA[Code],tblCOA[FS Line],"")</f>
        <v>General &amp; administrative expenses</v>
      </c>
      <c r="L467" s="121" t="str">
        <f>IF(OR(tblGJ[[#This Row],[Account Code]]=1120,tblGJ[[#This Row],[Account Code]]=1130),_xlfn.MINIFS(tblBank[Value Date],tblBank[Reference],tblGJ[[#This Row],[Voucher No]],tblBank[Account Code],tblGJ[[#This Row],[Account Code]]),"")</f>
        <v/>
      </c>
      <c r="M467" s="1" t="str">
        <f>IF(tblGJ[[#This Row],[Date]]&lt;=PEnd,"Yes","No")</f>
        <v>Yes</v>
      </c>
    </row>
    <row r="468" spans="2:13" x14ac:dyDescent="0.35">
      <c r="B468" s="109">
        <v>46203</v>
      </c>
      <c r="C468" s="1" t="s">
        <v>5797</v>
      </c>
      <c r="D468" s="1">
        <v>6280</v>
      </c>
      <c r="E468" s="1" t="str">
        <f>_xlfn.XLOOKUP(tblGJ[[#This Row],[Account Code]],tblCOA[Code],tblCOA[Account Name],"⚠ Invalid account")</f>
        <v>Professional Fees</v>
      </c>
      <c r="F468" s="1" t="s">
        <v>6231</v>
      </c>
      <c r="G468" s="5">
        <f>SUMIFS(tblPurchases[DPP (excl. VAT)],tblPurchases[Account Code],tblGJ[[#This Row],[Account Code]],tblPurchases[Month],MONTH(tblGJ[[#This Row],[Date]]))</f>
        <v>25000000</v>
      </c>
      <c r="H468" s="5"/>
      <c r="I468" s="1" t="s">
        <v>6533</v>
      </c>
      <c r="J468" s="1">
        <f>MONTH(tblGJ[[#This Row],[Date]])</f>
        <v>6</v>
      </c>
      <c r="K468" s="1" t="str">
        <f>_xlfn.XLOOKUP(tblGJ[[#This Row],[Account Code]],tblCOA[Code],tblCOA[FS Line],"")</f>
        <v>General &amp; administrative expenses</v>
      </c>
      <c r="L468" s="121" t="str">
        <f>IF(OR(tblGJ[[#This Row],[Account Code]]=1120,tblGJ[[#This Row],[Account Code]]=1130),_xlfn.MINIFS(tblBank[Value Date],tblBank[Reference],tblGJ[[#This Row],[Voucher No]],tblBank[Account Code],tblGJ[[#This Row],[Account Code]]),"")</f>
        <v/>
      </c>
      <c r="M468" s="1" t="str">
        <f>IF(tblGJ[[#This Row],[Date]]&lt;=PEnd,"Yes","No")</f>
        <v>Yes</v>
      </c>
    </row>
    <row r="469" spans="2:13" x14ac:dyDescent="0.35">
      <c r="B469" s="109">
        <v>46203</v>
      </c>
      <c r="C469" s="1" t="s">
        <v>5797</v>
      </c>
      <c r="D469" s="1">
        <v>6295</v>
      </c>
      <c r="E469" s="1" t="str">
        <f>_xlfn.XLOOKUP(tblGJ[[#This Row],[Account Code]],tblCOA[Code],tblCOA[Account Name],"⚠ Invalid account")</f>
        <v>Repairs &amp; Maintenance</v>
      </c>
      <c r="F469" s="1" t="s">
        <v>6231</v>
      </c>
      <c r="G469" s="5">
        <f>SUMIFS(tblPurchases[DPP (excl. VAT)],tblPurchases[Account Code],tblGJ[[#This Row],[Account Code]],tblPurchases[Month],MONTH(tblGJ[[#This Row],[Date]]))</f>
        <v>3533000</v>
      </c>
      <c r="H469" s="5"/>
      <c r="I469" s="1" t="s">
        <v>6533</v>
      </c>
      <c r="J469" s="1">
        <f>MONTH(tblGJ[[#This Row],[Date]])</f>
        <v>6</v>
      </c>
      <c r="K469" s="1" t="str">
        <f>_xlfn.XLOOKUP(tblGJ[[#This Row],[Account Code]],tblCOA[Code],tblCOA[FS Line],"")</f>
        <v>General &amp; administrative expenses</v>
      </c>
      <c r="L469" s="121" t="str">
        <f>IF(OR(tblGJ[[#This Row],[Account Code]]=1120,tblGJ[[#This Row],[Account Code]]=1130),_xlfn.MINIFS(tblBank[Value Date],tblBank[Reference],tblGJ[[#This Row],[Voucher No]],tblBank[Account Code],tblGJ[[#This Row],[Account Code]]),"")</f>
        <v/>
      </c>
      <c r="M469" s="1" t="str">
        <f>IF(tblGJ[[#This Row],[Date]]&lt;=PEnd,"Yes","No")</f>
        <v>Yes</v>
      </c>
    </row>
    <row r="470" spans="2:13" x14ac:dyDescent="0.35">
      <c r="B470" s="109">
        <v>46203</v>
      </c>
      <c r="C470" s="1" t="s">
        <v>5797</v>
      </c>
      <c r="D470" s="1">
        <v>6296</v>
      </c>
      <c r="E470" s="1" t="str">
        <f>_xlfn.XLOOKUP(tblGJ[[#This Row],[Account Code]],tblCOA[Code],tblCOA[Account Name],"⚠ Invalid account")</f>
        <v>Entertainment &amp; Donations</v>
      </c>
      <c r="F470" s="1" t="s">
        <v>6231</v>
      </c>
      <c r="G470" s="5">
        <f>SUMIFS(tblPurchases[DPP (excl. VAT)],tblPurchases[Account Code],tblGJ[[#This Row],[Account Code]],tblPurchases[Month],MONTH(tblGJ[[#This Row],[Date]]))</f>
        <v>2316000</v>
      </c>
      <c r="H470" s="5"/>
      <c r="I470" s="1" t="s">
        <v>6533</v>
      </c>
      <c r="J470" s="1">
        <f>MONTH(tblGJ[[#This Row],[Date]])</f>
        <v>6</v>
      </c>
      <c r="K470" s="1" t="str">
        <f>_xlfn.XLOOKUP(tblGJ[[#This Row],[Account Code]],tblCOA[Code],tblCOA[FS Line],"")</f>
        <v>General &amp; administrative expenses</v>
      </c>
      <c r="L470" s="121" t="str">
        <f>IF(OR(tblGJ[[#This Row],[Account Code]]=1120,tblGJ[[#This Row],[Account Code]]=1130),_xlfn.MINIFS(tblBank[Value Date],tblBank[Reference],tblGJ[[#This Row],[Voucher No]],tblBank[Account Code],tblGJ[[#This Row],[Account Code]]),"")</f>
        <v/>
      </c>
      <c r="M470" s="1" t="str">
        <f>IF(tblGJ[[#This Row],[Date]]&lt;=PEnd,"Yes","No")</f>
        <v>Yes</v>
      </c>
    </row>
    <row r="471" spans="2:13" x14ac:dyDescent="0.35">
      <c r="B471" s="109">
        <v>46203</v>
      </c>
      <c r="C471" s="1" t="s">
        <v>5797</v>
      </c>
      <c r="D471" s="1">
        <v>1510</v>
      </c>
      <c r="E471" s="1" t="str">
        <f>_xlfn.XLOOKUP(tblGJ[[#This Row],[Account Code]],tblCOA[Code],tblCOA[Account Name],"⚠ Invalid account")</f>
        <v>Input VAT (PPN Masukan)</v>
      </c>
      <c r="F471" s="1" t="s">
        <v>6232</v>
      </c>
      <c r="G471" s="5">
        <f>SUMIFS(tblPurchases[Input VAT],tblPurchases[Month],MONTH(tblGJ[[#This Row],[Date]]))</f>
        <v>81360840</v>
      </c>
      <c r="H471" s="5"/>
      <c r="I471" s="1" t="s">
        <v>6533</v>
      </c>
      <c r="J471" s="1">
        <f>MONTH(tblGJ[[#This Row],[Date]])</f>
        <v>6</v>
      </c>
      <c r="K471" s="1" t="str">
        <f>_xlfn.XLOOKUP(tblGJ[[#This Row],[Account Code]],tblCOA[Code],tblCOA[FS Line],"")</f>
        <v>Prepaid taxes</v>
      </c>
      <c r="L471" s="121" t="str">
        <f>IF(OR(tblGJ[[#This Row],[Account Code]]=1120,tblGJ[[#This Row],[Account Code]]=1130),_xlfn.MINIFS(tblBank[Value Date],tblBank[Reference],tblGJ[[#This Row],[Voucher No]],tblBank[Account Code],tblGJ[[#This Row],[Account Code]]),"")</f>
        <v/>
      </c>
      <c r="M471" s="1" t="str">
        <f>IF(tblGJ[[#This Row],[Date]]&lt;=PEnd,"Yes","No")</f>
        <v>Yes</v>
      </c>
    </row>
    <row r="472" spans="2:13" x14ac:dyDescent="0.35">
      <c r="B472" s="109">
        <v>46203</v>
      </c>
      <c r="C472" s="1" t="s">
        <v>5797</v>
      </c>
      <c r="D472" s="1">
        <v>2240</v>
      </c>
      <c r="E472" s="1" t="str">
        <f>_xlfn.XLOOKUP(tblGJ[[#This Row],[Account Code]],tblCOA[Code],tblCOA[Account Name],"⚠ Invalid account")</f>
        <v>WHT Payable - Unifikasi (Art. 23/4(2))</v>
      </c>
      <c r="F472" s="1" t="s">
        <v>6233</v>
      </c>
      <c r="G472" s="5"/>
      <c r="H472" s="5">
        <f>SUMIFS(tblPurchases[WHT Amount],tblPurchases[Month],MONTH(tblGJ[[#This Row],[Date]]))</f>
        <v>1689120</v>
      </c>
      <c r="I472" s="1" t="s">
        <v>6533</v>
      </c>
      <c r="J472" s="1">
        <f>MONTH(tblGJ[[#This Row],[Date]])</f>
        <v>6</v>
      </c>
      <c r="K472" s="1" t="str">
        <f>_xlfn.XLOOKUP(tblGJ[[#This Row],[Account Code]],tblCOA[Code],tblCOA[FS Line],"")</f>
        <v>Taxes payable</v>
      </c>
      <c r="L472" s="121" t="str">
        <f>IF(OR(tblGJ[[#This Row],[Account Code]]=1120,tblGJ[[#This Row],[Account Code]]=1130),_xlfn.MINIFS(tblBank[Value Date],tblBank[Reference],tblGJ[[#This Row],[Voucher No]],tblBank[Account Code],tblGJ[[#This Row],[Account Code]]),"")</f>
        <v/>
      </c>
      <c r="M472" s="1" t="str">
        <f>IF(tblGJ[[#This Row],[Date]]&lt;=PEnd,"Yes","No")</f>
        <v>Yes</v>
      </c>
    </row>
    <row r="473" spans="2:13" x14ac:dyDescent="0.35">
      <c r="B473" s="109">
        <v>46203</v>
      </c>
      <c r="C473" s="1" t="s">
        <v>5797</v>
      </c>
      <c r="D473" s="1">
        <v>2110</v>
      </c>
      <c r="E473" s="1" t="str">
        <f>_xlfn.XLOOKUP(tblGJ[[#This Row],[Account Code]],tblCOA[Code],tblCOA[Account Name],"⚠ Invalid account")</f>
        <v>Trade Payables</v>
      </c>
      <c r="F473" s="1" t="s">
        <v>6234</v>
      </c>
      <c r="G473" s="5"/>
      <c r="H473" s="5">
        <f>SUMIFS(tblPurchases[Total Payable],tblPurchases[Month],MONTH(tblGJ[[#This Row],[Date]]))</f>
        <v>931773720</v>
      </c>
      <c r="I473" s="1" t="s">
        <v>6533</v>
      </c>
      <c r="J473" s="1">
        <f>MONTH(tblGJ[[#This Row],[Date]])</f>
        <v>6</v>
      </c>
      <c r="K473" s="1" t="str">
        <f>_xlfn.XLOOKUP(tblGJ[[#This Row],[Account Code]],tblCOA[Code],tblCOA[FS Line],"")</f>
        <v>Trade payables</v>
      </c>
      <c r="L473" s="121" t="str">
        <f>IF(OR(tblGJ[[#This Row],[Account Code]]=1120,tblGJ[[#This Row],[Account Code]]=1130),_xlfn.MINIFS(tblBank[Value Date],tblBank[Reference],tblGJ[[#This Row],[Voucher No]],tblBank[Account Code],tblGJ[[#This Row],[Account Code]]),"")</f>
        <v/>
      </c>
      <c r="M473" s="1" t="str">
        <f>IF(tblGJ[[#This Row],[Date]]&lt;=PEnd,"Yes","No")</f>
        <v>Yes</v>
      </c>
    </row>
    <row r="474" spans="2:13" x14ac:dyDescent="0.35">
      <c r="B474" s="109">
        <v>46203</v>
      </c>
      <c r="C474" s="1" t="s">
        <v>5798</v>
      </c>
      <c r="D474" s="1">
        <v>2110</v>
      </c>
      <c r="E474" s="1" t="str">
        <f>_xlfn.XLOOKUP(tblGJ[[#This Row],[Account Code]],tblCOA[Code],tblCOA[Account Name],"⚠ Invalid account")</f>
        <v>Trade Payables</v>
      </c>
      <c r="F474" s="1" t="s">
        <v>6235</v>
      </c>
      <c r="G474" s="5">
        <f>SUMIFS(tblPurchases[Total Payable],tblPurchases[Pay Month],MONTH(tblGJ[[#This Row],[Date]]),tblPurchases[Paid From],1120)</f>
        <v>855877350</v>
      </c>
      <c r="H474" s="5"/>
      <c r="I474" s="1" t="s">
        <v>6529</v>
      </c>
      <c r="J474" s="1">
        <f>MONTH(tblGJ[[#This Row],[Date]])</f>
        <v>6</v>
      </c>
      <c r="K474" s="1" t="str">
        <f>_xlfn.XLOOKUP(tblGJ[[#This Row],[Account Code]],tblCOA[Code],tblCOA[FS Line],"")</f>
        <v>Trade payables</v>
      </c>
      <c r="L474" s="121" t="str">
        <f>IF(OR(tblGJ[[#This Row],[Account Code]]=1120,tblGJ[[#This Row],[Account Code]]=1130),_xlfn.MINIFS(tblBank[Value Date],tblBank[Reference],tblGJ[[#This Row],[Voucher No]],tblBank[Account Code],tblGJ[[#This Row],[Account Code]]),"")</f>
        <v/>
      </c>
      <c r="M474" s="1" t="str">
        <f>IF(tblGJ[[#This Row],[Date]]&lt;=PEnd,"Yes","No")</f>
        <v>Yes</v>
      </c>
    </row>
    <row r="475" spans="2:13" x14ac:dyDescent="0.35">
      <c r="B475" s="109">
        <v>46203</v>
      </c>
      <c r="C475" s="1" t="s">
        <v>5798</v>
      </c>
      <c r="D475" s="1">
        <v>1120</v>
      </c>
      <c r="E475" s="1" t="str">
        <f>_xlfn.XLOOKUP(tblGJ[[#This Row],[Account Code]],tblCOA[Code],tblCOA[Account Name],"⚠ Invalid account")</f>
        <v>Bank BCA - Current Account</v>
      </c>
      <c r="F475" s="1" t="s">
        <v>6235</v>
      </c>
      <c r="G475" s="5"/>
      <c r="H475" s="5">
        <f>SUMIFS(tblPurchases[Total Payable],tblPurchases[Pay Month],MONTH(tblGJ[[#This Row],[Date]]),tblPurchases[Paid From],1120)</f>
        <v>855877350</v>
      </c>
      <c r="I475" s="1" t="s">
        <v>6529</v>
      </c>
      <c r="J475" s="1">
        <f>MONTH(tblGJ[[#This Row],[Date]])</f>
        <v>6</v>
      </c>
      <c r="K475" s="1" t="str">
        <f>_xlfn.XLOOKUP(tblGJ[[#This Row],[Account Code]],tblCOA[Code],tblCOA[FS Line],"")</f>
        <v>Cash and cash equivalents</v>
      </c>
      <c r="L475" s="121">
        <f>IF(OR(tblGJ[[#This Row],[Account Code]]=1120,tblGJ[[#This Row],[Account Code]]=1130),_xlfn.MINIFS(tblBank[Value Date],tblBank[Reference],tblGJ[[#This Row],[Voucher No]],tblBank[Account Code],tblGJ[[#This Row],[Account Code]]),"")</f>
        <v>46203</v>
      </c>
      <c r="M475" s="1" t="str">
        <f>IF(tblGJ[[#This Row],[Date]]&lt;=PEnd,"Yes","No")</f>
        <v>Yes</v>
      </c>
    </row>
    <row r="476" spans="2:13" x14ac:dyDescent="0.35">
      <c r="B476" s="109">
        <v>46203</v>
      </c>
      <c r="C476" s="1" t="s">
        <v>5799</v>
      </c>
      <c r="D476" s="1">
        <v>2210</v>
      </c>
      <c r="E476" s="1" t="str">
        <f>_xlfn.XLOOKUP(tblGJ[[#This Row],[Account Code]],tblCOA[Code],tblCOA[Account Name],"⚠ Invalid account")</f>
        <v>Output VAT (PPN Keluaran)</v>
      </c>
      <c r="F476" s="1" t="s">
        <v>6236</v>
      </c>
      <c r="G476" s="5">
        <f>SUMIFS(tblSales[Output VAT],tblSales[Month],MONTH(tblGJ[[#This Row],[Date]]))</f>
        <v>125730550</v>
      </c>
      <c r="H476" s="5"/>
      <c r="I476" s="1" t="s">
        <v>6528</v>
      </c>
      <c r="J476" s="1">
        <f>MONTH(tblGJ[[#This Row],[Date]])</f>
        <v>6</v>
      </c>
      <c r="K476" s="1" t="str">
        <f>_xlfn.XLOOKUP(tblGJ[[#This Row],[Account Code]],tblCOA[Code],tblCOA[FS Line],"")</f>
        <v>Taxes payable</v>
      </c>
      <c r="L476" s="121" t="str">
        <f>IF(OR(tblGJ[[#This Row],[Account Code]]=1120,tblGJ[[#This Row],[Account Code]]=1130),_xlfn.MINIFS(tblBank[Value Date],tblBank[Reference],tblGJ[[#This Row],[Voucher No]],tblBank[Account Code],tblGJ[[#This Row],[Account Code]]),"")</f>
        <v/>
      </c>
      <c r="M476" s="1" t="str">
        <f>IF(tblGJ[[#This Row],[Date]]&lt;=PEnd,"Yes","No")</f>
        <v>Yes</v>
      </c>
    </row>
    <row r="477" spans="2:13" x14ac:dyDescent="0.35">
      <c r="B477" s="109">
        <v>46203</v>
      </c>
      <c r="C477" s="1" t="s">
        <v>5799</v>
      </c>
      <c r="D477" s="1">
        <v>1510</v>
      </c>
      <c r="E477" s="1" t="str">
        <f>_xlfn.XLOOKUP(tblGJ[[#This Row],[Account Code]],tblCOA[Code],tblCOA[Account Name],"⚠ Invalid account")</f>
        <v>Input VAT (PPN Masukan)</v>
      </c>
      <c r="F477" s="1" t="s">
        <v>6237</v>
      </c>
      <c r="G477" s="5"/>
      <c r="H477" s="5">
        <f>SUMIFS(tblPurchases[Input VAT],tblPurchases[Month],MONTH(tblGJ[[#This Row],[Date]]))</f>
        <v>81360840</v>
      </c>
      <c r="I477" s="1" t="s">
        <v>6528</v>
      </c>
      <c r="J477" s="1">
        <f>MONTH(tblGJ[[#This Row],[Date]])</f>
        <v>6</v>
      </c>
      <c r="K477" s="1" t="str">
        <f>_xlfn.XLOOKUP(tblGJ[[#This Row],[Account Code]],tblCOA[Code],tblCOA[FS Line],"")</f>
        <v>Prepaid taxes</v>
      </c>
      <c r="L477" s="121" t="str">
        <f>IF(OR(tblGJ[[#This Row],[Account Code]]=1120,tblGJ[[#This Row],[Account Code]]=1130),_xlfn.MINIFS(tblBank[Value Date],tblBank[Reference],tblGJ[[#This Row],[Voucher No]],tblBank[Account Code],tblGJ[[#This Row],[Account Code]]),"")</f>
        <v/>
      </c>
      <c r="M477" s="1" t="str">
        <f>IF(tblGJ[[#This Row],[Date]]&lt;=PEnd,"Yes","No")</f>
        <v>Yes</v>
      </c>
    </row>
    <row r="478" spans="2:13" x14ac:dyDescent="0.35">
      <c r="B478" s="109">
        <v>46203</v>
      </c>
      <c r="C478" s="1" t="s">
        <v>5799</v>
      </c>
      <c r="D478" s="1">
        <v>2220</v>
      </c>
      <c r="E478" s="1" t="str">
        <f>_xlfn.XLOOKUP(tblGJ[[#This Row],[Account Code]],tblCOA[Code],tblCOA[Account Name],"⚠ Invalid account")</f>
        <v>VAT Payable - Net</v>
      </c>
      <c r="F478" s="1" t="s">
        <v>6238</v>
      </c>
      <c r="G478" s="5"/>
      <c r="H478" s="5">
        <f>SUMIFS(tblSales[Output VAT],tblSales[Month],MONTH(tblGJ[[#This Row],[Date]]))-SUMIFS(tblPurchases[Input VAT],tblPurchases[Month],MONTH(tblGJ[[#This Row],[Date]]))</f>
        <v>44369710</v>
      </c>
      <c r="I478" s="1" t="s">
        <v>6528</v>
      </c>
      <c r="J478" s="1">
        <f>MONTH(tblGJ[[#This Row],[Date]])</f>
        <v>6</v>
      </c>
      <c r="K478" s="1" t="str">
        <f>_xlfn.XLOOKUP(tblGJ[[#This Row],[Account Code]],tblCOA[Code],tblCOA[FS Line],"")</f>
        <v>Taxes payable</v>
      </c>
      <c r="L478" s="121" t="str">
        <f>IF(OR(tblGJ[[#This Row],[Account Code]]=1120,tblGJ[[#This Row],[Account Code]]=1130),_xlfn.MINIFS(tblBank[Value Date],tblBank[Reference],tblGJ[[#This Row],[Voucher No]],tblBank[Account Code],tblGJ[[#This Row],[Account Code]]),"")</f>
        <v/>
      </c>
      <c r="M478" s="1" t="str">
        <f>IF(tblGJ[[#This Row],[Date]]&lt;=PEnd,"Yes","No")</f>
        <v>Yes</v>
      </c>
    </row>
    <row r="479" spans="2:13" x14ac:dyDescent="0.35">
      <c r="B479" s="109">
        <v>46203</v>
      </c>
      <c r="C479" s="1" t="s">
        <v>5800</v>
      </c>
      <c r="D479" s="1">
        <v>6240</v>
      </c>
      <c r="E479" s="1" t="str">
        <f>_xlfn.XLOOKUP(tblGJ[[#This Row],[Account Code]],tblCOA[Code],tblCOA[Account Name],"⚠ Invalid account")</f>
        <v>Depreciation Expense</v>
      </c>
      <c r="F479" s="1" t="s">
        <v>6239</v>
      </c>
      <c r="G479" s="5">
        <f>SUMIFS(INDEX(tblFA[[Jan]:[Dec]],0,MONTH(tblGJ[[#This Row],[Date]])),tblFA[Expense Account],tblGJ[[#This Row],[Account Code]])</f>
        <v>28125000</v>
      </c>
      <c r="H479" s="5"/>
      <c r="I479" s="1" t="s">
        <v>6534</v>
      </c>
      <c r="J479" s="1">
        <f>MONTH(tblGJ[[#This Row],[Date]])</f>
        <v>6</v>
      </c>
      <c r="K479" s="1" t="str">
        <f>_xlfn.XLOOKUP(tblGJ[[#This Row],[Account Code]],tblCOA[Code],tblCOA[FS Line],"")</f>
        <v>General &amp; administrative expenses</v>
      </c>
      <c r="L479" s="121" t="str">
        <f>IF(OR(tblGJ[[#This Row],[Account Code]]=1120,tblGJ[[#This Row],[Account Code]]=1130),_xlfn.MINIFS(tblBank[Value Date],tblBank[Reference],tblGJ[[#This Row],[Voucher No]],tblBank[Account Code],tblGJ[[#This Row],[Account Code]]),"")</f>
        <v/>
      </c>
      <c r="M479" s="1" t="str">
        <f>IF(tblGJ[[#This Row],[Date]]&lt;=PEnd,"Yes","No")</f>
        <v>Yes</v>
      </c>
    </row>
    <row r="480" spans="2:13" x14ac:dyDescent="0.35">
      <c r="B480" s="109">
        <v>46203</v>
      </c>
      <c r="C480" s="1" t="s">
        <v>5800</v>
      </c>
      <c r="D480" s="1">
        <v>6250</v>
      </c>
      <c r="E480" s="1" t="str">
        <f>_xlfn.XLOOKUP(tblGJ[[#This Row],[Account Code]],tblCOA[Code],tblCOA[Account Name],"⚠ Invalid account")</f>
        <v>Amortization Expense - Software</v>
      </c>
      <c r="F480" s="1" t="s">
        <v>6240</v>
      </c>
      <c r="G480" s="5">
        <f>SUMIFS(INDEX(tblFA[[Jan]:[Dec]],0,MONTH(tblGJ[[#This Row],[Date]])),tblFA[Expense Account],tblGJ[[#This Row],[Account Code]])</f>
        <v>5000000</v>
      </c>
      <c r="H480" s="5"/>
      <c r="I480" s="1" t="s">
        <v>6534</v>
      </c>
      <c r="J480" s="1">
        <f>MONTH(tblGJ[[#This Row],[Date]])</f>
        <v>6</v>
      </c>
      <c r="K480" s="1" t="str">
        <f>_xlfn.XLOOKUP(tblGJ[[#This Row],[Account Code]],tblCOA[Code],tblCOA[FS Line],"")</f>
        <v>General &amp; administrative expenses</v>
      </c>
      <c r="L480" s="121" t="str">
        <f>IF(OR(tblGJ[[#This Row],[Account Code]]=1120,tblGJ[[#This Row],[Account Code]]=1130),_xlfn.MINIFS(tblBank[Value Date],tblBank[Reference],tblGJ[[#This Row],[Voucher No]],tblBank[Account Code],tblGJ[[#This Row],[Account Code]]),"")</f>
        <v/>
      </c>
      <c r="M480" s="1" t="str">
        <f>IF(tblGJ[[#This Row],[Date]]&lt;=PEnd,"Yes","No")</f>
        <v>Yes</v>
      </c>
    </row>
    <row r="481" spans="2:13" x14ac:dyDescent="0.35">
      <c r="B481" s="109">
        <v>46203</v>
      </c>
      <c r="C481" s="1" t="s">
        <v>5800</v>
      </c>
      <c r="D481" s="1">
        <v>1691</v>
      </c>
      <c r="E481" s="1" t="str">
        <f>_xlfn.XLOOKUP(tblGJ[[#This Row],[Account Code]],tblCOA[Code],tblCOA[Account Name],"⚠ Invalid account")</f>
        <v>Acc. Depreciation - Buildings</v>
      </c>
      <c r="F481" s="1" t="s">
        <v>6241</v>
      </c>
      <c r="G481" s="5"/>
      <c r="H481" s="5">
        <f>SUMIFS(INDEX(tblFA[[Jan]:[Dec]],0,MONTH(tblGJ[[#This Row],[Date]])),tblFA[Acc. Dep. Account],tblGJ[[#This Row],[Account Code]])</f>
        <v>7500000</v>
      </c>
      <c r="I481" s="1" t="s">
        <v>6534</v>
      </c>
      <c r="J481" s="1">
        <f>MONTH(tblGJ[[#This Row],[Date]])</f>
        <v>6</v>
      </c>
      <c r="K481" s="1" t="str">
        <f>_xlfn.XLOOKUP(tblGJ[[#This Row],[Account Code]],tblCOA[Code],tblCOA[FS Line],"")</f>
        <v>Fixed assets - net</v>
      </c>
      <c r="L481" s="121" t="str">
        <f>IF(OR(tblGJ[[#This Row],[Account Code]]=1120,tblGJ[[#This Row],[Account Code]]=1130),_xlfn.MINIFS(tblBank[Value Date],tblBank[Reference],tblGJ[[#This Row],[Voucher No]],tblBank[Account Code],tblGJ[[#This Row],[Account Code]]),"")</f>
        <v/>
      </c>
      <c r="M481" s="1" t="str">
        <f>IF(tblGJ[[#This Row],[Date]]&lt;=PEnd,"Yes","No")</f>
        <v>Yes</v>
      </c>
    </row>
    <row r="482" spans="2:13" x14ac:dyDescent="0.35">
      <c r="B482" s="109">
        <v>46203</v>
      </c>
      <c r="C482" s="1" t="s">
        <v>5800</v>
      </c>
      <c r="D482" s="1">
        <v>1693</v>
      </c>
      <c r="E482" s="1" t="str">
        <f>_xlfn.XLOOKUP(tblGJ[[#This Row],[Account Code]],tblCOA[Code],tblCOA[Account Name],"⚠ Invalid account")</f>
        <v>Acc. Depreciation - Vehicles</v>
      </c>
      <c r="F482" s="1" t="s">
        <v>6241</v>
      </c>
      <c r="G482" s="5"/>
      <c r="H482" s="5">
        <f>SUMIFS(INDEX(tblFA[[Jan]:[Dec]],0,MONTH(tblGJ[[#This Row],[Date]])),tblFA[Acc. Dep. Account],tblGJ[[#This Row],[Account Code]])</f>
        <v>7291667</v>
      </c>
      <c r="I482" s="1" t="s">
        <v>6534</v>
      </c>
      <c r="J482" s="1">
        <f>MONTH(tblGJ[[#This Row],[Date]])</f>
        <v>6</v>
      </c>
      <c r="K482" s="1" t="str">
        <f>_xlfn.XLOOKUP(tblGJ[[#This Row],[Account Code]],tblCOA[Code],tblCOA[FS Line],"")</f>
        <v>Fixed assets - net</v>
      </c>
      <c r="L482" s="121" t="str">
        <f>IF(OR(tblGJ[[#This Row],[Account Code]]=1120,tblGJ[[#This Row],[Account Code]]=1130),_xlfn.MINIFS(tblBank[Value Date],tblBank[Reference],tblGJ[[#This Row],[Voucher No]],tblBank[Account Code],tblGJ[[#This Row],[Account Code]]),"")</f>
        <v/>
      </c>
      <c r="M482" s="1" t="str">
        <f>IF(tblGJ[[#This Row],[Date]]&lt;=PEnd,"Yes","No")</f>
        <v>Yes</v>
      </c>
    </row>
    <row r="483" spans="2:13" x14ac:dyDescent="0.35">
      <c r="B483" s="109">
        <v>46203</v>
      </c>
      <c r="C483" s="1" t="s">
        <v>5800</v>
      </c>
      <c r="D483" s="1">
        <v>1694</v>
      </c>
      <c r="E483" s="1" t="str">
        <f>_xlfn.XLOOKUP(tblGJ[[#This Row],[Account Code]],tblCOA[Code],tblCOA[Account Name],"⚠ Invalid account")</f>
        <v>Acc. Depreciation - Machinery &amp; Equipment</v>
      </c>
      <c r="F483" s="1" t="s">
        <v>6241</v>
      </c>
      <c r="G483" s="5"/>
      <c r="H483" s="5">
        <f>SUMIFS(INDEX(tblFA[[Jan]:[Dec]],0,MONTH(tblGJ[[#This Row],[Date]])),tblFA[Acc. Dep. Account],tblGJ[[#This Row],[Account Code]])</f>
        <v>10208333</v>
      </c>
      <c r="I483" s="1" t="s">
        <v>6534</v>
      </c>
      <c r="J483" s="1">
        <f>MONTH(tblGJ[[#This Row],[Date]])</f>
        <v>6</v>
      </c>
      <c r="K483" s="1" t="str">
        <f>_xlfn.XLOOKUP(tblGJ[[#This Row],[Account Code]],tblCOA[Code],tblCOA[FS Line],"")</f>
        <v>Fixed assets - net</v>
      </c>
      <c r="L483" s="121" t="str">
        <f>IF(OR(tblGJ[[#This Row],[Account Code]]=1120,tblGJ[[#This Row],[Account Code]]=1130),_xlfn.MINIFS(tblBank[Value Date],tblBank[Reference],tblGJ[[#This Row],[Voucher No]],tblBank[Account Code],tblGJ[[#This Row],[Account Code]]),"")</f>
        <v/>
      </c>
      <c r="M483" s="1" t="str">
        <f>IF(tblGJ[[#This Row],[Date]]&lt;=PEnd,"Yes","No")</f>
        <v>Yes</v>
      </c>
    </row>
    <row r="484" spans="2:13" x14ac:dyDescent="0.35">
      <c r="B484" s="109">
        <v>46203</v>
      </c>
      <c r="C484" s="1" t="s">
        <v>5800</v>
      </c>
      <c r="D484" s="1">
        <v>1695</v>
      </c>
      <c r="E484" s="1" t="str">
        <f>_xlfn.XLOOKUP(tblGJ[[#This Row],[Account Code]],tblCOA[Code],tblCOA[Account Name],"⚠ Invalid account")</f>
        <v>Acc. Depreciation - Office Furniture &amp; Equipment</v>
      </c>
      <c r="F484" s="1" t="s">
        <v>6241</v>
      </c>
      <c r="G484" s="5"/>
      <c r="H484" s="5">
        <f>SUMIFS(INDEX(tblFA[[Jan]:[Dec]],0,MONTH(tblGJ[[#This Row],[Date]])),tblFA[Acc. Dep. Account],tblGJ[[#This Row],[Account Code]])</f>
        <v>3125000</v>
      </c>
      <c r="I484" s="1" t="s">
        <v>6534</v>
      </c>
      <c r="J484" s="1">
        <f>MONTH(tblGJ[[#This Row],[Date]])</f>
        <v>6</v>
      </c>
      <c r="K484" s="1" t="str">
        <f>_xlfn.XLOOKUP(tblGJ[[#This Row],[Account Code]],tblCOA[Code],tblCOA[FS Line],"")</f>
        <v>Fixed assets - net</v>
      </c>
      <c r="L484" s="121" t="str">
        <f>IF(OR(tblGJ[[#This Row],[Account Code]]=1120,tblGJ[[#This Row],[Account Code]]=1130),_xlfn.MINIFS(tblBank[Value Date],tblBank[Reference],tblGJ[[#This Row],[Voucher No]],tblBank[Account Code],tblGJ[[#This Row],[Account Code]]),"")</f>
        <v/>
      </c>
      <c r="M484" s="1" t="str">
        <f>IF(tblGJ[[#This Row],[Date]]&lt;=PEnd,"Yes","No")</f>
        <v>Yes</v>
      </c>
    </row>
    <row r="485" spans="2:13" x14ac:dyDescent="0.35">
      <c r="B485" s="109">
        <v>46203</v>
      </c>
      <c r="C485" s="1" t="s">
        <v>5800</v>
      </c>
      <c r="D485" s="1">
        <v>1719</v>
      </c>
      <c r="E485" s="1" t="str">
        <f>_xlfn.XLOOKUP(tblGJ[[#This Row],[Account Code]],tblCOA[Code],tblCOA[Account Name],"⚠ Invalid account")</f>
        <v>Acc. Amortization - Software</v>
      </c>
      <c r="F485" s="1" t="s">
        <v>6241</v>
      </c>
      <c r="G485" s="5"/>
      <c r="H485" s="5">
        <f>SUMIFS(INDEX(tblFA[[Jan]:[Dec]],0,MONTH(tblGJ[[#This Row],[Date]])),tblFA[Acc. Dep. Account],tblGJ[[#This Row],[Account Code]])</f>
        <v>5000000</v>
      </c>
      <c r="I485" s="1" t="s">
        <v>6534</v>
      </c>
      <c r="J485" s="1">
        <f>MONTH(tblGJ[[#This Row],[Date]])</f>
        <v>6</v>
      </c>
      <c r="K485" s="1" t="str">
        <f>_xlfn.XLOOKUP(tblGJ[[#This Row],[Account Code]],tblCOA[Code],tblCOA[FS Line],"")</f>
        <v>Intangible assets - net</v>
      </c>
      <c r="L485" s="121" t="str">
        <f>IF(OR(tblGJ[[#This Row],[Account Code]]=1120,tblGJ[[#This Row],[Account Code]]=1130),_xlfn.MINIFS(tblBank[Value Date],tblBank[Reference],tblGJ[[#This Row],[Voucher No]],tblBank[Account Code],tblGJ[[#This Row],[Account Code]]),"")</f>
        <v/>
      </c>
      <c r="M485" s="1" t="str">
        <f>IF(tblGJ[[#This Row],[Date]]&lt;=PEnd,"Yes","No")</f>
        <v>Yes</v>
      </c>
    </row>
    <row r="486" spans="2:13" x14ac:dyDescent="0.35">
      <c r="B486" s="109">
        <v>46203</v>
      </c>
      <c r="C486" s="1" t="s">
        <v>5801</v>
      </c>
      <c r="D486" s="1">
        <v>6220</v>
      </c>
      <c r="E486" s="1" t="str">
        <f>_xlfn.XLOOKUP(tblGJ[[#This Row],[Account Code]],tblCOA[Code],tblCOA[Account Name],"⚠ Invalid account")</f>
        <v>Rent Expense</v>
      </c>
      <c r="F486" s="1" t="s">
        <v>6242</v>
      </c>
      <c r="G486" s="5">
        <f>SUMIFS(INDEX(tblPrepaid[[Jan]:[Dec]],0,MONTH(tblGJ[[#This Row],[Date]])),tblPrepaid[Expense Account],tblGJ[[#This Row],[Account Code]])</f>
        <v>11000000</v>
      </c>
      <c r="H486" s="5"/>
      <c r="I486" s="1" t="s">
        <v>6535</v>
      </c>
      <c r="J486" s="1">
        <f>MONTH(tblGJ[[#This Row],[Date]])</f>
        <v>6</v>
      </c>
      <c r="K486" s="1" t="str">
        <f>_xlfn.XLOOKUP(tblGJ[[#This Row],[Account Code]],tblCOA[Code],tblCOA[FS Line],"")</f>
        <v>General &amp; administrative expenses</v>
      </c>
      <c r="L486" s="121" t="str">
        <f>IF(OR(tblGJ[[#This Row],[Account Code]]=1120,tblGJ[[#This Row],[Account Code]]=1130),_xlfn.MINIFS(tblBank[Value Date],tblBank[Reference],tblGJ[[#This Row],[Voucher No]],tblBank[Account Code],tblGJ[[#This Row],[Account Code]]),"")</f>
        <v/>
      </c>
      <c r="M486" s="1" t="str">
        <f>IF(tblGJ[[#This Row],[Date]]&lt;=PEnd,"Yes","No")</f>
        <v>Yes</v>
      </c>
    </row>
    <row r="487" spans="2:13" x14ac:dyDescent="0.35">
      <c r="B487" s="109">
        <v>46203</v>
      </c>
      <c r="C487" s="1" t="s">
        <v>5801</v>
      </c>
      <c r="D487" s="1">
        <v>6260</v>
      </c>
      <c r="E487" s="1" t="str">
        <f>_xlfn.XLOOKUP(tblGJ[[#This Row],[Account Code]],tblCOA[Code],tblCOA[Account Name],"⚠ Invalid account")</f>
        <v>Insurance Expense</v>
      </c>
      <c r="F487" s="1" t="s">
        <v>6242</v>
      </c>
      <c r="G487" s="5">
        <f>SUMIFS(INDEX(tblPrepaid[[Jan]:[Dec]],0,MONTH(tblGJ[[#This Row],[Date]])),tblPrepaid[Expense Account],tblGJ[[#This Row],[Account Code]])</f>
        <v>2500000</v>
      </c>
      <c r="H487" s="5"/>
      <c r="I487" s="1" t="s">
        <v>6535</v>
      </c>
      <c r="J487" s="1">
        <f>MONTH(tblGJ[[#This Row],[Date]])</f>
        <v>6</v>
      </c>
      <c r="K487" s="1" t="str">
        <f>_xlfn.XLOOKUP(tblGJ[[#This Row],[Account Code]],tblCOA[Code],tblCOA[FS Line],"")</f>
        <v>General &amp; administrative expenses</v>
      </c>
      <c r="L487" s="121" t="str">
        <f>IF(OR(tblGJ[[#This Row],[Account Code]]=1120,tblGJ[[#This Row],[Account Code]]=1130),_xlfn.MINIFS(tblBank[Value Date],tblBank[Reference],tblGJ[[#This Row],[Voucher No]],tblBank[Account Code],tblGJ[[#This Row],[Account Code]]),"")</f>
        <v/>
      </c>
      <c r="M487" s="1" t="str">
        <f>IF(tblGJ[[#This Row],[Date]]&lt;=PEnd,"Yes","No")</f>
        <v>Yes</v>
      </c>
    </row>
    <row r="488" spans="2:13" x14ac:dyDescent="0.35">
      <c r="B488" s="109">
        <v>46203</v>
      </c>
      <c r="C488" s="1" t="s">
        <v>5801</v>
      </c>
      <c r="D488" s="1">
        <v>6265</v>
      </c>
      <c r="E488" s="1" t="str">
        <f>_xlfn.XLOOKUP(tblGJ[[#This Row],[Account Code]],tblCOA[Code],tblCOA[Account Name],"⚠ Invalid account")</f>
        <v>Software Subscription Expense</v>
      </c>
      <c r="F488" s="1" t="s">
        <v>6242</v>
      </c>
      <c r="G488" s="5">
        <f>SUMIFS(INDEX(tblPrepaid[[Jan]:[Dec]],0,MONTH(tblGJ[[#This Row],[Date]])),tblPrepaid[Expense Account],tblGJ[[#This Row],[Account Code]])</f>
        <v>6000000</v>
      </c>
      <c r="H488" s="5"/>
      <c r="I488" s="1" t="s">
        <v>6535</v>
      </c>
      <c r="J488" s="1">
        <f>MONTH(tblGJ[[#This Row],[Date]])</f>
        <v>6</v>
      </c>
      <c r="K488" s="1" t="str">
        <f>_xlfn.XLOOKUP(tblGJ[[#This Row],[Account Code]],tblCOA[Code],tblCOA[FS Line],"")</f>
        <v>General &amp; administrative expenses</v>
      </c>
      <c r="L488" s="121" t="str">
        <f>IF(OR(tblGJ[[#This Row],[Account Code]]=1120,tblGJ[[#This Row],[Account Code]]=1130),_xlfn.MINIFS(tblBank[Value Date],tblBank[Reference],tblGJ[[#This Row],[Voucher No]],tblBank[Account Code],tblGJ[[#This Row],[Account Code]]),"")</f>
        <v/>
      </c>
      <c r="M488" s="1" t="str">
        <f>IF(tblGJ[[#This Row],[Date]]&lt;=PEnd,"Yes","No")</f>
        <v>Yes</v>
      </c>
    </row>
    <row r="489" spans="2:13" x14ac:dyDescent="0.35">
      <c r="B489" s="109">
        <v>46203</v>
      </c>
      <c r="C489" s="1" t="s">
        <v>5801</v>
      </c>
      <c r="D489" s="1">
        <v>1410</v>
      </c>
      <c r="E489" s="1" t="str">
        <f>_xlfn.XLOOKUP(tblGJ[[#This Row],[Account Code]],tblCOA[Code],tblCOA[Account Name],"⚠ Invalid account")</f>
        <v>Prepaid Rent</v>
      </c>
      <c r="F489" s="1" t="s">
        <v>6242</v>
      </c>
      <c r="G489" s="5"/>
      <c r="H489" s="5">
        <f>SUMIFS(INDEX(tblPrepaid[[Jan]:[Dec]],0,MONTH(tblGJ[[#This Row],[Date]])),tblPrepaid[Prepaid Account],tblGJ[[#This Row],[Account Code]])</f>
        <v>11000000</v>
      </c>
      <c r="I489" s="1" t="s">
        <v>6535</v>
      </c>
      <c r="J489" s="1">
        <f>MONTH(tblGJ[[#This Row],[Date]])</f>
        <v>6</v>
      </c>
      <c r="K489" s="1" t="str">
        <f>_xlfn.XLOOKUP(tblGJ[[#This Row],[Account Code]],tblCOA[Code],tblCOA[FS Line],"")</f>
        <v>Prepaid expenses</v>
      </c>
      <c r="L489" s="121" t="str">
        <f>IF(OR(tblGJ[[#This Row],[Account Code]]=1120,tblGJ[[#This Row],[Account Code]]=1130),_xlfn.MINIFS(tblBank[Value Date],tblBank[Reference],tblGJ[[#This Row],[Voucher No]],tblBank[Account Code],tblGJ[[#This Row],[Account Code]]),"")</f>
        <v/>
      </c>
      <c r="M489" s="1" t="str">
        <f>IF(tblGJ[[#This Row],[Date]]&lt;=PEnd,"Yes","No")</f>
        <v>Yes</v>
      </c>
    </row>
    <row r="490" spans="2:13" x14ac:dyDescent="0.35">
      <c r="B490" s="109">
        <v>46203</v>
      </c>
      <c r="C490" s="1" t="s">
        <v>5801</v>
      </c>
      <c r="D490" s="1">
        <v>1420</v>
      </c>
      <c r="E490" s="1" t="str">
        <f>_xlfn.XLOOKUP(tblGJ[[#This Row],[Account Code]],tblCOA[Code],tblCOA[Account Name],"⚠ Invalid account")</f>
        <v>Prepaid Insurance</v>
      </c>
      <c r="F490" s="1" t="s">
        <v>6242</v>
      </c>
      <c r="G490" s="5"/>
      <c r="H490" s="5">
        <f>SUMIFS(INDEX(tblPrepaid[[Jan]:[Dec]],0,MONTH(tblGJ[[#This Row],[Date]])),tblPrepaid[Prepaid Account],tblGJ[[#This Row],[Account Code]])</f>
        <v>2500000</v>
      </c>
      <c r="I490" s="1" t="s">
        <v>6535</v>
      </c>
      <c r="J490" s="1">
        <f>MONTH(tblGJ[[#This Row],[Date]])</f>
        <v>6</v>
      </c>
      <c r="K490" s="1" t="str">
        <f>_xlfn.XLOOKUP(tblGJ[[#This Row],[Account Code]],tblCOA[Code],tblCOA[FS Line],"")</f>
        <v>Prepaid expenses</v>
      </c>
      <c r="L490" s="121" t="str">
        <f>IF(OR(tblGJ[[#This Row],[Account Code]]=1120,tblGJ[[#This Row],[Account Code]]=1130),_xlfn.MINIFS(tblBank[Value Date],tblBank[Reference],tblGJ[[#This Row],[Voucher No]],tblBank[Account Code],tblGJ[[#This Row],[Account Code]]),"")</f>
        <v/>
      </c>
      <c r="M490" s="1" t="str">
        <f>IF(tblGJ[[#This Row],[Date]]&lt;=PEnd,"Yes","No")</f>
        <v>Yes</v>
      </c>
    </row>
    <row r="491" spans="2:13" x14ac:dyDescent="0.35">
      <c r="B491" s="109">
        <v>46203</v>
      </c>
      <c r="C491" s="1" t="s">
        <v>5801</v>
      </c>
      <c r="D491" s="1">
        <v>1430</v>
      </c>
      <c r="E491" s="1" t="str">
        <f>_xlfn.XLOOKUP(tblGJ[[#This Row],[Account Code]],tblCOA[Code],tblCOA[Account Name],"⚠ Invalid account")</f>
        <v>Prepaid Software Subscriptions</v>
      </c>
      <c r="F491" s="1" t="s">
        <v>6242</v>
      </c>
      <c r="G491" s="5"/>
      <c r="H491" s="5">
        <f>SUMIFS(INDEX(tblPrepaid[[Jan]:[Dec]],0,MONTH(tblGJ[[#This Row],[Date]])),tblPrepaid[Prepaid Account],tblGJ[[#This Row],[Account Code]])</f>
        <v>6000000</v>
      </c>
      <c r="I491" s="1" t="s">
        <v>6535</v>
      </c>
      <c r="J491" s="1">
        <f>MONTH(tblGJ[[#This Row],[Date]])</f>
        <v>6</v>
      </c>
      <c r="K491" s="1" t="str">
        <f>_xlfn.XLOOKUP(tblGJ[[#This Row],[Account Code]],tblCOA[Code],tblCOA[FS Line],"")</f>
        <v>Prepaid expenses</v>
      </c>
      <c r="L491" s="121" t="str">
        <f>IF(OR(tblGJ[[#This Row],[Account Code]]=1120,tblGJ[[#This Row],[Account Code]]=1130),_xlfn.MINIFS(tblBank[Value Date],tblBank[Reference],tblGJ[[#This Row],[Voucher No]],tblBank[Account Code],tblGJ[[#This Row],[Account Code]]),"")</f>
        <v/>
      </c>
      <c r="M491" s="1" t="str">
        <f>IF(tblGJ[[#This Row],[Date]]&lt;=PEnd,"Yes","No")</f>
        <v>Yes</v>
      </c>
    </row>
    <row r="492" spans="2:13" x14ac:dyDescent="0.35">
      <c r="B492" s="109">
        <v>46203</v>
      </c>
      <c r="C492" s="1" t="s">
        <v>5802</v>
      </c>
      <c r="D492" s="1">
        <v>6290</v>
      </c>
      <c r="E492" s="1" t="str">
        <f>_xlfn.XLOOKUP(tblGJ[[#This Row],[Account Code]],tblCOA[Code],tblCOA[Account Name],"⚠ Invalid account")</f>
        <v>Employee Benefits Expense</v>
      </c>
      <c r="F492" s="1" t="s">
        <v>6243</v>
      </c>
      <c r="G492" s="5">
        <v>3000000</v>
      </c>
      <c r="H492" s="5"/>
      <c r="I492" s="1" t="s">
        <v>4263</v>
      </c>
      <c r="J492" s="1">
        <f>MONTH(tblGJ[[#This Row],[Date]])</f>
        <v>6</v>
      </c>
      <c r="K492" s="1" t="str">
        <f>_xlfn.XLOOKUP(tblGJ[[#This Row],[Account Code]],tblCOA[Code],tblCOA[FS Line],"")</f>
        <v>General &amp; administrative expenses</v>
      </c>
      <c r="L492" s="121" t="str">
        <f>IF(OR(tblGJ[[#This Row],[Account Code]]=1120,tblGJ[[#This Row],[Account Code]]=1130),_xlfn.MINIFS(tblBank[Value Date],tblBank[Reference],tblGJ[[#This Row],[Voucher No]],tblBank[Account Code],tblGJ[[#This Row],[Account Code]]),"")</f>
        <v/>
      </c>
      <c r="M492" s="1" t="str">
        <f>IF(tblGJ[[#This Row],[Date]]&lt;=PEnd,"Yes","No")</f>
        <v>Yes</v>
      </c>
    </row>
    <row r="493" spans="2:13" x14ac:dyDescent="0.35">
      <c r="B493" s="109">
        <v>46203</v>
      </c>
      <c r="C493" s="1" t="s">
        <v>5802</v>
      </c>
      <c r="D493" s="1">
        <v>2420</v>
      </c>
      <c r="E493" s="1" t="str">
        <f>_xlfn.XLOOKUP(tblGJ[[#This Row],[Account Code]],tblCOA[Code],tblCOA[Account Name],"⚠ Invalid account")</f>
        <v>Employee Benefits Liability</v>
      </c>
      <c r="F493" s="1" t="s">
        <v>6244</v>
      </c>
      <c r="G493" s="5"/>
      <c r="H493" s="5">
        <v>3000000</v>
      </c>
      <c r="I493" s="1" t="s">
        <v>4263</v>
      </c>
      <c r="J493" s="1">
        <f>MONTH(tblGJ[[#This Row],[Date]])</f>
        <v>6</v>
      </c>
      <c r="K493" s="1" t="str">
        <f>_xlfn.XLOOKUP(tblGJ[[#This Row],[Account Code]],tblCOA[Code],tblCOA[FS Line],"")</f>
        <v>Employee benefits liability</v>
      </c>
      <c r="L493" s="121" t="str">
        <f>IF(OR(tblGJ[[#This Row],[Account Code]]=1120,tblGJ[[#This Row],[Account Code]]=1130),_xlfn.MINIFS(tblBank[Value Date],tblBank[Reference],tblGJ[[#This Row],[Voucher No]],tblBank[Account Code],tblGJ[[#This Row],[Account Code]]),"")</f>
        <v/>
      </c>
      <c r="M493" s="1" t="str">
        <f>IF(tblGJ[[#This Row],[Date]]&lt;=PEnd,"Yes","No")</f>
        <v>Yes</v>
      </c>
    </row>
    <row r="494" spans="2:13" x14ac:dyDescent="0.35">
      <c r="B494" s="109">
        <v>46203</v>
      </c>
      <c r="C494" s="1" t="s">
        <v>5803</v>
      </c>
      <c r="D494" s="1">
        <v>1120</v>
      </c>
      <c r="E494" s="1" t="str">
        <f>_xlfn.XLOOKUP(tblGJ[[#This Row],[Account Code]],tblCOA[Code],tblCOA[Account Name],"⚠ Invalid account")</f>
        <v>Bank BCA - Current Account</v>
      </c>
      <c r="F494" s="1" t="s">
        <v>6245</v>
      </c>
      <c r="G494" s="5">
        <v>1333333</v>
      </c>
      <c r="H494" s="5"/>
      <c r="I494" s="1" t="s">
        <v>4263</v>
      </c>
      <c r="J494" s="1">
        <f>MONTH(tblGJ[[#This Row],[Date]])</f>
        <v>6</v>
      </c>
      <c r="K494" s="1" t="str">
        <f>_xlfn.XLOOKUP(tblGJ[[#This Row],[Account Code]],tblCOA[Code],tblCOA[FS Line],"")</f>
        <v>Cash and cash equivalents</v>
      </c>
      <c r="L494" s="121">
        <f>IF(OR(tblGJ[[#This Row],[Account Code]]=1120,tblGJ[[#This Row],[Account Code]]=1130),_xlfn.MINIFS(tblBank[Value Date],tblBank[Reference],tblGJ[[#This Row],[Voucher No]],tblBank[Account Code],tblGJ[[#This Row],[Account Code]]),"")</f>
        <v>46203</v>
      </c>
      <c r="M494" s="1" t="str">
        <f>IF(tblGJ[[#This Row],[Date]]&lt;=PEnd,"Yes","No")</f>
        <v>Yes</v>
      </c>
    </row>
    <row r="495" spans="2:13" x14ac:dyDescent="0.35">
      <c r="B495" s="109">
        <v>46203</v>
      </c>
      <c r="C495" s="1" t="s">
        <v>5803</v>
      </c>
      <c r="D495" s="1">
        <v>8200</v>
      </c>
      <c r="E495" s="1" t="str">
        <f>_xlfn.XLOOKUP(tblGJ[[#This Row],[Account Code]],tblCOA[Code],tblCOA[Account Name],"⚠ Invalid account")</f>
        <v>Final Income Tax Expense</v>
      </c>
      <c r="F495" s="1" t="s">
        <v>6246</v>
      </c>
      <c r="G495" s="5">
        <v>333334</v>
      </c>
      <c r="H495" s="5"/>
      <c r="I495" s="1" t="s">
        <v>4263</v>
      </c>
      <c r="J495" s="1">
        <f>MONTH(tblGJ[[#This Row],[Date]])</f>
        <v>6</v>
      </c>
      <c r="K495" s="1" t="str">
        <f>_xlfn.XLOOKUP(tblGJ[[#This Row],[Account Code]],tblCOA[Code],tblCOA[FS Line],"")</f>
        <v>Other expenses</v>
      </c>
      <c r="L495" s="121" t="str">
        <f>IF(OR(tblGJ[[#This Row],[Account Code]]=1120,tblGJ[[#This Row],[Account Code]]=1130),_xlfn.MINIFS(tblBank[Value Date],tblBank[Reference],tblGJ[[#This Row],[Voucher No]],tblBank[Account Code],tblGJ[[#This Row],[Account Code]]),"")</f>
        <v/>
      </c>
      <c r="M495" s="1" t="str">
        <f>IF(tblGJ[[#This Row],[Date]]&lt;=PEnd,"Yes","No")</f>
        <v>Yes</v>
      </c>
    </row>
    <row r="496" spans="2:13" x14ac:dyDescent="0.35">
      <c r="B496" s="109">
        <v>46203</v>
      </c>
      <c r="C496" s="1" t="s">
        <v>5803</v>
      </c>
      <c r="D496" s="1">
        <v>7110</v>
      </c>
      <c r="E496" s="1" t="str">
        <f>_xlfn.XLOOKUP(tblGJ[[#This Row],[Account Code]],tblCOA[Code],tblCOA[Account Name],"⚠ Invalid account")</f>
        <v>Interest Income - Time Deposit</v>
      </c>
      <c r="F496" s="1" t="s">
        <v>6247</v>
      </c>
      <c r="G496" s="5"/>
      <c r="H496" s="5">
        <v>1666667</v>
      </c>
      <c r="I496" s="1" t="s">
        <v>4263</v>
      </c>
      <c r="J496" s="1">
        <f>MONTH(tblGJ[[#This Row],[Date]])</f>
        <v>6</v>
      </c>
      <c r="K496" s="1" t="str">
        <f>_xlfn.XLOOKUP(tblGJ[[#This Row],[Account Code]],tblCOA[Code],tblCOA[FS Line],"")</f>
        <v>Other income</v>
      </c>
      <c r="L496" s="121" t="str">
        <f>IF(OR(tblGJ[[#This Row],[Account Code]]=1120,tblGJ[[#This Row],[Account Code]]=1130),_xlfn.MINIFS(tblBank[Value Date],tblBank[Reference],tblGJ[[#This Row],[Voucher No]],tblBank[Account Code],tblGJ[[#This Row],[Account Code]]),"")</f>
        <v/>
      </c>
      <c r="M496" s="1" t="str">
        <f>IF(tblGJ[[#This Row],[Date]]&lt;=PEnd,"Yes","No")</f>
        <v>Yes</v>
      </c>
    </row>
    <row r="497" spans="2:13" x14ac:dyDescent="0.35">
      <c r="B497" s="109">
        <v>46203</v>
      </c>
      <c r="C497" s="1" t="s">
        <v>5804</v>
      </c>
      <c r="D497" s="1">
        <v>1120</v>
      </c>
      <c r="E497" s="1" t="str">
        <f>_xlfn.XLOOKUP(tblGJ[[#This Row],[Account Code]],tblCOA[Code],tblCOA[Account Name],"⚠ Invalid account")</f>
        <v>Bank BCA - Current Account</v>
      </c>
      <c r="F497" s="1" t="s">
        <v>6248</v>
      </c>
      <c r="G497" s="5">
        <v>504305</v>
      </c>
      <c r="H497" s="5"/>
      <c r="I497" s="1" t="s">
        <v>4263</v>
      </c>
      <c r="J497" s="1">
        <f>MONTH(tblGJ[[#This Row],[Date]])</f>
        <v>6</v>
      </c>
      <c r="K497" s="1" t="str">
        <f>_xlfn.XLOOKUP(tblGJ[[#This Row],[Account Code]],tblCOA[Code],tblCOA[FS Line],"")</f>
        <v>Cash and cash equivalents</v>
      </c>
      <c r="L497" s="121">
        <f>IF(OR(tblGJ[[#This Row],[Account Code]]=1120,tblGJ[[#This Row],[Account Code]]=1130),_xlfn.MINIFS(tblBank[Value Date],tblBank[Reference],tblGJ[[#This Row],[Voucher No]],tblBank[Account Code],tblGJ[[#This Row],[Account Code]]),"")</f>
        <v>46203</v>
      </c>
      <c r="M497" s="1" t="str">
        <f>IF(tblGJ[[#This Row],[Date]]&lt;=PEnd,"Yes","No")</f>
        <v>Yes</v>
      </c>
    </row>
    <row r="498" spans="2:13" x14ac:dyDescent="0.35">
      <c r="B498" s="109">
        <v>46203</v>
      </c>
      <c r="C498" s="1" t="s">
        <v>5804</v>
      </c>
      <c r="D498" s="1">
        <v>7120</v>
      </c>
      <c r="E498" s="1" t="str">
        <f>_xlfn.XLOOKUP(tblGJ[[#This Row],[Account Code]],tblCOA[Code],tblCOA[Account Name],"⚠ Invalid account")</f>
        <v>Interest Income - Current Account</v>
      </c>
      <c r="F498" s="1" t="s">
        <v>6248</v>
      </c>
      <c r="G498" s="5"/>
      <c r="H498" s="5">
        <v>504305</v>
      </c>
      <c r="I498" s="1" t="s">
        <v>4263</v>
      </c>
      <c r="J498" s="1">
        <f>MONTH(tblGJ[[#This Row],[Date]])</f>
        <v>6</v>
      </c>
      <c r="K498" s="1" t="str">
        <f>_xlfn.XLOOKUP(tblGJ[[#This Row],[Account Code]],tblCOA[Code],tblCOA[FS Line],"")</f>
        <v>Other income</v>
      </c>
      <c r="L498" s="121" t="str">
        <f>IF(OR(tblGJ[[#This Row],[Account Code]]=1120,tblGJ[[#This Row],[Account Code]]=1130),_xlfn.MINIFS(tblBank[Value Date],tblBank[Reference],tblGJ[[#This Row],[Voucher No]],tblBank[Account Code],tblGJ[[#This Row],[Account Code]]),"")</f>
        <v/>
      </c>
      <c r="M498" s="1" t="str">
        <f>IF(tblGJ[[#This Row],[Date]]&lt;=PEnd,"Yes","No")</f>
        <v>Yes</v>
      </c>
    </row>
    <row r="499" spans="2:13" x14ac:dyDescent="0.35">
      <c r="B499" s="109">
        <v>46203</v>
      </c>
      <c r="C499" s="1" t="s">
        <v>5805</v>
      </c>
      <c r="D499" s="1">
        <v>8200</v>
      </c>
      <c r="E499" s="1" t="str">
        <f>_xlfn.XLOOKUP(tblGJ[[#This Row],[Account Code]],tblCOA[Code],tblCOA[Account Name],"⚠ Invalid account")</f>
        <v>Final Income Tax Expense</v>
      </c>
      <c r="F499" s="1" t="s">
        <v>6249</v>
      </c>
      <c r="G499" s="5">
        <v>100861</v>
      </c>
      <c r="H499" s="5"/>
      <c r="I499" s="1" t="s">
        <v>4263</v>
      </c>
      <c r="J499" s="1">
        <f>MONTH(tblGJ[[#This Row],[Date]])</f>
        <v>6</v>
      </c>
      <c r="K499" s="1" t="str">
        <f>_xlfn.XLOOKUP(tblGJ[[#This Row],[Account Code]],tblCOA[Code],tblCOA[FS Line],"")</f>
        <v>Other expenses</v>
      </c>
      <c r="L499" s="121" t="str">
        <f>IF(OR(tblGJ[[#This Row],[Account Code]]=1120,tblGJ[[#This Row],[Account Code]]=1130),_xlfn.MINIFS(tblBank[Value Date],tblBank[Reference],tblGJ[[#This Row],[Voucher No]],tblBank[Account Code],tblGJ[[#This Row],[Account Code]]),"")</f>
        <v/>
      </c>
      <c r="M499" s="1" t="str">
        <f>IF(tblGJ[[#This Row],[Date]]&lt;=PEnd,"Yes","No")</f>
        <v>Yes</v>
      </c>
    </row>
    <row r="500" spans="2:13" x14ac:dyDescent="0.35">
      <c r="B500" s="109">
        <v>46203</v>
      </c>
      <c r="C500" s="1" t="s">
        <v>5805</v>
      </c>
      <c r="D500" s="1">
        <v>1120</v>
      </c>
      <c r="E500" s="1" t="str">
        <f>_xlfn.XLOOKUP(tblGJ[[#This Row],[Account Code]],tblCOA[Code],tblCOA[Account Name],"⚠ Invalid account")</f>
        <v>Bank BCA - Current Account</v>
      </c>
      <c r="F500" s="1" t="s">
        <v>6249</v>
      </c>
      <c r="G500" s="5"/>
      <c r="H500" s="5">
        <v>100861</v>
      </c>
      <c r="I500" s="1" t="s">
        <v>4263</v>
      </c>
      <c r="J500" s="1">
        <f>MONTH(tblGJ[[#This Row],[Date]])</f>
        <v>6</v>
      </c>
      <c r="K500" s="1" t="str">
        <f>_xlfn.XLOOKUP(tblGJ[[#This Row],[Account Code]],tblCOA[Code],tblCOA[FS Line],"")</f>
        <v>Cash and cash equivalents</v>
      </c>
      <c r="L500" s="121">
        <f>IF(OR(tblGJ[[#This Row],[Account Code]]=1120,tblGJ[[#This Row],[Account Code]]=1130),_xlfn.MINIFS(tblBank[Value Date],tblBank[Reference],tblGJ[[#This Row],[Voucher No]],tblBank[Account Code],tblGJ[[#This Row],[Account Code]]),"")</f>
        <v>46203</v>
      </c>
      <c r="M500" s="1" t="str">
        <f>IF(tblGJ[[#This Row],[Date]]&lt;=PEnd,"Yes","No")</f>
        <v>Yes</v>
      </c>
    </row>
    <row r="501" spans="2:13" x14ac:dyDescent="0.35">
      <c r="B501" s="109">
        <v>46203</v>
      </c>
      <c r="C501" s="1" t="s">
        <v>5806</v>
      </c>
      <c r="D501" s="1">
        <v>7220</v>
      </c>
      <c r="E501" s="1" t="str">
        <f>_xlfn.XLOOKUP(tblGJ[[#This Row],[Account Code]],tblCOA[Code],tblCOA[Account Name],"⚠ Invalid account")</f>
        <v>Bank Charges</v>
      </c>
      <c r="F501" s="1" t="s">
        <v>6250</v>
      </c>
      <c r="G501" s="5">
        <v>150000</v>
      </c>
      <c r="H501" s="5"/>
      <c r="I501" s="1" t="s">
        <v>4263</v>
      </c>
      <c r="J501" s="1">
        <f>MONTH(tblGJ[[#This Row],[Date]])</f>
        <v>6</v>
      </c>
      <c r="K501" s="1" t="str">
        <f>_xlfn.XLOOKUP(tblGJ[[#This Row],[Account Code]],tblCOA[Code],tblCOA[FS Line],"")</f>
        <v>Other expenses</v>
      </c>
      <c r="L501" s="121" t="str">
        <f>IF(OR(tblGJ[[#This Row],[Account Code]]=1120,tblGJ[[#This Row],[Account Code]]=1130),_xlfn.MINIFS(tblBank[Value Date],tblBank[Reference],tblGJ[[#This Row],[Voucher No]],tblBank[Account Code],tblGJ[[#This Row],[Account Code]]),"")</f>
        <v/>
      </c>
      <c r="M501" s="1" t="str">
        <f>IF(tblGJ[[#This Row],[Date]]&lt;=PEnd,"Yes","No")</f>
        <v>Yes</v>
      </c>
    </row>
    <row r="502" spans="2:13" x14ac:dyDescent="0.35">
      <c r="B502" s="109">
        <v>46203</v>
      </c>
      <c r="C502" s="1" t="s">
        <v>5806</v>
      </c>
      <c r="D502" s="1">
        <v>1120</v>
      </c>
      <c r="E502" s="1" t="str">
        <f>_xlfn.XLOOKUP(tblGJ[[#This Row],[Account Code]],tblCOA[Code],tblCOA[Account Name],"⚠ Invalid account")</f>
        <v>Bank BCA - Current Account</v>
      </c>
      <c r="F502" s="1" t="s">
        <v>6250</v>
      </c>
      <c r="G502" s="5"/>
      <c r="H502" s="5">
        <v>150000</v>
      </c>
      <c r="I502" s="1" t="s">
        <v>4263</v>
      </c>
      <c r="J502" s="1">
        <f>MONTH(tblGJ[[#This Row],[Date]])</f>
        <v>6</v>
      </c>
      <c r="K502" s="1" t="str">
        <f>_xlfn.XLOOKUP(tblGJ[[#This Row],[Account Code]],tblCOA[Code],tblCOA[FS Line],"")</f>
        <v>Cash and cash equivalents</v>
      </c>
      <c r="L502" s="121">
        <f>IF(OR(tblGJ[[#This Row],[Account Code]]=1120,tblGJ[[#This Row],[Account Code]]=1130),_xlfn.MINIFS(tblBank[Value Date],tblBank[Reference],tblGJ[[#This Row],[Voucher No]],tblBank[Account Code],tblGJ[[#This Row],[Account Code]]),"")</f>
        <v>46203</v>
      </c>
      <c r="M502" s="1" t="str">
        <f>IF(tblGJ[[#This Row],[Date]]&lt;=PEnd,"Yes","No")</f>
        <v>Yes</v>
      </c>
    </row>
    <row r="503" spans="2:13" x14ac:dyDescent="0.35">
      <c r="B503" s="109">
        <v>46203</v>
      </c>
      <c r="C503" s="1" t="s">
        <v>5807</v>
      </c>
      <c r="D503" s="1">
        <v>1130</v>
      </c>
      <c r="E503" s="1" t="str">
        <f>_xlfn.XLOOKUP(tblGJ[[#This Row],[Account Code]],tblCOA[Code],tblCOA[Account Name],"⚠ Invalid account")</f>
        <v>Bank Mandiri - Current Account</v>
      </c>
      <c r="F503" s="1" t="s">
        <v>6251</v>
      </c>
      <c r="G503" s="5">
        <v>81406</v>
      </c>
      <c r="H503" s="5"/>
      <c r="I503" s="1" t="s">
        <v>4263</v>
      </c>
      <c r="J503" s="1">
        <f>MONTH(tblGJ[[#This Row],[Date]])</f>
        <v>6</v>
      </c>
      <c r="K503" s="1" t="str">
        <f>_xlfn.XLOOKUP(tblGJ[[#This Row],[Account Code]],tblCOA[Code],tblCOA[FS Line],"")</f>
        <v>Cash and cash equivalents</v>
      </c>
      <c r="L503" s="121">
        <f>IF(OR(tblGJ[[#This Row],[Account Code]]=1120,tblGJ[[#This Row],[Account Code]]=1130),_xlfn.MINIFS(tblBank[Value Date],tblBank[Reference],tblGJ[[#This Row],[Voucher No]],tblBank[Account Code],tblGJ[[#This Row],[Account Code]]),"")</f>
        <v>46203</v>
      </c>
      <c r="M503" s="1" t="str">
        <f>IF(tblGJ[[#This Row],[Date]]&lt;=PEnd,"Yes","No")</f>
        <v>Yes</v>
      </c>
    </row>
    <row r="504" spans="2:13" x14ac:dyDescent="0.35">
      <c r="B504" s="109">
        <v>46203</v>
      </c>
      <c r="C504" s="1" t="s">
        <v>5807</v>
      </c>
      <c r="D504" s="1">
        <v>7120</v>
      </c>
      <c r="E504" s="1" t="str">
        <f>_xlfn.XLOOKUP(tblGJ[[#This Row],[Account Code]],tblCOA[Code],tblCOA[Account Name],"⚠ Invalid account")</f>
        <v>Interest Income - Current Account</v>
      </c>
      <c r="F504" s="1" t="s">
        <v>6251</v>
      </c>
      <c r="G504" s="5"/>
      <c r="H504" s="5">
        <v>81406</v>
      </c>
      <c r="I504" s="1" t="s">
        <v>4263</v>
      </c>
      <c r="J504" s="1">
        <f>MONTH(tblGJ[[#This Row],[Date]])</f>
        <v>6</v>
      </c>
      <c r="K504" s="1" t="str">
        <f>_xlfn.XLOOKUP(tblGJ[[#This Row],[Account Code]],tblCOA[Code],tblCOA[FS Line],"")</f>
        <v>Other income</v>
      </c>
      <c r="L504" s="121" t="str">
        <f>IF(OR(tblGJ[[#This Row],[Account Code]]=1120,tblGJ[[#This Row],[Account Code]]=1130),_xlfn.MINIFS(tblBank[Value Date],tblBank[Reference],tblGJ[[#This Row],[Voucher No]],tblBank[Account Code],tblGJ[[#This Row],[Account Code]]),"")</f>
        <v/>
      </c>
      <c r="M504" s="1" t="str">
        <f>IF(tblGJ[[#This Row],[Date]]&lt;=PEnd,"Yes","No")</f>
        <v>Yes</v>
      </c>
    </row>
    <row r="505" spans="2:13" x14ac:dyDescent="0.35">
      <c r="B505" s="109">
        <v>46203</v>
      </c>
      <c r="C505" s="1" t="s">
        <v>5808</v>
      </c>
      <c r="D505" s="1">
        <v>8200</v>
      </c>
      <c r="E505" s="1" t="str">
        <f>_xlfn.XLOOKUP(tblGJ[[#This Row],[Account Code]],tblCOA[Code],tblCOA[Account Name],"⚠ Invalid account")</f>
        <v>Final Income Tax Expense</v>
      </c>
      <c r="F505" s="1" t="s">
        <v>6252</v>
      </c>
      <c r="G505" s="5">
        <v>16281</v>
      </c>
      <c r="H505" s="5"/>
      <c r="I505" s="1" t="s">
        <v>4263</v>
      </c>
      <c r="J505" s="1">
        <f>MONTH(tblGJ[[#This Row],[Date]])</f>
        <v>6</v>
      </c>
      <c r="K505" s="1" t="str">
        <f>_xlfn.XLOOKUP(tblGJ[[#This Row],[Account Code]],tblCOA[Code],tblCOA[FS Line],"")</f>
        <v>Other expenses</v>
      </c>
      <c r="L505" s="121" t="str">
        <f>IF(OR(tblGJ[[#This Row],[Account Code]]=1120,tblGJ[[#This Row],[Account Code]]=1130),_xlfn.MINIFS(tblBank[Value Date],tblBank[Reference],tblGJ[[#This Row],[Voucher No]],tblBank[Account Code],tblGJ[[#This Row],[Account Code]]),"")</f>
        <v/>
      </c>
      <c r="M505" s="1" t="str">
        <f>IF(tblGJ[[#This Row],[Date]]&lt;=PEnd,"Yes","No")</f>
        <v>Yes</v>
      </c>
    </row>
    <row r="506" spans="2:13" x14ac:dyDescent="0.35">
      <c r="B506" s="109">
        <v>46203</v>
      </c>
      <c r="C506" s="1" t="s">
        <v>5808</v>
      </c>
      <c r="D506" s="1">
        <v>1130</v>
      </c>
      <c r="E506" s="1" t="str">
        <f>_xlfn.XLOOKUP(tblGJ[[#This Row],[Account Code]],tblCOA[Code],tblCOA[Account Name],"⚠ Invalid account")</f>
        <v>Bank Mandiri - Current Account</v>
      </c>
      <c r="F506" s="1" t="s">
        <v>6252</v>
      </c>
      <c r="G506" s="5"/>
      <c r="H506" s="5">
        <v>16281</v>
      </c>
      <c r="I506" s="1" t="s">
        <v>4263</v>
      </c>
      <c r="J506" s="1">
        <f>MONTH(tblGJ[[#This Row],[Date]])</f>
        <v>6</v>
      </c>
      <c r="K506" s="1" t="str">
        <f>_xlfn.XLOOKUP(tblGJ[[#This Row],[Account Code]],tblCOA[Code],tblCOA[FS Line],"")</f>
        <v>Cash and cash equivalents</v>
      </c>
      <c r="L506" s="121">
        <f>IF(OR(tblGJ[[#This Row],[Account Code]]=1120,tblGJ[[#This Row],[Account Code]]=1130),_xlfn.MINIFS(tblBank[Value Date],tblBank[Reference],tblGJ[[#This Row],[Voucher No]],tblBank[Account Code],tblGJ[[#This Row],[Account Code]]),"")</f>
        <v>46203</v>
      </c>
      <c r="M506" s="1" t="str">
        <f>IF(tblGJ[[#This Row],[Date]]&lt;=PEnd,"Yes","No")</f>
        <v>Yes</v>
      </c>
    </row>
    <row r="507" spans="2:13" x14ac:dyDescent="0.35">
      <c r="B507" s="109">
        <v>46203</v>
      </c>
      <c r="C507" s="1" t="s">
        <v>5809</v>
      </c>
      <c r="D507" s="1">
        <v>7220</v>
      </c>
      <c r="E507" s="1" t="str">
        <f>_xlfn.XLOOKUP(tblGJ[[#This Row],[Account Code]],tblCOA[Code],tblCOA[Account Name],"⚠ Invalid account")</f>
        <v>Bank Charges</v>
      </c>
      <c r="F507" s="1" t="s">
        <v>6253</v>
      </c>
      <c r="G507" s="5">
        <v>118500</v>
      </c>
      <c r="H507" s="5"/>
      <c r="I507" s="1" t="s">
        <v>4263</v>
      </c>
      <c r="J507" s="1">
        <f>MONTH(tblGJ[[#This Row],[Date]])</f>
        <v>6</v>
      </c>
      <c r="K507" s="1" t="str">
        <f>_xlfn.XLOOKUP(tblGJ[[#This Row],[Account Code]],tblCOA[Code],tblCOA[FS Line],"")</f>
        <v>Other expenses</v>
      </c>
      <c r="L507" s="121" t="str">
        <f>IF(OR(tblGJ[[#This Row],[Account Code]]=1120,tblGJ[[#This Row],[Account Code]]=1130),_xlfn.MINIFS(tblBank[Value Date],tblBank[Reference],tblGJ[[#This Row],[Voucher No]],tblBank[Account Code],tblGJ[[#This Row],[Account Code]]),"")</f>
        <v/>
      </c>
      <c r="M507" s="1" t="str">
        <f>IF(tblGJ[[#This Row],[Date]]&lt;=PEnd,"Yes","No")</f>
        <v>Yes</v>
      </c>
    </row>
    <row r="508" spans="2:13" x14ac:dyDescent="0.35">
      <c r="B508" s="109">
        <v>46203</v>
      </c>
      <c r="C508" s="1" t="s">
        <v>5809</v>
      </c>
      <c r="D508" s="1">
        <v>1130</v>
      </c>
      <c r="E508" s="1" t="str">
        <f>_xlfn.XLOOKUP(tblGJ[[#This Row],[Account Code]],tblCOA[Code],tblCOA[Account Name],"⚠ Invalid account")</f>
        <v>Bank Mandiri - Current Account</v>
      </c>
      <c r="F508" s="1" t="s">
        <v>6253</v>
      </c>
      <c r="G508" s="5"/>
      <c r="H508" s="5">
        <v>118500</v>
      </c>
      <c r="I508" s="1" t="s">
        <v>4263</v>
      </c>
      <c r="J508" s="1">
        <f>MONTH(tblGJ[[#This Row],[Date]])</f>
        <v>6</v>
      </c>
      <c r="K508" s="1" t="str">
        <f>_xlfn.XLOOKUP(tblGJ[[#This Row],[Account Code]],tblCOA[Code],tblCOA[FS Line],"")</f>
        <v>Cash and cash equivalents</v>
      </c>
      <c r="L508" s="121">
        <f>IF(OR(tblGJ[[#This Row],[Account Code]]=1120,tblGJ[[#This Row],[Account Code]]=1130),_xlfn.MINIFS(tblBank[Value Date],tblBank[Reference],tblGJ[[#This Row],[Voucher No]],tblBank[Account Code],tblGJ[[#This Row],[Account Code]]),"")</f>
        <v>46203</v>
      </c>
      <c r="M508" s="1" t="str">
        <f>IF(tblGJ[[#This Row],[Date]]&lt;=PEnd,"Yes","No")</f>
        <v>Yes</v>
      </c>
    </row>
    <row r="509" spans="2:13" x14ac:dyDescent="0.35">
      <c r="B509" s="109">
        <v>46203</v>
      </c>
      <c r="C509" s="1" t="s">
        <v>5810</v>
      </c>
      <c r="D509" s="1">
        <v>2310</v>
      </c>
      <c r="E509" s="1" t="str">
        <f>_xlfn.XLOOKUP(tblGJ[[#This Row],[Account Code]],tblCOA[Code],tblCOA[Account Name],"⚠ Invalid account")</f>
        <v>Short-term Bank Loan</v>
      </c>
      <c r="F509" s="1" t="s">
        <v>6254</v>
      </c>
      <c r="G509" s="5">
        <v>300000000</v>
      </c>
      <c r="H509" s="5"/>
      <c r="I509" s="1" t="s">
        <v>4263</v>
      </c>
      <c r="J509" s="1">
        <f>MONTH(tblGJ[[#This Row],[Date]])</f>
        <v>6</v>
      </c>
      <c r="K509" s="1" t="str">
        <f>_xlfn.XLOOKUP(tblGJ[[#This Row],[Account Code]],tblCOA[Code],tblCOA[FS Line],"")</f>
        <v>Short-term bank loans</v>
      </c>
      <c r="L509" s="121" t="str">
        <f>IF(OR(tblGJ[[#This Row],[Account Code]]=1120,tblGJ[[#This Row],[Account Code]]=1130),_xlfn.MINIFS(tblBank[Value Date],tblBank[Reference],tblGJ[[#This Row],[Voucher No]],tblBank[Account Code],tblGJ[[#This Row],[Account Code]]),"")</f>
        <v/>
      </c>
      <c r="M509" s="1" t="str">
        <f>IF(tblGJ[[#This Row],[Date]]&lt;=PEnd,"Yes","No")</f>
        <v>Yes</v>
      </c>
    </row>
    <row r="510" spans="2:13" x14ac:dyDescent="0.35">
      <c r="B510" s="109">
        <v>46203</v>
      </c>
      <c r="C510" s="1" t="s">
        <v>5810</v>
      </c>
      <c r="D510" s="1">
        <v>1120</v>
      </c>
      <c r="E510" s="1" t="str">
        <f>_xlfn.XLOOKUP(tblGJ[[#This Row],[Account Code]],tblCOA[Code],tblCOA[Account Name],"⚠ Invalid account")</f>
        <v>Bank BCA - Current Account</v>
      </c>
      <c r="F510" s="1" t="s">
        <v>6254</v>
      </c>
      <c r="G510" s="5"/>
      <c r="H510" s="5">
        <v>300000000</v>
      </c>
      <c r="I510" s="1" t="s">
        <v>4263</v>
      </c>
      <c r="J510" s="1">
        <f>MONTH(tblGJ[[#This Row],[Date]])</f>
        <v>6</v>
      </c>
      <c r="K510" s="1" t="str">
        <f>_xlfn.XLOOKUP(tblGJ[[#This Row],[Account Code]],tblCOA[Code],tblCOA[FS Line],"")</f>
        <v>Cash and cash equivalents</v>
      </c>
      <c r="L510" s="121">
        <f>IF(OR(tblGJ[[#This Row],[Account Code]]=1120,tblGJ[[#This Row],[Account Code]]=1130),_xlfn.MINIFS(tblBank[Value Date],tblBank[Reference],tblGJ[[#This Row],[Voucher No]],tblBank[Account Code],tblGJ[[#This Row],[Account Code]]),"")</f>
        <v>46203</v>
      </c>
      <c r="M510" s="1" t="str">
        <f>IF(tblGJ[[#This Row],[Date]]&lt;=PEnd,"Yes","No")</f>
        <v>Yes</v>
      </c>
    </row>
    <row r="511" spans="2:13" x14ac:dyDescent="0.35">
      <c r="B511" s="109">
        <v>46213</v>
      </c>
      <c r="C511" s="1" t="s">
        <v>5811</v>
      </c>
      <c r="D511" s="1">
        <v>2230</v>
      </c>
      <c r="E511" s="1" t="str">
        <f>_xlfn.XLOOKUP(tblGJ[[#This Row],[Account Code]],tblCOA[Code],tblCOA[Account Name],"⚠ Invalid account")</f>
        <v>WHT Payable - Art. 21</v>
      </c>
      <c r="F511" s="1" t="s">
        <v>5957</v>
      </c>
      <c r="G511" s="5">
        <f>IF(MONTH(tblGJ[[#This Row],[Date]])=1,_xlfn.XLOOKUP(2230,tblCOA[Code],tblCOA[Opening Balance]),SUMIFS(tblPayroll[PPh 21],tblPayroll[Period],MONTH(tblGJ[[#This Row],[Date]])-1))</f>
        <v>10516831</v>
      </c>
      <c r="H511" s="5"/>
      <c r="I511" s="1" t="s">
        <v>6528</v>
      </c>
      <c r="J511" s="1">
        <f>MONTH(tblGJ[[#This Row],[Date]])</f>
        <v>7</v>
      </c>
      <c r="K511" s="1" t="str">
        <f>_xlfn.XLOOKUP(tblGJ[[#This Row],[Account Code]],tblCOA[Code],tblCOA[FS Line],"")</f>
        <v>Taxes payable</v>
      </c>
      <c r="L511" s="121" t="str">
        <f>IF(OR(tblGJ[[#This Row],[Account Code]]=1120,tblGJ[[#This Row],[Account Code]]=1130),_xlfn.MINIFS(tblBank[Value Date],tblBank[Reference],tblGJ[[#This Row],[Voucher No]],tblBank[Account Code],tblGJ[[#This Row],[Account Code]]),"")</f>
        <v/>
      </c>
      <c r="M511" s="1" t="str">
        <f>IF(tblGJ[[#This Row],[Date]]&lt;=PEnd,"Yes","No")</f>
        <v>Yes</v>
      </c>
    </row>
    <row r="512" spans="2:13" x14ac:dyDescent="0.35">
      <c r="B512" s="109">
        <v>46213</v>
      </c>
      <c r="C512" s="1" t="s">
        <v>5811</v>
      </c>
      <c r="D512" s="1">
        <v>1120</v>
      </c>
      <c r="E512" s="1" t="str">
        <f>_xlfn.XLOOKUP(tblGJ[[#This Row],[Account Code]],tblCOA[Code],tblCOA[Account Name],"⚠ Invalid account")</f>
        <v>Bank BCA - Current Account</v>
      </c>
      <c r="F512" s="1" t="s">
        <v>5957</v>
      </c>
      <c r="G512" s="5"/>
      <c r="H512" s="5">
        <f>IF(MONTH(tblGJ[[#This Row],[Date]])=1,_xlfn.XLOOKUP(2230,tblCOA[Code],tblCOA[Opening Balance]),SUMIFS(tblPayroll[PPh 21],tblPayroll[Period],MONTH(tblGJ[[#This Row],[Date]])-1))</f>
        <v>10516831</v>
      </c>
      <c r="I512" s="1" t="s">
        <v>6528</v>
      </c>
      <c r="J512" s="1">
        <f>MONTH(tblGJ[[#This Row],[Date]])</f>
        <v>7</v>
      </c>
      <c r="K512" s="1" t="str">
        <f>_xlfn.XLOOKUP(tblGJ[[#This Row],[Account Code]],tblCOA[Code],tblCOA[FS Line],"")</f>
        <v>Cash and cash equivalents</v>
      </c>
      <c r="L512" s="121">
        <f>IF(OR(tblGJ[[#This Row],[Account Code]]=1120,tblGJ[[#This Row],[Account Code]]=1130),_xlfn.MINIFS(tblBank[Value Date],tblBank[Reference],tblGJ[[#This Row],[Voucher No]],tblBank[Account Code],tblGJ[[#This Row],[Account Code]]),"")</f>
        <v>46213</v>
      </c>
      <c r="M512" s="1" t="str">
        <f>IF(tblGJ[[#This Row],[Date]]&lt;=PEnd,"Yes","No")</f>
        <v>Yes</v>
      </c>
    </row>
    <row r="513" spans="2:13" x14ac:dyDescent="0.35">
      <c r="B513" s="109">
        <v>46213</v>
      </c>
      <c r="C513" s="1" t="s">
        <v>5812</v>
      </c>
      <c r="D513" s="1">
        <v>2150</v>
      </c>
      <c r="E513" s="1" t="str">
        <f>_xlfn.XLOOKUP(tblGJ[[#This Row],[Account Code]],tblCOA[Code],tblCOA[Account Name],"⚠ Invalid account")</f>
        <v>BPJS Payable</v>
      </c>
      <c r="F513" s="1" t="s">
        <v>5958</v>
      </c>
      <c r="G513" s="5">
        <f>IF(MONTH(tblGJ[[#This Row],[Date]])=1,_xlfn.XLOOKUP(2150,tblCOA[Code],tblCOA[Opening Balance]),SUMIFS(tblPayroll[BPJS Payable],tblPayroll[Period],MONTH(tblGJ[[#This Row],[Date]])-1))</f>
        <v>22077790</v>
      </c>
      <c r="H513" s="5"/>
      <c r="I513" s="1" t="s">
        <v>6528</v>
      </c>
      <c r="J513" s="1">
        <f>MONTH(tblGJ[[#This Row],[Date]])</f>
        <v>7</v>
      </c>
      <c r="K513" s="1" t="str">
        <f>_xlfn.XLOOKUP(tblGJ[[#This Row],[Account Code]],tblCOA[Code],tblCOA[FS Line],"")</f>
        <v>Accrued expenses</v>
      </c>
      <c r="L513" s="121" t="str">
        <f>IF(OR(tblGJ[[#This Row],[Account Code]]=1120,tblGJ[[#This Row],[Account Code]]=1130),_xlfn.MINIFS(tblBank[Value Date],tblBank[Reference],tblGJ[[#This Row],[Voucher No]],tblBank[Account Code],tblGJ[[#This Row],[Account Code]]),"")</f>
        <v/>
      </c>
      <c r="M513" s="1" t="str">
        <f>IF(tblGJ[[#This Row],[Date]]&lt;=PEnd,"Yes","No")</f>
        <v>Yes</v>
      </c>
    </row>
    <row r="514" spans="2:13" x14ac:dyDescent="0.35">
      <c r="B514" s="109">
        <v>46213</v>
      </c>
      <c r="C514" s="1" t="s">
        <v>5812</v>
      </c>
      <c r="D514" s="1">
        <v>1120</v>
      </c>
      <c r="E514" s="1" t="str">
        <f>_xlfn.XLOOKUP(tblGJ[[#This Row],[Account Code]],tblCOA[Code],tblCOA[Account Name],"⚠ Invalid account")</f>
        <v>Bank BCA - Current Account</v>
      </c>
      <c r="F514" s="1" t="s">
        <v>5958</v>
      </c>
      <c r="G514" s="5"/>
      <c r="H514" s="5">
        <f>IF(MONTH(tblGJ[[#This Row],[Date]])=1,_xlfn.XLOOKUP(2150,tblCOA[Code],tblCOA[Opening Balance]),SUMIFS(tblPayroll[BPJS Payable],tblPayroll[Period],MONTH(tblGJ[[#This Row],[Date]])-1))</f>
        <v>22077790</v>
      </c>
      <c r="I514" s="1" t="s">
        <v>6528</v>
      </c>
      <c r="J514" s="1">
        <f>MONTH(tblGJ[[#This Row],[Date]])</f>
        <v>7</v>
      </c>
      <c r="K514" s="1" t="str">
        <f>_xlfn.XLOOKUP(tblGJ[[#This Row],[Account Code]],tblCOA[Code],tblCOA[FS Line],"")</f>
        <v>Cash and cash equivalents</v>
      </c>
      <c r="L514" s="121">
        <f>IF(OR(tblGJ[[#This Row],[Account Code]]=1120,tblGJ[[#This Row],[Account Code]]=1130),_xlfn.MINIFS(tblBank[Value Date],tblBank[Reference],tblGJ[[#This Row],[Voucher No]],tblBank[Account Code],tblGJ[[#This Row],[Account Code]]),"")</f>
        <v>46213</v>
      </c>
      <c r="M514" s="1" t="str">
        <f>IF(tblGJ[[#This Row],[Date]]&lt;=PEnd,"Yes","No")</f>
        <v>Yes</v>
      </c>
    </row>
    <row r="515" spans="2:13" x14ac:dyDescent="0.35">
      <c r="B515" s="109">
        <v>46218</v>
      </c>
      <c r="C515" s="1" t="s">
        <v>5813</v>
      </c>
      <c r="D515" s="1">
        <v>2240</v>
      </c>
      <c r="E515" s="1" t="str">
        <f>_xlfn.XLOOKUP(tblGJ[[#This Row],[Account Code]],tblCOA[Code],tblCOA[Account Name],"⚠ Invalid account")</f>
        <v>WHT Payable - Unifikasi (Art. 23/4(2))</v>
      </c>
      <c r="F515" s="1" t="s">
        <v>5960</v>
      </c>
      <c r="G515" s="5">
        <f>IF(MONTH(tblGJ[[#This Row],[Date]])=1,_xlfn.XLOOKUP(2240,tblCOA[Code],tblCOA[Opening Balance]),SUMIFS(tblPurchases[WHT Amount],tblPurchases[Month],MONTH(tblGJ[[#This Row],[Date]])-1))</f>
        <v>1689120</v>
      </c>
      <c r="H515" s="5"/>
      <c r="I515" s="1" t="s">
        <v>6528</v>
      </c>
      <c r="J515" s="1">
        <f>MONTH(tblGJ[[#This Row],[Date]])</f>
        <v>7</v>
      </c>
      <c r="K515" s="1" t="str">
        <f>_xlfn.XLOOKUP(tblGJ[[#This Row],[Account Code]],tblCOA[Code],tblCOA[FS Line],"")</f>
        <v>Taxes payable</v>
      </c>
      <c r="L515" s="121" t="str">
        <f>IF(OR(tblGJ[[#This Row],[Account Code]]=1120,tblGJ[[#This Row],[Account Code]]=1130),_xlfn.MINIFS(tblBank[Value Date],tblBank[Reference],tblGJ[[#This Row],[Voucher No]],tblBank[Account Code],tblGJ[[#This Row],[Account Code]]),"")</f>
        <v/>
      </c>
      <c r="M515" s="1" t="str">
        <f>IF(tblGJ[[#This Row],[Date]]&lt;=PEnd,"Yes","No")</f>
        <v>Yes</v>
      </c>
    </row>
    <row r="516" spans="2:13" x14ac:dyDescent="0.35">
      <c r="B516" s="109">
        <v>46218</v>
      </c>
      <c r="C516" s="1" t="s">
        <v>5813</v>
      </c>
      <c r="D516" s="1">
        <v>1120</v>
      </c>
      <c r="E516" s="1" t="str">
        <f>_xlfn.XLOOKUP(tblGJ[[#This Row],[Account Code]],tblCOA[Code],tblCOA[Account Name],"⚠ Invalid account")</f>
        <v>Bank BCA - Current Account</v>
      </c>
      <c r="F516" s="1" t="s">
        <v>5960</v>
      </c>
      <c r="G516" s="5"/>
      <c r="H516" s="5">
        <f>IF(MONTH(tblGJ[[#This Row],[Date]])=1,_xlfn.XLOOKUP(2240,tblCOA[Code],tblCOA[Opening Balance]),SUMIFS(tblPurchases[WHT Amount],tblPurchases[Month],MONTH(tblGJ[[#This Row],[Date]])-1))</f>
        <v>1689120</v>
      </c>
      <c r="I516" s="1" t="s">
        <v>6528</v>
      </c>
      <c r="J516" s="1">
        <f>MONTH(tblGJ[[#This Row],[Date]])</f>
        <v>7</v>
      </c>
      <c r="K516" s="1" t="str">
        <f>_xlfn.XLOOKUP(tblGJ[[#This Row],[Account Code]],tblCOA[Code],tblCOA[FS Line],"")</f>
        <v>Cash and cash equivalents</v>
      </c>
      <c r="L516" s="121">
        <f>IF(OR(tblGJ[[#This Row],[Account Code]]=1120,tblGJ[[#This Row],[Account Code]]=1130),_xlfn.MINIFS(tblBank[Value Date],tblBank[Reference],tblGJ[[#This Row],[Voucher No]],tblBank[Account Code],tblGJ[[#This Row],[Account Code]]),"")</f>
        <v>46218</v>
      </c>
      <c r="M516" s="1" t="str">
        <f>IF(tblGJ[[#This Row],[Date]]&lt;=PEnd,"Yes","No")</f>
        <v>Yes</v>
      </c>
    </row>
    <row r="517" spans="2:13" x14ac:dyDescent="0.35">
      <c r="B517" s="109">
        <v>46218</v>
      </c>
      <c r="C517" s="1" t="s">
        <v>5814</v>
      </c>
      <c r="D517" s="1">
        <v>1520</v>
      </c>
      <c r="E517" s="1" t="str">
        <f>_xlfn.XLOOKUP(tblGJ[[#This Row],[Account Code]],tblCOA[Code],tblCOA[Account Name],"⚠ Invalid account")</f>
        <v>Prepaid Income Tax - Art. 25</v>
      </c>
      <c r="F517" s="1" t="s">
        <v>6255</v>
      </c>
      <c r="G517" s="5">
        <f>PPh25Inst</f>
        <v>20000000</v>
      </c>
      <c r="H517" s="5"/>
      <c r="I517" s="1" t="s">
        <v>6528</v>
      </c>
      <c r="J517" s="1">
        <f>MONTH(tblGJ[[#This Row],[Date]])</f>
        <v>7</v>
      </c>
      <c r="K517" s="1" t="str">
        <f>_xlfn.XLOOKUP(tblGJ[[#This Row],[Account Code]],tblCOA[Code],tblCOA[FS Line],"")</f>
        <v>Prepaid taxes</v>
      </c>
      <c r="L517" s="121" t="str">
        <f>IF(OR(tblGJ[[#This Row],[Account Code]]=1120,tblGJ[[#This Row],[Account Code]]=1130),_xlfn.MINIFS(tblBank[Value Date],tblBank[Reference],tblGJ[[#This Row],[Voucher No]],tblBank[Account Code],tblGJ[[#This Row],[Account Code]]),"")</f>
        <v/>
      </c>
      <c r="M517" s="1" t="str">
        <f>IF(tblGJ[[#This Row],[Date]]&lt;=PEnd,"Yes","No")</f>
        <v>Yes</v>
      </c>
    </row>
    <row r="518" spans="2:13" x14ac:dyDescent="0.35">
      <c r="B518" s="109">
        <v>46218</v>
      </c>
      <c r="C518" s="1" t="s">
        <v>5814</v>
      </c>
      <c r="D518" s="1">
        <v>1120</v>
      </c>
      <c r="E518" s="1" t="str">
        <f>_xlfn.XLOOKUP(tblGJ[[#This Row],[Account Code]],tblCOA[Code],tblCOA[Account Name],"⚠ Invalid account")</f>
        <v>Bank BCA - Current Account</v>
      </c>
      <c r="F518" s="1" t="s">
        <v>6255</v>
      </c>
      <c r="G518" s="5"/>
      <c r="H518" s="5">
        <f>PPh25Inst</f>
        <v>20000000</v>
      </c>
      <c r="I518" s="1" t="s">
        <v>6528</v>
      </c>
      <c r="J518" s="1">
        <f>MONTH(tblGJ[[#This Row],[Date]])</f>
        <v>7</v>
      </c>
      <c r="K518" s="1" t="str">
        <f>_xlfn.XLOOKUP(tblGJ[[#This Row],[Account Code]],tblCOA[Code],tblCOA[FS Line],"")</f>
        <v>Cash and cash equivalents</v>
      </c>
      <c r="L518" s="121">
        <f>IF(OR(tblGJ[[#This Row],[Account Code]]=1120,tblGJ[[#This Row],[Account Code]]=1130),_xlfn.MINIFS(tblBank[Value Date],tblBank[Reference],tblGJ[[#This Row],[Voucher No]],tblBank[Account Code],tblGJ[[#This Row],[Account Code]]),"")</f>
        <v>46218</v>
      </c>
      <c r="M518" s="1" t="str">
        <f>IF(tblGJ[[#This Row],[Date]]&lt;=PEnd,"Yes","No")</f>
        <v>Yes</v>
      </c>
    </row>
    <row r="519" spans="2:13" x14ac:dyDescent="0.35">
      <c r="B519" s="109">
        <v>46223</v>
      </c>
      <c r="C519" s="1" t="s">
        <v>5815</v>
      </c>
      <c r="D519" s="1">
        <v>1120</v>
      </c>
      <c r="E519" s="1" t="str">
        <f>_xlfn.XLOOKUP(tblGJ[[#This Row],[Account Code]],tblCOA[Code],tblCOA[Account Name],"⚠ Invalid account")</f>
        <v>Bank BCA - Current Account</v>
      </c>
      <c r="F519" s="1" t="s">
        <v>6256</v>
      </c>
      <c r="G519" s="5">
        <f>IF(MONTH(tblGJ[[#This Row],[Date]])=1,_xlfn.XLOOKUP(1210,tblCOA[Code],tblCOA[Opening Balance]),SUMIFS(tblSales[Total incl. VAT],tblSales[Month],MONTH(tblGJ[[#This Row],[Date]])-1,tblSales[Payment Method],Products!$O$15))</f>
        <v>916771200</v>
      </c>
      <c r="H519" s="5"/>
      <c r="I519" s="1" t="s">
        <v>6530</v>
      </c>
      <c r="J519" s="1">
        <f>MONTH(tblGJ[[#This Row],[Date]])</f>
        <v>7</v>
      </c>
      <c r="K519" s="1" t="str">
        <f>_xlfn.XLOOKUP(tblGJ[[#This Row],[Account Code]],tblCOA[Code],tblCOA[FS Line],"")</f>
        <v>Cash and cash equivalents</v>
      </c>
      <c r="L519" s="121">
        <f>IF(OR(tblGJ[[#This Row],[Account Code]]=1120,tblGJ[[#This Row],[Account Code]]=1130),_xlfn.MINIFS(tblBank[Value Date],tblBank[Reference],tblGJ[[#This Row],[Voucher No]],tblBank[Account Code],tblGJ[[#This Row],[Account Code]]),"")</f>
        <v>46223</v>
      </c>
      <c r="M519" s="1" t="str">
        <f>IF(tblGJ[[#This Row],[Date]]&lt;=PEnd,"Yes","No")</f>
        <v>Yes</v>
      </c>
    </row>
    <row r="520" spans="2:13" x14ac:dyDescent="0.35">
      <c r="B520" s="109">
        <v>46223</v>
      </c>
      <c r="C520" s="1" t="s">
        <v>5815</v>
      </c>
      <c r="D520" s="1">
        <v>1210</v>
      </c>
      <c r="E520" s="1" t="str">
        <f>_xlfn.XLOOKUP(tblGJ[[#This Row],[Account Code]],tblCOA[Code],tblCOA[Account Name],"⚠ Invalid account")</f>
        <v>Trade Receivables</v>
      </c>
      <c r="F520" s="1" t="s">
        <v>6257</v>
      </c>
      <c r="G520" s="5"/>
      <c r="H520" s="5">
        <f>IF(MONTH(tblGJ[[#This Row],[Date]])=1,_xlfn.XLOOKUP(1210,tblCOA[Code],tblCOA[Opening Balance]),SUMIFS(tblSales[Total incl. VAT],tblSales[Month],MONTH(tblGJ[[#This Row],[Date]])-1,tblSales[Payment Method],Products!$O$15))</f>
        <v>916771200</v>
      </c>
      <c r="I520" s="1" t="s">
        <v>6530</v>
      </c>
      <c r="J520" s="1">
        <f>MONTH(tblGJ[[#This Row],[Date]])</f>
        <v>7</v>
      </c>
      <c r="K520" s="1" t="str">
        <f>_xlfn.XLOOKUP(tblGJ[[#This Row],[Account Code]],tblCOA[Code],tblCOA[FS Line],"")</f>
        <v>Trade receivables - net</v>
      </c>
      <c r="L520" s="121" t="str">
        <f>IF(OR(tblGJ[[#This Row],[Account Code]]=1120,tblGJ[[#This Row],[Account Code]]=1130),_xlfn.MINIFS(tblBank[Value Date],tblBank[Reference],tblGJ[[#This Row],[Voucher No]],tblBank[Account Code],tblGJ[[#This Row],[Account Code]]),"")</f>
        <v/>
      </c>
      <c r="M520" s="1" t="str">
        <f>IF(tblGJ[[#This Row],[Date]]&lt;=PEnd,"Yes","No")</f>
        <v>Yes</v>
      </c>
    </row>
    <row r="521" spans="2:13" x14ac:dyDescent="0.35">
      <c r="B521" s="109">
        <v>46227</v>
      </c>
      <c r="C521" s="1" t="s">
        <v>5816</v>
      </c>
      <c r="D521" s="1">
        <v>1130</v>
      </c>
      <c r="E521" s="1" t="str">
        <f>_xlfn.XLOOKUP(tblGJ[[#This Row],[Account Code]],tblCOA[Code],tblCOA[Account Name],"⚠ Invalid account")</f>
        <v>Bank Mandiri - Current Account</v>
      </c>
      <c r="F521" s="1" t="s">
        <v>6258</v>
      </c>
      <c r="G521" s="5">
        <f>SUMIFS(tblPayroll[Net Pay],tblPayroll[Period],MONTH(tblGJ[[#This Row],[Date]]))</f>
        <v>161397799</v>
      </c>
      <c r="H521" s="5"/>
      <c r="I521" s="1" t="s">
        <v>6531</v>
      </c>
      <c r="J521" s="1">
        <f>MONTH(tblGJ[[#This Row],[Date]])</f>
        <v>7</v>
      </c>
      <c r="K521" s="1" t="str">
        <f>_xlfn.XLOOKUP(tblGJ[[#This Row],[Account Code]],tblCOA[Code],tblCOA[FS Line],"")</f>
        <v>Cash and cash equivalents</v>
      </c>
      <c r="L521" s="121">
        <f>IF(OR(tblGJ[[#This Row],[Account Code]]=1120,tblGJ[[#This Row],[Account Code]]=1130),_xlfn.MINIFS(tblBank[Value Date],tblBank[Reference],tblGJ[[#This Row],[Voucher No]],tblBank[Account Code],tblGJ[[#This Row],[Account Code]]),"")</f>
        <v>46227</v>
      </c>
      <c r="M521" s="1" t="str">
        <f>IF(tblGJ[[#This Row],[Date]]&lt;=PEnd,"Yes","No")</f>
        <v>Yes</v>
      </c>
    </row>
    <row r="522" spans="2:13" x14ac:dyDescent="0.35">
      <c r="B522" s="109">
        <v>46227</v>
      </c>
      <c r="C522" s="1" t="s">
        <v>5816</v>
      </c>
      <c r="D522" s="1">
        <v>1120</v>
      </c>
      <c r="E522" s="1" t="str">
        <f>_xlfn.XLOOKUP(tblGJ[[#This Row],[Account Code]],tblCOA[Code],tblCOA[Account Name],"⚠ Invalid account")</f>
        <v>Bank BCA - Current Account</v>
      </c>
      <c r="F522" s="1" t="s">
        <v>6259</v>
      </c>
      <c r="G522" s="5"/>
      <c r="H522" s="5">
        <f>SUMIFS(tblPayroll[Net Pay],tblPayroll[Period],MONTH(tblGJ[[#This Row],[Date]]))</f>
        <v>161397799</v>
      </c>
      <c r="I522" s="1" t="s">
        <v>6531</v>
      </c>
      <c r="J522" s="1">
        <f>MONTH(tblGJ[[#This Row],[Date]])</f>
        <v>7</v>
      </c>
      <c r="K522" s="1" t="str">
        <f>_xlfn.XLOOKUP(tblGJ[[#This Row],[Account Code]],tblCOA[Code],tblCOA[FS Line],"")</f>
        <v>Cash and cash equivalents</v>
      </c>
      <c r="L522" s="121">
        <f>IF(OR(tblGJ[[#This Row],[Account Code]]=1120,tblGJ[[#This Row],[Account Code]]=1130),_xlfn.MINIFS(tblBank[Value Date],tblBank[Reference],tblGJ[[#This Row],[Voucher No]],tblBank[Account Code],tblGJ[[#This Row],[Account Code]]),"")</f>
        <v>46227</v>
      </c>
      <c r="M522" s="1" t="str">
        <f>IF(tblGJ[[#This Row],[Date]]&lt;=PEnd,"Yes","No")</f>
        <v>Yes</v>
      </c>
    </row>
    <row r="523" spans="2:13" x14ac:dyDescent="0.35">
      <c r="B523" s="109">
        <v>46228</v>
      </c>
      <c r="C523" s="1" t="s">
        <v>5817</v>
      </c>
      <c r="D523" s="1">
        <v>6110</v>
      </c>
      <c r="E523" s="1" t="str">
        <f>_xlfn.XLOOKUP(tblGJ[[#This Row],[Account Code]],tblCOA[Code],tblCOA[Account Name],"⚠ Invalid account")</f>
        <v>Salaries &amp; Allowances - Selling</v>
      </c>
      <c r="F523" s="1" t="s">
        <v>6260</v>
      </c>
      <c r="G523" s="5">
        <f>SUMIFS(tblPayroll[Gross Salary],tblPayroll[Period],MONTH(tblGJ[[#This Row],[Date]]),tblPayroll[Department],"Selling")</f>
        <v>80200000</v>
      </c>
      <c r="H523" s="5"/>
      <c r="I523" s="1" t="s">
        <v>6531</v>
      </c>
      <c r="J523" s="1">
        <f>MONTH(tblGJ[[#This Row],[Date]])</f>
        <v>7</v>
      </c>
      <c r="K523" s="1" t="str">
        <f>_xlfn.XLOOKUP(tblGJ[[#This Row],[Account Code]],tblCOA[Code],tblCOA[FS Line],"")</f>
        <v>Selling expenses</v>
      </c>
      <c r="L523" s="121" t="str">
        <f>IF(OR(tblGJ[[#This Row],[Account Code]]=1120,tblGJ[[#This Row],[Account Code]]=1130),_xlfn.MINIFS(tblBank[Value Date],tblBank[Reference],tblGJ[[#This Row],[Voucher No]],tblBank[Account Code],tblGJ[[#This Row],[Account Code]]),"")</f>
        <v/>
      </c>
      <c r="M523" s="1" t="str">
        <f>IF(tblGJ[[#This Row],[Date]]&lt;=PEnd,"Yes","No")</f>
        <v>Yes</v>
      </c>
    </row>
    <row r="524" spans="2:13" x14ac:dyDescent="0.35">
      <c r="B524" s="109">
        <v>46228</v>
      </c>
      <c r="C524" s="1" t="s">
        <v>5817</v>
      </c>
      <c r="D524" s="1">
        <v>6111</v>
      </c>
      <c r="E524" s="1" t="str">
        <f>_xlfn.XLOOKUP(tblGJ[[#This Row],[Account Code]],tblCOA[Code],tblCOA[Account Name],"⚠ Invalid account")</f>
        <v>BPJS Employer Contributions - Selling</v>
      </c>
      <c r="F524" s="1" t="s">
        <v>6261</v>
      </c>
      <c r="G524" s="5">
        <f>SUMIFS(tblPayroll[Employer BPJS Total],tblPayroll[Period],MONTH(tblGJ[[#This Row],[Date]]),tblPayroll[Department],"Selling")</f>
        <v>7824376</v>
      </c>
      <c r="H524" s="5"/>
      <c r="I524" s="1" t="s">
        <v>6531</v>
      </c>
      <c r="J524" s="1">
        <f>MONTH(tblGJ[[#This Row],[Date]])</f>
        <v>7</v>
      </c>
      <c r="K524" s="1" t="str">
        <f>_xlfn.XLOOKUP(tblGJ[[#This Row],[Account Code]],tblCOA[Code],tblCOA[FS Line],"")</f>
        <v>Selling expenses</v>
      </c>
      <c r="L524" s="121" t="str">
        <f>IF(OR(tblGJ[[#This Row],[Account Code]]=1120,tblGJ[[#This Row],[Account Code]]=1130),_xlfn.MINIFS(tblBank[Value Date],tblBank[Reference],tblGJ[[#This Row],[Voucher No]],tblBank[Account Code],tblGJ[[#This Row],[Account Code]]),"")</f>
        <v/>
      </c>
      <c r="M524" s="1" t="str">
        <f>IF(tblGJ[[#This Row],[Date]]&lt;=PEnd,"Yes","No")</f>
        <v>Yes</v>
      </c>
    </row>
    <row r="525" spans="2:13" x14ac:dyDescent="0.35">
      <c r="B525" s="109">
        <v>46228</v>
      </c>
      <c r="C525" s="1" t="s">
        <v>5817</v>
      </c>
      <c r="D525" s="1">
        <v>6210</v>
      </c>
      <c r="E525" s="1" t="str">
        <f>_xlfn.XLOOKUP(tblGJ[[#This Row],[Account Code]],tblCOA[Code],tblCOA[Account Name],"⚠ Invalid account")</f>
        <v>Salaries &amp; Allowances - G&amp;A</v>
      </c>
      <c r="F525" s="1" t="s">
        <v>6262</v>
      </c>
      <c r="G525" s="5">
        <f>SUMIFS(tblPayroll[Gross Salary],tblPayroll[Period],MONTH(tblGJ[[#This Row],[Date]]),tblPayroll[Department],"G&amp;A")</f>
        <v>98000000</v>
      </c>
      <c r="H525" s="5"/>
      <c r="I525" s="1" t="s">
        <v>6531</v>
      </c>
      <c r="J525" s="1">
        <f>MONTH(tblGJ[[#This Row],[Date]])</f>
        <v>7</v>
      </c>
      <c r="K525" s="1" t="str">
        <f>_xlfn.XLOOKUP(tblGJ[[#This Row],[Account Code]],tblCOA[Code],tblCOA[FS Line],"")</f>
        <v>General &amp; administrative expenses</v>
      </c>
      <c r="L525" s="121" t="str">
        <f>IF(OR(tblGJ[[#This Row],[Account Code]]=1120,tblGJ[[#This Row],[Account Code]]=1130),_xlfn.MINIFS(tblBank[Value Date],tblBank[Reference],tblGJ[[#This Row],[Voucher No]],tblBank[Account Code],tblGJ[[#This Row],[Account Code]]),"")</f>
        <v/>
      </c>
      <c r="M525" s="1" t="str">
        <f>IF(tblGJ[[#This Row],[Date]]&lt;=PEnd,"Yes","No")</f>
        <v>Yes</v>
      </c>
    </row>
    <row r="526" spans="2:13" x14ac:dyDescent="0.35">
      <c r="B526" s="109">
        <v>46228</v>
      </c>
      <c r="C526" s="1" t="s">
        <v>5817</v>
      </c>
      <c r="D526" s="1">
        <v>6211</v>
      </c>
      <c r="E526" s="1" t="str">
        <f>_xlfn.XLOOKUP(tblGJ[[#This Row],[Account Code]],tblCOA[Code],tblCOA[Account Name],"⚠ Invalid account")</f>
        <v>BPJS Employer Contributions - G&amp;A</v>
      </c>
      <c r="F526" s="1" t="s">
        <v>6263</v>
      </c>
      <c r="G526" s="5">
        <f>SUMIFS(tblPayroll[Employer BPJS Total],tblPayroll[Period],MONTH(tblGJ[[#This Row],[Date]]),tblPayroll[Department],"G&amp;A")</f>
        <v>7968044</v>
      </c>
      <c r="H526" s="5"/>
      <c r="I526" s="1" t="s">
        <v>6531</v>
      </c>
      <c r="J526" s="1">
        <f>MONTH(tblGJ[[#This Row],[Date]])</f>
        <v>7</v>
      </c>
      <c r="K526" s="1" t="str">
        <f>_xlfn.XLOOKUP(tblGJ[[#This Row],[Account Code]],tblCOA[Code],tblCOA[FS Line],"")</f>
        <v>General &amp; administrative expenses</v>
      </c>
      <c r="L526" s="121" t="str">
        <f>IF(OR(tblGJ[[#This Row],[Account Code]]=1120,tblGJ[[#This Row],[Account Code]]=1130),_xlfn.MINIFS(tblBank[Value Date],tblBank[Reference],tblGJ[[#This Row],[Voucher No]],tblBank[Account Code],tblGJ[[#This Row],[Account Code]]),"")</f>
        <v/>
      </c>
      <c r="M526" s="1" t="str">
        <f>IF(tblGJ[[#This Row],[Date]]&lt;=PEnd,"Yes","No")</f>
        <v>Yes</v>
      </c>
    </row>
    <row r="527" spans="2:13" x14ac:dyDescent="0.35">
      <c r="B527" s="109">
        <v>46228</v>
      </c>
      <c r="C527" s="1" t="s">
        <v>5817</v>
      </c>
      <c r="D527" s="1">
        <v>2230</v>
      </c>
      <c r="E527" s="1" t="str">
        <f>_xlfn.XLOOKUP(tblGJ[[#This Row],[Account Code]],tblCOA[Code],tblCOA[Account Name],"⚠ Invalid account")</f>
        <v>WHT Payable - Art. 21</v>
      </c>
      <c r="F527" s="1" t="s">
        <v>6264</v>
      </c>
      <c r="G527" s="5"/>
      <c r="H527" s="5">
        <f>SUMIFS(tblPayroll[PPh 21],tblPayroll[Period],MONTH(tblGJ[[#This Row],[Date]]))</f>
        <v>10516831</v>
      </c>
      <c r="I527" s="1" t="s">
        <v>6531</v>
      </c>
      <c r="J527" s="1">
        <f>MONTH(tblGJ[[#This Row],[Date]])</f>
        <v>7</v>
      </c>
      <c r="K527" s="1" t="str">
        <f>_xlfn.XLOOKUP(tblGJ[[#This Row],[Account Code]],tblCOA[Code],tblCOA[FS Line],"")</f>
        <v>Taxes payable</v>
      </c>
      <c r="L527" s="121" t="str">
        <f>IF(OR(tblGJ[[#This Row],[Account Code]]=1120,tblGJ[[#This Row],[Account Code]]=1130),_xlfn.MINIFS(tblBank[Value Date],tblBank[Reference],tblGJ[[#This Row],[Voucher No]],tblBank[Account Code],tblGJ[[#This Row],[Account Code]]),"")</f>
        <v/>
      </c>
      <c r="M527" s="1" t="str">
        <f>IF(tblGJ[[#This Row],[Date]]&lt;=PEnd,"Yes","No")</f>
        <v>Yes</v>
      </c>
    </row>
    <row r="528" spans="2:13" x14ac:dyDescent="0.35">
      <c r="B528" s="109">
        <v>46228</v>
      </c>
      <c r="C528" s="1" t="s">
        <v>5817</v>
      </c>
      <c r="D528" s="1">
        <v>2150</v>
      </c>
      <c r="E528" s="1" t="str">
        <f>_xlfn.XLOOKUP(tblGJ[[#This Row],[Account Code]],tblCOA[Code],tblCOA[Account Name],"⚠ Invalid account")</f>
        <v>BPJS Payable</v>
      </c>
      <c r="F528" s="1" t="s">
        <v>6265</v>
      </c>
      <c r="G528" s="5"/>
      <c r="H528" s="5">
        <f>SUMIFS(tblPayroll[BPJS Payable],tblPayroll[Period],MONTH(tblGJ[[#This Row],[Date]]))</f>
        <v>22077790</v>
      </c>
      <c r="I528" s="1" t="s">
        <v>6531</v>
      </c>
      <c r="J528" s="1">
        <f>MONTH(tblGJ[[#This Row],[Date]])</f>
        <v>7</v>
      </c>
      <c r="K528" s="1" t="str">
        <f>_xlfn.XLOOKUP(tblGJ[[#This Row],[Account Code]],tblCOA[Code],tblCOA[FS Line],"")</f>
        <v>Accrued expenses</v>
      </c>
      <c r="L528" s="121" t="str">
        <f>IF(OR(tblGJ[[#This Row],[Account Code]]=1120,tblGJ[[#This Row],[Account Code]]=1130),_xlfn.MINIFS(tblBank[Value Date],tblBank[Reference],tblGJ[[#This Row],[Voucher No]],tblBank[Account Code],tblGJ[[#This Row],[Account Code]]),"")</f>
        <v/>
      </c>
      <c r="M528" s="1" t="str">
        <f>IF(tblGJ[[#This Row],[Date]]&lt;=PEnd,"Yes","No")</f>
        <v>Yes</v>
      </c>
    </row>
    <row r="529" spans="2:13" x14ac:dyDescent="0.35">
      <c r="B529" s="109">
        <v>46228</v>
      </c>
      <c r="C529" s="1" t="s">
        <v>5817</v>
      </c>
      <c r="D529" s="1">
        <v>1130</v>
      </c>
      <c r="E529" s="1" t="str">
        <f>_xlfn.XLOOKUP(tblGJ[[#This Row],[Account Code]],tblCOA[Code],tblCOA[Account Name],"⚠ Invalid account")</f>
        <v>Bank Mandiri - Current Account</v>
      </c>
      <c r="F529" s="1" t="s">
        <v>6266</v>
      </c>
      <c r="G529" s="5"/>
      <c r="H529" s="5">
        <f>SUMIFS(tblPayroll[Net Pay],tblPayroll[Period],MONTH(tblGJ[[#This Row],[Date]]))</f>
        <v>161397799</v>
      </c>
      <c r="I529" s="1" t="s">
        <v>6531</v>
      </c>
      <c r="J529" s="1">
        <f>MONTH(tblGJ[[#This Row],[Date]])</f>
        <v>7</v>
      </c>
      <c r="K529" s="1" t="str">
        <f>_xlfn.XLOOKUP(tblGJ[[#This Row],[Account Code]],tblCOA[Code],tblCOA[FS Line],"")</f>
        <v>Cash and cash equivalents</v>
      </c>
      <c r="L529" s="121">
        <f>IF(OR(tblGJ[[#This Row],[Account Code]]=1120,tblGJ[[#This Row],[Account Code]]=1130),_xlfn.MINIFS(tblBank[Value Date],tblBank[Reference],tblGJ[[#This Row],[Voucher No]],tblBank[Account Code],tblGJ[[#This Row],[Account Code]]),"")</f>
        <v>46228</v>
      </c>
      <c r="M529" s="1" t="str">
        <f>IF(tblGJ[[#This Row],[Date]]&lt;=PEnd,"Yes","No")</f>
        <v>Yes</v>
      </c>
    </row>
    <row r="530" spans="2:13" x14ac:dyDescent="0.35">
      <c r="B530" s="109">
        <v>46231</v>
      </c>
      <c r="C530" s="1" t="s">
        <v>5818</v>
      </c>
      <c r="D530" s="1">
        <v>2220</v>
      </c>
      <c r="E530" s="1" t="str">
        <f>_xlfn.XLOOKUP(tblGJ[[#This Row],[Account Code]],tblCOA[Code],tblCOA[Account Name],"⚠ Invalid account")</f>
        <v>VAT Payable - Net</v>
      </c>
      <c r="F530" s="1" t="s">
        <v>5974</v>
      </c>
      <c r="G530" s="5">
        <f>IF(MONTH(tblGJ[[#This Row],[Date]])=1,_xlfn.XLOOKUP(2220,tblCOA[Code],tblCOA[Opening Balance]),SUMIFS(tblSales[Output VAT],tblSales[Month],MONTH(tblGJ[[#This Row],[Date]])-1)-SUMIFS(tblPurchases[Input VAT],tblPurchases[Month],MONTH(tblGJ[[#This Row],[Date]])-1))</f>
        <v>44369710</v>
      </c>
      <c r="H530" s="5"/>
      <c r="I530" s="1" t="s">
        <v>6528</v>
      </c>
      <c r="J530" s="1">
        <f>MONTH(tblGJ[[#This Row],[Date]])</f>
        <v>7</v>
      </c>
      <c r="K530" s="1" t="str">
        <f>_xlfn.XLOOKUP(tblGJ[[#This Row],[Account Code]],tblCOA[Code],tblCOA[FS Line],"")</f>
        <v>Taxes payable</v>
      </c>
      <c r="L530" s="121" t="str">
        <f>IF(OR(tblGJ[[#This Row],[Account Code]]=1120,tblGJ[[#This Row],[Account Code]]=1130),_xlfn.MINIFS(tblBank[Value Date],tblBank[Reference],tblGJ[[#This Row],[Voucher No]],tblBank[Account Code],tblGJ[[#This Row],[Account Code]]),"")</f>
        <v/>
      </c>
      <c r="M530" s="1" t="str">
        <f>IF(tblGJ[[#This Row],[Date]]&lt;=PEnd,"Yes","No")</f>
        <v>Yes</v>
      </c>
    </row>
    <row r="531" spans="2:13" x14ac:dyDescent="0.35">
      <c r="B531" s="109">
        <v>46231</v>
      </c>
      <c r="C531" s="1" t="s">
        <v>5818</v>
      </c>
      <c r="D531" s="1">
        <v>1120</v>
      </c>
      <c r="E531" s="1" t="str">
        <f>_xlfn.XLOOKUP(tblGJ[[#This Row],[Account Code]],tblCOA[Code],tblCOA[Account Name],"⚠ Invalid account")</f>
        <v>Bank BCA - Current Account</v>
      </c>
      <c r="F531" s="1" t="s">
        <v>5974</v>
      </c>
      <c r="G531" s="5"/>
      <c r="H531" s="5">
        <f>IF(MONTH(tblGJ[[#This Row],[Date]])=1,_xlfn.XLOOKUP(2220,tblCOA[Code],tblCOA[Opening Balance]),SUMIFS(tblSales[Output VAT],tblSales[Month],MONTH(tblGJ[[#This Row],[Date]])-1)-SUMIFS(tblPurchases[Input VAT],tblPurchases[Month],MONTH(tblGJ[[#This Row],[Date]])-1))</f>
        <v>44369710</v>
      </c>
      <c r="I531" s="1" t="s">
        <v>6528</v>
      </c>
      <c r="J531" s="1">
        <f>MONTH(tblGJ[[#This Row],[Date]])</f>
        <v>7</v>
      </c>
      <c r="K531" s="1" t="str">
        <f>_xlfn.XLOOKUP(tblGJ[[#This Row],[Account Code]],tblCOA[Code],tblCOA[FS Line],"")</f>
        <v>Cash and cash equivalents</v>
      </c>
      <c r="L531" s="121">
        <f>IF(OR(tblGJ[[#This Row],[Account Code]]=1120,tblGJ[[#This Row],[Account Code]]=1130),_xlfn.MINIFS(tblBank[Value Date],tblBank[Reference],tblGJ[[#This Row],[Voucher No]],tblBank[Account Code],tblGJ[[#This Row],[Account Code]]),"")</f>
        <v>46231</v>
      </c>
      <c r="M531" s="1" t="str">
        <f>IF(tblGJ[[#This Row],[Date]]&lt;=PEnd,"Yes","No")</f>
        <v>Yes</v>
      </c>
    </row>
    <row r="532" spans="2:13" x14ac:dyDescent="0.35">
      <c r="B532" s="109">
        <v>46231</v>
      </c>
      <c r="C532" s="1" t="s">
        <v>5819</v>
      </c>
      <c r="D532" s="1">
        <v>2410</v>
      </c>
      <c r="E532" s="1" t="str">
        <f>_xlfn.XLOOKUP(tblGJ[[#This Row],[Account Code]],tblCOA[Code],tblCOA[Account Name],"⚠ Invalid account")</f>
        <v>Long-term Bank Loan</v>
      </c>
      <c r="F532" s="1" t="s">
        <v>6267</v>
      </c>
      <c r="G532" s="5">
        <v>25000000</v>
      </c>
      <c r="H532" s="5"/>
      <c r="I532" s="1" t="s">
        <v>4263</v>
      </c>
      <c r="J532" s="1">
        <f>MONTH(tblGJ[[#This Row],[Date]])</f>
        <v>7</v>
      </c>
      <c r="K532" s="1" t="str">
        <f>_xlfn.XLOOKUP(tblGJ[[#This Row],[Account Code]],tblCOA[Code],tblCOA[FS Line],"")</f>
        <v>Long-term bank loans</v>
      </c>
      <c r="L532" s="121" t="str">
        <f>IF(OR(tblGJ[[#This Row],[Account Code]]=1120,tblGJ[[#This Row],[Account Code]]=1130),_xlfn.MINIFS(tblBank[Value Date],tblBank[Reference],tblGJ[[#This Row],[Voucher No]],tblBank[Account Code],tblGJ[[#This Row],[Account Code]]),"")</f>
        <v/>
      </c>
      <c r="M532" s="1" t="str">
        <f>IF(tblGJ[[#This Row],[Date]]&lt;=PEnd,"Yes","No")</f>
        <v>Yes</v>
      </c>
    </row>
    <row r="533" spans="2:13" x14ac:dyDescent="0.35">
      <c r="B533" s="109">
        <v>46231</v>
      </c>
      <c r="C533" s="1" t="s">
        <v>5819</v>
      </c>
      <c r="D533" s="1">
        <v>7210</v>
      </c>
      <c r="E533" s="1" t="str">
        <f>_xlfn.XLOOKUP(tblGJ[[#This Row],[Account Code]],tblCOA[Code],tblCOA[Account Name],"⚠ Invalid account")</f>
        <v>Interest Expense - Bank Loans</v>
      </c>
      <c r="F533" s="1" t="s">
        <v>6268</v>
      </c>
      <c r="G533" s="5">
        <v>10125000</v>
      </c>
      <c r="H533" s="5"/>
      <c r="I533" s="1" t="s">
        <v>4263</v>
      </c>
      <c r="J533" s="1">
        <f>MONTH(tblGJ[[#This Row],[Date]])</f>
        <v>7</v>
      </c>
      <c r="K533" s="1" t="str">
        <f>_xlfn.XLOOKUP(tblGJ[[#This Row],[Account Code]],tblCOA[Code],tblCOA[FS Line],"")</f>
        <v>Finance costs</v>
      </c>
      <c r="L533" s="121" t="str">
        <f>IF(OR(tblGJ[[#This Row],[Account Code]]=1120,tblGJ[[#This Row],[Account Code]]=1130),_xlfn.MINIFS(tblBank[Value Date],tblBank[Reference],tblGJ[[#This Row],[Voucher No]],tblBank[Account Code],tblGJ[[#This Row],[Account Code]]),"")</f>
        <v/>
      </c>
      <c r="M533" s="1" t="str">
        <f>IF(tblGJ[[#This Row],[Date]]&lt;=PEnd,"Yes","No")</f>
        <v>Yes</v>
      </c>
    </row>
    <row r="534" spans="2:13" x14ac:dyDescent="0.35">
      <c r="B534" s="109">
        <v>46231</v>
      </c>
      <c r="C534" s="1" t="s">
        <v>5819</v>
      </c>
      <c r="D534" s="1">
        <v>1120</v>
      </c>
      <c r="E534" s="1" t="str">
        <f>_xlfn.XLOOKUP(tblGJ[[#This Row],[Account Code]],tblCOA[Code],tblCOA[Account Name],"⚠ Invalid account")</f>
        <v>Bank BCA - Current Account</v>
      </c>
      <c r="F534" s="1" t="s">
        <v>6269</v>
      </c>
      <c r="G534" s="5"/>
      <c r="H534" s="5">
        <v>35125000</v>
      </c>
      <c r="I534" s="1" t="s">
        <v>4263</v>
      </c>
      <c r="J534" s="1">
        <f>MONTH(tblGJ[[#This Row],[Date]])</f>
        <v>7</v>
      </c>
      <c r="K534" s="1" t="str">
        <f>_xlfn.XLOOKUP(tblGJ[[#This Row],[Account Code]],tblCOA[Code],tblCOA[FS Line],"")</f>
        <v>Cash and cash equivalents</v>
      </c>
      <c r="L534" s="121">
        <f>IF(OR(tblGJ[[#This Row],[Account Code]]=1120,tblGJ[[#This Row],[Account Code]]=1130),_xlfn.MINIFS(tblBank[Value Date],tblBank[Reference],tblGJ[[#This Row],[Voucher No]],tblBank[Account Code],tblGJ[[#This Row],[Account Code]]),"")</f>
        <v>46231</v>
      </c>
      <c r="M534" s="1" t="str">
        <f>IF(tblGJ[[#This Row],[Date]]&lt;=PEnd,"Yes","No")</f>
        <v>Yes</v>
      </c>
    </row>
    <row r="535" spans="2:13" x14ac:dyDescent="0.35">
      <c r="B535" s="109">
        <v>46234</v>
      </c>
      <c r="C535" s="1" t="s">
        <v>5820</v>
      </c>
      <c r="D535" s="1">
        <v>1110</v>
      </c>
      <c r="E535" s="1" t="str">
        <f>_xlfn.XLOOKUP(tblGJ[[#This Row],[Account Code]],tblCOA[Code],tblCOA[Account Name],"⚠ Invalid account")</f>
        <v>Cash on Hand</v>
      </c>
      <c r="F535" s="1" t="s">
        <v>6270</v>
      </c>
      <c r="G535" s="5">
        <f>SUMIFS(tblSales[Total incl. VAT],tblSales[Month],MONTH(tblGJ[[#This Row],[Date]]),tblSales[Payment Method],Products!$O$13)</f>
        <v>130968900</v>
      </c>
      <c r="H535" s="5"/>
      <c r="I535" s="1" t="s">
        <v>6532</v>
      </c>
      <c r="J535" s="1">
        <f>MONTH(tblGJ[[#This Row],[Date]])</f>
        <v>7</v>
      </c>
      <c r="K535" s="1" t="str">
        <f>_xlfn.XLOOKUP(tblGJ[[#This Row],[Account Code]],tblCOA[Code],tblCOA[FS Line],"")</f>
        <v>Cash and cash equivalents</v>
      </c>
      <c r="L535" s="121" t="str">
        <f>IF(OR(tblGJ[[#This Row],[Account Code]]=1120,tblGJ[[#This Row],[Account Code]]=1130),_xlfn.MINIFS(tblBank[Value Date],tblBank[Reference],tblGJ[[#This Row],[Voucher No]],tblBank[Account Code],tblGJ[[#This Row],[Account Code]]),"")</f>
        <v/>
      </c>
      <c r="M535" s="1" t="str">
        <f>IF(tblGJ[[#This Row],[Date]]&lt;=PEnd,"Yes","No")</f>
        <v>Yes</v>
      </c>
    </row>
    <row r="536" spans="2:13" x14ac:dyDescent="0.35">
      <c r="B536" s="109">
        <v>46234</v>
      </c>
      <c r="C536" s="1" t="s">
        <v>5820</v>
      </c>
      <c r="D536" s="1">
        <v>1120</v>
      </c>
      <c r="E536" s="1" t="str">
        <f>_xlfn.XLOOKUP(tblGJ[[#This Row],[Account Code]],tblCOA[Code],tblCOA[Account Name],"⚠ Invalid account")</f>
        <v>Bank BCA - Current Account</v>
      </c>
      <c r="F536" s="1" t="s">
        <v>6271</v>
      </c>
      <c r="G536" s="5">
        <f>SUMIFS(tblSales[Total incl. VAT],tblSales[Month],MONTH(tblGJ[[#This Row],[Date]]),tblSales[Payment Method],Products!$O$14)</f>
        <v>241208550</v>
      </c>
      <c r="H536" s="5"/>
      <c r="I536" s="1" t="s">
        <v>6532</v>
      </c>
      <c r="J536" s="1">
        <f>MONTH(tblGJ[[#This Row],[Date]])</f>
        <v>7</v>
      </c>
      <c r="K536" s="1" t="str">
        <f>_xlfn.XLOOKUP(tblGJ[[#This Row],[Account Code]],tblCOA[Code],tblCOA[FS Line],"")</f>
        <v>Cash and cash equivalents</v>
      </c>
      <c r="L536" s="121">
        <f>IF(OR(tblGJ[[#This Row],[Account Code]]=1120,tblGJ[[#This Row],[Account Code]]=1130),_xlfn.MINIFS(tblBank[Value Date],tblBank[Reference],tblGJ[[#This Row],[Voucher No]],tblBank[Account Code],tblGJ[[#This Row],[Account Code]]),"")</f>
        <v>46234</v>
      </c>
      <c r="M536" s="1" t="str">
        <f>IF(tblGJ[[#This Row],[Date]]&lt;=PEnd,"Yes","No")</f>
        <v>Yes</v>
      </c>
    </row>
    <row r="537" spans="2:13" x14ac:dyDescent="0.35">
      <c r="B537" s="109">
        <v>46234</v>
      </c>
      <c r="C537" s="1" t="s">
        <v>5820</v>
      </c>
      <c r="D537" s="1">
        <v>1210</v>
      </c>
      <c r="E537" s="1" t="str">
        <f>_xlfn.XLOOKUP(tblGJ[[#This Row],[Account Code]],tblCOA[Code],tblCOA[Account Name],"⚠ Invalid account")</f>
        <v>Trade Receivables</v>
      </c>
      <c r="F537" s="1" t="s">
        <v>6272</v>
      </c>
      <c r="G537" s="5">
        <f>SUMIFS(tblSales[Total incl. VAT],tblSales[Month],MONTH(tblGJ[[#This Row],[Date]]),tblSales[Payment Method],Products!$O$15)</f>
        <v>1150626000</v>
      </c>
      <c r="H537" s="5"/>
      <c r="I537" s="1" t="s">
        <v>6532</v>
      </c>
      <c r="J537" s="1">
        <f>MONTH(tblGJ[[#This Row],[Date]])</f>
        <v>7</v>
      </c>
      <c r="K537" s="1" t="str">
        <f>_xlfn.XLOOKUP(tblGJ[[#This Row],[Account Code]],tblCOA[Code],tblCOA[FS Line],"")</f>
        <v>Trade receivables - net</v>
      </c>
      <c r="L537" s="121" t="str">
        <f>IF(OR(tblGJ[[#This Row],[Account Code]]=1120,tblGJ[[#This Row],[Account Code]]=1130),_xlfn.MINIFS(tblBank[Value Date],tblBank[Reference],tblGJ[[#This Row],[Voucher No]],tblBank[Account Code],tblGJ[[#This Row],[Account Code]]),"")</f>
        <v/>
      </c>
      <c r="M537" s="1" t="str">
        <f>IF(tblGJ[[#This Row],[Date]]&lt;=PEnd,"Yes","No")</f>
        <v>Yes</v>
      </c>
    </row>
    <row r="538" spans="2:13" x14ac:dyDescent="0.35">
      <c r="B538" s="109">
        <v>46234</v>
      </c>
      <c r="C538" s="1" t="s">
        <v>5820</v>
      </c>
      <c r="D538" s="1">
        <v>4100</v>
      </c>
      <c r="E538" s="1" t="str">
        <f>_xlfn.XLOOKUP(tblGJ[[#This Row],[Account Code]],tblCOA[Code],tblCOA[Account Name],"⚠ Invalid account")</f>
        <v>Sales of goods</v>
      </c>
      <c r="F538" s="1" t="s">
        <v>6273</v>
      </c>
      <c r="G538" s="5"/>
      <c r="H538" s="5">
        <f>SUMIFS(tblSales[DPP (excl. VAT)],tblSales[Month],MONTH(tblGJ[[#This Row],[Date]]))</f>
        <v>1371895000</v>
      </c>
      <c r="I538" s="1" t="s">
        <v>6532</v>
      </c>
      <c r="J538" s="1">
        <f>MONTH(tblGJ[[#This Row],[Date]])</f>
        <v>7</v>
      </c>
      <c r="K538" s="1" t="str">
        <f>_xlfn.XLOOKUP(tblGJ[[#This Row],[Account Code]],tblCOA[Code],tblCOA[FS Line],"")</f>
        <v>Revenue</v>
      </c>
      <c r="L538" s="121" t="str">
        <f>IF(OR(tblGJ[[#This Row],[Account Code]]=1120,tblGJ[[#This Row],[Account Code]]=1130),_xlfn.MINIFS(tblBank[Value Date],tblBank[Reference],tblGJ[[#This Row],[Voucher No]],tblBank[Account Code],tblGJ[[#This Row],[Account Code]]),"")</f>
        <v/>
      </c>
      <c r="M538" s="1" t="str">
        <f>IF(tblGJ[[#This Row],[Date]]&lt;=PEnd,"Yes","No")</f>
        <v>Yes</v>
      </c>
    </row>
    <row r="539" spans="2:13" x14ac:dyDescent="0.35">
      <c r="B539" s="109">
        <v>46234</v>
      </c>
      <c r="C539" s="1" t="s">
        <v>5820</v>
      </c>
      <c r="D539" s="1">
        <v>2210</v>
      </c>
      <c r="E539" s="1" t="str">
        <f>_xlfn.XLOOKUP(tblGJ[[#This Row],[Account Code]],tblCOA[Code],tblCOA[Account Name],"⚠ Invalid account")</f>
        <v>Output VAT (PPN Keluaran)</v>
      </c>
      <c r="F539" s="1" t="s">
        <v>6274</v>
      </c>
      <c r="G539" s="5"/>
      <c r="H539" s="5">
        <f>SUMIFS(tblSales[Output VAT],tblSales[Month],MONTH(tblGJ[[#This Row],[Date]]))</f>
        <v>150908450</v>
      </c>
      <c r="I539" s="1" t="s">
        <v>6532</v>
      </c>
      <c r="J539" s="1">
        <f>MONTH(tblGJ[[#This Row],[Date]])</f>
        <v>7</v>
      </c>
      <c r="K539" s="1" t="str">
        <f>_xlfn.XLOOKUP(tblGJ[[#This Row],[Account Code]],tblCOA[Code],tblCOA[FS Line],"")</f>
        <v>Taxes payable</v>
      </c>
      <c r="L539" s="121" t="str">
        <f>IF(OR(tblGJ[[#This Row],[Account Code]]=1120,tblGJ[[#This Row],[Account Code]]=1130),_xlfn.MINIFS(tblBank[Value Date],tblBank[Reference],tblGJ[[#This Row],[Voucher No]],tblBank[Account Code],tblGJ[[#This Row],[Account Code]]),"")</f>
        <v/>
      </c>
      <c r="M539" s="1" t="str">
        <f>IF(tblGJ[[#This Row],[Date]]&lt;=PEnd,"Yes","No")</f>
        <v>Yes</v>
      </c>
    </row>
    <row r="540" spans="2:13" x14ac:dyDescent="0.35">
      <c r="B540" s="109">
        <v>46234</v>
      </c>
      <c r="C540" s="1" t="s">
        <v>5821</v>
      </c>
      <c r="D540" s="1">
        <v>5100</v>
      </c>
      <c r="E540" s="1" t="str">
        <f>_xlfn.XLOOKUP(tblGJ[[#This Row],[Account Code]],tblCOA[Code],tblCOA[Account Name],"⚠ Invalid account")</f>
        <v>Cost of goods sold</v>
      </c>
      <c r="F540" s="1" t="s">
        <v>6275</v>
      </c>
      <c r="G540" s="5">
        <f>SUMIFS(tblSales[COGS],tblSales[Month],MONTH(tblGJ[[#This Row],[Date]]))</f>
        <v>831207000</v>
      </c>
      <c r="H540" s="5"/>
      <c r="I540" s="1" t="s">
        <v>6532</v>
      </c>
      <c r="J540" s="1">
        <f>MONTH(tblGJ[[#This Row],[Date]])</f>
        <v>7</v>
      </c>
      <c r="K540" s="1" t="str">
        <f>_xlfn.XLOOKUP(tblGJ[[#This Row],[Account Code]],tblCOA[Code],tblCOA[FS Line],"")</f>
        <v>Cost of revenue</v>
      </c>
      <c r="L540" s="121" t="str">
        <f>IF(OR(tblGJ[[#This Row],[Account Code]]=1120,tblGJ[[#This Row],[Account Code]]=1130),_xlfn.MINIFS(tblBank[Value Date],tblBank[Reference],tblGJ[[#This Row],[Voucher No]],tblBank[Account Code],tblGJ[[#This Row],[Account Code]]),"")</f>
        <v/>
      </c>
      <c r="M540" s="1" t="str">
        <f>IF(tblGJ[[#This Row],[Date]]&lt;=PEnd,"Yes","No")</f>
        <v>Yes</v>
      </c>
    </row>
    <row r="541" spans="2:13" x14ac:dyDescent="0.35">
      <c r="B541" s="109">
        <v>46234</v>
      </c>
      <c r="C541" s="1" t="s">
        <v>5821</v>
      </c>
      <c r="D541" s="1">
        <v>1310</v>
      </c>
      <c r="E541" s="1" t="str">
        <f>_xlfn.XLOOKUP(tblGJ[[#This Row],[Account Code]],tblCOA[Code],tblCOA[Account Name],"⚠ Invalid account")</f>
        <v>Merchandise inventory</v>
      </c>
      <c r="F541" s="1" t="s">
        <v>6276</v>
      </c>
      <c r="G541" s="5"/>
      <c r="H541" s="5">
        <f>SUMIFS(tblSales[COGS],tblSales[Month],MONTH(tblGJ[[#This Row],[Date]]))</f>
        <v>831207000</v>
      </c>
      <c r="I541" s="1" t="s">
        <v>6532</v>
      </c>
      <c r="J541" s="1">
        <f>MONTH(tblGJ[[#This Row],[Date]])</f>
        <v>7</v>
      </c>
      <c r="K541" s="1" t="str">
        <f>_xlfn.XLOOKUP(tblGJ[[#This Row],[Account Code]],tblCOA[Code],tblCOA[FS Line],"")</f>
        <v>Inventories</v>
      </c>
      <c r="L541" s="121" t="str">
        <f>IF(OR(tblGJ[[#This Row],[Account Code]]=1120,tblGJ[[#This Row],[Account Code]]=1130),_xlfn.MINIFS(tblBank[Value Date],tblBank[Reference],tblGJ[[#This Row],[Voucher No]],tblBank[Account Code],tblGJ[[#This Row],[Account Code]]),"")</f>
        <v/>
      </c>
      <c r="M541" s="1" t="str">
        <f>IF(tblGJ[[#This Row],[Date]]&lt;=PEnd,"Yes","No")</f>
        <v>Yes</v>
      </c>
    </row>
    <row r="542" spans="2:13" x14ac:dyDescent="0.35">
      <c r="B542" s="109">
        <v>46234</v>
      </c>
      <c r="C542" s="1" t="s">
        <v>5822</v>
      </c>
      <c r="D542" s="1">
        <v>1120</v>
      </c>
      <c r="E542" s="1" t="str">
        <f>_xlfn.XLOOKUP(tblGJ[[#This Row],[Account Code]],tblCOA[Code],tblCOA[Account Name],"⚠ Invalid account")</f>
        <v>Bank BCA - Current Account</v>
      </c>
      <c r="F542" s="1" t="s">
        <v>6277</v>
      </c>
      <c r="G542" s="5">
        <f>SUMIFS(tblSales[Total incl. VAT],tblSales[Month],MONTH(tblGJ[[#This Row],[Date]]),tblSales[Payment Method],Products!$O$13)</f>
        <v>130968900</v>
      </c>
      <c r="H542" s="5"/>
      <c r="I542" s="1" t="s">
        <v>6532</v>
      </c>
      <c r="J542" s="1">
        <f>MONTH(tblGJ[[#This Row],[Date]])</f>
        <v>7</v>
      </c>
      <c r="K542" s="1" t="str">
        <f>_xlfn.XLOOKUP(tblGJ[[#This Row],[Account Code]],tblCOA[Code],tblCOA[FS Line],"")</f>
        <v>Cash and cash equivalents</v>
      </c>
      <c r="L542" s="121">
        <f>IF(OR(tblGJ[[#This Row],[Account Code]]=1120,tblGJ[[#This Row],[Account Code]]=1130),_xlfn.MINIFS(tblBank[Value Date],tblBank[Reference],tblGJ[[#This Row],[Voucher No]],tblBank[Account Code],tblGJ[[#This Row],[Account Code]]),"")</f>
        <v>46234</v>
      </c>
      <c r="M542" s="1" t="str">
        <f>IF(tblGJ[[#This Row],[Date]]&lt;=PEnd,"Yes","No")</f>
        <v>Yes</v>
      </c>
    </row>
    <row r="543" spans="2:13" x14ac:dyDescent="0.35">
      <c r="B543" s="109">
        <v>46234</v>
      </c>
      <c r="C543" s="1" t="s">
        <v>5822</v>
      </c>
      <c r="D543" s="1">
        <v>1110</v>
      </c>
      <c r="E543" s="1" t="str">
        <f>_xlfn.XLOOKUP(tblGJ[[#This Row],[Account Code]],tblCOA[Code],tblCOA[Account Name],"⚠ Invalid account")</f>
        <v>Cash on Hand</v>
      </c>
      <c r="F543" s="1" t="s">
        <v>6277</v>
      </c>
      <c r="G543" s="5"/>
      <c r="H543" s="5">
        <f>SUMIFS(tblSales[Total incl. VAT],tblSales[Month],MONTH(tblGJ[[#This Row],[Date]]),tblSales[Payment Method],Products!$O$13)</f>
        <v>130968900</v>
      </c>
      <c r="I543" s="1" t="s">
        <v>6532</v>
      </c>
      <c r="J543" s="1">
        <f>MONTH(tblGJ[[#This Row],[Date]])</f>
        <v>7</v>
      </c>
      <c r="K543" s="1" t="str">
        <f>_xlfn.XLOOKUP(tblGJ[[#This Row],[Account Code]],tblCOA[Code],tblCOA[FS Line],"")</f>
        <v>Cash and cash equivalents</v>
      </c>
      <c r="L543" s="121" t="str">
        <f>IF(OR(tblGJ[[#This Row],[Account Code]]=1120,tblGJ[[#This Row],[Account Code]]=1130),_xlfn.MINIFS(tblBank[Value Date],tblBank[Reference],tblGJ[[#This Row],[Voucher No]],tblBank[Account Code],tblGJ[[#This Row],[Account Code]]),"")</f>
        <v/>
      </c>
      <c r="M543" s="1" t="str">
        <f>IF(tblGJ[[#This Row],[Date]]&lt;=PEnd,"Yes","No")</f>
        <v>Yes</v>
      </c>
    </row>
    <row r="544" spans="2:13" x14ac:dyDescent="0.35">
      <c r="B544" s="109">
        <v>46234</v>
      </c>
      <c r="C544" s="1" t="s">
        <v>5823</v>
      </c>
      <c r="D544" s="1">
        <v>1310</v>
      </c>
      <c r="E544" s="1" t="str">
        <f>_xlfn.XLOOKUP(tblGJ[[#This Row],[Account Code]],tblCOA[Code],tblCOA[Account Name],"⚠ Invalid account")</f>
        <v>Merchandise inventory</v>
      </c>
      <c r="F544" s="1" t="s">
        <v>6278</v>
      </c>
      <c r="G544" s="5">
        <f>SUMIFS(tblPurchases[DPP (excl. VAT)],tblPurchases[Account Code],tblGJ[[#This Row],[Account Code]],tblPurchases[Month],MONTH(tblGJ[[#This Row],[Date]]))</f>
        <v>807620000</v>
      </c>
      <c r="H544" s="5"/>
      <c r="I544" s="1" t="s">
        <v>6533</v>
      </c>
      <c r="J544" s="1">
        <f>MONTH(tblGJ[[#This Row],[Date]])</f>
        <v>7</v>
      </c>
      <c r="K544" s="1" t="str">
        <f>_xlfn.XLOOKUP(tblGJ[[#This Row],[Account Code]],tblCOA[Code],tblCOA[FS Line],"")</f>
        <v>Inventories</v>
      </c>
      <c r="L544" s="121" t="str">
        <f>IF(OR(tblGJ[[#This Row],[Account Code]]=1120,tblGJ[[#This Row],[Account Code]]=1130),_xlfn.MINIFS(tblBank[Value Date],tblBank[Reference],tblGJ[[#This Row],[Voucher No]],tblBank[Account Code],tblGJ[[#This Row],[Account Code]]),"")</f>
        <v/>
      </c>
      <c r="M544" s="1" t="str">
        <f>IF(tblGJ[[#This Row],[Date]]&lt;=PEnd,"Yes","No")</f>
        <v>Yes</v>
      </c>
    </row>
    <row r="545" spans="2:13" x14ac:dyDescent="0.35">
      <c r="B545" s="109">
        <v>46234</v>
      </c>
      <c r="C545" s="1" t="s">
        <v>5823</v>
      </c>
      <c r="D545" s="1">
        <v>6120</v>
      </c>
      <c r="E545" s="1" t="str">
        <f>_xlfn.XLOOKUP(tblGJ[[#This Row],[Account Code]],tblCOA[Code],tblCOA[Account Name],"⚠ Invalid account")</f>
        <v>Advertising &amp; Promotion</v>
      </c>
      <c r="F545" s="1" t="s">
        <v>6278</v>
      </c>
      <c r="G545" s="5">
        <f>SUMIFS(tblPurchases[DPP (excl. VAT)],tblPurchases[Account Code],tblGJ[[#This Row],[Account Code]],tblPurchases[Month],MONTH(tblGJ[[#This Row],[Date]]))</f>
        <v>15091000</v>
      </c>
      <c r="H545" s="5"/>
      <c r="I545" s="1" t="s">
        <v>6533</v>
      </c>
      <c r="J545" s="1">
        <f>MONTH(tblGJ[[#This Row],[Date]])</f>
        <v>7</v>
      </c>
      <c r="K545" s="1" t="str">
        <f>_xlfn.XLOOKUP(tblGJ[[#This Row],[Account Code]],tblCOA[Code],tblCOA[FS Line],"")</f>
        <v>Selling expenses</v>
      </c>
      <c r="L545" s="121" t="str">
        <f>IF(OR(tblGJ[[#This Row],[Account Code]]=1120,tblGJ[[#This Row],[Account Code]]=1130),_xlfn.MINIFS(tblBank[Value Date],tblBank[Reference],tblGJ[[#This Row],[Voucher No]],tblBank[Account Code],tblGJ[[#This Row],[Account Code]]),"")</f>
        <v/>
      </c>
      <c r="M545" s="1" t="str">
        <f>IF(tblGJ[[#This Row],[Date]]&lt;=PEnd,"Yes","No")</f>
        <v>Yes</v>
      </c>
    </row>
    <row r="546" spans="2:13" x14ac:dyDescent="0.35">
      <c r="B546" s="109">
        <v>46234</v>
      </c>
      <c r="C546" s="1" t="s">
        <v>5823</v>
      </c>
      <c r="D546" s="1">
        <v>6130</v>
      </c>
      <c r="E546" s="1" t="str">
        <f>_xlfn.XLOOKUP(tblGJ[[#This Row],[Account Code]],tblCOA[Code],tblCOA[Account Name],"⚠ Invalid account")</f>
        <v>Marketplace &amp; Sales Commissions</v>
      </c>
      <c r="F546" s="1" t="s">
        <v>6278</v>
      </c>
      <c r="G546" s="5">
        <f>SUMIFS(tblPurchases[DPP (excl. VAT)],tblPurchases[Account Code],tblGJ[[#This Row],[Account Code]],tblPurchases[Month],MONTH(tblGJ[[#This Row],[Date]]))</f>
        <v>3455000</v>
      </c>
      <c r="H546" s="5"/>
      <c r="I546" s="1" t="s">
        <v>6533</v>
      </c>
      <c r="J546" s="1">
        <f>MONTH(tblGJ[[#This Row],[Date]])</f>
        <v>7</v>
      </c>
      <c r="K546" s="1" t="str">
        <f>_xlfn.XLOOKUP(tblGJ[[#This Row],[Account Code]],tblCOA[Code],tblCOA[FS Line],"")</f>
        <v>Selling expenses</v>
      </c>
      <c r="L546" s="121" t="str">
        <f>IF(OR(tblGJ[[#This Row],[Account Code]]=1120,tblGJ[[#This Row],[Account Code]]=1130),_xlfn.MINIFS(tblBank[Value Date],tblBank[Reference],tblGJ[[#This Row],[Voucher No]],tblBank[Account Code],tblGJ[[#This Row],[Account Code]]),"")</f>
        <v/>
      </c>
      <c r="M546" s="1" t="str">
        <f>IF(tblGJ[[#This Row],[Date]]&lt;=PEnd,"Yes","No")</f>
        <v>Yes</v>
      </c>
    </row>
    <row r="547" spans="2:13" x14ac:dyDescent="0.35">
      <c r="B547" s="109">
        <v>46234</v>
      </c>
      <c r="C547" s="1" t="s">
        <v>5823</v>
      </c>
      <c r="D547" s="1">
        <v>6140</v>
      </c>
      <c r="E547" s="1" t="str">
        <f>_xlfn.XLOOKUP(tblGJ[[#This Row],[Account Code]],tblCOA[Code],tblCOA[Account Name],"⚠ Invalid account")</f>
        <v>Shipping &amp; Delivery</v>
      </c>
      <c r="F547" s="1" t="s">
        <v>6278</v>
      </c>
      <c r="G547" s="5">
        <f>SUMIFS(tblPurchases[DPP (excl. VAT)],tblPurchases[Account Code],tblGJ[[#This Row],[Account Code]],tblPurchases[Month],MONTH(tblGJ[[#This Row],[Date]]))</f>
        <v>12347000</v>
      </c>
      <c r="H547" s="5"/>
      <c r="I547" s="1" t="s">
        <v>6533</v>
      </c>
      <c r="J547" s="1">
        <f>MONTH(tblGJ[[#This Row],[Date]])</f>
        <v>7</v>
      </c>
      <c r="K547" s="1" t="str">
        <f>_xlfn.XLOOKUP(tblGJ[[#This Row],[Account Code]],tblCOA[Code],tblCOA[FS Line],"")</f>
        <v>Selling expenses</v>
      </c>
      <c r="L547" s="121" t="str">
        <f>IF(OR(tblGJ[[#This Row],[Account Code]]=1120,tblGJ[[#This Row],[Account Code]]=1130),_xlfn.MINIFS(tblBank[Value Date],tblBank[Reference],tblGJ[[#This Row],[Voucher No]],tblBank[Account Code],tblGJ[[#This Row],[Account Code]]),"")</f>
        <v/>
      </c>
      <c r="M547" s="1" t="str">
        <f>IF(tblGJ[[#This Row],[Date]]&lt;=PEnd,"Yes","No")</f>
        <v>Yes</v>
      </c>
    </row>
    <row r="548" spans="2:13" x14ac:dyDescent="0.35">
      <c r="B548" s="109">
        <v>46234</v>
      </c>
      <c r="C548" s="1" t="s">
        <v>5823</v>
      </c>
      <c r="D548" s="1">
        <v>6230</v>
      </c>
      <c r="E548" s="1" t="str">
        <f>_xlfn.XLOOKUP(tblGJ[[#This Row],[Account Code]],tblCOA[Code],tblCOA[Account Name],"⚠ Invalid account")</f>
        <v>Utilities &amp; Telecommunication</v>
      </c>
      <c r="F548" s="1" t="s">
        <v>6278</v>
      </c>
      <c r="G548" s="5">
        <f>SUMIFS(tblPurchases[DPP (excl. VAT)],tblPurchases[Account Code],tblGJ[[#This Row],[Account Code]],tblPurchases[Month],MONTH(tblGJ[[#This Row],[Date]]))</f>
        <v>11824000</v>
      </c>
      <c r="H548" s="5"/>
      <c r="I548" s="1" t="s">
        <v>6533</v>
      </c>
      <c r="J548" s="1">
        <f>MONTH(tblGJ[[#This Row],[Date]])</f>
        <v>7</v>
      </c>
      <c r="K548" s="1" t="str">
        <f>_xlfn.XLOOKUP(tblGJ[[#This Row],[Account Code]],tblCOA[Code],tblCOA[FS Line],"")</f>
        <v>General &amp; administrative expenses</v>
      </c>
      <c r="L548" s="121" t="str">
        <f>IF(OR(tblGJ[[#This Row],[Account Code]]=1120,tblGJ[[#This Row],[Account Code]]=1130),_xlfn.MINIFS(tblBank[Value Date],tblBank[Reference],tblGJ[[#This Row],[Voucher No]],tblBank[Account Code],tblGJ[[#This Row],[Account Code]]),"")</f>
        <v/>
      </c>
      <c r="M548" s="1" t="str">
        <f>IF(tblGJ[[#This Row],[Date]]&lt;=PEnd,"Yes","No")</f>
        <v>Yes</v>
      </c>
    </row>
    <row r="549" spans="2:13" x14ac:dyDescent="0.35">
      <c r="B549" s="109">
        <v>46234</v>
      </c>
      <c r="C549" s="1" t="s">
        <v>5823</v>
      </c>
      <c r="D549" s="1">
        <v>6270</v>
      </c>
      <c r="E549" s="1" t="str">
        <f>_xlfn.XLOOKUP(tblGJ[[#This Row],[Account Code]],tblCOA[Code],tblCOA[Account Name],"⚠ Invalid account")</f>
        <v>Office Supplies</v>
      </c>
      <c r="F549" s="1" t="s">
        <v>6278</v>
      </c>
      <c r="G549" s="5">
        <f>SUMIFS(tblPurchases[DPP (excl. VAT)],tblPurchases[Account Code],tblGJ[[#This Row],[Account Code]],tblPurchases[Month],MONTH(tblGJ[[#This Row],[Date]]))</f>
        <v>3169000</v>
      </c>
      <c r="H549" s="5"/>
      <c r="I549" s="1" t="s">
        <v>6533</v>
      </c>
      <c r="J549" s="1">
        <f>MONTH(tblGJ[[#This Row],[Date]])</f>
        <v>7</v>
      </c>
      <c r="K549" s="1" t="str">
        <f>_xlfn.XLOOKUP(tblGJ[[#This Row],[Account Code]],tblCOA[Code],tblCOA[FS Line],"")</f>
        <v>General &amp; administrative expenses</v>
      </c>
      <c r="L549" s="121" t="str">
        <f>IF(OR(tblGJ[[#This Row],[Account Code]]=1120,tblGJ[[#This Row],[Account Code]]=1130),_xlfn.MINIFS(tblBank[Value Date],tblBank[Reference],tblGJ[[#This Row],[Voucher No]],tblBank[Account Code],tblGJ[[#This Row],[Account Code]]),"")</f>
        <v/>
      </c>
      <c r="M549" s="1" t="str">
        <f>IF(tblGJ[[#This Row],[Date]]&lt;=PEnd,"Yes","No")</f>
        <v>Yes</v>
      </c>
    </row>
    <row r="550" spans="2:13" x14ac:dyDescent="0.35">
      <c r="B550" s="109">
        <v>46234</v>
      </c>
      <c r="C550" s="1" t="s">
        <v>5823</v>
      </c>
      <c r="D550" s="1">
        <v>6295</v>
      </c>
      <c r="E550" s="1" t="str">
        <f>_xlfn.XLOOKUP(tblGJ[[#This Row],[Account Code]],tblCOA[Code],tblCOA[Account Name],"⚠ Invalid account")</f>
        <v>Repairs &amp; Maintenance</v>
      </c>
      <c r="F550" s="1" t="s">
        <v>6278</v>
      </c>
      <c r="G550" s="5">
        <f>SUMIFS(tblPurchases[DPP (excl. VAT)],tblPurchases[Account Code],tblGJ[[#This Row],[Account Code]],tblPurchases[Month],MONTH(tblGJ[[#This Row],[Date]]))</f>
        <v>4186000</v>
      </c>
      <c r="H550" s="5"/>
      <c r="I550" s="1" t="s">
        <v>6533</v>
      </c>
      <c r="J550" s="1">
        <f>MONTH(tblGJ[[#This Row],[Date]])</f>
        <v>7</v>
      </c>
      <c r="K550" s="1" t="str">
        <f>_xlfn.XLOOKUP(tblGJ[[#This Row],[Account Code]],tblCOA[Code],tblCOA[FS Line],"")</f>
        <v>General &amp; administrative expenses</v>
      </c>
      <c r="L550" s="121" t="str">
        <f>IF(OR(tblGJ[[#This Row],[Account Code]]=1120,tblGJ[[#This Row],[Account Code]]=1130),_xlfn.MINIFS(tblBank[Value Date],tblBank[Reference],tblGJ[[#This Row],[Voucher No]],tblBank[Account Code],tblGJ[[#This Row],[Account Code]]),"")</f>
        <v/>
      </c>
      <c r="M550" s="1" t="str">
        <f>IF(tblGJ[[#This Row],[Date]]&lt;=PEnd,"Yes","No")</f>
        <v>Yes</v>
      </c>
    </row>
    <row r="551" spans="2:13" x14ac:dyDescent="0.35">
      <c r="B551" s="109">
        <v>46234</v>
      </c>
      <c r="C551" s="1" t="s">
        <v>5823</v>
      </c>
      <c r="D551" s="1">
        <v>6296</v>
      </c>
      <c r="E551" s="1" t="str">
        <f>_xlfn.XLOOKUP(tblGJ[[#This Row],[Account Code]],tblCOA[Code],tblCOA[Account Name],"⚠ Invalid account")</f>
        <v>Entertainment &amp; Donations</v>
      </c>
      <c r="F551" s="1" t="s">
        <v>6278</v>
      </c>
      <c r="G551" s="5">
        <f>SUMIFS(tblPurchases[DPP (excl. VAT)],tblPurchases[Account Code],tblGJ[[#This Row],[Account Code]],tblPurchases[Month],MONTH(tblGJ[[#This Row],[Date]]))</f>
        <v>1625000</v>
      </c>
      <c r="H551" s="5"/>
      <c r="I551" s="1" t="s">
        <v>6533</v>
      </c>
      <c r="J551" s="1">
        <f>MONTH(tblGJ[[#This Row],[Date]])</f>
        <v>7</v>
      </c>
      <c r="K551" s="1" t="str">
        <f>_xlfn.XLOOKUP(tblGJ[[#This Row],[Account Code]],tblCOA[Code],tblCOA[FS Line],"")</f>
        <v>General &amp; administrative expenses</v>
      </c>
      <c r="L551" s="121" t="str">
        <f>IF(OR(tblGJ[[#This Row],[Account Code]]=1120,tblGJ[[#This Row],[Account Code]]=1130),_xlfn.MINIFS(tblBank[Value Date],tblBank[Reference],tblGJ[[#This Row],[Voucher No]],tblBank[Account Code],tblGJ[[#This Row],[Account Code]]),"")</f>
        <v/>
      </c>
      <c r="M551" s="1" t="str">
        <f>IF(tblGJ[[#This Row],[Date]]&lt;=PEnd,"Yes","No")</f>
        <v>Yes</v>
      </c>
    </row>
    <row r="552" spans="2:13" x14ac:dyDescent="0.35">
      <c r="B552" s="109">
        <v>46234</v>
      </c>
      <c r="C552" s="1" t="s">
        <v>5823</v>
      </c>
      <c r="D552" s="1">
        <v>1510</v>
      </c>
      <c r="E552" s="1" t="str">
        <f>_xlfn.XLOOKUP(tblGJ[[#This Row],[Account Code]],tblCOA[Code],tblCOA[Account Name],"⚠ Invalid account")</f>
        <v>Input VAT (PPN Masukan)</v>
      </c>
      <c r="F552" s="1" t="s">
        <v>6279</v>
      </c>
      <c r="G552" s="5">
        <f>SUMIFS(tblPurchases[Input VAT],tblPurchases[Month],MONTH(tblGJ[[#This Row],[Date]]))</f>
        <v>80211340</v>
      </c>
      <c r="H552" s="5"/>
      <c r="I552" s="1" t="s">
        <v>6533</v>
      </c>
      <c r="J552" s="1">
        <f>MONTH(tblGJ[[#This Row],[Date]])</f>
        <v>7</v>
      </c>
      <c r="K552" s="1" t="str">
        <f>_xlfn.XLOOKUP(tblGJ[[#This Row],[Account Code]],tblCOA[Code],tblCOA[FS Line],"")</f>
        <v>Prepaid taxes</v>
      </c>
      <c r="L552" s="121" t="str">
        <f>IF(OR(tblGJ[[#This Row],[Account Code]]=1120,tblGJ[[#This Row],[Account Code]]=1130),_xlfn.MINIFS(tblBank[Value Date],tblBank[Reference],tblGJ[[#This Row],[Voucher No]],tblBank[Account Code],tblGJ[[#This Row],[Account Code]]),"")</f>
        <v/>
      </c>
      <c r="M552" s="1" t="str">
        <f>IF(tblGJ[[#This Row],[Date]]&lt;=PEnd,"Yes","No")</f>
        <v>Yes</v>
      </c>
    </row>
    <row r="553" spans="2:13" x14ac:dyDescent="0.35">
      <c r="B553" s="109">
        <v>46234</v>
      </c>
      <c r="C553" s="1" t="s">
        <v>5823</v>
      </c>
      <c r="D553" s="1">
        <v>2240</v>
      </c>
      <c r="E553" s="1" t="str">
        <f>_xlfn.XLOOKUP(tblGJ[[#This Row],[Account Code]],tblCOA[Code],tblCOA[Account Name],"⚠ Invalid account")</f>
        <v>WHT Payable - Unifikasi (Art. 23/4(2))</v>
      </c>
      <c r="F553" s="1" t="s">
        <v>6280</v>
      </c>
      <c r="G553" s="5"/>
      <c r="H553" s="5">
        <f>SUMIFS(tblPurchases[WHT Amount],tblPurchases[Month],MONTH(tblGJ[[#This Row],[Date]]))</f>
        <v>701580</v>
      </c>
      <c r="I553" s="1" t="s">
        <v>6533</v>
      </c>
      <c r="J553" s="1">
        <f>MONTH(tblGJ[[#This Row],[Date]])</f>
        <v>7</v>
      </c>
      <c r="K553" s="1" t="str">
        <f>_xlfn.XLOOKUP(tblGJ[[#This Row],[Account Code]],tblCOA[Code],tblCOA[FS Line],"")</f>
        <v>Taxes payable</v>
      </c>
      <c r="L553" s="121" t="str">
        <f>IF(OR(tblGJ[[#This Row],[Account Code]]=1120,tblGJ[[#This Row],[Account Code]]=1130),_xlfn.MINIFS(tblBank[Value Date],tblBank[Reference],tblGJ[[#This Row],[Voucher No]],tblBank[Account Code],tblGJ[[#This Row],[Account Code]]),"")</f>
        <v/>
      </c>
      <c r="M553" s="1" t="str">
        <f>IF(tblGJ[[#This Row],[Date]]&lt;=PEnd,"Yes","No")</f>
        <v>Yes</v>
      </c>
    </row>
    <row r="554" spans="2:13" x14ac:dyDescent="0.35">
      <c r="B554" s="109">
        <v>46234</v>
      </c>
      <c r="C554" s="1" t="s">
        <v>5823</v>
      </c>
      <c r="D554" s="1">
        <v>2110</v>
      </c>
      <c r="E554" s="1" t="str">
        <f>_xlfn.XLOOKUP(tblGJ[[#This Row],[Account Code]],tblCOA[Code],tblCOA[Account Name],"⚠ Invalid account")</f>
        <v>Trade Payables</v>
      </c>
      <c r="F554" s="1" t="s">
        <v>6281</v>
      </c>
      <c r="G554" s="5"/>
      <c r="H554" s="5">
        <f>SUMIFS(tblPurchases[Total Payable],tblPurchases[Month],MONTH(tblGJ[[#This Row],[Date]]))</f>
        <v>938826760</v>
      </c>
      <c r="I554" s="1" t="s">
        <v>6533</v>
      </c>
      <c r="J554" s="1">
        <f>MONTH(tblGJ[[#This Row],[Date]])</f>
        <v>7</v>
      </c>
      <c r="K554" s="1" t="str">
        <f>_xlfn.XLOOKUP(tblGJ[[#This Row],[Account Code]],tblCOA[Code],tblCOA[FS Line],"")</f>
        <v>Trade payables</v>
      </c>
      <c r="L554" s="121" t="str">
        <f>IF(OR(tblGJ[[#This Row],[Account Code]]=1120,tblGJ[[#This Row],[Account Code]]=1130),_xlfn.MINIFS(tblBank[Value Date],tblBank[Reference],tblGJ[[#This Row],[Voucher No]],tblBank[Account Code],tblGJ[[#This Row],[Account Code]]),"")</f>
        <v/>
      </c>
      <c r="M554" s="1" t="str">
        <f>IF(tblGJ[[#This Row],[Date]]&lt;=PEnd,"Yes","No")</f>
        <v>Yes</v>
      </c>
    </row>
    <row r="555" spans="2:13" x14ac:dyDescent="0.35">
      <c r="B555" s="109">
        <v>46234</v>
      </c>
      <c r="C555" s="1" t="s">
        <v>5824</v>
      </c>
      <c r="D555" s="1">
        <v>2110</v>
      </c>
      <c r="E555" s="1" t="str">
        <f>_xlfn.XLOOKUP(tblGJ[[#This Row],[Account Code]],tblCOA[Code],tblCOA[Account Name],"⚠ Invalid account")</f>
        <v>Trade Payables</v>
      </c>
      <c r="F555" s="1" t="s">
        <v>6282</v>
      </c>
      <c r="G555" s="5">
        <f>SUMIFS(tblPurchases[Total Payable],tblPurchases[Pay Month],MONTH(tblGJ[[#This Row],[Date]]),tblPurchases[Paid From],1120)</f>
        <v>881629080</v>
      </c>
      <c r="H555" s="5"/>
      <c r="I555" s="1" t="s">
        <v>6529</v>
      </c>
      <c r="J555" s="1">
        <f>MONTH(tblGJ[[#This Row],[Date]])</f>
        <v>7</v>
      </c>
      <c r="K555" s="1" t="str">
        <f>_xlfn.XLOOKUP(tblGJ[[#This Row],[Account Code]],tblCOA[Code],tblCOA[FS Line],"")</f>
        <v>Trade payables</v>
      </c>
      <c r="L555" s="121" t="str">
        <f>IF(OR(tblGJ[[#This Row],[Account Code]]=1120,tblGJ[[#This Row],[Account Code]]=1130),_xlfn.MINIFS(tblBank[Value Date],tblBank[Reference],tblGJ[[#This Row],[Voucher No]],tblBank[Account Code],tblGJ[[#This Row],[Account Code]]),"")</f>
        <v/>
      </c>
      <c r="M555" s="1" t="str">
        <f>IF(tblGJ[[#This Row],[Date]]&lt;=PEnd,"Yes","No")</f>
        <v>Yes</v>
      </c>
    </row>
    <row r="556" spans="2:13" x14ac:dyDescent="0.35">
      <c r="B556" s="109">
        <v>46234</v>
      </c>
      <c r="C556" s="1" t="s">
        <v>5824</v>
      </c>
      <c r="D556" s="1">
        <v>1120</v>
      </c>
      <c r="E556" s="1" t="str">
        <f>_xlfn.XLOOKUP(tblGJ[[#This Row],[Account Code]],tblCOA[Code],tblCOA[Account Name],"⚠ Invalid account")</f>
        <v>Bank BCA - Current Account</v>
      </c>
      <c r="F556" s="1" t="s">
        <v>6282</v>
      </c>
      <c r="G556" s="5"/>
      <c r="H556" s="5">
        <f>SUMIFS(tblPurchases[Total Payable],tblPurchases[Pay Month],MONTH(tblGJ[[#This Row],[Date]]),tblPurchases[Paid From],1120)</f>
        <v>881629080</v>
      </c>
      <c r="I556" s="1" t="s">
        <v>6529</v>
      </c>
      <c r="J556" s="1">
        <f>MONTH(tblGJ[[#This Row],[Date]])</f>
        <v>7</v>
      </c>
      <c r="K556" s="1" t="str">
        <f>_xlfn.XLOOKUP(tblGJ[[#This Row],[Account Code]],tblCOA[Code],tblCOA[FS Line],"")</f>
        <v>Cash and cash equivalents</v>
      </c>
      <c r="L556" s="121">
        <f>IF(OR(tblGJ[[#This Row],[Account Code]]=1120,tblGJ[[#This Row],[Account Code]]=1130),_xlfn.MINIFS(tblBank[Value Date],tblBank[Reference],tblGJ[[#This Row],[Voucher No]],tblBank[Account Code],tblGJ[[#This Row],[Account Code]]),"")</f>
        <v>46234</v>
      </c>
      <c r="M556" s="1" t="str">
        <f>IF(tblGJ[[#This Row],[Date]]&lt;=PEnd,"Yes","No")</f>
        <v>Yes</v>
      </c>
    </row>
    <row r="557" spans="2:13" x14ac:dyDescent="0.35">
      <c r="B557" s="109">
        <v>46234</v>
      </c>
      <c r="C557" s="1" t="s">
        <v>5825</v>
      </c>
      <c r="D557" s="1">
        <v>2210</v>
      </c>
      <c r="E557" s="1" t="str">
        <f>_xlfn.XLOOKUP(tblGJ[[#This Row],[Account Code]],tblCOA[Code],tblCOA[Account Name],"⚠ Invalid account")</f>
        <v>Output VAT (PPN Keluaran)</v>
      </c>
      <c r="F557" s="1" t="s">
        <v>6283</v>
      </c>
      <c r="G557" s="5">
        <f>SUMIFS(tblSales[Output VAT],tblSales[Month],MONTH(tblGJ[[#This Row],[Date]]))</f>
        <v>150908450</v>
      </c>
      <c r="H557" s="5"/>
      <c r="I557" s="1" t="s">
        <v>6528</v>
      </c>
      <c r="J557" s="1">
        <f>MONTH(tblGJ[[#This Row],[Date]])</f>
        <v>7</v>
      </c>
      <c r="K557" s="1" t="str">
        <f>_xlfn.XLOOKUP(tblGJ[[#This Row],[Account Code]],tblCOA[Code],tblCOA[FS Line],"")</f>
        <v>Taxes payable</v>
      </c>
      <c r="L557" s="121" t="str">
        <f>IF(OR(tblGJ[[#This Row],[Account Code]]=1120,tblGJ[[#This Row],[Account Code]]=1130),_xlfn.MINIFS(tblBank[Value Date],tblBank[Reference],tblGJ[[#This Row],[Voucher No]],tblBank[Account Code],tblGJ[[#This Row],[Account Code]]),"")</f>
        <v/>
      </c>
      <c r="M557" s="1" t="str">
        <f>IF(tblGJ[[#This Row],[Date]]&lt;=PEnd,"Yes","No")</f>
        <v>Yes</v>
      </c>
    </row>
    <row r="558" spans="2:13" x14ac:dyDescent="0.35">
      <c r="B558" s="109">
        <v>46234</v>
      </c>
      <c r="C558" s="1" t="s">
        <v>5825</v>
      </c>
      <c r="D558" s="1">
        <v>1510</v>
      </c>
      <c r="E558" s="1" t="str">
        <f>_xlfn.XLOOKUP(tblGJ[[#This Row],[Account Code]],tblCOA[Code],tblCOA[Account Name],"⚠ Invalid account")</f>
        <v>Input VAT (PPN Masukan)</v>
      </c>
      <c r="F558" s="1" t="s">
        <v>6284</v>
      </c>
      <c r="G558" s="5"/>
      <c r="H558" s="5">
        <f>SUMIFS(tblPurchases[Input VAT],tblPurchases[Month],MONTH(tblGJ[[#This Row],[Date]]))</f>
        <v>80211340</v>
      </c>
      <c r="I558" s="1" t="s">
        <v>6528</v>
      </c>
      <c r="J558" s="1">
        <f>MONTH(tblGJ[[#This Row],[Date]])</f>
        <v>7</v>
      </c>
      <c r="K558" s="1" t="str">
        <f>_xlfn.XLOOKUP(tblGJ[[#This Row],[Account Code]],tblCOA[Code],tblCOA[FS Line],"")</f>
        <v>Prepaid taxes</v>
      </c>
      <c r="L558" s="121" t="str">
        <f>IF(OR(tblGJ[[#This Row],[Account Code]]=1120,tblGJ[[#This Row],[Account Code]]=1130),_xlfn.MINIFS(tblBank[Value Date],tblBank[Reference],tblGJ[[#This Row],[Voucher No]],tblBank[Account Code],tblGJ[[#This Row],[Account Code]]),"")</f>
        <v/>
      </c>
      <c r="M558" s="1" t="str">
        <f>IF(tblGJ[[#This Row],[Date]]&lt;=PEnd,"Yes","No")</f>
        <v>Yes</v>
      </c>
    </row>
    <row r="559" spans="2:13" x14ac:dyDescent="0.35">
      <c r="B559" s="109">
        <v>46234</v>
      </c>
      <c r="C559" s="1" t="s">
        <v>5825</v>
      </c>
      <c r="D559" s="1">
        <v>2220</v>
      </c>
      <c r="E559" s="1" t="str">
        <f>_xlfn.XLOOKUP(tblGJ[[#This Row],[Account Code]],tblCOA[Code],tblCOA[Account Name],"⚠ Invalid account")</f>
        <v>VAT Payable - Net</v>
      </c>
      <c r="F559" s="1" t="s">
        <v>6285</v>
      </c>
      <c r="G559" s="5"/>
      <c r="H559" s="5">
        <f>SUMIFS(tblSales[Output VAT],tblSales[Month],MONTH(tblGJ[[#This Row],[Date]]))-SUMIFS(tblPurchases[Input VAT],tblPurchases[Month],MONTH(tblGJ[[#This Row],[Date]]))</f>
        <v>70697110</v>
      </c>
      <c r="I559" s="1" t="s">
        <v>6528</v>
      </c>
      <c r="J559" s="1">
        <f>MONTH(tblGJ[[#This Row],[Date]])</f>
        <v>7</v>
      </c>
      <c r="K559" s="1" t="str">
        <f>_xlfn.XLOOKUP(tblGJ[[#This Row],[Account Code]],tblCOA[Code],tblCOA[FS Line],"")</f>
        <v>Taxes payable</v>
      </c>
      <c r="L559" s="121" t="str">
        <f>IF(OR(tblGJ[[#This Row],[Account Code]]=1120,tblGJ[[#This Row],[Account Code]]=1130),_xlfn.MINIFS(tblBank[Value Date],tblBank[Reference],tblGJ[[#This Row],[Voucher No]],tblBank[Account Code],tblGJ[[#This Row],[Account Code]]),"")</f>
        <v/>
      </c>
      <c r="M559" s="1" t="str">
        <f>IF(tblGJ[[#This Row],[Date]]&lt;=PEnd,"Yes","No")</f>
        <v>Yes</v>
      </c>
    </row>
    <row r="560" spans="2:13" x14ac:dyDescent="0.35">
      <c r="B560" s="109">
        <v>46234</v>
      </c>
      <c r="C560" s="1" t="s">
        <v>5826</v>
      </c>
      <c r="D560" s="1">
        <v>6240</v>
      </c>
      <c r="E560" s="1" t="str">
        <f>_xlfn.XLOOKUP(tblGJ[[#This Row],[Account Code]],tblCOA[Code],tblCOA[Account Name],"⚠ Invalid account")</f>
        <v>Depreciation Expense</v>
      </c>
      <c r="F560" s="1" t="s">
        <v>6286</v>
      </c>
      <c r="G560" s="5">
        <f>SUMIFS(INDEX(tblFA[[Jan]:[Dec]],0,MONTH(tblGJ[[#This Row],[Date]])),tblFA[Expense Account],tblGJ[[#This Row],[Account Code]])</f>
        <v>28125000</v>
      </c>
      <c r="H560" s="5"/>
      <c r="I560" s="1" t="s">
        <v>6534</v>
      </c>
      <c r="J560" s="1">
        <f>MONTH(tblGJ[[#This Row],[Date]])</f>
        <v>7</v>
      </c>
      <c r="K560" s="1" t="str">
        <f>_xlfn.XLOOKUP(tblGJ[[#This Row],[Account Code]],tblCOA[Code],tblCOA[FS Line],"")</f>
        <v>General &amp; administrative expenses</v>
      </c>
      <c r="L560" s="121" t="str">
        <f>IF(OR(tblGJ[[#This Row],[Account Code]]=1120,tblGJ[[#This Row],[Account Code]]=1130),_xlfn.MINIFS(tblBank[Value Date],tblBank[Reference],tblGJ[[#This Row],[Voucher No]],tblBank[Account Code],tblGJ[[#This Row],[Account Code]]),"")</f>
        <v/>
      </c>
      <c r="M560" s="1" t="str">
        <f>IF(tblGJ[[#This Row],[Date]]&lt;=PEnd,"Yes","No")</f>
        <v>Yes</v>
      </c>
    </row>
    <row r="561" spans="2:13" x14ac:dyDescent="0.35">
      <c r="B561" s="109">
        <v>46234</v>
      </c>
      <c r="C561" s="1" t="s">
        <v>5826</v>
      </c>
      <c r="D561" s="1">
        <v>6250</v>
      </c>
      <c r="E561" s="1" t="str">
        <f>_xlfn.XLOOKUP(tblGJ[[#This Row],[Account Code]],tblCOA[Code],tblCOA[Account Name],"⚠ Invalid account")</f>
        <v>Amortization Expense - Software</v>
      </c>
      <c r="F561" s="1" t="s">
        <v>6287</v>
      </c>
      <c r="G561" s="5">
        <f>SUMIFS(INDEX(tblFA[[Jan]:[Dec]],0,MONTH(tblGJ[[#This Row],[Date]])),tblFA[Expense Account],tblGJ[[#This Row],[Account Code]])</f>
        <v>5000000</v>
      </c>
      <c r="H561" s="5"/>
      <c r="I561" s="1" t="s">
        <v>6534</v>
      </c>
      <c r="J561" s="1">
        <f>MONTH(tblGJ[[#This Row],[Date]])</f>
        <v>7</v>
      </c>
      <c r="K561" s="1" t="str">
        <f>_xlfn.XLOOKUP(tblGJ[[#This Row],[Account Code]],tblCOA[Code],tblCOA[FS Line],"")</f>
        <v>General &amp; administrative expenses</v>
      </c>
      <c r="L561" s="121" t="str">
        <f>IF(OR(tblGJ[[#This Row],[Account Code]]=1120,tblGJ[[#This Row],[Account Code]]=1130),_xlfn.MINIFS(tblBank[Value Date],tblBank[Reference],tblGJ[[#This Row],[Voucher No]],tblBank[Account Code],tblGJ[[#This Row],[Account Code]]),"")</f>
        <v/>
      </c>
      <c r="M561" s="1" t="str">
        <f>IF(tblGJ[[#This Row],[Date]]&lt;=PEnd,"Yes","No")</f>
        <v>Yes</v>
      </c>
    </row>
    <row r="562" spans="2:13" x14ac:dyDescent="0.35">
      <c r="B562" s="109">
        <v>46234</v>
      </c>
      <c r="C562" s="1" t="s">
        <v>5826</v>
      </c>
      <c r="D562" s="1">
        <v>1691</v>
      </c>
      <c r="E562" s="1" t="str">
        <f>_xlfn.XLOOKUP(tblGJ[[#This Row],[Account Code]],tblCOA[Code],tblCOA[Account Name],"⚠ Invalid account")</f>
        <v>Acc. Depreciation - Buildings</v>
      </c>
      <c r="F562" s="1" t="s">
        <v>6288</v>
      </c>
      <c r="G562" s="5"/>
      <c r="H562" s="5">
        <f>SUMIFS(INDEX(tblFA[[Jan]:[Dec]],0,MONTH(tblGJ[[#This Row],[Date]])),tblFA[Acc. Dep. Account],tblGJ[[#This Row],[Account Code]])</f>
        <v>7500000</v>
      </c>
      <c r="I562" s="1" t="s">
        <v>6534</v>
      </c>
      <c r="J562" s="1">
        <f>MONTH(tblGJ[[#This Row],[Date]])</f>
        <v>7</v>
      </c>
      <c r="K562" s="1" t="str">
        <f>_xlfn.XLOOKUP(tblGJ[[#This Row],[Account Code]],tblCOA[Code],tblCOA[FS Line],"")</f>
        <v>Fixed assets - net</v>
      </c>
      <c r="L562" s="121" t="str">
        <f>IF(OR(tblGJ[[#This Row],[Account Code]]=1120,tblGJ[[#This Row],[Account Code]]=1130),_xlfn.MINIFS(tblBank[Value Date],tblBank[Reference],tblGJ[[#This Row],[Voucher No]],tblBank[Account Code],tblGJ[[#This Row],[Account Code]]),"")</f>
        <v/>
      </c>
      <c r="M562" s="1" t="str">
        <f>IF(tblGJ[[#This Row],[Date]]&lt;=PEnd,"Yes","No")</f>
        <v>Yes</v>
      </c>
    </row>
    <row r="563" spans="2:13" x14ac:dyDescent="0.35">
      <c r="B563" s="109">
        <v>46234</v>
      </c>
      <c r="C563" s="1" t="s">
        <v>5826</v>
      </c>
      <c r="D563" s="1">
        <v>1693</v>
      </c>
      <c r="E563" s="1" t="str">
        <f>_xlfn.XLOOKUP(tblGJ[[#This Row],[Account Code]],tblCOA[Code],tblCOA[Account Name],"⚠ Invalid account")</f>
        <v>Acc. Depreciation - Vehicles</v>
      </c>
      <c r="F563" s="1" t="s">
        <v>6288</v>
      </c>
      <c r="G563" s="5"/>
      <c r="H563" s="5">
        <f>SUMIFS(INDEX(tblFA[[Jan]:[Dec]],0,MONTH(tblGJ[[#This Row],[Date]])),tblFA[Acc. Dep. Account],tblGJ[[#This Row],[Account Code]])</f>
        <v>7291667</v>
      </c>
      <c r="I563" s="1" t="s">
        <v>6534</v>
      </c>
      <c r="J563" s="1">
        <f>MONTH(tblGJ[[#This Row],[Date]])</f>
        <v>7</v>
      </c>
      <c r="K563" s="1" t="str">
        <f>_xlfn.XLOOKUP(tblGJ[[#This Row],[Account Code]],tblCOA[Code],tblCOA[FS Line],"")</f>
        <v>Fixed assets - net</v>
      </c>
      <c r="L563" s="121" t="str">
        <f>IF(OR(tblGJ[[#This Row],[Account Code]]=1120,tblGJ[[#This Row],[Account Code]]=1130),_xlfn.MINIFS(tblBank[Value Date],tblBank[Reference],tblGJ[[#This Row],[Voucher No]],tblBank[Account Code],tblGJ[[#This Row],[Account Code]]),"")</f>
        <v/>
      </c>
      <c r="M563" s="1" t="str">
        <f>IF(tblGJ[[#This Row],[Date]]&lt;=PEnd,"Yes","No")</f>
        <v>Yes</v>
      </c>
    </row>
    <row r="564" spans="2:13" x14ac:dyDescent="0.35">
      <c r="B564" s="109">
        <v>46234</v>
      </c>
      <c r="C564" s="1" t="s">
        <v>5826</v>
      </c>
      <c r="D564" s="1">
        <v>1694</v>
      </c>
      <c r="E564" s="1" t="str">
        <f>_xlfn.XLOOKUP(tblGJ[[#This Row],[Account Code]],tblCOA[Code],tblCOA[Account Name],"⚠ Invalid account")</f>
        <v>Acc. Depreciation - Machinery &amp; Equipment</v>
      </c>
      <c r="F564" s="1" t="s">
        <v>6288</v>
      </c>
      <c r="G564" s="5"/>
      <c r="H564" s="5">
        <f>SUMIFS(INDEX(tblFA[[Jan]:[Dec]],0,MONTH(tblGJ[[#This Row],[Date]])),tblFA[Acc. Dep. Account],tblGJ[[#This Row],[Account Code]])</f>
        <v>10208333</v>
      </c>
      <c r="I564" s="1" t="s">
        <v>6534</v>
      </c>
      <c r="J564" s="1">
        <f>MONTH(tblGJ[[#This Row],[Date]])</f>
        <v>7</v>
      </c>
      <c r="K564" s="1" t="str">
        <f>_xlfn.XLOOKUP(tblGJ[[#This Row],[Account Code]],tblCOA[Code],tblCOA[FS Line],"")</f>
        <v>Fixed assets - net</v>
      </c>
      <c r="L564" s="121" t="str">
        <f>IF(OR(tblGJ[[#This Row],[Account Code]]=1120,tblGJ[[#This Row],[Account Code]]=1130),_xlfn.MINIFS(tblBank[Value Date],tblBank[Reference],tblGJ[[#This Row],[Voucher No]],tblBank[Account Code],tblGJ[[#This Row],[Account Code]]),"")</f>
        <v/>
      </c>
      <c r="M564" s="1" t="str">
        <f>IF(tblGJ[[#This Row],[Date]]&lt;=PEnd,"Yes","No")</f>
        <v>Yes</v>
      </c>
    </row>
    <row r="565" spans="2:13" x14ac:dyDescent="0.35">
      <c r="B565" s="109">
        <v>46234</v>
      </c>
      <c r="C565" s="1" t="s">
        <v>5826</v>
      </c>
      <c r="D565" s="1">
        <v>1695</v>
      </c>
      <c r="E565" s="1" t="str">
        <f>_xlfn.XLOOKUP(tblGJ[[#This Row],[Account Code]],tblCOA[Code],tblCOA[Account Name],"⚠ Invalid account")</f>
        <v>Acc. Depreciation - Office Furniture &amp; Equipment</v>
      </c>
      <c r="F565" s="1" t="s">
        <v>6288</v>
      </c>
      <c r="G565" s="5"/>
      <c r="H565" s="5">
        <f>SUMIFS(INDEX(tblFA[[Jan]:[Dec]],0,MONTH(tblGJ[[#This Row],[Date]])),tblFA[Acc. Dep. Account],tblGJ[[#This Row],[Account Code]])</f>
        <v>3125000</v>
      </c>
      <c r="I565" s="1" t="s">
        <v>6534</v>
      </c>
      <c r="J565" s="1">
        <f>MONTH(tblGJ[[#This Row],[Date]])</f>
        <v>7</v>
      </c>
      <c r="K565" s="1" t="str">
        <f>_xlfn.XLOOKUP(tblGJ[[#This Row],[Account Code]],tblCOA[Code],tblCOA[FS Line],"")</f>
        <v>Fixed assets - net</v>
      </c>
      <c r="L565" s="121" t="str">
        <f>IF(OR(tblGJ[[#This Row],[Account Code]]=1120,tblGJ[[#This Row],[Account Code]]=1130),_xlfn.MINIFS(tblBank[Value Date],tblBank[Reference],tblGJ[[#This Row],[Voucher No]],tblBank[Account Code],tblGJ[[#This Row],[Account Code]]),"")</f>
        <v/>
      </c>
      <c r="M565" s="1" t="str">
        <f>IF(tblGJ[[#This Row],[Date]]&lt;=PEnd,"Yes","No")</f>
        <v>Yes</v>
      </c>
    </row>
    <row r="566" spans="2:13" x14ac:dyDescent="0.35">
      <c r="B566" s="109">
        <v>46234</v>
      </c>
      <c r="C566" s="1" t="s">
        <v>5826</v>
      </c>
      <c r="D566" s="1">
        <v>1719</v>
      </c>
      <c r="E566" s="1" t="str">
        <f>_xlfn.XLOOKUP(tblGJ[[#This Row],[Account Code]],tblCOA[Code],tblCOA[Account Name],"⚠ Invalid account")</f>
        <v>Acc. Amortization - Software</v>
      </c>
      <c r="F566" s="1" t="s">
        <v>6288</v>
      </c>
      <c r="G566" s="5"/>
      <c r="H566" s="5">
        <f>SUMIFS(INDEX(tblFA[[Jan]:[Dec]],0,MONTH(tblGJ[[#This Row],[Date]])),tblFA[Acc. Dep. Account],tblGJ[[#This Row],[Account Code]])</f>
        <v>5000000</v>
      </c>
      <c r="I566" s="1" t="s">
        <v>6534</v>
      </c>
      <c r="J566" s="1">
        <f>MONTH(tblGJ[[#This Row],[Date]])</f>
        <v>7</v>
      </c>
      <c r="K566" s="1" t="str">
        <f>_xlfn.XLOOKUP(tblGJ[[#This Row],[Account Code]],tblCOA[Code],tblCOA[FS Line],"")</f>
        <v>Intangible assets - net</v>
      </c>
      <c r="L566" s="121" t="str">
        <f>IF(OR(tblGJ[[#This Row],[Account Code]]=1120,tblGJ[[#This Row],[Account Code]]=1130),_xlfn.MINIFS(tblBank[Value Date],tblBank[Reference],tblGJ[[#This Row],[Voucher No]],tblBank[Account Code],tblGJ[[#This Row],[Account Code]]),"")</f>
        <v/>
      </c>
      <c r="M566" s="1" t="str">
        <f>IF(tblGJ[[#This Row],[Date]]&lt;=PEnd,"Yes","No")</f>
        <v>Yes</v>
      </c>
    </row>
    <row r="567" spans="2:13" x14ac:dyDescent="0.35">
      <c r="B567" s="109">
        <v>46234</v>
      </c>
      <c r="C567" s="1" t="s">
        <v>5827</v>
      </c>
      <c r="D567" s="1">
        <v>6220</v>
      </c>
      <c r="E567" s="1" t="str">
        <f>_xlfn.XLOOKUP(tblGJ[[#This Row],[Account Code]],tblCOA[Code],tblCOA[Account Name],"⚠ Invalid account")</f>
        <v>Rent Expense</v>
      </c>
      <c r="F567" s="1" t="s">
        <v>6289</v>
      </c>
      <c r="G567" s="5">
        <f>SUMIFS(INDEX(tblPrepaid[[Jan]:[Dec]],0,MONTH(tblGJ[[#This Row],[Date]])),tblPrepaid[Expense Account],tblGJ[[#This Row],[Account Code]])</f>
        <v>11000000</v>
      </c>
      <c r="H567" s="5"/>
      <c r="I567" s="1" t="s">
        <v>6535</v>
      </c>
      <c r="J567" s="1">
        <f>MONTH(tblGJ[[#This Row],[Date]])</f>
        <v>7</v>
      </c>
      <c r="K567" s="1" t="str">
        <f>_xlfn.XLOOKUP(tblGJ[[#This Row],[Account Code]],tblCOA[Code],tblCOA[FS Line],"")</f>
        <v>General &amp; administrative expenses</v>
      </c>
      <c r="L567" s="121" t="str">
        <f>IF(OR(tblGJ[[#This Row],[Account Code]]=1120,tblGJ[[#This Row],[Account Code]]=1130),_xlfn.MINIFS(tblBank[Value Date],tblBank[Reference],tblGJ[[#This Row],[Voucher No]],tblBank[Account Code],tblGJ[[#This Row],[Account Code]]),"")</f>
        <v/>
      </c>
      <c r="M567" s="1" t="str">
        <f>IF(tblGJ[[#This Row],[Date]]&lt;=PEnd,"Yes","No")</f>
        <v>Yes</v>
      </c>
    </row>
    <row r="568" spans="2:13" x14ac:dyDescent="0.35">
      <c r="B568" s="109">
        <v>46234</v>
      </c>
      <c r="C568" s="1" t="s">
        <v>5827</v>
      </c>
      <c r="D568" s="1">
        <v>6260</v>
      </c>
      <c r="E568" s="1" t="str">
        <f>_xlfn.XLOOKUP(tblGJ[[#This Row],[Account Code]],tblCOA[Code],tblCOA[Account Name],"⚠ Invalid account")</f>
        <v>Insurance Expense</v>
      </c>
      <c r="F568" s="1" t="s">
        <v>6289</v>
      </c>
      <c r="G568" s="5">
        <f>SUMIFS(INDEX(tblPrepaid[[Jan]:[Dec]],0,MONTH(tblGJ[[#This Row],[Date]])),tblPrepaid[Expense Account],tblGJ[[#This Row],[Account Code]])</f>
        <v>2500000</v>
      </c>
      <c r="H568" s="5"/>
      <c r="I568" s="1" t="s">
        <v>6535</v>
      </c>
      <c r="J568" s="1">
        <f>MONTH(tblGJ[[#This Row],[Date]])</f>
        <v>7</v>
      </c>
      <c r="K568" s="1" t="str">
        <f>_xlfn.XLOOKUP(tblGJ[[#This Row],[Account Code]],tblCOA[Code],tblCOA[FS Line],"")</f>
        <v>General &amp; administrative expenses</v>
      </c>
      <c r="L568" s="121" t="str">
        <f>IF(OR(tblGJ[[#This Row],[Account Code]]=1120,tblGJ[[#This Row],[Account Code]]=1130),_xlfn.MINIFS(tblBank[Value Date],tblBank[Reference],tblGJ[[#This Row],[Voucher No]],tblBank[Account Code],tblGJ[[#This Row],[Account Code]]),"")</f>
        <v/>
      </c>
      <c r="M568" s="1" t="str">
        <f>IF(tblGJ[[#This Row],[Date]]&lt;=PEnd,"Yes","No")</f>
        <v>Yes</v>
      </c>
    </row>
    <row r="569" spans="2:13" x14ac:dyDescent="0.35">
      <c r="B569" s="109">
        <v>46234</v>
      </c>
      <c r="C569" s="1" t="s">
        <v>5827</v>
      </c>
      <c r="D569" s="1">
        <v>6265</v>
      </c>
      <c r="E569" s="1" t="str">
        <f>_xlfn.XLOOKUP(tblGJ[[#This Row],[Account Code]],tblCOA[Code],tblCOA[Account Name],"⚠ Invalid account")</f>
        <v>Software Subscription Expense</v>
      </c>
      <c r="F569" s="1" t="s">
        <v>6289</v>
      </c>
      <c r="G569" s="5">
        <f>SUMIFS(INDEX(tblPrepaid[[Jan]:[Dec]],0,MONTH(tblGJ[[#This Row],[Date]])),tblPrepaid[Expense Account],tblGJ[[#This Row],[Account Code]])</f>
        <v>6000000</v>
      </c>
      <c r="H569" s="5"/>
      <c r="I569" s="1" t="s">
        <v>6535</v>
      </c>
      <c r="J569" s="1">
        <f>MONTH(tblGJ[[#This Row],[Date]])</f>
        <v>7</v>
      </c>
      <c r="K569" s="1" t="str">
        <f>_xlfn.XLOOKUP(tblGJ[[#This Row],[Account Code]],tblCOA[Code],tblCOA[FS Line],"")</f>
        <v>General &amp; administrative expenses</v>
      </c>
      <c r="L569" s="121" t="str">
        <f>IF(OR(tblGJ[[#This Row],[Account Code]]=1120,tblGJ[[#This Row],[Account Code]]=1130),_xlfn.MINIFS(tblBank[Value Date],tblBank[Reference],tblGJ[[#This Row],[Voucher No]],tblBank[Account Code],tblGJ[[#This Row],[Account Code]]),"")</f>
        <v/>
      </c>
      <c r="M569" s="1" t="str">
        <f>IF(tblGJ[[#This Row],[Date]]&lt;=PEnd,"Yes","No")</f>
        <v>Yes</v>
      </c>
    </row>
    <row r="570" spans="2:13" x14ac:dyDescent="0.35">
      <c r="B570" s="109">
        <v>46234</v>
      </c>
      <c r="C570" s="1" t="s">
        <v>5827</v>
      </c>
      <c r="D570" s="1">
        <v>1410</v>
      </c>
      <c r="E570" s="1" t="str">
        <f>_xlfn.XLOOKUP(tblGJ[[#This Row],[Account Code]],tblCOA[Code],tblCOA[Account Name],"⚠ Invalid account")</f>
        <v>Prepaid Rent</v>
      </c>
      <c r="F570" s="1" t="s">
        <v>6289</v>
      </c>
      <c r="G570" s="5"/>
      <c r="H570" s="5">
        <f>SUMIFS(INDEX(tblPrepaid[[Jan]:[Dec]],0,MONTH(tblGJ[[#This Row],[Date]])),tblPrepaid[Prepaid Account],tblGJ[[#This Row],[Account Code]])</f>
        <v>11000000</v>
      </c>
      <c r="I570" s="1" t="s">
        <v>6535</v>
      </c>
      <c r="J570" s="1">
        <f>MONTH(tblGJ[[#This Row],[Date]])</f>
        <v>7</v>
      </c>
      <c r="K570" s="1" t="str">
        <f>_xlfn.XLOOKUP(tblGJ[[#This Row],[Account Code]],tblCOA[Code],tblCOA[FS Line],"")</f>
        <v>Prepaid expenses</v>
      </c>
      <c r="L570" s="121" t="str">
        <f>IF(OR(tblGJ[[#This Row],[Account Code]]=1120,tblGJ[[#This Row],[Account Code]]=1130),_xlfn.MINIFS(tblBank[Value Date],tblBank[Reference],tblGJ[[#This Row],[Voucher No]],tblBank[Account Code],tblGJ[[#This Row],[Account Code]]),"")</f>
        <v/>
      </c>
      <c r="M570" s="1" t="str">
        <f>IF(tblGJ[[#This Row],[Date]]&lt;=PEnd,"Yes","No")</f>
        <v>Yes</v>
      </c>
    </row>
    <row r="571" spans="2:13" x14ac:dyDescent="0.35">
      <c r="B571" s="109">
        <v>46234</v>
      </c>
      <c r="C571" s="1" t="s">
        <v>5827</v>
      </c>
      <c r="D571" s="1">
        <v>1420</v>
      </c>
      <c r="E571" s="1" t="str">
        <f>_xlfn.XLOOKUP(tblGJ[[#This Row],[Account Code]],tblCOA[Code],tblCOA[Account Name],"⚠ Invalid account")</f>
        <v>Prepaid Insurance</v>
      </c>
      <c r="F571" s="1" t="s">
        <v>6289</v>
      </c>
      <c r="G571" s="5"/>
      <c r="H571" s="5">
        <f>SUMIFS(INDEX(tblPrepaid[[Jan]:[Dec]],0,MONTH(tblGJ[[#This Row],[Date]])),tblPrepaid[Prepaid Account],tblGJ[[#This Row],[Account Code]])</f>
        <v>2500000</v>
      </c>
      <c r="I571" s="1" t="s">
        <v>6535</v>
      </c>
      <c r="J571" s="1">
        <f>MONTH(tblGJ[[#This Row],[Date]])</f>
        <v>7</v>
      </c>
      <c r="K571" s="1" t="str">
        <f>_xlfn.XLOOKUP(tblGJ[[#This Row],[Account Code]],tblCOA[Code],tblCOA[FS Line],"")</f>
        <v>Prepaid expenses</v>
      </c>
      <c r="L571" s="121" t="str">
        <f>IF(OR(tblGJ[[#This Row],[Account Code]]=1120,tblGJ[[#This Row],[Account Code]]=1130),_xlfn.MINIFS(tblBank[Value Date],tblBank[Reference],tblGJ[[#This Row],[Voucher No]],tblBank[Account Code],tblGJ[[#This Row],[Account Code]]),"")</f>
        <v/>
      </c>
      <c r="M571" s="1" t="str">
        <f>IF(tblGJ[[#This Row],[Date]]&lt;=PEnd,"Yes","No")</f>
        <v>Yes</v>
      </c>
    </row>
    <row r="572" spans="2:13" x14ac:dyDescent="0.35">
      <c r="B572" s="109">
        <v>46234</v>
      </c>
      <c r="C572" s="1" t="s">
        <v>5827</v>
      </c>
      <c r="D572" s="1">
        <v>1430</v>
      </c>
      <c r="E572" s="1" t="str">
        <f>_xlfn.XLOOKUP(tblGJ[[#This Row],[Account Code]],tblCOA[Code],tblCOA[Account Name],"⚠ Invalid account")</f>
        <v>Prepaid Software Subscriptions</v>
      </c>
      <c r="F572" s="1" t="s">
        <v>6289</v>
      </c>
      <c r="G572" s="5"/>
      <c r="H572" s="5">
        <f>SUMIFS(INDEX(tblPrepaid[[Jan]:[Dec]],0,MONTH(tblGJ[[#This Row],[Date]])),tblPrepaid[Prepaid Account],tblGJ[[#This Row],[Account Code]])</f>
        <v>6000000</v>
      </c>
      <c r="I572" s="1" t="s">
        <v>6535</v>
      </c>
      <c r="J572" s="1">
        <f>MONTH(tblGJ[[#This Row],[Date]])</f>
        <v>7</v>
      </c>
      <c r="K572" s="1" t="str">
        <f>_xlfn.XLOOKUP(tblGJ[[#This Row],[Account Code]],tblCOA[Code],tblCOA[FS Line],"")</f>
        <v>Prepaid expenses</v>
      </c>
      <c r="L572" s="121" t="str">
        <f>IF(OR(tblGJ[[#This Row],[Account Code]]=1120,tblGJ[[#This Row],[Account Code]]=1130),_xlfn.MINIFS(tblBank[Value Date],tblBank[Reference],tblGJ[[#This Row],[Voucher No]],tblBank[Account Code],tblGJ[[#This Row],[Account Code]]),"")</f>
        <v/>
      </c>
      <c r="M572" s="1" t="str">
        <f>IF(tblGJ[[#This Row],[Date]]&lt;=PEnd,"Yes","No")</f>
        <v>Yes</v>
      </c>
    </row>
    <row r="573" spans="2:13" x14ac:dyDescent="0.35">
      <c r="B573" s="109">
        <v>46234</v>
      </c>
      <c r="C573" s="1" t="s">
        <v>5828</v>
      </c>
      <c r="D573" s="1">
        <v>6290</v>
      </c>
      <c r="E573" s="1" t="str">
        <f>_xlfn.XLOOKUP(tblGJ[[#This Row],[Account Code]],tblCOA[Code],tblCOA[Account Name],"⚠ Invalid account")</f>
        <v>Employee Benefits Expense</v>
      </c>
      <c r="F573" s="1" t="s">
        <v>6290</v>
      </c>
      <c r="G573" s="5">
        <v>3000000</v>
      </c>
      <c r="H573" s="5"/>
      <c r="I573" s="1" t="s">
        <v>4263</v>
      </c>
      <c r="J573" s="1">
        <f>MONTH(tblGJ[[#This Row],[Date]])</f>
        <v>7</v>
      </c>
      <c r="K573" s="1" t="str">
        <f>_xlfn.XLOOKUP(tblGJ[[#This Row],[Account Code]],tblCOA[Code],tblCOA[FS Line],"")</f>
        <v>General &amp; administrative expenses</v>
      </c>
      <c r="L573" s="121" t="str">
        <f>IF(OR(tblGJ[[#This Row],[Account Code]]=1120,tblGJ[[#This Row],[Account Code]]=1130),_xlfn.MINIFS(tblBank[Value Date],tblBank[Reference],tblGJ[[#This Row],[Voucher No]],tblBank[Account Code],tblGJ[[#This Row],[Account Code]]),"")</f>
        <v/>
      </c>
      <c r="M573" s="1" t="str">
        <f>IF(tblGJ[[#This Row],[Date]]&lt;=PEnd,"Yes","No")</f>
        <v>Yes</v>
      </c>
    </row>
    <row r="574" spans="2:13" x14ac:dyDescent="0.35">
      <c r="B574" s="109">
        <v>46234</v>
      </c>
      <c r="C574" s="1" t="s">
        <v>5828</v>
      </c>
      <c r="D574" s="1">
        <v>2420</v>
      </c>
      <c r="E574" s="1" t="str">
        <f>_xlfn.XLOOKUP(tblGJ[[#This Row],[Account Code]],tblCOA[Code],tblCOA[Account Name],"⚠ Invalid account")</f>
        <v>Employee Benefits Liability</v>
      </c>
      <c r="F574" s="1" t="s">
        <v>6291</v>
      </c>
      <c r="G574" s="5"/>
      <c r="H574" s="5">
        <v>3000000</v>
      </c>
      <c r="I574" s="1" t="s">
        <v>4263</v>
      </c>
      <c r="J574" s="1">
        <f>MONTH(tblGJ[[#This Row],[Date]])</f>
        <v>7</v>
      </c>
      <c r="K574" s="1" t="str">
        <f>_xlfn.XLOOKUP(tblGJ[[#This Row],[Account Code]],tblCOA[Code],tblCOA[FS Line],"")</f>
        <v>Employee benefits liability</v>
      </c>
      <c r="L574" s="121" t="str">
        <f>IF(OR(tblGJ[[#This Row],[Account Code]]=1120,tblGJ[[#This Row],[Account Code]]=1130),_xlfn.MINIFS(tblBank[Value Date],tblBank[Reference],tblGJ[[#This Row],[Voucher No]],tblBank[Account Code],tblGJ[[#This Row],[Account Code]]),"")</f>
        <v/>
      </c>
      <c r="M574" s="1" t="str">
        <f>IF(tblGJ[[#This Row],[Date]]&lt;=PEnd,"Yes","No")</f>
        <v>Yes</v>
      </c>
    </row>
    <row r="575" spans="2:13" x14ac:dyDescent="0.35">
      <c r="B575" s="109">
        <v>46234</v>
      </c>
      <c r="C575" s="1" t="s">
        <v>5829</v>
      </c>
      <c r="D575" s="1">
        <v>1120</v>
      </c>
      <c r="E575" s="1" t="str">
        <f>_xlfn.XLOOKUP(tblGJ[[#This Row],[Account Code]],tblCOA[Code],tblCOA[Account Name],"⚠ Invalid account")</f>
        <v>Bank BCA - Current Account</v>
      </c>
      <c r="F575" s="1" t="s">
        <v>6292</v>
      </c>
      <c r="G575" s="5">
        <v>1333333</v>
      </c>
      <c r="H575" s="5"/>
      <c r="I575" s="1" t="s">
        <v>4263</v>
      </c>
      <c r="J575" s="1">
        <f>MONTH(tblGJ[[#This Row],[Date]])</f>
        <v>7</v>
      </c>
      <c r="K575" s="1" t="str">
        <f>_xlfn.XLOOKUP(tblGJ[[#This Row],[Account Code]],tblCOA[Code],tblCOA[FS Line],"")</f>
        <v>Cash and cash equivalents</v>
      </c>
      <c r="L575" s="121">
        <f>IF(OR(tblGJ[[#This Row],[Account Code]]=1120,tblGJ[[#This Row],[Account Code]]=1130),_xlfn.MINIFS(tblBank[Value Date],tblBank[Reference],tblGJ[[#This Row],[Voucher No]],tblBank[Account Code],tblGJ[[#This Row],[Account Code]]),"")</f>
        <v>46234</v>
      </c>
      <c r="M575" s="1" t="str">
        <f>IF(tblGJ[[#This Row],[Date]]&lt;=PEnd,"Yes","No")</f>
        <v>Yes</v>
      </c>
    </row>
    <row r="576" spans="2:13" x14ac:dyDescent="0.35">
      <c r="B576" s="109">
        <v>46234</v>
      </c>
      <c r="C576" s="1" t="s">
        <v>5829</v>
      </c>
      <c r="D576" s="1">
        <v>8200</v>
      </c>
      <c r="E576" s="1" t="str">
        <f>_xlfn.XLOOKUP(tblGJ[[#This Row],[Account Code]],tblCOA[Code],tblCOA[Account Name],"⚠ Invalid account")</f>
        <v>Final Income Tax Expense</v>
      </c>
      <c r="F576" s="1" t="s">
        <v>6293</v>
      </c>
      <c r="G576" s="5">
        <v>333334</v>
      </c>
      <c r="H576" s="5"/>
      <c r="I576" s="1" t="s">
        <v>4263</v>
      </c>
      <c r="J576" s="1">
        <f>MONTH(tblGJ[[#This Row],[Date]])</f>
        <v>7</v>
      </c>
      <c r="K576" s="1" t="str">
        <f>_xlfn.XLOOKUP(tblGJ[[#This Row],[Account Code]],tblCOA[Code],tblCOA[FS Line],"")</f>
        <v>Other expenses</v>
      </c>
      <c r="L576" s="121" t="str">
        <f>IF(OR(tblGJ[[#This Row],[Account Code]]=1120,tblGJ[[#This Row],[Account Code]]=1130),_xlfn.MINIFS(tblBank[Value Date],tblBank[Reference],tblGJ[[#This Row],[Voucher No]],tblBank[Account Code],tblGJ[[#This Row],[Account Code]]),"")</f>
        <v/>
      </c>
      <c r="M576" s="1" t="str">
        <f>IF(tblGJ[[#This Row],[Date]]&lt;=PEnd,"Yes","No")</f>
        <v>Yes</v>
      </c>
    </row>
    <row r="577" spans="2:13" x14ac:dyDescent="0.35">
      <c r="B577" s="109">
        <v>46234</v>
      </c>
      <c r="C577" s="1" t="s">
        <v>5829</v>
      </c>
      <c r="D577" s="1">
        <v>7110</v>
      </c>
      <c r="E577" s="1" t="str">
        <f>_xlfn.XLOOKUP(tblGJ[[#This Row],[Account Code]],tblCOA[Code],tblCOA[Account Name],"⚠ Invalid account")</f>
        <v>Interest Income - Time Deposit</v>
      </c>
      <c r="F577" s="1" t="s">
        <v>6294</v>
      </c>
      <c r="G577" s="5"/>
      <c r="H577" s="5">
        <v>1666667</v>
      </c>
      <c r="I577" s="1" t="s">
        <v>4263</v>
      </c>
      <c r="J577" s="1">
        <f>MONTH(tblGJ[[#This Row],[Date]])</f>
        <v>7</v>
      </c>
      <c r="K577" s="1" t="str">
        <f>_xlfn.XLOOKUP(tblGJ[[#This Row],[Account Code]],tblCOA[Code],tblCOA[FS Line],"")</f>
        <v>Other income</v>
      </c>
      <c r="L577" s="121" t="str">
        <f>IF(OR(tblGJ[[#This Row],[Account Code]]=1120,tblGJ[[#This Row],[Account Code]]=1130),_xlfn.MINIFS(tblBank[Value Date],tblBank[Reference],tblGJ[[#This Row],[Voucher No]],tblBank[Account Code],tblGJ[[#This Row],[Account Code]]),"")</f>
        <v/>
      </c>
      <c r="M577" s="1" t="str">
        <f>IF(tblGJ[[#This Row],[Date]]&lt;=PEnd,"Yes","No")</f>
        <v>Yes</v>
      </c>
    </row>
    <row r="578" spans="2:13" x14ac:dyDescent="0.35">
      <c r="B578" s="109">
        <v>46234</v>
      </c>
      <c r="C578" s="1" t="s">
        <v>5830</v>
      </c>
      <c r="D578" s="1">
        <v>1120</v>
      </c>
      <c r="E578" s="1" t="str">
        <f>_xlfn.XLOOKUP(tblGJ[[#This Row],[Account Code]],tblCOA[Code],tblCOA[Account Name],"⚠ Invalid account")</f>
        <v>Bank BCA - Current Account</v>
      </c>
      <c r="F578" s="1" t="s">
        <v>6295</v>
      </c>
      <c r="G578" s="5">
        <v>483293</v>
      </c>
      <c r="H578" s="5"/>
      <c r="I578" s="1" t="s">
        <v>4263</v>
      </c>
      <c r="J578" s="1">
        <f>MONTH(tblGJ[[#This Row],[Date]])</f>
        <v>7</v>
      </c>
      <c r="K578" s="1" t="str">
        <f>_xlfn.XLOOKUP(tblGJ[[#This Row],[Account Code]],tblCOA[Code],tblCOA[FS Line],"")</f>
        <v>Cash and cash equivalents</v>
      </c>
      <c r="L578" s="121">
        <f>IF(OR(tblGJ[[#This Row],[Account Code]]=1120,tblGJ[[#This Row],[Account Code]]=1130),_xlfn.MINIFS(tblBank[Value Date],tblBank[Reference],tblGJ[[#This Row],[Voucher No]],tblBank[Account Code],tblGJ[[#This Row],[Account Code]]),"")</f>
        <v>46234</v>
      </c>
      <c r="M578" s="1" t="str">
        <f>IF(tblGJ[[#This Row],[Date]]&lt;=PEnd,"Yes","No")</f>
        <v>Yes</v>
      </c>
    </row>
    <row r="579" spans="2:13" x14ac:dyDescent="0.35">
      <c r="B579" s="109">
        <v>46234</v>
      </c>
      <c r="C579" s="1" t="s">
        <v>5830</v>
      </c>
      <c r="D579" s="1">
        <v>7120</v>
      </c>
      <c r="E579" s="1" t="str">
        <f>_xlfn.XLOOKUP(tblGJ[[#This Row],[Account Code]],tblCOA[Code],tblCOA[Account Name],"⚠ Invalid account")</f>
        <v>Interest Income - Current Account</v>
      </c>
      <c r="F579" s="1" t="s">
        <v>6295</v>
      </c>
      <c r="G579" s="5"/>
      <c r="H579" s="5">
        <v>483293</v>
      </c>
      <c r="I579" s="1" t="s">
        <v>4263</v>
      </c>
      <c r="J579" s="1">
        <f>MONTH(tblGJ[[#This Row],[Date]])</f>
        <v>7</v>
      </c>
      <c r="K579" s="1" t="str">
        <f>_xlfn.XLOOKUP(tblGJ[[#This Row],[Account Code]],tblCOA[Code],tblCOA[FS Line],"")</f>
        <v>Other income</v>
      </c>
      <c r="L579" s="121" t="str">
        <f>IF(OR(tblGJ[[#This Row],[Account Code]]=1120,tblGJ[[#This Row],[Account Code]]=1130),_xlfn.MINIFS(tblBank[Value Date],tblBank[Reference],tblGJ[[#This Row],[Voucher No]],tblBank[Account Code],tblGJ[[#This Row],[Account Code]]),"")</f>
        <v/>
      </c>
      <c r="M579" s="1" t="str">
        <f>IF(tblGJ[[#This Row],[Date]]&lt;=PEnd,"Yes","No")</f>
        <v>Yes</v>
      </c>
    </row>
    <row r="580" spans="2:13" x14ac:dyDescent="0.35">
      <c r="B580" s="109">
        <v>46234</v>
      </c>
      <c r="C580" s="1" t="s">
        <v>5831</v>
      </c>
      <c r="D580" s="1">
        <v>8200</v>
      </c>
      <c r="E580" s="1" t="str">
        <f>_xlfn.XLOOKUP(tblGJ[[#This Row],[Account Code]],tblCOA[Code],tblCOA[Account Name],"⚠ Invalid account")</f>
        <v>Final Income Tax Expense</v>
      </c>
      <c r="F580" s="1" t="s">
        <v>6296</v>
      </c>
      <c r="G580" s="5">
        <v>96659</v>
      </c>
      <c r="H580" s="5"/>
      <c r="I580" s="1" t="s">
        <v>4263</v>
      </c>
      <c r="J580" s="1">
        <f>MONTH(tblGJ[[#This Row],[Date]])</f>
        <v>7</v>
      </c>
      <c r="K580" s="1" t="str">
        <f>_xlfn.XLOOKUP(tblGJ[[#This Row],[Account Code]],tblCOA[Code],tblCOA[FS Line],"")</f>
        <v>Other expenses</v>
      </c>
      <c r="L580" s="121" t="str">
        <f>IF(OR(tblGJ[[#This Row],[Account Code]]=1120,tblGJ[[#This Row],[Account Code]]=1130),_xlfn.MINIFS(tblBank[Value Date],tblBank[Reference],tblGJ[[#This Row],[Voucher No]],tblBank[Account Code],tblGJ[[#This Row],[Account Code]]),"")</f>
        <v/>
      </c>
      <c r="M580" s="1" t="str">
        <f>IF(tblGJ[[#This Row],[Date]]&lt;=PEnd,"Yes","No")</f>
        <v>Yes</v>
      </c>
    </row>
    <row r="581" spans="2:13" x14ac:dyDescent="0.35">
      <c r="B581" s="109">
        <v>46234</v>
      </c>
      <c r="C581" s="1" t="s">
        <v>5831</v>
      </c>
      <c r="D581" s="1">
        <v>1120</v>
      </c>
      <c r="E581" s="1" t="str">
        <f>_xlfn.XLOOKUP(tblGJ[[#This Row],[Account Code]],tblCOA[Code],tblCOA[Account Name],"⚠ Invalid account")</f>
        <v>Bank BCA - Current Account</v>
      </c>
      <c r="F581" s="1" t="s">
        <v>6296</v>
      </c>
      <c r="G581" s="5"/>
      <c r="H581" s="5">
        <v>96659</v>
      </c>
      <c r="I581" s="1" t="s">
        <v>4263</v>
      </c>
      <c r="J581" s="1">
        <f>MONTH(tblGJ[[#This Row],[Date]])</f>
        <v>7</v>
      </c>
      <c r="K581" s="1" t="str">
        <f>_xlfn.XLOOKUP(tblGJ[[#This Row],[Account Code]],tblCOA[Code],tblCOA[FS Line],"")</f>
        <v>Cash and cash equivalents</v>
      </c>
      <c r="L581" s="121">
        <f>IF(OR(tblGJ[[#This Row],[Account Code]]=1120,tblGJ[[#This Row],[Account Code]]=1130),_xlfn.MINIFS(tblBank[Value Date],tblBank[Reference],tblGJ[[#This Row],[Voucher No]],tblBank[Account Code],tblGJ[[#This Row],[Account Code]]),"")</f>
        <v>46234</v>
      </c>
      <c r="M581" s="1" t="str">
        <f>IF(tblGJ[[#This Row],[Date]]&lt;=PEnd,"Yes","No")</f>
        <v>Yes</v>
      </c>
    </row>
    <row r="582" spans="2:13" x14ac:dyDescent="0.35">
      <c r="B582" s="109">
        <v>46234</v>
      </c>
      <c r="C582" s="1" t="s">
        <v>5832</v>
      </c>
      <c r="D582" s="1">
        <v>7220</v>
      </c>
      <c r="E582" s="1" t="str">
        <f>_xlfn.XLOOKUP(tblGJ[[#This Row],[Account Code]],tblCOA[Code],tblCOA[Account Name],"⚠ Invalid account")</f>
        <v>Bank Charges</v>
      </c>
      <c r="F582" s="1" t="s">
        <v>6297</v>
      </c>
      <c r="G582" s="5">
        <v>150000</v>
      </c>
      <c r="H582" s="5"/>
      <c r="I582" s="1" t="s">
        <v>4263</v>
      </c>
      <c r="J582" s="1">
        <f>MONTH(tblGJ[[#This Row],[Date]])</f>
        <v>7</v>
      </c>
      <c r="K582" s="1" t="str">
        <f>_xlfn.XLOOKUP(tblGJ[[#This Row],[Account Code]],tblCOA[Code],tblCOA[FS Line],"")</f>
        <v>Other expenses</v>
      </c>
      <c r="L582" s="121" t="str">
        <f>IF(OR(tblGJ[[#This Row],[Account Code]]=1120,tblGJ[[#This Row],[Account Code]]=1130),_xlfn.MINIFS(tblBank[Value Date],tblBank[Reference],tblGJ[[#This Row],[Voucher No]],tblBank[Account Code],tblGJ[[#This Row],[Account Code]]),"")</f>
        <v/>
      </c>
      <c r="M582" s="1" t="str">
        <f>IF(tblGJ[[#This Row],[Date]]&lt;=PEnd,"Yes","No")</f>
        <v>Yes</v>
      </c>
    </row>
    <row r="583" spans="2:13" x14ac:dyDescent="0.35">
      <c r="B583" s="109">
        <v>46234</v>
      </c>
      <c r="C583" s="1" t="s">
        <v>5832</v>
      </c>
      <c r="D583" s="1">
        <v>1120</v>
      </c>
      <c r="E583" s="1" t="str">
        <f>_xlfn.XLOOKUP(tblGJ[[#This Row],[Account Code]],tblCOA[Code],tblCOA[Account Name],"⚠ Invalid account")</f>
        <v>Bank BCA - Current Account</v>
      </c>
      <c r="F583" s="1" t="s">
        <v>6297</v>
      </c>
      <c r="G583" s="5"/>
      <c r="H583" s="5">
        <v>150000</v>
      </c>
      <c r="I583" s="1" t="s">
        <v>4263</v>
      </c>
      <c r="J583" s="1">
        <f>MONTH(tblGJ[[#This Row],[Date]])</f>
        <v>7</v>
      </c>
      <c r="K583" s="1" t="str">
        <f>_xlfn.XLOOKUP(tblGJ[[#This Row],[Account Code]],tblCOA[Code],tblCOA[FS Line],"")</f>
        <v>Cash and cash equivalents</v>
      </c>
      <c r="L583" s="121">
        <f>IF(OR(tblGJ[[#This Row],[Account Code]]=1120,tblGJ[[#This Row],[Account Code]]=1130),_xlfn.MINIFS(tblBank[Value Date],tblBank[Reference],tblGJ[[#This Row],[Voucher No]],tblBank[Account Code],tblGJ[[#This Row],[Account Code]]),"")</f>
        <v>46234</v>
      </c>
      <c r="M583" s="1" t="str">
        <f>IF(tblGJ[[#This Row],[Date]]&lt;=PEnd,"Yes","No")</f>
        <v>Yes</v>
      </c>
    </row>
    <row r="584" spans="2:13" x14ac:dyDescent="0.35">
      <c r="B584" s="109">
        <v>46234</v>
      </c>
      <c r="C584" s="1" t="s">
        <v>5833</v>
      </c>
      <c r="D584" s="1">
        <v>1130</v>
      </c>
      <c r="E584" s="1" t="str">
        <f>_xlfn.XLOOKUP(tblGJ[[#This Row],[Account Code]],tblCOA[Code],tblCOA[Account Name],"⚠ Invalid account")</f>
        <v>Bank Mandiri - Current Account</v>
      </c>
      <c r="F584" s="1" t="s">
        <v>6298</v>
      </c>
      <c r="G584" s="5">
        <v>89796</v>
      </c>
      <c r="H584" s="5"/>
      <c r="I584" s="1" t="s">
        <v>4263</v>
      </c>
      <c r="J584" s="1">
        <f>MONTH(tblGJ[[#This Row],[Date]])</f>
        <v>7</v>
      </c>
      <c r="K584" s="1" t="str">
        <f>_xlfn.XLOOKUP(tblGJ[[#This Row],[Account Code]],tblCOA[Code],tblCOA[FS Line],"")</f>
        <v>Cash and cash equivalents</v>
      </c>
      <c r="L584" s="121">
        <f>IF(OR(tblGJ[[#This Row],[Account Code]]=1120,tblGJ[[#This Row],[Account Code]]=1130),_xlfn.MINIFS(tblBank[Value Date],tblBank[Reference],tblGJ[[#This Row],[Voucher No]],tblBank[Account Code],tblGJ[[#This Row],[Account Code]]),"")</f>
        <v>46234</v>
      </c>
      <c r="M584" s="1" t="str">
        <f>IF(tblGJ[[#This Row],[Date]]&lt;=PEnd,"Yes","No")</f>
        <v>Yes</v>
      </c>
    </row>
    <row r="585" spans="2:13" x14ac:dyDescent="0.35">
      <c r="B585" s="109">
        <v>46234</v>
      </c>
      <c r="C585" s="1" t="s">
        <v>5833</v>
      </c>
      <c r="D585" s="1">
        <v>7120</v>
      </c>
      <c r="E585" s="1" t="str">
        <f>_xlfn.XLOOKUP(tblGJ[[#This Row],[Account Code]],tblCOA[Code],tblCOA[Account Name],"⚠ Invalid account")</f>
        <v>Interest Income - Current Account</v>
      </c>
      <c r="F585" s="1" t="s">
        <v>6298</v>
      </c>
      <c r="G585" s="5"/>
      <c r="H585" s="5">
        <v>89796</v>
      </c>
      <c r="I585" s="1" t="s">
        <v>4263</v>
      </c>
      <c r="J585" s="1">
        <f>MONTH(tblGJ[[#This Row],[Date]])</f>
        <v>7</v>
      </c>
      <c r="K585" s="1" t="str">
        <f>_xlfn.XLOOKUP(tblGJ[[#This Row],[Account Code]],tblCOA[Code],tblCOA[FS Line],"")</f>
        <v>Other income</v>
      </c>
      <c r="L585" s="121" t="str">
        <f>IF(OR(tblGJ[[#This Row],[Account Code]]=1120,tblGJ[[#This Row],[Account Code]]=1130),_xlfn.MINIFS(tblBank[Value Date],tblBank[Reference],tblGJ[[#This Row],[Voucher No]],tblBank[Account Code],tblGJ[[#This Row],[Account Code]]),"")</f>
        <v/>
      </c>
      <c r="M585" s="1" t="str">
        <f>IF(tblGJ[[#This Row],[Date]]&lt;=PEnd,"Yes","No")</f>
        <v>Yes</v>
      </c>
    </row>
    <row r="586" spans="2:13" x14ac:dyDescent="0.35">
      <c r="B586" s="109">
        <v>46234</v>
      </c>
      <c r="C586" s="1" t="s">
        <v>5834</v>
      </c>
      <c r="D586" s="1">
        <v>8200</v>
      </c>
      <c r="E586" s="1" t="str">
        <f>_xlfn.XLOOKUP(tblGJ[[#This Row],[Account Code]],tblCOA[Code],tblCOA[Account Name],"⚠ Invalid account")</f>
        <v>Final Income Tax Expense</v>
      </c>
      <c r="F586" s="1" t="s">
        <v>6299</v>
      </c>
      <c r="G586" s="5">
        <v>17959</v>
      </c>
      <c r="H586" s="5"/>
      <c r="I586" s="1" t="s">
        <v>4263</v>
      </c>
      <c r="J586" s="1">
        <f>MONTH(tblGJ[[#This Row],[Date]])</f>
        <v>7</v>
      </c>
      <c r="K586" s="1" t="str">
        <f>_xlfn.XLOOKUP(tblGJ[[#This Row],[Account Code]],tblCOA[Code],tblCOA[FS Line],"")</f>
        <v>Other expenses</v>
      </c>
      <c r="L586" s="121" t="str">
        <f>IF(OR(tblGJ[[#This Row],[Account Code]]=1120,tblGJ[[#This Row],[Account Code]]=1130),_xlfn.MINIFS(tblBank[Value Date],tblBank[Reference],tblGJ[[#This Row],[Voucher No]],tblBank[Account Code],tblGJ[[#This Row],[Account Code]]),"")</f>
        <v/>
      </c>
      <c r="M586" s="1" t="str">
        <f>IF(tblGJ[[#This Row],[Date]]&lt;=PEnd,"Yes","No")</f>
        <v>Yes</v>
      </c>
    </row>
    <row r="587" spans="2:13" x14ac:dyDescent="0.35">
      <c r="B587" s="109">
        <v>46234</v>
      </c>
      <c r="C587" s="1" t="s">
        <v>5834</v>
      </c>
      <c r="D587" s="1">
        <v>1130</v>
      </c>
      <c r="E587" s="1" t="str">
        <f>_xlfn.XLOOKUP(tblGJ[[#This Row],[Account Code]],tblCOA[Code],tblCOA[Account Name],"⚠ Invalid account")</f>
        <v>Bank Mandiri - Current Account</v>
      </c>
      <c r="F587" s="1" t="s">
        <v>6299</v>
      </c>
      <c r="G587" s="5"/>
      <c r="H587" s="5">
        <v>17959</v>
      </c>
      <c r="I587" s="1" t="s">
        <v>4263</v>
      </c>
      <c r="J587" s="1">
        <f>MONTH(tblGJ[[#This Row],[Date]])</f>
        <v>7</v>
      </c>
      <c r="K587" s="1" t="str">
        <f>_xlfn.XLOOKUP(tblGJ[[#This Row],[Account Code]],tblCOA[Code],tblCOA[FS Line],"")</f>
        <v>Cash and cash equivalents</v>
      </c>
      <c r="L587" s="121">
        <f>IF(OR(tblGJ[[#This Row],[Account Code]]=1120,tblGJ[[#This Row],[Account Code]]=1130),_xlfn.MINIFS(tblBank[Value Date],tblBank[Reference],tblGJ[[#This Row],[Voucher No]],tblBank[Account Code],tblGJ[[#This Row],[Account Code]]),"")</f>
        <v>46234</v>
      </c>
      <c r="M587" s="1" t="str">
        <f>IF(tblGJ[[#This Row],[Date]]&lt;=PEnd,"Yes","No")</f>
        <v>Yes</v>
      </c>
    </row>
    <row r="588" spans="2:13" x14ac:dyDescent="0.35">
      <c r="B588" s="109">
        <v>46234</v>
      </c>
      <c r="C588" s="1" t="s">
        <v>5835</v>
      </c>
      <c r="D588" s="1">
        <v>7220</v>
      </c>
      <c r="E588" s="1" t="str">
        <f>_xlfn.XLOOKUP(tblGJ[[#This Row],[Account Code]],tblCOA[Code],tblCOA[Account Name],"⚠ Invalid account")</f>
        <v>Bank Charges</v>
      </c>
      <c r="F588" s="1" t="s">
        <v>6300</v>
      </c>
      <c r="G588" s="5">
        <v>118500</v>
      </c>
      <c r="H588" s="5"/>
      <c r="I588" s="1" t="s">
        <v>4263</v>
      </c>
      <c r="J588" s="1">
        <f>MONTH(tblGJ[[#This Row],[Date]])</f>
        <v>7</v>
      </c>
      <c r="K588" s="1" t="str">
        <f>_xlfn.XLOOKUP(tblGJ[[#This Row],[Account Code]],tblCOA[Code],tblCOA[FS Line],"")</f>
        <v>Other expenses</v>
      </c>
      <c r="L588" s="121" t="str">
        <f>IF(OR(tblGJ[[#This Row],[Account Code]]=1120,tblGJ[[#This Row],[Account Code]]=1130),_xlfn.MINIFS(tblBank[Value Date],tblBank[Reference],tblGJ[[#This Row],[Voucher No]],tblBank[Account Code],tblGJ[[#This Row],[Account Code]]),"")</f>
        <v/>
      </c>
      <c r="M588" s="1" t="str">
        <f>IF(tblGJ[[#This Row],[Date]]&lt;=PEnd,"Yes","No")</f>
        <v>Yes</v>
      </c>
    </row>
    <row r="589" spans="2:13" x14ac:dyDescent="0.35">
      <c r="B589" s="109">
        <v>46234</v>
      </c>
      <c r="C589" s="1" t="s">
        <v>5835</v>
      </c>
      <c r="D589" s="1">
        <v>1130</v>
      </c>
      <c r="E589" s="1" t="str">
        <f>_xlfn.XLOOKUP(tblGJ[[#This Row],[Account Code]],tblCOA[Code],tblCOA[Account Name],"⚠ Invalid account")</f>
        <v>Bank Mandiri - Current Account</v>
      </c>
      <c r="F589" s="1" t="s">
        <v>6300</v>
      </c>
      <c r="G589" s="5"/>
      <c r="H589" s="5">
        <v>118500</v>
      </c>
      <c r="I589" s="1" t="s">
        <v>4263</v>
      </c>
      <c r="J589" s="1">
        <f>MONTH(tblGJ[[#This Row],[Date]])</f>
        <v>7</v>
      </c>
      <c r="K589" s="1" t="str">
        <f>_xlfn.XLOOKUP(tblGJ[[#This Row],[Account Code]],tblCOA[Code],tblCOA[FS Line],"")</f>
        <v>Cash and cash equivalents</v>
      </c>
      <c r="L589" s="121">
        <f>IF(OR(tblGJ[[#This Row],[Account Code]]=1120,tblGJ[[#This Row],[Account Code]]=1130),_xlfn.MINIFS(tblBank[Value Date],tblBank[Reference],tblGJ[[#This Row],[Voucher No]],tblBank[Account Code],tblGJ[[#This Row],[Account Code]]),"")</f>
        <v>46234</v>
      </c>
      <c r="M589" s="1" t="str">
        <f>IF(tblGJ[[#This Row],[Date]]&lt;=PEnd,"Yes","No")</f>
        <v>Yes</v>
      </c>
    </row>
    <row r="590" spans="2:13" x14ac:dyDescent="0.35">
      <c r="B590" s="109">
        <v>46244</v>
      </c>
      <c r="C590" s="1" t="s">
        <v>5836</v>
      </c>
      <c r="D590" s="1">
        <v>2230</v>
      </c>
      <c r="E590" s="1" t="str">
        <f>_xlfn.XLOOKUP(tblGJ[[#This Row],[Account Code]],tblCOA[Code],tblCOA[Account Name],"⚠ Invalid account")</f>
        <v>WHT Payable - Art. 21</v>
      </c>
      <c r="F590" s="1" t="s">
        <v>5957</v>
      </c>
      <c r="G590" s="5">
        <f>IF(MONTH(tblGJ[[#This Row],[Date]])=1,_xlfn.XLOOKUP(2230,tblCOA[Code],tblCOA[Opening Balance]),SUMIFS(tblPayroll[PPh 21],tblPayroll[Period],MONTH(tblGJ[[#This Row],[Date]])-1))</f>
        <v>10516831</v>
      </c>
      <c r="H590" s="5"/>
      <c r="I590" s="1" t="s">
        <v>6528</v>
      </c>
      <c r="J590" s="1">
        <f>MONTH(tblGJ[[#This Row],[Date]])</f>
        <v>8</v>
      </c>
      <c r="K590" s="1" t="str">
        <f>_xlfn.XLOOKUP(tblGJ[[#This Row],[Account Code]],tblCOA[Code],tblCOA[FS Line],"")</f>
        <v>Taxes payable</v>
      </c>
      <c r="L590" s="121" t="str">
        <f>IF(OR(tblGJ[[#This Row],[Account Code]]=1120,tblGJ[[#This Row],[Account Code]]=1130),_xlfn.MINIFS(tblBank[Value Date],tblBank[Reference],tblGJ[[#This Row],[Voucher No]],tblBank[Account Code],tblGJ[[#This Row],[Account Code]]),"")</f>
        <v/>
      </c>
      <c r="M590" s="1" t="str">
        <f>IF(tblGJ[[#This Row],[Date]]&lt;=PEnd,"Yes","No")</f>
        <v>Yes</v>
      </c>
    </row>
    <row r="591" spans="2:13" x14ac:dyDescent="0.35">
      <c r="B591" s="109">
        <v>46244</v>
      </c>
      <c r="C591" s="1" t="s">
        <v>5836</v>
      </c>
      <c r="D591" s="1">
        <v>1120</v>
      </c>
      <c r="E591" s="1" t="str">
        <f>_xlfn.XLOOKUP(tblGJ[[#This Row],[Account Code]],tblCOA[Code],tblCOA[Account Name],"⚠ Invalid account")</f>
        <v>Bank BCA - Current Account</v>
      </c>
      <c r="F591" s="1" t="s">
        <v>5957</v>
      </c>
      <c r="G591" s="5"/>
      <c r="H591" s="5">
        <f>IF(MONTH(tblGJ[[#This Row],[Date]])=1,_xlfn.XLOOKUP(2230,tblCOA[Code],tblCOA[Opening Balance]),SUMIFS(tblPayroll[PPh 21],tblPayroll[Period],MONTH(tblGJ[[#This Row],[Date]])-1))</f>
        <v>10516831</v>
      </c>
      <c r="I591" s="1" t="s">
        <v>6528</v>
      </c>
      <c r="J591" s="1">
        <f>MONTH(tblGJ[[#This Row],[Date]])</f>
        <v>8</v>
      </c>
      <c r="K591" s="1" t="str">
        <f>_xlfn.XLOOKUP(tblGJ[[#This Row],[Account Code]],tblCOA[Code],tblCOA[FS Line],"")</f>
        <v>Cash and cash equivalents</v>
      </c>
      <c r="L591" s="121">
        <f>IF(OR(tblGJ[[#This Row],[Account Code]]=1120,tblGJ[[#This Row],[Account Code]]=1130),_xlfn.MINIFS(tblBank[Value Date],tblBank[Reference],tblGJ[[#This Row],[Voucher No]],tblBank[Account Code],tblGJ[[#This Row],[Account Code]]),"")</f>
        <v>46244</v>
      </c>
      <c r="M591" s="1" t="str">
        <f>IF(tblGJ[[#This Row],[Date]]&lt;=PEnd,"Yes","No")</f>
        <v>Yes</v>
      </c>
    </row>
    <row r="592" spans="2:13" x14ac:dyDescent="0.35">
      <c r="B592" s="109">
        <v>46244</v>
      </c>
      <c r="C592" s="1" t="s">
        <v>5837</v>
      </c>
      <c r="D592" s="1">
        <v>2150</v>
      </c>
      <c r="E592" s="1" t="str">
        <f>_xlfn.XLOOKUP(tblGJ[[#This Row],[Account Code]],tblCOA[Code],tblCOA[Account Name],"⚠ Invalid account")</f>
        <v>BPJS Payable</v>
      </c>
      <c r="F592" s="1" t="s">
        <v>5958</v>
      </c>
      <c r="G592" s="5">
        <f>IF(MONTH(tblGJ[[#This Row],[Date]])=1,_xlfn.XLOOKUP(2150,tblCOA[Code],tblCOA[Opening Balance]),SUMIFS(tblPayroll[BPJS Payable],tblPayroll[Period],MONTH(tblGJ[[#This Row],[Date]])-1))</f>
        <v>22077790</v>
      </c>
      <c r="H592" s="5"/>
      <c r="I592" s="1" t="s">
        <v>6528</v>
      </c>
      <c r="J592" s="1">
        <f>MONTH(tblGJ[[#This Row],[Date]])</f>
        <v>8</v>
      </c>
      <c r="K592" s="1" t="str">
        <f>_xlfn.XLOOKUP(tblGJ[[#This Row],[Account Code]],tblCOA[Code],tblCOA[FS Line],"")</f>
        <v>Accrued expenses</v>
      </c>
      <c r="L592" s="121" t="str">
        <f>IF(OR(tblGJ[[#This Row],[Account Code]]=1120,tblGJ[[#This Row],[Account Code]]=1130),_xlfn.MINIFS(tblBank[Value Date],tblBank[Reference],tblGJ[[#This Row],[Voucher No]],tblBank[Account Code],tblGJ[[#This Row],[Account Code]]),"")</f>
        <v/>
      </c>
      <c r="M592" s="1" t="str">
        <f>IF(tblGJ[[#This Row],[Date]]&lt;=PEnd,"Yes","No")</f>
        <v>Yes</v>
      </c>
    </row>
    <row r="593" spans="2:13" x14ac:dyDescent="0.35">
      <c r="B593" s="109">
        <v>46244</v>
      </c>
      <c r="C593" s="1" t="s">
        <v>5837</v>
      </c>
      <c r="D593" s="1">
        <v>1120</v>
      </c>
      <c r="E593" s="1" t="str">
        <f>_xlfn.XLOOKUP(tblGJ[[#This Row],[Account Code]],tblCOA[Code],tblCOA[Account Name],"⚠ Invalid account")</f>
        <v>Bank BCA - Current Account</v>
      </c>
      <c r="F593" s="1" t="s">
        <v>5958</v>
      </c>
      <c r="G593" s="5"/>
      <c r="H593" s="5">
        <f>IF(MONTH(tblGJ[[#This Row],[Date]])=1,_xlfn.XLOOKUP(2150,tblCOA[Code],tblCOA[Opening Balance]),SUMIFS(tblPayroll[BPJS Payable],tblPayroll[Period],MONTH(tblGJ[[#This Row],[Date]])-1))</f>
        <v>22077790</v>
      </c>
      <c r="I593" s="1" t="s">
        <v>6528</v>
      </c>
      <c r="J593" s="1">
        <f>MONTH(tblGJ[[#This Row],[Date]])</f>
        <v>8</v>
      </c>
      <c r="K593" s="1" t="str">
        <f>_xlfn.XLOOKUP(tblGJ[[#This Row],[Account Code]],tblCOA[Code],tblCOA[FS Line],"")</f>
        <v>Cash and cash equivalents</v>
      </c>
      <c r="L593" s="121">
        <f>IF(OR(tblGJ[[#This Row],[Account Code]]=1120,tblGJ[[#This Row],[Account Code]]=1130),_xlfn.MINIFS(tblBank[Value Date],tblBank[Reference],tblGJ[[#This Row],[Voucher No]],tblBank[Account Code],tblGJ[[#This Row],[Account Code]]),"")</f>
        <v>46244</v>
      </c>
      <c r="M593" s="1" t="str">
        <f>IF(tblGJ[[#This Row],[Date]]&lt;=PEnd,"Yes","No")</f>
        <v>Yes</v>
      </c>
    </row>
    <row r="594" spans="2:13" x14ac:dyDescent="0.35">
      <c r="B594" s="109">
        <v>46249</v>
      </c>
      <c r="C594" s="1" t="s">
        <v>5838</v>
      </c>
      <c r="D594" s="1">
        <v>2240</v>
      </c>
      <c r="E594" s="1" t="str">
        <f>_xlfn.XLOOKUP(tblGJ[[#This Row],[Account Code]],tblCOA[Code],tblCOA[Account Name],"⚠ Invalid account")</f>
        <v>WHT Payable - Unifikasi (Art. 23/4(2))</v>
      </c>
      <c r="F594" s="1" t="s">
        <v>5960</v>
      </c>
      <c r="G594" s="5">
        <f>IF(MONTH(tblGJ[[#This Row],[Date]])=1,_xlfn.XLOOKUP(2240,tblCOA[Code],tblCOA[Opening Balance]),SUMIFS(tblPurchases[WHT Amount],tblPurchases[Month],MONTH(tblGJ[[#This Row],[Date]])-1))</f>
        <v>701580</v>
      </c>
      <c r="H594" s="5"/>
      <c r="I594" s="1" t="s">
        <v>6528</v>
      </c>
      <c r="J594" s="1">
        <f>MONTH(tblGJ[[#This Row],[Date]])</f>
        <v>8</v>
      </c>
      <c r="K594" s="1" t="str">
        <f>_xlfn.XLOOKUP(tblGJ[[#This Row],[Account Code]],tblCOA[Code],tblCOA[FS Line],"")</f>
        <v>Taxes payable</v>
      </c>
      <c r="L594" s="121" t="str">
        <f>IF(OR(tblGJ[[#This Row],[Account Code]]=1120,tblGJ[[#This Row],[Account Code]]=1130),_xlfn.MINIFS(tblBank[Value Date],tblBank[Reference],tblGJ[[#This Row],[Voucher No]],tblBank[Account Code],tblGJ[[#This Row],[Account Code]]),"")</f>
        <v/>
      </c>
      <c r="M594" s="1" t="str">
        <f>IF(tblGJ[[#This Row],[Date]]&lt;=PEnd,"Yes","No")</f>
        <v>Yes</v>
      </c>
    </row>
    <row r="595" spans="2:13" x14ac:dyDescent="0.35">
      <c r="B595" s="109">
        <v>46249</v>
      </c>
      <c r="C595" s="1" t="s">
        <v>5838</v>
      </c>
      <c r="D595" s="1">
        <v>1120</v>
      </c>
      <c r="E595" s="1" t="str">
        <f>_xlfn.XLOOKUP(tblGJ[[#This Row],[Account Code]],tblCOA[Code],tblCOA[Account Name],"⚠ Invalid account")</f>
        <v>Bank BCA - Current Account</v>
      </c>
      <c r="F595" s="1" t="s">
        <v>5960</v>
      </c>
      <c r="G595" s="5"/>
      <c r="H595" s="5">
        <f>IF(MONTH(tblGJ[[#This Row],[Date]])=1,_xlfn.XLOOKUP(2240,tblCOA[Code],tblCOA[Opening Balance]),SUMIFS(tblPurchases[WHT Amount],tblPurchases[Month],MONTH(tblGJ[[#This Row],[Date]])-1))</f>
        <v>701580</v>
      </c>
      <c r="I595" s="1" t="s">
        <v>6528</v>
      </c>
      <c r="J595" s="1">
        <f>MONTH(tblGJ[[#This Row],[Date]])</f>
        <v>8</v>
      </c>
      <c r="K595" s="1" t="str">
        <f>_xlfn.XLOOKUP(tblGJ[[#This Row],[Account Code]],tblCOA[Code],tblCOA[FS Line],"")</f>
        <v>Cash and cash equivalents</v>
      </c>
      <c r="L595" s="121">
        <f>IF(OR(tblGJ[[#This Row],[Account Code]]=1120,tblGJ[[#This Row],[Account Code]]=1130),_xlfn.MINIFS(tblBank[Value Date],tblBank[Reference],tblGJ[[#This Row],[Voucher No]],tblBank[Account Code],tblGJ[[#This Row],[Account Code]]),"")</f>
        <v>46249</v>
      </c>
      <c r="M595" s="1" t="str">
        <f>IF(tblGJ[[#This Row],[Date]]&lt;=PEnd,"Yes","No")</f>
        <v>Yes</v>
      </c>
    </row>
    <row r="596" spans="2:13" x14ac:dyDescent="0.35">
      <c r="B596" s="109">
        <v>46249</v>
      </c>
      <c r="C596" s="1" t="s">
        <v>5839</v>
      </c>
      <c r="D596" s="1">
        <v>1520</v>
      </c>
      <c r="E596" s="1" t="str">
        <f>_xlfn.XLOOKUP(tblGJ[[#This Row],[Account Code]],tblCOA[Code],tblCOA[Account Name],"⚠ Invalid account")</f>
        <v>Prepaid Income Tax - Art. 25</v>
      </c>
      <c r="F596" s="1" t="s">
        <v>6301</v>
      </c>
      <c r="G596" s="5">
        <f>PPh25Inst</f>
        <v>20000000</v>
      </c>
      <c r="H596" s="5"/>
      <c r="I596" s="1" t="s">
        <v>6528</v>
      </c>
      <c r="J596" s="1">
        <f>MONTH(tblGJ[[#This Row],[Date]])</f>
        <v>8</v>
      </c>
      <c r="K596" s="1" t="str">
        <f>_xlfn.XLOOKUP(tblGJ[[#This Row],[Account Code]],tblCOA[Code],tblCOA[FS Line],"")</f>
        <v>Prepaid taxes</v>
      </c>
      <c r="L596" s="121" t="str">
        <f>IF(OR(tblGJ[[#This Row],[Account Code]]=1120,tblGJ[[#This Row],[Account Code]]=1130),_xlfn.MINIFS(tblBank[Value Date],tblBank[Reference],tblGJ[[#This Row],[Voucher No]],tblBank[Account Code],tblGJ[[#This Row],[Account Code]]),"")</f>
        <v/>
      </c>
      <c r="M596" s="1" t="str">
        <f>IF(tblGJ[[#This Row],[Date]]&lt;=PEnd,"Yes","No")</f>
        <v>Yes</v>
      </c>
    </row>
    <row r="597" spans="2:13" x14ac:dyDescent="0.35">
      <c r="B597" s="109">
        <v>46249</v>
      </c>
      <c r="C597" s="1" t="s">
        <v>5839</v>
      </c>
      <c r="D597" s="1">
        <v>1120</v>
      </c>
      <c r="E597" s="1" t="str">
        <f>_xlfn.XLOOKUP(tblGJ[[#This Row],[Account Code]],tblCOA[Code],tblCOA[Account Name],"⚠ Invalid account")</f>
        <v>Bank BCA - Current Account</v>
      </c>
      <c r="F597" s="1" t="s">
        <v>6301</v>
      </c>
      <c r="G597" s="5"/>
      <c r="H597" s="5">
        <f>PPh25Inst</f>
        <v>20000000</v>
      </c>
      <c r="I597" s="1" t="s">
        <v>6528</v>
      </c>
      <c r="J597" s="1">
        <f>MONTH(tblGJ[[#This Row],[Date]])</f>
        <v>8</v>
      </c>
      <c r="K597" s="1" t="str">
        <f>_xlfn.XLOOKUP(tblGJ[[#This Row],[Account Code]],tblCOA[Code],tblCOA[FS Line],"")</f>
        <v>Cash and cash equivalents</v>
      </c>
      <c r="L597" s="121">
        <f>IF(OR(tblGJ[[#This Row],[Account Code]]=1120,tblGJ[[#This Row],[Account Code]]=1130),_xlfn.MINIFS(tblBank[Value Date],tblBank[Reference],tblGJ[[#This Row],[Voucher No]],tblBank[Account Code],tblGJ[[#This Row],[Account Code]]),"")</f>
        <v>46249</v>
      </c>
      <c r="M597" s="1" t="str">
        <f>IF(tblGJ[[#This Row],[Date]]&lt;=PEnd,"Yes","No")</f>
        <v>Yes</v>
      </c>
    </row>
    <row r="598" spans="2:13" x14ac:dyDescent="0.35">
      <c r="B598" s="109">
        <v>46254</v>
      </c>
      <c r="C598" s="1" t="s">
        <v>5840</v>
      </c>
      <c r="D598" s="1">
        <v>1120</v>
      </c>
      <c r="E598" s="1" t="str">
        <f>_xlfn.XLOOKUP(tblGJ[[#This Row],[Account Code]],tblCOA[Code],tblCOA[Account Name],"⚠ Invalid account")</f>
        <v>Bank BCA - Current Account</v>
      </c>
      <c r="F598" s="1" t="s">
        <v>6302</v>
      </c>
      <c r="G598" s="5">
        <f>IF(MONTH(tblGJ[[#This Row],[Date]])=1,_xlfn.XLOOKUP(1210,tblCOA[Code],tblCOA[Opening Balance]),SUMIFS(tblSales[Total incl. VAT],tblSales[Month],MONTH(tblGJ[[#This Row],[Date]])-1,tblSales[Payment Method],Products!$O$15))</f>
        <v>1150626000</v>
      </c>
      <c r="H598" s="5"/>
      <c r="I598" s="1" t="s">
        <v>6530</v>
      </c>
      <c r="J598" s="1">
        <f>MONTH(tblGJ[[#This Row],[Date]])</f>
        <v>8</v>
      </c>
      <c r="K598" s="1" t="str">
        <f>_xlfn.XLOOKUP(tblGJ[[#This Row],[Account Code]],tblCOA[Code],tblCOA[FS Line],"")</f>
        <v>Cash and cash equivalents</v>
      </c>
      <c r="L598" s="121">
        <f>IF(OR(tblGJ[[#This Row],[Account Code]]=1120,tblGJ[[#This Row],[Account Code]]=1130),_xlfn.MINIFS(tblBank[Value Date],tblBank[Reference],tblGJ[[#This Row],[Voucher No]],tblBank[Account Code],tblGJ[[#This Row],[Account Code]]),"")</f>
        <v>46254</v>
      </c>
      <c r="M598" s="1" t="str">
        <f>IF(tblGJ[[#This Row],[Date]]&lt;=PEnd,"Yes","No")</f>
        <v>Yes</v>
      </c>
    </row>
    <row r="599" spans="2:13" x14ac:dyDescent="0.35">
      <c r="B599" s="109">
        <v>46254</v>
      </c>
      <c r="C599" s="1" t="s">
        <v>5840</v>
      </c>
      <c r="D599" s="1">
        <v>1210</v>
      </c>
      <c r="E599" s="1" t="str">
        <f>_xlfn.XLOOKUP(tblGJ[[#This Row],[Account Code]],tblCOA[Code],tblCOA[Account Name],"⚠ Invalid account")</f>
        <v>Trade Receivables</v>
      </c>
      <c r="F599" s="1" t="s">
        <v>6303</v>
      </c>
      <c r="G599" s="5"/>
      <c r="H599" s="5">
        <f>IF(MONTH(tblGJ[[#This Row],[Date]])=1,_xlfn.XLOOKUP(1210,tblCOA[Code],tblCOA[Opening Balance]),SUMIFS(tblSales[Total incl. VAT],tblSales[Month],MONTH(tblGJ[[#This Row],[Date]])-1,tblSales[Payment Method],Products!$O$15))</f>
        <v>1150626000</v>
      </c>
      <c r="I599" s="1" t="s">
        <v>6530</v>
      </c>
      <c r="J599" s="1">
        <f>MONTH(tblGJ[[#This Row],[Date]])</f>
        <v>8</v>
      </c>
      <c r="K599" s="1" t="str">
        <f>_xlfn.XLOOKUP(tblGJ[[#This Row],[Account Code]],tblCOA[Code],tblCOA[FS Line],"")</f>
        <v>Trade receivables - net</v>
      </c>
      <c r="L599" s="121" t="str">
        <f>IF(OR(tblGJ[[#This Row],[Account Code]]=1120,tblGJ[[#This Row],[Account Code]]=1130),_xlfn.MINIFS(tblBank[Value Date],tblBank[Reference],tblGJ[[#This Row],[Voucher No]],tblBank[Account Code],tblGJ[[#This Row],[Account Code]]),"")</f>
        <v/>
      </c>
      <c r="M599" s="1" t="str">
        <f>IF(tblGJ[[#This Row],[Date]]&lt;=PEnd,"Yes","No")</f>
        <v>Yes</v>
      </c>
    </row>
    <row r="600" spans="2:13" x14ac:dyDescent="0.35">
      <c r="B600" s="109">
        <v>46258</v>
      </c>
      <c r="C600" s="1" t="s">
        <v>5841</v>
      </c>
      <c r="D600" s="1">
        <v>1130</v>
      </c>
      <c r="E600" s="1" t="str">
        <f>_xlfn.XLOOKUP(tblGJ[[#This Row],[Account Code]],tblCOA[Code],tblCOA[Account Name],"⚠ Invalid account")</f>
        <v>Bank Mandiri - Current Account</v>
      </c>
      <c r="F600" s="1" t="s">
        <v>6304</v>
      </c>
      <c r="G600" s="5">
        <f>SUMIFS(tblPayroll[Net Pay],tblPayroll[Period],MONTH(tblGJ[[#This Row],[Date]]))</f>
        <v>161397799</v>
      </c>
      <c r="H600" s="5"/>
      <c r="I600" s="1" t="s">
        <v>6531</v>
      </c>
      <c r="J600" s="1">
        <f>MONTH(tblGJ[[#This Row],[Date]])</f>
        <v>8</v>
      </c>
      <c r="K600" s="1" t="str">
        <f>_xlfn.XLOOKUP(tblGJ[[#This Row],[Account Code]],tblCOA[Code],tblCOA[FS Line],"")</f>
        <v>Cash and cash equivalents</v>
      </c>
      <c r="L600" s="121">
        <f>IF(OR(tblGJ[[#This Row],[Account Code]]=1120,tblGJ[[#This Row],[Account Code]]=1130),_xlfn.MINIFS(tblBank[Value Date],tblBank[Reference],tblGJ[[#This Row],[Voucher No]],tblBank[Account Code],tblGJ[[#This Row],[Account Code]]),"")</f>
        <v>46258</v>
      </c>
      <c r="M600" s="1" t="str">
        <f>IF(tblGJ[[#This Row],[Date]]&lt;=PEnd,"Yes","No")</f>
        <v>Yes</v>
      </c>
    </row>
    <row r="601" spans="2:13" x14ac:dyDescent="0.35">
      <c r="B601" s="109">
        <v>46258</v>
      </c>
      <c r="C601" s="1" t="s">
        <v>5841</v>
      </c>
      <c r="D601" s="1">
        <v>1120</v>
      </c>
      <c r="E601" s="1" t="str">
        <f>_xlfn.XLOOKUP(tblGJ[[#This Row],[Account Code]],tblCOA[Code],tblCOA[Account Name],"⚠ Invalid account")</f>
        <v>Bank BCA - Current Account</v>
      </c>
      <c r="F601" s="1" t="s">
        <v>6305</v>
      </c>
      <c r="G601" s="5"/>
      <c r="H601" s="5">
        <f>SUMIFS(tblPayroll[Net Pay],tblPayroll[Period],MONTH(tblGJ[[#This Row],[Date]]))</f>
        <v>161397799</v>
      </c>
      <c r="I601" s="1" t="s">
        <v>6531</v>
      </c>
      <c r="J601" s="1">
        <f>MONTH(tblGJ[[#This Row],[Date]])</f>
        <v>8</v>
      </c>
      <c r="K601" s="1" t="str">
        <f>_xlfn.XLOOKUP(tblGJ[[#This Row],[Account Code]],tblCOA[Code],tblCOA[FS Line],"")</f>
        <v>Cash and cash equivalents</v>
      </c>
      <c r="L601" s="121">
        <f>IF(OR(tblGJ[[#This Row],[Account Code]]=1120,tblGJ[[#This Row],[Account Code]]=1130),_xlfn.MINIFS(tblBank[Value Date],tblBank[Reference],tblGJ[[#This Row],[Voucher No]],tblBank[Account Code],tblGJ[[#This Row],[Account Code]]),"")</f>
        <v>46258</v>
      </c>
      <c r="M601" s="1" t="str">
        <f>IF(tblGJ[[#This Row],[Date]]&lt;=PEnd,"Yes","No")</f>
        <v>Yes</v>
      </c>
    </row>
    <row r="602" spans="2:13" x14ac:dyDescent="0.35">
      <c r="B602" s="109">
        <v>46259</v>
      </c>
      <c r="C602" s="1" t="s">
        <v>5842</v>
      </c>
      <c r="D602" s="1">
        <v>6110</v>
      </c>
      <c r="E602" s="1" t="str">
        <f>_xlfn.XLOOKUP(tblGJ[[#This Row],[Account Code]],tblCOA[Code],tblCOA[Account Name],"⚠ Invalid account")</f>
        <v>Salaries &amp; Allowances - Selling</v>
      </c>
      <c r="F602" s="1" t="s">
        <v>6306</v>
      </c>
      <c r="G602" s="5">
        <f>SUMIFS(tblPayroll[Gross Salary],tblPayroll[Period],MONTH(tblGJ[[#This Row],[Date]]),tblPayroll[Department],"Selling")</f>
        <v>80200000</v>
      </c>
      <c r="H602" s="5"/>
      <c r="I602" s="1" t="s">
        <v>6531</v>
      </c>
      <c r="J602" s="1">
        <f>MONTH(tblGJ[[#This Row],[Date]])</f>
        <v>8</v>
      </c>
      <c r="K602" s="1" t="str">
        <f>_xlfn.XLOOKUP(tblGJ[[#This Row],[Account Code]],tblCOA[Code],tblCOA[FS Line],"")</f>
        <v>Selling expenses</v>
      </c>
      <c r="L602" s="121" t="str">
        <f>IF(OR(tblGJ[[#This Row],[Account Code]]=1120,tblGJ[[#This Row],[Account Code]]=1130),_xlfn.MINIFS(tblBank[Value Date],tblBank[Reference],tblGJ[[#This Row],[Voucher No]],tblBank[Account Code],tblGJ[[#This Row],[Account Code]]),"")</f>
        <v/>
      </c>
      <c r="M602" s="1" t="str">
        <f>IF(tblGJ[[#This Row],[Date]]&lt;=PEnd,"Yes","No")</f>
        <v>Yes</v>
      </c>
    </row>
    <row r="603" spans="2:13" x14ac:dyDescent="0.35">
      <c r="B603" s="109">
        <v>46259</v>
      </c>
      <c r="C603" s="1" t="s">
        <v>5842</v>
      </c>
      <c r="D603" s="1">
        <v>6111</v>
      </c>
      <c r="E603" s="1" t="str">
        <f>_xlfn.XLOOKUP(tblGJ[[#This Row],[Account Code]],tblCOA[Code],tblCOA[Account Name],"⚠ Invalid account")</f>
        <v>BPJS Employer Contributions - Selling</v>
      </c>
      <c r="F603" s="1" t="s">
        <v>6307</v>
      </c>
      <c r="G603" s="5">
        <f>SUMIFS(tblPayroll[Employer BPJS Total],tblPayroll[Period],MONTH(tblGJ[[#This Row],[Date]]),tblPayroll[Department],"Selling")</f>
        <v>7824376</v>
      </c>
      <c r="H603" s="5"/>
      <c r="I603" s="1" t="s">
        <v>6531</v>
      </c>
      <c r="J603" s="1">
        <f>MONTH(tblGJ[[#This Row],[Date]])</f>
        <v>8</v>
      </c>
      <c r="K603" s="1" t="str">
        <f>_xlfn.XLOOKUP(tblGJ[[#This Row],[Account Code]],tblCOA[Code],tblCOA[FS Line],"")</f>
        <v>Selling expenses</v>
      </c>
      <c r="L603" s="121" t="str">
        <f>IF(OR(tblGJ[[#This Row],[Account Code]]=1120,tblGJ[[#This Row],[Account Code]]=1130),_xlfn.MINIFS(tblBank[Value Date],tblBank[Reference],tblGJ[[#This Row],[Voucher No]],tblBank[Account Code],tblGJ[[#This Row],[Account Code]]),"")</f>
        <v/>
      </c>
      <c r="M603" s="1" t="str">
        <f>IF(tblGJ[[#This Row],[Date]]&lt;=PEnd,"Yes","No")</f>
        <v>Yes</v>
      </c>
    </row>
    <row r="604" spans="2:13" x14ac:dyDescent="0.35">
      <c r="B604" s="109">
        <v>46259</v>
      </c>
      <c r="C604" s="1" t="s">
        <v>5842</v>
      </c>
      <c r="D604" s="1">
        <v>6210</v>
      </c>
      <c r="E604" s="1" t="str">
        <f>_xlfn.XLOOKUP(tblGJ[[#This Row],[Account Code]],tblCOA[Code],tblCOA[Account Name],"⚠ Invalid account")</f>
        <v>Salaries &amp; Allowances - G&amp;A</v>
      </c>
      <c r="F604" s="1" t="s">
        <v>6308</v>
      </c>
      <c r="G604" s="5">
        <f>SUMIFS(tblPayroll[Gross Salary],tblPayroll[Period],MONTH(tblGJ[[#This Row],[Date]]),tblPayroll[Department],"G&amp;A")</f>
        <v>98000000</v>
      </c>
      <c r="H604" s="5"/>
      <c r="I604" s="1" t="s">
        <v>6531</v>
      </c>
      <c r="J604" s="1">
        <f>MONTH(tblGJ[[#This Row],[Date]])</f>
        <v>8</v>
      </c>
      <c r="K604" s="1" t="str">
        <f>_xlfn.XLOOKUP(tblGJ[[#This Row],[Account Code]],tblCOA[Code],tblCOA[FS Line],"")</f>
        <v>General &amp; administrative expenses</v>
      </c>
      <c r="L604" s="121" t="str">
        <f>IF(OR(tblGJ[[#This Row],[Account Code]]=1120,tblGJ[[#This Row],[Account Code]]=1130),_xlfn.MINIFS(tblBank[Value Date],tblBank[Reference],tblGJ[[#This Row],[Voucher No]],tblBank[Account Code],tblGJ[[#This Row],[Account Code]]),"")</f>
        <v/>
      </c>
      <c r="M604" s="1" t="str">
        <f>IF(tblGJ[[#This Row],[Date]]&lt;=PEnd,"Yes","No")</f>
        <v>Yes</v>
      </c>
    </row>
    <row r="605" spans="2:13" x14ac:dyDescent="0.35">
      <c r="B605" s="109">
        <v>46259</v>
      </c>
      <c r="C605" s="1" t="s">
        <v>5842</v>
      </c>
      <c r="D605" s="1">
        <v>6211</v>
      </c>
      <c r="E605" s="1" t="str">
        <f>_xlfn.XLOOKUP(tblGJ[[#This Row],[Account Code]],tblCOA[Code],tblCOA[Account Name],"⚠ Invalid account")</f>
        <v>BPJS Employer Contributions - G&amp;A</v>
      </c>
      <c r="F605" s="1" t="s">
        <v>6309</v>
      </c>
      <c r="G605" s="5">
        <f>SUMIFS(tblPayroll[Employer BPJS Total],tblPayroll[Period],MONTH(tblGJ[[#This Row],[Date]]),tblPayroll[Department],"G&amp;A")</f>
        <v>7968044</v>
      </c>
      <c r="H605" s="5"/>
      <c r="I605" s="1" t="s">
        <v>6531</v>
      </c>
      <c r="J605" s="1">
        <f>MONTH(tblGJ[[#This Row],[Date]])</f>
        <v>8</v>
      </c>
      <c r="K605" s="1" t="str">
        <f>_xlfn.XLOOKUP(tblGJ[[#This Row],[Account Code]],tblCOA[Code],tblCOA[FS Line],"")</f>
        <v>General &amp; administrative expenses</v>
      </c>
      <c r="L605" s="121" t="str">
        <f>IF(OR(tblGJ[[#This Row],[Account Code]]=1120,tblGJ[[#This Row],[Account Code]]=1130),_xlfn.MINIFS(tblBank[Value Date],tblBank[Reference],tblGJ[[#This Row],[Voucher No]],tblBank[Account Code],tblGJ[[#This Row],[Account Code]]),"")</f>
        <v/>
      </c>
      <c r="M605" s="1" t="str">
        <f>IF(tblGJ[[#This Row],[Date]]&lt;=PEnd,"Yes","No")</f>
        <v>Yes</v>
      </c>
    </row>
    <row r="606" spans="2:13" x14ac:dyDescent="0.35">
      <c r="B606" s="109">
        <v>46259</v>
      </c>
      <c r="C606" s="1" t="s">
        <v>5842</v>
      </c>
      <c r="D606" s="1">
        <v>2230</v>
      </c>
      <c r="E606" s="1" t="str">
        <f>_xlfn.XLOOKUP(tblGJ[[#This Row],[Account Code]],tblCOA[Code],tblCOA[Account Name],"⚠ Invalid account")</f>
        <v>WHT Payable - Art. 21</v>
      </c>
      <c r="F606" s="1" t="s">
        <v>6310</v>
      </c>
      <c r="G606" s="5"/>
      <c r="H606" s="5">
        <f>SUMIFS(tblPayroll[PPh 21],tblPayroll[Period],MONTH(tblGJ[[#This Row],[Date]]))</f>
        <v>10516831</v>
      </c>
      <c r="I606" s="1" t="s">
        <v>6531</v>
      </c>
      <c r="J606" s="1">
        <f>MONTH(tblGJ[[#This Row],[Date]])</f>
        <v>8</v>
      </c>
      <c r="K606" s="1" t="str">
        <f>_xlfn.XLOOKUP(tblGJ[[#This Row],[Account Code]],tblCOA[Code],tblCOA[FS Line],"")</f>
        <v>Taxes payable</v>
      </c>
      <c r="L606" s="121" t="str">
        <f>IF(OR(tblGJ[[#This Row],[Account Code]]=1120,tblGJ[[#This Row],[Account Code]]=1130),_xlfn.MINIFS(tblBank[Value Date],tblBank[Reference],tblGJ[[#This Row],[Voucher No]],tblBank[Account Code],tblGJ[[#This Row],[Account Code]]),"")</f>
        <v/>
      </c>
      <c r="M606" s="1" t="str">
        <f>IF(tblGJ[[#This Row],[Date]]&lt;=PEnd,"Yes","No")</f>
        <v>Yes</v>
      </c>
    </row>
    <row r="607" spans="2:13" x14ac:dyDescent="0.35">
      <c r="B607" s="109">
        <v>46259</v>
      </c>
      <c r="C607" s="1" t="s">
        <v>5842</v>
      </c>
      <c r="D607" s="1">
        <v>2150</v>
      </c>
      <c r="E607" s="1" t="str">
        <f>_xlfn.XLOOKUP(tblGJ[[#This Row],[Account Code]],tblCOA[Code],tblCOA[Account Name],"⚠ Invalid account")</f>
        <v>BPJS Payable</v>
      </c>
      <c r="F607" s="1" t="s">
        <v>6311</v>
      </c>
      <c r="G607" s="5"/>
      <c r="H607" s="5">
        <f>SUMIFS(tblPayroll[BPJS Payable],tblPayroll[Period],MONTH(tblGJ[[#This Row],[Date]]))</f>
        <v>22077790</v>
      </c>
      <c r="I607" s="1" t="s">
        <v>6531</v>
      </c>
      <c r="J607" s="1">
        <f>MONTH(tblGJ[[#This Row],[Date]])</f>
        <v>8</v>
      </c>
      <c r="K607" s="1" t="str">
        <f>_xlfn.XLOOKUP(tblGJ[[#This Row],[Account Code]],tblCOA[Code],tblCOA[FS Line],"")</f>
        <v>Accrued expenses</v>
      </c>
      <c r="L607" s="121" t="str">
        <f>IF(OR(tblGJ[[#This Row],[Account Code]]=1120,tblGJ[[#This Row],[Account Code]]=1130),_xlfn.MINIFS(tblBank[Value Date],tblBank[Reference],tblGJ[[#This Row],[Voucher No]],tblBank[Account Code],tblGJ[[#This Row],[Account Code]]),"")</f>
        <v/>
      </c>
      <c r="M607" s="1" t="str">
        <f>IF(tblGJ[[#This Row],[Date]]&lt;=PEnd,"Yes","No")</f>
        <v>Yes</v>
      </c>
    </row>
    <row r="608" spans="2:13" x14ac:dyDescent="0.35">
      <c r="B608" s="109">
        <v>46259</v>
      </c>
      <c r="C608" s="1" t="s">
        <v>5842</v>
      </c>
      <c r="D608" s="1">
        <v>1130</v>
      </c>
      <c r="E608" s="1" t="str">
        <f>_xlfn.XLOOKUP(tblGJ[[#This Row],[Account Code]],tblCOA[Code],tblCOA[Account Name],"⚠ Invalid account")</f>
        <v>Bank Mandiri - Current Account</v>
      </c>
      <c r="F608" s="1" t="s">
        <v>6312</v>
      </c>
      <c r="G608" s="5"/>
      <c r="H608" s="5">
        <f>SUMIFS(tblPayroll[Net Pay],tblPayroll[Period],MONTH(tblGJ[[#This Row],[Date]]))</f>
        <v>161397799</v>
      </c>
      <c r="I608" s="1" t="s">
        <v>6531</v>
      </c>
      <c r="J608" s="1">
        <f>MONTH(tblGJ[[#This Row],[Date]])</f>
        <v>8</v>
      </c>
      <c r="K608" s="1" t="str">
        <f>_xlfn.XLOOKUP(tblGJ[[#This Row],[Account Code]],tblCOA[Code],tblCOA[FS Line],"")</f>
        <v>Cash and cash equivalents</v>
      </c>
      <c r="L608" s="121">
        <f>IF(OR(tblGJ[[#This Row],[Account Code]]=1120,tblGJ[[#This Row],[Account Code]]=1130),_xlfn.MINIFS(tblBank[Value Date],tblBank[Reference],tblGJ[[#This Row],[Voucher No]],tblBank[Account Code],tblGJ[[#This Row],[Account Code]]),"")</f>
        <v>46259</v>
      </c>
      <c r="M608" s="1" t="str">
        <f>IF(tblGJ[[#This Row],[Date]]&lt;=PEnd,"Yes","No")</f>
        <v>Yes</v>
      </c>
    </row>
    <row r="609" spans="2:13" x14ac:dyDescent="0.35">
      <c r="B609" s="109">
        <v>46262</v>
      </c>
      <c r="C609" s="1" t="s">
        <v>5843</v>
      </c>
      <c r="D609" s="1">
        <v>2220</v>
      </c>
      <c r="E609" s="1" t="str">
        <f>_xlfn.XLOOKUP(tblGJ[[#This Row],[Account Code]],tblCOA[Code],tblCOA[Account Name],"⚠ Invalid account")</f>
        <v>VAT Payable - Net</v>
      </c>
      <c r="F609" s="1" t="s">
        <v>5974</v>
      </c>
      <c r="G609" s="5">
        <f>IF(MONTH(tblGJ[[#This Row],[Date]])=1,_xlfn.XLOOKUP(2220,tblCOA[Code],tblCOA[Opening Balance]),SUMIFS(tblSales[Output VAT],tblSales[Month],MONTH(tblGJ[[#This Row],[Date]])-1)-SUMIFS(tblPurchases[Input VAT],tblPurchases[Month],MONTH(tblGJ[[#This Row],[Date]])-1))</f>
        <v>70697110</v>
      </c>
      <c r="H609" s="5"/>
      <c r="I609" s="1" t="s">
        <v>6528</v>
      </c>
      <c r="J609" s="1">
        <f>MONTH(tblGJ[[#This Row],[Date]])</f>
        <v>8</v>
      </c>
      <c r="K609" s="1" t="str">
        <f>_xlfn.XLOOKUP(tblGJ[[#This Row],[Account Code]],tblCOA[Code],tblCOA[FS Line],"")</f>
        <v>Taxes payable</v>
      </c>
      <c r="L609" s="121" t="str">
        <f>IF(OR(tblGJ[[#This Row],[Account Code]]=1120,tblGJ[[#This Row],[Account Code]]=1130),_xlfn.MINIFS(tblBank[Value Date],tblBank[Reference],tblGJ[[#This Row],[Voucher No]],tblBank[Account Code],tblGJ[[#This Row],[Account Code]]),"")</f>
        <v/>
      </c>
      <c r="M609" s="1" t="str">
        <f>IF(tblGJ[[#This Row],[Date]]&lt;=PEnd,"Yes","No")</f>
        <v>Yes</v>
      </c>
    </row>
    <row r="610" spans="2:13" x14ac:dyDescent="0.35">
      <c r="B610" s="109">
        <v>46262</v>
      </c>
      <c r="C610" s="1" t="s">
        <v>5843</v>
      </c>
      <c r="D610" s="1">
        <v>1120</v>
      </c>
      <c r="E610" s="1" t="str">
        <f>_xlfn.XLOOKUP(tblGJ[[#This Row],[Account Code]],tblCOA[Code],tblCOA[Account Name],"⚠ Invalid account")</f>
        <v>Bank BCA - Current Account</v>
      </c>
      <c r="F610" s="1" t="s">
        <v>5974</v>
      </c>
      <c r="G610" s="5"/>
      <c r="H610" s="5">
        <f>IF(MONTH(tblGJ[[#This Row],[Date]])=1,_xlfn.XLOOKUP(2220,tblCOA[Code],tblCOA[Opening Balance]),SUMIFS(tblSales[Output VAT],tblSales[Month],MONTH(tblGJ[[#This Row],[Date]])-1)-SUMIFS(tblPurchases[Input VAT],tblPurchases[Month],MONTH(tblGJ[[#This Row],[Date]])-1))</f>
        <v>70697110</v>
      </c>
      <c r="I610" s="1" t="s">
        <v>6528</v>
      </c>
      <c r="J610" s="1">
        <f>MONTH(tblGJ[[#This Row],[Date]])</f>
        <v>8</v>
      </c>
      <c r="K610" s="1" t="str">
        <f>_xlfn.XLOOKUP(tblGJ[[#This Row],[Account Code]],tblCOA[Code],tblCOA[FS Line],"")</f>
        <v>Cash and cash equivalents</v>
      </c>
      <c r="L610" s="121">
        <f>IF(OR(tblGJ[[#This Row],[Account Code]]=1120,tblGJ[[#This Row],[Account Code]]=1130),_xlfn.MINIFS(tblBank[Value Date],tblBank[Reference],tblGJ[[#This Row],[Voucher No]],tblBank[Account Code],tblGJ[[#This Row],[Account Code]]),"")</f>
        <v>46262</v>
      </c>
      <c r="M610" s="1" t="str">
        <f>IF(tblGJ[[#This Row],[Date]]&lt;=PEnd,"Yes","No")</f>
        <v>Yes</v>
      </c>
    </row>
    <row r="611" spans="2:13" x14ac:dyDescent="0.35">
      <c r="B611" s="109">
        <v>46262</v>
      </c>
      <c r="C611" s="1" t="s">
        <v>5844</v>
      </c>
      <c r="D611" s="1">
        <v>2410</v>
      </c>
      <c r="E611" s="1" t="str">
        <f>_xlfn.XLOOKUP(tblGJ[[#This Row],[Account Code]],tblCOA[Code],tblCOA[Account Name],"⚠ Invalid account")</f>
        <v>Long-term Bank Loan</v>
      </c>
      <c r="F611" s="1" t="s">
        <v>6313</v>
      </c>
      <c r="G611" s="5">
        <v>25000000</v>
      </c>
      <c r="H611" s="5"/>
      <c r="I611" s="1" t="s">
        <v>4263</v>
      </c>
      <c r="J611" s="1">
        <f>MONTH(tblGJ[[#This Row],[Date]])</f>
        <v>8</v>
      </c>
      <c r="K611" s="1" t="str">
        <f>_xlfn.XLOOKUP(tblGJ[[#This Row],[Account Code]],tblCOA[Code],tblCOA[FS Line],"")</f>
        <v>Long-term bank loans</v>
      </c>
      <c r="L611" s="121" t="str">
        <f>IF(OR(tblGJ[[#This Row],[Account Code]]=1120,tblGJ[[#This Row],[Account Code]]=1130),_xlfn.MINIFS(tblBank[Value Date],tblBank[Reference],tblGJ[[#This Row],[Voucher No]],tblBank[Account Code],tblGJ[[#This Row],[Account Code]]),"")</f>
        <v/>
      </c>
      <c r="M611" s="1" t="str">
        <f>IF(tblGJ[[#This Row],[Date]]&lt;=PEnd,"Yes","No")</f>
        <v>Yes</v>
      </c>
    </row>
    <row r="612" spans="2:13" x14ac:dyDescent="0.35">
      <c r="B612" s="109">
        <v>46262</v>
      </c>
      <c r="C612" s="1" t="s">
        <v>5844</v>
      </c>
      <c r="D612" s="1">
        <v>7210</v>
      </c>
      <c r="E612" s="1" t="str">
        <f>_xlfn.XLOOKUP(tblGJ[[#This Row],[Account Code]],tblCOA[Code],tblCOA[Account Name],"⚠ Invalid account")</f>
        <v>Interest Expense - Bank Loans</v>
      </c>
      <c r="F612" s="1" t="s">
        <v>6314</v>
      </c>
      <c r="G612" s="5">
        <v>9937500</v>
      </c>
      <c r="H612" s="5"/>
      <c r="I612" s="1" t="s">
        <v>4263</v>
      </c>
      <c r="J612" s="1">
        <f>MONTH(tblGJ[[#This Row],[Date]])</f>
        <v>8</v>
      </c>
      <c r="K612" s="1" t="str">
        <f>_xlfn.XLOOKUP(tblGJ[[#This Row],[Account Code]],tblCOA[Code],tblCOA[FS Line],"")</f>
        <v>Finance costs</v>
      </c>
      <c r="L612" s="121" t="str">
        <f>IF(OR(tblGJ[[#This Row],[Account Code]]=1120,tblGJ[[#This Row],[Account Code]]=1130),_xlfn.MINIFS(tblBank[Value Date],tblBank[Reference],tblGJ[[#This Row],[Voucher No]],tblBank[Account Code],tblGJ[[#This Row],[Account Code]]),"")</f>
        <v/>
      </c>
      <c r="M612" s="1" t="str">
        <f>IF(tblGJ[[#This Row],[Date]]&lt;=PEnd,"Yes","No")</f>
        <v>Yes</v>
      </c>
    </row>
    <row r="613" spans="2:13" x14ac:dyDescent="0.35">
      <c r="B613" s="109">
        <v>46262</v>
      </c>
      <c r="C613" s="1" t="s">
        <v>5844</v>
      </c>
      <c r="D613" s="1">
        <v>1120</v>
      </c>
      <c r="E613" s="1" t="str">
        <f>_xlfn.XLOOKUP(tblGJ[[#This Row],[Account Code]],tblCOA[Code],tblCOA[Account Name],"⚠ Invalid account")</f>
        <v>Bank BCA - Current Account</v>
      </c>
      <c r="F613" s="1" t="s">
        <v>6315</v>
      </c>
      <c r="G613" s="5"/>
      <c r="H613" s="5">
        <v>34937500</v>
      </c>
      <c r="I613" s="1" t="s">
        <v>4263</v>
      </c>
      <c r="J613" s="1">
        <f>MONTH(tblGJ[[#This Row],[Date]])</f>
        <v>8</v>
      </c>
      <c r="K613" s="1" t="str">
        <f>_xlfn.XLOOKUP(tblGJ[[#This Row],[Account Code]],tblCOA[Code],tblCOA[FS Line],"")</f>
        <v>Cash and cash equivalents</v>
      </c>
      <c r="L613" s="121">
        <f>IF(OR(tblGJ[[#This Row],[Account Code]]=1120,tblGJ[[#This Row],[Account Code]]=1130),_xlfn.MINIFS(tblBank[Value Date],tblBank[Reference],tblGJ[[#This Row],[Voucher No]],tblBank[Account Code],tblGJ[[#This Row],[Account Code]]),"")</f>
        <v>46262</v>
      </c>
      <c r="M613" s="1" t="str">
        <f>IF(tblGJ[[#This Row],[Date]]&lt;=PEnd,"Yes","No")</f>
        <v>Yes</v>
      </c>
    </row>
    <row r="614" spans="2:13" x14ac:dyDescent="0.35">
      <c r="B614" s="109">
        <v>46265</v>
      </c>
      <c r="C614" s="1" t="s">
        <v>5845</v>
      </c>
      <c r="D614" s="1">
        <v>1110</v>
      </c>
      <c r="E614" s="1" t="str">
        <f>_xlfn.XLOOKUP(tblGJ[[#This Row],[Account Code]],tblCOA[Code],tblCOA[Account Name],"⚠ Invalid account")</f>
        <v>Cash on Hand</v>
      </c>
      <c r="F614" s="1" t="s">
        <v>6316</v>
      </c>
      <c r="G614" s="5">
        <f>SUMIFS(tblSales[Total incl. VAT],tblSales[Month],MONTH(tblGJ[[#This Row],[Date]]),tblSales[Payment Method],Products!$O$13)</f>
        <v>184648500</v>
      </c>
      <c r="H614" s="5"/>
      <c r="I614" s="1" t="s">
        <v>6532</v>
      </c>
      <c r="J614" s="1">
        <f>MONTH(tblGJ[[#This Row],[Date]])</f>
        <v>8</v>
      </c>
      <c r="K614" s="1" t="str">
        <f>_xlfn.XLOOKUP(tblGJ[[#This Row],[Account Code]],tblCOA[Code],tblCOA[FS Line],"")</f>
        <v>Cash and cash equivalents</v>
      </c>
      <c r="L614" s="121" t="str">
        <f>IF(OR(tblGJ[[#This Row],[Account Code]]=1120,tblGJ[[#This Row],[Account Code]]=1130),_xlfn.MINIFS(tblBank[Value Date],tblBank[Reference],tblGJ[[#This Row],[Voucher No]],tblBank[Account Code],tblGJ[[#This Row],[Account Code]]),"")</f>
        <v/>
      </c>
      <c r="M614" s="1" t="str">
        <f>IF(tblGJ[[#This Row],[Date]]&lt;=PEnd,"Yes","No")</f>
        <v>Yes</v>
      </c>
    </row>
    <row r="615" spans="2:13" x14ac:dyDescent="0.35">
      <c r="B615" s="109">
        <v>46265</v>
      </c>
      <c r="C615" s="1" t="s">
        <v>5845</v>
      </c>
      <c r="D615" s="1">
        <v>1120</v>
      </c>
      <c r="E615" s="1" t="str">
        <f>_xlfn.XLOOKUP(tblGJ[[#This Row],[Account Code]],tblCOA[Code],tblCOA[Account Name],"⚠ Invalid account")</f>
        <v>Bank BCA - Current Account</v>
      </c>
      <c r="F615" s="1" t="s">
        <v>6317</v>
      </c>
      <c r="G615" s="5">
        <f>SUMIFS(tblSales[Total incl. VAT],tblSales[Month],MONTH(tblGJ[[#This Row],[Date]]),tblSales[Payment Method],Products!$O$14)</f>
        <v>216716400</v>
      </c>
      <c r="H615" s="5"/>
      <c r="I615" s="1" t="s">
        <v>6532</v>
      </c>
      <c r="J615" s="1">
        <f>MONTH(tblGJ[[#This Row],[Date]])</f>
        <v>8</v>
      </c>
      <c r="K615" s="1" t="str">
        <f>_xlfn.XLOOKUP(tblGJ[[#This Row],[Account Code]],tblCOA[Code],tblCOA[FS Line],"")</f>
        <v>Cash and cash equivalents</v>
      </c>
      <c r="L615" s="121">
        <f>IF(OR(tblGJ[[#This Row],[Account Code]]=1120,tblGJ[[#This Row],[Account Code]]=1130),_xlfn.MINIFS(tblBank[Value Date],tblBank[Reference],tblGJ[[#This Row],[Voucher No]],tblBank[Account Code],tblGJ[[#This Row],[Account Code]]),"")</f>
        <v>46265</v>
      </c>
      <c r="M615" s="1" t="str">
        <f>IF(tblGJ[[#This Row],[Date]]&lt;=PEnd,"Yes","No")</f>
        <v>Yes</v>
      </c>
    </row>
    <row r="616" spans="2:13" x14ac:dyDescent="0.35">
      <c r="B616" s="109">
        <v>46265</v>
      </c>
      <c r="C616" s="1" t="s">
        <v>5845</v>
      </c>
      <c r="D616" s="1">
        <v>1210</v>
      </c>
      <c r="E616" s="1" t="str">
        <f>_xlfn.XLOOKUP(tblGJ[[#This Row],[Account Code]],tblCOA[Code],tblCOA[Account Name],"⚠ Invalid account")</f>
        <v>Trade Receivables</v>
      </c>
      <c r="F616" s="1" t="s">
        <v>6318</v>
      </c>
      <c r="G616" s="5">
        <f>SUMIFS(tblSales[Total incl. VAT],tblSales[Month],MONTH(tblGJ[[#This Row],[Date]]),tblSales[Payment Method],Products!$O$15)</f>
        <v>678432000</v>
      </c>
      <c r="H616" s="5"/>
      <c r="I616" s="1" t="s">
        <v>6532</v>
      </c>
      <c r="J616" s="1">
        <f>MONTH(tblGJ[[#This Row],[Date]])</f>
        <v>8</v>
      </c>
      <c r="K616" s="1" t="str">
        <f>_xlfn.XLOOKUP(tblGJ[[#This Row],[Account Code]],tblCOA[Code],tblCOA[FS Line],"")</f>
        <v>Trade receivables - net</v>
      </c>
      <c r="L616" s="121" t="str">
        <f>IF(OR(tblGJ[[#This Row],[Account Code]]=1120,tblGJ[[#This Row],[Account Code]]=1130),_xlfn.MINIFS(tblBank[Value Date],tblBank[Reference],tblGJ[[#This Row],[Voucher No]],tblBank[Account Code],tblGJ[[#This Row],[Account Code]]),"")</f>
        <v/>
      </c>
      <c r="M616" s="1" t="str">
        <f>IF(tblGJ[[#This Row],[Date]]&lt;=PEnd,"Yes","No")</f>
        <v>Yes</v>
      </c>
    </row>
    <row r="617" spans="2:13" x14ac:dyDescent="0.35">
      <c r="B617" s="109">
        <v>46265</v>
      </c>
      <c r="C617" s="1" t="s">
        <v>5845</v>
      </c>
      <c r="D617" s="1">
        <v>4100</v>
      </c>
      <c r="E617" s="1" t="str">
        <f>_xlfn.XLOOKUP(tblGJ[[#This Row],[Account Code]],tblCOA[Code],tblCOA[Account Name],"⚠ Invalid account")</f>
        <v>Sales of goods</v>
      </c>
      <c r="F617" s="1" t="s">
        <v>6319</v>
      </c>
      <c r="G617" s="5"/>
      <c r="H617" s="5">
        <f>SUMIFS(tblSales[DPP (excl. VAT)],tblSales[Month],MONTH(tblGJ[[#This Row],[Date]]))</f>
        <v>972790000</v>
      </c>
      <c r="I617" s="1" t="s">
        <v>6532</v>
      </c>
      <c r="J617" s="1">
        <f>MONTH(tblGJ[[#This Row],[Date]])</f>
        <v>8</v>
      </c>
      <c r="K617" s="1" t="str">
        <f>_xlfn.XLOOKUP(tblGJ[[#This Row],[Account Code]],tblCOA[Code],tblCOA[FS Line],"")</f>
        <v>Revenue</v>
      </c>
      <c r="L617" s="121" t="str">
        <f>IF(OR(tblGJ[[#This Row],[Account Code]]=1120,tblGJ[[#This Row],[Account Code]]=1130),_xlfn.MINIFS(tblBank[Value Date],tblBank[Reference],tblGJ[[#This Row],[Voucher No]],tblBank[Account Code],tblGJ[[#This Row],[Account Code]]),"")</f>
        <v/>
      </c>
      <c r="M617" s="1" t="str">
        <f>IF(tblGJ[[#This Row],[Date]]&lt;=PEnd,"Yes","No")</f>
        <v>Yes</v>
      </c>
    </row>
    <row r="618" spans="2:13" x14ac:dyDescent="0.35">
      <c r="B618" s="109">
        <v>46265</v>
      </c>
      <c r="C618" s="1" t="s">
        <v>5845</v>
      </c>
      <c r="D618" s="1">
        <v>2210</v>
      </c>
      <c r="E618" s="1" t="str">
        <f>_xlfn.XLOOKUP(tblGJ[[#This Row],[Account Code]],tblCOA[Code],tblCOA[Account Name],"⚠ Invalid account")</f>
        <v>Output VAT (PPN Keluaran)</v>
      </c>
      <c r="F618" s="1" t="s">
        <v>6320</v>
      </c>
      <c r="G618" s="5"/>
      <c r="H618" s="5">
        <f>SUMIFS(tblSales[Output VAT],tblSales[Month],MONTH(tblGJ[[#This Row],[Date]]))</f>
        <v>107006900</v>
      </c>
      <c r="I618" s="1" t="s">
        <v>6532</v>
      </c>
      <c r="J618" s="1">
        <f>MONTH(tblGJ[[#This Row],[Date]])</f>
        <v>8</v>
      </c>
      <c r="K618" s="1" t="str">
        <f>_xlfn.XLOOKUP(tblGJ[[#This Row],[Account Code]],tblCOA[Code],tblCOA[FS Line],"")</f>
        <v>Taxes payable</v>
      </c>
      <c r="L618" s="121" t="str">
        <f>IF(OR(tblGJ[[#This Row],[Account Code]]=1120,tblGJ[[#This Row],[Account Code]]=1130),_xlfn.MINIFS(tblBank[Value Date],tblBank[Reference],tblGJ[[#This Row],[Voucher No]],tblBank[Account Code],tblGJ[[#This Row],[Account Code]]),"")</f>
        <v/>
      </c>
      <c r="M618" s="1" t="str">
        <f>IF(tblGJ[[#This Row],[Date]]&lt;=PEnd,"Yes","No")</f>
        <v>Yes</v>
      </c>
    </row>
    <row r="619" spans="2:13" x14ac:dyDescent="0.35">
      <c r="B619" s="109">
        <v>46265</v>
      </c>
      <c r="C619" s="1" t="s">
        <v>5846</v>
      </c>
      <c r="D619" s="1">
        <v>5100</v>
      </c>
      <c r="E619" s="1" t="str">
        <f>_xlfn.XLOOKUP(tblGJ[[#This Row],[Account Code]],tblCOA[Code],tblCOA[Account Name],"⚠ Invalid account")</f>
        <v>Cost of goods sold</v>
      </c>
      <c r="F619" s="1" t="s">
        <v>6321</v>
      </c>
      <c r="G619" s="5">
        <f>SUMIFS(tblSales[COGS],tblSales[Month],MONTH(tblGJ[[#This Row],[Date]]))</f>
        <v>582235000</v>
      </c>
      <c r="H619" s="5"/>
      <c r="I619" s="1" t="s">
        <v>6532</v>
      </c>
      <c r="J619" s="1">
        <f>MONTH(tblGJ[[#This Row],[Date]])</f>
        <v>8</v>
      </c>
      <c r="K619" s="1" t="str">
        <f>_xlfn.XLOOKUP(tblGJ[[#This Row],[Account Code]],tblCOA[Code],tblCOA[FS Line],"")</f>
        <v>Cost of revenue</v>
      </c>
      <c r="L619" s="121" t="str">
        <f>IF(OR(tblGJ[[#This Row],[Account Code]]=1120,tblGJ[[#This Row],[Account Code]]=1130),_xlfn.MINIFS(tblBank[Value Date],tblBank[Reference],tblGJ[[#This Row],[Voucher No]],tblBank[Account Code],tblGJ[[#This Row],[Account Code]]),"")</f>
        <v/>
      </c>
      <c r="M619" s="1" t="str">
        <f>IF(tblGJ[[#This Row],[Date]]&lt;=PEnd,"Yes","No")</f>
        <v>Yes</v>
      </c>
    </row>
    <row r="620" spans="2:13" x14ac:dyDescent="0.35">
      <c r="B620" s="109">
        <v>46265</v>
      </c>
      <c r="C620" s="1" t="s">
        <v>5846</v>
      </c>
      <c r="D620" s="1">
        <v>1310</v>
      </c>
      <c r="E620" s="1" t="str">
        <f>_xlfn.XLOOKUP(tblGJ[[#This Row],[Account Code]],tblCOA[Code],tblCOA[Account Name],"⚠ Invalid account")</f>
        <v>Merchandise inventory</v>
      </c>
      <c r="F620" s="1" t="s">
        <v>6322</v>
      </c>
      <c r="G620" s="5"/>
      <c r="H620" s="5">
        <f>SUMIFS(tblSales[COGS],tblSales[Month],MONTH(tblGJ[[#This Row],[Date]]))</f>
        <v>582235000</v>
      </c>
      <c r="I620" s="1" t="s">
        <v>6532</v>
      </c>
      <c r="J620" s="1">
        <f>MONTH(tblGJ[[#This Row],[Date]])</f>
        <v>8</v>
      </c>
      <c r="K620" s="1" t="str">
        <f>_xlfn.XLOOKUP(tblGJ[[#This Row],[Account Code]],tblCOA[Code],tblCOA[FS Line],"")</f>
        <v>Inventories</v>
      </c>
      <c r="L620" s="121" t="str">
        <f>IF(OR(tblGJ[[#This Row],[Account Code]]=1120,tblGJ[[#This Row],[Account Code]]=1130),_xlfn.MINIFS(tblBank[Value Date],tblBank[Reference],tblGJ[[#This Row],[Voucher No]],tblBank[Account Code],tblGJ[[#This Row],[Account Code]]),"")</f>
        <v/>
      </c>
      <c r="M620" s="1" t="str">
        <f>IF(tblGJ[[#This Row],[Date]]&lt;=PEnd,"Yes","No")</f>
        <v>Yes</v>
      </c>
    </row>
    <row r="621" spans="2:13" x14ac:dyDescent="0.35">
      <c r="B621" s="109">
        <v>46265</v>
      </c>
      <c r="C621" s="1" t="s">
        <v>5847</v>
      </c>
      <c r="D621" s="1">
        <v>1120</v>
      </c>
      <c r="E621" s="1" t="str">
        <f>_xlfn.XLOOKUP(tblGJ[[#This Row],[Account Code]],tblCOA[Code],tblCOA[Account Name],"⚠ Invalid account")</f>
        <v>Bank BCA - Current Account</v>
      </c>
      <c r="F621" s="1" t="s">
        <v>6323</v>
      </c>
      <c r="G621" s="5">
        <f>SUMIFS(tblSales[Total incl. VAT],tblSales[Month],MONTH(tblGJ[[#This Row],[Date]]),tblSales[Payment Method],Products!$O$13)</f>
        <v>184648500</v>
      </c>
      <c r="H621" s="5"/>
      <c r="I621" s="1" t="s">
        <v>6532</v>
      </c>
      <c r="J621" s="1">
        <f>MONTH(tblGJ[[#This Row],[Date]])</f>
        <v>8</v>
      </c>
      <c r="K621" s="1" t="str">
        <f>_xlfn.XLOOKUP(tblGJ[[#This Row],[Account Code]],tblCOA[Code],tblCOA[FS Line],"")</f>
        <v>Cash and cash equivalents</v>
      </c>
      <c r="L621" s="121">
        <f>IF(OR(tblGJ[[#This Row],[Account Code]]=1120,tblGJ[[#This Row],[Account Code]]=1130),_xlfn.MINIFS(tblBank[Value Date],tblBank[Reference],tblGJ[[#This Row],[Voucher No]],tblBank[Account Code],tblGJ[[#This Row],[Account Code]]),"")</f>
        <v>46265</v>
      </c>
      <c r="M621" s="1" t="str">
        <f>IF(tblGJ[[#This Row],[Date]]&lt;=PEnd,"Yes","No")</f>
        <v>Yes</v>
      </c>
    </row>
    <row r="622" spans="2:13" x14ac:dyDescent="0.35">
      <c r="B622" s="109">
        <v>46265</v>
      </c>
      <c r="C622" s="1" t="s">
        <v>5847</v>
      </c>
      <c r="D622" s="1">
        <v>1110</v>
      </c>
      <c r="E622" s="1" t="str">
        <f>_xlfn.XLOOKUP(tblGJ[[#This Row],[Account Code]],tblCOA[Code],tblCOA[Account Name],"⚠ Invalid account")</f>
        <v>Cash on Hand</v>
      </c>
      <c r="F622" s="1" t="s">
        <v>6323</v>
      </c>
      <c r="G622" s="5"/>
      <c r="H622" s="5">
        <f>SUMIFS(tblSales[Total incl. VAT],tblSales[Month],MONTH(tblGJ[[#This Row],[Date]]),tblSales[Payment Method],Products!$O$13)</f>
        <v>184648500</v>
      </c>
      <c r="I622" s="1" t="s">
        <v>6532</v>
      </c>
      <c r="J622" s="1">
        <f>MONTH(tblGJ[[#This Row],[Date]])</f>
        <v>8</v>
      </c>
      <c r="K622" s="1" t="str">
        <f>_xlfn.XLOOKUP(tblGJ[[#This Row],[Account Code]],tblCOA[Code],tblCOA[FS Line],"")</f>
        <v>Cash and cash equivalents</v>
      </c>
      <c r="L622" s="121" t="str">
        <f>IF(OR(tblGJ[[#This Row],[Account Code]]=1120,tblGJ[[#This Row],[Account Code]]=1130),_xlfn.MINIFS(tblBank[Value Date],tblBank[Reference],tblGJ[[#This Row],[Voucher No]],tblBank[Account Code],tblGJ[[#This Row],[Account Code]]),"")</f>
        <v/>
      </c>
      <c r="M622" s="1" t="str">
        <f>IF(tblGJ[[#This Row],[Date]]&lt;=PEnd,"Yes","No")</f>
        <v>Yes</v>
      </c>
    </row>
    <row r="623" spans="2:13" x14ac:dyDescent="0.35">
      <c r="B623" s="109">
        <v>46265</v>
      </c>
      <c r="C623" s="1" t="s">
        <v>5848</v>
      </c>
      <c r="D623" s="1">
        <v>1310</v>
      </c>
      <c r="E623" s="1" t="str">
        <f>_xlfn.XLOOKUP(tblGJ[[#This Row],[Account Code]],tblCOA[Code],tblCOA[Account Name],"⚠ Invalid account")</f>
        <v>Merchandise inventory</v>
      </c>
      <c r="F623" s="1" t="s">
        <v>6324</v>
      </c>
      <c r="G623" s="5">
        <f>SUMIFS(tblPurchases[DPP (excl. VAT)],tblPurchases[Account Code],tblGJ[[#This Row],[Account Code]],tblPurchases[Month],MONTH(tblGJ[[#This Row],[Date]]))</f>
        <v>566946000</v>
      </c>
      <c r="H623" s="5"/>
      <c r="I623" s="1" t="s">
        <v>6533</v>
      </c>
      <c r="J623" s="1">
        <f>MONTH(tblGJ[[#This Row],[Date]])</f>
        <v>8</v>
      </c>
      <c r="K623" s="1" t="str">
        <f>_xlfn.XLOOKUP(tblGJ[[#This Row],[Account Code]],tblCOA[Code],tblCOA[FS Line],"")</f>
        <v>Inventories</v>
      </c>
      <c r="L623" s="121" t="str">
        <f>IF(OR(tblGJ[[#This Row],[Account Code]]=1120,tblGJ[[#This Row],[Account Code]]=1130),_xlfn.MINIFS(tblBank[Value Date],tblBank[Reference],tblGJ[[#This Row],[Voucher No]],tblBank[Account Code],tblGJ[[#This Row],[Account Code]]),"")</f>
        <v/>
      </c>
      <c r="M623" s="1" t="str">
        <f>IF(tblGJ[[#This Row],[Date]]&lt;=PEnd,"Yes","No")</f>
        <v>Yes</v>
      </c>
    </row>
    <row r="624" spans="2:13" x14ac:dyDescent="0.35">
      <c r="B624" s="109">
        <v>46265</v>
      </c>
      <c r="C624" s="1" t="s">
        <v>5848</v>
      </c>
      <c r="D624" s="1">
        <v>1630</v>
      </c>
      <c r="E624" s="1" t="str">
        <f>_xlfn.XLOOKUP(tblGJ[[#This Row],[Account Code]],tblCOA[Code],tblCOA[Account Name],"⚠ Invalid account")</f>
        <v>Vehicles</v>
      </c>
      <c r="F624" s="1" t="s">
        <v>6324</v>
      </c>
      <c r="G624" s="5">
        <f>SUMIFS(tblPurchases[DPP (excl. VAT)],tblPurchases[Account Code],tblGJ[[#This Row],[Account Code]],tblPurchases[Month],MONTH(tblGJ[[#This Row],[Date]]))</f>
        <v>320000000</v>
      </c>
      <c r="H624" s="5"/>
      <c r="I624" s="1" t="s">
        <v>6533</v>
      </c>
      <c r="J624" s="1">
        <f>MONTH(tblGJ[[#This Row],[Date]])</f>
        <v>8</v>
      </c>
      <c r="K624" s="1" t="str">
        <f>_xlfn.XLOOKUP(tblGJ[[#This Row],[Account Code]],tblCOA[Code],tblCOA[FS Line],"")</f>
        <v>Fixed assets - net</v>
      </c>
      <c r="L624" s="121" t="str">
        <f>IF(OR(tblGJ[[#This Row],[Account Code]]=1120,tblGJ[[#This Row],[Account Code]]=1130),_xlfn.MINIFS(tblBank[Value Date],tblBank[Reference],tblGJ[[#This Row],[Voucher No]],tblBank[Account Code],tblGJ[[#This Row],[Account Code]]),"")</f>
        <v/>
      </c>
      <c r="M624" s="1" t="str">
        <f>IF(tblGJ[[#This Row],[Date]]&lt;=PEnd,"Yes","No")</f>
        <v>Yes</v>
      </c>
    </row>
    <row r="625" spans="2:13" x14ac:dyDescent="0.35">
      <c r="B625" s="109">
        <v>46265</v>
      </c>
      <c r="C625" s="1" t="s">
        <v>5848</v>
      </c>
      <c r="D625" s="1">
        <v>6120</v>
      </c>
      <c r="E625" s="1" t="str">
        <f>_xlfn.XLOOKUP(tblGJ[[#This Row],[Account Code]],tblCOA[Code],tblCOA[Account Name],"⚠ Invalid account")</f>
        <v>Advertising &amp; Promotion</v>
      </c>
      <c r="F625" s="1" t="s">
        <v>6324</v>
      </c>
      <c r="G625" s="5">
        <f>SUMIFS(tblPurchases[DPP (excl. VAT)],tblPurchases[Account Code],tblGJ[[#This Row],[Account Code]],tblPurchases[Month],MONTH(tblGJ[[#This Row],[Date]]))</f>
        <v>10701000</v>
      </c>
      <c r="H625" s="5"/>
      <c r="I625" s="1" t="s">
        <v>6533</v>
      </c>
      <c r="J625" s="1">
        <f>MONTH(tblGJ[[#This Row],[Date]])</f>
        <v>8</v>
      </c>
      <c r="K625" s="1" t="str">
        <f>_xlfn.XLOOKUP(tblGJ[[#This Row],[Account Code]],tblCOA[Code],tblCOA[FS Line],"")</f>
        <v>Selling expenses</v>
      </c>
      <c r="L625" s="121" t="str">
        <f>IF(OR(tblGJ[[#This Row],[Account Code]]=1120,tblGJ[[#This Row],[Account Code]]=1130),_xlfn.MINIFS(tblBank[Value Date],tblBank[Reference],tblGJ[[#This Row],[Voucher No]],tblBank[Account Code],tblGJ[[#This Row],[Account Code]]),"")</f>
        <v/>
      </c>
      <c r="M625" s="1" t="str">
        <f>IF(tblGJ[[#This Row],[Date]]&lt;=PEnd,"Yes","No")</f>
        <v>Yes</v>
      </c>
    </row>
    <row r="626" spans="2:13" x14ac:dyDescent="0.35">
      <c r="B626" s="109">
        <v>46265</v>
      </c>
      <c r="C626" s="1" t="s">
        <v>5848</v>
      </c>
      <c r="D626" s="1">
        <v>6130</v>
      </c>
      <c r="E626" s="1" t="str">
        <f>_xlfn.XLOOKUP(tblGJ[[#This Row],[Account Code]],tblCOA[Code],tblCOA[Account Name],"⚠ Invalid account")</f>
        <v>Marketplace &amp; Sales Commissions</v>
      </c>
      <c r="F626" s="1" t="s">
        <v>6324</v>
      </c>
      <c r="G626" s="5">
        <f>SUMIFS(tblPurchases[DPP (excl. VAT)],tblPurchases[Account Code],tblGJ[[#This Row],[Account Code]],tblPurchases[Month],MONTH(tblGJ[[#This Row],[Date]]))</f>
        <v>3261000</v>
      </c>
      <c r="H626" s="5"/>
      <c r="I626" s="1" t="s">
        <v>6533</v>
      </c>
      <c r="J626" s="1">
        <f>MONTH(tblGJ[[#This Row],[Date]])</f>
        <v>8</v>
      </c>
      <c r="K626" s="1" t="str">
        <f>_xlfn.XLOOKUP(tblGJ[[#This Row],[Account Code]],tblCOA[Code],tblCOA[FS Line],"")</f>
        <v>Selling expenses</v>
      </c>
      <c r="L626" s="121" t="str">
        <f>IF(OR(tblGJ[[#This Row],[Account Code]]=1120,tblGJ[[#This Row],[Account Code]]=1130),_xlfn.MINIFS(tblBank[Value Date],tblBank[Reference],tblGJ[[#This Row],[Voucher No]],tblBank[Account Code],tblGJ[[#This Row],[Account Code]]),"")</f>
        <v/>
      </c>
      <c r="M626" s="1" t="str">
        <f>IF(tblGJ[[#This Row],[Date]]&lt;=PEnd,"Yes","No")</f>
        <v>Yes</v>
      </c>
    </row>
    <row r="627" spans="2:13" x14ac:dyDescent="0.35">
      <c r="B627" s="109">
        <v>46265</v>
      </c>
      <c r="C627" s="1" t="s">
        <v>5848</v>
      </c>
      <c r="D627" s="1">
        <v>6140</v>
      </c>
      <c r="E627" s="1" t="str">
        <f>_xlfn.XLOOKUP(tblGJ[[#This Row],[Account Code]],tblCOA[Code],tblCOA[Account Name],"⚠ Invalid account")</f>
        <v>Shipping &amp; Delivery</v>
      </c>
      <c r="F627" s="1" t="s">
        <v>6324</v>
      </c>
      <c r="G627" s="5">
        <f>SUMIFS(tblPurchases[DPP (excl. VAT)],tblPurchases[Account Code],tblGJ[[#This Row],[Account Code]],tblPurchases[Month],MONTH(tblGJ[[#This Row],[Date]]))</f>
        <v>8755000</v>
      </c>
      <c r="H627" s="5"/>
      <c r="I627" s="1" t="s">
        <v>6533</v>
      </c>
      <c r="J627" s="1">
        <f>MONTH(tblGJ[[#This Row],[Date]])</f>
        <v>8</v>
      </c>
      <c r="K627" s="1" t="str">
        <f>_xlfn.XLOOKUP(tblGJ[[#This Row],[Account Code]],tblCOA[Code],tblCOA[FS Line],"")</f>
        <v>Selling expenses</v>
      </c>
      <c r="L627" s="121" t="str">
        <f>IF(OR(tblGJ[[#This Row],[Account Code]]=1120,tblGJ[[#This Row],[Account Code]]=1130),_xlfn.MINIFS(tblBank[Value Date],tblBank[Reference],tblGJ[[#This Row],[Voucher No]],tblBank[Account Code],tblGJ[[#This Row],[Account Code]]),"")</f>
        <v/>
      </c>
      <c r="M627" s="1" t="str">
        <f>IF(tblGJ[[#This Row],[Date]]&lt;=PEnd,"Yes","No")</f>
        <v>Yes</v>
      </c>
    </row>
    <row r="628" spans="2:13" x14ac:dyDescent="0.35">
      <c r="B628" s="109">
        <v>46265</v>
      </c>
      <c r="C628" s="1" t="s">
        <v>5848</v>
      </c>
      <c r="D628" s="1">
        <v>6230</v>
      </c>
      <c r="E628" s="1" t="str">
        <f>_xlfn.XLOOKUP(tblGJ[[#This Row],[Account Code]],tblCOA[Code],tblCOA[Account Name],"⚠ Invalid account")</f>
        <v>Utilities &amp; Telecommunication</v>
      </c>
      <c r="F628" s="1" t="s">
        <v>6324</v>
      </c>
      <c r="G628" s="5">
        <f>SUMIFS(tblPurchases[DPP (excl. VAT)],tblPurchases[Account Code],tblGJ[[#This Row],[Account Code]],tblPurchases[Month],MONTH(tblGJ[[#This Row],[Date]]))</f>
        <v>12966000</v>
      </c>
      <c r="H628" s="5"/>
      <c r="I628" s="1" t="s">
        <v>6533</v>
      </c>
      <c r="J628" s="1">
        <f>MONTH(tblGJ[[#This Row],[Date]])</f>
        <v>8</v>
      </c>
      <c r="K628" s="1" t="str">
        <f>_xlfn.XLOOKUP(tblGJ[[#This Row],[Account Code]],tblCOA[Code],tblCOA[FS Line],"")</f>
        <v>General &amp; administrative expenses</v>
      </c>
      <c r="L628" s="121" t="str">
        <f>IF(OR(tblGJ[[#This Row],[Account Code]]=1120,tblGJ[[#This Row],[Account Code]]=1130),_xlfn.MINIFS(tblBank[Value Date],tblBank[Reference],tblGJ[[#This Row],[Voucher No]],tblBank[Account Code],tblGJ[[#This Row],[Account Code]]),"")</f>
        <v/>
      </c>
      <c r="M628" s="1" t="str">
        <f>IF(tblGJ[[#This Row],[Date]]&lt;=PEnd,"Yes","No")</f>
        <v>Yes</v>
      </c>
    </row>
    <row r="629" spans="2:13" x14ac:dyDescent="0.35">
      <c r="B629" s="109">
        <v>46265</v>
      </c>
      <c r="C629" s="1" t="s">
        <v>5848</v>
      </c>
      <c r="D629" s="1">
        <v>6270</v>
      </c>
      <c r="E629" s="1" t="str">
        <f>_xlfn.XLOOKUP(tblGJ[[#This Row],[Account Code]],tblCOA[Code],tblCOA[Account Name],"⚠ Invalid account")</f>
        <v>Office Supplies</v>
      </c>
      <c r="F629" s="1" t="s">
        <v>6324</v>
      </c>
      <c r="G629" s="5">
        <f>SUMIFS(tblPurchases[DPP (excl. VAT)],tblPurchases[Account Code],tblGJ[[#This Row],[Account Code]],tblPurchases[Month],MONTH(tblGJ[[#This Row],[Date]]))</f>
        <v>2881000</v>
      </c>
      <c r="H629" s="5"/>
      <c r="I629" s="1" t="s">
        <v>6533</v>
      </c>
      <c r="J629" s="1">
        <f>MONTH(tblGJ[[#This Row],[Date]])</f>
        <v>8</v>
      </c>
      <c r="K629" s="1" t="str">
        <f>_xlfn.XLOOKUP(tblGJ[[#This Row],[Account Code]],tblCOA[Code],tblCOA[FS Line],"")</f>
        <v>General &amp; administrative expenses</v>
      </c>
      <c r="L629" s="121" t="str">
        <f>IF(OR(tblGJ[[#This Row],[Account Code]]=1120,tblGJ[[#This Row],[Account Code]]=1130),_xlfn.MINIFS(tblBank[Value Date],tblBank[Reference],tblGJ[[#This Row],[Voucher No]],tblBank[Account Code],tblGJ[[#This Row],[Account Code]]),"")</f>
        <v/>
      </c>
      <c r="M629" s="1" t="str">
        <f>IF(tblGJ[[#This Row],[Date]]&lt;=PEnd,"Yes","No")</f>
        <v>Yes</v>
      </c>
    </row>
    <row r="630" spans="2:13" x14ac:dyDescent="0.35">
      <c r="B630" s="109">
        <v>46265</v>
      </c>
      <c r="C630" s="1" t="s">
        <v>5848</v>
      </c>
      <c r="D630" s="1">
        <v>6295</v>
      </c>
      <c r="E630" s="1" t="str">
        <f>_xlfn.XLOOKUP(tblGJ[[#This Row],[Account Code]],tblCOA[Code],tblCOA[Account Name],"⚠ Invalid account")</f>
        <v>Repairs &amp; Maintenance</v>
      </c>
      <c r="F630" s="1" t="s">
        <v>6324</v>
      </c>
      <c r="G630" s="5">
        <f>SUMIFS(tblPurchases[DPP (excl. VAT)],tblPurchases[Account Code],tblGJ[[#This Row],[Account Code]],tblPurchases[Month],MONTH(tblGJ[[#This Row],[Date]]))</f>
        <v>4512000</v>
      </c>
      <c r="H630" s="5"/>
      <c r="I630" s="1" t="s">
        <v>6533</v>
      </c>
      <c r="J630" s="1">
        <f>MONTH(tblGJ[[#This Row],[Date]])</f>
        <v>8</v>
      </c>
      <c r="K630" s="1" t="str">
        <f>_xlfn.XLOOKUP(tblGJ[[#This Row],[Account Code]],tblCOA[Code],tblCOA[FS Line],"")</f>
        <v>General &amp; administrative expenses</v>
      </c>
      <c r="L630" s="121" t="str">
        <f>IF(OR(tblGJ[[#This Row],[Account Code]]=1120,tblGJ[[#This Row],[Account Code]]=1130),_xlfn.MINIFS(tblBank[Value Date],tblBank[Reference],tblGJ[[#This Row],[Voucher No]],tblBank[Account Code],tblGJ[[#This Row],[Account Code]]),"")</f>
        <v/>
      </c>
      <c r="M630" s="1" t="str">
        <f>IF(tblGJ[[#This Row],[Date]]&lt;=PEnd,"Yes","No")</f>
        <v>Yes</v>
      </c>
    </row>
    <row r="631" spans="2:13" x14ac:dyDescent="0.35">
      <c r="B631" s="109">
        <v>46265</v>
      </c>
      <c r="C631" s="1" t="s">
        <v>5848</v>
      </c>
      <c r="D631" s="1">
        <v>6296</v>
      </c>
      <c r="E631" s="1" t="str">
        <f>_xlfn.XLOOKUP(tblGJ[[#This Row],[Account Code]],tblCOA[Code],tblCOA[Account Name],"⚠ Invalid account")</f>
        <v>Entertainment &amp; Donations</v>
      </c>
      <c r="F631" s="1" t="s">
        <v>6324</v>
      </c>
      <c r="G631" s="5">
        <f>SUMIFS(tblPurchases[DPP (excl. VAT)],tblPurchases[Account Code],tblGJ[[#This Row],[Account Code]],tblPurchases[Month],MONTH(tblGJ[[#This Row],[Date]]))</f>
        <v>2152000</v>
      </c>
      <c r="H631" s="5"/>
      <c r="I631" s="1" t="s">
        <v>6533</v>
      </c>
      <c r="J631" s="1">
        <f>MONTH(tblGJ[[#This Row],[Date]])</f>
        <v>8</v>
      </c>
      <c r="K631" s="1" t="str">
        <f>_xlfn.XLOOKUP(tblGJ[[#This Row],[Account Code]],tblCOA[Code],tblCOA[FS Line],"")</f>
        <v>General &amp; administrative expenses</v>
      </c>
      <c r="L631" s="121" t="str">
        <f>IF(OR(tblGJ[[#This Row],[Account Code]]=1120,tblGJ[[#This Row],[Account Code]]=1130),_xlfn.MINIFS(tblBank[Value Date],tblBank[Reference],tblGJ[[#This Row],[Voucher No]],tblBank[Account Code],tblGJ[[#This Row],[Account Code]]),"")</f>
        <v/>
      </c>
      <c r="M631" s="1" t="str">
        <f>IF(tblGJ[[#This Row],[Date]]&lt;=PEnd,"Yes","No")</f>
        <v>Yes</v>
      </c>
    </row>
    <row r="632" spans="2:13" x14ac:dyDescent="0.35">
      <c r="B632" s="109">
        <v>46265</v>
      </c>
      <c r="C632" s="1" t="s">
        <v>5848</v>
      </c>
      <c r="D632" s="1">
        <v>1510</v>
      </c>
      <c r="E632" s="1" t="str">
        <f>_xlfn.XLOOKUP(tblGJ[[#This Row],[Account Code]],tblCOA[Code],tblCOA[Account Name],"⚠ Invalid account")</f>
        <v>Input VAT (PPN Masukan)</v>
      </c>
      <c r="F632" s="1" t="s">
        <v>6325</v>
      </c>
      <c r="G632" s="5">
        <f>SUMIFS(tblPurchases[Input VAT],tblPurchases[Month],MONTH(tblGJ[[#This Row],[Date]]))</f>
        <v>92134570</v>
      </c>
      <c r="H632" s="5"/>
      <c r="I632" s="1" t="s">
        <v>6533</v>
      </c>
      <c r="J632" s="1">
        <f>MONTH(tblGJ[[#This Row],[Date]])</f>
        <v>8</v>
      </c>
      <c r="K632" s="1" t="str">
        <f>_xlfn.XLOOKUP(tblGJ[[#This Row],[Account Code]],tblCOA[Code],tblCOA[FS Line],"")</f>
        <v>Prepaid taxes</v>
      </c>
      <c r="L632" s="121" t="str">
        <f>IF(OR(tblGJ[[#This Row],[Account Code]]=1120,tblGJ[[#This Row],[Account Code]]=1130),_xlfn.MINIFS(tblBank[Value Date],tblBank[Reference],tblGJ[[#This Row],[Voucher No]],tblBank[Account Code],tblGJ[[#This Row],[Account Code]]),"")</f>
        <v/>
      </c>
      <c r="M632" s="1" t="str">
        <f>IF(tblGJ[[#This Row],[Date]]&lt;=PEnd,"Yes","No")</f>
        <v>Yes</v>
      </c>
    </row>
    <row r="633" spans="2:13" x14ac:dyDescent="0.35">
      <c r="B633" s="109">
        <v>46265</v>
      </c>
      <c r="C633" s="1" t="s">
        <v>5848</v>
      </c>
      <c r="D633" s="1">
        <v>2240</v>
      </c>
      <c r="E633" s="1" t="str">
        <f>_xlfn.XLOOKUP(tblGJ[[#This Row],[Account Code]],tblCOA[Code],tblCOA[Account Name],"⚠ Invalid account")</f>
        <v>WHT Payable - Unifikasi (Art. 23/4(2))</v>
      </c>
      <c r="F633" s="1" t="s">
        <v>6326</v>
      </c>
      <c r="G633" s="5"/>
      <c r="H633" s="5">
        <f>SUMIFS(tblPurchases[WHT Amount],tblPurchases[Month],MONTH(tblGJ[[#This Row],[Date]]))</f>
        <v>544580</v>
      </c>
      <c r="I633" s="1" t="s">
        <v>6533</v>
      </c>
      <c r="J633" s="1">
        <f>MONTH(tblGJ[[#This Row],[Date]])</f>
        <v>8</v>
      </c>
      <c r="K633" s="1" t="str">
        <f>_xlfn.XLOOKUP(tblGJ[[#This Row],[Account Code]],tblCOA[Code],tblCOA[FS Line],"")</f>
        <v>Taxes payable</v>
      </c>
      <c r="L633" s="121" t="str">
        <f>IF(OR(tblGJ[[#This Row],[Account Code]]=1120,tblGJ[[#This Row],[Account Code]]=1130),_xlfn.MINIFS(tblBank[Value Date],tblBank[Reference],tblGJ[[#This Row],[Voucher No]],tblBank[Account Code],tblGJ[[#This Row],[Account Code]]),"")</f>
        <v/>
      </c>
      <c r="M633" s="1" t="str">
        <f>IF(tblGJ[[#This Row],[Date]]&lt;=PEnd,"Yes","No")</f>
        <v>Yes</v>
      </c>
    </row>
    <row r="634" spans="2:13" x14ac:dyDescent="0.35">
      <c r="B634" s="109">
        <v>46265</v>
      </c>
      <c r="C634" s="1" t="s">
        <v>5848</v>
      </c>
      <c r="D634" s="1">
        <v>2110</v>
      </c>
      <c r="E634" s="1" t="str">
        <f>_xlfn.XLOOKUP(tblGJ[[#This Row],[Account Code]],tblCOA[Code],tblCOA[Account Name],"⚠ Invalid account")</f>
        <v>Trade Payables</v>
      </c>
      <c r="F634" s="1" t="s">
        <v>6327</v>
      </c>
      <c r="G634" s="5"/>
      <c r="H634" s="5">
        <f>SUMIFS(tblPurchases[Total Payable],tblPurchases[Month],MONTH(tblGJ[[#This Row],[Date]]))</f>
        <v>1023763990</v>
      </c>
      <c r="I634" s="1" t="s">
        <v>6533</v>
      </c>
      <c r="J634" s="1">
        <f>MONTH(tblGJ[[#This Row],[Date]])</f>
        <v>8</v>
      </c>
      <c r="K634" s="1" t="str">
        <f>_xlfn.XLOOKUP(tblGJ[[#This Row],[Account Code]],tblCOA[Code],tblCOA[FS Line],"")</f>
        <v>Trade payables</v>
      </c>
      <c r="L634" s="121" t="str">
        <f>IF(OR(tblGJ[[#This Row],[Account Code]]=1120,tblGJ[[#This Row],[Account Code]]=1130),_xlfn.MINIFS(tblBank[Value Date],tblBank[Reference],tblGJ[[#This Row],[Voucher No]],tblBank[Account Code],tblGJ[[#This Row],[Account Code]]),"")</f>
        <v/>
      </c>
      <c r="M634" s="1" t="str">
        <f>IF(tblGJ[[#This Row],[Date]]&lt;=PEnd,"Yes","No")</f>
        <v>Yes</v>
      </c>
    </row>
    <row r="635" spans="2:13" x14ac:dyDescent="0.35">
      <c r="B635" s="109">
        <v>46265</v>
      </c>
      <c r="C635" s="1" t="s">
        <v>5849</v>
      </c>
      <c r="D635" s="1">
        <v>2110</v>
      </c>
      <c r="E635" s="1" t="str">
        <f>_xlfn.XLOOKUP(tblGJ[[#This Row],[Account Code]],tblCOA[Code],tblCOA[Account Name],"⚠ Invalid account")</f>
        <v>Trade Payables</v>
      </c>
      <c r="F635" s="1" t="s">
        <v>6328</v>
      </c>
      <c r="G635" s="5">
        <f>SUMIFS(tblPurchases[Total Payable],tblPurchases[Pay Month],MONTH(tblGJ[[#This Row],[Date]]),tblPurchases[Paid From],1120)</f>
        <v>1259751860</v>
      </c>
      <c r="H635" s="5"/>
      <c r="I635" s="1" t="s">
        <v>6529</v>
      </c>
      <c r="J635" s="1">
        <f>MONTH(tblGJ[[#This Row],[Date]])</f>
        <v>8</v>
      </c>
      <c r="K635" s="1" t="str">
        <f>_xlfn.XLOOKUP(tblGJ[[#This Row],[Account Code]],tblCOA[Code],tblCOA[FS Line],"")</f>
        <v>Trade payables</v>
      </c>
      <c r="L635" s="121" t="str">
        <f>IF(OR(tblGJ[[#This Row],[Account Code]]=1120,tblGJ[[#This Row],[Account Code]]=1130),_xlfn.MINIFS(tblBank[Value Date],tblBank[Reference],tblGJ[[#This Row],[Voucher No]],tblBank[Account Code],tblGJ[[#This Row],[Account Code]]),"")</f>
        <v/>
      </c>
      <c r="M635" s="1" t="str">
        <f>IF(tblGJ[[#This Row],[Date]]&lt;=PEnd,"Yes","No")</f>
        <v>Yes</v>
      </c>
    </row>
    <row r="636" spans="2:13" x14ac:dyDescent="0.35">
      <c r="B636" s="109">
        <v>46265</v>
      </c>
      <c r="C636" s="1" t="s">
        <v>5849</v>
      </c>
      <c r="D636" s="1">
        <v>1120</v>
      </c>
      <c r="E636" s="1" t="str">
        <f>_xlfn.XLOOKUP(tblGJ[[#This Row],[Account Code]],tblCOA[Code],tblCOA[Account Name],"⚠ Invalid account")</f>
        <v>Bank BCA - Current Account</v>
      </c>
      <c r="F636" s="1" t="s">
        <v>6328</v>
      </c>
      <c r="G636" s="5"/>
      <c r="H636" s="5">
        <f>SUMIFS(tblPurchases[Total Payable],tblPurchases[Pay Month],MONTH(tblGJ[[#This Row],[Date]]),tblPurchases[Paid From],1120)</f>
        <v>1259751860</v>
      </c>
      <c r="I636" s="1" t="s">
        <v>6529</v>
      </c>
      <c r="J636" s="1">
        <f>MONTH(tblGJ[[#This Row],[Date]])</f>
        <v>8</v>
      </c>
      <c r="K636" s="1" t="str">
        <f>_xlfn.XLOOKUP(tblGJ[[#This Row],[Account Code]],tblCOA[Code],tblCOA[FS Line],"")</f>
        <v>Cash and cash equivalents</v>
      </c>
      <c r="L636" s="121">
        <f>IF(OR(tblGJ[[#This Row],[Account Code]]=1120,tblGJ[[#This Row],[Account Code]]=1130),_xlfn.MINIFS(tblBank[Value Date],tblBank[Reference],tblGJ[[#This Row],[Voucher No]],tblBank[Account Code],tblGJ[[#This Row],[Account Code]]),"")</f>
        <v>46265</v>
      </c>
      <c r="M636" s="1" t="str">
        <f>IF(tblGJ[[#This Row],[Date]]&lt;=PEnd,"Yes","No")</f>
        <v>Yes</v>
      </c>
    </row>
    <row r="637" spans="2:13" x14ac:dyDescent="0.35">
      <c r="B637" s="109">
        <v>46265</v>
      </c>
      <c r="C637" s="1" t="s">
        <v>5850</v>
      </c>
      <c r="D637" s="1">
        <v>2210</v>
      </c>
      <c r="E637" s="1" t="str">
        <f>_xlfn.XLOOKUP(tblGJ[[#This Row],[Account Code]],tblCOA[Code],tblCOA[Account Name],"⚠ Invalid account")</f>
        <v>Output VAT (PPN Keluaran)</v>
      </c>
      <c r="F637" s="1" t="s">
        <v>6329</v>
      </c>
      <c r="G637" s="5">
        <f>SUMIFS(tblSales[Output VAT],tblSales[Month],MONTH(tblGJ[[#This Row],[Date]]))</f>
        <v>107006900</v>
      </c>
      <c r="H637" s="5"/>
      <c r="I637" s="1" t="s">
        <v>6528</v>
      </c>
      <c r="J637" s="1">
        <f>MONTH(tblGJ[[#This Row],[Date]])</f>
        <v>8</v>
      </c>
      <c r="K637" s="1" t="str">
        <f>_xlfn.XLOOKUP(tblGJ[[#This Row],[Account Code]],tblCOA[Code],tblCOA[FS Line],"")</f>
        <v>Taxes payable</v>
      </c>
      <c r="L637" s="121" t="str">
        <f>IF(OR(tblGJ[[#This Row],[Account Code]]=1120,tblGJ[[#This Row],[Account Code]]=1130),_xlfn.MINIFS(tblBank[Value Date],tblBank[Reference],tblGJ[[#This Row],[Voucher No]],tblBank[Account Code],tblGJ[[#This Row],[Account Code]]),"")</f>
        <v/>
      </c>
      <c r="M637" s="1" t="str">
        <f>IF(tblGJ[[#This Row],[Date]]&lt;=PEnd,"Yes","No")</f>
        <v>Yes</v>
      </c>
    </row>
    <row r="638" spans="2:13" x14ac:dyDescent="0.35">
      <c r="B638" s="109">
        <v>46265</v>
      </c>
      <c r="C638" s="1" t="s">
        <v>5850</v>
      </c>
      <c r="D638" s="1">
        <v>1510</v>
      </c>
      <c r="E638" s="1" t="str">
        <f>_xlfn.XLOOKUP(tblGJ[[#This Row],[Account Code]],tblCOA[Code],tblCOA[Account Name],"⚠ Invalid account")</f>
        <v>Input VAT (PPN Masukan)</v>
      </c>
      <c r="F638" s="1" t="s">
        <v>6330</v>
      </c>
      <c r="G638" s="5"/>
      <c r="H638" s="5">
        <f>SUMIFS(tblPurchases[Input VAT],tblPurchases[Month],MONTH(tblGJ[[#This Row],[Date]]))</f>
        <v>92134570</v>
      </c>
      <c r="I638" s="1" t="s">
        <v>6528</v>
      </c>
      <c r="J638" s="1">
        <f>MONTH(tblGJ[[#This Row],[Date]])</f>
        <v>8</v>
      </c>
      <c r="K638" s="1" t="str">
        <f>_xlfn.XLOOKUP(tblGJ[[#This Row],[Account Code]],tblCOA[Code],tblCOA[FS Line],"")</f>
        <v>Prepaid taxes</v>
      </c>
      <c r="L638" s="121" t="str">
        <f>IF(OR(tblGJ[[#This Row],[Account Code]]=1120,tblGJ[[#This Row],[Account Code]]=1130),_xlfn.MINIFS(tblBank[Value Date],tblBank[Reference],tblGJ[[#This Row],[Voucher No]],tblBank[Account Code],tblGJ[[#This Row],[Account Code]]),"")</f>
        <v/>
      </c>
      <c r="M638" s="1" t="str">
        <f>IF(tblGJ[[#This Row],[Date]]&lt;=PEnd,"Yes","No")</f>
        <v>Yes</v>
      </c>
    </row>
    <row r="639" spans="2:13" x14ac:dyDescent="0.35">
      <c r="B639" s="109">
        <v>46265</v>
      </c>
      <c r="C639" s="1" t="s">
        <v>5850</v>
      </c>
      <c r="D639" s="1">
        <v>2220</v>
      </c>
      <c r="E639" s="1" t="str">
        <f>_xlfn.XLOOKUP(tblGJ[[#This Row],[Account Code]],tblCOA[Code],tblCOA[Account Name],"⚠ Invalid account")</f>
        <v>VAT Payable - Net</v>
      </c>
      <c r="F639" s="1" t="s">
        <v>6331</v>
      </c>
      <c r="G639" s="5"/>
      <c r="H639" s="5">
        <f>SUMIFS(tblSales[Output VAT],tblSales[Month],MONTH(tblGJ[[#This Row],[Date]]))-SUMIFS(tblPurchases[Input VAT],tblPurchases[Month],MONTH(tblGJ[[#This Row],[Date]]))</f>
        <v>14872330</v>
      </c>
      <c r="I639" s="1" t="s">
        <v>6528</v>
      </c>
      <c r="J639" s="1">
        <f>MONTH(tblGJ[[#This Row],[Date]])</f>
        <v>8</v>
      </c>
      <c r="K639" s="1" t="str">
        <f>_xlfn.XLOOKUP(tblGJ[[#This Row],[Account Code]],tblCOA[Code],tblCOA[FS Line],"")</f>
        <v>Taxes payable</v>
      </c>
      <c r="L639" s="121" t="str">
        <f>IF(OR(tblGJ[[#This Row],[Account Code]]=1120,tblGJ[[#This Row],[Account Code]]=1130),_xlfn.MINIFS(tblBank[Value Date],tblBank[Reference],tblGJ[[#This Row],[Voucher No]],tblBank[Account Code],tblGJ[[#This Row],[Account Code]]),"")</f>
        <v/>
      </c>
      <c r="M639" s="1" t="str">
        <f>IF(tblGJ[[#This Row],[Date]]&lt;=PEnd,"Yes","No")</f>
        <v>Yes</v>
      </c>
    </row>
    <row r="640" spans="2:13" x14ac:dyDescent="0.35">
      <c r="B640" s="109">
        <v>46265</v>
      </c>
      <c r="C640" s="1" t="s">
        <v>5851</v>
      </c>
      <c r="D640" s="1">
        <v>6240</v>
      </c>
      <c r="E640" s="1" t="str">
        <f>_xlfn.XLOOKUP(tblGJ[[#This Row],[Account Code]],tblCOA[Code],tblCOA[Account Name],"⚠ Invalid account")</f>
        <v>Depreciation Expense</v>
      </c>
      <c r="F640" s="1" t="s">
        <v>6332</v>
      </c>
      <c r="G640" s="5">
        <f>SUMIFS(INDEX(tblFA[[Jan]:[Dec]],0,MONTH(tblGJ[[#This Row],[Date]])),tblFA[Expense Account],tblGJ[[#This Row],[Account Code]])</f>
        <v>31458333</v>
      </c>
      <c r="H640" s="5"/>
      <c r="I640" s="1" t="s">
        <v>6534</v>
      </c>
      <c r="J640" s="1">
        <f>MONTH(tblGJ[[#This Row],[Date]])</f>
        <v>8</v>
      </c>
      <c r="K640" s="1" t="str">
        <f>_xlfn.XLOOKUP(tblGJ[[#This Row],[Account Code]],tblCOA[Code],tblCOA[FS Line],"")</f>
        <v>General &amp; administrative expenses</v>
      </c>
      <c r="L640" s="121" t="str">
        <f>IF(OR(tblGJ[[#This Row],[Account Code]]=1120,tblGJ[[#This Row],[Account Code]]=1130),_xlfn.MINIFS(tblBank[Value Date],tblBank[Reference],tblGJ[[#This Row],[Voucher No]],tblBank[Account Code],tblGJ[[#This Row],[Account Code]]),"")</f>
        <v/>
      </c>
      <c r="M640" s="1" t="str">
        <f>IF(tblGJ[[#This Row],[Date]]&lt;=PEnd,"Yes","No")</f>
        <v>Yes</v>
      </c>
    </row>
    <row r="641" spans="2:13" x14ac:dyDescent="0.35">
      <c r="B641" s="109">
        <v>46265</v>
      </c>
      <c r="C641" s="1" t="s">
        <v>5851</v>
      </c>
      <c r="D641" s="1">
        <v>6250</v>
      </c>
      <c r="E641" s="1" t="str">
        <f>_xlfn.XLOOKUP(tblGJ[[#This Row],[Account Code]],tblCOA[Code],tblCOA[Account Name],"⚠ Invalid account")</f>
        <v>Amortization Expense - Software</v>
      </c>
      <c r="F641" s="1" t="s">
        <v>6333</v>
      </c>
      <c r="G641" s="5">
        <f>SUMIFS(INDEX(tblFA[[Jan]:[Dec]],0,MONTH(tblGJ[[#This Row],[Date]])),tblFA[Expense Account],tblGJ[[#This Row],[Account Code]])</f>
        <v>5000000</v>
      </c>
      <c r="H641" s="5"/>
      <c r="I641" s="1" t="s">
        <v>6534</v>
      </c>
      <c r="J641" s="1">
        <f>MONTH(tblGJ[[#This Row],[Date]])</f>
        <v>8</v>
      </c>
      <c r="K641" s="1" t="str">
        <f>_xlfn.XLOOKUP(tblGJ[[#This Row],[Account Code]],tblCOA[Code],tblCOA[FS Line],"")</f>
        <v>General &amp; administrative expenses</v>
      </c>
      <c r="L641" s="121" t="str">
        <f>IF(OR(tblGJ[[#This Row],[Account Code]]=1120,tblGJ[[#This Row],[Account Code]]=1130),_xlfn.MINIFS(tblBank[Value Date],tblBank[Reference],tblGJ[[#This Row],[Voucher No]],tblBank[Account Code],tblGJ[[#This Row],[Account Code]]),"")</f>
        <v/>
      </c>
      <c r="M641" s="1" t="str">
        <f>IF(tblGJ[[#This Row],[Date]]&lt;=PEnd,"Yes","No")</f>
        <v>Yes</v>
      </c>
    </row>
    <row r="642" spans="2:13" x14ac:dyDescent="0.35">
      <c r="B642" s="109">
        <v>46265</v>
      </c>
      <c r="C642" s="1" t="s">
        <v>5851</v>
      </c>
      <c r="D642" s="1">
        <v>1691</v>
      </c>
      <c r="E642" s="1" t="str">
        <f>_xlfn.XLOOKUP(tblGJ[[#This Row],[Account Code]],tblCOA[Code],tblCOA[Account Name],"⚠ Invalid account")</f>
        <v>Acc. Depreciation - Buildings</v>
      </c>
      <c r="F642" s="1" t="s">
        <v>6334</v>
      </c>
      <c r="G642" s="5"/>
      <c r="H642" s="5">
        <f>SUMIFS(INDEX(tblFA[[Jan]:[Dec]],0,MONTH(tblGJ[[#This Row],[Date]])),tblFA[Acc. Dep. Account],tblGJ[[#This Row],[Account Code]])</f>
        <v>7500000</v>
      </c>
      <c r="I642" s="1" t="s">
        <v>6534</v>
      </c>
      <c r="J642" s="1">
        <f>MONTH(tblGJ[[#This Row],[Date]])</f>
        <v>8</v>
      </c>
      <c r="K642" s="1" t="str">
        <f>_xlfn.XLOOKUP(tblGJ[[#This Row],[Account Code]],tblCOA[Code],tblCOA[FS Line],"")</f>
        <v>Fixed assets - net</v>
      </c>
      <c r="L642" s="121" t="str">
        <f>IF(OR(tblGJ[[#This Row],[Account Code]]=1120,tblGJ[[#This Row],[Account Code]]=1130),_xlfn.MINIFS(tblBank[Value Date],tblBank[Reference],tblGJ[[#This Row],[Voucher No]],tblBank[Account Code],tblGJ[[#This Row],[Account Code]]),"")</f>
        <v/>
      </c>
      <c r="M642" s="1" t="str">
        <f>IF(tblGJ[[#This Row],[Date]]&lt;=PEnd,"Yes","No")</f>
        <v>Yes</v>
      </c>
    </row>
    <row r="643" spans="2:13" x14ac:dyDescent="0.35">
      <c r="B643" s="109">
        <v>46265</v>
      </c>
      <c r="C643" s="1" t="s">
        <v>5851</v>
      </c>
      <c r="D643" s="1">
        <v>1693</v>
      </c>
      <c r="E643" s="1" t="str">
        <f>_xlfn.XLOOKUP(tblGJ[[#This Row],[Account Code]],tblCOA[Code],tblCOA[Account Name],"⚠ Invalid account")</f>
        <v>Acc. Depreciation - Vehicles</v>
      </c>
      <c r="F643" s="1" t="s">
        <v>6334</v>
      </c>
      <c r="G643" s="5"/>
      <c r="H643" s="5">
        <f>SUMIFS(INDEX(tblFA[[Jan]:[Dec]],0,MONTH(tblGJ[[#This Row],[Date]])),tblFA[Acc. Dep. Account],tblGJ[[#This Row],[Account Code]])</f>
        <v>10625000</v>
      </c>
      <c r="I643" s="1" t="s">
        <v>6534</v>
      </c>
      <c r="J643" s="1">
        <f>MONTH(tblGJ[[#This Row],[Date]])</f>
        <v>8</v>
      </c>
      <c r="K643" s="1" t="str">
        <f>_xlfn.XLOOKUP(tblGJ[[#This Row],[Account Code]],tblCOA[Code],tblCOA[FS Line],"")</f>
        <v>Fixed assets - net</v>
      </c>
      <c r="L643" s="121" t="str">
        <f>IF(OR(tblGJ[[#This Row],[Account Code]]=1120,tblGJ[[#This Row],[Account Code]]=1130),_xlfn.MINIFS(tblBank[Value Date],tblBank[Reference],tblGJ[[#This Row],[Voucher No]],tblBank[Account Code],tblGJ[[#This Row],[Account Code]]),"")</f>
        <v/>
      </c>
      <c r="M643" s="1" t="str">
        <f>IF(tblGJ[[#This Row],[Date]]&lt;=PEnd,"Yes","No")</f>
        <v>Yes</v>
      </c>
    </row>
    <row r="644" spans="2:13" x14ac:dyDescent="0.35">
      <c r="B644" s="109">
        <v>46265</v>
      </c>
      <c r="C644" s="1" t="s">
        <v>5851</v>
      </c>
      <c r="D644" s="1">
        <v>1694</v>
      </c>
      <c r="E644" s="1" t="str">
        <f>_xlfn.XLOOKUP(tblGJ[[#This Row],[Account Code]],tblCOA[Code],tblCOA[Account Name],"⚠ Invalid account")</f>
        <v>Acc. Depreciation - Machinery &amp; Equipment</v>
      </c>
      <c r="F644" s="1" t="s">
        <v>6334</v>
      </c>
      <c r="G644" s="5"/>
      <c r="H644" s="5">
        <f>SUMIFS(INDEX(tblFA[[Jan]:[Dec]],0,MONTH(tblGJ[[#This Row],[Date]])),tblFA[Acc. Dep. Account],tblGJ[[#This Row],[Account Code]])</f>
        <v>10208333</v>
      </c>
      <c r="I644" s="1" t="s">
        <v>6534</v>
      </c>
      <c r="J644" s="1">
        <f>MONTH(tblGJ[[#This Row],[Date]])</f>
        <v>8</v>
      </c>
      <c r="K644" s="1" t="str">
        <f>_xlfn.XLOOKUP(tblGJ[[#This Row],[Account Code]],tblCOA[Code],tblCOA[FS Line],"")</f>
        <v>Fixed assets - net</v>
      </c>
      <c r="L644" s="121" t="str">
        <f>IF(OR(tblGJ[[#This Row],[Account Code]]=1120,tblGJ[[#This Row],[Account Code]]=1130),_xlfn.MINIFS(tblBank[Value Date],tblBank[Reference],tblGJ[[#This Row],[Voucher No]],tblBank[Account Code],tblGJ[[#This Row],[Account Code]]),"")</f>
        <v/>
      </c>
      <c r="M644" s="1" t="str">
        <f>IF(tblGJ[[#This Row],[Date]]&lt;=PEnd,"Yes","No")</f>
        <v>Yes</v>
      </c>
    </row>
    <row r="645" spans="2:13" x14ac:dyDescent="0.35">
      <c r="B645" s="109">
        <v>46265</v>
      </c>
      <c r="C645" s="1" t="s">
        <v>5851</v>
      </c>
      <c r="D645" s="1">
        <v>1695</v>
      </c>
      <c r="E645" s="1" t="str">
        <f>_xlfn.XLOOKUP(tblGJ[[#This Row],[Account Code]],tblCOA[Code],tblCOA[Account Name],"⚠ Invalid account")</f>
        <v>Acc. Depreciation - Office Furniture &amp; Equipment</v>
      </c>
      <c r="F645" s="1" t="s">
        <v>6334</v>
      </c>
      <c r="G645" s="5"/>
      <c r="H645" s="5">
        <f>SUMIFS(INDEX(tblFA[[Jan]:[Dec]],0,MONTH(tblGJ[[#This Row],[Date]])),tblFA[Acc. Dep. Account],tblGJ[[#This Row],[Account Code]])</f>
        <v>3125000</v>
      </c>
      <c r="I645" s="1" t="s">
        <v>6534</v>
      </c>
      <c r="J645" s="1">
        <f>MONTH(tblGJ[[#This Row],[Date]])</f>
        <v>8</v>
      </c>
      <c r="K645" s="1" t="str">
        <f>_xlfn.XLOOKUP(tblGJ[[#This Row],[Account Code]],tblCOA[Code],tblCOA[FS Line],"")</f>
        <v>Fixed assets - net</v>
      </c>
      <c r="L645" s="121" t="str">
        <f>IF(OR(tblGJ[[#This Row],[Account Code]]=1120,tblGJ[[#This Row],[Account Code]]=1130),_xlfn.MINIFS(tblBank[Value Date],tblBank[Reference],tblGJ[[#This Row],[Voucher No]],tblBank[Account Code],tblGJ[[#This Row],[Account Code]]),"")</f>
        <v/>
      </c>
      <c r="M645" s="1" t="str">
        <f>IF(tblGJ[[#This Row],[Date]]&lt;=PEnd,"Yes","No")</f>
        <v>Yes</v>
      </c>
    </row>
    <row r="646" spans="2:13" x14ac:dyDescent="0.35">
      <c r="B646" s="109">
        <v>46265</v>
      </c>
      <c r="C646" s="1" t="s">
        <v>5851</v>
      </c>
      <c r="D646" s="1">
        <v>1719</v>
      </c>
      <c r="E646" s="1" t="str">
        <f>_xlfn.XLOOKUP(tblGJ[[#This Row],[Account Code]],tblCOA[Code],tblCOA[Account Name],"⚠ Invalid account")</f>
        <v>Acc. Amortization - Software</v>
      </c>
      <c r="F646" s="1" t="s">
        <v>6334</v>
      </c>
      <c r="G646" s="5"/>
      <c r="H646" s="5">
        <f>SUMIFS(INDEX(tblFA[[Jan]:[Dec]],0,MONTH(tblGJ[[#This Row],[Date]])),tblFA[Acc. Dep. Account],tblGJ[[#This Row],[Account Code]])</f>
        <v>5000000</v>
      </c>
      <c r="I646" s="1" t="s">
        <v>6534</v>
      </c>
      <c r="J646" s="1">
        <f>MONTH(tblGJ[[#This Row],[Date]])</f>
        <v>8</v>
      </c>
      <c r="K646" s="1" t="str">
        <f>_xlfn.XLOOKUP(tblGJ[[#This Row],[Account Code]],tblCOA[Code],tblCOA[FS Line],"")</f>
        <v>Intangible assets - net</v>
      </c>
      <c r="L646" s="121" t="str">
        <f>IF(OR(tblGJ[[#This Row],[Account Code]]=1120,tblGJ[[#This Row],[Account Code]]=1130),_xlfn.MINIFS(tblBank[Value Date],tblBank[Reference],tblGJ[[#This Row],[Voucher No]],tblBank[Account Code],tblGJ[[#This Row],[Account Code]]),"")</f>
        <v/>
      </c>
      <c r="M646" s="1" t="str">
        <f>IF(tblGJ[[#This Row],[Date]]&lt;=PEnd,"Yes","No")</f>
        <v>Yes</v>
      </c>
    </row>
    <row r="647" spans="2:13" x14ac:dyDescent="0.35">
      <c r="B647" s="109">
        <v>46265</v>
      </c>
      <c r="C647" s="1" t="s">
        <v>5852</v>
      </c>
      <c r="D647" s="1">
        <v>6220</v>
      </c>
      <c r="E647" s="1" t="str">
        <f>_xlfn.XLOOKUP(tblGJ[[#This Row],[Account Code]],tblCOA[Code],tblCOA[Account Name],"⚠ Invalid account")</f>
        <v>Rent Expense</v>
      </c>
      <c r="F647" s="1" t="s">
        <v>6335</v>
      </c>
      <c r="G647" s="5">
        <f>SUMIFS(INDEX(tblPrepaid[[Jan]:[Dec]],0,MONTH(tblGJ[[#This Row],[Date]])),tblPrepaid[Expense Account],tblGJ[[#This Row],[Account Code]])</f>
        <v>11000000</v>
      </c>
      <c r="H647" s="5"/>
      <c r="I647" s="1" t="s">
        <v>6535</v>
      </c>
      <c r="J647" s="1">
        <f>MONTH(tblGJ[[#This Row],[Date]])</f>
        <v>8</v>
      </c>
      <c r="K647" s="1" t="str">
        <f>_xlfn.XLOOKUP(tblGJ[[#This Row],[Account Code]],tblCOA[Code],tblCOA[FS Line],"")</f>
        <v>General &amp; administrative expenses</v>
      </c>
      <c r="L647" s="121" t="str">
        <f>IF(OR(tblGJ[[#This Row],[Account Code]]=1120,tblGJ[[#This Row],[Account Code]]=1130),_xlfn.MINIFS(tblBank[Value Date],tblBank[Reference],tblGJ[[#This Row],[Voucher No]],tblBank[Account Code],tblGJ[[#This Row],[Account Code]]),"")</f>
        <v/>
      </c>
      <c r="M647" s="1" t="str">
        <f>IF(tblGJ[[#This Row],[Date]]&lt;=PEnd,"Yes","No")</f>
        <v>Yes</v>
      </c>
    </row>
    <row r="648" spans="2:13" x14ac:dyDescent="0.35">
      <c r="B648" s="109">
        <v>46265</v>
      </c>
      <c r="C648" s="1" t="s">
        <v>5852</v>
      </c>
      <c r="D648" s="1">
        <v>6260</v>
      </c>
      <c r="E648" s="1" t="str">
        <f>_xlfn.XLOOKUP(tblGJ[[#This Row],[Account Code]],tblCOA[Code],tblCOA[Account Name],"⚠ Invalid account")</f>
        <v>Insurance Expense</v>
      </c>
      <c r="F648" s="1" t="s">
        <v>6335</v>
      </c>
      <c r="G648" s="5">
        <f>SUMIFS(INDEX(tblPrepaid[[Jan]:[Dec]],0,MONTH(tblGJ[[#This Row],[Date]])),tblPrepaid[Expense Account],tblGJ[[#This Row],[Account Code]])</f>
        <v>2500000</v>
      </c>
      <c r="H648" s="5"/>
      <c r="I648" s="1" t="s">
        <v>6535</v>
      </c>
      <c r="J648" s="1">
        <f>MONTH(tblGJ[[#This Row],[Date]])</f>
        <v>8</v>
      </c>
      <c r="K648" s="1" t="str">
        <f>_xlfn.XLOOKUP(tblGJ[[#This Row],[Account Code]],tblCOA[Code],tblCOA[FS Line],"")</f>
        <v>General &amp; administrative expenses</v>
      </c>
      <c r="L648" s="121" t="str">
        <f>IF(OR(tblGJ[[#This Row],[Account Code]]=1120,tblGJ[[#This Row],[Account Code]]=1130),_xlfn.MINIFS(tblBank[Value Date],tblBank[Reference],tblGJ[[#This Row],[Voucher No]],tblBank[Account Code],tblGJ[[#This Row],[Account Code]]),"")</f>
        <v/>
      </c>
      <c r="M648" s="1" t="str">
        <f>IF(tblGJ[[#This Row],[Date]]&lt;=PEnd,"Yes","No")</f>
        <v>Yes</v>
      </c>
    </row>
    <row r="649" spans="2:13" x14ac:dyDescent="0.35">
      <c r="B649" s="109">
        <v>46265</v>
      </c>
      <c r="C649" s="1" t="s">
        <v>5852</v>
      </c>
      <c r="D649" s="1">
        <v>6265</v>
      </c>
      <c r="E649" s="1" t="str">
        <f>_xlfn.XLOOKUP(tblGJ[[#This Row],[Account Code]],tblCOA[Code],tblCOA[Account Name],"⚠ Invalid account")</f>
        <v>Software Subscription Expense</v>
      </c>
      <c r="F649" s="1" t="s">
        <v>6335</v>
      </c>
      <c r="G649" s="5">
        <f>SUMIFS(INDEX(tblPrepaid[[Jan]:[Dec]],0,MONTH(tblGJ[[#This Row],[Date]])),tblPrepaid[Expense Account],tblGJ[[#This Row],[Account Code]])</f>
        <v>6000000</v>
      </c>
      <c r="H649" s="5"/>
      <c r="I649" s="1" t="s">
        <v>6535</v>
      </c>
      <c r="J649" s="1">
        <f>MONTH(tblGJ[[#This Row],[Date]])</f>
        <v>8</v>
      </c>
      <c r="K649" s="1" t="str">
        <f>_xlfn.XLOOKUP(tblGJ[[#This Row],[Account Code]],tblCOA[Code],tblCOA[FS Line],"")</f>
        <v>General &amp; administrative expenses</v>
      </c>
      <c r="L649" s="121" t="str">
        <f>IF(OR(tblGJ[[#This Row],[Account Code]]=1120,tblGJ[[#This Row],[Account Code]]=1130),_xlfn.MINIFS(tblBank[Value Date],tblBank[Reference],tblGJ[[#This Row],[Voucher No]],tblBank[Account Code],tblGJ[[#This Row],[Account Code]]),"")</f>
        <v/>
      </c>
      <c r="M649" s="1" t="str">
        <f>IF(tblGJ[[#This Row],[Date]]&lt;=PEnd,"Yes","No")</f>
        <v>Yes</v>
      </c>
    </row>
    <row r="650" spans="2:13" x14ac:dyDescent="0.35">
      <c r="B650" s="109">
        <v>46265</v>
      </c>
      <c r="C650" s="1" t="s">
        <v>5852</v>
      </c>
      <c r="D650" s="1">
        <v>1410</v>
      </c>
      <c r="E650" s="1" t="str">
        <f>_xlfn.XLOOKUP(tblGJ[[#This Row],[Account Code]],tblCOA[Code],tblCOA[Account Name],"⚠ Invalid account")</f>
        <v>Prepaid Rent</v>
      </c>
      <c r="F650" s="1" t="s">
        <v>6335</v>
      </c>
      <c r="G650" s="5"/>
      <c r="H650" s="5">
        <f>SUMIFS(INDEX(tblPrepaid[[Jan]:[Dec]],0,MONTH(tblGJ[[#This Row],[Date]])),tblPrepaid[Prepaid Account],tblGJ[[#This Row],[Account Code]])</f>
        <v>11000000</v>
      </c>
      <c r="I650" s="1" t="s">
        <v>6535</v>
      </c>
      <c r="J650" s="1">
        <f>MONTH(tblGJ[[#This Row],[Date]])</f>
        <v>8</v>
      </c>
      <c r="K650" s="1" t="str">
        <f>_xlfn.XLOOKUP(tblGJ[[#This Row],[Account Code]],tblCOA[Code],tblCOA[FS Line],"")</f>
        <v>Prepaid expenses</v>
      </c>
      <c r="L650" s="121" t="str">
        <f>IF(OR(tblGJ[[#This Row],[Account Code]]=1120,tblGJ[[#This Row],[Account Code]]=1130),_xlfn.MINIFS(tblBank[Value Date],tblBank[Reference],tblGJ[[#This Row],[Voucher No]],tblBank[Account Code],tblGJ[[#This Row],[Account Code]]),"")</f>
        <v/>
      </c>
      <c r="M650" s="1" t="str">
        <f>IF(tblGJ[[#This Row],[Date]]&lt;=PEnd,"Yes","No")</f>
        <v>Yes</v>
      </c>
    </row>
    <row r="651" spans="2:13" x14ac:dyDescent="0.35">
      <c r="B651" s="109">
        <v>46265</v>
      </c>
      <c r="C651" s="1" t="s">
        <v>5852</v>
      </c>
      <c r="D651" s="1">
        <v>1420</v>
      </c>
      <c r="E651" s="1" t="str">
        <f>_xlfn.XLOOKUP(tblGJ[[#This Row],[Account Code]],tblCOA[Code],tblCOA[Account Name],"⚠ Invalid account")</f>
        <v>Prepaid Insurance</v>
      </c>
      <c r="F651" s="1" t="s">
        <v>6335</v>
      </c>
      <c r="G651" s="5"/>
      <c r="H651" s="5">
        <f>SUMIFS(INDEX(tblPrepaid[[Jan]:[Dec]],0,MONTH(tblGJ[[#This Row],[Date]])),tblPrepaid[Prepaid Account],tblGJ[[#This Row],[Account Code]])</f>
        <v>2500000</v>
      </c>
      <c r="I651" s="1" t="s">
        <v>6535</v>
      </c>
      <c r="J651" s="1">
        <f>MONTH(tblGJ[[#This Row],[Date]])</f>
        <v>8</v>
      </c>
      <c r="K651" s="1" t="str">
        <f>_xlfn.XLOOKUP(tblGJ[[#This Row],[Account Code]],tblCOA[Code],tblCOA[FS Line],"")</f>
        <v>Prepaid expenses</v>
      </c>
      <c r="L651" s="121" t="str">
        <f>IF(OR(tblGJ[[#This Row],[Account Code]]=1120,tblGJ[[#This Row],[Account Code]]=1130),_xlfn.MINIFS(tblBank[Value Date],tblBank[Reference],tblGJ[[#This Row],[Voucher No]],tblBank[Account Code],tblGJ[[#This Row],[Account Code]]),"")</f>
        <v/>
      </c>
      <c r="M651" s="1" t="str">
        <f>IF(tblGJ[[#This Row],[Date]]&lt;=PEnd,"Yes","No")</f>
        <v>Yes</v>
      </c>
    </row>
    <row r="652" spans="2:13" x14ac:dyDescent="0.35">
      <c r="B652" s="109">
        <v>46265</v>
      </c>
      <c r="C652" s="1" t="s">
        <v>5852</v>
      </c>
      <c r="D652" s="1">
        <v>1430</v>
      </c>
      <c r="E652" s="1" t="str">
        <f>_xlfn.XLOOKUP(tblGJ[[#This Row],[Account Code]],tblCOA[Code],tblCOA[Account Name],"⚠ Invalid account")</f>
        <v>Prepaid Software Subscriptions</v>
      </c>
      <c r="F652" s="1" t="s">
        <v>6335</v>
      </c>
      <c r="G652" s="5"/>
      <c r="H652" s="5">
        <f>SUMIFS(INDEX(tblPrepaid[[Jan]:[Dec]],0,MONTH(tblGJ[[#This Row],[Date]])),tblPrepaid[Prepaid Account],tblGJ[[#This Row],[Account Code]])</f>
        <v>6000000</v>
      </c>
      <c r="I652" s="1" t="s">
        <v>6535</v>
      </c>
      <c r="J652" s="1">
        <f>MONTH(tblGJ[[#This Row],[Date]])</f>
        <v>8</v>
      </c>
      <c r="K652" s="1" t="str">
        <f>_xlfn.XLOOKUP(tblGJ[[#This Row],[Account Code]],tblCOA[Code],tblCOA[FS Line],"")</f>
        <v>Prepaid expenses</v>
      </c>
      <c r="L652" s="121" t="str">
        <f>IF(OR(tblGJ[[#This Row],[Account Code]]=1120,tblGJ[[#This Row],[Account Code]]=1130),_xlfn.MINIFS(tblBank[Value Date],tblBank[Reference],tblGJ[[#This Row],[Voucher No]],tblBank[Account Code],tblGJ[[#This Row],[Account Code]]),"")</f>
        <v/>
      </c>
      <c r="M652" s="1" t="str">
        <f>IF(tblGJ[[#This Row],[Date]]&lt;=PEnd,"Yes","No")</f>
        <v>Yes</v>
      </c>
    </row>
    <row r="653" spans="2:13" x14ac:dyDescent="0.35">
      <c r="B653" s="109">
        <v>46265</v>
      </c>
      <c r="C653" s="1" t="s">
        <v>5853</v>
      </c>
      <c r="D653" s="1">
        <v>6290</v>
      </c>
      <c r="E653" s="1" t="str">
        <f>_xlfn.XLOOKUP(tblGJ[[#This Row],[Account Code]],tblCOA[Code],tblCOA[Account Name],"⚠ Invalid account")</f>
        <v>Employee Benefits Expense</v>
      </c>
      <c r="F653" s="1" t="s">
        <v>6336</v>
      </c>
      <c r="G653" s="5">
        <v>3000000</v>
      </c>
      <c r="H653" s="5"/>
      <c r="I653" s="1" t="s">
        <v>4263</v>
      </c>
      <c r="J653" s="1">
        <f>MONTH(tblGJ[[#This Row],[Date]])</f>
        <v>8</v>
      </c>
      <c r="K653" s="1" t="str">
        <f>_xlfn.XLOOKUP(tblGJ[[#This Row],[Account Code]],tblCOA[Code],tblCOA[FS Line],"")</f>
        <v>General &amp; administrative expenses</v>
      </c>
      <c r="L653" s="121" t="str">
        <f>IF(OR(tblGJ[[#This Row],[Account Code]]=1120,tblGJ[[#This Row],[Account Code]]=1130),_xlfn.MINIFS(tblBank[Value Date],tblBank[Reference],tblGJ[[#This Row],[Voucher No]],tblBank[Account Code],tblGJ[[#This Row],[Account Code]]),"")</f>
        <v/>
      </c>
      <c r="M653" s="1" t="str">
        <f>IF(tblGJ[[#This Row],[Date]]&lt;=PEnd,"Yes","No")</f>
        <v>Yes</v>
      </c>
    </row>
    <row r="654" spans="2:13" x14ac:dyDescent="0.35">
      <c r="B654" s="109">
        <v>46265</v>
      </c>
      <c r="C654" s="1" t="s">
        <v>5853</v>
      </c>
      <c r="D654" s="1">
        <v>2420</v>
      </c>
      <c r="E654" s="1" t="str">
        <f>_xlfn.XLOOKUP(tblGJ[[#This Row],[Account Code]],tblCOA[Code],tblCOA[Account Name],"⚠ Invalid account")</f>
        <v>Employee Benefits Liability</v>
      </c>
      <c r="F654" s="1" t="s">
        <v>6337</v>
      </c>
      <c r="G654" s="5"/>
      <c r="H654" s="5">
        <v>3000000</v>
      </c>
      <c r="I654" s="1" t="s">
        <v>4263</v>
      </c>
      <c r="J654" s="1">
        <f>MONTH(tblGJ[[#This Row],[Date]])</f>
        <v>8</v>
      </c>
      <c r="K654" s="1" t="str">
        <f>_xlfn.XLOOKUP(tblGJ[[#This Row],[Account Code]],tblCOA[Code],tblCOA[FS Line],"")</f>
        <v>Employee benefits liability</v>
      </c>
      <c r="L654" s="121" t="str">
        <f>IF(OR(tblGJ[[#This Row],[Account Code]]=1120,tblGJ[[#This Row],[Account Code]]=1130),_xlfn.MINIFS(tblBank[Value Date],tblBank[Reference],tblGJ[[#This Row],[Voucher No]],tblBank[Account Code],tblGJ[[#This Row],[Account Code]]),"")</f>
        <v/>
      </c>
      <c r="M654" s="1" t="str">
        <f>IF(tblGJ[[#This Row],[Date]]&lt;=PEnd,"Yes","No")</f>
        <v>Yes</v>
      </c>
    </row>
    <row r="655" spans="2:13" x14ac:dyDescent="0.35">
      <c r="B655" s="109">
        <v>46265</v>
      </c>
      <c r="C655" s="1" t="s">
        <v>5854</v>
      </c>
      <c r="D655" s="1">
        <v>1120</v>
      </c>
      <c r="E655" s="1" t="str">
        <f>_xlfn.XLOOKUP(tblGJ[[#This Row],[Account Code]],tblCOA[Code],tblCOA[Account Name],"⚠ Invalid account")</f>
        <v>Bank BCA - Current Account</v>
      </c>
      <c r="F655" s="1" t="s">
        <v>6338</v>
      </c>
      <c r="G655" s="5">
        <v>1333333</v>
      </c>
      <c r="H655" s="5"/>
      <c r="I655" s="1" t="s">
        <v>4263</v>
      </c>
      <c r="J655" s="1">
        <f>MONTH(tblGJ[[#This Row],[Date]])</f>
        <v>8</v>
      </c>
      <c r="K655" s="1" t="str">
        <f>_xlfn.XLOOKUP(tblGJ[[#This Row],[Account Code]],tblCOA[Code],tblCOA[FS Line],"")</f>
        <v>Cash and cash equivalents</v>
      </c>
      <c r="L655" s="121">
        <f>IF(OR(tblGJ[[#This Row],[Account Code]]=1120,tblGJ[[#This Row],[Account Code]]=1130),_xlfn.MINIFS(tblBank[Value Date],tblBank[Reference],tblGJ[[#This Row],[Voucher No]],tblBank[Account Code],tblGJ[[#This Row],[Account Code]]),"")</f>
        <v>46265</v>
      </c>
      <c r="M655" s="1" t="str">
        <f>IF(tblGJ[[#This Row],[Date]]&lt;=PEnd,"Yes","No")</f>
        <v>Yes</v>
      </c>
    </row>
    <row r="656" spans="2:13" x14ac:dyDescent="0.35">
      <c r="B656" s="109">
        <v>46265</v>
      </c>
      <c r="C656" s="1" t="s">
        <v>5854</v>
      </c>
      <c r="D656" s="1">
        <v>8200</v>
      </c>
      <c r="E656" s="1" t="str">
        <f>_xlfn.XLOOKUP(tblGJ[[#This Row],[Account Code]],tblCOA[Code],tblCOA[Account Name],"⚠ Invalid account")</f>
        <v>Final Income Tax Expense</v>
      </c>
      <c r="F656" s="1" t="s">
        <v>6339</v>
      </c>
      <c r="G656" s="5">
        <v>333334</v>
      </c>
      <c r="H656" s="5"/>
      <c r="I656" s="1" t="s">
        <v>4263</v>
      </c>
      <c r="J656" s="1">
        <f>MONTH(tblGJ[[#This Row],[Date]])</f>
        <v>8</v>
      </c>
      <c r="K656" s="1" t="str">
        <f>_xlfn.XLOOKUP(tblGJ[[#This Row],[Account Code]],tblCOA[Code],tblCOA[FS Line],"")</f>
        <v>Other expenses</v>
      </c>
      <c r="L656" s="121" t="str">
        <f>IF(OR(tblGJ[[#This Row],[Account Code]]=1120,tblGJ[[#This Row],[Account Code]]=1130),_xlfn.MINIFS(tblBank[Value Date],tblBank[Reference],tblGJ[[#This Row],[Voucher No]],tblBank[Account Code],tblGJ[[#This Row],[Account Code]]),"")</f>
        <v/>
      </c>
      <c r="M656" s="1" t="str">
        <f>IF(tblGJ[[#This Row],[Date]]&lt;=PEnd,"Yes","No")</f>
        <v>Yes</v>
      </c>
    </row>
    <row r="657" spans="2:13" x14ac:dyDescent="0.35">
      <c r="B657" s="109">
        <v>46265</v>
      </c>
      <c r="C657" s="1" t="s">
        <v>5854</v>
      </c>
      <c r="D657" s="1">
        <v>7110</v>
      </c>
      <c r="E657" s="1" t="str">
        <f>_xlfn.XLOOKUP(tblGJ[[#This Row],[Account Code]],tblCOA[Code],tblCOA[Account Name],"⚠ Invalid account")</f>
        <v>Interest Income - Time Deposit</v>
      </c>
      <c r="F657" s="1" t="s">
        <v>6340</v>
      </c>
      <c r="G657" s="5"/>
      <c r="H657" s="5">
        <v>1666667</v>
      </c>
      <c r="I657" s="1" t="s">
        <v>4263</v>
      </c>
      <c r="J657" s="1">
        <f>MONTH(tblGJ[[#This Row],[Date]])</f>
        <v>8</v>
      </c>
      <c r="K657" s="1" t="str">
        <f>_xlfn.XLOOKUP(tblGJ[[#This Row],[Account Code]],tblCOA[Code],tblCOA[FS Line],"")</f>
        <v>Other income</v>
      </c>
      <c r="L657" s="121" t="str">
        <f>IF(OR(tblGJ[[#This Row],[Account Code]]=1120,tblGJ[[#This Row],[Account Code]]=1130),_xlfn.MINIFS(tblBank[Value Date],tblBank[Reference],tblGJ[[#This Row],[Voucher No]],tblBank[Account Code],tblGJ[[#This Row],[Account Code]]),"")</f>
        <v/>
      </c>
      <c r="M657" s="1" t="str">
        <f>IF(tblGJ[[#This Row],[Date]]&lt;=PEnd,"Yes","No")</f>
        <v>Yes</v>
      </c>
    </row>
    <row r="658" spans="2:13" x14ac:dyDescent="0.35">
      <c r="B658" s="109">
        <v>46265</v>
      </c>
      <c r="C658" s="1" t="s">
        <v>5855</v>
      </c>
      <c r="D658" s="1">
        <v>1120</v>
      </c>
      <c r="E658" s="1" t="str">
        <f>_xlfn.XLOOKUP(tblGJ[[#This Row],[Account Code]],tblCOA[Code],tblCOA[Account Name],"⚠ Invalid account")</f>
        <v>Bank BCA - Current Account</v>
      </c>
      <c r="F658" s="1" t="s">
        <v>6341</v>
      </c>
      <c r="G658" s="5">
        <v>437312</v>
      </c>
      <c r="H658" s="5"/>
      <c r="I658" s="1" t="s">
        <v>4263</v>
      </c>
      <c r="J658" s="1">
        <f>MONTH(tblGJ[[#This Row],[Date]])</f>
        <v>8</v>
      </c>
      <c r="K658" s="1" t="str">
        <f>_xlfn.XLOOKUP(tblGJ[[#This Row],[Account Code]],tblCOA[Code],tblCOA[FS Line],"")</f>
        <v>Cash and cash equivalents</v>
      </c>
      <c r="L658" s="121">
        <f>IF(OR(tblGJ[[#This Row],[Account Code]]=1120,tblGJ[[#This Row],[Account Code]]=1130),_xlfn.MINIFS(tblBank[Value Date],tblBank[Reference],tblGJ[[#This Row],[Voucher No]],tblBank[Account Code],tblGJ[[#This Row],[Account Code]]),"")</f>
        <v>46265</v>
      </c>
      <c r="M658" s="1" t="str">
        <f>IF(tblGJ[[#This Row],[Date]]&lt;=PEnd,"Yes","No")</f>
        <v>Yes</v>
      </c>
    </row>
    <row r="659" spans="2:13" x14ac:dyDescent="0.35">
      <c r="B659" s="109">
        <v>46265</v>
      </c>
      <c r="C659" s="1" t="s">
        <v>5855</v>
      </c>
      <c r="D659" s="1">
        <v>7120</v>
      </c>
      <c r="E659" s="1" t="str">
        <f>_xlfn.XLOOKUP(tblGJ[[#This Row],[Account Code]],tblCOA[Code],tblCOA[Account Name],"⚠ Invalid account")</f>
        <v>Interest Income - Current Account</v>
      </c>
      <c r="F659" s="1" t="s">
        <v>6341</v>
      </c>
      <c r="G659" s="5"/>
      <c r="H659" s="5">
        <v>437312</v>
      </c>
      <c r="I659" s="1" t="s">
        <v>4263</v>
      </c>
      <c r="J659" s="1">
        <f>MONTH(tblGJ[[#This Row],[Date]])</f>
        <v>8</v>
      </c>
      <c r="K659" s="1" t="str">
        <f>_xlfn.XLOOKUP(tblGJ[[#This Row],[Account Code]],tblCOA[Code],tblCOA[FS Line],"")</f>
        <v>Other income</v>
      </c>
      <c r="L659" s="121" t="str">
        <f>IF(OR(tblGJ[[#This Row],[Account Code]]=1120,tblGJ[[#This Row],[Account Code]]=1130),_xlfn.MINIFS(tblBank[Value Date],tblBank[Reference],tblGJ[[#This Row],[Voucher No]],tblBank[Account Code],tblGJ[[#This Row],[Account Code]]),"")</f>
        <v/>
      </c>
      <c r="M659" s="1" t="str">
        <f>IF(tblGJ[[#This Row],[Date]]&lt;=PEnd,"Yes","No")</f>
        <v>Yes</v>
      </c>
    </row>
    <row r="660" spans="2:13" x14ac:dyDescent="0.35">
      <c r="B660" s="109">
        <v>46265</v>
      </c>
      <c r="C660" s="1" t="s">
        <v>5856</v>
      </c>
      <c r="D660" s="1">
        <v>8200</v>
      </c>
      <c r="E660" s="1" t="str">
        <f>_xlfn.XLOOKUP(tblGJ[[#This Row],[Account Code]],tblCOA[Code],tblCOA[Account Name],"⚠ Invalid account")</f>
        <v>Final Income Tax Expense</v>
      </c>
      <c r="F660" s="1" t="s">
        <v>6342</v>
      </c>
      <c r="G660" s="5">
        <v>87462</v>
      </c>
      <c r="H660" s="5"/>
      <c r="I660" s="1" t="s">
        <v>4263</v>
      </c>
      <c r="J660" s="1">
        <f>MONTH(tblGJ[[#This Row],[Date]])</f>
        <v>8</v>
      </c>
      <c r="K660" s="1" t="str">
        <f>_xlfn.XLOOKUP(tblGJ[[#This Row],[Account Code]],tblCOA[Code],tblCOA[FS Line],"")</f>
        <v>Other expenses</v>
      </c>
      <c r="L660" s="121" t="str">
        <f>IF(OR(tblGJ[[#This Row],[Account Code]]=1120,tblGJ[[#This Row],[Account Code]]=1130),_xlfn.MINIFS(tblBank[Value Date],tblBank[Reference],tblGJ[[#This Row],[Voucher No]],tblBank[Account Code],tblGJ[[#This Row],[Account Code]]),"")</f>
        <v/>
      </c>
      <c r="M660" s="1" t="str">
        <f>IF(tblGJ[[#This Row],[Date]]&lt;=PEnd,"Yes","No")</f>
        <v>Yes</v>
      </c>
    </row>
    <row r="661" spans="2:13" x14ac:dyDescent="0.35">
      <c r="B661" s="109">
        <v>46265</v>
      </c>
      <c r="C661" s="1" t="s">
        <v>5856</v>
      </c>
      <c r="D661" s="1">
        <v>1120</v>
      </c>
      <c r="E661" s="1" t="str">
        <f>_xlfn.XLOOKUP(tblGJ[[#This Row],[Account Code]],tblCOA[Code],tblCOA[Account Name],"⚠ Invalid account")</f>
        <v>Bank BCA - Current Account</v>
      </c>
      <c r="F661" s="1" t="s">
        <v>6342</v>
      </c>
      <c r="G661" s="5"/>
      <c r="H661" s="5">
        <v>87462</v>
      </c>
      <c r="I661" s="1" t="s">
        <v>4263</v>
      </c>
      <c r="J661" s="1">
        <f>MONTH(tblGJ[[#This Row],[Date]])</f>
        <v>8</v>
      </c>
      <c r="K661" s="1" t="str">
        <f>_xlfn.XLOOKUP(tblGJ[[#This Row],[Account Code]],tblCOA[Code],tblCOA[FS Line],"")</f>
        <v>Cash and cash equivalents</v>
      </c>
      <c r="L661" s="121">
        <f>IF(OR(tblGJ[[#This Row],[Account Code]]=1120,tblGJ[[#This Row],[Account Code]]=1130),_xlfn.MINIFS(tblBank[Value Date],tblBank[Reference],tblGJ[[#This Row],[Voucher No]],tblBank[Account Code],tblGJ[[#This Row],[Account Code]]),"")</f>
        <v>46265</v>
      </c>
      <c r="M661" s="1" t="str">
        <f>IF(tblGJ[[#This Row],[Date]]&lt;=PEnd,"Yes","No")</f>
        <v>Yes</v>
      </c>
    </row>
    <row r="662" spans="2:13" x14ac:dyDescent="0.35">
      <c r="B662" s="109">
        <v>46265</v>
      </c>
      <c r="C662" s="1" t="s">
        <v>5857</v>
      </c>
      <c r="D662" s="1">
        <v>7220</v>
      </c>
      <c r="E662" s="1" t="str">
        <f>_xlfn.XLOOKUP(tblGJ[[#This Row],[Account Code]],tblCOA[Code],tblCOA[Account Name],"⚠ Invalid account")</f>
        <v>Bank Charges</v>
      </c>
      <c r="F662" s="1" t="s">
        <v>6343</v>
      </c>
      <c r="G662" s="5">
        <v>150000</v>
      </c>
      <c r="H662" s="5"/>
      <c r="I662" s="1" t="s">
        <v>4263</v>
      </c>
      <c r="J662" s="1">
        <f>MONTH(tblGJ[[#This Row],[Date]])</f>
        <v>8</v>
      </c>
      <c r="K662" s="1" t="str">
        <f>_xlfn.XLOOKUP(tblGJ[[#This Row],[Account Code]],tblCOA[Code],tblCOA[FS Line],"")</f>
        <v>Other expenses</v>
      </c>
      <c r="L662" s="121" t="str">
        <f>IF(OR(tblGJ[[#This Row],[Account Code]]=1120,tblGJ[[#This Row],[Account Code]]=1130),_xlfn.MINIFS(tblBank[Value Date],tblBank[Reference],tblGJ[[#This Row],[Voucher No]],tblBank[Account Code],tblGJ[[#This Row],[Account Code]]),"")</f>
        <v/>
      </c>
      <c r="M662" s="1" t="str">
        <f>IF(tblGJ[[#This Row],[Date]]&lt;=PEnd,"Yes","No")</f>
        <v>Yes</v>
      </c>
    </row>
    <row r="663" spans="2:13" x14ac:dyDescent="0.35">
      <c r="B663" s="109">
        <v>46265</v>
      </c>
      <c r="C663" s="1" t="s">
        <v>5857</v>
      </c>
      <c r="D663" s="1">
        <v>1120</v>
      </c>
      <c r="E663" s="1" t="str">
        <f>_xlfn.XLOOKUP(tblGJ[[#This Row],[Account Code]],tblCOA[Code],tblCOA[Account Name],"⚠ Invalid account")</f>
        <v>Bank BCA - Current Account</v>
      </c>
      <c r="F663" s="1" t="s">
        <v>6343</v>
      </c>
      <c r="G663" s="5"/>
      <c r="H663" s="5">
        <v>150000</v>
      </c>
      <c r="I663" s="1" t="s">
        <v>4263</v>
      </c>
      <c r="J663" s="1">
        <f>MONTH(tblGJ[[#This Row],[Date]])</f>
        <v>8</v>
      </c>
      <c r="K663" s="1" t="str">
        <f>_xlfn.XLOOKUP(tblGJ[[#This Row],[Account Code]],tblCOA[Code],tblCOA[FS Line],"")</f>
        <v>Cash and cash equivalents</v>
      </c>
      <c r="L663" s="121">
        <f>IF(OR(tblGJ[[#This Row],[Account Code]]=1120,tblGJ[[#This Row],[Account Code]]=1130),_xlfn.MINIFS(tblBank[Value Date],tblBank[Reference],tblGJ[[#This Row],[Voucher No]],tblBank[Account Code],tblGJ[[#This Row],[Account Code]]),"")</f>
        <v>46265</v>
      </c>
      <c r="M663" s="1" t="str">
        <f>IF(tblGJ[[#This Row],[Date]]&lt;=PEnd,"Yes","No")</f>
        <v>Yes</v>
      </c>
    </row>
    <row r="664" spans="2:13" x14ac:dyDescent="0.35">
      <c r="B664" s="109">
        <v>46265</v>
      </c>
      <c r="C664" s="1" t="s">
        <v>5858</v>
      </c>
      <c r="D664" s="1">
        <v>1130</v>
      </c>
      <c r="E664" s="1" t="str">
        <f>_xlfn.XLOOKUP(tblGJ[[#This Row],[Account Code]],tblCOA[Code],tblCOA[Account Name],"⚠ Invalid account")</f>
        <v>Bank Mandiri - Current Account</v>
      </c>
      <c r="F664" s="1" t="s">
        <v>6344</v>
      </c>
      <c r="G664" s="5">
        <v>81292</v>
      </c>
      <c r="H664" s="5"/>
      <c r="I664" s="1" t="s">
        <v>4263</v>
      </c>
      <c r="J664" s="1">
        <f>MONTH(tblGJ[[#This Row],[Date]])</f>
        <v>8</v>
      </c>
      <c r="K664" s="1" t="str">
        <f>_xlfn.XLOOKUP(tblGJ[[#This Row],[Account Code]],tblCOA[Code],tblCOA[FS Line],"")</f>
        <v>Cash and cash equivalents</v>
      </c>
      <c r="L664" s="121">
        <f>IF(OR(tblGJ[[#This Row],[Account Code]]=1120,tblGJ[[#This Row],[Account Code]]=1130),_xlfn.MINIFS(tblBank[Value Date],tblBank[Reference],tblGJ[[#This Row],[Voucher No]],tblBank[Account Code],tblGJ[[#This Row],[Account Code]]),"")</f>
        <v>46265</v>
      </c>
      <c r="M664" s="1" t="str">
        <f>IF(tblGJ[[#This Row],[Date]]&lt;=PEnd,"Yes","No")</f>
        <v>Yes</v>
      </c>
    </row>
    <row r="665" spans="2:13" x14ac:dyDescent="0.35">
      <c r="B665" s="109">
        <v>46265</v>
      </c>
      <c r="C665" s="1" t="s">
        <v>5858</v>
      </c>
      <c r="D665" s="1">
        <v>7120</v>
      </c>
      <c r="E665" s="1" t="str">
        <f>_xlfn.XLOOKUP(tblGJ[[#This Row],[Account Code]],tblCOA[Code],tblCOA[Account Name],"⚠ Invalid account")</f>
        <v>Interest Income - Current Account</v>
      </c>
      <c r="F665" s="1" t="s">
        <v>6344</v>
      </c>
      <c r="G665" s="5"/>
      <c r="H665" s="5">
        <v>81292</v>
      </c>
      <c r="I665" s="1" t="s">
        <v>4263</v>
      </c>
      <c r="J665" s="1">
        <f>MONTH(tblGJ[[#This Row],[Date]])</f>
        <v>8</v>
      </c>
      <c r="K665" s="1" t="str">
        <f>_xlfn.XLOOKUP(tblGJ[[#This Row],[Account Code]],tblCOA[Code],tblCOA[FS Line],"")</f>
        <v>Other income</v>
      </c>
      <c r="L665" s="121" t="str">
        <f>IF(OR(tblGJ[[#This Row],[Account Code]]=1120,tblGJ[[#This Row],[Account Code]]=1130),_xlfn.MINIFS(tblBank[Value Date],tblBank[Reference],tblGJ[[#This Row],[Voucher No]],tblBank[Account Code],tblGJ[[#This Row],[Account Code]]),"")</f>
        <v/>
      </c>
      <c r="M665" s="1" t="str">
        <f>IF(tblGJ[[#This Row],[Date]]&lt;=PEnd,"Yes","No")</f>
        <v>Yes</v>
      </c>
    </row>
    <row r="666" spans="2:13" x14ac:dyDescent="0.35">
      <c r="B666" s="109">
        <v>46265</v>
      </c>
      <c r="C666" s="1" t="s">
        <v>5859</v>
      </c>
      <c r="D666" s="1">
        <v>8200</v>
      </c>
      <c r="E666" s="1" t="str">
        <f>_xlfn.XLOOKUP(tblGJ[[#This Row],[Account Code]],tblCOA[Code],tblCOA[Account Name],"⚠ Invalid account")</f>
        <v>Final Income Tax Expense</v>
      </c>
      <c r="F666" s="1" t="s">
        <v>6345</v>
      </c>
      <c r="G666" s="5">
        <v>16258</v>
      </c>
      <c r="H666" s="5"/>
      <c r="I666" s="1" t="s">
        <v>4263</v>
      </c>
      <c r="J666" s="1">
        <f>MONTH(tblGJ[[#This Row],[Date]])</f>
        <v>8</v>
      </c>
      <c r="K666" s="1" t="str">
        <f>_xlfn.XLOOKUP(tblGJ[[#This Row],[Account Code]],tblCOA[Code],tblCOA[FS Line],"")</f>
        <v>Other expenses</v>
      </c>
      <c r="L666" s="121" t="str">
        <f>IF(OR(tblGJ[[#This Row],[Account Code]]=1120,tblGJ[[#This Row],[Account Code]]=1130),_xlfn.MINIFS(tblBank[Value Date],tblBank[Reference],tblGJ[[#This Row],[Voucher No]],tblBank[Account Code],tblGJ[[#This Row],[Account Code]]),"")</f>
        <v/>
      </c>
      <c r="M666" s="1" t="str">
        <f>IF(tblGJ[[#This Row],[Date]]&lt;=PEnd,"Yes","No")</f>
        <v>Yes</v>
      </c>
    </row>
    <row r="667" spans="2:13" x14ac:dyDescent="0.35">
      <c r="B667" s="109">
        <v>46265</v>
      </c>
      <c r="C667" s="1" t="s">
        <v>5859</v>
      </c>
      <c r="D667" s="1">
        <v>1130</v>
      </c>
      <c r="E667" s="1" t="str">
        <f>_xlfn.XLOOKUP(tblGJ[[#This Row],[Account Code]],tblCOA[Code],tblCOA[Account Name],"⚠ Invalid account")</f>
        <v>Bank Mandiri - Current Account</v>
      </c>
      <c r="F667" s="1" t="s">
        <v>6345</v>
      </c>
      <c r="G667" s="5"/>
      <c r="H667" s="5">
        <v>16258</v>
      </c>
      <c r="I667" s="1" t="s">
        <v>4263</v>
      </c>
      <c r="J667" s="1">
        <f>MONTH(tblGJ[[#This Row],[Date]])</f>
        <v>8</v>
      </c>
      <c r="K667" s="1" t="str">
        <f>_xlfn.XLOOKUP(tblGJ[[#This Row],[Account Code]],tblCOA[Code],tblCOA[FS Line],"")</f>
        <v>Cash and cash equivalents</v>
      </c>
      <c r="L667" s="121">
        <f>IF(OR(tblGJ[[#This Row],[Account Code]]=1120,tblGJ[[#This Row],[Account Code]]=1130),_xlfn.MINIFS(tblBank[Value Date],tblBank[Reference],tblGJ[[#This Row],[Voucher No]],tblBank[Account Code],tblGJ[[#This Row],[Account Code]]),"")</f>
        <v>46265</v>
      </c>
      <c r="M667" s="1" t="str">
        <f>IF(tblGJ[[#This Row],[Date]]&lt;=PEnd,"Yes","No")</f>
        <v>Yes</v>
      </c>
    </row>
    <row r="668" spans="2:13" x14ac:dyDescent="0.35">
      <c r="B668" s="109">
        <v>46265</v>
      </c>
      <c r="C668" s="1" t="s">
        <v>5860</v>
      </c>
      <c r="D668" s="1">
        <v>7220</v>
      </c>
      <c r="E668" s="1" t="str">
        <f>_xlfn.XLOOKUP(tblGJ[[#This Row],[Account Code]],tblCOA[Code],tblCOA[Account Name],"⚠ Invalid account")</f>
        <v>Bank Charges</v>
      </c>
      <c r="F668" s="1" t="s">
        <v>6346</v>
      </c>
      <c r="G668" s="5">
        <v>118500</v>
      </c>
      <c r="H668" s="5"/>
      <c r="I668" s="1" t="s">
        <v>4263</v>
      </c>
      <c r="J668" s="1">
        <f>MONTH(tblGJ[[#This Row],[Date]])</f>
        <v>8</v>
      </c>
      <c r="K668" s="1" t="str">
        <f>_xlfn.XLOOKUP(tblGJ[[#This Row],[Account Code]],tblCOA[Code],tblCOA[FS Line],"")</f>
        <v>Other expenses</v>
      </c>
      <c r="L668" s="121" t="str">
        <f>IF(OR(tblGJ[[#This Row],[Account Code]]=1120,tblGJ[[#This Row],[Account Code]]=1130),_xlfn.MINIFS(tblBank[Value Date],tblBank[Reference],tblGJ[[#This Row],[Voucher No]],tblBank[Account Code],tblGJ[[#This Row],[Account Code]]),"")</f>
        <v/>
      </c>
      <c r="M668" s="1" t="str">
        <f>IF(tblGJ[[#This Row],[Date]]&lt;=PEnd,"Yes","No")</f>
        <v>Yes</v>
      </c>
    </row>
    <row r="669" spans="2:13" x14ac:dyDescent="0.35">
      <c r="B669" s="109">
        <v>46265</v>
      </c>
      <c r="C669" s="1" t="s">
        <v>5860</v>
      </c>
      <c r="D669" s="1">
        <v>1130</v>
      </c>
      <c r="E669" s="1" t="str">
        <f>_xlfn.XLOOKUP(tblGJ[[#This Row],[Account Code]],tblCOA[Code],tblCOA[Account Name],"⚠ Invalid account")</f>
        <v>Bank Mandiri - Current Account</v>
      </c>
      <c r="F669" s="1" t="s">
        <v>6346</v>
      </c>
      <c r="G669" s="5"/>
      <c r="H669" s="5">
        <v>118500</v>
      </c>
      <c r="I669" s="1" t="s">
        <v>4263</v>
      </c>
      <c r="J669" s="1">
        <f>MONTH(tblGJ[[#This Row],[Date]])</f>
        <v>8</v>
      </c>
      <c r="K669" s="1" t="str">
        <f>_xlfn.XLOOKUP(tblGJ[[#This Row],[Account Code]],tblCOA[Code],tblCOA[FS Line],"")</f>
        <v>Cash and cash equivalents</v>
      </c>
      <c r="L669" s="121">
        <f>IF(OR(tblGJ[[#This Row],[Account Code]]=1120,tblGJ[[#This Row],[Account Code]]=1130),_xlfn.MINIFS(tblBank[Value Date],tblBank[Reference],tblGJ[[#This Row],[Voucher No]],tblBank[Account Code],tblGJ[[#This Row],[Account Code]]),"")</f>
        <v>46265</v>
      </c>
      <c r="M669" s="1" t="str">
        <f>IF(tblGJ[[#This Row],[Date]]&lt;=PEnd,"Yes","No")</f>
        <v>Yes</v>
      </c>
    </row>
    <row r="670" spans="2:13" x14ac:dyDescent="0.35">
      <c r="B670" s="109">
        <v>46275</v>
      </c>
      <c r="C670" s="1" t="s">
        <v>5861</v>
      </c>
      <c r="D670" s="1">
        <v>2230</v>
      </c>
      <c r="E670" s="1" t="str">
        <f>_xlfn.XLOOKUP(tblGJ[[#This Row],[Account Code]],tblCOA[Code],tblCOA[Account Name],"⚠ Invalid account")</f>
        <v>WHT Payable - Art. 21</v>
      </c>
      <c r="F670" s="1" t="s">
        <v>5957</v>
      </c>
      <c r="G670" s="5">
        <f>IF(MONTH(tblGJ[[#This Row],[Date]])=1,_xlfn.XLOOKUP(2230,tblCOA[Code],tblCOA[Opening Balance]),SUMIFS(tblPayroll[PPh 21],tblPayroll[Period],MONTH(tblGJ[[#This Row],[Date]])-1))</f>
        <v>10516831</v>
      </c>
      <c r="H670" s="5"/>
      <c r="I670" s="1" t="s">
        <v>6528</v>
      </c>
      <c r="J670" s="1">
        <f>MONTH(tblGJ[[#This Row],[Date]])</f>
        <v>9</v>
      </c>
      <c r="K670" s="1" t="str">
        <f>_xlfn.XLOOKUP(tblGJ[[#This Row],[Account Code]],tblCOA[Code],tblCOA[FS Line],"")</f>
        <v>Taxes payable</v>
      </c>
      <c r="L670" s="121" t="str">
        <f>IF(OR(tblGJ[[#This Row],[Account Code]]=1120,tblGJ[[#This Row],[Account Code]]=1130),_xlfn.MINIFS(tblBank[Value Date],tblBank[Reference],tblGJ[[#This Row],[Voucher No]],tblBank[Account Code],tblGJ[[#This Row],[Account Code]]),"")</f>
        <v/>
      </c>
      <c r="M670" s="1" t="str">
        <f>IF(tblGJ[[#This Row],[Date]]&lt;=PEnd,"Yes","No")</f>
        <v>Yes</v>
      </c>
    </row>
    <row r="671" spans="2:13" x14ac:dyDescent="0.35">
      <c r="B671" s="109">
        <v>46275</v>
      </c>
      <c r="C671" s="1" t="s">
        <v>5861</v>
      </c>
      <c r="D671" s="1">
        <v>1120</v>
      </c>
      <c r="E671" s="1" t="str">
        <f>_xlfn.XLOOKUP(tblGJ[[#This Row],[Account Code]],tblCOA[Code],tblCOA[Account Name],"⚠ Invalid account")</f>
        <v>Bank BCA - Current Account</v>
      </c>
      <c r="F671" s="1" t="s">
        <v>5957</v>
      </c>
      <c r="G671" s="5"/>
      <c r="H671" s="5">
        <f>IF(MONTH(tblGJ[[#This Row],[Date]])=1,_xlfn.XLOOKUP(2230,tblCOA[Code],tblCOA[Opening Balance]),SUMIFS(tblPayroll[PPh 21],tblPayroll[Period],MONTH(tblGJ[[#This Row],[Date]])-1))</f>
        <v>10516831</v>
      </c>
      <c r="I671" s="1" t="s">
        <v>6528</v>
      </c>
      <c r="J671" s="1">
        <f>MONTH(tblGJ[[#This Row],[Date]])</f>
        <v>9</v>
      </c>
      <c r="K671" s="1" t="str">
        <f>_xlfn.XLOOKUP(tblGJ[[#This Row],[Account Code]],tblCOA[Code],tblCOA[FS Line],"")</f>
        <v>Cash and cash equivalents</v>
      </c>
      <c r="L671" s="121">
        <f>IF(OR(tblGJ[[#This Row],[Account Code]]=1120,tblGJ[[#This Row],[Account Code]]=1130),_xlfn.MINIFS(tblBank[Value Date],tblBank[Reference],tblGJ[[#This Row],[Voucher No]],tblBank[Account Code],tblGJ[[#This Row],[Account Code]]),"")</f>
        <v>46275</v>
      </c>
      <c r="M671" s="1" t="str">
        <f>IF(tblGJ[[#This Row],[Date]]&lt;=PEnd,"Yes","No")</f>
        <v>Yes</v>
      </c>
    </row>
    <row r="672" spans="2:13" x14ac:dyDescent="0.35">
      <c r="B672" s="109">
        <v>46275</v>
      </c>
      <c r="C672" s="1" t="s">
        <v>5862</v>
      </c>
      <c r="D672" s="1">
        <v>2150</v>
      </c>
      <c r="E672" s="1" t="str">
        <f>_xlfn.XLOOKUP(tblGJ[[#This Row],[Account Code]],tblCOA[Code],tblCOA[Account Name],"⚠ Invalid account")</f>
        <v>BPJS Payable</v>
      </c>
      <c r="F672" s="1" t="s">
        <v>5958</v>
      </c>
      <c r="G672" s="5">
        <f>IF(MONTH(tblGJ[[#This Row],[Date]])=1,_xlfn.XLOOKUP(2150,tblCOA[Code],tblCOA[Opening Balance]),SUMIFS(tblPayroll[BPJS Payable],tblPayroll[Period],MONTH(tblGJ[[#This Row],[Date]])-1))</f>
        <v>22077790</v>
      </c>
      <c r="H672" s="5"/>
      <c r="I672" s="1" t="s">
        <v>6528</v>
      </c>
      <c r="J672" s="1">
        <f>MONTH(tblGJ[[#This Row],[Date]])</f>
        <v>9</v>
      </c>
      <c r="K672" s="1" t="str">
        <f>_xlfn.XLOOKUP(tblGJ[[#This Row],[Account Code]],tblCOA[Code],tblCOA[FS Line],"")</f>
        <v>Accrued expenses</v>
      </c>
      <c r="L672" s="121" t="str">
        <f>IF(OR(tblGJ[[#This Row],[Account Code]]=1120,tblGJ[[#This Row],[Account Code]]=1130),_xlfn.MINIFS(tblBank[Value Date],tblBank[Reference],tblGJ[[#This Row],[Voucher No]],tblBank[Account Code],tblGJ[[#This Row],[Account Code]]),"")</f>
        <v/>
      </c>
      <c r="M672" s="1" t="str">
        <f>IF(tblGJ[[#This Row],[Date]]&lt;=PEnd,"Yes","No")</f>
        <v>Yes</v>
      </c>
    </row>
    <row r="673" spans="2:13" x14ac:dyDescent="0.35">
      <c r="B673" s="109">
        <v>46275</v>
      </c>
      <c r="C673" s="1" t="s">
        <v>5862</v>
      </c>
      <c r="D673" s="1">
        <v>1120</v>
      </c>
      <c r="E673" s="1" t="str">
        <f>_xlfn.XLOOKUP(tblGJ[[#This Row],[Account Code]],tblCOA[Code],tblCOA[Account Name],"⚠ Invalid account")</f>
        <v>Bank BCA - Current Account</v>
      </c>
      <c r="F673" s="1" t="s">
        <v>5958</v>
      </c>
      <c r="G673" s="5"/>
      <c r="H673" s="5">
        <f>IF(MONTH(tblGJ[[#This Row],[Date]])=1,_xlfn.XLOOKUP(2150,tblCOA[Code],tblCOA[Opening Balance]),SUMIFS(tblPayroll[BPJS Payable],tblPayroll[Period],MONTH(tblGJ[[#This Row],[Date]])-1))</f>
        <v>22077790</v>
      </c>
      <c r="I673" s="1" t="s">
        <v>6528</v>
      </c>
      <c r="J673" s="1">
        <f>MONTH(tblGJ[[#This Row],[Date]])</f>
        <v>9</v>
      </c>
      <c r="K673" s="1" t="str">
        <f>_xlfn.XLOOKUP(tblGJ[[#This Row],[Account Code]],tblCOA[Code],tblCOA[FS Line],"")</f>
        <v>Cash and cash equivalents</v>
      </c>
      <c r="L673" s="121">
        <f>IF(OR(tblGJ[[#This Row],[Account Code]]=1120,tblGJ[[#This Row],[Account Code]]=1130),_xlfn.MINIFS(tblBank[Value Date],tblBank[Reference],tblGJ[[#This Row],[Voucher No]],tblBank[Account Code],tblGJ[[#This Row],[Account Code]]),"")</f>
        <v>46275</v>
      </c>
      <c r="M673" s="1" t="str">
        <f>IF(tblGJ[[#This Row],[Date]]&lt;=PEnd,"Yes","No")</f>
        <v>Yes</v>
      </c>
    </row>
    <row r="674" spans="2:13" x14ac:dyDescent="0.35">
      <c r="B674" s="109">
        <v>46280</v>
      </c>
      <c r="C674" s="1" t="s">
        <v>5863</v>
      </c>
      <c r="D674" s="1">
        <v>2240</v>
      </c>
      <c r="E674" s="1" t="str">
        <f>_xlfn.XLOOKUP(tblGJ[[#This Row],[Account Code]],tblCOA[Code],tblCOA[Account Name],"⚠ Invalid account")</f>
        <v>WHT Payable - Unifikasi (Art. 23/4(2))</v>
      </c>
      <c r="F674" s="1" t="s">
        <v>5960</v>
      </c>
      <c r="G674" s="5">
        <f>IF(MONTH(tblGJ[[#This Row],[Date]])=1,_xlfn.XLOOKUP(2240,tblCOA[Code],tblCOA[Opening Balance]),SUMIFS(tblPurchases[WHT Amount],tblPurchases[Month],MONTH(tblGJ[[#This Row],[Date]])-1))</f>
        <v>544580</v>
      </c>
      <c r="H674" s="5"/>
      <c r="I674" s="1" t="s">
        <v>6528</v>
      </c>
      <c r="J674" s="1">
        <f>MONTH(tblGJ[[#This Row],[Date]])</f>
        <v>9</v>
      </c>
      <c r="K674" s="1" t="str">
        <f>_xlfn.XLOOKUP(tblGJ[[#This Row],[Account Code]],tblCOA[Code],tblCOA[FS Line],"")</f>
        <v>Taxes payable</v>
      </c>
      <c r="L674" s="121" t="str">
        <f>IF(OR(tblGJ[[#This Row],[Account Code]]=1120,tblGJ[[#This Row],[Account Code]]=1130),_xlfn.MINIFS(tblBank[Value Date],tblBank[Reference],tblGJ[[#This Row],[Voucher No]],tblBank[Account Code],tblGJ[[#This Row],[Account Code]]),"")</f>
        <v/>
      </c>
      <c r="M674" s="1" t="str">
        <f>IF(tblGJ[[#This Row],[Date]]&lt;=PEnd,"Yes","No")</f>
        <v>Yes</v>
      </c>
    </row>
    <row r="675" spans="2:13" x14ac:dyDescent="0.35">
      <c r="B675" s="109">
        <v>46280</v>
      </c>
      <c r="C675" s="1" t="s">
        <v>5863</v>
      </c>
      <c r="D675" s="1">
        <v>1120</v>
      </c>
      <c r="E675" s="1" t="str">
        <f>_xlfn.XLOOKUP(tblGJ[[#This Row],[Account Code]],tblCOA[Code],tblCOA[Account Name],"⚠ Invalid account")</f>
        <v>Bank BCA - Current Account</v>
      </c>
      <c r="F675" s="1" t="s">
        <v>5960</v>
      </c>
      <c r="G675" s="5"/>
      <c r="H675" s="5">
        <f>IF(MONTH(tblGJ[[#This Row],[Date]])=1,_xlfn.XLOOKUP(2240,tblCOA[Code],tblCOA[Opening Balance]),SUMIFS(tblPurchases[WHT Amount],tblPurchases[Month],MONTH(tblGJ[[#This Row],[Date]])-1))</f>
        <v>544580</v>
      </c>
      <c r="I675" s="1" t="s">
        <v>6528</v>
      </c>
      <c r="J675" s="1">
        <f>MONTH(tblGJ[[#This Row],[Date]])</f>
        <v>9</v>
      </c>
      <c r="K675" s="1" t="str">
        <f>_xlfn.XLOOKUP(tblGJ[[#This Row],[Account Code]],tblCOA[Code],tblCOA[FS Line],"")</f>
        <v>Cash and cash equivalents</v>
      </c>
      <c r="L675" s="121">
        <f>IF(OR(tblGJ[[#This Row],[Account Code]]=1120,tblGJ[[#This Row],[Account Code]]=1130),_xlfn.MINIFS(tblBank[Value Date],tblBank[Reference],tblGJ[[#This Row],[Voucher No]],tblBank[Account Code],tblGJ[[#This Row],[Account Code]]),"")</f>
        <v>46280</v>
      </c>
      <c r="M675" s="1" t="str">
        <f>IF(tblGJ[[#This Row],[Date]]&lt;=PEnd,"Yes","No")</f>
        <v>Yes</v>
      </c>
    </row>
    <row r="676" spans="2:13" x14ac:dyDescent="0.35">
      <c r="B676" s="109">
        <v>46280</v>
      </c>
      <c r="C676" s="1" t="s">
        <v>5864</v>
      </c>
      <c r="D676" s="1">
        <v>1520</v>
      </c>
      <c r="E676" s="1" t="str">
        <f>_xlfn.XLOOKUP(tblGJ[[#This Row],[Account Code]],tblCOA[Code],tblCOA[Account Name],"⚠ Invalid account")</f>
        <v>Prepaid Income Tax - Art. 25</v>
      </c>
      <c r="F676" s="1" t="s">
        <v>6347</v>
      </c>
      <c r="G676" s="5">
        <f>PPh25Inst</f>
        <v>20000000</v>
      </c>
      <c r="H676" s="5"/>
      <c r="I676" s="1" t="s">
        <v>6528</v>
      </c>
      <c r="J676" s="1">
        <f>MONTH(tblGJ[[#This Row],[Date]])</f>
        <v>9</v>
      </c>
      <c r="K676" s="1" t="str">
        <f>_xlfn.XLOOKUP(tblGJ[[#This Row],[Account Code]],tblCOA[Code],tblCOA[FS Line],"")</f>
        <v>Prepaid taxes</v>
      </c>
      <c r="L676" s="121" t="str">
        <f>IF(OR(tblGJ[[#This Row],[Account Code]]=1120,tblGJ[[#This Row],[Account Code]]=1130),_xlfn.MINIFS(tblBank[Value Date],tblBank[Reference],tblGJ[[#This Row],[Voucher No]],tblBank[Account Code],tblGJ[[#This Row],[Account Code]]),"")</f>
        <v/>
      </c>
      <c r="M676" s="1" t="str">
        <f>IF(tblGJ[[#This Row],[Date]]&lt;=PEnd,"Yes","No")</f>
        <v>Yes</v>
      </c>
    </row>
    <row r="677" spans="2:13" x14ac:dyDescent="0.35">
      <c r="B677" s="109">
        <v>46280</v>
      </c>
      <c r="C677" s="1" t="s">
        <v>5864</v>
      </c>
      <c r="D677" s="1">
        <v>1120</v>
      </c>
      <c r="E677" s="1" t="str">
        <f>_xlfn.XLOOKUP(tblGJ[[#This Row],[Account Code]],tblCOA[Code],tblCOA[Account Name],"⚠ Invalid account")</f>
        <v>Bank BCA - Current Account</v>
      </c>
      <c r="F677" s="1" t="s">
        <v>6347</v>
      </c>
      <c r="G677" s="5"/>
      <c r="H677" s="5">
        <f>PPh25Inst</f>
        <v>20000000</v>
      </c>
      <c r="I677" s="1" t="s">
        <v>6528</v>
      </c>
      <c r="J677" s="1">
        <f>MONTH(tblGJ[[#This Row],[Date]])</f>
        <v>9</v>
      </c>
      <c r="K677" s="1" t="str">
        <f>_xlfn.XLOOKUP(tblGJ[[#This Row],[Account Code]],tblCOA[Code],tblCOA[FS Line],"")</f>
        <v>Cash and cash equivalents</v>
      </c>
      <c r="L677" s="121">
        <f>IF(OR(tblGJ[[#This Row],[Account Code]]=1120,tblGJ[[#This Row],[Account Code]]=1130),_xlfn.MINIFS(tblBank[Value Date],tblBank[Reference],tblGJ[[#This Row],[Voucher No]],tblBank[Account Code],tblGJ[[#This Row],[Account Code]]),"")</f>
        <v>46280</v>
      </c>
      <c r="M677" s="1" t="str">
        <f>IF(tblGJ[[#This Row],[Date]]&lt;=PEnd,"Yes","No")</f>
        <v>Yes</v>
      </c>
    </row>
    <row r="678" spans="2:13" x14ac:dyDescent="0.35">
      <c r="B678" s="109">
        <v>46285</v>
      </c>
      <c r="C678" s="1" t="s">
        <v>5865</v>
      </c>
      <c r="D678" s="1">
        <v>1120</v>
      </c>
      <c r="E678" s="1" t="str">
        <f>_xlfn.XLOOKUP(tblGJ[[#This Row],[Account Code]],tblCOA[Code],tblCOA[Account Name],"⚠ Invalid account")</f>
        <v>Bank BCA - Current Account</v>
      </c>
      <c r="F678" s="1" t="s">
        <v>6348</v>
      </c>
      <c r="G678" s="5">
        <f>IF(MONTH(tblGJ[[#This Row],[Date]])=1,_xlfn.XLOOKUP(1210,tblCOA[Code],tblCOA[Opening Balance]),SUMIFS(tblSales[Total incl. VAT],tblSales[Month],MONTH(tblGJ[[#This Row],[Date]])-1,tblSales[Payment Method],Products!$O$15))</f>
        <v>678432000</v>
      </c>
      <c r="H678" s="5"/>
      <c r="I678" s="1" t="s">
        <v>6530</v>
      </c>
      <c r="J678" s="1">
        <f>MONTH(tblGJ[[#This Row],[Date]])</f>
        <v>9</v>
      </c>
      <c r="K678" s="1" t="str">
        <f>_xlfn.XLOOKUP(tblGJ[[#This Row],[Account Code]],tblCOA[Code],tblCOA[FS Line],"")</f>
        <v>Cash and cash equivalents</v>
      </c>
      <c r="L678" s="121">
        <f>IF(OR(tblGJ[[#This Row],[Account Code]]=1120,tblGJ[[#This Row],[Account Code]]=1130),_xlfn.MINIFS(tblBank[Value Date],tblBank[Reference],tblGJ[[#This Row],[Voucher No]],tblBank[Account Code],tblGJ[[#This Row],[Account Code]]),"")</f>
        <v>46285</v>
      </c>
      <c r="M678" s="1" t="str">
        <f>IF(tblGJ[[#This Row],[Date]]&lt;=PEnd,"Yes","No")</f>
        <v>Yes</v>
      </c>
    </row>
    <row r="679" spans="2:13" x14ac:dyDescent="0.35">
      <c r="B679" s="109">
        <v>46285</v>
      </c>
      <c r="C679" s="1" t="s">
        <v>5865</v>
      </c>
      <c r="D679" s="1">
        <v>1210</v>
      </c>
      <c r="E679" s="1" t="str">
        <f>_xlfn.XLOOKUP(tblGJ[[#This Row],[Account Code]],tblCOA[Code],tblCOA[Account Name],"⚠ Invalid account")</f>
        <v>Trade Receivables</v>
      </c>
      <c r="F679" s="1" t="s">
        <v>6349</v>
      </c>
      <c r="G679" s="5"/>
      <c r="H679" s="5">
        <f>IF(MONTH(tblGJ[[#This Row],[Date]])=1,_xlfn.XLOOKUP(1210,tblCOA[Code],tblCOA[Opening Balance]),SUMIFS(tblSales[Total incl. VAT],tblSales[Month],MONTH(tblGJ[[#This Row],[Date]])-1,tblSales[Payment Method],Products!$O$15))</f>
        <v>678432000</v>
      </c>
      <c r="I679" s="1" t="s">
        <v>6530</v>
      </c>
      <c r="J679" s="1">
        <f>MONTH(tblGJ[[#This Row],[Date]])</f>
        <v>9</v>
      </c>
      <c r="K679" s="1" t="str">
        <f>_xlfn.XLOOKUP(tblGJ[[#This Row],[Account Code]],tblCOA[Code],tblCOA[FS Line],"")</f>
        <v>Trade receivables - net</v>
      </c>
      <c r="L679" s="121" t="str">
        <f>IF(OR(tblGJ[[#This Row],[Account Code]]=1120,tblGJ[[#This Row],[Account Code]]=1130),_xlfn.MINIFS(tblBank[Value Date],tblBank[Reference],tblGJ[[#This Row],[Voucher No]],tblBank[Account Code],tblGJ[[#This Row],[Account Code]]),"")</f>
        <v/>
      </c>
      <c r="M679" s="1" t="str">
        <f>IF(tblGJ[[#This Row],[Date]]&lt;=PEnd,"Yes","No")</f>
        <v>Yes</v>
      </c>
    </row>
    <row r="680" spans="2:13" x14ac:dyDescent="0.35">
      <c r="B680" s="109">
        <v>46289</v>
      </c>
      <c r="C680" s="1" t="s">
        <v>5866</v>
      </c>
      <c r="D680" s="1">
        <v>1130</v>
      </c>
      <c r="E680" s="1" t="str">
        <f>_xlfn.XLOOKUP(tblGJ[[#This Row],[Account Code]],tblCOA[Code],tblCOA[Account Name],"⚠ Invalid account")</f>
        <v>Bank Mandiri - Current Account</v>
      </c>
      <c r="F680" s="1" t="s">
        <v>6350</v>
      </c>
      <c r="G680" s="5">
        <f>SUMIFS(tblPayroll[Net Pay],tblPayroll[Period],MONTH(tblGJ[[#This Row],[Date]]))</f>
        <v>161397799</v>
      </c>
      <c r="H680" s="5"/>
      <c r="I680" s="1" t="s">
        <v>6531</v>
      </c>
      <c r="J680" s="1">
        <f>MONTH(tblGJ[[#This Row],[Date]])</f>
        <v>9</v>
      </c>
      <c r="K680" s="1" t="str">
        <f>_xlfn.XLOOKUP(tblGJ[[#This Row],[Account Code]],tblCOA[Code],tblCOA[FS Line],"")</f>
        <v>Cash and cash equivalents</v>
      </c>
      <c r="L680" s="121">
        <f>IF(OR(tblGJ[[#This Row],[Account Code]]=1120,tblGJ[[#This Row],[Account Code]]=1130),_xlfn.MINIFS(tblBank[Value Date],tblBank[Reference],tblGJ[[#This Row],[Voucher No]],tblBank[Account Code],tblGJ[[#This Row],[Account Code]]),"")</f>
        <v>46289</v>
      </c>
      <c r="M680" s="1" t="str">
        <f>IF(tblGJ[[#This Row],[Date]]&lt;=PEnd,"Yes","No")</f>
        <v>Yes</v>
      </c>
    </row>
    <row r="681" spans="2:13" x14ac:dyDescent="0.35">
      <c r="B681" s="109">
        <v>46289</v>
      </c>
      <c r="C681" s="1" t="s">
        <v>5866</v>
      </c>
      <c r="D681" s="1">
        <v>1120</v>
      </c>
      <c r="E681" s="1" t="str">
        <f>_xlfn.XLOOKUP(tblGJ[[#This Row],[Account Code]],tblCOA[Code],tblCOA[Account Name],"⚠ Invalid account")</f>
        <v>Bank BCA - Current Account</v>
      </c>
      <c r="F681" s="1" t="s">
        <v>6351</v>
      </c>
      <c r="G681" s="5"/>
      <c r="H681" s="5">
        <f>SUMIFS(tblPayroll[Net Pay],tblPayroll[Period],MONTH(tblGJ[[#This Row],[Date]]))</f>
        <v>161397799</v>
      </c>
      <c r="I681" s="1" t="s">
        <v>6531</v>
      </c>
      <c r="J681" s="1">
        <f>MONTH(tblGJ[[#This Row],[Date]])</f>
        <v>9</v>
      </c>
      <c r="K681" s="1" t="str">
        <f>_xlfn.XLOOKUP(tblGJ[[#This Row],[Account Code]],tblCOA[Code],tblCOA[FS Line],"")</f>
        <v>Cash and cash equivalents</v>
      </c>
      <c r="L681" s="121">
        <f>IF(OR(tblGJ[[#This Row],[Account Code]]=1120,tblGJ[[#This Row],[Account Code]]=1130),_xlfn.MINIFS(tblBank[Value Date],tblBank[Reference],tblGJ[[#This Row],[Voucher No]],tblBank[Account Code],tblGJ[[#This Row],[Account Code]]),"")</f>
        <v>46289</v>
      </c>
      <c r="M681" s="1" t="str">
        <f>IF(tblGJ[[#This Row],[Date]]&lt;=PEnd,"Yes","No")</f>
        <v>Yes</v>
      </c>
    </row>
    <row r="682" spans="2:13" x14ac:dyDescent="0.35">
      <c r="B682" s="109">
        <v>46290</v>
      </c>
      <c r="C682" s="1" t="s">
        <v>5867</v>
      </c>
      <c r="D682" s="1">
        <v>6110</v>
      </c>
      <c r="E682" s="1" t="str">
        <f>_xlfn.XLOOKUP(tblGJ[[#This Row],[Account Code]],tblCOA[Code],tblCOA[Account Name],"⚠ Invalid account")</f>
        <v>Salaries &amp; Allowances - Selling</v>
      </c>
      <c r="F682" s="1" t="s">
        <v>6352</v>
      </c>
      <c r="G682" s="5">
        <f>SUMIFS(tblPayroll[Gross Salary],tblPayroll[Period],MONTH(tblGJ[[#This Row],[Date]]),tblPayroll[Department],"Selling")</f>
        <v>80200000</v>
      </c>
      <c r="H682" s="5"/>
      <c r="I682" s="1" t="s">
        <v>6531</v>
      </c>
      <c r="J682" s="1">
        <f>MONTH(tblGJ[[#This Row],[Date]])</f>
        <v>9</v>
      </c>
      <c r="K682" s="1" t="str">
        <f>_xlfn.XLOOKUP(tblGJ[[#This Row],[Account Code]],tblCOA[Code],tblCOA[FS Line],"")</f>
        <v>Selling expenses</v>
      </c>
      <c r="L682" s="121" t="str">
        <f>IF(OR(tblGJ[[#This Row],[Account Code]]=1120,tblGJ[[#This Row],[Account Code]]=1130),_xlfn.MINIFS(tblBank[Value Date],tblBank[Reference],tblGJ[[#This Row],[Voucher No]],tblBank[Account Code],tblGJ[[#This Row],[Account Code]]),"")</f>
        <v/>
      </c>
      <c r="M682" s="1" t="str">
        <f>IF(tblGJ[[#This Row],[Date]]&lt;=PEnd,"Yes","No")</f>
        <v>Yes</v>
      </c>
    </row>
    <row r="683" spans="2:13" x14ac:dyDescent="0.35">
      <c r="B683" s="109">
        <v>46290</v>
      </c>
      <c r="C683" s="1" t="s">
        <v>5867</v>
      </c>
      <c r="D683" s="1">
        <v>6111</v>
      </c>
      <c r="E683" s="1" t="str">
        <f>_xlfn.XLOOKUP(tblGJ[[#This Row],[Account Code]],tblCOA[Code],tblCOA[Account Name],"⚠ Invalid account")</f>
        <v>BPJS Employer Contributions - Selling</v>
      </c>
      <c r="F683" s="1" t="s">
        <v>6353</v>
      </c>
      <c r="G683" s="5">
        <f>SUMIFS(tblPayroll[Employer BPJS Total],tblPayroll[Period],MONTH(tblGJ[[#This Row],[Date]]),tblPayroll[Department],"Selling")</f>
        <v>7824376</v>
      </c>
      <c r="H683" s="5"/>
      <c r="I683" s="1" t="s">
        <v>6531</v>
      </c>
      <c r="J683" s="1">
        <f>MONTH(tblGJ[[#This Row],[Date]])</f>
        <v>9</v>
      </c>
      <c r="K683" s="1" t="str">
        <f>_xlfn.XLOOKUP(tblGJ[[#This Row],[Account Code]],tblCOA[Code],tblCOA[FS Line],"")</f>
        <v>Selling expenses</v>
      </c>
      <c r="L683" s="121" t="str">
        <f>IF(OR(tblGJ[[#This Row],[Account Code]]=1120,tblGJ[[#This Row],[Account Code]]=1130),_xlfn.MINIFS(tblBank[Value Date],tblBank[Reference],tblGJ[[#This Row],[Voucher No]],tblBank[Account Code],tblGJ[[#This Row],[Account Code]]),"")</f>
        <v/>
      </c>
      <c r="M683" s="1" t="str">
        <f>IF(tblGJ[[#This Row],[Date]]&lt;=PEnd,"Yes","No")</f>
        <v>Yes</v>
      </c>
    </row>
    <row r="684" spans="2:13" x14ac:dyDescent="0.35">
      <c r="B684" s="109">
        <v>46290</v>
      </c>
      <c r="C684" s="1" t="s">
        <v>5867</v>
      </c>
      <c r="D684" s="1">
        <v>6210</v>
      </c>
      <c r="E684" s="1" t="str">
        <f>_xlfn.XLOOKUP(tblGJ[[#This Row],[Account Code]],tblCOA[Code],tblCOA[Account Name],"⚠ Invalid account")</f>
        <v>Salaries &amp; Allowances - G&amp;A</v>
      </c>
      <c r="F684" s="1" t="s">
        <v>6354</v>
      </c>
      <c r="G684" s="5">
        <f>SUMIFS(tblPayroll[Gross Salary],tblPayroll[Period],MONTH(tblGJ[[#This Row],[Date]]),tblPayroll[Department],"G&amp;A")</f>
        <v>98000000</v>
      </c>
      <c r="H684" s="5"/>
      <c r="I684" s="1" t="s">
        <v>6531</v>
      </c>
      <c r="J684" s="1">
        <f>MONTH(tblGJ[[#This Row],[Date]])</f>
        <v>9</v>
      </c>
      <c r="K684" s="1" t="str">
        <f>_xlfn.XLOOKUP(tblGJ[[#This Row],[Account Code]],tblCOA[Code],tblCOA[FS Line],"")</f>
        <v>General &amp; administrative expenses</v>
      </c>
      <c r="L684" s="121" t="str">
        <f>IF(OR(tblGJ[[#This Row],[Account Code]]=1120,tblGJ[[#This Row],[Account Code]]=1130),_xlfn.MINIFS(tblBank[Value Date],tblBank[Reference],tblGJ[[#This Row],[Voucher No]],tblBank[Account Code],tblGJ[[#This Row],[Account Code]]),"")</f>
        <v/>
      </c>
      <c r="M684" s="1" t="str">
        <f>IF(tblGJ[[#This Row],[Date]]&lt;=PEnd,"Yes","No")</f>
        <v>Yes</v>
      </c>
    </row>
    <row r="685" spans="2:13" x14ac:dyDescent="0.35">
      <c r="B685" s="109">
        <v>46290</v>
      </c>
      <c r="C685" s="1" t="s">
        <v>5867</v>
      </c>
      <c r="D685" s="1">
        <v>6211</v>
      </c>
      <c r="E685" s="1" t="str">
        <f>_xlfn.XLOOKUP(tblGJ[[#This Row],[Account Code]],tblCOA[Code],tblCOA[Account Name],"⚠ Invalid account")</f>
        <v>BPJS Employer Contributions - G&amp;A</v>
      </c>
      <c r="F685" s="1" t="s">
        <v>6355</v>
      </c>
      <c r="G685" s="5">
        <f>SUMIFS(tblPayroll[Employer BPJS Total],tblPayroll[Period],MONTH(tblGJ[[#This Row],[Date]]),tblPayroll[Department],"G&amp;A")</f>
        <v>7968044</v>
      </c>
      <c r="H685" s="5"/>
      <c r="I685" s="1" t="s">
        <v>6531</v>
      </c>
      <c r="J685" s="1">
        <f>MONTH(tblGJ[[#This Row],[Date]])</f>
        <v>9</v>
      </c>
      <c r="K685" s="1" t="str">
        <f>_xlfn.XLOOKUP(tblGJ[[#This Row],[Account Code]],tblCOA[Code],tblCOA[FS Line],"")</f>
        <v>General &amp; administrative expenses</v>
      </c>
      <c r="L685" s="121" t="str">
        <f>IF(OR(tblGJ[[#This Row],[Account Code]]=1120,tblGJ[[#This Row],[Account Code]]=1130),_xlfn.MINIFS(tblBank[Value Date],tblBank[Reference],tblGJ[[#This Row],[Voucher No]],tblBank[Account Code],tblGJ[[#This Row],[Account Code]]),"")</f>
        <v/>
      </c>
      <c r="M685" s="1" t="str">
        <f>IF(tblGJ[[#This Row],[Date]]&lt;=PEnd,"Yes","No")</f>
        <v>Yes</v>
      </c>
    </row>
    <row r="686" spans="2:13" x14ac:dyDescent="0.35">
      <c r="B686" s="109">
        <v>46290</v>
      </c>
      <c r="C686" s="1" t="s">
        <v>5867</v>
      </c>
      <c r="D686" s="1">
        <v>2230</v>
      </c>
      <c r="E686" s="1" t="str">
        <f>_xlfn.XLOOKUP(tblGJ[[#This Row],[Account Code]],tblCOA[Code],tblCOA[Account Name],"⚠ Invalid account")</f>
        <v>WHT Payable - Art. 21</v>
      </c>
      <c r="F686" s="1" t="s">
        <v>6356</v>
      </c>
      <c r="G686" s="5"/>
      <c r="H686" s="5">
        <f>SUMIFS(tblPayroll[PPh 21],tblPayroll[Period],MONTH(tblGJ[[#This Row],[Date]]))</f>
        <v>10516831</v>
      </c>
      <c r="I686" s="1" t="s">
        <v>6531</v>
      </c>
      <c r="J686" s="1">
        <f>MONTH(tblGJ[[#This Row],[Date]])</f>
        <v>9</v>
      </c>
      <c r="K686" s="1" t="str">
        <f>_xlfn.XLOOKUP(tblGJ[[#This Row],[Account Code]],tblCOA[Code],tblCOA[FS Line],"")</f>
        <v>Taxes payable</v>
      </c>
      <c r="L686" s="121" t="str">
        <f>IF(OR(tblGJ[[#This Row],[Account Code]]=1120,tblGJ[[#This Row],[Account Code]]=1130),_xlfn.MINIFS(tblBank[Value Date],tblBank[Reference],tblGJ[[#This Row],[Voucher No]],tblBank[Account Code],tblGJ[[#This Row],[Account Code]]),"")</f>
        <v/>
      </c>
      <c r="M686" s="1" t="str">
        <f>IF(tblGJ[[#This Row],[Date]]&lt;=PEnd,"Yes","No")</f>
        <v>Yes</v>
      </c>
    </row>
    <row r="687" spans="2:13" x14ac:dyDescent="0.35">
      <c r="B687" s="109">
        <v>46290</v>
      </c>
      <c r="C687" s="1" t="s">
        <v>5867</v>
      </c>
      <c r="D687" s="1">
        <v>2150</v>
      </c>
      <c r="E687" s="1" t="str">
        <f>_xlfn.XLOOKUP(tblGJ[[#This Row],[Account Code]],tblCOA[Code],tblCOA[Account Name],"⚠ Invalid account")</f>
        <v>BPJS Payable</v>
      </c>
      <c r="F687" s="1" t="s">
        <v>6357</v>
      </c>
      <c r="G687" s="5"/>
      <c r="H687" s="5">
        <f>SUMIFS(tblPayroll[BPJS Payable],tblPayroll[Period],MONTH(tblGJ[[#This Row],[Date]]))</f>
        <v>22077790</v>
      </c>
      <c r="I687" s="1" t="s">
        <v>6531</v>
      </c>
      <c r="J687" s="1">
        <f>MONTH(tblGJ[[#This Row],[Date]])</f>
        <v>9</v>
      </c>
      <c r="K687" s="1" t="str">
        <f>_xlfn.XLOOKUP(tblGJ[[#This Row],[Account Code]],tblCOA[Code],tblCOA[FS Line],"")</f>
        <v>Accrued expenses</v>
      </c>
      <c r="L687" s="121" t="str">
        <f>IF(OR(tblGJ[[#This Row],[Account Code]]=1120,tblGJ[[#This Row],[Account Code]]=1130),_xlfn.MINIFS(tblBank[Value Date],tblBank[Reference],tblGJ[[#This Row],[Voucher No]],tblBank[Account Code],tblGJ[[#This Row],[Account Code]]),"")</f>
        <v/>
      </c>
      <c r="M687" s="1" t="str">
        <f>IF(tblGJ[[#This Row],[Date]]&lt;=PEnd,"Yes","No")</f>
        <v>Yes</v>
      </c>
    </row>
    <row r="688" spans="2:13" x14ac:dyDescent="0.35">
      <c r="B688" s="109">
        <v>46290</v>
      </c>
      <c r="C688" s="1" t="s">
        <v>5867</v>
      </c>
      <c r="D688" s="1">
        <v>1130</v>
      </c>
      <c r="E688" s="1" t="str">
        <f>_xlfn.XLOOKUP(tblGJ[[#This Row],[Account Code]],tblCOA[Code],tblCOA[Account Name],"⚠ Invalid account")</f>
        <v>Bank Mandiri - Current Account</v>
      </c>
      <c r="F688" s="1" t="s">
        <v>6358</v>
      </c>
      <c r="G688" s="5"/>
      <c r="H688" s="5">
        <f>SUMIFS(tblPayroll[Net Pay],tblPayroll[Period],MONTH(tblGJ[[#This Row],[Date]]))</f>
        <v>161397799</v>
      </c>
      <c r="I688" s="1" t="s">
        <v>6531</v>
      </c>
      <c r="J688" s="1">
        <f>MONTH(tblGJ[[#This Row],[Date]])</f>
        <v>9</v>
      </c>
      <c r="K688" s="1" t="str">
        <f>_xlfn.XLOOKUP(tblGJ[[#This Row],[Account Code]],tblCOA[Code],tblCOA[FS Line],"")</f>
        <v>Cash and cash equivalents</v>
      </c>
      <c r="L688" s="121">
        <f>IF(OR(tblGJ[[#This Row],[Account Code]]=1120,tblGJ[[#This Row],[Account Code]]=1130),_xlfn.MINIFS(tblBank[Value Date],tblBank[Reference],tblGJ[[#This Row],[Voucher No]],tblBank[Account Code],tblGJ[[#This Row],[Account Code]]),"")</f>
        <v>46290</v>
      </c>
      <c r="M688" s="1" t="str">
        <f>IF(tblGJ[[#This Row],[Date]]&lt;=PEnd,"Yes","No")</f>
        <v>Yes</v>
      </c>
    </row>
    <row r="689" spans="2:13" x14ac:dyDescent="0.35">
      <c r="B689" s="109">
        <v>46293</v>
      </c>
      <c r="C689" s="1" t="s">
        <v>5868</v>
      </c>
      <c r="D689" s="1">
        <v>2220</v>
      </c>
      <c r="E689" s="1" t="str">
        <f>_xlfn.XLOOKUP(tblGJ[[#This Row],[Account Code]],tblCOA[Code],tblCOA[Account Name],"⚠ Invalid account")</f>
        <v>VAT Payable - Net</v>
      </c>
      <c r="F689" s="1" t="s">
        <v>5974</v>
      </c>
      <c r="G689" s="5">
        <f>IF(MONTH(tblGJ[[#This Row],[Date]])=1,_xlfn.XLOOKUP(2220,tblCOA[Code],tblCOA[Opening Balance]),SUMIFS(tblSales[Output VAT],tblSales[Month],MONTH(tblGJ[[#This Row],[Date]])-1)-SUMIFS(tblPurchases[Input VAT],tblPurchases[Month],MONTH(tblGJ[[#This Row],[Date]])-1))</f>
        <v>14872330</v>
      </c>
      <c r="H689" s="5"/>
      <c r="I689" s="1" t="s">
        <v>6528</v>
      </c>
      <c r="J689" s="1">
        <f>MONTH(tblGJ[[#This Row],[Date]])</f>
        <v>9</v>
      </c>
      <c r="K689" s="1" t="str">
        <f>_xlfn.XLOOKUP(tblGJ[[#This Row],[Account Code]],tblCOA[Code],tblCOA[FS Line],"")</f>
        <v>Taxes payable</v>
      </c>
      <c r="L689" s="121" t="str">
        <f>IF(OR(tblGJ[[#This Row],[Account Code]]=1120,tblGJ[[#This Row],[Account Code]]=1130),_xlfn.MINIFS(tblBank[Value Date],tblBank[Reference],tblGJ[[#This Row],[Voucher No]],tblBank[Account Code],tblGJ[[#This Row],[Account Code]]),"")</f>
        <v/>
      </c>
      <c r="M689" s="1" t="str">
        <f>IF(tblGJ[[#This Row],[Date]]&lt;=PEnd,"Yes","No")</f>
        <v>Yes</v>
      </c>
    </row>
    <row r="690" spans="2:13" x14ac:dyDescent="0.35">
      <c r="B690" s="109">
        <v>46293</v>
      </c>
      <c r="C690" s="1" t="s">
        <v>5868</v>
      </c>
      <c r="D690" s="1">
        <v>1120</v>
      </c>
      <c r="E690" s="1" t="str">
        <f>_xlfn.XLOOKUP(tblGJ[[#This Row],[Account Code]],tblCOA[Code],tblCOA[Account Name],"⚠ Invalid account")</f>
        <v>Bank BCA - Current Account</v>
      </c>
      <c r="F690" s="1" t="s">
        <v>5974</v>
      </c>
      <c r="G690" s="5"/>
      <c r="H690" s="5">
        <f>IF(MONTH(tblGJ[[#This Row],[Date]])=1,_xlfn.XLOOKUP(2220,tblCOA[Code],tblCOA[Opening Balance]),SUMIFS(tblSales[Output VAT],tblSales[Month],MONTH(tblGJ[[#This Row],[Date]])-1)-SUMIFS(tblPurchases[Input VAT],tblPurchases[Month],MONTH(tblGJ[[#This Row],[Date]])-1))</f>
        <v>14872330</v>
      </c>
      <c r="I690" s="1" t="s">
        <v>6528</v>
      </c>
      <c r="J690" s="1">
        <f>MONTH(tblGJ[[#This Row],[Date]])</f>
        <v>9</v>
      </c>
      <c r="K690" s="1" t="str">
        <f>_xlfn.XLOOKUP(tblGJ[[#This Row],[Account Code]],tblCOA[Code],tblCOA[FS Line],"")</f>
        <v>Cash and cash equivalents</v>
      </c>
      <c r="L690" s="121">
        <f>IF(OR(tblGJ[[#This Row],[Account Code]]=1120,tblGJ[[#This Row],[Account Code]]=1130),_xlfn.MINIFS(tblBank[Value Date],tblBank[Reference],tblGJ[[#This Row],[Voucher No]],tblBank[Account Code],tblGJ[[#This Row],[Account Code]]),"")</f>
        <v>46293</v>
      </c>
      <c r="M690" s="1" t="str">
        <f>IF(tblGJ[[#This Row],[Date]]&lt;=PEnd,"Yes","No")</f>
        <v>Yes</v>
      </c>
    </row>
    <row r="691" spans="2:13" x14ac:dyDescent="0.35">
      <c r="B691" s="109">
        <v>46293</v>
      </c>
      <c r="C691" s="1" t="s">
        <v>5869</v>
      </c>
      <c r="D691" s="1">
        <v>2410</v>
      </c>
      <c r="E691" s="1" t="str">
        <f>_xlfn.XLOOKUP(tblGJ[[#This Row],[Account Code]],tblCOA[Code],tblCOA[Account Name],"⚠ Invalid account")</f>
        <v>Long-term Bank Loan</v>
      </c>
      <c r="F691" s="1" t="s">
        <v>6359</v>
      </c>
      <c r="G691" s="5">
        <v>25000000</v>
      </c>
      <c r="H691" s="5"/>
      <c r="I691" s="1" t="s">
        <v>4263</v>
      </c>
      <c r="J691" s="1">
        <f>MONTH(tblGJ[[#This Row],[Date]])</f>
        <v>9</v>
      </c>
      <c r="K691" s="1" t="str">
        <f>_xlfn.XLOOKUP(tblGJ[[#This Row],[Account Code]],tblCOA[Code],tblCOA[FS Line],"")</f>
        <v>Long-term bank loans</v>
      </c>
      <c r="L691" s="121" t="str">
        <f>IF(OR(tblGJ[[#This Row],[Account Code]]=1120,tblGJ[[#This Row],[Account Code]]=1130),_xlfn.MINIFS(tblBank[Value Date],tblBank[Reference],tblGJ[[#This Row],[Voucher No]],tblBank[Account Code],tblGJ[[#This Row],[Account Code]]),"")</f>
        <v/>
      </c>
      <c r="M691" s="1" t="str">
        <f>IF(tblGJ[[#This Row],[Date]]&lt;=PEnd,"Yes","No")</f>
        <v>Yes</v>
      </c>
    </row>
    <row r="692" spans="2:13" x14ac:dyDescent="0.35">
      <c r="B692" s="109">
        <v>46293</v>
      </c>
      <c r="C692" s="1" t="s">
        <v>5869</v>
      </c>
      <c r="D692" s="1">
        <v>7210</v>
      </c>
      <c r="E692" s="1" t="str">
        <f>_xlfn.XLOOKUP(tblGJ[[#This Row],[Account Code]],tblCOA[Code],tblCOA[Account Name],"⚠ Invalid account")</f>
        <v>Interest Expense - Bank Loans</v>
      </c>
      <c r="F692" s="1" t="s">
        <v>6360</v>
      </c>
      <c r="G692" s="5">
        <v>9750000</v>
      </c>
      <c r="H692" s="5"/>
      <c r="I692" s="1" t="s">
        <v>4263</v>
      </c>
      <c r="J692" s="1">
        <f>MONTH(tblGJ[[#This Row],[Date]])</f>
        <v>9</v>
      </c>
      <c r="K692" s="1" t="str">
        <f>_xlfn.XLOOKUP(tblGJ[[#This Row],[Account Code]],tblCOA[Code],tblCOA[FS Line],"")</f>
        <v>Finance costs</v>
      </c>
      <c r="L692" s="121" t="str">
        <f>IF(OR(tblGJ[[#This Row],[Account Code]]=1120,tblGJ[[#This Row],[Account Code]]=1130),_xlfn.MINIFS(tblBank[Value Date],tblBank[Reference],tblGJ[[#This Row],[Voucher No]],tblBank[Account Code],tblGJ[[#This Row],[Account Code]]),"")</f>
        <v/>
      </c>
      <c r="M692" s="1" t="str">
        <f>IF(tblGJ[[#This Row],[Date]]&lt;=PEnd,"Yes","No")</f>
        <v>Yes</v>
      </c>
    </row>
    <row r="693" spans="2:13" x14ac:dyDescent="0.35">
      <c r="B693" s="109">
        <v>46293</v>
      </c>
      <c r="C693" s="1" t="s">
        <v>5869</v>
      </c>
      <c r="D693" s="1">
        <v>1120</v>
      </c>
      <c r="E693" s="1" t="str">
        <f>_xlfn.XLOOKUP(tblGJ[[#This Row],[Account Code]],tblCOA[Code],tblCOA[Account Name],"⚠ Invalid account")</f>
        <v>Bank BCA - Current Account</v>
      </c>
      <c r="F693" s="1" t="s">
        <v>6361</v>
      </c>
      <c r="G693" s="5"/>
      <c r="H693" s="5">
        <v>34750000</v>
      </c>
      <c r="I693" s="1" t="s">
        <v>4263</v>
      </c>
      <c r="J693" s="1">
        <f>MONTH(tblGJ[[#This Row],[Date]])</f>
        <v>9</v>
      </c>
      <c r="K693" s="1" t="str">
        <f>_xlfn.XLOOKUP(tblGJ[[#This Row],[Account Code]],tblCOA[Code],tblCOA[FS Line],"")</f>
        <v>Cash and cash equivalents</v>
      </c>
      <c r="L693" s="121">
        <f>IF(OR(tblGJ[[#This Row],[Account Code]]=1120,tblGJ[[#This Row],[Account Code]]=1130),_xlfn.MINIFS(tblBank[Value Date],tblBank[Reference],tblGJ[[#This Row],[Voucher No]],tblBank[Account Code],tblGJ[[#This Row],[Account Code]]),"")</f>
        <v>46293</v>
      </c>
      <c r="M693" s="1" t="str">
        <f>IF(tblGJ[[#This Row],[Date]]&lt;=PEnd,"Yes","No")</f>
        <v>Yes</v>
      </c>
    </row>
    <row r="694" spans="2:13" x14ac:dyDescent="0.35">
      <c r="B694" s="109">
        <v>46295</v>
      </c>
      <c r="C694" s="1" t="s">
        <v>5870</v>
      </c>
      <c r="D694" s="1">
        <v>1110</v>
      </c>
      <c r="E694" s="1" t="str">
        <f>_xlfn.XLOOKUP(tblGJ[[#This Row],[Account Code]],tblCOA[Code],tblCOA[Account Name],"⚠ Invalid account")</f>
        <v>Cash on Hand</v>
      </c>
      <c r="F694" s="1" t="s">
        <v>6362</v>
      </c>
      <c r="G694" s="5">
        <f>SUMIFS(tblSales[Total incl. VAT],tblSales[Month],MONTH(tblGJ[[#This Row],[Date]]),tblSales[Payment Method],Products!$O$13)</f>
        <v>126917400</v>
      </c>
      <c r="H694" s="5"/>
      <c r="I694" s="1" t="s">
        <v>6532</v>
      </c>
      <c r="J694" s="1">
        <f>MONTH(tblGJ[[#This Row],[Date]])</f>
        <v>9</v>
      </c>
      <c r="K694" s="1" t="str">
        <f>_xlfn.XLOOKUP(tblGJ[[#This Row],[Account Code]],tblCOA[Code],tblCOA[FS Line],"")</f>
        <v>Cash and cash equivalents</v>
      </c>
      <c r="L694" s="121" t="str">
        <f>IF(OR(tblGJ[[#This Row],[Account Code]]=1120,tblGJ[[#This Row],[Account Code]]=1130),_xlfn.MINIFS(tblBank[Value Date],tblBank[Reference],tblGJ[[#This Row],[Voucher No]],tblBank[Account Code],tblGJ[[#This Row],[Account Code]]),"")</f>
        <v/>
      </c>
      <c r="M694" s="1" t="str">
        <f>IF(tblGJ[[#This Row],[Date]]&lt;=PEnd,"Yes","No")</f>
        <v>Yes</v>
      </c>
    </row>
    <row r="695" spans="2:13" x14ac:dyDescent="0.35">
      <c r="B695" s="109">
        <v>46295</v>
      </c>
      <c r="C695" s="1" t="s">
        <v>5870</v>
      </c>
      <c r="D695" s="1">
        <v>1120</v>
      </c>
      <c r="E695" s="1" t="str">
        <f>_xlfn.XLOOKUP(tblGJ[[#This Row],[Account Code]],tblCOA[Code],tblCOA[Account Name],"⚠ Invalid account")</f>
        <v>Bank BCA - Current Account</v>
      </c>
      <c r="F695" s="1" t="s">
        <v>6363</v>
      </c>
      <c r="G695" s="5">
        <f>SUMIFS(tblSales[Total incl. VAT],tblSales[Month],MONTH(tblGJ[[#This Row],[Date]]),tblSales[Payment Method],Products!$O$14)</f>
        <v>188694450</v>
      </c>
      <c r="H695" s="5"/>
      <c r="I695" s="1" t="s">
        <v>6532</v>
      </c>
      <c r="J695" s="1">
        <f>MONTH(tblGJ[[#This Row],[Date]])</f>
        <v>9</v>
      </c>
      <c r="K695" s="1" t="str">
        <f>_xlfn.XLOOKUP(tblGJ[[#This Row],[Account Code]],tblCOA[Code],tblCOA[FS Line],"")</f>
        <v>Cash and cash equivalents</v>
      </c>
      <c r="L695" s="121">
        <f>IF(OR(tblGJ[[#This Row],[Account Code]]=1120,tblGJ[[#This Row],[Account Code]]=1130),_xlfn.MINIFS(tblBank[Value Date],tblBank[Reference],tblGJ[[#This Row],[Voucher No]],tblBank[Account Code],tblGJ[[#This Row],[Account Code]]),"")</f>
        <v>46295</v>
      </c>
      <c r="M695" s="1" t="str">
        <f>IF(tblGJ[[#This Row],[Date]]&lt;=PEnd,"Yes","No")</f>
        <v>Yes</v>
      </c>
    </row>
    <row r="696" spans="2:13" x14ac:dyDescent="0.35">
      <c r="B696" s="109">
        <v>46295</v>
      </c>
      <c r="C696" s="1" t="s">
        <v>5870</v>
      </c>
      <c r="D696" s="1">
        <v>1210</v>
      </c>
      <c r="E696" s="1" t="str">
        <f>_xlfn.XLOOKUP(tblGJ[[#This Row],[Account Code]],tblCOA[Code],tblCOA[Account Name],"⚠ Invalid account")</f>
        <v>Trade Receivables</v>
      </c>
      <c r="F696" s="1" t="s">
        <v>6364</v>
      </c>
      <c r="G696" s="5">
        <f>SUMIFS(tblSales[Total incl. VAT],tblSales[Month],MONTH(tblGJ[[#This Row],[Date]]),tblSales[Payment Method],Products!$O$15)</f>
        <v>852702000</v>
      </c>
      <c r="H696" s="5"/>
      <c r="I696" s="1" t="s">
        <v>6532</v>
      </c>
      <c r="J696" s="1">
        <f>MONTH(tblGJ[[#This Row],[Date]])</f>
        <v>9</v>
      </c>
      <c r="K696" s="1" t="str">
        <f>_xlfn.XLOOKUP(tblGJ[[#This Row],[Account Code]],tblCOA[Code],tblCOA[FS Line],"")</f>
        <v>Trade receivables - net</v>
      </c>
      <c r="L696" s="121" t="str">
        <f>IF(OR(tblGJ[[#This Row],[Account Code]]=1120,tblGJ[[#This Row],[Account Code]]=1130),_xlfn.MINIFS(tblBank[Value Date],tblBank[Reference],tblGJ[[#This Row],[Voucher No]],tblBank[Account Code],tblGJ[[#This Row],[Account Code]]),"")</f>
        <v/>
      </c>
      <c r="M696" s="1" t="str">
        <f>IF(tblGJ[[#This Row],[Date]]&lt;=PEnd,"Yes","No")</f>
        <v>Yes</v>
      </c>
    </row>
    <row r="697" spans="2:13" x14ac:dyDescent="0.35">
      <c r="B697" s="109">
        <v>46295</v>
      </c>
      <c r="C697" s="1" t="s">
        <v>5870</v>
      </c>
      <c r="D697" s="1">
        <v>4100</v>
      </c>
      <c r="E697" s="1" t="str">
        <f>_xlfn.XLOOKUP(tblGJ[[#This Row],[Account Code]],tblCOA[Code],tblCOA[Account Name],"⚠ Invalid account")</f>
        <v>Sales of goods</v>
      </c>
      <c r="F697" s="1" t="s">
        <v>6365</v>
      </c>
      <c r="G697" s="5"/>
      <c r="H697" s="5">
        <f>SUMIFS(tblSales[DPP (excl. VAT)],tblSales[Month],MONTH(tblGJ[[#This Row],[Date]]))</f>
        <v>1052535000</v>
      </c>
      <c r="I697" s="1" t="s">
        <v>6532</v>
      </c>
      <c r="J697" s="1">
        <f>MONTH(tblGJ[[#This Row],[Date]])</f>
        <v>9</v>
      </c>
      <c r="K697" s="1" t="str">
        <f>_xlfn.XLOOKUP(tblGJ[[#This Row],[Account Code]],tblCOA[Code],tblCOA[FS Line],"")</f>
        <v>Revenue</v>
      </c>
      <c r="L697" s="121" t="str">
        <f>IF(OR(tblGJ[[#This Row],[Account Code]]=1120,tblGJ[[#This Row],[Account Code]]=1130),_xlfn.MINIFS(tblBank[Value Date],tblBank[Reference],tblGJ[[#This Row],[Voucher No]],tblBank[Account Code],tblGJ[[#This Row],[Account Code]]),"")</f>
        <v/>
      </c>
      <c r="M697" s="1" t="str">
        <f>IF(tblGJ[[#This Row],[Date]]&lt;=PEnd,"Yes","No")</f>
        <v>Yes</v>
      </c>
    </row>
    <row r="698" spans="2:13" x14ac:dyDescent="0.35">
      <c r="B698" s="109">
        <v>46295</v>
      </c>
      <c r="C698" s="1" t="s">
        <v>5870</v>
      </c>
      <c r="D698" s="1">
        <v>2210</v>
      </c>
      <c r="E698" s="1" t="str">
        <f>_xlfn.XLOOKUP(tblGJ[[#This Row],[Account Code]],tblCOA[Code],tblCOA[Account Name],"⚠ Invalid account")</f>
        <v>Output VAT (PPN Keluaran)</v>
      </c>
      <c r="F698" s="1" t="s">
        <v>6366</v>
      </c>
      <c r="G698" s="5"/>
      <c r="H698" s="5">
        <f>SUMIFS(tblSales[Output VAT],tblSales[Month],MONTH(tblGJ[[#This Row],[Date]]))</f>
        <v>115778850</v>
      </c>
      <c r="I698" s="1" t="s">
        <v>6532</v>
      </c>
      <c r="J698" s="1">
        <f>MONTH(tblGJ[[#This Row],[Date]])</f>
        <v>9</v>
      </c>
      <c r="K698" s="1" t="str">
        <f>_xlfn.XLOOKUP(tblGJ[[#This Row],[Account Code]],tblCOA[Code],tblCOA[FS Line],"")</f>
        <v>Taxes payable</v>
      </c>
      <c r="L698" s="121" t="str">
        <f>IF(OR(tblGJ[[#This Row],[Account Code]]=1120,tblGJ[[#This Row],[Account Code]]=1130),_xlfn.MINIFS(tblBank[Value Date],tblBank[Reference],tblGJ[[#This Row],[Voucher No]],tblBank[Account Code],tblGJ[[#This Row],[Account Code]]),"")</f>
        <v/>
      </c>
      <c r="M698" s="1" t="str">
        <f>IF(tblGJ[[#This Row],[Date]]&lt;=PEnd,"Yes","No")</f>
        <v>Yes</v>
      </c>
    </row>
    <row r="699" spans="2:13" x14ac:dyDescent="0.35">
      <c r="B699" s="109">
        <v>46295</v>
      </c>
      <c r="C699" s="1" t="s">
        <v>5871</v>
      </c>
      <c r="D699" s="1">
        <v>5100</v>
      </c>
      <c r="E699" s="1" t="str">
        <f>_xlfn.XLOOKUP(tblGJ[[#This Row],[Account Code]],tblCOA[Code],tblCOA[Account Name],"⚠ Invalid account")</f>
        <v>Cost of goods sold</v>
      </c>
      <c r="F699" s="1" t="s">
        <v>6367</v>
      </c>
      <c r="G699" s="5">
        <f>SUMIFS(tblSales[COGS],tblSales[Month],MONTH(tblGJ[[#This Row],[Date]]))</f>
        <v>635583000</v>
      </c>
      <c r="H699" s="5"/>
      <c r="I699" s="1" t="s">
        <v>6532</v>
      </c>
      <c r="J699" s="1">
        <f>MONTH(tblGJ[[#This Row],[Date]])</f>
        <v>9</v>
      </c>
      <c r="K699" s="1" t="str">
        <f>_xlfn.XLOOKUP(tblGJ[[#This Row],[Account Code]],tblCOA[Code],tblCOA[FS Line],"")</f>
        <v>Cost of revenue</v>
      </c>
      <c r="L699" s="121" t="str">
        <f>IF(OR(tblGJ[[#This Row],[Account Code]]=1120,tblGJ[[#This Row],[Account Code]]=1130),_xlfn.MINIFS(tblBank[Value Date],tblBank[Reference],tblGJ[[#This Row],[Voucher No]],tblBank[Account Code],tblGJ[[#This Row],[Account Code]]),"")</f>
        <v/>
      </c>
      <c r="M699" s="1" t="str">
        <f>IF(tblGJ[[#This Row],[Date]]&lt;=PEnd,"Yes","No")</f>
        <v>Yes</v>
      </c>
    </row>
    <row r="700" spans="2:13" x14ac:dyDescent="0.35">
      <c r="B700" s="109">
        <v>46295</v>
      </c>
      <c r="C700" s="1" t="s">
        <v>5871</v>
      </c>
      <c r="D700" s="1">
        <v>1310</v>
      </c>
      <c r="E700" s="1" t="str">
        <f>_xlfn.XLOOKUP(tblGJ[[#This Row],[Account Code]],tblCOA[Code],tblCOA[Account Name],"⚠ Invalid account")</f>
        <v>Merchandise inventory</v>
      </c>
      <c r="F700" s="1" t="s">
        <v>6368</v>
      </c>
      <c r="G700" s="5"/>
      <c r="H700" s="5">
        <f>SUMIFS(tblSales[COGS],tblSales[Month],MONTH(tblGJ[[#This Row],[Date]]))</f>
        <v>635583000</v>
      </c>
      <c r="I700" s="1" t="s">
        <v>6532</v>
      </c>
      <c r="J700" s="1">
        <f>MONTH(tblGJ[[#This Row],[Date]])</f>
        <v>9</v>
      </c>
      <c r="K700" s="1" t="str">
        <f>_xlfn.XLOOKUP(tblGJ[[#This Row],[Account Code]],tblCOA[Code],tblCOA[FS Line],"")</f>
        <v>Inventories</v>
      </c>
      <c r="L700" s="121" t="str">
        <f>IF(OR(tblGJ[[#This Row],[Account Code]]=1120,tblGJ[[#This Row],[Account Code]]=1130),_xlfn.MINIFS(tblBank[Value Date],tblBank[Reference],tblGJ[[#This Row],[Voucher No]],tblBank[Account Code],tblGJ[[#This Row],[Account Code]]),"")</f>
        <v/>
      </c>
      <c r="M700" s="1" t="str">
        <f>IF(tblGJ[[#This Row],[Date]]&lt;=PEnd,"Yes","No")</f>
        <v>Yes</v>
      </c>
    </row>
    <row r="701" spans="2:13" x14ac:dyDescent="0.35">
      <c r="B701" s="109">
        <v>46295</v>
      </c>
      <c r="C701" s="1" t="s">
        <v>5872</v>
      </c>
      <c r="D701" s="1">
        <v>1120</v>
      </c>
      <c r="E701" s="1" t="str">
        <f>_xlfn.XLOOKUP(tblGJ[[#This Row],[Account Code]],tblCOA[Code],tblCOA[Account Name],"⚠ Invalid account")</f>
        <v>Bank BCA - Current Account</v>
      </c>
      <c r="F701" s="1" t="s">
        <v>6369</v>
      </c>
      <c r="G701" s="5">
        <f>SUMIFS(tblSales[Total incl. VAT],tblSales[Month],MONTH(tblGJ[[#This Row],[Date]]),tblSales[Payment Method],Products!$O$13)</f>
        <v>126917400</v>
      </c>
      <c r="H701" s="5"/>
      <c r="I701" s="1" t="s">
        <v>6532</v>
      </c>
      <c r="J701" s="1">
        <f>MONTH(tblGJ[[#This Row],[Date]])</f>
        <v>9</v>
      </c>
      <c r="K701" s="1" t="str">
        <f>_xlfn.XLOOKUP(tblGJ[[#This Row],[Account Code]],tblCOA[Code],tblCOA[FS Line],"")</f>
        <v>Cash and cash equivalents</v>
      </c>
      <c r="L701" s="121">
        <f>IF(OR(tblGJ[[#This Row],[Account Code]]=1120,tblGJ[[#This Row],[Account Code]]=1130),_xlfn.MINIFS(tblBank[Value Date],tblBank[Reference],tblGJ[[#This Row],[Voucher No]],tblBank[Account Code],tblGJ[[#This Row],[Account Code]]),"")</f>
        <v>46295</v>
      </c>
      <c r="M701" s="1" t="str">
        <f>IF(tblGJ[[#This Row],[Date]]&lt;=PEnd,"Yes","No")</f>
        <v>Yes</v>
      </c>
    </row>
    <row r="702" spans="2:13" x14ac:dyDescent="0.35">
      <c r="B702" s="109">
        <v>46295</v>
      </c>
      <c r="C702" s="1" t="s">
        <v>5872</v>
      </c>
      <c r="D702" s="1">
        <v>1110</v>
      </c>
      <c r="E702" s="1" t="str">
        <f>_xlfn.XLOOKUP(tblGJ[[#This Row],[Account Code]],tblCOA[Code],tblCOA[Account Name],"⚠ Invalid account")</f>
        <v>Cash on Hand</v>
      </c>
      <c r="F702" s="1" t="s">
        <v>6369</v>
      </c>
      <c r="G702" s="5"/>
      <c r="H702" s="5">
        <f>SUMIFS(tblSales[Total incl. VAT],tblSales[Month],MONTH(tblGJ[[#This Row],[Date]]),tblSales[Payment Method],Products!$O$13)</f>
        <v>126917400</v>
      </c>
      <c r="I702" s="1" t="s">
        <v>6532</v>
      </c>
      <c r="J702" s="1">
        <f>MONTH(tblGJ[[#This Row],[Date]])</f>
        <v>9</v>
      </c>
      <c r="K702" s="1" t="str">
        <f>_xlfn.XLOOKUP(tblGJ[[#This Row],[Account Code]],tblCOA[Code],tblCOA[FS Line],"")</f>
        <v>Cash and cash equivalents</v>
      </c>
      <c r="L702" s="121" t="str">
        <f>IF(OR(tblGJ[[#This Row],[Account Code]]=1120,tblGJ[[#This Row],[Account Code]]=1130),_xlfn.MINIFS(tblBank[Value Date],tblBank[Reference],tblGJ[[#This Row],[Voucher No]],tblBank[Account Code],tblGJ[[#This Row],[Account Code]]),"")</f>
        <v/>
      </c>
      <c r="M702" s="1" t="str">
        <f>IF(tblGJ[[#This Row],[Date]]&lt;=PEnd,"Yes","No")</f>
        <v>Yes</v>
      </c>
    </row>
    <row r="703" spans="2:13" x14ac:dyDescent="0.35">
      <c r="B703" s="109">
        <v>46295</v>
      </c>
      <c r="C703" s="1" t="s">
        <v>5873</v>
      </c>
      <c r="D703" s="1">
        <v>1310</v>
      </c>
      <c r="E703" s="1" t="str">
        <f>_xlfn.XLOOKUP(tblGJ[[#This Row],[Account Code]],tblCOA[Code],tblCOA[Account Name],"⚠ Invalid account")</f>
        <v>Merchandise inventory</v>
      </c>
      <c r="F703" s="1" t="s">
        <v>6370</v>
      </c>
      <c r="G703" s="5">
        <f>SUMIFS(tblPurchases[DPP (excl. VAT)],tblPurchases[Account Code],tblGJ[[#This Row],[Account Code]],tblPurchases[Month],MONTH(tblGJ[[#This Row],[Date]]))</f>
        <v>632324000</v>
      </c>
      <c r="H703" s="5"/>
      <c r="I703" s="1" t="s">
        <v>6533</v>
      </c>
      <c r="J703" s="1">
        <f>MONTH(tblGJ[[#This Row],[Date]])</f>
        <v>9</v>
      </c>
      <c r="K703" s="1" t="str">
        <f>_xlfn.XLOOKUP(tblGJ[[#This Row],[Account Code]],tblCOA[Code],tblCOA[FS Line],"")</f>
        <v>Inventories</v>
      </c>
      <c r="L703" s="121" t="str">
        <f>IF(OR(tblGJ[[#This Row],[Account Code]]=1120,tblGJ[[#This Row],[Account Code]]=1130),_xlfn.MINIFS(tblBank[Value Date],tblBank[Reference],tblGJ[[#This Row],[Voucher No]],tblBank[Account Code],tblGJ[[#This Row],[Account Code]]),"")</f>
        <v/>
      </c>
      <c r="M703" s="1" t="str">
        <f>IF(tblGJ[[#This Row],[Date]]&lt;=PEnd,"Yes","No")</f>
        <v>Yes</v>
      </c>
    </row>
    <row r="704" spans="2:13" x14ac:dyDescent="0.35">
      <c r="B704" s="109">
        <v>46295</v>
      </c>
      <c r="C704" s="1" t="s">
        <v>5873</v>
      </c>
      <c r="D704" s="1">
        <v>6120</v>
      </c>
      <c r="E704" s="1" t="str">
        <f>_xlfn.XLOOKUP(tblGJ[[#This Row],[Account Code]],tblCOA[Code],tblCOA[Account Name],"⚠ Invalid account")</f>
        <v>Advertising &amp; Promotion</v>
      </c>
      <c r="F704" s="1" t="s">
        <v>6370</v>
      </c>
      <c r="G704" s="5">
        <f>SUMIFS(tblPurchases[DPP (excl. VAT)],tblPurchases[Account Code],tblGJ[[#This Row],[Account Code]],tblPurchases[Month],MONTH(tblGJ[[#This Row],[Date]]))</f>
        <v>11578000</v>
      </c>
      <c r="H704" s="5"/>
      <c r="I704" s="1" t="s">
        <v>6533</v>
      </c>
      <c r="J704" s="1">
        <f>MONTH(tblGJ[[#This Row],[Date]])</f>
        <v>9</v>
      </c>
      <c r="K704" s="1" t="str">
        <f>_xlfn.XLOOKUP(tblGJ[[#This Row],[Account Code]],tblCOA[Code],tblCOA[FS Line],"")</f>
        <v>Selling expenses</v>
      </c>
      <c r="L704" s="121" t="str">
        <f>IF(OR(tblGJ[[#This Row],[Account Code]]=1120,tblGJ[[#This Row],[Account Code]]=1130),_xlfn.MINIFS(tblBank[Value Date],tblBank[Reference],tblGJ[[#This Row],[Voucher No]],tblBank[Account Code],tblGJ[[#This Row],[Account Code]]),"")</f>
        <v/>
      </c>
      <c r="M704" s="1" t="str">
        <f>IF(tblGJ[[#This Row],[Date]]&lt;=PEnd,"Yes","No")</f>
        <v>Yes</v>
      </c>
    </row>
    <row r="705" spans="2:13" x14ac:dyDescent="0.35">
      <c r="B705" s="109">
        <v>46295</v>
      </c>
      <c r="C705" s="1" t="s">
        <v>5873</v>
      </c>
      <c r="D705" s="1">
        <v>6130</v>
      </c>
      <c r="E705" s="1" t="str">
        <f>_xlfn.XLOOKUP(tblGJ[[#This Row],[Account Code]],tblCOA[Code],tblCOA[Account Name],"⚠ Invalid account")</f>
        <v>Marketplace &amp; Sales Commissions</v>
      </c>
      <c r="F705" s="1" t="s">
        <v>6370</v>
      </c>
      <c r="G705" s="5">
        <f>SUMIFS(tblPurchases[DPP (excl. VAT)],tblPurchases[Account Code],tblGJ[[#This Row],[Account Code]],tblPurchases[Month],MONTH(tblGJ[[#This Row],[Date]]))</f>
        <v>2231000</v>
      </c>
      <c r="H705" s="5"/>
      <c r="I705" s="1" t="s">
        <v>6533</v>
      </c>
      <c r="J705" s="1">
        <f>MONTH(tblGJ[[#This Row],[Date]])</f>
        <v>9</v>
      </c>
      <c r="K705" s="1" t="str">
        <f>_xlfn.XLOOKUP(tblGJ[[#This Row],[Account Code]],tblCOA[Code],tblCOA[FS Line],"")</f>
        <v>Selling expenses</v>
      </c>
      <c r="L705" s="121" t="str">
        <f>IF(OR(tblGJ[[#This Row],[Account Code]]=1120,tblGJ[[#This Row],[Account Code]]=1130),_xlfn.MINIFS(tblBank[Value Date],tblBank[Reference],tblGJ[[#This Row],[Voucher No]],tblBank[Account Code],tblGJ[[#This Row],[Account Code]]),"")</f>
        <v/>
      </c>
      <c r="M705" s="1" t="str">
        <f>IF(tblGJ[[#This Row],[Date]]&lt;=PEnd,"Yes","No")</f>
        <v>Yes</v>
      </c>
    </row>
    <row r="706" spans="2:13" x14ac:dyDescent="0.35">
      <c r="B706" s="109">
        <v>46295</v>
      </c>
      <c r="C706" s="1" t="s">
        <v>5873</v>
      </c>
      <c r="D706" s="1">
        <v>6140</v>
      </c>
      <c r="E706" s="1" t="str">
        <f>_xlfn.XLOOKUP(tblGJ[[#This Row],[Account Code]],tblCOA[Code],tblCOA[Account Name],"⚠ Invalid account")</f>
        <v>Shipping &amp; Delivery</v>
      </c>
      <c r="F706" s="1" t="s">
        <v>6370</v>
      </c>
      <c r="G706" s="5">
        <f>SUMIFS(tblPurchases[DPP (excl. VAT)],tblPurchases[Account Code],tblGJ[[#This Row],[Account Code]],tblPurchases[Month],MONTH(tblGJ[[#This Row],[Date]]))</f>
        <v>9473000</v>
      </c>
      <c r="H706" s="5"/>
      <c r="I706" s="1" t="s">
        <v>6533</v>
      </c>
      <c r="J706" s="1">
        <f>MONTH(tblGJ[[#This Row],[Date]])</f>
        <v>9</v>
      </c>
      <c r="K706" s="1" t="str">
        <f>_xlfn.XLOOKUP(tblGJ[[#This Row],[Account Code]],tblCOA[Code],tblCOA[FS Line],"")</f>
        <v>Selling expenses</v>
      </c>
      <c r="L706" s="121" t="str">
        <f>IF(OR(tblGJ[[#This Row],[Account Code]]=1120,tblGJ[[#This Row],[Account Code]]=1130),_xlfn.MINIFS(tblBank[Value Date],tblBank[Reference],tblGJ[[#This Row],[Voucher No]],tblBank[Account Code],tblGJ[[#This Row],[Account Code]]),"")</f>
        <v/>
      </c>
      <c r="M706" s="1" t="str">
        <f>IF(tblGJ[[#This Row],[Date]]&lt;=PEnd,"Yes","No")</f>
        <v>Yes</v>
      </c>
    </row>
    <row r="707" spans="2:13" x14ac:dyDescent="0.35">
      <c r="B707" s="109">
        <v>46295</v>
      </c>
      <c r="C707" s="1" t="s">
        <v>5873</v>
      </c>
      <c r="D707" s="1">
        <v>6230</v>
      </c>
      <c r="E707" s="1" t="str">
        <f>_xlfn.XLOOKUP(tblGJ[[#This Row],[Account Code]],tblCOA[Code],tblCOA[Account Name],"⚠ Invalid account")</f>
        <v>Utilities &amp; Telecommunication</v>
      </c>
      <c r="F707" s="1" t="s">
        <v>6370</v>
      </c>
      <c r="G707" s="5">
        <f>SUMIFS(tblPurchases[DPP (excl. VAT)],tblPurchases[Account Code],tblGJ[[#This Row],[Account Code]],tblPurchases[Month],MONTH(tblGJ[[#This Row],[Date]]))</f>
        <v>13828000</v>
      </c>
      <c r="H707" s="5"/>
      <c r="I707" s="1" t="s">
        <v>6533</v>
      </c>
      <c r="J707" s="1">
        <f>MONTH(tblGJ[[#This Row],[Date]])</f>
        <v>9</v>
      </c>
      <c r="K707" s="1" t="str">
        <f>_xlfn.XLOOKUP(tblGJ[[#This Row],[Account Code]],tblCOA[Code],tblCOA[FS Line],"")</f>
        <v>General &amp; administrative expenses</v>
      </c>
      <c r="L707" s="121" t="str">
        <f>IF(OR(tblGJ[[#This Row],[Account Code]]=1120,tblGJ[[#This Row],[Account Code]]=1130),_xlfn.MINIFS(tblBank[Value Date],tblBank[Reference],tblGJ[[#This Row],[Voucher No]],tblBank[Account Code],tblGJ[[#This Row],[Account Code]]),"")</f>
        <v/>
      </c>
      <c r="M707" s="1" t="str">
        <f>IF(tblGJ[[#This Row],[Date]]&lt;=PEnd,"Yes","No")</f>
        <v>Yes</v>
      </c>
    </row>
    <row r="708" spans="2:13" x14ac:dyDescent="0.35">
      <c r="B708" s="109">
        <v>46295</v>
      </c>
      <c r="C708" s="1" t="s">
        <v>5873</v>
      </c>
      <c r="D708" s="1">
        <v>6270</v>
      </c>
      <c r="E708" s="1" t="str">
        <f>_xlfn.XLOOKUP(tblGJ[[#This Row],[Account Code]],tblCOA[Code],tblCOA[Account Name],"⚠ Invalid account")</f>
        <v>Office Supplies</v>
      </c>
      <c r="F708" s="1" t="s">
        <v>6370</v>
      </c>
      <c r="G708" s="5">
        <f>SUMIFS(tblPurchases[DPP (excl. VAT)],tblPurchases[Account Code],tblGJ[[#This Row],[Account Code]],tblPurchases[Month],MONTH(tblGJ[[#This Row],[Date]]))</f>
        <v>3136000</v>
      </c>
      <c r="H708" s="5"/>
      <c r="I708" s="1" t="s">
        <v>6533</v>
      </c>
      <c r="J708" s="1">
        <f>MONTH(tblGJ[[#This Row],[Date]])</f>
        <v>9</v>
      </c>
      <c r="K708" s="1" t="str">
        <f>_xlfn.XLOOKUP(tblGJ[[#This Row],[Account Code]],tblCOA[Code],tblCOA[FS Line],"")</f>
        <v>General &amp; administrative expenses</v>
      </c>
      <c r="L708" s="121" t="str">
        <f>IF(OR(tblGJ[[#This Row],[Account Code]]=1120,tblGJ[[#This Row],[Account Code]]=1130),_xlfn.MINIFS(tblBank[Value Date],tblBank[Reference],tblGJ[[#This Row],[Voucher No]],tblBank[Account Code],tblGJ[[#This Row],[Account Code]]),"")</f>
        <v/>
      </c>
      <c r="M708" s="1" t="str">
        <f>IF(tblGJ[[#This Row],[Date]]&lt;=PEnd,"Yes","No")</f>
        <v>Yes</v>
      </c>
    </row>
    <row r="709" spans="2:13" x14ac:dyDescent="0.35">
      <c r="B709" s="109">
        <v>46295</v>
      </c>
      <c r="C709" s="1" t="s">
        <v>5873</v>
      </c>
      <c r="D709" s="1">
        <v>6280</v>
      </c>
      <c r="E709" s="1" t="str">
        <f>_xlfn.XLOOKUP(tblGJ[[#This Row],[Account Code]],tblCOA[Code],tblCOA[Account Name],"⚠ Invalid account")</f>
        <v>Professional Fees</v>
      </c>
      <c r="F709" s="1" t="s">
        <v>6370</v>
      </c>
      <c r="G709" s="5">
        <f>SUMIFS(tblPurchases[DPP (excl. VAT)],tblPurchases[Account Code],tblGJ[[#This Row],[Account Code]],tblPurchases[Month],MONTH(tblGJ[[#This Row],[Date]]))</f>
        <v>25000000</v>
      </c>
      <c r="H709" s="5"/>
      <c r="I709" s="1" t="s">
        <v>6533</v>
      </c>
      <c r="J709" s="1">
        <f>MONTH(tblGJ[[#This Row],[Date]])</f>
        <v>9</v>
      </c>
      <c r="K709" s="1" t="str">
        <f>_xlfn.XLOOKUP(tblGJ[[#This Row],[Account Code]],tblCOA[Code],tblCOA[FS Line],"")</f>
        <v>General &amp; administrative expenses</v>
      </c>
      <c r="L709" s="121" t="str">
        <f>IF(OR(tblGJ[[#This Row],[Account Code]]=1120,tblGJ[[#This Row],[Account Code]]=1130),_xlfn.MINIFS(tblBank[Value Date],tblBank[Reference],tblGJ[[#This Row],[Voucher No]],tblBank[Account Code],tblGJ[[#This Row],[Account Code]]),"")</f>
        <v/>
      </c>
      <c r="M709" s="1" t="str">
        <f>IF(tblGJ[[#This Row],[Date]]&lt;=PEnd,"Yes","No")</f>
        <v>Yes</v>
      </c>
    </row>
    <row r="710" spans="2:13" x14ac:dyDescent="0.35">
      <c r="B710" s="109">
        <v>46295</v>
      </c>
      <c r="C710" s="1" t="s">
        <v>5873</v>
      </c>
      <c r="D710" s="1">
        <v>6295</v>
      </c>
      <c r="E710" s="1" t="str">
        <f>_xlfn.XLOOKUP(tblGJ[[#This Row],[Account Code]],tblCOA[Code],tblCOA[Account Name],"⚠ Invalid account")</f>
        <v>Repairs &amp; Maintenance</v>
      </c>
      <c r="F710" s="1" t="s">
        <v>6370</v>
      </c>
      <c r="G710" s="5">
        <f>SUMIFS(tblPurchases[DPP (excl. VAT)],tblPurchases[Account Code],tblGJ[[#This Row],[Account Code]],tblPurchases[Month],MONTH(tblGJ[[#This Row],[Date]]))</f>
        <v>3709000</v>
      </c>
      <c r="H710" s="5"/>
      <c r="I710" s="1" t="s">
        <v>6533</v>
      </c>
      <c r="J710" s="1">
        <f>MONTH(tblGJ[[#This Row],[Date]])</f>
        <v>9</v>
      </c>
      <c r="K710" s="1" t="str">
        <f>_xlfn.XLOOKUP(tblGJ[[#This Row],[Account Code]],tblCOA[Code],tblCOA[FS Line],"")</f>
        <v>General &amp; administrative expenses</v>
      </c>
      <c r="L710" s="121" t="str">
        <f>IF(OR(tblGJ[[#This Row],[Account Code]]=1120,tblGJ[[#This Row],[Account Code]]=1130),_xlfn.MINIFS(tblBank[Value Date],tblBank[Reference],tblGJ[[#This Row],[Voucher No]],tblBank[Account Code],tblGJ[[#This Row],[Account Code]]),"")</f>
        <v/>
      </c>
      <c r="M710" s="1" t="str">
        <f>IF(tblGJ[[#This Row],[Date]]&lt;=PEnd,"Yes","No")</f>
        <v>Yes</v>
      </c>
    </row>
    <row r="711" spans="2:13" x14ac:dyDescent="0.35">
      <c r="B711" s="109">
        <v>46295</v>
      </c>
      <c r="C711" s="1" t="s">
        <v>5873</v>
      </c>
      <c r="D711" s="1">
        <v>6296</v>
      </c>
      <c r="E711" s="1" t="str">
        <f>_xlfn.XLOOKUP(tblGJ[[#This Row],[Account Code]],tblCOA[Code],tblCOA[Account Name],"⚠ Invalid account")</f>
        <v>Entertainment &amp; Donations</v>
      </c>
      <c r="F711" s="1" t="s">
        <v>6370</v>
      </c>
      <c r="G711" s="5">
        <f>SUMIFS(tblPurchases[DPP (excl. VAT)],tblPurchases[Account Code],tblGJ[[#This Row],[Account Code]],tblPurchases[Month],MONTH(tblGJ[[#This Row],[Date]]))</f>
        <v>2650000</v>
      </c>
      <c r="H711" s="5"/>
      <c r="I711" s="1" t="s">
        <v>6533</v>
      </c>
      <c r="J711" s="1">
        <f>MONTH(tblGJ[[#This Row],[Date]])</f>
        <v>9</v>
      </c>
      <c r="K711" s="1" t="str">
        <f>_xlfn.XLOOKUP(tblGJ[[#This Row],[Account Code]],tblCOA[Code],tblCOA[FS Line],"")</f>
        <v>General &amp; administrative expenses</v>
      </c>
      <c r="L711" s="121" t="str">
        <f>IF(OR(tblGJ[[#This Row],[Account Code]]=1120,tblGJ[[#This Row],[Account Code]]=1130),_xlfn.MINIFS(tblBank[Value Date],tblBank[Reference],tblGJ[[#This Row],[Voucher No]],tblBank[Account Code],tblGJ[[#This Row],[Account Code]]),"")</f>
        <v/>
      </c>
      <c r="M711" s="1" t="str">
        <f>IF(tblGJ[[#This Row],[Date]]&lt;=PEnd,"Yes","No")</f>
        <v>Yes</v>
      </c>
    </row>
    <row r="712" spans="2:13" x14ac:dyDescent="0.35">
      <c r="B712" s="109">
        <v>46295</v>
      </c>
      <c r="C712" s="1" t="s">
        <v>5873</v>
      </c>
      <c r="D712" s="1">
        <v>1510</v>
      </c>
      <c r="E712" s="1" t="str">
        <f>_xlfn.XLOOKUP(tblGJ[[#This Row],[Account Code]],tblCOA[Code],tblCOA[Account Name],"⚠ Invalid account")</f>
        <v>Input VAT (PPN Masukan)</v>
      </c>
      <c r="F712" s="1" t="s">
        <v>6371</v>
      </c>
      <c r="G712" s="5">
        <f>SUMIFS(tblPurchases[Input VAT],tblPurchases[Month],MONTH(tblGJ[[#This Row],[Date]]))</f>
        <v>65954350</v>
      </c>
      <c r="H712" s="5"/>
      <c r="I712" s="1" t="s">
        <v>6533</v>
      </c>
      <c r="J712" s="1">
        <f>MONTH(tblGJ[[#This Row],[Date]])</f>
        <v>9</v>
      </c>
      <c r="K712" s="1" t="str">
        <f>_xlfn.XLOOKUP(tblGJ[[#This Row],[Account Code]],tblCOA[Code],tblCOA[FS Line],"")</f>
        <v>Prepaid taxes</v>
      </c>
      <c r="L712" s="121" t="str">
        <f>IF(OR(tblGJ[[#This Row],[Account Code]]=1120,tblGJ[[#This Row],[Account Code]]=1130),_xlfn.MINIFS(tblBank[Value Date],tblBank[Reference],tblGJ[[#This Row],[Voucher No]],tblBank[Account Code],tblGJ[[#This Row],[Account Code]]),"")</f>
        <v/>
      </c>
      <c r="M712" s="1" t="str">
        <f>IF(tblGJ[[#This Row],[Date]]&lt;=PEnd,"Yes","No")</f>
        <v>Yes</v>
      </c>
    </row>
    <row r="713" spans="2:13" x14ac:dyDescent="0.35">
      <c r="B713" s="109">
        <v>46295</v>
      </c>
      <c r="C713" s="1" t="s">
        <v>5873</v>
      </c>
      <c r="D713" s="1">
        <v>2240</v>
      </c>
      <c r="E713" s="1" t="str">
        <f>_xlfn.XLOOKUP(tblGJ[[#This Row],[Account Code]],tblCOA[Code],tblCOA[Account Name],"⚠ Invalid account")</f>
        <v>WHT Payable - Unifikasi (Art. 23/4(2))</v>
      </c>
      <c r="F713" s="1" t="s">
        <v>6372</v>
      </c>
      <c r="G713" s="5"/>
      <c r="H713" s="5">
        <f>SUMIFS(tblPurchases[WHT Amount],tblPurchases[Month],MONTH(tblGJ[[#This Row],[Date]]))</f>
        <v>1039820</v>
      </c>
      <c r="I713" s="1" t="s">
        <v>6533</v>
      </c>
      <c r="J713" s="1">
        <f>MONTH(tblGJ[[#This Row],[Date]])</f>
        <v>9</v>
      </c>
      <c r="K713" s="1" t="str">
        <f>_xlfn.XLOOKUP(tblGJ[[#This Row],[Account Code]],tblCOA[Code],tblCOA[FS Line],"")</f>
        <v>Taxes payable</v>
      </c>
      <c r="L713" s="121" t="str">
        <f>IF(OR(tblGJ[[#This Row],[Account Code]]=1120,tblGJ[[#This Row],[Account Code]]=1130),_xlfn.MINIFS(tblBank[Value Date],tblBank[Reference],tblGJ[[#This Row],[Voucher No]],tblBank[Account Code],tblGJ[[#This Row],[Account Code]]),"")</f>
        <v/>
      </c>
      <c r="M713" s="1" t="str">
        <f>IF(tblGJ[[#This Row],[Date]]&lt;=PEnd,"Yes","No")</f>
        <v>Yes</v>
      </c>
    </row>
    <row r="714" spans="2:13" x14ac:dyDescent="0.35">
      <c r="B714" s="109">
        <v>46295</v>
      </c>
      <c r="C714" s="1" t="s">
        <v>5873</v>
      </c>
      <c r="D714" s="1">
        <v>2110</v>
      </c>
      <c r="E714" s="1" t="str">
        <f>_xlfn.XLOOKUP(tblGJ[[#This Row],[Account Code]],tblCOA[Code],tblCOA[Account Name],"⚠ Invalid account")</f>
        <v>Trade Payables</v>
      </c>
      <c r="F714" s="1" t="s">
        <v>6373</v>
      </c>
      <c r="G714" s="5"/>
      <c r="H714" s="5">
        <f>SUMIFS(tblPurchases[Total Payable],tblPurchases[Month],MONTH(tblGJ[[#This Row],[Date]]))</f>
        <v>768843530</v>
      </c>
      <c r="I714" s="1" t="s">
        <v>6533</v>
      </c>
      <c r="J714" s="1">
        <f>MONTH(tblGJ[[#This Row],[Date]])</f>
        <v>9</v>
      </c>
      <c r="K714" s="1" t="str">
        <f>_xlfn.XLOOKUP(tblGJ[[#This Row],[Account Code]],tblCOA[Code],tblCOA[FS Line],"")</f>
        <v>Trade payables</v>
      </c>
      <c r="L714" s="121" t="str">
        <f>IF(OR(tblGJ[[#This Row],[Account Code]]=1120,tblGJ[[#This Row],[Account Code]]=1130),_xlfn.MINIFS(tblBank[Value Date],tblBank[Reference],tblGJ[[#This Row],[Voucher No]],tblBank[Account Code],tblGJ[[#This Row],[Account Code]]),"")</f>
        <v/>
      </c>
      <c r="M714" s="1" t="str">
        <f>IF(tblGJ[[#This Row],[Date]]&lt;=PEnd,"Yes","No")</f>
        <v>Yes</v>
      </c>
    </row>
    <row r="715" spans="2:13" x14ac:dyDescent="0.35">
      <c r="B715" s="109">
        <v>46295</v>
      </c>
      <c r="C715" s="1" t="s">
        <v>5874</v>
      </c>
      <c r="D715" s="1">
        <v>2110</v>
      </c>
      <c r="E715" s="1" t="str">
        <f>_xlfn.XLOOKUP(tblGJ[[#This Row],[Account Code]],tblCOA[Code],tblCOA[Account Name],"⚠ Invalid account")</f>
        <v>Trade Payables</v>
      </c>
      <c r="F715" s="1" t="s">
        <v>6374</v>
      </c>
      <c r="G715" s="5">
        <f>SUMIFS(tblPurchases[Total Payable],tblPurchases[Pay Month],MONTH(tblGJ[[#This Row],[Date]]),tblPurchases[Paid From],1120)</f>
        <v>679293870</v>
      </c>
      <c r="H715" s="5"/>
      <c r="I715" s="1" t="s">
        <v>6529</v>
      </c>
      <c r="J715" s="1">
        <f>MONTH(tblGJ[[#This Row],[Date]])</f>
        <v>9</v>
      </c>
      <c r="K715" s="1" t="str">
        <f>_xlfn.XLOOKUP(tblGJ[[#This Row],[Account Code]],tblCOA[Code],tblCOA[FS Line],"")</f>
        <v>Trade payables</v>
      </c>
      <c r="L715" s="121" t="str">
        <f>IF(OR(tblGJ[[#This Row],[Account Code]]=1120,tblGJ[[#This Row],[Account Code]]=1130),_xlfn.MINIFS(tblBank[Value Date],tblBank[Reference],tblGJ[[#This Row],[Voucher No]],tblBank[Account Code],tblGJ[[#This Row],[Account Code]]),"")</f>
        <v/>
      </c>
      <c r="M715" s="1" t="str">
        <f>IF(tblGJ[[#This Row],[Date]]&lt;=PEnd,"Yes","No")</f>
        <v>Yes</v>
      </c>
    </row>
    <row r="716" spans="2:13" x14ac:dyDescent="0.35">
      <c r="B716" s="109">
        <v>46295</v>
      </c>
      <c r="C716" s="1" t="s">
        <v>5874</v>
      </c>
      <c r="D716" s="1">
        <v>1120</v>
      </c>
      <c r="E716" s="1" t="str">
        <f>_xlfn.XLOOKUP(tblGJ[[#This Row],[Account Code]],tblCOA[Code],tblCOA[Account Name],"⚠ Invalid account")</f>
        <v>Bank BCA - Current Account</v>
      </c>
      <c r="F716" s="1" t="s">
        <v>6374</v>
      </c>
      <c r="G716" s="5"/>
      <c r="H716" s="5">
        <f>SUMIFS(tblPurchases[Total Payable],tblPurchases[Pay Month],MONTH(tblGJ[[#This Row],[Date]]),tblPurchases[Paid From],1120)</f>
        <v>679293870</v>
      </c>
      <c r="I716" s="1" t="s">
        <v>6529</v>
      </c>
      <c r="J716" s="1">
        <f>MONTH(tblGJ[[#This Row],[Date]])</f>
        <v>9</v>
      </c>
      <c r="K716" s="1" t="str">
        <f>_xlfn.XLOOKUP(tblGJ[[#This Row],[Account Code]],tblCOA[Code],tblCOA[FS Line],"")</f>
        <v>Cash and cash equivalents</v>
      </c>
      <c r="L716" s="121">
        <f>IF(OR(tblGJ[[#This Row],[Account Code]]=1120,tblGJ[[#This Row],[Account Code]]=1130),_xlfn.MINIFS(tblBank[Value Date],tblBank[Reference],tblGJ[[#This Row],[Voucher No]],tblBank[Account Code],tblGJ[[#This Row],[Account Code]]),"")</f>
        <v>46295</v>
      </c>
      <c r="M716" s="1" t="str">
        <f>IF(tblGJ[[#This Row],[Date]]&lt;=PEnd,"Yes","No")</f>
        <v>Yes</v>
      </c>
    </row>
    <row r="717" spans="2:13" x14ac:dyDescent="0.35">
      <c r="B717" s="109">
        <v>46295</v>
      </c>
      <c r="C717" s="1" t="s">
        <v>5875</v>
      </c>
      <c r="D717" s="1">
        <v>2210</v>
      </c>
      <c r="E717" s="1" t="str">
        <f>_xlfn.XLOOKUP(tblGJ[[#This Row],[Account Code]],tblCOA[Code],tblCOA[Account Name],"⚠ Invalid account")</f>
        <v>Output VAT (PPN Keluaran)</v>
      </c>
      <c r="F717" s="1" t="s">
        <v>6375</v>
      </c>
      <c r="G717" s="5">
        <f>SUMIFS(tblSales[Output VAT],tblSales[Month],MONTH(tblGJ[[#This Row],[Date]]))</f>
        <v>115778850</v>
      </c>
      <c r="H717" s="5"/>
      <c r="I717" s="1" t="s">
        <v>6528</v>
      </c>
      <c r="J717" s="1">
        <f>MONTH(tblGJ[[#This Row],[Date]])</f>
        <v>9</v>
      </c>
      <c r="K717" s="1" t="str">
        <f>_xlfn.XLOOKUP(tblGJ[[#This Row],[Account Code]],tblCOA[Code],tblCOA[FS Line],"")</f>
        <v>Taxes payable</v>
      </c>
      <c r="L717" s="121" t="str">
        <f>IF(OR(tblGJ[[#This Row],[Account Code]]=1120,tblGJ[[#This Row],[Account Code]]=1130),_xlfn.MINIFS(tblBank[Value Date],tblBank[Reference],tblGJ[[#This Row],[Voucher No]],tblBank[Account Code],tblGJ[[#This Row],[Account Code]]),"")</f>
        <v/>
      </c>
      <c r="M717" s="1" t="str">
        <f>IF(tblGJ[[#This Row],[Date]]&lt;=PEnd,"Yes","No")</f>
        <v>Yes</v>
      </c>
    </row>
    <row r="718" spans="2:13" x14ac:dyDescent="0.35">
      <c r="B718" s="109">
        <v>46295</v>
      </c>
      <c r="C718" s="1" t="s">
        <v>5875</v>
      </c>
      <c r="D718" s="1">
        <v>1510</v>
      </c>
      <c r="E718" s="1" t="str">
        <f>_xlfn.XLOOKUP(tblGJ[[#This Row],[Account Code]],tblCOA[Code],tblCOA[Account Name],"⚠ Invalid account")</f>
        <v>Input VAT (PPN Masukan)</v>
      </c>
      <c r="F718" s="1" t="s">
        <v>6376</v>
      </c>
      <c r="G718" s="5"/>
      <c r="H718" s="5">
        <f>SUMIFS(tblPurchases[Input VAT],tblPurchases[Month],MONTH(tblGJ[[#This Row],[Date]]))</f>
        <v>65954350</v>
      </c>
      <c r="I718" s="1" t="s">
        <v>6528</v>
      </c>
      <c r="J718" s="1">
        <f>MONTH(tblGJ[[#This Row],[Date]])</f>
        <v>9</v>
      </c>
      <c r="K718" s="1" t="str">
        <f>_xlfn.XLOOKUP(tblGJ[[#This Row],[Account Code]],tblCOA[Code],tblCOA[FS Line],"")</f>
        <v>Prepaid taxes</v>
      </c>
      <c r="L718" s="121" t="str">
        <f>IF(OR(tblGJ[[#This Row],[Account Code]]=1120,tblGJ[[#This Row],[Account Code]]=1130),_xlfn.MINIFS(tblBank[Value Date],tblBank[Reference],tblGJ[[#This Row],[Voucher No]],tblBank[Account Code],tblGJ[[#This Row],[Account Code]]),"")</f>
        <v/>
      </c>
      <c r="M718" s="1" t="str">
        <f>IF(tblGJ[[#This Row],[Date]]&lt;=PEnd,"Yes","No")</f>
        <v>Yes</v>
      </c>
    </row>
    <row r="719" spans="2:13" x14ac:dyDescent="0.35">
      <c r="B719" s="109">
        <v>46295</v>
      </c>
      <c r="C719" s="1" t="s">
        <v>5875</v>
      </c>
      <c r="D719" s="1">
        <v>2220</v>
      </c>
      <c r="E719" s="1" t="str">
        <f>_xlfn.XLOOKUP(tblGJ[[#This Row],[Account Code]],tblCOA[Code],tblCOA[Account Name],"⚠ Invalid account")</f>
        <v>VAT Payable - Net</v>
      </c>
      <c r="F719" s="1" t="s">
        <v>6377</v>
      </c>
      <c r="G719" s="5"/>
      <c r="H719" s="5">
        <f>SUMIFS(tblSales[Output VAT],tblSales[Month],MONTH(tblGJ[[#This Row],[Date]]))-SUMIFS(tblPurchases[Input VAT],tblPurchases[Month],MONTH(tblGJ[[#This Row],[Date]]))</f>
        <v>49824500</v>
      </c>
      <c r="I719" s="1" t="s">
        <v>6528</v>
      </c>
      <c r="J719" s="1">
        <f>MONTH(tblGJ[[#This Row],[Date]])</f>
        <v>9</v>
      </c>
      <c r="K719" s="1" t="str">
        <f>_xlfn.XLOOKUP(tblGJ[[#This Row],[Account Code]],tblCOA[Code],tblCOA[FS Line],"")</f>
        <v>Taxes payable</v>
      </c>
      <c r="L719" s="121" t="str">
        <f>IF(OR(tblGJ[[#This Row],[Account Code]]=1120,tblGJ[[#This Row],[Account Code]]=1130),_xlfn.MINIFS(tblBank[Value Date],tblBank[Reference],tblGJ[[#This Row],[Voucher No]],tblBank[Account Code],tblGJ[[#This Row],[Account Code]]),"")</f>
        <v/>
      </c>
      <c r="M719" s="1" t="str">
        <f>IF(tblGJ[[#This Row],[Date]]&lt;=PEnd,"Yes","No")</f>
        <v>Yes</v>
      </c>
    </row>
    <row r="720" spans="2:13" x14ac:dyDescent="0.35">
      <c r="B720" s="109">
        <v>46295</v>
      </c>
      <c r="C720" s="1" t="s">
        <v>5876</v>
      </c>
      <c r="D720" s="1">
        <v>6240</v>
      </c>
      <c r="E720" s="1" t="str">
        <f>_xlfn.XLOOKUP(tblGJ[[#This Row],[Account Code]],tblCOA[Code],tblCOA[Account Name],"⚠ Invalid account")</f>
        <v>Depreciation Expense</v>
      </c>
      <c r="F720" s="1" t="s">
        <v>6378</v>
      </c>
      <c r="G720" s="5">
        <f>SUMIFS(INDEX(tblFA[[Jan]:[Dec]],0,MONTH(tblGJ[[#This Row],[Date]])),tblFA[Expense Account],tblGJ[[#This Row],[Account Code]])</f>
        <v>31458333</v>
      </c>
      <c r="H720" s="5"/>
      <c r="I720" s="1" t="s">
        <v>6534</v>
      </c>
      <c r="J720" s="1">
        <f>MONTH(tblGJ[[#This Row],[Date]])</f>
        <v>9</v>
      </c>
      <c r="K720" s="1" t="str">
        <f>_xlfn.XLOOKUP(tblGJ[[#This Row],[Account Code]],tblCOA[Code],tblCOA[FS Line],"")</f>
        <v>General &amp; administrative expenses</v>
      </c>
      <c r="L720" s="121" t="str">
        <f>IF(OR(tblGJ[[#This Row],[Account Code]]=1120,tblGJ[[#This Row],[Account Code]]=1130),_xlfn.MINIFS(tblBank[Value Date],tblBank[Reference],tblGJ[[#This Row],[Voucher No]],tblBank[Account Code],tblGJ[[#This Row],[Account Code]]),"")</f>
        <v/>
      </c>
      <c r="M720" s="1" t="str">
        <f>IF(tblGJ[[#This Row],[Date]]&lt;=PEnd,"Yes","No")</f>
        <v>Yes</v>
      </c>
    </row>
    <row r="721" spans="2:13" x14ac:dyDescent="0.35">
      <c r="B721" s="109">
        <v>46295</v>
      </c>
      <c r="C721" s="1" t="s">
        <v>5876</v>
      </c>
      <c r="D721" s="1">
        <v>6250</v>
      </c>
      <c r="E721" s="1" t="str">
        <f>_xlfn.XLOOKUP(tblGJ[[#This Row],[Account Code]],tblCOA[Code],tblCOA[Account Name],"⚠ Invalid account")</f>
        <v>Amortization Expense - Software</v>
      </c>
      <c r="F721" s="1" t="s">
        <v>6379</v>
      </c>
      <c r="G721" s="5">
        <f>SUMIFS(INDEX(tblFA[[Jan]:[Dec]],0,MONTH(tblGJ[[#This Row],[Date]])),tblFA[Expense Account],tblGJ[[#This Row],[Account Code]])</f>
        <v>5000000</v>
      </c>
      <c r="H721" s="5"/>
      <c r="I721" s="1" t="s">
        <v>6534</v>
      </c>
      <c r="J721" s="1">
        <f>MONTH(tblGJ[[#This Row],[Date]])</f>
        <v>9</v>
      </c>
      <c r="K721" s="1" t="str">
        <f>_xlfn.XLOOKUP(tblGJ[[#This Row],[Account Code]],tblCOA[Code],tblCOA[FS Line],"")</f>
        <v>General &amp; administrative expenses</v>
      </c>
      <c r="L721" s="121" t="str">
        <f>IF(OR(tblGJ[[#This Row],[Account Code]]=1120,tblGJ[[#This Row],[Account Code]]=1130),_xlfn.MINIFS(tblBank[Value Date],tblBank[Reference],tblGJ[[#This Row],[Voucher No]],tblBank[Account Code],tblGJ[[#This Row],[Account Code]]),"")</f>
        <v/>
      </c>
      <c r="M721" s="1" t="str">
        <f>IF(tblGJ[[#This Row],[Date]]&lt;=PEnd,"Yes","No")</f>
        <v>Yes</v>
      </c>
    </row>
    <row r="722" spans="2:13" x14ac:dyDescent="0.35">
      <c r="B722" s="109">
        <v>46295</v>
      </c>
      <c r="C722" s="1" t="s">
        <v>5876</v>
      </c>
      <c r="D722" s="1">
        <v>1691</v>
      </c>
      <c r="E722" s="1" t="str">
        <f>_xlfn.XLOOKUP(tblGJ[[#This Row],[Account Code]],tblCOA[Code],tblCOA[Account Name],"⚠ Invalid account")</f>
        <v>Acc. Depreciation - Buildings</v>
      </c>
      <c r="F722" s="1" t="s">
        <v>6380</v>
      </c>
      <c r="G722" s="5"/>
      <c r="H722" s="5">
        <f>SUMIFS(INDEX(tblFA[[Jan]:[Dec]],0,MONTH(tblGJ[[#This Row],[Date]])),tblFA[Acc. Dep. Account],tblGJ[[#This Row],[Account Code]])</f>
        <v>7500000</v>
      </c>
      <c r="I722" s="1" t="s">
        <v>6534</v>
      </c>
      <c r="J722" s="1">
        <f>MONTH(tblGJ[[#This Row],[Date]])</f>
        <v>9</v>
      </c>
      <c r="K722" s="1" t="str">
        <f>_xlfn.XLOOKUP(tblGJ[[#This Row],[Account Code]],tblCOA[Code],tblCOA[FS Line],"")</f>
        <v>Fixed assets - net</v>
      </c>
      <c r="L722" s="121" t="str">
        <f>IF(OR(tblGJ[[#This Row],[Account Code]]=1120,tblGJ[[#This Row],[Account Code]]=1130),_xlfn.MINIFS(tblBank[Value Date],tblBank[Reference],tblGJ[[#This Row],[Voucher No]],tblBank[Account Code],tblGJ[[#This Row],[Account Code]]),"")</f>
        <v/>
      </c>
      <c r="M722" s="1" t="str">
        <f>IF(tblGJ[[#This Row],[Date]]&lt;=PEnd,"Yes","No")</f>
        <v>Yes</v>
      </c>
    </row>
    <row r="723" spans="2:13" x14ac:dyDescent="0.35">
      <c r="B723" s="109">
        <v>46295</v>
      </c>
      <c r="C723" s="1" t="s">
        <v>5876</v>
      </c>
      <c r="D723" s="1">
        <v>1693</v>
      </c>
      <c r="E723" s="1" t="str">
        <f>_xlfn.XLOOKUP(tblGJ[[#This Row],[Account Code]],tblCOA[Code],tblCOA[Account Name],"⚠ Invalid account")</f>
        <v>Acc. Depreciation - Vehicles</v>
      </c>
      <c r="F723" s="1" t="s">
        <v>6380</v>
      </c>
      <c r="G723" s="5"/>
      <c r="H723" s="5">
        <f>SUMIFS(INDEX(tblFA[[Jan]:[Dec]],0,MONTH(tblGJ[[#This Row],[Date]])),tblFA[Acc. Dep. Account],tblGJ[[#This Row],[Account Code]])</f>
        <v>10625000</v>
      </c>
      <c r="I723" s="1" t="s">
        <v>6534</v>
      </c>
      <c r="J723" s="1">
        <f>MONTH(tblGJ[[#This Row],[Date]])</f>
        <v>9</v>
      </c>
      <c r="K723" s="1" t="str">
        <f>_xlfn.XLOOKUP(tblGJ[[#This Row],[Account Code]],tblCOA[Code],tblCOA[FS Line],"")</f>
        <v>Fixed assets - net</v>
      </c>
      <c r="L723" s="121" t="str">
        <f>IF(OR(tblGJ[[#This Row],[Account Code]]=1120,tblGJ[[#This Row],[Account Code]]=1130),_xlfn.MINIFS(tblBank[Value Date],tblBank[Reference],tblGJ[[#This Row],[Voucher No]],tblBank[Account Code],tblGJ[[#This Row],[Account Code]]),"")</f>
        <v/>
      </c>
      <c r="M723" s="1" t="str">
        <f>IF(tblGJ[[#This Row],[Date]]&lt;=PEnd,"Yes","No")</f>
        <v>Yes</v>
      </c>
    </row>
    <row r="724" spans="2:13" x14ac:dyDescent="0.35">
      <c r="B724" s="109">
        <v>46295</v>
      </c>
      <c r="C724" s="1" t="s">
        <v>5876</v>
      </c>
      <c r="D724" s="1">
        <v>1694</v>
      </c>
      <c r="E724" s="1" t="str">
        <f>_xlfn.XLOOKUP(tblGJ[[#This Row],[Account Code]],tblCOA[Code],tblCOA[Account Name],"⚠ Invalid account")</f>
        <v>Acc. Depreciation - Machinery &amp; Equipment</v>
      </c>
      <c r="F724" s="1" t="s">
        <v>6380</v>
      </c>
      <c r="G724" s="5"/>
      <c r="H724" s="5">
        <f>SUMIFS(INDEX(tblFA[[Jan]:[Dec]],0,MONTH(tblGJ[[#This Row],[Date]])),tblFA[Acc. Dep. Account],tblGJ[[#This Row],[Account Code]])</f>
        <v>10208333</v>
      </c>
      <c r="I724" s="1" t="s">
        <v>6534</v>
      </c>
      <c r="J724" s="1">
        <f>MONTH(tblGJ[[#This Row],[Date]])</f>
        <v>9</v>
      </c>
      <c r="K724" s="1" t="str">
        <f>_xlfn.XLOOKUP(tblGJ[[#This Row],[Account Code]],tblCOA[Code],tblCOA[FS Line],"")</f>
        <v>Fixed assets - net</v>
      </c>
      <c r="L724" s="121" t="str">
        <f>IF(OR(tblGJ[[#This Row],[Account Code]]=1120,tblGJ[[#This Row],[Account Code]]=1130),_xlfn.MINIFS(tblBank[Value Date],tblBank[Reference],tblGJ[[#This Row],[Voucher No]],tblBank[Account Code],tblGJ[[#This Row],[Account Code]]),"")</f>
        <v/>
      </c>
      <c r="M724" s="1" t="str">
        <f>IF(tblGJ[[#This Row],[Date]]&lt;=PEnd,"Yes","No")</f>
        <v>Yes</v>
      </c>
    </row>
    <row r="725" spans="2:13" x14ac:dyDescent="0.35">
      <c r="B725" s="109">
        <v>46295</v>
      </c>
      <c r="C725" s="1" t="s">
        <v>5876</v>
      </c>
      <c r="D725" s="1">
        <v>1695</v>
      </c>
      <c r="E725" s="1" t="str">
        <f>_xlfn.XLOOKUP(tblGJ[[#This Row],[Account Code]],tblCOA[Code],tblCOA[Account Name],"⚠ Invalid account")</f>
        <v>Acc. Depreciation - Office Furniture &amp; Equipment</v>
      </c>
      <c r="F725" s="1" t="s">
        <v>6380</v>
      </c>
      <c r="G725" s="5"/>
      <c r="H725" s="5">
        <f>SUMIFS(INDEX(tblFA[[Jan]:[Dec]],0,MONTH(tblGJ[[#This Row],[Date]])),tblFA[Acc. Dep. Account],tblGJ[[#This Row],[Account Code]])</f>
        <v>3125000</v>
      </c>
      <c r="I725" s="1" t="s">
        <v>6534</v>
      </c>
      <c r="J725" s="1">
        <f>MONTH(tblGJ[[#This Row],[Date]])</f>
        <v>9</v>
      </c>
      <c r="K725" s="1" t="str">
        <f>_xlfn.XLOOKUP(tblGJ[[#This Row],[Account Code]],tblCOA[Code],tblCOA[FS Line],"")</f>
        <v>Fixed assets - net</v>
      </c>
      <c r="L725" s="121" t="str">
        <f>IF(OR(tblGJ[[#This Row],[Account Code]]=1120,tblGJ[[#This Row],[Account Code]]=1130),_xlfn.MINIFS(tblBank[Value Date],tblBank[Reference],tblGJ[[#This Row],[Voucher No]],tblBank[Account Code],tblGJ[[#This Row],[Account Code]]),"")</f>
        <v/>
      </c>
      <c r="M725" s="1" t="str">
        <f>IF(tblGJ[[#This Row],[Date]]&lt;=PEnd,"Yes","No")</f>
        <v>Yes</v>
      </c>
    </row>
    <row r="726" spans="2:13" x14ac:dyDescent="0.35">
      <c r="B726" s="109">
        <v>46295</v>
      </c>
      <c r="C726" s="1" t="s">
        <v>5876</v>
      </c>
      <c r="D726" s="1">
        <v>1719</v>
      </c>
      <c r="E726" s="1" t="str">
        <f>_xlfn.XLOOKUP(tblGJ[[#This Row],[Account Code]],tblCOA[Code],tblCOA[Account Name],"⚠ Invalid account")</f>
        <v>Acc. Amortization - Software</v>
      </c>
      <c r="F726" s="1" t="s">
        <v>6380</v>
      </c>
      <c r="G726" s="5"/>
      <c r="H726" s="5">
        <f>SUMIFS(INDEX(tblFA[[Jan]:[Dec]],0,MONTH(tblGJ[[#This Row],[Date]])),tblFA[Acc. Dep. Account],tblGJ[[#This Row],[Account Code]])</f>
        <v>5000000</v>
      </c>
      <c r="I726" s="1" t="s">
        <v>6534</v>
      </c>
      <c r="J726" s="1">
        <f>MONTH(tblGJ[[#This Row],[Date]])</f>
        <v>9</v>
      </c>
      <c r="K726" s="1" t="str">
        <f>_xlfn.XLOOKUP(tblGJ[[#This Row],[Account Code]],tblCOA[Code],tblCOA[FS Line],"")</f>
        <v>Intangible assets - net</v>
      </c>
      <c r="L726" s="121" t="str">
        <f>IF(OR(tblGJ[[#This Row],[Account Code]]=1120,tblGJ[[#This Row],[Account Code]]=1130),_xlfn.MINIFS(tblBank[Value Date],tblBank[Reference],tblGJ[[#This Row],[Voucher No]],tblBank[Account Code],tblGJ[[#This Row],[Account Code]]),"")</f>
        <v/>
      </c>
      <c r="M726" s="1" t="str">
        <f>IF(tblGJ[[#This Row],[Date]]&lt;=PEnd,"Yes","No")</f>
        <v>Yes</v>
      </c>
    </row>
    <row r="727" spans="2:13" x14ac:dyDescent="0.35">
      <c r="B727" s="109">
        <v>46295</v>
      </c>
      <c r="C727" s="1" t="s">
        <v>5877</v>
      </c>
      <c r="D727" s="1">
        <v>6220</v>
      </c>
      <c r="E727" s="1" t="str">
        <f>_xlfn.XLOOKUP(tblGJ[[#This Row],[Account Code]],tblCOA[Code],tblCOA[Account Name],"⚠ Invalid account")</f>
        <v>Rent Expense</v>
      </c>
      <c r="F727" s="1" t="s">
        <v>6381</v>
      </c>
      <c r="G727" s="5">
        <f>SUMIFS(INDEX(tblPrepaid[[Jan]:[Dec]],0,MONTH(tblGJ[[#This Row],[Date]])),tblPrepaid[Expense Account],tblGJ[[#This Row],[Account Code]])</f>
        <v>11000000</v>
      </c>
      <c r="H727" s="5"/>
      <c r="I727" s="1" t="s">
        <v>6535</v>
      </c>
      <c r="J727" s="1">
        <f>MONTH(tblGJ[[#This Row],[Date]])</f>
        <v>9</v>
      </c>
      <c r="K727" s="1" t="str">
        <f>_xlfn.XLOOKUP(tblGJ[[#This Row],[Account Code]],tblCOA[Code],tblCOA[FS Line],"")</f>
        <v>General &amp; administrative expenses</v>
      </c>
      <c r="L727" s="121" t="str">
        <f>IF(OR(tblGJ[[#This Row],[Account Code]]=1120,tblGJ[[#This Row],[Account Code]]=1130),_xlfn.MINIFS(tblBank[Value Date],tblBank[Reference],tblGJ[[#This Row],[Voucher No]],tblBank[Account Code],tblGJ[[#This Row],[Account Code]]),"")</f>
        <v/>
      </c>
      <c r="M727" s="1" t="str">
        <f>IF(tblGJ[[#This Row],[Date]]&lt;=PEnd,"Yes","No")</f>
        <v>Yes</v>
      </c>
    </row>
    <row r="728" spans="2:13" x14ac:dyDescent="0.35">
      <c r="B728" s="109">
        <v>46295</v>
      </c>
      <c r="C728" s="1" t="s">
        <v>5877</v>
      </c>
      <c r="D728" s="1">
        <v>6260</v>
      </c>
      <c r="E728" s="1" t="str">
        <f>_xlfn.XLOOKUP(tblGJ[[#This Row],[Account Code]],tblCOA[Code],tblCOA[Account Name],"⚠ Invalid account")</f>
        <v>Insurance Expense</v>
      </c>
      <c r="F728" s="1" t="s">
        <v>6381</v>
      </c>
      <c r="G728" s="5">
        <f>SUMIFS(INDEX(tblPrepaid[[Jan]:[Dec]],0,MONTH(tblGJ[[#This Row],[Date]])),tblPrepaid[Expense Account],tblGJ[[#This Row],[Account Code]])</f>
        <v>2500000</v>
      </c>
      <c r="H728" s="5"/>
      <c r="I728" s="1" t="s">
        <v>6535</v>
      </c>
      <c r="J728" s="1">
        <f>MONTH(tblGJ[[#This Row],[Date]])</f>
        <v>9</v>
      </c>
      <c r="K728" s="1" t="str">
        <f>_xlfn.XLOOKUP(tblGJ[[#This Row],[Account Code]],tblCOA[Code],tblCOA[FS Line],"")</f>
        <v>General &amp; administrative expenses</v>
      </c>
      <c r="L728" s="121" t="str">
        <f>IF(OR(tblGJ[[#This Row],[Account Code]]=1120,tblGJ[[#This Row],[Account Code]]=1130),_xlfn.MINIFS(tblBank[Value Date],tblBank[Reference],tblGJ[[#This Row],[Voucher No]],tblBank[Account Code],tblGJ[[#This Row],[Account Code]]),"")</f>
        <v/>
      </c>
      <c r="M728" s="1" t="str">
        <f>IF(tblGJ[[#This Row],[Date]]&lt;=PEnd,"Yes","No")</f>
        <v>Yes</v>
      </c>
    </row>
    <row r="729" spans="2:13" x14ac:dyDescent="0.35">
      <c r="B729" s="109">
        <v>46295</v>
      </c>
      <c r="C729" s="1" t="s">
        <v>5877</v>
      </c>
      <c r="D729" s="1">
        <v>6265</v>
      </c>
      <c r="E729" s="1" t="str">
        <f>_xlfn.XLOOKUP(tblGJ[[#This Row],[Account Code]],tblCOA[Code],tblCOA[Account Name],"⚠ Invalid account")</f>
        <v>Software Subscription Expense</v>
      </c>
      <c r="F729" s="1" t="s">
        <v>6381</v>
      </c>
      <c r="G729" s="5">
        <f>SUMIFS(INDEX(tblPrepaid[[Jan]:[Dec]],0,MONTH(tblGJ[[#This Row],[Date]])),tblPrepaid[Expense Account],tblGJ[[#This Row],[Account Code]])</f>
        <v>6000000</v>
      </c>
      <c r="H729" s="5"/>
      <c r="I729" s="1" t="s">
        <v>6535</v>
      </c>
      <c r="J729" s="1">
        <f>MONTH(tblGJ[[#This Row],[Date]])</f>
        <v>9</v>
      </c>
      <c r="K729" s="1" t="str">
        <f>_xlfn.XLOOKUP(tblGJ[[#This Row],[Account Code]],tblCOA[Code],tblCOA[FS Line],"")</f>
        <v>General &amp; administrative expenses</v>
      </c>
      <c r="L729" s="121" t="str">
        <f>IF(OR(tblGJ[[#This Row],[Account Code]]=1120,tblGJ[[#This Row],[Account Code]]=1130),_xlfn.MINIFS(tblBank[Value Date],tblBank[Reference],tblGJ[[#This Row],[Voucher No]],tblBank[Account Code],tblGJ[[#This Row],[Account Code]]),"")</f>
        <v/>
      </c>
      <c r="M729" s="1" t="str">
        <f>IF(tblGJ[[#This Row],[Date]]&lt;=PEnd,"Yes","No")</f>
        <v>Yes</v>
      </c>
    </row>
    <row r="730" spans="2:13" x14ac:dyDescent="0.35">
      <c r="B730" s="109">
        <v>46295</v>
      </c>
      <c r="C730" s="1" t="s">
        <v>5877</v>
      </c>
      <c r="D730" s="1">
        <v>1410</v>
      </c>
      <c r="E730" s="1" t="str">
        <f>_xlfn.XLOOKUP(tblGJ[[#This Row],[Account Code]],tblCOA[Code],tblCOA[Account Name],"⚠ Invalid account")</f>
        <v>Prepaid Rent</v>
      </c>
      <c r="F730" s="1" t="s">
        <v>6381</v>
      </c>
      <c r="G730" s="5"/>
      <c r="H730" s="5">
        <f>SUMIFS(INDEX(tblPrepaid[[Jan]:[Dec]],0,MONTH(tblGJ[[#This Row],[Date]])),tblPrepaid[Prepaid Account],tblGJ[[#This Row],[Account Code]])</f>
        <v>11000000</v>
      </c>
      <c r="I730" s="1" t="s">
        <v>6535</v>
      </c>
      <c r="J730" s="1">
        <f>MONTH(tblGJ[[#This Row],[Date]])</f>
        <v>9</v>
      </c>
      <c r="K730" s="1" t="str">
        <f>_xlfn.XLOOKUP(tblGJ[[#This Row],[Account Code]],tblCOA[Code],tblCOA[FS Line],"")</f>
        <v>Prepaid expenses</v>
      </c>
      <c r="L730" s="121" t="str">
        <f>IF(OR(tblGJ[[#This Row],[Account Code]]=1120,tblGJ[[#This Row],[Account Code]]=1130),_xlfn.MINIFS(tblBank[Value Date],tblBank[Reference],tblGJ[[#This Row],[Voucher No]],tblBank[Account Code],tblGJ[[#This Row],[Account Code]]),"")</f>
        <v/>
      </c>
      <c r="M730" s="1" t="str">
        <f>IF(tblGJ[[#This Row],[Date]]&lt;=PEnd,"Yes","No")</f>
        <v>Yes</v>
      </c>
    </row>
    <row r="731" spans="2:13" x14ac:dyDescent="0.35">
      <c r="B731" s="109">
        <v>46295</v>
      </c>
      <c r="C731" s="1" t="s">
        <v>5877</v>
      </c>
      <c r="D731" s="1">
        <v>1420</v>
      </c>
      <c r="E731" s="1" t="str">
        <f>_xlfn.XLOOKUP(tblGJ[[#This Row],[Account Code]],tblCOA[Code],tblCOA[Account Name],"⚠ Invalid account")</f>
        <v>Prepaid Insurance</v>
      </c>
      <c r="F731" s="1" t="s">
        <v>6381</v>
      </c>
      <c r="G731" s="5"/>
      <c r="H731" s="5">
        <f>SUMIFS(INDEX(tblPrepaid[[Jan]:[Dec]],0,MONTH(tblGJ[[#This Row],[Date]])),tblPrepaid[Prepaid Account],tblGJ[[#This Row],[Account Code]])</f>
        <v>2500000</v>
      </c>
      <c r="I731" s="1" t="s">
        <v>6535</v>
      </c>
      <c r="J731" s="1">
        <f>MONTH(tblGJ[[#This Row],[Date]])</f>
        <v>9</v>
      </c>
      <c r="K731" s="1" t="str">
        <f>_xlfn.XLOOKUP(tblGJ[[#This Row],[Account Code]],tblCOA[Code],tblCOA[FS Line],"")</f>
        <v>Prepaid expenses</v>
      </c>
      <c r="L731" s="121" t="str">
        <f>IF(OR(tblGJ[[#This Row],[Account Code]]=1120,tblGJ[[#This Row],[Account Code]]=1130),_xlfn.MINIFS(tblBank[Value Date],tblBank[Reference],tblGJ[[#This Row],[Voucher No]],tblBank[Account Code],tblGJ[[#This Row],[Account Code]]),"")</f>
        <v/>
      </c>
      <c r="M731" s="1" t="str">
        <f>IF(tblGJ[[#This Row],[Date]]&lt;=PEnd,"Yes","No")</f>
        <v>Yes</v>
      </c>
    </row>
    <row r="732" spans="2:13" x14ac:dyDescent="0.35">
      <c r="B732" s="109">
        <v>46295</v>
      </c>
      <c r="C732" s="1" t="s">
        <v>5877</v>
      </c>
      <c r="D732" s="1">
        <v>1430</v>
      </c>
      <c r="E732" s="1" t="str">
        <f>_xlfn.XLOOKUP(tblGJ[[#This Row],[Account Code]],tblCOA[Code],tblCOA[Account Name],"⚠ Invalid account")</f>
        <v>Prepaid Software Subscriptions</v>
      </c>
      <c r="F732" s="1" t="s">
        <v>6381</v>
      </c>
      <c r="G732" s="5"/>
      <c r="H732" s="5">
        <f>SUMIFS(INDEX(tblPrepaid[[Jan]:[Dec]],0,MONTH(tblGJ[[#This Row],[Date]])),tblPrepaid[Prepaid Account],tblGJ[[#This Row],[Account Code]])</f>
        <v>6000000</v>
      </c>
      <c r="I732" s="1" t="s">
        <v>6535</v>
      </c>
      <c r="J732" s="1">
        <f>MONTH(tblGJ[[#This Row],[Date]])</f>
        <v>9</v>
      </c>
      <c r="K732" s="1" t="str">
        <f>_xlfn.XLOOKUP(tblGJ[[#This Row],[Account Code]],tblCOA[Code],tblCOA[FS Line],"")</f>
        <v>Prepaid expenses</v>
      </c>
      <c r="L732" s="121" t="str">
        <f>IF(OR(tblGJ[[#This Row],[Account Code]]=1120,tblGJ[[#This Row],[Account Code]]=1130),_xlfn.MINIFS(tblBank[Value Date],tblBank[Reference],tblGJ[[#This Row],[Voucher No]],tblBank[Account Code],tblGJ[[#This Row],[Account Code]]),"")</f>
        <v/>
      </c>
      <c r="M732" s="1" t="str">
        <f>IF(tblGJ[[#This Row],[Date]]&lt;=PEnd,"Yes","No")</f>
        <v>Yes</v>
      </c>
    </row>
    <row r="733" spans="2:13" x14ac:dyDescent="0.35">
      <c r="B733" s="109">
        <v>46295</v>
      </c>
      <c r="C733" s="1" t="s">
        <v>5878</v>
      </c>
      <c r="D733" s="1">
        <v>6290</v>
      </c>
      <c r="E733" s="1" t="str">
        <f>_xlfn.XLOOKUP(tblGJ[[#This Row],[Account Code]],tblCOA[Code],tblCOA[Account Name],"⚠ Invalid account")</f>
        <v>Employee Benefits Expense</v>
      </c>
      <c r="F733" s="1" t="s">
        <v>6382</v>
      </c>
      <c r="G733" s="5">
        <v>3000000</v>
      </c>
      <c r="H733" s="5"/>
      <c r="I733" s="1" t="s">
        <v>4263</v>
      </c>
      <c r="J733" s="1">
        <f>MONTH(tblGJ[[#This Row],[Date]])</f>
        <v>9</v>
      </c>
      <c r="K733" s="1" t="str">
        <f>_xlfn.XLOOKUP(tblGJ[[#This Row],[Account Code]],tblCOA[Code],tblCOA[FS Line],"")</f>
        <v>General &amp; administrative expenses</v>
      </c>
      <c r="L733" s="121" t="str">
        <f>IF(OR(tblGJ[[#This Row],[Account Code]]=1120,tblGJ[[#This Row],[Account Code]]=1130),_xlfn.MINIFS(tblBank[Value Date],tblBank[Reference],tblGJ[[#This Row],[Voucher No]],tblBank[Account Code],tblGJ[[#This Row],[Account Code]]),"")</f>
        <v/>
      </c>
      <c r="M733" s="1" t="str">
        <f>IF(tblGJ[[#This Row],[Date]]&lt;=PEnd,"Yes","No")</f>
        <v>Yes</v>
      </c>
    </row>
    <row r="734" spans="2:13" x14ac:dyDescent="0.35">
      <c r="B734" s="109">
        <v>46295</v>
      </c>
      <c r="C734" s="1" t="s">
        <v>5878</v>
      </c>
      <c r="D734" s="1">
        <v>2420</v>
      </c>
      <c r="E734" s="1" t="str">
        <f>_xlfn.XLOOKUP(tblGJ[[#This Row],[Account Code]],tblCOA[Code],tblCOA[Account Name],"⚠ Invalid account")</f>
        <v>Employee Benefits Liability</v>
      </c>
      <c r="F734" s="1" t="s">
        <v>6383</v>
      </c>
      <c r="G734" s="5"/>
      <c r="H734" s="5">
        <v>3000000</v>
      </c>
      <c r="I734" s="1" t="s">
        <v>4263</v>
      </c>
      <c r="J734" s="1">
        <f>MONTH(tblGJ[[#This Row],[Date]])</f>
        <v>9</v>
      </c>
      <c r="K734" s="1" t="str">
        <f>_xlfn.XLOOKUP(tblGJ[[#This Row],[Account Code]],tblCOA[Code],tblCOA[FS Line],"")</f>
        <v>Employee benefits liability</v>
      </c>
      <c r="L734" s="121" t="str">
        <f>IF(OR(tblGJ[[#This Row],[Account Code]]=1120,tblGJ[[#This Row],[Account Code]]=1130),_xlfn.MINIFS(tblBank[Value Date],tblBank[Reference],tblGJ[[#This Row],[Voucher No]],tblBank[Account Code],tblGJ[[#This Row],[Account Code]]),"")</f>
        <v/>
      </c>
      <c r="M734" s="1" t="str">
        <f>IF(tblGJ[[#This Row],[Date]]&lt;=PEnd,"Yes","No")</f>
        <v>Yes</v>
      </c>
    </row>
    <row r="735" spans="2:13" x14ac:dyDescent="0.35">
      <c r="B735" s="109">
        <v>46295</v>
      </c>
      <c r="C735" s="1" t="s">
        <v>5879</v>
      </c>
      <c r="D735" s="1">
        <v>1120</v>
      </c>
      <c r="E735" s="1" t="str">
        <f>_xlfn.XLOOKUP(tblGJ[[#This Row],[Account Code]],tblCOA[Code],tblCOA[Account Name],"⚠ Invalid account")</f>
        <v>Bank BCA - Current Account</v>
      </c>
      <c r="F735" s="1" t="s">
        <v>6384</v>
      </c>
      <c r="G735" s="5">
        <v>1333333</v>
      </c>
      <c r="H735" s="5"/>
      <c r="I735" s="1" t="s">
        <v>4263</v>
      </c>
      <c r="J735" s="1">
        <f>MONTH(tblGJ[[#This Row],[Date]])</f>
        <v>9</v>
      </c>
      <c r="K735" s="1" t="str">
        <f>_xlfn.XLOOKUP(tblGJ[[#This Row],[Account Code]],tblCOA[Code],tblCOA[FS Line],"")</f>
        <v>Cash and cash equivalents</v>
      </c>
      <c r="L735" s="121">
        <f>IF(OR(tblGJ[[#This Row],[Account Code]]=1120,tblGJ[[#This Row],[Account Code]]=1130),_xlfn.MINIFS(tblBank[Value Date],tblBank[Reference],tblGJ[[#This Row],[Voucher No]],tblBank[Account Code],tblGJ[[#This Row],[Account Code]]),"")</f>
        <v>46295</v>
      </c>
      <c r="M735" s="1" t="str">
        <f>IF(tblGJ[[#This Row],[Date]]&lt;=PEnd,"Yes","No")</f>
        <v>Yes</v>
      </c>
    </row>
    <row r="736" spans="2:13" x14ac:dyDescent="0.35">
      <c r="B736" s="109">
        <v>46295</v>
      </c>
      <c r="C736" s="1" t="s">
        <v>5879</v>
      </c>
      <c r="D736" s="1">
        <v>8200</v>
      </c>
      <c r="E736" s="1" t="str">
        <f>_xlfn.XLOOKUP(tblGJ[[#This Row],[Account Code]],tblCOA[Code],tblCOA[Account Name],"⚠ Invalid account")</f>
        <v>Final Income Tax Expense</v>
      </c>
      <c r="F736" s="1" t="s">
        <v>6385</v>
      </c>
      <c r="G736" s="5">
        <v>333334</v>
      </c>
      <c r="H736" s="5"/>
      <c r="I736" s="1" t="s">
        <v>4263</v>
      </c>
      <c r="J736" s="1">
        <f>MONTH(tblGJ[[#This Row],[Date]])</f>
        <v>9</v>
      </c>
      <c r="K736" s="1" t="str">
        <f>_xlfn.XLOOKUP(tblGJ[[#This Row],[Account Code]],tblCOA[Code],tblCOA[FS Line],"")</f>
        <v>Other expenses</v>
      </c>
      <c r="L736" s="121" t="str">
        <f>IF(OR(tblGJ[[#This Row],[Account Code]]=1120,tblGJ[[#This Row],[Account Code]]=1130),_xlfn.MINIFS(tblBank[Value Date],tblBank[Reference],tblGJ[[#This Row],[Voucher No]],tblBank[Account Code],tblGJ[[#This Row],[Account Code]]),"")</f>
        <v/>
      </c>
      <c r="M736" s="1" t="str">
        <f>IF(tblGJ[[#This Row],[Date]]&lt;=PEnd,"Yes","No")</f>
        <v>Yes</v>
      </c>
    </row>
    <row r="737" spans="2:13" x14ac:dyDescent="0.35">
      <c r="B737" s="109">
        <v>46295</v>
      </c>
      <c r="C737" s="1" t="s">
        <v>5879</v>
      </c>
      <c r="D737" s="1">
        <v>7110</v>
      </c>
      <c r="E737" s="1" t="str">
        <f>_xlfn.XLOOKUP(tblGJ[[#This Row],[Account Code]],tblCOA[Code],tblCOA[Account Name],"⚠ Invalid account")</f>
        <v>Interest Income - Time Deposit</v>
      </c>
      <c r="F737" s="1" t="s">
        <v>6386</v>
      </c>
      <c r="G737" s="5"/>
      <c r="H737" s="5">
        <v>1666667</v>
      </c>
      <c r="I737" s="1" t="s">
        <v>4263</v>
      </c>
      <c r="J737" s="1">
        <f>MONTH(tblGJ[[#This Row],[Date]])</f>
        <v>9</v>
      </c>
      <c r="K737" s="1" t="str">
        <f>_xlfn.XLOOKUP(tblGJ[[#This Row],[Account Code]],tblCOA[Code],tblCOA[FS Line],"")</f>
        <v>Other income</v>
      </c>
      <c r="L737" s="121" t="str">
        <f>IF(OR(tblGJ[[#This Row],[Account Code]]=1120,tblGJ[[#This Row],[Account Code]]=1130),_xlfn.MINIFS(tblBank[Value Date],tblBank[Reference],tblGJ[[#This Row],[Voucher No]],tblBank[Account Code],tblGJ[[#This Row],[Account Code]]),"")</f>
        <v/>
      </c>
      <c r="M737" s="1" t="str">
        <f>IF(tblGJ[[#This Row],[Date]]&lt;=PEnd,"Yes","No")</f>
        <v>Yes</v>
      </c>
    </row>
    <row r="738" spans="2:13" x14ac:dyDescent="0.35">
      <c r="B738" s="109">
        <v>46295</v>
      </c>
      <c r="C738" s="1" t="s">
        <v>5880</v>
      </c>
      <c r="D738" s="1">
        <v>1120</v>
      </c>
      <c r="E738" s="1" t="str">
        <f>_xlfn.XLOOKUP(tblGJ[[#This Row],[Account Code]],tblCOA[Code],tblCOA[Account Name],"⚠ Invalid account")</f>
        <v>Bank BCA - Current Account</v>
      </c>
      <c r="F738" s="1" t="s">
        <v>6387</v>
      </c>
      <c r="G738" s="5">
        <v>526177</v>
      </c>
      <c r="H738" s="5"/>
      <c r="I738" s="1" t="s">
        <v>4263</v>
      </c>
      <c r="J738" s="1">
        <f>MONTH(tblGJ[[#This Row],[Date]])</f>
        <v>9</v>
      </c>
      <c r="K738" s="1" t="str">
        <f>_xlfn.XLOOKUP(tblGJ[[#This Row],[Account Code]],tblCOA[Code],tblCOA[FS Line],"")</f>
        <v>Cash and cash equivalents</v>
      </c>
      <c r="L738" s="121">
        <f>IF(OR(tblGJ[[#This Row],[Account Code]]=1120,tblGJ[[#This Row],[Account Code]]=1130),_xlfn.MINIFS(tblBank[Value Date],tblBank[Reference],tblGJ[[#This Row],[Voucher No]],tblBank[Account Code],tblGJ[[#This Row],[Account Code]]),"")</f>
        <v>46295</v>
      </c>
      <c r="M738" s="1" t="str">
        <f>IF(tblGJ[[#This Row],[Date]]&lt;=PEnd,"Yes","No")</f>
        <v>Yes</v>
      </c>
    </row>
    <row r="739" spans="2:13" x14ac:dyDescent="0.35">
      <c r="B739" s="109">
        <v>46295</v>
      </c>
      <c r="C739" s="1" t="s">
        <v>5880</v>
      </c>
      <c r="D739" s="1">
        <v>7120</v>
      </c>
      <c r="E739" s="1" t="str">
        <f>_xlfn.XLOOKUP(tblGJ[[#This Row],[Account Code]],tblCOA[Code],tblCOA[Account Name],"⚠ Invalid account")</f>
        <v>Interest Income - Current Account</v>
      </c>
      <c r="F739" s="1" t="s">
        <v>6387</v>
      </c>
      <c r="G739" s="5"/>
      <c r="H739" s="5">
        <v>526177</v>
      </c>
      <c r="I739" s="1" t="s">
        <v>4263</v>
      </c>
      <c r="J739" s="1">
        <f>MONTH(tblGJ[[#This Row],[Date]])</f>
        <v>9</v>
      </c>
      <c r="K739" s="1" t="str">
        <f>_xlfn.XLOOKUP(tblGJ[[#This Row],[Account Code]],tblCOA[Code],tblCOA[FS Line],"")</f>
        <v>Other income</v>
      </c>
      <c r="L739" s="121" t="str">
        <f>IF(OR(tblGJ[[#This Row],[Account Code]]=1120,tblGJ[[#This Row],[Account Code]]=1130),_xlfn.MINIFS(tblBank[Value Date],tblBank[Reference],tblGJ[[#This Row],[Voucher No]],tblBank[Account Code],tblGJ[[#This Row],[Account Code]]),"")</f>
        <v/>
      </c>
      <c r="M739" s="1" t="str">
        <f>IF(tblGJ[[#This Row],[Date]]&lt;=PEnd,"Yes","No")</f>
        <v>Yes</v>
      </c>
    </row>
    <row r="740" spans="2:13" x14ac:dyDescent="0.35">
      <c r="B740" s="109">
        <v>46295</v>
      </c>
      <c r="C740" s="1" t="s">
        <v>5881</v>
      </c>
      <c r="D740" s="1">
        <v>8200</v>
      </c>
      <c r="E740" s="1" t="str">
        <f>_xlfn.XLOOKUP(tblGJ[[#This Row],[Account Code]],tblCOA[Code],tblCOA[Account Name],"⚠ Invalid account")</f>
        <v>Final Income Tax Expense</v>
      </c>
      <c r="F740" s="1" t="s">
        <v>6388</v>
      </c>
      <c r="G740" s="5">
        <v>105235</v>
      </c>
      <c r="H740" s="5"/>
      <c r="I740" s="1" t="s">
        <v>4263</v>
      </c>
      <c r="J740" s="1">
        <f>MONTH(tblGJ[[#This Row],[Date]])</f>
        <v>9</v>
      </c>
      <c r="K740" s="1" t="str">
        <f>_xlfn.XLOOKUP(tblGJ[[#This Row],[Account Code]],tblCOA[Code],tblCOA[FS Line],"")</f>
        <v>Other expenses</v>
      </c>
      <c r="L740" s="121" t="str">
        <f>IF(OR(tblGJ[[#This Row],[Account Code]]=1120,tblGJ[[#This Row],[Account Code]]=1130),_xlfn.MINIFS(tblBank[Value Date],tblBank[Reference],tblGJ[[#This Row],[Voucher No]],tblBank[Account Code],tblGJ[[#This Row],[Account Code]]),"")</f>
        <v/>
      </c>
      <c r="M740" s="1" t="str">
        <f>IF(tblGJ[[#This Row],[Date]]&lt;=PEnd,"Yes","No")</f>
        <v>Yes</v>
      </c>
    </row>
    <row r="741" spans="2:13" x14ac:dyDescent="0.35">
      <c r="B741" s="109">
        <v>46295</v>
      </c>
      <c r="C741" s="1" t="s">
        <v>5881</v>
      </c>
      <c r="D741" s="1">
        <v>1120</v>
      </c>
      <c r="E741" s="1" t="str">
        <f>_xlfn.XLOOKUP(tblGJ[[#This Row],[Account Code]],tblCOA[Code],tblCOA[Account Name],"⚠ Invalid account")</f>
        <v>Bank BCA - Current Account</v>
      </c>
      <c r="F741" s="1" t="s">
        <v>6388</v>
      </c>
      <c r="G741" s="5"/>
      <c r="H741" s="5">
        <v>105235</v>
      </c>
      <c r="I741" s="1" t="s">
        <v>4263</v>
      </c>
      <c r="J741" s="1">
        <f>MONTH(tblGJ[[#This Row],[Date]])</f>
        <v>9</v>
      </c>
      <c r="K741" s="1" t="str">
        <f>_xlfn.XLOOKUP(tblGJ[[#This Row],[Account Code]],tblCOA[Code],tblCOA[FS Line],"")</f>
        <v>Cash and cash equivalents</v>
      </c>
      <c r="L741" s="121">
        <f>IF(OR(tblGJ[[#This Row],[Account Code]]=1120,tblGJ[[#This Row],[Account Code]]=1130),_xlfn.MINIFS(tblBank[Value Date],tblBank[Reference],tblGJ[[#This Row],[Voucher No]],tblBank[Account Code],tblGJ[[#This Row],[Account Code]]),"")</f>
        <v>46295</v>
      </c>
      <c r="M741" s="1" t="str">
        <f>IF(tblGJ[[#This Row],[Date]]&lt;=PEnd,"Yes","No")</f>
        <v>Yes</v>
      </c>
    </row>
    <row r="742" spans="2:13" x14ac:dyDescent="0.35">
      <c r="B742" s="109">
        <v>46295</v>
      </c>
      <c r="C742" s="1" t="s">
        <v>5882</v>
      </c>
      <c r="D742" s="1">
        <v>7220</v>
      </c>
      <c r="E742" s="1" t="str">
        <f>_xlfn.XLOOKUP(tblGJ[[#This Row],[Account Code]],tblCOA[Code],tblCOA[Account Name],"⚠ Invalid account")</f>
        <v>Bank Charges</v>
      </c>
      <c r="F742" s="1" t="s">
        <v>6389</v>
      </c>
      <c r="G742" s="5">
        <v>150000</v>
      </c>
      <c r="H742" s="5"/>
      <c r="I742" s="1" t="s">
        <v>4263</v>
      </c>
      <c r="J742" s="1">
        <f>MONTH(tblGJ[[#This Row],[Date]])</f>
        <v>9</v>
      </c>
      <c r="K742" s="1" t="str">
        <f>_xlfn.XLOOKUP(tblGJ[[#This Row],[Account Code]],tblCOA[Code],tblCOA[FS Line],"")</f>
        <v>Other expenses</v>
      </c>
      <c r="L742" s="121" t="str">
        <f>IF(OR(tblGJ[[#This Row],[Account Code]]=1120,tblGJ[[#This Row],[Account Code]]=1130),_xlfn.MINIFS(tblBank[Value Date],tblBank[Reference],tblGJ[[#This Row],[Voucher No]],tblBank[Account Code],tblGJ[[#This Row],[Account Code]]),"")</f>
        <v/>
      </c>
      <c r="M742" s="1" t="str">
        <f>IF(tblGJ[[#This Row],[Date]]&lt;=PEnd,"Yes","No")</f>
        <v>Yes</v>
      </c>
    </row>
    <row r="743" spans="2:13" x14ac:dyDescent="0.35">
      <c r="B743" s="109">
        <v>46295</v>
      </c>
      <c r="C743" s="1" t="s">
        <v>5882</v>
      </c>
      <c r="D743" s="1">
        <v>1120</v>
      </c>
      <c r="E743" s="1" t="str">
        <f>_xlfn.XLOOKUP(tblGJ[[#This Row],[Account Code]],tblCOA[Code],tblCOA[Account Name],"⚠ Invalid account")</f>
        <v>Bank BCA - Current Account</v>
      </c>
      <c r="F743" s="1" t="s">
        <v>6389</v>
      </c>
      <c r="G743" s="5"/>
      <c r="H743" s="5">
        <v>150000</v>
      </c>
      <c r="I743" s="1" t="s">
        <v>4263</v>
      </c>
      <c r="J743" s="1">
        <f>MONTH(tblGJ[[#This Row],[Date]])</f>
        <v>9</v>
      </c>
      <c r="K743" s="1" t="str">
        <f>_xlfn.XLOOKUP(tblGJ[[#This Row],[Account Code]],tblCOA[Code],tblCOA[FS Line],"")</f>
        <v>Cash and cash equivalents</v>
      </c>
      <c r="L743" s="121">
        <f>IF(OR(tblGJ[[#This Row],[Account Code]]=1120,tblGJ[[#This Row],[Account Code]]=1130),_xlfn.MINIFS(tblBank[Value Date],tblBank[Reference],tblGJ[[#This Row],[Voucher No]],tblBank[Account Code],tblGJ[[#This Row],[Account Code]]),"")</f>
        <v>46295</v>
      </c>
      <c r="M743" s="1" t="str">
        <f>IF(tblGJ[[#This Row],[Date]]&lt;=PEnd,"Yes","No")</f>
        <v>Yes</v>
      </c>
    </row>
    <row r="744" spans="2:13" x14ac:dyDescent="0.35">
      <c r="B744" s="109">
        <v>46295</v>
      </c>
      <c r="C744" s="1" t="s">
        <v>5883</v>
      </c>
      <c r="D744" s="1">
        <v>1130</v>
      </c>
      <c r="E744" s="1" t="str">
        <f>_xlfn.XLOOKUP(tblGJ[[#This Row],[Account Code]],tblCOA[Code],tblCOA[Account Name],"⚠ Invalid account")</f>
        <v>Bank Mandiri - Current Account</v>
      </c>
      <c r="F744" s="1" t="s">
        <v>6390</v>
      </c>
      <c r="G744" s="5">
        <v>62018</v>
      </c>
      <c r="H744" s="5"/>
      <c r="I744" s="1" t="s">
        <v>4263</v>
      </c>
      <c r="J744" s="1">
        <f>MONTH(tblGJ[[#This Row],[Date]])</f>
        <v>9</v>
      </c>
      <c r="K744" s="1" t="str">
        <f>_xlfn.XLOOKUP(tblGJ[[#This Row],[Account Code]],tblCOA[Code],tblCOA[FS Line],"")</f>
        <v>Cash and cash equivalents</v>
      </c>
      <c r="L744" s="121">
        <f>IF(OR(tblGJ[[#This Row],[Account Code]]=1120,tblGJ[[#This Row],[Account Code]]=1130),_xlfn.MINIFS(tblBank[Value Date],tblBank[Reference],tblGJ[[#This Row],[Voucher No]],tblBank[Account Code],tblGJ[[#This Row],[Account Code]]),"")</f>
        <v>46295</v>
      </c>
      <c r="M744" s="1" t="str">
        <f>IF(tblGJ[[#This Row],[Date]]&lt;=PEnd,"Yes","No")</f>
        <v>Yes</v>
      </c>
    </row>
    <row r="745" spans="2:13" x14ac:dyDescent="0.35">
      <c r="B745" s="109">
        <v>46295</v>
      </c>
      <c r="C745" s="1" t="s">
        <v>5883</v>
      </c>
      <c r="D745" s="1">
        <v>7120</v>
      </c>
      <c r="E745" s="1" t="str">
        <f>_xlfn.XLOOKUP(tblGJ[[#This Row],[Account Code]],tblCOA[Code],tblCOA[Account Name],"⚠ Invalid account")</f>
        <v>Interest Income - Current Account</v>
      </c>
      <c r="F745" s="1" t="s">
        <v>6390</v>
      </c>
      <c r="G745" s="5"/>
      <c r="H745" s="5">
        <v>62018</v>
      </c>
      <c r="I745" s="1" t="s">
        <v>4263</v>
      </c>
      <c r="J745" s="1">
        <f>MONTH(tblGJ[[#This Row],[Date]])</f>
        <v>9</v>
      </c>
      <c r="K745" s="1" t="str">
        <f>_xlfn.XLOOKUP(tblGJ[[#This Row],[Account Code]],tblCOA[Code],tblCOA[FS Line],"")</f>
        <v>Other income</v>
      </c>
      <c r="L745" s="121" t="str">
        <f>IF(OR(tblGJ[[#This Row],[Account Code]]=1120,tblGJ[[#This Row],[Account Code]]=1130),_xlfn.MINIFS(tblBank[Value Date],tblBank[Reference],tblGJ[[#This Row],[Voucher No]],tblBank[Account Code],tblGJ[[#This Row],[Account Code]]),"")</f>
        <v/>
      </c>
      <c r="M745" s="1" t="str">
        <f>IF(tblGJ[[#This Row],[Date]]&lt;=PEnd,"Yes","No")</f>
        <v>Yes</v>
      </c>
    </row>
    <row r="746" spans="2:13" x14ac:dyDescent="0.35">
      <c r="B746" s="109">
        <v>46295</v>
      </c>
      <c r="C746" s="1" t="s">
        <v>5884</v>
      </c>
      <c r="D746" s="1">
        <v>8200</v>
      </c>
      <c r="E746" s="1" t="str">
        <f>_xlfn.XLOOKUP(tblGJ[[#This Row],[Account Code]],tblCOA[Code],tblCOA[Account Name],"⚠ Invalid account")</f>
        <v>Final Income Tax Expense</v>
      </c>
      <c r="F746" s="1" t="s">
        <v>6391</v>
      </c>
      <c r="G746" s="5">
        <v>12404</v>
      </c>
      <c r="H746" s="5"/>
      <c r="I746" s="1" t="s">
        <v>4263</v>
      </c>
      <c r="J746" s="1">
        <f>MONTH(tblGJ[[#This Row],[Date]])</f>
        <v>9</v>
      </c>
      <c r="K746" s="1" t="str">
        <f>_xlfn.XLOOKUP(tblGJ[[#This Row],[Account Code]],tblCOA[Code],tblCOA[FS Line],"")</f>
        <v>Other expenses</v>
      </c>
      <c r="L746" s="121" t="str">
        <f>IF(OR(tblGJ[[#This Row],[Account Code]]=1120,tblGJ[[#This Row],[Account Code]]=1130),_xlfn.MINIFS(tblBank[Value Date],tblBank[Reference],tblGJ[[#This Row],[Voucher No]],tblBank[Account Code],tblGJ[[#This Row],[Account Code]]),"")</f>
        <v/>
      </c>
      <c r="M746" s="1" t="str">
        <f>IF(tblGJ[[#This Row],[Date]]&lt;=PEnd,"Yes","No")</f>
        <v>Yes</v>
      </c>
    </row>
    <row r="747" spans="2:13" x14ac:dyDescent="0.35">
      <c r="B747" s="109">
        <v>46295</v>
      </c>
      <c r="C747" s="1" t="s">
        <v>5884</v>
      </c>
      <c r="D747" s="1">
        <v>1130</v>
      </c>
      <c r="E747" s="1" t="str">
        <f>_xlfn.XLOOKUP(tblGJ[[#This Row],[Account Code]],tblCOA[Code],tblCOA[Account Name],"⚠ Invalid account")</f>
        <v>Bank Mandiri - Current Account</v>
      </c>
      <c r="F747" s="1" t="s">
        <v>6391</v>
      </c>
      <c r="G747" s="5"/>
      <c r="H747" s="5">
        <v>12404</v>
      </c>
      <c r="I747" s="1" t="s">
        <v>4263</v>
      </c>
      <c r="J747" s="1">
        <f>MONTH(tblGJ[[#This Row],[Date]])</f>
        <v>9</v>
      </c>
      <c r="K747" s="1" t="str">
        <f>_xlfn.XLOOKUP(tblGJ[[#This Row],[Account Code]],tblCOA[Code],tblCOA[FS Line],"")</f>
        <v>Cash and cash equivalents</v>
      </c>
      <c r="L747" s="121">
        <f>IF(OR(tblGJ[[#This Row],[Account Code]]=1120,tblGJ[[#This Row],[Account Code]]=1130),_xlfn.MINIFS(tblBank[Value Date],tblBank[Reference],tblGJ[[#This Row],[Voucher No]],tblBank[Account Code],tblGJ[[#This Row],[Account Code]]),"")</f>
        <v>46295</v>
      </c>
      <c r="M747" s="1" t="str">
        <f>IF(tblGJ[[#This Row],[Date]]&lt;=PEnd,"Yes","No")</f>
        <v>Yes</v>
      </c>
    </row>
    <row r="748" spans="2:13" x14ac:dyDescent="0.35">
      <c r="B748" s="109">
        <v>46295</v>
      </c>
      <c r="C748" s="1" t="s">
        <v>5885</v>
      </c>
      <c r="D748" s="1">
        <v>7220</v>
      </c>
      <c r="E748" s="1" t="str">
        <f>_xlfn.XLOOKUP(tblGJ[[#This Row],[Account Code]],tblCOA[Code],tblCOA[Account Name],"⚠ Invalid account")</f>
        <v>Bank Charges</v>
      </c>
      <c r="F748" s="1" t="s">
        <v>6392</v>
      </c>
      <c r="G748" s="5">
        <v>118500</v>
      </c>
      <c r="H748" s="5"/>
      <c r="I748" s="1" t="s">
        <v>4263</v>
      </c>
      <c r="J748" s="1">
        <f>MONTH(tblGJ[[#This Row],[Date]])</f>
        <v>9</v>
      </c>
      <c r="K748" s="1" t="str">
        <f>_xlfn.XLOOKUP(tblGJ[[#This Row],[Account Code]],tblCOA[Code],tblCOA[FS Line],"")</f>
        <v>Other expenses</v>
      </c>
      <c r="L748" s="121" t="str">
        <f>IF(OR(tblGJ[[#This Row],[Account Code]]=1120,tblGJ[[#This Row],[Account Code]]=1130),_xlfn.MINIFS(tblBank[Value Date],tblBank[Reference],tblGJ[[#This Row],[Voucher No]],tblBank[Account Code],tblGJ[[#This Row],[Account Code]]),"")</f>
        <v/>
      </c>
      <c r="M748" s="1" t="str">
        <f>IF(tblGJ[[#This Row],[Date]]&lt;=PEnd,"Yes","No")</f>
        <v>Yes</v>
      </c>
    </row>
    <row r="749" spans="2:13" x14ac:dyDescent="0.35">
      <c r="B749" s="109">
        <v>46295</v>
      </c>
      <c r="C749" s="1" t="s">
        <v>5885</v>
      </c>
      <c r="D749" s="1">
        <v>1130</v>
      </c>
      <c r="E749" s="1" t="str">
        <f>_xlfn.XLOOKUP(tblGJ[[#This Row],[Account Code]],tblCOA[Code],tblCOA[Account Name],"⚠ Invalid account")</f>
        <v>Bank Mandiri - Current Account</v>
      </c>
      <c r="F749" s="1" t="s">
        <v>6392</v>
      </c>
      <c r="G749" s="5"/>
      <c r="H749" s="5">
        <v>118500</v>
      </c>
      <c r="I749" s="1" t="s">
        <v>4263</v>
      </c>
      <c r="J749" s="1">
        <f>MONTH(tblGJ[[#This Row],[Date]])</f>
        <v>9</v>
      </c>
      <c r="K749" s="1" t="str">
        <f>_xlfn.XLOOKUP(tblGJ[[#This Row],[Account Code]],tblCOA[Code],tblCOA[FS Line],"")</f>
        <v>Cash and cash equivalents</v>
      </c>
      <c r="L749" s="121">
        <f>IF(OR(tblGJ[[#This Row],[Account Code]]=1120,tblGJ[[#This Row],[Account Code]]=1130),_xlfn.MINIFS(tblBank[Value Date],tblBank[Reference],tblGJ[[#This Row],[Voucher No]],tblBank[Account Code],tblGJ[[#This Row],[Account Code]]),"")</f>
        <v>46295</v>
      </c>
      <c r="M749" s="1" t="str">
        <f>IF(tblGJ[[#This Row],[Date]]&lt;=PEnd,"Yes","No")</f>
        <v>Yes</v>
      </c>
    </row>
    <row r="750" spans="2:13" x14ac:dyDescent="0.35">
      <c r="B750" s="109">
        <v>46305</v>
      </c>
      <c r="C750" s="1" t="s">
        <v>5886</v>
      </c>
      <c r="D750" s="1">
        <v>2230</v>
      </c>
      <c r="E750" s="1" t="str">
        <f>_xlfn.XLOOKUP(tblGJ[[#This Row],[Account Code]],tblCOA[Code],tblCOA[Account Name],"⚠ Invalid account")</f>
        <v>WHT Payable - Art. 21</v>
      </c>
      <c r="F750" s="1" t="s">
        <v>5957</v>
      </c>
      <c r="G750" s="5">
        <f>IF(MONTH(tblGJ[[#This Row],[Date]])=1,_xlfn.XLOOKUP(2230,tblCOA[Code],tblCOA[Opening Balance]),SUMIFS(tblPayroll[PPh 21],tblPayroll[Period],MONTH(tblGJ[[#This Row],[Date]])-1))</f>
        <v>10516831</v>
      </c>
      <c r="H750" s="5"/>
      <c r="I750" s="1" t="s">
        <v>6528</v>
      </c>
      <c r="J750" s="1">
        <f>MONTH(tblGJ[[#This Row],[Date]])</f>
        <v>10</v>
      </c>
      <c r="K750" s="1" t="str">
        <f>_xlfn.XLOOKUP(tblGJ[[#This Row],[Account Code]],tblCOA[Code],tblCOA[FS Line],"")</f>
        <v>Taxes payable</v>
      </c>
      <c r="L750" s="121" t="str">
        <f>IF(OR(tblGJ[[#This Row],[Account Code]]=1120,tblGJ[[#This Row],[Account Code]]=1130),_xlfn.MINIFS(tblBank[Value Date],tblBank[Reference],tblGJ[[#This Row],[Voucher No]],tblBank[Account Code],tblGJ[[#This Row],[Account Code]]),"")</f>
        <v/>
      </c>
      <c r="M750" s="1" t="str">
        <f>IF(tblGJ[[#This Row],[Date]]&lt;=PEnd,"Yes","No")</f>
        <v>Yes</v>
      </c>
    </row>
    <row r="751" spans="2:13" x14ac:dyDescent="0.35">
      <c r="B751" s="109">
        <v>46305</v>
      </c>
      <c r="C751" s="1" t="s">
        <v>5886</v>
      </c>
      <c r="D751" s="1">
        <v>1120</v>
      </c>
      <c r="E751" s="1" t="str">
        <f>_xlfn.XLOOKUP(tblGJ[[#This Row],[Account Code]],tblCOA[Code],tblCOA[Account Name],"⚠ Invalid account")</f>
        <v>Bank BCA - Current Account</v>
      </c>
      <c r="F751" s="1" t="s">
        <v>5957</v>
      </c>
      <c r="G751" s="5"/>
      <c r="H751" s="5">
        <f>IF(MONTH(tblGJ[[#This Row],[Date]])=1,_xlfn.XLOOKUP(2230,tblCOA[Code],tblCOA[Opening Balance]),SUMIFS(tblPayroll[PPh 21],tblPayroll[Period],MONTH(tblGJ[[#This Row],[Date]])-1))</f>
        <v>10516831</v>
      </c>
      <c r="I751" s="1" t="s">
        <v>6528</v>
      </c>
      <c r="J751" s="1">
        <f>MONTH(tblGJ[[#This Row],[Date]])</f>
        <v>10</v>
      </c>
      <c r="K751" s="1" t="str">
        <f>_xlfn.XLOOKUP(tblGJ[[#This Row],[Account Code]],tblCOA[Code],tblCOA[FS Line],"")</f>
        <v>Cash and cash equivalents</v>
      </c>
      <c r="L751" s="121">
        <f>IF(OR(tblGJ[[#This Row],[Account Code]]=1120,tblGJ[[#This Row],[Account Code]]=1130),_xlfn.MINIFS(tblBank[Value Date],tblBank[Reference],tblGJ[[#This Row],[Voucher No]],tblBank[Account Code],tblGJ[[#This Row],[Account Code]]),"")</f>
        <v>46305</v>
      </c>
      <c r="M751" s="1" t="str">
        <f>IF(tblGJ[[#This Row],[Date]]&lt;=PEnd,"Yes","No")</f>
        <v>Yes</v>
      </c>
    </row>
    <row r="752" spans="2:13" x14ac:dyDescent="0.35">
      <c r="B752" s="109">
        <v>46305</v>
      </c>
      <c r="C752" s="1" t="s">
        <v>5887</v>
      </c>
      <c r="D752" s="1">
        <v>2150</v>
      </c>
      <c r="E752" s="1" t="str">
        <f>_xlfn.XLOOKUP(tblGJ[[#This Row],[Account Code]],tblCOA[Code],tblCOA[Account Name],"⚠ Invalid account")</f>
        <v>BPJS Payable</v>
      </c>
      <c r="F752" s="1" t="s">
        <v>5958</v>
      </c>
      <c r="G752" s="5">
        <f>IF(MONTH(tblGJ[[#This Row],[Date]])=1,_xlfn.XLOOKUP(2150,tblCOA[Code],tblCOA[Opening Balance]),SUMIFS(tblPayroll[BPJS Payable],tblPayroll[Period],MONTH(tblGJ[[#This Row],[Date]])-1))</f>
        <v>22077790</v>
      </c>
      <c r="H752" s="5"/>
      <c r="I752" s="1" t="s">
        <v>6528</v>
      </c>
      <c r="J752" s="1">
        <f>MONTH(tblGJ[[#This Row],[Date]])</f>
        <v>10</v>
      </c>
      <c r="K752" s="1" t="str">
        <f>_xlfn.XLOOKUP(tblGJ[[#This Row],[Account Code]],tblCOA[Code],tblCOA[FS Line],"")</f>
        <v>Accrued expenses</v>
      </c>
      <c r="L752" s="121" t="str">
        <f>IF(OR(tblGJ[[#This Row],[Account Code]]=1120,tblGJ[[#This Row],[Account Code]]=1130),_xlfn.MINIFS(tblBank[Value Date],tblBank[Reference],tblGJ[[#This Row],[Voucher No]],tblBank[Account Code],tblGJ[[#This Row],[Account Code]]),"")</f>
        <v/>
      </c>
      <c r="M752" s="1" t="str">
        <f>IF(tblGJ[[#This Row],[Date]]&lt;=PEnd,"Yes","No")</f>
        <v>Yes</v>
      </c>
    </row>
    <row r="753" spans="2:13" x14ac:dyDescent="0.35">
      <c r="B753" s="109">
        <v>46305</v>
      </c>
      <c r="C753" s="1" t="s">
        <v>5887</v>
      </c>
      <c r="D753" s="1">
        <v>1120</v>
      </c>
      <c r="E753" s="1" t="str">
        <f>_xlfn.XLOOKUP(tblGJ[[#This Row],[Account Code]],tblCOA[Code],tblCOA[Account Name],"⚠ Invalid account")</f>
        <v>Bank BCA - Current Account</v>
      </c>
      <c r="F753" s="1" t="s">
        <v>5958</v>
      </c>
      <c r="G753" s="5"/>
      <c r="H753" s="5">
        <f>IF(MONTH(tblGJ[[#This Row],[Date]])=1,_xlfn.XLOOKUP(2150,tblCOA[Code],tblCOA[Opening Balance]),SUMIFS(tblPayroll[BPJS Payable],tblPayroll[Period],MONTH(tblGJ[[#This Row],[Date]])-1))</f>
        <v>22077790</v>
      </c>
      <c r="I753" s="1" t="s">
        <v>6528</v>
      </c>
      <c r="J753" s="1">
        <f>MONTH(tblGJ[[#This Row],[Date]])</f>
        <v>10</v>
      </c>
      <c r="K753" s="1" t="str">
        <f>_xlfn.XLOOKUP(tblGJ[[#This Row],[Account Code]],tblCOA[Code],tblCOA[FS Line],"")</f>
        <v>Cash and cash equivalents</v>
      </c>
      <c r="L753" s="121">
        <f>IF(OR(tblGJ[[#This Row],[Account Code]]=1120,tblGJ[[#This Row],[Account Code]]=1130),_xlfn.MINIFS(tblBank[Value Date],tblBank[Reference],tblGJ[[#This Row],[Voucher No]],tblBank[Account Code],tblGJ[[#This Row],[Account Code]]),"")</f>
        <v>46305</v>
      </c>
      <c r="M753" s="1" t="str">
        <f>IF(tblGJ[[#This Row],[Date]]&lt;=PEnd,"Yes","No")</f>
        <v>Yes</v>
      </c>
    </row>
    <row r="754" spans="2:13" x14ac:dyDescent="0.35">
      <c r="B754" s="109">
        <v>46310</v>
      </c>
      <c r="C754" s="1" t="s">
        <v>5888</v>
      </c>
      <c r="D754" s="1">
        <v>2240</v>
      </c>
      <c r="E754" s="1" t="str">
        <f>_xlfn.XLOOKUP(tblGJ[[#This Row],[Account Code]],tblCOA[Code],tblCOA[Account Name],"⚠ Invalid account")</f>
        <v>WHT Payable - Unifikasi (Art. 23/4(2))</v>
      </c>
      <c r="F754" s="1" t="s">
        <v>5960</v>
      </c>
      <c r="G754" s="5">
        <f>IF(MONTH(tblGJ[[#This Row],[Date]])=1,_xlfn.XLOOKUP(2240,tblCOA[Code],tblCOA[Opening Balance]),SUMIFS(tblPurchases[WHT Amount],tblPurchases[Month],MONTH(tblGJ[[#This Row],[Date]])-1))</f>
        <v>1039820</v>
      </c>
      <c r="H754" s="5"/>
      <c r="I754" s="1" t="s">
        <v>6528</v>
      </c>
      <c r="J754" s="1">
        <f>MONTH(tblGJ[[#This Row],[Date]])</f>
        <v>10</v>
      </c>
      <c r="K754" s="1" t="str">
        <f>_xlfn.XLOOKUP(tblGJ[[#This Row],[Account Code]],tblCOA[Code],tblCOA[FS Line],"")</f>
        <v>Taxes payable</v>
      </c>
      <c r="L754" s="121" t="str">
        <f>IF(OR(tblGJ[[#This Row],[Account Code]]=1120,tblGJ[[#This Row],[Account Code]]=1130),_xlfn.MINIFS(tblBank[Value Date],tblBank[Reference],tblGJ[[#This Row],[Voucher No]],tblBank[Account Code],tblGJ[[#This Row],[Account Code]]),"")</f>
        <v/>
      </c>
      <c r="M754" s="1" t="str">
        <f>IF(tblGJ[[#This Row],[Date]]&lt;=PEnd,"Yes","No")</f>
        <v>Yes</v>
      </c>
    </row>
    <row r="755" spans="2:13" x14ac:dyDescent="0.35">
      <c r="B755" s="109">
        <v>46310</v>
      </c>
      <c r="C755" s="1" t="s">
        <v>5888</v>
      </c>
      <c r="D755" s="1">
        <v>1120</v>
      </c>
      <c r="E755" s="1" t="str">
        <f>_xlfn.XLOOKUP(tblGJ[[#This Row],[Account Code]],tblCOA[Code],tblCOA[Account Name],"⚠ Invalid account")</f>
        <v>Bank BCA - Current Account</v>
      </c>
      <c r="F755" s="1" t="s">
        <v>5960</v>
      </c>
      <c r="G755" s="5"/>
      <c r="H755" s="5">
        <f>IF(MONTH(tblGJ[[#This Row],[Date]])=1,_xlfn.XLOOKUP(2240,tblCOA[Code],tblCOA[Opening Balance]),SUMIFS(tblPurchases[WHT Amount],tblPurchases[Month],MONTH(tblGJ[[#This Row],[Date]])-1))</f>
        <v>1039820</v>
      </c>
      <c r="I755" s="1" t="s">
        <v>6528</v>
      </c>
      <c r="J755" s="1">
        <f>MONTH(tblGJ[[#This Row],[Date]])</f>
        <v>10</v>
      </c>
      <c r="K755" s="1" t="str">
        <f>_xlfn.XLOOKUP(tblGJ[[#This Row],[Account Code]],tblCOA[Code],tblCOA[FS Line],"")</f>
        <v>Cash and cash equivalents</v>
      </c>
      <c r="L755" s="121">
        <f>IF(OR(tblGJ[[#This Row],[Account Code]]=1120,tblGJ[[#This Row],[Account Code]]=1130),_xlfn.MINIFS(tblBank[Value Date],tblBank[Reference],tblGJ[[#This Row],[Voucher No]],tblBank[Account Code],tblGJ[[#This Row],[Account Code]]),"")</f>
        <v>46310</v>
      </c>
      <c r="M755" s="1" t="str">
        <f>IF(tblGJ[[#This Row],[Date]]&lt;=PEnd,"Yes","No")</f>
        <v>Yes</v>
      </c>
    </row>
    <row r="756" spans="2:13" x14ac:dyDescent="0.35">
      <c r="B756" s="109">
        <v>46310</v>
      </c>
      <c r="C756" s="1" t="s">
        <v>5889</v>
      </c>
      <c r="D756" s="1">
        <v>1520</v>
      </c>
      <c r="E756" s="1" t="str">
        <f>_xlfn.XLOOKUP(tblGJ[[#This Row],[Account Code]],tblCOA[Code],tblCOA[Account Name],"⚠ Invalid account")</f>
        <v>Prepaid Income Tax - Art. 25</v>
      </c>
      <c r="F756" s="1" t="s">
        <v>6393</v>
      </c>
      <c r="G756" s="5">
        <f>PPh25Inst</f>
        <v>20000000</v>
      </c>
      <c r="H756" s="5"/>
      <c r="I756" s="1" t="s">
        <v>6528</v>
      </c>
      <c r="J756" s="1">
        <f>MONTH(tblGJ[[#This Row],[Date]])</f>
        <v>10</v>
      </c>
      <c r="K756" s="1" t="str">
        <f>_xlfn.XLOOKUP(tblGJ[[#This Row],[Account Code]],tblCOA[Code],tblCOA[FS Line],"")</f>
        <v>Prepaid taxes</v>
      </c>
      <c r="L756" s="121" t="str">
        <f>IF(OR(tblGJ[[#This Row],[Account Code]]=1120,tblGJ[[#This Row],[Account Code]]=1130),_xlfn.MINIFS(tblBank[Value Date],tblBank[Reference],tblGJ[[#This Row],[Voucher No]],tblBank[Account Code],tblGJ[[#This Row],[Account Code]]),"")</f>
        <v/>
      </c>
      <c r="M756" s="1" t="str">
        <f>IF(tblGJ[[#This Row],[Date]]&lt;=PEnd,"Yes","No")</f>
        <v>Yes</v>
      </c>
    </row>
    <row r="757" spans="2:13" x14ac:dyDescent="0.35">
      <c r="B757" s="109">
        <v>46310</v>
      </c>
      <c r="C757" s="1" t="s">
        <v>5889</v>
      </c>
      <c r="D757" s="1">
        <v>1120</v>
      </c>
      <c r="E757" s="1" t="str">
        <f>_xlfn.XLOOKUP(tblGJ[[#This Row],[Account Code]],tblCOA[Code],tblCOA[Account Name],"⚠ Invalid account")</f>
        <v>Bank BCA - Current Account</v>
      </c>
      <c r="F757" s="1" t="s">
        <v>6393</v>
      </c>
      <c r="G757" s="5"/>
      <c r="H757" s="5">
        <f>PPh25Inst</f>
        <v>20000000</v>
      </c>
      <c r="I757" s="1" t="s">
        <v>6528</v>
      </c>
      <c r="J757" s="1">
        <f>MONTH(tblGJ[[#This Row],[Date]])</f>
        <v>10</v>
      </c>
      <c r="K757" s="1" t="str">
        <f>_xlfn.XLOOKUP(tblGJ[[#This Row],[Account Code]],tblCOA[Code],tblCOA[FS Line],"")</f>
        <v>Cash and cash equivalents</v>
      </c>
      <c r="L757" s="121">
        <f>IF(OR(tblGJ[[#This Row],[Account Code]]=1120,tblGJ[[#This Row],[Account Code]]=1130),_xlfn.MINIFS(tblBank[Value Date],tblBank[Reference],tblGJ[[#This Row],[Voucher No]],tblBank[Account Code],tblGJ[[#This Row],[Account Code]]),"")</f>
        <v>46310</v>
      </c>
      <c r="M757" s="1" t="str">
        <f>IF(tblGJ[[#This Row],[Date]]&lt;=PEnd,"Yes","No")</f>
        <v>Yes</v>
      </c>
    </row>
    <row r="758" spans="2:13" x14ac:dyDescent="0.35">
      <c r="B758" s="109">
        <v>46315</v>
      </c>
      <c r="C758" s="1" t="s">
        <v>5890</v>
      </c>
      <c r="D758" s="1">
        <v>1120</v>
      </c>
      <c r="E758" s="1" t="str">
        <f>_xlfn.XLOOKUP(tblGJ[[#This Row],[Account Code]],tblCOA[Code],tblCOA[Account Name],"⚠ Invalid account")</f>
        <v>Bank BCA - Current Account</v>
      </c>
      <c r="F758" s="1" t="s">
        <v>6394</v>
      </c>
      <c r="G758" s="5">
        <f>IF(MONTH(tblGJ[[#This Row],[Date]])=1,_xlfn.XLOOKUP(1210,tblCOA[Code],tblCOA[Opening Balance]),SUMIFS(tblSales[Total incl. VAT],tblSales[Month],MONTH(tblGJ[[#This Row],[Date]])-1,tblSales[Payment Method],Products!$O$15))</f>
        <v>852702000</v>
      </c>
      <c r="H758" s="5"/>
      <c r="I758" s="1" t="s">
        <v>6530</v>
      </c>
      <c r="J758" s="1">
        <f>MONTH(tblGJ[[#This Row],[Date]])</f>
        <v>10</v>
      </c>
      <c r="K758" s="1" t="str">
        <f>_xlfn.XLOOKUP(tblGJ[[#This Row],[Account Code]],tblCOA[Code],tblCOA[FS Line],"")</f>
        <v>Cash and cash equivalents</v>
      </c>
      <c r="L758" s="121">
        <f>IF(OR(tblGJ[[#This Row],[Account Code]]=1120,tblGJ[[#This Row],[Account Code]]=1130),_xlfn.MINIFS(tblBank[Value Date],tblBank[Reference],tblGJ[[#This Row],[Voucher No]],tblBank[Account Code],tblGJ[[#This Row],[Account Code]]),"")</f>
        <v>46315</v>
      </c>
      <c r="M758" s="1" t="str">
        <f>IF(tblGJ[[#This Row],[Date]]&lt;=PEnd,"Yes","No")</f>
        <v>Yes</v>
      </c>
    </row>
    <row r="759" spans="2:13" x14ac:dyDescent="0.35">
      <c r="B759" s="109">
        <v>46315</v>
      </c>
      <c r="C759" s="1" t="s">
        <v>5890</v>
      </c>
      <c r="D759" s="1">
        <v>1210</v>
      </c>
      <c r="E759" s="1" t="str">
        <f>_xlfn.XLOOKUP(tblGJ[[#This Row],[Account Code]],tblCOA[Code],tblCOA[Account Name],"⚠ Invalid account")</f>
        <v>Trade Receivables</v>
      </c>
      <c r="F759" s="1" t="s">
        <v>6395</v>
      </c>
      <c r="G759" s="5"/>
      <c r="H759" s="5">
        <f>IF(MONTH(tblGJ[[#This Row],[Date]])=1,_xlfn.XLOOKUP(1210,tblCOA[Code],tblCOA[Opening Balance]),SUMIFS(tblSales[Total incl. VAT],tblSales[Month],MONTH(tblGJ[[#This Row],[Date]])-1,tblSales[Payment Method],Products!$O$15))</f>
        <v>852702000</v>
      </c>
      <c r="I759" s="1" t="s">
        <v>6530</v>
      </c>
      <c r="J759" s="1">
        <f>MONTH(tblGJ[[#This Row],[Date]])</f>
        <v>10</v>
      </c>
      <c r="K759" s="1" t="str">
        <f>_xlfn.XLOOKUP(tblGJ[[#This Row],[Account Code]],tblCOA[Code],tblCOA[FS Line],"")</f>
        <v>Trade receivables - net</v>
      </c>
      <c r="L759" s="121" t="str">
        <f>IF(OR(tblGJ[[#This Row],[Account Code]]=1120,tblGJ[[#This Row],[Account Code]]=1130),_xlfn.MINIFS(tblBank[Value Date],tblBank[Reference],tblGJ[[#This Row],[Voucher No]],tblBank[Account Code],tblGJ[[#This Row],[Account Code]]),"")</f>
        <v/>
      </c>
      <c r="M759" s="1" t="str">
        <f>IF(tblGJ[[#This Row],[Date]]&lt;=PEnd,"Yes","No")</f>
        <v>Yes</v>
      </c>
    </row>
    <row r="760" spans="2:13" x14ac:dyDescent="0.35">
      <c r="B760" s="109">
        <v>46319</v>
      </c>
      <c r="C760" s="1" t="s">
        <v>5891</v>
      </c>
      <c r="D760" s="1">
        <v>1130</v>
      </c>
      <c r="E760" s="1" t="str">
        <f>_xlfn.XLOOKUP(tblGJ[[#This Row],[Account Code]],tblCOA[Code],tblCOA[Account Name],"⚠ Invalid account")</f>
        <v>Bank Mandiri - Current Account</v>
      </c>
      <c r="F760" s="1" t="s">
        <v>6396</v>
      </c>
      <c r="G760" s="5">
        <f>SUMIFS(tblPayroll[Net Pay],tblPayroll[Period],MONTH(tblGJ[[#This Row],[Date]]))</f>
        <v>161397799</v>
      </c>
      <c r="H760" s="5"/>
      <c r="I760" s="1" t="s">
        <v>6531</v>
      </c>
      <c r="J760" s="1">
        <f>MONTH(tblGJ[[#This Row],[Date]])</f>
        <v>10</v>
      </c>
      <c r="K760" s="1" t="str">
        <f>_xlfn.XLOOKUP(tblGJ[[#This Row],[Account Code]],tblCOA[Code],tblCOA[FS Line],"")</f>
        <v>Cash and cash equivalents</v>
      </c>
      <c r="L760" s="121">
        <f>IF(OR(tblGJ[[#This Row],[Account Code]]=1120,tblGJ[[#This Row],[Account Code]]=1130),_xlfn.MINIFS(tblBank[Value Date],tblBank[Reference],tblGJ[[#This Row],[Voucher No]],tblBank[Account Code],tblGJ[[#This Row],[Account Code]]),"")</f>
        <v>46319</v>
      </c>
      <c r="M760" s="1" t="str">
        <f>IF(tblGJ[[#This Row],[Date]]&lt;=PEnd,"Yes","No")</f>
        <v>Yes</v>
      </c>
    </row>
    <row r="761" spans="2:13" x14ac:dyDescent="0.35">
      <c r="B761" s="109">
        <v>46319</v>
      </c>
      <c r="C761" s="1" t="s">
        <v>5891</v>
      </c>
      <c r="D761" s="1">
        <v>1120</v>
      </c>
      <c r="E761" s="1" t="str">
        <f>_xlfn.XLOOKUP(tblGJ[[#This Row],[Account Code]],tblCOA[Code],tblCOA[Account Name],"⚠ Invalid account")</f>
        <v>Bank BCA - Current Account</v>
      </c>
      <c r="F761" s="1" t="s">
        <v>6397</v>
      </c>
      <c r="G761" s="5"/>
      <c r="H761" s="5">
        <f>SUMIFS(tblPayroll[Net Pay],tblPayroll[Period],MONTH(tblGJ[[#This Row],[Date]]))</f>
        <v>161397799</v>
      </c>
      <c r="I761" s="1" t="s">
        <v>6531</v>
      </c>
      <c r="J761" s="1">
        <f>MONTH(tblGJ[[#This Row],[Date]])</f>
        <v>10</v>
      </c>
      <c r="K761" s="1" t="str">
        <f>_xlfn.XLOOKUP(tblGJ[[#This Row],[Account Code]],tblCOA[Code],tblCOA[FS Line],"")</f>
        <v>Cash and cash equivalents</v>
      </c>
      <c r="L761" s="121">
        <f>IF(OR(tblGJ[[#This Row],[Account Code]]=1120,tblGJ[[#This Row],[Account Code]]=1130),_xlfn.MINIFS(tblBank[Value Date],tblBank[Reference],tblGJ[[#This Row],[Voucher No]],tblBank[Account Code],tblGJ[[#This Row],[Account Code]]),"")</f>
        <v>46319</v>
      </c>
      <c r="M761" s="1" t="str">
        <f>IF(tblGJ[[#This Row],[Date]]&lt;=PEnd,"Yes","No")</f>
        <v>Yes</v>
      </c>
    </row>
    <row r="762" spans="2:13" x14ac:dyDescent="0.35">
      <c r="B762" s="109">
        <v>46320</v>
      </c>
      <c r="C762" s="1" t="s">
        <v>5892</v>
      </c>
      <c r="D762" s="1">
        <v>6110</v>
      </c>
      <c r="E762" s="1" t="str">
        <f>_xlfn.XLOOKUP(tblGJ[[#This Row],[Account Code]],tblCOA[Code],tblCOA[Account Name],"⚠ Invalid account")</f>
        <v>Salaries &amp; Allowances - Selling</v>
      </c>
      <c r="F762" s="1" t="s">
        <v>6398</v>
      </c>
      <c r="G762" s="5">
        <f>SUMIFS(tblPayroll[Gross Salary],tblPayroll[Period],MONTH(tblGJ[[#This Row],[Date]]),tblPayroll[Department],"Selling")</f>
        <v>80200000</v>
      </c>
      <c r="H762" s="5"/>
      <c r="I762" s="1" t="s">
        <v>6531</v>
      </c>
      <c r="J762" s="1">
        <f>MONTH(tblGJ[[#This Row],[Date]])</f>
        <v>10</v>
      </c>
      <c r="K762" s="1" t="str">
        <f>_xlfn.XLOOKUP(tblGJ[[#This Row],[Account Code]],tblCOA[Code],tblCOA[FS Line],"")</f>
        <v>Selling expenses</v>
      </c>
      <c r="L762" s="121" t="str">
        <f>IF(OR(tblGJ[[#This Row],[Account Code]]=1120,tblGJ[[#This Row],[Account Code]]=1130),_xlfn.MINIFS(tblBank[Value Date],tblBank[Reference],tblGJ[[#This Row],[Voucher No]],tblBank[Account Code],tblGJ[[#This Row],[Account Code]]),"")</f>
        <v/>
      </c>
      <c r="M762" s="1" t="str">
        <f>IF(tblGJ[[#This Row],[Date]]&lt;=PEnd,"Yes","No")</f>
        <v>Yes</v>
      </c>
    </row>
    <row r="763" spans="2:13" x14ac:dyDescent="0.35">
      <c r="B763" s="109">
        <v>46320</v>
      </c>
      <c r="C763" s="1" t="s">
        <v>5892</v>
      </c>
      <c r="D763" s="1">
        <v>6111</v>
      </c>
      <c r="E763" s="1" t="str">
        <f>_xlfn.XLOOKUP(tblGJ[[#This Row],[Account Code]],tblCOA[Code],tblCOA[Account Name],"⚠ Invalid account")</f>
        <v>BPJS Employer Contributions - Selling</v>
      </c>
      <c r="F763" s="1" t="s">
        <v>6399</v>
      </c>
      <c r="G763" s="5">
        <f>SUMIFS(tblPayroll[Employer BPJS Total],tblPayroll[Period],MONTH(tblGJ[[#This Row],[Date]]),tblPayroll[Department],"Selling")</f>
        <v>7824376</v>
      </c>
      <c r="H763" s="5"/>
      <c r="I763" s="1" t="s">
        <v>6531</v>
      </c>
      <c r="J763" s="1">
        <f>MONTH(tblGJ[[#This Row],[Date]])</f>
        <v>10</v>
      </c>
      <c r="K763" s="1" t="str">
        <f>_xlfn.XLOOKUP(tblGJ[[#This Row],[Account Code]],tblCOA[Code],tblCOA[FS Line],"")</f>
        <v>Selling expenses</v>
      </c>
      <c r="L763" s="121" t="str">
        <f>IF(OR(tblGJ[[#This Row],[Account Code]]=1120,tblGJ[[#This Row],[Account Code]]=1130),_xlfn.MINIFS(tblBank[Value Date],tblBank[Reference],tblGJ[[#This Row],[Voucher No]],tblBank[Account Code],tblGJ[[#This Row],[Account Code]]),"")</f>
        <v/>
      </c>
      <c r="M763" s="1" t="str">
        <f>IF(tblGJ[[#This Row],[Date]]&lt;=PEnd,"Yes","No")</f>
        <v>Yes</v>
      </c>
    </row>
    <row r="764" spans="2:13" x14ac:dyDescent="0.35">
      <c r="B764" s="109">
        <v>46320</v>
      </c>
      <c r="C764" s="1" t="s">
        <v>5892</v>
      </c>
      <c r="D764" s="1">
        <v>6210</v>
      </c>
      <c r="E764" s="1" t="str">
        <f>_xlfn.XLOOKUP(tblGJ[[#This Row],[Account Code]],tblCOA[Code],tblCOA[Account Name],"⚠ Invalid account")</f>
        <v>Salaries &amp; Allowances - G&amp;A</v>
      </c>
      <c r="F764" s="1" t="s">
        <v>6400</v>
      </c>
      <c r="G764" s="5">
        <f>SUMIFS(tblPayroll[Gross Salary],tblPayroll[Period],MONTH(tblGJ[[#This Row],[Date]]),tblPayroll[Department],"G&amp;A")</f>
        <v>98000000</v>
      </c>
      <c r="H764" s="5"/>
      <c r="I764" s="1" t="s">
        <v>6531</v>
      </c>
      <c r="J764" s="1">
        <f>MONTH(tblGJ[[#This Row],[Date]])</f>
        <v>10</v>
      </c>
      <c r="K764" s="1" t="str">
        <f>_xlfn.XLOOKUP(tblGJ[[#This Row],[Account Code]],tblCOA[Code],tblCOA[FS Line],"")</f>
        <v>General &amp; administrative expenses</v>
      </c>
      <c r="L764" s="121" t="str">
        <f>IF(OR(tblGJ[[#This Row],[Account Code]]=1120,tblGJ[[#This Row],[Account Code]]=1130),_xlfn.MINIFS(tblBank[Value Date],tblBank[Reference],tblGJ[[#This Row],[Voucher No]],tblBank[Account Code],tblGJ[[#This Row],[Account Code]]),"")</f>
        <v/>
      </c>
      <c r="M764" s="1" t="str">
        <f>IF(tblGJ[[#This Row],[Date]]&lt;=PEnd,"Yes","No")</f>
        <v>Yes</v>
      </c>
    </row>
    <row r="765" spans="2:13" x14ac:dyDescent="0.35">
      <c r="B765" s="109">
        <v>46320</v>
      </c>
      <c r="C765" s="1" t="s">
        <v>5892</v>
      </c>
      <c r="D765" s="1">
        <v>6211</v>
      </c>
      <c r="E765" s="1" t="str">
        <f>_xlfn.XLOOKUP(tblGJ[[#This Row],[Account Code]],tblCOA[Code],tblCOA[Account Name],"⚠ Invalid account")</f>
        <v>BPJS Employer Contributions - G&amp;A</v>
      </c>
      <c r="F765" s="1" t="s">
        <v>6401</v>
      </c>
      <c r="G765" s="5">
        <f>SUMIFS(tblPayroll[Employer BPJS Total],tblPayroll[Period],MONTH(tblGJ[[#This Row],[Date]]),tblPayroll[Department],"G&amp;A")</f>
        <v>7968044</v>
      </c>
      <c r="H765" s="5"/>
      <c r="I765" s="1" t="s">
        <v>6531</v>
      </c>
      <c r="J765" s="1">
        <f>MONTH(tblGJ[[#This Row],[Date]])</f>
        <v>10</v>
      </c>
      <c r="K765" s="1" t="str">
        <f>_xlfn.XLOOKUP(tblGJ[[#This Row],[Account Code]],tblCOA[Code],tblCOA[FS Line],"")</f>
        <v>General &amp; administrative expenses</v>
      </c>
      <c r="L765" s="121" t="str">
        <f>IF(OR(tblGJ[[#This Row],[Account Code]]=1120,tblGJ[[#This Row],[Account Code]]=1130),_xlfn.MINIFS(tblBank[Value Date],tblBank[Reference],tblGJ[[#This Row],[Voucher No]],tblBank[Account Code],tblGJ[[#This Row],[Account Code]]),"")</f>
        <v/>
      </c>
      <c r="M765" s="1" t="str">
        <f>IF(tblGJ[[#This Row],[Date]]&lt;=PEnd,"Yes","No")</f>
        <v>Yes</v>
      </c>
    </row>
    <row r="766" spans="2:13" x14ac:dyDescent="0.35">
      <c r="B766" s="109">
        <v>46320</v>
      </c>
      <c r="C766" s="1" t="s">
        <v>5892</v>
      </c>
      <c r="D766" s="1">
        <v>2230</v>
      </c>
      <c r="E766" s="1" t="str">
        <f>_xlfn.XLOOKUP(tblGJ[[#This Row],[Account Code]],tblCOA[Code],tblCOA[Account Name],"⚠ Invalid account")</f>
        <v>WHT Payable - Art. 21</v>
      </c>
      <c r="F766" s="1" t="s">
        <v>6402</v>
      </c>
      <c r="G766" s="5"/>
      <c r="H766" s="5">
        <f>SUMIFS(tblPayroll[PPh 21],tblPayroll[Period],MONTH(tblGJ[[#This Row],[Date]]))</f>
        <v>10516831</v>
      </c>
      <c r="I766" s="1" t="s">
        <v>6531</v>
      </c>
      <c r="J766" s="1">
        <f>MONTH(tblGJ[[#This Row],[Date]])</f>
        <v>10</v>
      </c>
      <c r="K766" s="1" t="str">
        <f>_xlfn.XLOOKUP(tblGJ[[#This Row],[Account Code]],tblCOA[Code],tblCOA[FS Line],"")</f>
        <v>Taxes payable</v>
      </c>
      <c r="L766" s="121" t="str">
        <f>IF(OR(tblGJ[[#This Row],[Account Code]]=1120,tblGJ[[#This Row],[Account Code]]=1130),_xlfn.MINIFS(tblBank[Value Date],tblBank[Reference],tblGJ[[#This Row],[Voucher No]],tblBank[Account Code],tblGJ[[#This Row],[Account Code]]),"")</f>
        <v/>
      </c>
      <c r="M766" s="1" t="str">
        <f>IF(tblGJ[[#This Row],[Date]]&lt;=PEnd,"Yes","No")</f>
        <v>Yes</v>
      </c>
    </row>
    <row r="767" spans="2:13" x14ac:dyDescent="0.35">
      <c r="B767" s="109">
        <v>46320</v>
      </c>
      <c r="C767" s="1" t="s">
        <v>5892</v>
      </c>
      <c r="D767" s="1">
        <v>2150</v>
      </c>
      <c r="E767" s="1" t="str">
        <f>_xlfn.XLOOKUP(tblGJ[[#This Row],[Account Code]],tblCOA[Code],tblCOA[Account Name],"⚠ Invalid account")</f>
        <v>BPJS Payable</v>
      </c>
      <c r="F767" s="1" t="s">
        <v>6403</v>
      </c>
      <c r="G767" s="5"/>
      <c r="H767" s="5">
        <f>SUMIFS(tblPayroll[BPJS Payable],tblPayroll[Period],MONTH(tblGJ[[#This Row],[Date]]))</f>
        <v>22077790</v>
      </c>
      <c r="I767" s="1" t="s">
        <v>6531</v>
      </c>
      <c r="J767" s="1">
        <f>MONTH(tblGJ[[#This Row],[Date]])</f>
        <v>10</v>
      </c>
      <c r="K767" s="1" t="str">
        <f>_xlfn.XLOOKUP(tblGJ[[#This Row],[Account Code]],tblCOA[Code],tblCOA[FS Line],"")</f>
        <v>Accrued expenses</v>
      </c>
      <c r="L767" s="121" t="str">
        <f>IF(OR(tblGJ[[#This Row],[Account Code]]=1120,tblGJ[[#This Row],[Account Code]]=1130),_xlfn.MINIFS(tblBank[Value Date],tblBank[Reference],tblGJ[[#This Row],[Voucher No]],tblBank[Account Code],tblGJ[[#This Row],[Account Code]]),"")</f>
        <v/>
      </c>
      <c r="M767" s="1" t="str">
        <f>IF(tblGJ[[#This Row],[Date]]&lt;=PEnd,"Yes","No")</f>
        <v>Yes</v>
      </c>
    </row>
    <row r="768" spans="2:13" x14ac:dyDescent="0.35">
      <c r="B768" s="109">
        <v>46320</v>
      </c>
      <c r="C768" s="1" t="s">
        <v>5892</v>
      </c>
      <c r="D768" s="1">
        <v>1130</v>
      </c>
      <c r="E768" s="1" t="str">
        <f>_xlfn.XLOOKUP(tblGJ[[#This Row],[Account Code]],tblCOA[Code],tblCOA[Account Name],"⚠ Invalid account")</f>
        <v>Bank Mandiri - Current Account</v>
      </c>
      <c r="F768" s="1" t="s">
        <v>6404</v>
      </c>
      <c r="G768" s="5"/>
      <c r="H768" s="5">
        <f>SUMIFS(tblPayroll[Net Pay],tblPayroll[Period],MONTH(tblGJ[[#This Row],[Date]]))</f>
        <v>161397799</v>
      </c>
      <c r="I768" s="1" t="s">
        <v>6531</v>
      </c>
      <c r="J768" s="1">
        <f>MONTH(tblGJ[[#This Row],[Date]])</f>
        <v>10</v>
      </c>
      <c r="K768" s="1" t="str">
        <f>_xlfn.XLOOKUP(tblGJ[[#This Row],[Account Code]],tblCOA[Code],tblCOA[FS Line],"")</f>
        <v>Cash and cash equivalents</v>
      </c>
      <c r="L768" s="121">
        <f>IF(OR(tblGJ[[#This Row],[Account Code]]=1120,tblGJ[[#This Row],[Account Code]]=1130),_xlfn.MINIFS(tblBank[Value Date],tblBank[Reference],tblGJ[[#This Row],[Voucher No]],tblBank[Account Code],tblGJ[[#This Row],[Account Code]]),"")</f>
        <v>46320</v>
      </c>
      <c r="M768" s="1" t="str">
        <f>IF(tblGJ[[#This Row],[Date]]&lt;=PEnd,"Yes","No")</f>
        <v>Yes</v>
      </c>
    </row>
    <row r="769" spans="2:13" x14ac:dyDescent="0.35">
      <c r="B769" s="109">
        <v>46323</v>
      </c>
      <c r="C769" s="1" t="s">
        <v>5893</v>
      </c>
      <c r="D769" s="1">
        <v>2220</v>
      </c>
      <c r="E769" s="1" t="str">
        <f>_xlfn.XLOOKUP(tblGJ[[#This Row],[Account Code]],tblCOA[Code],tblCOA[Account Name],"⚠ Invalid account")</f>
        <v>VAT Payable - Net</v>
      </c>
      <c r="F769" s="1" t="s">
        <v>5974</v>
      </c>
      <c r="G769" s="5">
        <f>IF(MONTH(tblGJ[[#This Row],[Date]])=1,_xlfn.XLOOKUP(2220,tblCOA[Code],tblCOA[Opening Balance]),SUMIFS(tblSales[Output VAT],tblSales[Month],MONTH(tblGJ[[#This Row],[Date]])-1)-SUMIFS(tblPurchases[Input VAT],tblPurchases[Month],MONTH(tblGJ[[#This Row],[Date]])-1))</f>
        <v>49824500</v>
      </c>
      <c r="H769" s="5"/>
      <c r="I769" s="1" t="s">
        <v>6528</v>
      </c>
      <c r="J769" s="1">
        <f>MONTH(tblGJ[[#This Row],[Date]])</f>
        <v>10</v>
      </c>
      <c r="K769" s="1" t="str">
        <f>_xlfn.XLOOKUP(tblGJ[[#This Row],[Account Code]],tblCOA[Code],tblCOA[FS Line],"")</f>
        <v>Taxes payable</v>
      </c>
      <c r="L769" s="121" t="str">
        <f>IF(OR(tblGJ[[#This Row],[Account Code]]=1120,tblGJ[[#This Row],[Account Code]]=1130),_xlfn.MINIFS(tblBank[Value Date],tblBank[Reference],tblGJ[[#This Row],[Voucher No]],tblBank[Account Code],tblGJ[[#This Row],[Account Code]]),"")</f>
        <v/>
      </c>
      <c r="M769" s="1" t="str">
        <f>IF(tblGJ[[#This Row],[Date]]&lt;=PEnd,"Yes","No")</f>
        <v>Yes</v>
      </c>
    </row>
    <row r="770" spans="2:13" x14ac:dyDescent="0.35">
      <c r="B770" s="109">
        <v>46323</v>
      </c>
      <c r="C770" s="1" t="s">
        <v>5893</v>
      </c>
      <c r="D770" s="1">
        <v>1120</v>
      </c>
      <c r="E770" s="1" t="str">
        <f>_xlfn.XLOOKUP(tblGJ[[#This Row],[Account Code]],tblCOA[Code],tblCOA[Account Name],"⚠ Invalid account")</f>
        <v>Bank BCA - Current Account</v>
      </c>
      <c r="F770" s="1" t="s">
        <v>5974</v>
      </c>
      <c r="G770" s="5"/>
      <c r="H770" s="5">
        <f>IF(MONTH(tblGJ[[#This Row],[Date]])=1,_xlfn.XLOOKUP(2220,tblCOA[Code],tblCOA[Opening Balance]),SUMIFS(tblSales[Output VAT],tblSales[Month],MONTH(tblGJ[[#This Row],[Date]])-1)-SUMIFS(tblPurchases[Input VAT],tblPurchases[Month],MONTH(tblGJ[[#This Row],[Date]])-1))</f>
        <v>49824500</v>
      </c>
      <c r="I770" s="1" t="s">
        <v>6528</v>
      </c>
      <c r="J770" s="1">
        <f>MONTH(tblGJ[[#This Row],[Date]])</f>
        <v>10</v>
      </c>
      <c r="K770" s="1" t="str">
        <f>_xlfn.XLOOKUP(tblGJ[[#This Row],[Account Code]],tblCOA[Code],tblCOA[FS Line],"")</f>
        <v>Cash and cash equivalents</v>
      </c>
      <c r="L770" s="121">
        <f>IF(OR(tblGJ[[#This Row],[Account Code]]=1120,tblGJ[[#This Row],[Account Code]]=1130),_xlfn.MINIFS(tblBank[Value Date],tblBank[Reference],tblGJ[[#This Row],[Voucher No]],tblBank[Account Code],tblGJ[[#This Row],[Account Code]]),"")</f>
        <v>46323</v>
      </c>
      <c r="M770" s="1" t="str">
        <f>IF(tblGJ[[#This Row],[Date]]&lt;=PEnd,"Yes","No")</f>
        <v>Yes</v>
      </c>
    </row>
    <row r="771" spans="2:13" x14ac:dyDescent="0.35">
      <c r="B771" s="109">
        <v>46323</v>
      </c>
      <c r="C771" s="1" t="s">
        <v>5894</v>
      </c>
      <c r="D771" s="1">
        <v>2410</v>
      </c>
      <c r="E771" s="1" t="str">
        <f>_xlfn.XLOOKUP(tblGJ[[#This Row],[Account Code]],tblCOA[Code],tblCOA[Account Name],"⚠ Invalid account")</f>
        <v>Long-term Bank Loan</v>
      </c>
      <c r="F771" s="1" t="s">
        <v>6405</v>
      </c>
      <c r="G771" s="5">
        <v>25000000</v>
      </c>
      <c r="H771" s="5"/>
      <c r="I771" s="1" t="s">
        <v>4263</v>
      </c>
      <c r="J771" s="1">
        <f>MONTH(tblGJ[[#This Row],[Date]])</f>
        <v>10</v>
      </c>
      <c r="K771" s="1" t="str">
        <f>_xlfn.XLOOKUP(tblGJ[[#This Row],[Account Code]],tblCOA[Code],tblCOA[FS Line],"")</f>
        <v>Long-term bank loans</v>
      </c>
      <c r="L771" s="121" t="str">
        <f>IF(OR(tblGJ[[#This Row],[Account Code]]=1120,tblGJ[[#This Row],[Account Code]]=1130),_xlfn.MINIFS(tblBank[Value Date],tblBank[Reference],tblGJ[[#This Row],[Voucher No]],tblBank[Account Code],tblGJ[[#This Row],[Account Code]]),"")</f>
        <v/>
      </c>
      <c r="M771" s="1" t="str">
        <f>IF(tblGJ[[#This Row],[Date]]&lt;=PEnd,"Yes","No")</f>
        <v>Yes</v>
      </c>
    </row>
    <row r="772" spans="2:13" x14ac:dyDescent="0.35">
      <c r="B772" s="109">
        <v>46323</v>
      </c>
      <c r="C772" s="1" t="s">
        <v>5894</v>
      </c>
      <c r="D772" s="1">
        <v>7210</v>
      </c>
      <c r="E772" s="1" t="str">
        <f>_xlfn.XLOOKUP(tblGJ[[#This Row],[Account Code]],tblCOA[Code],tblCOA[Account Name],"⚠ Invalid account")</f>
        <v>Interest Expense - Bank Loans</v>
      </c>
      <c r="F772" s="1" t="s">
        <v>6406</v>
      </c>
      <c r="G772" s="5">
        <v>9562500</v>
      </c>
      <c r="H772" s="5"/>
      <c r="I772" s="1" t="s">
        <v>4263</v>
      </c>
      <c r="J772" s="1">
        <f>MONTH(tblGJ[[#This Row],[Date]])</f>
        <v>10</v>
      </c>
      <c r="K772" s="1" t="str">
        <f>_xlfn.XLOOKUP(tblGJ[[#This Row],[Account Code]],tblCOA[Code],tblCOA[FS Line],"")</f>
        <v>Finance costs</v>
      </c>
      <c r="L772" s="121" t="str">
        <f>IF(OR(tblGJ[[#This Row],[Account Code]]=1120,tblGJ[[#This Row],[Account Code]]=1130),_xlfn.MINIFS(tblBank[Value Date],tblBank[Reference],tblGJ[[#This Row],[Voucher No]],tblBank[Account Code],tblGJ[[#This Row],[Account Code]]),"")</f>
        <v/>
      </c>
      <c r="M772" s="1" t="str">
        <f>IF(tblGJ[[#This Row],[Date]]&lt;=PEnd,"Yes","No")</f>
        <v>Yes</v>
      </c>
    </row>
    <row r="773" spans="2:13" x14ac:dyDescent="0.35">
      <c r="B773" s="109">
        <v>46323</v>
      </c>
      <c r="C773" s="1" t="s">
        <v>5894</v>
      </c>
      <c r="D773" s="1">
        <v>1120</v>
      </c>
      <c r="E773" s="1" t="str">
        <f>_xlfn.XLOOKUP(tblGJ[[#This Row],[Account Code]],tblCOA[Code],tblCOA[Account Name],"⚠ Invalid account")</f>
        <v>Bank BCA - Current Account</v>
      </c>
      <c r="F773" s="1" t="s">
        <v>6407</v>
      </c>
      <c r="G773" s="5"/>
      <c r="H773" s="5">
        <v>34562500</v>
      </c>
      <c r="I773" s="1" t="s">
        <v>4263</v>
      </c>
      <c r="J773" s="1">
        <f>MONTH(tblGJ[[#This Row],[Date]])</f>
        <v>10</v>
      </c>
      <c r="K773" s="1" t="str">
        <f>_xlfn.XLOOKUP(tblGJ[[#This Row],[Account Code]],tblCOA[Code],tblCOA[FS Line],"")</f>
        <v>Cash and cash equivalents</v>
      </c>
      <c r="L773" s="121">
        <f>IF(OR(tblGJ[[#This Row],[Account Code]]=1120,tblGJ[[#This Row],[Account Code]]=1130),_xlfn.MINIFS(tblBank[Value Date],tblBank[Reference],tblGJ[[#This Row],[Voucher No]],tblBank[Account Code],tblGJ[[#This Row],[Account Code]]),"")</f>
        <v>46323</v>
      </c>
      <c r="M773" s="1" t="str">
        <f>IF(tblGJ[[#This Row],[Date]]&lt;=PEnd,"Yes","No")</f>
        <v>Yes</v>
      </c>
    </row>
    <row r="774" spans="2:13" x14ac:dyDescent="0.35">
      <c r="B774" s="109">
        <v>46325</v>
      </c>
      <c r="C774" s="1" t="s">
        <v>5895</v>
      </c>
      <c r="D774" s="1">
        <v>2110</v>
      </c>
      <c r="E774" s="1" t="str">
        <f>_xlfn.XLOOKUP(tblGJ[[#This Row],[Account Code]],tblCOA[Code],tblCOA[Account Name],"⚠ Invalid account")</f>
        <v>Trade Payables</v>
      </c>
      <c r="F774" s="1" t="s">
        <v>6408</v>
      </c>
      <c r="G774" s="5">
        <f>SUMIFS(tblPurchases[Total Payable],tblPurchases[Pay Month],MONTH(tblGJ[[#This Row],[Date]]),tblPurchases[Paid From],1120)</f>
        <v>791159030</v>
      </c>
      <c r="H774" s="5"/>
      <c r="I774" s="1" t="s">
        <v>6529</v>
      </c>
      <c r="J774" s="1">
        <f>MONTH(tblGJ[[#This Row],[Date]])</f>
        <v>10</v>
      </c>
      <c r="K774" s="1" t="str">
        <f>_xlfn.XLOOKUP(tblGJ[[#This Row],[Account Code]],tblCOA[Code],tblCOA[FS Line],"")</f>
        <v>Trade payables</v>
      </c>
      <c r="L774" s="121" t="str">
        <f>IF(OR(tblGJ[[#This Row],[Account Code]]=1120,tblGJ[[#This Row],[Account Code]]=1130),_xlfn.MINIFS(tblBank[Value Date],tblBank[Reference],tblGJ[[#This Row],[Voucher No]],tblBank[Account Code],tblGJ[[#This Row],[Account Code]]),"")</f>
        <v/>
      </c>
      <c r="M774" s="1" t="str">
        <f>IF(tblGJ[[#This Row],[Date]]&lt;=PEnd,"Yes","No")</f>
        <v>Yes</v>
      </c>
    </row>
    <row r="775" spans="2:13" x14ac:dyDescent="0.35">
      <c r="B775" s="109">
        <v>46325</v>
      </c>
      <c r="C775" s="1" t="s">
        <v>5895</v>
      </c>
      <c r="D775" s="1">
        <v>1120</v>
      </c>
      <c r="E775" s="1" t="str">
        <f>_xlfn.XLOOKUP(tblGJ[[#This Row],[Account Code]],tblCOA[Code],tblCOA[Account Name],"⚠ Invalid account")</f>
        <v>Bank BCA - Current Account</v>
      </c>
      <c r="F775" s="1" t="s">
        <v>6408</v>
      </c>
      <c r="G775" s="5"/>
      <c r="H775" s="5">
        <f>SUMIFS(tblPurchases[Total Payable],tblPurchases[Pay Month],MONTH(tblGJ[[#This Row],[Date]]),tblPurchases[Paid From],1120)</f>
        <v>791159030</v>
      </c>
      <c r="I775" s="1" t="s">
        <v>6529</v>
      </c>
      <c r="J775" s="1">
        <f>MONTH(tblGJ[[#This Row],[Date]])</f>
        <v>10</v>
      </c>
      <c r="K775" s="1" t="str">
        <f>_xlfn.XLOOKUP(tblGJ[[#This Row],[Account Code]],tblCOA[Code],tblCOA[FS Line],"")</f>
        <v>Cash and cash equivalents</v>
      </c>
      <c r="L775" s="121">
        <f>IF(OR(tblGJ[[#This Row],[Account Code]]=1120,tblGJ[[#This Row],[Account Code]]=1130),_xlfn.MINIFS(tblBank[Value Date],tblBank[Reference],tblGJ[[#This Row],[Voucher No]],tblBank[Account Code],tblGJ[[#This Row],[Account Code]]),"")</f>
        <v>46328</v>
      </c>
      <c r="M775" s="1" t="str">
        <f>IF(tblGJ[[#This Row],[Date]]&lt;=PEnd,"Yes","No")</f>
        <v>Yes</v>
      </c>
    </row>
    <row r="776" spans="2:13" x14ac:dyDescent="0.35">
      <c r="B776" s="109">
        <v>46326</v>
      </c>
      <c r="C776" s="1" t="s">
        <v>5896</v>
      </c>
      <c r="D776" s="1">
        <v>1110</v>
      </c>
      <c r="E776" s="1" t="str">
        <f>_xlfn.XLOOKUP(tblGJ[[#This Row],[Account Code]],tblCOA[Code],tblCOA[Account Name],"⚠ Invalid account")</f>
        <v>Cash on Hand</v>
      </c>
      <c r="F776" s="1" t="s">
        <v>6409</v>
      </c>
      <c r="G776" s="5">
        <f>SUMIFS(tblSales[Total incl. VAT],tblSales[Month],MONTH(tblGJ[[#This Row],[Date]]),tblSales[Payment Method],Products!$O$13)</f>
        <v>123076800</v>
      </c>
      <c r="H776" s="5"/>
      <c r="I776" s="1" t="s">
        <v>6532</v>
      </c>
      <c r="J776" s="1">
        <f>MONTH(tblGJ[[#This Row],[Date]])</f>
        <v>10</v>
      </c>
      <c r="K776" s="1" t="str">
        <f>_xlfn.XLOOKUP(tblGJ[[#This Row],[Account Code]],tblCOA[Code],tblCOA[FS Line],"")</f>
        <v>Cash and cash equivalents</v>
      </c>
      <c r="L776" s="121" t="str">
        <f>IF(OR(tblGJ[[#This Row],[Account Code]]=1120,tblGJ[[#This Row],[Account Code]]=1130),_xlfn.MINIFS(tblBank[Value Date],tblBank[Reference],tblGJ[[#This Row],[Voucher No]],tblBank[Account Code],tblGJ[[#This Row],[Account Code]]),"")</f>
        <v/>
      </c>
      <c r="M776" s="1" t="str">
        <f>IF(tblGJ[[#This Row],[Date]]&lt;=PEnd,"Yes","No")</f>
        <v>Yes</v>
      </c>
    </row>
    <row r="777" spans="2:13" x14ac:dyDescent="0.35">
      <c r="B777" s="109">
        <v>46326</v>
      </c>
      <c r="C777" s="1" t="s">
        <v>5896</v>
      </c>
      <c r="D777" s="1">
        <v>1120</v>
      </c>
      <c r="E777" s="1" t="str">
        <f>_xlfn.XLOOKUP(tblGJ[[#This Row],[Account Code]],tblCOA[Code],tblCOA[Account Name],"⚠ Invalid account")</f>
        <v>Bank BCA - Current Account</v>
      </c>
      <c r="F777" s="1" t="s">
        <v>6410</v>
      </c>
      <c r="G777" s="5">
        <f>SUMIFS(tblSales[Total incl. VAT],tblSales[Month],MONTH(tblGJ[[#This Row],[Date]]),tblSales[Payment Method],Products!$O$14)</f>
        <v>211355100</v>
      </c>
      <c r="H777" s="5"/>
      <c r="I777" s="1" t="s">
        <v>6532</v>
      </c>
      <c r="J777" s="1">
        <f>MONTH(tblGJ[[#This Row],[Date]])</f>
        <v>10</v>
      </c>
      <c r="K777" s="1" t="str">
        <f>_xlfn.XLOOKUP(tblGJ[[#This Row],[Account Code]],tblCOA[Code],tblCOA[FS Line],"")</f>
        <v>Cash and cash equivalents</v>
      </c>
      <c r="L777" s="121">
        <f>IF(OR(tblGJ[[#This Row],[Account Code]]=1120,tblGJ[[#This Row],[Account Code]]=1130),_xlfn.MINIFS(tblBank[Value Date],tblBank[Reference],tblGJ[[#This Row],[Voucher No]],tblBank[Account Code],tblGJ[[#This Row],[Account Code]]),"")</f>
        <v>46327</v>
      </c>
      <c r="M777" s="1" t="str">
        <f>IF(tblGJ[[#This Row],[Date]]&lt;=PEnd,"Yes","No")</f>
        <v>Yes</v>
      </c>
    </row>
    <row r="778" spans="2:13" x14ac:dyDescent="0.35">
      <c r="B778" s="109">
        <v>46326</v>
      </c>
      <c r="C778" s="1" t="s">
        <v>5896</v>
      </c>
      <c r="D778" s="1">
        <v>1210</v>
      </c>
      <c r="E778" s="1" t="str">
        <f>_xlfn.XLOOKUP(tblGJ[[#This Row],[Account Code]],tblCOA[Code],tblCOA[Account Name],"⚠ Invalid account")</f>
        <v>Trade Receivables</v>
      </c>
      <c r="F778" s="1" t="s">
        <v>6411</v>
      </c>
      <c r="G778" s="5">
        <f>SUMIFS(tblSales[Total incl. VAT],tblSales[Month],MONTH(tblGJ[[#This Row],[Date]]),tblSales[Payment Method],Products!$O$15)</f>
        <v>1057341600</v>
      </c>
      <c r="H778" s="5"/>
      <c r="I778" s="1" t="s">
        <v>6532</v>
      </c>
      <c r="J778" s="1">
        <f>MONTH(tblGJ[[#This Row],[Date]])</f>
        <v>10</v>
      </c>
      <c r="K778" s="1" t="str">
        <f>_xlfn.XLOOKUP(tblGJ[[#This Row],[Account Code]],tblCOA[Code],tblCOA[FS Line],"")</f>
        <v>Trade receivables - net</v>
      </c>
      <c r="L778" s="121" t="str">
        <f>IF(OR(tblGJ[[#This Row],[Account Code]]=1120,tblGJ[[#This Row],[Account Code]]=1130),_xlfn.MINIFS(tblBank[Value Date],tblBank[Reference],tblGJ[[#This Row],[Voucher No]],tblBank[Account Code],tblGJ[[#This Row],[Account Code]]),"")</f>
        <v/>
      </c>
      <c r="M778" s="1" t="str">
        <f>IF(tblGJ[[#This Row],[Date]]&lt;=PEnd,"Yes","No")</f>
        <v>Yes</v>
      </c>
    </row>
    <row r="779" spans="2:13" x14ac:dyDescent="0.35">
      <c r="B779" s="109">
        <v>46326</v>
      </c>
      <c r="C779" s="1" t="s">
        <v>5896</v>
      </c>
      <c r="D779" s="1">
        <v>4100</v>
      </c>
      <c r="E779" s="1" t="str">
        <f>_xlfn.XLOOKUP(tblGJ[[#This Row],[Account Code]],tblCOA[Code],tblCOA[Account Name],"⚠ Invalid account")</f>
        <v>Sales of goods</v>
      </c>
      <c r="F779" s="1" t="s">
        <v>6412</v>
      </c>
      <c r="G779" s="5"/>
      <c r="H779" s="5">
        <f>SUMIFS(tblSales[DPP (excl. VAT)],tblSales[Month],MONTH(tblGJ[[#This Row],[Date]]))</f>
        <v>1253850000</v>
      </c>
      <c r="I779" s="1" t="s">
        <v>6532</v>
      </c>
      <c r="J779" s="1">
        <f>MONTH(tblGJ[[#This Row],[Date]])</f>
        <v>10</v>
      </c>
      <c r="K779" s="1" t="str">
        <f>_xlfn.XLOOKUP(tblGJ[[#This Row],[Account Code]],tblCOA[Code],tblCOA[FS Line],"")</f>
        <v>Revenue</v>
      </c>
      <c r="L779" s="121" t="str">
        <f>IF(OR(tblGJ[[#This Row],[Account Code]]=1120,tblGJ[[#This Row],[Account Code]]=1130),_xlfn.MINIFS(tblBank[Value Date],tblBank[Reference],tblGJ[[#This Row],[Voucher No]],tblBank[Account Code],tblGJ[[#This Row],[Account Code]]),"")</f>
        <v/>
      </c>
      <c r="M779" s="1" t="str">
        <f>IF(tblGJ[[#This Row],[Date]]&lt;=PEnd,"Yes","No")</f>
        <v>Yes</v>
      </c>
    </row>
    <row r="780" spans="2:13" x14ac:dyDescent="0.35">
      <c r="B780" s="109">
        <v>46326</v>
      </c>
      <c r="C780" s="1" t="s">
        <v>5896</v>
      </c>
      <c r="D780" s="1">
        <v>2210</v>
      </c>
      <c r="E780" s="1" t="str">
        <f>_xlfn.XLOOKUP(tblGJ[[#This Row],[Account Code]],tblCOA[Code],tblCOA[Account Name],"⚠ Invalid account")</f>
        <v>Output VAT (PPN Keluaran)</v>
      </c>
      <c r="F780" s="1" t="s">
        <v>6413</v>
      </c>
      <c r="G780" s="5"/>
      <c r="H780" s="5">
        <f>SUMIFS(tblSales[Output VAT],tblSales[Month],MONTH(tblGJ[[#This Row],[Date]]))</f>
        <v>137923500</v>
      </c>
      <c r="I780" s="1" t="s">
        <v>6532</v>
      </c>
      <c r="J780" s="1">
        <f>MONTH(tblGJ[[#This Row],[Date]])</f>
        <v>10</v>
      </c>
      <c r="K780" s="1" t="str">
        <f>_xlfn.XLOOKUP(tblGJ[[#This Row],[Account Code]],tblCOA[Code],tblCOA[FS Line],"")</f>
        <v>Taxes payable</v>
      </c>
      <c r="L780" s="121" t="str">
        <f>IF(OR(tblGJ[[#This Row],[Account Code]]=1120,tblGJ[[#This Row],[Account Code]]=1130),_xlfn.MINIFS(tblBank[Value Date],tblBank[Reference],tblGJ[[#This Row],[Voucher No]],tblBank[Account Code],tblGJ[[#This Row],[Account Code]]),"")</f>
        <v/>
      </c>
      <c r="M780" s="1" t="str">
        <f>IF(tblGJ[[#This Row],[Date]]&lt;=PEnd,"Yes","No")</f>
        <v>Yes</v>
      </c>
    </row>
    <row r="781" spans="2:13" x14ac:dyDescent="0.35">
      <c r="B781" s="109">
        <v>46326</v>
      </c>
      <c r="C781" s="1" t="s">
        <v>5897</v>
      </c>
      <c r="D781" s="1">
        <v>5100</v>
      </c>
      <c r="E781" s="1" t="str">
        <f>_xlfn.XLOOKUP(tblGJ[[#This Row],[Account Code]],tblCOA[Code],tblCOA[Account Name],"⚠ Invalid account")</f>
        <v>Cost of goods sold</v>
      </c>
      <c r="F781" s="1" t="s">
        <v>6414</v>
      </c>
      <c r="G781" s="5">
        <f>SUMIFS(tblSales[COGS],tblSales[Month],MONTH(tblGJ[[#This Row],[Date]]))</f>
        <v>756860000</v>
      </c>
      <c r="H781" s="5"/>
      <c r="I781" s="1" t="s">
        <v>6532</v>
      </c>
      <c r="J781" s="1">
        <f>MONTH(tblGJ[[#This Row],[Date]])</f>
        <v>10</v>
      </c>
      <c r="K781" s="1" t="str">
        <f>_xlfn.XLOOKUP(tblGJ[[#This Row],[Account Code]],tblCOA[Code],tblCOA[FS Line],"")</f>
        <v>Cost of revenue</v>
      </c>
      <c r="L781" s="121" t="str">
        <f>IF(OR(tblGJ[[#This Row],[Account Code]]=1120,tblGJ[[#This Row],[Account Code]]=1130),_xlfn.MINIFS(tblBank[Value Date],tblBank[Reference],tblGJ[[#This Row],[Voucher No]],tblBank[Account Code],tblGJ[[#This Row],[Account Code]]),"")</f>
        <v/>
      </c>
      <c r="M781" s="1" t="str">
        <f>IF(tblGJ[[#This Row],[Date]]&lt;=PEnd,"Yes","No")</f>
        <v>Yes</v>
      </c>
    </row>
    <row r="782" spans="2:13" x14ac:dyDescent="0.35">
      <c r="B782" s="109">
        <v>46326</v>
      </c>
      <c r="C782" s="1" t="s">
        <v>5897</v>
      </c>
      <c r="D782" s="1">
        <v>1310</v>
      </c>
      <c r="E782" s="1" t="str">
        <f>_xlfn.XLOOKUP(tblGJ[[#This Row],[Account Code]],tblCOA[Code],tblCOA[Account Name],"⚠ Invalid account")</f>
        <v>Merchandise inventory</v>
      </c>
      <c r="F782" s="1" t="s">
        <v>6415</v>
      </c>
      <c r="G782" s="5"/>
      <c r="H782" s="5">
        <f>SUMIFS(tblSales[COGS],tblSales[Month],MONTH(tblGJ[[#This Row],[Date]]))</f>
        <v>756860000</v>
      </c>
      <c r="I782" s="1" t="s">
        <v>6532</v>
      </c>
      <c r="J782" s="1">
        <f>MONTH(tblGJ[[#This Row],[Date]])</f>
        <v>10</v>
      </c>
      <c r="K782" s="1" t="str">
        <f>_xlfn.XLOOKUP(tblGJ[[#This Row],[Account Code]],tblCOA[Code],tblCOA[FS Line],"")</f>
        <v>Inventories</v>
      </c>
      <c r="L782" s="121" t="str">
        <f>IF(OR(tblGJ[[#This Row],[Account Code]]=1120,tblGJ[[#This Row],[Account Code]]=1130),_xlfn.MINIFS(tblBank[Value Date],tblBank[Reference],tblGJ[[#This Row],[Voucher No]],tblBank[Account Code],tblGJ[[#This Row],[Account Code]]),"")</f>
        <v/>
      </c>
      <c r="M782" s="1" t="str">
        <f>IF(tblGJ[[#This Row],[Date]]&lt;=PEnd,"Yes","No")</f>
        <v>Yes</v>
      </c>
    </row>
    <row r="783" spans="2:13" x14ac:dyDescent="0.35">
      <c r="B783" s="109">
        <v>46326</v>
      </c>
      <c r="C783" s="1" t="s">
        <v>5898</v>
      </c>
      <c r="D783" s="1">
        <v>1120</v>
      </c>
      <c r="E783" s="1" t="str">
        <f>_xlfn.XLOOKUP(tblGJ[[#This Row],[Account Code]],tblCOA[Code],tblCOA[Account Name],"⚠ Invalid account")</f>
        <v>Bank BCA - Current Account</v>
      </c>
      <c r="F783" s="1" t="s">
        <v>6416</v>
      </c>
      <c r="G783" s="5">
        <f>SUMIFS(tblSales[Total incl. VAT],tblSales[Month],MONTH(tblGJ[[#This Row],[Date]]),tblSales[Payment Method],Products!$O$13)</f>
        <v>123076800</v>
      </c>
      <c r="H783" s="5"/>
      <c r="I783" s="1" t="s">
        <v>6532</v>
      </c>
      <c r="J783" s="1">
        <f>MONTH(tblGJ[[#This Row],[Date]])</f>
        <v>10</v>
      </c>
      <c r="K783" s="1" t="str">
        <f>_xlfn.XLOOKUP(tblGJ[[#This Row],[Account Code]],tblCOA[Code],tblCOA[FS Line],"")</f>
        <v>Cash and cash equivalents</v>
      </c>
      <c r="L783" s="121">
        <f>IF(OR(tblGJ[[#This Row],[Account Code]]=1120,tblGJ[[#This Row],[Account Code]]=1130),_xlfn.MINIFS(tblBank[Value Date],tblBank[Reference],tblGJ[[#This Row],[Voucher No]],tblBank[Account Code],tblGJ[[#This Row],[Account Code]]),"")</f>
        <v>46326</v>
      </c>
      <c r="M783" s="1" t="str">
        <f>IF(tblGJ[[#This Row],[Date]]&lt;=PEnd,"Yes","No")</f>
        <v>Yes</v>
      </c>
    </row>
    <row r="784" spans="2:13" x14ac:dyDescent="0.35">
      <c r="B784" s="109">
        <v>46326</v>
      </c>
      <c r="C784" s="1" t="s">
        <v>5898</v>
      </c>
      <c r="D784" s="1">
        <v>1110</v>
      </c>
      <c r="E784" s="1" t="str">
        <f>_xlfn.XLOOKUP(tblGJ[[#This Row],[Account Code]],tblCOA[Code],tblCOA[Account Name],"⚠ Invalid account")</f>
        <v>Cash on Hand</v>
      </c>
      <c r="F784" s="1" t="s">
        <v>6416</v>
      </c>
      <c r="G784" s="5"/>
      <c r="H784" s="5">
        <f>SUMIFS(tblSales[Total incl. VAT],tblSales[Month],MONTH(tblGJ[[#This Row],[Date]]),tblSales[Payment Method],Products!$O$13)</f>
        <v>123076800</v>
      </c>
      <c r="I784" s="1" t="s">
        <v>6532</v>
      </c>
      <c r="J784" s="1">
        <f>MONTH(tblGJ[[#This Row],[Date]])</f>
        <v>10</v>
      </c>
      <c r="K784" s="1" t="str">
        <f>_xlfn.XLOOKUP(tblGJ[[#This Row],[Account Code]],tblCOA[Code],tblCOA[FS Line],"")</f>
        <v>Cash and cash equivalents</v>
      </c>
      <c r="L784" s="121" t="str">
        <f>IF(OR(tblGJ[[#This Row],[Account Code]]=1120,tblGJ[[#This Row],[Account Code]]=1130),_xlfn.MINIFS(tblBank[Value Date],tblBank[Reference],tblGJ[[#This Row],[Voucher No]],tblBank[Account Code],tblGJ[[#This Row],[Account Code]]),"")</f>
        <v/>
      </c>
      <c r="M784" s="1" t="str">
        <f>IF(tblGJ[[#This Row],[Date]]&lt;=PEnd,"Yes","No")</f>
        <v>Yes</v>
      </c>
    </row>
    <row r="785" spans="2:13" x14ac:dyDescent="0.35">
      <c r="B785" s="109">
        <v>46326</v>
      </c>
      <c r="C785" s="1" t="s">
        <v>5899</v>
      </c>
      <c r="D785" s="1">
        <v>1310</v>
      </c>
      <c r="E785" s="1" t="str">
        <f>_xlfn.XLOOKUP(tblGJ[[#This Row],[Account Code]],tblCOA[Code],tblCOA[Account Name],"⚠ Invalid account")</f>
        <v>Merchandise inventory</v>
      </c>
      <c r="F785" s="1" t="s">
        <v>6417</v>
      </c>
      <c r="G785" s="5">
        <f>SUMIFS(tblPurchases[DPP (excl. VAT)],tblPurchases[Account Code],tblGJ[[#This Row],[Account Code]],tblPurchases[Month],MONTH(tblGJ[[#This Row],[Date]]))</f>
        <v>778372000</v>
      </c>
      <c r="H785" s="5"/>
      <c r="I785" s="1" t="s">
        <v>6533</v>
      </c>
      <c r="J785" s="1">
        <f>MONTH(tblGJ[[#This Row],[Date]])</f>
        <v>10</v>
      </c>
      <c r="K785" s="1" t="str">
        <f>_xlfn.XLOOKUP(tblGJ[[#This Row],[Account Code]],tblCOA[Code],tblCOA[FS Line],"")</f>
        <v>Inventories</v>
      </c>
      <c r="L785" s="121" t="str">
        <f>IF(OR(tblGJ[[#This Row],[Account Code]]=1120,tblGJ[[#This Row],[Account Code]]=1130),_xlfn.MINIFS(tblBank[Value Date],tblBank[Reference],tblGJ[[#This Row],[Voucher No]],tblBank[Account Code],tblGJ[[#This Row],[Account Code]]),"")</f>
        <v/>
      </c>
      <c r="M785" s="1" t="str">
        <f>IF(tblGJ[[#This Row],[Date]]&lt;=PEnd,"Yes","No")</f>
        <v>Yes</v>
      </c>
    </row>
    <row r="786" spans="2:13" x14ac:dyDescent="0.35">
      <c r="B786" s="109">
        <v>46326</v>
      </c>
      <c r="C786" s="1" t="s">
        <v>5899</v>
      </c>
      <c r="D786" s="1">
        <v>1420</v>
      </c>
      <c r="E786" s="1" t="str">
        <f>_xlfn.XLOOKUP(tblGJ[[#This Row],[Account Code]],tblCOA[Code],tblCOA[Account Name],"⚠ Invalid account")</f>
        <v>Prepaid Insurance</v>
      </c>
      <c r="F786" s="1" t="s">
        <v>6417</v>
      </c>
      <c r="G786" s="5">
        <f>SUMIFS(tblPurchases[DPP (excl. VAT)],tblPurchases[Account Code],tblGJ[[#This Row],[Account Code]],tblPurchases[Month],MONTH(tblGJ[[#This Row],[Date]]))</f>
        <v>36000000</v>
      </c>
      <c r="H786" s="5"/>
      <c r="I786" s="1" t="s">
        <v>6533</v>
      </c>
      <c r="J786" s="1">
        <f>MONTH(tblGJ[[#This Row],[Date]])</f>
        <v>10</v>
      </c>
      <c r="K786" s="1" t="str">
        <f>_xlfn.XLOOKUP(tblGJ[[#This Row],[Account Code]],tblCOA[Code],tblCOA[FS Line],"")</f>
        <v>Prepaid expenses</v>
      </c>
      <c r="L786" s="121" t="str">
        <f>IF(OR(tblGJ[[#This Row],[Account Code]]=1120,tblGJ[[#This Row],[Account Code]]=1130),_xlfn.MINIFS(tblBank[Value Date],tblBank[Reference],tblGJ[[#This Row],[Voucher No]],tblBank[Account Code],tblGJ[[#This Row],[Account Code]]),"")</f>
        <v/>
      </c>
      <c r="M786" s="1" t="str">
        <f>IF(tblGJ[[#This Row],[Date]]&lt;=PEnd,"Yes","No")</f>
        <v>Yes</v>
      </c>
    </row>
    <row r="787" spans="2:13" x14ac:dyDescent="0.35">
      <c r="B787" s="109">
        <v>46326</v>
      </c>
      <c r="C787" s="1" t="s">
        <v>5899</v>
      </c>
      <c r="D787" s="1">
        <v>6120</v>
      </c>
      <c r="E787" s="1" t="str">
        <f>_xlfn.XLOOKUP(tblGJ[[#This Row],[Account Code]],tblCOA[Code],tblCOA[Account Name],"⚠ Invalid account")</f>
        <v>Advertising &amp; Promotion</v>
      </c>
      <c r="F787" s="1" t="s">
        <v>6417</v>
      </c>
      <c r="G787" s="5">
        <f>SUMIFS(tblPurchases[DPP (excl. VAT)],tblPurchases[Account Code],tblGJ[[#This Row],[Account Code]],tblPurchases[Month],MONTH(tblGJ[[#This Row],[Date]]))</f>
        <v>13792000</v>
      </c>
      <c r="H787" s="5"/>
      <c r="I787" s="1" t="s">
        <v>6533</v>
      </c>
      <c r="J787" s="1">
        <f>MONTH(tblGJ[[#This Row],[Date]])</f>
        <v>10</v>
      </c>
      <c r="K787" s="1" t="str">
        <f>_xlfn.XLOOKUP(tblGJ[[#This Row],[Account Code]],tblCOA[Code],tblCOA[FS Line],"")</f>
        <v>Selling expenses</v>
      </c>
      <c r="L787" s="121" t="str">
        <f>IF(OR(tblGJ[[#This Row],[Account Code]]=1120,tblGJ[[#This Row],[Account Code]]=1130),_xlfn.MINIFS(tblBank[Value Date],tblBank[Reference],tblGJ[[#This Row],[Voucher No]],tblBank[Account Code],tblGJ[[#This Row],[Account Code]]),"")</f>
        <v/>
      </c>
      <c r="M787" s="1" t="str">
        <f>IF(tblGJ[[#This Row],[Date]]&lt;=PEnd,"Yes","No")</f>
        <v>Yes</v>
      </c>
    </row>
    <row r="788" spans="2:13" x14ac:dyDescent="0.35">
      <c r="B788" s="109">
        <v>46326</v>
      </c>
      <c r="C788" s="1" t="s">
        <v>5899</v>
      </c>
      <c r="D788" s="1">
        <v>6130</v>
      </c>
      <c r="E788" s="1" t="str">
        <f>_xlfn.XLOOKUP(tblGJ[[#This Row],[Account Code]],tblCOA[Code],tblCOA[Account Name],"⚠ Invalid account")</f>
        <v>Marketplace &amp; Sales Commissions</v>
      </c>
      <c r="F788" s="1" t="s">
        <v>6417</v>
      </c>
      <c r="G788" s="5">
        <f>SUMIFS(tblPurchases[DPP (excl. VAT)],tblPurchases[Account Code],tblGJ[[#This Row],[Account Code]],tblPurchases[Month],MONTH(tblGJ[[#This Row],[Date]]))</f>
        <v>3415000</v>
      </c>
      <c r="H788" s="5"/>
      <c r="I788" s="1" t="s">
        <v>6533</v>
      </c>
      <c r="J788" s="1">
        <f>MONTH(tblGJ[[#This Row],[Date]])</f>
        <v>10</v>
      </c>
      <c r="K788" s="1" t="str">
        <f>_xlfn.XLOOKUP(tblGJ[[#This Row],[Account Code]],tblCOA[Code],tblCOA[FS Line],"")</f>
        <v>Selling expenses</v>
      </c>
      <c r="L788" s="121" t="str">
        <f>IF(OR(tblGJ[[#This Row],[Account Code]]=1120,tblGJ[[#This Row],[Account Code]]=1130),_xlfn.MINIFS(tblBank[Value Date],tblBank[Reference],tblGJ[[#This Row],[Voucher No]],tblBank[Account Code],tblGJ[[#This Row],[Account Code]]),"")</f>
        <v/>
      </c>
      <c r="M788" s="1" t="str">
        <f>IF(tblGJ[[#This Row],[Date]]&lt;=PEnd,"Yes","No")</f>
        <v>Yes</v>
      </c>
    </row>
    <row r="789" spans="2:13" x14ac:dyDescent="0.35">
      <c r="B789" s="109">
        <v>46326</v>
      </c>
      <c r="C789" s="1" t="s">
        <v>5899</v>
      </c>
      <c r="D789" s="1">
        <v>6140</v>
      </c>
      <c r="E789" s="1" t="str">
        <f>_xlfn.XLOOKUP(tblGJ[[#This Row],[Account Code]],tblCOA[Code],tblCOA[Account Name],"⚠ Invalid account")</f>
        <v>Shipping &amp; Delivery</v>
      </c>
      <c r="F789" s="1" t="s">
        <v>6417</v>
      </c>
      <c r="G789" s="5">
        <f>SUMIFS(tblPurchases[DPP (excl. VAT)],tblPurchases[Account Code],tblGJ[[#This Row],[Account Code]],tblPurchases[Month],MONTH(tblGJ[[#This Row],[Date]]))</f>
        <v>11285000</v>
      </c>
      <c r="H789" s="5"/>
      <c r="I789" s="1" t="s">
        <v>6533</v>
      </c>
      <c r="J789" s="1">
        <f>MONTH(tblGJ[[#This Row],[Date]])</f>
        <v>10</v>
      </c>
      <c r="K789" s="1" t="str">
        <f>_xlfn.XLOOKUP(tblGJ[[#This Row],[Account Code]],tblCOA[Code],tblCOA[FS Line],"")</f>
        <v>Selling expenses</v>
      </c>
      <c r="L789" s="121" t="str">
        <f>IF(OR(tblGJ[[#This Row],[Account Code]]=1120,tblGJ[[#This Row],[Account Code]]=1130),_xlfn.MINIFS(tblBank[Value Date],tblBank[Reference],tblGJ[[#This Row],[Voucher No]],tblBank[Account Code],tblGJ[[#This Row],[Account Code]]),"")</f>
        <v/>
      </c>
      <c r="M789" s="1" t="str">
        <f>IF(tblGJ[[#This Row],[Date]]&lt;=PEnd,"Yes","No")</f>
        <v>Yes</v>
      </c>
    </row>
    <row r="790" spans="2:13" x14ac:dyDescent="0.35">
      <c r="B790" s="109">
        <v>46326</v>
      </c>
      <c r="C790" s="1" t="s">
        <v>5899</v>
      </c>
      <c r="D790" s="1">
        <v>6230</v>
      </c>
      <c r="E790" s="1" t="str">
        <f>_xlfn.XLOOKUP(tblGJ[[#This Row],[Account Code]],tblCOA[Code],tblCOA[Account Name],"⚠ Invalid account")</f>
        <v>Utilities &amp; Telecommunication</v>
      </c>
      <c r="F790" s="1" t="s">
        <v>6417</v>
      </c>
      <c r="G790" s="5">
        <f>SUMIFS(tblPurchases[DPP (excl. VAT)],tblPurchases[Account Code],tblGJ[[#This Row],[Account Code]],tblPurchases[Month],MONTH(tblGJ[[#This Row],[Date]]))</f>
        <v>13604000</v>
      </c>
      <c r="H790" s="5"/>
      <c r="I790" s="1" t="s">
        <v>6533</v>
      </c>
      <c r="J790" s="1">
        <f>MONTH(tblGJ[[#This Row],[Date]])</f>
        <v>10</v>
      </c>
      <c r="K790" s="1" t="str">
        <f>_xlfn.XLOOKUP(tblGJ[[#This Row],[Account Code]],tblCOA[Code],tblCOA[FS Line],"")</f>
        <v>General &amp; administrative expenses</v>
      </c>
      <c r="L790" s="121" t="str">
        <f>IF(OR(tblGJ[[#This Row],[Account Code]]=1120,tblGJ[[#This Row],[Account Code]]=1130),_xlfn.MINIFS(tblBank[Value Date],tblBank[Reference],tblGJ[[#This Row],[Voucher No]],tblBank[Account Code],tblGJ[[#This Row],[Account Code]]),"")</f>
        <v/>
      </c>
      <c r="M790" s="1" t="str">
        <f>IF(tblGJ[[#This Row],[Date]]&lt;=PEnd,"Yes","No")</f>
        <v>Yes</v>
      </c>
    </row>
    <row r="791" spans="2:13" x14ac:dyDescent="0.35">
      <c r="B791" s="109">
        <v>46326</v>
      </c>
      <c r="C791" s="1" t="s">
        <v>5899</v>
      </c>
      <c r="D791" s="1">
        <v>6270</v>
      </c>
      <c r="E791" s="1" t="str">
        <f>_xlfn.XLOOKUP(tblGJ[[#This Row],[Account Code]],tblCOA[Code],tblCOA[Account Name],"⚠ Invalid account")</f>
        <v>Office Supplies</v>
      </c>
      <c r="F791" s="1" t="s">
        <v>6417</v>
      </c>
      <c r="G791" s="5">
        <f>SUMIFS(tblPurchases[DPP (excl. VAT)],tblPurchases[Account Code],tblGJ[[#This Row],[Account Code]],tblPurchases[Month],MONTH(tblGJ[[#This Row],[Date]]))</f>
        <v>3454000</v>
      </c>
      <c r="H791" s="5"/>
      <c r="I791" s="1" t="s">
        <v>6533</v>
      </c>
      <c r="J791" s="1">
        <f>MONTH(tblGJ[[#This Row],[Date]])</f>
        <v>10</v>
      </c>
      <c r="K791" s="1" t="str">
        <f>_xlfn.XLOOKUP(tblGJ[[#This Row],[Account Code]],tblCOA[Code],tblCOA[FS Line],"")</f>
        <v>General &amp; administrative expenses</v>
      </c>
      <c r="L791" s="121" t="str">
        <f>IF(OR(tblGJ[[#This Row],[Account Code]]=1120,tblGJ[[#This Row],[Account Code]]=1130),_xlfn.MINIFS(tblBank[Value Date],tblBank[Reference],tblGJ[[#This Row],[Voucher No]],tblBank[Account Code],tblGJ[[#This Row],[Account Code]]),"")</f>
        <v/>
      </c>
      <c r="M791" s="1" t="str">
        <f>IF(tblGJ[[#This Row],[Date]]&lt;=PEnd,"Yes","No")</f>
        <v>Yes</v>
      </c>
    </row>
    <row r="792" spans="2:13" x14ac:dyDescent="0.35">
      <c r="B792" s="109">
        <v>46326</v>
      </c>
      <c r="C792" s="1" t="s">
        <v>5899</v>
      </c>
      <c r="D792" s="1">
        <v>6295</v>
      </c>
      <c r="E792" s="1" t="str">
        <f>_xlfn.XLOOKUP(tblGJ[[#This Row],[Account Code]],tblCOA[Code],tblCOA[Account Name],"⚠ Invalid account")</f>
        <v>Repairs &amp; Maintenance</v>
      </c>
      <c r="F792" s="1" t="s">
        <v>6417</v>
      </c>
      <c r="G792" s="5">
        <f>SUMIFS(tblPurchases[DPP (excl. VAT)],tblPurchases[Account Code],tblGJ[[#This Row],[Account Code]],tblPurchases[Month],MONTH(tblGJ[[#This Row],[Date]]))</f>
        <v>3702000</v>
      </c>
      <c r="H792" s="5"/>
      <c r="I792" s="1" t="s">
        <v>6533</v>
      </c>
      <c r="J792" s="1">
        <f>MONTH(tblGJ[[#This Row],[Date]])</f>
        <v>10</v>
      </c>
      <c r="K792" s="1" t="str">
        <f>_xlfn.XLOOKUP(tblGJ[[#This Row],[Account Code]],tblCOA[Code],tblCOA[FS Line],"")</f>
        <v>General &amp; administrative expenses</v>
      </c>
      <c r="L792" s="121" t="str">
        <f>IF(OR(tblGJ[[#This Row],[Account Code]]=1120,tblGJ[[#This Row],[Account Code]]=1130),_xlfn.MINIFS(tblBank[Value Date],tblBank[Reference],tblGJ[[#This Row],[Voucher No]],tblBank[Account Code],tblGJ[[#This Row],[Account Code]]),"")</f>
        <v/>
      </c>
      <c r="M792" s="1" t="str">
        <f>IF(tblGJ[[#This Row],[Date]]&lt;=PEnd,"Yes","No")</f>
        <v>Yes</v>
      </c>
    </row>
    <row r="793" spans="2:13" x14ac:dyDescent="0.35">
      <c r="B793" s="109">
        <v>46326</v>
      </c>
      <c r="C793" s="1" t="s">
        <v>5899</v>
      </c>
      <c r="D793" s="1">
        <v>6296</v>
      </c>
      <c r="E793" s="1" t="str">
        <f>_xlfn.XLOOKUP(tblGJ[[#This Row],[Account Code]],tblCOA[Code],tblCOA[Account Name],"⚠ Invalid account")</f>
        <v>Entertainment &amp; Donations</v>
      </c>
      <c r="F793" s="1" t="s">
        <v>6417</v>
      </c>
      <c r="G793" s="5">
        <f>SUMIFS(tblPurchases[DPP (excl. VAT)],tblPurchases[Account Code],tblGJ[[#This Row],[Account Code]],tblPurchases[Month],MONTH(tblGJ[[#This Row],[Date]]))</f>
        <v>2996000</v>
      </c>
      <c r="H793" s="5"/>
      <c r="I793" s="1" t="s">
        <v>6533</v>
      </c>
      <c r="J793" s="1">
        <f>MONTH(tblGJ[[#This Row],[Date]])</f>
        <v>10</v>
      </c>
      <c r="K793" s="1" t="str">
        <f>_xlfn.XLOOKUP(tblGJ[[#This Row],[Account Code]],tblCOA[Code],tblCOA[FS Line],"")</f>
        <v>General &amp; administrative expenses</v>
      </c>
      <c r="L793" s="121" t="str">
        <f>IF(OR(tblGJ[[#This Row],[Account Code]]=1120,tblGJ[[#This Row],[Account Code]]=1130),_xlfn.MINIFS(tblBank[Value Date],tblBank[Reference],tblGJ[[#This Row],[Voucher No]],tblBank[Account Code],tblGJ[[#This Row],[Account Code]]),"")</f>
        <v/>
      </c>
      <c r="M793" s="1" t="str">
        <f>IF(tblGJ[[#This Row],[Date]]&lt;=PEnd,"Yes","No")</f>
        <v>Yes</v>
      </c>
    </row>
    <row r="794" spans="2:13" x14ac:dyDescent="0.35">
      <c r="B794" s="109">
        <v>46326</v>
      </c>
      <c r="C794" s="1" t="s">
        <v>5899</v>
      </c>
      <c r="D794" s="1">
        <v>1510</v>
      </c>
      <c r="E794" s="1" t="str">
        <f>_xlfn.XLOOKUP(tblGJ[[#This Row],[Account Code]],tblCOA[Code],tblCOA[Account Name],"⚠ Invalid account")</f>
        <v>Input VAT (PPN Masukan)</v>
      </c>
      <c r="F794" s="1" t="s">
        <v>6418</v>
      </c>
      <c r="G794" s="5">
        <f>SUMIFS(tblPurchases[Input VAT],tblPurchases[Month],MONTH(tblGJ[[#This Row],[Date]]))</f>
        <v>77408320</v>
      </c>
      <c r="H794" s="5"/>
      <c r="I794" s="1" t="s">
        <v>6533</v>
      </c>
      <c r="J794" s="1">
        <f>MONTH(tblGJ[[#This Row],[Date]])</f>
        <v>10</v>
      </c>
      <c r="K794" s="1" t="str">
        <f>_xlfn.XLOOKUP(tblGJ[[#This Row],[Account Code]],tblCOA[Code],tblCOA[FS Line],"")</f>
        <v>Prepaid taxes</v>
      </c>
      <c r="L794" s="121" t="str">
        <f>IF(OR(tblGJ[[#This Row],[Account Code]]=1120,tblGJ[[#This Row],[Account Code]]=1130),_xlfn.MINIFS(tblBank[Value Date],tblBank[Reference],tblGJ[[#This Row],[Voucher No]],tblBank[Account Code],tblGJ[[#This Row],[Account Code]]),"")</f>
        <v/>
      </c>
      <c r="M794" s="1" t="str">
        <f>IF(tblGJ[[#This Row],[Date]]&lt;=PEnd,"Yes","No")</f>
        <v>Yes</v>
      </c>
    </row>
    <row r="795" spans="2:13" x14ac:dyDescent="0.35">
      <c r="B795" s="109">
        <v>46326</v>
      </c>
      <c r="C795" s="1" t="s">
        <v>5899</v>
      </c>
      <c r="D795" s="1">
        <v>2240</v>
      </c>
      <c r="E795" s="1" t="str">
        <f>_xlfn.XLOOKUP(tblGJ[[#This Row],[Account Code]],tblCOA[Code],tblCOA[Account Name],"⚠ Invalid account")</f>
        <v>WHT Payable - Unifikasi (Art. 23/4(2))</v>
      </c>
      <c r="F795" s="1" t="s">
        <v>6419</v>
      </c>
      <c r="G795" s="5"/>
      <c r="H795" s="5">
        <f>SUMIFS(tblPurchases[WHT Amount],tblPurchases[Month],MONTH(tblGJ[[#This Row],[Date]]))</f>
        <v>643880</v>
      </c>
      <c r="I795" s="1" t="s">
        <v>6533</v>
      </c>
      <c r="J795" s="1">
        <f>MONTH(tblGJ[[#This Row],[Date]])</f>
        <v>10</v>
      </c>
      <c r="K795" s="1" t="str">
        <f>_xlfn.XLOOKUP(tblGJ[[#This Row],[Account Code]],tblCOA[Code],tblCOA[FS Line],"")</f>
        <v>Taxes payable</v>
      </c>
      <c r="L795" s="121" t="str">
        <f>IF(OR(tblGJ[[#This Row],[Account Code]]=1120,tblGJ[[#This Row],[Account Code]]=1130),_xlfn.MINIFS(tblBank[Value Date],tblBank[Reference],tblGJ[[#This Row],[Voucher No]],tblBank[Account Code],tblGJ[[#This Row],[Account Code]]),"")</f>
        <v/>
      </c>
      <c r="M795" s="1" t="str">
        <f>IF(tblGJ[[#This Row],[Date]]&lt;=PEnd,"Yes","No")</f>
        <v>Yes</v>
      </c>
    </row>
    <row r="796" spans="2:13" x14ac:dyDescent="0.35">
      <c r="B796" s="109">
        <v>46326</v>
      </c>
      <c r="C796" s="1" t="s">
        <v>5899</v>
      </c>
      <c r="D796" s="1">
        <v>2110</v>
      </c>
      <c r="E796" s="1" t="str">
        <f>_xlfn.XLOOKUP(tblGJ[[#This Row],[Account Code]],tblCOA[Code],tblCOA[Account Name],"⚠ Invalid account")</f>
        <v>Trade Payables</v>
      </c>
      <c r="F796" s="1" t="s">
        <v>6420</v>
      </c>
      <c r="G796" s="5"/>
      <c r="H796" s="5">
        <f>SUMIFS(tblPurchases[Total Payable],tblPurchases[Month],MONTH(tblGJ[[#This Row],[Date]]))</f>
        <v>943384440</v>
      </c>
      <c r="I796" s="1" t="s">
        <v>6533</v>
      </c>
      <c r="J796" s="1">
        <f>MONTH(tblGJ[[#This Row],[Date]])</f>
        <v>10</v>
      </c>
      <c r="K796" s="1" t="str">
        <f>_xlfn.XLOOKUP(tblGJ[[#This Row],[Account Code]],tblCOA[Code],tblCOA[FS Line],"")</f>
        <v>Trade payables</v>
      </c>
      <c r="L796" s="121" t="str">
        <f>IF(OR(tblGJ[[#This Row],[Account Code]]=1120,tblGJ[[#This Row],[Account Code]]=1130),_xlfn.MINIFS(tblBank[Value Date],tblBank[Reference],tblGJ[[#This Row],[Voucher No]],tblBank[Account Code],tblGJ[[#This Row],[Account Code]]),"")</f>
        <v/>
      </c>
      <c r="M796" s="1" t="str">
        <f>IF(tblGJ[[#This Row],[Date]]&lt;=PEnd,"Yes","No")</f>
        <v>Yes</v>
      </c>
    </row>
    <row r="797" spans="2:13" x14ac:dyDescent="0.35">
      <c r="B797" s="109">
        <v>46326</v>
      </c>
      <c r="C797" s="1" t="s">
        <v>5900</v>
      </c>
      <c r="D797" s="1">
        <v>2210</v>
      </c>
      <c r="E797" s="1" t="str">
        <f>_xlfn.XLOOKUP(tblGJ[[#This Row],[Account Code]],tblCOA[Code],tblCOA[Account Name],"⚠ Invalid account")</f>
        <v>Output VAT (PPN Keluaran)</v>
      </c>
      <c r="F797" s="1" t="s">
        <v>6421</v>
      </c>
      <c r="G797" s="5">
        <f>SUMIFS(tblSales[Output VAT],tblSales[Month],MONTH(tblGJ[[#This Row],[Date]]))</f>
        <v>137923500</v>
      </c>
      <c r="H797" s="5"/>
      <c r="I797" s="1" t="s">
        <v>6528</v>
      </c>
      <c r="J797" s="1">
        <f>MONTH(tblGJ[[#This Row],[Date]])</f>
        <v>10</v>
      </c>
      <c r="K797" s="1" t="str">
        <f>_xlfn.XLOOKUP(tblGJ[[#This Row],[Account Code]],tblCOA[Code],tblCOA[FS Line],"")</f>
        <v>Taxes payable</v>
      </c>
      <c r="L797" s="121" t="str">
        <f>IF(OR(tblGJ[[#This Row],[Account Code]]=1120,tblGJ[[#This Row],[Account Code]]=1130),_xlfn.MINIFS(tblBank[Value Date],tblBank[Reference],tblGJ[[#This Row],[Voucher No]],tblBank[Account Code],tblGJ[[#This Row],[Account Code]]),"")</f>
        <v/>
      </c>
      <c r="M797" s="1" t="str">
        <f>IF(tblGJ[[#This Row],[Date]]&lt;=PEnd,"Yes","No")</f>
        <v>Yes</v>
      </c>
    </row>
    <row r="798" spans="2:13" x14ac:dyDescent="0.35">
      <c r="B798" s="109">
        <v>46326</v>
      </c>
      <c r="C798" s="1" t="s">
        <v>5900</v>
      </c>
      <c r="D798" s="1">
        <v>1510</v>
      </c>
      <c r="E798" s="1" t="str">
        <f>_xlfn.XLOOKUP(tblGJ[[#This Row],[Account Code]],tblCOA[Code],tblCOA[Account Name],"⚠ Invalid account")</f>
        <v>Input VAT (PPN Masukan)</v>
      </c>
      <c r="F798" s="1" t="s">
        <v>6422</v>
      </c>
      <c r="G798" s="5"/>
      <c r="H798" s="5">
        <f>SUMIFS(tblPurchases[Input VAT],tblPurchases[Month],MONTH(tblGJ[[#This Row],[Date]]))</f>
        <v>77408320</v>
      </c>
      <c r="I798" s="1" t="s">
        <v>6528</v>
      </c>
      <c r="J798" s="1">
        <f>MONTH(tblGJ[[#This Row],[Date]])</f>
        <v>10</v>
      </c>
      <c r="K798" s="1" t="str">
        <f>_xlfn.XLOOKUP(tblGJ[[#This Row],[Account Code]],tblCOA[Code],tblCOA[FS Line],"")</f>
        <v>Prepaid taxes</v>
      </c>
      <c r="L798" s="121" t="str">
        <f>IF(OR(tblGJ[[#This Row],[Account Code]]=1120,tblGJ[[#This Row],[Account Code]]=1130),_xlfn.MINIFS(tblBank[Value Date],tblBank[Reference],tblGJ[[#This Row],[Voucher No]],tblBank[Account Code],tblGJ[[#This Row],[Account Code]]),"")</f>
        <v/>
      </c>
      <c r="M798" s="1" t="str">
        <f>IF(tblGJ[[#This Row],[Date]]&lt;=PEnd,"Yes","No")</f>
        <v>Yes</v>
      </c>
    </row>
    <row r="799" spans="2:13" x14ac:dyDescent="0.35">
      <c r="B799" s="109">
        <v>46326</v>
      </c>
      <c r="C799" s="1" t="s">
        <v>5900</v>
      </c>
      <c r="D799" s="1">
        <v>2220</v>
      </c>
      <c r="E799" s="1" t="str">
        <f>_xlfn.XLOOKUP(tblGJ[[#This Row],[Account Code]],tblCOA[Code],tblCOA[Account Name],"⚠ Invalid account")</f>
        <v>VAT Payable - Net</v>
      </c>
      <c r="F799" s="1" t="s">
        <v>6423</v>
      </c>
      <c r="G799" s="5"/>
      <c r="H799" s="5">
        <f>SUMIFS(tblSales[Output VAT],tblSales[Month],MONTH(tblGJ[[#This Row],[Date]]))-SUMIFS(tblPurchases[Input VAT],tblPurchases[Month],MONTH(tblGJ[[#This Row],[Date]]))</f>
        <v>60515180</v>
      </c>
      <c r="I799" s="1" t="s">
        <v>6528</v>
      </c>
      <c r="J799" s="1">
        <f>MONTH(tblGJ[[#This Row],[Date]])</f>
        <v>10</v>
      </c>
      <c r="K799" s="1" t="str">
        <f>_xlfn.XLOOKUP(tblGJ[[#This Row],[Account Code]],tblCOA[Code],tblCOA[FS Line],"")</f>
        <v>Taxes payable</v>
      </c>
      <c r="L799" s="121" t="str">
        <f>IF(OR(tblGJ[[#This Row],[Account Code]]=1120,tblGJ[[#This Row],[Account Code]]=1130),_xlfn.MINIFS(tblBank[Value Date],tblBank[Reference],tblGJ[[#This Row],[Voucher No]],tblBank[Account Code],tblGJ[[#This Row],[Account Code]]),"")</f>
        <v/>
      </c>
      <c r="M799" s="1" t="str">
        <f>IF(tblGJ[[#This Row],[Date]]&lt;=PEnd,"Yes","No")</f>
        <v>Yes</v>
      </c>
    </row>
    <row r="800" spans="2:13" x14ac:dyDescent="0.35">
      <c r="B800" s="109">
        <v>46326</v>
      </c>
      <c r="C800" s="1" t="s">
        <v>5901</v>
      </c>
      <c r="D800" s="1">
        <v>6240</v>
      </c>
      <c r="E800" s="1" t="str">
        <f>_xlfn.XLOOKUP(tblGJ[[#This Row],[Account Code]],tblCOA[Code],tblCOA[Account Name],"⚠ Invalid account")</f>
        <v>Depreciation Expense</v>
      </c>
      <c r="F800" s="1" t="s">
        <v>6424</v>
      </c>
      <c r="G800" s="5">
        <f>SUMIFS(INDEX(tblFA[[Jan]:[Dec]],0,MONTH(tblGJ[[#This Row],[Date]])),tblFA[Expense Account],tblGJ[[#This Row],[Account Code]])</f>
        <v>31458333</v>
      </c>
      <c r="H800" s="5"/>
      <c r="I800" s="1" t="s">
        <v>6534</v>
      </c>
      <c r="J800" s="1">
        <f>MONTH(tblGJ[[#This Row],[Date]])</f>
        <v>10</v>
      </c>
      <c r="K800" s="1" t="str">
        <f>_xlfn.XLOOKUP(tblGJ[[#This Row],[Account Code]],tblCOA[Code],tblCOA[FS Line],"")</f>
        <v>General &amp; administrative expenses</v>
      </c>
      <c r="L800" s="121" t="str">
        <f>IF(OR(tblGJ[[#This Row],[Account Code]]=1120,tblGJ[[#This Row],[Account Code]]=1130),_xlfn.MINIFS(tblBank[Value Date],tblBank[Reference],tblGJ[[#This Row],[Voucher No]],tblBank[Account Code],tblGJ[[#This Row],[Account Code]]),"")</f>
        <v/>
      </c>
      <c r="M800" s="1" t="str">
        <f>IF(tblGJ[[#This Row],[Date]]&lt;=PEnd,"Yes","No")</f>
        <v>Yes</v>
      </c>
    </row>
    <row r="801" spans="2:13" x14ac:dyDescent="0.35">
      <c r="B801" s="109">
        <v>46326</v>
      </c>
      <c r="C801" s="1" t="s">
        <v>5901</v>
      </c>
      <c r="D801" s="1">
        <v>6250</v>
      </c>
      <c r="E801" s="1" t="str">
        <f>_xlfn.XLOOKUP(tblGJ[[#This Row],[Account Code]],tblCOA[Code],tblCOA[Account Name],"⚠ Invalid account")</f>
        <v>Amortization Expense - Software</v>
      </c>
      <c r="F801" s="1" t="s">
        <v>6425</v>
      </c>
      <c r="G801" s="5">
        <f>SUMIFS(INDEX(tblFA[[Jan]:[Dec]],0,MONTH(tblGJ[[#This Row],[Date]])),tblFA[Expense Account],tblGJ[[#This Row],[Account Code]])</f>
        <v>5000000</v>
      </c>
      <c r="H801" s="5"/>
      <c r="I801" s="1" t="s">
        <v>6534</v>
      </c>
      <c r="J801" s="1">
        <f>MONTH(tblGJ[[#This Row],[Date]])</f>
        <v>10</v>
      </c>
      <c r="K801" s="1" t="str">
        <f>_xlfn.XLOOKUP(tblGJ[[#This Row],[Account Code]],tblCOA[Code],tblCOA[FS Line],"")</f>
        <v>General &amp; administrative expenses</v>
      </c>
      <c r="L801" s="121" t="str">
        <f>IF(OR(tblGJ[[#This Row],[Account Code]]=1120,tblGJ[[#This Row],[Account Code]]=1130),_xlfn.MINIFS(tblBank[Value Date],tblBank[Reference],tblGJ[[#This Row],[Voucher No]],tblBank[Account Code],tblGJ[[#This Row],[Account Code]]),"")</f>
        <v/>
      </c>
      <c r="M801" s="1" t="str">
        <f>IF(tblGJ[[#This Row],[Date]]&lt;=PEnd,"Yes","No")</f>
        <v>Yes</v>
      </c>
    </row>
    <row r="802" spans="2:13" x14ac:dyDescent="0.35">
      <c r="B802" s="109">
        <v>46326</v>
      </c>
      <c r="C802" s="1" t="s">
        <v>5901</v>
      </c>
      <c r="D802" s="1">
        <v>1691</v>
      </c>
      <c r="E802" s="1" t="str">
        <f>_xlfn.XLOOKUP(tblGJ[[#This Row],[Account Code]],tblCOA[Code],tblCOA[Account Name],"⚠ Invalid account")</f>
        <v>Acc. Depreciation - Buildings</v>
      </c>
      <c r="F802" s="1" t="s">
        <v>6426</v>
      </c>
      <c r="G802" s="5"/>
      <c r="H802" s="5">
        <f>SUMIFS(INDEX(tblFA[[Jan]:[Dec]],0,MONTH(tblGJ[[#This Row],[Date]])),tblFA[Acc. Dep. Account],tblGJ[[#This Row],[Account Code]])</f>
        <v>7500000</v>
      </c>
      <c r="I802" s="1" t="s">
        <v>6534</v>
      </c>
      <c r="J802" s="1">
        <f>MONTH(tblGJ[[#This Row],[Date]])</f>
        <v>10</v>
      </c>
      <c r="K802" s="1" t="str">
        <f>_xlfn.XLOOKUP(tblGJ[[#This Row],[Account Code]],tblCOA[Code],tblCOA[FS Line],"")</f>
        <v>Fixed assets - net</v>
      </c>
      <c r="L802" s="121" t="str">
        <f>IF(OR(tblGJ[[#This Row],[Account Code]]=1120,tblGJ[[#This Row],[Account Code]]=1130),_xlfn.MINIFS(tblBank[Value Date],tblBank[Reference],tblGJ[[#This Row],[Voucher No]],tblBank[Account Code],tblGJ[[#This Row],[Account Code]]),"")</f>
        <v/>
      </c>
      <c r="M802" s="1" t="str">
        <f>IF(tblGJ[[#This Row],[Date]]&lt;=PEnd,"Yes","No")</f>
        <v>Yes</v>
      </c>
    </row>
    <row r="803" spans="2:13" x14ac:dyDescent="0.35">
      <c r="B803" s="109">
        <v>46326</v>
      </c>
      <c r="C803" s="1" t="s">
        <v>5901</v>
      </c>
      <c r="D803" s="1">
        <v>1693</v>
      </c>
      <c r="E803" s="1" t="str">
        <f>_xlfn.XLOOKUP(tblGJ[[#This Row],[Account Code]],tblCOA[Code],tblCOA[Account Name],"⚠ Invalid account")</f>
        <v>Acc. Depreciation - Vehicles</v>
      </c>
      <c r="F803" s="1" t="s">
        <v>6426</v>
      </c>
      <c r="G803" s="5"/>
      <c r="H803" s="5">
        <f>SUMIFS(INDEX(tblFA[[Jan]:[Dec]],0,MONTH(tblGJ[[#This Row],[Date]])),tblFA[Acc. Dep. Account],tblGJ[[#This Row],[Account Code]])</f>
        <v>10625000</v>
      </c>
      <c r="I803" s="1" t="s">
        <v>6534</v>
      </c>
      <c r="J803" s="1">
        <f>MONTH(tblGJ[[#This Row],[Date]])</f>
        <v>10</v>
      </c>
      <c r="K803" s="1" t="str">
        <f>_xlfn.XLOOKUP(tblGJ[[#This Row],[Account Code]],tblCOA[Code],tblCOA[FS Line],"")</f>
        <v>Fixed assets - net</v>
      </c>
      <c r="L803" s="121" t="str">
        <f>IF(OR(tblGJ[[#This Row],[Account Code]]=1120,tblGJ[[#This Row],[Account Code]]=1130),_xlfn.MINIFS(tblBank[Value Date],tblBank[Reference],tblGJ[[#This Row],[Voucher No]],tblBank[Account Code],tblGJ[[#This Row],[Account Code]]),"")</f>
        <v/>
      </c>
      <c r="M803" s="1" t="str">
        <f>IF(tblGJ[[#This Row],[Date]]&lt;=PEnd,"Yes","No")</f>
        <v>Yes</v>
      </c>
    </row>
    <row r="804" spans="2:13" x14ac:dyDescent="0.35">
      <c r="B804" s="109">
        <v>46326</v>
      </c>
      <c r="C804" s="1" t="s">
        <v>5901</v>
      </c>
      <c r="D804" s="1">
        <v>1694</v>
      </c>
      <c r="E804" s="1" t="str">
        <f>_xlfn.XLOOKUP(tblGJ[[#This Row],[Account Code]],tblCOA[Code],tblCOA[Account Name],"⚠ Invalid account")</f>
        <v>Acc. Depreciation - Machinery &amp; Equipment</v>
      </c>
      <c r="F804" s="1" t="s">
        <v>6426</v>
      </c>
      <c r="G804" s="5"/>
      <c r="H804" s="5">
        <f>SUMIFS(INDEX(tblFA[[Jan]:[Dec]],0,MONTH(tblGJ[[#This Row],[Date]])),tblFA[Acc. Dep. Account],tblGJ[[#This Row],[Account Code]])</f>
        <v>10208333</v>
      </c>
      <c r="I804" s="1" t="s">
        <v>6534</v>
      </c>
      <c r="J804" s="1">
        <f>MONTH(tblGJ[[#This Row],[Date]])</f>
        <v>10</v>
      </c>
      <c r="K804" s="1" t="str">
        <f>_xlfn.XLOOKUP(tblGJ[[#This Row],[Account Code]],tblCOA[Code],tblCOA[FS Line],"")</f>
        <v>Fixed assets - net</v>
      </c>
      <c r="L804" s="121" t="str">
        <f>IF(OR(tblGJ[[#This Row],[Account Code]]=1120,tblGJ[[#This Row],[Account Code]]=1130),_xlfn.MINIFS(tblBank[Value Date],tblBank[Reference],tblGJ[[#This Row],[Voucher No]],tblBank[Account Code],tblGJ[[#This Row],[Account Code]]),"")</f>
        <v/>
      </c>
      <c r="M804" s="1" t="str">
        <f>IF(tblGJ[[#This Row],[Date]]&lt;=PEnd,"Yes","No")</f>
        <v>Yes</v>
      </c>
    </row>
    <row r="805" spans="2:13" x14ac:dyDescent="0.35">
      <c r="B805" s="109">
        <v>46326</v>
      </c>
      <c r="C805" s="1" t="s">
        <v>5901</v>
      </c>
      <c r="D805" s="1">
        <v>1695</v>
      </c>
      <c r="E805" s="1" t="str">
        <f>_xlfn.XLOOKUP(tblGJ[[#This Row],[Account Code]],tblCOA[Code],tblCOA[Account Name],"⚠ Invalid account")</f>
        <v>Acc. Depreciation - Office Furniture &amp; Equipment</v>
      </c>
      <c r="F805" s="1" t="s">
        <v>6426</v>
      </c>
      <c r="G805" s="5"/>
      <c r="H805" s="5">
        <f>SUMIFS(INDEX(tblFA[[Jan]:[Dec]],0,MONTH(tblGJ[[#This Row],[Date]])),tblFA[Acc. Dep. Account],tblGJ[[#This Row],[Account Code]])</f>
        <v>3125000</v>
      </c>
      <c r="I805" s="1" t="s">
        <v>6534</v>
      </c>
      <c r="J805" s="1">
        <f>MONTH(tblGJ[[#This Row],[Date]])</f>
        <v>10</v>
      </c>
      <c r="K805" s="1" t="str">
        <f>_xlfn.XLOOKUP(tblGJ[[#This Row],[Account Code]],tblCOA[Code],tblCOA[FS Line],"")</f>
        <v>Fixed assets - net</v>
      </c>
      <c r="L805" s="121" t="str">
        <f>IF(OR(tblGJ[[#This Row],[Account Code]]=1120,tblGJ[[#This Row],[Account Code]]=1130),_xlfn.MINIFS(tblBank[Value Date],tblBank[Reference],tblGJ[[#This Row],[Voucher No]],tblBank[Account Code],tblGJ[[#This Row],[Account Code]]),"")</f>
        <v/>
      </c>
      <c r="M805" s="1" t="str">
        <f>IF(tblGJ[[#This Row],[Date]]&lt;=PEnd,"Yes","No")</f>
        <v>Yes</v>
      </c>
    </row>
    <row r="806" spans="2:13" x14ac:dyDescent="0.35">
      <c r="B806" s="109">
        <v>46326</v>
      </c>
      <c r="C806" s="1" t="s">
        <v>5901</v>
      </c>
      <c r="D806" s="1">
        <v>1719</v>
      </c>
      <c r="E806" s="1" t="str">
        <f>_xlfn.XLOOKUP(tblGJ[[#This Row],[Account Code]],tblCOA[Code],tblCOA[Account Name],"⚠ Invalid account")</f>
        <v>Acc. Amortization - Software</v>
      </c>
      <c r="F806" s="1" t="s">
        <v>6426</v>
      </c>
      <c r="G806" s="5"/>
      <c r="H806" s="5">
        <f>SUMIFS(INDEX(tblFA[[Jan]:[Dec]],0,MONTH(tblGJ[[#This Row],[Date]])),tblFA[Acc. Dep. Account],tblGJ[[#This Row],[Account Code]])</f>
        <v>5000000</v>
      </c>
      <c r="I806" s="1" t="s">
        <v>6534</v>
      </c>
      <c r="J806" s="1">
        <f>MONTH(tblGJ[[#This Row],[Date]])</f>
        <v>10</v>
      </c>
      <c r="K806" s="1" t="str">
        <f>_xlfn.XLOOKUP(tblGJ[[#This Row],[Account Code]],tblCOA[Code],tblCOA[FS Line],"")</f>
        <v>Intangible assets - net</v>
      </c>
      <c r="L806" s="121" t="str">
        <f>IF(OR(tblGJ[[#This Row],[Account Code]]=1120,tblGJ[[#This Row],[Account Code]]=1130),_xlfn.MINIFS(tblBank[Value Date],tblBank[Reference],tblGJ[[#This Row],[Voucher No]],tblBank[Account Code],tblGJ[[#This Row],[Account Code]]),"")</f>
        <v/>
      </c>
      <c r="M806" s="1" t="str">
        <f>IF(tblGJ[[#This Row],[Date]]&lt;=PEnd,"Yes","No")</f>
        <v>Yes</v>
      </c>
    </row>
    <row r="807" spans="2:13" x14ac:dyDescent="0.35">
      <c r="B807" s="109">
        <v>46326</v>
      </c>
      <c r="C807" s="1" t="s">
        <v>5902</v>
      </c>
      <c r="D807" s="1">
        <v>6220</v>
      </c>
      <c r="E807" s="1" t="str">
        <f>_xlfn.XLOOKUP(tblGJ[[#This Row],[Account Code]],tblCOA[Code],tblCOA[Account Name],"⚠ Invalid account")</f>
        <v>Rent Expense</v>
      </c>
      <c r="F807" s="1" t="s">
        <v>6427</v>
      </c>
      <c r="G807" s="5">
        <f>SUMIFS(INDEX(tblPrepaid[[Jan]:[Dec]],0,MONTH(tblGJ[[#This Row],[Date]])),tblPrepaid[Expense Account],tblGJ[[#This Row],[Account Code]])</f>
        <v>11000000</v>
      </c>
      <c r="H807" s="5"/>
      <c r="I807" s="1" t="s">
        <v>6535</v>
      </c>
      <c r="J807" s="1">
        <f>MONTH(tblGJ[[#This Row],[Date]])</f>
        <v>10</v>
      </c>
      <c r="K807" s="1" t="str">
        <f>_xlfn.XLOOKUP(tblGJ[[#This Row],[Account Code]],tblCOA[Code],tblCOA[FS Line],"")</f>
        <v>General &amp; administrative expenses</v>
      </c>
      <c r="L807" s="121" t="str">
        <f>IF(OR(tblGJ[[#This Row],[Account Code]]=1120,tblGJ[[#This Row],[Account Code]]=1130),_xlfn.MINIFS(tblBank[Value Date],tblBank[Reference],tblGJ[[#This Row],[Voucher No]],tblBank[Account Code],tblGJ[[#This Row],[Account Code]]),"")</f>
        <v/>
      </c>
      <c r="M807" s="1" t="str">
        <f>IF(tblGJ[[#This Row],[Date]]&lt;=PEnd,"Yes","No")</f>
        <v>Yes</v>
      </c>
    </row>
    <row r="808" spans="2:13" x14ac:dyDescent="0.35">
      <c r="B808" s="109">
        <v>46326</v>
      </c>
      <c r="C808" s="1" t="s">
        <v>5902</v>
      </c>
      <c r="D808" s="1">
        <v>6260</v>
      </c>
      <c r="E808" s="1" t="str">
        <f>_xlfn.XLOOKUP(tblGJ[[#This Row],[Account Code]],tblCOA[Code],tblCOA[Account Name],"⚠ Invalid account")</f>
        <v>Insurance Expense</v>
      </c>
      <c r="F808" s="1" t="s">
        <v>6427</v>
      </c>
      <c r="G808" s="5">
        <f>SUMIFS(INDEX(tblPrepaid[[Jan]:[Dec]],0,MONTH(tblGJ[[#This Row],[Date]])),tblPrepaid[Expense Account],tblGJ[[#This Row],[Account Code]])</f>
        <v>2500000</v>
      </c>
      <c r="H808" s="5"/>
      <c r="I808" s="1" t="s">
        <v>6535</v>
      </c>
      <c r="J808" s="1">
        <f>MONTH(tblGJ[[#This Row],[Date]])</f>
        <v>10</v>
      </c>
      <c r="K808" s="1" t="str">
        <f>_xlfn.XLOOKUP(tblGJ[[#This Row],[Account Code]],tblCOA[Code],tblCOA[FS Line],"")</f>
        <v>General &amp; administrative expenses</v>
      </c>
      <c r="L808" s="121" t="str">
        <f>IF(OR(tblGJ[[#This Row],[Account Code]]=1120,tblGJ[[#This Row],[Account Code]]=1130),_xlfn.MINIFS(tblBank[Value Date],tblBank[Reference],tblGJ[[#This Row],[Voucher No]],tblBank[Account Code],tblGJ[[#This Row],[Account Code]]),"")</f>
        <v/>
      </c>
      <c r="M808" s="1" t="str">
        <f>IF(tblGJ[[#This Row],[Date]]&lt;=PEnd,"Yes","No")</f>
        <v>Yes</v>
      </c>
    </row>
    <row r="809" spans="2:13" x14ac:dyDescent="0.35">
      <c r="B809" s="109">
        <v>46326</v>
      </c>
      <c r="C809" s="1" t="s">
        <v>5902</v>
      </c>
      <c r="D809" s="1">
        <v>6265</v>
      </c>
      <c r="E809" s="1" t="str">
        <f>_xlfn.XLOOKUP(tblGJ[[#This Row],[Account Code]],tblCOA[Code],tblCOA[Account Name],"⚠ Invalid account")</f>
        <v>Software Subscription Expense</v>
      </c>
      <c r="F809" s="1" t="s">
        <v>6427</v>
      </c>
      <c r="G809" s="5">
        <f>SUMIFS(INDEX(tblPrepaid[[Jan]:[Dec]],0,MONTH(tblGJ[[#This Row],[Date]])),tblPrepaid[Expense Account],tblGJ[[#This Row],[Account Code]])</f>
        <v>6000000</v>
      </c>
      <c r="H809" s="5"/>
      <c r="I809" s="1" t="s">
        <v>6535</v>
      </c>
      <c r="J809" s="1">
        <f>MONTH(tblGJ[[#This Row],[Date]])</f>
        <v>10</v>
      </c>
      <c r="K809" s="1" t="str">
        <f>_xlfn.XLOOKUP(tblGJ[[#This Row],[Account Code]],tblCOA[Code],tblCOA[FS Line],"")</f>
        <v>General &amp; administrative expenses</v>
      </c>
      <c r="L809" s="121" t="str">
        <f>IF(OR(tblGJ[[#This Row],[Account Code]]=1120,tblGJ[[#This Row],[Account Code]]=1130),_xlfn.MINIFS(tblBank[Value Date],tblBank[Reference],tblGJ[[#This Row],[Voucher No]],tblBank[Account Code],tblGJ[[#This Row],[Account Code]]),"")</f>
        <v/>
      </c>
      <c r="M809" s="1" t="str">
        <f>IF(tblGJ[[#This Row],[Date]]&lt;=PEnd,"Yes","No")</f>
        <v>Yes</v>
      </c>
    </row>
    <row r="810" spans="2:13" x14ac:dyDescent="0.35">
      <c r="B810" s="109">
        <v>46326</v>
      </c>
      <c r="C810" s="1" t="s">
        <v>5902</v>
      </c>
      <c r="D810" s="1">
        <v>1410</v>
      </c>
      <c r="E810" s="1" t="str">
        <f>_xlfn.XLOOKUP(tblGJ[[#This Row],[Account Code]],tblCOA[Code],tblCOA[Account Name],"⚠ Invalid account")</f>
        <v>Prepaid Rent</v>
      </c>
      <c r="F810" s="1" t="s">
        <v>6427</v>
      </c>
      <c r="G810" s="5"/>
      <c r="H810" s="5">
        <f>SUMIFS(INDEX(tblPrepaid[[Jan]:[Dec]],0,MONTH(tblGJ[[#This Row],[Date]])),tblPrepaid[Prepaid Account],tblGJ[[#This Row],[Account Code]])</f>
        <v>11000000</v>
      </c>
      <c r="I810" s="1" t="s">
        <v>6535</v>
      </c>
      <c r="J810" s="1">
        <f>MONTH(tblGJ[[#This Row],[Date]])</f>
        <v>10</v>
      </c>
      <c r="K810" s="1" t="str">
        <f>_xlfn.XLOOKUP(tblGJ[[#This Row],[Account Code]],tblCOA[Code],tblCOA[FS Line],"")</f>
        <v>Prepaid expenses</v>
      </c>
      <c r="L810" s="121" t="str">
        <f>IF(OR(tblGJ[[#This Row],[Account Code]]=1120,tblGJ[[#This Row],[Account Code]]=1130),_xlfn.MINIFS(tblBank[Value Date],tblBank[Reference],tblGJ[[#This Row],[Voucher No]],tblBank[Account Code],tblGJ[[#This Row],[Account Code]]),"")</f>
        <v/>
      </c>
      <c r="M810" s="1" t="str">
        <f>IF(tblGJ[[#This Row],[Date]]&lt;=PEnd,"Yes","No")</f>
        <v>Yes</v>
      </c>
    </row>
    <row r="811" spans="2:13" x14ac:dyDescent="0.35">
      <c r="B811" s="109">
        <v>46326</v>
      </c>
      <c r="C811" s="1" t="s">
        <v>5902</v>
      </c>
      <c r="D811" s="1">
        <v>1420</v>
      </c>
      <c r="E811" s="1" t="str">
        <f>_xlfn.XLOOKUP(tblGJ[[#This Row],[Account Code]],tblCOA[Code],tblCOA[Account Name],"⚠ Invalid account")</f>
        <v>Prepaid Insurance</v>
      </c>
      <c r="F811" s="1" t="s">
        <v>6427</v>
      </c>
      <c r="G811" s="5"/>
      <c r="H811" s="5">
        <f>SUMIFS(INDEX(tblPrepaid[[Jan]:[Dec]],0,MONTH(tblGJ[[#This Row],[Date]])),tblPrepaid[Prepaid Account],tblGJ[[#This Row],[Account Code]])</f>
        <v>2500000</v>
      </c>
      <c r="I811" s="1" t="s">
        <v>6535</v>
      </c>
      <c r="J811" s="1">
        <f>MONTH(tblGJ[[#This Row],[Date]])</f>
        <v>10</v>
      </c>
      <c r="K811" s="1" t="str">
        <f>_xlfn.XLOOKUP(tblGJ[[#This Row],[Account Code]],tblCOA[Code],tblCOA[FS Line],"")</f>
        <v>Prepaid expenses</v>
      </c>
      <c r="L811" s="121" t="str">
        <f>IF(OR(tblGJ[[#This Row],[Account Code]]=1120,tblGJ[[#This Row],[Account Code]]=1130),_xlfn.MINIFS(tblBank[Value Date],tblBank[Reference],tblGJ[[#This Row],[Voucher No]],tblBank[Account Code],tblGJ[[#This Row],[Account Code]]),"")</f>
        <v/>
      </c>
      <c r="M811" s="1" t="str">
        <f>IF(tblGJ[[#This Row],[Date]]&lt;=PEnd,"Yes","No")</f>
        <v>Yes</v>
      </c>
    </row>
    <row r="812" spans="2:13" x14ac:dyDescent="0.35">
      <c r="B812" s="109">
        <v>46326</v>
      </c>
      <c r="C812" s="1" t="s">
        <v>5902</v>
      </c>
      <c r="D812" s="1">
        <v>1430</v>
      </c>
      <c r="E812" s="1" t="str">
        <f>_xlfn.XLOOKUP(tblGJ[[#This Row],[Account Code]],tblCOA[Code],tblCOA[Account Name],"⚠ Invalid account")</f>
        <v>Prepaid Software Subscriptions</v>
      </c>
      <c r="F812" s="1" t="s">
        <v>6427</v>
      </c>
      <c r="G812" s="5"/>
      <c r="H812" s="5">
        <f>SUMIFS(INDEX(tblPrepaid[[Jan]:[Dec]],0,MONTH(tblGJ[[#This Row],[Date]])),tblPrepaid[Prepaid Account],tblGJ[[#This Row],[Account Code]])</f>
        <v>6000000</v>
      </c>
      <c r="I812" s="1" t="s">
        <v>6535</v>
      </c>
      <c r="J812" s="1">
        <f>MONTH(tblGJ[[#This Row],[Date]])</f>
        <v>10</v>
      </c>
      <c r="K812" s="1" t="str">
        <f>_xlfn.XLOOKUP(tblGJ[[#This Row],[Account Code]],tblCOA[Code],tblCOA[FS Line],"")</f>
        <v>Prepaid expenses</v>
      </c>
      <c r="L812" s="121" t="str">
        <f>IF(OR(tblGJ[[#This Row],[Account Code]]=1120,tblGJ[[#This Row],[Account Code]]=1130),_xlfn.MINIFS(tblBank[Value Date],tblBank[Reference],tblGJ[[#This Row],[Voucher No]],tblBank[Account Code],tblGJ[[#This Row],[Account Code]]),"")</f>
        <v/>
      </c>
      <c r="M812" s="1" t="str">
        <f>IF(tblGJ[[#This Row],[Date]]&lt;=PEnd,"Yes","No")</f>
        <v>Yes</v>
      </c>
    </row>
    <row r="813" spans="2:13" x14ac:dyDescent="0.35">
      <c r="B813" s="109">
        <v>46326</v>
      </c>
      <c r="C813" s="1" t="s">
        <v>5903</v>
      </c>
      <c r="D813" s="1">
        <v>6290</v>
      </c>
      <c r="E813" s="1" t="str">
        <f>_xlfn.XLOOKUP(tblGJ[[#This Row],[Account Code]],tblCOA[Code],tblCOA[Account Name],"⚠ Invalid account")</f>
        <v>Employee Benefits Expense</v>
      </c>
      <c r="F813" s="1" t="s">
        <v>6428</v>
      </c>
      <c r="G813" s="5">
        <v>3000000</v>
      </c>
      <c r="H813" s="5"/>
      <c r="I813" s="1" t="s">
        <v>4263</v>
      </c>
      <c r="J813" s="1">
        <f>MONTH(tblGJ[[#This Row],[Date]])</f>
        <v>10</v>
      </c>
      <c r="K813" s="1" t="str">
        <f>_xlfn.XLOOKUP(tblGJ[[#This Row],[Account Code]],tblCOA[Code],tblCOA[FS Line],"")</f>
        <v>General &amp; administrative expenses</v>
      </c>
      <c r="L813" s="121" t="str">
        <f>IF(OR(tblGJ[[#This Row],[Account Code]]=1120,tblGJ[[#This Row],[Account Code]]=1130),_xlfn.MINIFS(tblBank[Value Date],tblBank[Reference],tblGJ[[#This Row],[Voucher No]],tblBank[Account Code],tblGJ[[#This Row],[Account Code]]),"")</f>
        <v/>
      </c>
      <c r="M813" s="1" t="str">
        <f>IF(tblGJ[[#This Row],[Date]]&lt;=PEnd,"Yes","No")</f>
        <v>Yes</v>
      </c>
    </row>
    <row r="814" spans="2:13" x14ac:dyDescent="0.35">
      <c r="B814" s="109">
        <v>46326</v>
      </c>
      <c r="C814" s="1" t="s">
        <v>5903</v>
      </c>
      <c r="D814" s="1">
        <v>2420</v>
      </c>
      <c r="E814" s="1" t="str">
        <f>_xlfn.XLOOKUP(tblGJ[[#This Row],[Account Code]],tblCOA[Code],tblCOA[Account Name],"⚠ Invalid account")</f>
        <v>Employee Benefits Liability</v>
      </c>
      <c r="F814" s="1" t="s">
        <v>6429</v>
      </c>
      <c r="G814" s="5"/>
      <c r="H814" s="5">
        <v>3000000</v>
      </c>
      <c r="I814" s="1" t="s">
        <v>4263</v>
      </c>
      <c r="J814" s="1">
        <f>MONTH(tblGJ[[#This Row],[Date]])</f>
        <v>10</v>
      </c>
      <c r="K814" s="1" t="str">
        <f>_xlfn.XLOOKUP(tblGJ[[#This Row],[Account Code]],tblCOA[Code],tblCOA[FS Line],"")</f>
        <v>Employee benefits liability</v>
      </c>
      <c r="L814" s="121" t="str">
        <f>IF(OR(tblGJ[[#This Row],[Account Code]]=1120,tblGJ[[#This Row],[Account Code]]=1130),_xlfn.MINIFS(tblBank[Value Date],tblBank[Reference],tblGJ[[#This Row],[Voucher No]],tblBank[Account Code],tblGJ[[#This Row],[Account Code]]),"")</f>
        <v/>
      </c>
      <c r="M814" s="1" t="str">
        <f>IF(tblGJ[[#This Row],[Date]]&lt;=PEnd,"Yes","No")</f>
        <v>Yes</v>
      </c>
    </row>
    <row r="815" spans="2:13" x14ac:dyDescent="0.35">
      <c r="B815" s="109">
        <v>46326</v>
      </c>
      <c r="C815" s="1" t="s">
        <v>5904</v>
      </c>
      <c r="D815" s="1">
        <v>1120</v>
      </c>
      <c r="E815" s="1" t="str">
        <f>_xlfn.XLOOKUP(tblGJ[[#This Row],[Account Code]],tblCOA[Code],tblCOA[Account Name],"⚠ Invalid account")</f>
        <v>Bank BCA - Current Account</v>
      </c>
      <c r="F815" s="1" t="s">
        <v>6430</v>
      </c>
      <c r="G815" s="5">
        <v>1333333</v>
      </c>
      <c r="H815" s="5"/>
      <c r="I815" s="1" t="s">
        <v>4263</v>
      </c>
      <c r="J815" s="1">
        <f>MONTH(tblGJ[[#This Row],[Date]])</f>
        <v>10</v>
      </c>
      <c r="K815" s="1" t="str">
        <f>_xlfn.XLOOKUP(tblGJ[[#This Row],[Account Code]],tblCOA[Code],tblCOA[FS Line],"")</f>
        <v>Cash and cash equivalents</v>
      </c>
      <c r="L815" s="121">
        <f>IF(OR(tblGJ[[#This Row],[Account Code]]=1120,tblGJ[[#This Row],[Account Code]]=1130),_xlfn.MINIFS(tblBank[Value Date],tblBank[Reference],tblGJ[[#This Row],[Voucher No]],tblBank[Account Code],tblGJ[[#This Row],[Account Code]]),"")</f>
        <v>46326</v>
      </c>
      <c r="M815" s="1" t="str">
        <f>IF(tblGJ[[#This Row],[Date]]&lt;=PEnd,"Yes","No")</f>
        <v>Yes</v>
      </c>
    </row>
    <row r="816" spans="2:13" x14ac:dyDescent="0.35">
      <c r="B816" s="109">
        <v>46326</v>
      </c>
      <c r="C816" s="1" t="s">
        <v>5904</v>
      </c>
      <c r="D816" s="1">
        <v>8200</v>
      </c>
      <c r="E816" s="1" t="str">
        <f>_xlfn.XLOOKUP(tblGJ[[#This Row],[Account Code]],tblCOA[Code],tblCOA[Account Name],"⚠ Invalid account")</f>
        <v>Final Income Tax Expense</v>
      </c>
      <c r="F816" s="1" t="s">
        <v>6431</v>
      </c>
      <c r="G816" s="5">
        <v>333334</v>
      </c>
      <c r="H816" s="5"/>
      <c r="I816" s="1" t="s">
        <v>4263</v>
      </c>
      <c r="J816" s="1">
        <f>MONTH(tblGJ[[#This Row],[Date]])</f>
        <v>10</v>
      </c>
      <c r="K816" s="1" t="str">
        <f>_xlfn.XLOOKUP(tblGJ[[#This Row],[Account Code]],tblCOA[Code],tblCOA[FS Line],"")</f>
        <v>Other expenses</v>
      </c>
      <c r="L816" s="121" t="str">
        <f>IF(OR(tblGJ[[#This Row],[Account Code]]=1120,tblGJ[[#This Row],[Account Code]]=1130),_xlfn.MINIFS(tblBank[Value Date],tblBank[Reference],tblGJ[[#This Row],[Voucher No]],tblBank[Account Code],tblGJ[[#This Row],[Account Code]]),"")</f>
        <v/>
      </c>
      <c r="M816" s="1" t="str">
        <f>IF(tblGJ[[#This Row],[Date]]&lt;=PEnd,"Yes","No")</f>
        <v>Yes</v>
      </c>
    </row>
    <row r="817" spans="2:13" x14ac:dyDescent="0.35">
      <c r="B817" s="109">
        <v>46326</v>
      </c>
      <c r="C817" s="1" t="s">
        <v>5904</v>
      </c>
      <c r="D817" s="1">
        <v>7110</v>
      </c>
      <c r="E817" s="1" t="str">
        <f>_xlfn.XLOOKUP(tblGJ[[#This Row],[Account Code]],tblCOA[Code],tblCOA[Account Name],"⚠ Invalid account")</f>
        <v>Interest Income - Time Deposit</v>
      </c>
      <c r="F817" s="1" t="s">
        <v>6432</v>
      </c>
      <c r="G817" s="5"/>
      <c r="H817" s="5">
        <v>1666667</v>
      </c>
      <c r="I817" s="1" t="s">
        <v>4263</v>
      </c>
      <c r="J817" s="1">
        <f>MONTH(tblGJ[[#This Row],[Date]])</f>
        <v>10</v>
      </c>
      <c r="K817" s="1" t="str">
        <f>_xlfn.XLOOKUP(tblGJ[[#This Row],[Account Code]],tblCOA[Code],tblCOA[FS Line],"")</f>
        <v>Other income</v>
      </c>
      <c r="L817" s="121" t="str">
        <f>IF(OR(tblGJ[[#This Row],[Account Code]]=1120,tblGJ[[#This Row],[Account Code]]=1130),_xlfn.MINIFS(tblBank[Value Date],tblBank[Reference],tblGJ[[#This Row],[Voucher No]],tblBank[Account Code],tblGJ[[#This Row],[Account Code]]),"")</f>
        <v/>
      </c>
      <c r="M817" s="1" t="str">
        <f>IF(tblGJ[[#This Row],[Date]]&lt;=PEnd,"Yes","No")</f>
        <v>Yes</v>
      </c>
    </row>
    <row r="818" spans="2:13" x14ac:dyDescent="0.35">
      <c r="B818" s="109">
        <v>46336</v>
      </c>
      <c r="C818" s="1" t="s">
        <v>5905</v>
      </c>
      <c r="D818" s="1">
        <v>2230</v>
      </c>
      <c r="E818" s="1" t="str">
        <f>_xlfn.XLOOKUP(tblGJ[[#This Row],[Account Code]],tblCOA[Code],tblCOA[Account Name],"⚠ Invalid account")</f>
        <v>WHT Payable - Art. 21</v>
      </c>
      <c r="F818" s="1" t="s">
        <v>5957</v>
      </c>
      <c r="G818" s="5">
        <f>IF(MONTH(tblGJ[[#This Row],[Date]])=1,_xlfn.XLOOKUP(2230,tblCOA[Code],tblCOA[Opening Balance]),SUMIFS(tblPayroll[PPh 21],tblPayroll[Period],MONTH(tblGJ[[#This Row],[Date]])-1))</f>
        <v>10516831</v>
      </c>
      <c r="H818" s="5"/>
      <c r="I818" s="1" t="s">
        <v>6528</v>
      </c>
      <c r="J818" s="1">
        <f>MONTH(tblGJ[[#This Row],[Date]])</f>
        <v>11</v>
      </c>
      <c r="K818" s="1" t="str">
        <f>_xlfn.XLOOKUP(tblGJ[[#This Row],[Account Code]],tblCOA[Code],tblCOA[FS Line],"")</f>
        <v>Taxes payable</v>
      </c>
      <c r="L818" s="121" t="str">
        <f>IF(OR(tblGJ[[#This Row],[Account Code]]=1120,tblGJ[[#This Row],[Account Code]]=1130),_xlfn.MINIFS(tblBank[Value Date],tblBank[Reference],tblGJ[[#This Row],[Voucher No]],tblBank[Account Code],tblGJ[[#This Row],[Account Code]]),"")</f>
        <v/>
      </c>
      <c r="M818" s="1" t="str">
        <f>IF(tblGJ[[#This Row],[Date]]&lt;=PEnd,"Yes","No")</f>
        <v>No</v>
      </c>
    </row>
    <row r="819" spans="2:13" x14ac:dyDescent="0.35">
      <c r="B819" s="109">
        <v>46336</v>
      </c>
      <c r="C819" s="1" t="s">
        <v>5905</v>
      </c>
      <c r="D819" s="1">
        <v>1120</v>
      </c>
      <c r="E819" s="1" t="str">
        <f>_xlfn.XLOOKUP(tblGJ[[#This Row],[Account Code]],tblCOA[Code],tblCOA[Account Name],"⚠ Invalid account")</f>
        <v>Bank BCA - Current Account</v>
      </c>
      <c r="F819" s="1" t="s">
        <v>5957</v>
      </c>
      <c r="G819" s="5"/>
      <c r="H819" s="5">
        <f>IF(MONTH(tblGJ[[#This Row],[Date]])=1,_xlfn.XLOOKUP(2230,tblCOA[Code],tblCOA[Opening Balance]),SUMIFS(tblPayroll[PPh 21],tblPayroll[Period],MONTH(tblGJ[[#This Row],[Date]])-1))</f>
        <v>10516831</v>
      </c>
      <c r="I819" s="1" t="s">
        <v>6528</v>
      </c>
      <c r="J819" s="1">
        <f>MONTH(tblGJ[[#This Row],[Date]])</f>
        <v>11</v>
      </c>
      <c r="K819" s="1" t="str">
        <f>_xlfn.XLOOKUP(tblGJ[[#This Row],[Account Code]],tblCOA[Code],tblCOA[FS Line],"")</f>
        <v>Cash and cash equivalents</v>
      </c>
      <c r="L819" s="121">
        <f>IF(OR(tblGJ[[#This Row],[Account Code]]=1120,tblGJ[[#This Row],[Account Code]]=1130),_xlfn.MINIFS(tblBank[Value Date],tblBank[Reference],tblGJ[[#This Row],[Voucher No]],tblBank[Account Code],tblGJ[[#This Row],[Account Code]]),"")</f>
        <v>46336</v>
      </c>
      <c r="M819" s="1" t="str">
        <f>IF(tblGJ[[#This Row],[Date]]&lt;=PEnd,"Yes","No")</f>
        <v>No</v>
      </c>
    </row>
    <row r="820" spans="2:13" x14ac:dyDescent="0.35">
      <c r="B820" s="109">
        <v>46336</v>
      </c>
      <c r="C820" s="1" t="s">
        <v>5906</v>
      </c>
      <c r="D820" s="1">
        <v>2150</v>
      </c>
      <c r="E820" s="1" t="str">
        <f>_xlfn.XLOOKUP(tblGJ[[#This Row],[Account Code]],tblCOA[Code],tblCOA[Account Name],"⚠ Invalid account")</f>
        <v>BPJS Payable</v>
      </c>
      <c r="F820" s="1" t="s">
        <v>5958</v>
      </c>
      <c r="G820" s="5">
        <f>IF(MONTH(tblGJ[[#This Row],[Date]])=1,_xlfn.XLOOKUP(2150,tblCOA[Code],tblCOA[Opening Balance]),SUMIFS(tblPayroll[BPJS Payable],tblPayroll[Period],MONTH(tblGJ[[#This Row],[Date]])-1))</f>
        <v>22077790</v>
      </c>
      <c r="H820" s="5"/>
      <c r="I820" s="1" t="s">
        <v>6528</v>
      </c>
      <c r="J820" s="1">
        <f>MONTH(tblGJ[[#This Row],[Date]])</f>
        <v>11</v>
      </c>
      <c r="K820" s="1" t="str">
        <f>_xlfn.XLOOKUP(tblGJ[[#This Row],[Account Code]],tblCOA[Code],tblCOA[FS Line],"")</f>
        <v>Accrued expenses</v>
      </c>
      <c r="L820" s="121" t="str">
        <f>IF(OR(tblGJ[[#This Row],[Account Code]]=1120,tblGJ[[#This Row],[Account Code]]=1130),_xlfn.MINIFS(tblBank[Value Date],tblBank[Reference],tblGJ[[#This Row],[Voucher No]],tblBank[Account Code],tblGJ[[#This Row],[Account Code]]),"")</f>
        <v/>
      </c>
      <c r="M820" s="1" t="str">
        <f>IF(tblGJ[[#This Row],[Date]]&lt;=PEnd,"Yes","No")</f>
        <v>No</v>
      </c>
    </row>
    <row r="821" spans="2:13" x14ac:dyDescent="0.35">
      <c r="B821" s="109">
        <v>46336</v>
      </c>
      <c r="C821" s="1" t="s">
        <v>5906</v>
      </c>
      <c r="D821" s="1">
        <v>1120</v>
      </c>
      <c r="E821" s="1" t="str">
        <f>_xlfn.XLOOKUP(tblGJ[[#This Row],[Account Code]],tblCOA[Code],tblCOA[Account Name],"⚠ Invalid account")</f>
        <v>Bank BCA - Current Account</v>
      </c>
      <c r="F821" s="1" t="s">
        <v>5958</v>
      </c>
      <c r="G821" s="5"/>
      <c r="H821" s="5">
        <f>IF(MONTH(tblGJ[[#This Row],[Date]])=1,_xlfn.XLOOKUP(2150,tblCOA[Code],tblCOA[Opening Balance]),SUMIFS(tblPayroll[BPJS Payable],tblPayroll[Period],MONTH(tblGJ[[#This Row],[Date]])-1))</f>
        <v>22077790</v>
      </c>
      <c r="I821" s="1" t="s">
        <v>6528</v>
      </c>
      <c r="J821" s="1">
        <f>MONTH(tblGJ[[#This Row],[Date]])</f>
        <v>11</v>
      </c>
      <c r="K821" s="1" t="str">
        <f>_xlfn.XLOOKUP(tblGJ[[#This Row],[Account Code]],tblCOA[Code],tblCOA[FS Line],"")</f>
        <v>Cash and cash equivalents</v>
      </c>
      <c r="L821" s="121">
        <f>IF(OR(tblGJ[[#This Row],[Account Code]]=1120,tblGJ[[#This Row],[Account Code]]=1130),_xlfn.MINIFS(tblBank[Value Date],tblBank[Reference],tblGJ[[#This Row],[Voucher No]],tblBank[Account Code],tblGJ[[#This Row],[Account Code]]),"")</f>
        <v>46336</v>
      </c>
      <c r="M821" s="1" t="str">
        <f>IF(tblGJ[[#This Row],[Date]]&lt;=PEnd,"Yes","No")</f>
        <v>No</v>
      </c>
    </row>
    <row r="822" spans="2:13" x14ac:dyDescent="0.35">
      <c r="B822" s="109">
        <v>46341</v>
      </c>
      <c r="C822" s="1" t="s">
        <v>5907</v>
      </c>
      <c r="D822" s="1">
        <v>2240</v>
      </c>
      <c r="E822" s="1" t="str">
        <f>_xlfn.XLOOKUP(tblGJ[[#This Row],[Account Code]],tblCOA[Code],tblCOA[Account Name],"⚠ Invalid account")</f>
        <v>WHT Payable - Unifikasi (Art. 23/4(2))</v>
      </c>
      <c r="F822" s="1" t="s">
        <v>5960</v>
      </c>
      <c r="G822" s="5">
        <f>IF(MONTH(tblGJ[[#This Row],[Date]])=1,_xlfn.XLOOKUP(2240,tblCOA[Code],tblCOA[Opening Balance]),SUMIFS(tblPurchases[WHT Amount],tblPurchases[Month],MONTH(tblGJ[[#This Row],[Date]])-1))</f>
        <v>643880</v>
      </c>
      <c r="H822" s="5"/>
      <c r="I822" s="1" t="s">
        <v>6528</v>
      </c>
      <c r="J822" s="1">
        <f>MONTH(tblGJ[[#This Row],[Date]])</f>
        <v>11</v>
      </c>
      <c r="K822" s="1" t="str">
        <f>_xlfn.XLOOKUP(tblGJ[[#This Row],[Account Code]],tblCOA[Code],tblCOA[FS Line],"")</f>
        <v>Taxes payable</v>
      </c>
      <c r="L822" s="121" t="str">
        <f>IF(OR(tblGJ[[#This Row],[Account Code]]=1120,tblGJ[[#This Row],[Account Code]]=1130),_xlfn.MINIFS(tblBank[Value Date],tblBank[Reference],tblGJ[[#This Row],[Voucher No]],tblBank[Account Code],tblGJ[[#This Row],[Account Code]]),"")</f>
        <v/>
      </c>
      <c r="M822" s="1" t="str">
        <f>IF(tblGJ[[#This Row],[Date]]&lt;=PEnd,"Yes","No")</f>
        <v>No</v>
      </c>
    </row>
    <row r="823" spans="2:13" x14ac:dyDescent="0.35">
      <c r="B823" s="109">
        <v>46341</v>
      </c>
      <c r="C823" s="1" t="s">
        <v>5907</v>
      </c>
      <c r="D823" s="1">
        <v>1120</v>
      </c>
      <c r="E823" s="1" t="str">
        <f>_xlfn.XLOOKUP(tblGJ[[#This Row],[Account Code]],tblCOA[Code],tblCOA[Account Name],"⚠ Invalid account")</f>
        <v>Bank BCA - Current Account</v>
      </c>
      <c r="F823" s="1" t="s">
        <v>5960</v>
      </c>
      <c r="G823" s="5"/>
      <c r="H823" s="5">
        <f>IF(MONTH(tblGJ[[#This Row],[Date]])=1,_xlfn.XLOOKUP(2240,tblCOA[Code],tblCOA[Opening Balance]),SUMIFS(tblPurchases[WHT Amount],tblPurchases[Month],MONTH(tblGJ[[#This Row],[Date]])-1))</f>
        <v>643880</v>
      </c>
      <c r="I823" s="1" t="s">
        <v>6528</v>
      </c>
      <c r="J823" s="1">
        <f>MONTH(tblGJ[[#This Row],[Date]])</f>
        <v>11</v>
      </c>
      <c r="K823" s="1" t="str">
        <f>_xlfn.XLOOKUP(tblGJ[[#This Row],[Account Code]],tblCOA[Code],tblCOA[FS Line],"")</f>
        <v>Cash and cash equivalents</v>
      </c>
      <c r="L823" s="121">
        <f>IF(OR(tblGJ[[#This Row],[Account Code]]=1120,tblGJ[[#This Row],[Account Code]]=1130),_xlfn.MINIFS(tblBank[Value Date],tblBank[Reference],tblGJ[[#This Row],[Voucher No]],tblBank[Account Code],tblGJ[[#This Row],[Account Code]]),"")</f>
        <v>46341</v>
      </c>
      <c r="M823" s="1" t="str">
        <f>IF(tblGJ[[#This Row],[Date]]&lt;=PEnd,"Yes","No")</f>
        <v>No</v>
      </c>
    </row>
    <row r="824" spans="2:13" x14ac:dyDescent="0.35">
      <c r="B824" s="109">
        <v>46341</v>
      </c>
      <c r="C824" s="1" t="s">
        <v>5908</v>
      </c>
      <c r="D824" s="1">
        <v>1520</v>
      </c>
      <c r="E824" s="1" t="str">
        <f>_xlfn.XLOOKUP(tblGJ[[#This Row],[Account Code]],tblCOA[Code],tblCOA[Account Name],"⚠ Invalid account")</f>
        <v>Prepaid Income Tax - Art. 25</v>
      </c>
      <c r="F824" s="1" t="s">
        <v>6433</v>
      </c>
      <c r="G824" s="5">
        <f>PPh25Inst</f>
        <v>20000000</v>
      </c>
      <c r="H824" s="5"/>
      <c r="I824" s="1" t="s">
        <v>6528</v>
      </c>
      <c r="J824" s="1">
        <f>MONTH(tblGJ[[#This Row],[Date]])</f>
        <v>11</v>
      </c>
      <c r="K824" s="1" t="str">
        <f>_xlfn.XLOOKUP(tblGJ[[#This Row],[Account Code]],tblCOA[Code],tblCOA[FS Line],"")</f>
        <v>Prepaid taxes</v>
      </c>
      <c r="L824" s="121" t="str">
        <f>IF(OR(tblGJ[[#This Row],[Account Code]]=1120,tblGJ[[#This Row],[Account Code]]=1130),_xlfn.MINIFS(tblBank[Value Date],tblBank[Reference],tblGJ[[#This Row],[Voucher No]],tblBank[Account Code],tblGJ[[#This Row],[Account Code]]),"")</f>
        <v/>
      </c>
      <c r="M824" s="1" t="str">
        <f>IF(tblGJ[[#This Row],[Date]]&lt;=PEnd,"Yes","No")</f>
        <v>No</v>
      </c>
    </row>
    <row r="825" spans="2:13" x14ac:dyDescent="0.35">
      <c r="B825" s="109">
        <v>46341</v>
      </c>
      <c r="C825" s="1" t="s">
        <v>5908</v>
      </c>
      <c r="D825" s="1">
        <v>1120</v>
      </c>
      <c r="E825" s="1" t="str">
        <f>_xlfn.XLOOKUP(tblGJ[[#This Row],[Account Code]],tblCOA[Code],tblCOA[Account Name],"⚠ Invalid account")</f>
        <v>Bank BCA - Current Account</v>
      </c>
      <c r="F825" s="1" t="s">
        <v>6433</v>
      </c>
      <c r="G825" s="5"/>
      <c r="H825" s="5">
        <f>PPh25Inst</f>
        <v>20000000</v>
      </c>
      <c r="I825" s="1" t="s">
        <v>6528</v>
      </c>
      <c r="J825" s="1">
        <f>MONTH(tblGJ[[#This Row],[Date]])</f>
        <v>11</v>
      </c>
      <c r="K825" s="1" t="str">
        <f>_xlfn.XLOOKUP(tblGJ[[#This Row],[Account Code]],tblCOA[Code],tblCOA[FS Line],"")</f>
        <v>Cash and cash equivalents</v>
      </c>
      <c r="L825" s="121">
        <f>IF(OR(tblGJ[[#This Row],[Account Code]]=1120,tblGJ[[#This Row],[Account Code]]=1130),_xlfn.MINIFS(tblBank[Value Date],tblBank[Reference],tblGJ[[#This Row],[Voucher No]],tblBank[Account Code],tblGJ[[#This Row],[Account Code]]),"")</f>
        <v>46341</v>
      </c>
      <c r="M825" s="1" t="str">
        <f>IF(tblGJ[[#This Row],[Date]]&lt;=PEnd,"Yes","No")</f>
        <v>No</v>
      </c>
    </row>
    <row r="826" spans="2:13" x14ac:dyDescent="0.35">
      <c r="B826" s="109">
        <v>46346</v>
      </c>
      <c r="C826" s="1" t="s">
        <v>5909</v>
      </c>
      <c r="D826" s="1">
        <v>1120</v>
      </c>
      <c r="E826" s="1" t="str">
        <f>_xlfn.XLOOKUP(tblGJ[[#This Row],[Account Code]],tblCOA[Code],tblCOA[Account Name],"⚠ Invalid account")</f>
        <v>Bank BCA - Current Account</v>
      </c>
      <c r="F826" s="1" t="s">
        <v>6434</v>
      </c>
      <c r="G826" s="5">
        <f>IF(MONTH(tblGJ[[#This Row],[Date]])=1,_xlfn.XLOOKUP(1210,tblCOA[Code],tblCOA[Opening Balance]),SUMIFS(tblSales[Total incl. VAT],tblSales[Month],MONTH(tblGJ[[#This Row],[Date]])-1,tblSales[Payment Method],Products!$O$15))</f>
        <v>1057341600</v>
      </c>
      <c r="H826" s="5"/>
      <c r="I826" s="1" t="s">
        <v>6530</v>
      </c>
      <c r="J826" s="1">
        <f>MONTH(tblGJ[[#This Row],[Date]])</f>
        <v>11</v>
      </c>
      <c r="K826" s="1" t="str">
        <f>_xlfn.XLOOKUP(tblGJ[[#This Row],[Account Code]],tblCOA[Code],tblCOA[FS Line],"")</f>
        <v>Cash and cash equivalents</v>
      </c>
      <c r="L826" s="121">
        <f>IF(OR(tblGJ[[#This Row],[Account Code]]=1120,tblGJ[[#This Row],[Account Code]]=1130),_xlfn.MINIFS(tblBank[Value Date],tblBank[Reference],tblGJ[[#This Row],[Voucher No]],tblBank[Account Code],tblGJ[[#This Row],[Account Code]]),"")</f>
        <v>46346</v>
      </c>
      <c r="M826" s="1" t="str">
        <f>IF(tblGJ[[#This Row],[Date]]&lt;=PEnd,"Yes","No")</f>
        <v>No</v>
      </c>
    </row>
    <row r="827" spans="2:13" x14ac:dyDescent="0.35">
      <c r="B827" s="109">
        <v>46346</v>
      </c>
      <c r="C827" s="1" t="s">
        <v>5909</v>
      </c>
      <c r="D827" s="1">
        <v>1210</v>
      </c>
      <c r="E827" s="1" t="str">
        <f>_xlfn.XLOOKUP(tblGJ[[#This Row],[Account Code]],tblCOA[Code],tblCOA[Account Name],"⚠ Invalid account")</f>
        <v>Trade Receivables</v>
      </c>
      <c r="F827" s="1" t="s">
        <v>6435</v>
      </c>
      <c r="G827" s="5"/>
      <c r="H827" s="5">
        <f>IF(MONTH(tblGJ[[#This Row],[Date]])=1,_xlfn.XLOOKUP(1210,tblCOA[Code],tblCOA[Opening Balance]),SUMIFS(tblSales[Total incl. VAT],tblSales[Month],MONTH(tblGJ[[#This Row],[Date]])-1,tblSales[Payment Method],Products!$O$15))</f>
        <v>1057341600</v>
      </c>
      <c r="I827" s="1" t="s">
        <v>6530</v>
      </c>
      <c r="J827" s="1">
        <f>MONTH(tblGJ[[#This Row],[Date]])</f>
        <v>11</v>
      </c>
      <c r="K827" s="1" t="str">
        <f>_xlfn.XLOOKUP(tblGJ[[#This Row],[Account Code]],tblCOA[Code],tblCOA[FS Line],"")</f>
        <v>Trade receivables - net</v>
      </c>
      <c r="L827" s="121" t="str">
        <f>IF(OR(tblGJ[[#This Row],[Account Code]]=1120,tblGJ[[#This Row],[Account Code]]=1130),_xlfn.MINIFS(tblBank[Value Date],tblBank[Reference],tblGJ[[#This Row],[Voucher No]],tblBank[Account Code],tblGJ[[#This Row],[Account Code]]),"")</f>
        <v/>
      </c>
      <c r="M827" s="1" t="str">
        <f>IF(tblGJ[[#This Row],[Date]]&lt;=PEnd,"Yes","No")</f>
        <v>No</v>
      </c>
    </row>
    <row r="828" spans="2:13" x14ac:dyDescent="0.35">
      <c r="B828" s="109">
        <v>46350</v>
      </c>
      <c r="C828" s="1" t="s">
        <v>5910</v>
      </c>
      <c r="D828" s="1">
        <v>1130</v>
      </c>
      <c r="E828" s="1" t="str">
        <f>_xlfn.XLOOKUP(tblGJ[[#This Row],[Account Code]],tblCOA[Code],tblCOA[Account Name],"⚠ Invalid account")</f>
        <v>Bank Mandiri - Current Account</v>
      </c>
      <c r="F828" s="1" t="s">
        <v>6436</v>
      </c>
      <c r="G828" s="5">
        <f>SUMIFS(tblPayroll[Net Pay],tblPayroll[Period],MONTH(tblGJ[[#This Row],[Date]]))</f>
        <v>161397799</v>
      </c>
      <c r="H828" s="5"/>
      <c r="I828" s="1" t="s">
        <v>6531</v>
      </c>
      <c r="J828" s="1">
        <f>MONTH(tblGJ[[#This Row],[Date]])</f>
        <v>11</v>
      </c>
      <c r="K828" s="1" t="str">
        <f>_xlfn.XLOOKUP(tblGJ[[#This Row],[Account Code]],tblCOA[Code],tblCOA[FS Line],"")</f>
        <v>Cash and cash equivalents</v>
      </c>
      <c r="L828" s="121">
        <f>IF(OR(tblGJ[[#This Row],[Account Code]]=1120,tblGJ[[#This Row],[Account Code]]=1130),_xlfn.MINIFS(tblBank[Value Date],tblBank[Reference],tblGJ[[#This Row],[Voucher No]],tblBank[Account Code],tblGJ[[#This Row],[Account Code]]),"")</f>
        <v>46350</v>
      </c>
      <c r="M828" s="1" t="str">
        <f>IF(tblGJ[[#This Row],[Date]]&lt;=PEnd,"Yes","No")</f>
        <v>No</v>
      </c>
    </row>
    <row r="829" spans="2:13" x14ac:dyDescent="0.35">
      <c r="B829" s="109">
        <v>46350</v>
      </c>
      <c r="C829" s="1" t="s">
        <v>5910</v>
      </c>
      <c r="D829" s="1">
        <v>1120</v>
      </c>
      <c r="E829" s="1" t="str">
        <f>_xlfn.XLOOKUP(tblGJ[[#This Row],[Account Code]],tblCOA[Code],tblCOA[Account Name],"⚠ Invalid account")</f>
        <v>Bank BCA - Current Account</v>
      </c>
      <c r="F829" s="1" t="s">
        <v>6437</v>
      </c>
      <c r="G829" s="5"/>
      <c r="H829" s="5">
        <f>SUMIFS(tblPayroll[Net Pay],tblPayroll[Period],MONTH(tblGJ[[#This Row],[Date]]))</f>
        <v>161397799</v>
      </c>
      <c r="I829" s="1" t="s">
        <v>6531</v>
      </c>
      <c r="J829" s="1">
        <f>MONTH(tblGJ[[#This Row],[Date]])</f>
        <v>11</v>
      </c>
      <c r="K829" s="1" t="str">
        <f>_xlfn.XLOOKUP(tblGJ[[#This Row],[Account Code]],tblCOA[Code],tblCOA[FS Line],"")</f>
        <v>Cash and cash equivalents</v>
      </c>
      <c r="L829" s="121">
        <f>IF(OR(tblGJ[[#This Row],[Account Code]]=1120,tblGJ[[#This Row],[Account Code]]=1130),_xlfn.MINIFS(tblBank[Value Date],tblBank[Reference],tblGJ[[#This Row],[Voucher No]],tblBank[Account Code],tblGJ[[#This Row],[Account Code]]),"")</f>
        <v>46350</v>
      </c>
      <c r="M829" s="1" t="str">
        <f>IF(tblGJ[[#This Row],[Date]]&lt;=PEnd,"Yes","No")</f>
        <v>No</v>
      </c>
    </row>
    <row r="830" spans="2:13" x14ac:dyDescent="0.35">
      <c r="B830" s="109">
        <v>46351</v>
      </c>
      <c r="C830" s="1" t="s">
        <v>5911</v>
      </c>
      <c r="D830" s="1">
        <v>6110</v>
      </c>
      <c r="E830" s="1" t="str">
        <f>_xlfn.XLOOKUP(tblGJ[[#This Row],[Account Code]],tblCOA[Code],tblCOA[Account Name],"⚠ Invalid account")</f>
        <v>Salaries &amp; Allowances - Selling</v>
      </c>
      <c r="F830" s="1" t="s">
        <v>6438</v>
      </c>
      <c r="G830" s="5">
        <f>SUMIFS(tblPayroll[Gross Salary],tblPayroll[Period],MONTH(tblGJ[[#This Row],[Date]]),tblPayroll[Department],"Selling")</f>
        <v>80200000</v>
      </c>
      <c r="H830" s="5"/>
      <c r="I830" s="1" t="s">
        <v>6531</v>
      </c>
      <c r="J830" s="1">
        <f>MONTH(tblGJ[[#This Row],[Date]])</f>
        <v>11</v>
      </c>
      <c r="K830" s="1" t="str">
        <f>_xlfn.XLOOKUP(tblGJ[[#This Row],[Account Code]],tblCOA[Code],tblCOA[FS Line],"")</f>
        <v>Selling expenses</v>
      </c>
      <c r="L830" s="121" t="str">
        <f>IF(OR(tblGJ[[#This Row],[Account Code]]=1120,tblGJ[[#This Row],[Account Code]]=1130),_xlfn.MINIFS(tblBank[Value Date],tblBank[Reference],tblGJ[[#This Row],[Voucher No]],tblBank[Account Code],tblGJ[[#This Row],[Account Code]]),"")</f>
        <v/>
      </c>
      <c r="M830" s="1" t="str">
        <f>IF(tblGJ[[#This Row],[Date]]&lt;=PEnd,"Yes","No")</f>
        <v>No</v>
      </c>
    </row>
    <row r="831" spans="2:13" x14ac:dyDescent="0.35">
      <c r="B831" s="109">
        <v>46351</v>
      </c>
      <c r="C831" s="1" t="s">
        <v>5911</v>
      </c>
      <c r="D831" s="1">
        <v>6111</v>
      </c>
      <c r="E831" s="1" t="str">
        <f>_xlfn.XLOOKUP(tblGJ[[#This Row],[Account Code]],tblCOA[Code],tblCOA[Account Name],"⚠ Invalid account")</f>
        <v>BPJS Employer Contributions - Selling</v>
      </c>
      <c r="F831" s="1" t="s">
        <v>6439</v>
      </c>
      <c r="G831" s="5">
        <f>SUMIFS(tblPayroll[Employer BPJS Total],tblPayroll[Period],MONTH(tblGJ[[#This Row],[Date]]),tblPayroll[Department],"Selling")</f>
        <v>7824376</v>
      </c>
      <c r="H831" s="5"/>
      <c r="I831" s="1" t="s">
        <v>6531</v>
      </c>
      <c r="J831" s="1">
        <f>MONTH(tblGJ[[#This Row],[Date]])</f>
        <v>11</v>
      </c>
      <c r="K831" s="1" t="str">
        <f>_xlfn.XLOOKUP(tblGJ[[#This Row],[Account Code]],tblCOA[Code],tblCOA[FS Line],"")</f>
        <v>Selling expenses</v>
      </c>
      <c r="L831" s="121" t="str">
        <f>IF(OR(tblGJ[[#This Row],[Account Code]]=1120,tblGJ[[#This Row],[Account Code]]=1130),_xlfn.MINIFS(tblBank[Value Date],tblBank[Reference],tblGJ[[#This Row],[Voucher No]],tblBank[Account Code],tblGJ[[#This Row],[Account Code]]),"")</f>
        <v/>
      </c>
      <c r="M831" s="1" t="str">
        <f>IF(tblGJ[[#This Row],[Date]]&lt;=PEnd,"Yes","No")</f>
        <v>No</v>
      </c>
    </row>
    <row r="832" spans="2:13" x14ac:dyDescent="0.35">
      <c r="B832" s="109">
        <v>46351</v>
      </c>
      <c r="C832" s="1" t="s">
        <v>5911</v>
      </c>
      <c r="D832" s="1">
        <v>6210</v>
      </c>
      <c r="E832" s="1" t="str">
        <f>_xlfn.XLOOKUP(tblGJ[[#This Row],[Account Code]],tblCOA[Code],tblCOA[Account Name],"⚠ Invalid account")</f>
        <v>Salaries &amp; Allowances - G&amp;A</v>
      </c>
      <c r="F832" s="1" t="s">
        <v>6440</v>
      </c>
      <c r="G832" s="5">
        <f>SUMIFS(tblPayroll[Gross Salary],tblPayroll[Period],MONTH(tblGJ[[#This Row],[Date]]),tblPayroll[Department],"G&amp;A")</f>
        <v>98000000</v>
      </c>
      <c r="H832" s="5"/>
      <c r="I832" s="1" t="s">
        <v>6531</v>
      </c>
      <c r="J832" s="1">
        <f>MONTH(tblGJ[[#This Row],[Date]])</f>
        <v>11</v>
      </c>
      <c r="K832" s="1" t="str">
        <f>_xlfn.XLOOKUP(tblGJ[[#This Row],[Account Code]],tblCOA[Code],tblCOA[FS Line],"")</f>
        <v>General &amp; administrative expenses</v>
      </c>
      <c r="L832" s="121" t="str">
        <f>IF(OR(tblGJ[[#This Row],[Account Code]]=1120,tblGJ[[#This Row],[Account Code]]=1130),_xlfn.MINIFS(tblBank[Value Date],tblBank[Reference],tblGJ[[#This Row],[Voucher No]],tblBank[Account Code],tblGJ[[#This Row],[Account Code]]),"")</f>
        <v/>
      </c>
      <c r="M832" s="1" t="str">
        <f>IF(tblGJ[[#This Row],[Date]]&lt;=PEnd,"Yes","No")</f>
        <v>No</v>
      </c>
    </row>
    <row r="833" spans="2:13" x14ac:dyDescent="0.35">
      <c r="B833" s="109">
        <v>46351</v>
      </c>
      <c r="C833" s="1" t="s">
        <v>5911</v>
      </c>
      <c r="D833" s="1">
        <v>6211</v>
      </c>
      <c r="E833" s="1" t="str">
        <f>_xlfn.XLOOKUP(tblGJ[[#This Row],[Account Code]],tblCOA[Code],tblCOA[Account Name],"⚠ Invalid account")</f>
        <v>BPJS Employer Contributions - G&amp;A</v>
      </c>
      <c r="F833" s="1" t="s">
        <v>6441</v>
      </c>
      <c r="G833" s="5">
        <f>SUMIFS(tblPayroll[Employer BPJS Total],tblPayroll[Period],MONTH(tblGJ[[#This Row],[Date]]),tblPayroll[Department],"G&amp;A")</f>
        <v>7968044</v>
      </c>
      <c r="H833" s="5"/>
      <c r="I833" s="1" t="s">
        <v>6531</v>
      </c>
      <c r="J833" s="1">
        <f>MONTH(tblGJ[[#This Row],[Date]])</f>
        <v>11</v>
      </c>
      <c r="K833" s="1" t="str">
        <f>_xlfn.XLOOKUP(tblGJ[[#This Row],[Account Code]],tblCOA[Code],tblCOA[FS Line],"")</f>
        <v>General &amp; administrative expenses</v>
      </c>
      <c r="L833" s="121" t="str">
        <f>IF(OR(tblGJ[[#This Row],[Account Code]]=1120,tblGJ[[#This Row],[Account Code]]=1130),_xlfn.MINIFS(tblBank[Value Date],tblBank[Reference],tblGJ[[#This Row],[Voucher No]],tblBank[Account Code],tblGJ[[#This Row],[Account Code]]),"")</f>
        <v/>
      </c>
      <c r="M833" s="1" t="str">
        <f>IF(tblGJ[[#This Row],[Date]]&lt;=PEnd,"Yes","No")</f>
        <v>No</v>
      </c>
    </row>
    <row r="834" spans="2:13" x14ac:dyDescent="0.35">
      <c r="B834" s="109">
        <v>46351</v>
      </c>
      <c r="C834" s="1" t="s">
        <v>5911</v>
      </c>
      <c r="D834" s="1">
        <v>2230</v>
      </c>
      <c r="E834" s="1" t="str">
        <f>_xlfn.XLOOKUP(tblGJ[[#This Row],[Account Code]],tblCOA[Code],tblCOA[Account Name],"⚠ Invalid account")</f>
        <v>WHT Payable - Art. 21</v>
      </c>
      <c r="F834" s="1" t="s">
        <v>6442</v>
      </c>
      <c r="G834" s="5"/>
      <c r="H834" s="5">
        <f>SUMIFS(tblPayroll[PPh 21],tblPayroll[Period],MONTH(tblGJ[[#This Row],[Date]]))</f>
        <v>10516831</v>
      </c>
      <c r="I834" s="1" t="s">
        <v>6531</v>
      </c>
      <c r="J834" s="1">
        <f>MONTH(tblGJ[[#This Row],[Date]])</f>
        <v>11</v>
      </c>
      <c r="K834" s="1" t="str">
        <f>_xlfn.XLOOKUP(tblGJ[[#This Row],[Account Code]],tblCOA[Code],tblCOA[FS Line],"")</f>
        <v>Taxes payable</v>
      </c>
      <c r="L834" s="121" t="str">
        <f>IF(OR(tblGJ[[#This Row],[Account Code]]=1120,tblGJ[[#This Row],[Account Code]]=1130),_xlfn.MINIFS(tblBank[Value Date],tblBank[Reference],tblGJ[[#This Row],[Voucher No]],tblBank[Account Code],tblGJ[[#This Row],[Account Code]]),"")</f>
        <v/>
      </c>
      <c r="M834" s="1" t="str">
        <f>IF(tblGJ[[#This Row],[Date]]&lt;=PEnd,"Yes","No")</f>
        <v>No</v>
      </c>
    </row>
    <row r="835" spans="2:13" x14ac:dyDescent="0.35">
      <c r="B835" s="109">
        <v>46351</v>
      </c>
      <c r="C835" s="1" t="s">
        <v>5911</v>
      </c>
      <c r="D835" s="1">
        <v>2150</v>
      </c>
      <c r="E835" s="1" t="str">
        <f>_xlfn.XLOOKUP(tblGJ[[#This Row],[Account Code]],tblCOA[Code],tblCOA[Account Name],"⚠ Invalid account")</f>
        <v>BPJS Payable</v>
      </c>
      <c r="F835" s="1" t="s">
        <v>6443</v>
      </c>
      <c r="G835" s="5"/>
      <c r="H835" s="5">
        <f>SUMIFS(tblPayroll[BPJS Payable],tblPayroll[Period],MONTH(tblGJ[[#This Row],[Date]]))</f>
        <v>22077790</v>
      </c>
      <c r="I835" s="1" t="s">
        <v>6531</v>
      </c>
      <c r="J835" s="1">
        <f>MONTH(tblGJ[[#This Row],[Date]])</f>
        <v>11</v>
      </c>
      <c r="K835" s="1" t="str">
        <f>_xlfn.XLOOKUP(tblGJ[[#This Row],[Account Code]],tblCOA[Code],tblCOA[FS Line],"")</f>
        <v>Accrued expenses</v>
      </c>
      <c r="L835" s="121" t="str">
        <f>IF(OR(tblGJ[[#This Row],[Account Code]]=1120,tblGJ[[#This Row],[Account Code]]=1130),_xlfn.MINIFS(tblBank[Value Date],tblBank[Reference],tblGJ[[#This Row],[Voucher No]],tblBank[Account Code],tblGJ[[#This Row],[Account Code]]),"")</f>
        <v/>
      </c>
      <c r="M835" s="1" t="str">
        <f>IF(tblGJ[[#This Row],[Date]]&lt;=PEnd,"Yes","No")</f>
        <v>No</v>
      </c>
    </row>
    <row r="836" spans="2:13" x14ac:dyDescent="0.35">
      <c r="B836" s="109">
        <v>46351</v>
      </c>
      <c r="C836" s="1" t="s">
        <v>5911</v>
      </c>
      <c r="D836" s="1">
        <v>1130</v>
      </c>
      <c r="E836" s="1" t="str">
        <f>_xlfn.XLOOKUP(tblGJ[[#This Row],[Account Code]],tblCOA[Code],tblCOA[Account Name],"⚠ Invalid account")</f>
        <v>Bank Mandiri - Current Account</v>
      </c>
      <c r="F836" s="1" t="s">
        <v>6444</v>
      </c>
      <c r="G836" s="5"/>
      <c r="H836" s="5">
        <f>SUMIFS(tblPayroll[Net Pay],tblPayroll[Period],MONTH(tblGJ[[#This Row],[Date]]))</f>
        <v>161397799</v>
      </c>
      <c r="I836" s="1" t="s">
        <v>6531</v>
      </c>
      <c r="J836" s="1">
        <f>MONTH(tblGJ[[#This Row],[Date]])</f>
        <v>11</v>
      </c>
      <c r="K836" s="1" t="str">
        <f>_xlfn.XLOOKUP(tblGJ[[#This Row],[Account Code]],tblCOA[Code],tblCOA[FS Line],"")</f>
        <v>Cash and cash equivalents</v>
      </c>
      <c r="L836" s="121">
        <f>IF(OR(tblGJ[[#This Row],[Account Code]]=1120,tblGJ[[#This Row],[Account Code]]=1130),_xlfn.MINIFS(tblBank[Value Date],tblBank[Reference],tblGJ[[#This Row],[Voucher No]],tblBank[Account Code],tblGJ[[#This Row],[Account Code]]),"")</f>
        <v>46351</v>
      </c>
      <c r="M836" s="1" t="str">
        <f>IF(tblGJ[[#This Row],[Date]]&lt;=PEnd,"Yes","No")</f>
        <v>No</v>
      </c>
    </row>
    <row r="837" spans="2:13" x14ac:dyDescent="0.35">
      <c r="B837" s="109">
        <v>46354</v>
      </c>
      <c r="C837" s="1" t="s">
        <v>5912</v>
      </c>
      <c r="D837" s="1">
        <v>2220</v>
      </c>
      <c r="E837" s="1" t="str">
        <f>_xlfn.XLOOKUP(tblGJ[[#This Row],[Account Code]],tblCOA[Code],tblCOA[Account Name],"⚠ Invalid account")</f>
        <v>VAT Payable - Net</v>
      </c>
      <c r="F837" s="1" t="s">
        <v>5974</v>
      </c>
      <c r="G837" s="5">
        <f>IF(MONTH(tblGJ[[#This Row],[Date]])=1,_xlfn.XLOOKUP(2220,tblCOA[Code],tblCOA[Opening Balance]),SUMIFS(tblSales[Output VAT],tblSales[Month],MONTH(tblGJ[[#This Row],[Date]])-1)-SUMIFS(tblPurchases[Input VAT],tblPurchases[Month],MONTH(tblGJ[[#This Row],[Date]])-1))</f>
        <v>60515180</v>
      </c>
      <c r="H837" s="5"/>
      <c r="I837" s="1" t="s">
        <v>6528</v>
      </c>
      <c r="J837" s="1">
        <f>MONTH(tblGJ[[#This Row],[Date]])</f>
        <v>11</v>
      </c>
      <c r="K837" s="1" t="str">
        <f>_xlfn.XLOOKUP(tblGJ[[#This Row],[Account Code]],tblCOA[Code],tblCOA[FS Line],"")</f>
        <v>Taxes payable</v>
      </c>
      <c r="L837" s="121" t="str">
        <f>IF(OR(tblGJ[[#This Row],[Account Code]]=1120,tblGJ[[#This Row],[Account Code]]=1130),_xlfn.MINIFS(tblBank[Value Date],tblBank[Reference],tblGJ[[#This Row],[Voucher No]],tblBank[Account Code],tblGJ[[#This Row],[Account Code]]),"")</f>
        <v/>
      </c>
      <c r="M837" s="1" t="str">
        <f>IF(tblGJ[[#This Row],[Date]]&lt;=PEnd,"Yes","No")</f>
        <v>No</v>
      </c>
    </row>
    <row r="838" spans="2:13" x14ac:dyDescent="0.35">
      <c r="B838" s="109">
        <v>46354</v>
      </c>
      <c r="C838" s="1" t="s">
        <v>5912</v>
      </c>
      <c r="D838" s="1">
        <v>1120</v>
      </c>
      <c r="E838" s="1" t="str">
        <f>_xlfn.XLOOKUP(tblGJ[[#This Row],[Account Code]],tblCOA[Code],tblCOA[Account Name],"⚠ Invalid account")</f>
        <v>Bank BCA - Current Account</v>
      </c>
      <c r="F838" s="1" t="s">
        <v>5974</v>
      </c>
      <c r="G838" s="5"/>
      <c r="H838" s="5">
        <f>IF(MONTH(tblGJ[[#This Row],[Date]])=1,_xlfn.XLOOKUP(2220,tblCOA[Code],tblCOA[Opening Balance]),SUMIFS(tblSales[Output VAT],tblSales[Month],MONTH(tblGJ[[#This Row],[Date]])-1)-SUMIFS(tblPurchases[Input VAT],tblPurchases[Month],MONTH(tblGJ[[#This Row],[Date]])-1))</f>
        <v>60515180</v>
      </c>
      <c r="I838" s="1" t="s">
        <v>6528</v>
      </c>
      <c r="J838" s="1">
        <f>MONTH(tblGJ[[#This Row],[Date]])</f>
        <v>11</v>
      </c>
      <c r="K838" s="1" t="str">
        <f>_xlfn.XLOOKUP(tblGJ[[#This Row],[Account Code]],tblCOA[Code],tblCOA[FS Line],"")</f>
        <v>Cash and cash equivalents</v>
      </c>
      <c r="L838" s="121">
        <f>IF(OR(tblGJ[[#This Row],[Account Code]]=1120,tblGJ[[#This Row],[Account Code]]=1130),_xlfn.MINIFS(tblBank[Value Date],tblBank[Reference],tblGJ[[#This Row],[Voucher No]],tblBank[Account Code],tblGJ[[#This Row],[Account Code]]),"")</f>
        <v>46354</v>
      </c>
      <c r="M838" s="1" t="str">
        <f>IF(tblGJ[[#This Row],[Date]]&lt;=PEnd,"Yes","No")</f>
        <v>No</v>
      </c>
    </row>
    <row r="839" spans="2:13" x14ac:dyDescent="0.35">
      <c r="B839" s="109">
        <v>46354</v>
      </c>
      <c r="C839" s="1" t="s">
        <v>5913</v>
      </c>
      <c r="D839" s="1">
        <v>2410</v>
      </c>
      <c r="E839" s="1" t="str">
        <f>_xlfn.XLOOKUP(tblGJ[[#This Row],[Account Code]],tblCOA[Code],tblCOA[Account Name],"⚠ Invalid account")</f>
        <v>Long-term Bank Loan</v>
      </c>
      <c r="F839" s="1" t="s">
        <v>6445</v>
      </c>
      <c r="G839" s="5">
        <v>25000000</v>
      </c>
      <c r="H839" s="5"/>
      <c r="I839" s="1" t="s">
        <v>4263</v>
      </c>
      <c r="J839" s="1">
        <f>MONTH(tblGJ[[#This Row],[Date]])</f>
        <v>11</v>
      </c>
      <c r="K839" s="1" t="str">
        <f>_xlfn.XLOOKUP(tblGJ[[#This Row],[Account Code]],tblCOA[Code],tblCOA[FS Line],"")</f>
        <v>Long-term bank loans</v>
      </c>
      <c r="L839" s="121" t="str">
        <f>IF(OR(tblGJ[[#This Row],[Account Code]]=1120,tblGJ[[#This Row],[Account Code]]=1130),_xlfn.MINIFS(tblBank[Value Date],tblBank[Reference],tblGJ[[#This Row],[Voucher No]],tblBank[Account Code],tblGJ[[#This Row],[Account Code]]),"")</f>
        <v/>
      </c>
      <c r="M839" s="1" t="str">
        <f>IF(tblGJ[[#This Row],[Date]]&lt;=PEnd,"Yes","No")</f>
        <v>No</v>
      </c>
    </row>
    <row r="840" spans="2:13" x14ac:dyDescent="0.35">
      <c r="B840" s="109">
        <v>46354</v>
      </c>
      <c r="C840" s="1" t="s">
        <v>5913</v>
      </c>
      <c r="D840" s="1">
        <v>7210</v>
      </c>
      <c r="E840" s="1" t="str">
        <f>_xlfn.XLOOKUP(tblGJ[[#This Row],[Account Code]],tblCOA[Code],tblCOA[Account Name],"⚠ Invalid account")</f>
        <v>Interest Expense - Bank Loans</v>
      </c>
      <c r="F840" s="1" t="s">
        <v>6446</v>
      </c>
      <c r="G840" s="5">
        <v>9375000</v>
      </c>
      <c r="H840" s="5"/>
      <c r="I840" s="1" t="s">
        <v>4263</v>
      </c>
      <c r="J840" s="1">
        <f>MONTH(tblGJ[[#This Row],[Date]])</f>
        <v>11</v>
      </c>
      <c r="K840" s="1" t="str">
        <f>_xlfn.XLOOKUP(tblGJ[[#This Row],[Account Code]],tblCOA[Code],tblCOA[FS Line],"")</f>
        <v>Finance costs</v>
      </c>
      <c r="L840" s="121" t="str">
        <f>IF(OR(tblGJ[[#This Row],[Account Code]]=1120,tblGJ[[#This Row],[Account Code]]=1130),_xlfn.MINIFS(tblBank[Value Date],tblBank[Reference],tblGJ[[#This Row],[Voucher No]],tblBank[Account Code],tblGJ[[#This Row],[Account Code]]),"")</f>
        <v/>
      </c>
      <c r="M840" s="1" t="str">
        <f>IF(tblGJ[[#This Row],[Date]]&lt;=PEnd,"Yes","No")</f>
        <v>No</v>
      </c>
    </row>
    <row r="841" spans="2:13" x14ac:dyDescent="0.35">
      <c r="B841" s="109">
        <v>46354</v>
      </c>
      <c r="C841" s="1" t="s">
        <v>5913</v>
      </c>
      <c r="D841" s="1">
        <v>1120</v>
      </c>
      <c r="E841" s="1" t="str">
        <f>_xlfn.XLOOKUP(tblGJ[[#This Row],[Account Code]],tblCOA[Code],tblCOA[Account Name],"⚠ Invalid account")</f>
        <v>Bank BCA - Current Account</v>
      </c>
      <c r="F841" s="1" t="s">
        <v>6447</v>
      </c>
      <c r="G841" s="5"/>
      <c r="H841" s="5">
        <v>34375000</v>
      </c>
      <c r="I841" s="1" t="s">
        <v>4263</v>
      </c>
      <c r="J841" s="1">
        <f>MONTH(tblGJ[[#This Row],[Date]])</f>
        <v>11</v>
      </c>
      <c r="K841" s="1" t="str">
        <f>_xlfn.XLOOKUP(tblGJ[[#This Row],[Account Code]],tblCOA[Code],tblCOA[FS Line],"")</f>
        <v>Cash and cash equivalents</v>
      </c>
      <c r="L841" s="121">
        <f>IF(OR(tblGJ[[#This Row],[Account Code]]=1120,tblGJ[[#This Row],[Account Code]]=1130),_xlfn.MINIFS(tblBank[Value Date],tblBank[Reference],tblGJ[[#This Row],[Voucher No]],tblBank[Account Code],tblGJ[[#This Row],[Account Code]]),"")</f>
        <v>46354</v>
      </c>
      <c r="M841" s="1" t="str">
        <f>IF(tblGJ[[#This Row],[Date]]&lt;=PEnd,"Yes","No")</f>
        <v>No</v>
      </c>
    </row>
    <row r="842" spans="2:13" x14ac:dyDescent="0.35">
      <c r="B842" s="109">
        <v>46356</v>
      </c>
      <c r="C842" s="1" t="s">
        <v>5914</v>
      </c>
      <c r="D842" s="1">
        <v>1110</v>
      </c>
      <c r="E842" s="1" t="str">
        <f>_xlfn.XLOOKUP(tblGJ[[#This Row],[Account Code]],tblCOA[Code],tblCOA[Account Name],"⚠ Invalid account")</f>
        <v>Cash on Hand</v>
      </c>
      <c r="F842" s="1" t="s">
        <v>6448</v>
      </c>
      <c r="G842" s="5">
        <f>SUMIFS(tblSales[Total incl. VAT],tblSales[Month],MONTH(tblGJ[[#This Row],[Date]]),tblSales[Payment Method],Products!$O$13)</f>
        <v>136796400</v>
      </c>
      <c r="H842" s="5"/>
      <c r="I842" s="1" t="s">
        <v>6532</v>
      </c>
      <c r="J842" s="1">
        <f>MONTH(tblGJ[[#This Row],[Date]])</f>
        <v>11</v>
      </c>
      <c r="K842" s="1" t="str">
        <f>_xlfn.XLOOKUP(tblGJ[[#This Row],[Account Code]],tblCOA[Code],tblCOA[FS Line],"")</f>
        <v>Cash and cash equivalents</v>
      </c>
      <c r="L842" s="121" t="str">
        <f>IF(OR(tblGJ[[#This Row],[Account Code]]=1120,tblGJ[[#This Row],[Account Code]]=1130),_xlfn.MINIFS(tblBank[Value Date],tblBank[Reference],tblGJ[[#This Row],[Voucher No]],tblBank[Account Code],tblGJ[[#This Row],[Account Code]]),"")</f>
        <v/>
      </c>
      <c r="M842" s="1" t="str">
        <f>IF(tblGJ[[#This Row],[Date]]&lt;=PEnd,"Yes","No")</f>
        <v>No</v>
      </c>
    </row>
    <row r="843" spans="2:13" x14ac:dyDescent="0.35">
      <c r="B843" s="109">
        <v>46356</v>
      </c>
      <c r="C843" s="1" t="s">
        <v>5914</v>
      </c>
      <c r="D843" s="1">
        <v>1120</v>
      </c>
      <c r="E843" s="1" t="str">
        <f>_xlfn.XLOOKUP(tblGJ[[#This Row],[Account Code]],tblCOA[Code],tblCOA[Account Name],"⚠ Invalid account")</f>
        <v>Bank BCA - Current Account</v>
      </c>
      <c r="F843" s="1" t="s">
        <v>6449</v>
      </c>
      <c r="G843" s="5">
        <f>SUMIFS(tblSales[Total incl. VAT],tblSales[Month],MONTH(tblGJ[[#This Row],[Date]]),tblSales[Payment Method],Products!$O$14)</f>
        <v>256582050</v>
      </c>
      <c r="H843" s="5"/>
      <c r="I843" s="1" t="s">
        <v>6532</v>
      </c>
      <c r="J843" s="1">
        <f>MONTH(tblGJ[[#This Row],[Date]])</f>
        <v>11</v>
      </c>
      <c r="K843" s="1" t="str">
        <f>_xlfn.XLOOKUP(tblGJ[[#This Row],[Account Code]],tblCOA[Code],tblCOA[FS Line],"")</f>
        <v>Cash and cash equivalents</v>
      </c>
      <c r="L843" s="121">
        <f>IF(OR(tblGJ[[#This Row],[Account Code]]=1120,tblGJ[[#This Row],[Account Code]]=1130),_xlfn.MINIFS(tblBank[Value Date],tblBank[Reference],tblGJ[[#This Row],[Voucher No]],tblBank[Account Code],tblGJ[[#This Row],[Account Code]]),"")</f>
        <v>46356</v>
      </c>
      <c r="M843" s="1" t="str">
        <f>IF(tblGJ[[#This Row],[Date]]&lt;=PEnd,"Yes","No")</f>
        <v>No</v>
      </c>
    </row>
    <row r="844" spans="2:13" x14ac:dyDescent="0.35">
      <c r="B844" s="109">
        <v>46356</v>
      </c>
      <c r="C844" s="1" t="s">
        <v>5914</v>
      </c>
      <c r="D844" s="1">
        <v>1210</v>
      </c>
      <c r="E844" s="1" t="str">
        <f>_xlfn.XLOOKUP(tblGJ[[#This Row],[Account Code]],tblCOA[Code],tblCOA[Account Name],"⚠ Invalid account")</f>
        <v>Trade Receivables</v>
      </c>
      <c r="F844" s="1" t="s">
        <v>6450</v>
      </c>
      <c r="G844" s="5">
        <f>SUMIFS(tblSales[Total incl. VAT],tblSales[Month],MONTH(tblGJ[[#This Row],[Date]]),tblSales[Payment Method],Products!$O$15)</f>
        <v>879342000</v>
      </c>
      <c r="H844" s="5"/>
      <c r="I844" s="1" t="s">
        <v>6532</v>
      </c>
      <c r="J844" s="1">
        <f>MONTH(tblGJ[[#This Row],[Date]])</f>
        <v>11</v>
      </c>
      <c r="K844" s="1" t="str">
        <f>_xlfn.XLOOKUP(tblGJ[[#This Row],[Account Code]],tblCOA[Code],tblCOA[FS Line],"")</f>
        <v>Trade receivables - net</v>
      </c>
      <c r="L844" s="121" t="str">
        <f>IF(OR(tblGJ[[#This Row],[Account Code]]=1120,tblGJ[[#This Row],[Account Code]]=1130),_xlfn.MINIFS(tblBank[Value Date],tblBank[Reference],tblGJ[[#This Row],[Voucher No]],tblBank[Account Code],tblGJ[[#This Row],[Account Code]]),"")</f>
        <v/>
      </c>
      <c r="M844" s="1" t="str">
        <f>IF(tblGJ[[#This Row],[Date]]&lt;=PEnd,"Yes","No")</f>
        <v>No</v>
      </c>
    </row>
    <row r="845" spans="2:13" x14ac:dyDescent="0.35">
      <c r="B845" s="109">
        <v>46356</v>
      </c>
      <c r="C845" s="1" t="s">
        <v>5914</v>
      </c>
      <c r="D845" s="1">
        <v>4100</v>
      </c>
      <c r="E845" s="1" t="str">
        <f>_xlfn.XLOOKUP(tblGJ[[#This Row],[Account Code]],tblCOA[Code],tblCOA[Account Name],"⚠ Invalid account")</f>
        <v>Sales of goods</v>
      </c>
      <c r="F845" s="1" t="s">
        <v>6451</v>
      </c>
      <c r="G845" s="5"/>
      <c r="H845" s="5">
        <f>SUMIFS(tblSales[DPP (excl. VAT)],tblSales[Month],MONTH(tblGJ[[#This Row],[Date]]))</f>
        <v>1146595000</v>
      </c>
      <c r="I845" s="1" t="s">
        <v>6532</v>
      </c>
      <c r="J845" s="1">
        <f>MONTH(tblGJ[[#This Row],[Date]])</f>
        <v>11</v>
      </c>
      <c r="K845" s="1" t="str">
        <f>_xlfn.XLOOKUP(tblGJ[[#This Row],[Account Code]],tblCOA[Code],tblCOA[FS Line],"")</f>
        <v>Revenue</v>
      </c>
      <c r="L845" s="121" t="str">
        <f>IF(OR(tblGJ[[#This Row],[Account Code]]=1120,tblGJ[[#This Row],[Account Code]]=1130),_xlfn.MINIFS(tblBank[Value Date],tblBank[Reference],tblGJ[[#This Row],[Voucher No]],tblBank[Account Code],tblGJ[[#This Row],[Account Code]]),"")</f>
        <v/>
      </c>
      <c r="M845" s="1" t="str">
        <f>IF(tblGJ[[#This Row],[Date]]&lt;=PEnd,"Yes","No")</f>
        <v>No</v>
      </c>
    </row>
    <row r="846" spans="2:13" x14ac:dyDescent="0.35">
      <c r="B846" s="109">
        <v>46356</v>
      </c>
      <c r="C846" s="1" t="s">
        <v>5914</v>
      </c>
      <c r="D846" s="1">
        <v>2210</v>
      </c>
      <c r="E846" s="1" t="str">
        <f>_xlfn.XLOOKUP(tblGJ[[#This Row],[Account Code]],tblCOA[Code],tblCOA[Account Name],"⚠ Invalid account")</f>
        <v>Output VAT (PPN Keluaran)</v>
      </c>
      <c r="F846" s="1" t="s">
        <v>6452</v>
      </c>
      <c r="G846" s="5"/>
      <c r="H846" s="5">
        <f>SUMIFS(tblSales[Output VAT],tblSales[Month],MONTH(tblGJ[[#This Row],[Date]]))</f>
        <v>126125450</v>
      </c>
      <c r="I846" s="1" t="s">
        <v>6532</v>
      </c>
      <c r="J846" s="1">
        <f>MONTH(tblGJ[[#This Row],[Date]])</f>
        <v>11</v>
      </c>
      <c r="K846" s="1" t="str">
        <f>_xlfn.XLOOKUP(tblGJ[[#This Row],[Account Code]],tblCOA[Code],tblCOA[FS Line],"")</f>
        <v>Taxes payable</v>
      </c>
      <c r="L846" s="121" t="str">
        <f>IF(OR(tblGJ[[#This Row],[Account Code]]=1120,tblGJ[[#This Row],[Account Code]]=1130),_xlfn.MINIFS(tblBank[Value Date],tblBank[Reference],tblGJ[[#This Row],[Voucher No]],tblBank[Account Code],tblGJ[[#This Row],[Account Code]]),"")</f>
        <v/>
      </c>
      <c r="M846" s="1" t="str">
        <f>IF(tblGJ[[#This Row],[Date]]&lt;=PEnd,"Yes","No")</f>
        <v>No</v>
      </c>
    </row>
    <row r="847" spans="2:13" x14ac:dyDescent="0.35">
      <c r="B847" s="109">
        <v>46356</v>
      </c>
      <c r="C847" s="1" t="s">
        <v>5915</v>
      </c>
      <c r="D847" s="1">
        <v>5100</v>
      </c>
      <c r="E847" s="1" t="str">
        <f>_xlfn.XLOOKUP(tblGJ[[#This Row],[Account Code]],tblCOA[Code],tblCOA[Account Name],"⚠ Invalid account")</f>
        <v>Cost of goods sold</v>
      </c>
      <c r="F847" s="1" t="s">
        <v>6453</v>
      </c>
      <c r="G847" s="5">
        <f>SUMIFS(tblSales[COGS],tblSales[Month],MONTH(tblGJ[[#This Row],[Date]]))</f>
        <v>688782000</v>
      </c>
      <c r="H847" s="5"/>
      <c r="I847" s="1" t="s">
        <v>6532</v>
      </c>
      <c r="J847" s="1">
        <f>MONTH(tblGJ[[#This Row],[Date]])</f>
        <v>11</v>
      </c>
      <c r="K847" s="1" t="str">
        <f>_xlfn.XLOOKUP(tblGJ[[#This Row],[Account Code]],tblCOA[Code],tblCOA[FS Line],"")</f>
        <v>Cost of revenue</v>
      </c>
      <c r="L847" s="121" t="str">
        <f>IF(OR(tblGJ[[#This Row],[Account Code]]=1120,tblGJ[[#This Row],[Account Code]]=1130),_xlfn.MINIFS(tblBank[Value Date],tblBank[Reference],tblGJ[[#This Row],[Voucher No]],tblBank[Account Code],tblGJ[[#This Row],[Account Code]]),"")</f>
        <v/>
      </c>
      <c r="M847" s="1" t="str">
        <f>IF(tblGJ[[#This Row],[Date]]&lt;=PEnd,"Yes","No")</f>
        <v>No</v>
      </c>
    </row>
    <row r="848" spans="2:13" x14ac:dyDescent="0.35">
      <c r="B848" s="109">
        <v>46356</v>
      </c>
      <c r="C848" s="1" t="s">
        <v>5915</v>
      </c>
      <c r="D848" s="1">
        <v>1310</v>
      </c>
      <c r="E848" s="1" t="str">
        <f>_xlfn.XLOOKUP(tblGJ[[#This Row],[Account Code]],tblCOA[Code],tblCOA[Account Name],"⚠ Invalid account")</f>
        <v>Merchandise inventory</v>
      </c>
      <c r="F848" s="1" t="s">
        <v>6454</v>
      </c>
      <c r="G848" s="5"/>
      <c r="H848" s="5">
        <f>SUMIFS(tblSales[COGS],tblSales[Month],MONTH(tblGJ[[#This Row],[Date]]))</f>
        <v>688782000</v>
      </c>
      <c r="I848" s="1" t="s">
        <v>6532</v>
      </c>
      <c r="J848" s="1">
        <f>MONTH(tblGJ[[#This Row],[Date]])</f>
        <v>11</v>
      </c>
      <c r="K848" s="1" t="str">
        <f>_xlfn.XLOOKUP(tblGJ[[#This Row],[Account Code]],tblCOA[Code],tblCOA[FS Line],"")</f>
        <v>Inventories</v>
      </c>
      <c r="L848" s="121" t="str">
        <f>IF(OR(tblGJ[[#This Row],[Account Code]]=1120,tblGJ[[#This Row],[Account Code]]=1130),_xlfn.MINIFS(tblBank[Value Date],tblBank[Reference],tblGJ[[#This Row],[Voucher No]],tblBank[Account Code],tblGJ[[#This Row],[Account Code]]),"")</f>
        <v/>
      </c>
      <c r="M848" s="1" t="str">
        <f>IF(tblGJ[[#This Row],[Date]]&lt;=PEnd,"Yes","No")</f>
        <v>No</v>
      </c>
    </row>
    <row r="849" spans="2:13" x14ac:dyDescent="0.35">
      <c r="B849" s="109">
        <v>46356</v>
      </c>
      <c r="C849" s="1" t="s">
        <v>5916</v>
      </c>
      <c r="D849" s="1">
        <v>1120</v>
      </c>
      <c r="E849" s="1" t="str">
        <f>_xlfn.XLOOKUP(tblGJ[[#This Row],[Account Code]],tblCOA[Code],tblCOA[Account Name],"⚠ Invalid account")</f>
        <v>Bank BCA - Current Account</v>
      </c>
      <c r="F849" s="1" t="s">
        <v>6455</v>
      </c>
      <c r="G849" s="5">
        <f>SUMIFS(tblSales[Total incl. VAT],tblSales[Month],MONTH(tblGJ[[#This Row],[Date]]),tblSales[Payment Method],Products!$O$13)</f>
        <v>136796400</v>
      </c>
      <c r="H849" s="5"/>
      <c r="I849" s="1" t="s">
        <v>6532</v>
      </c>
      <c r="J849" s="1">
        <f>MONTH(tblGJ[[#This Row],[Date]])</f>
        <v>11</v>
      </c>
      <c r="K849" s="1" t="str">
        <f>_xlfn.XLOOKUP(tblGJ[[#This Row],[Account Code]],tblCOA[Code],tblCOA[FS Line],"")</f>
        <v>Cash and cash equivalents</v>
      </c>
      <c r="L849" s="121">
        <f>IF(OR(tblGJ[[#This Row],[Account Code]]=1120,tblGJ[[#This Row],[Account Code]]=1130),_xlfn.MINIFS(tblBank[Value Date],tblBank[Reference],tblGJ[[#This Row],[Voucher No]],tblBank[Account Code],tblGJ[[#This Row],[Account Code]]),"")</f>
        <v>46356</v>
      </c>
      <c r="M849" s="1" t="str">
        <f>IF(tblGJ[[#This Row],[Date]]&lt;=PEnd,"Yes","No")</f>
        <v>No</v>
      </c>
    </row>
    <row r="850" spans="2:13" x14ac:dyDescent="0.35">
      <c r="B850" s="109">
        <v>46356</v>
      </c>
      <c r="C850" s="1" t="s">
        <v>5916</v>
      </c>
      <c r="D850" s="1">
        <v>1110</v>
      </c>
      <c r="E850" s="1" t="str">
        <f>_xlfn.XLOOKUP(tblGJ[[#This Row],[Account Code]],tblCOA[Code],tblCOA[Account Name],"⚠ Invalid account")</f>
        <v>Cash on Hand</v>
      </c>
      <c r="F850" s="1" t="s">
        <v>6455</v>
      </c>
      <c r="G850" s="5"/>
      <c r="H850" s="5">
        <f>SUMIFS(tblSales[Total incl. VAT],tblSales[Month],MONTH(tblGJ[[#This Row],[Date]]),tblSales[Payment Method],Products!$O$13)</f>
        <v>136796400</v>
      </c>
      <c r="I850" s="1" t="s">
        <v>6532</v>
      </c>
      <c r="J850" s="1">
        <f>MONTH(tblGJ[[#This Row],[Date]])</f>
        <v>11</v>
      </c>
      <c r="K850" s="1" t="str">
        <f>_xlfn.XLOOKUP(tblGJ[[#This Row],[Account Code]],tblCOA[Code],tblCOA[FS Line],"")</f>
        <v>Cash and cash equivalents</v>
      </c>
      <c r="L850" s="121" t="str">
        <f>IF(OR(tblGJ[[#This Row],[Account Code]]=1120,tblGJ[[#This Row],[Account Code]]=1130),_xlfn.MINIFS(tblBank[Value Date],tblBank[Reference],tblGJ[[#This Row],[Voucher No]],tblBank[Account Code],tblGJ[[#This Row],[Account Code]]),"")</f>
        <v/>
      </c>
      <c r="M850" s="1" t="str">
        <f>IF(tblGJ[[#This Row],[Date]]&lt;=PEnd,"Yes","No")</f>
        <v>No</v>
      </c>
    </row>
    <row r="851" spans="2:13" x14ac:dyDescent="0.35">
      <c r="B851" s="109">
        <v>46356</v>
      </c>
      <c r="C851" s="1" t="s">
        <v>5917</v>
      </c>
      <c r="D851" s="1">
        <v>1310</v>
      </c>
      <c r="E851" s="1" t="str">
        <f>_xlfn.XLOOKUP(tblGJ[[#This Row],[Account Code]],tblCOA[Code],tblCOA[Account Name],"⚠ Invalid account")</f>
        <v>Merchandise inventory</v>
      </c>
      <c r="F851" s="1" t="s">
        <v>6456</v>
      </c>
      <c r="G851" s="5">
        <f>SUMIFS(tblPurchases[DPP (excl. VAT)],tblPurchases[Account Code],tblGJ[[#This Row],[Account Code]],tblPurchases[Month],MONTH(tblGJ[[#This Row],[Date]]))</f>
        <v>693468000</v>
      </c>
      <c r="H851" s="5"/>
      <c r="I851" s="1" t="s">
        <v>6533</v>
      </c>
      <c r="J851" s="1">
        <f>MONTH(tblGJ[[#This Row],[Date]])</f>
        <v>11</v>
      </c>
      <c r="K851" s="1" t="str">
        <f>_xlfn.XLOOKUP(tblGJ[[#This Row],[Account Code]],tblCOA[Code],tblCOA[FS Line],"")</f>
        <v>Inventories</v>
      </c>
      <c r="L851" s="121" t="str">
        <f>IF(OR(tblGJ[[#This Row],[Account Code]]=1120,tblGJ[[#This Row],[Account Code]]=1130),_xlfn.MINIFS(tblBank[Value Date],tblBank[Reference],tblGJ[[#This Row],[Voucher No]],tblBank[Account Code],tblGJ[[#This Row],[Account Code]]),"")</f>
        <v/>
      </c>
      <c r="M851" s="1" t="str">
        <f>IF(tblGJ[[#This Row],[Date]]&lt;=PEnd,"Yes","No")</f>
        <v>No</v>
      </c>
    </row>
    <row r="852" spans="2:13" x14ac:dyDescent="0.35">
      <c r="B852" s="109">
        <v>46356</v>
      </c>
      <c r="C852" s="1" t="s">
        <v>5917</v>
      </c>
      <c r="D852" s="1">
        <v>6120</v>
      </c>
      <c r="E852" s="1" t="str">
        <f>_xlfn.XLOOKUP(tblGJ[[#This Row],[Account Code]],tblCOA[Code],tblCOA[Account Name],"⚠ Invalid account")</f>
        <v>Advertising &amp; Promotion</v>
      </c>
      <c r="F852" s="1" t="s">
        <v>6456</v>
      </c>
      <c r="G852" s="5">
        <f>SUMIFS(tblPurchases[DPP (excl. VAT)],tblPurchases[Account Code],tblGJ[[#This Row],[Account Code]],tblPurchases[Month],MONTH(tblGJ[[#This Row],[Date]]))</f>
        <v>12613000</v>
      </c>
      <c r="H852" s="5"/>
      <c r="I852" s="1" t="s">
        <v>6533</v>
      </c>
      <c r="J852" s="1">
        <f>MONTH(tblGJ[[#This Row],[Date]])</f>
        <v>11</v>
      </c>
      <c r="K852" s="1" t="str">
        <f>_xlfn.XLOOKUP(tblGJ[[#This Row],[Account Code]],tblCOA[Code],tblCOA[FS Line],"")</f>
        <v>Selling expenses</v>
      </c>
      <c r="L852" s="121" t="str">
        <f>IF(OR(tblGJ[[#This Row],[Account Code]]=1120,tblGJ[[#This Row],[Account Code]]=1130),_xlfn.MINIFS(tblBank[Value Date],tblBank[Reference],tblGJ[[#This Row],[Voucher No]],tblBank[Account Code],tblGJ[[#This Row],[Account Code]]),"")</f>
        <v/>
      </c>
      <c r="M852" s="1" t="str">
        <f>IF(tblGJ[[#This Row],[Date]]&lt;=PEnd,"Yes","No")</f>
        <v>No</v>
      </c>
    </row>
    <row r="853" spans="2:13" x14ac:dyDescent="0.35">
      <c r="B853" s="109">
        <v>46356</v>
      </c>
      <c r="C853" s="1" t="s">
        <v>5917</v>
      </c>
      <c r="D853" s="1">
        <v>6130</v>
      </c>
      <c r="E853" s="1" t="str">
        <f>_xlfn.XLOOKUP(tblGJ[[#This Row],[Account Code]],tblCOA[Code],tblCOA[Account Name],"⚠ Invalid account")</f>
        <v>Marketplace &amp; Sales Commissions</v>
      </c>
      <c r="F853" s="1" t="s">
        <v>6456</v>
      </c>
      <c r="G853" s="5">
        <f>SUMIFS(tblPurchases[DPP (excl. VAT)],tblPurchases[Account Code],tblGJ[[#This Row],[Account Code]],tblPurchases[Month],MONTH(tblGJ[[#This Row],[Date]]))</f>
        <v>3014000</v>
      </c>
      <c r="H853" s="5"/>
      <c r="I853" s="1" t="s">
        <v>6533</v>
      </c>
      <c r="J853" s="1">
        <f>MONTH(tblGJ[[#This Row],[Date]])</f>
        <v>11</v>
      </c>
      <c r="K853" s="1" t="str">
        <f>_xlfn.XLOOKUP(tblGJ[[#This Row],[Account Code]],tblCOA[Code],tblCOA[FS Line],"")</f>
        <v>Selling expenses</v>
      </c>
      <c r="L853" s="121" t="str">
        <f>IF(OR(tblGJ[[#This Row],[Account Code]]=1120,tblGJ[[#This Row],[Account Code]]=1130),_xlfn.MINIFS(tblBank[Value Date],tblBank[Reference],tblGJ[[#This Row],[Voucher No]],tblBank[Account Code],tblGJ[[#This Row],[Account Code]]),"")</f>
        <v/>
      </c>
      <c r="M853" s="1" t="str">
        <f>IF(tblGJ[[#This Row],[Date]]&lt;=PEnd,"Yes","No")</f>
        <v>No</v>
      </c>
    </row>
    <row r="854" spans="2:13" x14ac:dyDescent="0.35">
      <c r="B854" s="109">
        <v>46356</v>
      </c>
      <c r="C854" s="1" t="s">
        <v>5917</v>
      </c>
      <c r="D854" s="1">
        <v>6140</v>
      </c>
      <c r="E854" s="1" t="str">
        <f>_xlfn.XLOOKUP(tblGJ[[#This Row],[Account Code]],tblCOA[Code],tblCOA[Account Name],"⚠ Invalid account")</f>
        <v>Shipping &amp; Delivery</v>
      </c>
      <c r="F854" s="1" t="s">
        <v>6456</v>
      </c>
      <c r="G854" s="5">
        <f>SUMIFS(tblPurchases[DPP (excl. VAT)],tblPurchases[Account Code],tblGJ[[#This Row],[Account Code]],tblPurchases[Month],MONTH(tblGJ[[#This Row],[Date]]))</f>
        <v>10319000</v>
      </c>
      <c r="H854" s="5"/>
      <c r="I854" s="1" t="s">
        <v>6533</v>
      </c>
      <c r="J854" s="1">
        <f>MONTH(tblGJ[[#This Row],[Date]])</f>
        <v>11</v>
      </c>
      <c r="K854" s="1" t="str">
        <f>_xlfn.XLOOKUP(tblGJ[[#This Row],[Account Code]],tblCOA[Code],tblCOA[FS Line],"")</f>
        <v>Selling expenses</v>
      </c>
      <c r="L854" s="121" t="str">
        <f>IF(OR(tblGJ[[#This Row],[Account Code]]=1120,tblGJ[[#This Row],[Account Code]]=1130),_xlfn.MINIFS(tblBank[Value Date],tblBank[Reference],tblGJ[[#This Row],[Voucher No]],tblBank[Account Code],tblGJ[[#This Row],[Account Code]]),"")</f>
        <v/>
      </c>
      <c r="M854" s="1" t="str">
        <f>IF(tblGJ[[#This Row],[Date]]&lt;=PEnd,"Yes","No")</f>
        <v>No</v>
      </c>
    </row>
    <row r="855" spans="2:13" x14ac:dyDescent="0.35">
      <c r="B855" s="109">
        <v>46356</v>
      </c>
      <c r="C855" s="1" t="s">
        <v>5917</v>
      </c>
      <c r="D855" s="1">
        <v>6230</v>
      </c>
      <c r="E855" s="1" t="str">
        <f>_xlfn.XLOOKUP(tblGJ[[#This Row],[Account Code]],tblCOA[Code],tblCOA[Account Name],"⚠ Invalid account")</f>
        <v>Utilities &amp; Telecommunication</v>
      </c>
      <c r="F855" s="1" t="s">
        <v>6456</v>
      </c>
      <c r="G855" s="5">
        <f>SUMIFS(tblPurchases[DPP (excl. VAT)],tblPurchases[Account Code],tblGJ[[#This Row],[Account Code]],tblPurchases[Month],MONTH(tblGJ[[#This Row],[Date]]))</f>
        <v>11692000</v>
      </c>
      <c r="H855" s="5"/>
      <c r="I855" s="1" t="s">
        <v>6533</v>
      </c>
      <c r="J855" s="1">
        <f>MONTH(tblGJ[[#This Row],[Date]])</f>
        <v>11</v>
      </c>
      <c r="K855" s="1" t="str">
        <f>_xlfn.XLOOKUP(tblGJ[[#This Row],[Account Code]],tblCOA[Code],tblCOA[FS Line],"")</f>
        <v>General &amp; administrative expenses</v>
      </c>
      <c r="L855" s="121" t="str">
        <f>IF(OR(tblGJ[[#This Row],[Account Code]]=1120,tblGJ[[#This Row],[Account Code]]=1130),_xlfn.MINIFS(tblBank[Value Date],tblBank[Reference],tblGJ[[#This Row],[Voucher No]],tblBank[Account Code],tblGJ[[#This Row],[Account Code]]),"")</f>
        <v/>
      </c>
      <c r="M855" s="1" t="str">
        <f>IF(tblGJ[[#This Row],[Date]]&lt;=PEnd,"Yes","No")</f>
        <v>No</v>
      </c>
    </row>
    <row r="856" spans="2:13" x14ac:dyDescent="0.35">
      <c r="B856" s="109">
        <v>46356</v>
      </c>
      <c r="C856" s="1" t="s">
        <v>5917</v>
      </c>
      <c r="D856" s="1">
        <v>6270</v>
      </c>
      <c r="E856" s="1" t="str">
        <f>_xlfn.XLOOKUP(tblGJ[[#This Row],[Account Code]],tblCOA[Code],tblCOA[Account Name],"⚠ Invalid account")</f>
        <v>Office Supplies</v>
      </c>
      <c r="F856" s="1" t="s">
        <v>6456</v>
      </c>
      <c r="G856" s="5">
        <f>SUMIFS(tblPurchases[DPP (excl. VAT)],tblPurchases[Account Code],tblGJ[[#This Row],[Account Code]],tblPurchases[Month],MONTH(tblGJ[[#This Row],[Date]]))</f>
        <v>3350000</v>
      </c>
      <c r="H856" s="5"/>
      <c r="I856" s="1" t="s">
        <v>6533</v>
      </c>
      <c r="J856" s="1">
        <f>MONTH(tblGJ[[#This Row],[Date]])</f>
        <v>11</v>
      </c>
      <c r="K856" s="1" t="str">
        <f>_xlfn.XLOOKUP(tblGJ[[#This Row],[Account Code]],tblCOA[Code],tblCOA[FS Line],"")</f>
        <v>General &amp; administrative expenses</v>
      </c>
      <c r="L856" s="121" t="str">
        <f>IF(OR(tblGJ[[#This Row],[Account Code]]=1120,tblGJ[[#This Row],[Account Code]]=1130),_xlfn.MINIFS(tblBank[Value Date],tblBank[Reference],tblGJ[[#This Row],[Voucher No]],tblBank[Account Code],tblGJ[[#This Row],[Account Code]]),"")</f>
        <v/>
      </c>
      <c r="M856" s="1" t="str">
        <f>IF(tblGJ[[#This Row],[Date]]&lt;=PEnd,"Yes","No")</f>
        <v>No</v>
      </c>
    </row>
    <row r="857" spans="2:13" x14ac:dyDescent="0.35">
      <c r="B857" s="109">
        <v>46356</v>
      </c>
      <c r="C857" s="1" t="s">
        <v>5917</v>
      </c>
      <c r="D857" s="1">
        <v>6295</v>
      </c>
      <c r="E857" s="1" t="str">
        <f>_xlfn.XLOOKUP(tblGJ[[#This Row],[Account Code]],tblCOA[Code],tblCOA[Account Name],"⚠ Invalid account")</f>
        <v>Repairs &amp; Maintenance</v>
      </c>
      <c r="F857" s="1" t="s">
        <v>6456</v>
      </c>
      <c r="G857" s="5">
        <f>SUMIFS(tblPurchases[DPP (excl. VAT)],tblPurchases[Account Code],tblGJ[[#This Row],[Account Code]],tblPurchases[Month],MONTH(tblGJ[[#This Row],[Date]]))</f>
        <v>3964000</v>
      </c>
      <c r="H857" s="5"/>
      <c r="I857" s="1" t="s">
        <v>6533</v>
      </c>
      <c r="J857" s="1">
        <f>MONTH(tblGJ[[#This Row],[Date]])</f>
        <v>11</v>
      </c>
      <c r="K857" s="1" t="str">
        <f>_xlfn.XLOOKUP(tblGJ[[#This Row],[Account Code]],tblCOA[Code],tblCOA[FS Line],"")</f>
        <v>General &amp; administrative expenses</v>
      </c>
      <c r="L857" s="121" t="str">
        <f>IF(OR(tblGJ[[#This Row],[Account Code]]=1120,tblGJ[[#This Row],[Account Code]]=1130),_xlfn.MINIFS(tblBank[Value Date],tblBank[Reference],tblGJ[[#This Row],[Voucher No]],tblBank[Account Code],tblGJ[[#This Row],[Account Code]]),"")</f>
        <v/>
      </c>
      <c r="M857" s="1" t="str">
        <f>IF(tblGJ[[#This Row],[Date]]&lt;=PEnd,"Yes","No")</f>
        <v>No</v>
      </c>
    </row>
    <row r="858" spans="2:13" x14ac:dyDescent="0.35">
      <c r="B858" s="109">
        <v>46356</v>
      </c>
      <c r="C858" s="1" t="s">
        <v>5917</v>
      </c>
      <c r="D858" s="1">
        <v>6296</v>
      </c>
      <c r="E858" s="1" t="str">
        <f>_xlfn.XLOOKUP(tblGJ[[#This Row],[Account Code]],tblCOA[Code],tblCOA[Account Name],"⚠ Invalid account")</f>
        <v>Entertainment &amp; Donations</v>
      </c>
      <c r="F858" s="1" t="s">
        <v>6456</v>
      </c>
      <c r="G858" s="5">
        <f>SUMIFS(tblPurchases[DPP (excl. VAT)],tblPurchases[Account Code],tblGJ[[#This Row],[Account Code]],tblPurchases[Month],MONTH(tblGJ[[#This Row],[Date]]))</f>
        <v>2539000</v>
      </c>
      <c r="H858" s="5"/>
      <c r="I858" s="1" t="s">
        <v>6533</v>
      </c>
      <c r="J858" s="1">
        <f>MONTH(tblGJ[[#This Row],[Date]])</f>
        <v>11</v>
      </c>
      <c r="K858" s="1" t="str">
        <f>_xlfn.XLOOKUP(tblGJ[[#This Row],[Account Code]],tblCOA[Code],tblCOA[FS Line],"")</f>
        <v>General &amp; administrative expenses</v>
      </c>
      <c r="L858" s="121" t="str">
        <f>IF(OR(tblGJ[[#This Row],[Account Code]]=1120,tblGJ[[#This Row],[Account Code]]=1130),_xlfn.MINIFS(tblBank[Value Date],tblBank[Reference],tblGJ[[#This Row],[Voucher No]],tblBank[Account Code],tblGJ[[#This Row],[Account Code]]),"")</f>
        <v/>
      </c>
      <c r="M858" s="1" t="str">
        <f>IF(tblGJ[[#This Row],[Date]]&lt;=PEnd,"Yes","No")</f>
        <v>No</v>
      </c>
    </row>
    <row r="859" spans="2:13" x14ac:dyDescent="0.35">
      <c r="B859" s="109">
        <v>46356</v>
      </c>
      <c r="C859" s="1" t="s">
        <v>5917</v>
      </c>
      <c r="D859" s="1">
        <v>1510</v>
      </c>
      <c r="E859" s="1" t="str">
        <f>_xlfn.XLOOKUP(tblGJ[[#This Row],[Account Code]],tblCOA[Code],tblCOA[Account Name],"⚠ Invalid account")</f>
        <v>Input VAT (PPN Masukan)</v>
      </c>
      <c r="F859" s="1" t="s">
        <v>6457</v>
      </c>
      <c r="G859" s="5">
        <f>SUMIFS(tblPurchases[Input VAT],tblPurchases[Month],MONTH(tblGJ[[#This Row],[Date]]))</f>
        <v>68979460</v>
      </c>
      <c r="H859" s="5"/>
      <c r="I859" s="1" t="s">
        <v>6533</v>
      </c>
      <c r="J859" s="1">
        <f>MONTH(tblGJ[[#This Row],[Date]])</f>
        <v>11</v>
      </c>
      <c r="K859" s="1" t="str">
        <f>_xlfn.XLOOKUP(tblGJ[[#This Row],[Account Code]],tblCOA[Code],tblCOA[FS Line],"")</f>
        <v>Prepaid taxes</v>
      </c>
      <c r="L859" s="121" t="str">
        <f>IF(OR(tblGJ[[#This Row],[Account Code]]=1120,tblGJ[[#This Row],[Account Code]]=1130),_xlfn.MINIFS(tblBank[Value Date],tblBank[Reference],tblGJ[[#This Row],[Voucher No]],tblBank[Account Code],tblGJ[[#This Row],[Account Code]]),"")</f>
        <v/>
      </c>
      <c r="M859" s="1" t="str">
        <f>IF(tblGJ[[#This Row],[Date]]&lt;=PEnd,"Yes","No")</f>
        <v>No</v>
      </c>
    </row>
    <row r="860" spans="2:13" x14ac:dyDescent="0.35">
      <c r="B860" s="109">
        <v>46356</v>
      </c>
      <c r="C860" s="1" t="s">
        <v>5917</v>
      </c>
      <c r="D860" s="1">
        <v>2240</v>
      </c>
      <c r="E860" s="1" t="str">
        <f>_xlfn.XLOOKUP(tblGJ[[#This Row],[Account Code]],tblCOA[Code],tblCOA[Account Name],"⚠ Invalid account")</f>
        <v>WHT Payable - Unifikasi (Art. 23/4(2))</v>
      </c>
      <c r="F860" s="1" t="s">
        <v>6458</v>
      </c>
      <c r="G860" s="5"/>
      <c r="H860" s="5">
        <f>SUMIFS(tblPurchases[WHT Amount],tblPurchases[Month],MONTH(tblGJ[[#This Row],[Date]]))</f>
        <v>598200</v>
      </c>
      <c r="I860" s="1" t="s">
        <v>6533</v>
      </c>
      <c r="J860" s="1">
        <f>MONTH(tblGJ[[#This Row],[Date]])</f>
        <v>11</v>
      </c>
      <c r="K860" s="1" t="str">
        <f>_xlfn.XLOOKUP(tblGJ[[#This Row],[Account Code]],tblCOA[Code],tblCOA[FS Line],"")</f>
        <v>Taxes payable</v>
      </c>
      <c r="L860" s="121" t="str">
        <f>IF(OR(tblGJ[[#This Row],[Account Code]]=1120,tblGJ[[#This Row],[Account Code]]=1130),_xlfn.MINIFS(tblBank[Value Date],tblBank[Reference],tblGJ[[#This Row],[Voucher No]],tblBank[Account Code],tblGJ[[#This Row],[Account Code]]),"")</f>
        <v/>
      </c>
      <c r="M860" s="1" t="str">
        <f>IF(tblGJ[[#This Row],[Date]]&lt;=PEnd,"Yes","No")</f>
        <v>No</v>
      </c>
    </row>
    <row r="861" spans="2:13" x14ac:dyDescent="0.35">
      <c r="B861" s="109">
        <v>46356</v>
      </c>
      <c r="C861" s="1" t="s">
        <v>5917</v>
      </c>
      <c r="D861" s="1">
        <v>2110</v>
      </c>
      <c r="E861" s="1" t="str">
        <f>_xlfn.XLOOKUP(tblGJ[[#This Row],[Account Code]],tblCOA[Code],tblCOA[Account Name],"⚠ Invalid account")</f>
        <v>Trade Payables</v>
      </c>
      <c r="F861" s="1" t="s">
        <v>6459</v>
      </c>
      <c r="G861" s="5"/>
      <c r="H861" s="5">
        <f>SUMIFS(tblPurchases[Total Payable],tblPurchases[Month],MONTH(tblGJ[[#This Row],[Date]]))</f>
        <v>809340260</v>
      </c>
      <c r="I861" s="1" t="s">
        <v>6533</v>
      </c>
      <c r="J861" s="1">
        <f>MONTH(tblGJ[[#This Row],[Date]])</f>
        <v>11</v>
      </c>
      <c r="K861" s="1" t="str">
        <f>_xlfn.XLOOKUP(tblGJ[[#This Row],[Account Code]],tblCOA[Code],tblCOA[FS Line],"")</f>
        <v>Trade payables</v>
      </c>
      <c r="L861" s="121" t="str">
        <f>IF(OR(tblGJ[[#This Row],[Account Code]]=1120,tblGJ[[#This Row],[Account Code]]=1130),_xlfn.MINIFS(tblBank[Value Date],tblBank[Reference],tblGJ[[#This Row],[Voucher No]],tblBank[Account Code],tblGJ[[#This Row],[Account Code]]),"")</f>
        <v/>
      </c>
      <c r="M861" s="1" t="str">
        <f>IF(tblGJ[[#This Row],[Date]]&lt;=PEnd,"Yes","No")</f>
        <v>No</v>
      </c>
    </row>
    <row r="862" spans="2:13" x14ac:dyDescent="0.35">
      <c r="B862" s="109">
        <v>46356</v>
      </c>
      <c r="C862" s="1" t="s">
        <v>5918</v>
      </c>
      <c r="D862" s="1">
        <v>2110</v>
      </c>
      <c r="E862" s="1" t="str">
        <f>_xlfn.XLOOKUP(tblGJ[[#This Row],[Account Code]],tblCOA[Code],tblCOA[Account Name],"⚠ Invalid account")</f>
        <v>Trade Payables</v>
      </c>
      <c r="F862" s="1" t="s">
        <v>6460</v>
      </c>
      <c r="G862" s="5">
        <f>SUMIFS(tblPurchases[Total Payable],tblPurchases[Pay Month],MONTH(tblGJ[[#This Row],[Date]]),tblPurchases[Paid From],1120)</f>
        <v>928221880</v>
      </c>
      <c r="H862" s="5"/>
      <c r="I862" s="1" t="s">
        <v>6529</v>
      </c>
      <c r="J862" s="1">
        <f>MONTH(tblGJ[[#This Row],[Date]])</f>
        <v>11</v>
      </c>
      <c r="K862" s="1" t="str">
        <f>_xlfn.XLOOKUP(tblGJ[[#This Row],[Account Code]],tblCOA[Code],tblCOA[FS Line],"")</f>
        <v>Trade payables</v>
      </c>
      <c r="L862" s="121" t="str">
        <f>IF(OR(tblGJ[[#This Row],[Account Code]]=1120,tblGJ[[#This Row],[Account Code]]=1130),_xlfn.MINIFS(tblBank[Value Date],tblBank[Reference],tblGJ[[#This Row],[Voucher No]],tblBank[Account Code],tblGJ[[#This Row],[Account Code]]),"")</f>
        <v/>
      </c>
      <c r="M862" s="1" t="str">
        <f>IF(tblGJ[[#This Row],[Date]]&lt;=PEnd,"Yes","No")</f>
        <v>No</v>
      </c>
    </row>
    <row r="863" spans="2:13" x14ac:dyDescent="0.35">
      <c r="B863" s="109">
        <v>46356</v>
      </c>
      <c r="C863" s="1" t="s">
        <v>5918</v>
      </c>
      <c r="D863" s="1">
        <v>1120</v>
      </c>
      <c r="E863" s="1" t="str">
        <f>_xlfn.XLOOKUP(tblGJ[[#This Row],[Account Code]],tblCOA[Code],tblCOA[Account Name],"⚠ Invalid account")</f>
        <v>Bank BCA - Current Account</v>
      </c>
      <c r="F863" s="1" t="s">
        <v>6460</v>
      </c>
      <c r="G863" s="5"/>
      <c r="H863" s="5">
        <f>SUMIFS(tblPurchases[Total Payable],tblPurchases[Pay Month],MONTH(tblGJ[[#This Row],[Date]]),tblPurchases[Paid From],1120)</f>
        <v>928221880</v>
      </c>
      <c r="I863" s="1" t="s">
        <v>6529</v>
      </c>
      <c r="J863" s="1">
        <f>MONTH(tblGJ[[#This Row],[Date]])</f>
        <v>11</v>
      </c>
      <c r="K863" s="1" t="str">
        <f>_xlfn.XLOOKUP(tblGJ[[#This Row],[Account Code]],tblCOA[Code],tblCOA[FS Line],"")</f>
        <v>Cash and cash equivalents</v>
      </c>
      <c r="L863" s="121">
        <f>IF(OR(tblGJ[[#This Row],[Account Code]]=1120,tblGJ[[#This Row],[Account Code]]=1130),_xlfn.MINIFS(tblBank[Value Date],tblBank[Reference],tblGJ[[#This Row],[Voucher No]],tblBank[Account Code],tblGJ[[#This Row],[Account Code]]),"")</f>
        <v>46356</v>
      </c>
      <c r="M863" s="1" t="str">
        <f>IF(tblGJ[[#This Row],[Date]]&lt;=PEnd,"Yes","No")</f>
        <v>No</v>
      </c>
    </row>
    <row r="864" spans="2:13" x14ac:dyDescent="0.35">
      <c r="B864" s="109">
        <v>46356</v>
      </c>
      <c r="C864" s="1" t="s">
        <v>5919</v>
      </c>
      <c r="D864" s="1">
        <v>2210</v>
      </c>
      <c r="E864" s="1" t="str">
        <f>_xlfn.XLOOKUP(tblGJ[[#This Row],[Account Code]],tblCOA[Code],tblCOA[Account Name],"⚠ Invalid account")</f>
        <v>Output VAT (PPN Keluaran)</v>
      </c>
      <c r="F864" s="1" t="s">
        <v>6461</v>
      </c>
      <c r="G864" s="5">
        <f>SUMIFS(tblSales[Output VAT],tblSales[Month],MONTH(tblGJ[[#This Row],[Date]]))</f>
        <v>126125450</v>
      </c>
      <c r="H864" s="5"/>
      <c r="I864" s="1" t="s">
        <v>6528</v>
      </c>
      <c r="J864" s="1">
        <f>MONTH(tblGJ[[#This Row],[Date]])</f>
        <v>11</v>
      </c>
      <c r="K864" s="1" t="str">
        <f>_xlfn.XLOOKUP(tblGJ[[#This Row],[Account Code]],tblCOA[Code],tblCOA[FS Line],"")</f>
        <v>Taxes payable</v>
      </c>
      <c r="L864" s="121" t="str">
        <f>IF(OR(tblGJ[[#This Row],[Account Code]]=1120,tblGJ[[#This Row],[Account Code]]=1130),_xlfn.MINIFS(tblBank[Value Date],tblBank[Reference],tblGJ[[#This Row],[Voucher No]],tblBank[Account Code],tblGJ[[#This Row],[Account Code]]),"")</f>
        <v/>
      </c>
      <c r="M864" s="1" t="str">
        <f>IF(tblGJ[[#This Row],[Date]]&lt;=PEnd,"Yes","No")</f>
        <v>No</v>
      </c>
    </row>
    <row r="865" spans="2:13" x14ac:dyDescent="0.35">
      <c r="B865" s="109">
        <v>46356</v>
      </c>
      <c r="C865" s="1" t="s">
        <v>5919</v>
      </c>
      <c r="D865" s="1">
        <v>1510</v>
      </c>
      <c r="E865" s="1" t="str">
        <f>_xlfn.XLOOKUP(tblGJ[[#This Row],[Account Code]],tblCOA[Code],tblCOA[Account Name],"⚠ Invalid account")</f>
        <v>Input VAT (PPN Masukan)</v>
      </c>
      <c r="F865" s="1" t="s">
        <v>6462</v>
      </c>
      <c r="G865" s="5"/>
      <c r="H865" s="5">
        <f>SUMIFS(tblPurchases[Input VAT],tblPurchases[Month],MONTH(tblGJ[[#This Row],[Date]]))</f>
        <v>68979460</v>
      </c>
      <c r="I865" s="1" t="s">
        <v>6528</v>
      </c>
      <c r="J865" s="1">
        <f>MONTH(tblGJ[[#This Row],[Date]])</f>
        <v>11</v>
      </c>
      <c r="K865" s="1" t="str">
        <f>_xlfn.XLOOKUP(tblGJ[[#This Row],[Account Code]],tblCOA[Code],tblCOA[FS Line],"")</f>
        <v>Prepaid taxes</v>
      </c>
      <c r="L865" s="121" t="str">
        <f>IF(OR(tblGJ[[#This Row],[Account Code]]=1120,tblGJ[[#This Row],[Account Code]]=1130),_xlfn.MINIFS(tblBank[Value Date],tblBank[Reference],tblGJ[[#This Row],[Voucher No]],tblBank[Account Code],tblGJ[[#This Row],[Account Code]]),"")</f>
        <v/>
      </c>
      <c r="M865" s="1" t="str">
        <f>IF(tblGJ[[#This Row],[Date]]&lt;=PEnd,"Yes","No")</f>
        <v>No</v>
      </c>
    </row>
    <row r="866" spans="2:13" x14ac:dyDescent="0.35">
      <c r="B866" s="109">
        <v>46356</v>
      </c>
      <c r="C866" s="1" t="s">
        <v>5919</v>
      </c>
      <c r="D866" s="1">
        <v>2220</v>
      </c>
      <c r="E866" s="1" t="str">
        <f>_xlfn.XLOOKUP(tblGJ[[#This Row],[Account Code]],tblCOA[Code],tblCOA[Account Name],"⚠ Invalid account")</f>
        <v>VAT Payable - Net</v>
      </c>
      <c r="F866" s="1" t="s">
        <v>6463</v>
      </c>
      <c r="G866" s="5"/>
      <c r="H866" s="5">
        <f>SUMIFS(tblSales[Output VAT],tblSales[Month],MONTH(tblGJ[[#This Row],[Date]]))-SUMIFS(tblPurchases[Input VAT],tblPurchases[Month],MONTH(tblGJ[[#This Row],[Date]]))</f>
        <v>57145990</v>
      </c>
      <c r="I866" s="1" t="s">
        <v>6528</v>
      </c>
      <c r="J866" s="1">
        <f>MONTH(tblGJ[[#This Row],[Date]])</f>
        <v>11</v>
      </c>
      <c r="K866" s="1" t="str">
        <f>_xlfn.XLOOKUP(tblGJ[[#This Row],[Account Code]],tblCOA[Code],tblCOA[FS Line],"")</f>
        <v>Taxes payable</v>
      </c>
      <c r="L866" s="121" t="str">
        <f>IF(OR(tblGJ[[#This Row],[Account Code]]=1120,tblGJ[[#This Row],[Account Code]]=1130),_xlfn.MINIFS(tblBank[Value Date],tblBank[Reference],tblGJ[[#This Row],[Voucher No]],tblBank[Account Code],tblGJ[[#This Row],[Account Code]]),"")</f>
        <v/>
      </c>
      <c r="M866" s="1" t="str">
        <f>IF(tblGJ[[#This Row],[Date]]&lt;=PEnd,"Yes","No")</f>
        <v>No</v>
      </c>
    </row>
    <row r="867" spans="2:13" x14ac:dyDescent="0.35">
      <c r="B867" s="109">
        <v>46356</v>
      </c>
      <c r="C867" s="1" t="s">
        <v>5920</v>
      </c>
      <c r="D867" s="1">
        <v>6240</v>
      </c>
      <c r="E867" s="1" t="str">
        <f>_xlfn.XLOOKUP(tblGJ[[#This Row],[Account Code]],tblCOA[Code],tblCOA[Account Name],"⚠ Invalid account")</f>
        <v>Depreciation Expense</v>
      </c>
      <c r="F867" s="1" t="s">
        <v>6464</v>
      </c>
      <c r="G867" s="5">
        <f>SUMIFS(INDEX(tblFA[[Jan]:[Dec]],0,MONTH(tblGJ[[#This Row],[Date]])),tblFA[Expense Account],tblGJ[[#This Row],[Account Code]])</f>
        <v>31458333</v>
      </c>
      <c r="H867" s="5"/>
      <c r="I867" s="1" t="s">
        <v>6534</v>
      </c>
      <c r="J867" s="1">
        <f>MONTH(tblGJ[[#This Row],[Date]])</f>
        <v>11</v>
      </c>
      <c r="K867" s="1" t="str">
        <f>_xlfn.XLOOKUP(tblGJ[[#This Row],[Account Code]],tblCOA[Code],tblCOA[FS Line],"")</f>
        <v>General &amp; administrative expenses</v>
      </c>
      <c r="L867" s="121" t="str">
        <f>IF(OR(tblGJ[[#This Row],[Account Code]]=1120,tblGJ[[#This Row],[Account Code]]=1130),_xlfn.MINIFS(tblBank[Value Date],tblBank[Reference],tblGJ[[#This Row],[Voucher No]],tblBank[Account Code],tblGJ[[#This Row],[Account Code]]),"")</f>
        <v/>
      </c>
      <c r="M867" s="1" t="str">
        <f>IF(tblGJ[[#This Row],[Date]]&lt;=PEnd,"Yes","No")</f>
        <v>No</v>
      </c>
    </row>
    <row r="868" spans="2:13" x14ac:dyDescent="0.35">
      <c r="B868" s="109">
        <v>46356</v>
      </c>
      <c r="C868" s="1" t="s">
        <v>5920</v>
      </c>
      <c r="D868" s="1">
        <v>6250</v>
      </c>
      <c r="E868" s="1" t="str">
        <f>_xlfn.XLOOKUP(tblGJ[[#This Row],[Account Code]],tblCOA[Code],tblCOA[Account Name],"⚠ Invalid account")</f>
        <v>Amortization Expense - Software</v>
      </c>
      <c r="F868" s="1" t="s">
        <v>6465</v>
      </c>
      <c r="G868" s="5">
        <f>SUMIFS(INDEX(tblFA[[Jan]:[Dec]],0,MONTH(tblGJ[[#This Row],[Date]])),tblFA[Expense Account],tblGJ[[#This Row],[Account Code]])</f>
        <v>5000000</v>
      </c>
      <c r="H868" s="5"/>
      <c r="I868" s="1" t="s">
        <v>6534</v>
      </c>
      <c r="J868" s="1">
        <f>MONTH(tblGJ[[#This Row],[Date]])</f>
        <v>11</v>
      </c>
      <c r="K868" s="1" t="str">
        <f>_xlfn.XLOOKUP(tblGJ[[#This Row],[Account Code]],tblCOA[Code],tblCOA[FS Line],"")</f>
        <v>General &amp; administrative expenses</v>
      </c>
      <c r="L868" s="121" t="str">
        <f>IF(OR(tblGJ[[#This Row],[Account Code]]=1120,tblGJ[[#This Row],[Account Code]]=1130),_xlfn.MINIFS(tblBank[Value Date],tblBank[Reference],tblGJ[[#This Row],[Voucher No]],tblBank[Account Code],tblGJ[[#This Row],[Account Code]]),"")</f>
        <v/>
      </c>
      <c r="M868" s="1" t="str">
        <f>IF(tblGJ[[#This Row],[Date]]&lt;=PEnd,"Yes","No")</f>
        <v>No</v>
      </c>
    </row>
    <row r="869" spans="2:13" x14ac:dyDescent="0.35">
      <c r="B869" s="109">
        <v>46356</v>
      </c>
      <c r="C869" s="1" t="s">
        <v>5920</v>
      </c>
      <c r="D869" s="1">
        <v>1691</v>
      </c>
      <c r="E869" s="1" t="str">
        <f>_xlfn.XLOOKUP(tblGJ[[#This Row],[Account Code]],tblCOA[Code],tblCOA[Account Name],"⚠ Invalid account")</f>
        <v>Acc. Depreciation - Buildings</v>
      </c>
      <c r="F869" s="1" t="s">
        <v>6466</v>
      </c>
      <c r="G869" s="5"/>
      <c r="H869" s="5">
        <f>SUMIFS(INDEX(tblFA[[Jan]:[Dec]],0,MONTH(tblGJ[[#This Row],[Date]])),tblFA[Acc. Dep. Account],tblGJ[[#This Row],[Account Code]])</f>
        <v>7500000</v>
      </c>
      <c r="I869" s="1" t="s">
        <v>6534</v>
      </c>
      <c r="J869" s="1">
        <f>MONTH(tblGJ[[#This Row],[Date]])</f>
        <v>11</v>
      </c>
      <c r="K869" s="1" t="str">
        <f>_xlfn.XLOOKUP(tblGJ[[#This Row],[Account Code]],tblCOA[Code],tblCOA[FS Line],"")</f>
        <v>Fixed assets - net</v>
      </c>
      <c r="L869" s="121" t="str">
        <f>IF(OR(tblGJ[[#This Row],[Account Code]]=1120,tblGJ[[#This Row],[Account Code]]=1130),_xlfn.MINIFS(tblBank[Value Date],tblBank[Reference],tblGJ[[#This Row],[Voucher No]],tblBank[Account Code],tblGJ[[#This Row],[Account Code]]),"")</f>
        <v/>
      </c>
      <c r="M869" s="1" t="str">
        <f>IF(tblGJ[[#This Row],[Date]]&lt;=PEnd,"Yes","No")</f>
        <v>No</v>
      </c>
    </row>
    <row r="870" spans="2:13" x14ac:dyDescent="0.35">
      <c r="B870" s="109">
        <v>46356</v>
      </c>
      <c r="C870" s="1" t="s">
        <v>5920</v>
      </c>
      <c r="D870" s="1">
        <v>1693</v>
      </c>
      <c r="E870" s="1" t="str">
        <f>_xlfn.XLOOKUP(tblGJ[[#This Row],[Account Code]],tblCOA[Code],tblCOA[Account Name],"⚠ Invalid account")</f>
        <v>Acc. Depreciation - Vehicles</v>
      </c>
      <c r="F870" s="1" t="s">
        <v>6466</v>
      </c>
      <c r="G870" s="5"/>
      <c r="H870" s="5">
        <f>SUMIFS(INDEX(tblFA[[Jan]:[Dec]],0,MONTH(tblGJ[[#This Row],[Date]])),tblFA[Acc. Dep. Account],tblGJ[[#This Row],[Account Code]])</f>
        <v>10625000</v>
      </c>
      <c r="I870" s="1" t="s">
        <v>6534</v>
      </c>
      <c r="J870" s="1">
        <f>MONTH(tblGJ[[#This Row],[Date]])</f>
        <v>11</v>
      </c>
      <c r="K870" s="1" t="str">
        <f>_xlfn.XLOOKUP(tblGJ[[#This Row],[Account Code]],tblCOA[Code],tblCOA[FS Line],"")</f>
        <v>Fixed assets - net</v>
      </c>
      <c r="L870" s="121" t="str">
        <f>IF(OR(tblGJ[[#This Row],[Account Code]]=1120,tblGJ[[#This Row],[Account Code]]=1130),_xlfn.MINIFS(tblBank[Value Date],tblBank[Reference],tblGJ[[#This Row],[Voucher No]],tblBank[Account Code],tblGJ[[#This Row],[Account Code]]),"")</f>
        <v/>
      </c>
      <c r="M870" s="1" t="str">
        <f>IF(tblGJ[[#This Row],[Date]]&lt;=PEnd,"Yes","No")</f>
        <v>No</v>
      </c>
    </row>
    <row r="871" spans="2:13" x14ac:dyDescent="0.35">
      <c r="B871" s="109">
        <v>46356</v>
      </c>
      <c r="C871" s="1" t="s">
        <v>5920</v>
      </c>
      <c r="D871" s="1">
        <v>1694</v>
      </c>
      <c r="E871" s="1" t="str">
        <f>_xlfn.XLOOKUP(tblGJ[[#This Row],[Account Code]],tblCOA[Code],tblCOA[Account Name],"⚠ Invalid account")</f>
        <v>Acc. Depreciation - Machinery &amp; Equipment</v>
      </c>
      <c r="F871" s="1" t="s">
        <v>6466</v>
      </c>
      <c r="G871" s="5"/>
      <c r="H871" s="5">
        <f>SUMIFS(INDEX(tblFA[[Jan]:[Dec]],0,MONTH(tblGJ[[#This Row],[Date]])),tblFA[Acc. Dep. Account],tblGJ[[#This Row],[Account Code]])</f>
        <v>10208333</v>
      </c>
      <c r="I871" s="1" t="s">
        <v>6534</v>
      </c>
      <c r="J871" s="1">
        <f>MONTH(tblGJ[[#This Row],[Date]])</f>
        <v>11</v>
      </c>
      <c r="K871" s="1" t="str">
        <f>_xlfn.XLOOKUP(tblGJ[[#This Row],[Account Code]],tblCOA[Code],tblCOA[FS Line],"")</f>
        <v>Fixed assets - net</v>
      </c>
      <c r="L871" s="121" t="str">
        <f>IF(OR(tblGJ[[#This Row],[Account Code]]=1120,tblGJ[[#This Row],[Account Code]]=1130),_xlfn.MINIFS(tblBank[Value Date],tblBank[Reference],tblGJ[[#This Row],[Voucher No]],tblBank[Account Code],tblGJ[[#This Row],[Account Code]]),"")</f>
        <v/>
      </c>
      <c r="M871" s="1" t="str">
        <f>IF(tblGJ[[#This Row],[Date]]&lt;=PEnd,"Yes","No")</f>
        <v>No</v>
      </c>
    </row>
    <row r="872" spans="2:13" x14ac:dyDescent="0.35">
      <c r="B872" s="109">
        <v>46356</v>
      </c>
      <c r="C872" s="1" t="s">
        <v>5920</v>
      </c>
      <c r="D872" s="1">
        <v>1695</v>
      </c>
      <c r="E872" s="1" t="str">
        <f>_xlfn.XLOOKUP(tblGJ[[#This Row],[Account Code]],tblCOA[Code],tblCOA[Account Name],"⚠ Invalid account")</f>
        <v>Acc. Depreciation - Office Furniture &amp; Equipment</v>
      </c>
      <c r="F872" s="1" t="s">
        <v>6466</v>
      </c>
      <c r="G872" s="5"/>
      <c r="H872" s="5">
        <f>SUMIFS(INDEX(tblFA[[Jan]:[Dec]],0,MONTH(tblGJ[[#This Row],[Date]])),tblFA[Acc. Dep. Account],tblGJ[[#This Row],[Account Code]])</f>
        <v>3125000</v>
      </c>
      <c r="I872" s="1" t="s">
        <v>6534</v>
      </c>
      <c r="J872" s="1">
        <f>MONTH(tblGJ[[#This Row],[Date]])</f>
        <v>11</v>
      </c>
      <c r="K872" s="1" t="str">
        <f>_xlfn.XLOOKUP(tblGJ[[#This Row],[Account Code]],tblCOA[Code],tblCOA[FS Line],"")</f>
        <v>Fixed assets - net</v>
      </c>
      <c r="L872" s="121" t="str">
        <f>IF(OR(tblGJ[[#This Row],[Account Code]]=1120,tblGJ[[#This Row],[Account Code]]=1130),_xlfn.MINIFS(tblBank[Value Date],tblBank[Reference],tblGJ[[#This Row],[Voucher No]],tblBank[Account Code],tblGJ[[#This Row],[Account Code]]),"")</f>
        <v/>
      </c>
      <c r="M872" s="1" t="str">
        <f>IF(tblGJ[[#This Row],[Date]]&lt;=PEnd,"Yes","No")</f>
        <v>No</v>
      </c>
    </row>
    <row r="873" spans="2:13" x14ac:dyDescent="0.35">
      <c r="B873" s="109">
        <v>46356</v>
      </c>
      <c r="C873" s="1" t="s">
        <v>5920</v>
      </c>
      <c r="D873" s="1">
        <v>1719</v>
      </c>
      <c r="E873" s="1" t="str">
        <f>_xlfn.XLOOKUP(tblGJ[[#This Row],[Account Code]],tblCOA[Code],tblCOA[Account Name],"⚠ Invalid account")</f>
        <v>Acc. Amortization - Software</v>
      </c>
      <c r="F873" s="1" t="s">
        <v>6466</v>
      </c>
      <c r="G873" s="5"/>
      <c r="H873" s="5">
        <f>SUMIFS(INDEX(tblFA[[Jan]:[Dec]],0,MONTH(tblGJ[[#This Row],[Date]])),tblFA[Acc. Dep. Account],tblGJ[[#This Row],[Account Code]])</f>
        <v>5000000</v>
      </c>
      <c r="I873" s="1" t="s">
        <v>6534</v>
      </c>
      <c r="J873" s="1">
        <f>MONTH(tblGJ[[#This Row],[Date]])</f>
        <v>11</v>
      </c>
      <c r="K873" s="1" t="str">
        <f>_xlfn.XLOOKUP(tblGJ[[#This Row],[Account Code]],tblCOA[Code],tblCOA[FS Line],"")</f>
        <v>Intangible assets - net</v>
      </c>
      <c r="L873" s="121" t="str">
        <f>IF(OR(tblGJ[[#This Row],[Account Code]]=1120,tblGJ[[#This Row],[Account Code]]=1130),_xlfn.MINIFS(tblBank[Value Date],tblBank[Reference],tblGJ[[#This Row],[Voucher No]],tblBank[Account Code],tblGJ[[#This Row],[Account Code]]),"")</f>
        <v/>
      </c>
      <c r="M873" s="1" t="str">
        <f>IF(tblGJ[[#This Row],[Date]]&lt;=PEnd,"Yes","No")</f>
        <v>No</v>
      </c>
    </row>
    <row r="874" spans="2:13" x14ac:dyDescent="0.35">
      <c r="B874" s="109">
        <v>46356</v>
      </c>
      <c r="C874" s="1" t="s">
        <v>5921</v>
      </c>
      <c r="D874" s="1">
        <v>6220</v>
      </c>
      <c r="E874" s="1" t="str">
        <f>_xlfn.XLOOKUP(tblGJ[[#This Row],[Account Code]],tblCOA[Code],tblCOA[Account Name],"⚠ Invalid account")</f>
        <v>Rent Expense</v>
      </c>
      <c r="F874" s="1" t="s">
        <v>6467</v>
      </c>
      <c r="G874" s="5">
        <f>SUMIFS(INDEX(tblPrepaid[[Jan]:[Dec]],0,MONTH(tblGJ[[#This Row],[Date]])),tblPrepaid[Expense Account],tblGJ[[#This Row],[Account Code]])</f>
        <v>11000000</v>
      </c>
      <c r="H874" s="5"/>
      <c r="I874" s="1" t="s">
        <v>6535</v>
      </c>
      <c r="J874" s="1">
        <f>MONTH(tblGJ[[#This Row],[Date]])</f>
        <v>11</v>
      </c>
      <c r="K874" s="1" t="str">
        <f>_xlfn.XLOOKUP(tblGJ[[#This Row],[Account Code]],tblCOA[Code],tblCOA[FS Line],"")</f>
        <v>General &amp; administrative expenses</v>
      </c>
      <c r="L874" s="121" t="str">
        <f>IF(OR(tblGJ[[#This Row],[Account Code]]=1120,tblGJ[[#This Row],[Account Code]]=1130),_xlfn.MINIFS(tblBank[Value Date],tblBank[Reference],tblGJ[[#This Row],[Voucher No]],tblBank[Account Code],tblGJ[[#This Row],[Account Code]]),"")</f>
        <v/>
      </c>
      <c r="M874" s="1" t="str">
        <f>IF(tblGJ[[#This Row],[Date]]&lt;=PEnd,"Yes","No")</f>
        <v>No</v>
      </c>
    </row>
    <row r="875" spans="2:13" x14ac:dyDescent="0.35">
      <c r="B875" s="109">
        <v>46356</v>
      </c>
      <c r="C875" s="1" t="s">
        <v>5921</v>
      </c>
      <c r="D875" s="1">
        <v>6260</v>
      </c>
      <c r="E875" s="1" t="str">
        <f>_xlfn.XLOOKUP(tblGJ[[#This Row],[Account Code]],tblCOA[Code],tblCOA[Account Name],"⚠ Invalid account")</f>
        <v>Insurance Expense</v>
      </c>
      <c r="F875" s="1" t="s">
        <v>6467</v>
      </c>
      <c r="G875" s="5">
        <f>SUMIFS(INDEX(tblPrepaid[[Jan]:[Dec]],0,MONTH(tblGJ[[#This Row],[Date]])),tblPrepaid[Expense Account],tblGJ[[#This Row],[Account Code]])</f>
        <v>3000000</v>
      </c>
      <c r="H875" s="5"/>
      <c r="I875" s="1" t="s">
        <v>6535</v>
      </c>
      <c r="J875" s="1">
        <f>MONTH(tblGJ[[#This Row],[Date]])</f>
        <v>11</v>
      </c>
      <c r="K875" s="1" t="str">
        <f>_xlfn.XLOOKUP(tblGJ[[#This Row],[Account Code]],tblCOA[Code],tblCOA[FS Line],"")</f>
        <v>General &amp; administrative expenses</v>
      </c>
      <c r="L875" s="121" t="str">
        <f>IF(OR(tblGJ[[#This Row],[Account Code]]=1120,tblGJ[[#This Row],[Account Code]]=1130),_xlfn.MINIFS(tblBank[Value Date],tblBank[Reference],tblGJ[[#This Row],[Voucher No]],tblBank[Account Code],tblGJ[[#This Row],[Account Code]]),"")</f>
        <v/>
      </c>
      <c r="M875" s="1" t="str">
        <f>IF(tblGJ[[#This Row],[Date]]&lt;=PEnd,"Yes","No")</f>
        <v>No</v>
      </c>
    </row>
    <row r="876" spans="2:13" x14ac:dyDescent="0.35">
      <c r="B876" s="109">
        <v>46356</v>
      </c>
      <c r="C876" s="1" t="s">
        <v>5921</v>
      </c>
      <c r="D876" s="1">
        <v>6265</v>
      </c>
      <c r="E876" s="1" t="str">
        <f>_xlfn.XLOOKUP(tblGJ[[#This Row],[Account Code]],tblCOA[Code],tblCOA[Account Name],"⚠ Invalid account")</f>
        <v>Software Subscription Expense</v>
      </c>
      <c r="F876" s="1" t="s">
        <v>6467</v>
      </c>
      <c r="G876" s="5">
        <f>SUMIFS(INDEX(tblPrepaid[[Jan]:[Dec]],0,MONTH(tblGJ[[#This Row],[Date]])),tblPrepaid[Expense Account],tblGJ[[#This Row],[Account Code]])</f>
        <v>6000000</v>
      </c>
      <c r="H876" s="5"/>
      <c r="I876" s="1" t="s">
        <v>6535</v>
      </c>
      <c r="J876" s="1">
        <f>MONTH(tblGJ[[#This Row],[Date]])</f>
        <v>11</v>
      </c>
      <c r="K876" s="1" t="str">
        <f>_xlfn.XLOOKUP(tblGJ[[#This Row],[Account Code]],tblCOA[Code],tblCOA[FS Line],"")</f>
        <v>General &amp; administrative expenses</v>
      </c>
      <c r="L876" s="121" t="str">
        <f>IF(OR(tblGJ[[#This Row],[Account Code]]=1120,tblGJ[[#This Row],[Account Code]]=1130),_xlfn.MINIFS(tblBank[Value Date],tblBank[Reference],tblGJ[[#This Row],[Voucher No]],tblBank[Account Code],tblGJ[[#This Row],[Account Code]]),"")</f>
        <v/>
      </c>
      <c r="M876" s="1" t="str">
        <f>IF(tblGJ[[#This Row],[Date]]&lt;=PEnd,"Yes","No")</f>
        <v>No</v>
      </c>
    </row>
    <row r="877" spans="2:13" x14ac:dyDescent="0.35">
      <c r="B877" s="109">
        <v>46356</v>
      </c>
      <c r="C877" s="1" t="s">
        <v>5921</v>
      </c>
      <c r="D877" s="1">
        <v>1410</v>
      </c>
      <c r="E877" s="1" t="str">
        <f>_xlfn.XLOOKUP(tblGJ[[#This Row],[Account Code]],tblCOA[Code],tblCOA[Account Name],"⚠ Invalid account")</f>
        <v>Prepaid Rent</v>
      </c>
      <c r="F877" s="1" t="s">
        <v>6467</v>
      </c>
      <c r="G877" s="5"/>
      <c r="H877" s="5">
        <f>SUMIFS(INDEX(tblPrepaid[[Jan]:[Dec]],0,MONTH(tblGJ[[#This Row],[Date]])),tblPrepaid[Prepaid Account],tblGJ[[#This Row],[Account Code]])</f>
        <v>11000000</v>
      </c>
      <c r="I877" s="1" t="s">
        <v>6535</v>
      </c>
      <c r="J877" s="1">
        <f>MONTH(tblGJ[[#This Row],[Date]])</f>
        <v>11</v>
      </c>
      <c r="K877" s="1" t="str">
        <f>_xlfn.XLOOKUP(tblGJ[[#This Row],[Account Code]],tblCOA[Code],tblCOA[FS Line],"")</f>
        <v>Prepaid expenses</v>
      </c>
      <c r="L877" s="121" t="str">
        <f>IF(OR(tblGJ[[#This Row],[Account Code]]=1120,tblGJ[[#This Row],[Account Code]]=1130),_xlfn.MINIFS(tblBank[Value Date],tblBank[Reference],tblGJ[[#This Row],[Voucher No]],tblBank[Account Code],tblGJ[[#This Row],[Account Code]]),"")</f>
        <v/>
      </c>
      <c r="M877" s="1" t="str">
        <f>IF(tblGJ[[#This Row],[Date]]&lt;=PEnd,"Yes","No")</f>
        <v>No</v>
      </c>
    </row>
    <row r="878" spans="2:13" x14ac:dyDescent="0.35">
      <c r="B878" s="109">
        <v>46356</v>
      </c>
      <c r="C878" s="1" t="s">
        <v>5921</v>
      </c>
      <c r="D878" s="1">
        <v>1420</v>
      </c>
      <c r="E878" s="1" t="str">
        <f>_xlfn.XLOOKUP(tblGJ[[#This Row],[Account Code]],tblCOA[Code],tblCOA[Account Name],"⚠ Invalid account")</f>
        <v>Prepaid Insurance</v>
      </c>
      <c r="F878" s="1" t="s">
        <v>6467</v>
      </c>
      <c r="G878" s="5"/>
      <c r="H878" s="5">
        <f>SUMIFS(INDEX(tblPrepaid[[Jan]:[Dec]],0,MONTH(tblGJ[[#This Row],[Date]])),tblPrepaid[Prepaid Account],tblGJ[[#This Row],[Account Code]])</f>
        <v>3000000</v>
      </c>
      <c r="I878" s="1" t="s">
        <v>6535</v>
      </c>
      <c r="J878" s="1">
        <f>MONTH(tblGJ[[#This Row],[Date]])</f>
        <v>11</v>
      </c>
      <c r="K878" s="1" t="str">
        <f>_xlfn.XLOOKUP(tblGJ[[#This Row],[Account Code]],tblCOA[Code],tblCOA[FS Line],"")</f>
        <v>Prepaid expenses</v>
      </c>
      <c r="L878" s="121" t="str">
        <f>IF(OR(tblGJ[[#This Row],[Account Code]]=1120,tblGJ[[#This Row],[Account Code]]=1130),_xlfn.MINIFS(tblBank[Value Date],tblBank[Reference],tblGJ[[#This Row],[Voucher No]],tblBank[Account Code],tblGJ[[#This Row],[Account Code]]),"")</f>
        <v/>
      </c>
      <c r="M878" s="1" t="str">
        <f>IF(tblGJ[[#This Row],[Date]]&lt;=PEnd,"Yes","No")</f>
        <v>No</v>
      </c>
    </row>
    <row r="879" spans="2:13" x14ac:dyDescent="0.35">
      <c r="B879" s="109">
        <v>46356</v>
      </c>
      <c r="C879" s="1" t="s">
        <v>5921</v>
      </c>
      <c r="D879" s="1">
        <v>1430</v>
      </c>
      <c r="E879" s="1" t="str">
        <f>_xlfn.XLOOKUP(tblGJ[[#This Row],[Account Code]],tblCOA[Code],tblCOA[Account Name],"⚠ Invalid account")</f>
        <v>Prepaid Software Subscriptions</v>
      </c>
      <c r="F879" s="1" t="s">
        <v>6467</v>
      </c>
      <c r="G879" s="5"/>
      <c r="H879" s="5">
        <f>SUMIFS(INDEX(tblPrepaid[[Jan]:[Dec]],0,MONTH(tblGJ[[#This Row],[Date]])),tblPrepaid[Prepaid Account],tblGJ[[#This Row],[Account Code]])</f>
        <v>6000000</v>
      </c>
      <c r="I879" s="1" t="s">
        <v>6535</v>
      </c>
      <c r="J879" s="1">
        <f>MONTH(tblGJ[[#This Row],[Date]])</f>
        <v>11</v>
      </c>
      <c r="K879" s="1" t="str">
        <f>_xlfn.XLOOKUP(tblGJ[[#This Row],[Account Code]],tblCOA[Code],tblCOA[FS Line],"")</f>
        <v>Prepaid expenses</v>
      </c>
      <c r="L879" s="121" t="str">
        <f>IF(OR(tblGJ[[#This Row],[Account Code]]=1120,tblGJ[[#This Row],[Account Code]]=1130),_xlfn.MINIFS(tblBank[Value Date],tblBank[Reference],tblGJ[[#This Row],[Voucher No]],tblBank[Account Code],tblGJ[[#This Row],[Account Code]]),"")</f>
        <v/>
      </c>
      <c r="M879" s="1" t="str">
        <f>IF(tblGJ[[#This Row],[Date]]&lt;=PEnd,"Yes","No")</f>
        <v>No</v>
      </c>
    </row>
    <row r="880" spans="2:13" x14ac:dyDescent="0.35">
      <c r="B880" s="109">
        <v>46356</v>
      </c>
      <c r="C880" s="1" t="s">
        <v>5922</v>
      </c>
      <c r="D880" s="1">
        <v>6290</v>
      </c>
      <c r="E880" s="1" t="str">
        <f>_xlfn.XLOOKUP(tblGJ[[#This Row],[Account Code]],tblCOA[Code],tblCOA[Account Name],"⚠ Invalid account")</f>
        <v>Employee Benefits Expense</v>
      </c>
      <c r="F880" s="1" t="s">
        <v>6468</v>
      </c>
      <c r="G880" s="5">
        <v>3000000</v>
      </c>
      <c r="H880" s="5"/>
      <c r="I880" s="1" t="s">
        <v>4263</v>
      </c>
      <c r="J880" s="1">
        <f>MONTH(tblGJ[[#This Row],[Date]])</f>
        <v>11</v>
      </c>
      <c r="K880" s="1" t="str">
        <f>_xlfn.XLOOKUP(tblGJ[[#This Row],[Account Code]],tblCOA[Code],tblCOA[FS Line],"")</f>
        <v>General &amp; administrative expenses</v>
      </c>
      <c r="L880" s="121" t="str">
        <f>IF(OR(tblGJ[[#This Row],[Account Code]]=1120,tblGJ[[#This Row],[Account Code]]=1130),_xlfn.MINIFS(tblBank[Value Date],tblBank[Reference],tblGJ[[#This Row],[Voucher No]],tblBank[Account Code],tblGJ[[#This Row],[Account Code]]),"")</f>
        <v/>
      </c>
      <c r="M880" s="1" t="str">
        <f>IF(tblGJ[[#This Row],[Date]]&lt;=PEnd,"Yes","No")</f>
        <v>No</v>
      </c>
    </row>
    <row r="881" spans="2:13" x14ac:dyDescent="0.35">
      <c r="B881" s="109">
        <v>46356</v>
      </c>
      <c r="C881" s="1" t="s">
        <v>5922</v>
      </c>
      <c r="D881" s="1">
        <v>2420</v>
      </c>
      <c r="E881" s="1" t="str">
        <f>_xlfn.XLOOKUP(tblGJ[[#This Row],[Account Code]],tblCOA[Code],tblCOA[Account Name],"⚠ Invalid account")</f>
        <v>Employee Benefits Liability</v>
      </c>
      <c r="F881" s="1" t="s">
        <v>6469</v>
      </c>
      <c r="G881" s="5"/>
      <c r="H881" s="5">
        <v>3000000</v>
      </c>
      <c r="I881" s="1" t="s">
        <v>4263</v>
      </c>
      <c r="J881" s="1">
        <f>MONTH(tblGJ[[#This Row],[Date]])</f>
        <v>11</v>
      </c>
      <c r="K881" s="1" t="str">
        <f>_xlfn.XLOOKUP(tblGJ[[#This Row],[Account Code]],tblCOA[Code],tblCOA[FS Line],"")</f>
        <v>Employee benefits liability</v>
      </c>
      <c r="L881" s="121" t="str">
        <f>IF(OR(tblGJ[[#This Row],[Account Code]]=1120,tblGJ[[#This Row],[Account Code]]=1130),_xlfn.MINIFS(tblBank[Value Date],tblBank[Reference],tblGJ[[#This Row],[Voucher No]],tblBank[Account Code],tblGJ[[#This Row],[Account Code]]),"")</f>
        <v/>
      </c>
      <c r="M881" s="1" t="str">
        <f>IF(tblGJ[[#This Row],[Date]]&lt;=PEnd,"Yes","No")</f>
        <v>No</v>
      </c>
    </row>
    <row r="882" spans="2:13" x14ac:dyDescent="0.35">
      <c r="B882" s="109">
        <v>46356</v>
      </c>
      <c r="C882" s="1" t="s">
        <v>5923</v>
      </c>
      <c r="D882" s="1">
        <v>1120</v>
      </c>
      <c r="E882" s="1" t="str">
        <f>_xlfn.XLOOKUP(tblGJ[[#This Row],[Account Code]],tblCOA[Code],tblCOA[Account Name],"⚠ Invalid account")</f>
        <v>Bank BCA - Current Account</v>
      </c>
      <c r="F882" s="1" t="s">
        <v>6470</v>
      </c>
      <c r="G882" s="5">
        <v>1333333</v>
      </c>
      <c r="H882" s="5"/>
      <c r="I882" s="1" t="s">
        <v>4263</v>
      </c>
      <c r="J882" s="1">
        <f>MONTH(tblGJ[[#This Row],[Date]])</f>
        <v>11</v>
      </c>
      <c r="K882" s="1" t="str">
        <f>_xlfn.XLOOKUP(tblGJ[[#This Row],[Account Code]],tblCOA[Code],tblCOA[FS Line],"")</f>
        <v>Cash and cash equivalents</v>
      </c>
      <c r="L882" s="121">
        <f>IF(OR(tblGJ[[#This Row],[Account Code]]=1120,tblGJ[[#This Row],[Account Code]]=1130),_xlfn.MINIFS(tblBank[Value Date],tblBank[Reference],tblGJ[[#This Row],[Voucher No]],tblBank[Account Code],tblGJ[[#This Row],[Account Code]]),"")</f>
        <v>46356</v>
      </c>
      <c r="M882" s="1" t="str">
        <f>IF(tblGJ[[#This Row],[Date]]&lt;=PEnd,"Yes","No")</f>
        <v>No</v>
      </c>
    </row>
    <row r="883" spans="2:13" x14ac:dyDescent="0.35">
      <c r="B883" s="109">
        <v>46356</v>
      </c>
      <c r="C883" s="1" t="s">
        <v>5923</v>
      </c>
      <c r="D883" s="1">
        <v>8200</v>
      </c>
      <c r="E883" s="1" t="str">
        <f>_xlfn.XLOOKUP(tblGJ[[#This Row],[Account Code]],tblCOA[Code],tblCOA[Account Name],"⚠ Invalid account")</f>
        <v>Final Income Tax Expense</v>
      </c>
      <c r="F883" s="1" t="s">
        <v>6471</v>
      </c>
      <c r="G883" s="5">
        <v>333334</v>
      </c>
      <c r="H883" s="5"/>
      <c r="I883" s="1" t="s">
        <v>4263</v>
      </c>
      <c r="J883" s="1">
        <f>MONTH(tblGJ[[#This Row],[Date]])</f>
        <v>11</v>
      </c>
      <c r="K883" s="1" t="str">
        <f>_xlfn.XLOOKUP(tblGJ[[#This Row],[Account Code]],tblCOA[Code],tblCOA[FS Line],"")</f>
        <v>Other expenses</v>
      </c>
      <c r="L883" s="121" t="str">
        <f>IF(OR(tblGJ[[#This Row],[Account Code]]=1120,tblGJ[[#This Row],[Account Code]]=1130),_xlfn.MINIFS(tblBank[Value Date],tblBank[Reference],tblGJ[[#This Row],[Voucher No]],tblBank[Account Code],tblGJ[[#This Row],[Account Code]]),"")</f>
        <v/>
      </c>
      <c r="M883" s="1" t="str">
        <f>IF(tblGJ[[#This Row],[Date]]&lt;=PEnd,"Yes","No")</f>
        <v>No</v>
      </c>
    </row>
    <row r="884" spans="2:13" x14ac:dyDescent="0.35">
      <c r="B884" s="109">
        <v>46356</v>
      </c>
      <c r="C884" s="1" t="s">
        <v>5923</v>
      </c>
      <c r="D884" s="1">
        <v>7110</v>
      </c>
      <c r="E884" s="1" t="str">
        <f>_xlfn.XLOOKUP(tblGJ[[#This Row],[Account Code]],tblCOA[Code],tblCOA[Account Name],"⚠ Invalid account")</f>
        <v>Interest Income - Time Deposit</v>
      </c>
      <c r="F884" s="1" t="s">
        <v>6472</v>
      </c>
      <c r="G884" s="5"/>
      <c r="H884" s="5">
        <v>1666667</v>
      </c>
      <c r="I884" s="1" t="s">
        <v>4263</v>
      </c>
      <c r="J884" s="1">
        <f>MONTH(tblGJ[[#This Row],[Date]])</f>
        <v>11</v>
      </c>
      <c r="K884" s="1" t="str">
        <f>_xlfn.XLOOKUP(tblGJ[[#This Row],[Account Code]],tblCOA[Code],tblCOA[FS Line],"")</f>
        <v>Other income</v>
      </c>
      <c r="L884" s="121" t="str">
        <f>IF(OR(tblGJ[[#This Row],[Account Code]]=1120,tblGJ[[#This Row],[Account Code]]=1130),_xlfn.MINIFS(tblBank[Value Date],tblBank[Reference],tblGJ[[#This Row],[Voucher No]],tblBank[Account Code],tblGJ[[#This Row],[Account Code]]),"")</f>
        <v/>
      </c>
      <c r="M884" s="1" t="str">
        <f>IF(tblGJ[[#This Row],[Date]]&lt;=PEnd,"Yes","No")</f>
        <v>No</v>
      </c>
    </row>
    <row r="885" spans="2:13" x14ac:dyDescent="0.35">
      <c r="B885" s="109">
        <v>46356</v>
      </c>
      <c r="C885" s="1" t="s">
        <v>5924</v>
      </c>
      <c r="D885" s="1">
        <v>1120</v>
      </c>
      <c r="E885" s="1" t="str">
        <f>_xlfn.XLOOKUP(tblGJ[[#This Row],[Account Code]],tblCOA[Code],tblCOA[Account Name],"⚠ Invalid account")</f>
        <v>Bank BCA - Current Account</v>
      </c>
      <c r="F885" s="1" t="s">
        <v>6473</v>
      </c>
      <c r="G885" s="5">
        <v>411804</v>
      </c>
      <c r="H885" s="5"/>
      <c r="I885" s="1" t="s">
        <v>4263</v>
      </c>
      <c r="J885" s="1">
        <f>MONTH(tblGJ[[#This Row],[Date]])</f>
        <v>11</v>
      </c>
      <c r="K885" s="1" t="str">
        <f>_xlfn.XLOOKUP(tblGJ[[#This Row],[Account Code]],tblCOA[Code],tblCOA[FS Line],"")</f>
        <v>Cash and cash equivalents</v>
      </c>
      <c r="L885" s="121">
        <f>IF(OR(tblGJ[[#This Row],[Account Code]]=1120,tblGJ[[#This Row],[Account Code]]=1130),_xlfn.MINIFS(tblBank[Value Date],tblBank[Reference],tblGJ[[#This Row],[Voucher No]],tblBank[Account Code],tblGJ[[#This Row],[Account Code]]),"")</f>
        <v>46356</v>
      </c>
      <c r="M885" s="1" t="str">
        <f>IF(tblGJ[[#This Row],[Date]]&lt;=PEnd,"Yes","No")</f>
        <v>No</v>
      </c>
    </row>
    <row r="886" spans="2:13" x14ac:dyDescent="0.35">
      <c r="B886" s="109">
        <v>46356</v>
      </c>
      <c r="C886" s="1" t="s">
        <v>5924</v>
      </c>
      <c r="D886" s="1">
        <v>7120</v>
      </c>
      <c r="E886" s="1" t="str">
        <f>_xlfn.XLOOKUP(tblGJ[[#This Row],[Account Code]],tblCOA[Code],tblCOA[Account Name],"⚠ Invalid account")</f>
        <v>Interest Income - Current Account</v>
      </c>
      <c r="F886" s="1" t="s">
        <v>6473</v>
      </c>
      <c r="G886" s="5"/>
      <c r="H886" s="5">
        <v>411804</v>
      </c>
      <c r="I886" s="1" t="s">
        <v>4263</v>
      </c>
      <c r="J886" s="1">
        <f>MONTH(tblGJ[[#This Row],[Date]])</f>
        <v>11</v>
      </c>
      <c r="K886" s="1" t="str">
        <f>_xlfn.XLOOKUP(tblGJ[[#This Row],[Account Code]],tblCOA[Code],tblCOA[FS Line],"")</f>
        <v>Other income</v>
      </c>
      <c r="L886" s="121" t="str">
        <f>IF(OR(tblGJ[[#This Row],[Account Code]]=1120,tblGJ[[#This Row],[Account Code]]=1130),_xlfn.MINIFS(tblBank[Value Date],tblBank[Reference],tblGJ[[#This Row],[Voucher No]],tblBank[Account Code],tblGJ[[#This Row],[Account Code]]),"")</f>
        <v/>
      </c>
      <c r="M886" s="1" t="str">
        <f>IF(tblGJ[[#This Row],[Date]]&lt;=PEnd,"Yes","No")</f>
        <v>No</v>
      </c>
    </row>
    <row r="887" spans="2:13" x14ac:dyDescent="0.35">
      <c r="B887" s="109">
        <v>46356</v>
      </c>
      <c r="C887" s="1" t="s">
        <v>5925</v>
      </c>
      <c r="D887" s="1">
        <v>8200</v>
      </c>
      <c r="E887" s="1" t="str">
        <f>_xlfn.XLOOKUP(tblGJ[[#This Row],[Account Code]],tblCOA[Code],tblCOA[Account Name],"⚠ Invalid account")</f>
        <v>Final Income Tax Expense</v>
      </c>
      <c r="F887" s="1" t="s">
        <v>6474</v>
      </c>
      <c r="G887" s="5">
        <v>82361</v>
      </c>
      <c r="H887" s="5"/>
      <c r="I887" s="1" t="s">
        <v>4263</v>
      </c>
      <c r="J887" s="1">
        <f>MONTH(tblGJ[[#This Row],[Date]])</f>
        <v>11</v>
      </c>
      <c r="K887" s="1" t="str">
        <f>_xlfn.XLOOKUP(tblGJ[[#This Row],[Account Code]],tblCOA[Code],tblCOA[FS Line],"")</f>
        <v>Other expenses</v>
      </c>
      <c r="L887" s="121" t="str">
        <f>IF(OR(tblGJ[[#This Row],[Account Code]]=1120,tblGJ[[#This Row],[Account Code]]=1130),_xlfn.MINIFS(tblBank[Value Date],tblBank[Reference],tblGJ[[#This Row],[Voucher No]],tblBank[Account Code],tblGJ[[#This Row],[Account Code]]),"")</f>
        <v/>
      </c>
      <c r="M887" s="1" t="str">
        <f>IF(tblGJ[[#This Row],[Date]]&lt;=PEnd,"Yes","No")</f>
        <v>No</v>
      </c>
    </row>
    <row r="888" spans="2:13" x14ac:dyDescent="0.35">
      <c r="B888" s="109">
        <v>46356</v>
      </c>
      <c r="C888" s="1" t="s">
        <v>5925</v>
      </c>
      <c r="D888" s="1">
        <v>1120</v>
      </c>
      <c r="E888" s="1" t="str">
        <f>_xlfn.XLOOKUP(tblGJ[[#This Row],[Account Code]],tblCOA[Code],tblCOA[Account Name],"⚠ Invalid account")</f>
        <v>Bank BCA - Current Account</v>
      </c>
      <c r="F888" s="1" t="s">
        <v>6474</v>
      </c>
      <c r="G888" s="5"/>
      <c r="H888" s="5">
        <v>82361</v>
      </c>
      <c r="I888" s="1" t="s">
        <v>4263</v>
      </c>
      <c r="J888" s="1">
        <f>MONTH(tblGJ[[#This Row],[Date]])</f>
        <v>11</v>
      </c>
      <c r="K888" s="1" t="str">
        <f>_xlfn.XLOOKUP(tblGJ[[#This Row],[Account Code]],tblCOA[Code],tblCOA[FS Line],"")</f>
        <v>Cash and cash equivalents</v>
      </c>
      <c r="L888" s="121">
        <f>IF(OR(tblGJ[[#This Row],[Account Code]]=1120,tblGJ[[#This Row],[Account Code]]=1130),_xlfn.MINIFS(tblBank[Value Date],tblBank[Reference],tblGJ[[#This Row],[Voucher No]],tblBank[Account Code],tblGJ[[#This Row],[Account Code]]),"")</f>
        <v>46356</v>
      </c>
      <c r="M888" s="1" t="str">
        <f>IF(tblGJ[[#This Row],[Date]]&lt;=PEnd,"Yes","No")</f>
        <v>No</v>
      </c>
    </row>
    <row r="889" spans="2:13" x14ac:dyDescent="0.35">
      <c r="B889" s="109">
        <v>46356</v>
      </c>
      <c r="C889" s="1" t="s">
        <v>5926</v>
      </c>
      <c r="D889" s="1">
        <v>7220</v>
      </c>
      <c r="E889" s="1" t="str">
        <f>_xlfn.XLOOKUP(tblGJ[[#This Row],[Account Code]],tblCOA[Code],tblCOA[Account Name],"⚠ Invalid account")</f>
        <v>Bank Charges</v>
      </c>
      <c r="F889" s="1" t="s">
        <v>6475</v>
      </c>
      <c r="G889" s="5">
        <v>150000</v>
      </c>
      <c r="H889" s="5"/>
      <c r="I889" s="1" t="s">
        <v>4263</v>
      </c>
      <c r="J889" s="1">
        <f>MONTH(tblGJ[[#This Row],[Date]])</f>
        <v>11</v>
      </c>
      <c r="K889" s="1" t="str">
        <f>_xlfn.XLOOKUP(tblGJ[[#This Row],[Account Code]],tblCOA[Code],tblCOA[FS Line],"")</f>
        <v>Other expenses</v>
      </c>
      <c r="L889" s="121" t="str">
        <f>IF(OR(tblGJ[[#This Row],[Account Code]]=1120,tblGJ[[#This Row],[Account Code]]=1130),_xlfn.MINIFS(tblBank[Value Date],tblBank[Reference],tblGJ[[#This Row],[Voucher No]],tblBank[Account Code],tblGJ[[#This Row],[Account Code]]),"")</f>
        <v/>
      </c>
      <c r="M889" s="1" t="str">
        <f>IF(tblGJ[[#This Row],[Date]]&lt;=PEnd,"Yes","No")</f>
        <v>No</v>
      </c>
    </row>
    <row r="890" spans="2:13" x14ac:dyDescent="0.35">
      <c r="B890" s="109">
        <v>46356</v>
      </c>
      <c r="C890" s="1" t="s">
        <v>5926</v>
      </c>
      <c r="D890" s="1">
        <v>1120</v>
      </c>
      <c r="E890" s="1" t="str">
        <f>_xlfn.XLOOKUP(tblGJ[[#This Row],[Account Code]],tblCOA[Code],tblCOA[Account Name],"⚠ Invalid account")</f>
        <v>Bank BCA - Current Account</v>
      </c>
      <c r="F890" s="1" t="s">
        <v>6475</v>
      </c>
      <c r="G890" s="5"/>
      <c r="H890" s="5">
        <v>150000</v>
      </c>
      <c r="I890" s="1" t="s">
        <v>4263</v>
      </c>
      <c r="J890" s="1">
        <f>MONTH(tblGJ[[#This Row],[Date]])</f>
        <v>11</v>
      </c>
      <c r="K890" s="1" t="str">
        <f>_xlfn.XLOOKUP(tblGJ[[#This Row],[Account Code]],tblCOA[Code],tblCOA[FS Line],"")</f>
        <v>Cash and cash equivalents</v>
      </c>
      <c r="L890" s="121">
        <f>IF(OR(tblGJ[[#This Row],[Account Code]]=1120,tblGJ[[#This Row],[Account Code]]=1130),_xlfn.MINIFS(tblBank[Value Date],tblBank[Reference],tblGJ[[#This Row],[Voucher No]],tblBank[Account Code],tblGJ[[#This Row],[Account Code]]),"")</f>
        <v>46356</v>
      </c>
      <c r="M890" s="1" t="str">
        <f>IF(tblGJ[[#This Row],[Date]]&lt;=PEnd,"Yes","No")</f>
        <v>No</v>
      </c>
    </row>
    <row r="891" spans="2:13" x14ac:dyDescent="0.35">
      <c r="B891" s="109">
        <v>46356</v>
      </c>
      <c r="C891" s="1" t="s">
        <v>5927</v>
      </c>
      <c r="D891" s="1">
        <v>1130</v>
      </c>
      <c r="E891" s="1" t="str">
        <f>_xlfn.XLOOKUP(tblGJ[[#This Row],[Account Code]],tblCOA[Code],tblCOA[Account Name],"⚠ Invalid account")</f>
        <v>Bank Mandiri - Current Account</v>
      </c>
      <c r="F891" s="1" t="s">
        <v>6476</v>
      </c>
      <c r="G891" s="5">
        <v>62821</v>
      </c>
      <c r="H891" s="5"/>
      <c r="I891" s="1" t="s">
        <v>4263</v>
      </c>
      <c r="J891" s="1">
        <f>MONTH(tblGJ[[#This Row],[Date]])</f>
        <v>11</v>
      </c>
      <c r="K891" s="1" t="str">
        <f>_xlfn.XLOOKUP(tblGJ[[#This Row],[Account Code]],tblCOA[Code],tblCOA[FS Line],"")</f>
        <v>Cash and cash equivalents</v>
      </c>
      <c r="L891" s="121">
        <f>IF(OR(tblGJ[[#This Row],[Account Code]]=1120,tblGJ[[#This Row],[Account Code]]=1130),_xlfn.MINIFS(tblBank[Value Date],tblBank[Reference],tblGJ[[#This Row],[Voucher No]],tblBank[Account Code],tblGJ[[#This Row],[Account Code]]),"")</f>
        <v>46356</v>
      </c>
      <c r="M891" s="1" t="str">
        <f>IF(tblGJ[[#This Row],[Date]]&lt;=PEnd,"Yes","No")</f>
        <v>No</v>
      </c>
    </row>
    <row r="892" spans="2:13" x14ac:dyDescent="0.35">
      <c r="B892" s="109">
        <v>46356</v>
      </c>
      <c r="C892" s="1" t="s">
        <v>5927</v>
      </c>
      <c r="D892" s="1">
        <v>7120</v>
      </c>
      <c r="E892" s="1" t="str">
        <f>_xlfn.XLOOKUP(tblGJ[[#This Row],[Account Code]],tblCOA[Code],tblCOA[Account Name],"⚠ Invalid account")</f>
        <v>Interest Income - Current Account</v>
      </c>
      <c r="F892" s="1" t="s">
        <v>6476</v>
      </c>
      <c r="G892" s="5"/>
      <c r="H892" s="5">
        <v>62821</v>
      </c>
      <c r="I892" s="1" t="s">
        <v>4263</v>
      </c>
      <c r="J892" s="1">
        <f>MONTH(tblGJ[[#This Row],[Date]])</f>
        <v>11</v>
      </c>
      <c r="K892" s="1" t="str">
        <f>_xlfn.XLOOKUP(tblGJ[[#This Row],[Account Code]],tblCOA[Code],tblCOA[FS Line],"")</f>
        <v>Other income</v>
      </c>
      <c r="L892" s="121" t="str">
        <f>IF(OR(tblGJ[[#This Row],[Account Code]]=1120,tblGJ[[#This Row],[Account Code]]=1130),_xlfn.MINIFS(tblBank[Value Date],tblBank[Reference],tblGJ[[#This Row],[Voucher No]],tblBank[Account Code],tblGJ[[#This Row],[Account Code]]),"")</f>
        <v/>
      </c>
      <c r="M892" s="1" t="str">
        <f>IF(tblGJ[[#This Row],[Date]]&lt;=PEnd,"Yes","No")</f>
        <v>No</v>
      </c>
    </row>
    <row r="893" spans="2:13" x14ac:dyDescent="0.35">
      <c r="B893" s="109">
        <v>46356</v>
      </c>
      <c r="C893" s="1" t="s">
        <v>5928</v>
      </c>
      <c r="D893" s="1">
        <v>8200</v>
      </c>
      <c r="E893" s="1" t="str">
        <f>_xlfn.XLOOKUP(tblGJ[[#This Row],[Account Code]],tblCOA[Code],tblCOA[Account Name],"⚠ Invalid account")</f>
        <v>Final Income Tax Expense</v>
      </c>
      <c r="F893" s="1" t="s">
        <v>6477</v>
      </c>
      <c r="G893" s="5">
        <v>12564</v>
      </c>
      <c r="H893" s="5"/>
      <c r="I893" s="1" t="s">
        <v>4263</v>
      </c>
      <c r="J893" s="1">
        <f>MONTH(tblGJ[[#This Row],[Date]])</f>
        <v>11</v>
      </c>
      <c r="K893" s="1" t="str">
        <f>_xlfn.XLOOKUP(tblGJ[[#This Row],[Account Code]],tblCOA[Code],tblCOA[FS Line],"")</f>
        <v>Other expenses</v>
      </c>
      <c r="L893" s="121" t="str">
        <f>IF(OR(tblGJ[[#This Row],[Account Code]]=1120,tblGJ[[#This Row],[Account Code]]=1130),_xlfn.MINIFS(tblBank[Value Date],tblBank[Reference],tblGJ[[#This Row],[Voucher No]],tblBank[Account Code],tblGJ[[#This Row],[Account Code]]),"")</f>
        <v/>
      </c>
      <c r="M893" s="1" t="str">
        <f>IF(tblGJ[[#This Row],[Date]]&lt;=PEnd,"Yes","No")</f>
        <v>No</v>
      </c>
    </row>
    <row r="894" spans="2:13" x14ac:dyDescent="0.35">
      <c r="B894" s="109">
        <v>46356</v>
      </c>
      <c r="C894" s="1" t="s">
        <v>5928</v>
      </c>
      <c r="D894" s="1">
        <v>1130</v>
      </c>
      <c r="E894" s="1" t="str">
        <f>_xlfn.XLOOKUP(tblGJ[[#This Row],[Account Code]],tblCOA[Code],tblCOA[Account Name],"⚠ Invalid account")</f>
        <v>Bank Mandiri - Current Account</v>
      </c>
      <c r="F894" s="1" t="s">
        <v>6477</v>
      </c>
      <c r="G894" s="5"/>
      <c r="H894" s="5">
        <v>12564</v>
      </c>
      <c r="I894" s="1" t="s">
        <v>4263</v>
      </c>
      <c r="J894" s="1">
        <f>MONTH(tblGJ[[#This Row],[Date]])</f>
        <v>11</v>
      </c>
      <c r="K894" s="1" t="str">
        <f>_xlfn.XLOOKUP(tblGJ[[#This Row],[Account Code]],tblCOA[Code],tblCOA[FS Line],"")</f>
        <v>Cash and cash equivalents</v>
      </c>
      <c r="L894" s="121">
        <f>IF(OR(tblGJ[[#This Row],[Account Code]]=1120,tblGJ[[#This Row],[Account Code]]=1130),_xlfn.MINIFS(tblBank[Value Date],tblBank[Reference],tblGJ[[#This Row],[Voucher No]],tblBank[Account Code],tblGJ[[#This Row],[Account Code]]),"")</f>
        <v>46356</v>
      </c>
      <c r="M894" s="1" t="str">
        <f>IF(tblGJ[[#This Row],[Date]]&lt;=PEnd,"Yes","No")</f>
        <v>No</v>
      </c>
    </row>
    <row r="895" spans="2:13" x14ac:dyDescent="0.35">
      <c r="B895" s="109">
        <v>46356</v>
      </c>
      <c r="C895" s="1" t="s">
        <v>5929</v>
      </c>
      <c r="D895" s="1">
        <v>7220</v>
      </c>
      <c r="E895" s="1" t="str">
        <f>_xlfn.XLOOKUP(tblGJ[[#This Row],[Account Code]],tblCOA[Code],tblCOA[Account Name],"⚠ Invalid account")</f>
        <v>Bank Charges</v>
      </c>
      <c r="F895" s="1" t="s">
        <v>6478</v>
      </c>
      <c r="G895" s="5">
        <v>118500</v>
      </c>
      <c r="H895" s="5"/>
      <c r="I895" s="1" t="s">
        <v>4263</v>
      </c>
      <c r="J895" s="1">
        <f>MONTH(tblGJ[[#This Row],[Date]])</f>
        <v>11</v>
      </c>
      <c r="K895" s="1" t="str">
        <f>_xlfn.XLOOKUP(tblGJ[[#This Row],[Account Code]],tblCOA[Code],tblCOA[FS Line],"")</f>
        <v>Other expenses</v>
      </c>
      <c r="L895" s="121" t="str">
        <f>IF(OR(tblGJ[[#This Row],[Account Code]]=1120,tblGJ[[#This Row],[Account Code]]=1130),_xlfn.MINIFS(tblBank[Value Date],tblBank[Reference],tblGJ[[#This Row],[Voucher No]],tblBank[Account Code],tblGJ[[#This Row],[Account Code]]),"")</f>
        <v/>
      </c>
      <c r="M895" s="1" t="str">
        <f>IF(tblGJ[[#This Row],[Date]]&lt;=PEnd,"Yes","No")</f>
        <v>No</v>
      </c>
    </row>
    <row r="896" spans="2:13" x14ac:dyDescent="0.35">
      <c r="B896" s="109">
        <v>46356</v>
      </c>
      <c r="C896" s="1" t="s">
        <v>5929</v>
      </c>
      <c r="D896" s="1">
        <v>1130</v>
      </c>
      <c r="E896" s="1" t="str">
        <f>_xlfn.XLOOKUP(tblGJ[[#This Row],[Account Code]],tblCOA[Code],tblCOA[Account Name],"⚠ Invalid account")</f>
        <v>Bank Mandiri - Current Account</v>
      </c>
      <c r="F896" s="1" t="s">
        <v>6478</v>
      </c>
      <c r="G896" s="5"/>
      <c r="H896" s="5">
        <v>118500</v>
      </c>
      <c r="I896" s="1" t="s">
        <v>4263</v>
      </c>
      <c r="J896" s="1">
        <f>MONTH(tblGJ[[#This Row],[Date]])</f>
        <v>11</v>
      </c>
      <c r="K896" s="1" t="str">
        <f>_xlfn.XLOOKUP(tblGJ[[#This Row],[Account Code]],tblCOA[Code],tblCOA[FS Line],"")</f>
        <v>Cash and cash equivalents</v>
      </c>
      <c r="L896" s="121">
        <f>IF(OR(tblGJ[[#This Row],[Account Code]]=1120,tblGJ[[#This Row],[Account Code]]=1130),_xlfn.MINIFS(tblBank[Value Date],tblBank[Reference],tblGJ[[#This Row],[Voucher No]],tblBank[Account Code],tblGJ[[#This Row],[Account Code]]),"")</f>
        <v>46356</v>
      </c>
      <c r="M896" s="1" t="str">
        <f>IF(tblGJ[[#This Row],[Date]]&lt;=PEnd,"Yes","No")</f>
        <v>No</v>
      </c>
    </row>
    <row r="897" spans="2:13" x14ac:dyDescent="0.35">
      <c r="B897" s="109">
        <v>46366</v>
      </c>
      <c r="C897" s="1" t="s">
        <v>5930</v>
      </c>
      <c r="D897" s="1">
        <v>2230</v>
      </c>
      <c r="E897" s="1" t="str">
        <f>_xlfn.XLOOKUP(tblGJ[[#This Row],[Account Code]],tblCOA[Code],tblCOA[Account Name],"⚠ Invalid account")</f>
        <v>WHT Payable - Art. 21</v>
      </c>
      <c r="F897" s="1" t="s">
        <v>5957</v>
      </c>
      <c r="G897" s="5">
        <f>IF(MONTH(tblGJ[[#This Row],[Date]])=1,_xlfn.XLOOKUP(2230,tblCOA[Code],tblCOA[Opening Balance]),SUMIFS(tblPayroll[PPh 21],tblPayroll[Period],MONTH(tblGJ[[#This Row],[Date]])-1))</f>
        <v>10516831</v>
      </c>
      <c r="H897" s="5"/>
      <c r="I897" s="1" t="s">
        <v>6528</v>
      </c>
      <c r="J897" s="1">
        <f>MONTH(tblGJ[[#This Row],[Date]])</f>
        <v>12</v>
      </c>
      <c r="K897" s="1" t="str">
        <f>_xlfn.XLOOKUP(tblGJ[[#This Row],[Account Code]],tblCOA[Code],tblCOA[FS Line],"")</f>
        <v>Taxes payable</v>
      </c>
      <c r="L897" s="121" t="str">
        <f>IF(OR(tblGJ[[#This Row],[Account Code]]=1120,tblGJ[[#This Row],[Account Code]]=1130),_xlfn.MINIFS(tblBank[Value Date],tblBank[Reference],tblGJ[[#This Row],[Voucher No]],tblBank[Account Code],tblGJ[[#This Row],[Account Code]]),"")</f>
        <v/>
      </c>
      <c r="M897" s="1" t="str">
        <f>IF(tblGJ[[#This Row],[Date]]&lt;=PEnd,"Yes","No")</f>
        <v>No</v>
      </c>
    </row>
    <row r="898" spans="2:13" x14ac:dyDescent="0.35">
      <c r="B898" s="109">
        <v>46366</v>
      </c>
      <c r="C898" s="1" t="s">
        <v>5930</v>
      </c>
      <c r="D898" s="1">
        <v>1120</v>
      </c>
      <c r="E898" s="1" t="str">
        <f>_xlfn.XLOOKUP(tblGJ[[#This Row],[Account Code]],tblCOA[Code],tblCOA[Account Name],"⚠ Invalid account")</f>
        <v>Bank BCA - Current Account</v>
      </c>
      <c r="F898" s="1" t="s">
        <v>5957</v>
      </c>
      <c r="G898" s="5"/>
      <c r="H898" s="5">
        <f>IF(MONTH(tblGJ[[#This Row],[Date]])=1,_xlfn.XLOOKUP(2230,tblCOA[Code],tblCOA[Opening Balance]),SUMIFS(tblPayroll[PPh 21],tblPayroll[Period],MONTH(tblGJ[[#This Row],[Date]])-1))</f>
        <v>10516831</v>
      </c>
      <c r="I898" s="1" t="s">
        <v>6528</v>
      </c>
      <c r="J898" s="1">
        <f>MONTH(tblGJ[[#This Row],[Date]])</f>
        <v>12</v>
      </c>
      <c r="K898" s="1" t="str">
        <f>_xlfn.XLOOKUP(tblGJ[[#This Row],[Account Code]],tblCOA[Code],tblCOA[FS Line],"")</f>
        <v>Cash and cash equivalents</v>
      </c>
      <c r="L898" s="121">
        <f>IF(OR(tblGJ[[#This Row],[Account Code]]=1120,tblGJ[[#This Row],[Account Code]]=1130),_xlfn.MINIFS(tblBank[Value Date],tblBank[Reference],tblGJ[[#This Row],[Voucher No]],tblBank[Account Code],tblGJ[[#This Row],[Account Code]]),"")</f>
        <v>46366</v>
      </c>
      <c r="M898" s="1" t="str">
        <f>IF(tblGJ[[#This Row],[Date]]&lt;=PEnd,"Yes","No")</f>
        <v>No</v>
      </c>
    </row>
    <row r="899" spans="2:13" x14ac:dyDescent="0.35">
      <c r="B899" s="109">
        <v>46366</v>
      </c>
      <c r="C899" s="1" t="s">
        <v>5931</v>
      </c>
      <c r="D899" s="1">
        <v>2150</v>
      </c>
      <c r="E899" s="1" t="str">
        <f>_xlfn.XLOOKUP(tblGJ[[#This Row],[Account Code]],tblCOA[Code],tblCOA[Account Name],"⚠ Invalid account")</f>
        <v>BPJS Payable</v>
      </c>
      <c r="F899" s="1" t="s">
        <v>5958</v>
      </c>
      <c r="G899" s="5">
        <f>IF(MONTH(tblGJ[[#This Row],[Date]])=1,_xlfn.XLOOKUP(2150,tblCOA[Code],tblCOA[Opening Balance]),SUMIFS(tblPayroll[BPJS Payable],tblPayroll[Period],MONTH(tblGJ[[#This Row],[Date]])-1))</f>
        <v>22077790</v>
      </c>
      <c r="H899" s="5"/>
      <c r="I899" s="1" t="s">
        <v>6528</v>
      </c>
      <c r="J899" s="1">
        <f>MONTH(tblGJ[[#This Row],[Date]])</f>
        <v>12</v>
      </c>
      <c r="K899" s="1" t="str">
        <f>_xlfn.XLOOKUP(tblGJ[[#This Row],[Account Code]],tblCOA[Code],tblCOA[FS Line],"")</f>
        <v>Accrued expenses</v>
      </c>
      <c r="L899" s="121" t="str">
        <f>IF(OR(tblGJ[[#This Row],[Account Code]]=1120,tblGJ[[#This Row],[Account Code]]=1130),_xlfn.MINIFS(tblBank[Value Date],tblBank[Reference],tblGJ[[#This Row],[Voucher No]],tblBank[Account Code],tblGJ[[#This Row],[Account Code]]),"")</f>
        <v/>
      </c>
      <c r="M899" s="1" t="str">
        <f>IF(tblGJ[[#This Row],[Date]]&lt;=PEnd,"Yes","No")</f>
        <v>No</v>
      </c>
    </row>
    <row r="900" spans="2:13" x14ac:dyDescent="0.35">
      <c r="B900" s="109">
        <v>46366</v>
      </c>
      <c r="C900" s="1" t="s">
        <v>5931</v>
      </c>
      <c r="D900" s="1">
        <v>1120</v>
      </c>
      <c r="E900" s="1" t="str">
        <f>_xlfn.XLOOKUP(tblGJ[[#This Row],[Account Code]],tblCOA[Code],tblCOA[Account Name],"⚠ Invalid account")</f>
        <v>Bank BCA - Current Account</v>
      </c>
      <c r="F900" s="1" t="s">
        <v>5958</v>
      </c>
      <c r="G900" s="5"/>
      <c r="H900" s="5">
        <f>IF(MONTH(tblGJ[[#This Row],[Date]])=1,_xlfn.XLOOKUP(2150,tblCOA[Code],tblCOA[Opening Balance]),SUMIFS(tblPayroll[BPJS Payable],tblPayroll[Period],MONTH(tblGJ[[#This Row],[Date]])-1))</f>
        <v>22077790</v>
      </c>
      <c r="I900" s="1" t="s">
        <v>6528</v>
      </c>
      <c r="J900" s="1">
        <f>MONTH(tblGJ[[#This Row],[Date]])</f>
        <v>12</v>
      </c>
      <c r="K900" s="1" t="str">
        <f>_xlfn.XLOOKUP(tblGJ[[#This Row],[Account Code]],tblCOA[Code],tblCOA[FS Line],"")</f>
        <v>Cash and cash equivalents</v>
      </c>
      <c r="L900" s="121">
        <f>IF(OR(tblGJ[[#This Row],[Account Code]]=1120,tblGJ[[#This Row],[Account Code]]=1130),_xlfn.MINIFS(tblBank[Value Date],tblBank[Reference],tblGJ[[#This Row],[Voucher No]],tblBank[Account Code],tblGJ[[#This Row],[Account Code]]),"")</f>
        <v>46366</v>
      </c>
      <c r="M900" s="1" t="str">
        <f>IF(tblGJ[[#This Row],[Date]]&lt;=PEnd,"Yes","No")</f>
        <v>No</v>
      </c>
    </row>
    <row r="901" spans="2:13" x14ac:dyDescent="0.35">
      <c r="B901" s="109">
        <v>46371</v>
      </c>
      <c r="C901" s="1" t="s">
        <v>5932</v>
      </c>
      <c r="D901" s="1">
        <v>2240</v>
      </c>
      <c r="E901" s="1" t="str">
        <f>_xlfn.XLOOKUP(tblGJ[[#This Row],[Account Code]],tblCOA[Code],tblCOA[Account Name],"⚠ Invalid account")</f>
        <v>WHT Payable - Unifikasi (Art. 23/4(2))</v>
      </c>
      <c r="F901" s="1" t="s">
        <v>5960</v>
      </c>
      <c r="G901" s="5">
        <f>IF(MONTH(tblGJ[[#This Row],[Date]])=1,_xlfn.XLOOKUP(2240,tblCOA[Code],tblCOA[Opening Balance]),SUMIFS(tblPurchases[WHT Amount],tblPurchases[Month],MONTH(tblGJ[[#This Row],[Date]])-1))</f>
        <v>598200</v>
      </c>
      <c r="H901" s="5"/>
      <c r="I901" s="1" t="s">
        <v>6528</v>
      </c>
      <c r="J901" s="1">
        <f>MONTH(tblGJ[[#This Row],[Date]])</f>
        <v>12</v>
      </c>
      <c r="K901" s="1" t="str">
        <f>_xlfn.XLOOKUP(tblGJ[[#This Row],[Account Code]],tblCOA[Code],tblCOA[FS Line],"")</f>
        <v>Taxes payable</v>
      </c>
      <c r="L901" s="121" t="str">
        <f>IF(OR(tblGJ[[#This Row],[Account Code]]=1120,tblGJ[[#This Row],[Account Code]]=1130),_xlfn.MINIFS(tblBank[Value Date],tblBank[Reference],tblGJ[[#This Row],[Voucher No]],tblBank[Account Code],tblGJ[[#This Row],[Account Code]]),"")</f>
        <v/>
      </c>
      <c r="M901" s="1" t="str">
        <f>IF(tblGJ[[#This Row],[Date]]&lt;=PEnd,"Yes","No")</f>
        <v>No</v>
      </c>
    </row>
    <row r="902" spans="2:13" x14ac:dyDescent="0.35">
      <c r="B902" s="109">
        <v>46371</v>
      </c>
      <c r="C902" s="1" t="s">
        <v>5932</v>
      </c>
      <c r="D902" s="1">
        <v>1120</v>
      </c>
      <c r="E902" s="1" t="str">
        <f>_xlfn.XLOOKUP(tblGJ[[#This Row],[Account Code]],tblCOA[Code],tblCOA[Account Name],"⚠ Invalid account")</f>
        <v>Bank BCA - Current Account</v>
      </c>
      <c r="F902" s="1" t="s">
        <v>5960</v>
      </c>
      <c r="G902" s="5"/>
      <c r="H902" s="5">
        <f>IF(MONTH(tblGJ[[#This Row],[Date]])=1,_xlfn.XLOOKUP(2240,tblCOA[Code],tblCOA[Opening Balance]),SUMIFS(tblPurchases[WHT Amount],tblPurchases[Month],MONTH(tblGJ[[#This Row],[Date]])-1))</f>
        <v>598200</v>
      </c>
      <c r="I902" s="1" t="s">
        <v>6528</v>
      </c>
      <c r="J902" s="1">
        <f>MONTH(tblGJ[[#This Row],[Date]])</f>
        <v>12</v>
      </c>
      <c r="K902" s="1" t="str">
        <f>_xlfn.XLOOKUP(tblGJ[[#This Row],[Account Code]],tblCOA[Code],tblCOA[FS Line],"")</f>
        <v>Cash and cash equivalents</v>
      </c>
      <c r="L902" s="121">
        <f>IF(OR(tblGJ[[#This Row],[Account Code]]=1120,tblGJ[[#This Row],[Account Code]]=1130),_xlfn.MINIFS(tblBank[Value Date],tblBank[Reference],tblGJ[[#This Row],[Voucher No]],tblBank[Account Code],tblGJ[[#This Row],[Account Code]]),"")</f>
        <v>46371</v>
      </c>
      <c r="M902" s="1" t="str">
        <f>IF(tblGJ[[#This Row],[Date]]&lt;=PEnd,"Yes","No")</f>
        <v>No</v>
      </c>
    </row>
    <row r="903" spans="2:13" x14ac:dyDescent="0.35">
      <c r="B903" s="109">
        <v>46371</v>
      </c>
      <c r="C903" s="1" t="s">
        <v>5933</v>
      </c>
      <c r="D903" s="1">
        <v>1520</v>
      </c>
      <c r="E903" s="1" t="str">
        <f>_xlfn.XLOOKUP(tblGJ[[#This Row],[Account Code]],tblCOA[Code],tblCOA[Account Name],"⚠ Invalid account")</f>
        <v>Prepaid Income Tax - Art. 25</v>
      </c>
      <c r="F903" s="1" t="s">
        <v>6479</v>
      </c>
      <c r="G903" s="5">
        <f>PPh25Inst</f>
        <v>20000000</v>
      </c>
      <c r="H903" s="5"/>
      <c r="I903" s="1" t="s">
        <v>6528</v>
      </c>
      <c r="J903" s="1">
        <f>MONTH(tblGJ[[#This Row],[Date]])</f>
        <v>12</v>
      </c>
      <c r="K903" s="1" t="str">
        <f>_xlfn.XLOOKUP(tblGJ[[#This Row],[Account Code]],tblCOA[Code],tblCOA[FS Line],"")</f>
        <v>Prepaid taxes</v>
      </c>
      <c r="L903" s="121" t="str">
        <f>IF(OR(tblGJ[[#This Row],[Account Code]]=1120,tblGJ[[#This Row],[Account Code]]=1130),_xlfn.MINIFS(tblBank[Value Date],tblBank[Reference],tblGJ[[#This Row],[Voucher No]],tblBank[Account Code],tblGJ[[#This Row],[Account Code]]),"")</f>
        <v/>
      </c>
      <c r="M903" s="1" t="str">
        <f>IF(tblGJ[[#This Row],[Date]]&lt;=PEnd,"Yes","No")</f>
        <v>No</v>
      </c>
    </row>
    <row r="904" spans="2:13" x14ac:dyDescent="0.35">
      <c r="B904" s="109">
        <v>46371</v>
      </c>
      <c r="C904" s="1" t="s">
        <v>5933</v>
      </c>
      <c r="D904" s="1">
        <v>1120</v>
      </c>
      <c r="E904" s="1" t="str">
        <f>_xlfn.XLOOKUP(tblGJ[[#This Row],[Account Code]],tblCOA[Code],tblCOA[Account Name],"⚠ Invalid account")</f>
        <v>Bank BCA - Current Account</v>
      </c>
      <c r="F904" s="1" t="s">
        <v>6479</v>
      </c>
      <c r="G904" s="5"/>
      <c r="H904" s="5">
        <f>PPh25Inst</f>
        <v>20000000</v>
      </c>
      <c r="I904" s="1" t="s">
        <v>6528</v>
      </c>
      <c r="J904" s="1">
        <f>MONTH(tblGJ[[#This Row],[Date]])</f>
        <v>12</v>
      </c>
      <c r="K904" s="1" t="str">
        <f>_xlfn.XLOOKUP(tblGJ[[#This Row],[Account Code]],tblCOA[Code],tblCOA[FS Line],"")</f>
        <v>Cash and cash equivalents</v>
      </c>
      <c r="L904" s="121">
        <f>IF(OR(tblGJ[[#This Row],[Account Code]]=1120,tblGJ[[#This Row],[Account Code]]=1130),_xlfn.MINIFS(tblBank[Value Date],tblBank[Reference],tblGJ[[#This Row],[Voucher No]],tblBank[Account Code],tblGJ[[#This Row],[Account Code]]),"")</f>
        <v>46371</v>
      </c>
      <c r="M904" s="1" t="str">
        <f>IF(tblGJ[[#This Row],[Date]]&lt;=PEnd,"Yes","No")</f>
        <v>No</v>
      </c>
    </row>
    <row r="905" spans="2:13" x14ac:dyDescent="0.35">
      <c r="B905" s="109">
        <v>46376</v>
      </c>
      <c r="C905" s="1" t="s">
        <v>5934</v>
      </c>
      <c r="D905" s="1">
        <v>1120</v>
      </c>
      <c r="E905" s="1" t="str">
        <f>_xlfn.XLOOKUP(tblGJ[[#This Row],[Account Code]],tblCOA[Code],tblCOA[Account Name],"⚠ Invalid account")</f>
        <v>Bank BCA - Current Account</v>
      </c>
      <c r="F905" s="1" t="s">
        <v>6480</v>
      </c>
      <c r="G905" s="5">
        <f>IF(MONTH(tblGJ[[#This Row],[Date]])=1,_xlfn.XLOOKUP(1210,tblCOA[Code],tblCOA[Opening Balance]),SUMIFS(tblSales[Total incl. VAT],tblSales[Month],MONTH(tblGJ[[#This Row],[Date]])-1,tblSales[Payment Method],Products!$O$15))</f>
        <v>879342000</v>
      </c>
      <c r="H905" s="5"/>
      <c r="I905" s="1" t="s">
        <v>6530</v>
      </c>
      <c r="J905" s="1">
        <f>MONTH(tblGJ[[#This Row],[Date]])</f>
        <v>12</v>
      </c>
      <c r="K905" s="1" t="str">
        <f>_xlfn.XLOOKUP(tblGJ[[#This Row],[Account Code]],tblCOA[Code],tblCOA[FS Line],"")</f>
        <v>Cash and cash equivalents</v>
      </c>
      <c r="L905" s="121">
        <f>IF(OR(tblGJ[[#This Row],[Account Code]]=1120,tblGJ[[#This Row],[Account Code]]=1130),_xlfn.MINIFS(tblBank[Value Date],tblBank[Reference],tblGJ[[#This Row],[Voucher No]],tblBank[Account Code],tblGJ[[#This Row],[Account Code]]),"")</f>
        <v>46376</v>
      </c>
      <c r="M905" s="1" t="str">
        <f>IF(tblGJ[[#This Row],[Date]]&lt;=PEnd,"Yes","No")</f>
        <v>No</v>
      </c>
    </row>
    <row r="906" spans="2:13" x14ac:dyDescent="0.35">
      <c r="B906" s="109">
        <v>46376</v>
      </c>
      <c r="C906" s="1" t="s">
        <v>5934</v>
      </c>
      <c r="D906" s="1">
        <v>1210</v>
      </c>
      <c r="E906" s="1" t="str">
        <f>_xlfn.XLOOKUP(tblGJ[[#This Row],[Account Code]],tblCOA[Code],tblCOA[Account Name],"⚠ Invalid account")</f>
        <v>Trade Receivables</v>
      </c>
      <c r="F906" s="1" t="s">
        <v>6481</v>
      </c>
      <c r="G906" s="5"/>
      <c r="H906" s="5">
        <f>IF(MONTH(tblGJ[[#This Row],[Date]])=1,_xlfn.XLOOKUP(1210,tblCOA[Code],tblCOA[Opening Balance]),SUMIFS(tblSales[Total incl. VAT],tblSales[Month],MONTH(tblGJ[[#This Row],[Date]])-1,tblSales[Payment Method],Products!$O$15))</f>
        <v>879342000</v>
      </c>
      <c r="I906" s="1" t="s">
        <v>6530</v>
      </c>
      <c r="J906" s="1">
        <f>MONTH(tblGJ[[#This Row],[Date]])</f>
        <v>12</v>
      </c>
      <c r="K906" s="1" t="str">
        <f>_xlfn.XLOOKUP(tblGJ[[#This Row],[Account Code]],tblCOA[Code],tblCOA[FS Line],"")</f>
        <v>Trade receivables - net</v>
      </c>
      <c r="L906" s="121" t="str">
        <f>IF(OR(tblGJ[[#This Row],[Account Code]]=1120,tblGJ[[#This Row],[Account Code]]=1130),_xlfn.MINIFS(tblBank[Value Date],tblBank[Reference],tblGJ[[#This Row],[Voucher No]],tblBank[Account Code],tblGJ[[#This Row],[Account Code]]),"")</f>
        <v/>
      </c>
      <c r="M906" s="1" t="str">
        <f>IF(tblGJ[[#This Row],[Date]]&lt;=PEnd,"Yes","No")</f>
        <v>No</v>
      </c>
    </row>
    <row r="907" spans="2:13" x14ac:dyDescent="0.35">
      <c r="B907" s="109">
        <v>46380</v>
      </c>
      <c r="C907" s="1" t="s">
        <v>5935</v>
      </c>
      <c r="D907" s="1">
        <v>1130</v>
      </c>
      <c r="E907" s="1" t="str">
        <f>_xlfn.XLOOKUP(tblGJ[[#This Row],[Account Code]],tblCOA[Code],tblCOA[Account Name],"⚠ Invalid account")</f>
        <v>Bank Mandiri - Current Account</v>
      </c>
      <c r="F907" s="1" t="s">
        <v>6482</v>
      </c>
      <c r="G907" s="5">
        <f>SUMIFS(tblPayroll[Net Pay],tblPayroll[Period],MONTH(tblGJ[[#This Row],[Date]]))</f>
        <v>161397799</v>
      </c>
      <c r="H907" s="5"/>
      <c r="I907" s="1" t="s">
        <v>6531</v>
      </c>
      <c r="J907" s="1">
        <f>MONTH(tblGJ[[#This Row],[Date]])</f>
        <v>12</v>
      </c>
      <c r="K907" s="1" t="str">
        <f>_xlfn.XLOOKUP(tblGJ[[#This Row],[Account Code]],tblCOA[Code],tblCOA[FS Line],"")</f>
        <v>Cash and cash equivalents</v>
      </c>
      <c r="L907" s="121">
        <f>IF(OR(tblGJ[[#This Row],[Account Code]]=1120,tblGJ[[#This Row],[Account Code]]=1130),_xlfn.MINIFS(tblBank[Value Date],tblBank[Reference],tblGJ[[#This Row],[Voucher No]],tblBank[Account Code],tblGJ[[#This Row],[Account Code]]),"")</f>
        <v>46380</v>
      </c>
      <c r="M907" s="1" t="str">
        <f>IF(tblGJ[[#This Row],[Date]]&lt;=PEnd,"Yes","No")</f>
        <v>No</v>
      </c>
    </row>
    <row r="908" spans="2:13" x14ac:dyDescent="0.35">
      <c r="B908" s="109">
        <v>46380</v>
      </c>
      <c r="C908" s="1" t="s">
        <v>5935</v>
      </c>
      <c r="D908" s="1">
        <v>1120</v>
      </c>
      <c r="E908" s="1" t="str">
        <f>_xlfn.XLOOKUP(tblGJ[[#This Row],[Account Code]],tblCOA[Code],tblCOA[Account Name],"⚠ Invalid account")</f>
        <v>Bank BCA - Current Account</v>
      </c>
      <c r="F908" s="1" t="s">
        <v>6483</v>
      </c>
      <c r="G908" s="5"/>
      <c r="H908" s="5">
        <f>SUMIFS(tblPayroll[Net Pay],tblPayroll[Period],MONTH(tblGJ[[#This Row],[Date]]))</f>
        <v>161397799</v>
      </c>
      <c r="I908" s="1" t="s">
        <v>6531</v>
      </c>
      <c r="J908" s="1">
        <f>MONTH(tblGJ[[#This Row],[Date]])</f>
        <v>12</v>
      </c>
      <c r="K908" s="1" t="str">
        <f>_xlfn.XLOOKUP(tblGJ[[#This Row],[Account Code]],tblCOA[Code],tblCOA[FS Line],"")</f>
        <v>Cash and cash equivalents</v>
      </c>
      <c r="L908" s="121">
        <f>IF(OR(tblGJ[[#This Row],[Account Code]]=1120,tblGJ[[#This Row],[Account Code]]=1130),_xlfn.MINIFS(tblBank[Value Date],tblBank[Reference],tblGJ[[#This Row],[Voucher No]],tblBank[Account Code],tblGJ[[#This Row],[Account Code]]),"")</f>
        <v>46380</v>
      </c>
      <c r="M908" s="1" t="str">
        <f>IF(tblGJ[[#This Row],[Date]]&lt;=PEnd,"Yes","No")</f>
        <v>No</v>
      </c>
    </row>
    <row r="909" spans="2:13" x14ac:dyDescent="0.35">
      <c r="B909" s="109">
        <v>46381</v>
      </c>
      <c r="C909" s="1" t="s">
        <v>5936</v>
      </c>
      <c r="D909" s="1">
        <v>6110</v>
      </c>
      <c r="E909" s="1" t="str">
        <f>_xlfn.XLOOKUP(tblGJ[[#This Row],[Account Code]],tblCOA[Code],tblCOA[Account Name],"⚠ Invalid account")</f>
        <v>Salaries &amp; Allowances - Selling</v>
      </c>
      <c r="F909" s="1" t="s">
        <v>6484</v>
      </c>
      <c r="G909" s="5">
        <f>SUMIFS(tblPayroll[Gross Salary],tblPayroll[Period],MONTH(tblGJ[[#This Row],[Date]]),tblPayroll[Department],"Selling")</f>
        <v>80200000</v>
      </c>
      <c r="H909" s="5"/>
      <c r="I909" s="1" t="s">
        <v>6531</v>
      </c>
      <c r="J909" s="1">
        <f>MONTH(tblGJ[[#This Row],[Date]])</f>
        <v>12</v>
      </c>
      <c r="K909" s="1" t="str">
        <f>_xlfn.XLOOKUP(tblGJ[[#This Row],[Account Code]],tblCOA[Code],tblCOA[FS Line],"")</f>
        <v>Selling expenses</v>
      </c>
      <c r="L909" s="121" t="str">
        <f>IF(OR(tblGJ[[#This Row],[Account Code]]=1120,tblGJ[[#This Row],[Account Code]]=1130),_xlfn.MINIFS(tblBank[Value Date],tblBank[Reference],tblGJ[[#This Row],[Voucher No]],tblBank[Account Code],tblGJ[[#This Row],[Account Code]]),"")</f>
        <v/>
      </c>
      <c r="M909" s="1" t="str">
        <f>IF(tblGJ[[#This Row],[Date]]&lt;=PEnd,"Yes","No")</f>
        <v>No</v>
      </c>
    </row>
    <row r="910" spans="2:13" x14ac:dyDescent="0.35">
      <c r="B910" s="109">
        <v>46381</v>
      </c>
      <c r="C910" s="1" t="s">
        <v>5936</v>
      </c>
      <c r="D910" s="1">
        <v>6111</v>
      </c>
      <c r="E910" s="1" t="str">
        <f>_xlfn.XLOOKUP(tblGJ[[#This Row],[Account Code]],tblCOA[Code],tblCOA[Account Name],"⚠ Invalid account")</f>
        <v>BPJS Employer Contributions - Selling</v>
      </c>
      <c r="F910" s="1" t="s">
        <v>6485</v>
      </c>
      <c r="G910" s="5">
        <f>SUMIFS(tblPayroll[Employer BPJS Total],tblPayroll[Period],MONTH(tblGJ[[#This Row],[Date]]),tblPayroll[Department],"Selling")</f>
        <v>7824376</v>
      </c>
      <c r="H910" s="5"/>
      <c r="I910" s="1" t="s">
        <v>6531</v>
      </c>
      <c r="J910" s="1">
        <f>MONTH(tblGJ[[#This Row],[Date]])</f>
        <v>12</v>
      </c>
      <c r="K910" s="1" t="str">
        <f>_xlfn.XLOOKUP(tblGJ[[#This Row],[Account Code]],tblCOA[Code],tblCOA[FS Line],"")</f>
        <v>Selling expenses</v>
      </c>
      <c r="L910" s="121" t="str">
        <f>IF(OR(tblGJ[[#This Row],[Account Code]]=1120,tblGJ[[#This Row],[Account Code]]=1130),_xlfn.MINIFS(tblBank[Value Date],tblBank[Reference],tblGJ[[#This Row],[Voucher No]],tblBank[Account Code],tblGJ[[#This Row],[Account Code]]),"")</f>
        <v/>
      </c>
      <c r="M910" s="1" t="str">
        <f>IF(tblGJ[[#This Row],[Date]]&lt;=PEnd,"Yes","No")</f>
        <v>No</v>
      </c>
    </row>
    <row r="911" spans="2:13" x14ac:dyDescent="0.35">
      <c r="B911" s="109">
        <v>46381</v>
      </c>
      <c r="C911" s="1" t="s">
        <v>5936</v>
      </c>
      <c r="D911" s="1">
        <v>6210</v>
      </c>
      <c r="E911" s="1" t="str">
        <f>_xlfn.XLOOKUP(tblGJ[[#This Row],[Account Code]],tblCOA[Code],tblCOA[Account Name],"⚠ Invalid account")</f>
        <v>Salaries &amp; Allowances - G&amp;A</v>
      </c>
      <c r="F911" s="1" t="s">
        <v>6486</v>
      </c>
      <c r="G911" s="5">
        <f>SUMIFS(tblPayroll[Gross Salary],tblPayroll[Period],MONTH(tblGJ[[#This Row],[Date]]),tblPayroll[Department],"G&amp;A")</f>
        <v>98000000</v>
      </c>
      <c r="H911" s="5"/>
      <c r="I911" s="1" t="s">
        <v>6531</v>
      </c>
      <c r="J911" s="1">
        <f>MONTH(tblGJ[[#This Row],[Date]])</f>
        <v>12</v>
      </c>
      <c r="K911" s="1" t="str">
        <f>_xlfn.XLOOKUP(tblGJ[[#This Row],[Account Code]],tblCOA[Code],tblCOA[FS Line],"")</f>
        <v>General &amp; administrative expenses</v>
      </c>
      <c r="L911" s="121" t="str">
        <f>IF(OR(tblGJ[[#This Row],[Account Code]]=1120,tblGJ[[#This Row],[Account Code]]=1130),_xlfn.MINIFS(tblBank[Value Date],tblBank[Reference],tblGJ[[#This Row],[Voucher No]],tblBank[Account Code],tblGJ[[#This Row],[Account Code]]),"")</f>
        <v/>
      </c>
      <c r="M911" s="1" t="str">
        <f>IF(tblGJ[[#This Row],[Date]]&lt;=PEnd,"Yes","No")</f>
        <v>No</v>
      </c>
    </row>
    <row r="912" spans="2:13" x14ac:dyDescent="0.35">
      <c r="B912" s="109">
        <v>46381</v>
      </c>
      <c r="C912" s="1" t="s">
        <v>5936</v>
      </c>
      <c r="D912" s="1">
        <v>6211</v>
      </c>
      <c r="E912" s="1" t="str">
        <f>_xlfn.XLOOKUP(tblGJ[[#This Row],[Account Code]],tblCOA[Code],tblCOA[Account Name],"⚠ Invalid account")</f>
        <v>BPJS Employer Contributions - G&amp;A</v>
      </c>
      <c r="F912" s="1" t="s">
        <v>6487</v>
      </c>
      <c r="G912" s="5">
        <f>SUMIFS(tblPayroll[Employer BPJS Total],tblPayroll[Period],MONTH(tblGJ[[#This Row],[Date]]),tblPayroll[Department],"G&amp;A")</f>
        <v>7968044</v>
      </c>
      <c r="H912" s="5"/>
      <c r="I912" s="1" t="s">
        <v>6531</v>
      </c>
      <c r="J912" s="1">
        <f>MONTH(tblGJ[[#This Row],[Date]])</f>
        <v>12</v>
      </c>
      <c r="K912" s="1" t="str">
        <f>_xlfn.XLOOKUP(tblGJ[[#This Row],[Account Code]],tblCOA[Code],tblCOA[FS Line],"")</f>
        <v>General &amp; administrative expenses</v>
      </c>
      <c r="L912" s="121" t="str">
        <f>IF(OR(tblGJ[[#This Row],[Account Code]]=1120,tblGJ[[#This Row],[Account Code]]=1130),_xlfn.MINIFS(tblBank[Value Date],tblBank[Reference],tblGJ[[#This Row],[Voucher No]],tblBank[Account Code],tblGJ[[#This Row],[Account Code]]),"")</f>
        <v/>
      </c>
      <c r="M912" s="1" t="str">
        <f>IF(tblGJ[[#This Row],[Date]]&lt;=PEnd,"Yes","No")</f>
        <v>No</v>
      </c>
    </row>
    <row r="913" spans="2:13" x14ac:dyDescent="0.35">
      <c r="B913" s="109">
        <v>46381</v>
      </c>
      <c r="C913" s="1" t="s">
        <v>5936</v>
      </c>
      <c r="D913" s="1">
        <v>2230</v>
      </c>
      <c r="E913" s="1" t="str">
        <f>_xlfn.XLOOKUP(tblGJ[[#This Row],[Account Code]],tblCOA[Code],tblCOA[Account Name],"⚠ Invalid account")</f>
        <v>WHT Payable - Art. 21</v>
      </c>
      <c r="F913" s="1" t="s">
        <v>6488</v>
      </c>
      <c r="G913" s="5"/>
      <c r="H913" s="5">
        <f>SUMIFS(tblPayroll[PPh 21],tblPayroll[Period],MONTH(tblGJ[[#This Row],[Date]]))</f>
        <v>10516831</v>
      </c>
      <c r="I913" s="1" t="s">
        <v>6531</v>
      </c>
      <c r="J913" s="1">
        <f>MONTH(tblGJ[[#This Row],[Date]])</f>
        <v>12</v>
      </c>
      <c r="K913" s="1" t="str">
        <f>_xlfn.XLOOKUP(tblGJ[[#This Row],[Account Code]],tblCOA[Code],tblCOA[FS Line],"")</f>
        <v>Taxes payable</v>
      </c>
      <c r="L913" s="121" t="str">
        <f>IF(OR(tblGJ[[#This Row],[Account Code]]=1120,tblGJ[[#This Row],[Account Code]]=1130),_xlfn.MINIFS(tblBank[Value Date],tblBank[Reference],tblGJ[[#This Row],[Voucher No]],tblBank[Account Code],tblGJ[[#This Row],[Account Code]]),"")</f>
        <v/>
      </c>
      <c r="M913" s="1" t="str">
        <f>IF(tblGJ[[#This Row],[Date]]&lt;=PEnd,"Yes","No")</f>
        <v>No</v>
      </c>
    </row>
    <row r="914" spans="2:13" x14ac:dyDescent="0.35">
      <c r="B914" s="109">
        <v>46381</v>
      </c>
      <c r="C914" s="1" t="s">
        <v>5936</v>
      </c>
      <c r="D914" s="1">
        <v>2150</v>
      </c>
      <c r="E914" s="1" t="str">
        <f>_xlfn.XLOOKUP(tblGJ[[#This Row],[Account Code]],tblCOA[Code],tblCOA[Account Name],"⚠ Invalid account")</f>
        <v>BPJS Payable</v>
      </c>
      <c r="F914" s="1" t="s">
        <v>6489</v>
      </c>
      <c r="G914" s="5"/>
      <c r="H914" s="5">
        <f>SUMIFS(tblPayroll[BPJS Payable],tblPayroll[Period],MONTH(tblGJ[[#This Row],[Date]]))</f>
        <v>22077790</v>
      </c>
      <c r="I914" s="1" t="s">
        <v>6531</v>
      </c>
      <c r="J914" s="1">
        <f>MONTH(tblGJ[[#This Row],[Date]])</f>
        <v>12</v>
      </c>
      <c r="K914" s="1" t="str">
        <f>_xlfn.XLOOKUP(tblGJ[[#This Row],[Account Code]],tblCOA[Code],tblCOA[FS Line],"")</f>
        <v>Accrued expenses</v>
      </c>
      <c r="L914" s="121" t="str">
        <f>IF(OR(tblGJ[[#This Row],[Account Code]]=1120,tblGJ[[#This Row],[Account Code]]=1130),_xlfn.MINIFS(tblBank[Value Date],tblBank[Reference],tblGJ[[#This Row],[Voucher No]],tblBank[Account Code],tblGJ[[#This Row],[Account Code]]),"")</f>
        <v/>
      </c>
      <c r="M914" s="1" t="str">
        <f>IF(tblGJ[[#This Row],[Date]]&lt;=PEnd,"Yes","No")</f>
        <v>No</v>
      </c>
    </row>
    <row r="915" spans="2:13" x14ac:dyDescent="0.35">
      <c r="B915" s="109">
        <v>46381</v>
      </c>
      <c r="C915" s="1" t="s">
        <v>5936</v>
      </c>
      <c r="D915" s="1">
        <v>1130</v>
      </c>
      <c r="E915" s="1" t="str">
        <f>_xlfn.XLOOKUP(tblGJ[[#This Row],[Account Code]],tblCOA[Code],tblCOA[Account Name],"⚠ Invalid account")</f>
        <v>Bank Mandiri - Current Account</v>
      </c>
      <c r="F915" s="1" t="s">
        <v>6490</v>
      </c>
      <c r="G915" s="5"/>
      <c r="H915" s="5">
        <f>SUMIFS(tblPayroll[Net Pay],tblPayroll[Period],MONTH(tblGJ[[#This Row],[Date]]))</f>
        <v>161397799</v>
      </c>
      <c r="I915" s="1" t="s">
        <v>6531</v>
      </c>
      <c r="J915" s="1">
        <f>MONTH(tblGJ[[#This Row],[Date]])</f>
        <v>12</v>
      </c>
      <c r="K915" s="1" t="str">
        <f>_xlfn.XLOOKUP(tblGJ[[#This Row],[Account Code]],tblCOA[Code],tblCOA[FS Line],"")</f>
        <v>Cash and cash equivalents</v>
      </c>
      <c r="L915" s="121">
        <f>IF(OR(tblGJ[[#This Row],[Account Code]]=1120,tblGJ[[#This Row],[Account Code]]=1130),_xlfn.MINIFS(tblBank[Value Date],tblBank[Reference],tblGJ[[#This Row],[Voucher No]],tblBank[Account Code],tblGJ[[#This Row],[Account Code]]),"")</f>
        <v>46381</v>
      </c>
      <c r="M915" s="1" t="str">
        <f>IF(tblGJ[[#This Row],[Date]]&lt;=PEnd,"Yes","No")</f>
        <v>No</v>
      </c>
    </row>
    <row r="916" spans="2:13" x14ac:dyDescent="0.35">
      <c r="B916" s="109">
        <v>46384</v>
      </c>
      <c r="C916" s="1" t="s">
        <v>5937</v>
      </c>
      <c r="D916" s="1">
        <v>2220</v>
      </c>
      <c r="E916" s="1" t="str">
        <f>_xlfn.XLOOKUP(tblGJ[[#This Row],[Account Code]],tblCOA[Code],tblCOA[Account Name],"⚠ Invalid account")</f>
        <v>VAT Payable - Net</v>
      </c>
      <c r="F916" s="1" t="s">
        <v>5974</v>
      </c>
      <c r="G916" s="5">
        <f>IF(MONTH(tblGJ[[#This Row],[Date]])=1,_xlfn.XLOOKUP(2220,tblCOA[Code],tblCOA[Opening Balance]),SUMIFS(tblSales[Output VAT],tblSales[Month],MONTH(tblGJ[[#This Row],[Date]])-1)-SUMIFS(tblPurchases[Input VAT],tblPurchases[Month],MONTH(tblGJ[[#This Row],[Date]])-1))</f>
        <v>57145990</v>
      </c>
      <c r="H916" s="5"/>
      <c r="I916" s="1" t="s">
        <v>6528</v>
      </c>
      <c r="J916" s="1">
        <f>MONTH(tblGJ[[#This Row],[Date]])</f>
        <v>12</v>
      </c>
      <c r="K916" s="1" t="str">
        <f>_xlfn.XLOOKUP(tblGJ[[#This Row],[Account Code]],tblCOA[Code],tblCOA[FS Line],"")</f>
        <v>Taxes payable</v>
      </c>
      <c r="L916" s="121" t="str">
        <f>IF(OR(tblGJ[[#This Row],[Account Code]]=1120,tblGJ[[#This Row],[Account Code]]=1130),_xlfn.MINIFS(tblBank[Value Date],tblBank[Reference],tblGJ[[#This Row],[Voucher No]],tblBank[Account Code],tblGJ[[#This Row],[Account Code]]),"")</f>
        <v/>
      </c>
      <c r="M916" s="1" t="str">
        <f>IF(tblGJ[[#This Row],[Date]]&lt;=PEnd,"Yes","No")</f>
        <v>No</v>
      </c>
    </row>
    <row r="917" spans="2:13" x14ac:dyDescent="0.35">
      <c r="B917" s="109">
        <v>46384</v>
      </c>
      <c r="C917" s="1" t="s">
        <v>5937</v>
      </c>
      <c r="D917" s="1">
        <v>1120</v>
      </c>
      <c r="E917" s="1" t="str">
        <f>_xlfn.XLOOKUP(tblGJ[[#This Row],[Account Code]],tblCOA[Code],tblCOA[Account Name],"⚠ Invalid account")</f>
        <v>Bank BCA - Current Account</v>
      </c>
      <c r="F917" s="1" t="s">
        <v>5974</v>
      </c>
      <c r="G917" s="5"/>
      <c r="H917" s="5">
        <f>IF(MONTH(tblGJ[[#This Row],[Date]])=1,_xlfn.XLOOKUP(2220,tblCOA[Code],tblCOA[Opening Balance]),SUMIFS(tblSales[Output VAT],tblSales[Month],MONTH(tblGJ[[#This Row],[Date]])-1)-SUMIFS(tblPurchases[Input VAT],tblPurchases[Month],MONTH(tblGJ[[#This Row],[Date]])-1))</f>
        <v>57145990</v>
      </c>
      <c r="I917" s="1" t="s">
        <v>6528</v>
      </c>
      <c r="J917" s="1">
        <f>MONTH(tblGJ[[#This Row],[Date]])</f>
        <v>12</v>
      </c>
      <c r="K917" s="1" t="str">
        <f>_xlfn.XLOOKUP(tblGJ[[#This Row],[Account Code]],tblCOA[Code],tblCOA[FS Line],"")</f>
        <v>Cash and cash equivalents</v>
      </c>
      <c r="L917" s="121">
        <f>IF(OR(tblGJ[[#This Row],[Account Code]]=1120,tblGJ[[#This Row],[Account Code]]=1130),_xlfn.MINIFS(tblBank[Value Date],tblBank[Reference],tblGJ[[#This Row],[Voucher No]],tblBank[Account Code],tblGJ[[#This Row],[Account Code]]),"")</f>
        <v>46384</v>
      </c>
      <c r="M917" s="1" t="str">
        <f>IF(tblGJ[[#This Row],[Date]]&lt;=PEnd,"Yes","No")</f>
        <v>No</v>
      </c>
    </row>
    <row r="918" spans="2:13" x14ac:dyDescent="0.35">
      <c r="B918" s="109">
        <v>46384</v>
      </c>
      <c r="C918" s="1" t="s">
        <v>5938</v>
      </c>
      <c r="D918" s="1">
        <v>2410</v>
      </c>
      <c r="E918" s="1" t="str">
        <f>_xlfn.XLOOKUP(tblGJ[[#This Row],[Account Code]],tblCOA[Code],tblCOA[Account Name],"⚠ Invalid account")</f>
        <v>Long-term Bank Loan</v>
      </c>
      <c r="F918" s="1" t="s">
        <v>6491</v>
      </c>
      <c r="G918" s="5">
        <v>25000000</v>
      </c>
      <c r="H918" s="5"/>
      <c r="I918" s="1" t="s">
        <v>4263</v>
      </c>
      <c r="J918" s="1">
        <f>MONTH(tblGJ[[#This Row],[Date]])</f>
        <v>12</v>
      </c>
      <c r="K918" s="1" t="str">
        <f>_xlfn.XLOOKUP(tblGJ[[#This Row],[Account Code]],tblCOA[Code],tblCOA[FS Line],"")</f>
        <v>Long-term bank loans</v>
      </c>
      <c r="L918" s="121" t="str">
        <f>IF(OR(tblGJ[[#This Row],[Account Code]]=1120,tblGJ[[#This Row],[Account Code]]=1130),_xlfn.MINIFS(tblBank[Value Date],tblBank[Reference],tblGJ[[#This Row],[Voucher No]],tblBank[Account Code],tblGJ[[#This Row],[Account Code]]),"")</f>
        <v/>
      </c>
      <c r="M918" s="1" t="str">
        <f>IF(tblGJ[[#This Row],[Date]]&lt;=PEnd,"Yes","No")</f>
        <v>No</v>
      </c>
    </row>
    <row r="919" spans="2:13" x14ac:dyDescent="0.35">
      <c r="B919" s="109">
        <v>46384</v>
      </c>
      <c r="C919" s="1" t="s">
        <v>5938</v>
      </c>
      <c r="D919" s="1">
        <v>7210</v>
      </c>
      <c r="E919" s="1" t="str">
        <f>_xlfn.XLOOKUP(tblGJ[[#This Row],[Account Code]],tblCOA[Code],tblCOA[Account Name],"⚠ Invalid account")</f>
        <v>Interest Expense - Bank Loans</v>
      </c>
      <c r="F919" s="1" t="s">
        <v>6492</v>
      </c>
      <c r="G919" s="5">
        <v>9187500</v>
      </c>
      <c r="H919" s="5"/>
      <c r="I919" s="1" t="s">
        <v>4263</v>
      </c>
      <c r="J919" s="1">
        <f>MONTH(tblGJ[[#This Row],[Date]])</f>
        <v>12</v>
      </c>
      <c r="K919" s="1" t="str">
        <f>_xlfn.XLOOKUP(tblGJ[[#This Row],[Account Code]],tblCOA[Code],tblCOA[FS Line],"")</f>
        <v>Finance costs</v>
      </c>
      <c r="L919" s="121" t="str">
        <f>IF(OR(tblGJ[[#This Row],[Account Code]]=1120,tblGJ[[#This Row],[Account Code]]=1130),_xlfn.MINIFS(tblBank[Value Date],tblBank[Reference],tblGJ[[#This Row],[Voucher No]],tblBank[Account Code],tblGJ[[#This Row],[Account Code]]),"")</f>
        <v/>
      </c>
      <c r="M919" s="1" t="str">
        <f>IF(tblGJ[[#This Row],[Date]]&lt;=PEnd,"Yes","No")</f>
        <v>No</v>
      </c>
    </row>
    <row r="920" spans="2:13" x14ac:dyDescent="0.35">
      <c r="B920" s="109">
        <v>46384</v>
      </c>
      <c r="C920" s="1" t="s">
        <v>5938</v>
      </c>
      <c r="D920" s="1">
        <v>1120</v>
      </c>
      <c r="E920" s="1" t="str">
        <f>_xlfn.XLOOKUP(tblGJ[[#This Row],[Account Code]],tblCOA[Code],tblCOA[Account Name],"⚠ Invalid account")</f>
        <v>Bank BCA - Current Account</v>
      </c>
      <c r="F920" s="1" t="s">
        <v>6493</v>
      </c>
      <c r="G920" s="5"/>
      <c r="H920" s="5">
        <v>34187500</v>
      </c>
      <c r="I920" s="1" t="s">
        <v>4263</v>
      </c>
      <c r="J920" s="1">
        <f>MONTH(tblGJ[[#This Row],[Date]])</f>
        <v>12</v>
      </c>
      <c r="K920" s="1" t="str">
        <f>_xlfn.XLOOKUP(tblGJ[[#This Row],[Account Code]],tblCOA[Code],tblCOA[FS Line],"")</f>
        <v>Cash and cash equivalents</v>
      </c>
      <c r="L920" s="121">
        <f>IF(OR(tblGJ[[#This Row],[Account Code]]=1120,tblGJ[[#This Row],[Account Code]]=1130),_xlfn.MINIFS(tblBank[Value Date],tblBank[Reference],tblGJ[[#This Row],[Voucher No]],tblBank[Account Code],tblGJ[[#This Row],[Account Code]]),"")</f>
        <v>46384</v>
      </c>
      <c r="M920" s="1" t="str">
        <f>IF(tblGJ[[#This Row],[Date]]&lt;=PEnd,"Yes","No")</f>
        <v>No</v>
      </c>
    </row>
    <row r="921" spans="2:13" x14ac:dyDescent="0.35">
      <c r="B921" s="109">
        <v>46387</v>
      </c>
      <c r="C921" s="1" t="s">
        <v>5939</v>
      </c>
      <c r="D921" s="1">
        <v>1110</v>
      </c>
      <c r="E921" s="1" t="str">
        <f>_xlfn.XLOOKUP(tblGJ[[#This Row],[Account Code]],tblCOA[Code],tblCOA[Account Name],"⚠ Invalid account")</f>
        <v>Cash on Hand</v>
      </c>
      <c r="F921" s="1" t="s">
        <v>6494</v>
      </c>
      <c r="G921" s="5">
        <f>SUMIFS(tblSales[Total incl. VAT],tblSales[Month],MONTH(tblGJ[[#This Row],[Date]]),tblSales[Payment Method],Products!$O$13)</f>
        <v>195138000</v>
      </c>
      <c r="H921" s="5"/>
      <c r="I921" s="1" t="s">
        <v>6532</v>
      </c>
      <c r="J921" s="1">
        <f>MONTH(tblGJ[[#This Row],[Date]])</f>
        <v>12</v>
      </c>
      <c r="K921" s="1" t="str">
        <f>_xlfn.XLOOKUP(tblGJ[[#This Row],[Account Code]],tblCOA[Code],tblCOA[FS Line],"")</f>
        <v>Cash and cash equivalents</v>
      </c>
      <c r="L921" s="121" t="str">
        <f>IF(OR(tblGJ[[#This Row],[Account Code]]=1120,tblGJ[[#This Row],[Account Code]]=1130),_xlfn.MINIFS(tblBank[Value Date],tblBank[Reference],tblGJ[[#This Row],[Voucher No]],tblBank[Account Code],tblGJ[[#This Row],[Account Code]]),"")</f>
        <v/>
      </c>
      <c r="M921" s="1" t="str">
        <f>IF(tblGJ[[#This Row],[Date]]&lt;=PEnd,"Yes","No")</f>
        <v>No</v>
      </c>
    </row>
    <row r="922" spans="2:13" x14ac:dyDescent="0.35">
      <c r="B922" s="109">
        <v>46387</v>
      </c>
      <c r="C922" s="1" t="s">
        <v>5939</v>
      </c>
      <c r="D922" s="1">
        <v>1120</v>
      </c>
      <c r="E922" s="1" t="str">
        <f>_xlfn.XLOOKUP(tblGJ[[#This Row],[Account Code]],tblCOA[Code],tblCOA[Account Name],"⚠ Invalid account")</f>
        <v>Bank BCA - Current Account</v>
      </c>
      <c r="F922" s="1" t="s">
        <v>6495</v>
      </c>
      <c r="G922" s="5">
        <f>SUMIFS(tblSales[Total incl. VAT],tblSales[Month],MONTH(tblGJ[[#This Row],[Date]]),tblSales[Payment Method],Products!$O$14)</f>
        <v>273509550</v>
      </c>
      <c r="H922" s="5"/>
      <c r="I922" s="1" t="s">
        <v>6532</v>
      </c>
      <c r="J922" s="1">
        <f>MONTH(tblGJ[[#This Row],[Date]])</f>
        <v>12</v>
      </c>
      <c r="K922" s="1" t="str">
        <f>_xlfn.XLOOKUP(tblGJ[[#This Row],[Account Code]],tblCOA[Code],tblCOA[FS Line],"")</f>
        <v>Cash and cash equivalents</v>
      </c>
      <c r="L922" s="121">
        <f>IF(OR(tblGJ[[#This Row],[Account Code]]=1120,tblGJ[[#This Row],[Account Code]]=1130),_xlfn.MINIFS(tblBank[Value Date],tblBank[Reference],tblGJ[[#This Row],[Voucher No]],tblBank[Account Code],tblGJ[[#This Row],[Account Code]]),"")</f>
        <v>46387</v>
      </c>
      <c r="M922" s="1" t="str">
        <f>IF(tblGJ[[#This Row],[Date]]&lt;=PEnd,"Yes","No")</f>
        <v>No</v>
      </c>
    </row>
    <row r="923" spans="2:13" x14ac:dyDescent="0.35">
      <c r="B923" s="109">
        <v>46387</v>
      </c>
      <c r="C923" s="1" t="s">
        <v>5939</v>
      </c>
      <c r="D923" s="1">
        <v>1210</v>
      </c>
      <c r="E923" s="1" t="str">
        <f>_xlfn.XLOOKUP(tblGJ[[#This Row],[Account Code]],tblCOA[Code],tblCOA[Account Name],"⚠ Invalid account")</f>
        <v>Trade Receivables</v>
      </c>
      <c r="F923" s="1" t="s">
        <v>6496</v>
      </c>
      <c r="G923" s="5">
        <f>SUMIFS(tblSales[Total incl. VAT],tblSales[Month],MONTH(tblGJ[[#This Row],[Date]]),tblSales[Payment Method],Products!$O$15)</f>
        <v>1058940000</v>
      </c>
      <c r="H923" s="5"/>
      <c r="I923" s="1" t="s">
        <v>6532</v>
      </c>
      <c r="J923" s="1">
        <f>MONTH(tblGJ[[#This Row],[Date]])</f>
        <v>12</v>
      </c>
      <c r="K923" s="1" t="str">
        <f>_xlfn.XLOOKUP(tblGJ[[#This Row],[Account Code]],tblCOA[Code],tblCOA[FS Line],"")</f>
        <v>Trade receivables - net</v>
      </c>
      <c r="L923" s="121" t="str">
        <f>IF(OR(tblGJ[[#This Row],[Account Code]]=1120,tblGJ[[#This Row],[Account Code]]=1130),_xlfn.MINIFS(tblBank[Value Date],tblBank[Reference],tblGJ[[#This Row],[Voucher No]],tblBank[Account Code],tblGJ[[#This Row],[Account Code]]),"")</f>
        <v/>
      </c>
      <c r="M923" s="1" t="str">
        <f>IF(tblGJ[[#This Row],[Date]]&lt;=PEnd,"Yes","No")</f>
        <v>No</v>
      </c>
    </row>
    <row r="924" spans="2:13" x14ac:dyDescent="0.35">
      <c r="B924" s="109">
        <v>46387</v>
      </c>
      <c r="C924" s="1" t="s">
        <v>5939</v>
      </c>
      <c r="D924" s="1">
        <v>4100</v>
      </c>
      <c r="E924" s="1" t="str">
        <f>_xlfn.XLOOKUP(tblGJ[[#This Row],[Account Code]],tblCOA[Code],tblCOA[Account Name],"⚠ Invalid account")</f>
        <v>Sales of goods</v>
      </c>
      <c r="F924" s="1" t="s">
        <v>6497</v>
      </c>
      <c r="G924" s="5"/>
      <c r="H924" s="5">
        <f>SUMIFS(tblSales[DPP (excl. VAT)],tblSales[Month],MONTH(tblGJ[[#This Row],[Date]]))</f>
        <v>1376205000</v>
      </c>
      <c r="I924" s="1" t="s">
        <v>6532</v>
      </c>
      <c r="J924" s="1">
        <f>MONTH(tblGJ[[#This Row],[Date]])</f>
        <v>12</v>
      </c>
      <c r="K924" s="1" t="str">
        <f>_xlfn.XLOOKUP(tblGJ[[#This Row],[Account Code]],tblCOA[Code],tblCOA[FS Line],"")</f>
        <v>Revenue</v>
      </c>
      <c r="L924" s="121" t="str">
        <f>IF(OR(tblGJ[[#This Row],[Account Code]]=1120,tblGJ[[#This Row],[Account Code]]=1130),_xlfn.MINIFS(tblBank[Value Date],tblBank[Reference],tblGJ[[#This Row],[Voucher No]],tblBank[Account Code],tblGJ[[#This Row],[Account Code]]),"")</f>
        <v/>
      </c>
      <c r="M924" s="1" t="str">
        <f>IF(tblGJ[[#This Row],[Date]]&lt;=PEnd,"Yes","No")</f>
        <v>No</v>
      </c>
    </row>
    <row r="925" spans="2:13" x14ac:dyDescent="0.35">
      <c r="B925" s="109">
        <v>46387</v>
      </c>
      <c r="C925" s="1" t="s">
        <v>5939</v>
      </c>
      <c r="D925" s="1">
        <v>2210</v>
      </c>
      <c r="E925" s="1" t="str">
        <f>_xlfn.XLOOKUP(tblGJ[[#This Row],[Account Code]],tblCOA[Code],tblCOA[Account Name],"⚠ Invalid account")</f>
        <v>Output VAT (PPN Keluaran)</v>
      </c>
      <c r="F925" s="1" t="s">
        <v>6498</v>
      </c>
      <c r="G925" s="5"/>
      <c r="H925" s="5">
        <f>SUMIFS(tblSales[Output VAT],tblSales[Month],MONTH(tblGJ[[#This Row],[Date]]))</f>
        <v>151382550</v>
      </c>
      <c r="I925" s="1" t="s">
        <v>6532</v>
      </c>
      <c r="J925" s="1">
        <f>MONTH(tblGJ[[#This Row],[Date]])</f>
        <v>12</v>
      </c>
      <c r="K925" s="1" t="str">
        <f>_xlfn.XLOOKUP(tblGJ[[#This Row],[Account Code]],tblCOA[Code],tblCOA[FS Line],"")</f>
        <v>Taxes payable</v>
      </c>
      <c r="L925" s="121" t="str">
        <f>IF(OR(tblGJ[[#This Row],[Account Code]]=1120,tblGJ[[#This Row],[Account Code]]=1130),_xlfn.MINIFS(tblBank[Value Date],tblBank[Reference],tblGJ[[#This Row],[Voucher No]],tblBank[Account Code],tblGJ[[#This Row],[Account Code]]),"")</f>
        <v/>
      </c>
      <c r="M925" s="1" t="str">
        <f>IF(tblGJ[[#This Row],[Date]]&lt;=PEnd,"Yes","No")</f>
        <v>No</v>
      </c>
    </row>
    <row r="926" spans="2:13" x14ac:dyDescent="0.35">
      <c r="B926" s="109">
        <v>46387</v>
      </c>
      <c r="C926" s="1" t="s">
        <v>5940</v>
      </c>
      <c r="D926" s="1">
        <v>5100</v>
      </c>
      <c r="E926" s="1" t="str">
        <f>_xlfn.XLOOKUP(tblGJ[[#This Row],[Account Code]],tblCOA[Code],tblCOA[Account Name],"⚠ Invalid account")</f>
        <v>Cost of goods sold</v>
      </c>
      <c r="F926" s="1" t="s">
        <v>6499</v>
      </c>
      <c r="G926" s="5">
        <f>SUMIFS(tblSales[COGS],tblSales[Month],MONTH(tblGJ[[#This Row],[Date]]))</f>
        <v>828570000</v>
      </c>
      <c r="H926" s="5"/>
      <c r="I926" s="1" t="s">
        <v>6532</v>
      </c>
      <c r="J926" s="1">
        <f>MONTH(tblGJ[[#This Row],[Date]])</f>
        <v>12</v>
      </c>
      <c r="K926" s="1" t="str">
        <f>_xlfn.XLOOKUP(tblGJ[[#This Row],[Account Code]],tblCOA[Code],tblCOA[FS Line],"")</f>
        <v>Cost of revenue</v>
      </c>
      <c r="L926" s="121" t="str">
        <f>IF(OR(tblGJ[[#This Row],[Account Code]]=1120,tblGJ[[#This Row],[Account Code]]=1130),_xlfn.MINIFS(tblBank[Value Date],tblBank[Reference],tblGJ[[#This Row],[Voucher No]],tblBank[Account Code],tblGJ[[#This Row],[Account Code]]),"")</f>
        <v/>
      </c>
      <c r="M926" s="1" t="str">
        <f>IF(tblGJ[[#This Row],[Date]]&lt;=PEnd,"Yes","No")</f>
        <v>No</v>
      </c>
    </row>
    <row r="927" spans="2:13" x14ac:dyDescent="0.35">
      <c r="B927" s="109">
        <v>46387</v>
      </c>
      <c r="C927" s="1" t="s">
        <v>5940</v>
      </c>
      <c r="D927" s="1">
        <v>1310</v>
      </c>
      <c r="E927" s="1" t="str">
        <f>_xlfn.XLOOKUP(tblGJ[[#This Row],[Account Code]],tblCOA[Code],tblCOA[Account Name],"⚠ Invalid account")</f>
        <v>Merchandise inventory</v>
      </c>
      <c r="F927" s="1" t="s">
        <v>6500</v>
      </c>
      <c r="G927" s="5"/>
      <c r="H927" s="5">
        <f>SUMIFS(tblSales[COGS],tblSales[Month],MONTH(tblGJ[[#This Row],[Date]]))</f>
        <v>828570000</v>
      </c>
      <c r="I927" s="1" t="s">
        <v>6532</v>
      </c>
      <c r="J927" s="1">
        <f>MONTH(tblGJ[[#This Row],[Date]])</f>
        <v>12</v>
      </c>
      <c r="K927" s="1" t="str">
        <f>_xlfn.XLOOKUP(tblGJ[[#This Row],[Account Code]],tblCOA[Code],tblCOA[FS Line],"")</f>
        <v>Inventories</v>
      </c>
      <c r="L927" s="121" t="str">
        <f>IF(OR(tblGJ[[#This Row],[Account Code]]=1120,tblGJ[[#This Row],[Account Code]]=1130),_xlfn.MINIFS(tblBank[Value Date],tblBank[Reference],tblGJ[[#This Row],[Voucher No]],tblBank[Account Code],tblGJ[[#This Row],[Account Code]]),"")</f>
        <v/>
      </c>
      <c r="M927" s="1" t="str">
        <f>IF(tblGJ[[#This Row],[Date]]&lt;=PEnd,"Yes","No")</f>
        <v>No</v>
      </c>
    </row>
    <row r="928" spans="2:13" x14ac:dyDescent="0.35">
      <c r="B928" s="109">
        <v>46387</v>
      </c>
      <c r="C928" s="1" t="s">
        <v>5941</v>
      </c>
      <c r="D928" s="1">
        <v>1120</v>
      </c>
      <c r="E928" s="1" t="str">
        <f>_xlfn.XLOOKUP(tblGJ[[#This Row],[Account Code]],tblCOA[Code],tblCOA[Account Name],"⚠ Invalid account")</f>
        <v>Bank BCA - Current Account</v>
      </c>
      <c r="F928" s="1" t="s">
        <v>6501</v>
      </c>
      <c r="G928" s="5">
        <f>SUMIFS(tblSales[Total incl. VAT],tblSales[Month],MONTH(tblGJ[[#This Row],[Date]]),tblSales[Payment Method],Products!$O$13)</f>
        <v>195138000</v>
      </c>
      <c r="H928" s="5"/>
      <c r="I928" s="1" t="s">
        <v>6532</v>
      </c>
      <c r="J928" s="1">
        <f>MONTH(tblGJ[[#This Row],[Date]])</f>
        <v>12</v>
      </c>
      <c r="K928" s="1" t="str">
        <f>_xlfn.XLOOKUP(tblGJ[[#This Row],[Account Code]],tblCOA[Code],tblCOA[FS Line],"")</f>
        <v>Cash and cash equivalents</v>
      </c>
      <c r="L928" s="121">
        <f>IF(OR(tblGJ[[#This Row],[Account Code]]=1120,tblGJ[[#This Row],[Account Code]]=1130),_xlfn.MINIFS(tblBank[Value Date],tblBank[Reference],tblGJ[[#This Row],[Voucher No]],tblBank[Account Code],tblGJ[[#This Row],[Account Code]]),"")</f>
        <v>46387</v>
      </c>
      <c r="M928" s="1" t="str">
        <f>IF(tblGJ[[#This Row],[Date]]&lt;=PEnd,"Yes","No")</f>
        <v>No</v>
      </c>
    </row>
    <row r="929" spans="2:13" x14ac:dyDescent="0.35">
      <c r="B929" s="109">
        <v>46387</v>
      </c>
      <c r="C929" s="1" t="s">
        <v>5941</v>
      </c>
      <c r="D929" s="1">
        <v>1110</v>
      </c>
      <c r="E929" s="1" t="str">
        <f>_xlfn.XLOOKUP(tblGJ[[#This Row],[Account Code]],tblCOA[Code],tblCOA[Account Name],"⚠ Invalid account")</f>
        <v>Cash on Hand</v>
      </c>
      <c r="F929" s="1" t="s">
        <v>6501</v>
      </c>
      <c r="G929" s="5"/>
      <c r="H929" s="5">
        <f>SUMIFS(tblSales[Total incl. VAT],tblSales[Month],MONTH(tblGJ[[#This Row],[Date]]),tblSales[Payment Method],Products!$O$13)</f>
        <v>195138000</v>
      </c>
      <c r="I929" s="1" t="s">
        <v>6532</v>
      </c>
      <c r="J929" s="1">
        <f>MONTH(tblGJ[[#This Row],[Date]])</f>
        <v>12</v>
      </c>
      <c r="K929" s="1" t="str">
        <f>_xlfn.XLOOKUP(tblGJ[[#This Row],[Account Code]],tblCOA[Code],tblCOA[FS Line],"")</f>
        <v>Cash and cash equivalents</v>
      </c>
      <c r="L929" s="121" t="str">
        <f>IF(OR(tblGJ[[#This Row],[Account Code]]=1120,tblGJ[[#This Row],[Account Code]]=1130),_xlfn.MINIFS(tblBank[Value Date],tblBank[Reference],tblGJ[[#This Row],[Voucher No]],tblBank[Account Code],tblGJ[[#This Row],[Account Code]]),"")</f>
        <v/>
      </c>
      <c r="M929" s="1" t="str">
        <f>IF(tblGJ[[#This Row],[Date]]&lt;=PEnd,"Yes","No")</f>
        <v>No</v>
      </c>
    </row>
    <row r="930" spans="2:13" x14ac:dyDescent="0.35">
      <c r="B930" s="109">
        <v>46387</v>
      </c>
      <c r="C930" s="1" t="s">
        <v>5942</v>
      </c>
      <c r="D930" s="1">
        <v>1310</v>
      </c>
      <c r="E930" s="1" t="str">
        <f>_xlfn.XLOOKUP(tblGJ[[#This Row],[Account Code]],tblCOA[Code],tblCOA[Account Name],"⚠ Invalid account")</f>
        <v>Merchandise inventory</v>
      </c>
      <c r="F930" s="1" t="s">
        <v>6502</v>
      </c>
      <c r="G930" s="5">
        <f>SUMIFS(tblPurchases[DPP (excl. VAT)],tblPurchases[Account Code],tblGJ[[#This Row],[Account Code]],tblPurchases[Month],MONTH(tblGJ[[#This Row],[Date]]))</f>
        <v>845785000</v>
      </c>
      <c r="H930" s="5"/>
      <c r="I930" s="1" t="s">
        <v>6533</v>
      </c>
      <c r="J930" s="1">
        <f>MONTH(tblGJ[[#This Row],[Date]])</f>
        <v>12</v>
      </c>
      <c r="K930" s="1" t="str">
        <f>_xlfn.XLOOKUP(tblGJ[[#This Row],[Account Code]],tblCOA[Code],tblCOA[FS Line],"")</f>
        <v>Inventories</v>
      </c>
      <c r="L930" s="121" t="str">
        <f>IF(OR(tblGJ[[#This Row],[Account Code]]=1120,tblGJ[[#This Row],[Account Code]]=1130),_xlfn.MINIFS(tblBank[Value Date],tblBank[Reference],tblGJ[[#This Row],[Voucher No]],tblBank[Account Code],tblGJ[[#This Row],[Account Code]]),"")</f>
        <v/>
      </c>
      <c r="M930" s="1" t="str">
        <f>IF(tblGJ[[#This Row],[Date]]&lt;=PEnd,"Yes","No")</f>
        <v>No</v>
      </c>
    </row>
    <row r="931" spans="2:13" x14ac:dyDescent="0.35">
      <c r="B931" s="109">
        <v>46387</v>
      </c>
      <c r="C931" s="1" t="s">
        <v>5942</v>
      </c>
      <c r="D931" s="1">
        <v>1410</v>
      </c>
      <c r="E931" s="1" t="str">
        <f>_xlfn.XLOOKUP(tblGJ[[#This Row],[Account Code]],tblCOA[Code],tblCOA[Account Name],"⚠ Invalid account")</f>
        <v>Prepaid Rent</v>
      </c>
      <c r="F931" s="1" t="s">
        <v>6502</v>
      </c>
      <c r="G931" s="5">
        <f>SUMIFS(tblPurchases[DPP (excl. VAT)],tblPurchases[Account Code],tblGJ[[#This Row],[Account Code]],tblPurchases[Month],MONTH(tblGJ[[#This Row],[Date]]))</f>
        <v>144000000</v>
      </c>
      <c r="H931" s="5"/>
      <c r="I931" s="1" t="s">
        <v>6533</v>
      </c>
      <c r="J931" s="1">
        <f>MONTH(tblGJ[[#This Row],[Date]])</f>
        <v>12</v>
      </c>
      <c r="K931" s="1" t="str">
        <f>_xlfn.XLOOKUP(tblGJ[[#This Row],[Account Code]],tblCOA[Code],tblCOA[FS Line],"")</f>
        <v>Prepaid expenses</v>
      </c>
      <c r="L931" s="121" t="str">
        <f>IF(OR(tblGJ[[#This Row],[Account Code]]=1120,tblGJ[[#This Row],[Account Code]]=1130),_xlfn.MINIFS(tblBank[Value Date],tblBank[Reference],tblGJ[[#This Row],[Voucher No]],tblBank[Account Code],tblGJ[[#This Row],[Account Code]]),"")</f>
        <v/>
      </c>
      <c r="M931" s="1" t="str">
        <f>IF(tblGJ[[#This Row],[Date]]&lt;=PEnd,"Yes","No")</f>
        <v>No</v>
      </c>
    </row>
    <row r="932" spans="2:13" x14ac:dyDescent="0.35">
      <c r="B932" s="109">
        <v>46387</v>
      </c>
      <c r="C932" s="1" t="s">
        <v>5942</v>
      </c>
      <c r="D932" s="1">
        <v>6120</v>
      </c>
      <c r="E932" s="1" t="str">
        <f>_xlfn.XLOOKUP(tblGJ[[#This Row],[Account Code]],tblCOA[Code],tblCOA[Account Name],"⚠ Invalid account")</f>
        <v>Advertising &amp; Promotion</v>
      </c>
      <c r="F932" s="1" t="s">
        <v>6502</v>
      </c>
      <c r="G932" s="5">
        <f>SUMIFS(tblPurchases[DPP (excl. VAT)],tblPurchases[Account Code],tblGJ[[#This Row],[Account Code]],tblPurchases[Month],MONTH(tblGJ[[#This Row],[Date]]))</f>
        <v>15138000</v>
      </c>
      <c r="H932" s="5"/>
      <c r="I932" s="1" t="s">
        <v>6533</v>
      </c>
      <c r="J932" s="1">
        <f>MONTH(tblGJ[[#This Row],[Date]])</f>
        <v>12</v>
      </c>
      <c r="K932" s="1" t="str">
        <f>_xlfn.XLOOKUP(tblGJ[[#This Row],[Account Code]],tblCOA[Code],tblCOA[FS Line],"")</f>
        <v>Selling expenses</v>
      </c>
      <c r="L932" s="121" t="str">
        <f>IF(OR(tblGJ[[#This Row],[Account Code]]=1120,tblGJ[[#This Row],[Account Code]]=1130),_xlfn.MINIFS(tblBank[Value Date],tblBank[Reference],tblGJ[[#This Row],[Voucher No]],tblBank[Account Code],tblGJ[[#This Row],[Account Code]]),"")</f>
        <v/>
      </c>
      <c r="M932" s="1" t="str">
        <f>IF(tblGJ[[#This Row],[Date]]&lt;=PEnd,"Yes","No")</f>
        <v>No</v>
      </c>
    </row>
    <row r="933" spans="2:13" x14ac:dyDescent="0.35">
      <c r="B933" s="109">
        <v>46387</v>
      </c>
      <c r="C933" s="1" t="s">
        <v>5942</v>
      </c>
      <c r="D933" s="1">
        <v>6130</v>
      </c>
      <c r="E933" s="1" t="str">
        <f>_xlfn.XLOOKUP(tblGJ[[#This Row],[Account Code]],tblCOA[Code],tblCOA[Account Name],"⚠ Invalid account")</f>
        <v>Marketplace &amp; Sales Commissions</v>
      </c>
      <c r="F933" s="1" t="s">
        <v>6502</v>
      </c>
      <c r="G933" s="5">
        <f>SUMIFS(tblPurchases[DPP (excl. VAT)],tblPurchases[Account Code],tblGJ[[#This Row],[Account Code]],tblPurchases[Month],MONTH(tblGJ[[#This Row],[Date]]))</f>
        <v>3707000</v>
      </c>
      <c r="H933" s="5"/>
      <c r="I933" s="1" t="s">
        <v>6533</v>
      </c>
      <c r="J933" s="1">
        <f>MONTH(tblGJ[[#This Row],[Date]])</f>
        <v>12</v>
      </c>
      <c r="K933" s="1" t="str">
        <f>_xlfn.XLOOKUP(tblGJ[[#This Row],[Account Code]],tblCOA[Code],tblCOA[FS Line],"")</f>
        <v>Selling expenses</v>
      </c>
      <c r="L933" s="121" t="str">
        <f>IF(OR(tblGJ[[#This Row],[Account Code]]=1120,tblGJ[[#This Row],[Account Code]]=1130),_xlfn.MINIFS(tblBank[Value Date],tblBank[Reference],tblGJ[[#This Row],[Voucher No]],tblBank[Account Code],tblGJ[[#This Row],[Account Code]]),"")</f>
        <v/>
      </c>
      <c r="M933" s="1" t="str">
        <f>IF(tblGJ[[#This Row],[Date]]&lt;=PEnd,"Yes","No")</f>
        <v>No</v>
      </c>
    </row>
    <row r="934" spans="2:13" x14ac:dyDescent="0.35">
      <c r="B934" s="109">
        <v>46387</v>
      </c>
      <c r="C934" s="1" t="s">
        <v>5942</v>
      </c>
      <c r="D934" s="1">
        <v>6140</v>
      </c>
      <c r="E934" s="1" t="str">
        <f>_xlfn.XLOOKUP(tblGJ[[#This Row],[Account Code]],tblCOA[Code],tblCOA[Account Name],"⚠ Invalid account")</f>
        <v>Shipping &amp; Delivery</v>
      </c>
      <c r="F934" s="1" t="s">
        <v>6502</v>
      </c>
      <c r="G934" s="5">
        <f>SUMIFS(tblPurchases[DPP (excl. VAT)],tblPurchases[Account Code],tblGJ[[#This Row],[Account Code]],tblPurchases[Month],MONTH(tblGJ[[#This Row],[Date]]))</f>
        <v>12386000</v>
      </c>
      <c r="H934" s="5"/>
      <c r="I934" s="1" t="s">
        <v>6533</v>
      </c>
      <c r="J934" s="1">
        <f>MONTH(tblGJ[[#This Row],[Date]])</f>
        <v>12</v>
      </c>
      <c r="K934" s="1" t="str">
        <f>_xlfn.XLOOKUP(tblGJ[[#This Row],[Account Code]],tblCOA[Code],tblCOA[FS Line],"")</f>
        <v>Selling expenses</v>
      </c>
      <c r="L934" s="121" t="str">
        <f>IF(OR(tblGJ[[#This Row],[Account Code]]=1120,tblGJ[[#This Row],[Account Code]]=1130),_xlfn.MINIFS(tblBank[Value Date],tblBank[Reference],tblGJ[[#This Row],[Voucher No]],tblBank[Account Code],tblGJ[[#This Row],[Account Code]]),"")</f>
        <v/>
      </c>
      <c r="M934" s="1" t="str">
        <f>IF(tblGJ[[#This Row],[Date]]&lt;=PEnd,"Yes","No")</f>
        <v>No</v>
      </c>
    </row>
    <row r="935" spans="2:13" x14ac:dyDescent="0.35">
      <c r="B935" s="109">
        <v>46387</v>
      </c>
      <c r="C935" s="1" t="s">
        <v>5942</v>
      </c>
      <c r="D935" s="1">
        <v>6230</v>
      </c>
      <c r="E935" s="1" t="str">
        <f>_xlfn.XLOOKUP(tblGJ[[#This Row],[Account Code]],tblCOA[Code],tblCOA[Account Name],"⚠ Invalid account")</f>
        <v>Utilities &amp; Telecommunication</v>
      </c>
      <c r="F935" s="1" t="s">
        <v>6502</v>
      </c>
      <c r="G935" s="5">
        <f>SUMIFS(tblPurchases[DPP (excl. VAT)],tblPurchases[Account Code],tblGJ[[#This Row],[Account Code]],tblPurchases[Month],MONTH(tblGJ[[#This Row],[Date]]))</f>
        <v>11635000</v>
      </c>
      <c r="H935" s="5"/>
      <c r="I935" s="1" t="s">
        <v>6533</v>
      </c>
      <c r="J935" s="1">
        <f>MONTH(tblGJ[[#This Row],[Date]])</f>
        <v>12</v>
      </c>
      <c r="K935" s="1" t="str">
        <f>_xlfn.XLOOKUP(tblGJ[[#This Row],[Account Code]],tblCOA[Code],tblCOA[FS Line],"")</f>
        <v>General &amp; administrative expenses</v>
      </c>
      <c r="L935" s="121" t="str">
        <f>IF(OR(tblGJ[[#This Row],[Account Code]]=1120,tblGJ[[#This Row],[Account Code]]=1130),_xlfn.MINIFS(tblBank[Value Date],tblBank[Reference],tblGJ[[#This Row],[Voucher No]],tblBank[Account Code],tblGJ[[#This Row],[Account Code]]),"")</f>
        <v/>
      </c>
      <c r="M935" s="1" t="str">
        <f>IF(tblGJ[[#This Row],[Date]]&lt;=PEnd,"Yes","No")</f>
        <v>No</v>
      </c>
    </row>
    <row r="936" spans="2:13" x14ac:dyDescent="0.35">
      <c r="B936" s="109">
        <v>46387</v>
      </c>
      <c r="C936" s="1" t="s">
        <v>5942</v>
      </c>
      <c r="D936" s="1">
        <v>6270</v>
      </c>
      <c r="E936" s="1" t="str">
        <f>_xlfn.XLOOKUP(tblGJ[[#This Row],[Account Code]],tblCOA[Code],tblCOA[Account Name],"⚠ Invalid account")</f>
        <v>Office Supplies</v>
      </c>
      <c r="F936" s="1" t="s">
        <v>6502</v>
      </c>
      <c r="G936" s="5">
        <f>SUMIFS(tblPurchases[DPP (excl. VAT)],tblPurchases[Account Code],tblGJ[[#This Row],[Account Code]],tblPurchases[Month],MONTH(tblGJ[[#This Row],[Date]]))</f>
        <v>2783000</v>
      </c>
      <c r="H936" s="5"/>
      <c r="I936" s="1" t="s">
        <v>6533</v>
      </c>
      <c r="J936" s="1">
        <f>MONTH(tblGJ[[#This Row],[Date]])</f>
        <v>12</v>
      </c>
      <c r="K936" s="1" t="str">
        <f>_xlfn.XLOOKUP(tblGJ[[#This Row],[Account Code]],tblCOA[Code],tblCOA[FS Line],"")</f>
        <v>General &amp; administrative expenses</v>
      </c>
      <c r="L936" s="121" t="str">
        <f>IF(OR(tblGJ[[#This Row],[Account Code]]=1120,tblGJ[[#This Row],[Account Code]]=1130),_xlfn.MINIFS(tblBank[Value Date],tblBank[Reference],tblGJ[[#This Row],[Voucher No]],tblBank[Account Code],tblGJ[[#This Row],[Account Code]]),"")</f>
        <v/>
      </c>
      <c r="M936" s="1" t="str">
        <f>IF(tblGJ[[#This Row],[Date]]&lt;=PEnd,"Yes","No")</f>
        <v>No</v>
      </c>
    </row>
    <row r="937" spans="2:13" x14ac:dyDescent="0.35">
      <c r="B937" s="109">
        <v>46387</v>
      </c>
      <c r="C937" s="1" t="s">
        <v>5942</v>
      </c>
      <c r="D937" s="1">
        <v>6280</v>
      </c>
      <c r="E937" s="1" t="str">
        <f>_xlfn.XLOOKUP(tblGJ[[#This Row],[Account Code]],tblCOA[Code],tblCOA[Account Name],"⚠ Invalid account")</f>
        <v>Professional Fees</v>
      </c>
      <c r="F937" s="1" t="s">
        <v>6502</v>
      </c>
      <c r="G937" s="5">
        <f>SUMIFS(tblPurchases[DPP (excl. VAT)],tblPurchases[Account Code],tblGJ[[#This Row],[Account Code]],tblPurchases[Month],MONTH(tblGJ[[#This Row],[Date]]))</f>
        <v>25000000</v>
      </c>
      <c r="H937" s="5"/>
      <c r="I937" s="1" t="s">
        <v>6533</v>
      </c>
      <c r="J937" s="1">
        <f>MONTH(tblGJ[[#This Row],[Date]])</f>
        <v>12</v>
      </c>
      <c r="K937" s="1" t="str">
        <f>_xlfn.XLOOKUP(tblGJ[[#This Row],[Account Code]],tblCOA[Code],tblCOA[FS Line],"")</f>
        <v>General &amp; administrative expenses</v>
      </c>
      <c r="L937" s="121" t="str">
        <f>IF(OR(tblGJ[[#This Row],[Account Code]]=1120,tblGJ[[#This Row],[Account Code]]=1130),_xlfn.MINIFS(tblBank[Value Date],tblBank[Reference],tblGJ[[#This Row],[Voucher No]],tblBank[Account Code],tblGJ[[#This Row],[Account Code]]),"")</f>
        <v/>
      </c>
      <c r="M937" s="1" t="str">
        <f>IF(tblGJ[[#This Row],[Date]]&lt;=PEnd,"Yes","No")</f>
        <v>No</v>
      </c>
    </row>
    <row r="938" spans="2:13" x14ac:dyDescent="0.35">
      <c r="B938" s="109">
        <v>46387</v>
      </c>
      <c r="C938" s="1" t="s">
        <v>5942</v>
      </c>
      <c r="D938" s="1">
        <v>6295</v>
      </c>
      <c r="E938" s="1" t="str">
        <f>_xlfn.XLOOKUP(tblGJ[[#This Row],[Account Code]],tblCOA[Code],tblCOA[Account Name],"⚠ Invalid account")</f>
        <v>Repairs &amp; Maintenance</v>
      </c>
      <c r="F938" s="1" t="s">
        <v>6502</v>
      </c>
      <c r="G938" s="5">
        <f>SUMIFS(tblPurchases[DPP (excl. VAT)],tblPurchases[Account Code],tblGJ[[#This Row],[Account Code]],tblPurchases[Month],MONTH(tblGJ[[#This Row],[Date]]))</f>
        <v>3848000</v>
      </c>
      <c r="H938" s="5"/>
      <c r="I938" s="1" t="s">
        <v>6533</v>
      </c>
      <c r="J938" s="1">
        <f>MONTH(tblGJ[[#This Row],[Date]])</f>
        <v>12</v>
      </c>
      <c r="K938" s="1" t="str">
        <f>_xlfn.XLOOKUP(tblGJ[[#This Row],[Account Code]],tblCOA[Code],tblCOA[FS Line],"")</f>
        <v>General &amp; administrative expenses</v>
      </c>
      <c r="L938" s="121" t="str">
        <f>IF(OR(tblGJ[[#This Row],[Account Code]]=1120,tblGJ[[#This Row],[Account Code]]=1130),_xlfn.MINIFS(tblBank[Value Date],tblBank[Reference],tblGJ[[#This Row],[Voucher No]],tblBank[Account Code],tblGJ[[#This Row],[Account Code]]),"")</f>
        <v/>
      </c>
      <c r="M938" s="1" t="str">
        <f>IF(tblGJ[[#This Row],[Date]]&lt;=PEnd,"Yes","No")</f>
        <v>No</v>
      </c>
    </row>
    <row r="939" spans="2:13" x14ac:dyDescent="0.35">
      <c r="B939" s="109">
        <v>46387</v>
      </c>
      <c r="C939" s="1" t="s">
        <v>5942</v>
      </c>
      <c r="D939" s="1">
        <v>6296</v>
      </c>
      <c r="E939" s="1" t="str">
        <f>_xlfn.XLOOKUP(tblGJ[[#This Row],[Account Code]],tblCOA[Code],tblCOA[Account Name],"⚠ Invalid account")</f>
        <v>Entertainment &amp; Donations</v>
      </c>
      <c r="F939" s="1" t="s">
        <v>6502</v>
      </c>
      <c r="G939" s="5">
        <f>SUMIFS(tblPurchases[DPP (excl. VAT)],tblPurchases[Account Code],tblGJ[[#This Row],[Account Code]],tblPurchases[Month],MONTH(tblGJ[[#This Row],[Date]]))</f>
        <v>2437000</v>
      </c>
      <c r="H939" s="5"/>
      <c r="I939" s="1" t="s">
        <v>6533</v>
      </c>
      <c r="J939" s="1">
        <f>MONTH(tblGJ[[#This Row],[Date]])</f>
        <v>12</v>
      </c>
      <c r="K939" s="1" t="str">
        <f>_xlfn.XLOOKUP(tblGJ[[#This Row],[Account Code]],tblCOA[Code],tblCOA[FS Line],"")</f>
        <v>General &amp; administrative expenses</v>
      </c>
      <c r="L939" s="121" t="str">
        <f>IF(OR(tblGJ[[#This Row],[Account Code]]=1120,tblGJ[[#This Row],[Account Code]]=1130),_xlfn.MINIFS(tblBank[Value Date],tblBank[Reference],tblGJ[[#This Row],[Voucher No]],tblBank[Account Code],tblGJ[[#This Row],[Account Code]]),"")</f>
        <v/>
      </c>
      <c r="M939" s="1" t="str">
        <f>IF(tblGJ[[#This Row],[Date]]&lt;=PEnd,"Yes","No")</f>
        <v>No</v>
      </c>
    </row>
    <row r="940" spans="2:13" x14ac:dyDescent="0.35">
      <c r="B940" s="109">
        <v>46387</v>
      </c>
      <c r="C940" s="1" t="s">
        <v>5942</v>
      </c>
      <c r="D940" s="1">
        <v>1510</v>
      </c>
      <c r="E940" s="1" t="str">
        <f>_xlfn.XLOOKUP(tblGJ[[#This Row],[Account Code]],tblCOA[Code],tblCOA[Account Name],"⚠ Invalid account")</f>
        <v>Input VAT (PPN Masukan)</v>
      </c>
      <c r="F940" s="1" t="s">
        <v>6503</v>
      </c>
      <c r="G940" s="5">
        <f>SUMIFS(tblPurchases[Input VAT],tblPurchases[Month],MONTH(tblGJ[[#This Row],[Date]]))</f>
        <v>102386130</v>
      </c>
      <c r="H940" s="5"/>
      <c r="I940" s="1" t="s">
        <v>6533</v>
      </c>
      <c r="J940" s="1">
        <f>MONTH(tblGJ[[#This Row],[Date]])</f>
        <v>12</v>
      </c>
      <c r="K940" s="1" t="str">
        <f>_xlfn.XLOOKUP(tblGJ[[#This Row],[Account Code]],tblCOA[Code],tblCOA[FS Line],"")</f>
        <v>Prepaid taxes</v>
      </c>
      <c r="L940" s="121" t="str">
        <f>IF(OR(tblGJ[[#This Row],[Account Code]]=1120,tblGJ[[#This Row],[Account Code]]=1130),_xlfn.MINIFS(tblBank[Value Date],tblBank[Reference],tblGJ[[#This Row],[Voucher No]],tblBank[Account Code],tblGJ[[#This Row],[Account Code]]),"")</f>
        <v/>
      </c>
      <c r="M940" s="1" t="str">
        <f>IF(tblGJ[[#This Row],[Date]]&lt;=PEnd,"Yes","No")</f>
        <v>No</v>
      </c>
    </row>
    <row r="941" spans="2:13" x14ac:dyDescent="0.35">
      <c r="B941" s="109">
        <v>46387</v>
      </c>
      <c r="C941" s="1" t="s">
        <v>5942</v>
      </c>
      <c r="D941" s="1">
        <v>2240</v>
      </c>
      <c r="E941" s="1" t="str">
        <f>_xlfn.XLOOKUP(tblGJ[[#This Row],[Account Code]],tblCOA[Code],tblCOA[Account Name],"⚠ Invalid account")</f>
        <v>WHT Payable - Unifikasi (Art. 23/4(2))</v>
      </c>
      <c r="F941" s="1" t="s">
        <v>6504</v>
      </c>
      <c r="G941" s="5"/>
      <c r="H941" s="5">
        <f>SUMIFS(tblPurchases[WHT Amount],tblPurchases[Month],MONTH(tblGJ[[#This Row],[Date]]))</f>
        <v>15601580</v>
      </c>
      <c r="I941" s="1" t="s">
        <v>6533</v>
      </c>
      <c r="J941" s="1">
        <f>MONTH(tblGJ[[#This Row],[Date]])</f>
        <v>12</v>
      </c>
      <c r="K941" s="1" t="str">
        <f>_xlfn.XLOOKUP(tblGJ[[#This Row],[Account Code]],tblCOA[Code],tblCOA[FS Line],"")</f>
        <v>Taxes payable</v>
      </c>
      <c r="L941" s="121" t="str">
        <f>IF(OR(tblGJ[[#This Row],[Account Code]]=1120,tblGJ[[#This Row],[Account Code]]=1130),_xlfn.MINIFS(tblBank[Value Date],tblBank[Reference],tblGJ[[#This Row],[Voucher No]],tblBank[Account Code],tblGJ[[#This Row],[Account Code]]),"")</f>
        <v/>
      </c>
      <c r="M941" s="1" t="str">
        <f>IF(tblGJ[[#This Row],[Date]]&lt;=PEnd,"Yes","No")</f>
        <v>No</v>
      </c>
    </row>
    <row r="942" spans="2:13" x14ac:dyDescent="0.35">
      <c r="B942" s="109">
        <v>46387</v>
      </c>
      <c r="C942" s="1" t="s">
        <v>5942</v>
      </c>
      <c r="D942" s="1">
        <v>2110</v>
      </c>
      <c r="E942" s="1" t="str">
        <f>_xlfn.XLOOKUP(tblGJ[[#This Row],[Account Code]],tblCOA[Code],tblCOA[Account Name],"⚠ Invalid account")</f>
        <v>Trade Payables</v>
      </c>
      <c r="F942" s="1" t="s">
        <v>6505</v>
      </c>
      <c r="G942" s="5"/>
      <c r="H942" s="5">
        <f>SUMIFS(tblPurchases[Total Payable],tblPurchases[Month],MONTH(tblGJ[[#This Row],[Date]]))</f>
        <v>1153503550</v>
      </c>
      <c r="I942" s="1" t="s">
        <v>6533</v>
      </c>
      <c r="J942" s="1">
        <f>MONTH(tblGJ[[#This Row],[Date]])</f>
        <v>12</v>
      </c>
      <c r="K942" s="1" t="str">
        <f>_xlfn.XLOOKUP(tblGJ[[#This Row],[Account Code]],tblCOA[Code],tblCOA[FS Line],"")</f>
        <v>Trade payables</v>
      </c>
      <c r="L942" s="121" t="str">
        <f>IF(OR(tblGJ[[#This Row],[Account Code]]=1120,tblGJ[[#This Row],[Account Code]]=1130),_xlfn.MINIFS(tblBank[Value Date],tblBank[Reference],tblGJ[[#This Row],[Voucher No]],tblBank[Account Code],tblGJ[[#This Row],[Account Code]]),"")</f>
        <v/>
      </c>
      <c r="M942" s="1" t="str">
        <f>IF(tblGJ[[#This Row],[Date]]&lt;=PEnd,"Yes","No")</f>
        <v>No</v>
      </c>
    </row>
    <row r="943" spans="2:13" x14ac:dyDescent="0.35">
      <c r="B943" s="109">
        <v>46387</v>
      </c>
      <c r="C943" s="1" t="s">
        <v>5943</v>
      </c>
      <c r="D943" s="1">
        <v>2110</v>
      </c>
      <c r="E943" s="1" t="str">
        <f>_xlfn.XLOOKUP(tblGJ[[#This Row],[Account Code]],tblCOA[Code],tblCOA[Account Name],"⚠ Invalid account")</f>
        <v>Trade Payables</v>
      </c>
      <c r="F943" s="1" t="s">
        <v>6506</v>
      </c>
      <c r="G943" s="5">
        <f>SUMIFS(tblPurchases[Total Payable],tblPurchases[Pay Month],MONTH(tblGJ[[#This Row],[Date]]),tblPurchases[Paid From],1120)</f>
        <v>976782310</v>
      </c>
      <c r="H943" s="5"/>
      <c r="I943" s="1" t="s">
        <v>6529</v>
      </c>
      <c r="J943" s="1">
        <f>MONTH(tblGJ[[#This Row],[Date]])</f>
        <v>12</v>
      </c>
      <c r="K943" s="1" t="str">
        <f>_xlfn.XLOOKUP(tblGJ[[#This Row],[Account Code]],tblCOA[Code],tblCOA[FS Line],"")</f>
        <v>Trade payables</v>
      </c>
      <c r="L943" s="121" t="str">
        <f>IF(OR(tblGJ[[#This Row],[Account Code]]=1120,tblGJ[[#This Row],[Account Code]]=1130),_xlfn.MINIFS(tblBank[Value Date],tblBank[Reference],tblGJ[[#This Row],[Voucher No]],tblBank[Account Code],tblGJ[[#This Row],[Account Code]]),"")</f>
        <v/>
      </c>
      <c r="M943" s="1" t="str">
        <f>IF(tblGJ[[#This Row],[Date]]&lt;=PEnd,"Yes","No")</f>
        <v>No</v>
      </c>
    </row>
    <row r="944" spans="2:13" x14ac:dyDescent="0.35">
      <c r="B944" s="109">
        <v>46387</v>
      </c>
      <c r="C944" s="1" t="s">
        <v>5943</v>
      </c>
      <c r="D944" s="1">
        <v>1120</v>
      </c>
      <c r="E944" s="1" t="str">
        <f>_xlfn.XLOOKUP(tblGJ[[#This Row],[Account Code]],tblCOA[Code],tblCOA[Account Name],"⚠ Invalid account")</f>
        <v>Bank BCA - Current Account</v>
      </c>
      <c r="F944" s="1" t="s">
        <v>6506</v>
      </c>
      <c r="G944" s="5"/>
      <c r="H944" s="5">
        <f>SUMIFS(tblPurchases[Total Payable],tblPurchases[Pay Month],MONTH(tblGJ[[#This Row],[Date]]),tblPurchases[Paid From],1120)</f>
        <v>976782310</v>
      </c>
      <c r="I944" s="1" t="s">
        <v>6529</v>
      </c>
      <c r="J944" s="1">
        <f>MONTH(tblGJ[[#This Row],[Date]])</f>
        <v>12</v>
      </c>
      <c r="K944" s="1" t="str">
        <f>_xlfn.XLOOKUP(tblGJ[[#This Row],[Account Code]],tblCOA[Code],tblCOA[FS Line],"")</f>
        <v>Cash and cash equivalents</v>
      </c>
      <c r="L944" s="121">
        <f>IF(OR(tblGJ[[#This Row],[Account Code]]=1120,tblGJ[[#This Row],[Account Code]]=1130),_xlfn.MINIFS(tblBank[Value Date],tblBank[Reference],tblGJ[[#This Row],[Voucher No]],tblBank[Account Code],tblGJ[[#This Row],[Account Code]]),"")</f>
        <v>46387</v>
      </c>
      <c r="M944" s="1" t="str">
        <f>IF(tblGJ[[#This Row],[Date]]&lt;=PEnd,"Yes","No")</f>
        <v>No</v>
      </c>
    </row>
    <row r="945" spans="2:13" x14ac:dyDescent="0.35">
      <c r="B945" s="109">
        <v>46387</v>
      </c>
      <c r="C945" s="1" t="s">
        <v>5944</v>
      </c>
      <c r="D945" s="1">
        <v>2210</v>
      </c>
      <c r="E945" s="1" t="str">
        <f>_xlfn.XLOOKUP(tblGJ[[#This Row],[Account Code]],tblCOA[Code],tblCOA[Account Name],"⚠ Invalid account")</f>
        <v>Output VAT (PPN Keluaran)</v>
      </c>
      <c r="F945" s="1" t="s">
        <v>6507</v>
      </c>
      <c r="G945" s="5">
        <f>SUMIFS(tblSales[Output VAT],tblSales[Month],MONTH(tblGJ[[#This Row],[Date]]))</f>
        <v>151382550</v>
      </c>
      <c r="H945" s="5"/>
      <c r="I945" s="1" t="s">
        <v>6528</v>
      </c>
      <c r="J945" s="1">
        <f>MONTH(tblGJ[[#This Row],[Date]])</f>
        <v>12</v>
      </c>
      <c r="K945" s="1" t="str">
        <f>_xlfn.XLOOKUP(tblGJ[[#This Row],[Account Code]],tblCOA[Code],tblCOA[FS Line],"")</f>
        <v>Taxes payable</v>
      </c>
      <c r="L945" s="121" t="str">
        <f>IF(OR(tblGJ[[#This Row],[Account Code]]=1120,tblGJ[[#This Row],[Account Code]]=1130),_xlfn.MINIFS(tblBank[Value Date],tblBank[Reference],tblGJ[[#This Row],[Voucher No]],tblBank[Account Code],tblGJ[[#This Row],[Account Code]]),"")</f>
        <v/>
      </c>
      <c r="M945" s="1" t="str">
        <f>IF(tblGJ[[#This Row],[Date]]&lt;=PEnd,"Yes","No")</f>
        <v>No</v>
      </c>
    </row>
    <row r="946" spans="2:13" x14ac:dyDescent="0.35">
      <c r="B946" s="109">
        <v>46387</v>
      </c>
      <c r="C946" s="1" t="s">
        <v>5944</v>
      </c>
      <c r="D946" s="1">
        <v>1510</v>
      </c>
      <c r="E946" s="1" t="str">
        <f>_xlfn.XLOOKUP(tblGJ[[#This Row],[Account Code]],tblCOA[Code],tblCOA[Account Name],"⚠ Invalid account")</f>
        <v>Input VAT (PPN Masukan)</v>
      </c>
      <c r="F946" s="1" t="s">
        <v>6508</v>
      </c>
      <c r="G946" s="5"/>
      <c r="H946" s="5">
        <f>SUMIFS(tblPurchases[Input VAT],tblPurchases[Month],MONTH(tblGJ[[#This Row],[Date]]))</f>
        <v>102386130</v>
      </c>
      <c r="I946" s="1" t="s">
        <v>6528</v>
      </c>
      <c r="J946" s="1">
        <f>MONTH(tblGJ[[#This Row],[Date]])</f>
        <v>12</v>
      </c>
      <c r="K946" s="1" t="str">
        <f>_xlfn.XLOOKUP(tblGJ[[#This Row],[Account Code]],tblCOA[Code],tblCOA[FS Line],"")</f>
        <v>Prepaid taxes</v>
      </c>
      <c r="L946" s="121" t="str">
        <f>IF(OR(tblGJ[[#This Row],[Account Code]]=1120,tblGJ[[#This Row],[Account Code]]=1130),_xlfn.MINIFS(tblBank[Value Date],tblBank[Reference],tblGJ[[#This Row],[Voucher No]],tblBank[Account Code],tblGJ[[#This Row],[Account Code]]),"")</f>
        <v/>
      </c>
      <c r="M946" s="1" t="str">
        <f>IF(tblGJ[[#This Row],[Date]]&lt;=PEnd,"Yes","No")</f>
        <v>No</v>
      </c>
    </row>
    <row r="947" spans="2:13" x14ac:dyDescent="0.35">
      <c r="B947" s="109">
        <v>46387</v>
      </c>
      <c r="C947" s="1" t="s">
        <v>5944</v>
      </c>
      <c r="D947" s="1">
        <v>2220</v>
      </c>
      <c r="E947" s="1" t="str">
        <f>_xlfn.XLOOKUP(tblGJ[[#This Row],[Account Code]],tblCOA[Code],tblCOA[Account Name],"⚠ Invalid account")</f>
        <v>VAT Payable - Net</v>
      </c>
      <c r="F947" s="1" t="s">
        <v>6509</v>
      </c>
      <c r="G947" s="5"/>
      <c r="H947" s="5">
        <f>SUMIFS(tblSales[Output VAT],tblSales[Month],MONTH(tblGJ[[#This Row],[Date]]))-SUMIFS(tblPurchases[Input VAT],tblPurchases[Month],MONTH(tblGJ[[#This Row],[Date]]))</f>
        <v>48996420</v>
      </c>
      <c r="I947" s="1" t="s">
        <v>6528</v>
      </c>
      <c r="J947" s="1">
        <f>MONTH(tblGJ[[#This Row],[Date]])</f>
        <v>12</v>
      </c>
      <c r="K947" s="1" t="str">
        <f>_xlfn.XLOOKUP(tblGJ[[#This Row],[Account Code]],tblCOA[Code],tblCOA[FS Line],"")</f>
        <v>Taxes payable</v>
      </c>
      <c r="L947" s="121" t="str">
        <f>IF(OR(tblGJ[[#This Row],[Account Code]]=1120,tblGJ[[#This Row],[Account Code]]=1130),_xlfn.MINIFS(tblBank[Value Date],tblBank[Reference],tblGJ[[#This Row],[Voucher No]],tblBank[Account Code],tblGJ[[#This Row],[Account Code]]),"")</f>
        <v/>
      </c>
      <c r="M947" s="1" t="str">
        <f>IF(tblGJ[[#This Row],[Date]]&lt;=PEnd,"Yes","No")</f>
        <v>No</v>
      </c>
    </row>
    <row r="948" spans="2:13" x14ac:dyDescent="0.35">
      <c r="B948" s="109">
        <v>46387</v>
      </c>
      <c r="C948" s="1" t="s">
        <v>5945</v>
      </c>
      <c r="D948" s="1">
        <v>6240</v>
      </c>
      <c r="E948" s="1" t="str">
        <f>_xlfn.XLOOKUP(tblGJ[[#This Row],[Account Code]],tblCOA[Code],tblCOA[Account Name],"⚠ Invalid account")</f>
        <v>Depreciation Expense</v>
      </c>
      <c r="F948" s="1" t="s">
        <v>6510</v>
      </c>
      <c r="G948" s="5">
        <f>SUMIFS(INDEX(tblFA[[Jan]:[Dec]],0,MONTH(tblGJ[[#This Row],[Date]])),tblFA[Expense Account],tblGJ[[#This Row],[Account Code]])</f>
        <v>31458333</v>
      </c>
      <c r="H948" s="5"/>
      <c r="I948" s="1" t="s">
        <v>6534</v>
      </c>
      <c r="J948" s="1">
        <f>MONTH(tblGJ[[#This Row],[Date]])</f>
        <v>12</v>
      </c>
      <c r="K948" s="1" t="str">
        <f>_xlfn.XLOOKUP(tblGJ[[#This Row],[Account Code]],tblCOA[Code],tblCOA[FS Line],"")</f>
        <v>General &amp; administrative expenses</v>
      </c>
      <c r="L948" s="121" t="str">
        <f>IF(OR(tblGJ[[#This Row],[Account Code]]=1120,tblGJ[[#This Row],[Account Code]]=1130),_xlfn.MINIFS(tblBank[Value Date],tblBank[Reference],tblGJ[[#This Row],[Voucher No]],tblBank[Account Code],tblGJ[[#This Row],[Account Code]]),"")</f>
        <v/>
      </c>
      <c r="M948" s="1" t="str">
        <f>IF(tblGJ[[#This Row],[Date]]&lt;=PEnd,"Yes","No")</f>
        <v>No</v>
      </c>
    </row>
    <row r="949" spans="2:13" x14ac:dyDescent="0.35">
      <c r="B949" s="109">
        <v>46387</v>
      </c>
      <c r="C949" s="1" t="s">
        <v>5945</v>
      </c>
      <c r="D949" s="1">
        <v>6250</v>
      </c>
      <c r="E949" s="1" t="str">
        <f>_xlfn.XLOOKUP(tblGJ[[#This Row],[Account Code]],tblCOA[Code],tblCOA[Account Name],"⚠ Invalid account")</f>
        <v>Amortization Expense - Software</v>
      </c>
      <c r="F949" s="1" t="s">
        <v>6511</v>
      </c>
      <c r="G949" s="5">
        <f>SUMIFS(INDEX(tblFA[[Jan]:[Dec]],0,MONTH(tblGJ[[#This Row],[Date]])),tblFA[Expense Account],tblGJ[[#This Row],[Account Code]])</f>
        <v>5000000</v>
      </c>
      <c r="H949" s="5"/>
      <c r="I949" s="1" t="s">
        <v>6534</v>
      </c>
      <c r="J949" s="1">
        <f>MONTH(tblGJ[[#This Row],[Date]])</f>
        <v>12</v>
      </c>
      <c r="K949" s="1" t="str">
        <f>_xlfn.XLOOKUP(tblGJ[[#This Row],[Account Code]],tblCOA[Code],tblCOA[FS Line],"")</f>
        <v>General &amp; administrative expenses</v>
      </c>
      <c r="L949" s="121" t="str">
        <f>IF(OR(tblGJ[[#This Row],[Account Code]]=1120,tblGJ[[#This Row],[Account Code]]=1130),_xlfn.MINIFS(tblBank[Value Date],tblBank[Reference],tblGJ[[#This Row],[Voucher No]],tblBank[Account Code],tblGJ[[#This Row],[Account Code]]),"")</f>
        <v/>
      </c>
      <c r="M949" s="1" t="str">
        <f>IF(tblGJ[[#This Row],[Date]]&lt;=PEnd,"Yes","No")</f>
        <v>No</v>
      </c>
    </row>
    <row r="950" spans="2:13" x14ac:dyDescent="0.35">
      <c r="B950" s="109">
        <v>46387</v>
      </c>
      <c r="C950" s="1" t="s">
        <v>5945</v>
      </c>
      <c r="D950" s="1">
        <v>1691</v>
      </c>
      <c r="E950" s="1" t="str">
        <f>_xlfn.XLOOKUP(tblGJ[[#This Row],[Account Code]],tblCOA[Code],tblCOA[Account Name],"⚠ Invalid account")</f>
        <v>Acc. Depreciation - Buildings</v>
      </c>
      <c r="F950" s="1" t="s">
        <v>6512</v>
      </c>
      <c r="G950" s="5"/>
      <c r="H950" s="5">
        <f>SUMIFS(INDEX(tblFA[[Jan]:[Dec]],0,MONTH(tblGJ[[#This Row],[Date]])),tblFA[Acc. Dep. Account],tblGJ[[#This Row],[Account Code]])</f>
        <v>7500000</v>
      </c>
      <c r="I950" s="1" t="s">
        <v>6534</v>
      </c>
      <c r="J950" s="1">
        <f>MONTH(tblGJ[[#This Row],[Date]])</f>
        <v>12</v>
      </c>
      <c r="K950" s="1" t="str">
        <f>_xlfn.XLOOKUP(tblGJ[[#This Row],[Account Code]],tblCOA[Code],tblCOA[FS Line],"")</f>
        <v>Fixed assets - net</v>
      </c>
      <c r="L950" s="121" t="str">
        <f>IF(OR(tblGJ[[#This Row],[Account Code]]=1120,tblGJ[[#This Row],[Account Code]]=1130),_xlfn.MINIFS(tblBank[Value Date],tblBank[Reference],tblGJ[[#This Row],[Voucher No]],tblBank[Account Code],tblGJ[[#This Row],[Account Code]]),"")</f>
        <v/>
      </c>
      <c r="M950" s="1" t="str">
        <f>IF(tblGJ[[#This Row],[Date]]&lt;=PEnd,"Yes","No")</f>
        <v>No</v>
      </c>
    </row>
    <row r="951" spans="2:13" x14ac:dyDescent="0.35">
      <c r="B951" s="109">
        <v>46387</v>
      </c>
      <c r="C951" s="1" t="s">
        <v>5945</v>
      </c>
      <c r="D951" s="1">
        <v>1693</v>
      </c>
      <c r="E951" s="1" t="str">
        <f>_xlfn.XLOOKUP(tblGJ[[#This Row],[Account Code]],tblCOA[Code],tblCOA[Account Name],"⚠ Invalid account")</f>
        <v>Acc. Depreciation - Vehicles</v>
      </c>
      <c r="F951" s="1" t="s">
        <v>6512</v>
      </c>
      <c r="G951" s="5"/>
      <c r="H951" s="5">
        <f>SUMIFS(INDEX(tblFA[[Jan]:[Dec]],0,MONTH(tblGJ[[#This Row],[Date]])),tblFA[Acc. Dep. Account],tblGJ[[#This Row],[Account Code]])</f>
        <v>10625000</v>
      </c>
      <c r="I951" s="1" t="s">
        <v>6534</v>
      </c>
      <c r="J951" s="1">
        <f>MONTH(tblGJ[[#This Row],[Date]])</f>
        <v>12</v>
      </c>
      <c r="K951" s="1" t="str">
        <f>_xlfn.XLOOKUP(tblGJ[[#This Row],[Account Code]],tblCOA[Code],tblCOA[FS Line],"")</f>
        <v>Fixed assets - net</v>
      </c>
      <c r="L951" s="121" t="str">
        <f>IF(OR(tblGJ[[#This Row],[Account Code]]=1120,tblGJ[[#This Row],[Account Code]]=1130),_xlfn.MINIFS(tblBank[Value Date],tblBank[Reference],tblGJ[[#This Row],[Voucher No]],tblBank[Account Code],tblGJ[[#This Row],[Account Code]]),"")</f>
        <v/>
      </c>
      <c r="M951" s="1" t="str">
        <f>IF(tblGJ[[#This Row],[Date]]&lt;=PEnd,"Yes","No")</f>
        <v>No</v>
      </c>
    </row>
    <row r="952" spans="2:13" x14ac:dyDescent="0.35">
      <c r="B952" s="109">
        <v>46387</v>
      </c>
      <c r="C952" s="1" t="s">
        <v>5945</v>
      </c>
      <c r="D952" s="1">
        <v>1694</v>
      </c>
      <c r="E952" s="1" t="str">
        <f>_xlfn.XLOOKUP(tblGJ[[#This Row],[Account Code]],tblCOA[Code],tblCOA[Account Name],"⚠ Invalid account")</f>
        <v>Acc. Depreciation - Machinery &amp; Equipment</v>
      </c>
      <c r="F952" s="1" t="s">
        <v>6512</v>
      </c>
      <c r="G952" s="5"/>
      <c r="H952" s="5">
        <f>SUMIFS(INDEX(tblFA[[Jan]:[Dec]],0,MONTH(tblGJ[[#This Row],[Date]])),tblFA[Acc. Dep. Account],tblGJ[[#This Row],[Account Code]])</f>
        <v>10208333</v>
      </c>
      <c r="I952" s="1" t="s">
        <v>6534</v>
      </c>
      <c r="J952" s="1">
        <f>MONTH(tblGJ[[#This Row],[Date]])</f>
        <v>12</v>
      </c>
      <c r="K952" s="1" t="str">
        <f>_xlfn.XLOOKUP(tblGJ[[#This Row],[Account Code]],tblCOA[Code],tblCOA[FS Line],"")</f>
        <v>Fixed assets - net</v>
      </c>
      <c r="L952" s="121" t="str">
        <f>IF(OR(tblGJ[[#This Row],[Account Code]]=1120,tblGJ[[#This Row],[Account Code]]=1130),_xlfn.MINIFS(tblBank[Value Date],tblBank[Reference],tblGJ[[#This Row],[Voucher No]],tblBank[Account Code],tblGJ[[#This Row],[Account Code]]),"")</f>
        <v/>
      </c>
      <c r="M952" s="1" t="str">
        <f>IF(tblGJ[[#This Row],[Date]]&lt;=PEnd,"Yes","No")</f>
        <v>No</v>
      </c>
    </row>
    <row r="953" spans="2:13" x14ac:dyDescent="0.35">
      <c r="B953" s="109">
        <v>46387</v>
      </c>
      <c r="C953" s="1" t="s">
        <v>5945</v>
      </c>
      <c r="D953" s="1">
        <v>1695</v>
      </c>
      <c r="E953" s="1" t="str">
        <f>_xlfn.XLOOKUP(tblGJ[[#This Row],[Account Code]],tblCOA[Code],tblCOA[Account Name],"⚠ Invalid account")</f>
        <v>Acc. Depreciation - Office Furniture &amp; Equipment</v>
      </c>
      <c r="F953" s="1" t="s">
        <v>6512</v>
      </c>
      <c r="G953" s="5"/>
      <c r="H953" s="5">
        <f>SUMIFS(INDEX(tblFA[[Jan]:[Dec]],0,MONTH(tblGJ[[#This Row],[Date]])),tblFA[Acc. Dep. Account],tblGJ[[#This Row],[Account Code]])</f>
        <v>3125000</v>
      </c>
      <c r="I953" s="1" t="s">
        <v>6534</v>
      </c>
      <c r="J953" s="1">
        <f>MONTH(tblGJ[[#This Row],[Date]])</f>
        <v>12</v>
      </c>
      <c r="K953" s="1" t="str">
        <f>_xlfn.XLOOKUP(tblGJ[[#This Row],[Account Code]],tblCOA[Code],tblCOA[FS Line],"")</f>
        <v>Fixed assets - net</v>
      </c>
      <c r="L953" s="121" t="str">
        <f>IF(OR(tblGJ[[#This Row],[Account Code]]=1120,tblGJ[[#This Row],[Account Code]]=1130),_xlfn.MINIFS(tblBank[Value Date],tblBank[Reference],tblGJ[[#This Row],[Voucher No]],tblBank[Account Code],tblGJ[[#This Row],[Account Code]]),"")</f>
        <v/>
      </c>
      <c r="M953" s="1" t="str">
        <f>IF(tblGJ[[#This Row],[Date]]&lt;=PEnd,"Yes","No")</f>
        <v>No</v>
      </c>
    </row>
    <row r="954" spans="2:13" x14ac:dyDescent="0.35">
      <c r="B954" s="109">
        <v>46387</v>
      </c>
      <c r="C954" s="1" t="s">
        <v>5945</v>
      </c>
      <c r="D954" s="1">
        <v>1719</v>
      </c>
      <c r="E954" s="1" t="str">
        <f>_xlfn.XLOOKUP(tblGJ[[#This Row],[Account Code]],tblCOA[Code],tblCOA[Account Name],"⚠ Invalid account")</f>
        <v>Acc. Amortization - Software</v>
      </c>
      <c r="F954" s="1" t="s">
        <v>6512</v>
      </c>
      <c r="G954" s="5"/>
      <c r="H954" s="5">
        <f>SUMIFS(INDEX(tblFA[[Jan]:[Dec]],0,MONTH(tblGJ[[#This Row],[Date]])),tblFA[Acc. Dep. Account],tblGJ[[#This Row],[Account Code]])</f>
        <v>5000000</v>
      </c>
      <c r="I954" s="1" t="s">
        <v>6534</v>
      </c>
      <c r="J954" s="1">
        <f>MONTH(tblGJ[[#This Row],[Date]])</f>
        <v>12</v>
      </c>
      <c r="K954" s="1" t="str">
        <f>_xlfn.XLOOKUP(tblGJ[[#This Row],[Account Code]],tblCOA[Code],tblCOA[FS Line],"")</f>
        <v>Intangible assets - net</v>
      </c>
      <c r="L954" s="121" t="str">
        <f>IF(OR(tblGJ[[#This Row],[Account Code]]=1120,tblGJ[[#This Row],[Account Code]]=1130),_xlfn.MINIFS(tblBank[Value Date],tblBank[Reference],tblGJ[[#This Row],[Voucher No]],tblBank[Account Code],tblGJ[[#This Row],[Account Code]]),"")</f>
        <v/>
      </c>
      <c r="M954" s="1" t="str">
        <f>IF(tblGJ[[#This Row],[Date]]&lt;=PEnd,"Yes","No")</f>
        <v>No</v>
      </c>
    </row>
    <row r="955" spans="2:13" x14ac:dyDescent="0.35">
      <c r="B955" s="109">
        <v>46387</v>
      </c>
      <c r="C955" s="1" t="s">
        <v>5946</v>
      </c>
      <c r="D955" s="1">
        <v>6220</v>
      </c>
      <c r="E955" s="1" t="str">
        <f>_xlfn.XLOOKUP(tblGJ[[#This Row],[Account Code]],tblCOA[Code],tblCOA[Account Name],"⚠ Invalid account")</f>
        <v>Rent Expense</v>
      </c>
      <c r="F955" s="1" t="s">
        <v>6513</v>
      </c>
      <c r="G955" s="5">
        <f>SUMIFS(INDEX(tblPrepaid[[Jan]:[Dec]],0,MONTH(tblGJ[[#This Row],[Date]])),tblPrepaid[Expense Account],tblGJ[[#This Row],[Account Code]])</f>
        <v>11000000</v>
      </c>
      <c r="H955" s="5"/>
      <c r="I955" s="1" t="s">
        <v>6535</v>
      </c>
      <c r="J955" s="1">
        <f>MONTH(tblGJ[[#This Row],[Date]])</f>
        <v>12</v>
      </c>
      <c r="K955" s="1" t="str">
        <f>_xlfn.XLOOKUP(tblGJ[[#This Row],[Account Code]],tblCOA[Code],tblCOA[FS Line],"")</f>
        <v>General &amp; administrative expenses</v>
      </c>
      <c r="L955" s="121" t="str">
        <f>IF(OR(tblGJ[[#This Row],[Account Code]]=1120,tblGJ[[#This Row],[Account Code]]=1130),_xlfn.MINIFS(tblBank[Value Date],tblBank[Reference],tblGJ[[#This Row],[Voucher No]],tblBank[Account Code],tblGJ[[#This Row],[Account Code]]),"")</f>
        <v/>
      </c>
      <c r="M955" s="1" t="str">
        <f>IF(tblGJ[[#This Row],[Date]]&lt;=PEnd,"Yes","No")</f>
        <v>No</v>
      </c>
    </row>
    <row r="956" spans="2:13" x14ac:dyDescent="0.35">
      <c r="B956" s="109">
        <v>46387</v>
      </c>
      <c r="C956" s="1" t="s">
        <v>5946</v>
      </c>
      <c r="D956" s="1">
        <v>6260</v>
      </c>
      <c r="E956" s="1" t="str">
        <f>_xlfn.XLOOKUP(tblGJ[[#This Row],[Account Code]],tblCOA[Code],tblCOA[Account Name],"⚠ Invalid account")</f>
        <v>Insurance Expense</v>
      </c>
      <c r="F956" s="1" t="s">
        <v>6513</v>
      </c>
      <c r="G956" s="5">
        <f>SUMIFS(INDEX(tblPrepaid[[Jan]:[Dec]],0,MONTH(tblGJ[[#This Row],[Date]])),tblPrepaid[Expense Account],tblGJ[[#This Row],[Account Code]])</f>
        <v>3000000</v>
      </c>
      <c r="H956" s="5"/>
      <c r="I956" s="1" t="s">
        <v>6535</v>
      </c>
      <c r="J956" s="1">
        <f>MONTH(tblGJ[[#This Row],[Date]])</f>
        <v>12</v>
      </c>
      <c r="K956" s="1" t="str">
        <f>_xlfn.XLOOKUP(tblGJ[[#This Row],[Account Code]],tblCOA[Code],tblCOA[FS Line],"")</f>
        <v>General &amp; administrative expenses</v>
      </c>
      <c r="L956" s="121" t="str">
        <f>IF(OR(tblGJ[[#This Row],[Account Code]]=1120,tblGJ[[#This Row],[Account Code]]=1130),_xlfn.MINIFS(tblBank[Value Date],tblBank[Reference],tblGJ[[#This Row],[Voucher No]],tblBank[Account Code],tblGJ[[#This Row],[Account Code]]),"")</f>
        <v/>
      </c>
      <c r="M956" s="1" t="str">
        <f>IF(tblGJ[[#This Row],[Date]]&lt;=PEnd,"Yes","No")</f>
        <v>No</v>
      </c>
    </row>
    <row r="957" spans="2:13" x14ac:dyDescent="0.35">
      <c r="B957" s="109">
        <v>46387</v>
      </c>
      <c r="C957" s="1" t="s">
        <v>5946</v>
      </c>
      <c r="D957" s="1">
        <v>6265</v>
      </c>
      <c r="E957" s="1" t="str">
        <f>_xlfn.XLOOKUP(tblGJ[[#This Row],[Account Code]],tblCOA[Code],tblCOA[Account Name],"⚠ Invalid account")</f>
        <v>Software Subscription Expense</v>
      </c>
      <c r="F957" s="1" t="s">
        <v>6513</v>
      </c>
      <c r="G957" s="5">
        <f>SUMIFS(INDEX(tblPrepaid[[Jan]:[Dec]],0,MONTH(tblGJ[[#This Row],[Date]])),tblPrepaid[Expense Account],tblGJ[[#This Row],[Account Code]])</f>
        <v>6000000</v>
      </c>
      <c r="H957" s="5"/>
      <c r="I957" s="1" t="s">
        <v>6535</v>
      </c>
      <c r="J957" s="1">
        <f>MONTH(tblGJ[[#This Row],[Date]])</f>
        <v>12</v>
      </c>
      <c r="K957" s="1" t="str">
        <f>_xlfn.XLOOKUP(tblGJ[[#This Row],[Account Code]],tblCOA[Code],tblCOA[FS Line],"")</f>
        <v>General &amp; administrative expenses</v>
      </c>
      <c r="L957" s="121" t="str">
        <f>IF(OR(tblGJ[[#This Row],[Account Code]]=1120,tblGJ[[#This Row],[Account Code]]=1130),_xlfn.MINIFS(tblBank[Value Date],tblBank[Reference],tblGJ[[#This Row],[Voucher No]],tblBank[Account Code],tblGJ[[#This Row],[Account Code]]),"")</f>
        <v/>
      </c>
      <c r="M957" s="1" t="str">
        <f>IF(tblGJ[[#This Row],[Date]]&lt;=PEnd,"Yes","No")</f>
        <v>No</v>
      </c>
    </row>
    <row r="958" spans="2:13" x14ac:dyDescent="0.35">
      <c r="B958" s="109">
        <v>46387</v>
      </c>
      <c r="C958" s="1" t="s">
        <v>5946</v>
      </c>
      <c r="D958" s="1">
        <v>1410</v>
      </c>
      <c r="E958" s="1" t="str">
        <f>_xlfn.XLOOKUP(tblGJ[[#This Row],[Account Code]],tblCOA[Code],tblCOA[Account Name],"⚠ Invalid account")</f>
        <v>Prepaid Rent</v>
      </c>
      <c r="F958" s="1" t="s">
        <v>6513</v>
      </c>
      <c r="G958" s="5"/>
      <c r="H958" s="5">
        <f>SUMIFS(INDEX(tblPrepaid[[Jan]:[Dec]],0,MONTH(tblGJ[[#This Row],[Date]])),tblPrepaid[Prepaid Account],tblGJ[[#This Row],[Account Code]])</f>
        <v>11000000</v>
      </c>
      <c r="I958" s="1" t="s">
        <v>6535</v>
      </c>
      <c r="J958" s="1">
        <f>MONTH(tblGJ[[#This Row],[Date]])</f>
        <v>12</v>
      </c>
      <c r="K958" s="1" t="str">
        <f>_xlfn.XLOOKUP(tblGJ[[#This Row],[Account Code]],tblCOA[Code],tblCOA[FS Line],"")</f>
        <v>Prepaid expenses</v>
      </c>
      <c r="L958" s="121" t="str">
        <f>IF(OR(tblGJ[[#This Row],[Account Code]]=1120,tblGJ[[#This Row],[Account Code]]=1130),_xlfn.MINIFS(tblBank[Value Date],tblBank[Reference],tblGJ[[#This Row],[Voucher No]],tblBank[Account Code],tblGJ[[#This Row],[Account Code]]),"")</f>
        <v/>
      </c>
      <c r="M958" s="1" t="str">
        <f>IF(tblGJ[[#This Row],[Date]]&lt;=PEnd,"Yes","No")</f>
        <v>No</v>
      </c>
    </row>
    <row r="959" spans="2:13" x14ac:dyDescent="0.35">
      <c r="B959" s="109">
        <v>46387</v>
      </c>
      <c r="C959" s="1" t="s">
        <v>5946</v>
      </c>
      <c r="D959" s="1">
        <v>1420</v>
      </c>
      <c r="E959" s="1" t="str">
        <f>_xlfn.XLOOKUP(tblGJ[[#This Row],[Account Code]],tblCOA[Code],tblCOA[Account Name],"⚠ Invalid account")</f>
        <v>Prepaid Insurance</v>
      </c>
      <c r="F959" s="1" t="s">
        <v>6513</v>
      </c>
      <c r="G959" s="5"/>
      <c r="H959" s="5">
        <f>SUMIFS(INDEX(tblPrepaid[[Jan]:[Dec]],0,MONTH(tblGJ[[#This Row],[Date]])),tblPrepaid[Prepaid Account],tblGJ[[#This Row],[Account Code]])</f>
        <v>3000000</v>
      </c>
      <c r="I959" s="1" t="s">
        <v>6535</v>
      </c>
      <c r="J959" s="1">
        <f>MONTH(tblGJ[[#This Row],[Date]])</f>
        <v>12</v>
      </c>
      <c r="K959" s="1" t="str">
        <f>_xlfn.XLOOKUP(tblGJ[[#This Row],[Account Code]],tblCOA[Code],tblCOA[FS Line],"")</f>
        <v>Prepaid expenses</v>
      </c>
      <c r="L959" s="121" t="str">
        <f>IF(OR(tblGJ[[#This Row],[Account Code]]=1120,tblGJ[[#This Row],[Account Code]]=1130),_xlfn.MINIFS(tblBank[Value Date],tblBank[Reference],tblGJ[[#This Row],[Voucher No]],tblBank[Account Code],tblGJ[[#This Row],[Account Code]]),"")</f>
        <v/>
      </c>
      <c r="M959" s="1" t="str">
        <f>IF(tblGJ[[#This Row],[Date]]&lt;=PEnd,"Yes","No")</f>
        <v>No</v>
      </c>
    </row>
    <row r="960" spans="2:13" x14ac:dyDescent="0.35">
      <c r="B960" s="109">
        <v>46387</v>
      </c>
      <c r="C960" s="1" t="s">
        <v>5946</v>
      </c>
      <c r="D960" s="1">
        <v>1430</v>
      </c>
      <c r="E960" s="1" t="str">
        <f>_xlfn.XLOOKUP(tblGJ[[#This Row],[Account Code]],tblCOA[Code],tblCOA[Account Name],"⚠ Invalid account")</f>
        <v>Prepaid Software Subscriptions</v>
      </c>
      <c r="F960" s="1" t="s">
        <v>6513</v>
      </c>
      <c r="G960" s="5"/>
      <c r="H960" s="5">
        <f>SUMIFS(INDEX(tblPrepaid[[Jan]:[Dec]],0,MONTH(tblGJ[[#This Row],[Date]])),tblPrepaid[Prepaid Account],tblGJ[[#This Row],[Account Code]])</f>
        <v>6000000</v>
      </c>
      <c r="I960" s="1" t="s">
        <v>6535</v>
      </c>
      <c r="J960" s="1">
        <f>MONTH(tblGJ[[#This Row],[Date]])</f>
        <v>12</v>
      </c>
      <c r="K960" s="1" t="str">
        <f>_xlfn.XLOOKUP(tblGJ[[#This Row],[Account Code]],tblCOA[Code],tblCOA[FS Line],"")</f>
        <v>Prepaid expenses</v>
      </c>
      <c r="L960" s="121" t="str">
        <f>IF(OR(tblGJ[[#This Row],[Account Code]]=1120,tblGJ[[#This Row],[Account Code]]=1130),_xlfn.MINIFS(tblBank[Value Date],tblBank[Reference],tblGJ[[#This Row],[Voucher No]],tblBank[Account Code],tblGJ[[#This Row],[Account Code]]),"")</f>
        <v/>
      </c>
      <c r="M960" s="1" t="str">
        <f>IF(tblGJ[[#This Row],[Date]]&lt;=PEnd,"Yes","No")</f>
        <v>No</v>
      </c>
    </row>
    <row r="961" spans="2:13" x14ac:dyDescent="0.35">
      <c r="B961" s="109">
        <v>46387</v>
      </c>
      <c r="C961" s="1" t="s">
        <v>5947</v>
      </c>
      <c r="D961" s="1">
        <v>6290</v>
      </c>
      <c r="E961" s="1" t="str">
        <f>_xlfn.XLOOKUP(tblGJ[[#This Row],[Account Code]],tblCOA[Code],tblCOA[Account Name],"⚠ Invalid account")</f>
        <v>Employee Benefits Expense</v>
      </c>
      <c r="F961" s="1" t="s">
        <v>6514</v>
      </c>
      <c r="G961" s="5">
        <v>3000000</v>
      </c>
      <c r="H961" s="5"/>
      <c r="I961" s="1" t="s">
        <v>4263</v>
      </c>
      <c r="J961" s="1">
        <f>MONTH(tblGJ[[#This Row],[Date]])</f>
        <v>12</v>
      </c>
      <c r="K961" s="1" t="str">
        <f>_xlfn.XLOOKUP(tblGJ[[#This Row],[Account Code]],tblCOA[Code],tblCOA[FS Line],"")</f>
        <v>General &amp; administrative expenses</v>
      </c>
      <c r="L961" s="121" t="str">
        <f>IF(OR(tblGJ[[#This Row],[Account Code]]=1120,tblGJ[[#This Row],[Account Code]]=1130),_xlfn.MINIFS(tblBank[Value Date],tblBank[Reference],tblGJ[[#This Row],[Voucher No]],tblBank[Account Code],tblGJ[[#This Row],[Account Code]]),"")</f>
        <v/>
      </c>
      <c r="M961" s="1" t="str">
        <f>IF(tblGJ[[#This Row],[Date]]&lt;=PEnd,"Yes","No")</f>
        <v>No</v>
      </c>
    </row>
    <row r="962" spans="2:13" x14ac:dyDescent="0.35">
      <c r="B962" s="109">
        <v>46387</v>
      </c>
      <c r="C962" s="1" t="s">
        <v>5947</v>
      </c>
      <c r="D962" s="1">
        <v>2420</v>
      </c>
      <c r="E962" s="1" t="str">
        <f>_xlfn.XLOOKUP(tblGJ[[#This Row],[Account Code]],tblCOA[Code],tblCOA[Account Name],"⚠ Invalid account")</f>
        <v>Employee Benefits Liability</v>
      </c>
      <c r="F962" s="1" t="s">
        <v>6515</v>
      </c>
      <c r="G962" s="5"/>
      <c r="H962" s="5">
        <v>3000000</v>
      </c>
      <c r="I962" s="1" t="s">
        <v>4263</v>
      </c>
      <c r="J962" s="1">
        <f>MONTH(tblGJ[[#This Row],[Date]])</f>
        <v>12</v>
      </c>
      <c r="K962" s="1" t="str">
        <f>_xlfn.XLOOKUP(tblGJ[[#This Row],[Account Code]],tblCOA[Code],tblCOA[FS Line],"")</f>
        <v>Employee benefits liability</v>
      </c>
      <c r="L962" s="121" t="str">
        <f>IF(OR(tblGJ[[#This Row],[Account Code]]=1120,tblGJ[[#This Row],[Account Code]]=1130),_xlfn.MINIFS(tblBank[Value Date],tblBank[Reference],tblGJ[[#This Row],[Voucher No]],tblBank[Account Code],tblGJ[[#This Row],[Account Code]]),"")</f>
        <v/>
      </c>
      <c r="M962" s="1" t="str">
        <f>IF(tblGJ[[#This Row],[Date]]&lt;=PEnd,"Yes","No")</f>
        <v>No</v>
      </c>
    </row>
    <row r="963" spans="2:13" x14ac:dyDescent="0.35">
      <c r="B963" s="109">
        <v>46387</v>
      </c>
      <c r="C963" s="1" t="s">
        <v>5948</v>
      </c>
      <c r="D963" s="1">
        <v>1120</v>
      </c>
      <c r="E963" s="1" t="str">
        <f>_xlfn.XLOOKUP(tblGJ[[#This Row],[Account Code]],tblCOA[Code],tblCOA[Account Name],"⚠ Invalid account")</f>
        <v>Bank BCA - Current Account</v>
      </c>
      <c r="F963" s="1" t="s">
        <v>6516</v>
      </c>
      <c r="G963" s="5">
        <v>1333333</v>
      </c>
      <c r="H963" s="5"/>
      <c r="I963" s="1" t="s">
        <v>4263</v>
      </c>
      <c r="J963" s="1">
        <f>MONTH(tblGJ[[#This Row],[Date]])</f>
        <v>12</v>
      </c>
      <c r="K963" s="1" t="str">
        <f>_xlfn.XLOOKUP(tblGJ[[#This Row],[Account Code]],tblCOA[Code],tblCOA[FS Line],"")</f>
        <v>Cash and cash equivalents</v>
      </c>
      <c r="L963" s="121">
        <f>IF(OR(tblGJ[[#This Row],[Account Code]]=1120,tblGJ[[#This Row],[Account Code]]=1130),_xlfn.MINIFS(tblBank[Value Date],tblBank[Reference],tblGJ[[#This Row],[Voucher No]],tblBank[Account Code],tblGJ[[#This Row],[Account Code]]),"")</f>
        <v>46387</v>
      </c>
      <c r="M963" s="1" t="str">
        <f>IF(tblGJ[[#This Row],[Date]]&lt;=PEnd,"Yes","No")</f>
        <v>No</v>
      </c>
    </row>
    <row r="964" spans="2:13" x14ac:dyDescent="0.35">
      <c r="B964" s="109">
        <v>46387</v>
      </c>
      <c r="C964" s="1" t="s">
        <v>5948</v>
      </c>
      <c r="D964" s="1">
        <v>8200</v>
      </c>
      <c r="E964" s="1" t="str">
        <f>_xlfn.XLOOKUP(tblGJ[[#This Row],[Account Code]],tblCOA[Code],tblCOA[Account Name],"⚠ Invalid account")</f>
        <v>Final Income Tax Expense</v>
      </c>
      <c r="F964" s="1" t="s">
        <v>6517</v>
      </c>
      <c r="G964" s="5">
        <v>333334</v>
      </c>
      <c r="H964" s="5"/>
      <c r="I964" s="1" t="s">
        <v>4263</v>
      </c>
      <c r="J964" s="1">
        <f>MONTH(tblGJ[[#This Row],[Date]])</f>
        <v>12</v>
      </c>
      <c r="K964" s="1" t="str">
        <f>_xlfn.XLOOKUP(tblGJ[[#This Row],[Account Code]],tblCOA[Code],tblCOA[FS Line],"")</f>
        <v>Other expenses</v>
      </c>
      <c r="L964" s="121" t="str">
        <f>IF(OR(tblGJ[[#This Row],[Account Code]]=1120,tblGJ[[#This Row],[Account Code]]=1130),_xlfn.MINIFS(tblBank[Value Date],tblBank[Reference],tblGJ[[#This Row],[Voucher No]],tblBank[Account Code],tblGJ[[#This Row],[Account Code]]),"")</f>
        <v/>
      </c>
      <c r="M964" s="1" t="str">
        <f>IF(tblGJ[[#This Row],[Date]]&lt;=PEnd,"Yes","No")</f>
        <v>No</v>
      </c>
    </row>
    <row r="965" spans="2:13" x14ac:dyDescent="0.35">
      <c r="B965" s="109">
        <v>46387</v>
      </c>
      <c r="C965" s="1" t="s">
        <v>5948</v>
      </c>
      <c r="D965" s="1">
        <v>7110</v>
      </c>
      <c r="E965" s="1" t="str">
        <f>_xlfn.XLOOKUP(tblGJ[[#This Row],[Account Code]],tblCOA[Code],tblCOA[Account Name],"⚠ Invalid account")</f>
        <v>Interest Income - Time Deposit</v>
      </c>
      <c r="F965" s="1" t="s">
        <v>6518</v>
      </c>
      <c r="G965" s="5"/>
      <c r="H965" s="5">
        <v>1666667</v>
      </c>
      <c r="I965" s="1" t="s">
        <v>4263</v>
      </c>
      <c r="J965" s="1">
        <f>MONTH(tblGJ[[#This Row],[Date]])</f>
        <v>12</v>
      </c>
      <c r="K965" s="1" t="str">
        <f>_xlfn.XLOOKUP(tblGJ[[#This Row],[Account Code]],tblCOA[Code],tblCOA[FS Line],"")</f>
        <v>Other income</v>
      </c>
      <c r="L965" s="121" t="str">
        <f>IF(OR(tblGJ[[#This Row],[Account Code]]=1120,tblGJ[[#This Row],[Account Code]]=1130),_xlfn.MINIFS(tblBank[Value Date],tblBank[Reference],tblGJ[[#This Row],[Voucher No]],tblBank[Account Code],tblGJ[[#This Row],[Account Code]]),"")</f>
        <v/>
      </c>
      <c r="M965" s="1" t="str">
        <f>IF(tblGJ[[#This Row],[Date]]&lt;=PEnd,"Yes","No")</f>
        <v>No</v>
      </c>
    </row>
    <row r="966" spans="2:13" x14ac:dyDescent="0.35">
      <c r="B966" s="109">
        <v>46387</v>
      </c>
      <c r="C966" s="1" t="s">
        <v>5949</v>
      </c>
      <c r="D966" s="1">
        <v>1120</v>
      </c>
      <c r="E966" s="1" t="str">
        <f>_xlfn.XLOOKUP(tblGJ[[#This Row],[Account Code]],tblCOA[Code],tblCOA[Account Name],"⚠ Invalid account")</f>
        <v>Bank BCA - Current Account</v>
      </c>
      <c r="F966" s="1" t="s">
        <v>6519</v>
      </c>
      <c r="G966" s="5">
        <v>400976</v>
      </c>
      <c r="H966" s="5"/>
      <c r="I966" s="1" t="s">
        <v>4263</v>
      </c>
      <c r="J966" s="1">
        <f>MONTH(tblGJ[[#This Row],[Date]])</f>
        <v>12</v>
      </c>
      <c r="K966" s="1" t="str">
        <f>_xlfn.XLOOKUP(tblGJ[[#This Row],[Account Code]],tblCOA[Code],tblCOA[FS Line],"")</f>
        <v>Cash and cash equivalents</v>
      </c>
      <c r="L966" s="121">
        <f>IF(OR(tblGJ[[#This Row],[Account Code]]=1120,tblGJ[[#This Row],[Account Code]]=1130),_xlfn.MINIFS(tblBank[Value Date],tblBank[Reference],tblGJ[[#This Row],[Voucher No]],tblBank[Account Code],tblGJ[[#This Row],[Account Code]]),"")</f>
        <v>46387</v>
      </c>
      <c r="M966" s="1" t="str">
        <f>IF(tblGJ[[#This Row],[Date]]&lt;=PEnd,"Yes","No")</f>
        <v>No</v>
      </c>
    </row>
    <row r="967" spans="2:13" x14ac:dyDescent="0.35">
      <c r="B967" s="109">
        <v>46387</v>
      </c>
      <c r="C967" s="1" t="s">
        <v>5949</v>
      </c>
      <c r="D967" s="1">
        <v>7120</v>
      </c>
      <c r="E967" s="1" t="str">
        <f>_xlfn.XLOOKUP(tblGJ[[#This Row],[Account Code]],tblCOA[Code],tblCOA[Account Name],"⚠ Invalid account")</f>
        <v>Interest Income - Current Account</v>
      </c>
      <c r="F967" s="1" t="s">
        <v>6519</v>
      </c>
      <c r="G967" s="5"/>
      <c r="H967" s="5">
        <v>400976</v>
      </c>
      <c r="I967" s="1" t="s">
        <v>4263</v>
      </c>
      <c r="J967" s="1">
        <f>MONTH(tblGJ[[#This Row],[Date]])</f>
        <v>12</v>
      </c>
      <c r="K967" s="1" t="str">
        <f>_xlfn.XLOOKUP(tblGJ[[#This Row],[Account Code]],tblCOA[Code],tblCOA[FS Line],"")</f>
        <v>Other income</v>
      </c>
      <c r="L967" s="121" t="str">
        <f>IF(OR(tblGJ[[#This Row],[Account Code]]=1120,tblGJ[[#This Row],[Account Code]]=1130),_xlfn.MINIFS(tblBank[Value Date],tblBank[Reference],tblGJ[[#This Row],[Voucher No]],tblBank[Account Code],tblGJ[[#This Row],[Account Code]]),"")</f>
        <v/>
      </c>
      <c r="M967" s="1" t="str">
        <f>IF(tblGJ[[#This Row],[Date]]&lt;=PEnd,"Yes","No")</f>
        <v>No</v>
      </c>
    </row>
    <row r="968" spans="2:13" x14ac:dyDescent="0.35">
      <c r="B968" s="109">
        <v>46387</v>
      </c>
      <c r="C968" s="1" t="s">
        <v>5950</v>
      </c>
      <c r="D968" s="1">
        <v>8200</v>
      </c>
      <c r="E968" s="1" t="str">
        <f>_xlfn.XLOOKUP(tblGJ[[#This Row],[Account Code]],tblCOA[Code],tblCOA[Account Name],"⚠ Invalid account")</f>
        <v>Final Income Tax Expense</v>
      </c>
      <c r="F968" s="1" t="s">
        <v>6520</v>
      </c>
      <c r="G968" s="5">
        <v>80195</v>
      </c>
      <c r="H968" s="5"/>
      <c r="I968" s="1" t="s">
        <v>4263</v>
      </c>
      <c r="J968" s="1">
        <f>MONTH(tblGJ[[#This Row],[Date]])</f>
        <v>12</v>
      </c>
      <c r="K968" s="1" t="str">
        <f>_xlfn.XLOOKUP(tblGJ[[#This Row],[Account Code]],tblCOA[Code],tblCOA[FS Line],"")</f>
        <v>Other expenses</v>
      </c>
      <c r="L968" s="121" t="str">
        <f>IF(OR(tblGJ[[#This Row],[Account Code]]=1120,tblGJ[[#This Row],[Account Code]]=1130),_xlfn.MINIFS(tblBank[Value Date],tblBank[Reference],tblGJ[[#This Row],[Voucher No]],tblBank[Account Code],tblGJ[[#This Row],[Account Code]]),"")</f>
        <v/>
      </c>
      <c r="M968" s="1" t="str">
        <f>IF(tblGJ[[#This Row],[Date]]&lt;=PEnd,"Yes","No")</f>
        <v>No</v>
      </c>
    </row>
    <row r="969" spans="2:13" x14ac:dyDescent="0.35">
      <c r="B969" s="109">
        <v>46387</v>
      </c>
      <c r="C969" s="1" t="s">
        <v>5950</v>
      </c>
      <c r="D969" s="1">
        <v>1120</v>
      </c>
      <c r="E969" s="1" t="str">
        <f>_xlfn.XLOOKUP(tblGJ[[#This Row],[Account Code]],tblCOA[Code],tblCOA[Account Name],"⚠ Invalid account")</f>
        <v>Bank BCA - Current Account</v>
      </c>
      <c r="F969" s="1" t="s">
        <v>6520</v>
      </c>
      <c r="G969" s="5"/>
      <c r="H969" s="5">
        <v>80195</v>
      </c>
      <c r="I969" s="1" t="s">
        <v>4263</v>
      </c>
      <c r="J969" s="1">
        <f>MONTH(tblGJ[[#This Row],[Date]])</f>
        <v>12</v>
      </c>
      <c r="K969" s="1" t="str">
        <f>_xlfn.XLOOKUP(tblGJ[[#This Row],[Account Code]],tblCOA[Code],tblCOA[FS Line],"")</f>
        <v>Cash and cash equivalents</v>
      </c>
      <c r="L969" s="121">
        <f>IF(OR(tblGJ[[#This Row],[Account Code]]=1120,tblGJ[[#This Row],[Account Code]]=1130),_xlfn.MINIFS(tblBank[Value Date],tblBank[Reference],tblGJ[[#This Row],[Voucher No]],tblBank[Account Code],tblGJ[[#This Row],[Account Code]]),"")</f>
        <v>46387</v>
      </c>
      <c r="M969" s="1" t="str">
        <f>IF(tblGJ[[#This Row],[Date]]&lt;=PEnd,"Yes","No")</f>
        <v>No</v>
      </c>
    </row>
    <row r="970" spans="2:13" x14ac:dyDescent="0.35">
      <c r="B970" s="109">
        <v>46387</v>
      </c>
      <c r="C970" s="1" t="s">
        <v>5951</v>
      </c>
      <c r="D970" s="1">
        <v>7220</v>
      </c>
      <c r="E970" s="1" t="str">
        <f>_xlfn.XLOOKUP(tblGJ[[#This Row],[Account Code]],tblCOA[Code],tblCOA[Account Name],"⚠ Invalid account")</f>
        <v>Bank Charges</v>
      </c>
      <c r="F970" s="1" t="s">
        <v>6521</v>
      </c>
      <c r="G970" s="5">
        <v>150000</v>
      </c>
      <c r="H970" s="5"/>
      <c r="I970" s="1" t="s">
        <v>4263</v>
      </c>
      <c r="J970" s="1">
        <f>MONTH(tblGJ[[#This Row],[Date]])</f>
        <v>12</v>
      </c>
      <c r="K970" s="1" t="str">
        <f>_xlfn.XLOOKUP(tblGJ[[#This Row],[Account Code]],tblCOA[Code],tblCOA[FS Line],"")</f>
        <v>Other expenses</v>
      </c>
      <c r="L970" s="121" t="str">
        <f>IF(OR(tblGJ[[#This Row],[Account Code]]=1120,tblGJ[[#This Row],[Account Code]]=1130),_xlfn.MINIFS(tblBank[Value Date],tblBank[Reference],tblGJ[[#This Row],[Voucher No]],tblBank[Account Code],tblGJ[[#This Row],[Account Code]]),"")</f>
        <v/>
      </c>
      <c r="M970" s="1" t="str">
        <f>IF(tblGJ[[#This Row],[Date]]&lt;=PEnd,"Yes","No")</f>
        <v>No</v>
      </c>
    </row>
    <row r="971" spans="2:13" x14ac:dyDescent="0.35">
      <c r="B971" s="109">
        <v>46387</v>
      </c>
      <c r="C971" s="1" t="s">
        <v>5951</v>
      </c>
      <c r="D971" s="1">
        <v>1120</v>
      </c>
      <c r="E971" s="1" t="str">
        <f>_xlfn.XLOOKUP(tblGJ[[#This Row],[Account Code]],tblCOA[Code],tblCOA[Account Name],"⚠ Invalid account")</f>
        <v>Bank BCA - Current Account</v>
      </c>
      <c r="F971" s="1" t="s">
        <v>6521</v>
      </c>
      <c r="G971" s="5"/>
      <c r="H971" s="5">
        <v>150000</v>
      </c>
      <c r="I971" s="1" t="s">
        <v>4263</v>
      </c>
      <c r="J971" s="1">
        <f>MONTH(tblGJ[[#This Row],[Date]])</f>
        <v>12</v>
      </c>
      <c r="K971" s="1" t="str">
        <f>_xlfn.XLOOKUP(tblGJ[[#This Row],[Account Code]],tblCOA[Code],tblCOA[FS Line],"")</f>
        <v>Cash and cash equivalents</v>
      </c>
      <c r="L971" s="121">
        <f>IF(OR(tblGJ[[#This Row],[Account Code]]=1120,tblGJ[[#This Row],[Account Code]]=1130),_xlfn.MINIFS(tblBank[Value Date],tblBank[Reference],tblGJ[[#This Row],[Voucher No]],tblBank[Account Code],tblGJ[[#This Row],[Account Code]]),"")</f>
        <v>46387</v>
      </c>
      <c r="M971" s="1" t="str">
        <f>IF(tblGJ[[#This Row],[Date]]&lt;=PEnd,"Yes","No")</f>
        <v>No</v>
      </c>
    </row>
    <row r="972" spans="2:13" x14ac:dyDescent="0.35">
      <c r="B972" s="109">
        <v>46387</v>
      </c>
      <c r="C972" s="1" t="s">
        <v>5952</v>
      </c>
      <c r="D972" s="1">
        <v>1130</v>
      </c>
      <c r="E972" s="1" t="str">
        <f>_xlfn.XLOOKUP(tblGJ[[#This Row],[Account Code]],tblCOA[Code],tblCOA[Account Name],"⚠ Invalid account")</f>
        <v>Bank Mandiri - Current Account</v>
      </c>
      <c r="F972" s="1" t="s">
        <v>6522</v>
      </c>
      <c r="G972" s="5">
        <v>62362</v>
      </c>
      <c r="H972" s="5"/>
      <c r="I972" s="1" t="s">
        <v>4263</v>
      </c>
      <c r="J972" s="1">
        <f>MONTH(tblGJ[[#This Row],[Date]])</f>
        <v>12</v>
      </c>
      <c r="K972" s="1" t="str">
        <f>_xlfn.XLOOKUP(tblGJ[[#This Row],[Account Code]],tblCOA[Code],tblCOA[FS Line],"")</f>
        <v>Cash and cash equivalents</v>
      </c>
      <c r="L972" s="121">
        <f>IF(OR(tblGJ[[#This Row],[Account Code]]=1120,tblGJ[[#This Row],[Account Code]]=1130),_xlfn.MINIFS(tblBank[Value Date],tblBank[Reference],tblGJ[[#This Row],[Voucher No]],tblBank[Account Code],tblGJ[[#This Row],[Account Code]]),"")</f>
        <v>46387</v>
      </c>
      <c r="M972" s="1" t="str">
        <f>IF(tblGJ[[#This Row],[Date]]&lt;=PEnd,"Yes","No")</f>
        <v>No</v>
      </c>
    </row>
    <row r="973" spans="2:13" x14ac:dyDescent="0.35">
      <c r="B973" s="109">
        <v>46387</v>
      </c>
      <c r="C973" s="1" t="s">
        <v>5952</v>
      </c>
      <c r="D973" s="1">
        <v>7120</v>
      </c>
      <c r="E973" s="1" t="str">
        <f>_xlfn.XLOOKUP(tblGJ[[#This Row],[Account Code]],tblCOA[Code],tblCOA[Account Name],"⚠ Invalid account")</f>
        <v>Interest Income - Current Account</v>
      </c>
      <c r="F973" s="1" t="s">
        <v>6522</v>
      </c>
      <c r="G973" s="5"/>
      <c r="H973" s="5">
        <v>62362</v>
      </c>
      <c r="I973" s="1" t="s">
        <v>4263</v>
      </c>
      <c r="J973" s="1">
        <f>MONTH(tblGJ[[#This Row],[Date]])</f>
        <v>12</v>
      </c>
      <c r="K973" s="1" t="str">
        <f>_xlfn.XLOOKUP(tblGJ[[#This Row],[Account Code]],tblCOA[Code],tblCOA[FS Line],"")</f>
        <v>Other income</v>
      </c>
      <c r="L973" s="121" t="str">
        <f>IF(OR(tblGJ[[#This Row],[Account Code]]=1120,tblGJ[[#This Row],[Account Code]]=1130),_xlfn.MINIFS(tblBank[Value Date],tblBank[Reference],tblGJ[[#This Row],[Voucher No]],tblBank[Account Code],tblGJ[[#This Row],[Account Code]]),"")</f>
        <v/>
      </c>
      <c r="M973" s="1" t="str">
        <f>IF(tblGJ[[#This Row],[Date]]&lt;=PEnd,"Yes","No")</f>
        <v>No</v>
      </c>
    </row>
    <row r="974" spans="2:13" x14ac:dyDescent="0.35">
      <c r="B974" s="109">
        <v>46387</v>
      </c>
      <c r="C974" s="1" t="s">
        <v>5953</v>
      </c>
      <c r="D974" s="1">
        <v>8200</v>
      </c>
      <c r="E974" s="1" t="str">
        <f>_xlfn.XLOOKUP(tblGJ[[#This Row],[Account Code]],tblCOA[Code],tblCOA[Account Name],"⚠ Invalid account")</f>
        <v>Final Income Tax Expense</v>
      </c>
      <c r="F974" s="1" t="s">
        <v>6523</v>
      </c>
      <c r="G974" s="5">
        <v>12472</v>
      </c>
      <c r="H974" s="5"/>
      <c r="I974" s="1" t="s">
        <v>4263</v>
      </c>
      <c r="J974" s="1">
        <f>MONTH(tblGJ[[#This Row],[Date]])</f>
        <v>12</v>
      </c>
      <c r="K974" s="1" t="str">
        <f>_xlfn.XLOOKUP(tblGJ[[#This Row],[Account Code]],tblCOA[Code],tblCOA[FS Line],"")</f>
        <v>Other expenses</v>
      </c>
      <c r="L974" s="121" t="str">
        <f>IF(OR(tblGJ[[#This Row],[Account Code]]=1120,tblGJ[[#This Row],[Account Code]]=1130),_xlfn.MINIFS(tblBank[Value Date],tblBank[Reference],tblGJ[[#This Row],[Voucher No]],tblBank[Account Code],tblGJ[[#This Row],[Account Code]]),"")</f>
        <v/>
      </c>
      <c r="M974" s="1" t="str">
        <f>IF(tblGJ[[#This Row],[Date]]&lt;=PEnd,"Yes","No")</f>
        <v>No</v>
      </c>
    </row>
    <row r="975" spans="2:13" x14ac:dyDescent="0.35">
      <c r="B975" s="109">
        <v>46387</v>
      </c>
      <c r="C975" s="1" t="s">
        <v>5953</v>
      </c>
      <c r="D975" s="1">
        <v>1130</v>
      </c>
      <c r="E975" s="1" t="str">
        <f>_xlfn.XLOOKUP(tblGJ[[#This Row],[Account Code]],tblCOA[Code],tblCOA[Account Name],"⚠ Invalid account")</f>
        <v>Bank Mandiri - Current Account</v>
      </c>
      <c r="F975" s="1" t="s">
        <v>6523</v>
      </c>
      <c r="G975" s="5"/>
      <c r="H975" s="5">
        <v>12472</v>
      </c>
      <c r="I975" s="1" t="s">
        <v>4263</v>
      </c>
      <c r="J975" s="1">
        <f>MONTH(tblGJ[[#This Row],[Date]])</f>
        <v>12</v>
      </c>
      <c r="K975" s="1" t="str">
        <f>_xlfn.XLOOKUP(tblGJ[[#This Row],[Account Code]],tblCOA[Code],tblCOA[FS Line],"")</f>
        <v>Cash and cash equivalents</v>
      </c>
      <c r="L975" s="121">
        <f>IF(OR(tblGJ[[#This Row],[Account Code]]=1120,tblGJ[[#This Row],[Account Code]]=1130),_xlfn.MINIFS(tblBank[Value Date],tblBank[Reference],tblGJ[[#This Row],[Voucher No]],tblBank[Account Code],tblGJ[[#This Row],[Account Code]]),"")</f>
        <v>46387</v>
      </c>
      <c r="M975" s="1" t="str">
        <f>IF(tblGJ[[#This Row],[Date]]&lt;=PEnd,"Yes","No")</f>
        <v>No</v>
      </c>
    </row>
    <row r="976" spans="2:13" x14ac:dyDescent="0.35">
      <c r="B976" s="109">
        <v>46387</v>
      </c>
      <c r="C976" s="1" t="s">
        <v>5954</v>
      </c>
      <c r="D976" s="1">
        <v>7220</v>
      </c>
      <c r="E976" s="1" t="str">
        <f>_xlfn.XLOOKUP(tblGJ[[#This Row],[Account Code]],tblCOA[Code],tblCOA[Account Name],"⚠ Invalid account")</f>
        <v>Bank Charges</v>
      </c>
      <c r="F976" s="1" t="s">
        <v>6524</v>
      </c>
      <c r="G976" s="5">
        <v>118500</v>
      </c>
      <c r="H976" s="5"/>
      <c r="I976" s="1" t="s">
        <v>4263</v>
      </c>
      <c r="J976" s="1">
        <f>MONTH(tblGJ[[#This Row],[Date]])</f>
        <v>12</v>
      </c>
      <c r="K976" s="1" t="str">
        <f>_xlfn.XLOOKUP(tblGJ[[#This Row],[Account Code]],tblCOA[Code],tblCOA[FS Line],"")</f>
        <v>Other expenses</v>
      </c>
      <c r="L976" s="121" t="str">
        <f>IF(OR(tblGJ[[#This Row],[Account Code]]=1120,tblGJ[[#This Row],[Account Code]]=1130),_xlfn.MINIFS(tblBank[Value Date],tblBank[Reference],tblGJ[[#This Row],[Voucher No]],tblBank[Account Code],tblGJ[[#This Row],[Account Code]]),"")</f>
        <v/>
      </c>
      <c r="M976" s="1" t="str">
        <f>IF(tblGJ[[#This Row],[Date]]&lt;=PEnd,"Yes","No")</f>
        <v>No</v>
      </c>
    </row>
    <row r="977" spans="2:13" x14ac:dyDescent="0.35">
      <c r="B977" s="109">
        <v>46387</v>
      </c>
      <c r="C977" s="1" t="s">
        <v>5954</v>
      </c>
      <c r="D977" s="1">
        <v>1130</v>
      </c>
      <c r="E977" s="1" t="str">
        <f>_xlfn.XLOOKUP(tblGJ[[#This Row],[Account Code]],tblCOA[Code],tblCOA[Account Name],"⚠ Invalid account")</f>
        <v>Bank Mandiri - Current Account</v>
      </c>
      <c r="F977" s="1" t="s">
        <v>6524</v>
      </c>
      <c r="G977" s="5"/>
      <c r="H977" s="5">
        <v>118500</v>
      </c>
      <c r="I977" s="1" t="s">
        <v>4263</v>
      </c>
      <c r="J977" s="1">
        <f>MONTH(tblGJ[[#This Row],[Date]])</f>
        <v>12</v>
      </c>
      <c r="K977" s="1" t="str">
        <f>_xlfn.XLOOKUP(tblGJ[[#This Row],[Account Code]],tblCOA[Code],tblCOA[FS Line],"")</f>
        <v>Cash and cash equivalents</v>
      </c>
      <c r="L977" s="121">
        <f>IF(OR(tblGJ[[#This Row],[Account Code]]=1120,tblGJ[[#This Row],[Account Code]]=1130),_xlfn.MINIFS(tblBank[Value Date],tblBank[Reference],tblGJ[[#This Row],[Voucher No]],tblBank[Account Code],tblGJ[[#This Row],[Account Code]]),"")</f>
        <v>46387</v>
      </c>
      <c r="M977" s="1" t="str">
        <f>IF(tblGJ[[#This Row],[Date]]&lt;=PEnd,"Yes","No")</f>
        <v>No</v>
      </c>
    </row>
    <row r="978" spans="2:13" x14ac:dyDescent="0.35">
      <c r="B978" s="109">
        <v>46387</v>
      </c>
      <c r="C978" s="1" t="s">
        <v>5955</v>
      </c>
      <c r="D978" s="1">
        <v>6230</v>
      </c>
      <c r="E978" s="1" t="str">
        <f>_xlfn.XLOOKUP(tblGJ[[#This Row],[Account Code]],tblCOA[Code],tblCOA[Account Name],"⚠ Invalid account")</f>
        <v>Utilities &amp; Telecommunication</v>
      </c>
      <c r="F978" s="1" t="s">
        <v>6525</v>
      </c>
      <c r="G978" s="5">
        <v>12500000</v>
      </c>
      <c r="H978" s="5"/>
      <c r="I978" s="1" t="s">
        <v>4263</v>
      </c>
      <c r="J978" s="1">
        <f>MONTH(tblGJ[[#This Row],[Date]])</f>
        <v>12</v>
      </c>
      <c r="K978" s="1" t="str">
        <f>_xlfn.XLOOKUP(tblGJ[[#This Row],[Account Code]],tblCOA[Code],tblCOA[FS Line],"")</f>
        <v>General &amp; administrative expenses</v>
      </c>
      <c r="L978" s="121" t="str">
        <f>IF(OR(tblGJ[[#This Row],[Account Code]]=1120,tblGJ[[#This Row],[Account Code]]=1130),_xlfn.MINIFS(tblBank[Value Date],tblBank[Reference],tblGJ[[#This Row],[Voucher No]],tblBank[Account Code],tblGJ[[#This Row],[Account Code]]),"")</f>
        <v/>
      </c>
      <c r="M978" s="1" t="str">
        <f>IF(tblGJ[[#This Row],[Date]]&lt;=PEnd,"Yes","No")</f>
        <v>No</v>
      </c>
    </row>
    <row r="979" spans="2:13" x14ac:dyDescent="0.35">
      <c r="B979" s="109">
        <v>46387</v>
      </c>
      <c r="C979" s="1" t="s">
        <v>5955</v>
      </c>
      <c r="D979" s="1">
        <v>2130</v>
      </c>
      <c r="E979" s="1" t="str">
        <f>_xlfn.XLOOKUP(tblGJ[[#This Row],[Account Code]],tblCOA[Code],tblCOA[Account Name],"⚠ Invalid account")</f>
        <v>Accrued Expenses</v>
      </c>
      <c r="F979" s="1" t="s">
        <v>6525</v>
      </c>
      <c r="G979" s="5"/>
      <c r="H979" s="5">
        <v>12500000</v>
      </c>
      <c r="I979" s="1" t="s">
        <v>4263</v>
      </c>
      <c r="J979" s="1">
        <f>MONTH(tblGJ[[#This Row],[Date]])</f>
        <v>12</v>
      </c>
      <c r="K979" s="1" t="str">
        <f>_xlfn.XLOOKUP(tblGJ[[#This Row],[Account Code]],tblCOA[Code],tblCOA[FS Line],"")</f>
        <v>Accrued expenses</v>
      </c>
      <c r="L979" s="121" t="str">
        <f>IF(OR(tblGJ[[#This Row],[Account Code]]=1120,tblGJ[[#This Row],[Account Code]]=1130),_xlfn.MINIFS(tblBank[Value Date],tblBank[Reference],tblGJ[[#This Row],[Voucher No]],tblBank[Account Code],tblGJ[[#This Row],[Account Code]]),"")</f>
        <v/>
      </c>
      <c r="M979" s="1" t="str">
        <f>IF(tblGJ[[#This Row],[Date]]&lt;=PEnd,"Yes","No")</f>
        <v>No</v>
      </c>
    </row>
    <row r="980" spans="2:13" x14ac:dyDescent="0.35">
      <c r="B980" s="109">
        <v>46387</v>
      </c>
      <c r="C980" s="1" t="s">
        <v>5956</v>
      </c>
      <c r="D980" s="1">
        <v>6285</v>
      </c>
      <c r="E980" s="1" t="str">
        <f>_xlfn.XLOOKUP(tblGJ[[#This Row],[Account Code]],tblCOA[Code],tblCOA[Account Name],"⚠ Invalid account")</f>
        <v>Expected Credit Loss Expense</v>
      </c>
      <c r="F980" s="1" t="s">
        <v>6526</v>
      </c>
      <c r="G980" s="5">
        <v>10000000</v>
      </c>
      <c r="H980" s="5"/>
      <c r="I980" s="1" t="s">
        <v>4263</v>
      </c>
      <c r="J980" s="1">
        <f>MONTH(tblGJ[[#This Row],[Date]])</f>
        <v>12</v>
      </c>
      <c r="K980" s="1" t="str">
        <f>_xlfn.XLOOKUP(tblGJ[[#This Row],[Account Code]],tblCOA[Code],tblCOA[FS Line],"")</f>
        <v>General &amp; administrative expenses</v>
      </c>
      <c r="L980" s="121" t="str">
        <f>IF(OR(tblGJ[[#This Row],[Account Code]]=1120,tblGJ[[#This Row],[Account Code]]=1130),_xlfn.MINIFS(tblBank[Value Date],tblBank[Reference],tblGJ[[#This Row],[Voucher No]],tblBank[Account Code],tblGJ[[#This Row],[Account Code]]),"")</f>
        <v/>
      </c>
      <c r="M980" s="1" t="str">
        <f>IF(tblGJ[[#This Row],[Date]]&lt;=PEnd,"Yes","No")</f>
        <v>No</v>
      </c>
    </row>
    <row r="981" spans="2:13" x14ac:dyDescent="0.35">
      <c r="B981" s="109">
        <v>46387</v>
      </c>
      <c r="C981" s="1" t="s">
        <v>5956</v>
      </c>
      <c r="D981" s="1">
        <v>1220</v>
      </c>
      <c r="E981" s="1" t="str">
        <f>_xlfn.XLOOKUP(tblGJ[[#This Row],[Account Code]],tblCOA[Code],tblCOA[Account Name],"⚠ Invalid account")</f>
        <v>Allowance for Expected Credit Losses</v>
      </c>
      <c r="F981" s="1" t="s">
        <v>6527</v>
      </c>
      <c r="G981" s="5"/>
      <c r="H981" s="5">
        <v>10000000</v>
      </c>
      <c r="I981" s="1" t="s">
        <v>4263</v>
      </c>
      <c r="J981" s="1">
        <f>MONTH(tblGJ[[#This Row],[Date]])</f>
        <v>12</v>
      </c>
      <c r="K981" s="1" t="str">
        <f>_xlfn.XLOOKUP(tblGJ[[#This Row],[Account Code]],tblCOA[Code],tblCOA[FS Line],"")</f>
        <v>Trade receivables - net</v>
      </c>
      <c r="L981" s="121" t="str">
        <f>IF(OR(tblGJ[[#This Row],[Account Code]]=1120,tblGJ[[#This Row],[Account Code]]=1130),_xlfn.MINIFS(tblBank[Value Date],tblBank[Reference],tblGJ[[#This Row],[Voucher No]],tblBank[Account Code],tblGJ[[#This Row],[Account Code]]),"")</f>
        <v/>
      </c>
      <c r="M981" s="1" t="str">
        <f>IF(tblGJ[[#This Row],[Date]]&lt;=PEnd,"Yes","No")</f>
        <v>No</v>
      </c>
    </row>
  </sheetData>
  <mergeCells count="7">
    <mergeCell ref="AB2:AC2"/>
    <mergeCell ref="D2:E2"/>
    <mergeCell ref="M2:N2"/>
    <mergeCell ref="P2:Q2"/>
    <mergeCell ref="S2:T2"/>
    <mergeCell ref="V2:W2"/>
    <mergeCell ref="Y2:Z2"/>
  </mergeCells>
  <conditionalFormatting sqref="G7:H981">
    <cfRule type="expression" dxfId="29" priority="1">
      <formula>$I7="Manual"</formula>
    </cfRule>
  </conditionalFormatting>
  <hyperlinks>
    <hyperlink ref="B2" location="'Dashboard'!A1" tooltip="Go to Dashboard" display="🏠 HOME" xr:uid="{2FC8822A-8F05-4369-B8D9-2CB36C6F8C51}"/>
    <hyperlink ref="D2:E2" location="'Prepaid Schedule'!A1" tooltip="Go to Prepaid Schedule" display="◀ PREV" xr:uid="{68DAA0F7-DE06-4BA7-8F55-4B25FD80E083}"/>
    <hyperlink ref="G2" location="'General Ledger'!A1" tooltip="Go to General Ledger" display="NEXT ▶" xr:uid="{A2B5D61D-6B5F-4C33-AC48-F92575D11AA8}"/>
    <hyperlink ref="I2" location="'Dashboard'!B5" tooltip="Go to Dashboard" display="☰ MENU" xr:uid="{AC43DAAB-29AD-41E0-905B-642A5ADDEBBD}"/>
    <hyperlink ref="K2" location="'General Journal'!A1" tooltip="You are here" display="Journal" xr:uid="{57C25FCB-372F-4A1F-84B8-0493439630ED}"/>
    <hyperlink ref="M2:N2" location="'Trial Balance'!A1" tooltip="Go to Trial Balance" display="Trial Bal." xr:uid="{81DD7621-9C0F-46E1-8B75-EC01D3EB180F}"/>
    <hyperlink ref="P2:Q2" location="'Income Statement'!A1" tooltip="Go to Income Statement" display="Income St." xr:uid="{2ED94800-650D-474A-903D-BE5A6CF103E3}"/>
    <hyperlink ref="S2:T2" location="'Balance Sheet'!A1" tooltip="Go to Balance Sheet" display="Balance Sh." xr:uid="{EB01A505-B9F9-4453-895C-BF736F151136}"/>
    <hyperlink ref="V2:W2" location="'Tax Reconciliation'!A1" tooltip="Go to Tax Reconciliation" display="Tax Recon" xr:uid="{7FE4843B-C57E-4BD7-B601-76E5A4FB4CC9}"/>
    <hyperlink ref="Y2:Z2" location="'Bank Reconciliation'!A1" tooltip="Go to Bank Reconciliation" display="Bank Recon" xr:uid="{1EDB3248-DC5B-4A25-8EFC-E5649FA9178F}"/>
    <hyperlink ref="AB2:AC2" location="'Controls'!A1" tooltip="Go to Controls" display="Controls" xr:uid="{A426A5CF-8731-47EC-A2DC-A1440B9BBA78}"/>
  </hyperlink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39814CB-D193-4EBF-8461-B922D6DAA616}">
          <x14:formula1>
            <xm:f>COA!$B$7:$B$300</xm:f>
          </x14:formula1>
          <xm:sqref>D7:D981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8462-65A7-48B4-B03A-3404D0DCBFC7}">
  <sheetPr>
    <tabColor rgb="FFF59E0B"/>
  </sheetPr>
  <dimension ref="A1:BH500"/>
  <sheetViews>
    <sheetView showGridLines="0" workbookViewId="0">
      <pane ySplit="13" topLeftCell="A149" activePane="bottomLeft" state="frozen"/>
      <selection pane="bottomLeft"/>
    </sheetView>
  </sheetViews>
  <sheetFormatPr defaultRowHeight="14.5" x14ac:dyDescent="0.35"/>
  <cols>
    <col min="1" max="1" width="1.453125" style="1" customWidth="1"/>
    <col min="2" max="2" width="14.54296875" style="1" customWidth="1"/>
    <col min="3" max="3" width="36.36328125" style="1" customWidth="1"/>
    <col min="4" max="4" width="45.453125" style="1" customWidth="1"/>
    <col min="5" max="5" width="20" style="1" customWidth="1"/>
    <col min="6" max="7" width="18.1796875" style="1" customWidth="1"/>
    <col min="8" max="8" width="16.36328125" style="1" customWidth="1"/>
    <col min="9" max="52" width="8.7265625" style="1"/>
  </cols>
  <sheetData>
    <row r="1" spans="1:60" ht="5" customHeight="1" x14ac:dyDescent="0.35"/>
    <row r="2" spans="1:60" ht="18" customHeight="1" thickBot="1" x14ac:dyDescent="0.4">
      <c r="A2" s="307"/>
      <c r="B2" s="308" t="s">
        <v>7075</v>
      </c>
      <c r="C2" s="307"/>
      <c r="D2" s="309" t="s">
        <v>7076</v>
      </c>
      <c r="E2" s="307"/>
      <c r="F2" s="309" t="s">
        <v>7077</v>
      </c>
      <c r="G2" s="307"/>
      <c r="H2" s="308" t="s">
        <v>7078</v>
      </c>
      <c r="I2" s="307"/>
      <c r="J2" s="314" t="s">
        <v>7079</v>
      </c>
      <c r="K2" s="315"/>
      <c r="L2" s="307"/>
      <c r="M2" s="314" t="s">
        <v>7080</v>
      </c>
      <c r="N2" s="315"/>
      <c r="O2" s="307"/>
      <c r="P2" s="314" t="s">
        <v>7081</v>
      </c>
      <c r="Q2" s="315"/>
      <c r="R2" s="307"/>
      <c r="S2" s="314" t="s">
        <v>7082</v>
      </c>
      <c r="T2" s="315"/>
      <c r="U2" s="307"/>
      <c r="V2" s="314" t="s">
        <v>7083</v>
      </c>
      <c r="W2" s="315"/>
      <c r="X2" s="307"/>
      <c r="Y2" s="314" t="s">
        <v>7084</v>
      </c>
      <c r="Z2" s="315"/>
      <c r="AA2" s="307"/>
      <c r="AB2" s="314" t="s">
        <v>7085</v>
      </c>
      <c r="AC2" s="315"/>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6749</v>
      </c>
      <c r="C4" s="67"/>
      <c r="D4" s="67"/>
      <c r="E4" s="67"/>
      <c r="F4" s="67"/>
      <c r="G4" s="67"/>
      <c r="H4" s="67"/>
    </row>
    <row r="6" spans="1:60" x14ac:dyDescent="0.35">
      <c r="B6" s="2" t="s">
        <v>6750</v>
      </c>
      <c r="C6" s="149">
        <v>1120</v>
      </c>
      <c r="E6" s="2" t="s">
        <v>6753</v>
      </c>
      <c r="F6" s="5">
        <f>_xlfn.XLOOKUP(C6,tblCOA[Code],tblCOA[Opening Balance],0)</f>
        <v>1250000000</v>
      </c>
    </row>
    <row r="7" spans="1:60" x14ac:dyDescent="0.35">
      <c r="B7" s="2" t="s">
        <v>6751</v>
      </c>
      <c r="C7" s="1" t="str">
        <f>_xlfn.XLOOKUP(C6,tblCOA[Code],tblCOA[Account Name],"⚠ Invalid")</f>
        <v>Bank BCA - Current Account</v>
      </c>
      <c r="E7" s="2" t="s">
        <v>6754</v>
      </c>
      <c r="F7" s="5">
        <f>SUMIFS(tblGJ[Debit],tblGJ[Account Code],C6,tblGJ[Date],"&lt;="&amp;PEnd)</f>
        <v>11979437562</v>
      </c>
    </row>
    <row r="8" spans="1:60" x14ac:dyDescent="0.35">
      <c r="B8" s="2" t="s">
        <v>6752</v>
      </c>
      <c r="C8" s="1" t="str">
        <f>_xlfn.XLOOKUP(C6,tblCOA[Code],tblCOA[Normal],"")</f>
        <v>D</v>
      </c>
      <c r="E8" s="2" t="s">
        <v>6755</v>
      </c>
      <c r="F8" s="5">
        <f>SUMIFS(tblGJ[Credit],tblGJ[Account Code],C6,tblGJ[Date],"&lt;="&amp;PEnd)</f>
        <v>12640654864</v>
      </c>
    </row>
    <row r="9" spans="1:60" x14ac:dyDescent="0.35">
      <c r="E9" s="2" t="s">
        <v>6756</v>
      </c>
      <c r="F9" s="5">
        <f>SUMIFS(tblTaxAdj[Debit],tblTaxAdj[Account Code],C6)-SUMIFS(tblTaxAdj[Credit],tblTaxAdj[Account Code],C6)</f>
        <v>0</v>
      </c>
    </row>
    <row r="10" spans="1:60" x14ac:dyDescent="0.35">
      <c r="E10" s="123" t="s">
        <v>6757</v>
      </c>
      <c r="F10" s="127">
        <f>F6+IF(C8="D",1,-1)*(F7-F8+F9)</f>
        <v>588782698</v>
      </c>
    </row>
    <row r="11" spans="1:60" x14ac:dyDescent="0.35">
      <c r="E11" s="2" t="s">
        <v>6758</v>
      </c>
      <c r="F11" s="1" t="str" cm="1">
        <f t="array" ref="F11">IF(ABS(F10-_xlfn.XLOOKUP(C6,_xlfn.ANCHORARRAY('Trial Balance'!B8),_xlfn.ANCHORARRAY('Trial Balance'!L8),0))&lt;1,"✔ Agrees to TB","✖ Check")</f>
        <v>✔ Agrees to TB</v>
      </c>
    </row>
    <row r="13" spans="1:60" x14ac:dyDescent="0.35">
      <c r="B13" s="68" t="s">
        <v>5072</v>
      </c>
      <c r="C13" s="68" t="s">
        <v>5645</v>
      </c>
      <c r="D13" s="68" t="s">
        <v>4368</v>
      </c>
      <c r="E13" s="68" t="s">
        <v>4262</v>
      </c>
      <c r="F13" s="68" t="s">
        <v>5646</v>
      </c>
      <c r="G13" s="68" t="s">
        <v>6759</v>
      </c>
      <c r="H13" s="68" t="s">
        <v>5647</v>
      </c>
    </row>
    <row r="14" spans="1:60" x14ac:dyDescent="0.35">
      <c r="B14" s="109" cm="1">
        <f t="array" ref="B14:F171">IFERROR(_xlfn.CHOOSECOLS(_xlfn._xlws.FILTER(tblGJ[[Date]:[Source]],(tblGJ[Account Code]=C6)*(tblGJ[Date]&lt;=PEnd)),1,2,5,6,7),"– no transactions –")</f>
        <v>46032</v>
      </c>
      <c r="C14" s="1" t="str">
        <v>P21-2601</v>
      </c>
      <c r="D14" s="1" t="str">
        <v>PPh 21 payment (prior month)</v>
      </c>
      <c r="E14" s="5">
        <v>0</v>
      </c>
      <c r="F14" s="5">
        <v>14000000</v>
      </c>
      <c r="G14" s="5" cm="1">
        <f t="array" ref="G14:G171">IF(ISNUMBER(B14),F6+IF(C8="D",1,-1)*_xlfn.SCAN(0,_xlfn.CHOOSECOLS(_xlfn.ANCHORARRAY(B14),4)-_xlfn.CHOOSECOLS(_xlfn.ANCHORARRAY(B14),5),_xlfn.LAMBDA(_xlpm.a,_xlpm.b,_xlpm.a+_xlpm.b)),"")</f>
        <v>1236000000</v>
      </c>
      <c r="H14" s="1" t="str" cm="1">
        <f t="array" ref="H14:H171">IF(ISNUMBER(B14),_xlfn.CHOOSECOLS(_xlfn._xlws.FILTER(tblGJ[Source],(tblGJ[Account Code]=C6)*(tblGJ[Date]&lt;=PEnd)),1),"")</f>
        <v>Auto-Tax</v>
      </c>
    </row>
    <row r="15" spans="1:60" x14ac:dyDescent="0.35">
      <c r="B15" s="109">
        <v>46032</v>
      </c>
      <c r="C15" s="1" t="str">
        <v>BPJ-2601</v>
      </c>
      <c r="D15" s="1" t="str">
        <v>BPJS contributions payment (prior month)</v>
      </c>
      <c r="E15" s="5">
        <v>0</v>
      </c>
      <c r="F15" s="5">
        <v>18000000</v>
      </c>
      <c r="G15" s="5">
        <v>1218000000</v>
      </c>
      <c r="H15" s="1" t="str">
        <v>Auto-Tax</v>
      </c>
    </row>
    <row r="16" spans="1:60" x14ac:dyDescent="0.35">
      <c r="B16" s="109">
        <v>46034</v>
      </c>
      <c r="C16" s="1" t="str">
        <v>ACR-2601</v>
      </c>
      <c r="D16" s="1" t="str">
        <v>Settlement of Dec 2025 accrued expenses</v>
      </c>
      <c r="E16" s="5">
        <v>0</v>
      </c>
      <c r="F16" s="5">
        <v>45000000</v>
      </c>
      <c r="G16" s="5">
        <v>1173000000</v>
      </c>
      <c r="H16" s="1" t="str">
        <v>Manual</v>
      </c>
    </row>
    <row r="17" spans="2:8" x14ac:dyDescent="0.35">
      <c r="B17" s="109">
        <v>46037</v>
      </c>
      <c r="C17" s="1" t="str">
        <v>WP-2601</v>
      </c>
      <c r="D17" s="1" t="str">
        <v>PPh Unifikasi payment (prior month)</v>
      </c>
      <c r="E17" s="5">
        <v>0</v>
      </c>
      <c r="F17" s="5">
        <v>6500000</v>
      </c>
      <c r="G17" s="5">
        <v>1166500000</v>
      </c>
      <c r="H17" s="1" t="str">
        <v>Auto-Tax</v>
      </c>
    </row>
    <row r="18" spans="2:8" x14ac:dyDescent="0.35">
      <c r="B18" s="109">
        <v>46037</v>
      </c>
      <c r="C18" s="1" t="str">
        <v>P25-2601</v>
      </c>
      <c r="D18" s="1" t="str">
        <v>PPh 25 installment - Jan</v>
      </c>
      <c r="E18" s="5">
        <v>0</v>
      </c>
      <c r="F18" s="5">
        <v>20000000</v>
      </c>
      <c r="G18" s="5">
        <v>1146500000</v>
      </c>
      <c r="H18" s="1" t="str">
        <v>Auto-Tax</v>
      </c>
    </row>
    <row r="19" spans="2:8" x14ac:dyDescent="0.35">
      <c r="B19" s="109">
        <v>46037</v>
      </c>
      <c r="C19" s="1" t="str">
        <v>PV-2601-OPN</v>
      </c>
      <c r="D19" s="1" t="str">
        <v>Payment of opening trade payables (Dec 2025 bills)</v>
      </c>
      <c r="E19" s="5">
        <v>0</v>
      </c>
      <c r="F19" s="5">
        <v>620000000</v>
      </c>
      <c r="G19" s="5">
        <v>526500000</v>
      </c>
      <c r="H19" s="1" t="str">
        <v>Auto-Payments</v>
      </c>
    </row>
    <row r="20" spans="2:8" x14ac:dyDescent="0.35">
      <c r="B20" s="109">
        <v>46042</v>
      </c>
      <c r="C20" s="1" t="str">
        <v>RC-2601</v>
      </c>
      <c r="D20" s="1" t="str">
        <v>Customer collections (prior month credit sales) - Jan</v>
      </c>
      <c r="E20" s="5">
        <v>420000000</v>
      </c>
      <c r="F20" s="5">
        <v>0</v>
      </c>
      <c r="G20" s="5">
        <v>946500000</v>
      </c>
      <c r="H20" s="1" t="str">
        <v>Auto-Collections</v>
      </c>
    </row>
    <row r="21" spans="2:8" x14ac:dyDescent="0.35">
      <c r="B21" s="109">
        <v>46046</v>
      </c>
      <c r="C21" s="1" t="str">
        <v>TR-2601</v>
      </c>
      <c r="D21" s="1" t="str">
        <v>Funding payroll account to Mandiri - Jan</v>
      </c>
      <c r="E21" s="5">
        <v>0</v>
      </c>
      <c r="F21" s="5">
        <v>161397799</v>
      </c>
      <c r="G21" s="5">
        <v>785102201</v>
      </c>
      <c r="H21" s="1" t="str">
        <v>Auto-Payroll</v>
      </c>
    </row>
    <row r="22" spans="2:8" x14ac:dyDescent="0.35">
      <c r="B22" s="109">
        <v>46050</v>
      </c>
      <c r="C22" s="1" t="str">
        <v>VP-2601</v>
      </c>
      <c r="D22" s="1" t="str">
        <v>VAT payment (prior month SPT Masa)</v>
      </c>
      <c r="E22" s="5">
        <v>0</v>
      </c>
      <c r="F22" s="5">
        <v>85000000</v>
      </c>
      <c r="G22" s="5">
        <v>700102201</v>
      </c>
      <c r="H22" s="1" t="str">
        <v>Auto-Tax</v>
      </c>
    </row>
    <row r="23" spans="2:8" x14ac:dyDescent="0.35">
      <c r="B23" s="109">
        <v>46050</v>
      </c>
      <c r="C23" s="1" t="str">
        <v>LN-2601</v>
      </c>
      <c r="D23" s="1" t="str">
        <v>Long-term loan installment - Jan</v>
      </c>
      <c r="E23" s="5">
        <v>0</v>
      </c>
      <c r="F23" s="5">
        <v>36250000</v>
      </c>
      <c r="G23" s="5">
        <v>663852201</v>
      </c>
      <c r="H23" s="1" t="str">
        <v>Manual</v>
      </c>
    </row>
    <row r="24" spans="2:8" x14ac:dyDescent="0.35">
      <c r="B24" s="109">
        <v>46050</v>
      </c>
      <c r="C24" s="1" t="str">
        <v>STI-2601</v>
      </c>
      <c r="D24" s="1" t="str">
        <v>Short-term loan interest - Jan</v>
      </c>
      <c r="E24" s="5">
        <v>0</v>
      </c>
      <c r="F24" s="5">
        <v>2500000</v>
      </c>
      <c r="G24" s="5">
        <v>661352201</v>
      </c>
      <c r="H24" s="1" t="str">
        <v>Manual</v>
      </c>
    </row>
    <row r="25" spans="2:8" x14ac:dyDescent="0.35">
      <c r="B25" s="109">
        <v>46053</v>
      </c>
      <c r="C25" s="1" t="str">
        <v>SJ-2601</v>
      </c>
      <c r="D25" s="1" t="str">
        <v>QRIS / transfer sales settlement - Jan</v>
      </c>
      <c r="E25" s="5">
        <v>173215500</v>
      </c>
      <c r="F25" s="5">
        <v>0</v>
      </c>
      <c r="G25" s="5">
        <v>834567701</v>
      </c>
      <c r="H25" s="1" t="str">
        <v>Auto-Sales</v>
      </c>
    </row>
    <row r="26" spans="2:8" x14ac:dyDescent="0.35">
      <c r="B26" s="109">
        <v>46053</v>
      </c>
      <c r="C26" s="1" t="str">
        <v>CD-2601</v>
      </c>
      <c r="D26" s="1" t="str">
        <v>Cash deposit to BCA - Jan</v>
      </c>
      <c r="E26" s="5">
        <v>135314550</v>
      </c>
      <c r="F26" s="5">
        <v>0</v>
      </c>
      <c r="G26" s="5">
        <v>969882251</v>
      </c>
      <c r="H26" s="1" t="str">
        <v>Auto-Sales</v>
      </c>
    </row>
    <row r="27" spans="2:8" x14ac:dyDescent="0.35">
      <c r="B27" s="109">
        <v>46053</v>
      </c>
      <c r="C27" s="1" t="str">
        <v>PV-2601</v>
      </c>
      <c r="D27" s="1" t="str">
        <v>Vendor payments batch - Jan</v>
      </c>
      <c r="E27" s="5">
        <v>0</v>
      </c>
      <c r="F27" s="5">
        <v>137735630</v>
      </c>
      <c r="G27" s="5">
        <v>832146621</v>
      </c>
      <c r="H27" s="1" t="str">
        <v>Auto-Payments</v>
      </c>
    </row>
    <row r="28" spans="2:8" x14ac:dyDescent="0.35">
      <c r="B28" s="109">
        <v>46053</v>
      </c>
      <c r="C28" s="1" t="str">
        <v>DI-2601</v>
      </c>
      <c r="D28" s="1" t="str">
        <v>Time deposit interest (net) - Jan</v>
      </c>
      <c r="E28" s="5">
        <v>1333333</v>
      </c>
      <c r="F28" s="5">
        <v>0</v>
      </c>
      <c r="G28" s="5">
        <v>833479954</v>
      </c>
      <c r="H28" s="1" t="str">
        <v>Manual</v>
      </c>
    </row>
    <row r="29" spans="2:8" x14ac:dyDescent="0.35">
      <c r="B29" s="109">
        <v>46053</v>
      </c>
      <c r="C29" s="1" t="str">
        <v>CI-2601-BCA</v>
      </c>
      <c r="D29" s="1" t="str">
        <v>Current account interest - BCA Jan</v>
      </c>
      <c r="E29" s="5">
        <v>472940</v>
      </c>
      <c r="F29" s="5">
        <v>0</v>
      </c>
      <c r="G29" s="5">
        <v>833952894</v>
      </c>
      <c r="H29" s="1" t="str">
        <v>Manual</v>
      </c>
    </row>
    <row r="30" spans="2:8" x14ac:dyDescent="0.35">
      <c r="B30" s="109">
        <v>46053</v>
      </c>
      <c r="C30" s="1" t="str">
        <v>CT-2601-BCA</v>
      </c>
      <c r="D30" s="1" t="str">
        <v>Final tax on interest - BCA Jan</v>
      </c>
      <c r="E30" s="5">
        <v>0</v>
      </c>
      <c r="F30" s="5">
        <v>94588</v>
      </c>
      <c r="G30" s="5">
        <v>833858306</v>
      </c>
      <c r="H30" s="1" t="str">
        <v>Manual</v>
      </c>
    </row>
    <row r="31" spans="2:8" x14ac:dyDescent="0.35">
      <c r="B31" s="109">
        <v>46053</v>
      </c>
      <c r="C31" s="1" t="str">
        <v>BC-2601-BCA</v>
      </c>
      <c r="D31" s="1" t="str">
        <v>Bank admin fee - BCA Jan</v>
      </c>
      <c r="E31" s="5">
        <v>0</v>
      </c>
      <c r="F31" s="5">
        <v>150000</v>
      </c>
      <c r="G31" s="5">
        <v>833708306</v>
      </c>
      <c r="H31" s="1" t="str">
        <v>Manual</v>
      </c>
    </row>
    <row r="32" spans="2:8" x14ac:dyDescent="0.35">
      <c r="B32" s="109">
        <v>46063</v>
      </c>
      <c r="C32" s="1" t="str">
        <v>P21-2602</v>
      </c>
      <c r="D32" s="1" t="str">
        <v>PPh 21 payment (prior month)</v>
      </c>
      <c r="E32" s="5">
        <v>0</v>
      </c>
      <c r="F32" s="5">
        <v>10516831</v>
      </c>
      <c r="G32" s="5">
        <v>823191475</v>
      </c>
      <c r="H32" s="1" t="str">
        <v>Auto-Tax</v>
      </c>
    </row>
    <row r="33" spans="2:8" x14ac:dyDescent="0.35">
      <c r="B33" s="109">
        <v>46063</v>
      </c>
      <c r="C33" s="1" t="str">
        <v>BPJ-2602</v>
      </c>
      <c r="D33" s="1" t="str">
        <v>BPJS contributions payment (prior month)</v>
      </c>
      <c r="E33" s="5">
        <v>0</v>
      </c>
      <c r="F33" s="5">
        <v>22077790</v>
      </c>
      <c r="G33" s="5">
        <v>801113685</v>
      </c>
      <c r="H33" s="1" t="str">
        <v>Auto-Tax</v>
      </c>
    </row>
    <row r="34" spans="2:8" x14ac:dyDescent="0.35">
      <c r="B34" s="109">
        <v>46068</v>
      </c>
      <c r="C34" s="1" t="str">
        <v>WP-2602</v>
      </c>
      <c r="D34" s="1" t="str">
        <v>PPh Unifikasi payment (prior month)</v>
      </c>
      <c r="E34" s="5">
        <v>0</v>
      </c>
      <c r="F34" s="5">
        <v>914100</v>
      </c>
      <c r="G34" s="5">
        <v>800199585</v>
      </c>
      <c r="H34" s="1" t="str">
        <v>Auto-Tax</v>
      </c>
    </row>
    <row r="35" spans="2:8" x14ac:dyDescent="0.35">
      <c r="B35" s="109">
        <v>46068</v>
      </c>
      <c r="C35" s="1" t="str">
        <v>P25-2602</v>
      </c>
      <c r="D35" s="1" t="str">
        <v>PPh 25 installment - Feb</v>
      </c>
      <c r="E35" s="5">
        <v>0</v>
      </c>
      <c r="F35" s="5">
        <v>20000000</v>
      </c>
      <c r="G35" s="5">
        <v>780199585</v>
      </c>
      <c r="H35" s="1" t="str">
        <v>Auto-Tax</v>
      </c>
    </row>
    <row r="36" spans="2:8" x14ac:dyDescent="0.35">
      <c r="B36" s="109">
        <v>46073</v>
      </c>
      <c r="C36" s="1" t="str">
        <v>RC-2602</v>
      </c>
      <c r="D36" s="1" t="str">
        <v>Customer collections (prior month credit sales) - Feb</v>
      </c>
      <c r="E36" s="5">
        <v>882494400</v>
      </c>
      <c r="F36" s="5">
        <v>0</v>
      </c>
      <c r="G36" s="5">
        <v>1662693985</v>
      </c>
      <c r="H36" s="1" t="str">
        <v>Auto-Collections</v>
      </c>
    </row>
    <row r="37" spans="2:8" x14ac:dyDescent="0.35">
      <c r="B37" s="109">
        <v>46077</v>
      </c>
      <c r="C37" s="1" t="str">
        <v>TR-2602</v>
      </c>
      <c r="D37" s="1" t="str">
        <v>Funding payroll account to Mandiri - Feb</v>
      </c>
      <c r="E37" s="5">
        <v>0</v>
      </c>
      <c r="F37" s="5">
        <v>161397799</v>
      </c>
      <c r="G37" s="5">
        <v>1501296186</v>
      </c>
      <c r="H37" s="1" t="str">
        <v>Auto-Payroll</v>
      </c>
    </row>
    <row r="38" spans="2:8" x14ac:dyDescent="0.35">
      <c r="B38" s="109">
        <v>46081</v>
      </c>
      <c r="C38" s="1" t="str">
        <v>SJ-2602</v>
      </c>
      <c r="D38" s="1" t="str">
        <v>QRIS / transfer sales settlement - Feb</v>
      </c>
      <c r="E38" s="5">
        <v>177755400</v>
      </c>
      <c r="F38" s="5">
        <v>0</v>
      </c>
      <c r="G38" s="5">
        <v>1679051586</v>
      </c>
      <c r="H38" s="1" t="str">
        <v>Auto-Sales</v>
      </c>
    </row>
    <row r="39" spans="2:8" x14ac:dyDescent="0.35">
      <c r="B39" s="109">
        <v>46081</v>
      </c>
      <c r="C39" s="1" t="str">
        <v>CD-2602</v>
      </c>
      <c r="D39" s="1" t="str">
        <v>Cash deposit to BCA - Feb</v>
      </c>
      <c r="E39" s="5">
        <v>133738350</v>
      </c>
      <c r="F39" s="5">
        <v>0</v>
      </c>
      <c r="G39" s="5">
        <v>1812789936</v>
      </c>
      <c r="H39" s="1" t="str">
        <v>Auto-Sales</v>
      </c>
    </row>
    <row r="40" spans="2:8" x14ac:dyDescent="0.35">
      <c r="B40" s="109">
        <v>46081</v>
      </c>
      <c r="C40" s="1" t="str">
        <v>PV-2602</v>
      </c>
      <c r="D40" s="1" t="str">
        <v>Vendor payments batch - Feb</v>
      </c>
      <c r="E40" s="5">
        <v>0</v>
      </c>
      <c r="F40" s="5">
        <v>772218860</v>
      </c>
      <c r="G40" s="5">
        <v>1040571076</v>
      </c>
      <c r="H40" s="1" t="str">
        <v>Auto-Payments</v>
      </c>
    </row>
    <row r="41" spans="2:8" x14ac:dyDescent="0.35">
      <c r="B41" s="109">
        <v>46081</v>
      </c>
      <c r="C41" s="1" t="str">
        <v>VP-2602</v>
      </c>
      <c r="D41" s="1" t="str">
        <v>VAT payment (prior month SPT Masa)</v>
      </c>
      <c r="E41" s="5">
        <v>0</v>
      </c>
      <c r="F41" s="5">
        <v>51698350</v>
      </c>
      <c r="G41" s="5">
        <v>988872726</v>
      </c>
      <c r="H41" s="1" t="str">
        <v>Auto-Tax</v>
      </c>
    </row>
    <row r="42" spans="2:8" x14ac:dyDescent="0.35">
      <c r="B42" s="109">
        <v>46081</v>
      </c>
      <c r="C42" s="1" t="str">
        <v>DI-2602</v>
      </c>
      <c r="D42" s="1" t="str">
        <v>Time deposit interest (net) - Feb</v>
      </c>
      <c r="E42" s="5">
        <v>1333333</v>
      </c>
      <c r="F42" s="5">
        <v>0</v>
      </c>
      <c r="G42" s="5">
        <v>990206059</v>
      </c>
      <c r="H42" s="1" t="str">
        <v>Manual</v>
      </c>
    </row>
    <row r="43" spans="2:8" x14ac:dyDescent="0.35">
      <c r="B43" s="109">
        <v>46081</v>
      </c>
      <c r="C43" s="1" t="str">
        <v>CI-2602-BCA</v>
      </c>
      <c r="D43" s="1" t="str">
        <v>Current account interest - BCA Feb</v>
      </c>
      <c r="E43" s="5">
        <v>538310</v>
      </c>
      <c r="F43" s="5">
        <v>0</v>
      </c>
      <c r="G43" s="5">
        <v>990744369</v>
      </c>
      <c r="H43" s="1" t="str">
        <v>Manual</v>
      </c>
    </row>
    <row r="44" spans="2:8" x14ac:dyDescent="0.35">
      <c r="B44" s="109">
        <v>46081</v>
      </c>
      <c r="C44" s="1" t="str">
        <v>CT-2602-BCA</v>
      </c>
      <c r="D44" s="1" t="str">
        <v>Final tax on interest - BCA Feb</v>
      </c>
      <c r="E44" s="5">
        <v>0</v>
      </c>
      <c r="F44" s="5">
        <v>107662</v>
      </c>
      <c r="G44" s="5">
        <v>990636707</v>
      </c>
      <c r="H44" s="1" t="str">
        <v>Manual</v>
      </c>
    </row>
    <row r="45" spans="2:8" x14ac:dyDescent="0.35">
      <c r="B45" s="109">
        <v>46081</v>
      </c>
      <c r="C45" s="1" t="str">
        <v>BC-2602-BCA</v>
      </c>
      <c r="D45" s="1" t="str">
        <v>Bank admin fee - BCA Feb</v>
      </c>
      <c r="E45" s="5">
        <v>0</v>
      </c>
      <c r="F45" s="5">
        <v>150000</v>
      </c>
      <c r="G45" s="5">
        <v>990486707</v>
      </c>
      <c r="H45" s="1" t="str">
        <v>Manual</v>
      </c>
    </row>
    <row r="46" spans="2:8" x14ac:dyDescent="0.35">
      <c r="B46" s="109">
        <v>46081</v>
      </c>
      <c r="C46" s="1" t="str">
        <v>LN-2602</v>
      </c>
      <c r="D46" s="1" t="str">
        <v>Long-term loan installment - Feb</v>
      </c>
      <c r="E46" s="5">
        <v>0</v>
      </c>
      <c r="F46" s="5">
        <v>36062500</v>
      </c>
      <c r="G46" s="5">
        <v>954424207</v>
      </c>
      <c r="H46" s="1" t="str">
        <v>Manual</v>
      </c>
    </row>
    <row r="47" spans="2:8" x14ac:dyDescent="0.35">
      <c r="B47" s="109">
        <v>46081</v>
      </c>
      <c r="C47" s="1" t="str">
        <v>STI-2602</v>
      </c>
      <c r="D47" s="1" t="str">
        <v>Short-term loan interest - Feb</v>
      </c>
      <c r="E47" s="5">
        <v>0</v>
      </c>
      <c r="F47" s="5">
        <v>2500000</v>
      </c>
      <c r="G47" s="5">
        <v>951924207</v>
      </c>
      <c r="H47" s="1" t="str">
        <v>Manual</v>
      </c>
    </row>
    <row r="48" spans="2:8" x14ac:dyDescent="0.35">
      <c r="B48" s="109">
        <v>46091</v>
      </c>
      <c r="C48" s="1" t="str">
        <v>P21-2603</v>
      </c>
      <c r="D48" s="1" t="str">
        <v>PPh 21 payment (prior month)</v>
      </c>
      <c r="E48" s="5">
        <v>0</v>
      </c>
      <c r="F48" s="5">
        <v>10516831</v>
      </c>
      <c r="G48" s="5">
        <v>941407376</v>
      </c>
      <c r="H48" s="1" t="str">
        <v>Auto-Tax</v>
      </c>
    </row>
    <row r="49" spans="2:8" x14ac:dyDescent="0.35">
      <c r="B49" s="109">
        <v>46091</v>
      </c>
      <c r="C49" s="1" t="str">
        <v>BPJ-2603</v>
      </c>
      <c r="D49" s="1" t="str">
        <v>BPJS contributions payment (prior month)</v>
      </c>
      <c r="E49" s="5">
        <v>0</v>
      </c>
      <c r="F49" s="5">
        <v>22077790</v>
      </c>
      <c r="G49" s="5">
        <v>919329586</v>
      </c>
      <c r="H49" s="1" t="str">
        <v>Auto-Tax</v>
      </c>
    </row>
    <row r="50" spans="2:8" x14ac:dyDescent="0.35">
      <c r="B50" s="109">
        <v>46096</v>
      </c>
      <c r="C50" s="1" t="str">
        <v>WP-2603</v>
      </c>
      <c r="D50" s="1" t="str">
        <v>PPh Unifikasi payment (prior month)</v>
      </c>
      <c r="E50" s="5">
        <v>0</v>
      </c>
      <c r="F50" s="5">
        <v>1000920</v>
      </c>
      <c r="G50" s="5">
        <v>918328666</v>
      </c>
      <c r="H50" s="1" t="str">
        <v>Auto-Tax</v>
      </c>
    </row>
    <row r="51" spans="2:8" x14ac:dyDescent="0.35">
      <c r="B51" s="109">
        <v>46096</v>
      </c>
      <c r="C51" s="1" t="str">
        <v>P25-2603</v>
      </c>
      <c r="D51" s="1" t="str">
        <v>PPh 25 installment - Mar</v>
      </c>
      <c r="E51" s="5">
        <v>0</v>
      </c>
      <c r="F51" s="5">
        <v>20000000</v>
      </c>
      <c r="G51" s="5">
        <v>898328666</v>
      </c>
      <c r="H51" s="1" t="str">
        <v>Auto-Tax</v>
      </c>
    </row>
    <row r="52" spans="2:8" x14ac:dyDescent="0.35">
      <c r="B52" s="109">
        <v>46101</v>
      </c>
      <c r="C52" s="1" t="str">
        <v>RC-2603</v>
      </c>
      <c r="D52" s="1" t="str">
        <v>Customer collections (prior month credit sales) - Mar</v>
      </c>
      <c r="E52" s="5">
        <v>759595200</v>
      </c>
      <c r="F52" s="5">
        <v>0</v>
      </c>
      <c r="G52" s="5">
        <v>1657923866</v>
      </c>
      <c r="H52" s="1" t="str">
        <v>Auto-Collections</v>
      </c>
    </row>
    <row r="53" spans="2:8" x14ac:dyDescent="0.35">
      <c r="B53" s="109">
        <v>46105</v>
      </c>
      <c r="C53" s="1" t="str">
        <v>TR-2603</v>
      </c>
      <c r="D53" s="1" t="str">
        <v>Funding payroll account to Mandiri - Mar</v>
      </c>
      <c r="E53" s="5">
        <v>0</v>
      </c>
      <c r="F53" s="5">
        <v>307134938</v>
      </c>
      <c r="G53" s="5">
        <v>1350788928</v>
      </c>
      <c r="H53" s="1" t="str">
        <v>Auto-Payroll</v>
      </c>
    </row>
    <row r="54" spans="2:8" x14ac:dyDescent="0.35">
      <c r="B54" s="109">
        <v>46109</v>
      </c>
      <c r="C54" s="1" t="str">
        <v>VP-2603</v>
      </c>
      <c r="D54" s="1" t="str">
        <v>VAT payment (prior month SPT Masa)</v>
      </c>
      <c r="E54" s="5">
        <v>0</v>
      </c>
      <c r="F54" s="5">
        <v>46093960</v>
      </c>
      <c r="G54" s="5">
        <v>1304694968</v>
      </c>
      <c r="H54" s="1" t="str">
        <v>Auto-Tax</v>
      </c>
    </row>
    <row r="55" spans="2:8" x14ac:dyDescent="0.35">
      <c r="B55" s="109">
        <v>46109</v>
      </c>
      <c r="C55" s="1" t="str">
        <v>LN-2603</v>
      </c>
      <c r="D55" s="1" t="str">
        <v>Long-term loan installment - Mar</v>
      </c>
      <c r="E55" s="5">
        <v>0</v>
      </c>
      <c r="F55" s="5">
        <v>35875000</v>
      </c>
      <c r="G55" s="5">
        <v>1268819968</v>
      </c>
      <c r="H55" s="1" t="str">
        <v>Manual</v>
      </c>
    </row>
    <row r="56" spans="2:8" x14ac:dyDescent="0.35">
      <c r="B56" s="109">
        <v>46109</v>
      </c>
      <c r="C56" s="1" t="str">
        <v>STI-2603</v>
      </c>
      <c r="D56" s="1" t="str">
        <v>Short-term loan interest - Mar</v>
      </c>
      <c r="E56" s="5">
        <v>0</v>
      </c>
      <c r="F56" s="5">
        <v>2500000</v>
      </c>
      <c r="G56" s="5">
        <v>1266319968</v>
      </c>
      <c r="H56" s="1" t="str">
        <v>Manual</v>
      </c>
    </row>
    <row r="57" spans="2:8" x14ac:dyDescent="0.35">
      <c r="B57" s="109">
        <v>46112</v>
      </c>
      <c r="C57" s="1" t="str">
        <v>SJ-2603</v>
      </c>
      <c r="D57" s="1" t="str">
        <v>QRIS / transfer sales settlement - Mar</v>
      </c>
      <c r="E57" s="5">
        <v>255816150</v>
      </c>
      <c r="F57" s="5">
        <v>0</v>
      </c>
      <c r="G57" s="5">
        <v>1522136118</v>
      </c>
      <c r="H57" s="1" t="str">
        <v>Auto-Sales</v>
      </c>
    </row>
    <row r="58" spans="2:8" x14ac:dyDescent="0.35">
      <c r="B58" s="109">
        <v>46112</v>
      </c>
      <c r="C58" s="1" t="str">
        <v>CD-2603</v>
      </c>
      <c r="D58" s="1" t="str">
        <v>Cash deposit to BCA - Mar</v>
      </c>
      <c r="E58" s="5">
        <v>181240800</v>
      </c>
      <c r="F58" s="5">
        <v>0</v>
      </c>
      <c r="G58" s="5">
        <v>1703376918</v>
      </c>
      <c r="H58" s="1" t="str">
        <v>Auto-Sales</v>
      </c>
    </row>
    <row r="59" spans="2:8" x14ac:dyDescent="0.35">
      <c r="B59" s="109">
        <v>46112</v>
      </c>
      <c r="C59" s="1" t="str">
        <v>PV-2603</v>
      </c>
      <c r="D59" s="1" t="str">
        <v>Vendor payments batch - Mar</v>
      </c>
      <c r="E59" s="5">
        <v>0</v>
      </c>
      <c r="F59" s="5">
        <v>712602930</v>
      </c>
      <c r="G59" s="5">
        <v>990773988</v>
      </c>
      <c r="H59" s="1" t="str">
        <v>Auto-Payments</v>
      </c>
    </row>
    <row r="60" spans="2:8" x14ac:dyDescent="0.35">
      <c r="B60" s="109">
        <v>46112</v>
      </c>
      <c r="C60" s="1" t="str">
        <v>DI-2603</v>
      </c>
      <c r="D60" s="1" t="str">
        <v>Time deposit interest (net) - Mar</v>
      </c>
      <c r="E60" s="5">
        <v>1333333</v>
      </c>
      <c r="F60" s="5">
        <v>0</v>
      </c>
      <c r="G60" s="5">
        <v>992107321</v>
      </c>
      <c r="H60" s="1" t="str">
        <v>Manual</v>
      </c>
    </row>
    <row r="61" spans="2:8" x14ac:dyDescent="0.35">
      <c r="B61" s="109">
        <v>46112</v>
      </c>
      <c r="C61" s="1" t="str">
        <v>CI-2603-BCA</v>
      </c>
      <c r="D61" s="1" t="str">
        <v>Current account interest - BCA Mar</v>
      </c>
      <c r="E61" s="5">
        <v>493692</v>
      </c>
      <c r="F61" s="5">
        <v>0</v>
      </c>
      <c r="G61" s="5">
        <v>992601013</v>
      </c>
      <c r="H61" s="1" t="str">
        <v>Manual</v>
      </c>
    </row>
    <row r="62" spans="2:8" x14ac:dyDescent="0.35">
      <c r="B62" s="109">
        <v>46112</v>
      </c>
      <c r="C62" s="1" t="str">
        <v>CT-2603-BCA</v>
      </c>
      <c r="D62" s="1" t="str">
        <v>Final tax on interest - BCA Mar</v>
      </c>
      <c r="E62" s="5">
        <v>0</v>
      </c>
      <c r="F62" s="5">
        <v>98738</v>
      </c>
      <c r="G62" s="5">
        <v>992502275</v>
      </c>
      <c r="H62" s="1" t="str">
        <v>Manual</v>
      </c>
    </row>
    <row r="63" spans="2:8" x14ac:dyDescent="0.35">
      <c r="B63" s="109">
        <v>46112</v>
      </c>
      <c r="C63" s="1" t="str">
        <v>BC-2603-BCA</v>
      </c>
      <c r="D63" s="1" t="str">
        <v>Bank admin fee - BCA Mar</v>
      </c>
      <c r="E63" s="5">
        <v>0</v>
      </c>
      <c r="F63" s="5">
        <v>150000</v>
      </c>
      <c r="G63" s="5">
        <v>992352275</v>
      </c>
      <c r="H63" s="1" t="str">
        <v>Manual</v>
      </c>
    </row>
    <row r="64" spans="2:8" x14ac:dyDescent="0.35">
      <c r="B64" s="109">
        <v>46122</v>
      </c>
      <c r="C64" s="1" t="str">
        <v>P21-2604</v>
      </c>
      <c r="D64" s="1" t="str">
        <v>PPh 21 payment (prior month)</v>
      </c>
      <c r="E64" s="5">
        <v>0</v>
      </c>
      <c r="F64" s="5">
        <v>42979692</v>
      </c>
      <c r="G64" s="5">
        <v>949372583</v>
      </c>
      <c r="H64" s="1" t="str">
        <v>Auto-Tax</v>
      </c>
    </row>
    <row r="65" spans="2:8" x14ac:dyDescent="0.35">
      <c r="B65" s="109">
        <v>46122</v>
      </c>
      <c r="C65" s="1" t="str">
        <v>BPJ-2604</v>
      </c>
      <c r="D65" s="1" t="str">
        <v>BPJS contributions payment (prior month)</v>
      </c>
      <c r="E65" s="5">
        <v>0</v>
      </c>
      <c r="F65" s="5">
        <v>22077790</v>
      </c>
      <c r="G65" s="5">
        <v>927294793</v>
      </c>
      <c r="H65" s="1" t="str">
        <v>Auto-Tax</v>
      </c>
    </row>
    <row r="66" spans="2:8" x14ac:dyDescent="0.35">
      <c r="B66" s="109">
        <v>46127</v>
      </c>
      <c r="C66" s="1" t="str">
        <v>WP-2604</v>
      </c>
      <c r="D66" s="1" t="str">
        <v>PPh Unifikasi payment (prior month)</v>
      </c>
      <c r="E66" s="5">
        <v>0</v>
      </c>
      <c r="F66" s="5">
        <v>1199420</v>
      </c>
      <c r="G66" s="5">
        <v>926095373</v>
      </c>
      <c r="H66" s="1" t="str">
        <v>Auto-Tax</v>
      </c>
    </row>
    <row r="67" spans="2:8" x14ac:dyDescent="0.35">
      <c r="B67" s="109">
        <v>46127</v>
      </c>
      <c r="C67" s="1" t="str">
        <v>P25-2604</v>
      </c>
      <c r="D67" s="1" t="str">
        <v>PPh 25 installment - Apr</v>
      </c>
      <c r="E67" s="5">
        <v>0</v>
      </c>
      <c r="F67" s="5">
        <v>20000000</v>
      </c>
      <c r="G67" s="5">
        <v>906095373</v>
      </c>
      <c r="H67" s="1" t="str">
        <v>Auto-Tax</v>
      </c>
    </row>
    <row r="68" spans="2:8" x14ac:dyDescent="0.35">
      <c r="B68" s="109">
        <v>46132</v>
      </c>
      <c r="C68" s="1" t="str">
        <v>RC-2604</v>
      </c>
      <c r="D68" s="1" t="str">
        <v>Customer collections (prior month credit sales) - Apr</v>
      </c>
      <c r="E68" s="5">
        <v>1047529200</v>
      </c>
      <c r="F68" s="5">
        <v>0</v>
      </c>
      <c r="G68" s="5">
        <v>1953624573</v>
      </c>
      <c r="H68" s="1" t="str">
        <v>Auto-Collections</v>
      </c>
    </row>
    <row r="69" spans="2:8" x14ac:dyDescent="0.35">
      <c r="B69" s="109">
        <v>46136</v>
      </c>
      <c r="C69" s="1" t="str">
        <v>TR-2604</v>
      </c>
      <c r="D69" s="1" t="str">
        <v>Funding payroll account to Mandiri - Apr</v>
      </c>
      <c r="E69" s="5">
        <v>0</v>
      </c>
      <c r="F69" s="5">
        <v>161397799</v>
      </c>
      <c r="G69" s="5">
        <v>1792226774</v>
      </c>
      <c r="H69" s="1" t="str">
        <v>Auto-Payroll</v>
      </c>
    </row>
    <row r="70" spans="2:8" x14ac:dyDescent="0.35">
      <c r="B70" s="109">
        <v>46140</v>
      </c>
      <c r="C70" s="1" t="str">
        <v>VP-2604</v>
      </c>
      <c r="D70" s="1" t="str">
        <v>VAT payment (prior month SPT Masa)</v>
      </c>
      <c r="E70" s="5">
        <v>0</v>
      </c>
      <c r="F70" s="5">
        <v>43483770</v>
      </c>
      <c r="G70" s="5">
        <v>1748743004</v>
      </c>
      <c r="H70" s="1" t="str">
        <v>Auto-Tax</v>
      </c>
    </row>
    <row r="71" spans="2:8" x14ac:dyDescent="0.35">
      <c r="B71" s="109">
        <v>46140</v>
      </c>
      <c r="C71" s="1" t="str">
        <v>LN-2604</v>
      </c>
      <c r="D71" s="1" t="str">
        <v>Long-term loan installment - Apr</v>
      </c>
      <c r="E71" s="5">
        <v>0</v>
      </c>
      <c r="F71" s="5">
        <v>35687500</v>
      </c>
      <c r="G71" s="5">
        <v>1713055504</v>
      </c>
      <c r="H71" s="1" t="str">
        <v>Manual</v>
      </c>
    </row>
    <row r="72" spans="2:8" x14ac:dyDescent="0.35">
      <c r="B72" s="109">
        <v>46140</v>
      </c>
      <c r="C72" s="1" t="str">
        <v>STI-2604</v>
      </c>
      <c r="D72" s="1" t="str">
        <v>Short-term loan interest - Apr</v>
      </c>
      <c r="E72" s="5">
        <v>0</v>
      </c>
      <c r="F72" s="5">
        <v>2500000</v>
      </c>
      <c r="G72" s="5">
        <v>1710555504</v>
      </c>
      <c r="H72" s="1" t="str">
        <v>Manual</v>
      </c>
    </row>
    <row r="73" spans="2:8" x14ac:dyDescent="0.35">
      <c r="B73" s="109">
        <v>46140</v>
      </c>
      <c r="C73" s="1" t="str">
        <v>P29-2604</v>
      </c>
      <c r="D73" s="1" t="str">
        <v>PPh 29 payment - FY2025 annual return</v>
      </c>
      <c r="E73" s="5">
        <v>0</v>
      </c>
      <c r="F73" s="5">
        <v>60000000</v>
      </c>
      <c r="G73" s="5">
        <v>1650555504</v>
      </c>
      <c r="H73" s="1" t="str">
        <v>Auto-Tax</v>
      </c>
    </row>
    <row r="74" spans="2:8" x14ac:dyDescent="0.35">
      <c r="B74" s="109">
        <v>46142</v>
      </c>
      <c r="C74" s="1" t="str">
        <v>SJ-2604</v>
      </c>
      <c r="D74" s="1" t="str">
        <v>QRIS / transfer sales settlement - Apr</v>
      </c>
      <c r="E74" s="5">
        <v>215184600</v>
      </c>
      <c r="F74" s="5">
        <v>0</v>
      </c>
      <c r="G74" s="5">
        <v>1865740104</v>
      </c>
      <c r="H74" s="1" t="str">
        <v>Auto-Sales</v>
      </c>
    </row>
    <row r="75" spans="2:8" x14ac:dyDescent="0.35">
      <c r="B75" s="109">
        <v>46142</v>
      </c>
      <c r="C75" s="1" t="str">
        <v>CD-2604</v>
      </c>
      <c r="D75" s="1" t="str">
        <v>Cash deposit to BCA - Apr</v>
      </c>
      <c r="E75" s="5">
        <v>135875100</v>
      </c>
      <c r="F75" s="5">
        <v>0</v>
      </c>
      <c r="G75" s="5">
        <v>2001615204</v>
      </c>
      <c r="H75" s="1" t="str">
        <v>Auto-Sales</v>
      </c>
    </row>
    <row r="76" spans="2:8" x14ac:dyDescent="0.35">
      <c r="B76" s="109">
        <v>46142</v>
      </c>
      <c r="C76" s="1" t="str">
        <v>PV-2604</v>
      </c>
      <c r="D76" s="1" t="str">
        <v>Vendor payments batch - Apr</v>
      </c>
      <c r="E76" s="5">
        <v>0</v>
      </c>
      <c r="F76" s="5">
        <v>1226192220</v>
      </c>
      <c r="G76" s="5">
        <v>775422984</v>
      </c>
      <c r="H76" s="1" t="str">
        <v>Auto-Payments</v>
      </c>
    </row>
    <row r="77" spans="2:8" x14ac:dyDescent="0.35">
      <c r="B77" s="109">
        <v>46142</v>
      </c>
      <c r="C77" s="1" t="str">
        <v>DI-2604</v>
      </c>
      <c r="D77" s="1" t="str">
        <v>Time deposit interest (net) - Apr</v>
      </c>
      <c r="E77" s="5">
        <v>1333333</v>
      </c>
      <c r="F77" s="5">
        <v>0</v>
      </c>
      <c r="G77" s="5">
        <v>776756317</v>
      </c>
      <c r="H77" s="1" t="str">
        <v>Manual</v>
      </c>
    </row>
    <row r="78" spans="2:8" x14ac:dyDescent="0.35">
      <c r="B78" s="109">
        <v>46142</v>
      </c>
      <c r="C78" s="1" t="str">
        <v>CI-2604-BCA</v>
      </c>
      <c r="D78" s="1" t="str">
        <v>Current account interest - BCA Apr</v>
      </c>
      <c r="E78" s="5">
        <v>424147</v>
      </c>
      <c r="F78" s="5">
        <v>0</v>
      </c>
      <c r="G78" s="5">
        <v>777180464</v>
      </c>
      <c r="H78" s="1" t="str">
        <v>Manual</v>
      </c>
    </row>
    <row r="79" spans="2:8" x14ac:dyDescent="0.35">
      <c r="B79" s="109">
        <v>46142</v>
      </c>
      <c r="C79" s="1" t="str">
        <v>CT-2604-BCA</v>
      </c>
      <c r="D79" s="1" t="str">
        <v>Final tax on interest - BCA Apr</v>
      </c>
      <c r="E79" s="5">
        <v>0</v>
      </c>
      <c r="F79" s="5">
        <v>84829</v>
      </c>
      <c r="G79" s="5">
        <v>777095635</v>
      </c>
      <c r="H79" s="1" t="str">
        <v>Manual</v>
      </c>
    </row>
    <row r="80" spans="2:8" x14ac:dyDescent="0.35">
      <c r="B80" s="109">
        <v>46142</v>
      </c>
      <c r="C80" s="1" t="str">
        <v>BC-2604-BCA</v>
      </c>
      <c r="D80" s="1" t="str">
        <v>Bank admin fee - BCA Apr</v>
      </c>
      <c r="E80" s="5">
        <v>0</v>
      </c>
      <c r="F80" s="5">
        <v>150000</v>
      </c>
      <c r="G80" s="5">
        <v>776945635</v>
      </c>
      <c r="H80" s="1" t="str">
        <v>Manual</v>
      </c>
    </row>
    <row r="81" spans="2:8" x14ac:dyDescent="0.35">
      <c r="B81" s="109">
        <v>46152</v>
      </c>
      <c r="C81" s="1" t="str">
        <v>P21-2605</v>
      </c>
      <c r="D81" s="1" t="str">
        <v>PPh 21 payment (prior month)</v>
      </c>
      <c r="E81" s="5">
        <v>0</v>
      </c>
      <c r="F81" s="5">
        <v>10516831</v>
      </c>
      <c r="G81" s="5">
        <v>766428804</v>
      </c>
      <c r="H81" s="1" t="str">
        <v>Auto-Tax</v>
      </c>
    </row>
    <row r="82" spans="2:8" x14ac:dyDescent="0.35">
      <c r="B82" s="109">
        <v>46152</v>
      </c>
      <c r="C82" s="1" t="str">
        <v>BPJ-2605</v>
      </c>
      <c r="D82" s="1" t="str">
        <v>BPJS contributions payment (prior month)</v>
      </c>
      <c r="E82" s="5">
        <v>0</v>
      </c>
      <c r="F82" s="5">
        <v>22077790</v>
      </c>
      <c r="G82" s="5">
        <v>744351014</v>
      </c>
      <c r="H82" s="1" t="str">
        <v>Auto-Tax</v>
      </c>
    </row>
    <row r="83" spans="2:8" x14ac:dyDescent="0.35">
      <c r="B83" s="109">
        <v>46157</v>
      </c>
      <c r="C83" s="1" t="str">
        <v>WP-2605</v>
      </c>
      <c r="D83" s="1" t="str">
        <v>PPh Unifikasi payment (prior month)</v>
      </c>
      <c r="E83" s="5">
        <v>0</v>
      </c>
      <c r="F83" s="5">
        <v>1897080</v>
      </c>
      <c r="G83" s="5">
        <v>742453934</v>
      </c>
      <c r="H83" s="1" t="str">
        <v>Auto-Tax</v>
      </c>
    </row>
    <row r="84" spans="2:8" x14ac:dyDescent="0.35">
      <c r="B84" s="109">
        <v>46157</v>
      </c>
      <c r="C84" s="1" t="str">
        <v>P25-2605</v>
      </c>
      <c r="D84" s="1" t="str">
        <v>PPh 25 installment - May</v>
      </c>
      <c r="E84" s="5">
        <v>0</v>
      </c>
      <c r="F84" s="5">
        <v>20000000</v>
      </c>
      <c r="G84" s="5">
        <v>722453934</v>
      </c>
      <c r="H84" s="1" t="str">
        <v>Auto-Tax</v>
      </c>
    </row>
    <row r="85" spans="2:8" x14ac:dyDescent="0.35">
      <c r="B85" s="109">
        <v>46162</v>
      </c>
      <c r="C85" s="1" t="str">
        <v>RC-2605</v>
      </c>
      <c r="D85" s="1" t="str">
        <v>Customer collections (prior month credit sales) - May</v>
      </c>
      <c r="E85" s="5">
        <v>865400400</v>
      </c>
      <c r="F85" s="5">
        <v>0</v>
      </c>
      <c r="G85" s="5">
        <v>1587854334</v>
      </c>
      <c r="H85" s="1" t="str">
        <v>Auto-Collections</v>
      </c>
    </row>
    <row r="86" spans="2:8" x14ac:dyDescent="0.35">
      <c r="B86" s="109">
        <v>46166</v>
      </c>
      <c r="C86" s="1" t="str">
        <v>TR-2605</v>
      </c>
      <c r="D86" s="1" t="str">
        <v>Funding payroll account to Mandiri - May</v>
      </c>
      <c r="E86" s="5">
        <v>0</v>
      </c>
      <c r="F86" s="5">
        <v>161397799</v>
      </c>
      <c r="G86" s="5">
        <v>1426456535</v>
      </c>
      <c r="H86" s="1" t="str">
        <v>Auto-Payroll</v>
      </c>
    </row>
    <row r="87" spans="2:8" x14ac:dyDescent="0.35">
      <c r="B87" s="109">
        <v>46170</v>
      </c>
      <c r="C87" s="1" t="str">
        <v>VP-2605</v>
      </c>
      <c r="D87" s="1" t="str">
        <v>VAT payment (prior month SPT Masa)</v>
      </c>
      <c r="E87" s="5">
        <v>0</v>
      </c>
      <c r="F87" s="5">
        <v>45837770</v>
      </c>
      <c r="G87" s="5">
        <v>1380618765</v>
      </c>
      <c r="H87" s="1" t="str">
        <v>Auto-Tax</v>
      </c>
    </row>
    <row r="88" spans="2:8" x14ac:dyDescent="0.35">
      <c r="B88" s="109">
        <v>46170</v>
      </c>
      <c r="C88" s="1" t="str">
        <v>LN-2605</v>
      </c>
      <c r="D88" s="1" t="str">
        <v>Long-term loan installment - May</v>
      </c>
      <c r="E88" s="5">
        <v>0</v>
      </c>
      <c r="F88" s="5">
        <v>35500000</v>
      </c>
      <c r="G88" s="5">
        <v>1345118765</v>
      </c>
      <c r="H88" s="1" t="str">
        <v>Manual</v>
      </c>
    </row>
    <row r="89" spans="2:8" x14ac:dyDescent="0.35">
      <c r="B89" s="109">
        <v>46170</v>
      </c>
      <c r="C89" s="1" t="str">
        <v>STI-2605</v>
      </c>
      <c r="D89" s="1" t="str">
        <v>Short-term loan interest - May</v>
      </c>
      <c r="E89" s="5">
        <v>0</v>
      </c>
      <c r="F89" s="5">
        <v>2500000</v>
      </c>
      <c r="G89" s="5">
        <v>1342618765</v>
      </c>
      <c r="H89" s="1" t="str">
        <v>Manual</v>
      </c>
    </row>
    <row r="90" spans="2:8" x14ac:dyDescent="0.35">
      <c r="B90" s="109">
        <v>46170</v>
      </c>
      <c r="C90" s="1" t="str">
        <v>DIV-2605</v>
      </c>
      <c r="D90" s="1" t="str">
        <v>Cash dividend FY2025</v>
      </c>
      <c r="E90" s="5">
        <v>0</v>
      </c>
      <c r="F90" s="5">
        <v>300000000</v>
      </c>
      <c r="G90" s="5">
        <v>1042618765</v>
      </c>
      <c r="H90" s="1" t="str">
        <v>Manual</v>
      </c>
    </row>
    <row r="91" spans="2:8" x14ac:dyDescent="0.35">
      <c r="B91" s="109">
        <v>46173</v>
      </c>
      <c r="C91" s="1" t="str">
        <v>SJ-2605</v>
      </c>
      <c r="D91" s="1" t="str">
        <v>QRIS / transfer sales settlement - May</v>
      </c>
      <c r="E91" s="5">
        <v>199616850</v>
      </c>
      <c r="F91" s="5">
        <v>0</v>
      </c>
      <c r="G91" s="5">
        <v>1242235615</v>
      </c>
      <c r="H91" s="1" t="str">
        <v>Auto-Sales</v>
      </c>
    </row>
    <row r="92" spans="2:8" x14ac:dyDescent="0.35">
      <c r="B92" s="109">
        <v>46173</v>
      </c>
      <c r="C92" s="1" t="str">
        <v>CD-2605</v>
      </c>
      <c r="D92" s="1" t="str">
        <v>Cash deposit to BCA - May</v>
      </c>
      <c r="E92" s="5">
        <v>159684600</v>
      </c>
      <c r="F92" s="5">
        <v>0</v>
      </c>
      <c r="G92" s="5">
        <v>1401920215</v>
      </c>
      <c r="H92" s="1" t="str">
        <v>Auto-Sales</v>
      </c>
    </row>
    <row r="93" spans="2:8" x14ac:dyDescent="0.35">
      <c r="B93" s="109">
        <v>46173</v>
      </c>
      <c r="C93" s="1" t="str">
        <v>PV-2605</v>
      </c>
      <c r="D93" s="1" t="str">
        <v>Vendor payments batch - May</v>
      </c>
      <c r="E93" s="5">
        <v>0</v>
      </c>
      <c r="F93" s="5">
        <v>790052030</v>
      </c>
      <c r="G93" s="5">
        <v>611868185</v>
      </c>
      <c r="H93" s="1" t="str">
        <v>Auto-Payments</v>
      </c>
    </row>
    <row r="94" spans="2:8" x14ac:dyDescent="0.35">
      <c r="B94" s="109">
        <v>46173</v>
      </c>
      <c r="C94" s="1" t="str">
        <v>DI-2605</v>
      </c>
      <c r="D94" s="1" t="str">
        <v>Time deposit interest (net) - May</v>
      </c>
      <c r="E94" s="5">
        <v>1333333</v>
      </c>
      <c r="F94" s="5">
        <v>0</v>
      </c>
      <c r="G94" s="5">
        <v>613201518</v>
      </c>
      <c r="H94" s="1" t="str">
        <v>Manual</v>
      </c>
    </row>
    <row r="95" spans="2:8" x14ac:dyDescent="0.35">
      <c r="B95" s="109">
        <v>46173</v>
      </c>
      <c r="C95" s="1" t="str">
        <v>CI-2605-BCA</v>
      </c>
      <c r="D95" s="1" t="str">
        <v>Current account interest - BCA May</v>
      </c>
      <c r="E95" s="5">
        <v>438506</v>
      </c>
      <c r="F95" s="5">
        <v>0</v>
      </c>
      <c r="G95" s="5">
        <v>613640024</v>
      </c>
      <c r="H95" s="1" t="str">
        <v>Manual</v>
      </c>
    </row>
    <row r="96" spans="2:8" x14ac:dyDescent="0.35">
      <c r="B96" s="109">
        <v>46173</v>
      </c>
      <c r="C96" s="1" t="str">
        <v>CT-2605-BCA</v>
      </c>
      <c r="D96" s="1" t="str">
        <v>Final tax on interest - BCA May</v>
      </c>
      <c r="E96" s="5">
        <v>0</v>
      </c>
      <c r="F96" s="5">
        <v>87701</v>
      </c>
      <c r="G96" s="5">
        <v>613552323</v>
      </c>
      <c r="H96" s="1" t="str">
        <v>Manual</v>
      </c>
    </row>
    <row r="97" spans="2:8" x14ac:dyDescent="0.35">
      <c r="B97" s="109">
        <v>46173</v>
      </c>
      <c r="C97" s="1" t="str">
        <v>BC-2605-BCA</v>
      </c>
      <c r="D97" s="1" t="str">
        <v>Bank admin fee - BCA May</v>
      </c>
      <c r="E97" s="5">
        <v>0</v>
      </c>
      <c r="F97" s="5">
        <v>150000</v>
      </c>
      <c r="G97" s="5">
        <v>613402323</v>
      </c>
      <c r="H97" s="1" t="str">
        <v>Manual</v>
      </c>
    </row>
    <row r="98" spans="2:8" x14ac:dyDescent="0.35">
      <c r="B98" s="109">
        <v>46183</v>
      </c>
      <c r="C98" s="1" t="str">
        <v>P21-2606</v>
      </c>
      <c r="D98" s="1" t="str">
        <v>PPh 21 payment (prior month)</v>
      </c>
      <c r="E98" s="5">
        <v>0</v>
      </c>
      <c r="F98" s="5">
        <v>10516831</v>
      </c>
      <c r="G98" s="5">
        <v>602885492</v>
      </c>
      <c r="H98" s="1" t="str">
        <v>Auto-Tax</v>
      </c>
    </row>
    <row r="99" spans="2:8" x14ac:dyDescent="0.35">
      <c r="B99" s="109">
        <v>46183</v>
      </c>
      <c r="C99" s="1" t="str">
        <v>BPJ-2606</v>
      </c>
      <c r="D99" s="1" t="str">
        <v>BPJS contributions payment (prior month)</v>
      </c>
      <c r="E99" s="5">
        <v>0</v>
      </c>
      <c r="F99" s="5">
        <v>22077790</v>
      </c>
      <c r="G99" s="5">
        <v>580807702</v>
      </c>
      <c r="H99" s="1" t="str">
        <v>Auto-Tax</v>
      </c>
    </row>
    <row r="100" spans="2:8" x14ac:dyDescent="0.35">
      <c r="B100" s="109">
        <v>46188</v>
      </c>
      <c r="C100" s="1" t="str">
        <v>WP-2606</v>
      </c>
      <c r="D100" s="1" t="str">
        <v>PPh Unifikasi payment (prior month)</v>
      </c>
      <c r="E100" s="5">
        <v>0</v>
      </c>
      <c r="F100" s="5">
        <v>562240</v>
      </c>
      <c r="G100" s="5">
        <v>580245462</v>
      </c>
      <c r="H100" s="1" t="str">
        <v>Auto-Tax</v>
      </c>
    </row>
    <row r="101" spans="2:8" x14ac:dyDescent="0.35">
      <c r="B101" s="109">
        <v>46188</v>
      </c>
      <c r="C101" s="1" t="str">
        <v>P25-2606</v>
      </c>
      <c r="D101" s="1" t="str">
        <v>PPh 25 installment - Jun</v>
      </c>
      <c r="E101" s="5">
        <v>0</v>
      </c>
      <c r="F101" s="5">
        <v>20000000</v>
      </c>
      <c r="G101" s="5">
        <v>560245462</v>
      </c>
      <c r="H101" s="1" t="str">
        <v>Auto-Tax</v>
      </c>
    </row>
    <row r="102" spans="2:8" x14ac:dyDescent="0.35">
      <c r="B102" s="109">
        <v>46193</v>
      </c>
      <c r="C102" s="1" t="str">
        <v>RC-2606</v>
      </c>
      <c r="D102" s="1" t="str">
        <v>Customer collections (prior month credit sales) - Jun</v>
      </c>
      <c r="E102" s="5">
        <v>845242800</v>
      </c>
      <c r="F102" s="5">
        <v>0</v>
      </c>
      <c r="G102" s="5">
        <v>1405488262</v>
      </c>
      <c r="H102" s="1" t="str">
        <v>Auto-Collections</v>
      </c>
    </row>
    <row r="103" spans="2:8" x14ac:dyDescent="0.35">
      <c r="B103" s="109">
        <v>46197</v>
      </c>
      <c r="C103" s="1" t="str">
        <v>TR-2606</v>
      </c>
      <c r="D103" s="1" t="str">
        <v>Funding payroll account to Mandiri - Jun</v>
      </c>
      <c r="E103" s="5">
        <v>0</v>
      </c>
      <c r="F103" s="5">
        <v>161397799</v>
      </c>
      <c r="G103" s="5">
        <v>1244090463</v>
      </c>
      <c r="H103" s="1" t="str">
        <v>Auto-Payroll</v>
      </c>
    </row>
    <row r="104" spans="2:8" x14ac:dyDescent="0.35">
      <c r="B104" s="109">
        <v>46201</v>
      </c>
      <c r="C104" s="1" t="str">
        <v>VP-2606</v>
      </c>
      <c r="D104" s="1" t="str">
        <v>VAT payment (prior month SPT Masa)</v>
      </c>
      <c r="E104" s="5">
        <v>0</v>
      </c>
      <c r="F104" s="5">
        <v>52409830</v>
      </c>
      <c r="G104" s="5">
        <v>1191680633</v>
      </c>
      <c r="H104" s="1" t="str">
        <v>Auto-Tax</v>
      </c>
    </row>
    <row r="105" spans="2:8" x14ac:dyDescent="0.35">
      <c r="B105" s="109">
        <v>46201</v>
      </c>
      <c r="C105" s="1" t="str">
        <v>LN-2606</v>
      </c>
      <c r="D105" s="1" t="str">
        <v>Long-term loan installment - Jun</v>
      </c>
      <c r="E105" s="5">
        <v>0</v>
      </c>
      <c r="F105" s="5">
        <v>35312500</v>
      </c>
      <c r="G105" s="5">
        <v>1156368133</v>
      </c>
      <c r="H105" s="1" t="str">
        <v>Manual</v>
      </c>
    </row>
    <row r="106" spans="2:8" x14ac:dyDescent="0.35">
      <c r="B106" s="109">
        <v>46201</v>
      </c>
      <c r="C106" s="1" t="str">
        <v>STI-2606</v>
      </c>
      <c r="D106" s="1" t="str">
        <v>Short-term loan interest - Jun</v>
      </c>
      <c r="E106" s="5">
        <v>0</v>
      </c>
      <c r="F106" s="5">
        <v>2500000</v>
      </c>
      <c r="G106" s="5">
        <v>1153868133</v>
      </c>
      <c r="H106" s="1" t="str">
        <v>Manual</v>
      </c>
    </row>
    <row r="107" spans="2:8" x14ac:dyDescent="0.35">
      <c r="B107" s="109">
        <v>46203</v>
      </c>
      <c r="C107" s="1" t="str">
        <v>SJ-2606</v>
      </c>
      <c r="D107" s="1" t="str">
        <v>QRIS / transfer sales settlement - Jun</v>
      </c>
      <c r="E107" s="5">
        <v>208063950</v>
      </c>
      <c r="F107" s="5">
        <v>0</v>
      </c>
      <c r="G107" s="5">
        <v>1361932083</v>
      </c>
      <c r="H107" s="1" t="str">
        <v>Auto-Sales</v>
      </c>
    </row>
    <row r="108" spans="2:8" x14ac:dyDescent="0.35">
      <c r="B108" s="109">
        <v>46203</v>
      </c>
      <c r="C108" s="1" t="str">
        <v>CD-2606</v>
      </c>
      <c r="D108" s="1" t="str">
        <v>Cash deposit to BCA - Jun</v>
      </c>
      <c r="E108" s="5">
        <v>143900400</v>
      </c>
      <c r="F108" s="5">
        <v>0</v>
      </c>
      <c r="G108" s="5">
        <v>1505832483</v>
      </c>
      <c r="H108" s="1" t="str">
        <v>Auto-Sales</v>
      </c>
    </row>
    <row r="109" spans="2:8" x14ac:dyDescent="0.35">
      <c r="B109" s="109">
        <v>46203</v>
      </c>
      <c r="C109" s="1" t="str">
        <v>PV-2606</v>
      </c>
      <c r="D109" s="1" t="str">
        <v>Vendor payments batch - Jun</v>
      </c>
      <c r="E109" s="5">
        <v>0</v>
      </c>
      <c r="F109" s="5">
        <v>855877350</v>
      </c>
      <c r="G109" s="5">
        <v>649955133</v>
      </c>
      <c r="H109" s="1" t="str">
        <v>Auto-Payments</v>
      </c>
    </row>
    <row r="110" spans="2:8" x14ac:dyDescent="0.35">
      <c r="B110" s="109">
        <v>46203</v>
      </c>
      <c r="C110" s="1" t="str">
        <v>DI-2606</v>
      </c>
      <c r="D110" s="1" t="str">
        <v>Time deposit interest (net) - Jun</v>
      </c>
      <c r="E110" s="5">
        <v>1333333</v>
      </c>
      <c r="F110" s="5">
        <v>0</v>
      </c>
      <c r="G110" s="5">
        <v>651288466</v>
      </c>
      <c r="H110" s="1" t="str">
        <v>Manual</v>
      </c>
    </row>
    <row r="111" spans="2:8" x14ac:dyDescent="0.35">
      <c r="B111" s="109">
        <v>46203</v>
      </c>
      <c r="C111" s="1" t="str">
        <v>CI-2606-BCA</v>
      </c>
      <c r="D111" s="1" t="str">
        <v>Current account interest - BCA Jun</v>
      </c>
      <c r="E111" s="5">
        <v>504305</v>
      </c>
      <c r="F111" s="5">
        <v>0</v>
      </c>
      <c r="G111" s="5">
        <v>651792771</v>
      </c>
      <c r="H111" s="1" t="str">
        <v>Manual</v>
      </c>
    </row>
    <row r="112" spans="2:8" x14ac:dyDescent="0.35">
      <c r="B112" s="109">
        <v>46203</v>
      </c>
      <c r="C112" s="1" t="str">
        <v>CT-2606-BCA</v>
      </c>
      <c r="D112" s="1" t="str">
        <v>Final tax on interest - BCA Jun</v>
      </c>
      <c r="E112" s="5">
        <v>0</v>
      </c>
      <c r="F112" s="5">
        <v>100861</v>
      </c>
      <c r="G112" s="5">
        <v>651691910</v>
      </c>
      <c r="H112" s="1" t="str">
        <v>Manual</v>
      </c>
    </row>
    <row r="113" spans="2:8" x14ac:dyDescent="0.35">
      <c r="B113" s="109">
        <v>46203</v>
      </c>
      <c r="C113" s="1" t="str">
        <v>BC-2606-BCA</v>
      </c>
      <c r="D113" s="1" t="str">
        <v>Bank admin fee - BCA Jun</v>
      </c>
      <c r="E113" s="5">
        <v>0</v>
      </c>
      <c r="F113" s="5">
        <v>150000</v>
      </c>
      <c r="G113" s="5">
        <v>651541910</v>
      </c>
      <c r="H113" s="1" t="str">
        <v>Manual</v>
      </c>
    </row>
    <row r="114" spans="2:8" x14ac:dyDescent="0.35">
      <c r="B114" s="109">
        <v>46203</v>
      </c>
      <c r="C114" s="1" t="str">
        <v>STR-2606</v>
      </c>
      <c r="D114" s="1" t="str">
        <v>Repayment of short-term bank loan</v>
      </c>
      <c r="E114" s="5">
        <v>0</v>
      </c>
      <c r="F114" s="5">
        <v>300000000</v>
      </c>
      <c r="G114" s="5">
        <v>351541910</v>
      </c>
      <c r="H114" s="1" t="str">
        <v>Manual</v>
      </c>
    </row>
    <row r="115" spans="2:8" x14ac:dyDescent="0.35">
      <c r="B115" s="109">
        <v>46213</v>
      </c>
      <c r="C115" s="1" t="str">
        <v>P21-2607</v>
      </c>
      <c r="D115" s="1" t="str">
        <v>PPh 21 payment (prior month)</v>
      </c>
      <c r="E115" s="5">
        <v>0</v>
      </c>
      <c r="F115" s="5">
        <v>10516831</v>
      </c>
      <c r="G115" s="5">
        <v>341025079</v>
      </c>
      <c r="H115" s="1" t="str">
        <v>Auto-Tax</v>
      </c>
    </row>
    <row r="116" spans="2:8" x14ac:dyDescent="0.35">
      <c r="B116" s="109">
        <v>46213</v>
      </c>
      <c r="C116" s="1" t="str">
        <v>BPJ-2607</v>
      </c>
      <c r="D116" s="1" t="str">
        <v>BPJS contributions payment (prior month)</v>
      </c>
      <c r="E116" s="5">
        <v>0</v>
      </c>
      <c r="F116" s="5">
        <v>22077790</v>
      </c>
      <c r="G116" s="5">
        <v>318947289</v>
      </c>
      <c r="H116" s="1" t="str">
        <v>Auto-Tax</v>
      </c>
    </row>
    <row r="117" spans="2:8" x14ac:dyDescent="0.35">
      <c r="B117" s="109">
        <v>46218</v>
      </c>
      <c r="C117" s="1" t="str">
        <v>WP-2607</v>
      </c>
      <c r="D117" s="1" t="str">
        <v>PPh Unifikasi payment (prior month)</v>
      </c>
      <c r="E117" s="5">
        <v>0</v>
      </c>
      <c r="F117" s="5">
        <v>1689120</v>
      </c>
      <c r="G117" s="5">
        <v>317258169</v>
      </c>
      <c r="H117" s="1" t="str">
        <v>Auto-Tax</v>
      </c>
    </row>
    <row r="118" spans="2:8" x14ac:dyDescent="0.35">
      <c r="B118" s="109">
        <v>46218</v>
      </c>
      <c r="C118" s="1" t="str">
        <v>P25-2607</v>
      </c>
      <c r="D118" s="1" t="str">
        <v>PPh 25 installment - Jul</v>
      </c>
      <c r="E118" s="5">
        <v>0</v>
      </c>
      <c r="F118" s="5">
        <v>20000000</v>
      </c>
      <c r="G118" s="5">
        <v>297258169</v>
      </c>
      <c r="H118" s="1" t="str">
        <v>Auto-Tax</v>
      </c>
    </row>
    <row r="119" spans="2:8" x14ac:dyDescent="0.35">
      <c r="B119" s="109">
        <v>46223</v>
      </c>
      <c r="C119" s="1" t="str">
        <v>RC-2607</v>
      </c>
      <c r="D119" s="1" t="str">
        <v>Customer collections (prior month credit sales) - Jul</v>
      </c>
      <c r="E119" s="5">
        <v>916771200</v>
      </c>
      <c r="F119" s="5">
        <v>0</v>
      </c>
      <c r="G119" s="5">
        <v>1214029369</v>
      </c>
      <c r="H119" s="1" t="str">
        <v>Auto-Collections</v>
      </c>
    </row>
    <row r="120" spans="2:8" x14ac:dyDescent="0.35">
      <c r="B120" s="109">
        <v>46227</v>
      </c>
      <c r="C120" s="1" t="str">
        <v>TR-2607</v>
      </c>
      <c r="D120" s="1" t="str">
        <v>Funding payroll account to Mandiri - Jul</v>
      </c>
      <c r="E120" s="5">
        <v>0</v>
      </c>
      <c r="F120" s="5">
        <v>161397799</v>
      </c>
      <c r="G120" s="5">
        <v>1052631570</v>
      </c>
      <c r="H120" s="1" t="str">
        <v>Auto-Payroll</v>
      </c>
    </row>
    <row r="121" spans="2:8" x14ac:dyDescent="0.35">
      <c r="B121" s="109">
        <v>46231</v>
      </c>
      <c r="C121" s="1" t="str">
        <v>VP-2607</v>
      </c>
      <c r="D121" s="1" t="str">
        <v>VAT payment (prior month SPT Masa)</v>
      </c>
      <c r="E121" s="5">
        <v>0</v>
      </c>
      <c r="F121" s="5">
        <v>44369710</v>
      </c>
      <c r="G121" s="5">
        <v>1008261860</v>
      </c>
      <c r="H121" s="1" t="str">
        <v>Auto-Tax</v>
      </c>
    </row>
    <row r="122" spans="2:8" x14ac:dyDescent="0.35">
      <c r="B122" s="109">
        <v>46231</v>
      </c>
      <c r="C122" s="1" t="str">
        <v>LN-2607</v>
      </c>
      <c r="D122" s="1" t="str">
        <v>Long-term loan installment - Jul</v>
      </c>
      <c r="E122" s="5">
        <v>0</v>
      </c>
      <c r="F122" s="5">
        <v>35125000</v>
      </c>
      <c r="G122" s="5">
        <v>973136860</v>
      </c>
      <c r="H122" s="1" t="str">
        <v>Manual</v>
      </c>
    </row>
    <row r="123" spans="2:8" x14ac:dyDescent="0.35">
      <c r="B123" s="109">
        <v>46234</v>
      </c>
      <c r="C123" s="1" t="str">
        <v>SJ-2607</v>
      </c>
      <c r="D123" s="1" t="str">
        <v>QRIS / transfer sales settlement - Jul</v>
      </c>
      <c r="E123" s="5">
        <v>241208550</v>
      </c>
      <c r="F123" s="5">
        <v>0</v>
      </c>
      <c r="G123" s="5">
        <v>1214345410</v>
      </c>
      <c r="H123" s="1" t="str">
        <v>Auto-Sales</v>
      </c>
    </row>
    <row r="124" spans="2:8" x14ac:dyDescent="0.35">
      <c r="B124" s="109">
        <v>46234</v>
      </c>
      <c r="C124" s="1" t="str">
        <v>CD-2607</v>
      </c>
      <c r="D124" s="1" t="str">
        <v>Cash deposit to BCA - Jul</v>
      </c>
      <c r="E124" s="5">
        <v>130968900</v>
      </c>
      <c r="F124" s="5">
        <v>0</v>
      </c>
      <c r="G124" s="5">
        <v>1345314310</v>
      </c>
      <c r="H124" s="1" t="str">
        <v>Auto-Sales</v>
      </c>
    </row>
    <row r="125" spans="2:8" x14ac:dyDescent="0.35">
      <c r="B125" s="109">
        <v>46234</v>
      </c>
      <c r="C125" s="1" t="str">
        <v>PV-2607</v>
      </c>
      <c r="D125" s="1" t="str">
        <v>Vendor payments batch - Jul</v>
      </c>
      <c r="E125" s="5">
        <v>0</v>
      </c>
      <c r="F125" s="5">
        <v>881629080</v>
      </c>
      <c r="G125" s="5">
        <v>463685230</v>
      </c>
      <c r="H125" s="1" t="str">
        <v>Auto-Payments</v>
      </c>
    </row>
    <row r="126" spans="2:8" x14ac:dyDescent="0.35">
      <c r="B126" s="109">
        <v>46234</v>
      </c>
      <c r="C126" s="1" t="str">
        <v>DI-2607</v>
      </c>
      <c r="D126" s="1" t="str">
        <v>Time deposit interest (net) - Jul</v>
      </c>
      <c r="E126" s="5">
        <v>1333333</v>
      </c>
      <c r="F126" s="5">
        <v>0</v>
      </c>
      <c r="G126" s="5">
        <v>465018563</v>
      </c>
      <c r="H126" s="1" t="str">
        <v>Manual</v>
      </c>
    </row>
    <row r="127" spans="2:8" x14ac:dyDescent="0.35">
      <c r="B127" s="109">
        <v>46234</v>
      </c>
      <c r="C127" s="1" t="str">
        <v>CI-2607-BCA</v>
      </c>
      <c r="D127" s="1" t="str">
        <v>Current account interest - BCA Jul</v>
      </c>
      <c r="E127" s="5">
        <v>483293</v>
      </c>
      <c r="F127" s="5">
        <v>0</v>
      </c>
      <c r="G127" s="5">
        <v>465501856</v>
      </c>
      <c r="H127" s="1" t="str">
        <v>Manual</v>
      </c>
    </row>
    <row r="128" spans="2:8" x14ac:dyDescent="0.35">
      <c r="B128" s="109">
        <v>46234</v>
      </c>
      <c r="C128" s="1" t="str">
        <v>CT-2607-BCA</v>
      </c>
      <c r="D128" s="1" t="str">
        <v>Final tax on interest - BCA Jul</v>
      </c>
      <c r="E128" s="5">
        <v>0</v>
      </c>
      <c r="F128" s="5">
        <v>96659</v>
      </c>
      <c r="G128" s="5">
        <v>465405197</v>
      </c>
      <c r="H128" s="1" t="str">
        <v>Manual</v>
      </c>
    </row>
    <row r="129" spans="2:8" x14ac:dyDescent="0.35">
      <c r="B129" s="109">
        <v>46234</v>
      </c>
      <c r="C129" s="1" t="str">
        <v>BC-2607-BCA</v>
      </c>
      <c r="D129" s="1" t="str">
        <v>Bank admin fee - BCA Jul</v>
      </c>
      <c r="E129" s="5">
        <v>0</v>
      </c>
      <c r="F129" s="5">
        <v>150000</v>
      </c>
      <c r="G129" s="5">
        <v>465255197</v>
      </c>
      <c r="H129" s="1" t="str">
        <v>Manual</v>
      </c>
    </row>
    <row r="130" spans="2:8" x14ac:dyDescent="0.35">
      <c r="B130" s="109">
        <v>46244</v>
      </c>
      <c r="C130" s="1" t="str">
        <v>P21-2608</v>
      </c>
      <c r="D130" s="1" t="str">
        <v>PPh 21 payment (prior month)</v>
      </c>
      <c r="E130" s="5">
        <v>0</v>
      </c>
      <c r="F130" s="5">
        <v>10516831</v>
      </c>
      <c r="G130" s="5">
        <v>454738366</v>
      </c>
      <c r="H130" s="1" t="str">
        <v>Auto-Tax</v>
      </c>
    </row>
    <row r="131" spans="2:8" x14ac:dyDescent="0.35">
      <c r="B131" s="109">
        <v>46244</v>
      </c>
      <c r="C131" s="1" t="str">
        <v>BPJ-2608</v>
      </c>
      <c r="D131" s="1" t="str">
        <v>BPJS contributions payment (prior month)</v>
      </c>
      <c r="E131" s="5">
        <v>0</v>
      </c>
      <c r="F131" s="5">
        <v>22077790</v>
      </c>
      <c r="G131" s="5">
        <v>432660576</v>
      </c>
      <c r="H131" s="1" t="str">
        <v>Auto-Tax</v>
      </c>
    </row>
    <row r="132" spans="2:8" x14ac:dyDescent="0.35">
      <c r="B132" s="109">
        <v>46249</v>
      </c>
      <c r="C132" s="1" t="str">
        <v>WP-2608</v>
      </c>
      <c r="D132" s="1" t="str">
        <v>PPh Unifikasi payment (prior month)</v>
      </c>
      <c r="E132" s="5">
        <v>0</v>
      </c>
      <c r="F132" s="5">
        <v>701580</v>
      </c>
      <c r="G132" s="5">
        <v>431958996</v>
      </c>
      <c r="H132" s="1" t="str">
        <v>Auto-Tax</v>
      </c>
    </row>
    <row r="133" spans="2:8" x14ac:dyDescent="0.35">
      <c r="B133" s="109">
        <v>46249</v>
      </c>
      <c r="C133" s="1" t="str">
        <v>P25-2608</v>
      </c>
      <c r="D133" s="1" t="str">
        <v>PPh 25 installment - Aug</v>
      </c>
      <c r="E133" s="5">
        <v>0</v>
      </c>
      <c r="F133" s="5">
        <v>20000000</v>
      </c>
      <c r="G133" s="5">
        <v>411958996</v>
      </c>
      <c r="H133" s="1" t="str">
        <v>Auto-Tax</v>
      </c>
    </row>
    <row r="134" spans="2:8" x14ac:dyDescent="0.35">
      <c r="B134" s="109">
        <v>46254</v>
      </c>
      <c r="C134" s="1" t="str">
        <v>RC-2608</v>
      </c>
      <c r="D134" s="1" t="str">
        <v>Customer collections (prior month credit sales) - Aug</v>
      </c>
      <c r="E134" s="5">
        <v>1150626000</v>
      </c>
      <c r="F134" s="5">
        <v>0</v>
      </c>
      <c r="G134" s="5">
        <v>1562584996</v>
      </c>
      <c r="H134" s="1" t="str">
        <v>Auto-Collections</v>
      </c>
    </row>
    <row r="135" spans="2:8" x14ac:dyDescent="0.35">
      <c r="B135" s="109">
        <v>46258</v>
      </c>
      <c r="C135" s="1" t="str">
        <v>TR-2608</v>
      </c>
      <c r="D135" s="1" t="str">
        <v>Funding payroll account to Mandiri - Aug</v>
      </c>
      <c r="E135" s="5">
        <v>0</v>
      </c>
      <c r="F135" s="5">
        <v>161397799</v>
      </c>
      <c r="G135" s="5">
        <v>1401187197</v>
      </c>
      <c r="H135" s="1" t="str">
        <v>Auto-Payroll</v>
      </c>
    </row>
    <row r="136" spans="2:8" x14ac:dyDescent="0.35">
      <c r="B136" s="109">
        <v>46262</v>
      </c>
      <c r="C136" s="1" t="str">
        <v>VP-2608</v>
      </c>
      <c r="D136" s="1" t="str">
        <v>VAT payment (prior month SPT Masa)</v>
      </c>
      <c r="E136" s="5">
        <v>0</v>
      </c>
      <c r="F136" s="5">
        <v>70697110</v>
      </c>
      <c r="G136" s="5">
        <v>1330490087</v>
      </c>
      <c r="H136" s="1" t="str">
        <v>Auto-Tax</v>
      </c>
    </row>
    <row r="137" spans="2:8" x14ac:dyDescent="0.35">
      <c r="B137" s="109">
        <v>46262</v>
      </c>
      <c r="C137" s="1" t="str">
        <v>LN-2608</v>
      </c>
      <c r="D137" s="1" t="str">
        <v>Long-term loan installment - Aug</v>
      </c>
      <c r="E137" s="5">
        <v>0</v>
      </c>
      <c r="F137" s="5">
        <v>34937500</v>
      </c>
      <c r="G137" s="5">
        <v>1295552587</v>
      </c>
      <c r="H137" s="1" t="str">
        <v>Manual</v>
      </c>
    </row>
    <row r="138" spans="2:8" x14ac:dyDescent="0.35">
      <c r="B138" s="109">
        <v>46265</v>
      </c>
      <c r="C138" s="1" t="str">
        <v>SJ-2608</v>
      </c>
      <c r="D138" s="1" t="str">
        <v>QRIS / transfer sales settlement - Aug</v>
      </c>
      <c r="E138" s="5">
        <v>216716400</v>
      </c>
      <c r="F138" s="5">
        <v>0</v>
      </c>
      <c r="G138" s="5">
        <v>1512268987</v>
      </c>
      <c r="H138" s="1" t="str">
        <v>Auto-Sales</v>
      </c>
    </row>
    <row r="139" spans="2:8" x14ac:dyDescent="0.35">
      <c r="B139" s="109">
        <v>46265</v>
      </c>
      <c r="C139" s="1" t="str">
        <v>CD-2608</v>
      </c>
      <c r="D139" s="1" t="str">
        <v>Cash deposit to BCA - Aug</v>
      </c>
      <c r="E139" s="5">
        <v>184648500</v>
      </c>
      <c r="F139" s="5">
        <v>0</v>
      </c>
      <c r="G139" s="5">
        <v>1696917487</v>
      </c>
      <c r="H139" s="1" t="str">
        <v>Auto-Sales</v>
      </c>
    </row>
    <row r="140" spans="2:8" x14ac:dyDescent="0.35">
      <c r="B140" s="109">
        <v>46265</v>
      </c>
      <c r="C140" s="1" t="str">
        <v>PV-2608</v>
      </c>
      <c r="D140" s="1" t="str">
        <v>Vendor payments batch - Aug</v>
      </c>
      <c r="E140" s="5">
        <v>0</v>
      </c>
      <c r="F140" s="5">
        <v>1259751860</v>
      </c>
      <c r="G140" s="5">
        <v>437165627</v>
      </c>
      <c r="H140" s="1" t="str">
        <v>Auto-Payments</v>
      </c>
    </row>
    <row r="141" spans="2:8" x14ac:dyDescent="0.35">
      <c r="B141" s="109">
        <v>46265</v>
      </c>
      <c r="C141" s="1" t="str">
        <v>DI-2608</v>
      </c>
      <c r="D141" s="1" t="str">
        <v>Time deposit interest (net) - Aug</v>
      </c>
      <c r="E141" s="5">
        <v>1333333</v>
      </c>
      <c r="F141" s="5">
        <v>0</v>
      </c>
      <c r="G141" s="5">
        <v>438498960</v>
      </c>
      <c r="H141" s="1" t="str">
        <v>Manual</v>
      </c>
    </row>
    <row r="142" spans="2:8" x14ac:dyDescent="0.35">
      <c r="B142" s="109">
        <v>46265</v>
      </c>
      <c r="C142" s="1" t="str">
        <v>CI-2608-BCA</v>
      </c>
      <c r="D142" s="1" t="str">
        <v>Current account interest - BCA Aug</v>
      </c>
      <c r="E142" s="5">
        <v>437312</v>
      </c>
      <c r="F142" s="5">
        <v>0</v>
      </c>
      <c r="G142" s="5">
        <v>438936272</v>
      </c>
      <c r="H142" s="1" t="str">
        <v>Manual</v>
      </c>
    </row>
    <row r="143" spans="2:8" x14ac:dyDescent="0.35">
      <c r="B143" s="109">
        <v>46265</v>
      </c>
      <c r="C143" s="1" t="str">
        <v>CT-2608-BCA</v>
      </c>
      <c r="D143" s="1" t="str">
        <v>Final tax on interest - BCA Aug</v>
      </c>
      <c r="E143" s="5">
        <v>0</v>
      </c>
      <c r="F143" s="5">
        <v>87462</v>
      </c>
      <c r="G143" s="5">
        <v>438848810</v>
      </c>
      <c r="H143" s="1" t="str">
        <v>Manual</v>
      </c>
    </row>
    <row r="144" spans="2:8" x14ac:dyDescent="0.35">
      <c r="B144" s="109">
        <v>46265</v>
      </c>
      <c r="C144" s="1" t="str">
        <v>BC-2608-BCA</v>
      </c>
      <c r="D144" s="1" t="str">
        <v>Bank admin fee - BCA Aug</v>
      </c>
      <c r="E144" s="5">
        <v>0</v>
      </c>
      <c r="F144" s="5">
        <v>150000</v>
      </c>
      <c r="G144" s="5">
        <v>438698810</v>
      </c>
      <c r="H144" s="1" t="str">
        <v>Manual</v>
      </c>
    </row>
    <row r="145" spans="2:8" x14ac:dyDescent="0.35">
      <c r="B145" s="109">
        <v>46275</v>
      </c>
      <c r="C145" s="1" t="str">
        <v>P21-2609</v>
      </c>
      <c r="D145" s="1" t="str">
        <v>PPh 21 payment (prior month)</v>
      </c>
      <c r="E145" s="5">
        <v>0</v>
      </c>
      <c r="F145" s="5">
        <v>10516831</v>
      </c>
      <c r="G145" s="5">
        <v>428181979</v>
      </c>
      <c r="H145" s="1" t="str">
        <v>Auto-Tax</v>
      </c>
    </row>
    <row r="146" spans="2:8" x14ac:dyDescent="0.35">
      <c r="B146" s="109">
        <v>46275</v>
      </c>
      <c r="C146" s="1" t="str">
        <v>BPJ-2609</v>
      </c>
      <c r="D146" s="1" t="str">
        <v>BPJS contributions payment (prior month)</v>
      </c>
      <c r="E146" s="5">
        <v>0</v>
      </c>
      <c r="F146" s="5">
        <v>22077790</v>
      </c>
      <c r="G146" s="5">
        <v>406104189</v>
      </c>
      <c r="H146" s="1" t="str">
        <v>Auto-Tax</v>
      </c>
    </row>
    <row r="147" spans="2:8" x14ac:dyDescent="0.35">
      <c r="B147" s="109">
        <v>46280</v>
      </c>
      <c r="C147" s="1" t="str">
        <v>WP-2609</v>
      </c>
      <c r="D147" s="1" t="str">
        <v>PPh Unifikasi payment (prior month)</v>
      </c>
      <c r="E147" s="5">
        <v>0</v>
      </c>
      <c r="F147" s="5">
        <v>544580</v>
      </c>
      <c r="G147" s="5">
        <v>405559609</v>
      </c>
      <c r="H147" s="1" t="str">
        <v>Auto-Tax</v>
      </c>
    </row>
    <row r="148" spans="2:8" x14ac:dyDescent="0.35">
      <c r="B148" s="109">
        <v>46280</v>
      </c>
      <c r="C148" s="1" t="str">
        <v>P25-2609</v>
      </c>
      <c r="D148" s="1" t="str">
        <v>PPh 25 installment - Sep</v>
      </c>
      <c r="E148" s="5">
        <v>0</v>
      </c>
      <c r="F148" s="5">
        <v>20000000</v>
      </c>
      <c r="G148" s="5">
        <v>385559609</v>
      </c>
      <c r="H148" s="1" t="str">
        <v>Auto-Tax</v>
      </c>
    </row>
    <row r="149" spans="2:8" x14ac:dyDescent="0.35">
      <c r="B149" s="109">
        <v>46285</v>
      </c>
      <c r="C149" s="1" t="str">
        <v>RC-2609</v>
      </c>
      <c r="D149" s="1" t="str">
        <v>Customer collections (prior month credit sales) - Sep</v>
      </c>
      <c r="E149" s="5">
        <v>678432000</v>
      </c>
      <c r="F149" s="5">
        <v>0</v>
      </c>
      <c r="G149" s="5">
        <v>1063991609</v>
      </c>
      <c r="H149" s="1" t="str">
        <v>Auto-Collections</v>
      </c>
    </row>
    <row r="150" spans="2:8" x14ac:dyDescent="0.35">
      <c r="B150" s="109">
        <v>46289</v>
      </c>
      <c r="C150" s="1" t="str">
        <v>TR-2609</v>
      </c>
      <c r="D150" s="1" t="str">
        <v>Funding payroll account to Mandiri - Sep</v>
      </c>
      <c r="E150" s="5">
        <v>0</v>
      </c>
      <c r="F150" s="5">
        <v>161397799</v>
      </c>
      <c r="G150" s="5">
        <v>902593810</v>
      </c>
      <c r="H150" s="1" t="str">
        <v>Auto-Payroll</v>
      </c>
    </row>
    <row r="151" spans="2:8" x14ac:dyDescent="0.35">
      <c r="B151" s="109">
        <v>46293</v>
      </c>
      <c r="C151" s="1" t="str">
        <v>VP-2609</v>
      </c>
      <c r="D151" s="1" t="str">
        <v>VAT payment (prior month SPT Masa)</v>
      </c>
      <c r="E151" s="5">
        <v>0</v>
      </c>
      <c r="F151" s="5">
        <v>14872330</v>
      </c>
      <c r="G151" s="5">
        <v>887721480</v>
      </c>
      <c r="H151" s="1" t="str">
        <v>Auto-Tax</v>
      </c>
    </row>
    <row r="152" spans="2:8" x14ac:dyDescent="0.35">
      <c r="B152" s="109">
        <v>46293</v>
      </c>
      <c r="C152" s="1" t="str">
        <v>LN-2609</v>
      </c>
      <c r="D152" s="1" t="str">
        <v>Long-term loan installment - Sep</v>
      </c>
      <c r="E152" s="5">
        <v>0</v>
      </c>
      <c r="F152" s="5">
        <v>34750000</v>
      </c>
      <c r="G152" s="5">
        <v>852971480</v>
      </c>
      <c r="H152" s="1" t="str">
        <v>Manual</v>
      </c>
    </row>
    <row r="153" spans="2:8" x14ac:dyDescent="0.35">
      <c r="B153" s="109">
        <v>46295</v>
      </c>
      <c r="C153" s="1" t="str">
        <v>SJ-2609</v>
      </c>
      <c r="D153" s="1" t="str">
        <v>QRIS / transfer sales settlement - Sep</v>
      </c>
      <c r="E153" s="5">
        <v>188694450</v>
      </c>
      <c r="F153" s="5">
        <v>0</v>
      </c>
      <c r="G153" s="5">
        <v>1041665930</v>
      </c>
      <c r="H153" s="1" t="str">
        <v>Auto-Sales</v>
      </c>
    </row>
    <row r="154" spans="2:8" x14ac:dyDescent="0.35">
      <c r="B154" s="109">
        <v>46295</v>
      </c>
      <c r="C154" s="1" t="str">
        <v>CD-2609</v>
      </c>
      <c r="D154" s="1" t="str">
        <v>Cash deposit to BCA - Sep</v>
      </c>
      <c r="E154" s="5">
        <v>126917400</v>
      </c>
      <c r="F154" s="5">
        <v>0</v>
      </c>
      <c r="G154" s="5">
        <v>1168583330</v>
      </c>
      <c r="H154" s="1" t="str">
        <v>Auto-Sales</v>
      </c>
    </row>
    <row r="155" spans="2:8" x14ac:dyDescent="0.35">
      <c r="B155" s="109">
        <v>46295</v>
      </c>
      <c r="C155" s="1" t="str">
        <v>PV-2609</v>
      </c>
      <c r="D155" s="1" t="str">
        <v>Vendor payments batch - Sep</v>
      </c>
      <c r="E155" s="5">
        <v>0</v>
      </c>
      <c r="F155" s="5">
        <v>679293870</v>
      </c>
      <c r="G155" s="5">
        <v>489289460</v>
      </c>
      <c r="H155" s="1" t="str">
        <v>Auto-Payments</v>
      </c>
    </row>
    <row r="156" spans="2:8" x14ac:dyDescent="0.35">
      <c r="B156" s="109">
        <v>46295</v>
      </c>
      <c r="C156" s="1" t="str">
        <v>DI-2609</v>
      </c>
      <c r="D156" s="1" t="str">
        <v>Time deposit interest (net) - Sep</v>
      </c>
      <c r="E156" s="5">
        <v>1333333</v>
      </c>
      <c r="F156" s="5">
        <v>0</v>
      </c>
      <c r="G156" s="5">
        <v>490622793</v>
      </c>
      <c r="H156" s="1" t="str">
        <v>Manual</v>
      </c>
    </row>
    <row r="157" spans="2:8" x14ac:dyDescent="0.35">
      <c r="B157" s="109">
        <v>46295</v>
      </c>
      <c r="C157" s="1" t="str">
        <v>CI-2609-BCA</v>
      </c>
      <c r="D157" s="1" t="str">
        <v>Current account interest - BCA Sep</v>
      </c>
      <c r="E157" s="5">
        <v>526177</v>
      </c>
      <c r="F157" s="5">
        <v>0</v>
      </c>
      <c r="G157" s="5">
        <v>491148970</v>
      </c>
      <c r="H157" s="1" t="str">
        <v>Manual</v>
      </c>
    </row>
    <row r="158" spans="2:8" x14ac:dyDescent="0.35">
      <c r="B158" s="109">
        <v>46295</v>
      </c>
      <c r="C158" s="1" t="str">
        <v>CT-2609-BCA</v>
      </c>
      <c r="D158" s="1" t="str">
        <v>Final tax on interest - BCA Sep</v>
      </c>
      <c r="E158" s="5">
        <v>0</v>
      </c>
      <c r="F158" s="5">
        <v>105235</v>
      </c>
      <c r="G158" s="5">
        <v>491043735</v>
      </c>
      <c r="H158" s="1" t="str">
        <v>Manual</v>
      </c>
    </row>
    <row r="159" spans="2:8" x14ac:dyDescent="0.35">
      <c r="B159" s="109">
        <v>46295</v>
      </c>
      <c r="C159" s="1" t="str">
        <v>BC-2609-BCA</v>
      </c>
      <c r="D159" s="1" t="str">
        <v>Bank admin fee - BCA Sep</v>
      </c>
      <c r="E159" s="5">
        <v>0</v>
      </c>
      <c r="F159" s="5">
        <v>150000</v>
      </c>
      <c r="G159" s="5">
        <v>490893735</v>
      </c>
      <c r="H159" s="1" t="str">
        <v>Manual</v>
      </c>
    </row>
    <row r="160" spans="2:8" x14ac:dyDescent="0.35">
      <c r="B160" s="109">
        <v>46305</v>
      </c>
      <c r="C160" s="1" t="str">
        <v>P21-2610</v>
      </c>
      <c r="D160" s="1" t="str">
        <v>PPh 21 payment (prior month)</v>
      </c>
      <c r="E160" s="5">
        <v>0</v>
      </c>
      <c r="F160" s="5">
        <v>10516831</v>
      </c>
      <c r="G160" s="5">
        <v>480376904</v>
      </c>
      <c r="H160" s="1" t="str">
        <v>Auto-Tax</v>
      </c>
    </row>
    <row r="161" spans="2:8" x14ac:dyDescent="0.35">
      <c r="B161" s="109">
        <v>46305</v>
      </c>
      <c r="C161" s="1" t="str">
        <v>BPJ-2610</v>
      </c>
      <c r="D161" s="1" t="str">
        <v>BPJS contributions payment (prior month)</v>
      </c>
      <c r="E161" s="5">
        <v>0</v>
      </c>
      <c r="F161" s="5">
        <v>22077790</v>
      </c>
      <c r="G161" s="5">
        <v>458299114</v>
      </c>
      <c r="H161" s="1" t="str">
        <v>Auto-Tax</v>
      </c>
    </row>
    <row r="162" spans="2:8" x14ac:dyDescent="0.35">
      <c r="B162" s="109">
        <v>46310</v>
      </c>
      <c r="C162" s="1" t="str">
        <v>WP-2610</v>
      </c>
      <c r="D162" s="1" t="str">
        <v>PPh Unifikasi payment (prior month)</v>
      </c>
      <c r="E162" s="5">
        <v>0</v>
      </c>
      <c r="F162" s="5">
        <v>1039820</v>
      </c>
      <c r="G162" s="5">
        <v>457259294</v>
      </c>
      <c r="H162" s="1" t="str">
        <v>Auto-Tax</v>
      </c>
    </row>
    <row r="163" spans="2:8" x14ac:dyDescent="0.35">
      <c r="B163" s="109">
        <v>46310</v>
      </c>
      <c r="C163" s="1" t="str">
        <v>P25-2610</v>
      </c>
      <c r="D163" s="1" t="str">
        <v>PPh 25 installment - Oct</v>
      </c>
      <c r="E163" s="5">
        <v>0</v>
      </c>
      <c r="F163" s="5">
        <v>20000000</v>
      </c>
      <c r="G163" s="5">
        <v>437259294</v>
      </c>
      <c r="H163" s="1" t="str">
        <v>Auto-Tax</v>
      </c>
    </row>
    <row r="164" spans="2:8" x14ac:dyDescent="0.35">
      <c r="B164" s="109">
        <v>46315</v>
      </c>
      <c r="C164" s="1" t="str">
        <v>RC-2610</v>
      </c>
      <c r="D164" s="1" t="str">
        <v>Customer collections (prior month credit sales) - Oct</v>
      </c>
      <c r="E164" s="5">
        <v>852702000</v>
      </c>
      <c r="F164" s="5">
        <v>0</v>
      </c>
      <c r="G164" s="5">
        <v>1289961294</v>
      </c>
      <c r="H164" s="1" t="str">
        <v>Auto-Collections</v>
      </c>
    </row>
    <row r="165" spans="2:8" x14ac:dyDescent="0.35">
      <c r="B165" s="109">
        <v>46319</v>
      </c>
      <c r="C165" s="1" t="str">
        <v>TR-2610</v>
      </c>
      <c r="D165" s="1" t="str">
        <v>Funding payroll account to Mandiri - Oct</v>
      </c>
      <c r="E165" s="5">
        <v>0</v>
      </c>
      <c r="F165" s="5">
        <v>161397799</v>
      </c>
      <c r="G165" s="5">
        <v>1128563495</v>
      </c>
      <c r="H165" s="1" t="str">
        <v>Auto-Payroll</v>
      </c>
    </row>
    <row r="166" spans="2:8" x14ac:dyDescent="0.35">
      <c r="B166" s="109">
        <v>46323</v>
      </c>
      <c r="C166" s="1" t="str">
        <v>VP-2610</v>
      </c>
      <c r="D166" s="1" t="str">
        <v>VAT payment (prior month SPT Masa)</v>
      </c>
      <c r="E166" s="5">
        <v>0</v>
      </c>
      <c r="F166" s="5">
        <v>49824500</v>
      </c>
      <c r="G166" s="5">
        <v>1078738995</v>
      </c>
      <c r="H166" s="1" t="str">
        <v>Auto-Tax</v>
      </c>
    </row>
    <row r="167" spans="2:8" x14ac:dyDescent="0.35">
      <c r="B167" s="109">
        <v>46323</v>
      </c>
      <c r="C167" s="1" t="str">
        <v>LN-2610</v>
      </c>
      <c r="D167" s="1" t="str">
        <v>Long-term loan installment - Oct</v>
      </c>
      <c r="E167" s="5">
        <v>0</v>
      </c>
      <c r="F167" s="5">
        <v>34562500</v>
      </c>
      <c r="G167" s="5">
        <v>1044176495</v>
      </c>
      <c r="H167" s="1" t="str">
        <v>Manual</v>
      </c>
    </row>
    <row r="168" spans="2:8" x14ac:dyDescent="0.35">
      <c r="B168" s="109">
        <v>46325</v>
      </c>
      <c r="C168" s="1" t="str">
        <v>PV-2610</v>
      </c>
      <c r="D168" s="1" t="str">
        <v>Vendor payments batch - Oct</v>
      </c>
      <c r="E168" s="5">
        <v>0</v>
      </c>
      <c r="F168" s="5">
        <v>791159030</v>
      </c>
      <c r="G168" s="5">
        <v>253017465</v>
      </c>
      <c r="H168" s="1" t="str">
        <v>Auto-Payments</v>
      </c>
    </row>
    <row r="169" spans="2:8" x14ac:dyDescent="0.35">
      <c r="B169" s="109">
        <v>46326</v>
      </c>
      <c r="C169" s="1" t="str">
        <v>SJ-2610</v>
      </c>
      <c r="D169" s="1" t="str">
        <v>QRIS / transfer sales settlement - Oct</v>
      </c>
      <c r="E169" s="5">
        <v>211355100</v>
      </c>
      <c r="F169" s="5">
        <v>0</v>
      </c>
      <c r="G169" s="5">
        <v>464372565</v>
      </c>
      <c r="H169" s="1" t="str">
        <v>Auto-Sales</v>
      </c>
    </row>
    <row r="170" spans="2:8" x14ac:dyDescent="0.35">
      <c r="B170" s="109">
        <v>46326</v>
      </c>
      <c r="C170" s="1" t="str">
        <v>CD-2610</v>
      </c>
      <c r="D170" s="1" t="str">
        <v>Cash deposit to BCA - Oct</v>
      </c>
      <c r="E170" s="5">
        <v>123076800</v>
      </c>
      <c r="F170" s="5">
        <v>0</v>
      </c>
      <c r="G170" s="5">
        <v>587449365</v>
      </c>
      <c r="H170" s="1" t="str">
        <v>Auto-Sales</v>
      </c>
    </row>
    <row r="171" spans="2:8" x14ac:dyDescent="0.35">
      <c r="B171" s="109">
        <v>46326</v>
      </c>
      <c r="C171" s="1" t="str">
        <v>DI-2610</v>
      </c>
      <c r="D171" s="1" t="str">
        <v>Time deposit interest (net) - Oct</v>
      </c>
      <c r="E171" s="5">
        <v>1333333</v>
      </c>
      <c r="F171" s="5">
        <v>0</v>
      </c>
      <c r="G171" s="5">
        <v>588782698</v>
      </c>
      <c r="H171" s="1" t="str">
        <v>Manual</v>
      </c>
    </row>
    <row r="172" spans="2:8" x14ac:dyDescent="0.35">
      <c r="B172" s="109"/>
      <c r="E172" s="5"/>
      <c r="F172" s="5"/>
      <c r="G172" s="5"/>
    </row>
    <row r="173" spans="2:8" x14ac:dyDescent="0.35">
      <c r="B173" s="109"/>
      <c r="E173" s="5"/>
      <c r="F173" s="5"/>
      <c r="G173" s="5"/>
    </row>
    <row r="174" spans="2:8" x14ac:dyDescent="0.35">
      <c r="B174" s="109"/>
      <c r="E174" s="5"/>
      <c r="F174" s="5"/>
      <c r="G174" s="5"/>
    </row>
    <row r="175" spans="2:8" x14ac:dyDescent="0.35">
      <c r="B175" s="109"/>
      <c r="E175" s="5"/>
      <c r="F175" s="5"/>
      <c r="G175" s="5"/>
    </row>
    <row r="176" spans="2:8" x14ac:dyDescent="0.35">
      <c r="B176" s="109"/>
      <c r="E176" s="5"/>
      <c r="F176" s="5"/>
      <c r="G176" s="5"/>
    </row>
    <row r="177" spans="2:7" x14ac:dyDescent="0.35">
      <c r="B177" s="109"/>
      <c r="E177" s="5"/>
      <c r="F177" s="5"/>
      <c r="G177" s="5"/>
    </row>
    <row r="178" spans="2:7" x14ac:dyDescent="0.35">
      <c r="B178" s="109"/>
      <c r="E178" s="5"/>
      <c r="F178" s="5"/>
      <c r="G178" s="5"/>
    </row>
    <row r="179" spans="2:7" x14ac:dyDescent="0.35">
      <c r="B179" s="109"/>
      <c r="E179" s="5"/>
      <c r="F179" s="5"/>
      <c r="G179" s="5"/>
    </row>
    <row r="180" spans="2:7" x14ac:dyDescent="0.35">
      <c r="B180" s="109"/>
      <c r="E180" s="5"/>
      <c r="F180" s="5"/>
      <c r="G180" s="5"/>
    </row>
    <row r="181" spans="2:7" x14ac:dyDescent="0.35">
      <c r="B181" s="109"/>
      <c r="E181" s="5"/>
      <c r="F181" s="5"/>
      <c r="G181" s="5"/>
    </row>
    <row r="182" spans="2:7" x14ac:dyDescent="0.35">
      <c r="B182" s="109"/>
      <c r="E182" s="5"/>
      <c r="F182" s="5"/>
      <c r="G182" s="5"/>
    </row>
    <row r="183" spans="2:7" x14ac:dyDescent="0.35">
      <c r="B183" s="109"/>
      <c r="E183" s="5"/>
      <c r="F183" s="5"/>
      <c r="G183" s="5"/>
    </row>
    <row r="184" spans="2:7" x14ac:dyDescent="0.35">
      <c r="B184" s="109"/>
      <c r="E184" s="5"/>
      <c r="F184" s="5"/>
      <c r="G184" s="5"/>
    </row>
    <row r="185" spans="2:7" x14ac:dyDescent="0.35">
      <c r="B185" s="109"/>
      <c r="E185" s="5"/>
      <c r="F185" s="5"/>
      <c r="G185" s="5"/>
    </row>
    <row r="186" spans="2:7" x14ac:dyDescent="0.35">
      <c r="B186" s="109"/>
      <c r="E186" s="5"/>
      <c r="F186" s="5"/>
      <c r="G186" s="5"/>
    </row>
    <row r="187" spans="2:7" x14ac:dyDescent="0.35">
      <c r="B187" s="109"/>
      <c r="E187" s="5"/>
      <c r="F187" s="5"/>
      <c r="G187" s="5"/>
    </row>
    <row r="188" spans="2:7" x14ac:dyDescent="0.35">
      <c r="B188" s="109"/>
      <c r="E188" s="5"/>
      <c r="F188" s="5"/>
      <c r="G188" s="5"/>
    </row>
    <row r="189" spans="2:7" x14ac:dyDescent="0.35">
      <c r="B189" s="109"/>
      <c r="E189" s="5"/>
      <c r="F189" s="5"/>
      <c r="G189" s="5"/>
    </row>
    <row r="190" spans="2:7" x14ac:dyDescent="0.35">
      <c r="B190" s="109"/>
      <c r="E190" s="5"/>
      <c r="F190" s="5"/>
      <c r="G190" s="5"/>
    </row>
    <row r="191" spans="2:7" x14ac:dyDescent="0.35">
      <c r="B191" s="109"/>
      <c r="E191" s="5"/>
      <c r="F191" s="5"/>
      <c r="G191" s="5"/>
    </row>
    <row r="192" spans="2:7" x14ac:dyDescent="0.35">
      <c r="B192" s="109"/>
      <c r="E192" s="5"/>
      <c r="F192" s="5"/>
      <c r="G192" s="5"/>
    </row>
    <row r="193" spans="2:7" x14ac:dyDescent="0.35">
      <c r="B193" s="109"/>
      <c r="E193" s="5"/>
      <c r="F193" s="5"/>
      <c r="G193" s="5"/>
    </row>
    <row r="194" spans="2:7" x14ac:dyDescent="0.35">
      <c r="B194" s="109"/>
      <c r="E194" s="5"/>
      <c r="F194" s="5"/>
      <c r="G194" s="5"/>
    </row>
    <row r="195" spans="2:7" x14ac:dyDescent="0.35">
      <c r="B195" s="109"/>
      <c r="E195" s="5"/>
      <c r="F195" s="5"/>
      <c r="G195" s="5"/>
    </row>
    <row r="196" spans="2:7" x14ac:dyDescent="0.35">
      <c r="B196" s="109"/>
      <c r="E196" s="5"/>
      <c r="F196" s="5"/>
      <c r="G196" s="5"/>
    </row>
    <row r="197" spans="2:7" x14ac:dyDescent="0.35">
      <c r="B197" s="109"/>
      <c r="E197" s="5"/>
      <c r="F197" s="5"/>
      <c r="G197" s="5"/>
    </row>
    <row r="198" spans="2:7" x14ac:dyDescent="0.35">
      <c r="B198" s="109"/>
      <c r="E198" s="5"/>
      <c r="F198" s="5"/>
      <c r="G198" s="5"/>
    </row>
    <row r="199" spans="2:7" x14ac:dyDescent="0.35">
      <c r="B199" s="109"/>
      <c r="E199" s="5"/>
      <c r="F199" s="5"/>
      <c r="G199" s="5"/>
    </row>
    <row r="200" spans="2:7" x14ac:dyDescent="0.35">
      <c r="B200" s="109"/>
      <c r="E200" s="5"/>
      <c r="F200" s="5"/>
      <c r="G200" s="5"/>
    </row>
    <row r="201" spans="2:7" x14ac:dyDescent="0.35">
      <c r="B201" s="109"/>
      <c r="E201" s="5"/>
      <c r="F201" s="5"/>
      <c r="G201" s="5"/>
    </row>
    <row r="202" spans="2:7" x14ac:dyDescent="0.35">
      <c r="B202" s="109"/>
      <c r="E202" s="5"/>
      <c r="F202" s="5"/>
      <c r="G202" s="5"/>
    </row>
    <row r="203" spans="2:7" x14ac:dyDescent="0.35">
      <c r="B203" s="109"/>
      <c r="E203" s="5"/>
      <c r="F203" s="5"/>
      <c r="G203" s="5"/>
    </row>
    <row r="204" spans="2:7" x14ac:dyDescent="0.35">
      <c r="B204" s="109"/>
      <c r="E204" s="5"/>
      <c r="F204" s="5"/>
      <c r="G204" s="5"/>
    </row>
    <row r="205" spans="2:7" x14ac:dyDescent="0.35">
      <c r="B205" s="109"/>
      <c r="E205" s="5"/>
      <c r="F205" s="5"/>
      <c r="G205" s="5"/>
    </row>
    <row r="206" spans="2:7" x14ac:dyDescent="0.35">
      <c r="B206" s="109"/>
      <c r="E206" s="5"/>
      <c r="F206" s="5"/>
      <c r="G206" s="5"/>
    </row>
    <row r="207" spans="2:7" x14ac:dyDescent="0.35">
      <c r="B207" s="109"/>
      <c r="E207" s="5"/>
      <c r="F207" s="5"/>
      <c r="G207" s="5"/>
    </row>
    <row r="208" spans="2:7" x14ac:dyDescent="0.35">
      <c r="B208" s="109"/>
      <c r="E208" s="5"/>
      <c r="F208" s="5"/>
      <c r="G208" s="5"/>
    </row>
    <row r="209" spans="2:7" x14ac:dyDescent="0.35">
      <c r="B209" s="109"/>
      <c r="E209" s="5"/>
      <c r="F209" s="5"/>
      <c r="G209" s="5"/>
    </row>
    <row r="210" spans="2:7" x14ac:dyDescent="0.35">
      <c r="B210" s="109"/>
      <c r="E210" s="5"/>
      <c r="F210" s="5"/>
      <c r="G210" s="5"/>
    </row>
    <row r="211" spans="2:7" x14ac:dyDescent="0.35">
      <c r="B211" s="109"/>
      <c r="E211" s="5"/>
      <c r="F211" s="5"/>
      <c r="G211" s="5"/>
    </row>
    <row r="212" spans="2:7" x14ac:dyDescent="0.35">
      <c r="B212" s="109"/>
      <c r="E212" s="5"/>
      <c r="F212" s="5"/>
      <c r="G212" s="5"/>
    </row>
    <row r="213" spans="2:7" x14ac:dyDescent="0.35">
      <c r="B213" s="109"/>
      <c r="E213" s="5"/>
      <c r="F213" s="5"/>
      <c r="G213" s="5"/>
    </row>
    <row r="214" spans="2:7" x14ac:dyDescent="0.35">
      <c r="B214" s="109"/>
      <c r="E214" s="5"/>
      <c r="F214" s="5"/>
      <c r="G214" s="5"/>
    </row>
    <row r="215" spans="2:7" x14ac:dyDescent="0.35">
      <c r="B215" s="109"/>
      <c r="E215" s="5"/>
      <c r="F215" s="5"/>
      <c r="G215" s="5"/>
    </row>
    <row r="216" spans="2:7" x14ac:dyDescent="0.35">
      <c r="B216" s="109"/>
      <c r="E216" s="5"/>
      <c r="F216" s="5"/>
      <c r="G216" s="5"/>
    </row>
    <row r="217" spans="2:7" x14ac:dyDescent="0.35">
      <c r="B217" s="109"/>
      <c r="E217" s="5"/>
      <c r="F217" s="5"/>
      <c r="G217" s="5"/>
    </row>
    <row r="218" spans="2:7" x14ac:dyDescent="0.35">
      <c r="B218" s="109"/>
      <c r="E218" s="5"/>
      <c r="F218" s="5"/>
      <c r="G218" s="5"/>
    </row>
    <row r="219" spans="2:7" x14ac:dyDescent="0.35">
      <c r="B219" s="109"/>
      <c r="E219" s="5"/>
      <c r="F219" s="5"/>
      <c r="G219" s="5"/>
    </row>
    <row r="220" spans="2:7" x14ac:dyDescent="0.35">
      <c r="B220" s="109"/>
      <c r="E220" s="5"/>
      <c r="F220" s="5"/>
      <c r="G220" s="5"/>
    </row>
    <row r="221" spans="2:7" x14ac:dyDescent="0.35">
      <c r="B221" s="109"/>
      <c r="E221" s="5"/>
      <c r="F221" s="5"/>
      <c r="G221" s="5"/>
    </row>
    <row r="222" spans="2:7" x14ac:dyDescent="0.35">
      <c r="B222" s="109"/>
      <c r="E222" s="5"/>
      <c r="F222" s="5"/>
      <c r="G222" s="5"/>
    </row>
    <row r="223" spans="2:7" x14ac:dyDescent="0.35">
      <c r="B223" s="109"/>
      <c r="E223" s="5"/>
      <c r="F223" s="5"/>
      <c r="G223" s="5"/>
    </row>
    <row r="224" spans="2:7" x14ac:dyDescent="0.35">
      <c r="B224" s="109"/>
      <c r="E224" s="5"/>
      <c r="F224" s="5"/>
      <c r="G224" s="5"/>
    </row>
    <row r="225" spans="2:7" x14ac:dyDescent="0.35">
      <c r="B225" s="109"/>
      <c r="E225" s="5"/>
      <c r="F225" s="5"/>
      <c r="G225" s="5"/>
    </row>
    <row r="226" spans="2:7" x14ac:dyDescent="0.35">
      <c r="B226" s="109"/>
      <c r="E226" s="5"/>
      <c r="F226" s="5"/>
      <c r="G226" s="5"/>
    </row>
    <row r="227" spans="2:7" x14ac:dyDescent="0.35">
      <c r="B227" s="109"/>
      <c r="E227" s="5"/>
      <c r="F227" s="5"/>
      <c r="G227" s="5"/>
    </row>
    <row r="228" spans="2:7" x14ac:dyDescent="0.35">
      <c r="B228" s="109"/>
      <c r="E228" s="5"/>
      <c r="F228" s="5"/>
      <c r="G228" s="5"/>
    </row>
    <row r="229" spans="2:7" x14ac:dyDescent="0.35">
      <c r="B229" s="109"/>
      <c r="E229" s="5"/>
      <c r="F229" s="5"/>
      <c r="G229" s="5"/>
    </row>
    <row r="230" spans="2:7" x14ac:dyDescent="0.35">
      <c r="B230" s="109"/>
      <c r="E230" s="5"/>
      <c r="F230" s="5"/>
      <c r="G230" s="5"/>
    </row>
    <row r="231" spans="2:7" x14ac:dyDescent="0.35">
      <c r="B231" s="109"/>
      <c r="E231" s="5"/>
      <c r="F231" s="5"/>
      <c r="G231" s="5"/>
    </row>
    <row r="232" spans="2:7" x14ac:dyDescent="0.35">
      <c r="B232" s="109"/>
      <c r="E232" s="5"/>
      <c r="F232" s="5"/>
      <c r="G232" s="5"/>
    </row>
    <row r="233" spans="2:7" x14ac:dyDescent="0.35">
      <c r="B233" s="109"/>
      <c r="E233" s="5"/>
      <c r="F233" s="5"/>
      <c r="G233" s="5"/>
    </row>
    <row r="234" spans="2:7" x14ac:dyDescent="0.35">
      <c r="B234" s="109"/>
      <c r="E234" s="5"/>
      <c r="F234" s="5"/>
      <c r="G234" s="5"/>
    </row>
    <row r="235" spans="2:7" x14ac:dyDescent="0.35">
      <c r="B235" s="109"/>
      <c r="E235" s="5"/>
      <c r="F235" s="5"/>
      <c r="G235" s="5"/>
    </row>
    <row r="236" spans="2:7" x14ac:dyDescent="0.35">
      <c r="B236" s="109"/>
      <c r="E236" s="5"/>
      <c r="F236" s="5"/>
      <c r="G236" s="5"/>
    </row>
    <row r="237" spans="2:7" x14ac:dyDescent="0.35">
      <c r="B237" s="109"/>
      <c r="E237" s="5"/>
      <c r="F237" s="5"/>
      <c r="G237" s="5"/>
    </row>
    <row r="238" spans="2:7" x14ac:dyDescent="0.35">
      <c r="B238" s="109"/>
      <c r="E238" s="5"/>
      <c r="F238" s="5"/>
      <c r="G238" s="5"/>
    </row>
    <row r="239" spans="2:7" x14ac:dyDescent="0.35">
      <c r="B239" s="109"/>
      <c r="E239" s="5"/>
      <c r="F239" s="5"/>
      <c r="G239" s="5"/>
    </row>
    <row r="240" spans="2:7" x14ac:dyDescent="0.35">
      <c r="B240" s="109"/>
      <c r="E240" s="5"/>
      <c r="F240" s="5"/>
      <c r="G240" s="5"/>
    </row>
    <row r="241" spans="2:7" x14ac:dyDescent="0.35">
      <c r="B241" s="109"/>
      <c r="E241" s="5"/>
      <c r="F241" s="5"/>
      <c r="G241" s="5"/>
    </row>
    <row r="242" spans="2:7" x14ac:dyDescent="0.35">
      <c r="B242" s="109"/>
      <c r="E242" s="5"/>
      <c r="F242" s="5"/>
      <c r="G242" s="5"/>
    </row>
    <row r="243" spans="2:7" x14ac:dyDescent="0.35">
      <c r="B243" s="109"/>
      <c r="E243" s="5"/>
      <c r="F243" s="5"/>
      <c r="G243" s="5"/>
    </row>
    <row r="244" spans="2:7" x14ac:dyDescent="0.35">
      <c r="B244" s="109"/>
      <c r="E244" s="5"/>
      <c r="F244" s="5"/>
      <c r="G244" s="5"/>
    </row>
    <row r="245" spans="2:7" x14ac:dyDescent="0.35">
      <c r="B245" s="109"/>
      <c r="E245" s="5"/>
      <c r="F245" s="5"/>
      <c r="G245" s="5"/>
    </row>
    <row r="246" spans="2:7" x14ac:dyDescent="0.35">
      <c r="B246" s="109"/>
      <c r="E246" s="5"/>
      <c r="F246" s="5"/>
      <c r="G246" s="5"/>
    </row>
    <row r="247" spans="2:7" x14ac:dyDescent="0.35">
      <c r="B247" s="109"/>
      <c r="E247" s="5"/>
      <c r="F247" s="5"/>
      <c r="G247" s="5"/>
    </row>
    <row r="248" spans="2:7" x14ac:dyDescent="0.35">
      <c r="B248" s="109"/>
      <c r="E248" s="5"/>
      <c r="F248" s="5"/>
      <c r="G248" s="5"/>
    </row>
    <row r="249" spans="2:7" x14ac:dyDescent="0.35">
      <c r="B249" s="109"/>
      <c r="E249" s="5"/>
      <c r="F249" s="5"/>
      <c r="G249" s="5"/>
    </row>
    <row r="250" spans="2:7" x14ac:dyDescent="0.35">
      <c r="B250" s="109"/>
      <c r="E250" s="5"/>
      <c r="F250" s="5"/>
      <c r="G250" s="5"/>
    </row>
    <row r="251" spans="2:7" x14ac:dyDescent="0.35">
      <c r="B251" s="109"/>
      <c r="E251" s="5"/>
      <c r="F251" s="5"/>
      <c r="G251" s="5"/>
    </row>
    <row r="252" spans="2:7" x14ac:dyDescent="0.35">
      <c r="B252" s="109"/>
      <c r="E252" s="5"/>
      <c r="F252" s="5"/>
      <c r="G252" s="5"/>
    </row>
    <row r="253" spans="2:7" x14ac:dyDescent="0.35">
      <c r="B253" s="109"/>
      <c r="E253" s="5"/>
      <c r="F253" s="5"/>
      <c r="G253" s="5"/>
    </row>
    <row r="254" spans="2:7" x14ac:dyDescent="0.35">
      <c r="B254" s="109"/>
      <c r="E254" s="5"/>
      <c r="F254" s="5"/>
      <c r="G254" s="5"/>
    </row>
    <row r="255" spans="2:7" x14ac:dyDescent="0.35">
      <c r="B255" s="109"/>
      <c r="E255" s="5"/>
      <c r="F255" s="5"/>
      <c r="G255" s="5"/>
    </row>
    <row r="256" spans="2:7" x14ac:dyDescent="0.35">
      <c r="B256" s="109"/>
      <c r="E256" s="5"/>
      <c r="F256" s="5"/>
      <c r="G256" s="5"/>
    </row>
    <row r="257" spans="2:7" x14ac:dyDescent="0.35">
      <c r="B257" s="109"/>
      <c r="E257" s="5"/>
      <c r="F257" s="5"/>
      <c r="G257" s="5"/>
    </row>
    <row r="258" spans="2:7" x14ac:dyDescent="0.35">
      <c r="B258" s="109"/>
      <c r="E258" s="5"/>
      <c r="F258" s="5"/>
      <c r="G258" s="5"/>
    </row>
    <row r="259" spans="2:7" x14ac:dyDescent="0.35">
      <c r="B259" s="109"/>
      <c r="E259" s="5"/>
      <c r="F259" s="5"/>
      <c r="G259" s="5"/>
    </row>
    <row r="260" spans="2:7" x14ac:dyDescent="0.35">
      <c r="B260" s="109"/>
      <c r="E260" s="5"/>
      <c r="F260" s="5"/>
      <c r="G260" s="5"/>
    </row>
    <row r="261" spans="2:7" x14ac:dyDescent="0.35">
      <c r="B261" s="109"/>
      <c r="E261" s="5"/>
      <c r="F261" s="5"/>
      <c r="G261" s="5"/>
    </row>
    <row r="262" spans="2:7" x14ac:dyDescent="0.35">
      <c r="B262" s="109"/>
      <c r="E262" s="5"/>
      <c r="F262" s="5"/>
      <c r="G262" s="5"/>
    </row>
    <row r="263" spans="2:7" x14ac:dyDescent="0.35">
      <c r="B263" s="109"/>
      <c r="E263" s="5"/>
      <c r="F263" s="5"/>
      <c r="G263" s="5"/>
    </row>
    <row r="264" spans="2:7" x14ac:dyDescent="0.35">
      <c r="B264" s="109"/>
      <c r="E264" s="5"/>
      <c r="F264" s="5"/>
      <c r="G264" s="5"/>
    </row>
    <row r="265" spans="2:7" x14ac:dyDescent="0.35">
      <c r="B265" s="109"/>
      <c r="E265" s="5"/>
      <c r="F265" s="5"/>
      <c r="G265" s="5"/>
    </row>
    <row r="266" spans="2:7" x14ac:dyDescent="0.35">
      <c r="B266" s="109"/>
      <c r="E266" s="5"/>
      <c r="F266" s="5"/>
      <c r="G266" s="5"/>
    </row>
    <row r="267" spans="2:7" x14ac:dyDescent="0.35">
      <c r="B267" s="109"/>
      <c r="E267" s="5"/>
      <c r="F267" s="5"/>
      <c r="G267" s="5"/>
    </row>
    <row r="268" spans="2:7" x14ac:dyDescent="0.35">
      <c r="B268" s="109"/>
      <c r="E268" s="5"/>
      <c r="F268" s="5"/>
      <c r="G268" s="5"/>
    </row>
    <row r="269" spans="2:7" x14ac:dyDescent="0.35">
      <c r="B269" s="109"/>
      <c r="E269" s="5"/>
      <c r="F269" s="5"/>
      <c r="G269" s="5"/>
    </row>
    <row r="270" spans="2:7" x14ac:dyDescent="0.35">
      <c r="B270" s="109"/>
      <c r="E270" s="5"/>
      <c r="F270" s="5"/>
      <c r="G270" s="5"/>
    </row>
    <row r="271" spans="2:7" x14ac:dyDescent="0.35">
      <c r="B271" s="109"/>
      <c r="E271" s="5"/>
      <c r="F271" s="5"/>
      <c r="G271" s="5"/>
    </row>
    <row r="272" spans="2:7" x14ac:dyDescent="0.35">
      <c r="B272" s="109"/>
      <c r="E272" s="5"/>
      <c r="F272" s="5"/>
      <c r="G272" s="5"/>
    </row>
    <row r="273" spans="2:7" x14ac:dyDescent="0.35">
      <c r="B273" s="109"/>
      <c r="E273" s="5"/>
      <c r="F273" s="5"/>
      <c r="G273" s="5"/>
    </row>
    <row r="274" spans="2:7" x14ac:dyDescent="0.35">
      <c r="B274" s="109"/>
      <c r="E274" s="5"/>
      <c r="F274" s="5"/>
      <c r="G274" s="5"/>
    </row>
    <row r="275" spans="2:7" x14ac:dyDescent="0.35">
      <c r="B275" s="109"/>
      <c r="E275" s="5"/>
      <c r="F275" s="5"/>
      <c r="G275" s="5"/>
    </row>
    <row r="276" spans="2:7" x14ac:dyDescent="0.35">
      <c r="B276" s="109"/>
      <c r="E276" s="5"/>
      <c r="F276" s="5"/>
      <c r="G276" s="5"/>
    </row>
    <row r="277" spans="2:7" x14ac:dyDescent="0.35">
      <c r="B277" s="109"/>
      <c r="E277" s="5"/>
      <c r="F277" s="5"/>
      <c r="G277" s="5"/>
    </row>
    <row r="278" spans="2:7" x14ac:dyDescent="0.35">
      <c r="B278" s="109"/>
      <c r="E278" s="5"/>
      <c r="F278" s="5"/>
      <c r="G278" s="5"/>
    </row>
    <row r="279" spans="2:7" x14ac:dyDescent="0.35">
      <c r="B279" s="109"/>
      <c r="E279" s="5"/>
      <c r="F279" s="5"/>
      <c r="G279" s="5"/>
    </row>
    <row r="280" spans="2:7" x14ac:dyDescent="0.35">
      <c r="B280" s="109"/>
      <c r="E280" s="5"/>
      <c r="F280" s="5"/>
      <c r="G280" s="5"/>
    </row>
    <row r="281" spans="2:7" x14ac:dyDescent="0.35">
      <c r="B281" s="109"/>
      <c r="E281" s="5"/>
      <c r="F281" s="5"/>
      <c r="G281" s="5"/>
    </row>
    <row r="282" spans="2:7" x14ac:dyDescent="0.35">
      <c r="B282" s="109"/>
      <c r="E282" s="5"/>
      <c r="F282" s="5"/>
      <c r="G282" s="5"/>
    </row>
    <row r="283" spans="2:7" x14ac:dyDescent="0.35">
      <c r="B283" s="109"/>
      <c r="E283" s="5"/>
      <c r="F283" s="5"/>
      <c r="G283" s="5"/>
    </row>
    <row r="284" spans="2:7" x14ac:dyDescent="0.35">
      <c r="B284" s="109"/>
      <c r="E284" s="5"/>
      <c r="F284" s="5"/>
      <c r="G284" s="5"/>
    </row>
    <row r="285" spans="2:7" x14ac:dyDescent="0.35">
      <c r="B285" s="109"/>
      <c r="E285" s="5"/>
      <c r="F285" s="5"/>
      <c r="G285" s="5"/>
    </row>
    <row r="286" spans="2:7" x14ac:dyDescent="0.35">
      <c r="B286" s="109"/>
      <c r="E286" s="5"/>
      <c r="F286" s="5"/>
      <c r="G286" s="5"/>
    </row>
    <row r="287" spans="2:7" x14ac:dyDescent="0.35">
      <c r="B287" s="109"/>
      <c r="E287" s="5"/>
      <c r="F287" s="5"/>
      <c r="G287" s="5"/>
    </row>
    <row r="288" spans="2:7" x14ac:dyDescent="0.35">
      <c r="B288" s="109"/>
      <c r="E288" s="5"/>
      <c r="F288" s="5"/>
      <c r="G288" s="5"/>
    </row>
    <row r="289" spans="2:7" x14ac:dyDescent="0.35">
      <c r="B289" s="109"/>
      <c r="E289" s="5"/>
      <c r="F289" s="5"/>
      <c r="G289" s="5"/>
    </row>
    <row r="290" spans="2:7" x14ac:dyDescent="0.35">
      <c r="B290" s="109"/>
      <c r="E290" s="5"/>
      <c r="F290" s="5"/>
      <c r="G290" s="5"/>
    </row>
    <row r="291" spans="2:7" x14ac:dyDescent="0.35">
      <c r="B291" s="109"/>
      <c r="E291" s="5"/>
      <c r="F291" s="5"/>
      <c r="G291" s="5"/>
    </row>
    <row r="292" spans="2:7" x14ac:dyDescent="0.35">
      <c r="B292" s="109"/>
      <c r="E292" s="5"/>
      <c r="F292" s="5"/>
      <c r="G292" s="5"/>
    </row>
    <row r="293" spans="2:7" x14ac:dyDescent="0.35">
      <c r="B293" s="109"/>
      <c r="E293" s="5"/>
      <c r="F293" s="5"/>
      <c r="G293" s="5"/>
    </row>
    <row r="294" spans="2:7" x14ac:dyDescent="0.35">
      <c r="B294" s="109"/>
      <c r="E294" s="5"/>
      <c r="F294" s="5"/>
      <c r="G294" s="5"/>
    </row>
    <row r="295" spans="2:7" x14ac:dyDescent="0.35">
      <c r="B295" s="109"/>
      <c r="E295" s="5"/>
      <c r="F295" s="5"/>
      <c r="G295" s="5"/>
    </row>
    <row r="296" spans="2:7" x14ac:dyDescent="0.35">
      <c r="B296" s="109"/>
      <c r="E296" s="5"/>
      <c r="F296" s="5"/>
      <c r="G296" s="5"/>
    </row>
    <row r="297" spans="2:7" x14ac:dyDescent="0.35">
      <c r="B297" s="109"/>
      <c r="E297" s="5"/>
      <c r="F297" s="5"/>
      <c r="G297" s="5"/>
    </row>
    <row r="298" spans="2:7" x14ac:dyDescent="0.35">
      <c r="B298" s="109"/>
      <c r="E298" s="5"/>
      <c r="F298" s="5"/>
      <c r="G298" s="5"/>
    </row>
    <row r="299" spans="2:7" x14ac:dyDescent="0.35">
      <c r="B299" s="109"/>
      <c r="E299" s="5"/>
      <c r="F299" s="5"/>
      <c r="G299" s="5"/>
    </row>
    <row r="300" spans="2:7" x14ac:dyDescent="0.35">
      <c r="B300" s="109"/>
      <c r="E300" s="5"/>
      <c r="F300" s="5"/>
      <c r="G300" s="5"/>
    </row>
    <row r="301" spans="2:7" x14ac:dyDescent="0.35">
      <c r="B301" s="109"/>
      <c r="E301" s="5"/>
      <c r="F301" s="5"/>
      <c r="G301" s="5"/>
    </row>
    <row r="302" spans="2:7" x14ac:dyDescent="0.35">
      <c r="B302" s="109"/>
      <c r="E302" s="5"/>
      <c r="F302" s="5"/>
      <c r="G302" s="5"/>
    </row>
    <row r="303" spans="2:7" x14ac:dyDescent="0.35">
      <c r="B303" s="109"/>
      <c r="E303" s="5"/>
      <c r="F303" s="5"/>
      <c r="G303" s="5"/>
    </row>
    <row r="304" spans="2:7" x14ac:dyDescent="0.35">
      <c r="B304" s="109"/>
      <c r="E304" s="5"/>
      <c r="F304" s="5"/>
      <c r="G304" s="5"/>
    </row>
    <row r="305" spans="2:7" x14ac:dyDescent="0.35">
      <c r="B305" s="109"/>
      <c r="E305" s="5"/>
      <c r="F305" s="5"/>
      <c r="G305" s="5"/>
    </row>
    <row r="306" spans="2:7" x14ac:dyDescent="0.35">
      <c r="B306" s="109"/>
      <c r="E306" s="5"/>
      <c r="F306" s="5"/>
      <c r="G306" s="5"/>
    </row>
    <row r="307" spans="2:7" x14ac:dyDescent="0.35">
      <c r="B307" s="109"/>
      <c r="E307" s="5"/>
      <c r="F307" s="5"/>
      <c r="G307" s="5"/>
    </row>
    <row r="308" spans="2:7" x14ac:dyDescent="0.35">
      <c r="B308" s="109"/>
      <c r="E308" s="5"/>
      <c r="F308" s="5"/>
      <c r="G308" s="5"/>
    </row>
    <row r="309" spans="2:7" x14ac:dyDescent="0.35">
      <c r="B309" s="109"/>
      <c r="E309" s="5"/>
      <c r="F309" s="5"/>
      <c r="G309" s="5"/>
    </row>
    <row r="310" spans="2:7" x14ac:dyDescent="0.35">
      <c r="B310" s="109"/>
      <c r="E310" s="5"/>
      <c r="F310" s="5"/>
      <c r="G310" s="5"/>
    </row>
    <row r="311" spans="2:7" x14ac:dyDescent="0.35">
      <c r="B311" s="109"/>
      <c r="E311" s="5"/>
      <c r="F311" s="5"/>
      <c r="G311" s="5"/>
    </row>
    <row r="312" spans="2:7" x14ac:dyDescent="0.35">
      <c r="B312" s="109"/>
      <c r="E312" s="5"/>
      <c r="F312" s="5"/>
      <c r="G312" s="5"/>
    </row>
    <row r="313" spans="2:7" x14ac:dyDescent="0.35">
      <c r="B313" s="109"/>
      <c r="E313" s="5"/>
      <c r="F313" s="5"/>
      <c r="G313" s="5"/>
    </row>
    <row r="314" spans="2:7" x14ac:dyDescent="0.35">
      <c r="B314" s="109"/>
      <c r="E314" s="5"/>
      <c r="F314" s="5"/>
      <c r="G314" s="5"/>
    </row>
    <row r="315" spans="2:7" x14ac:dyDescent="0.35">
      <c r="B315" s="109"/>
      <c r="E315" s="5"/>
      <c r="F315" s="5"/>
      <c r="G315" s="5"/>
    </row>
    <row r="316" spans="2:7" x14ac:dyDescent="0.35">
      <c r="B316" s="109"/>
      <c r="E316" s="5"/>
      <c r="F316" s="5"/>
      <c r="G316" s="5"/>
    </row>
    <row r="317" spans="2:7" x14ac:dyDescent="0.35">
      <c r="B317" s="109"/>
      <c r="E317" s="5"/>
      <c r="F317" s="5"/>
      <c r="G317" s="5"/>
    </row>
    <row r="318" spans="2:7" x14ac:dyDescent="0.35">
      <c r="B318" s="109"/>
      <c r="E318" s="5"/>
      <c r="F318" s="5"/>
      <c r="G318" s="5"/>
    </row>
    <row r="319" spans="2:7" x14ac:dyDescent="0.35">
      <c r="B319" s="109"/>
      <c r="E319" s="5"/>
      <c r="F319" s="5"/>
      <c r="G319" s="5"/>
    </row>
    <row r="320" spans="2:7" x14ac:dyDescent="0.35">
      <c r="B320" s="109"/>
      <c r="E320" s="5"/>
      <c r="F320" s="5"/>
      <c r="G320" s="5"/>
    </row>
    <row r="321" spans="2:7" x14ac:dyDescent="0.35">
      <c r="B321" s="109"/>
      <c r="E321" s="5"/>
      <c r="F321" s="5"/>
      <c r="G321" s="5"/>
    </row>
    <row r="322" spans="2:7" x14ac:dyDescent="0.35">
      <c r="B322" s="109"/>
      <c r="E322" s="5"/>
      <c r="F322" s="5"/>
      <c r="G322" s="5"/>
    </row>
    <row r="323" spans="2:7" x14ac:dyDescent="0.35">
      <c r="B323" s="109"/>
      <c r="E323" s="5"/>
      <c r="F323" s="5"/>
      <c r="G323" s="5"/>
    </row>
    <row r="324" spans="2:7" x14ac:dyDescent="0.35">
      <c r="B324" s="109"/>
      <c r="E324" s="5"/>
      <c r="F324" s="5"/>
      <c r="G324" s="5"/>
    </row>
    <row r="325" spans="2:7" x14ac:dyDescent="0.35">
      <c r="B325" s="109"/>
      <c r="E325" s="5"/>
      <c r="F325" s="5"/>
      <c r="G325" s="5"/>
    </row>
    <row r="326" spans="2:7" x14ac:dyDescent="0.35">
      <c r="B326" s="109"/>
      <c r="E326" s="5"/>
      <c r="F326" s="5"/>
      <c r="G326" s="5"/>
    </row>
    <row r="327" spans="2:7" x14ac:dyDescent="0.35">
      <c r="B327" s="109"/>
      <c r="E327" s="5"/>
      <c r="F327" s="5"/>
      <c r="G327" s="5"/>
    </row>
    <row r="328" spans="2:7" x14ac:dyDescent="0.35">
      <c r="B328" s="109"/>
      <c r="E328" s="5"/>
      <c r="F328" s="5"/>
      <c r="G328" s="5"/>
    </row>
    <row r="329" spans="2:7" x14ac:dyDescent="0.35">
      <c r="B329" s="109"/>
      <c r="E329" s="5"/>
      <c r="F329" s="5"/>
      <c r="G329" s="5"/>
    </row>
    <row r="330" spans="2:7" x14ac:dyDescent="0.35">
      <c r="B330" s="109"/>
      <c r="E330" s="5"/>
      <c r="F330" s="5"/>
      <c r="G330" s="5"/>
    </row>
    <row r="331" spans="2:7" x14ac:dyDescent="0.35">
      <c r="B331" s="109"/>
      <c r="E331" s="5"/>
      <c r="F331" s="5"/>
      <c r="G331" s="5"/>
    </row>
    <row r="332" spans="2:7" x14ac:dyDescent="0.35">
      <c r="B332" s="109"/>
      <c r="E332" s="5"/>
      <c r="F332" s="5"/>
      <c r="G332" s="5"/>
    </row>
    <row r="333" spans="2:7" x14ac:dyDescent="0.35">
      <c r="B333" s="109"/>
      <c r="E333" s="5"/>
      <c r="F333" s="5"/>
      <c r="G333" s="5"/>
    </row>
    <row r="334" spans="2:7" x14ac:dyDescent="0.35">
      <c r="B334" s="109"/>
      <c r="E334" s="5"/>
      <c r="F334" s="5"/>
      <c r="G334" s="5"/>
    </row>
    <row r="335" spans="2:7" x14ac:dyDescent="0.35">
      <c r="B335" s="109"/>
      <c r="E335" s="5"/>
      <c r="F335" s="5"/>
      <c r="G335" s="5"/>
    </row>
    <row r="336" spans="2:7" x14ac:dyDescent="0.35">
      <c r="B336" s="109"/>
      <c r="E336" s="5"/>
      <c r="F336" s="5"/>
      <c r="G336" s="5"/>
    </row>
    <row r="337" spans="2:7" x14ac:dyDescent="0.35">
      <c r="B337" s="109"/>
      <c r="E337" s="5"/>
      <c r="F337" s="5"/>
      <c r="G337" s="5"/>
    </row>
    <row r="338" spans="2:7" x14ac:dyDescent="0.35">
      <c r="B338" s="109"/>
      <c r="E338" s="5"/>
      <c r="F338" s="5"/>
      <c r="G338" s="5"/>
    </row>
    <row r="339" spans="2:7" x14ac:dyDescent="0.35">
      <c r="B339" s="109"/>
      <c r="E339" s="5"/>
      <c r="F339" s="5"/>
      <c r="G339" s="5"/>
    </row>
    <row r="340" spans="2:7" x14ac:dyDescent="0.35">
      <c r="B340" s="109"/>
      <c r="E340" s="5"/>
      <c r="F340" s="5"/>
      <c r="G340" s="5"/>
    </row>
    <row r="341" spans="2:7" x14ac:dyDescent="0.35">
      <c r="B341" s="109"/>
      <c r="E341" s="5"/>
      <c r="F341" s="5"/>
      <c r="G341" s="5"/>
    </row>
    <row r="342" spans="2:7" x14ac:dyDescent="0.35">
      <c r="B342" s="109"/>
      <c r="E342" s="5"/>
      <c r="F342" s="5"/>
      <c r="G342" s="5"/>
    </row>
    <row r="343" spans="2:7" x14ac:dyDescent="0.35">
      <c r="B343" s="109"/>
      <c r="E343" s="5"/>
      <c r="F343" s="5"/>
      <c r="G343" s="5"/>
    </row>
    <row r="344" spans="2:7" x14ac:dyDescent="0.35">
      <c r="B344" s="109"/>
      <c r="E344" s="5"/>
      <c r="F344" s="5"/>
      <c r="G344" s="5"/>
    </row>
    <row r="345" spans="2:7" x14ac:dyDescent="0.35">
      <c r="B345" s="109"/>
      <c r="E345" s="5"/>
      <c r="F345" s="5"/>
      <c r="G345" s="5"/>
    </row>
    <row r="346" spans="2:7" x14ac:dyDescent="0.35">
      <c r="B346" s="109"/>
      <c r="E346" s="5"/>
      <c r="F346" s="5"/>
      <c r="G346" s="5"/>
    </row>
    <row r="347" spans="2:7" x14ac:dyDescent="0.35">
      <c r="B347" s="109"/>
      <c r="E347" s="5"/>
      <c r="F347" s="5"/>
      <c r="G347" s="5"/>
    </row>
    <row r="348" spans="2:7" x14ac:dyDescent="0.35">
      <c r="B348" s="109"/>
      <c r="E348" s="5"/>
      <c r="F348" s="5"/>
      <c r="G348" s="5"/>
    </row>
    <row r="349" spans="2:7" x14ac:dyDescent="0.35">
      <c r="B349" s="109"/>
      <c r="E349" s="5"/>
      <c r="F349" s="5"/>
      <c r="G349" s="5"/>
    </row>
    <row r="350" spans="2:7" x14ac:dyDescent="0.35">
      <c r="B350" s="109"/>
      <c r="E350" s="5"/>
      <c r="F350" s="5"/>
      <c r="G350" s="5"/>
    </row>
    <row r="351" spans="2:7" x14ac:dyDescent="0.35">
      <c r="B351" s="109"/>
      <c r="E351" s="5"/>
      <c r="F351" s="5"/>
      <c r="G351" s="5"/>
    </row>
    <row r="352" spans="2:7" x14ac:dyDescent="0.35">
      <c r="B352" s="109"/>
      <c r="E352" s="5"/>
      <c r="F352" s="5"/>
      <c r="G352" s="5"/>
    </row>
    <row r="353" spans="2:7" x14ac:dyDescent="0.35">
      <c r="B353" s="109"/>
      <c r="E353" s="5"/>
      <c r="F353" s="5"/>
      <c r="G353" s="5"/>
    </row>
    <row r="354" spans="2:7" x14ac:dyDescent="0.35">
      <c r="B354" s="109"/>
      <c r="E354" s="5"/>
      <c r="F354" s="5"/>
      <c r="G354" s="5"/>
    </row>
    <row r="355" spans="2:7" x14ac:dyDescent="0.35">
      <c r="B355" s="109"/>
      <c r="E355" s="5"/>
      <c r="F355" s="5"/>
      <c r="G355" s="5"/>
    </row>
    <row r="356" spans="2:7" x14ac:dyDescent="0.35">
      <c r="B356" s="109"/>
      <c r="E356" s="5"/>
      <c r="F356" s="5"/>
      <c r="G356" s="5"/>
    </row>
    <row r="357" spans="2:7" x14ac:dyDescent="0.35">
      <c r="B357" s="109"/>
      <c r="E357" s="5"/>
      <c r="F357" s="5"/>
      <c r="G357" s="5"/>
    </row>
    <row r="358" spans="2:7" x14ac:dyDescent="0.35">
      <c r="B358" s="109"/>
      <c r="E358" s="5"/>
      <c r="F358" s="5"/>
      <c r="G358" s="5"/>
    </row>
    <row r="359" spans="2:7" x14ac:dyDescent="0.35">
      <c r="B359" s="109"/>
      <c r="E359" s="5"/>
      <c r="F359" s="5"/>
      <c r="G359" s="5"/>
    </row>
    <row r="360" spans="2:7" x14ac:dyDescent="0.35">
      <c r="B360" s="109"/>
      <c r="E360" s="5"/>
      <c r="F360" s="5"/>
      <c r="G360" s="5"/>
    </row>
    <row r="361" spans="2:7" x14ac:dyDescent="0.35">
      <c r="B361" s="109"/>
      <c r="E361" s="5"/>
      <c r="F361" s="5"/>
      <c r="G361" s="5"/>
    </row>
    <row r="362" spans="2:7" x14ac:dyDescent="0.35">
      <c r="B362" s="109"/>
      <c r="E362" s="5"/>
      <c r="F362" s="5"/>
      <c r="G362" s="5"/>
    </row>
    <row r="363" spans="2:7" x14ac:dyDescent="0.35">
      <c r="B363" s="109"/>
      <c r="E363" s="5"/>
      <c r="F363" s="5"/>
      <c r="G363" s="5"/>
    </row>
    <row r="364" spans="2:7" x14ac:dyDescent="0.35">
      <c r="B364" s="109"/>
      <c r="E364" s="5"/>
      <c r="F364" s="5"/>
      <c r="G364" s="5"/>
    </row>
    <row r="365" spans="2:7" x14ac:dyDescent="0.35">
      <c r="B365" s="109"/>
      <c r="E365" s="5"/>
      <c r="F365" s="5"/>
      <c r="G365" s="5"/>
    </row>
    <row r="366" spans="2:7" x14ac:dyDescent="0.35">
      <c r="B366" s="109"/>
      <c r="E366" s="5"/>
      <c r="F366" s="5"/>
      <c r="G366" s="5"/>
    </row>
    <row r="367" spans="2:7" x14ac:dyDescent="0.35">
      <c r="B367" s="109"/>
      <c r="E367" s="5"/>
      <c r="F367" s="5"/>
      <c r="G367" s="5"/>
    </row>
    <row r="368" spans="2:7" x14ac:dyDescent="0.35">
      <c r="B368" s="109"/>
      <c r="E368" s="5"/>
      <c r="F368" s="5"/>
      <c r="G368" s="5"/>
    </row>
    <row r="369" spans="2:7" x14ac:dyDescent="0.35">
      <c r="B369" s="109"/>
      <c r="E369" s="5"/>
      <c r="F369" s="5"/>
      <c r="G369" s="5"/>
    </row>
    <row r="370" spans="2:7" x14ac:dyDescent="0.35">
      <c r="B370" s="109"/>
      <c r="E370" s="5"/>
      <c r="F370" s="5"/>
      <c r="G370" s="5"/>
    </row>
    <row r="371" spans="2:7" x14ac:dyDescent="0.35">
      <c r="B371" s="109"/>
      <c r="E371" s="5"/>
      <c r="F371" s="5"/>
      <c r="G371" s="5"/>
    </row>
    <row r="372" spans="2:7" x14ac:dyDescent="0.35">
      <c r="B372" s="109"/>
      <c r="E372" s="5"/>
      <c r="F372" s="5"/>
      <c r="G372" s="5"/>
    </row>
    <row r="373" spans="2:7" x14ac:dyDescent="0.35">
      <c r="B373" s="109"/>
      <c r="E373" s="5"/>
      <c r="F373" s="5"/>
      <c r="G373" s="5"/>
    </row>
    <row r="374" spans="2:7" x14ac:dyDescent="0.35">
      <c r="B374" s="109"/>
      <c r="E374" s="5"/>
      <c r="F374" s="5"/>
      <c r="G374" s="5"/>
    </row>
    <row r="375" spans="2:7" x14ac:dyDescent="0.35">
      <c r="B375" s="109"/>
      <c r="E375" s="5"/>
      <c r="F375" s="5"/>
      <c r="G375" s="5"/>
    </row>
    <row r="376" spans="2:7" x14ac:dyDescent="0.35">
      <c r="B376" s="109"/>
      <c r="E376" s="5"/>
      <c r="F376" s="5"/>
      <c r="G376" s="5"/>
    </row>
    <row r="377" spans="2:7" x14ac:dyDescent="0.35">
      <c r="B377" s="109"/>
      <c r="E377" s="5"/>
      <c r="F377" s="5"/>
      <c r="G377" s="5"/>
    </row>
    <row r="378" spans="2:7" x14ac:dyDescent="0.35">
      <c r="B378" s="109"/>
      <c r="E378" s="5"/>
      <c r="F378" s="5"/>
      <c r="G378" s="5"/>
    </row>
    <row r="379" spans="2:7" x14ac:dyDescent="0.35">
      <c r="B379" s="109"/>
      <c r="E379" s="5"/>
      <c r="F379" s="5"/>
      <c r="G379" s="5"/>
    </row>
    <row r="380" spans="2:7" x14ac:dyDescent="0.35">
      <c r="B380" s="109"/>
      <c r="E380" s="5"/>
      <c r="F380" s="5"/>
      <c r="G380" s="5"/>
    </row>
    <row r="381" spans="2:7" x14ac:dyDescent="0.35">
      <c r="B381" s="109"/>
      <c r="E381" s="5"/>
      <c r="F381" s="5"/>
      <c r="G381" s="5"/>
    </row>
    <row r="382" spans="2:7" x14ac:dyDescent="0.35">
      <c r="B382" s="109"/>
      <c r="E382" s="5"/>
      <c r="F382" s="5"/>
      <c r="G382" s="5"/>
    </row>
    <row r="383" spans="2:7" x14ac:dyDescent="0.35">
      <c r="B383" s="109"/>
      <c r="E383" s="5"/>
      <c r="F383" s="5"/>
      <c r="G383" s="5"/>
    </row>
    <row r="384" spans="2:7" x14ac:dyDescent="0.35">
      <c r="B384" s="109"/>
      <c r="E384" s="5"/>
      <c r="F384" s="5"/>
      <c r="G384" s="5"/>
    </row>
    <row r="385" spans="2:7" x14ac:dyDescent="0.35">
      <c r="B385" s="109"/>
      <c r="E385" s="5"/>
      <c r="F385" s="5"/>
      <c r="G385" s="5"/>
    </row>
    <row r="386" spans="2:7" x14ac:dyDescent="0.35">
      <c r="B386" s="109"/>
      <c r="E386" s="5"/>
      <c r="F386" s="5"/>
      <c r="G386" s="5"/>
    </row>
    <row r="387" spans="2:7" x14ac:dyDescent="0.35">
      <c r="B387" s="109"/>
      <c r="E387" s="5"/>
      <c r="F387" s="5"/>
      <c r="G387" s="5"/>
    </row>
    <row r="388" spans="2:7" x14ac:dyDescent="0.35">
      <c r="B388" s="109"/>
      <c r="E388" s="5"/>
      <c r="F388" s="5"/>
      <c r="G388" s="5"/>
    </row>
    <row r="389" spans="2:7" x14ac:dyDescent="0.35">
      <c r="B389" s="109"/>
      <c r="E389" s="5"/>
      <c r="F389" s="5"/>
      <c r="G389" s="5"/>
    </row>
    <row r="390" spans="2:7" x14ac:dyDescent="0.35">
      <c r="B390" s="109"/>
      <c r="E390" s="5"/>
      <c r="F390" s="5"/>
      <c r="G390" s="5"/>
    </row>
    <row r="391" spans="2:7" x14ac:dyDescent="0.35">
      <c r="B391" s="109"/>
      <c r="E391" s="5"/>
      <c r="F391" s="5"/>
      <c r="G391" s="5"/>
    </row>
    <row r="392" spans="2:7" x14ac:dyDescent="0.35">
      <c r="B392" s="109"/>
      <c r="E392" s="5"/>
      <c r="F392" s="5"/>
      <c r="G392" s="5"/>
    </row>
    <row r="393" spans="2:7" x14ac:dyDescent="0.35">
      <c r="B393" s="109"/>
      <c r="E393" s="5"/>
      <c r="F393" s="5"/>
      <c r="G393" s="5"/>
    </row>
    <row r="394" spans="2:7" x14ac:dyDescent="0.35">
      <c r="B394" s="109"/>
      <c r="E394" s="5"/>
      <c r="F394" s="5"/>
      <c r="G394" s="5"/>
    </row>
    <row r="395" spans="2:7" x14ac:dyDescent="0.35">
      <c r="B395" s="109"/>
      <c r="E395" s="5"/>
      <c r="F395" s="5"/>
      <c r="G395" s="5"/>
    </row>
    <row r="396" spans="2:7" x14ac:dyDescent="0.35">
      <c r="B396" s="109"/>
      <c r="E396" s="5"/>
      <c r="F396" s="5"/>
      <c r="G396" s="5"/>
    </row>
    <row r="397" spans="2:7" x14ac:dyDescent="0.35">
      <c r="B397" s="109"/>
      <c r="E397" s="5"/>
      <c r="F397" s="5"/>
      <c r="G397" s="5"/>
    </row>
    <row r="398" spans="2:7" x14ac:dyDescent="0.35">
      <c r="B398" s="109"/>
      <c r="E398" s="5"/>
      <c r="F398" s="5"/>
      <c r="G398" s="5"/>
    </row>
    <row r="399" spans="2:7" x14ac:dyDescent="0.35">
      <c r="B399" s="109"/>
      <c r="E399" s="5"/>
      <c r="F399" s="5"/>
      <c r="G399" s="5"/>
    </row>
    <row r="400" spans="2:7" x14ac:dyDescent="0.35">
      <c r="B400" s="109"/>
      <c r="E400" s="5"/>
      <c r="F400" s="5"/>
      <c r="G400" s="5"/>
    </row>
    <row r="401" spans="2:7" x14ac:dyDescent="0.35">
      <c r="B401" s="109"/>
      <c r="E401" s="5"/>
      <c r="F401" s="5"/>
      <c r="G401" s="5"/>
    </row>
    <row r="402" spans="2:7" x14ac:dyDescent="0.35">
      <c r="B402" s="109"/>
      <c r="E402" s="5"/>
      <c r="F402" s="5"/>
      <c r="G402" s="5"/>
    </row>
    <row r="403" spans="2:7" x14ac:dyDescent="0.35">
      <c r="B403" s="109"/>
      <c r="E403" s="5"/>
      <c r="F403" s="5"/>
      <c r="G403" s="5"/>
    </row>
    <row r="404" spans="2:7" x14ac:dyDescent="0.35">
      <c r="B404" s="109"/>
      <c r="E404" s="5"/>
      <c r="F404" s="5"/>
      <c r="G404" s="5"/>
    </row>
    <row r="405" spans="2:7" x14ac:dyDescent="0.35">
      <c r="B405" s="109"/>
      <c r="E405" s="5"/>
      <c r="F405" s="5"/>
      <c r="G405" s="5"/>
    </row>
    <row r="406" spans="2:7" x14ac:dyDescent="0.35">
      <c r="B406" s="109"/>
      <c r="E406" s="5"/>
      <c r="F406" s="5"/>
      <c r="G406" s="5"/>
    </row>
    <row r="407" spans="2:7" x14ac:dyDescent="0.35">
      <c r="B407" s="109"/>
      <c r="E407" s="5"/>
      <c r="F407" s="5"/>
      <c r="G407" s="5"/>
    </row>
    <row r="408" spans="2:7" x14ac:dyDescent="0.35">
      <c r="B408" s="109"/>
      <c r="E408" s="5"/>
      <c r="F408" s="5"/>
      <c r="G408" s="5"/>
    </row>
    <row r="409" spans="2:7" x14ac:dyDescent="0.35">
      <c r="B409" s="109"/>
      <c r="E409" s="5"/>
      <c r="F409" s="5"/>
      <c r="G409" s="5"/>
    </row>
    <row r="410" spans="2:7" x14ac:dyDescent="0.35">
      <c r="B410" s="109"/>
      <c r="E410" s="5"/>
      <c r="F410" s="5"/>
      <c r="G410" s="5"/>
    </row>
    <row r="411" spans="2:7" x14ac:dyDescent="0.35">
      <c r="B411" s="109"/>
      <c r="E411" s="5"/>
      <c r="F411" s="5"/>
      <c r="G411" s="5"/>
    </row>
    <row r="412" spans="2:7" x14ac:dyDescent="0.35">
      <c r="B412" s="109"/>
      <c r="E412" s="5"/>
      <c r="F412" s="5"/>
      <c r="G412" s="5"/>
    </row>
    <row r="413" spans="2:7" x14ac:dyDescent="0.35">
      <c r="B413" s="109"/>
      <c r="E413" s="5"/>
      <c r="F413" s="5"/>
      <c r="G413" s="5"/>
    </row>
    <row r="414" spans="2:7" x14ac:dyDescent="0.35">
      <c r="B414" s="109"/>
      <c r="E414" s="5"/>
      <c r="F414" s="5"/>
      <c r="G414" s="5"/>
    </row>
    <row r="415" spans="2:7" x14ac:dyDescent="0.35">
      <c r="B415" s="109"/>
      <c r="E415" s="5"/>
      <c r="F415" s="5"/>
      <c r="G415" s="5"/>
    </row>
    <row r="416" spans="2:7" x14ac:dyDescent="0.35">
      <c r="B416" s="109"/>
      <c r="E416" s="5"/>
      <c r="F416" s="5"/>
      <c r="G416" s="5"/>
    </row>
    <row r="417" spans="2:7" x14ac:dyDescent="0.35">
      <c r="B417" s="109"/>
      <c r="E417" s="5"/>
      <c r="F417" s="5"/>
      <c r="G417" s="5"/>
    </row>
    <row r="418" spans="2:7" x14ac:dyDescent="0.35">
      <c r="B418" s="109"/>
      <c r="E418" s="5"/>
      <c r="F418" s="5"/>
      <c r="G418" s="5"/>
    </row>
    <row r="419" spans="2:7" x14ac:dyDescent="0.35">
      <c r="B419" s="109"/>
      <c r="E419" s="5"/>
      <c r="F419" s="5"/>
      <c r="G419" s="5"/>
    </row>
    <row r="420" spans="2:7" x14ac:dyDescent="0.35">
      <c r="B420" s="109"/>
      <c r="E420" s="5"/>
      <c r="F420" s="5"/>
      <c r="G420" s="5"/>
    </row>
    <row r="421" spans="2:7" x14ac:dyDescent="0.35">
      <c r="B421" s="109"/>
      <c r="E421" s="5"/>
      <c r="F421" s="5"/>
      <c r="G421" s="5"/>
    </row>
    <row r="422" spans="2:7" x14ac:dyDescent="0.35">
      <c r="B422" s="109"/>
      <c r="E422" s="5"/>
      <c r="F422" s="5"/>
      <c r="G422" s="5"/>
    </row>
    <row r="423" spans="2:7" x14ac:dyDescent="0.35">
      <c r="B423" s="109"/>
      <c r="E423" s="5"/>
      <c r="F423" s="5"/>
      <c r="G423" s="5"/>
    </row>
    <row r="424" spans="2:7" x14ac:dyDescent="0.35">
      <c r="B424" s="109"/>
      <c r="E424" s="5"/>
      <c r="F424" s="5"/>
      <c r="G424" s="5"/>
    </row>
    <row r="425" spans="2:7" x14ac:dyDescent="0.35">
      <c r="B425" s="109"/>
      <c r="E425" s="5"/>
      <c r="F425" s="5"/>
      <c r="G425" s="5"/>
    </row>
    <row r="426" spans="2:7" x14ac:dyDescent="0.35">
      <c r="B426" s="109"/>
      <c r="E426" s="5"/>
      <c r="F426" s="5"/>
      <c r="G426" s="5"/>
    </row>
    <row r="427" spans="2:7" x14ac:dyDescent="0.35">
      <c r="B427" s="109"/>
      <c r="E427" s="5"/>
      <c r="F427" s="5"/>
      <c r="G427" s="5"/>
    </row>
    <row r="428" spans="2:7" x14ac:dyDescent="0.35">
      <c r="B428" s="109"/>
      <c r="E428" s="5"/>
      <c r="F428" s="5"/>
      <c r="G428" s="5"/>
    </row>
    <row r="429" spans="2:7" x14ac:dyDescent="0.35">
      <c r="B429" s="109"/>
      <c r="E429" s="5"/>
      <c r="F429" s="5"/>
      <c r="G429" s="5"/>
    </row>
    <row r="430" spans="2:7" x14ac:dyDescent="0.35">
      <c r="B430" s="109"/>
      <c r="E430" s="5"/>
      <c r="F430" s="5"/>
      <c r="G430" s="5"/>
    </row>
    <row r="431" spans="2:7" x14ac:dyDescent="0.35">
      <c r="B431" s="109"/>
      <c r="E431" s="5"/>
      <c r="F431" s="5"/>
      <c r="G431" s="5"/>
    </row>
    <row r="432" spans="2:7" x14ac:dyDescent="0.35">
      <c r="B432" s="109"/>
      <c r="E432" s="5"/>
      <c r="F432" s="5"/>
      <c r="G432" s="5"/>
    </row>
    <row r="433" spans="2:7" x14ac:dyDescent="0.35">
      <c r="B433" s="109"/>
      <c r="E433" s="5"/>
      <c r="F433" s="5"/>
      <c r="G433" s="5"/>
    </row>
    <row r="434" spans="2:7" x14ac:dyDescent="0.35">
      <c r="B434" s="109"/>
      <c r="E434" s="5"/>
      <c r="F434" s="5"/>
      <c r="G434" s="5"/>
    </row>
    <row r="435" spans="2:7" x14ac:dyDescent="0.35">
      <c r="B435" s="109"/>
      <c r="E435" s="5"/>
      <c r="F435" s="5"/>
      <c r="G435" s="5"/>
    </row>
    <row r="436" spans="2:7" x14ac:dyDescent="0.35">
      <c r="B436" s="109"/>
      <c r="E436" s="5"/>
      <c r="F436" s="5"/>
      <c r="G436" s="5"/>
    </row>
    <row r="437" spans="2:7" x14ac:dyDescent="0.35">
      <c r="B437" s="109"/>
      <c r="E437" s="5"/>
      <c r="F437" s="5"/>
      <c r="G437" s="5"/>
    </row>
    <row r="438" spans="2:7" x14ac:dyDescent="0.35">
      <c r="B438" s="109"/>
      <c r="E438" s="5"/>
      <c r="F438" s="5"/>
      <c r="G438" s="5"/>
    </row>
    <row r="439" spans="2:7" x14ac:dyDescent="0.35">
      <c r="B439" s="109"/>
      <c r="E439" s="5"/>
      <c r="F439" s="5"/>
      <c r="G439" s="5"/>
    </row>
    <row r="440" spans="2:7" x14ac:dyDescent="0.35">
      <c r="B440" s="109"/>
      <c r="E440" s="5"/>
      <c r="F440" s="5"/>
      <c r="G440" s="5"/>
    </row>
    <row r="441" spans="2:7" x14ac:dyDescent="0.35">
      <c r="B441" s="109"/>
      <c r="E441" s="5"/>
      <c r="F441" s="5"/>
      <c r="G441" s="5"/>
    </row>
    <row r="442" spans="2:7" x14ac:dyDescent="0.35">
      <c r="B442" s="109"/>
      <c r="E442" s="5"/>
      <c r="F442" s="5"/>
      <c r="G442" s="5"/>
    </row>
    <row r="443" spans="2:7" x14ac:dyDescent="0.35">
      <c r="B443" s="109"/>
      <c r="E443" s="5"/>
      <c r="F443" s="5"/>
      <c r="G443" s="5"/>
    </row>
    <row r="444" spans="2:7" x14ac:dyDescent="0.35">
      <c r="B444" s="109"/>
      <c r="E444" s="5"/>
      <c r="F444" s="5"/>
      <c r="G444" s="5"/>
    </row>
    <row r="445" spans="2:7" x14ac:dyDescent="0.35">
      <c r="B445" s="109"/>
      <c r="E445" s="5"/>
      <c r="F445" s="5"/>
      <c r="G445" s="5"/>
    </row>
    <row r="446" spans="2:7" x14ac:dyDescent="0.35">
      <c r="B446" s="109"/>
      <c r="E446" s="5"/>
      <c r="F446" s="5"/>
      <c r="G446" s="5"/>
    </row>
    <row r="447" spans="2:7" x14ac:dyDescent="0.35">
      <c r="B447" s="109"/>
      <c r="E447" s="5"/>
      <c r="F447" s="5"/>
      <c r="G447" s="5"/>
    </row>
    <row r="448" spans="2:7" x14ac:dyDescent="0.35">
      <c r="B448" s="109"/>
      <c r="E448" s="5"/>
      <c r="F448" s="5"/>
      <c r="G448" s="5"/>
    </row>
    <row r="449" spans="2:7" x14ac:dyDescent="0.35">
      <c r="B449" s="109"/>
      <c r="E449" s="5"/>
      <c r="F449" s="5"/>
      <c r="G449" s="5"/>
    </row>
    <row r="450" spans="2:7" x14ac:dyDescent="0.35">
      <c r="B450" s="109"/>
      <c r="E450" s="5"/>
      <c r="F450" s="5"/>
      <c r="G450" s="5"/>
    </row>
    <row r="451" spans="2:7" x14ac:dyDescent="0.35">
      <c r="B451" s="109"/>
      <c r="E451" s="5"/>
      <c r="F451" s="5"/>
      <c r="G451" s="5"/>
    </row>
    <row r="452" spans="2:7" x14ac:dyDescent="0.35">
      <c r="B452" s="109"/>
      <c r="E452" s="5"/>
      <c r="F452" s="5"/>
      <c r="G452" s="5"/>
    </row>
    <row r="453" spans="2:7" x14ac:dyDescent="0.35">
      <c r="B453" s="109"/>
      <c r="E453" s="5"/>
      <c r="F453" s="5"/>
      <c r="G453" s="5"/>
    </row>
    <row r="454" spans="2:7" x14ac:dyDescent="0.35">
      <c r="B454" s="109"/>
      <c r="E454" s="5"/>
      <c r="F454" s="5"/>
      <c r="G454" s="5"/>
    </row>
    <row r="455" spans="2:7" x14ac:dyDescent="0.35">
      <c r="B455" s="109"/>
      <c r="E455" s="5"/>
      <c r="F455" s="5"/>
      <c r="G455" s="5"/>
    </row>
    <row r="456" spans="2:7" x14ac:dyDescent="0.35">
      <c r="B456" s="109"/>
      <c r="E456" s="5"/>
      <c r="F456" s="5"/>
      <c r="G456" s="5"/>
    </row>
    <row r="457" spans="2:7" x14ac:dyDescent="0.35">
      <c r="B457" s="109"/>
      <c r="E457" s="5"/>
      <c r="F457" s="5"/>
      <c r="G457" s="5"/>
    </row>
    <row r="458" spans="2:7" x14ac:dyDescent="0.35">
      <c r="B458" s="109"/>
      <c r="E458" s="5"/>
      <c r="F458" s="5"/>
      <c r="G458" s="5"/>
    </row>
    <row r="459" spans="2:7" x14ac:dyDescent="0.35">
      <c r="B459" s="109"/>
      <c r="E459" s="5"/>
      <c r="F459" s="5"/>
      <c r="G459" s="5"/>
    </row>
    <row r="460" spans="2:7" x14ac:dyDescent="0.35">
      <c r="B460" s="109"/>
      <c r="E460" s="5"/>
      <c r="F460" s="5"/>
      <c r="G460" s="5"/>
    </row>
    <row r="461" spans="2:7" x14ac:dyDescent="0.35">
      <c r="B461" s="109"/>
      <c r="E461" s="5"/>
      <c r="F461" s="5"/>
      <c r="G461" s="5"/>
    </row>
    <row r="462" spans="2:7" x14ac:dyDescent="0.35">
      <c r="B462" s="109"/>
      <c r="E462" s="5"/>
      <c r="F462" s="5"/>
      <c r="G462" s="5"/>
    </row>
    <row r="463" spans="2:7" x14ac:dyDescent="0.35">
      <c r="B463" s="109"/>
      <c r="E463" s="5"/>
      <c r="F463" s="5"/>
      <c r="G463" s="5"/>
    </row>
    <row r="464" spans="2:7" x14ac:dyDescent="0.35">
      <c r="B464" s="109"/>
      <c r="E464" s="5"/>
      <c r="F464" s="5"/>
      <c r="G464" s="5"/>
    </row>
    <row r="465" spans="2:7" x14ac:dyDescent="0.35">
      <c r="B465" s="109"/>
      <c r="E465" s="5"/>
      <c r="F465" s="5"/>
      <c r="G465" s="5"/>
    </row>
    <row r="466" spans="2:7" x14ac:dyDescent="0.35">
      <c r="B466" s="109"/>
      <c r="E466" s="5"/>
      <c r="F466" s="5"/>
      <c r="G466" s="5"/>
    </row>
    <row r="467" spans="2:7" x14ac:dyDescent="0.35">
      <c r="B467" s="109"/>
      <c r="E467" s="5"/>
      <c r="F467" s="5"/>
      <c r="G467" s="5"/>
    </row>
    <row r="468" spans="2:7" x14ac:dyDescent="0.35">
      <c r="B468" s="109"/>
      <c r="E468" s="5"/>
      <c r="F468" s="5"/>
      <c r="G468" s="5"/>
    </row>
    <row r="469" spans="2:7" x14ac:dyDescent="0.35">
      <c r="B469" s="109"/>
      <c r="E469" s="5"/>
      <c r="F469" s="5"/>
      <c r="G469" s="5"/>
    </row>
    <row r="470" spans="2:7" x14ac:dyDescent="0.35">
      <c r="B470" s="109"/>
      <c r="E470" s="5"/>
      <c r="F470" s="5"/>
      <c r="G470" s="5"/>
    </row>
    <row r="471" spans="2:7" x14ac:dyDescent="0.35">
      <c r="B471" s="109"/>
      <c r="E471" s="5"/>
      <c r="F471" s="5"/>
      <c r="G471" s="5"/>
    </row>
    <row r="472" spans="2:7" x14ac:dyDescent="0.35">
      <c r="B472" s="109"/>
      <c r="E472" s="5"/>
      <c r="F472" s="5"/>
      <c r="G472" s="5"/>
    </row>
    <row r="473" spans="2:7" x14ac:dyDescent="0.35">
      <c r="B473" s="109"/>
      <c r="E473" s="5"/>
      <c r="F473" s="5"/>
      <c r="G473" s="5"/>
    </row>
    <row r="474" spans="2:7" x14ac:dyDescent="0.35">
      <c r="B474" s="109"/>
      <c r="E474" s="5"/>
      <c r="F474" s="5"/>
      <c r="G474" s="5"/>
    </row>
    <row r="475" spans="2:7" x14ac:dyDescent="0.35">
      <c r="B475" s="109"/>
      <c r="E475" s="5"/>
      <c r="F475" s="5"/>
      <c r="G475" s="5"/>
    </row>
    <row r="476" spans="2:7" x14ac:dyDescent="0.35">
      <c r="B476" s="109"/>
      <c r="E476" s="5"/>
      <c r="F476" s="5"/>
      <c r="G476" s="5"/>
    </row>
    <row r="477" spans="2:7" x14ac:dyDescent="0.35">
      <c r="B477" s="109"/>
      <c r="E477" s="5"/>
      <c r="F477" s="5"/>
      <c r="G477" s="5"/>
    </row>
    <row r="478" spans="2:7" x14ac:dyDescent="0.35">
      <c r="B478" s="109"/>
      <c r="E478" s="5"/>
      <c r="F478" s="5"/>
      <c r="G478" s="5"/>
    </row>
    <row r="479" spans="2:7" x14ac:dyDescent="0.35">
      <c r="B479" s="109"/>
      <c r="E479" s="5"/>
      <c r="F479" s="5"/>
      <c r="G479" s="5"/>
    </row>
    <row r="480" spans="2:7" x14ac:dyDescent="0.35">
      <c r="B480" s="109"/>
      <c r="E480" s="5"/>
      <c r="F480" s="5"/>
      <c r="G480" s="5"/>
    </row>
    <row r="481" spans="2:7" x14ac:dyDescent="0.35">
      <c r="B481" s="109"/>
      <c r="E481" s="5"/>
      <c r="F481" s="5"/>
      <c r="G481" s="5"/>
    </row>
    <row r="482" spans="2:7" x14ac:dyDescent="0.35">
      <c r="B482" s="109"/>
      <c r="E482" s="5"/>
      <c r="F482" s="5"/>
      <c r="G482" s="5"/>
    </row>
    <row r="483" spans="2:7" x14ac:dyDescent="0.35">
      <c r="B483" s="109"/>
      <c r="E483" s="5"/>
      <c r="F483" s="5"/>
      <c r="G483" s="5"/>
    </row>
    <row r="484" spans="2:7" x14ac:dyDescent="0.35">
      <c r="B484" s="109"/>
      <c r="E484" s="5"/>
      <c r="F484" s="5"/>
      <c r="G484" s="5"/>
    </row>
    <row r="485" spans="2:7" x14ac:dyDescent="0.35">
      <c r="B485" s="109"/>
      <c r="E485" s="5"/>
      <c r="F485" s="5"/>
      <c r="G485" s="5"/>
    </row>
    <row r="486" spans="2:7" x14ac:dyDescent="0.35">
      <c r="B486" s="109"/>
      <c r="E486" s="5"/>
      <c r="F486" s="5"/>
      <c r="G486" s="5"/>
    </row>
    <row r="487" spans="2:7" x14ac:dyDescent="0.35">
      <c r="B487" s="109"/>
      <c r="E487" s="5"/>
      <c r="F487" s="5"/>
      <c r="G487" s="5"/>
    </row>
    <row r="488" spans="2:7" x14ac:dyDescent="0.35">
      <c r="B488" s="109"/>
      <c r="E488" s="5"/>
      <c r="F488" s="5"/>
      <c r="G488" s="5"/>
    </row>
    <row r="489" spans="2:7" x14ac:dyDescent="0.35">
      <c r="B489" s="109"/>
      <c r="E489" s="5"/>
      <c r="F489" s="5"/>
      <c r="G489" s="5"/>
    </row>
    <row r="490" spans="2:7" x14ac:dyDescent="0.35">
      <c r="B490" s="109"/>
      <c r="E490" s="5"/>
      <c r="F490" s="5"/>
      <c r="G490" s="5"/>
    </row>
    <row r="491" spans="2:7" x14ac:dyDescent="0.35">
      <c r="B491" s="109"/>
      <c r="E491" s="5"/>
      <c r="F491" s="5"/>
      <c r="G491" s="5"/>
    </row>
    <row r="492" spans="2:7" x14ac:dyDescent="0.35">
      <c r="B492" s="109"/>
      <c r="E492" s="5"/>
      <c r="F492" s="5"/>
      <c r="G492" s="5"/>
    </row>
    <row r="493" spans="2:7" x14ac:dyDescent="0.35">
      <c r="B493" s="109"/>
      <c r="E493" s="5"/>
      <c r="F493" s="5"/>
      <c r="G493" s="5"/>
    </row>
    <row r="494" spans="2:7" x14ac:dyDescent="0.35">
      <c r="B494" s="109"/>
      <c r="E494" s="5"/>
      <c r="F494" s="5"/>
      <c r="G494" s="5"/>
    </row>
    <row r="495" spans="2:7" x14ac:dyDescent="0.35">
      <c r="B495" s="109"/>
      <c r="E495" s="5"/>
      <c r="F495" s="5"/>
      <c r="G495" s="5"/>
    </row>
    <row r="496" spans="2:7" x14ac:dyDescent="0.35">
      <c r="B496" s="109"/>
      <c r="E496" s="5"/>
      <c r="F496" s="5"/>
      <c r="G496" s="5"/>
    </row>
    <row r="497" spans="2:7" x14ac:dyDescent="0.35">
      <c r="B497" s="109"/>
      <c r="E497" s="5"/>
      <c r="F497" s="5"/>
      <c r="G497" s="5"/>
    </row>
    <row r="498" spans="2:7" x14ac:dyDescent="0.35">
      <c r="B498" s="109"/>
      <c r="E498" s="5"/>
      <c r="F498" s="5"/>
      <c r="G498" s="5"/>
    </row>
    <row r="499" spans="2:7" x14ac:dyDescent="0.35">
      <c r="B499" s="109"/>
      <c r="E499" s="5"/>
      <c r="F499" s="5"/>
      <c r="G499" s="5"/>
    </row>
    <row r="500" spans="2:7" x14ac:dyDescent="0.35">
      <c r="B500" s="109"/>
      <c r="E500" s="5"/>
      <c r="F500" s="5"/>
      <c r="G500" s="5"/>
    </row>
  </sheetData>
  <mergeCells count="7">
    <mergeCell ref="AB2:AC2"/>
    <mergeCell ref="J2:K2"/>
    <mergeCell ref="M2:N2"/>
    <mergeCell ref="P2:Q2"/>
    <mergeCell ref="S2:T2"/>
    <mergeCell ref="V2:W2"/>
    <mergeCell ref="Y2:Z2"/>
  </mergeCells>
  <hyperlinks>
    <hyperlink ref="B2" location="'Dashboard'!A1" tooltip="Go to Dashboard" display="🏠 HOME" xr:uid="{759FEF37-51DD-483B-8740-68DC9042DB4C}"/>
    <hyperlink ref="D2" location="'General Journal'!A1" tooltip="Go to General Journal" display="◀ PREV" xr:uid="{8C7719F8-2BAC-44F8-8985-D0E880EEC3F6}"/>
    <hyperlink ref="F2" location="'Trial Balance'!A1" tooltip="Go to Trial Balance" display="NEXT ▶" xr:uid="{B7EA0C9A-0663-4804-85FB-B1150886DAE5}"/>
    <hyperlink ref="H2" location="'Dashboard'!B5" tooltip="Go to Dashboard" display="☰ MENU" xr:uid="{93F81792-1E4D-4B72-970A-CB2FB821E662}"/>
    <hyperlink ref="J2:K2" location="'General Journal'!A1" tooltip="Go to General Journal" display="Journal" xr:uid="{F828E383-3522-42C2-B455-46EB6CE07A64}"/>
    <hyperlink ref="M2:N2" location="'Trial Balance'!A1" tooltip="Go to Trial Balance" display="Trial Bal." xr:uid="{CCF5C762-7E97-47BC-94DB-EFE66A71ADEE}"/>
    <hyperlink ref="P2:Q2" location="'Income Statement'!A1" tooltip="Go to Income Statement" display="Income St." xr:uid="{E506A3F2-304B-415A-8B14-C7B3FC3165DB}"/>
    <hyperlink ref="S2:T2" location="'Balance Sheet'!A1" tooltip="Go to Balance Sheet" display="Balance Sh." xr:uid="{4694C416-A6E0-4183-92AD-85EBBA0CE00F}"/>
    <hyperlink ref="V2:W2" location="'Tax Reconciliation'!A1" tooltip="Go to Tax Reconciliation" display="Tax Recon" xr:uid="{99B2D471-FC3E-4D3C-BE5C-BED4265C25CF}"/>
    <hyperlink ref="Y2:Z2" location="'Bank Reconciliation'!A1" tooltip="Go to Bank Reconciliation" display="Bank Recon" xr:uid="{7D02A3B0-1771-425E-8CF7-42C14F9FEB64}"/>
    <hyperlink ref="AB2:AC2" location="'Controls'!A1" tooltip="Go to Controls" display="Controls" xr:uid="{084523CE-DEB4-4429-B394-85AA5FC6345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C936A09-203B-4834-BCC1-F00CFE361A1E}">
          <x14:formula1>
            <xm:f>COA!$B$7:$B$300</xm:f>
          </x14:formula1>
          <xm:sqref>C6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0129-FF03-4EFB-A359-4F1E06817BA5}">
  <sheetPr>
    <tabColor rgb="FFF59E0B"/>
  </sheetPr>
  <dimension ref="A1:BH120"/>
  <sheetViews>
    <sheetView showGridLines="0" workbookViewId="0">
      <pane ySplit="7" topLeftCell="A35" activePane="bottomLeft" state="frozen"/>
      <selection pane="bottomLeft"/>
    </sheetView>
  </sheetViews>
  <sheetFormatPr defaultRowHeight="14.5" x14ac:dyDescent="0.35"/>
  <cols>
    <col min="1" max="1" width="1.453125" style="1" customWidth="1"/>
    <col min="2" max="2" width="7.26953125" style="1" customWidth="1"/>
    <col min="3" max="3" width="36.36328125" style="1" customWidth="1"/>
    <col min="4" max="4" width="9.08984375" style="1" customWidth="1"/>
    <col min="5" max="5" width="27.26953125" style="1" customWidth="1"/>
    <col min="6" max="7" width="6.36328125" style="1" customWidth="1"/>
    <col min="8" max="8" width="21.81640625" style="1" customWidth="1"/>
    <col min="9" max="16" width="15.453125" style="1" customWidth="1"/>
    <col min="17" max="52" width="8.7265625" style="1"/>
  </cols>
  <sheetData>
    <row r="1" spans="1:60" ht="5" customHeight="1" x14ac:dyDescent="0.35"/>
    <row r="2" spans="1:60" ht="18" customHeight="1" thickBot="1" x14ac:dyDescent="0.4">
      <c r="A2" s="307"/>
      <c r="B2" s="312" t="s">
        <v>7075</v>
      </c>
      <c r="C2" s="313"/>
      <c r="D2" s="307"/>
      <c r="E2" s="309" t="s">
        <v>7076</v>
      </c>
      <c r="F2" s="307"/>
      <c r="G2" s="310" t="s">
        <v>7077</v>
      </c>
      <c r="H2" s="311"/>
      <c r="I2" s="307"/>
      <c r="J2" s="308" t="s">
        <v>7078</v>
      </c>
      <c r="K2" s="307"/>
      <c r="L2" s="317" t="s">
        <v>7079</v>
      </c>
      <c r="M2" s="307"/>
      <c r="N2" s="319" t="s">
        <v>7080</v>
      </c>
      <c r="O2" s="307"/>
      <c r="P2" s="317" t="s">
        <v>7081</v>
      </c>
      <c r="Q2" s="307"/>
      <c r="R2" s="314" t="s">
        <v>7082</v>
      </c>
      <c r="S2" s="315"/>
      <c r="T2" s="307"/>
      <c r="U2" s="314" t="s">
        <v>7083</v>
      </c>
      <c r="V2" s="315"/>
      <c r="W2" s="307"/>
      <c r="X2" s="314" t="s">
        <v>7084</v>
      </c>
      <c r="Y2" s="315"/>
      <c r="Z2" s="307"/>
      <c r="AA2" s="314" t="s">
        <v>7085</v>
      </c>
      <c r="AB2" s="315"/>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6645</v>
      </c>
      <c r="C4" s="67"/>
      <c r="D4" s="67"/>
      <c r="E4" s="67"/>
      <c r="F4" s="67"/>
      <c r="G4" s="67"/>
      <c r="H4" s="67"/>
      <c r="I4" s="67"/>
      <c r="J4" s="67"/>
      <c r="K4" s="67"/>
      <c r="L4" s="67"/>
      <c r="M4" s="67"/>
      <c r="N4" s="67"/>
      <c r="O4" s="67"/>
      <c r="P4" s="67"/>
    </row>
    <row r="5" spans="1:60" x14ac:dyDescent="0.35">
      <c r="B5" s="72" t="str">
        <f>PeriodTitle&amp;"  •  Auto-expands with COA  •  Includes GJ rows dated ≤ Period End + income tax provision"</f>
        <v>For the Period from 1 January to 31 October 2026  •  Auto-expands with COA  •  Includes GJ rows dated ≤ Period End + income tax provision</v>
      </c>
    </row>
    <row r="6" spans="1:60" x14ac:dyDescent="0.35">
      <c r="B6" s="123" t="s">
        <v>4265</v>
      </c>
      <c r="C6" s="123" t="str">
        <f>IF(AND(ABS(J6-K6)&lt;1,ABS(O6-P6)&lt;1,ABS(N6)&lt;1),"✔ Balanced","✖ NOT BALANCED")</f>
        <v>✔ Balanced</v>
      </c>
      <c r="D6" s="123"/>
      <c r="E6" s="123"/>
      <c r="F6" s="123"/>
      <c r="G6" s="123"/>
      <c r="H6" s="123"/>
      <c r="I6" s="127"/>
      <c r="J6" s="127">
        <f>SUM(_xlfn.ANCHORARRAY(J8))</f>
        <v>55009732717</v>
      </c>
      <c r="K6" s="127">
        <f>SUM(_xlfn.ANCHORARRAY(K8))</f>
        <v>55009732717</v>
      </c>
      <c r="L6" s="127"/>
      <c r="M6" s="127">
        <f>SUM(_xlfn.ANCHORARRAY(M8))</f>
        <v>0</v>
      </c>
      <c r="N6" s="127">
        <f>SUM(_xlfn.ANCHORARRAY(N8))</f>
        <v>0</v>
      </c>
      <c r="O6" s="127">
        <f>SUM(_xlfn.ANCHORARRAY(O8))</f>
        <v>20173634992</v>
      </c>
      <c r="P6" s="127">
        <f>SUM(_xlfn.ANCHORARRAY(P8))</f>
        <v>20173634992</v>
      </c>
    </row>
    <row r="7" spans="1:60" ht="24" customHeight="1" x14ac:dyDescent="0.35">
      <c r="B7" s="126" t="s">
        <v>4852</v>
      </c>
      <c r="C7" s="126" t="s">
        <v>4965</v>
      </c>
      <c r="D7" s="126" t="s">
        <v>4966</v>
      </c>
      <c r="E7" s="126" t="s">
        <v>4967</v>
      </c>
      <c r="F7" s="126" t="s">
        <v>4264</v>
      </c>
      <c r="G7" s="126" t="s">
        <v>4968</v>
      </c>
      <c r="H7" s="126" t="s">
        <v>4969</v>
      </c>
      <c r="I7" s="128" t="s">
        <v>4944</v>
      </c>
      <c r="J7" s="128" t="s">
        <v>6646</v>
      </c>
      <c r="K7" s="128" t="s">
        <v>6647</v>
      </c>
      <c r="L7" s="128" t="s">
        <v>6648</v>
      </c>
      <c r="M7" s="128" t="s">
        <v>6649</v>
      </c>
      <c r="N7" s="128" t="s">
        <v>6650</v>
      </c>
      <c r="O7" s="128" t="s">
        <v>6651</v>
      </c>
      <c r="P7" s="128" t="s">
        <v>6652</v>
      </c>
    </row>
    <row r="8" spans="1:60" x14ac:dyDescent="0.35">
      <c r="B8" s="114" cm="1">
        <f t="array" ref="B8:B75">tblCOA[Code]</f>
        <v>1110</v>
      </c>
      <c r="C8" s="114" t="str" cm="1">
        <f t="array" ref="C8:C75">tblCOA[Account Name]</f>
        <v>Cash on Hand</v>
      </c>
      <c r="D8" s="114" t="str" cm="1">
        <f t="array" ref="D8:D75">tblCOA[Class]</f>
        <v>Asset</v>
      </c>
      <c r="E8" s="114" t="str" cm="1">
        <f t="array" ref="E8:E75">tblCOA[FS Line]</f>
        <v>Cash and cash equivalents</v>
      </c>
      <c r="F8" s="114" t="str" cm="1">
        <f t="array" ref="F8:F75">tblCOA[Normal]</f>
        <v>D</v>
      </c>
      <c r="G8" s="114" cm="1">
        <f t="array" ref="G8:G75">tblCOA[Note]</f>
        <v>3</v>
      </c>
      <c r="H8" s="114" t="str" cm="1">
        <f t="array" ref="H8:H75">tblCOA[CF Line]</f>
        <v>Cash</v>
      </c>
      <c r="I8" s="115" cm="1">
        <f t="array" ref="I8:I75">tblCOA[Opening Balance]</f>
        <v>25000000</v>
      </c>
      <c r="J8" s="115" cm="1">
        <f t="array" ref="J8:J75">SUMIFS(tblGJ[Debit],tblGJ[Account Code],_xlfn.ANCHORARRAY(B8),tblGJ[Date],"&lt;="&amp;PEnd)+SUMIFS(tblTaxAdj[Debit],tblTaxAdj[Account Code],_xlfn.ANCHORARRAY(B8))</f>
        <v>1455365400</v>
      </c>
      <c r="K8" s="115" cm="1">
        <f t="array" ref="K8:K75">SUMIFS(tblGJ[Credit],tblGJ[Account Code],_xlfn.ANCHORARRAY(B8),tblGJ[Date],"&lt;="&amp;PEnd)+SUMIFS(tblTaxAdj[Credit],tblTaxAdj[Account Code],_xlfn.ANCHORARRAY(B8))</f>
        <v>1455365400</v>
      </c>
      <c r="L8" s="115" cm="1">
        <f t="array" ref="L8:L75">_xlfn.ANCHORARRAY(I8)+IF(_xlfn.ANCHORARRAY(F8)="D",_xlfn.ANCHORARRAY(J8)-_xlfn.ANCHORARRAY(K8),_xlfn.ANCHORARRAY(K8)-_xlfn.ANCHORARRAY(J8))</f>
        <v>25000000</v>
      </c>
      <c r="M8" s="115" cm="1">
        <f t="array" ref="M8:M75">IF(_xlfn.ANCHORARRAY(F8)="D",1,-1)*_xlfn.ANCHORARRAY(I8)</f>
        <v>25000000</v>
      </c>
      <c r="N8" s="115" cm="1">
        <f t="array" ref="N8:N75">IF(_xlfn.ANCHORARRAY(F8)="D",1,-1)*_xlfn.ANCHORARRAY(L8)</f>
        <v>25000000</v>
      </c>
      <c r="O8" s="115" cm="1">
        <f t="array" ref="O8:O75">IF(_xlfn.ANCHORARRAY(N8)&gt;0,_xlfn.ANCHORARRAY(N8),0)</f>
        <v>25000000</v>
      </c>
      <c r="P8" s="115" cm="1">
        <f t="array" ref="P8:P75">IF(_xlfn.ANCHORARRAY(N8)&lt;0,-_xlfn.ANCHORARRAY(N8),0)</f>
        <v>0</v>
      </c>
    </row>
    <row r="9" spans="1:60" x14ac:dyDescent="0.35">
      <c r="B9" s="73">
        <v>1120</v>
      </c>
      <c r="C9" s="73" t="str">
        <v>Bank BCA - Current Account</v>
      </c>
      <c r="D9" s="73" t="str">
        <v>Asset</v>
      </c>
      <c r="E9" s="73" t="str">
        <v>Cash and cash equivalents</v>
      </c>
      <c r="F9" s="73" t="str">
        <v>D</v>
      </c>
      <c r="G9" s="73">
        <v>3</v>
      </c>
      <c r="H9" s="73" t="str">
        <v>Cash</v>
      </c>
      <c r="I9" s="116">
        <v>1250000000</v>
      </c>
      <c r="J9" s="116">
        <v>11979437562</v>
      </c>
      <c r="K9" s="116">
        <v>12640654864</v>
      </c>
      <c r="L9" s="116">
        <v>588782698</v>
      </c>
      <c r="M9" s="116">
        <v>1250000000</v>
      </c>
      <c r="N9" s="116">
        <v>588782698</v>
      </c>
      <c r="O9" s="116">
        <v>588782698</v>
      </c>
      <c r="P9" s="116">
        <v>0</v>
      </c>
    </row>
    <row r="10" spans="1:60" x14ac:dyDescent="0.35">
      <c r="B10" s="73">
        <v>1130</v>
      </c>
      <c r="C10" s="73" t="str">
        <v>Bank Mandiri - Current Account</v>
      </c>
      <c r="D10" s="73" t="str">
        <v>Asset</v>
      </c>
      <c r="E10" s="73" t="str">
        <v>Cash and cash equivalents</v>
      </c>
      <c r="F10" s="73" t="str">
        <v>D</v>
      </c>
      <c r="G10" s="73">
        <v>3</v>
      </c>
      <c r="H10" s="73" t="str">
        <v>Cash</v>
      </c>
      <c r="I10" s="116">
        <v>450000000</v>
      </c>
      <c r="J10" s="116">
        <v>1760376841</v>
      </c>
      <c r="K10" s="116">
        <v>1760913971</v>
      </c>
      <c r="L10" s="116">
        <v>449462870</v>
      </c>
      <c r="M10" s="116">
        <v>450000000</v>
      </c>
      <c r="N10" s="116">
        <v>449462870</v>
      </c>
      <c r="O10" s="116">
        <v>449462870</v>
      </c>
      <c r="P10" s="116">
        <v>0</v>
      </c>
    </row>
    <row r="11" spans="1:60" x14ac:dyDescent="0.35">
      <c r="B11" s="73">
        <v>1140</v>
      </c>
      <c r="C11" s="73" t="str">
        <v>Time Deposit (≤ 3 months)</v>
      </c>
      <c r="D11" s="73" t="str">
        <v>Asset</v>
      </c>
      <c r="E11" s="73" t="str">
        <v>Cash and cash equivalents</v>
      </c>
      <c r="F11" s="73" t="str">
        <v>D</v>
      </c>
      <c r="G11" s="73">
        <v>3</v>
      </c>
      <c r="H11" s="73" t="str">
        <v>Cash</v>
      </c>
      <c r="I11" s="116">
        <v>500000000</v>
      </c>
      <c r="J11" s="116">
        <v>0</v>
      </c>
      <c r="K11" s="116">
        <v>0</v>
      </c>
      <c r="L11" s="116">
        <v>500000000</v>
      </c>
      <c r="M11" s="116">
        <v>500000000</v>
      </c>
      <c r="N11" s="116">
        <v>500000000</v>
      </c>
      <c r="O11" s="116">
        <v>500000000</v>
      </c>
      <c r="P11" s="116">
        <v>0</v>
      </c>
    </row>
    <row r="12" spans="1:60" x14ac:dyDescent="0.35">
      <c r="B12" s="73">
        <v>1210</v>
      </c>
      <c r="C12" s="73" t="str">
        <v>Trade Receivables</v>
      </c>
      <c r="D12" s="73" t="str">
        <v>Asset</v>
      </c>
      <c r="E12" s="73" t="str">
        <v>Trade receivables - net</v>
      </c>
      <c r="F12" s="73" t="str">
        <v>D</v>
      </c>
      <c r="G12" s="73">
        <v>4</v>
      </c>
      <c r="H12" s="73" t="str">
        <v>Receivables</v>
      </c>
      <c r="I12" s="116">
        <v>420000000</v>
      </c>
      <c r="J12" s="116">
        <v>9056134800</v>
      </c>
      <c r="K12" s="116">
        <v>8418793200</v>
      </c>
      <c r="L12" s="116">
        <v>1057341600</v>
      </c>
      <c r="M12" s="116">
        <v>420000000</v>
      </c>
      <c r="N12" s="116">
        <v>1057341600</v>
      </c>
      <c r="O12" s="116">
        <v>1057341600</v>
      </c>
      <c r="P12" s="116">
        <v>0</v>
      </c>
    </row>
    <row r="13" spans="1:60" x14ac:dyDescent="0.35">
      <c r="B13" s="73">
        <v>1220</v>
      </c>
      <c r="C13" s="73" t="str">
        <v>Allowance for Expected Credit Losses</v>
      </c>
      <c r="D13" s="73" t="str">
        <v>Asset</v>
      </c>
      <c r="E13" s="73" t="str">
        <v>Trade receivables - net</v>
      </c>
      <c r="F13" s="73" t="str">
        <v>C</v>
      </c>
      <c r="G13" s="73">
        <v>4</v>
      </c>
      <c r="H13" s="73" t="str">
        <v>Receivables</v>
      </c>
      <c r="I13" s="116">
        <v>20000000</v>
      </c>
      <c r="J13" s="116">
        <v>0</v>
      </c>
      <c r="K13" s="116">
        <v>0</v>
      </c>
      <c r="L13" s="116">
        <v>20000000</v>
      </c>
      <c r="M13" s="116">
        <v>-20000000</v>
      </c>
      <c r="N13" s="116">
        <v>-20000000</v>
      </c>
      <c r="O13" s="116">
        <v>0</v>
      </c>
      <c r="P13" s="116">
        <v>20000000</v>
      </c>
    </row>
    <row r="14" spans="1:60" x14ac:dyDescent="0.35">
      <c r="B14" s="73">
        <v>1230</v>
      </c>
      <c r="C14" s="73" t="str">
        <v>Other Receivables</v>
      </c>
      <c r="D14" s="73" t="str">
        <v>Asset</v>
      </c>
      <c r="E14" s="73" t="str">
        <v>Other receivables</v>
      </c>
      <c r="F14" s="73" t="str">
        <v>D</v>
      </c>
      <c r="G14" s="73">
        <v>4</v>
      </c>
      <c r="H14" s="73" t="str">
        <v>Receivables</v>
      </c>
      <c r="I14" s="116">
        <v>25000000</v>
      </c>
      <c r="J14" s="116">
        <v>0</v>
      </c>
      <c r="K14" s="116">
        <v>0</v>
      </c>
      <c r="L14" s="116">
        <v>25000000</v>
      </c>
      <c r="M14" s="116">
        <v>25000000</v>
      </c>
      <c r="N14" s="116">
        <v>25000000</v>
      </c>
      <c r="O14" s="116">
        <v>25000000</v>
      </c>
      <c r="P14" s="116">
        <v>0</v>
      </c>
    </row>
    <row r="15" spans="1:60" x14ac:dyDescent="0.35">
      <c r="B15" s="73">
        <v>1310</v>
      </c>
      <c r="C15" s="73" t="str">
        <v>Merchandise inventory</v>
      </c>
      <c r="D15" s="73" t="str">
        <v>Asset</v>
      </c>
      <c r="E15" s="73" t="str">
        <v>Inventories</v>
      </c>
      <c r="F15" s="73" t="str">
        <v>D</v>
      </c>
      <c r="G15" s="73">
        <v>5</v>
      </c>
      <c r="H15" s="73" t="str">
        <v>Inventories</v>
      </c>
      <c r="I15" s="116">
        <v>950000000</v>
      </c>
      <c r="J15" s="116">
        <v>6863944000</v>
      </c>
      <c r="K15" s="116">
        <v>6832385000</v>
      </c>
      <c r="L15" s="116">
        <v>981559000</v>
      </c>
      <c r="M15" s="116">
        <v>950000000</v>
      </c>
      <c r="N15" s="116">
        <v>981559000</v>
      </c>
      <c r="O15" s="116">
        <v>981559000</v>
      </c>
      <c r="P15" s="116">
        <v>0</v>
      </c>
    </row>
    <row r="16" spans="1:60" x14ac:dyDescent="0.35">
      <c r="B16" s="73">
        <v>1410</v>
      </c>
      <c r="C16" s="73" t="str">
        <v>Prepaid Rent</v>
      </c>
      <c r="D16" s="73" t="str">
        <v>Asset</v>
      </c>
      <c r="E16" s="73" t="str">
        <v>Prepaid expenses</v>
      </c>
      <c r="F16" s="73" t="str">
        <v>D</v>
      </c>
      <c r="G16" s="73">
        <v>6</v>
      </c>
      <c r="H16" s="73" t="str">
        <v>Prepaid expenses</v>
      </c>
      <c r="I16" s="116">
        <v>132000000</v>
      </c>
      <c r="J16" s="116">
        <v>0</v>
      </c>
      <c r="K16" s="116">
        <v>110000000</v>
      </c>
      <c r="L16" s="116">
        <v>22000000</v>
      </c>
      <c r="M16" s="116">
        <v>132000000</v>
      </c>
      <c r="N16" s="116">
        <v>22000000</v>
      </c>
      <c r="O16" s="116">
        <v>22000000</v>
      </c>
      <c r="P16" s="116">
        <v>0</v>
      </c>
    </row>
    <row r="17" spans="2:16" x14ac:dyDescent="0.35">
      <c r="B17" s="73">
        <v>1420</v>
      </c>
      <c r="C17" s="73" t="str">
        <v>Prepaid Insurance</v>
      </c>
      <c r="D17" s="73" t="str">
        <v>Asset</v>
      </c>
      <c r="E17" s="73" t="str">
        <v>Prepaid expenses</v>
      </c>
      <c r="F17" s="73" t="str">
        <v>D</v>
      </c>
      <c r="G17" s="73">
        <v>6</v>
      </c>
      <c r="H17" s="73" t="str">
        <v>Prepaid expenses</v>
      </c>
      <c r="I17" s="116">
        <v>25000000</v>
      </c>
      <c r="J17" s="116">
        <v>36000000</v>
      </c>
      <c r="K17" s="116">
        <v>25000000</v>
      </c>
      <c r="L17" s="116">
        <v>36000000</v>
      </c>
      <c r="M17" s="116">
        <v>25000000</v>
      </c>
      <c r="N17" s="116">
        <v>36000000</v>
      </c>
      <c r="O17" s="116">
        <v>36000000</v>
      </c>
      <c r="P17" s="116">
        <v>0</v>
      </c>
    </row>
    <row r="18" spans="2:16" x14ac:dyDescent="0.35">
      <c r="B18" s="73">
        <v>1430</v>
      </c>
      <c r="C18" s="73" t="str">
        <v>Prepaid Software Subscriptions</v>
      </c>
      <c r="D18" s="73" t="str">
        <v>Asset</v>
      </c>
      <c r="E18" s="73" t="str">
        <v>Prepaid expenses</v>
      </c>
      <c r="F18" s="73" t="str">
        <v>D</v>
      </c>
      <c r="G18" s="73">
        <v>6</v>
      </c>
      <c r="H18" s="73" t="str">
        <v>Prepaid expenses</v>
      </c>
      <c r="I18" s="116">
        <v>15000000</v>
      </c>
      <c r="J18" s="116">
        <v>72000000</v>
      </c>
      <c r="K18" s="116">
        <v>58000000</v>
      </c>
      <c r="L18" s="116">
        <v>29000000</v>
      </c>
      <c r="M18" s="116">
        <v>15000000</v>
      </c>
      <c r="N18" s="116">
        <v>29000000</v>
      </c>
      <c r="O18" s="116">
        <v>29000000</v>
      </c>
      <c r="P18" s="116">
        <v>0</v>
      </c>
    </row>
    <row r="19" spans="2:16" x14ac:dyDescent="0.35">
      <c r="B19" s="73">
        <v>1510</v>
      </c>
      <c r="C19" s="73" t="str">
        <v>Input VAT (PPN Masukan)</v>
      </c>
      <c r="D19" s="73" t="str">
        <v>Asset</v>
      </c>
      <c r="E19" s="73" t="str">
        <v>Prepaid taxes</v>
      </c>
      <c r="F19" s="73" t="str">
        <v>D</v>
      </c>
      <c r="G19" s="73">
        <v>7</v>
      </c>
      <c r="H19" s="73" t="str">
        <v>Prepaid taxes</v>
      </c>
      <c r="I19" s="116">
        <v>0</v>
      </c>
      <c r="J19" s="116">
        <v>768759640</v>
      </c>
      <c r="K19" s="116">
        <v>768759640</v>
      </c>
      <c r="L19" s="116">
        <v>0</v>
      </c>
      <c r="M19" s="116">
        <v>0</v>
      </c>
      <c r="N19" s="116">
        <v>0</v>
      </c>
      <c r="O19" s="116">
        <v>0</v>
      </c>
      <c r="P19" s="116">
        <v>0</v>
      </c>
    </row>
    <row r="20" spans="2:16" x14ac:dyDescent="0.35">
      <c r="B20" s="73">
        <v>1520</v>
      </c>
      <c r="C20" s="73" t="str">
        <v>Prepaid Income Tax - Art. 25</v>
      </c>
      <c r="D20" s="73" t="str">
        <v>Asset</v>
      </c>
      <c r="E20" s="73" t="str">
        <v>Prepaid taxes</v>
      </c>
      <c r="F20" s="73" t="str">
        <v>D</v>
      </c>
      <c r="G20" s="73">
        <v>7</v>
      </c>
      <c r="H20" s="73" t="str">
        <v>Prepaid taxes</v>
      </c>
      <c r="I20" s="116">
        <v>0</v>
      </c>
      <c r="J20" s="116">
        <v>200000000</v>
      </c>
      <c r="K20" s="116">
        <v>0</v>
      </c>
      <c r="L20" s="116">
        <v>200000000</v>
      </c>
      <c r="M20" s="116">
        <v>0</v>
      </c>
      <c r="N20" s="116">
        <v>200000000</v>
      </c>
      <c r="O20" s="116">
        <v>200000000</v>
      </c>
      <c r="P20" s="116">
        <v>0</v>
      </c>
    </row>
    <row r="21" spans="2:16" x14ac:dyDescent="0.35">
      <c r="B21" s="73">
        <v>1610</v>
      </c>
      <c r="C21" s="73" t="str">
        <v>Land</v>
      </c>
      <c r="D21" s="73" t="str">
        <v>Asset</v>
      </c>
      <c r="E21" s="73" t="str">
        <v>Fixed assets - net</v>
      </c>
      <c r="F21" s="73" t="str">
        <v>D</v>
      </c>
      <c r="G21" s="73">
        <v>8</v>
      </c>
      <c r="H21" s="73" t="str">
        <v>Fixed assets</v>
      </c>
      <c r="I21" s="116">
        <v>1200000000</v>
      </c>
      <c r="J21" s="116">
        <v>0</v>
      </c>
      <c r="K21" s="116">
        <v>0</v>
      </c>
      <c r="L21" s="116">
        <v>1200000000</v>
      </c>
      <c r="M21" s="116">
        <v>1200000000</v>
      </c>
      <c r="N21" s="116">
        <v>1200000000</v>
      </c>
      <c r="O21" s="116">
        <v>1200000000</v>
      </c>
      <c r="P21" s="116">
        <v>0</v>
      </c>
    </row>
    <row r="22" spans="2:16" x14ac:dyDescent="0.35">
      <c r="B22" s="73">
        <v>1620</v>
      </c>
      <c r="C22" s="73" t="str">
        <v>Buildings</v>
      </c>
      <c r="D22" s="73" t="str">
        <v>Asset</v>
      </c>
      <c r="E22" s="73" t="str">
        <v>Fixed assets - net</v>
      </c>
      <c r="F22" s="73" t="str">
        <v>D</v>
      </c>
      <c r="G22" s="73">
        <v>8</v>
      </c>
      <c r="H22" s="73" t="str">
        <v>Fixed assets</v>
      </c>
      <c r="I22" s="116">
        <v>1800000000</v>
      </c>
      <c r="J22" s="116">
        <v>0</v>
      </c>
      <c r="K22" s="116">
        <v>0</v>
      </c>
      <c r="L22" s="116">
        <v>1800000000</v>
      </c>
      <c r="M22" s="116">
        <v>1800000000</v>
      </c>
      <c r="N22" s="116">
        <v>1800000000</v>
      </c>
      <c r="O22" s="116">
        <v>1800000000</v>
      </c>
      <c r="P22" s="116">
        <v>0</v>
      </c>
    </row>
    <row r="23" spans="2:16" x14ac:dyDescent="0.35">
      <c r="B23" s="73">
        <v>1630</v>
      </c>
      <c r="C23" s="73" t="str">
        <v>Vehicles</v>
      </c>
      <c r="D23" s="73" t="str">
        <v>Asset</v>
      </c>
      <c r="E23" s="73" t="str">
        <v>Fixed assets - net</v>
      </c>
      <c r="F23" s="73" t="str">
        <v>D</v>
      </c>
      <c r="G23" s="73">
        <v>8</v>
      </c>
      <c r="H23" s="73" t="str">
        <v>Fixed assets</v>
      </c>
      <c r="I23" s="116">
        <v>700000000</v>
      </c>
      <c r="J23" s="116">
        <v>320000000</v>
      </c>
      <c r="K23" s="116">
        <v>0</v>
      </c>
      <c r="L23" s="116">
        <v>1020000000</v>
      </c>
      <c r="M23" s="116">
        <v>700000000</v>
      </c>
      <c r="N23" s="116">
        <v>1020000000</v>
      </c>
      <c r="O23" s="116">
        <v>1020000000</v>
      </c>
      <c r="P23" s="116">
        <v>0</v>
      </c>
    </row>
    <row r="24" spans="2:16" x14ac:dyDescent="0.35">
      <c r="B24" s="73">
        <v>1640</v>
      </c>
      <c r="C24" s="73" t="str">
        <v>Machinery &amp; Equipment</v>
      </c>
      <c r="D24" s="73" t="str">
        <v>Asset</v>
      </c>
      <c r="E24" s="73" t="str">
        <v>Fixed assets - net</v>
      </c>
      <c r="F24" s="73" t="str">
        <v>D</v>
      </c>
      <c r="G24" s="73">
        <v>8</v>
      </c>
      <c r="H24" s="73" t="str">
        <v>Fixed assets</v>
      </c>
      <c r="I24" s="116">
        <v>800000000</v>
      </c>
      <c r="J24" s="116">
        <v>180000000</v>
      </c>
      <c r="K24" s="116">
        <v>0</v>
      </c>
      <c r="L24" s="116">
        <v>980000000</v>
      </c>
      <c r="M24" s="116">
        <v>800000000</v>
      </c>
      <c r="N24" s="116">
        <v>980000000</v>
      </c>
      <c r="O24" s="116">
        <v>980000000</v>
      </c>
      <c r="P24" s="116">
        <v>0</v>
      </c>
    </row>
    <row r="25" spans="2:16" x14ac:dyDescent="0.35">
      <c r="B25" s="73">
        <v>1650</v>
      </c>
      <c r="C25" s="73" t="str">
        <v>Office Furniture &amp; Equipment</v>
      </c>
      <c r="D25" s="73" t="str">
        <v>Asset</v>
      </c>
      <c r="E25" s="73" t="str">
        <v>Fixed assets - net</v>
      </c>
      <c r="F25" s="73" t="str">
        <v>D</v>
      </c>
      <c r="G25" s="73">
        <v>8</v>
      </c>
      <c r="H25" s="73" t="str">
        <v>Fixed assets</v>
      </c>
      <c r="I25" s="116">
        <v>270000000</v>
      </c>
      <c r="J25" s="116">
        <v>0</v>
      </c>
      <c r="K25" s="116">
        <v>0</v>
      </c>
      <c r="L25" s="116">
        <v>270000000</v>
      </c>
      <c r="M25" s="116">
        <v>270000000</v>
      </c>
      <c r="N25" s="116">
        <v>270000000</v>
      </c>
      <c r="O25" s="116">
        <v>270000000</v>
      </c>
      <c r="P25" s="116">
        <v>0</v>
      </c>
    </row>
    <row r="26" spans="2:16" x14ac:dyDescent="0.35">
      <c r="B26" s="73">
        <v>1691</v>
      </c>
      <c r="C26" s="73" t="str">
        <v>Acc. Depreciation - Buildings</v>
      </c>
      <c r="D26" s="73" t="str">
        <v>Asset</v>
      </c>
      <c r="E26" s="73" t="str">
        <v>Fixed assets - net</v>
      </c>
      <c r="F26" s="73" t="str">
        <v>C</v>
      </c>
      <c r="G26" s="73">
        <v>8</v>
      </c>
      <c r="H26" s="73" t="str">
        <v>Depreciation &amp; amortization</v>
      </c>
      <c r="I26" s="116">
        <v>697500000</v>
      </c>
      <c r="J26" s="116">
        <v>0</v>
      </c>
      <c r="K26" s="116">
        <v>75000000</v>
      </c>
      <c r="L26" s="116">
        <v>772500000</v>
      </c>
      <c r="M26" s="116">
        <v>-697500000</v>
      </c>
      <c r="N26" s="116">
        <v>-772500000</v>
      </c>
      <c r="O26" s="116">
        <v>0</v>
      </c>
      <c r="P26" s="116">
        <v>772500000</v>
      </c>
    </row>
    <row r="27" spans="2:16" x14ac:dyDescent="0.35">
      <c r="B27" s="73">
        <v>1693</v>
      </c>
      <c r="C27" s="73" t="str">
        <v>Acc. Depreciation - Vehicles</v>
      </c>
      <c r="D27" s="73" t="str">
        <v>Asset</v>
      </c>
      <c r="E27" s="73" t="str">
        <v>Fixed assets - net</v>
      </c>
      <c r="F27" s="73" t="str">
        <v>C</v>
      </c>
      <c r="G27" s="73">
        <v>8</v>
      </c>
      <c r="H27" s="73" t="str">
        <v>Depreciation &amp; amortization</v>
      </c>
      <c r="I27" s="116">
        <v>377708349</v>
      </c>
      <c r="J27" s="116">
        <v>0</v>
      </c>
      <c r="K27" s="116">
        <v>82916669</v>
      </c>
      <c r="L27" s="116">
        <v>460625018</v>
      </c>
      <c r="M27" s="116">
        <v>-377708349</v>
      </c>
      <c r="N27" s="116">
        <v>-460625018</v>
      </c>
      <c r="O27" s="116">
        <v>0</v>
      </c>
      <c r="P27" s="116">
        <v>460625018</v>
      </c>
    </row>
    <row r="28" spans="2:16" x14ac:dyDescent="0.35">
      <c r="B28" s="73">
        <v>1694</v>
      </c>
      <c r="C28" s="73" t="str">
        <v>Acc. Depreciation - Machinery &amp; Equipment</v>
      </c>
      <c r="D28" s="73" t="str">
        <v>Asset</v>
      </c>
      <c r="E28" s="73" t="str">
        <v>Fixed assets - net</v>
      </c>
      <c r="F28" s="73" t="str">
        <v>C</v>
      </c>
      <c r="G28" s="73">
        <v>8</v>
      </c>
      <c r="H28" s="73" t="str">
        <v>Depreciation &amp; amortization</v>
      </c>
      <c r="I28" s="116">
        <v>523645817</v>
      </c>
      <c r="J28" s="116">
        <v>0</v>
      </c>
      <c r="K28" s="116">
        <v>98333330</v>
      </c>
      <c r="L28" s="116">
        <v>621979147</v>
      </c>
      <c r="M28" s="116">
        <v>-523645817</v>
      </c>
      <c r="N28" s="116">
        <v>-621979147</v>
      </c>
      <c r="O28" s="116">
        <v>0</v>
      </c>
      <c r="P28" s="116">
        <v>621979147</v>
      </c>
    </row>
    <row r="29" spans="2:16" x14ac:dyDescent="0.35">
      <c r="B29" s="73">
        <v>1695</v>
      </c>
      <c r="C29" s="73" t="str">
        <v>Acc. Depreciation - Office Furniture &amp; Equipment</v>
      </c>
      <c r="D29" s="73" t="str">
        <v>Asset</v>
      </c>
      <c r="E29" s="73" t="str">
        <v>Fixed assets - net</v>
      </c>
      <c r="F29" s="73" t="str">
        <v>C</v>
      </c>
      <c r="G29" s="73">
        <v>8</v>
      </c>
      <c r="H29" s="73" t="str">
        <v>Depreciation &amp; amortization</v>
      </c>
      <c r="I29" s="116">
        <v>204750000</v>
      </c>
      <c r="J29" s="116">
        <v>0</v>
      </c>
      <c r="K29" s="116">
        <v>31250000</v>
      </c>
      <c r="L29" s="116">
        <v>236000000</v>
      </c>
      <c r="M29" s="116">
        <v>-204750000</v>
      </c>
      <c r="N29" s="116">
        <v>-236000000</v>
      </c>
      <c r="O29" s="116">
        <v>0</v>
      </c>
      <c r="P29" s="116">
        <v>236000000</v>
      </c>
    </row>
    <row r="30" spans="2:16" x14ac:dyDescent="0.35">
      <c r="B30" s="73">
        <v>1710</v>
      </c>
      <c r="C30" s="73" t="str">
        <v>Software &amp; Licenses</v>
      </c>
      <c r="D30" s="73" t="str">
        <v>Asset</v>
      </c>
      <c r="E30" s="73" t="str">
        <v>Intangible assets - net</v>
      </c>
      <c r="F30" s="73" t="str">
        <v>D</v>
      </c>
      <c r="G30" s="73">
        <v>9</v>
      </c>
      <c r="H30" s="73" t="str">
        <v>Intangible assets</v>
      </c>
      <c r="I30" s="116">
        <v>180000000</v>
      </c>
      <c r="J30" s="116">
        <v>60000000</v>
      </c>
      <c r="K30" s="116">
        <v>0</v>
      </c>
      <c r="L30" s="116">
        <v>240000000</v>
      </c>
      <c r="M30" s="116">
        <v>180000000</v>
      </c>
      <c r="N30" s="116">
        <v>240000000</v>
      </c>
      <c r="O30" s="116">
        <v>240000000</v>
      </c>
      <c r="P30" s="116">
        <v>0</v>
      </c>
    </row>
    <row r="31" spans="2:16" x14ac:dyDescent="0.35">
      <c r="B31" s="73">
        <v>1719</v>
      </c>
      <c r="C31" s="73" t="str">
        <v>Acc. Amortization - Software</v>
      </c>
      <c r="D31" s="73" t="str">
        <v>Asset</v>
      </c>
      <c r="E31" s="73" t="str">
        <v>Intangible assets - net</v>
      </c>
      <c r="F31" s="73" t="str">
        <v>C</v>
      </c>
      <c r="G31" s="73">
        <v>9</v>
      </c>
      <c r="H31" s="73" t="str">
        <v>Depreciation &amp; amortization</v>
      </c>
      <c r="I31" s="116">
        <v>135000000</v>
      </c>
      <c r="J31" s="116">
        <v>0</v>
      </c>
      <c r="K31" s="116">
        <v>43750000</v>
      </c>
      <c r="L31" s="116">
        <v>178750000</v>
      </c>
      <c r="M31" s="116">
        <v>-135000000</v>
      </c>
      <c r="N31" s="116">
        <v>-178750000</v>
      </c>
      <c r="O31" s="116">
        <v>0</v>
      </c>
      <c r="P31" s="116">
        <v>178750000</v>
      </c>
    </row>
    <row r="32" spans="2:16" x14ac:dyDescent="0.35">
      <c r="B32" s="73">
        <v>2110</v>
      </c>
      <c r="C32" s="73" t="str">
        <v>Trade Payables</v>
      </c>
      <c r="D32" s="73" t="str">
        <v>Liability</v>
      </c>
      <c r="E32" s="73" t="str">
        <v>Trade payables</v>
      </c>
      <c r="F32" s="73" t="str">
        <v>C</v>
      </c>
      <c r="G32" s="73">
        <v>10</v>
      </c>
      <c r="H32" s="73" t="str">
        <v>Trade payables</v>
      </c>
      <c r="I32" s="116">
        <v>620000000</v>
      </c>
      <c r="J32" s="116">
        <v>8726512860</v>
      </c>
      <c r="K32" s="116">
        <v>8907962900</v>
      </c>
      <c r="L32" s="116">
        <v>801450040</v>
      </c>
      <c r="M32" s="116">
        <v>-620000000</v>
      </c>
      <c r="N32" s="116">
        <v>-801450040</v>
      </c>
      <c r="O32" s="116">
        <v>0</v>
      </c>
      <c r="P32" s="116">
        <v>801450040</v>
      </c>
    </row>
    <row r="33" spans="2:16" x14ac:dyDescent="0.35">
      <c r="B33" s="73">
        <v>2120</v>
      </c>
      <c r="C33" s="73" t="str">
        <v>Other Payables</v>
      </c>
      <c r="D33" s="73" t="str">
        <v>Liability</v>
      </c>
      <c r="E33" s="73" t="str">
        <v>Other payables</v>
      </c>
      <c r="F33" s="73" t="str">
        <v>C</v>
      </c>
      <c r="G33" s="73">
        <v>11</v>
      </c>
      <c r="H33" s="73" t="str">
        <v>Other liabilities</v>
      </c>
      <c r="I33" s="116">
        <v>35000000</v>
      </c>
      <c r="J33" s="116">
        <v>0</v>
      </c>
      <c r="K33" s="116">
        <v>0</v>
      </c>
      <c r="L33" s="116">
        <v>35000000</v>
      </c>
      <c r="M33" s="116">
        <v>-35000000</v>
      </c>
      <c r="N33" s="116">
        <v>-35000000</v>
      </c>
      <c r="O33" s="116">
        <v>0</v>
      </c>
      <c r="P33" s="116">
        <v>35000000</v>
      </c>
    </row>
    <row r="34" spans="2:16" x14ac:dyDescent="0.35">
      <c r="B34" s="73">
        <v>2130</v>
      </c>
      <c r="C34" s="73" t="str">
        <v>Accrued Expenses</v>
      </c>
      <c r="D34" s="73" t="str">
        <v>Liability</v>
      </c>
      <c r="E34" s="73" t="str">
        <v>Accrued expenses</v>
      </c>
      <c r="F34" s="73" t="str">
        <v>C</v>
      </c>
      <c r="G34" s="73">
        <v>11</v>
      </c>
      <c r="H34" s="73" t="str">
        <v>Other liabilities</v>
      </c>
      <c r="I34" s="116">
        <v>45000000</v>
      </c>
      <c r="J34" s="116">
        <v>45000000</v>
      </c>
      <c r="K34" s="116">
        <v>0</v>
      </c>
      <c r="L34" s="116">
        <v>0</v>
      </c>
      <c r="M34" s="116">
        <v>-45000000</v>
      </c>
      <c r="N34" s="116">
        <v>0</v>
      </c>
      <c r="O34" s="116">
        <v>0</v>
      </c>
      <c r="P34" s="116">
        <v>0</v>
      </c>
    </row>
    <row r="35" spans="2:16" x14ac:dyDescent="0.35">
      <c r="B35" s="73">
        <v>2140</v>
      </c>
      <c r="C35" s="73" t="str">
        <v>Contract Liabilities</v>
      </c>
      <c r="D35" s="73" t="str">
        <v>Liability</v>
      </c>
      <c r="E35" s="73" t="str">
        <v>Contract liabilities</v>
      </c>
      <c r="F35" s="73" t="str">
        <v>C</v>
      </c>
      <c r="G35" s="73">
        <v>11</v>
      </c>
      <c r="H35" s="73" t="str">
        <v>Other liabilities</v>
      </c>
      <c r="I35" s="116">
        <v>40000000</v>
      </c>
      <c r="J35" s="116">
        <v>0</v>
      </c>
      <c r="K35" s="116">
        <v>0</v>
      </c>
      <c r="L35" s="116">
        <v>40000000</v>
      </c>
      <c r="M35" s="116">
        <v>-40000000</v>
      </c>
      <c r="N35" s="116">
        <v>-40000000</v>
      </c>
      <c r="O35" s="116">
        <v>0</v>
      </c>
      <c r="P35" s="116">
        <v>40000000</v>
      </c>
    </row>
    <row r="36" spans="2:16" x14ac:dyDescent="0.35">
      <c r="B36" s="73">
        <v>2150</v>
      </c>
      <c r="C36" s="73" t="str">
        <v>BPJS Payable</v>
      </c>
      <c r="D36" s="73" t="str">
        <v>Liability</v>
      </c>
      <c r="E36" s="73" t="str">
        <v>Accrued expenses</v>
      </c>
      <c r="F36" s="73" t="str">
        <v>C</v>
      </c>
      <c r="G36" s="73">
        <v>11</v>
      </c>
      <c r="H36" s="73" t="str">
        <v>Other liabilities</v>
      </c>
      <c r="I36" s="116">
        <v>18000000</v>
      </c>
      <c r="J36" s="116">
        <v>216700110</v>
      </c>
      <c r="K36" s="116">
        <v>220777900</v>
      </c>
      <c r="L36" s="116">
        <v>22077790</v>
      </c>
      <c r="M36" s="116">
        <v>-18000000</v>
      </c>
      <c r="N36" s="116">
        <v>-22077790</v>
      </c>
      <c r="O36" s="116">
        <v>0</v>
      </c>
      <c r="P36" s="116">
        <v>22077790</v>
      </c>
    </row>
    <row r="37" spans="2:16" x14ac:dyDescent="0.35">
      <c r="B37" s="73">
        <v>2210</v>
      </c>
      <c r="C37" s="73" t="str">
        <v>Output VAT (PPN Keluaran)</v>
      </c>
      <c r="D37" s="73" t="str">
        <v>Liability</v>
      </c>
      <c r="E37" s="73" t="str">
        <v>Taxes payable</v>
      </c>
      <c r="F37" s="73" t="str">
        <v>C</v>
      </c>
      <c r="G37" s="73">
        <v>7</v>
      </c>
      <c r="H37" s="73" t="str">
        <v>Taxes payable</v>
      </c>
      <c r="I37" s="116">
        <v>0</v>
      </c>
      <c r="J37" s="116">
        <v>1248562150</v>
      </c>
      <c r="K37" s="116">
        <v>1248562150</v>
      </c>
      <c r="L37" s="116">
        <v>0</v>
      </c>
      <c r="M37" s="116">
        <v>0</v>
      </c>
      <c r="N37" s="116">
        <v>0</v>
      </c>
      <c r="O37" s="116">
        <v>0</v>
      </c>
      <c r="P37" s="116">
        <v>0</v>
      </c>
    </row>
    <row r="38" spans="2:16" x14ac:dyDescent="0.35">
      <c r="B38" s="73">
        <v>2220</v>
      </c>
      <c r="C38" s="73" t="str">
        <v>VAT Payable - Net</v>
      </c>
      <c r="D38" s="73" t="str">
        <v>Liability</v>
      </c>
      <c r="E38" s="73" t="str">
        <v>Taxes payable</v>
      </c>
      <c r="F38" s="73" t="str">
        <v>C</v>
      </c>
      <c r="G38" s="73">
        <v>7</v>
      </c>
      <c r="H38" s="73" t="str">
        <v>Taxes payable</v>
      </c>
      <c r="I38" s="116">
        <v>85000000</v>
      </c>
      <c r="J38" s="116">
        <v>504287330</v>
      </c>
      <c r="K38" s="116">
        <v>479802510</v>
      </c>
      <c r="L38" s="116">
        <v>60515180</v>
      </c>
      <c r="M38" s="116">
        <v>-85000000</v>
      </c>
      <c r="N38" s="116">
        <v>-60515180</v>
      </c>
      <c r="O38" s="116">
        <v>0</v>
      </c>
      <c r="P38" s="116">
        <v>60515180</v>
      </c>
    </row>
    <row r="39" spans="2:16" x14ac:dyDescent="0.35">
      <c r="B39" s="73">
        <v>2230</v>
      </c>
      <c r="C39" s="73" t="str">
        <v>WHT Payable - Art. 21</v>
      </c>
      <c r="D39" s="73" t="str">
        <v>Liability</v>
      </c>
      <c r="E39" s="73" t="str">
        <v>Taxes payable</v>
      </c>
      <c r="F39" s="73" t="str">
        <v>C</v>
      </c>
      <c r="G39" s="73">
        <v>7</v>
      </c>
      <c r="H39" s="73" t="str">
        <v>Taxes payable</v>
      </c>
      <c r="I39" s="116">
        <v>14000000</v>
      </c>
      <c r="J39" s="116">
        <v>141114340</v>
      </c>
      <c r="K39" s="116">
        <v>137631171</v>
      </c>
      <c r="L39" s="116">
        <v>10516831</v>
      </c>
      <c r="M39" s="116">
        <v>-14000000</v>
      </c>
      <c r="N39" s="116">
        <v>-10516831</v>
      </c>
      <c r="O39" s="116">
        <v>0</v>
      </c>
      <c r="P39" s="116">
        <v>10516831</v>
      </c>
    </row>
    <row r="40" spans="2:16" x14ac:dyDescent="0.35">
      <c r="B40" s="73">
        <v>2240</v>
      </c>
      <c r="C40" s="73" t="str">
        <v>WHT Payable - Unifikasi (Art. 23/4(2))</v>
      </c>
      <c r="D40" s="73" t="str">
        <v>Liability</v>
      </c>
      <c r="E40" s="73" t="str">
        <v>Taxes payable</v>
      </c>
      <c r="F40" s="73" t="str">
        <v>C</v>
      </c>
      <c r="G40" s="73">
        <v>7</v>
      </c>
      <c r="H40" s="73" t="str">
        <v>Taxes payable</v>
      </c>
      <c r="I40" s="116">
        <v>6500000</v>
      </c>
      <c r="J40" s="116">
        <v>16048860</v>
      </c>
      <c r="K40" s="116">
        <v>10192740</v>
      </c>
      <c r="L40" s="116">
        <v>643880</v>
      </c>
      <c r="M40" s="116">
        <v>-6500000</v>
      </c>
      <c r="N40" s="116">
        <v>-643880</v>
      </c>
      <c r="O40" s="116">
        <v>0</v>
      </c>
      <c r="P40" s="116">
        <v>643880</v>
      </c>
    </row>
    <row r="41" spans="2:16" x14ac:dyDescent="0.35">
      <c r="B41" s="73">
        <v>2250</v>
      </c>
      <c r="C41" s="73" t="str">
        <v>Corporate Income Tax Payable (Art. 29)</v>
      </c>
      <c r="D41" s="73" t="str">
        <v>Liability</v>
      </c>
      <c r="E41" s="73" t="str">
        <v>Taxes payable</v>
      </c>
      <c r="F41" s="73" t="str">
        <v>C</v>
      </c>
      <c r="G41" s="73">
        <v>7</v>
      </c>
      <c r="H41" s="73" t="str">
        <v>Taxes payable</v>
      </c>
      <c r="I41" s="116">
        <v>60000000</v>
      </c>
      <c r="J41" s="116">
        <v>60000000</v>
      </c>
      <c r="K41" s="116">
        <v>201469208</v>
      </c>
      <c r="L41" s="116">
        <v>201469208</v>
      </c>
      <c r="M41" s="116">
        <v>-60000000</v>
      </c>
      <c r="N41" s="116">
        <v>-201469208</v>
      </c>
      <c r="O41" s="116">
        <v>0</v>
      </c>
      <c r="P41" s="116">
        <v>201469208</v>
      </c>
    </row>
    <row r="42" spans="2:16" x14ac:dyDescent="0.35">
      <c r="B42" s="73">
        <v>2310</v>
      </c>
      <c r="C42" s="73" t="str">
        <v>Short-term Bank Loan</v>
      </c>
      <c r="D42" s="73" t="str">
        <v>Liability</v>
      </c>
      <c r="E42" s="73" t="str">
        <v>Short-term bank loans</v>
      </c>
      <c r="F42" s="73" t="str">
        <v>C</v>
      </c>
      <c r="G42" s="73">
        <v>12</v>
      </c>
      <c r="H42" s="73" t="str">
        <v>Bank loans</v>
      </c>
      <c r="I42" s="116">
        <v>300000000</v>
      </c>
      <c r="J42" s="116">
        <v>300000000</v>
      </c>
      <c r="K42" s="116">
        <v>0</v>
      </c>
      <c r="L42" s="116">
        <v>0</v>
      </c>
      <c r="M42" s="116">
        <v>-300000000</v>
      </c>
      <c r="N42" s="116">
        <v>0</v>
      </c>
      <c r="O42" s="116">
        <v>0</v>
      </c>
      <c r="P42" s="116">
        <v>0</v>
      </c>
    </row>
    <row r="43" spans="2:16" x14ac:dyDescent="0.35">
      <c r="B43" s="73">
        <v>2410</v>
      </c>
      <c r="C43" s="73" t="str">
        <v>Long-term Bank Loan</v>
      </c>
      <c r="D43" s="73" t="str">
        <v>Liability</v>
      </c>
      <c r="E43" s="73" t="str">
        <v>Long-term bank loans</v>
      </c>
      <c r="F43" s="73" t="str">
        <v>C</v>
      </c>
      <c r="G43" s="73">
        <v>12</v>
      </c>
      <c r="H43" s="73" t="str">
        <v>Bank loans</v>
      </c>
      <c r="I43" s="116">
        <v>1500000000</v>
      </c>
      <c r="J43" s="116">
        <v>250000000</v>
      </c>
      <c r="K43" s="116">
        <v>0</v>
      </c>
      <c r="L43" s="116">
        <v>1250000000</v>
      </c>
      <c r="M43" s="116">
        <v>-1500000000</v>
      </c>
      <c r="N43" s="116">
        <v>-1250000000</v>
      </c>
      <c r="O43" s="116">
        <v>0</v>
      </c>
      <c r="P43" s="116">
        <v>1250000000</v>
      </c>
    </row>
    <row r="44" spans="2:16" x14ac:dyDescent="0.35">
      <c r="B44" s="73">
        <v>2420</v>
      </c>
      <c r="C44" s="73" t="str">
        <v>Employee Benefits Liability</v>
      </c>
      <c r="D44" s="73" t="str">
        <v>Liability</v>
      </c>
      <c r="E44" s="73" t="str">
        <v>Employee benefits liability</v>
      </c>
      <c r="F44" s="73" t="str">
        <v>C</v>
      </c>
      <c r="G44" s="73">
        <v>13</v>
      </c>
      <c r="H44" s="73" t="str">
        <v>Employee benefits provision</v>
      </c>
      <c r="I44" s="116">
        <v>210000000</v>
      </c>
      <c r="J44" s="116">
        <v>0</v>
      </c>
      <c r="K44" s="116">
        <v>30000000</v>
      </c>
      <c r="L44" s="116">
        <v>240000000</v>
      </c>
      <c r="M44" s="116">
        <v>-210000000</v>
      </c>
      <c r="N44" s="116">
        <v>-240000000</v>
      </c>
      <c r="O44" s="116">
        <v>0</v>
      </c>
      <c r="P44" s="116">
        <v>240000000</v>
      </c>
    </row>
    <row r="45" spans="2:16" x14ac:dyDescent="0.35">
      <c r="B45" s="73">
        <v>3110</v>
      </c>
      <c r="C45" s="73" t="str">
        <v>Share Capital</v>
      </c>
      <c r="D45" s="73" t="str">
        <v>Equity</v>
      </c>
      <c r="E45" s="73" t="str">
        <v>Share capital</v>
      </c>
      <c r="F45" s="73" t="str">
        <v>C</v>
      </c>
      <c r="G45" s="73">
        <v>14</v>
      </c>
      <c r="H45" s="73" t="str">
        <v>Share capital</v>
      </c>
      <c r="I45" s="116">
        <v>2500000000</v>
      </c>
      <c r="J45" s="116">
        <v>0</v>
      </c>
      <c r="K45" s="116">
        <v>0</v>
      </c>
      <c r="L45" s="116">
        <v>2500000000</v>
      </c>
      <c r="M45" s="116">
        <v>-2500000000</v>
      </c>
      <c r="N45" s="116">
        <v>-2500000000</v>
      </c>
      <c r="O45" s="116">
        <v>0</v>
      </c>
      <c r="P45" s="116">
        <v>2500000000</v>
      </c>
    </row>
    <row r="46" spans="2:16" x14ac:dyDescent="0.35">
      <c r="B46" s="73">
        <v>3120</v>
      </c>
      <c r="C46" s="73" t="str">
        <v>Additional Paid-in Capital</v>
      </c>
      <c r="D46" s="73" t="str">
        <v>Equity</v>
      </c>
      <c r="E46" s="73" t="str">
        <v>Additional paid-in capital</v>
      </c>
      <c r="F46" s="73" t="str">
        <v>C</v>
      </c>
      <c r="G46" s="73">
        <v>14</v>
      </c>
      <c r="H46" s="73" t="str">
        <v>Share capital</v>
      </c>
      <c r="I46" s="116">
        <v>300000000</v>
      </c>
      <c r="J46" s="116">
        <v>0</v>
      </c>
      <c r="K46" s="116">
        <v>0</v>
      </c>
      <c r="L46" s="116">
        <v>300000000</v>
      </c>
      <c r="M46" s="116">
        <v>-300000000</v>
      </c>
      <c r="N46" s="116">
        <v>-300000000</v>
      </c>
      <c r="O46" s="116">
        <v>0</v>
      </c>
      <c r="P46" s="116">
        <v>300000000</v>
      </c>
    </row>
    <row r="47" spans="2:16" x14ac:dyDescent="0.35">
      <c r="B47" s="73">
        <v>3210</v>
      </c>
      <c r="C47" s="73" t="str">
        <v>Retained Earnings</v>
      </c>
      <c r="D47" s="73" t="str">
        <v>Equity</v>
      </c>
      <c r="E47" s="73" t="str">
        <v>Retained earnings</v>
      </c>
      <c r="F47" s="73" t="str">
        <v>C</v>
      </c>
      <c r="G47" s="73">
        <v>14</v>
      </c>
      <c r="H47" s="73" t="str">
        <v>Retained earnings</v>
      </c>
      <c r="I47" s="116">
        <v>1049895834</v>
      </c>
      <c r="J47" s="116">
        <v>0</v>
      </c>
      <c r="K47" s="116">
        <v>0</v>
      </c>
      <c r="L47" s="116">
        <v>1049895834</v>
      </c>
      <c r="M47" s="116">
        <v>-1049895834</v>
      </c>
      <c r="N47" s="116">
        <v>-1049895834</v>
      </c>
      <c r="O47" s="116">
        <v>0</v>
      </c>
      <c r="P47" s="116">
        <v>1049895834</v>
      </c>
    </row>
    <row r="48" spans="2:16" x14ac:dyDescent="0.35">
      <c r="B48" s="73">
        <v>3310</v>
      </c>
      <c r="C48" s="73" t="str">
        <v>Dividends</v>
      </c>
      <c r="D48" s="73" t="str">
        <v>Equity</v>
      </c>
      <c r="E48" s="73" t="str">
        <v>Retained earnings</v>
      </c>
      <c r="F48" s="73" t="str">
        <v>D</v>
      </c>
      <c r="G48" s="73">
        <v>14</v>
      </c>
      <c r="H48" s="73" t="str">
        <v>Dividends</v>
      </c>
      <c r="I48" s="116">
        <v>0</v>
      </c>
      <c r="J48" s="116">
        <v>300000000</v>
      </c>
      <c r="K48" s="116">
        <v>0</v>
      </c>
      <c r="L48" s="116">
        <v>300000000</v>
      </c>
      <c r="M48" s="116">
        <v>0</v>
      </c>
      <c r="N48" s="116">
        <v>300000000</v>
      </c>
      <c r="O48" s="116">
        <v>300000000</v>
      </c>
      <c r="P48" s="116">
        <v>0</v>
      </c>
    </row>
    <row r="49" spans="2:16" x14ac:dyDescent="0.35">
      <c r="B49" s="73">
        <v>4100</v>
      </c>
      <c r="C49" s="73" t="str">
        <v>Sales of goods</v>
      </c>
      <c r="D49" s="73" t="str">
        <v>Revenue</v>
      </c>
      <c r="E49" s="73" t="str">
        <v>Revenue</v>
      </c>
      <c r="F49" s="73" t="str">
        <v>C</v>
      </c>
      <c r="G49" s="73">
        <v>15</v>
      </c>
      <c r="H49" s="73">
        <v>0</v>
      </c>
      <c r="I49" s="116">
        <v>0</v>
      </c>
      <c r="J49" s="116">
        <v>0</v>
      </c>
      <c r="K49" s="116">
        <v>11350565000</v>
      </c>
      <c r="L49" s="116">
        <v>11350565000</v>
      </c>
      <c r="M49" s="116">
        <v>0</v>
      </c>
      <c r="N49" s="116">
        <v>-11350565000</v>
      </c>
      <c r="O49" s="116">
        <v>0</v>
      </c>
      <c r="P49" s="116">
        <v>11350565000</v>
      </c>
    </row>
    <row r="50" spans="2:16" x14ac:dyDescent="0.35">
      <c r="B50" s="73">
        <v>5100</v>
      </c>
      <c r="C50" s="73" t="str">
        <v>Cost of goods sold</v>
      </c>
      <c r="D50" s="73" t="str">
        <v>Expense</v>
      </c>
      <c r="E50" s="73" t="str">
        <v>Cost of revenue</v>
      </c>
      <c r="F50" s="73" t="str">
        <v>D</v>
      </c>
      <c r="G50" s="73">
        <v>16</v>
      </c>
      <c r="H50" s="73">
        <v>0</v>
      </c>
      <c r="I50" s="116">
        <v>0</v>
      </c>
      <c r="J50" s="116">
        <v>6832385000</v>
      </c>
      <c r="K50" s="116">
        <v>0</v>
      </c>
      <c r="L50" s="116">
        <v>6832385000</v>
      </c>
      <c r="M50" s="116">
        <v>0</v>
      </c>
      <c r="N50" s="116">
        <v>6832385000</v>
      </c>
      <c r="O50" s="116">
        <v>6832385000</v>
      </c>
      <c r="P50" s="116">
        <v>0</v>
      </c>
    </row>
    <row r="51" spans="2:16" x14ac:dyDescent="0.35">
      <c r="B51" s="73">
        <v>6110</v>
      </c>
      <c r="C51" s="73" t="str">
        <v>Salaries &amp; Allowances - Selling</v>
      </c>
      <c r="D51" s="73" t="str">
        <v>Expense</v>
      </c>
      <c r="E51" s="73" t="str">
        <v>Selling expenses</v>
      </c>
      <c r="F51" s="73" t="str">
        <v>D</v>
      </c>
      <c r="G51" s="73">
        <v>17</v>
      </c>
      <c r="H51" s="73">
        <v>0</v>
      </c>
      <c r="I51" s="116">
        <v>0</v>
      </c>
      <c r="J51" s="116">
        <v>882200000</v>
      </c>
      <c r="K51" s="116">
        <v>0</v>
      </c>
      <c r="L51" s="116">
        <v>882200000</v>
      </c>
      <c r="M51" s="116">
        <v>0</v>
      </c>
      <c r="N51" s="116">
        <v>882200000</v>
      </c>
      <c r="O51" s="116">
        <v>882200000</v>
      </c>
      <c r="P51" s="116">
        <v>0</v>
      </c>
    </row>
    <row r="52" spans="2:16" x14ac:dyDescent="0.35">
      <c r="B52" s="73">
        <v>6111</v>
      </c>
      <c r="C52" s="73" t="str">
        <v>BPJS Employer Contributions - Selling</v>
      </c>
      <c r="D52" s="73" t="str">
        <v>Expense</v>
      </c>
      <c r="E52" s="73" t="str">
        <v>Selling expenses</v>
      </c>
      <c r="F52" s="73" t="str">
        <v>D</v>
      </c>
      <c r="G52" s="73">
        <v>17</v>
      </c>
      <c r="H52" s="73">
        <v>0</v>
      </c>
      <c r="I52" s="116">
        <v>0</v>
      </c>
      <c r="J52" s="116">
        <v>78243760</v>
      </c>
      <c r="K52" s="116">
        <v>0</v>
      </c>
      <c r="L52" s="116">
        <v>78243760</v>
      </c>
      <c r="M52" s="116">
        <v>0</v>
      </c>
      <c r="N52" s="116">
        <v>78243760</v>
      </c>
      <c r="O52" s="116">
        <v>78243760</v>
      </c>
      <c r="P52" s="116">
        <v>0</v>
      </c>
    </row>
    <row r="53" spans="2:16" x14ac:dyDescent="0.35">
      <c r="B53" s="73">
        <v>6120</v>
      </c>
      <c r="C53" s="73" t="str">
        <v>Advertising &amp; Promotion</v>
      </c>
      <c r="D53" s="73" t="str">
        <v>Expense</v>
      </c>
      <c r="E53" s="73" t="str">
        <v>Selling expenses</v>
      </c>
      <c r="F53" s="73" t="str">
        <v>D</v>
      </c>
      <c r="G53" s="73">
        <v>17</v>
      </c>
      <c r="H53" s="73">
        <v>0</v>
      </c>
      <c r="I53" s="116">
        <v>0</v>
      </c>
      <c r="J53" s="116">
        <v>124856000</v>
      </c>
      <c r="K53" s="116">
        <v>0</v>
      </c>
      <c r="L53" s="116">
        <v>124856000</v>
      </c>
      <c r="M53" s="116">
        <v>0</v>
      </c>
      <c r="N53" s="116">
        <v>124856000</v>
      </c>
      <c r="O53" s="116">
        <v>124856000</v>
      </c>
      <c r="P53" s="116">
        <v>0</v>
      </c>
    </row>
    <row r="54" spans="2:16" x14ac:dyDescent="0.35">
      <c r="B54" s="73">
        <v>6130</v>
      </c>
      <c r="C54" s="73" t="str">
        <v>Marketplace &amp; Sales Commissions</v>
      </c>
      <c r="D54" s="73" t="str">
        <v>Expense</v>
      </c>
      <c r="E54" s="73" t="str">
        <v>Selling expenses</v>
      </c>
      <c r="F54" s="73" t="str">
        <v>D</v>
      </c>
      <c r="G54" s="73">
        <v>17</v>
      </c>
      <c r="H54" s="73">
        <v>0</v>
      </c>
      <c r="I54" s="116">
        <v>0</v>
      </c>
      <c r="J54" s="116">
        <v>29887000</v>
      </c>
      <c r="K54" s="116">
        <v>0</v>
      </c>
      <c r="L54" s="116">
        <v>29887000</v>
      </c>
      <c r="M54" s="116">
        <v>0</v>
      </c>
      <c r="N54" s="116">
        <v>29887000</v>
      </c>
      <c r="O54" s="116">
        <v>29887000</v>
      </c>
      <c r="P54" s="116">
        <v>0</v>
      </c>
    </row>
    <row r="55" spans="2:16" x14ac:dyDescent="0.35">
      <c r="B55" s="73">
        <v>6140</v>
      </c>
      <c r="C55" s="73" t="str">
        <v>Shipping &amp; Delivery</v>
      </c>
      <c r="D55" s="73" t="str">
        <v>Expense</v>
      </c>
      <c r="E55" s="73" t="str">
        <v>Selling expenses</v>
      </c>
      <c r="F55" s="73" t="str">
        <v>D</v>
      </c>
      <c r="G55" s="73">
        <v>17</v>
      </c>
      <c r="H55" s="73">
        <v>0</v>
      </c>
      <c r="I55" s="116">
        <v>0</v>
      </c>
      <c r="J55" s="116">
        <v>102156000</v>
      </c>
      <c r="K55" s="116">
        <v>0</v>
      </c>
      <c r="L55" s="116">
        <v>102156000</v>
      </c>
      <c r="M55" s="116">
        <v>0</v>
      </c>
      <c r="N55" s="116">
        <v>102156000</v>
      </c>
      <c r="O55" s="116">
        <v>102156000</v>
      </c>
      <c r="P55" s="116">
        <v>0</v>
      </c>
    </row>
    <row r="56" spans="2:16" x14ac:dyDescent="0.35">
      <c r="B56" s="73">
        <v>6210</v>
      </c>
      <c r="C56" s="73" t="str">
        <v>Salaries &amp; Allowances - G&amp;A</v>
      </c>
      <c r="D56" s="73" t="str">
        <v>Expense</v>
      </c>
      <c r="E56" s="73" t="str">
        <v>General &amp; administrative expenses</v>
      </c>
      <c r="F56" s="73" t="str">
        <v>D</v>
      </c>
      <c r="G56" s="73">
        <v>18</v>
      </c>
      <c r="H56" s="73">
        <v>0</v>
      </c>
      <c r="I56" s="116">
        <v>0</v>
      </c>
      <c r="J56" s="116">
        <v>1078000000</v>
      </c>
      <c r="K56" s="116">
        <v>0</v>
      </c>
      <c r="L56" s="116">
        <v>1078000000</v>
      </c>
      <c r="M56" s="116">
        <v>0</v>
      </c>
      <c r="N56" s="116">
        <v>1078000000</v>
      </c>
      <c r="O56" s="116">
        <v>1078000000</v>
      </c>
      <c r="P56" s="116">
        <v>0</v>
      </c>
    </row>
    <row r="57" spans="2:16" x14ac:dyDescent="0.35">
      <c r="B57" s="73">
        <v>6211</v>
      </c>
      <c r="C57" s="73" t="str">
        <v>BPJS Employer Contributions - G&amp;A</v>
      </c>
      <c r="D57" s="73" t="str">
        <v>Expense</v>
      </c>
      <c r="E57" s="73" t="str">
        <v>General &amp; administrative expenses</v>
      </c>
      <c r="F57" s="73" t="str">
        <v>D</v>
      </c>
      <c r="G57" s="73">
        <v>18</v>
      </c>
      <c r="H57" s="73">
        <v>0</v>
      </c>
      <c r="I57" s="116">
        <v>0</v>
      </c>
      <c r="J57" s="116">
        <v>79680440</v>
      </c>
      <c r="K57" s="116">
        <v>0</v>
      </c>
      <c r="L57" s="116">
        <v>79680440</v>
      </c>
      <c r="M57" s="116">
        <v>0</v>
      </c>
      <c r="N57" s="116">
        <v>79680440</v>
      </c>
      <c r="O57" s="116">
        <v>79680440</v>
      </c>
      <c r="P57" s="116">
        <v>0</v>
      </c>
    </row>
    <row r="58" spans="2:16" x14ac:dyDescent="0.35">
      <c r="B58" s="73">
        <v>6220</v>
      </c>
      <c r="C58" s="73" t="str">
        <v>Rent Expense</v>
      </c>
      <c r="D58" s="73" t="str">
        <v>Expense</v>
      </c>
      <c r="E58" s="73" t="str">
        <v>General &amp; administrative expenses</v>
      </c>
      <c r="F58" s="73" t="str">
        <v>D</v>
      </c>
      <c r="G58" s="73">
        <v>18</v>
      </c>
      <c r="H58" s="73">
        <v>0</v>
      </c>
      <c r="I58" s="116">
        <v>0</v>
      </c>
      <c r="J58" s="116">
        <v>110000000</v>
      </c>
      <c r="K58" s="116">
        <v>0</v>
      </c>
      <c r="L58" s="116">
        <v>110000000</v>
      </c>
      <c r="M58" s="116">
        <v>0</v>
      </c>
      <c r="N58" s="116">
        <v>110000000</v>
      </c>
      <c r="O58" s="116">
        <v>110000000</v>
      </c>
      <c r="P58" s="116">
        <v>0</v>
      </c>
    </row>
    <row r="59" spans="2:16" x14ac:dyDescent="0.35">
      <c r="B59" s="73">
        <v>6230</v>
      </c>
      <c r="C59" s="73" t="str">
        <v>Utilities &amp; Telecommunication</v>
      </c>
      <c r="D59" s="73" t="str">
        <v>Expense</v>
      </c>
      <c r="E59" s="73" t="str">
        <v>General &amp; administrative expenses</v>
      </c>
      <c r="F59" s="73" t="str">
        <v>D</v>
      </c>
      <c r="G59" s="73">
        <v>18</v>
      </c>
      <c r="H59" s="73">
        <v>0</v>
      </c>
      <c r="I59" s="116">
        <v>0</v>
      </c>
      <c r="J59" s="116">
        <v>125473000</v>
      </c>
      <c r="K59" s="116">
        <v>0</v>
      </c>
      <c r="L59" s="116">
        <v>125473000</v>
      </c>
      <c r="M59" s="116">
        <v>0</v>
      </c>
      <c r="N59" s="116">
        <v>125473000</v>
      </c>
      <c r="O59" s="116">
        <v>125473000</v>
      </c>
      <c r="P59" s="116">
        <v>0</v>
      </c>
    </row>
    <row r="60" spans="2:16" x14ac:dyDescent="0.35">
      <c r="B60" s="73">
        <v>6240</v>
      </c>
      <c r="C60" s="73" t="str">
        <v>Depreciation Expense</v>
      </c>
      <c r="D60" s="73" t="str">
        <v>Expense</v>
      </c>
      <c r="E60" s="73" t="str">
        <v>General &amp; administrative expenses</v>
      </c>
      <c r="F60" s="73" t="str">
        <v>D</v>
      </c>
      <c r="G60" s="73">
        <v>18</v>
      </c>
      <c r="H60" s="73">
        <v>0</v>
      </c>
      <c r="I60" s="116">
        <v>0</v>
      </c>
      <c r="J60" s="116">
        <v>287499999</v>
      </c>
      <c r="K60" s="116">
        <v>0</v>
      </c>
      <c r="L60" s="116">
        <v>287499999</v>
      </c>
      <c r="M60" s="116">
        <v>0</v>
      </c>
      <c r="N60" s="116">
        <v>287499999</v>
      </c>
      <c r="O60" s="116">
        <v>287499999</v>
      </c>
      <c r="P60" s="116">
        <v>0</v>
      </c>
    </row>
    <row r="61" spans="2:16" x14ac:dyDescent="0.35">
      <c r="B61" s="73">
        <v>6250</v>
      </c>
      <c r="C61" s="73" t="str">
        <v>Amortization Expense - Software</v>
      </c>
      <c r="D61" s="73" t="str">
        <v>Expense</v>
      </c>
      <c r="E61" s="73" t="str">
        <v>General &amp; administrative expenses</v>
      </c>
      <c r="F61" s="73" t="str">
        <v>D</v>
      </c>
      <c r="G61" s="73">
        <v>18</v>
      </c>
      <c r="H61" s="73">
        <v>0</v>
      </c>
      <c r="I61" s="116">
        <v>0</v>
      </c>
      <c r="J61" s="116">
        <v>43750000</v>
      </c>
      <c r="K61" s="116">
        <v>0</v>
      </c>
      <c r="L61" s="116">
        <v>43750000</v>
      </c>
      <c r="M61" s="116">
        <v>0</v>
      </c>
      <c r="N61" s="116">
        <v>43750000</v>
      </c>
      <c r="O61" s="116">
        <v>43750000</v>
      </c>
      <c r="P61" s="116">
        <v>0</v>
      </c>
    </row>
    <row r="62" spans="2:16" x14ac:dyDescent="0.35">
      <c r="B62" s="73">
        <v>6260</v>
      </c>
      <c r="C62" s="73" t="str">
        <v>Insurance Expense</v>
      </c>
      <c r="D62" s="73" t="str">
        <v>Expense</v>
      </c>
      <c r="E62" s="73" t="str">
        <v>General &amp; administrative expenses</v>
      </c>
      <c r="F62" s="73" t="str">
        <v>D</v>
      </c>
      <c r="G62" s="73">
        <v>18</v>
      </c>
      <c r="H62" s="73">
        <v>0</v>
      </c>
      <c r="I62" s="116">
        <v>0</v>
      </c>
      <c r="J62" s="116">
        <v>25000000</v>
      </c>
      <c r="K62" s="116">
        <v>0</v>
      </c>
      <c r="L62" s="116">
        <v>25000000</v>
      </c>
      <c r="M62" s="116">
        <v>0</v>
      </c>
      <c r="N62" s="116">
        <v>25000000</v>
      </c>
      <c r="O62" s="116">
        <v>25000000</v>
      </c>
      <c r="P62" s="116">
        <v>0</v>
      </c>
    </row>
    <row r="63" spans="2:16" x14ac:dyDescent="0.35">
      <c r="B63" s="73">
        <v>6265</v>
      </c>
      <c r="C63" s="73" t="str">
        <v>Software Subscription Expense</v>
      </c>
      <c r="D63" s="73" t="str">
        <v>Expense</v>
      </c>
      <c r="E63" s="73" t="str">
        <v>General &amp; administrative expenses</v>
      </c>
      <c r="F63" s="73" t="str">
        <v>D</v>
      </c>
      <c r="G63" s="73">
        <v>18</v>
      </c>
      <c r="H63" s="73">
        <v>0</v>
      </c>
      <c r="I63" s="116">
        <v>0</v>
      </c>
      <c r="J63" s="116">
        <v>58000000</v>
      </c>
      <c r="K63" s="116">
        <v>0</v>
      </c>
      <c r="L63" s="116">
        <v>58000000</v>
      </c>
      <c r="M63" s="116">
        <v>0</v>
      </c>
      <c r="N63" s="116">
        <v>58000000</v>
      </c>
      <c r="O63" s="116">
        <v>58000000</v>
      </c>
      <c r="P63" s="116">
        <v>0</v>
      </c>
    </row>
    <row r="64" spans="2:16" x14ac:dyDescent="0.35">
      <c r="B64" s="73">
        <v>6270</v>
      </c>
      <c r="C64" s="73" t="str">
        <v>Office Supplies</v>
      </c>
      <c r="D64" s="73" t="str">
        <v>Expense</v>
      </c>
      <c r="E64" s="73" t="str">
        <v>General &amp; administrative expenses</v>
      </c>
      <c r="F64" s="73" t="str">
        <v>D</v>
      </c>
      <c r="G64" s="73">
        <v>18</v>
      </c>
      <c r="H64" s="73">
        <v>0</v>
      </c>
      <c r="I64" s="116">
        <v>0</v>
      </c>
      <c r="J64" s="116">
        <v>29893000</v>
      </c>
      <c r="K64" s="116">
        <v>0</v>
      </c>
      <c r="L64" s="116">
        <v>29893000</v>
      </c>
      <c r="M64" s="116">
        <v>0</v>
      </c>
      <c r="N64" s="116">
        <v>29893000</v>
      </c>
      <c r="O64" s="116">
        <v>29893000</v>
      </c>
      <c r="P64" s="116">
        <v>0</v>
      </c>
    </row>
    <row r="65" spans="2:16" x14ac:dyDescent="0.35">
      <c r="B65" s="73">
        <v>6280</v>
      </c>
      <c r="C65" s="73" t="str">
        <v>Professional Fees</v>
      </c>
      <c r="D65" s="73" t="str">
        <v>Expense</v>
      </c>
      <c r="E65" s="73" t="str">
        <v>General &amp; administrative expenses</v>
      </c>
      <c r="F65" s="73" t="str">
        <v>D</v>
      </c>
      <c r="G65" s="73">
        <v>18</v>
      </c>
      <c r="H65" s="73">
        <v>0</v>
      </c>
      <c r="I65" s="116">
        <v>0</v>
      </c>
      <c r="J65" s="116">
        <v>140000000</v>
      </c>
      <c r="K65" s="116">
        <v>0</v>
      </c>
      <c r="L65" s="116">
        <v>140000000</v>
      </c>
      <c r="M65" s="116">
        <v>0</v>
      </c>
      <c r="N65" s="116">
        <v>140000000</v>
      </c>
      <c r="O65" s="116">
        <v>140000000</v>
      </c>
      <c r="P65" s="116">
        <v>0</v>
      </c>
    </row>
    <row r="66" spans="2:16" x14ac:dyDescent="0.35">
      <c r="B66" s="73">
        <v>6285</v>
      </c>
      <c r="C66" s="73" t="str">
        <v>Expected Credit Loss Expense</v>
      </c>
      <c r="D66" s="73" t="str">
        <v>Expense</v>
      </c>
      <c r="E66" s="73" t="str">
        <v>General &amp; administrative expenses</v>
      </c>
      <c r="F66" s="73" t="str">
        <v>D</v>
      </c>
      <c r="G66" s="73">
        <v>18</v>
      </c>
      <c r="H66" s="73">
        <v>0</v>
      </c>
      <c r="I66" s="116">
        <v>0</v>
      </c>
      <c r="J66" s="116">
        <v>0</v>
      </c>
      <c r="K66" s="116">
        <v>0</v>
      </c>
      <c r="L66" s="116">
        <v>0</v>
      </c>
      <c r="M66" s="116">
        <v>0</v>
      </c>
      <c r="N66" s="116">
        <v>0</v>
      </c>
      <c r="O66" s="116">
        <v>0</v>
      </c>
      <c r="P66" s="116">
        <v>0</v>
      </c>
    </row>
    <row r="67" spans="2:16" x14ac:dyDescent="0.35">
      <c r="B67" s="73">
        <v>6290</v>
      </c>
      <c r="C67" s="73" t="str">
        <v>Employee Benefits Expense</v>
      </c>
      <c r="D67" s="73" t="str">
        <v>Expense</v>
      </c>
      <c r="E67" s="73" t="str">
        <v>General &amp; administrative expenses</v>
      </c>
      <c r="F67" s="73" t="str">
        <v>D</v>
      </c>
      <c r="G67" s="73">
        <v>18</v>
      </c>
      <c r="H67" s="73">
        <v>0</v>
      </c>
      <c r="I67" s="116">
        <v>0</v>
      </c>
      <c r="J67" s="116">
        <v>30000000</v>
      </c>
      <c r="K67" s="116">
        <v>0</v>
      </c>
      <c r="L67" s="116">
        <v>30000000</v>
      </c>
      <c r="M67" s="116">
        <v>0</v>
      </c>
      <c r="N67" s="116">
        <v>30000000</v>
      </c>
      <c r="O67" s="116">
        <v>30000000</v>
      </c>
      <c r="P67" s="116">
        <v>0</v>
      </c>
    </row>
    <row r="68" spans="2:16" x14ac:dyDescent="0.35">
      <c r="B68" s="73">
        <v>6295</v>
      </c>
      <c r="C68" s="73" t="str">
        <v>Repairs &amp; Maintenance</v>
      </c>
      <c r="D68" s="73" t="str">
        <v>Expense</v>
      </c>
      <c r="E68" s="73" t="str">
        <v>General &amp; administrative expenses</v>
      </c>
      <c r="F68" s="73" t="str">
        <v>D</v>
      </c>
      <c r="G68" s="73">
        <v>18</v>
      </c>
      <c r="H68" s="73">
        <v>0</v>
      </c>
      <c r="I68" s="116">
        <v>0</v>
      </c>
      <c r="J68" s="116">
        <v>40738000</v>
      </c>
      <c r="K68" s="116">
        <v>0</v>
      </c>
      <c r="L68" s="116">
        <v>40738000</v>
      </c>
      <c r="M68" s="116">
        <v>0</v>
      </c>
      <c r="N68" s="116">
        <v>40738000</v>
      </c>
      <c r="O68" s="116">
        <v>40738000</v>
      </c>
      <c r="P68" s="116">
        <v>0</v>
      </c>
    </row>
    <row r="69" spans="2:16" x14ac:dyDescent="0.35">
      <c r="B69" s="73">
        <v>6296</v>
      </c>
      <c r="C69" s="73" t="str">
        <v>Entertainment &amp; Donations</v>
      </c>
      <c r="D69" s="73" t="str">
        <v>Expense</v>
      </c>
      <c r="E69" s="73" t="str">
        <v>General &amp; administrative expenses</v>
      </c>
      <c r="F69" s="73" t="str">
        <v>D</v>
      </c>
      <c r="G69" s="73">
        <v>18</v>
      </c>
      <c r="H69" s="73">
        <v>0</v>
      </c>
      <c r="I69" s="116">
        <v>0</v>
      </c>
      <c r="J69" s="116">
        <v>24449000</v>
      </c>
      <c r="K69" s="116">
        <v>0</v>
      </c>
      <c r="L69" s="116">
        <v>24449000</v>
      </c>
      <c r="M69" s="116">
        <v>0</v>
      </c>
      <c r="N69" s="116">
        <v>24449000</v>
      </c>
      <c r="O69" s="116">
        <v>24449000</v>
      </c>
      <c r="P69" s="116">
        <v>0</v>
      </c>
    </row>
    <row r="70" spans="2:16" x14ac:dyDescent="0.35">
      <c r="B70" s="73">
        <v>7110</v>
      </c>
      <c r="C70" s="73" t="str">
        <v>Interest Income - Time Deposit</v>
      </c>
      <c r="D70" s="73" t="str">
        <v>Revenue</v>
      </c>
      <c r="E70" s="73" t="str">
        <v>Other income</v>
      </c>
      <c r="F70" s="73" t="str">
        <v>C</v>
      </c>
      <c r="G70" s="73">
        <v>19</v>
      </c>
      <c r="H70" s="73">
        <v>0</v>
      </c>
      <c r="I70" s="116">
        <v>0</v>
      </c>
      <c r="J70" s="116">
        <v>0</v>
      </c>
      <c r="K70" s="116">
        <v>16666670</v>
      </c>
      <c r="L70" s="116">
        <v>16666670</v>
      </c>
      <c r="M70" s="116">
        <v>0</v>
      </c>
      <c r="N70" s="116">
        <v>-16666670</v>
      </c>
      <c r="O70" s="116">
        <v>0</v>
      </c>
      <c r="P70" s="116">
        <v>16666670</v>
      </c>
    </row>
    <row r="71" spans="2:16" x14ac:dyDescent="0.35">
      <c r="B71" s="73">
        <v>7120</v>
      </c>
      <c r="C71" s="73" t="str">
        <v>Interest Income - Current Account</v>
      </c>
      <c r="D71" s="73" t="str">
        <v>Revenue</v>
      </c>
      <c r="E71" s="73" t="str">
        <v>Other income</v>
      </c>
      <c r="F71" s="73" t="str">
        <v>C</v>
      </c>
      <c r="G71" s="73">
        <v>19</v>
      </c>
      <c r="H71" s="73">
        <v>0</v>
      </c>
      <c r="I71" s="116">
        <v>0</v>
      </c>
      <c r="J71" s="116">
        <v>0</v>
      </c>
      <c r="K71" s="116">
        <v>4980394</v>
      </c>
      <c r="L71" s="116">
        <v>4980394</v>
      </c>
      <c r="M71" s="116">
        <v>0</v>
      </c>
      <c r="N71" s="116">
        <v>-4980394</v>
      </c>
      <c r="O71" s="116">
        <v>0</v>
      </c>
      <c r="P71" s="116">
        <v>4980394</v>
      </c>
    </row>
    <row r="72" spans="2:16" x14ac:dyDescent="0.35">
      <c r="B72" s="73">
        <v>7210</v>
      </c>
      <c r="C72" s="73" t="str">
        <v>Interest Expense - Bank Loans</v>
      </c>
      <c r="D72" s="73" t="str">
        <v>Expense</v>
      </c>
      <c r="E72" s="73" t="str">
        <v>Finance costs</v>
      </c>
      <c r="F72" s="73" t="str">
        <v>D</v>
      </c>
      <c r="G72" s="73">
        <v>19</v>
      </c>
      <c r="H72" s="73">
        <v>0</v>
      </c>
      <c r="I72" s="116">
        <v>0</v>
      </c>
      <c r="J72" s="116">
        <v>119062500</v>
      </c>
      <c r="K72" s="116">
        <v>0</v>
      </c>
      <c r="L72" s="116">
        <v>119062500</v>
      </c>
      <c r="M72" s="116">
        <v>0</v>
      </c>
      <c r="N72" s="116">
        <v>119062500</v>
      </c>
      <c r="O72" s="116">
        <v>119062500</v>
      </c>
      <c r="P72" s="116">
        <v>0</v>
      </c>
    </row>
    <row r="73" spans="2:16" x14ac:dyDescent="0.35">
      <c r="B73" s="73">
        <v>7220</v>
      </c>
      <c r="C73" s="73" t="str">
        <v>Bank Charges</v>
      </c>
      <c r="D73" s="73" t="str">
        <v>Expense</v>
      </c>
      <c r="E73" s="73" t="str">
        <v>Other expenses</v>
      </c>
      <c r="F73" s="73" t="str">
        <v>D</v>
      </c>
      <c r="G73" s="73">
        <v>19</v>
      </c>
      <c r="H73" s="73">
        <v>0</v>
      </c>
      <c r="I73" s="116">
        <v>0</v>
      </c>
      <c r="J73" s="116">
        <v>2416500</v>
      </c>
      <c r="K73" s="116">
        <v>0</v>
      </c>
      <c r="L73" s="116">
        <v>2416500</v>
      </c>
      <c r="M73" s="116">
        <v>0</v>
      </c>
      <c r="N73" s="116">
        <v>2416500</v>
      </c>
      <c r="O73" s="116">
        <v>2416500</v>
      </c>
      <c r="P73" s="116">
        <v>0</v>
      </c>
    </row>
    <row r="74" spans="2:16" x14ac:dyDescent="0.35">
      <c r="B74" s="73">
        <v>8100</v>
      </c>
      <c r="C74" s="73" t="str">
        <v>Corporate Income Tax Expense - Current</v>
      </c>
      <c r="D74" s="73" t="str">
        <v>Expense</v>
      </c>
      <c r="E74" s="73" t="str">
        <v>Income tax expense</v>
      </c>
      <c r="F74" s="73" t="str">
        <v>D</v>
      </c>
      <c r="G74" s="73">
        <v>7</v>
      </c>
      <c r="H74" s="73">
        <v>0</v>
      </c>
      <c r="I74" s="116">
        <v>0</v>
      </c>
      <c r="J74" s="116">
        <v>201469208</v>
      </c>
      <c r="K74" s="116">
        <v>0</v>
      </c>
      <c r="L74" s="116">
        <v>201469208</v>
      </c>
      <c r="M74" s="116">
        <v>0</v>
      </c>
      <c r="N74" s="116">
        <v>201469208</v>
      </c>
      <c r="O74" s="116">
        <v>201469208</v>
      </c>
      <c r="P74" s="116">
        <v>0</v>
      </c>
    </row>
    <row r="75" spans="2:16" x14ac:dyDescent="0.35">
      <c r="B75" s="73">
        <v>8200</v>
      </c>
      <c r="C75" s="73" t="str">
        <v>Final Income Tax Expense</v>
      </c>
      <c r="D75" s="73" t="str">
        <v>Expense</v>
      </c>
      <c r="E75" s="73" t="str">
        <v>Other expenses</v>
      </c>
      <c r="F75" s="73" t="str">
        <v>D</v>
      </c>
      <c r="G75" s="73">
        <v>19</v>
      </c>
      <c r="H75" s="73">
        <v>0</v>
      </c>
      <c r="I75" s="116">
        <v>0</v>
      </c>
      <c r="J75" s="116">
        <v>4329417</v>
      </c>
      <c r="K75" s="116">
        <v>0</v>
      </c>
      <c r="L75" s="116">
        <v>4329417</v>
      </c>
      <c r="M75" s="116">
        <v>0</v>
      </c>
      <c r="N75" s="116">
        <v>4329417</v>
      </c>
      <c r="O75" s="116">
        <v>4329417</v>
      </c>
      <c r="P75" s="116">
        <v>0</v>
      </c>
    </row>
    <row r="76" spans="2:16" x14ac:dyDescent="0.35">
      <c r="B76" s="73"/>
      <c r="C76" s="73"/>
      <c r="D76" s="73"/>
      <c r="E76" s="73"/>
      <c r="F76" s="73"/>
      <c r="G76" s="73"/>
      <c r="H76" s="73"/>
      <c r="I76" s="116"/>
      <c r="J76" s="116"/>
      <c r="K76" s="116"/>
      <c r="L76" s="116"/>
      <c r="M76" s="116"/>
      <c r="N76" s="116"/>
      <c r="O76" s="116"/>
      <c r="P76" s="116"/>
    </row>
    <row r="77" spans="2:16" x14ac:dyDescent="0.35">
      <c r="B77" s="73"/>
      <c r="C77" s="73"/>
      <c r="D77" s="73"/>
      <c r="E77" s="73"/>
      <c r="F77" s="73"/>
      <c r="G77" s="73"/>
      <c r="H77" s="73"/>
      <c r="I77" s="116"/>
      <c r="J77" s="116"/>
      <c r="K77" s="116"/>
      <c r="L77" s="116"/>
      <c r="M77" s="116"/>
      <c r="N77" s="116"/>
      <c r="O77" s="116"/>
      <c r="P77" s="116"/>
    </row>
    <row r="78" spans="2:16" x14ac:dyDescent="0.35">
      <c r="B78" s="73"/>
      <c r="C78" s="73"/>
      <c r="D78" s="73"/>
      <c r="E78" s="73"/>
      <c r="F78" s="73"/>
      <c r="G78" s="73"/>
      <c r="H78" s="73"/>
      <c r="I78" s="116"/>
      <c r="J78" s="116"/>
      <c r="K78" s="116"/>
      <c r="L78" s="116"/>
      <c r="M78" s="116"/>
      <c r="N78" s="116"/>
      <c r="O78" s="116"/>
      <c r="P78" s="116"/>
    </row>
    <row r="79" spans="2:16" x14ac:dyDescent="0.35">
      <c r="B79" s="73"/>
      <c r="C79" s="73"/>
      <c r="D79" s="73"/>
      <c r="E79" s="73"/>
      <c r="F79" s="73"/>
      <c r="G79" s="73"/>
      <c r="H79" s="73"/>
      <c r="I79" s="116"/>
      <c r="J79" s="116"/>
      <c r="K79" s="116"/>
      <c r="L79" s="116"/>
      <c r="M79" s="116"/>
      <c r="N79" s="116"/>
      <c r="O79" s="116"/>
      <c r="P79" s="116"/>
    </row>
    <row r="80" spans="2:16" x14ac:dyDescent="0.35">
      <c r="B80" s="73"/>
      <c r="C80" s="73"/>
      <c r="D80" s="73"/>
      <c r="E80" s="73"/>
      <c r="F80" s="73"/>
      <c r="G80" s="73"/>
      <c r="H80" s="73"/>
      <c r="I80" s="116"/>
      <c r="J80" s="116"/>
      <c r="K80" s="116"/>
      <c r="L80" s="116"/>
      <c r="M80" s="116"/>
      <c r="N80" s="116"/>
      <c r="O80" s="116"/>
      <c r="P80" s="116"/>
    </row>
    <row r="81" spans="2:16" x14ac:dyDescent="0.35">
      <c r="B81" s="73"/>
      <c r="C81" s="73"/>
      <c r="D81" s="73"/>
      <c r="E81" s="73"/>
      <c r="F81" s="73"/>
      <c r="G81" s="73"/>
      <c r="H81" s="73"/>
      <c r="I81" s="116"/>
      <c r="J81" s="116"/>
      <c r="K81" s="116"/>
      <c r="L81" s="116"/>
      <c r="M81" s="116"/>
      <c r="N81" s="116"/>
      <c r="O81" s="116"/>
      <c r="P81" s="116"/>
    </row>
    <row r="82" spans="2:16" x14ac:dyDescent="0.35">
      <c r="B82" s="73"/>
      <c r="C82" s="73"/>
      <c r="D82" s="73"/>
      <c r="E82" s="73"/>
      <c r="F82" s="73"/>
      <c r="G82" s="73"/>
      <c r="H82" s="73"/>
      <c r="I82" s="116"/>
      <c r="J82" s="116"/>
      <c r="K82" s="116"/>
      <c r="L82" s="116"/>
      <c r="M82" s="116"/>
      <c r="N82" s="116"/>
      <c r="O82" s="116"/>
      <c r="P82" s="116"/>
    </row>
    <row r="83" spans="2:16" x14ac:dyDescent="0.35">
      <c r="B83" s="73"/>
      <c r="C83" s="73"/>
      <c r="D83" s="73"/>
      <c r="E83" s="73"/>
      <c r="F83" s="73"/>
      <c r="G83" s="73"/>
      <c r="H83" s="73"/>
      <c r="I83" s="116"/>
      <c r="J83" s="116"/>
      <c r="K83" s="116"/>
      <c r="L83" s="116"/>
      <c r="M83" s="116"/>
      <c r="N83" s="116"/>
      <c r="O83" s="116"/>
      <c r="P83" s="116"/>
    </row>
    <row r="84" spans="2:16" x14ac:dyDescent="0.35">
      <c r="B84" s="73"/>
      <c r="C84" s="73"/>
      <c r="D84" s="73"/>
      <c r="E84" s="73"/>
      <c r="F84" s="73"/>
      <c r="G84" s="73"/>
      <c r="H84" s="73"/>
      <c r="I84" s="116"/>
      <c r="J84" s="116"/>
      <c r="K84" s="116"/>
      <c r="L84" s="116"/>
      <c r="M84" s="116"/>
      <c r="N84" s="116"/>
      <c r="O84" s="116"/>
      <c r="P84" s="116"/>
    </row>
    <row r="85" spans="2:16" x14ac:dyDescent="0.35">
      <c r="B85" s="73"/>
      <c r="C85" s="73"/>
      <c r="D85" s="73"/>
      <c r="E85" s="73"/>
      <c r="F85" s="73"/>
      <c r="G85" s="73"/>
      <c r="H85" s="73"/>
      <c r="I85" s="116"/>
      <c r="J85" s="116"/>
      <c r="K85" s="116"/>
      <c r="L85" s="116"/>
      <c r="M85" s="116"/>
      <c r="N85" s="116"/>
      <c r="O85" s="116"/>
      <c r="P85" s="116"/>
    </row>
    <row r="86" spans="2:16" x14ac:dyDescent="0.35">
      <c r="B86" s="73"/>
      <c r="C86" s="73"/>
      <c r="D86" s="73"/>
      <c r="E86" s="73"/>
      <c r="F86" s="73"/>
      <c r="G86" s="73"/>
      <c r="H86" s="73"/>
      <c r="I86" s="116"/>
      <c r="J86" s="116"/>
      <c r="K86" s="116"/>
      <c r="L86" s="116"/>
      <c r="M86" s="116"/>
      <c r="N86" s="116"/>
      <c r="O86" s="116"/>
      <c r="P86" s="116"/>
    </row>
    <row r="87" spans="2:16" x14ac:dyDescent="0.35">
      <c r="B87" s="73"/>
      <c r="C87" s="73"/>
      <c r="D87" s="73"/>
      <c r="E87" s="73"/>
      <c r="F87" s="73"/>
      <c r="G87" s="73"/>
      <c r="H87" s="73"/>
      <c r="I87" s="116"/>
      <c r="J87" s="116"/>
      <c r="K87" s="116"/>
      <c r="L87" s="116"/>
      <c r="M87" s="116"/>
      <c r="N87" s="116"/>
      <c r="O87" s="116"/>
      <c r="P87" s="116"/>
    </row>
    <row r="88" spans="2:16" x14ac:dyDescent="0.35">
      <c r="B88" s="73"/>
      <c r="C88" s="73"/>
      <c r="D88" s="73"/>
      <c r="E88" s="73"/>
      <c r="F88" s="73"/>
      <c r="G88" s="73"/>
      <c r="H88" s="73"/>
      <c r="I88" s="116"/>
      <c r="J88" s="116"/>
      <c r="K88" s="116"/>
      <c r="L88" s="116"/>
      <c r="M88" s="116"/>
      <c r="N88" s="116"/>
      <c r="O88" s="116"/>
      <c r="P88" s="116"/>
    </row>
    <row r="89" spans="2:16" x14ac:dyDescent="0.35">
      <c r="B89" s="73"/>
      <c r="C89" s="73"/>
      <c r="D89" s="73"/>
      <c r="E89" s="73"/>
      <c r="F89" s="73"/>
      <c r="G89" s="73"/>
      <c r="H89" s="73"/>
      <c r="I89" s="116"/>
      <c r="J89" s="116"/>
      <c r="K89" s="116"/>
      <c r="L89" s="116"/>
      <c r="M89" s="116"/>
      <c r="N89" s="116"/>
      <c r="O89" s="116"/>
      <c r="P89" s="116"/>
    </row>
    <row r="90" spans="2:16" x14ac:dyDescent="0.35">
      <c r="B90" s="73"/>
      <c r="C90" s="73"/>
      <c r="D90" s="73"/>
      <c r="E90" s="73"/>
      <c r="F90" s="73"/>
      <c r="G90" s="73"/>
      <c r="H90" s="73"/>
      <c r="I90" s="116"/>
      <c r="J90" s="116"/>
      <c r="K90" s="116"/>
      <c r="L90" s="116"/>
      <c r="M90" s="116"/>
      <c r="N90" s="116"/>
      <c r="O90" s="116"/>
      <c r="P90" s="116"/>
    </row>
    <row r="91" spans="2:16" x14ac:dyDescent="0.35">
      <c r="B91" s="73"/>
      <c r="C91" s="73"/>
      <c r="D91" s="73"/>
      <c r="E91" s="73"/>
      <c r="F91" s="73"/>
      <c r="G91" s="73"/>
      <c r="H91" s="73"/>
      <c r="I91" s="116"/>
      <c r="J91" s="116"/>
      <c r="K91" s="116"/>
      <c r="L91" s="116"/>
      <c r="M91" s="116"/>
      <c r="N91" s="116"/>
      <c r="O91" s="116"/>
      <c r="P91" s="116"/>
    </row>
    <row r="92" spans="2:16" x14ac:dyDescent="0.35">
      <c r="B92" s="73"/>
      <c r="C92" s="73"/>
      <c r="D92" s="73"/>
      <c r="E92" s="73"/>
      <c r="F92" s="73"/>
      <c r="G92" s="73"/>
      <c r="H92" s="73"/>
      <c r="I92" s="116"/>
      <c r="J92" s="116"/>
      <c r="K92" s="116"/>
      <c r="L92" s="116"/>
      <c r="M92" s="116"/>
      <c r="N92" s="116"/>
      <c r="O92" s="116"/>
      <c r="P92" s="116"/>
    </row>
    <row r="93" spans="2:16" x14ac:dyDescent="0.35">
      <c r="B93" s="73"/>
      <c r="C93" s="73"/>
      <c r="D93" s="73"/>
      <c r="E93" s="73"/>
      <c r="F93" s="73"/>
      <c r="G93" s="73"/>
      <c r="H93" s="73"/>
      <c r="I93" s="116"/>
      <c r="J93" s="116"/>
      <c r="K93" s="116"/>
      <c r="L93" s="116"/>
      <c r="M93" s="116"/>
      <c r="N93" s="116"/>
      <c r="O93" s="116"/>
      <c r="P93" s="116"/>
    </row>
    <row r="94" spans="2:16" x14ac:dyDescent="0.35">
      <c r="B94" s="73"/>
      <c r="C94" s="73"/>
      <c r="D94" s="73"/>
      <c r="E94" s="73"/>
      <c r="F94" s="73"/>
      <c r="G94" s="73"/>
      <c r="H94" s="73"/>
      <c r="I94" s="116"/>
      <c r="J94" s="116"/>
      <c r="K94" s="116"/>
      <c r="L94" s="116"/>
      <c r="M94" s="116"/>
      <c r="N94" s="116"/>
      <c r="O94" s="116"/>
      <c r="P94" s="116"/>
    </row>
    <row r="95" spans="2:16" x14ac:dyDescent="0.35">
      <c r="B95" s="73"/>
      <c r="C95" s="73"/>
      <c r="D95" s="73"/>
      <c r="E95" s="73"/>
      <c r="F95" s="73"/>
      <c r="G95" s="73"/>
      <c r="H95" s="73"/>
      <c r="I95" s="116"/>
      <c r="J95" s="116"/>
      <c r="K95" s="116"/>
      <c r="L95" s="116"/>
      <c r="M95" s="116"/>
      <c r="N95" s="116"/>
      <c r="O95" s="116"/>
      <c r="P95" s="116"/>
    </row>
    <row r="96" spans="2:16" x14ac:dyDescent="0.35">
      <c r="B96" s="73"/>
      <c r="C96" s="73"/>
      <c r="D96" s="73"/>
      <c r="E96" s="73"/>
      <c r="F96" s="73"/>
      <c r="G96" s="73"/>
      <c r="H96" s="73"/>
      <c r="I96" s="116"/>
      <c r="J96" s="116"/>
      <c r="K96" s="116"/>
      <c r="L96" s="116"/>
      <c r="M96" s="116"/>
      <c r="N96" s="116"/>
      <c r="O96" s="116"/>
      <c r="P96" s="116"/>
    </row>
    <row r="97" spans="2:16" x14ac:dyDescent="0.35">
      <c r="B97" s="73"/>
      <c r="C97" s="73"/>
      <c r="D97" s="73"/>
      <c r="E97" s="73"/>
      <c r="F97" s="73"/>
      <c r="G97" s="73"/>
      <c r="H97" s="73"/>
      <c r="I97" s="116"/>
      <c r="J97" s="116"/>
      <c r="K97" s="116"/>
      <c r="L97" s="116"/>
      <c r="M97" s="116"/>
      <c r="N97" s="116"/>
      <c r="O97" s="116"/>
      <c r="P97" s="116"/>
    </row>
    <row r="98" spans="2:16" x14ac:dyDescent="0.35">
      <c r="B98" s="73"/>
      <c r="C98" s="73"/>
      <c r="D98" s="73"/>
      <c r="E98" s="73"/>
      <c r="F98" s="73"/>
      <c r="G98" s="73"/>
      <c r="H98" s="73"/>
      <c r="I98" s="116"/>
      <c r="J98" s="116"/>
      <c r="K98" s="116"/>
      <c r="L98" s="116"/>
      <c r="M98" s="116"/>
      <c r="N98" s="116"/>
      <c r="O98" s="116"/>
      <c r="P98" s="116"/>
    </row>
    <row r="99" spans="2:16" x14ac:dyDescent="0.35">
      <c r="B99" s="73"/>
      <c r="C99" s="73"/>
      <c r="D99" s="73"/>
      <c r="E99" s="73"/>
      <c r="F99" s="73"/>
      <c r="G99" s="73"/>
      <c r="H99" s="73"/>
      <c r="I99" s="116"/>
      <c r="J99" s="116"/>
      <c r="K99" s="116"/>
      <c r="L99" s="116"/>
      <c r="M99" s="116"/>
      <c r="N99" s="116"/>
      <c r="O99" s="116"/>
      <c r="P99" s="116"/>
    </row>
    <row r="100" spans="2:16" x14ac:dyDescent="0.35">
      <c r="B100" s="73"/>
      <c r="C100" s="73"/>
      <c r="D100" s="73"/>
      <c r="E100" s="73"/>
      <c r="F100" s="73"/>
      <c r="G100" s="73"/>
      <c r="H100" s="73"/>
      <c r="I100" s="116"/>
      <c r="J100" s="116"/>
      <c r="K100" s="116"/>
      <c r="L100" s="116"/>
      <c r="M100" s="116"/>
      <c r="N100" s="116"/>
      <c r="O100" s="116"/>
      <c r="P100" s="116"/>
    </row>
    <row r="101" spans="2:16" x14ac:dyDescent="0.35">
      <c r="B101" s="73"/>
      <c r="C101" s="73"/>
      <c r="D101" s="73"/>
      <c r="E101" s="73"/>
      <c r="F101" s="73"/>
      <c r="G101" s="73"/>
      <c r="H101" s="73"/>
      <c r="I101" s="116"/>
      <c r="J101" s="116"/>
      <c r="K101" s="116"/>
      <c r="L101" s="116"/>
      <c r="M101" s="116"/>
      <c r="N101" s="116"/>
      <c r="O101" s="116"/>
      <c r="P101" s="116"/>
    </row>
    <row r="102" spans="2:16" x14ac:dyDescent="0.35">
      <c r="B102" s="73"/>
      <c r="C102" s="73"/>
      <c r="D102" s="73"/>
      <c r="E102" s="73"/>
      <c r="F102" s="73"/>
      <c r="G102" s="73"/>
      <c r="H102" s="73"/>
      <c r="I102" s="116"/>
      <c r="J102" s="116"/>
      <c r="K102" s="116"/>
      <c r="L102" s="116"/>
      <c r="M102" s="116"/>
      <c r="N102" s="116"/>
      <c r="O102" s="116"/>
      <c r="P102" s="116"/>
    </row>
    <row r="103" spans="2:16" x14ac:dyDescent="0.35">
      <c r="B103" s="73"/>
      <c r="C103" s="73"/>
      <c r="D103" s="73"/>
      <c r="E103" s="73"/>
      <c r="F103" s="73"/>
      <c r="G103" s="73"/>
      <c r="H103" s="73"/>
      <c r="I103" s="116"/>
      <c r="J103" s="116"/>
      <c r="K103" s="116"/>
      <c r="L103" s="116"/>
      <c r="M103" s="116"/>
      <c r="N103" s="116"/>
      <c r="O103" s="116"/>
      <c r="P103" s="116"/>
    </row>
    <row r="104" spans="2:16" x14ac:dyDescent="0.35">
      <c r="B104" s="73"/>
      <c r="C104" s="73"/>
      <c r="D104" s="73"/>
      <c r="E104" s="73"/>
      <c r="F104" s="73"/>
      <c r="G104" s="73"/>
      <c r="H104" s="73"/>
      <c r="I104" s="116"/>
      <c r="J104" s="116"/>
      <c r="K104" s="116"/>
      <c r="L104" s="116"/>
      <c r="M104" s="116"/>
      <c r="N104" s="116"/>
      <c r="O104" s="116"/>
      <c r="P104" s="116"/>
    </row>
    <row r="105" spans="2:16" x14ac:dyDescent="0.35">
      <c r="B105" s="73"/>
      <c r="C105" s="73"/>
      <c r="D105" s="73"/>
      <c r="E105" s="73"/>
      <c r="F105" s="73"/>
      <c r="G105" s="73"/>
      <c r="H105" s="73"/>
      <c r="I105" s="116"/>
      <c r="J105" s="116"/>
      <c r="K105" s="116"/>
      <c r="L105" s="116"/>
      <c r="M105" s="116"/>
      <c r="N105" s="116"/>
      <c r="O105" s="116"/>
      <c r="P105" s="116"/>
    </row>
    <row r="106" spans="2:16" x14ac:dyDescent="0.35">
      <c r="B106" s="73"/>
      <c r="C106" s="73"/>
      <c r="D106" s="73"/>
      <c r="E106" s="73"/>
      <c r="F106" s="73"/>
      <c r="G106" s="73"/>
      <c r="H106" s="73"/>
      <c r="I106" s="116"/>
      <c r="J106" s="116"/>
      <c r="K106" s="116"/>
      <c r="L106" s="116"/>
      <c r="M106" s="116"/>
      <c r="N106" s="116"/>
      <c r="O106" s="116"/>
      <c r="P106" s="116"/>
    </row>
    <row r="107" spans="2:16" x14ac:dyDescent="0.35">
      <c r="B107" s="73"/>
      <c r="C107" s="73"/>
      <c r="D107" s="73"/>
      <c r="E107" s="73"/>
      <c r="F107" s="73"/>
      <c r="G107" s="73"/>
      <c r="H107" s="73"/>
      <c r="I107" s="116"/>
      <c r="J107" s="116"/>
      <c r="K107" s="116"/>
      <c r="L107" s="116"/>
      <c r="M107" s="116"/>
      <c r="N107" s="116"/>
      <c r="O107" s="116"/>
      <c r="P107" s="116"/>
    </row>
    <row r="108" spans="2:16" x14ac:dyDescent="0.35">
      <c r="B108" s="73"/>
      <c r="C108" s="73"/>
      <c r="D108" s="73"/>
      <c r="E108" s="73"/>
      <c r="F108" s="73"/>
      <c r="G108" s="73"/>
      <c r="H108" s="73"/>
      <c r="I108" s="116"/>
      <c r="J108" s="116"/>
      <c r="K108" s="116"/>
      <c r="L108" s="116"/>
      <c r="M108" s="116"/>
      <c r="N108" s="116"/>
      <c r="O108" s="116"/>
      <c r="P108" s="116"/>
    </row>
    <row r="109" spans="2:16" x14ac:dyDescent="0.35">
      <c r="B109" s="73"/>
      <c r="C109" s="73"/>
      <c r="D109" s="73"/>
      <c r="E109" s="73"/>
      <c r="F109" s="73"/>
      <c r="G109" s="73"/>
      <c r="H109" s="73"/>
      <c r="I109" s="116"/>
      <c r="J109" s="116"/>
      <c r="K109" s="116"/>
      <c r="L109" s="116"/>
      <c r="M109" s="116"/>
      <c r="N109" s="116"/>
      <c r="O109" s="116"/>
      <c r="P109" s="116"/>
    </row>
    <row r="110" spans="2:16" x14ac:dyDescent="0.35">
      <c r="B110" s="73"/>
      <c r="C110" s="73"/>
      <c r="D110" s="73"/>
      <c r="E110" s="73"/>
      <c r="F110" s="73"/>
      <c r="G110" s="73"/>
      <c r="H110" s="73"/>
      <c r="I110" s="116"/>
      <c r="J110" s="116"/>
      <c r="K110" s="116"/>
      <c r="L110" s="116"/>
      <c r="M110" s="116"/>
      <c r="N110" s="116"/>
      <c r="O110" s="116"/>
      <c r="P110" s="116"/>
    </row>
    <row r="111" spans="2:16" x14ac:dyDescent="0.35">
      <c r="B111" s="73"/>
      <c r="C111" s="73"/>
      <c r="D111" s="73"/>
      <c r="E111" s="73"/>
      <c r="F111" s="73"/>
      <c r="G111" s="73"/>
      <c r="H111" s="73"/>
      <c r="I111" s="116"/>
      <c r="J111" s="116"/>
      <c r="K111" s="116"/>
      <c r="L111" s="116"/>
      <c r="M111" s="116"/>
      <c r="N111" s="116"/>
      <c r="O111" s="116"/>
      <c r="P111" s="116"/>
    </row>
    <row r="112" spans="2:16" x14ac:dyDescent="0.35">
      <c r="B112" s="73"/>
      <c r="C112" s="73"/>
      <c r="D112" s="73"/>
      <c r="E112" s="73"/>
      <c r="F112" s="73"/>
      <c r="G112" s="73"/>
      <c r="H112" s="73"/>
      <c r="I112" s="116"/>
      <c r="J112" s="116"/>
      <c r="K112" s="116"/>
      <c r="L112" s="116"/>
      <c r="M112" s="116"/>
      <c r="N112" s="116"/>
      <c r="O112" s="116"/>
      <c r="P112" s="116"/>
    </row>
    <row r="113" spans="2:16" x14ac:dyDescent="0.35">
      <c r="B113" s="73"/>
      <c r="C113" s="73"/>
      <c r="D113" s="73"/>
      <c r="E113" s="73"/>
      <c r="F113" s="73"/>
      <c r="G113" s="73"/>
      <c r="H113" s="73"/>
      <c r="I113" s="116"/>
      <c r="J113" s="116"/>
      <c r="K113" s="116"/>
      <c r="L113" s="116"/>
      <c r="M113" s="116"/>
      <c r="N113" s="116"/>
      <c r="O113" s="116"/>
      <c r="P113" s="116"/>
    </row>
    <row r="114" spans="2:16" x14ac:dyDescent="0.35">
      <c r="B114" s="73"/>
      <c r="C114" s="73"/>
      <c r="D114" s="73"/>
      <c r="E114" s="73"/>
      <c r="F114" s="73"/>
      <c r="G114" s="73"/>
      <c r="H114" s="73"/>
      <c r="I114" s="116"/>
      <c r="J114" s="116"/>
      <c r="K114" s="116"/>
      <c r="L114" s="116"/>
      <c r="M114" s="116"/>
      <c r="N114" s="116"/>
      <c r="O114" s="116"/>
      <c r="P114" s="116"/>
    </row>
    <row r="115" spans="2:16" x14ac:dyDescent="0.35">
      <c r="B115" s="73"/>
      <c r="C115" s="73"/>
      <c r="D115" s="73"/>
      <c r="E115" s="73"/>
      <c r="F115" s="73"/>
      <c r="G115" s="73"/>
      <c r="H115" s="73"/>
      <c r="I115" s="116"/>
      <c r="J115" s="116"/>
      <c r="K115" s="116"/>
      <c r="L115" s="116"/>
      <c r="M115" s="116"/>
      <c r="N115" s="116"/>
      <c r="O115" s="116"/>
      <c r="P115" s="116"/>
    </row>
    <row r="116" spans="2:16" x14ac:dyDescent="0.35">
      <c r="B116" s="73"/>
      <c r="C116" s="73"/>
      <c r="D116" s="73"/>
      <c r="E116" s="73"/>
      <c r="F116" s="73"/>
      <c r="G116" s="73"/>
      <c r="H116" s="73"/>
      <c r="I116" s="116"/>
      <c r="J116" s="116"/>
      <c r="K116" s="116"/>
      <c r="L116" s="116"/>
      <c r="M116" s="116"/>
      <c r="N116" s="116"/>
      <c r="O116" s="116"/>
      <c r="P116" s="116"/>
    </row>
    <row r="117" spans="2:16" x14ac:dyDescent="0.35">
      <c r="B117" s="73"/>
      <c r="C117" s="73"/>
      <c r="D117" s="73"/>
      <c r="E117" s="73"/>
      <c r="F117" s="73"/>
      <c r="G117" s="73"/>
      <c r="H117" s="73"/>
      <c r="I117" s="116"/>
      <c r="J117" s="116"/>
      <c r="K117" s="116"/>
      <c r="L117" s="116"/>
      <c r="M117" s="116"/>
      <c r="N117" s="116"/>
      <c r="O117" s="116"/>
      <c r="P117" s="116"/>
    </row>
    <row r="118" spans="2:16" x14ac:dyDescent="0.35">
      <c r="B118" s="73"/>
      <c r="C118" s="73"/>
      <c r="D118" s="73"/>
      <c r="E118" s="73"/>
      <c r="F118" s="73"/>
      <c r="G118" s="73"/>
      <c r="H118" s="73"/>
      <c r="I118" s="116"/>
      <c r="J118" s="116"/>
      <c r="K118" s="116"/>
      <c r="L118" s="116"/>
      <c r="M118" s="116"/>
      <c r="N118" s="116"/>
      <c r="O118" s="116"/>
      <c r="P118" s="116"/>
    </row>
    <row r="119" spans="2:16" x14ac:dyDescent="0.35">
      <c r="B119" s="73"/>
      <c r="C119" s="73"/>
      <c r="D119" s="73"/>
      <c r="E119" s="73"/>
      <c r="F119" s="73"/>
      <c r="G119" s="73"/>
      <c r="H119" s="73"/>
      <c r="I119" s="116"/>
      <c r="J119" s="116"/>
      <c r="K119" s="116"/>
      <c r="L119" s="116"/>
      <c r="M119" s="116"/>
      <c r="N119" s="116"/>
      <c r="O119" s="116"/>
      <c r="P119" s="116"/>
    </row>
    <row r="120" spans="2:16" x14ac:dyDescent="0.35">
      <c r="B120" s="74"/>
      <c r="C120" s="74"/>
      <c r="D120" s="74"/>
      <c r="E120" s="74"/>
      <c r="F120" s="74"/>
      <c r="G120" s="74"/>
      <c r="H120" s="74"/>
      <c r="I120" s="129"/>
      <c r="J120" s="129"/>
      <c r="K120" s="129"/>
      <c r="L120" s="129"/>
      <c r="M120" s="129"/>
      <c r="N120" s="129"/>
      <c r="O120" s="129"/>
      <c r="P120" s="129"/>
    </row>
  </sheetData>
  <mergeCells count="6">
    <mergeCell ref="B2:C2"/>
    <mergeCell ref="G2:H2"/>
    <mergeCell ref="R2:S2"/>
    <mergeCell ref="U2:V2"/>
    <mergeCell ref="X2:Y2"/>
    <mergeCell ref="AA2:AB2"/>
  </mergeCells>
  <hyperlinks>
    <hyperlink ref="B2:C2" location="'Dashboard'!A1" tooltip="Go to Dashboard" display="🏠 HOME" xr:uid="{DFDB092A-6E7A-4ED7-86BF-DA3F2E66489B}"/>
    <hyperlink ref="E2" location="'General Ledger'!A1" tooltip="Go to General Ledger" display="◀ PREV" xr:uid="{2FB247B5-190F-4E59-A595-6B6D6B39B0F2}"/>
    <hyperlink ref="G2:H2" location="'Income Statement'!A1" tooltip="Go to Income Statement" display="NEXT ▶" xr:uid="{301FC64D-6F16-48E2-9937-D818FE73CF8E}"/>
    <hyperlink ref="J2" location="'Dashboard'!B5" tooltip="Go to Dashboard" display="☰ MENU" xr:uid="{A2371C1E-6844-486D-BE64-8EA2720728DC}"/>
    <hyperlink ref="L2" location="'General Journal'!A1" tooltip="Go to General Journal" display="Journal" xr:uid="{A88B0488-DD9E-405C-A8C2-AF035EE9D58C}"/>
    <hyperlink ref="N2" location="'Trial Balance'!A1" tooltip="You are here" display="Trial Bal." xr:uid="{7AFA95E9-CE4F-415A-B17C-6398160B1E10}"/>
    <hyperlink ref="P2" location="'Income Statement'!A1" tooltip="Go to Income Statement" display="Income St." xr:uid="{13BF2F9D-5C25-4386-8EAD-6354C4406D15}"/>
    <hyperlink ref="R2:S2" location="'Balance Sheet'!A1" tooltip="Go to Balance Sheet" display="Balance Sh." xr:uid="{E85CBE1F-AE14-46C7-B3E9-3DC96125D081}"/>
    <hyperlink ref="U2:V2" location="'Tax Reconciliation'!A1" tooltip="Go to Tax Reconciliation" display="Tax Recon" xr:uid="{B5488253-AA9B-45F6-87B9-889A101C10E2}"/>
    <hyperlink ref="X2:Y2" location="'Bank Reconciliation'!A1" tooltip="Go to Bank Reconciliation" display="Bank Recon" xr:uid="{3B92A840-ECEF-43E1-982B-7CC49803087C}"/>
    <hyperlink ref="AA2:AB2" location="'Controls'!A1" tooltip="Go to Controls" display="Controls" xr:uid="{889F08FA-2DC7-42B2-B8C6-4BB05B83DF7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CF19-5B28-4025-BDFC-376A1856C442}">
  <sheetPr>
    <tabColor rgb="FF22C55E"/>
  </sheetPr>
  <dimension ref="A1:BH31"/>
  <sheetViews>
    <sheetView showGridLines="0" topLeftCell="A21" workbookViewId="0"/>
  </sheetViews>
  <sheetFormatPr defaultRowHeight="14.5" x14ac:dyDescent="0.35"/>
  <cols>
    <col min="1" max="1" width="1.453125" style="1" customWidth="1"/>
    <col min="2" max="2" width="52.7265625" style="1" customWidth="1"/>
    <col min="3" max="3" width="7.26953125" style="7" customWidth="1"/>
    <col min="4" max="4" width="1.81640625" style="1" customWidth="1"/>
    <col min="5" max="6" width="20" style="1" customWidth="1"/>
    <col min="7" max="7" width="1.81640625" style="1" customWidth="1"/>
    <col min="8" max="8" width="23.6328125" style="134" customWidth="1"/>
    <col min="9" max="52" width="8.7265625" style="1"/>
  </cols>
  <sheetData>
    <row r="1" spans="1:60" ht="5" customHeight="1" x14ac:dyDescent="0.35"/>
    <row r="2" spans="1:60" ht="18" customHeight="1" thickBot="1" x14ac:dyDescent="0.4">
      <c r="A2" s="307"/>
      <c r="B2" s="308" t="s">
        <v>7075</v>
      </c>
      <c r="C2" s="320"/>
      <c r="D2" s="310" t="s">
        <v>7076</v>
      </c>
      <c r="E2" s="311"/>
      <c r="F2" s="307"/>
      <c r="G2" s="310" t="s">
        <v>7077</v>
      </c>
      <c r="H2" s="311"/>
      <c r="I2" s="307"/>
      <c r="J2" s="312" t="s">
        <v>7078</v>
      </c>
      <c r="K2" s="313"/>
      <c r="L2" s="307"/>
      <c r="M2" s="314" t="s">
        <v>7079</v>
      </c>
      <c r="N2" s="315"/>
      <c r="O2" s="307"/>
      <c r="P2" s="314" t="s">
        <v>7080</v>
      </c>
      <c r="Q2" s="315"/>
      <c r="R2" s="307"/>
      <c r="S2" s="322" t="s">
        <v>7081</v>
      </c>
      <c r="T2" s="321"/>
      <c r="U2" s="307"/>
      <c r="V2" s="314" t="s">
        <v>7082</v>
      </c>
      <c r="W2" s="315"/>
      <c r="X2" s="307"/>
      <c r="Y2" s="314" t="s">
        <v>7083</v>
      </c>
      <c r="Z2" s="315"/>
      <c r="AA2" s="307"/>
      <c r="AB2" s="314" t="s">
        <v>7084</v>
      </c>
      <c r="AC2" s="315"/>
      <c r="AD2" s="307"/>
      <c r="AE2" s="314" t="s">
        <v>7085</v>
      </c>
      <c r="AF2" s="315"/>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6696</v>
      </c>
      <c r="C4" s="135"/>
      <c r="D4" s="67"/>
      <c r="E4" s="67"/>
      <c r="F4" s="67"/>
      <c r="G4" s="67"/>
      <c r="H4" s="133"/>
    </row>
    <row r="6" spans="1:60" x14ac:dyDescent="0.35">
      <c r="B6" s="132" t="str">
        <f>UPPER(CompanyName)</f>
        <v>PT NUSANTARA SEJAHTERA ABADI</v>
      </c>
    </row>
    <row r="7" spans="1:60" x14ac:dyDescent="0.35">
      <c r="B7" s="2" t="s">
        <v>6696</v>
      </c>
    </row>
    <row r="8" spans="1:60" x14ac:dyDescent="0.35">
      <c r="B8" s="1" t="str">
        <f>PeriodTitle</f>
        <v>For the Period from 1 January to 31 October 2026</v>
      </c>
    </row>
    <row r="9" spans="1:60" x14ac:dyDescent="0.35">
      <c r="B9" s="72" t="s">
        <v>6697</v>
      </c>
    </row>
    <row r="11" spans="1:60" x14ac:dyDescent="0.35">
      <c r="B11" s="68"/>
      <c r="C11" s="122" t="s">
        <v>4968</v>
      </c>
      <c r="D11" s="68"/>
      <c r="E11" s="136" t="str">
        <f>"YTD "&amp;LEFT('Company Info'!C50,3)&amp;" "&amp;FYear</f>
        <v>YTD Oct 2026</v>
      </c>
      <c r="F11" s="136" t="str">
        <f>"% of revenue"</f>
        <v>% of revenue</v>
      </c>
    </row>
    <row r="12" spans="1:60" x14ac:dyDescent="0.35">
      <c r="B12" s="1" t="str">
        <f>IP_RevLabel</f>
        <v>Sales of goods</v>
      </c>
      <c r="C12" s="7">
        <v>15</v>
      </c>
      <c r="E12" s="5">
        <f>-SUMIFS(_xlfn.ANCHORARRAY('Trial Balance'!$N$8),_xlfn.ANCHORARRAY('Trial Balance'!$E$8),$H12)</f>
        <v>11350565000</v>
      </c>
      <c r="F12" s="140">
        <f>IFERROR(E12/$E$12,0)</f>
        <v>1</v>
      </c>
      <c r="H12" s="134" t="s">
        <v>5035</v>
      </c>
    </row>
    <row r="13" spans="1:60" x14ac:dyDescent="0.35">
      <c r="B13" s="1" t="str">
        <f>IP_CostLabel</f>
        <v>Cost of goods sold</v>
      </c>
      <c r="C13" s="7">
        <v>16</v>
      </c>
      <c r="E13" s="5">
        <f>-SUMIFS(_xlfn.ANCHORARRAY('Trial Balance'!$N$8),_xlfn.ANCHORARRAY('Trial Balance'!$E$8),$H13)</f>
        <v>-6832385000</v>
      </c>
      <c r="F13" s="140">
        <f>IFERROR(E13/$E$12,0)</f>
        <v>-0.60194228216833257</v>
      </c>
      <c r="H13" s="134" t="s">
        <v>5037</v>
      </c>
    </row>
    <row r="14" spans="1:60" x14ac:dyDescent="0.35">
      <c r="B14" s="2" t="s">
        <v>6698</v>
      </c>
      <c r="C14" s="15"/>
      <c r="D14" s="2"/>
      <c r="E14" s="13">
        <f>E12+E13</f>
        <v>4518180000</v>
      </c>
      <c r="F14" s="142">
        <f>IFERROR(E14/$E$12,0)</f>
        <v>0.39805771783166743</v>
      </c>
    </row>
    <row r="15" spans="1:60" x14ac:dyDescent="0.35">
      <c r="F15" s="140"/>
    </row>
    <row r="16" spans="1:60" x14ac:dyDescent="0.35">
      <c r="B16" s="1" t="s">
        <v>5039</v>
      </c>
      <c r="C16" s="7">
        <v>17</v>
      </c>
      <c r="E16" s="5">
        <f>-SUMIFS(_xlfn.ANCHORARRAY('Trial Balance'!$N$8),_xlfn.ANCHORARRAY('Trial Balance'!$E$8),$H16)</f>
        <v>-1217342760</v>
      </c>
      <c r="F16" s="140">
        <f>IFERROR(E16/$E$12,0)</f>
        <v>-0.10724952986921796</v>
      </c>
      <c r="H16" s="134" t="s">
        <v>5039</v>
      </c>
    </row>
    <row r="17" spans="2:8" x14ac:dyDescent="0.35">
      <c r="B17" s="1" t="s">
        <v>5045</v>
      </c>
      <c r="C17" s="7">
        <v>18</v>
      </c>
      <c r="E17" s="5">
        <f>-SUMIFS(_xlfn.ANCHORARRAY('Trial Balance'!$N$8),_xlfn.ANCHORARRAY('Trial Balance'!$E$8),$H17)</f>
        <v>-2072483439</v>
      </c>
      <c r="F17" s="140">
        <f>IFERROR(E17/$E$12,0)</f>
        <v>-0.18258857061300474</v>
      </c>
      <c r="H17" s="134" t="s">
        <v>5045</v>
      </c>
    </row>
    <row r="18" spans="2:8" x14ac:dyDescent="0.35">
      <c r="B18" s="2" t="s">
        <v>6699</v>
      </c>
      <c r="C18" s="15"/>
      <c r="D18" s="2"/>
      <c r="E18" s="13">
        <f>E14+E16+E17</f>
        <v>1228353801</v>
      </c>
      <c r="F18" s="142">
        <f>IFERROR(E18/$E$12,0)</f>
        <v>0.10821961734944471</v>
      </c>
    </row>
    <row r="19" spans="2:8" x14ac:dyDescent="0.35">
      <c r="F19" s="140"/>
    </row>
    <row r="20" spans="2:8" x14ac:dyDescent="0.35">
      <c r="B20" s="1" t="s">
        <v>5058</v>
      </c>
      <c r="C20" s="7">
        <v>19</v>
      </c>
      <c r="E20" s="5">
        <f>-SUMIFS(_xlfn.ANCHORARRAY('Trial Balance'!$N$8),_xlfn.ANCHORARRAY('Trial Balance'!$E$8),$H20)</f>
        <v>21647064</v>
      </c>
      <c r="F20" s="140">
        <f>IFERROR(E20/$E$12,0)</f>
        <v>1.9071353716753306E-3</v>
      </c>
      <c r="H20" s="134" t="s">
        <v>5058</v>
      </c>
    </row>
    <row r="21" spans="2:8" x14ac:dyDescent="0.35">
      <c r="B21" s="1" t="s">
        <v>5061</v>
      </c>
      <c r="C21" s="7">
        <v>19</v>
      </c>
      <c r="E21" s="5">
        <f>-SUMIFS(_xlfn.ANCHORARRAY('Trial Balance'!$N$8),_xlfn.ANCHORARRAY('Trial Balance'!$E$8),$H21)</f>
        <v>-119062500</v>
      </c>
      <c r="F21" s="140">
        <f>IFERROR(E21/$E$12,0)</f>
        <v>-1.0489565937907055E-2</v>
      </c>
      <c r="H21" s="134" t="s">
        <v>5061</v>
      </c>
    </row>
    <row r="22" spans="2:8" x14ac:dyDescent="0.35">
      <c r="B22" s="1" t="s">
        <v>6700</v>
      </c>
      <c r="C22" s="7">
        <v>19</v>
      </c>
      <c r="E22" s="5">
        <f>-SUMIFS(_xlfn.ANCHORARRAY('Trial Balance'!$N$8),_xlfn.ANCHORARRAY('Trial Balance'!$E$8),$H22)</f>
        <v>-6745917</v>
      </c>
      <c r="F22" s="140">
        <f>IFERROR(E22/$E$12,0)</f>
        <v>-5.9432433539651993E-4</v>
      </c>
      <c r="H22" s="134" t="s">
        <v>5063</v>
      </c>
    </row>
    <row r="23" spans="2:8" x14ac:dyDescent="0.35">
      <c r="B23" s="2" t="s">
        <v>6701</v>
      </c>
      <c r="C23" s="15"/>
      <c r="D23" s="2"/>
      <c r="E23" s="13">
        <f>E18+E20+E21+E22</f>
        <v>1124192448</v>
      </c>
      <c r="F23" s="142">
        <f>IFERROR(E23/$E$12,0)</f>
        <v>9.9042862447816474E-2</v>
      </c>
    </row>
    <row r="24" spans="2:8" x14ac:dyDescent="0.35">
      <c r="B24" s="1" t="s">
        <v>6702</v>
      </c>
      <c r="C24" s="7">
        <v>7</v>
      </c>
      <c r="E24" s="5">
        <f>-SUMIFS(_xlfn.ANCHORARRAY('Trial Balance'!$N$8),_xlfn.ANCHORARRAY('Trial Balance'!$E$8),$H24)</f>
        <v>-201469208</v>
      </c>
      <c r="F24" s="140">
        <f>IFERROR(E24/$E$12,0)</f>
        <v>-1.7749707437471174E-2</v>
      </c>
      <c r="H24" s="134" t="s">
        <v>5065</v>
      </c>
    </row>
    <row r="25" spans="2:8" ht="15" thickBot="1" x14ac:dyDescent="0.4">
      <c r="B25" s="123" t="s">
        <v>6703</v>
      </c>
      <c r="C25" s="137"/>
      <c r="D25" s="123"/>
      <c r="E25" s="138">
        <f>E23+E24</f>
        <v>922723240</v>
      </c>
      <c r="F25" s="143">
        <f>IFERROR(E25/$E$12,0)</f>
        <v>8.12931550103453E-2</v>
      </c>
    </row>
    <row r="26" spans="2:8" ht="15" thickTop="1" x14ac:dyDescent="0.35">
      <c r="F26" s="140"/>
    </row>
    <row r="27" spans="2:8" x14ac:dyDescent="0.35">
      <c r="B27" s="75" t="s">
        <v>6704</v>
      </c>
      <c r="E27" s="5"/>
      <c r="F27" s="140"/>
    </row>
    <row r="28" spans="2:8" x14ac:dyDescent="0.35">
      <c r="B28" s="139" t="s">
        <v>6705</v>
      </c>
      <c r="C28" s="7">
        <v>13</v>
      </c>
      <c r="E28" s="5">
        <f>0</f>
        <v>0</v>
      </c>
      <c r="F28" s="140"/>
    </row>
    <row r="29" spans="2:8" ht="15" thickBot="1" x14ac:dyDescent="0.4">
      <c r="B29" s="123" t="s">
        <v>6706</v>
      </c>
      <c r="C29" s="137"/>
      <c r="D29" s="123"/>
      <c r="E29" s="138">
        <f>E25+E28</f>
        <v>922723240</v>
      </c>
      <c r="F29" s="143">
        <f>IFERROR(E29/$E$12,0)</f>
        <v>8.12931550103453E-2</v>
      </c>
    </row>
    <row r="30" spans="2:8" ht="15" thickTop="1" x14ac:dyDescent="0.35"/>
    <row r="31" spans="2:8" x14ac:dyDescent="0.35">
      <c r="B31" s="1" t="s">
        <v>6707</v>
      </c>
      <c r="E31" s="141">
        <f>ROUND(E25/'Company Info'!C20,2)</f>
        <v>369.09</v>
      </c>
      <c r="F31" s="5"/>
    </row>
  </sheetData>
  <mergeCells count="10">
    <mergeCell ref="V2:W2"/>
    <mergeCell ref="Y2:Z2"/>
    <mergeCell ref="AB2:AC2"/>
    <mergeCell ref="AE2:AF2"/>
    <mergeCell ref="D2:E2"/>
    <mergeCell ref="G2:H2"/>
    <mergeCell ref="J2:K2"/>
    <mergeCell ref="M2:N2"/>
    <mergeCell ref="P2:Q2"/>
    <mergeCell ref="S2:T2"/>
  </mergeCells>
  <hyperlinks>
    <hyperlink ref="B2" location="'Dashboard'!A1" tooltip="Go to Dashboard" display="🏠 HOME" xr:uid="{996E1C67-76AC-44AC-B9D0-0B99E5FE5FC8}"/>
    <hyperlink ref="D2:E2" location="'Trial Balance'!A1" tooltip="Go to Trial Balance" display="◀ PREV" xr:uid="{07D6213A-D3D3-458B-B869-7CBE956A7CCF}"/>
    <hyperlink ref="G2:H2" location="'Balance Sheet'!A1" tooltip="Go to Balance Sheet" display="NEXT ▶" xr:uid="{ABE1EC06-A57D-43AE-97F7-CAADDBF0365D}"/>
    <hyperlink ref="J2:K2" location="'Dashboard'!B5" tooltip="Go to Dashboard" display="☰ MENU" xr:uid="{A19522E4-DC5E-4162-A76A-E112CC672482}"/>
    <hyperlink ref="M2:N2" location="'General Journal'!A1" tooltip="Go to General Journal" display="Journal" xr:uid="{D3118DC6-1B8C-4524-BBAE-1A68F7F64EF2}"/>
    <hyperlink ref="P2:Q2" location="'Trial Balance'!A1" tooltip="Go to Trial Balance" display="Trial Bal." xr:uid="{398B4721-8975-4A47-A9A7-5EE9E56F340E}"/>
    <hyperlink ref="S2:T2" location="'Income Statement'!A1" tooltip="You are here" display="Income St." xr:uid="{10D1A146-FECF-41EA-B7AA-9387BD0BCCC3}"/>
    <hyperlink ref="V2:W2" location="'Balance Sheet'!A1" tooltip="Go to Balance Sheet" display="Balance Sh." xr:uid="{F2E602F8-BD25-4A68-90A0-FBA7DF72D9A2}"/>
    <hyperlink ref="Y2:Z2" location="'Tax Reconciliation'!A1" tooltip="Go to Tax Reconciliation" display="Tax Recon" xr:uid="{A9A7A85E-C15E-47DF-9980-C1A97DF9A60E}"/>
    <hyperlink ref="AB2:AC2" location="'Bank Reconciliation'!A1" tooltip="Go to Bank Reconciliation" display="Bank Recon" xr:uid="{D9B2EAC2-D1E0-40F0-ACDF-A8D72DCEEEE0}"/>
    <hyperlink ref="AE2:AF2" location="'Controls'!A1" tooltip="Go to Controls" display="Controls" xr:uid="{CFB3815A-BADE-41FD-AC7F-C8BE71952B39}"/>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1DFA-9E65-4CAE-A16D-37B91E4A9DD6}">
  <sheetPr>
    <tabColor rgb="FF22C55E"/>
  </sheetPr>
  <dimension ref="A1:BH51"/>
  <sheetViews>
    <sheetView showGridLines="0" workbookViewId="0">
      <selection activeCell="E28" sqref="E28"/>
    </sheetView>
  </sheetViews>
  <sheetFormatPr defaultRowHeight="14.5" x14ac:dyDescent="0.35"/>
  <cols>
    <col min="1" max="1" width="1.453125" style="1" customWidth="1"/>
    <col min="2" max="2" width="52.7265625" style="1" customWidth="1"/>
    <col min="3" max="3" width="7.26953125" style="7" customWidth="1"/>
    <col min="4" max="4" width="1.81640625" style="1" customWidth="1"/>
    <col min="5" max="6" width="20" style="1" customWidth="1"/>
    <col min="7" max="7" width="1.81640625" style="1" customWidth="1"/>
    <col min="8" max="8" width="23.6328125" style="134" customWidth="1"/>
    <col min="9" max="52" width="8.7265625" style="1"/>
  </cols>
  <sheetData>
    <row r="1" spans="1:60" ht="5" customHeight="1" x14ac:dyDescent="0.35"/>
    <row r="2" spans="1:60" ht="18" customHeight="1" thickBot="1" x14ac:dyDescent="0.4">
      <c r="A2" s="307"/>
      <c r="B2" s="308" t="s">
        <v>7075</v>
      </c>
      <c r="C2" s="320"/>
      <c r="D2" s="310" t="s">
        <v>7076</v>
      </c>
      <c r="E2" s="311"/>
      <c r="F2" s="307"/>
      <c r="G2" s="310" t="s">
        <v>7077</v>
      </c>
      <c r="H2" s="311"/>
      <c r="I2" s="307"/>
      <c r="J2" s="312" t="s">
        <v>7078</v>
      </c>
      <c r="K2" s="313"/>
      <c r="L2" s="307"/>
      <c r="M2" s="314" t="s">
        <v>7079</v>
      </c>
      <c r="N2" s="315"/>
      <c r="O2" s="307"/>
      <c r="P2" s="314" t="s">
        <v>7080</v>
      </c>
      <c r="Q2" s="315"/>
      <c r="R2" s="307"/>
      <c r="S2" s="314" t="s">
        <v>7081</v>
      </c>
      <c r="T2" s="315"/>
      <c r="U2" s="307"/>
      <c r="V2" s="322" t="s">
        <v>7082</v>
      </c>
      <c r="W2" s="321"/>
      <c r="X2" s="307"/>
      <c r="Y2" s="314" t="s">
        <v>7083</v>
      </c>
      <c r="Z2" s="315"/>
      <c r="AA2" s="307"/>
      <c r="AB2" s="314" t="s">
        <v>7084</v>
      </c>
      <c r="AC2" s="315"/>
      <c r="AD2" s="307"/>
      <c r="AE2" s="314" t="s">
        <v>7085</v>
      </c>
      <c r="AF2" s="315"/>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6708</v>
      </c>
      <c r="C4" s="135"/>
      <c r="D4" s="67"/>
      <c r="E4" s="67"/>
      <c r="F4" s="67"/>
      <c r="G4" s="67"/>
      <c r="H4" s="133"/>
    </row>
    <row r="6" spans="1:60" x14ac:dyDescent="0.35">
      <c r="B6" s="132" t="str">
        <f>UPPER(CompanyName)</f>
        <v>PT NUSANTARA SEJAHTERA ABADI</v>
      </c>
    </row>
    <row r="7" spans="1:60" x14ac:dyDescent="0.35">
      <c r="B7" s="2" t="s">
        <v>6708</v>
      </c>
    </row>
    <row r="8" spans="1:60" x14ac:dyDescent="0.35">
      <c r="B8" s="1" t="str">
        <f>"As at "&amp;CurLabel&amp;" and "&amp;CompLabel</f>
        <v>As at 31 October 2026 and 31 December 2025</v>
      </c>
    </row>
    <row r="9" spans="1:60" x14ac:dyDescent="0.35">
      <c r="B9" s="72" t="s">
        <v>6697</v>
      </c>
    </row>
    <row r="11" spans="1:60" x14ac:dyDescent="0.35">
      <c r="B11" s="68"/>
      <c r="C11" s="122" t="s">
        <v>4968</v>
      </c>
      <c r="D11" s="68"/>
      <c r="E11" s="136" t="str">
        <f>CurLabel</f>
        <v>31 October 2026</v>
      </c>
      <c r="F11" s="136" t="str">
        <f>CompLabel</f>
        <v>31 December 2025</v>
      </c>
    </row>
    <row r="12" spans="1:60" x14ac:dyDescent="0.35">
      <c r="B12" s="75" t="s">
        <v>6709</v>
      </c>
      <c r="E12" s="5"/>
      <c r="F12" s="5"/>
    </row>
    <row r="13" spans="1:60" x14ac:dyDescent="0.35">
      <c r="B13" s="75" t="s">
        <v>6710</v>
      </c>
      <c r="E13" s="5"/>
      <c r="F13" s="5"/>
    </row>
    <row r="14" spans="1:60" x14ac:dyDescent="0.35">
      <c r="B14" s="139" t="s">
        <v>4972</v>
      </c>
      <c r="C14" s="7">
        <v>3</v>
      </c>
      <c r="E14" s="5">
        <f>SUMIFS(_xlfn.ANCHORARRAY('Trial Balance'!$N$8),_xlfn.ANCHORARRAY('Trial Balance'!$E$8),$H14)</f>
        <v>1563245568</v>
      </c>
      <c r="F14" s="5">
        <f>SUMIFS(_xlfn.ANCHORARRAY('Trial Balance'!$M$8),_xlfn.ANCHORARRAY('Trial Balance'!$E$8),$H14)</f>
        <v>2225000000</v>
      </c>
      <c r="H14" s="134" t="s">
        <v>4972</v>
      </c>
    </row>
    <row r="15" spans="1:60" x14ac:dyDescent="0.35">
      <c r="B15" s="139" t="s">
        <v>4977</v>
      </c>
      <c r="C15" s="7">
        <v>4</v>
      </c>
      <c r="E15" s="5">
        <f>SUMIFS(_xlfn.ANCHORARRAY('Trial Balance'!$N$8),_xlfn.ANCHORARRAY('Trial Balance'!$E$8),$H15)</f>
        <v>1037341600</v>
      </c>
      <c r="F15" s="5">
        <f>SUMIFS(_xlfn.ANCHORARRAY('Trial Balance'!$M$8),_xlfn.ANCHORARRAY('Trial Balance'!$E$8),$H15)</f>
        <v>400000000</v>
      </c>
      <c r="H15" s="134" t="s">
        <v>4977</v>
      </c>
    </row>
    <row r="16" spans="1:60" x14ac:dyDescent="0.35">
      <c r="B16" s="139" t="s">
        <v>4982</v>
      </c>
      <c r="C16" s="7">
        <v>4</v>
      </c>
      <c r="E16" s="5">
        <f>SUMIFS(_xlfn.ANCHORARRAY('Trial Balance'!$N$8),_xlfn.ANCHORARRAY('Trial Balance'!$E$8),$H16)</f>
        <v>25000000</v>
      </c>
      <c r="F16" s="5">
        <f>SUMIFS(_xlfn.ANCHORARRAY('Trial Balance'!$M$8),_xlfn.ANCHORARRAY('Trial Balance'!$E$8),$H16)</f>
        <v>25000000</v>
      </c>
      <c r="H16" s="134" t="s">
        <v>4982</v>
      </c>
    </row>
    <row r="17" spans="2:8" x14ac:dyDescent="0.35">
      <c r="B17" s="139" t="str">
        <f>"Inventories – "&amp;LOWER(IP_InvLabel)</f>
        <v>Inventories – merchandise inventory</v>
      </c>
      <c r="C17" s="7">
        <v>5</v>
      </c>
      <c r="E17" s="5">
        <f>SUMIFS(_xlfn.ANCHORARRAY('Trial Balance'!$N$8),_xlfn.ANCHORARRAY('Trial Balance'!$E$8),$H17)</f>
        <v>981559000</v>
      </c>
      <c r="F17" s="5">
        <f>SUMIFS(_xlfn.ANCHORARRAY('Trial Balance'!$M$8),_xlfn.ANCHORARRAY('Trial Balance'!$E$8),$H17)</f>
        <v>950000000</v>
      </c>
      <c r="H17" s="134" t="s">
        <v>4983</v>
      </c>
    </row>
    <row r="18" spans="2:8" x14ac:dyDescent="0.35">
      <c r="B18" s="139" t="s">
        <v>4985</v>
      </c>
      <c r="C18" s="7">
        <v>6</v>
      </c>
      <c r="E18" s="5">
        <f>SUMIFS(_xlfn.ANCHORARRAY('Trial Balance'!$N$8),_xlfn.ANCHORARRAY('Trial Balance'!$E$8),$H18)</f>
        <v>87000000</v>
      </c>
      <c r="F18" s="5">
        <f>SUMIFS(_xlfn.ANCHORARRAY('Trial Balance'!$M$8),_xlfn.ANCHORARRAY('Trial Balance'!$E$8),$H18)</f>
        <v>172000000</v>
      </c>
      <c r="H18" s="134" t="s">
        <v>4985</v>
      </c>
    </row>
    <row r="19" spans="2:8" x14ac:dyDescent="0.35">
      <c r="B19" s="139" t="s">
        <v>4989</v>
      </c>
      <c r="C19" s="7">
        <v>7</v>
      </c>
      <c r="E19" s="5">
        <f>SUMIFS(_xlfn.ANCHORARRAY('Trial Balance'!$N$8),_xlfn.ANCHORARRAY('Trial Balance'!$E$8),$H19)</f>
        <v>200000000</v>
      </c>
      <c r="F19" s="5">
        <f>SUMIFS(_xlfn.ANCHORARRAY('Trial Balance'!$M$8),_xlfn.ANCHORARRAY('Trial Balance'!$E$8),$H19)</f>
        <v>0</v>
      </c>
      <c r="H19" s="134" t="s">
        <v>4989</v>
      </c>
    </row>
    <row r="20" spans="2:8" x14ac:dyDescent="0.35">
      <c r="B20" s="2" t="s">
        <v>6711</v>
      </c>
      <c r="C20" s="15"/>
      <c r="D20" s="2"/>
      <c r="E20" s="13">
        <f>SUM(E14:E19)</f>
        <v>3894146168</v>
      </c>
      <c r="F20" s="13">
        <f>SUM(F14:F19)</f>
        <v>3772000000</v>
      </c>
    </row>
    <row r="22" spans="2:8" x14ac:dyDescent="0.35">
      <c r="B22" s="75" t="s">
        <v>6712</v>
      </c>
      <c r="E22" s="5"/>
      <c r="F22" s="5"/>
    </row>
    <row r="23" spans="2:8" x14ac:dyDescent="0.35">
      <c r="B23" s="139" t="s">
        <v>4991</v>
      </c>
      <c r="C23" s="7">
        <v>8</v>
      </c>
      <c r="E23" s="5">
        <f>SUMIFS(_xlfn.ANCHORARRAY('Trial Balance'!$N$8),_xlfn.ANCHORARRAY('Trial Balance'!$E$8),$H23)</f>
        <v>3178895835</v>
      </c>
      <c r="F23" s="5">
        <f>SUMIFS(_xlfn.ANCHORARRAY('Trial Balance'!$M$8),_xlfn.ANCHORARRAY('Trial Balance'!$E$8),$H23)</f>
        <v>2966395834</v>
      </c>
      <c r="H23" s="134" t="s">
        <v>4991</v>
      </c>
    </row>
    <row r="24" spans="2:8" x14ac:dyDescent="0.35">
      <c r="B24" s="139" t="s">
        <v>4999</v>
      </c>
      <c r="C24" s="7">
        <v>9</v>
      </c>
      <c r="E24" s="5">
        <f>SUMIFS(_xlfn.ANCHORARRAY('Trial Balance'!$N$8),_xlfn.ANCHORARRAY('Trial Balance'!$E$8),$H24)</f>
        <v>61250000</v>
      </c>
      <c r="F24" s="5">
        <f>SUMIFS(_xlfn.ANCHORARRAY('Trial Balance'!$M$8),_xlfn.ANCHORARRAY('Trial Balance'!$E$8),$H24)</f>
        <v>45000000</v>
      </c>
      <c r="H24" s="134" t="s">
        <v>4999</v>
      </c>
    </row>
    <row r="25" spans="2:8" x14ac:dyDescent="0.35">
      <c r="B25" s="2" t="s">
        <v>6713</v>
      </c>
      <c r="C25" s="15"/>
      <c r="D25" s="2"/>
      <c r="E25" s="13">
        <f>SUM(E23:E24)</f>
        <v>3240145835</v>
      </c>
      <c r="F25" s="13">
        <f>SUM(F23:F24)</f>
        <v>3011395834</v>
      </c>
    </row>
    <row r="26" spans="2:8" ht="15" thickBot="1" x14ac:dyDescent="0.4">
      <c r="B26" s="123" t="s">
        <v>6714</v>
      </c>
      <c r="C26" s="137"/>
      <c r="D26" s="123"/>
      <c r="E26" s="138">
        <f>E20+E25</f>
        <v>7134292003</v>
      </c>
      <c r="F26" s="138">
        <f>F20+F25</f>
        <v>6783395834</v>
      </c>
    </row>
    <row r="27" spans="2:8" ht="15" thickTop="1" x14ac:dyDescent="0.35"/>
    <row r="28" spans="2:8" x14ac:dyDescent="0.35">
      <c r="B28" s="75" t="s">
        <v>6715</v>
      </c>
      <c r="E28" s="5"/>
      <c r="F28" s="5"/>
    </row>
    <row r="29" spans="2:8" x14ac:dyDescent="0.35">
      <c r="B29" s="75" t="s">
        <v>6716</v>
      </c>
      <c r="E29" s="5"/>
      <c r="F29" s="5"/>
    </row>
    <row r="30" spans="2:8" x14ac:dyDescent="0.35">
      <c r="B30" s="139" t="s">
        <v>5004</v>
      </c>
      <c r="C30" s="7">
        <v>10</v>
      </c>
      <c r="E30" s="5">
        <f>-SUMIFS(_xlfn.ANCHORARRAY('Trial Balance'!$N$8),_xlfn.ANCHORARRAY('Trial Balance'!$E$8),$H30)</f>
        <v>801450040</v>
      </c>
      <c r="F30" s="5">
        <f>-SUMIFS(_xlfn.ANCHORARRAY('Trial Balance'!$M$8),_xlfn.ANCHORARRAY('Trial Balance'!$E$8),$H30)</f>
        <v>620000000</v>
      </c>
      <c r="H30" s="134" t="s">
        <v>5004</v>
      </c>
    </row>
    <row r="31" spans="2:8" x14ac:dyDescent="0.35">
      <c r="B31" s="139" t="s">
        <v>5006</v>
      </c>
      <c r="C31" s="7">
        <v>11</v>
      </c>
      <c r="E31" s="5">
        <f>-SUMIFS(_xlfn.ANCHORARRAY('Trial Balance'!$N$8),_xlfn.ANCHORARRAY('Trial Balance'!$E$8),$H31)</f>
        <v>35000000</v>
      </c>
      <c r="F31" s="5">
        <f>-SUMIFS(_xlfn.ANCHORARRAY('Trial Balance'!$M$8),_xlfn.ANCHORARRAY('Trial Balance'!$E$8),$H31)</f>
        <v>35000000</v>
      </c>
      <c r="H31" s="134" t="s">
        <v>5006</v>
      </c>
    </row>
    <row r="32" spans="2:8" x14ac:dyDescent="0.35">
      <c r="B32" s="139" t="s">
        <v>5009</v>
      </c>
      <c r="C32" s="7">
        <v>11</v>
      </c>
      <c r="E32" s="5">
        <f>-SUMIFS(_xlfn.ANCHORARRAY('Trial Balance'!$N$8),_xlfn.ANCHORARRAY('Trial Balance'!$E$8),$H32)</f>
        <v>22077790</v>
      </c>
      <c r="F32" s="5">
        <f>-SUMIFS(_xlfn.ANCHORARRAY('Trial Balance'!$M$8),_xlfn.ANCHORARRAY('Trial Balance'!$E$8),$H32)</f>
        <v>63000000</v>
      </c>
      <c r="H32" s="134" t="s">
        <v>5009</v>
      </c>
    </row>
    <row r="33" spans="2:8" x14ac:dyDescent="0.35">
      <c r="B33" s="139" t="s">
        <v>5011</v>
      </c>
      <c r="C33" s="7">
        <v>11</v>
      </c>
      <c r="E33" s="5">
        <f>-SUMIFS(_xlfn.ANCHORARRAY('Trial Balance'!$N$8),_xlfn.ANCHORARRAY('Trial Balance'!$E$8),$H33)</f>
        <v>40000000</v>
      </c>
      <c r="F33" s="5">
        <f>-SUMIFS(_xlfn.ANCHORARRAY('Trial Balance'!$M$8),_xlfn.ANCHORARRAY('Trial Balance'!$E$8),$H33)</f>
        <v>40000000</v>
      </c>
      <c r="H33" s="134" t="s">
        <v>5011</v>
      </c>
    </row>
    <row r="34" spans="2:8" x14ac:dyDescent="0.35">
      <c r="B34" s="139" t="s">
        <v>5014</v>
      </c>
      <c r="C34" s="7">
        <v>7</v>
      </c>
      <c r="E34" s="5">
        <f>-SUMIFS(_xlfn.ANCHORARRAY('Trial Balance'!$N$8),_xlfn.ANCHORARRAY('Trial Balance'!$E$8),$H34)</f>
        <v>273145099</v>
      </c>
      <c r="F34" s="5">
        <f>-SUMIFS(_xlfn.ANCHORARRAY('Trial Balance'!$M$8),_xlfn.ANCHORARRAY('Trial Balance'!$E$8),$H34)</f>
        <v>165500000</v>
      </c>
      <c r="H34" s="134" t="s">
        <v>5014</v>
      </c>
    </row>
    <row r="35" spans="2:8" x14ac:dyDescent="0.35">
      <c r="B35" s="139" t="s">
        <v>5020</v>
      </c>
      <c r="C35" s="7">
        <v>12</v>
      </c>
      <c r="E35" s="5">
        <f>-SUMIFS(_xlfn.ANCHORARRAY('Trial Balance'!$N$8),_xlfn.ANCHORARRAY('Trial Balance'!$E$8),$H35)</f>
        <v>0</v>
      </c>
      <c r="F35" s="5">
        <f>-SUMIFS(_xlfn.ANCHORARRAY('Trial Balance'!$M$8),_xlfn.ANCHORARRAY('Trial Balance'!$E$8),$H35)</f>
        <v>300000000</v>
      </c>
      <c r="H35" s="134" t="s">
        <v>5020</v>
      </c>
    </row>
    <row r="36" spans="2:8" x14ac:dyDescent="0.35">
      <c r="B36" s="2" t="s">
        <v>6717</v>
      </c>
      <c r="C36" s="15"/>
      <c r="D36" s="2"/>
      <c r="E36" s="13">
        <f>SUM(E30:E35)</f>
        <v>1171672929</v>
      </c>
      <c r="F36" s="13">
        <f>SUM(F30:F35)</f>
        <v>1223500000</v>
      </c>
    </row>
    <row r="38" spans="2:8" x14ac:dyDescent="0.35">
      <c r="B38" s="75" t="s">
        <v>6718</v>
      </c>
      <c r="E38" s="5"/>
      <c r="F38" s="5"/>
    </row>
    <row r="39" spans="2:8" x14ac:dyDescent="0.35">
      <c r="B39" s="139" t="s">
        <v>5023</v>
      </c>
      <c r="C39" s="7">
        <v>12</v>
      </c>
      <c r="E39" s="5">
        <f>-SUMIFS(_xlfn.ANCHORARRAY('Trial Balance'!$N$8),_xlfn.ANCHORARRAY('Trial Balance'!$E$8),$H39)</f>
        <v>1250000000</v>
      </c>
      <c r="F39" s="5">
        <f>-SUMIFS(_xlfn.ANCHORARRAY('Trial Balance'!$M$8),_xlfn.ANCHORARRAY('Trial Balance'!$E$8),$H39)</f>
        <v>1500000000</v>
      </c>
      <c r="H39" s="134" t="s">
        <v>5023</v>
      </c>
    </row>
    <row r="40" spans="2:8" x14ac:dyDescent="0.35">
      <c r="B40" s="139" t="s">
        <v>5025</v>
      </c>
      <c r="C40" s="7">
        <v>13</v>
      </c>
      <c r="E40" s="5">
        <f>-SUMIFS(_xlfn.ANCHORARRAY('Trial Balance'!$N$8),_xlfn.ANCHORARRAY('Trial Balance'!$E$8),$H40)</f>
        <v>240000000</v>
      </c>
      <c r="F40" s="5">
        <f>-SUMIFS(_xlfn.ANCHORARRAY('Trial Balance'!$M$8),_xlfn.ANCHORARRAY('Trial Balance'!$E$8),$H40)</f>
        <v>210000000</v>
      </c>
      <c r="H40" s="134" t="s">
        <v>5025</v>
      </c>
    </row>
    <row r="41" spans="2:8" x14ac:dyDescent="0.35">
      <c r="B41" s="2" t="s">
        <v>6719</v>
      </c>
      <c r="C41" s="15"/>
      <c r="D41" s="2"/>
      <c r="E41" s="13">
        <f>SUM(E39:E40)</f>
        <v>1490000000</v>
      </c>
      <c r="F41" s="13">
        <f>SUM(F39:F40)</f>
        <v>1710000000</v>
      </c>
    </row>
    <row r="42" spans="2:8" x14ac:dyDescent="0.35">
      <c r="B42" s="2" t="s">
        <v>6720</v>
      </c>
      <c r="C42" s="15"/>
      <c r="D42" s="2"/>
      <c r="E42" s="13">
        <f>E36+E41</f>
        <v>2661672929</v>
      </c>
      <c r="F42" s="13">
        <f>F36+F41</f>
        <v>2933500000</v>
      </c>
    </row>
    <row r="44" spans="2:8" x14ac:dyDescent="0.35">
      <c r="B44" s="75" t="s">
        <v>5028</v>
      </c>
      <c r="E44" s="5"/>
      <c r="F44" s="5"/>
    </row>
    <row r="45" spans="2:8" x14ac:dyDescent="0.35">
      <c r="B45" s="139" t="s">
        <v>5029</v>
      </c>
      <c r="C45" s="7">
        <v>14</v>
      </c>
      <c r="E45" s="5">
        <f>-SUMIFS(_xlfn.ANCHORARRAY('Trial Balance'!$N$8),_xlfn.ANCHORARRAY('Trial Balance'!$E$8),$H45)</f>
        <v>2500000000</v>
      </c>
      <c r="F45" s="5">
        <f>-SUMIFS(_xlfn.ANCHORARRAY('Trial Balance'!$M$8),_xlfn.ANCHORARRAY('Trial Balance'!$E$8),$H45)</f>
        <v>2500000000</v>
      </c>
      <c r="H45" s="134" t="s">
        <v>5029</v>
      </c>
    </row>
    <row r="46" spans="2:8" x14ac:dyDescent="0.35">
      <c r="B46" s="139" t="s">
        <v>5031</v>
      </c>
      <c r="C46" s="7">
        <v>14</v>
      </c>
      <c r="E46" s="5">
        <f>-SUMIFS(_xlfn.ANCHORARRAY('Trial Balance'!$N$8),_xlfn.ANCHORARRAY('Trial Balance'!$E$8),$H46)</f>
        <v>300000000</v>
      </c>
      <c r="F46" s="5">
        <f>-SUMIFS(_xlfn.ANCHORARRAY('Trial Balance'!$M$8),_xlfn.ANCHORARRAY('Trial Balance'!$E$8),$H46)</f>
        <v>300000000</v>
      </c>
      <c r="H46" s="134" t="s">
        <v>5031</v>
      </c>
    </row>
    <row r="47" spans="2:8" x14ac:dyDescent="0.35">
      <c r="B47" s="139" t="s">
        <v>5033</v>
      </c>
      <c r="C47" s="7">
        <v>14</v>
      </c>
      <c r="E47" s="5">
        <f>-SUMIFS(_xlfn.ANCHORARRAY('Trial Balance'!$N$8),_xlfn.ANCHORARRAY('Trial Balance'!$E$8),$H47)+NetIncome</f>
        <v>1672619074</v>
      </c>
      <c r="F47" s="5">
        <f>-SUMIFS(_xlfn.ANCHORARRAY('Trial Balance'!$M$8),_xlfn.ANCHORARRAY('Trial Balance'!$E$8),$H47)</f>
        <v>1049895834</v>
      </c>
      <c r="H47" s="134" t="s">
        <v>5033</v>
      </c>
    </row>
    <row r="48" spans="2:8" x14ac:dyDescent="0.35">
      <c r="B48" s="2" t="s">
        <v>6721</v>
      </c>
      <c r="C48" s="15"/>
      <c r="D48" s="2"/>
      <c r="E48" s="13">
        <f>SUM(E45:E47)</f>
        <v>4472619074</v>
      </c>
      <c r="F48" s="13">
        <f>SUM(F45:F47)</f>
        <v>3849895834</v>
      </c>
    </row>
    <row r="49" spans="2:6" ht="15" thickBot="1" x14ac:dyDescent="0.4">
      <c r="B49" s="123" t="s">
        <v>6722</v>
      </c>
      <c r="C49" s="137"/>
      <c r="D49" s="123"/>
      <c r="E49" s="138">
        <f>E42+E48</f>
        <v>7134292003</v>
      </c>
      <c r="F49" s="138">
        <f>F42+F48</f>
        <v>6783395834</v>
      </c>
    </row>
    <row r="50" spans="2:6" ht="15" thickTop="1" x14ac:dyDescent="0.35"/>
    <row r="51" spans="2:6" x14ac:dyDescent="0.35">
      <c r="B51" s="72" t="s">
        <v>6723</v>
      </c>
      <c r="C51" s="144"/>
      <c r="D51" s="72"/>
      <c r="E51" s="145">
        <f>ROUND(E26-E49,0)</f>
        <v>0</v>
      </c>
      <c r="F51" s="145">
        <f>ROUND(F26-F49,0)</f>
        <v>0</v>
      </c>
    </row>
  </sheetData>
  <mergeCells count="10">
    <mergeCell ref="V2:W2"/>
    <mergeCell ref="Y2:Z2"/>
    <mergeCell ref="AB2:AC2"/>
    <mergeCell ref="AE2:AF2"/>
    <mergeCell ref="D2:E2"/>
    <mergeCell ref="G2:H2"/>
    <mergeCell ref="J2:K2"/>
    <mergeCell ref="M2:N2"/>
    <mergeCell ref="P2:Q2"/>
    <mergeCell ref="S2:T2"/>
  </mergeCells>
  <hyperlinks>
    <hyperlink ref="B2" location="'Dashboard'!A1" tooltip="Go to Dashboard" display="🏠 HOME" xr:uid="{F240699A-A047-4BD8-9125-F34C870AFD13}"/>
    <hyperlink ref="D2:E2" location="'Income Statement'!A1" tooltip="Go to Income Statement" display="◀ PREV" xr:uid="{EEE45367-2E35-4C39-86EE-C0F346116A80}"/>
    <hyperlink ref="G2:H2" location="'Changes in Equity'!A1" tooltip="Go to Changes in Equity" display="NEXT ▶" xr:uid="{E0D836CF-EB3D-4BE8-842D-EFDC9BDB345B}"/>
    <hyperlink ref="J2:K2" location="'Dashboard'!B5" tooltip="Go to Dashboard" display="☰ MENU" xr:uid="{7019AAC3-A75A-4DDB-987B-7EC7A77FC914}"/>
    <hyperlink ref="M2:N2" location="'General Journal'!A1" tooltip="Go to General Journal" display="Journal" xr:uid="{9FC3EBF2-4B90-46BF-A63B-2878CEA7158E}"/>
    <hyperlink ref="P2:Q2" location="'Trial Balance'!A1" tooltip="Go to Trial Balance" display="Trial Bal." xr:uid="{9C74DC0C-F02A-4DC0-A87A-10619AB414D3}"/>
    <hyperlink ref="S2:T2" location="'Income Statement'!A1" tooltip="Go to Income Statement" display="Income St." xr:uid="{9217C4E1-AAA5-4786-A65F-BE084B5BB757}"/>
    <hyperlink ref="V2:W2" location="'Balance Sheet'!A1" tooltip="You are here" display="Balance Sh." xr:uid="{E1F65F16-1D5E-4669-A4C9-0D453B9DFCBF}"/>
    <hyperlink ref="Y2:Z2" location="'Tax Reconciliation'!A1" tooltip="Go to Tax Reconciliation" display="Tax Recon" xr:uid="{825C46F5-2FBB-496C-9F78-5ADF971CBE6B}"/>
    <hyperlink ref="AB2:AC2" location="'Bank Reconciliation'!A1" tooltip="Go to Bank Reconciliation" display="Bank Recon" xr:uid="{35490659-D3EE-41F7-B17C-59DEF0581D7F}"/>
    <hyperlink ref="AE2:AF2" location="'Controls'!A1" tooltip="Go to Controls" display="Controls" xr:uid="{3C52E743-5377-474A-A1F3-526780F09E6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CF5E8-FD65-4479-A36F-89F10E27B26E}">
  <sheetPr>
    <tabColor rgb="FF22C55E"/>
  </sheetPr>
  <dimension ref="A1:BH18"/>
  <sheetViews>
    <sheetView showGridLines="0" workbookViewId="0"/>
  </sheetViews>
  <sheetFormatPr defaultRowHeight="14.5" x14ac:dyDescent="0.35"/>
  <cols>
    <col min="1" max="1" width="1.453125" style="1" customWidth="1"/>
    <col min="2" max="2" width="43.6328125" style="1" customWidth="1"/>
    <col min="3" max="3" width="7.26953125" style="7" customWidth="1"/>
    <col min="4" max="7" width="19.08984375" style="1" customWidth="1"/>
    <col min="8" max="52" width="8.7265625" style="1"/>
  </cols>
  <sheetData>
    <row r="1" spans="1:60" ht="5" customHeight="1" x14ac:dyDescent="0.35"/>
    <row r="2" spans="1:60" ht="18" customHeight="1" thickBot="1" x14ac:dyDescent="0.4">
      <c r="A2" s="307"/>
      <c r="B2" s="308" t="s">
        <v>7075</v>
      </c>
      <c r="C2" s="320"/>
      <c r="D2" s="309" t="s">
        <v>7076</v>
      </c>
      <c r="E2" s="307"/>
      <c r="F2" s="309" t="s">
        <v>7077</v>
      </c>
      <c r="G2" s="307"/>
      <c r="H2" s="312" t="s">
        <v>7078</v>
      </c>
      <c r="I2" s="313"/>
      <c r="J2" s="307"/>
      <c r="K2" s="314" t="s">
        <v>7079</v>
      </c>
      <c r="L2" s="315"/>
      <c r="M2" s="307"/>
      <c r="N2" s="314" t="s">
        <v>7080</v>
      </c>
      <c r="O2" s="315"/>
      <c r="P2" s="307"/>
      <c r="Q2" s="314" t="s">
        <v>7081</v>
      </c>
      <c r="R2" s="315"/>
      <c r="S2" s="307"/>
      <c r="T2" s="314" t="s">
        <v>7082</v>
      </c>
      <c r="U2" s="315"/>
      <c r="V2" s="307"/>
      <c r="W2" s="314" t="s">
        <v>7083</v>
      </c>
      <c r="X2" s="315"/>
      <c r="Y2" s="307"/>
      <c r="Z2" s="314" t="s">
        <v>7084</v>
      </c>
      <c r="AA2" s="315"/>
      <c r="AB2" s="307"/>
      <c r="AC2" s="314" t="s">
        <v>7085</v>
      </c>
      <c r="AD2" s="315"/>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6724</v>
      </c>
      <c r="C4" s="135"/>
      <c r="D4" s="67"/>
      <c r="E4" s="67"/>
      <c r="F4" s="67"/>
      <c r="G4" s="67"/>
    </row>
    <row r="6" spans="1:60" x14ac:dyDescent="0.35">
      <c r="B6" s="132" t="str">
        <f>UPPER(CompanyName)</f>
        <v>PT NUSANTARA SEJAHTERA ABADI</v>
      </c>
    </row>
    <row r="7" spans="1:60" x14ac:dyDescent="0.35">
      <c r="B7" s="2" t="s">
        <v>6724</v>
      </c>
    </row>
    <row r="8" spans="1:60" x14ac:dyDescent="0.35">
      <c r="B8" s="1" t="str">
        <f>PeriodTitle</f>
        <v>For the Period from 1 January to 31 October 2026</v>
      </c>
    </row>
    <row r="9" spans="1:60" x14ac:dyDescent="0.35">
      <c r="B9" s="72" t="s">
        <v>6697</v>
      </c>
    </row>
    <row r="11" spans="1:60" ht="24" customHeight="1" x14ac:dyDescent="0.35">
      <c r="B11" s="126"/>
      <c r="C11" s="148" t="s">
        <v>4968</v>
      </c>
      <c r="D11" s="146" t="s">
        <v>5029</v>
      </c>
      <c r="E11" s="146" t="s">
        <v>5031</v>
      </c>
      <c r="F11" s="146" t="s">
        <v>5033</v>
      </c>
      <c r="G11" s="146" t="s">
        <v>6725</v>
      </c>
    </row>
    <row r="12" spans="1:60" x14ac:dyDescent="0.35">
      <c r="B12" s="2" t="str">
        <f>"Balance as at "&amp;CompLabel</f>
        <v>Balance as at 31 December 2025</v>
      </c>
      <c r="D12" s="5">
        <f>-SUMIFS(_xlfn.ANCHORARRAY('Trial Balance'!$M$8),_xlfn.ANCHORARRAY('Trial Balance'!$E$8),"Share capital")</f>
        <v>2500000000</v>
      </c>
      <c r="E12" s="5">
        <f>-SUMIFS(_xlfn.ANCHORARRAY('Trial Balance'!$M$8),_xlfn.ANCHORARRAY('Trial Balance'!$E$8),"Additional paid-in capital")</f>
        <v>300000000</v>
      </c>
      <c r="F12" s="5">
        <f>-SUMIFS(_xlfn.ANCHORARRAY('Trial Balance'!$M$8),_xlfn.ANCHORARRAY('Trial Balance'!$E$8),"Retained earnings")</f>
        <v>1049895834</v>
      </c>
      <c r="G12" s="5">
        <f>SUM(D12:F12)</f>
        <v>3849895834</v>
      </c>
    </row>
    <row r="13" spans="1:60" x14ac:dyDescent="0.35">
      <c r="B13" s="1" t="s">
        <v>6726</v>
      </c>
      <c r="D13" s="5">
        <f>0</f>
        <v>0</v>
      </c>
      <c r="E13" s="5">
        <f>0</f>
        <v>0</v>
      </c>
      <c r="F13" s="5">
        <f>NetIncome</f>
        <v>922723240</v>
      </c>
      <c r="G13" s="5">
        <f>SUM(D13:F13)</f>
        <v>922723240</v>
      </c>
    </row>
    <row r="14" spans="1:60" x14ac:dyDescent="0.35">
      <c r="B14" s="1" t="s">
        <v>6727</v>
      </c>
      <c r="D14" s="5">
        <f>0</f>
        <v>0</v>
      </c>
      <c r="E14" s="5">
        <f>0</f>
        <v>0</v>
      </c>
      <c r="F14" s="5">
        <f>'Income Statement'!E28</f>
        <v>0</v>
      </c>
      <c r="G14" s="5">
        <f>SUM(D14:F14)</f>
        <v>0</v>
      </c>
    </row>
    <row r="15" spans="1:60" x14ac:dyDescent="0.35">
      <c r="B15" s="1" t="s">
        <v>6728</v>
      </c>
      <c r="C15" s="7">
        <v>14</v>
      </c>
      <c r="D15" s="5">
        <f>0</f>
        <v>0</v>
      </c>
      <c r="E15" s="5">
        <f>0</f>
        <v>0</v>
      </c>
      <c r="F15" s="5">
        <f>-SUMIFS(_xlfn.ANCHORARRAY('Trial Balance'!$N$8),_xlfn.ANCHORARRAY('Trial Balance'!$B$8),3310)</f>
        <v>-300000000</v>
      </c>
      <c r="G15" s="5">
        <f>SUM(D15:F15)</f>
        <v>-300000000</v>
      </c>
    </row>
    <row r="16" spans="1:60" ht="15" thickBot="1" x14ac:dyDescent="0.4">
      <c r="B16" s="123" t="str">
        <f>"Balance as at "&amp;CurLabel</f>
        <v>Balance as at 31 October 2026</v>
      </c>
      <c r="C16" s="137"/>
      <c r="D16" s="147">
        <f>SUM(D12:D15)</f>
        <v>2500000000</v>
      </c>
      <c r="E16" s="147">
        <f>SUM(E12:E15)</f>
        <v>300000000</v>
      </c>
      <c r="F16" s="147">
        <f>SUM(F12:F15)</f>
        <v>1672619074</v>
      </c>
      <c r="G16" s="147">
        <f>SUM(G12:G15)</f>
        <v>4472619074</v>
      </c>
    </row>
    <row r="17" spans="2:7" ht="15" thickTop="1" x14ac:dyDescent="0.35"/>
    <row r="18" spans="2:7" x14ac:dyDescent="0.35">
      <c r="B18" s="72" t="s">
        <v>6729</v>
      </c>
      <c r="C18" s="144"/>
      <c r="D18" s="72"/>
      <c r="E18" s="72"/>
      <c r="F18" s="72"/>
      <c r="G18" s="145">
        <f>ROUND(G16-TotalEquity,0)</f>
        <v>0</v>
      </c>
    </row>
  </sheetData>
  <mergeCells count="8">
    <mergeCell ref="Z2:AA2"/>
    <mergeCell ref="AC2:AD2"/>
    <mergeCell ref="H2:I2"/>
    <mergeCell ref="K2:L2"/>
    <mergeCell ref="N2:O2"/>
    <mergeCell ref="Q2:R2"/>
    <mergeCell ref="T2:U2"/>
    <mergeCell ref="W2:X2"/>
  </mergeCells>
  <hyperlinks>
    <hyperlink ref="B2" location="'Dashboard'!A1" tooltip="Go to Dashboard" display="🏠 HOME" xr:uid="{A4915069-D6AA-493E-A8E1-2A58A8AC8CA9}"/>
    <hyperlink ref="D2" location="'Balance Sheet'!A1" tooltip="Go to Balance Sheet" display="◀ PREV" xr:uid="{FC86A4A3-2CE6-484A-8F2B-160D8B1094FE}"/>
    <hyperlink ref="F2" location="'Cash Flow'!A1" tooltip="Go to Cash Flow" display="NEXT ▶" xr:uid="{6BA67F6D-1D38-4738-BBE0-F93EAAA92841}"/>
    <hyperlink ref="H2:I2" location="'Dashboard'!B5" tooltip="Go to Dashboard" display="☰ MENU" xr:uid="{F0219966-E1F8-47C4-B563-62C973BA9036}"/>
    <hyperlink ref="K2:L2" location="'General Journal'!A1" tooltip="Go to General Journal" display="Journal" xr:uid="{979D1F33-657C-429A-B0B7-4991E1010950}"/>
    <hyperlink ref="N2:O2" location="'Trial Balance'!A1" tooltip="Go to Trial Balance" display="Trial Bal." xr:uid="{1DE8244E-6808-4B87-A2E2-D820E2746B8B}"/>
    <hyperlink ref="Q2:R2" location="'Income Statement'!A1" tooltip="Go to Income Statement" display="Income St." xr:uid="{DE4BD806-9550-40F9-B4A6-9B232EF13551}"/>
    <hyperlink ref="T2:U2" location="'Balance Sheet'!A1" tooltip="Go to Balance Sheet" display="Balance Sh." xr:uid="{8213577D-6F3B-4092-ABDE-A7A5F2223C88}"/>
    <hyperlink ref="W2:X2" location="'Tax Reconciliation'!A1" tooltip="Go to Tax Reconciliation" display="Tax Recon" xr:uid="{28DF4263-3765-4FED-9405-C306CFE101CF}"/>
    <hyperlink ref="Z2:AA2" location="'Bank Reconciliation'!A1" tooltip="Go to Bank Reconciliation" display="Bank Recon" xr:uid="{2D696F3E-B469-4844-B2BC-AF8FD7FF3422}"/>
    <hyperlink ref="AC2:AD2" location="'Controls'!A1" tooltip="Go to Controls" display="Controls" xr:uid="{8F474C45-D8B5-4125-BE86-48428334E35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BE83-50EE-4D62-853A-7E3423DDC90A}">
  <sheetPr>
    <tabColor rgb="FF22C55E"/>
  </sheetPr>
  <dimension ref="A1:BH42"/>
  <sheetViews>
    <sheetView showGridLines="0" workbookViewId="0"/>
  </sheetViews>
  <sheetFormatPr defaultRowHeight="14.5" x14ac:dyDescent="0.35"/>
  <cols>
    <col min="1" max="1" width="1.453125" style="1" customWidth="1"/>
    <col min="2" max="2" width="58.1796875" style="1" customWidth="1"/>
    <col min="3" max="4" width="1.81640625" style="1" customWidth="1"/>
    <col min="5" max="5" width="20.90625" style="1" customWidth="1"/>
    <col min="6" max="7" width="1.81640625" style="1" customWidth="1"/>
    <col min="8" max="8" width="23.6328125" style="134" customWidth="1"/>
    <col min="9" max="52" width="8.7265625" style="1"/>
  </cols>
  <sheetData>
    <row r="1" spans="1:60" ht="5" customHeight="1" x14ac:dyDescent="0.35"/>
    <row r="2" spans="1:60" ht="18" customHeight="1" thickBot="1" x14ac:dyDescent="0.4">
      <c r="A2" s="307"/>
      <c r="B2" s="308" t="s">
        <v>7075</v>
      </c>
      <c r="C2" s="307"/>
      <c r="D2" s="310" t="s">
        <v>7076</v>
      </c>
      <c r="E2" s="311"/>
      <c r="F2" s="307"/>
      <c r="G2" s="310" t="s">
        <v>7077</v>
      </c>
      <c r="H2" s="311"/>
      <c r="I2" s="307"/>
      <c r="J2" s="312" t="s">
        <v>7078</v>
      </c>
      <c r="K2" s="313"/>
      <c r="L2" s="307"/>
      <c r="M2" s="314" t="s">
        <v>7079</v>
      </c>
      <c r="N2" s="315"/>
      <c r="O2" s="307"/>
      <c r="P2" s="314" t="s">
        <v>7080</v>
      </c>
      <c r="Q2" s="315"/>
      <c r="R2" s="307"/>
      <c r="S2" s="314" t="s">
        <v>7081</v>
      </c>
      <c r="T2" s="315"/>
      <c r="U2" s="307"/>
      <c r="V2" s="314" t="s">
        <v>7082</v>
      </c>
      <c r="W2" s="315"/>
      <c r="X2" s="307"/>
      <c r="Y2" s="314" t="s">
        <v>7083</v>
      </c>
      <c r="Z2" s="315"/>
      <c r="AA2" s="307"/>
      <c r="AB2" s="314" t="s">
        <v>7084</v>
      </c>
      <c r="AC2" s="315"/>
      <c r="AD2" s="307"/>
      <c r="AE2" s="314" t="s">
        <v>7085</v>
      </c>
      <c r="AF2" s="315"/>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6730</v>
      </c>
      <c r="C4" s="67"/>
      <c r="D4" s="67"/>
      <c r="E4" s="67"/>
      <c r="F4" s="67"/>
      <c r="G4" s="67"/>
      <c r="H4" s="133"/>
    </row>
    <row r="6" spans="1:60" x14ac:dyDescent="0.35">
      <c r="B6" s="132" t="str">
        <f>UPPER(CompanyName)</f>
        <v>PT NUSANTARA SEJAHTERA ABADI</v>
      </c>
    </row>
    <row r="7" spans="1:60" x14ac:dyDescent="0.35">
      <c r="B7" s="2" t="s">
        <v>6730</v>
      </c>
    </row>
    <row r="8" spans="1:60" x14ac:dyDescent="0.35">
      <c r="B8" s="1" t="str">
        <f>PeriodTitle</f>
        <v>For the Period from 1 January to 31 October 2026</v>
      </c>
    </row>
    <row r="9" spans="1:60" x14ac:dyDescent="0.35">
      <c r="B9" s="72" t="s">
        <v>6697</v>
      </c>
    </row>
    <row r="11" spans="1:60" x14ac:dyDescent="0.35">
      <c r="B11" s="68"/>
      <c r="C11" s="68"/>
      <c r="D11" s="68"/>
      <c r="E11" s="136" t="str">
        <f>"YTD "&amp;LEFT('Company Info'!C50,3)&amp;" "&amp;FYear</f>
        <v>YTD Oct 2026</v>
      </c>
    </row>
    <row r="12" spans="1:60" x14ac:dyDescent="0.35">
      <c r="B12" s="75" t="s">
        <v>6731</v>
      </c>
      <c r="E12" s="5"/>
    </row>
    <row r="13" spans="1:60" x14ac:dyDescent="0.35">
      <c r="B13" s="1" t="s">
        <v>6726</v>
      </c>
      <c r="E13" s="5">
        <f>NetIncome</f>
        <v>922723240</v>
      </c>
    </row>
    <row r="14" spans="1:60" x14ac:dyDescent="0.35">
      <c r="B14" s="3" t="s">
        <v>6732</v>
      </c>
      <c r="E14" s="5"/>
    </row>
    <row r="15" spans="1:60" x14ac:dyDescent="0.35">
      <c r="B15" s="139" t="s">
        <v>4994</v>
      </c>
      <c r="E15" s="5">
        <f>SUMIFS(_xlfn.ANCHORARRAY('Trial Balance'!$K$8),_xlfn.ANCHORARRAY('Trial Balance'!$H$8),$H15)-SUMIFS(_xlfn.ANCHORARRAY('Trial Balance'!$J$8),_xlfn.ANCHORARRAY('Trial Balance'!$H$8),$H15)</f>
        <v>331249999</v>
      </c>
      <c r="H15" s="134" t="s">
        <v>4994</v>
      </c>
    </row>
    <row r="16" spans="1:60" x14ac:dyDescent="0.35">
      <c r="B16" s="139" t="s">
        <v>5026</v>
      </c>
      <c r="E16" s="5">
        <f>SUMIFS(_xlfn.ANCHORARRAY('Trial Balance'!$K$8),_xlfn.ANCHORARRAY('Trial Balance'!$H$8),$H16)-SUMIFS(_xlfn.ANCHORARRAY('Trial Balance'!$J$8),_xlfn.ANCHORARRAY('Trial Balance'!$H$8),$H16)</f>
        <v>30000000</v>
      </c>
      <c r="H16" s="134" t="s">
        <v>5026</v>
      </c>
    </row>
    <row r="17" spans="2:8" x14ac:dyDescent="0.35">
      <c r="B17" s="3" t="s">
        <v>6733</v>
      </c>
      <c r="E17" s="5"/>
    </row>
    <row r="18" spans="2:8" x14ac:dyDescent="0.35">
      <c r="B18" s="139" t="s">
        <v>6734</v>
      </c>
      <c r="E18" s="5">
        <f>SUMIFS(_xlfn.ANCHORARRAY('Trial Balance'!$K$8),_xlfn.ANCHORARRAY('Trial Balance'!$H$8),$H18)-SUMIFS(_xlfn.ANCHORARRAY('Trial Balance'!$J$8),_xlfn.ANCHORARRAY('Trial Balance'!$H$8),$H18)</f>
        <v>-637341600</v>
      </c>
      <c r="H18" s="134" t="s">
        <v>4978</v>
      </c>
    </row>
    <row r="19" spans="2:8" x14ac:dyDescent="0.35">
      <c r="B19" s="139" t="s">
        <v>4983</v>
      </c>
      <c r="E19" s="5">
        <f>SUMIFS(_xlfn.ANCHORARRAY('Trial Balance'!$K$8),_xlfn.ANCHORARRAY('Trial Balance'!$H$8),$H19)-SUMIFS(_xlfn.ANCHORARRAY('Trial Balance'!$J$8),_xlfn.ANCHORARRAY('Trial Balance'!$H$8),$H19)</f>
        <v>-31559000</v>
      </c>
      <c r="H19" s="134" t="s">
        <v>4983</v>
      </c>
    </row>
    <row r="20" spans="2:8" x14ac:dyDescent="0.35">
      <c r="B20" s="139" t="s">
        <v>4985</v>
      </c>
      <c r="E20" s="5">
        <f>SUMIFS(_xlfn.ANCHORARRAY('Trial Balance'!$K$8),_xlfn.ANCHORARRAY('Trial Balance'!$H$8),$H20)-SUMIFS(_xlfn.ANCHORARRAY('Trial Balance'!$J$8),_xlfn.ANCHORARRAY('Trial Balance'!$H$8),$H20)</f>
        <v>85000000</v>
      </c>
      <c r="H20" s="134" t="s">
        <v>4985</v>
      </c>
    </row>
    <row r="21" spans="2:8" x14ac:dyDescent="0.35">
      <c r="B21" s="139" t="s">
        <v>4989</v>
      </c>
      <c r="E21" s="5">
        <f>SUMIFS(_xlfn.ANCHORARRAY('Trial Balance'!$K$8),_xlfn.ANCHORARRAY('Trial Balance'!$H$8),$H21)-SUMIFS(_xlfn.ANCHORARRAY('Trial Balance'!$J$8),_xlfn.ANCHORARRAY('Trial Balance'!$H$8),$H21)</f>
        <v>-200000000</v>
      </c>
      <c r="H21" s="134" t="s">
        <v>4989</v>
      </c>
    </row>
    <row r="22" spans="2:8" x14ac:dyDescent="0.35">
      <c r="B22" s="139" t="s">
        <v>5004</v>
      </c>
      <c r="E22" s="5">
        <f>SUMIFS(_xlfn.ANCHORARRAY('Trial Balance'!$K$8),_xlfn.ANCHORARRAY('Trial Balance'!$H$8),$H22)-SUMIFS(_xlfn.ANCHORARRAY('Trial Balance'!$J$8),_xlfn.ANCHORARRAY('Trial Balance'!$H$8),$H22)</f>
        <v>181450040</v>
      </c>
      <c r="H22" s="134" t="s">
        <v>5004</v>
      </c>
    </row>
    <row r="23" spans="2:8" x14ac:dyDescent="0.35">
      <c r="B23" s="139" t="s">
        <v>6735</v>
      </c>
      <c r="E23" s="5">
        <f>SUMIFS(_xlfn.ANCHORARRAY('Trial Balance'!$K$8),_xlfn.ANCHORARRAY('Trial Balance'!$H$8),$H23)-SUMIFS(_xlfn.ANCHORARRAY('Trial Balance'!$J$8),_xlfn.ANCHORARRAY('Trial Balance'!$H$8),$H23)</f>
        <v>-40922210</v>
      </c>
      <c r="H23" s="134" t="s">
        <v>5007</v>
      </c>
    </row>
    <row r="24" spans="2:8" x14ac:dyDescent="0.35">
      <c r="B24" s="139" t="s">
        <v>5014</v>
      </c>
      <c r="E24" s="5">
        <f>SUMIFS(_xlfn.ANCHORARRAY('Trial Balance'!$K$8),_xlfn.ANCHORARRAY('Trial Balance'!$H$8),$H24)-SUMIFS(_xlfn.ANCHORARRAY('Trial Balance'!$J$8),_xlfn.ANCHORARRAY('Trial Balance'!$H$8),$H24)</f>
        <v>107645099</v>
      </c>
      <c r="H24" s="134" t="s">
        <v>5014</v>
      </c>
    </row>
    <row r="25" spans="2:8" x14ac:dyDescent="0.35">
      <c r="B25" s="2" t="s">
        <v>6736</v>
      </c>
      <c r="C25" s="2"/>
      <c r="D25" s="2"/>
      <c r="E25" s="13">
        <f>SUM(E13:E24)</f>
        <v>748245568</v>
      </c>
    </row>
    <row r="27" spans="2:8" x14ac:dyDescent="0.35">
      <c r="B27" s="75" t="s">
        <v>6737</v>
      </c>
      <c r="E27" s="5"/>
    </row>
    <row r="28" spans="2:8" x14ac:dyDescent="0.35">
      <c r="B28" s="139" t="s">
        <v>6738</v>
      </c>
      <c r="E28" s="5">
        <f>SUMIFS(_xlfn.ANCHORARRAY('Trial Balance'!$K$8),_xlfn.ANCHORARRAY('Trial Balance'!$H$8),$H28)-SUMIFS(_xlfn.ANCHORARRAY('Trial Balance'!$J$8),_xlfn.ANCHORARRAY('Trial Balance'!$H$8),$H28)</f>
        <v>-500000000</v>
      </c>
      <c r="H28" s="134" t="s">
        <v>4992</v>
      </c>
    </row>
    <row r="29" spans="2:8" x14ac:dyDescent="0.35">
      <c r="B29" s="139" t="s">
        <v>6739</v>
      </c>
      <c r="E29" s="5">
        <f>SUMIFS(_xlfn.ANCHORARRAY('Trial Balance'!$K$8),_xlfn.ANCHORARRAY('Trial Balance'!$H$8),$H29)-SUMIFS(_xlfn.ANCHORARRAY('Trial Balance'!$J$8),_xlfn.ANCHORARRAY('Trial Balance'!$H$8),$H29)</f>
        <v>-60000000</v>
      </c>
      <c r="H29" s="134" t="s">
        <v>5000</v>
      </c>
    </row>
    <row r="30" spans="2:8" x14ac:dyDescent="0.35">
      <c r="B30" s="2" t="s">
        <v>6740</v>
      </c>
      <c r="C30" s="2"/>
      <c r="D30" s="2"/>
      <c r="E30" s="13">
        <f>SUM(E28:E29)</f>
        <v>-560000000</v>
      </c>
    </row>
    <row r="32" spans="2:8" x14ac:dyDescent="0.35">
      <c r="B32" s="75" t="s">
        <v>6741</v>
      </c>
      <c r="E32" s="5"/>
    </row>
    <row r="33" spans="2:8" x14ac:dyDescent="0.35">
      <c r="B33" s="139" t="s">
        <v>6742</v>
      </c>
      <c r="E33" s="5">
        <f>SUMIFS(_xlfn.ANCHORARRAY('Trial Balance'!$K$8),_xlfn.ANCHORARRAY('Trial Balance'!$H$8),$H33)-SUMIFS(_xlfn.ANCHORARRAY('Trial Balance'!$J$8),_xlfn.ANCHORARRAY('Trial Balance'!$H$8),$H33)</f>
        <v>-550000000</v>
      </c>
      <c r="H33" s="134" t="s">
        <v>5021</v>
      </c>
    </row>
    <row r="34" spans="2:8" x14ac:dyDescent="0.35">
      <c r="B34" s="139" t="s">
        <v>6743</v>
      </c>
      <c r="E34" s="5">
        <f>SUMIFS(_xlfn.ANCHORARRAY('Trial Balance'!$K$8),_xlfn.ANCHORARRAY('Trial Balance'!$H$8),$H34)-SUMIFS(_xlfn.ANCHORARRAY('Trial Balance'!$J$8),_xlfn.ANCHORARRAY('Trial Balance'!$H$8),$H34)</f>
        <v>-300000000</v>
      </c>
      <c r="H34" s="134" t="s">
        <v>5034</v>
      </c>
    </row>
    <row r="35" spans="2:8" x14ac:dyDescent="0.35">
      <c r="B35" s="139" t="s">
        <v>6744</v>
      </c>
      <c r="E35" s="5">
        <f>SUMIFS(_xlfn.ANCHORARRAY('Trial Balance'!$K$8),_xlfn.ANCHORARRAY('Trial Balance'!$H$8),$H35)-SUMIFS(_xlfn.ANCHORARRAY('Trial Balance'!$J$8),_xlfn.ANCHORARRAY('Trial Balance'!$H$8),$H35)</f>
        <v>0</v>
      </c>
      <c r="H35" s="134" t="s">
        <v>5029</v>
      </c>
    </row>
    <row r="36" spans="2:8" x14ac:dyDescent="0.35">
      <c r="B36" s="2" t="s">
        <v>6745</v>
      </c>
      <c r="C36" s="2"/>
      <c r="D36" s="2"/>
      <c r="E36" s="13">
        <f>SUM(E33:E35)</f>
        <v>-850000000</v>
      </c>
    </row>
    <row r="38" spans="2:8" x14ac:dyDescent="0.35">
      <c r="B38" s="2" t="s">
        <v>6746</v>
      </c>
      <c r="C38" s="2"/>
      <c r="D38" s="2"/>
      <c r="E38" s="13">
        <f>E25+E30+E36</f>
        <v>-661754432</v>
      </c>
    </row>
    <row r="39" spans="2:8" x14ac:dyDescent="0.35">
      <c r="B39" s="1" t="s">
        <v>6747</v>
      </c>
      <c r="E39" s="5">
        <f>SUMIFS(_xlfn.ANCHORARRAY('Trial Balance'!$M$8),_xlfn.ANCHORARRAY('Trial Balance'!$H$8),"Cash")</f>
        <v>2225000000</v>
      </c>
    </row>
    <row r="40" spans="2:8" ht="15" thickBot="1" x14ac:dyDescent="0.4">
      <c r="B40" s="123" t="s">
        <v>6748</v>
      </c>
      <c r="C40" s="123"/>
      <c r="D40" s="123"/>
      <c r="E40" s="138">
        <f>E38+E39</f>
        <v>1563245568</v>
      </c>
    </row>
    <row r="41" spans="2:8" ht="15" thickTop="1" x14ac:dyDescent="0.35"/>
    <row r="42" spans="2:8" x14ac:dyDescent="0.35">
      <c r="B42" s="72" t="s">
        <v>6729</v>
      </c>
      <c r="C42" s="72"/>
      <c r="D42" s="72"/>
      <c r="E42" s="145">
        <f>ROUND(E40-CashBS,0)</f>
        <v>0</v>
      </c>
    </row>
  </sheetData>
  <mergeCells count="10">
    <mergeCell ref="V2:W2"/>
    <mergeCell ref="Y2:Z2"/>
    <mergeCell ref="AB2:AC2"/>
    <mergeCell ref="AE2:AF2"/>
    <mergeCell ref="D2:E2"/>
    <mergeCell ref="G2:H2"/>
    <mergeCell ref="J2:K2"/>
    <mergeCell ref="M2:N2"/>
    <mergeCell ref="P2:Q2"/>
    <mergeCell ref="S2:T2"/>
  </mergeCells>
  <hyperlinks>
    <hyperlink ref="B2" location="'Dashboard'!A1" tooltip="Go to Dashboard" display="🏠 HOME" xr:uid="{68AA7F1F-9B34-4228-B4BB-8B7CDE4E1B68}"/>
    <hyperlink ref="D2:E2" location="'Changes in Equity'!A1" tooltip="Go to Changes in Equity" display="◀ PREV" xr:uid="{013E2DCF-8F2E-46ED-9DE0-FDA58ED42E8A}"/>
    <hyperlink ref="G2:H2" location="'Notes to FS'!A1" tooltip="Go to Notes to FS" display="NEXT ▶" xr:uid="{176F1CBE-A2A6-4625-8DFB-A0B0C56D4D27}"/>
    <hyperlink ref="J2:K2" location="'Dashboard'!B5" tooltip="Go to Dashboard" display="☰ MENU" xr:uid="{0F78E5A1-2C8C-43EA-AC69-2FB3A87A6414}"/>
    <hyperlink ref="M2:N2" location="'General Journal'!A1" tooltip="Go to General Journal" display="Journal" xr:uid="{A5D375BB-541E-4E01-B500-1326205895B6}"/>
    <hyperlink ref="P2:Q2" location="'Trial Balance'!A1" tooltip="Go to Trial Balance" display="Trial Bal." xr:uid="{3A565F4B-4D87-4B4C-8D59-BA571014BD3A}"/>
    <hyperlink ref="S2:T2" location="'Income Statement'!A1" tooltip="Go to Income Statement" display="Income St." xr:uid="{84894EF5-FCBF-4EBD-82AF-A9F7A324BCCF}"/>
    <hyperlink ref="V2:W2" location="'Balance Sheet'!A1" tooltip="Go to Balance Sheet" display="Balance Sh." xr:uid="{70623461-0987-4EE6-86EE-023DA558B5C4}"/>
    <hyperlink ref="Y2:Z2" location="'Tax Reconciliation'!A1" tooltip="Go to Tax Reconciliation" display="Tax Recon" xr:uid="{B1EA20FC-CD6C-4689-9D6E-E885A099CE02}"/>
    <hyperlink ref="AB2:AC2" location="'Bank Reconciliation'!A1" tooltip="Go to Bank Reconciliation" display="Bank Recon" xr:uid="{7E7582A5-49C0-4771-92A2-D8E9F35F601A}"/>
    <hyperlink ref="AE2:AF2" location="'Controls'!A1" tooltip="Go to Controls" display="Controls" xr:uid="{F28CC5D9-B0B1-4185-82DE-3A1E7DC892F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A99C-29F4-4BA6-B581-25E470CB18B6}">
  <sheetPr>
    <tabColor rgb="FF22C55E"/>
  </sheetPr>
  <dimension ref="A1:BH232"/>
  <sheetViews>
    <sheetView showGridLines="0" workbookViewId="0"/>
  </sheetViews>
  <sheetFormatPr defaultRowHeight="14.5" x14ac:dyDescent="0.35"/>
  <cols>
    <col min="1" max="1" width="1.453125" style="1" customWidth="1"/>
    <col min="2" max="2" width="4.54296875" style="161" customWidth="1"/>
    <col min="3" max="3" width="47.26953125" style="1" customWidth="1"/>
    <col min="4" max="4" width="7.26953125" style="1" customWidth="1"/>
    <col min="5" max="11" width="16.36328125" style="1" customWidth="1"/>
    <col min="12" max="52" width="8.7265625" style="1"/>
  </cols>
  <sheetData>
    <row r="1" spans="1:60" ht="5" customHeight="1" x14ac:dyDescent="0.35"/>
    <row r="2" spans="1:60" ht="18" customHeight="1" thickBot="1" x14ac:dyDescent="0.4">
      <c r="A2" s="307"/>
      <c r="B2" s="312" t="s">
        <v>7075</v>
      </c>
      <c r="C2" s="313"/>
      <c r="D2" s="307"/>
      <c r="E2" s="309" t="s">
        <v>7076</v>
      </c>
      <c r="F2" s="307"/>
      <c r="G2" s="309" t="s">
        <v>7077</v>
      </c>
      <c r="H2" s="307"/>
      <c r="I2" s="308" t="s">
        <v>7078</v>
      </c>
      <c r="J2" s="307"/>
      <c r="K2" s="317" t="s">
        <v>7079</v>
      </c>
      <c r="L2" s="307"/>
      <c r="M2" s="314" t="s">
        <v>7080</v>
      </c>
      <c r="N2" s="315"/>
      <c r="O2" s="307"/>
      <c r="P2" s="314" t="s">
        <v>7081</v>
      </c>
      <c r="Q2" s="315"/>
      <c r="R2" s="307"/>
      <c r="S2" s="314" t="s">
        <v>7082</v>
      </c>
      <c r="T2" s="315"/>
      <c r="U2" s="307"/>
      <c r="V2" s="314" t="s">
        <v>7083</v>
      </c>
      <c r="W2" s="315"/>
      <c r="X2" s="307"/>
      <c r="Y2" s="314" t="s">
        <v>7084</v>
      </c>
      <c r="Z2" s="315"/>
      <c r="AA2" s="307"/>
      <c r="AB2" s="314" t="s">
        <v>7085</v>
      </c>
      <c r="AC2" s="315"/>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156" t="s">
        <v>6760</v>
      </c>
      <c r="C4" s="67"/>
      <c r="D4" s="67"/>
      <c r="E4" s="67"/>
      <c r="F4" s="67"/>
      <c r="G4" s="67"/>
      <c r="H4" s="67"/>
      <c r="I4" s="67"/>
      <c r="J4" s="67"/>
      <c r="K4" s="67"/>
    </row>
    <row r="6" spans="1:60" x14ac:dyDescent="0.35">
      <c r="B6" s="157" t="str">
        <f>UPPER(CompanyName)</f>
        <v>PT NUSANTARA SEJAHTERA ABADI</v>
      </c>
    </row>
    <row r="7" spans="1:60" x14ac:dyDescent="0.35">
      <c r="B7" s="158" t="str">
        <f>"NOTES TO THE FINANCIAL STATEMENTS – "&amp;UPPER(PeriodTitle)</f>
        <v>NOTES TO THE FINANCIAL STATEMENTS – FOR THE PERIOD FROM 1 JANUARY TO 31 OCTOBER 2026</v>
      </c>
    </row>
    <row r="8" spans="1:60" x14ac:dyDescent="0.35">
      <c r="B8" s="159" t="s">
        <v>6697</v>
      </c>
    </row>
    <row r="10" spans="1:60" x14ac:dyDescent="0.35">
      <c r="B10" s="160">
        <v>1</v>
      </c>
      <c r="C10" s="68" t="s">
        <v>6761</v>
      </c>
      <c r="D10" s="68"/>
      <c r="E10" s="68"/>
      <c r="F10" s="68"/>
      <c r="G10" s="68"/>
      <c r="H10" s="68"/>
      <c r="I10" s="68"/>
      <c r="J10" s="68"/>
      <c r="K10" s="68"/>
    </row>
    <row r="11" spans="1:60" ht="22" customHeight="1" x14ac:dyDescent="0.35">
      <c r="C11" s="150" t="str">
        <f>CompanyName&amp;" (""the Company"") was established in the Republic of Indonesia based on "&amp;'Company Info'!C17&amp;". The deed was approved by the Minister of Law and Human Rights under decree "&amp;'Company Info'!C18&amp;"."</f>
        <v>PT Nusantara Sejahtera Abadi ("the Company") was established in the Republic of Indonesia based on Deed No. 12 dated 15 March 2018, Notary Andi Wijaya, S.H., M.Kn.. The deed was approved by the Minister of Law and Human Rights under decree AHU-0012345.AH.01.01.Tahun 2018.</v>
      </c>
      <c r="D11" s="150"/>
      <c r="E11" s="150"/>
      <c r="F11" s="150"/>
      <c r="G11" s="150"/>
      <c r="H11" s="150"/>
      <c r="I11" s="150"/>
      <c r="J11" s="150"/>
      <c r="K11" s="150"/>
    </row>
    <row r="12" spans="1:60" ht="22" customHeight="1" x14ac:dyDescent="0.35">
      <c r="C12" s="150" t="str">
        <f>"The Company is engaged in "&amp;LOWER(IP_Desc)&amp;". Its registered office is located at "&amp;'Company Info'!C12&amp;", "&amp;'Company Info'!C13&amp;". As at "&amp;CurLabel&amp;", the Company had "&amp;'Company Info'!C19&amp;" permanent employees."</f>
        <v>The Company is engaged in retail of fashion, lifestyle &amp; consumer electronics. Its registered office is located at Jl. Jend. Sudirman Kav. 52-53, Jakarta Selatan 12190, Jakarta. As at 31 October 2026, the Company had 15 permanent employees.</v>
      </c>
      <c r="D12" s="150"/>
      <c r="E12" s="150"/>
      <c r="F12" s="150"/>
      <c r="G12" s="150"/>
      <c r="H12" s="150"/>
      <c r="I12" s="150"/>
      <c r="J12" s="150"/>
      <c r="K12" s="150"/>
    </row>
    <row r="13" spans="1:60" ht="22" customHeight="1" x14ac:dyDescent="0.35">
      <c r="C13" s="150" t="str">
        <f>"Board of Commissioners: "&amp;'Company Info'!C23&amp;" (President Commissioner). Board of Directors: "&amp;'Company Info'!C24&amp;" (President Director) and "&amp;'Company Info'!C25&amp;" (Finance Director)."</f>
        <v>Board of Commissioners: Hendra Gunawan (President Commissioner). Board of Directors: Budi Santoso (President Director) and Siti Rahmawati (Finance Director).</v>
      </c>
      <c r="D13" s="150"/>
      <c r="E13" s="150"/>
      <c r="F13" s="150"/>
      <c r="G13" s="150"/>
      <c r="H13" s="150"/>
      <c r="I13" s="150"/>
      <c r="J13" s="150"/>
      <c r="K13" s="150"/>
    </row>
    <row r="14" spans="1:60" ht="22" customHeight="1" x14ac:dyDescent="0.35">
      <c r="C14" s="150" t="str">
        <f>"These financial statements were authorised for issue by the Board of Directors on "&amp;TEXT('Company Info'!C52,"[$-409]d mmmm yyyy")&amp;"."</f>
        <v>These financial statements were authorised for issue by the Board of Directors on 20 November 2026.</v>
      </c>
      <c r="D14" s="150"/>
      <c r="E14" s="150"/>
      <c r="F14" s="150"/>
      <c r="G14" s="150"/>
      <c r="H14" s="150"/>
      <c r="I14" s="150"/>
      <c r="J14" s="150"/>
      <c r="K14" s="150"/>
    </row>
    <row r="16" spans="1:60" x14ac:dyDescent="0.35">
      <c r="B16" s="160">
        <v>2</v>
      </c>
      <c r="C16" s="68" t="s">
        <v>6762</v>
      </c>
      <c r="D16" s="68"/>
      <c r="E16" s="68"/>
      <c r="F16" s="68"/>
      <c r="G16" s="68"/>
      <c r="H16" s="68"/>
      <c r="I16" s="68"/>
      <c r="J16" s="68"/>
      <c r="K16" s="68"/>
    </row>
    <row r="17" spans="3:11" x14ac:dyDescent="0.35">
      <c r="C17" s="12" t="s">
        <v>6763</v>
      </c>
    </row>
    <row r="18" spans="3:11" ht="33" customHeight="1" x14ac:dyDescent="0.35">
      <c r="C18" s="150" t="s">
        <v>6764</v>
      </c>
      <c r="D18" s="150"/>
      <c r="E18" s="150"/>
      <c r="F18" s="150"/>
      <c r="G18" s="150"/>
      <c r="H18" s="150"/>
      <c r="I18" s="150"/>
      <c r="J18" s="150"/>
      <c r="K18" s="150"/>
    </row>
    <row r="19" spans="3:11" x14ac:dyDescent="0.35">
      <c r="C19" s="12" t="s">
        <v>6765</v>
      </c>
    </row>
    <row r="20" spans="3:11" ht="12" customHeight="1" x14ac:dyDescent="0.35">
      <c r="C20" s="150" t="s">
        <v>6766</v>
      </c>
      <c r="D20" s="150"/>
      <c r="E20" s="150"/>
      <c r="F20" s="150"/>
      <c r="G20" s="150"/>
      <c r="H20" s="150"/>
      <c r="I20" s="150"/>
      <c r="J20" s="150"/>
      <c r="K20" s="150"/>
    </row>
    <row r="21" spans="3:11" x14ac:dyDescent="0.35">
      <c r="C21" s="12" t="s">
        <v>6767</v>
      </c>
    </row>
    <row r="22" spans="3:11" ht="22" customHeight="1" x14ac:dyDescent="0.35">
      <c r="C22" s="150" t="s">
        <v>6768</v>
      </c>
      <c r="D22" s="150"/>
      <c r="E22" s="150"/>
      <c r="F22" s="150"/>
      <c r="G22" s="150"/>
      <c r="H22" s="150"/>
      <c r="I22" s="150"/>
      <c r="J22" s="150"/>
      <c r="K22" s="150"/>
    </row>
    <row r="23" spans="3:11" x14ac:dyDescent="0.35">
      <c r="C23" s="12" t="s">
        <v>6769</v>
      </c>
    </row>
    <row r="24" spans="3:11" ht="12" customHeight="1" x14ac:dyDescent="0.35">
      <c r="C24" s="150" t="s">
        <v>6770</v>
      </c>
      <c r="D24" s="150"/>
      <c r="E24" s="150"/>
      <c r="F24" s="150"/>
      <c r="G24" s="150"/>
      <c r="H24" s="150"/>
      <c r="I24" s="150"/>
      <c r="J24" s="150"/>
      <c r="K24" s="150"/>
    </row>
    <row r="25" spans="3:11" x14ac:dyDescent="0.35">
      <c r="C25" s="12" t="s">
        <v>6771</v>
      </c>
    </row>
    <row r="26" spans="3:11" ht="12" customHeight="1" x14ac:dyDescent="0.35">
      <c r="C26" s="150" t="s">
        <v>6772</v>
      </c>
      <c r="D26" s="150"/>
      <c r="E26" s="150"/>
      <c r="F26" s="150"/>
      <c r="G26" s="150"/>
      <c r="H26" s="150"/>
      <c r="I26" s="150"/>
      <c r="J26" s="150"/>
      <c r="K26" s="150"/>
    </row>
    <row r="27" spans="3:11" x14ac:dyDescent="0.35">
      <c r="C27" s="12" t="s">
        <v>6773</v>
      </c>
    </row>
    <row r="28" spans="3:11" ht="22" customHeight="1" x14ac:dyDescent="0.35">
      <c r="C28" s="150" t="s">
        <v>6774</v>
      </c>
      <c r="D28" s="150"/>
      <c r="E28" s="150"/>
      <c r="F28" s="150"/>
      <c r="G28" s="150"/>
      <c r="H28" s="150"/>
      <c r="I28" s="150"/>
      <c r="J28" s="150"/>
      <c r="K28" s="150"/>
    </row>
    <row r="29" spans="3:11" x14ac:dyDescent="0.35">
      <c r="C29" s="12" t="s">
        <v>6775</v>
      </c>
    </row>
    <row r="30" spans="3:11" ht="22" customHeight="1" x14ac:dyDescent="0.35">
      <c r="C30" s="150" t="str">
        <f>IP_Policy</f>
        <v>Revenue from the sale of goods is recognised at a point in time when control transfers to the customer, generally upon handover at the store or delivery to the courier (PSAK 115).</v>
      </c>
      <c r="D30" s="150"/>
      <c r="E30" s="150"/>
      <c r="F30" s="150"/>
      <c r="G30" s="150"/>
      <c r="H30" s="150"/>
      <c r="I30" s="150"/>
      <c r="J30" s="150"/>
      <c r="K30" s="150"/>
    </row>
    <row r="31" spans="3:11" x14ac:dyDescent="0.35">
      <c r="C31" s="12" t="s">
        <v>6776</v>
      </c>
    </row>
    <row r="32" spans="3:11" ht="22" customHeight="1" x14ac:dyDescent="0.35">
      <c r="C32" s="150" t="s">
        <v>6777</v>
      </c>
      <c r="D32" s="150"/>
      <c r="E32" s="150"/>
      <c r="F32" s="150"/>
      <c r="G32" s="150"/>
      <c r="H32" s="150"/>
      <c r="I32" s="150"/>
      <c r="J32" s="150"/>
      <c r="K32" s="150"/>
    </row>
    <row r="33" spans="2:11" x14ac:dyDescent="0.35">
      <c r="C33" s="12" t="s">
        <v>6778</v>
      </c>
    </row>
    <row r="34" spans="2:11" ht="33" customHeight="1" x14ac:dyDescent="0.35">
      <c r="C34" s="150" t="s">
        <v>6779</v>
      </c>
      <c r="D34" s="150"/>
      <c r="E34" s="150"/>
      <c r="F34" s="150"/>
      <c r="G34" s="150"/>
      <c r="H34" s="150"/>
      <c r="I34" s="150"/>
      <c r="J34" s="150"/>
      <c r="K34" s="150"/>
    </row>
    <row r="36" spans="2:11" x14ac:dyDescent="0.35">
      <c r="B36" s="160">
        <v>3</v>
      </c>
      <c r="C36" s="68" t="s">
        <v>6780</v>
      </c>
      <c r="D36" s="68"/>
      <c r="E36" s="68"/>
      <c r="F36" s="68"/>
      <c r="G36" s="68"/>
      <c r="H36" s="68"/>
      <c r="I36" s="68"/>
      <c r="J36" s="68"/>
      <c r="K36" s="68"/>
    </row>
    <row r="37" spans="2:11" x14ac:dyDescent="0.35">
      <c r="C37" s="151"/>
      <c r="D37" s="151" t="s">
        <v>4852</v>
      </c>
      <c r="E37" s="152" t="str">
        <f>CurLabel</f>
        <v>31 October 2026</v>
      </c>
      <c r="F37" s="152" t="str">
        <f>CompLabel</f>
        <v>31 December 2025</v>
      </c>
      <c r="G37" s="153"/>
      <c r="H37" s="153"/>
      <c r="I37" s="153"/>
      <c r="J37" s="153"/>
      <c r="K37" s="153"/>
    </row>
    <row r="38" spans="2:11" x14ac:dyDescent="0.35">
      <c r="C38" s="1" t="str" cm="1">
        <f t="array" ref="C38:F41">_xlfn._xlws.FILTER(_xlfn.HSTACK(_xlfn.ANCHORARRAY('Trial Balance'!C8),_xlfn.ANCHORARRAY('Trial Balance'!B8),_xlfn.ANCHORARRAY('Trial Balance'!N8),_xlfn.ANCHORARRAY('Trial Balance'!M8)),_xlfn.ANCHORARRAY('Trial Balance'!E8)="Cash and cash equivalents")</f>
        <v>Cash on Hand</v>
      </c>
      <c r="D38" s="110">
        <v>1110</v>
      </c>
      <c r="E38" s="5">
        <v>25000000</v>
      </c>
      <c r="F38" s="5">
        <v>25000000</v>
      </c>
    </row>
    <row r="39" spans="2:11" x14ac:dyDescent="0.35">
      <c r="C39" s="1" t="str">
        <v>Bank BCA - Current Account</v>
      </c>
      <c r="D39" s="110">
        <v>1120</v>
      </c>
      <c r="E39" s="5">
        <v>588782698</v>
      </c>
      <c r="F39" s="5">
        <v>1250000000</v>
      </c>
    </row>
    <row r="40" spans="2:11" x14ac:dyDescent="0.35">
      <c r="C40" s="1" t="str">
        <v>Bank Mandiri - Current Account</v>
      </c>
      <c r="D40" s="110">
        <v>1130</v>
      </c>
      <c r="E40" s="5">
        <v>449462870</v>
      </c>
      <c r="F40" s="5">
        <v>450000000</v>
      </c>
    </row>
    <row r="41" spans="2:11" x14ac:dyDescent="0.35">
      <c r="C41" s="1" t="str">
        <v>Time Deposit (≤ 3 months)</v>
      </c>
      <c r="D41" s="110">
        <v>1140</v>
      </c>
      <c r="E41" s="5">
        <v>500000000</v>
      </c>
      <c r="F41" s="5">
        <v>500000000</v>
      </c>
    </row>
    <row r="42" spans="2:11" x14ac:dyDescent="0.35">
      <c r="D42" s="110"/>
      <c r="E42" s="5"/>
      <c r="F42" s="5"/>
    </row>
    <row r="43" spans="2:11" x14ac:dyDescent="0.35">
      <c r="D43" s="110"/>
      <c r="E43" s="5"/>
      <c r="F43" s="5"/>
    </row>
    <row r="44" spans="2:11" x14ac:dyDescent="0.35">
      <c r="C44" s="2" t="s">
        <v>6781</v>
      </c>
      <c r="D44" s="2"/>
      <c r="E44" s="13">
        <f>SUM(E38:E43)</f>
        <v>1563245568</v>
      </c>
      <c r="F44" s="13">
        <f>SUM(F38:F43)</f>
        <v>2225000000</v>
      </c>
    </row>
    <row r="45" spans="2:11" x14ac:dyDescent="0.35">
      <c r="C45" s="72" t="s">
        <v>6782</v>
      </c>
      <c r="D45" s="72"/>
      <c r="E45" s="72" t="str">
        <f>IF(ABS(E44-'Balance Sheet'!E14)&lt;1,"✔","✖")</f>
        <v>✔</v>
      </c>
    </row>
    <row r="47" spans="2:11" x14ac:dyDescent="0.35">
      <c r="B47" s="160">
        <v>4</v>
      </c>
      <c r="C47" s="68" t="s">
        <v>6783</v>
      </c>
      <c r="D47" s="68"/>
      <c r="E47" s="68"/>
      <c r="F47" s="68"/>
      <c r="G47" s="68"/>
      <c r="H47" s="68"/>
      <c r="I47" s="68"/>
      <c r="J47" s="68"/>
      <c r="K47" s="68"/>
    </row>
    <row r="48" spans="2:11" x14ac:dyDescent="0.35">
      <c r="C48" s="151"/>
      <c r="D48" s="151" t="s">
        <v>4852</v>
      </c>
      <c r="E48" s="152" t="str">
        <f>CurLabel</f>
        <v>31 October 2026</v>
      </c>
      <c r="F48" s="152" t="str">
        <f>CompLabel</f>
        <v>31 December 2025</v>
      </c>
      <c r="G48" s="153"/>
      <c r="H48" s="153"/>
      <c r="I48" s="153"/>
      <c r="J48" s="153"/>
      <c r="K48" s="153"/>
    </row>
    <row r="49" spans="2:11" x14ac:dyDescent="0.35">
      <c r="C49" s="1" t="str" cm="1">
        <f t="array" ref="C49:F51">_xlfn._xlws.FILTER(_xlfn.HSTACK(_xlfn.ANCHORARRAY('Trial Balance'!C8),_xlfn.ANCHORARRAY('Trial Balance'!B8),_xlfn.ANCHORARRAY('Trial Balance'!N8),_xlfn.ANCHORARRAY('Trial Balance'!M8)),_xlfn.ANCHORARRAY('Trial Balance'!G8)=4)</f>
        <v>Trade Receivables</v>
      </c>
      <c r="D49" s="110">
        <v>1210</v>
      </c>
      <c r="E49" s="5">
        <v>1057341600</v>
      </c>
      <c r="F49" s="5">
        <v>420000000</v>
      </c>
    </row>
    <row r="50" spans="2:11" x14ac:dyDescent="0.35">
      <c r="C50" s="1" t="str">
        <v>Allowance for Expected Credit Losses</v>
      </c>
      <c r="D50" s="110">
        <v>1220</v>
      </c>
      <c r="E50" s="5">
        <v>-20000000</v>
      </c>
      <c r="F50" s="5">
        <v>-20000000</v>
      </c>
    </row>
    <row r="51" spans="2:11" x14ac:dyDescent="0.35">
      <c r="C51" s="1" t="str">
        <v>Other Receivables</v>
      </c>
      <c r="D51" s="110">
        <v>1230</v>
      </c>
      <c r="E51" s="5">
        <v>25000000</v>
      </c>
      <c r="F51" s="5">
        <v>25000000</v>
      </c>
    </row>
    <row r="52" spans="2:11" x14ac:dyDescent="0.35">
      <c r="D52" s="110"/>
      <c r="E52" s="5"/>
      <c r="F52" s="5"/>
    </row>
    <row r="53" spans="2:11" x14ac:dyDescent="0.35">
      <c r="D53" s="110"/>
      <c r="E53" s="5"/>
      <c r="F53" s="5"/>
    </row>
    <row r="54" spans="2:11" x14ac:dyDescent="0.35">
      <c r="C54" s="2" t="s">
        <v>6784</v>
      </c>
      <c r="D54" s="2"/>
      <c r="E54" s="13">
        <f>SUM(E49:E53)</f>
        <v>1062341600</v>
      </c>
      <c r="F54" s="13">
        <f>SUM(F49:F53)</f>
        <v>425000000</v>
      </c>
    </row>
    <row r="55" spans="2:11" x14ac:dyDescent="0.35">
      <c r="C55" s="72" t="s">
        <v>6782</v>
      </c>
      <c r="D55" s="72"/>
      <c r="E55" s="72" t="str">
        <f>IF(ABS(E54-'Balance Sheet'!E15-'Balance Sheet'!E16)&lt;1,"✔","✖")</f>
        <v>✔</v>
      </c>
    </row>
    <row r="56" spans="2:11" ht="22" customHeight="1" x14ac:dyDescent="0.35">
      <c r="C56" s="150" t="s">
        <v>6785</v>
      </c>
      <c r="D56" s="150"/>
      <c r="E56" s="150"/>
      <c r="F56" s="150"/>
      <c r="G56" s="150"/>
      <c r="H56" s="150"/>
      <c r="I56" s="150"/>
      <c r="J56" s="150"/>
      <c r="K56" s="150"/>
    </row>
    <row r="58" spans="2:11" x14ac:dyDescent="0.35">
      <c r="B58" s="160">
        <v>5</v>
      </c>
      <c r="C58" s="68" t="s">
        <v>6786</v>
      </c>
      <c r="D58" s="68"/>
      <c r="E58" s="68"/>
      <c r="F58" s="68"/>
      <c r="G58" s="68"/>
      <c r="H58" s="68"/>
      <c r="I58" s="68"/>
      <c r="J58" s="68"/>
      <c r="K58" s="68"/>
    </row>
    <row r="59" spans="2:11" x14ac:dyDescent="0.35">
      <c r="C59" s="151"/>
      <c r="D59" s="151" t="s">
        <v>4852</v>
      </c>
      <c r="E59" s="152" t="str">
        <f>CurLabel</f>
        <v>31 October 2026</v>
      </c>
      <c r="F59" s="152" t="str">
        <f>CompLabel</f>
        <v>31 December 2025</v>
      </c>
      <c r="G59" s="153"/>
      <c r="H59" s="153"/>
      <c r="I59" s="153"/>
      <c r="J59" s="153"/>
      <c r="K59" s="153"/>
    </row>
    <row r="60" spans="2:11" x14ac:dyDescent="0.35">
      <c r="C60" s="1" t="str" cm="1">
        <f t="array" ref="C60:F60">_xlfn._xlws.FILTER(_xlfn.HSTACK(_xlfn.ANCHORARRAY('Trial Balance'!C8),_xlfn.ANCHORARRAY('Trial Balance'!B8),_xlfn.ANCHORARRAY('Trial Balance'!N8),_xlfn.ANCHORARRAY('Trial Balance'!M8)),_xlfn.ANCHORARRAY('Trial Balance'!G8)=5)</f>
        <v>Merchandise inventory</v>
      </c>
      <c r="D60" s="110">
        <v>1310</v>
      </c>
      <c r="E60" s="5">
        <v>981559000</v>
      </c>
      <c r="F60" s="5">
        <v>950000000</v>
      </c>
    </row>
    <row r="61" spans="2:11" x14ac:dyDescent="0.35">
      <c r="D61" s="110"/>
      <c r="E61" s="5"/>
      <c r="F61" s="5"/>
    </row>
    <row r="62" spans="2:11" x14ac:dyDescent="0.35">
      <c r="C62" s="2" t="s">
        <v>6787</v>
      </c>
      <c r="D62" s="2"/>
      <c r="E62" s="13">
        <f>SUM(E60:E61)</f>
        <v>981559000</v>
      </c>
      <c r="F62" s="13">
        <f>SUM(F60:F61)</f>
        <v>950000000</v>
      </c>
    </row>
    <row r="63" spans="2:11" ht="22" customHeight="1" x14ac:dyDescent="0.35">
      <c r="C63" s="150" t="str">
        <f>"Inventory days (based on cost of revenue): "&amp;FIXED(IFERROR(E62/(-'Income Statement'!E13)*'Company Info'!C30*30.4,0),0)&amp;" days. Management believes no write-down to net realisable value is required."</f>
        <v>Inventory days (based on cost of revenue): 44 days. Management believes no write-down to net realisable value is required.</v>
      </c>
      <c r="D63" s="150"/>
      <c r="E63" s="150"/>
      <c r="F63" s="150"/>
      <c r="G63" s="150"/>
      <c r="H63" s="150"/>
      <c r="I63" s="150"/>
      <c r="J63" s="150"/>
      <c r="K63" s="150"/>
    </row>
    <row r="65" spans="2:11" x14ac:dyDescent="0.35">
      <c r="B65" s="160">
        <v>6</v>
      </c>
      <c r="C65" s="68" t="s">
        <v>6788</v>
      </c>
      <c r="D65" s="68"/>
      <c r="E65" s="68"/>
      <c r="F65" s="68"/>
      <c r="G65" s="68"/>
      <c r="H65" s="68"/>
      <c r="I65" s="68"/>
      <c r="J65" s="68"/>
      <c r="K65" s="68"/>
    </row>
    <row r="66" spans="2:11" x14ac:dyDescent="0.35">
      <c r="C66" s="151"/>
      <c r="D66" s="151" t="s">
        <v>4852</v>
      </c>
      <c r="E66" s="152" t="str">
        <f>CurLabel</f>
        <v>31 October 2026</v>
      </c>
      <c r="F66" s="152" t="str">
        <f>CompLabel</f>
        <v>31 December 2025</v>
      </c>
      <c r="G66" s="153"/>
      <c r="H66" s="153"/>
      <c r="I66" s="153"/>
      <c r="J66" s="153"/>
      <c r="K66" s="153"/>
    </row>
    <row r="67" spans="2:11" x14ac:dyDescent="0.35">
      <c r="C67" s="1" t="str" cm="1">
        <f t="array" ref="C67:F69">_xlfn._xlws.FILTER(_xlfn.HSTACK(_xlfn.ANCHORARRAY('Trial Balance'!C8),_xlfn.ANCHORARRAY('Trial Balance'!B8),_xlfn.ANCHORARRAY('Trial Balance'!N8),_xlfn.ANCHORARRAY('Trial Balance'!M8)),_xlfn.ANCHORARRAY('Trial Balance'!G8)=6)</f>
        <v>Prepaid Rent</v>
      </c>
      <c r="D67" s="110">
        <v>1410</v>
      </c>
      <c r="E67" s="5">
        <v>22000000</v>
      </c>
      <c r="F67" s="5">
        <v>132000000</v>
      </c>
    </row>
    <row r="68" spans="2:11" x14ac:dyDescent="0.35">
      <c r="C68" s="1" t="str">
        <v>Prepaid Insurance</v>
      </c>
      <c r="D68" s="110">
        <v>1420</v>
      </c>
      <c r="E68" s="5">
        <v>36000000</v>
      </c>
      <c r="F68" s="5">
        <v>25000000</v>
      </c>
    </row>
    <row r="69" spans="2:11" x14ac:dyDescent="0.35">
      <c r="C69" s="1" t="str">
        <v>Prepaid Software Subscriptions</v>
      </c>
      <c r="D69" s="110">
        <v>1430</v>
      </c>
      <c r="E69" s="5">
        <v>29000000</v>
      </c>
      <c r="F69" s="5">
        <v>15000000</v>
      </c>
    </row>
    <row r="70" spans="2:11" x14ac:dyDescent="0.35">
      <c r="D70" s="110"/>
      <c r="E70" s="5"/>
      <c r="F70" s="5"/>
    </row>
    <row r="71" spans="2:11" x14ac:dyDescent="0.35">
      <c r="C71" s="2" t="s">
        <v>6789</v>
      </c>
      <c r="D71" s="2"/>
      <c r="E71" s="13">
        <f>SUM(E67:E70)</f>
        <v>87000000</v>
      </c>
      <c r="F71" s="13">
        <f>SUM(F67:F70)</f>
        <v>172000000</v>
      </c>
    </row>
    <row r="72" spans="2:11" x14ac:dyDescent="0.35">
      <c r="C72" s="72" t="s">
        <v>6782</v>
      </c>
      <c r="D72" s="72"/>
      <c r="E72" s="72" t="str">
        <f>IF(ABS(E71-'Balance Sheet'!E18)&lt;1,"✔","✖")</f>
        <v>✔</v>
      </c>
    </row>
    <row r="73" spans="2:11" x14ac:dyDescent="0.35">
      <c r="C73" s="12" t="s">
        <v>6790</v>
      </c>
    </row>
    <row r="74" spans="2:11" x14ac:dyDescent="0.35">
      <c r="C74" s="1" t="str" cm="1">
        <f t="array" ref="C74:E78">IFERROR(_xlfn._xlws.FILTER(_xlfn.HSTACK(tblPrepaid[Description],tblPrepaid[Prepaid ID],tblPrepaid[Balance at Period End]),tblPrepaid[Balance at Period End]&gt;0),"–")</f>
        <v>Store &amp; Office Rent 2026</v>
      </c>
      <c r="D74" s="1" t="str">
        <v>PP-001</v>
      </c>
      <c r="E74" s="5">
        <v>22000000</v>
      </c>
    </row>
    <row r="75" spans="2:11" x14ac:dyDescent="0.35">
      <c r="C75" s="1" t="str">
        <v>Property All-Risk Insurance 2026/27</v>
      </c>
      <c r="D75" s="1" t="str">
        <v>PP-004</v>
      </c>
      <c r="E75" s="5">
        <v>36000000</v>
      </c>
    </row>
    <row r="76" spans="2:11" x14ac:dyDescent="0.35">
      <c r="C76" s="1" t="str">
        <v>POS Cloud Subscription 2026/27</v>
      </c>
      <c r="D76" s="1" t="str">
        <v>PP-006</v>
      </c>
      <c r="E76" s="5">
        <v>20000000</v>
      </c>
    </row>
    <row r="77" spans="2:11" x14ac:dyDescent="0.35">
      <c r="C77" s="1" t="str">
        <v>Microsoft 365 Business (annual)</v>
      </c>
      <c r="D77" s="1" t="str">
        <v>PP-007</v>
      </c>
      <c r="E77" s="5">
        <v>3000000</v>
      </c>
    </row>
    <row r="78" spans="2:11" x14ac:dyDescent="0.35">
      <c r="C78" s="1" t="str">
        <v>Accounting Software (annual)</v>
      </c>
      <c r="D78" s="1" t="str">
        <v>PP-008</v>
      </c>
      <c r="E78" s="5">
        <v>6000000</v>
      </c>
    </row>
    <row r="79" spans="2:11" x14ac:dyDescent="0.35">
      <c r="E79" s="5"/>
    </row>
    <row r="80" spans="2:11" x14ac:dyDescent="0.35">
      <c r="E80" s="5"/>
    </row>
    <row r="81" spans="2:11" x14ac:dyDescent="0.35">
      <c r="E81" s="5"/>
    </row>
    <row r="83" spans="2:11" x14ac:dyDescent="0.35">
      <c r="B83" s="160">
        <v>7</v>
      </c>
      <c r="C83" s="68" t="s">
        <v>6791</v>
      </c>
      <c r="D83" s="68"/>
      <c r="E83" s="68"/>
      <c r="F83" s="68"/>
      <c r="G83" s="68"/>
      <c r="H83" s="68"/>
      <c r="I83" s="68"/>
      <c r="J83" s="68"/>
      <c r="K83" s="68"/>
    </row>
    <row r="84" spans="2:11" x14ac:dyDescent="0.35">
      <c r="C84" s="12" t="s">
        <v>6792</v>
      </c>
    </row>
    <row r="85" spans="2:11" x14ac:dyDescent="0.35">
      <c r="C85" s="151"/>
      <c r="D85" s="151" t="s">
        <v>4852</v>
      </c>
      <c r="E85" s="152" t="str">
        <f>CurLabel</f>
        <v>31 October 2026</v>
      </c>
      <c r="F85" s="152" t="str">
        <f>CompLabel</f>
        <v>31 December 2025</v>
      </c>
      <c r="G85" s="153"/>
      <c r="H85" s="153"/>
      <c r="I85" s="153"/>
      <c r="J85" s="153"/>
      <c r="K85" s="153"/>
    </row>
    <row r="86" spans="2:11" x14ac:dyDescent="0.35">
      <c r="C86" s="1" t="str" cm="1">
        <f t="array" ref="C86:F87">_xlfn._xlws.FILTER(_xlfn.HSTACK(_xlfn.ANCHORARRAY('Trial Balance'!C8),_xlfn.ANCHORARRAY('Trial Balance'!B8),_xlfn.ANCHORARRAY('Trial Balance'!N8),_xlfn.ANCHORARRAY('Trial Balance'!M8)),(_xlfn.ANCHORARRAY('Trial Balance'!G8)=7)*(_xlfn.ANCHORARRAY('Trial Balance'!D8)="Asset"))</f>
        <v>Input VAT (PPN Masukan)</v>
      </c>
      <c r="D86" s="110">
        <v>1510</v>
      </c>
      <c r="E86" s="5">
        <v>0</v>
      </c>
      <c r="F86" s="5">
        <v>0</v>
      </c>
    </row>
    <row r="87" spans="2:11" x14ac:dyDescent="0.35">
      <c r="C87" s="1" t="str">
        <v>Prepaid Income Tax - Art. 25</v>
      </c>
      <c r="D87" s="110">
        <v>1520</v>
      </c>
      <c r="E87" s="5">
        <v>200000000</v>
      </c>
      <c r="F87" s="5">
        <v>0</v>
      </c>
    </row>
    <row r="88" spans="2:11" x14ac:dyDescent="0.35">
      <c r="D88" s="110"/>
      <c r="E88" s="5"/>
      <c r="F88" s="5"/>
    </row>
    <row r="89" spans="2:11" x14ac:dyDescent="0.35">
      <c r="C89" s="2" t="s">
        <v>6793</v>
      </c>
      <c r="D89" s="2"/>
      <c r="E89" s="13">
        <f>SUM(E86:E88)</f>
        <v>200000000</v>
      </c>
      <c r="F89" s="13">
        <f>SUM(F86:F88)</f>
        <v>0</v>
      </c>
    </row>
    <row r="90" spans="2:11" x14ac:dyDescent="0.35">
      <c r="C90" s="1" t="str" cm="1">
        <f t="array" ref="C90:F94">_xlfn._xlws.FILTER(_xlfn.HSTACK(_xlfn.ANCHORARRAY('Trial Balance'!C8),_xlfn.ANCHORARRAY('Trial Balance'!B8),-_xlfn.ANCHORARRAY('Trial Balance'!N8),-_xlfn.ANCHORARRAY('Trial Balance'!M8)),(_xlfn.ANCHORARRAY('Trial Balance'!G8)=7)*(_xlfn.ANCHORARRAY('Trial Balance'!D8)="Liability"))</f>
        <v>Output VAT (PPN Keluaran)</v>
      </c>
      <c r="D90" s="110">
        <v>2210</v>
      </c>
      <c r="E90" s="5">
        <v>0</v>
      </c>
      <c r="F90" s="5">
        <v>0</v>
      </c>
    </row>
    <row r="91" spans="2:11" x14ac:dyDescent="0.35">
      <c r="C91" s="1" t="str">
        <v>VAT Payable - Net</v>
      </c>
      <c r="D91" s="110">
        <v>2220</v>
      </c>
      <c r="E91" s="5">
        <v>60515180</v>
      </c>
      <c r="F91" s="5">
        <v>85000000</v>
      </c>
    </row>
    <row r="92" spans="2:11" x14ac:dyDescent="0.35">
      <c r="C92" s="1" t="str">
        <v>WHT Payable - Art. 21</v>
      </c>
      <c r="D92" s="110">
        <v>2230</v>
      </c>
      <c r="E92" s="5">
        <v>10516831</v>
      </c>
      <c r="F92" s="5">
        <v>14000000</v>
      </c>
    </row>
    <row r="93" spans="2:11" x14ac:dyDescent="0.35">
      <c r="C93" s="1" t="str">
        <v>WHT Payable - Unifikasi (Art. 23/4(2))</v>
      </c>
      <c r="D93" s="110">
        <v>2240</v>
      </c>
      <c r="E93" s="5">
        <v>643880</v>
      </c>
      <c r="F93" s="5">
        <v>6500000</v>
      </c>
    </row>
    <row r="94" spans="2:11" x14ac:dyDescent="0.35">
      <c r="C94" s="1" t="str">
        <v>Corporate Income Tax Payable (Art. 29)</v>
      </c>
      <c r="D94" s="110">
        <v>2250</v>
      </c>
      <c r="E94" s="5">
        <v>201469208</v>
      </c>
      <c r="F94" s="5">
        <v>60000000</v>
      </c>
    </row>
    <row r="95" spans="2:11" x14ac:dyDescent="0.35">
      <c r="D95" s="110"/>
      <c r="E95" s="5"/>
      <c r="F95" s="5"/>
    </row>
    <row r="96" spans="2:11" x14ac:dyDescent="0.35">
      <c r="C96" s="2" t="s">
        <v>6794</v>
      </c>
      <c r="D96" s="2"/>
      <c r="E96" s="13">
        <f>SUM(E90:E95)</f>
        <v>273145099</v>
      </c>
      <c r="F96" s="13">
        <f>SUM(F90:F95)</f>
        <v>165500000</v>
      </c>
    </row>
    <row r="97" spans="2:11" x14ac:dyDescent="0.35">
      <c r="C97" s="72" t="s">
        <v>6782</v>
      </c>
      <c r="D97" s="72"/>
      <c r="E97" s="72" t="str">
        <f>IF(ABS(E96-'Balance Sheet'!E34)&lt;1,"✔","✖")</f>
        <v>✔</v>
      </c>
    </row>
    <row r="98" spans="2:11" x14ac:dyDescent="0.35">
      <c r="C98" s="12" t="s">
        <v>6795</v>
      </c>
    </row>
    <row r="99" spans="2:11" x14ac:dyDescent="0.35">
      <c r="C99" s="1" t="s">
        <v>6796</v>
      </c>
      <c r="E99" s="5">
        <f>'Tax Reconciliation'!Q52*1</f>
        <v>1124192448</v>
      </c>
    </row>
    <row r="100" spans="2:11" x14ac:dyDescent="0.35">
      <c r="C100" s="1" t="s">
        <v>6797</v>
      </c>
      <c r="E100" s="5">
        <f>'Tax Reconciliation'!Q59*1</f>
        <v>58778417</v>
      </c>
    </row>
    <row r="101" spans="2:11" x14ac:dyDescent="0.35">
      <c r="C101" s="1" t="s">
        <v>6798</v>
      </c>
      <c r="E101" s="5">
        <f>'Tax Reconciliation'!Q62*-1</f>
        <v>-21647064</v>
      </c>
    </row>
    <row r="102" spans="2:11" x14ac:dyDescent="0.35">
      <c r="C102" s="2" t="s">
        <v>6632</v>
      </c>
      <c r="D102" s="2"/>
      <c r="E102" s="11">
        <f>'Tax Reconciliation'!Q63*1</f>
        <v>1161323801</v>
      </c>
    </row>
    <row r="103" spans="2:11" x14ac:dyDescent="0.35">
      <c r="C103" s="1" t="s">
        <v>6799</v>
      </c>
      <c r="E103" s="5">
        <f>'Tax Reconciliation'!Q64*1</f>
        <v>1161323000</v>
      </c>
    </row>
    <row r="104" spans="2:11" x14ac:dyDescent="0.35">
      <c r="C104" s="1" t="s">
        <v>6800</v>
      </c>
      <c r="E104" s="5">
        <f>'Tax Reconciliation'!Q65*1</f>
        <v>491107747</v>
      </c>
    </row>
    <row r="105" spans="2:11" x14ac:dyDescent="0.35">
      <c r="C105" s="2" t="s">
        <v>6643</v>
      </c>
      <c r="D105" s="2"/>
      <c r="E105" s="11">
        <f>'Tax Reconciliation'!Q69*1</f>
        <v>201469208</v>
      </c>
    </row>
    <row r="106" spans="2:11" x14ac:dyDescent="0.35">
      <c r="C106" s="1" t="s">
        <v>6801</v>
      </c>
      <c r="E106" s="5">
        <f>'Tax Reconciliation'!Q70*-1</f>
        <v>-200000000</v>
      </c>
    </row>
    <row r="107" spans="2:11" x14ac:dyDescent="0.35">
      <c r="C107" s="2" t="s">
        <v>6802</v>
      </c>
      <c r="D107" s="2"/>
      <c r="E107" s="11">
        <f>'Tax Reconciliation'!Q71*1</f>
        <v>1469208</v>
      </c>
    </row>
    <row r="108" spans="2:11" ht="22" customHeight="1" x14ac:dyDescent="0.35">
      <c r="C108" s="150" t="str">
        <f>"Effective tax rate: "&amp;FIXED('Tax Reconciliation'!Q72*100,1)&amp;"%. Monthly VAT, PPh 21 and PPh Unifikasi returns are reconciled to the general ledger (see Tax Reconciliation): "&amp;'Tax Reconciliation'!E91&amp;"."</f>
        <v>Effective tax rate: 17,9%. Monthly VAT, PPh 21 and PPh Unifikasi returns are reconciled to the general ledger (see Tax Reconciliation): ✔ ALL TAXES RECONCILED.</v>
      </c>
      <c r="D108" s="150"/>
      <c r="E108" s="150"/>
      <c r="F108" s="150"/>
      <c r="G108" s="150"/>
      <c r="H108" s="150"/>
      <c r="I108" s="150"/>
      <c r="J108" s="150"/>
      <c r="K108" s="150"/>
    </row>
    <row r="110" spans="2:11" x14ac:dyDescent="0.35">
      <c r="B110" s="160">
        <v>8</v>
      </c>
      <c r="C110" s="68" t="s">
        <v>6803</v>
      </c>
      <c r="D110" s="68"/>
      <c r="E110" s="68"/>
      <c r="F110" s="68"/>
      <c r="G110" s="68"/>
      <c r="H110" s="68"/>
      <c r="I110" s="68"/>
      <c r="J110" s="68"/>
      <c r="K110" s="68"/>
    </row>
    <row r="111" spans="2:11" ht="24" customHeight="1" x14ac:dyDescent="0.35">
      <c r="C111" s="154" t="s">
        <v>6804</v>
      </c>
      <c r="D111" s="154"/>
      <c r="E111" s="155" t="s">
        <v>6805</v>
      </c>
      <c r="F111" s="155" t="s">
        <v>6806</v>
      </c>
      <c r="G111" s="155" t="s">
        <v>6807</v>
      </c>
      <c r="H111" s="155" t="s">
        <v>6808</v>
      </c>
      <c r="I111" s="155" t="s">
        <v>6809</v>
      </c>
      <c r="J111" s="155" t="s">
        <v>6810</v>
      </c>
      <c r="K111" s="155" t="s">
        <v>6811</v>
      </c>
    </row>
    <row r="112" spans="2:11" x14ac:dyDescent="0.35">
      <c r="C112" s="1" t="str">
        <f>'Fixed Assets'!B7</f>
        <v>Land</v>
      </c>
      <c r="E112" s="5">
        <f>SUMIFS(tblFA[Cost],tblFA[Asset Class],$C112,tblFA[Acquisition Date],"&lt;="&amp;CompDate)</f>
        <v>1200000000</v>
      </c>
      <c r="F112" s="5">
        <f>SUMIFS(tblFA[Cost],tblFA[Asset Class],$C112,tblFA[Acquisition Date],"&gt;"&amp;CompDate,tblFA[Acquisition Date],"&lt;="&amp;PEnd)</f>
        <v>0</v>
      </c>
      <c r="G112" s="5">
        <f>SUMIFS(tblFA[Cost at Period End],tblFA[Asset Class],$C112)</f>
        <v>1200000000</v>
      </c>
      <c r="H112" s="5">
        <f>SUMIFS(tblFA[Opening Acc. Dep.],tblFA[Asset Class],$C112)</f>
        <v>0</v>
      </c>
      <c r="I112" s="5">
        <f>SUMIFS(tblFA[YTD Depreciation],tblFA[Asset Class],$C112)</f>
        <v>0</v>
      </c>
      <c r="J112" s="5">
        <f>SUMIFS(tblFA[Acc. Dep. at Period End],tblFA[Asset Class],$C112)</f>
        <v>0</v>
      </c>
      <c r="K112" s="5">
        <f>SUMIFS(tblFA[NBV at Period End],tblFA[Asset Class],$C112)</f>
        <v>1200000000</v>
      </c>
    </row>
    <row r="113" spans="2:11" x14ac:dyDescent="0.35">
      <c r="C113" s="1" t="str">
        <f>'Fixed Assets'!B8</f>
        <v>Buildings</v>
      </c>
      <c r="E113" s="5">
        <f>SUMIFS(tblFA[Cost],tblFA[Asset Class],$C113,tblFA[Acquisition Date],"&lt;="&amp;CompDate)</f>
        <v>1800000000</v>
      </c>
      <c r="F113" s="5">
        <f>SUMIFS(tblFA[Cost],tblFA[Asset Class],$C113,tblFA[Acquisition Date],"&gt;"&amp;CompDate,tblFA[Acquisition Date],"&lt;="&amp;PEnd)</f>
        <v>0</v>
      </c>
      <c r="G113" s="5">
        <f>SUMIFS(tblFA[Cost at Period End],tblFA[Asset Class],$C113)</f>
        <v>1800000000</v>
      </c>
      <c r="H113" s="5">
        <f>SUMIFS(tblFA[Opening Acc. Dep.],tblFA[Asset Class],$C113)</f>
        <v>697500000</v>
      </c>
      <c r="I113" s="5">
        <f>SUMIFS(tblFA[YTD Depreciation],tblFA[Asset Class],$C113)</f>
        <v>75000000</v>
      </c>
      <c r="J113" s="5">
        <f>SUMIFS(tblFA[Acc. Dep. at Period End],tblFA[Asset Class],$C113)</f>
        <v>772500000</v>
      </c>
      <c r="K113" s="5">
        <f>SUMIFS(tblFA[NBV at Period End],tblFA[Asset Class],$C113)</f>
        <v>1027500000</v>
      </c>
    </row>
    <row r="114" spans="2:11" x14ac:dyDescent="0.35">
      <c r="C114" s="1" t="str">
        <f>'Fixed Assets'!B9</f>
        <v>Vehicles</v>
      </c>
      <c r="E114" s="5">
        <f>SUMIFS(tblFA[Cost],tblFA[Asset Class],$C114,tblFA[Acquisition Date],"&lt;="&amp;CompDate)</f>
        <v>700000000</v>
      </c>
      <c r="F114" s="5">
        <f>SUMIFS(tblFA[Cost],tblFA[Asset Class],$C114,tblFA[Acquisition Date],"&gt;"&amp;CompDate,tblFA[Acquisition Date],"&lt;="&amp;PEnd)</f>
        <v>320000000</v>
      </c>
      <c r="G114" s="5">
        <f>SUMIFS(tblFA[Cost at Period End],tblFA[Asset Class],$C114)</f>
        <v>1020000000</v>
      </c>
      <c r="H114" s="5">
        <f>SUMIFS(tblFA[Opening Acc. Dep.],tblFA[Asset Class],$C114)</f>
        <v>377708349</v>
      </c>
      <c r="I114" s="5">
        <f>SUMIFS(tblFA[YTD Depreciation],tblFA[Asset Class],$C114)</f>
        <v>82916669</v>
      </c>
      <c r="J114" s="5">
        <f>SUMIFS(tblFA[Acc. Dep. at Period End],tblFA[Asset Class],$C114)</f>
        <v>460625018</v>
      </c>
      <c r="K114" s="5">
        <f>SUMIFS(tblFA[NBV at Period End],tblFA[Asset Class],$C114)</f>
        <v>559374982</v>
      </c>
    </row>
    <row r="115" spans="2:11" x14ac:dyDescent="0.35">
      <c r="C115" s="1" t="str">
        <f>'Fixed Assets'!B10</f>
        <v>Machinery &amp; Equipment</v>
      </c>
      <c r="E115" s="5">
        <f>SUMIFS(tblFA[Cost],tblFA[Asset Class],$C115,tblFA[Acquisition Date],"&lt;="&amp;CompDate)</f>
        <v>800000000</v>
      </c>
      <c r="F115" s="5">
        <f>SUMIFS(tblFA[Cost],tblFA[Asset Class],$C115,tblFA[Acquisition Date],"&gt;"&amp;CompDate,tblFA[Acquisition Date],"&lt;="&amp;PEnd)</f>
        <v>180000000</v>
      </c>
      <c r="G115" s="5">
        <f>SUMIFS(tblFA[Cost at Period End],tblFA[Asset Class],$C115)</f>
        <v>980000000</v>
      </c>
      <c r="H115" s="5">
        <f>SUMIFS(tblFA[Opening Acc. Dep.],tblFA[Asset Class],$C115)</f>
        <v>523645817</v>
      </c>
      <c r="I115" s="5">
        <f>SUMIFS(tblFA[YTD Depreciation],tblFA[Asset Class],$C115)</f>
        <v>98333330</v>
      </c>
      <c r="J115" s="5">
        <f>SUMIFS(tblFA[Acc. Dep. at Period End],tblFA[Asset Class],$C115)</f>
        <v>621979147</v>
      </c>
      <c r="K115" s="5">
        <f>SUMIFS(tblFA[NBV at Period End],tblFA[Asset Class],$C115)</f>
        <v>358020853</v>
      </c>
    </row>
    <row r="116" spans="2:11" x14ac:dyDescent="0.35">
      <c r="C116" s="1" t="str">
        <f>'Fixed Assets'!B11</f>
        <v>Office Furniture &amp; Equipment</v>
      </c>
      <c r="E116" s="5">
        <f>SUMIFS(tblFA[Cost],tblFA[Asset Class],$C116,tblFA[Acquisition Date],"&lt;="&amp;CompDate)</f>
        <v>270000000</v>
      </c>
      <c r="F116" s="5">
        <f>SUMIFS(tblFA[Cost],tblFA[Asset Class],$C116,tblFA[Acquisition Date],"&gt;"&amp;CompDate,tblFA[Acquisition Date],"&lt;="&amp;PEnd)</f>
        <v>0</v>
      </c>
      <c r="G116" s="5">
        <f>SUMIFS(tblFA[Cost at Period End],tblFA[Asset Class],$C116)</f>
        <v>270000000</v>
      </c>
      <c r="H116" s="5">
        <f>SUMIFS(tblFA[Opening Acc. Dep.],tblFA[Asset Class],$C116)</f>
        <v>204750000</v>
      </c>
      <c r="I116" s="5">
        <f>SUMIFS(tblFA[YTD Depreciation],tblFA[Asset Class],$C116)</f>
        <v>31250000</v>
      </c>
      <c r="J116" s="5">
        <f>SUMIFS(tblFA[Acc. Dep. at Period End],tblFA[Asset Class],$C116)</f>
        <v>236000000</v>
      </c>
      <c r="K116" s="5">
        <f>SUMIFS(tblFA[NBV at Period End],tblFA[Asset Class],$C116)</f>
        <v>34000000</v>
      </c>
    </row>
    <row r="117" spans="2:11" x14ac:dyDescent="0.35">
      <c r="C117" s="2" t="s">
        <v>4274</v>
      </c>
      <c r="D117" s="2"/>
      <c r="E117" s="13">
        <f>SUM(E112:E116)</f>
        <v>4770000000</v>
      </c>
      <c r="F117" s="13">
        <f>SUM(F112:F116)</f>
        <v>500000000</v>
      </c>
      <c r="G117" s="13">
        <f>SUM(G112:G116)</f>
        <v>5270000000</v>
      </c>
      <c r="H117" s="13">
        <f>SUM(H112:H116)</f>
        <v>1803604166</v>
      </c>
      <c r="I117" s="13">
        <f>SUM(I112:I116)</f>
        <v>287499999</v>
      </c>
      <c r="J117" s="13">
        <f>SUM(J112:J116)</f>
        <v>2091104165</v>
      </c>
      <c r="K117" s="13">
        <f>SUM(K112:K116)</f>
        <v>3178895835</v>
      </c>
    </row>
    <row r="118" spans="2:11" x14ac:dyDescent="0.35">
      <c r="C118" s="72" t="s">
        <v>6782</v>
      </c>
      <c r="D118" s="72"/>
      <c r="E118" s="72" t="str">
        <f>IF(ABS(K117-'Balance Sheet'!E23)&lt;1,"✔","✖")</f>
        <v>✔</v>
      </c>
    </row>
    <row r="119" spans="2:11" ht="22" customHeight="1" x14ac:dyDescent="0.35">
      <c r="C119" s="150" t="str">
        <f>"Depreciation charged for the period of "&amp;FIXED(I117,0)&amp;" is recorded in general &amp; administrative expenses. Additions during the period relate to POS equipment and a delivery van. Detailed asset-by-asset schedule: see Fixed Assets sheet."</f>
        <v>Depreciation charged for the period of 287.499.999 is recorded in general &amp; administrative expenses. Additions during the period relate to POS equipment and a delivery van. Detailed asset-by-asset schedule: see Fixed Assets sheet.</v>
      </c>
      <c r="D119" s="150"/>
      <c r="E119" s="150"/>
      <c r="F119" s="150"/>
      <c r="G119" s="150"/>
      <c r="H119" s="150"/>
      <c r="I119" s="150"/>
      <c r="J119" s="150"/>
      <c r="K119" s="150"/>
    </row>
    <row r="121" spans="2:11" x14ac:dyDescent="0.35">
      <c r="B121" s="160">
        <v>9</v>
      </c>
      <c r="C121" s="68" t="s">
        <v>6812</v>
      </c>
      <c r="D121" s="68"/>
      <c r="E121" s="68"/>
      <c r="F121" s="68"/>
      <c r="G121" s="68"/>
      <c r="H121" s="68"/>
      <c r="I121" s="68"/>
      <c r="J121" s="68"/>
      <c r="K121" s="68"/>
    </row>
    <row r="122" spans="2:11" ht="24" customHeight="1" x14ac:dyDescent="0.35">
      <c r="C122" s="154" t="s">
        <v>6804</v>
      </c>
      <c r="D122" s="154"/>
      <c r="E122" s="155" t="s">
        <v>6805</v>
      </c>
      <c r="F122" s="155" t="s">
        <v>6806</v>
      </c>
      <c r="G122" s="155" t="s">
        <v>6807</v>
      </c>
      <c r="H122" s="155" t="s">
        <v>6808</v>
      </c>
      <c r="I122" s="155" t="s">
        <v>6809</v>
      </c>
      <c r="J122" s="155" t="s">
        <v>6810</v>
      </c>
      <c r="K122" s="155" t="s">
        <v>6811</v>
      </c>
    </row>
    <row r="123" spans="2:11" x14ac:dyDescent="0.35">
      <c r="C123" s="1" t="str">
        <f>'Fixed Assets'!B12</f>
        <v>Software</v>
      </c>
      <c r="E123" s="5">
        <f>SUMIFS(tblFA[Cost],tblFA[Asset Class],$C123,tblFA[Acquisition Date],"&lt;="&amp;CompDate)</f>
        <v>180000000</v>
      </c>
      <c r="F123" s="5">
        <f>SUMIFS(tblFA[Cost],tblFA[Asset Class],$C123,tblFA[Acquisition Date],"&gt;"&amp;CompDate,tblFA[Acquisition Date],"&lt;="&amp;PEnd)</f>
        <v>60000000</v>
      </c>
      <c r="G123" s="5">
        <f>SUMIFS(tblFA[Cost at Period End],tblFA[Asset Class],$C123)</f>
        <v>240000000</v>
      </c>
      <c r="H123" s="5">
        <f>SUMIFS(tblFA[Opening Acc. Dep.],tblFA[Asset Class],$C123)</f>
        <v>135000000</v>
      </c>
      <c r="I123" s="5">
        <f>SUMIFS(tblFA[YTD Depreciation],tblFA[Asset Class],$C123)</f>
        <v>43750000</v>
      </c>
      <c r="J123" s="5">
        <f>SUMIFS(tblFA[Acc. Dep. at Period End],tblFA[Asset Class],$C123)</f>
        <v>178750000</v>
      </c>
      <c r="K123" s="5">
        <f>SUMIFS(tblFA[NBV at Period End],tblFA[Asset Class],$C123)</f>
        <v>61250000</v>
      </c>
    </row>
    <row r="124" spans="2:11" x14ac:dyDescent="0.35">
      <c r="C124" s="2" t="s">
        <v>4274</v>
      </c>
      <c r="D124" s="2"/>
      <c r="E124" s="13">
        <f>SUM(E123:E123)</f>
        <v>180000000</v>
      </c>
      <c r="F124" s="13">
        <f>SUM(F123:F123)</f>
        <v>60000000</v>
      </c>
      <c r="G124" s="13">
        <f>SUM(G123:G123)</f>
        <v>240000000</v>
      </c>
      <c r="H124" s="13">
        <f>SUM(H123:H123)</f>
        <v>135000000</v>
      </c>
      <c r="I124" s="13">
        <f>SUM(I123:I123)</f>
        <v>43750000</v>
      </c>
      <c r="J124" s="13">
        <f>SUM(J123:J123)</f>
        <v>178750000</v>
      </c>
      <c r="K124" s="13">
        <f>SUM(K123:K123)</f>
        <v>61250000</v>
      </c>
    </row>
    <row r="125" spans="2:11" x14ac:dyDescent="0.35">
      <c r="C125" s="72" t="s">
        <v>6782</v>
      </c>
      <c r="D125" s="72"/>
      <c r="E125" s="72" t="str">
        <f>IF(ABS(K124-'Balance Sheet'!E24)&lt;1,"✔","✖")</f>
        <v>✔</v>
      </c>
    </row>
    <row r="127" spans="2:11" x14ac:dyDescent="0.35">
      <c r="B127" s="160">
        <v>10</v>
      </c>
      <c r="C127" s="68" t="s">
        <v>6813</v>
      </c>
      <c r="D127" s="68"/>
      <c r="E127" s="68"/>
      <c r="F127" s="68"/>
      <c r="G127" s="68"/>
      <c r="H127" s="68"/>
      <c r="I127" s="68"/>
      <c r="J127" s="68"/>
      <c r="K127" s="68"/>
    </row>
    <row r="128" spans="2:11" x14ac:dyDescent="0.35">
      <c r="C128" s="151"/>
      <c r="D128" s="151" t="s">
        <v>4852</v>
      </c>
      <c r="E128" s="152" t="str">
        <f>CurLabel</f>
        <v>31 October 2026</v>
      </c>
      <c r="F128" s="152" t="str">
        <f>CompLabel</f>
        <v>31 December 2025</v>
      </c>
    </row>
    <row r="129" spans="2:11" x14ac:dyDescent="0.35">
      <c r="C129" s="1" t="str" cm="1">
        <f t="array" ref="C129:F129">_xlfn._xlws.FILTER(_xlfn.HSTACK(_xlfn.ANCHORARRAY('Trial Balance'!C8),_xlfn.ANCHORARRAY('Trial Balance'!B8),-_xlfn.ANCHORARRAY('Trial Balance'!N8),-_xlfn.ANCHORARRAY('Trial Balance'!M8)),_xlfn.ANCHORARRAY('Trial Balance'!G8)=10)</f>
        <v>Trade Payables</v>
      </c>
      <c r="D129" s="110">
        <v>2110</v>
      </c>
      <c r="E129" s="5">
        <v>801450040</v>
      </c>
      <c r="F129" s="5">
        <v>620000000</v>
      </c>
    </row>
    <row r="130" spans="2:11" x14ac:dyDescent="0.35">
      <c r="D130" s="110"/>
      <c r="E130" s="5"/>
      <c r="F130" s="5"/>
    </row>
    <row r="131" spans="2:11" x14ac:dyDescent="0.35">
      <c r="C131" s="2" t="s">
        <v>6814</v>
      </c>
      <c r="D131" s="2"/>
      <c r="E131" s="13">
        <f>SUM(E129:E130)</f>
        <v>801450040</v>
      </c>
      <c r="F131" s="13">
        <f>SUM(F129:F130)</f>
        <v>620000000</v>
      </c>
    </row>
    <row r="132" spans="2:11" x14ac:dyDescent="0.35">
      <c r="C132" s="12" t="s">
        <v>6815</v>
      </c>
    </row>
    <row r="133" spans="2:11" x14ac:dyDescent="0.35">
      <c r="C133" s="1" t="str" cm="1">
        <f t="array" ref="C133:E138">_xlfn.LET(_xlpm.f,(tblPurchases[Date]&lt;=PEnd)*((tblPurchases[Payment Date]="")+(tblPurchases[Payment Date]&gt;PEnd)),_xlpm.v,_xlfn.UNIQUE(_xlfn._xlws.FILTER(tblPurchases[Vendor Name],_xlpm.f,"")),_xlpm.amt,_xlfn.MAP(_xlpm.v,_xlfn.LAMBDA(_xlpm.x,SUM(_xlfn._xlws.FILTER(tblPurchases[Total Payable],_xlpm.f*(tblPurchases[Vendor Name]=_xlpm.x),0)))),IFERROR(_xlfn.SORTBY(_xlfn.HSTACK(_xlpm.v,IF(_xlpm.v="","",""),_xlpm.amt),_xlpm.amt,-1),"–"))</f>
        <v>PT Sumber Barang Utama</v>
      </c>
      <c r="D133" s="1" t="str">
        <v/>
      </c>
      <c r="E133" s="5">
        <v>431996460</v>
      </c>
    </row>
    <row r="134" spans="2:11" x14ac:dyDescent="0.35">
      <c r="C134" s="1" t="str">
        <v>PT Prima Supply Nusantara</v>
      </c>
      <c r="D134" s="1" t="str">
        <v/>
      </c>
      <c r="E134" s="5">
        <v>302397300</v>
      </c>
    </row>
    <row r="135" spans="2:11" x14ac:dyDescent="0.35">
      <c r="C135" s="1" t="str">
        <v>PT Asuransi Proteksi Indonesia</v>
      </c>
      <c r="D135" s="1" t="str">
        <v/>
      </c>
      <c r="E135" s="5">
        <v>36000000</v>
      </c>
    </row>
    <row r="136" spans="2:11" x14ac:dyDescent="0.35">
      <c r="C136" s="1" t="str">
        <v>PT Kreasi Iklan Digital</v>
      </c>
      <c r="D136" s="1" t="str">
        <v/>
      </c>
      <c r="E136" s="5">
        <v>15033280</v>
      </c>
    </row>
    <row r="137" spans="2:11" x14ac:dyDescent="0.35">
      <c r="C137" s="1" t="str">
        <v>PT Ekspedisi Cepat Nusantara</v>
      </c>
      <c r="D137" s="1" t="str">
        <v/>
      </c>
      <c r="E137" s="5">
        <v>12300650</v>
      </c>
    </row>
    <row r="138" spans="2:11" x14ac:dyDescent="0.35">
      <c r="C138" s="1" t="str">
        <v>PT Marketplace Niaga Online</v>
      </c>
      <c r="D138" s="1" t="str">
        <v/>
      </c>
      <c r="E138" s="5">
        <v>3722350</v>
      </c>
    </row>
    <row r="139" spans="2:11" x14ac:dyDescent="0.35">
      <c r="E139" s="5"/>
    </row>
    <row r="140" spans="2:11" x14ac:dyDescent="0.35">
      <c r="E140" s="5"/>
    </row>
    <row r="141" spans="2:11" x14ac:dyDescent="0.35">
      <c r="E141" s="5"/>
    </row>
    <row r="142" spans="2:11" x14ac:dyDescent="0.35">
      <c r="E142" s="5"/>
    </row>
    <row r="144" spans="2:11" x14ac:dyDescent="0.35">
      <c r="B144" s="160">
        <v>11</v>
      </c>
      <c r="C144" s="68" t="s">
        <v>6816</v>
      </c>
      <c r="D144" s="68"/>
      <c r="E144" s="68"/>
      <c r="F144" s="68"/>
      <c r="G144" s="68"/>
      <c r="H144" s="68"/>
      <c r="I144" s="68"/>
      <c r="J144" s="68"/>
      <c r="K144" s="68"/>
    </row>
    <row r="145" spans="2:11" x14ac:dyDescent="0.35">
      <c r="C145" s="151"/>
      <c r="D145" s="151" t="s">
        <v>4852</v>
      </c>
      <c r="E145" s="152" t="str">
        <f>CurLabel</f>
        <v>31 October 2026</v>
      </c>
      <c r="F145" s="152" t="str">
        <f>CompLabel</f>
        <v>31 December 2025</v>
      </c>
    </row>
    <row r="146" spans="2:11" x14ac:dyDescent="0.35">
      <c r="C146" s="1" t="str" cm="1">
        <f t="array" ref="C146:F149">_xlfn._xlws.FILTER(_xlfn.HSTACK(_xlfn.ANCHORARRAY('Trial Balance'!C8),_xlfn.ANCHORARRAY('Trial Balance'!B8),-_xlfn.ANCHORARRAY('Trial Balance'!N8),-_xlfn.ANCHORARRAY('Trial Balance'!M8)),_xlfn.ANCHORARRAY('Trial Balance'!G8)=11)</f>
        <v>Other Payables</v>
      </c>
      <c r="D146" s="110">
        <v>2120</v>
      </c>
      <c r="E146" s="5">
        <v>35000000</v>
      </c>
      <c r="F146" s="5">
        <v>35000000</v>
      </c>
    </row>
    <row r="147" spans="2:11" x14ac:dyDescent="0.35">
      <c r="C147" s="1" t="str">
        <v>Accrued Expenses</v>
      </c>
      <c r="D147" s="110">
        <v>2130</v>
      </c>
      <c r="E147" s="5">
        <v>0</v>
      </c>
      <c r="F147" s="5">
        <v>45000000</v>
      </c>
    </row>
    <row r="148" spans="2:11" x14ac:dyDescent="0.35">
      <c r="C148" s="1" t="str">
        <v>Contract Liabilities</v>
      </c>
      <c r="D148" s="110">
        <v>2140</v>
      </c>
      <c r="E148" s="5">
        <v>40000000</v>
      </c>
      <c r="F148" s="5">
        <v>40000000</v>
      </c>
    </row>
    <row r="149" spans="2:11" x14ac:dyDescent="0.35">
      <c r="C149" s="1" t="str">
        <v>BPJS Payable</v>
      </c>
      <c r="D149" s="110">
        <v>2150</v>
      </c>
      <c r="E149" s="5">
        <v>22077790</v>
      </c>
      <c r="F149" s="5">
        <v>18000000</v>
      </c>
    </row>
    <row r="150" spans="2:11" x14ac:dyDescent="0.35">
      <c r="D150" s="110"/>
      <c r="E150" s="5"/>
      <c r="F150" s="5"/>
    </row>
    <row r="151" spans="2:11" x14ac:dyDescent="0.35">
      <c r="C151" s="2" t="s">
        <v>4274</v>
      </c>
      <c r="D151" s="2"/>
      <c r="E151" s="13">
        <f>SUM(E146:E150)</f>
        <v>97077790</v>
      </c>
      <c r="F151" s="13">
        <f>SUM(F146:F150)</f>
        <v>138000000</v>
      </c>
    </row>
    <row r="153" spans="2:11" x14ac:dyDescent="0.35">
      <c r="B153" s="160">
        <v>12</v>
      </c>
      <c r="C153" s="68" t="s">
        <v>6817</v>
      </c>
      <c r="D153" s="68"/>
      <c r="E153" s="68"/>
      <c r="F153" s="68"/>
      <c r="G153" s="68"/>
      <c r="H153" s="68"/>
      <c r="I153" s="68"/>
      <c r="J153" s="68"/>
      <c r="K153" s="68"/>
    </row>
    <row r="154" spans="2:11" x14ac:dyDescent="0.35">
      <c r="C154" s="151"/>
      <c r="D154" s="151" t="s">
        <v>4852</v>
      </c>
      <c r="E154" s="152" t="str">
        <f>CurLabel</f>
        <v>31 October 2026</v>
      </c>
      <c r="F154" s="152" t="str">
        <f>CompLabel</f>
        <v>31 December 2025</v>
      </c>
    </row>
    <row r="155" spans="2:11" x14ac:dyDescent="0.35">
      <c r="C155" s="1" t="str" cm="1">
        <f t="array" ref="C155:F156">_xlfn._xlws.FILTER(_xlfn.HSTACK(_xlfn.ANCHORARRAY('Trial Balance'!C8),_xlfn.ANCHORARRAY('Trial Balance'!B8),-_xlfn.ANCHORARRAY('Trial Balance'!N8),-_xlfn.ANCHORARRAY('Trial Balance'!M8)),_xlfn.ANCHORARRAY('Trial Balance'!G8)=12)</f>
        <v>Short-term Bank Loan</v>
      </c>
      <c r="D155" s="110">
        <v>2310</v>
      </c>
      <c r="E155" s="5">
        <v>0</v>
      </c>
      <c r="F155" s="5">
        <v>300000000</v>
      </c>
    </row>
    <row r="156" spans="2:11" x14ac:dyDescent="0.35">
      <c r="C156" s="1" t="str">
        <v>Long-term Bank Loan</v>
      </c>
      <c r="D156" s="110">
        <v>2410</v>
      </c>
      <c r="E156" s="5">
        <v>1250000000</v>
      </c>
      <c r="F156" s="5">
        <v>1500000000</v>
      </c>
    </row>
    <row r="157" spans="2:11" x14ac:dyDescent="0.35">
      <c r="D157" s="110"/>
      <c r="E157" s="5"/>
      <c r="F157" s="5"/>
    </row>
    <row r="158" spans="2:11" x14ac:dyDescent="0.35">
      <c r="C158" s="2" t="s">
        <v>6818</v>
      </c>
      <c r="D158" s="2"/>
      <c r="E158" s="13">
        <f>SUM(E155:E157)</f>
        <v>1250000000</v>
      </c>
      <c r="F158" s="13">
        <f>SUM(F155:F157)</f>
        <v>1800000000</v>
      </c>
    </row>
    <row r="159" spans="2:11" ht="22" customHeight="1" x14ac:dyDescent="0.35">
      <c r="C159" s="150" t="s">
        <v>6819</v>
      </c>
      <c r="D159" s="150"/>
      <c r="E159" s="150"/>
      <c r="F159" s="150"/>
      <c r="G159" s="150"/>
      <c r="H159" s="150"/>
      <c r="I159" s="150"/>
      <c r="J159" s="150"/>
      <c r="K159" s="150"/>
    </row>
    <row r="161" spans="2:11" x14ac:dyDescent="0.35">
      <c r="B161" s="160">
        <v>13</v>
      </c>
      <c r="C161" s="68" t="s">
        <v>6820</v>
      </c>
      <c r="D161" s="68"/>
      <c r="E161" s="68"/>
      <c r="F161" s="68"/>
      <c r="G161" s="68"/>
      <c r="H161" s="68"/>
      <c r="I161" s="68"/>
      <c r="J161" s="68"/>
      <c r="K161" s="68"/>
    </row>
    <row r="162" spans="2:11" x14ac:dyDescent="0.35">
      <c r="C162" s="1" t="s">
        <v>6821</v>
      </c>
      <c r="E162" s="5">
        <f>-SUMIFS(_xlfn.ANCHORARRAY('Trial Balance'!M8),_xlfn.ANCHORARRAY('Trial Balance'!B8),2420)</f>
        <v>210000000</v>
      </c>
    </row>
    <row r="163" spans="2:11" x14ac:dyDescent="0.35">
      <c r="C163" s="1" t="s">
        <v>6822</v>
      </c>
      <c r="E163" s="5">
        <f>SUMIFS(_xlfn.ANCHORARRAY('Trial Balance'!N8),_xlfn.ANCHORARRAY('Trial Balance'!B8),6290)</f>
        <v>30000000</v>
      </c>
    </row>
    <row r="164" spans="2:11" x14ac:dyDescent="0.35">
      <c r="C164" s="2" t="s">
        <v>6823</v>
      </c>
      <c r="D164" s="2"/>
      <c r="E164" s="13">
        <f>SUM(E162:E163)</f>
        <v>240000000</v>
      </c>
      <c r="F164" s="13"/>
    </row>
    <row r="166" spans="2:11" x14ac:dyDescent="0.35">
      <c r="B166" s="160">
        <v>14</v>
      </c>
      <c r="C166" s="68" t="s">
        <v>6824</v>
      </c>
      <c r="D166" s="68"/>
      <c r="E166" s="68"/>
      <c r="F166" s="68"/>
      <c r="G166" s="68"/>
      <c r="H166" s="68"/>
      <c r="I166" s="68"/>
      <c r="J166" s="68"/>
      <c r="K166" s="68"/>
    </row>
    <row r="167" spans="2:11" x14ac:dyDescent="0.35">
      <c r="C167" s="1" t="str">
        <f>"Authorised, issued and fully paid: "&amp;FIXED('Company Info'!C20,0)&amp;" shares at IDR "&amp;FIXED('Company Info'!C21,0)&amp;" par value"</f>
        <v>Authorised, issued and fully paid: 2.500.000 shares at IDR 1.000 par value</v>
      </c>
      <c r="E167" s="5">
        <f>'Balance Sheet'!E45</f>
        <v>2500000000</v>
      </c>
    </row>
    <row r="168" spans="2:11" x14ac:dyDescent="0.35">
      <c r="C168" s="1" t="s">
        <v>6825</v>
      </c>
      <c r="E168" s="5">
        <f>-'Changes in Equity'!F15</f>
        <v>300000000</v>
      </c>
    </row>
    <row r="170" spans="2:11" x14ac:dyDescent="0.35">
      <c r="B170" s="160">
        <v>15</v>
      </c>
      <c r="C170" s="68" t="s">
        <v>6826</v>
      </c>
      <c r="D170" s="68"/>
      <c r="E170" s="68"/>
      <c r="F170" s="68"/>
      <c r="G170" s="68"/>
      <c r="H170" s="68"/>
      <c r="I170" s="68"/>
      <c r="J170" s="68"/>
      <c r="K170" s="68"/>
    </row>
    <row r="171" spans="2:11" x14ac:dyDescent="0.35">
      <c r="C171" s="12" t="s">
        <v>6827</v>
      </c>
    </row>
    <row r="172" spans="2:11" x14ac:dyDescent="0.35">
      <c r="C172" s="1" t="str" cm="1">
        <f t="array" ref="C172:E174">_xlfn.LET(_xlpm.c,_xlfn.UNIQUE(tblProducts[Category]),_xlpm.a,_xlfn.MAP(_xlpm.c,_xlfn.LAMBDA(_xlpm.x,SUMIFS(tblSales[DPP (excl. VAT)],tblSales[Category],_xlpm.x,tblSales[Date],"&lt;="&amp;PEnd))),_xlfn.HSTACK(_xlpm.c,IF(_xlpm.c="","",""),_xlpm.a))</f>
        <v>Accessories &amp; Basics</v>
      </c>
      <c r="D172" s="1" t="str">
        <v/>
      </c>
      <c r="E172" s="5">
        <v>2709085000</v>
      </c>
    </row>
    <row r="173" spans="2:11" x14ac:dyDescent="0.35">
      <c r="C173" s="1" t="str">
        <v>Apparel &amp; Footwear</v>
      </c>
      <c r="D173" s="1" t="str">
        <v/>
      </c>
      <c r="E173" s="5">
        <v>5064230000</v>
      </c>
    </row>
    <row r="174" spans="2:11" x14ac:dyDescent="0.35">
      <c r="C174" s="1" t="str">
        <v>Bags &amp; Gadgets</v>
      </c>
      <c r="D174" s="1" t="str">
        <v/>
      </c>
      <c r="E174" s="5">
        <v>3577250000</v>
      </c>
    </row>
    <row r="175" spans="2:11" x14ac:dyDescent="0.35">
      <c r="E175" s="5"/>
    </row>
    <row r="176" spans="2:11" x14ac:dyDescent="0.35">
      <c r="C176" s="12" t="s">
        <v>6828</v>
      </c>
      <c r="E176" s="5"/>
    </row>
    <row r="177" spans="2:11" x14ac:dyDescent="0.35">
      <c r="C177" s="1" t="str" cm="1">
        <f t="array" ref="C177:E179">_xlfn.LET(_xlpm.c,tblChannels[Channel Name],_xlpm.a,_xlfn.MAP(_xlpm.c,_xlfn.LAMBDA(_xlpm.x,SUMIFS(tblSales[DPP (excl. VAT)],tblSales[Channel],_xlpm.x,tblSales[Date],"&lt;="&amp;PEnd))),_xlfn.HSTACK(_xlpm.c,IF(_xlpm.c="","",""),_xlpm.a))</f>
        <v>In-store</v>
      </c>
      <c r="D177" s="1" t="str">
        <v/>
      </c>
      <c r="E177" s="5">
        <v>8866085000</v>
      </c>
    </row>
    <row r="178" spans="2:11" x14ac:dyDescent="0.35">
      <c r="C178" s="1" t="str">
        <v>Marketplace</v>
      </c>
      <c r="D178" s="1" t="str">
        <v/>
      </c>
      <c r="E178" s="5">
        <v>853875000</v>
      </c>
    </row>
    <row r="179" spans="2:11" x14ac:dyDescent="0.35">
      <c r="C179" s="1" t="str">
        <v>Website &amp; Social Media</v>
      </c>
      <c r="D179" s="1" t="str">
        <v/>
      </c>
      <c r="E179" s="5">
        <v>1630605000</v>
      </c>
    </row>
    <row r="180" spans="2:11" x14ac:dyDescent="0.35">
      <c r="E180" s="5"/>
    </row>
    <row r="181" spans="2:11" x14ac:dyDescent="0.35">
      <c r="C181" s="2" t="s">
        <v>6829</v>
      </c>
      <c r="D181" s="2"/>
      <c r="E181" s="13">
        <f>Revenue</f>
        <v>11350565000</v>
      </c>
      <c r="F181" s="13"/>
    </row>
    <row r="182" spans="2:11" ht="12" customHeight="1" x14ac:dyDescent="0.35">
      <c r="C182" s="150" t="s">
        <v>6830</v>
      </c>
      <c r="D182" s="150"/>
      <c r="E182" s="150"/>
      <c r="F182" s="150"/>
      <c r="G182" s="150"/>
      <c r="H182" s="150"/>
      <c r="I182" s="150"/>
      <c r="J182" s="150"/>
      <c r="K182" s="150"/>
    </row>
    <row r="184" spans="2:11" x14ac:dyDescent="0.35">
      <c r="B184" s="160">
        <v>16</v>
      </c>
      <c r="C184" s="68" t="s">
        <v>6831</v>
      </c>
      <c r="D184" s="68"/>
      <c r="E184" s="68"/>
      <c r="F184" s="68"/>
      <c r="G184" s="68"/>
      <c r="H184" s="68"/>
      <c r="I184" s="68"/>
      <c r="J184" s="68"/>
      <c r="K184" s="68"/>
    </row>
    <row r="185" spans="2:11" x14ac:dyDescent="0.35">
      <c r="C185" s="151"/>
      <c r="D185" s="151" t="s">
        <v>4852</v>
      </c>
      <c r="E185" s="152" t="str">
        <f>"YTD "&amp;LEFT('Company Info'!C50,3)&amp;" "&amp;FYear</f>
        <v>YTD Oct 2026</v>
      </c>
      <c r="F185" s="152"/>
    </row>
    <row r="186" spans="2:11" x14ac:dyDescent="0.35">
      <c r="C186" s="1" t="str" cm="1">
        <f t="array" ref="C186:E186">_xlfn._xlws.FILTER(_xlfn.HSTACK(_xlfn.ANCHORARRAY('Trial Balance'!C8),_xlfn.ANCHORARRAY('Trial Balance'!B8),_xlfn.ANCHORARRAY('Trial Balance'!N8)),_xlfn.ANCHORARRAY('Trial Balance'!G8)=16)</f>
        <v>Cost of goods sold</v>
      </c>
      <c r="D186" s="110">
        <v>5100</v>
      </c>
      <c r="E186" s="5">
        <v>6832385000</v>
      </c>
    </row>
    <row r="187" spans="2:11" x14ac:dyDescent="0.35">
      <c r="C187" s="2" t="s">
        <v>6832</v>
      </c>
      <c r="D187" s="2"/>
      <c r="E187" s="13">
        <f>SUM(E186:E186)</f>
        <v>6832385000</v>
      </c>
      <c r="F187" s="13"/>
    </row>
    <row r="189" spans="2:11" x14ac:dyDescent="0.35">
      <c r="B189" s="160">
        <v>17</v>
      </c>
      <c r="C189" s="68" t="s">
        <v>6833</v>
      </c>
      <c r="D189" s="68"/>
      <c r="E189" s="68"/>
      <c r="F189" s="68"/>
      <c r="G189" s="68"/>
      <c r="H189" s="68"/>
      <c r="I189" s="68"/>
      <c r="J189" s="68"/>
      <c r="K189" s="68"/>
    </row>
    <row r="190" spans="2:11" x14ac:dyDescent="0.35">
      <c r="C190" s="151"/>
      <c r="D190" s="151" t="s">
        <v>4852</v>
      </c>
      <c r="E190" s="152" t="str">
        <f>"YTD "&amp;LEFT('Company Info'!C50,3)&amp;" "&amp;FYear</f>
        <v>YTD Oct 2026</v>
      </c>
      <c r="F190" s="152"/>
    </row>
    <row r="191" spans="2:11" x14ac:dyDescent="0.35">
      <c r="C191" s="1" t="str" cm="1">
        <f t="array" ref="C191:E195">_xlfn._xlws.FILTER(_xlfn.HSTACK(_xlfn.ANCHORARRAY('Trial Balance'!C8),_xlfn.ANCHORARRAY('Trial Balance'!B8),_xlfn.ANCHORARRAY('Trial Balance'!N8)),_xlfn.ANCHORARRAY('Trial Balance'!G8)=17)</f>
        <v>Salaries &amp; Allowances - Selling</v>
      </c>
      <c r="D191" s="110">
        <v>6110</v>
      </c>
      <c r="E191" s="5">
        <v>882200000</v>
      </c>
    </row>
    <row r="192" spans="2:11" x14ac:dyDescent="0.35">
      <c r="C192" s="1" t="str">
        <v>BPJS Employer Contributions - Selling</v>
      </c>
      <c r="D192" s="110">
        <v>6111</v>
      </c>
      <c r="E192" s="5">
        <v>78243760</v>
      </c>
    </row>
    <row r="193" spans="2:11" x14ac:dyDescent="0.35">
      <c r="C193" s="1" t="str">
        <v>Advertising &amp; Promotion</v>
      </c>
      <c r="D193" s="110">
        <v>6120</v>
      </c>
      <c r="E193" s="5">
        <v>124856000</v>
      </c>
    </row>
    <row r="194" spans="2:11" x14ac:dyDescent="0.35">
      <c r="C194" s="1" t="str">
        <v>Marketplace &amp; Sales Commissions</v>
      </c>
      <c r="D194" s="110">
        <v>6130</v>
      </c>
      <c r="E194" s="5">
        <v>29887000</v>
      </c>
    </row>
    <row r="195" spans="2:11" x14ac:dyDescent="0.35">
      <c r="C195" s="1" t="str">
        <v>Shipping &amp; Delivery</v>
      </c>
      <c r="D195" s="110">
        <v>6140</v>
      </c>
      <c r="E195" s="5">
        <v>102156000</v>
      </c>
    </row>
    <row r="196" spans="2:11" x14ac:dyDescent="0.35">
      <c r="D196" s="110"/>
      <c r="E196" s="5"/>
    </row>
    <row r="197" spans="2:11" x14ac:dyDescent="0.35">
      <c r="C197" s="2" t="s">
        <v>6834</v>
      </c>
      <c r="D197" s="2"/>
      <c r="E197" s="13">
        <f>SUM(E191:E196)</f>
        <v>1217342760</v>
      </c>
      <c r="F197" s="13"/>
    </row>
    <row r="198" spans="2:11" x14ac:dyDescent="0.35">
      <c r="C198" s="72" t="s">
        <v>6782</v>
      </c>
      <c r="D198" s="72"/>
      <c r="E198" s="72" t="str">
        <f>IF(ABS(E197+'Income Statement'!E16)&lt;1,"✔","✖")</f>
        <v>✔</v>
      </c>
    </row>
    <row r="200" spans="2:11" x14ac:dyDescent="0.35">
      <c r="B200" s="160">
        <v>18</v>
      </c>
      <c r="C200" s="68" t="s">
        <v>6835</v>
      </c>
      <c r="D200" s="68"/>
      <c r="E200" s="68"/>
      <c r="F200" s="68"/>
      <c r="G200" s="68"/>
      <c r="H200" s="68"/>
      <c r="I200" s="68"/>
      <c r="J200" s="68"/>
      <c r="K200" s="68"/>
    </row>
    <row r="201" spans="2:11" x14ac:dyDescent="0.35">
      <c r="C201" s="151"/>
      <c r="D201" s="151" t="s">
        <v>4852</v>
      </c>
      <c r="E201" s="152" t="str">
        <f>"YTD "&amp;LEFT('Company Info'!C50,3)&amp;" "&amp;FYear</f>
        <v>YTD Oct 2026</v>
      </c>
      <c r="F201" s="152"/>
    </row>
    <row r="202" spans="2:11" x14ac:dyDescent="0.35">
      <c r="C202" s="1" t="str" cm="1">
        <f t="array" ref="C202:E215">_xlfn._xlws.FILTER(_xlfn.HSTACK(_xlfn.ANCHORARRAY('Trial Balance'!C8),_xlfn.ANCHORARRAY('Trial Balance'!B8),_xlfn.ANCHORARRAY('Trial Balance'!N8)),_xlfn.ANCHORARRAY('Trial Balance'!G8)=18)</f>
        <v>Salaries &amp; Allowances - G&amp;A</v>
      </c>
      <c r="D202" s="110">
        <v>6210</v>
      </c>
      <c r="E202" s="5">
        <v>1078000000</v>
      </c>
    </row>
    <row r="203" spans="2:11" x14ac:dyDescent="0.35">
      <c r="C203" s="1" t="str">
        <v>BPJS Employer Contributions - G&amp;A</v>
      </c>
      <c r="D203" s="110">
        <v>6211</v>
      </c>
      <c r="E203" s="5">
        <v>79680440</v>
      </c>
    </row>
    <row r="204" spans="2:11" x14ac:dyDescent="0.35">
      <c r="C204" s="1" t="str">
        <v>Rent Expense</v>
      </c>
      <c r="D204" s="110">
        <v>6220</v>
      </c>
      <c r="E204" s="5">
        <v>110000000</v>
      </c>
    </row>
    <row r="205" spans="2:11" x14ac:dyDescent="0.35">
      <c r="C205" s="1" t="str">
        <v>Utilities &amp; Telecommunication</v>
      </c>
      <c r="D205" s="110">
        <v>6230</v>
      </c>
      <c r="E205" s="5">
        <v>125473000</v>
      </c>
    </row>
    <row r="206" spans="2:11" x14ac:dyDescent="0.35">
      <c r="C206" s="1" t="str">
        <v>Depreciation Expense</v>
      </c>
      <c r="D206" s="110">
        <v>6240</v>
      </c>
      <c r="E206" s="5">
        <v>287499999</v>
      </c>
    </row>
    <row r="207" spans="2:11" x14ac:dyDescent="0.35">
      <c r="C207" s="1" t="str">
        <v>Amortization Expense - Software</v>
      </c>
      <c r="D207" s="110">
        <v>6250</v>
      </c>
      <c r="E207" s="5">
        <v>43750000</v>
      </c>
    </row>
    <row r="208" spans="2:11" x14ac:dyDescent="0.35">
      <c r="C208" s="1" t="str">
        <v>Insurance Expense</v>
      </c>
      <c r="D208" s="110">
        <v>6260</v>
      </c>
      <c r="E208" s="5">
        <v>25000000</v>
      </c>
    </row>
    <row r="209" spans="2:11" x14ac:dyDescent="0.35">
      <c r="C209" s="1" t="str">
        <v>Software Subscription Expense</v>
      </c>
      <c r="D209" s="110">
        <v>6265</v>
      </c>
      <c r="E209" s="5">
        <v>58000000</v>
      </c>
    </row>
    <row r="210" spans="2:11" x14ac:dyDescent="0.35">
      <c r="C210" s="1" t="str">
        <v>Office Supplies</v>
      </c>
      <c r="D210" s="110">
        <v>6270</v>
      </c>
      <c r="E210" s="5">
        <v>29893000</v>
      </c>
    </row>
    <row r="211" spans="2:11" x14ac:dyDescent="0.35">
      <c r="C211" s="1" t="str">
        <v>Professional Fees</v>
      </c>
      <c r="D211" s="110">
        <v>6280</v>
      </c>
      <c r="E211" s="5">
        <v>140000000</v>
      </c>
    </row>
    <row r="212" spans="2:11" x14ac:dyDescent="0.35">
      <c r="C212" s="1" t="str">
        <v>Expected Credit Loss Expense</v>
      </c>
      <c r="D212" s="110">
        <v>6285</v>
      </c>
      <c r="E212" s="5">
        <v>0</v>
      </c>
    </row>
    <row r="213" spans="2:11" x14ac:dyDescent="0.35">
      <c r="C213" s="1" t="str">
        <v>Employee Benefits Expense</v>
      </c>
      <c r="D213" s="110">
        <v>6290</v>
      </c>
      <c r="E213" s="5">
        <v>30000000</v>
      </c>
    </row>
    <row r="214" spans="2:11" x14ac:dyDescent="0.35">
      <c r="C214" s="1" t="str">
        <v>Repairs &amp; Maintenance</v>
      </c>
      <c r="D214" s="110">
        <v>6295</v>
      </c>
      <c r="E214" s="5">
        <v>40738000</v>
      </c>
    </row>
    <row r="215" spans="2:11" x14ac:dyDescent="0.35">
      <c r="C215" s="1" t="str">
        <v>Entertainment &amp; Donations</v>
      </c>
      <c r="D215" s="110">
        <v>6296</v>
      </c>
      <c r="E215" s="5">
        <v>24449000</v>
      </c>
    </row>
    <row r="216" spans="2:11" x14ac:dyDescent="0.35">
      <c r="D216" s="110"/>
      <c r="E216" s="5"/>
    </row>
    <row r="217" spans="2:11" x14ac:dyDescent="0.35">
      <c r="C217" s="2" t="s">
        <v>6836</v>
      </c>
      <c r="D217" s="2"/>
      <c r="E217" s="13">
        <f>SUM(E202:E216)</f>
        <v>2072483439</v>
      </c>
      <c r="F217" s="13"/>
    </row>
    <row r="218" spans="2:11" x14ac:dyDescent="0.35">
      <c r="C218" s="72" t="s">
        <v>6782</v>
      </c>
      <c r="D218" s="72"/>
      <c r="E218" s="72" t="str">
        <f>IF(ABS(E217+'Income Statement'!E17)&lt;1,"✔","✖")</f>
        <v>✔</v>
      </c>
    </row>
    <row r="220" spans="2:11" x14ac:dyDescent="0.35">
      <c r="B220" s="160">
        <v>19</v>
      </c>
      <c r="C220" s="68" t="s">
        <v>6837</v>
      </c>
      <c r="D220" s="68"/>
      <c r="E220" s="68"/>
      <c r="F220" s="68"/>
      <c r="G220" s="68"/>
      <c r="H220" s="68"/>
      <c r="I220" s="68"/>
      <c r="J220" s="68"/>
      <c r="K220" s="68"/>
    </row>
    <row r="221" spans="2:11" x14ac:dyDescent="0.35">
      <c r="C221" s="151"/>
      <c r="D221" s="151" t="s">
        <v>4852</v>
      </c>
      <c r="E221" s="152" t="str">
        <f>"YTD "&amp;LEFT('Company Info'!C50,3)&amp;" "&amp;FYear</f>
        <v>YTD Oct 2026</v>
      </c>
      <c r="F221" s="152"/>
    </row>
    <row r="222" spans="2:11" x14ac:dyDescent="0.35">
      <c r="C222" s="1" t="str" cm="1">
        <f t="array" ref="C222:E226">_xlfn._xlws.FILTER(_xlfn.HSTACK(_xlfn.ANCHORARRAY('Trial Balance'!C8),_xlfn.ANCHORARRAY('Trial Balance'!B8),-_xlfn.ANCHORARRAY('Trial Balance'!N8)),_xlfn.ANCHORARRAY('Trial Balance'!G8)=19)</f>
        <v>Interest Income - Time Deposit</v>
      </c>
      <c r="D222" s="110">
        <v>7110</v>
      </c>
      <c r="E222" s="5">
        <v>16666670</v>
      </c>
    </row>
    <row r="223" spans="2:11" x14ac:dyDescent="0.35">
      <c r="C223" s="1" t="str">
        <v>Interest Income - Current Account</v>
      </c>
      <c r="D223" s="110">
        <v>7120</v>
      </c>
      <c r="E223" s="5">
        <v>4980394</v>
      </c>
    </row>
    <row r="224" spans="2:11" x14ac:dyDescent="0.35">
      <c r="C224" s="1" t="str">
        <v>Interest Expense - Bank Loans</v>
      </c>
      <c r="D224" s="110">
        <v>7210</v>
      </c>
      <c r="E224" s="5">
        <v>-119062500</v>
      </c>
    </row>
    <row r="225" spans="2:11" x14ac:dyDescent="0.35">
      <c r="C225" s="1" t="str">
        <v>Bank Charges</v>
      </c>
      <c r="D225" s="110">
        <v>7220</v>
      </c>
      <c r="E225" s="5">
        <v>-2416500</v>
      </c>
    </row>
    <row r="226" spans="2:11" x14ac:dyDescent="0.35">
      <c r="C226" s="1" t="str">
        <v>Final Income Tax Expense</v>
      </c>
      <c r="D226" s="110">
        <v>8200</v>
      </c>
      <c r="E226" s="5">
        <v>-4329417</v>
      </c>
    </row>
    <row r="227" spans="2:11" x14ac:dyDescent="0.35">
      <c r="D227" s="110"/>
      <c r="E227" s="5"/>
    </row>
    <row r="228" spans="2:11" x14ac:dyDescent="0.35">
      <c r="C228" s="2" t="s">
        <v>6838</v>
      </c>
      <c r="D228" s="2"/>
      <c r="E228" s="13">
        <f>SUM(E222:E227)</f>
        <v>-104161353</v>
      </c>
      <c r="F228" s="13"/>
    </row>
    <row r="229" spans="2:11" ht="12" customHeight="1" x14ac:dyDescent="0.35">
      <c r="C229" s="150" t="s">
        <v>6839</v>
      </c>
      <c r="D229" s="150"/>
      <c r="E229" s="150"/>
      <c r="F229" s="150"/>
      <c r="G229" s="150"/>
      <c r="H229" s="150"/>
      <c r="I229" s="150"/>
      <c r="J229" s="150"/>
      <c r="K229" s="150"/>
    </row>
    <row r="231" spans="2:11" x14ac:dyDescent="0.35">
      <c r="B231" s="160">
        <v>20</v>
      </c>
      <c r="C231" s="68" t="s">
        <v>6840</v>
      </c>
      <c r="D231" s="68"/>
      <c r="E231" s="68"/>
      <c r="F231" s="68"/>
      <c r="G231" s="68"/>
      <c r="H231" s="68"/>
      <c r="I231" s="68"/>
      <c r="J231" s="68"/>
      <c r="K231" s="68"/>
    </row>
    <row r="232" spans="2:11" ht="22" customHeight="1" x14ac:dyDescent="0.35">
      <c r="C232" s="150" t="str">
        <f>"Management has evaluated subsequent events up to "&amp;TEXT('Company Info'!C52,"[$-409]d mmmm yyyy")&amp;". Bank items for "&amp;'Company Info'!C50&amp;" not yet recorded (interest, tax on interest and bank charges) are listed in the Bank Reconciliation and will be booked as adjusting entries. There are no other significant subsequent events requiring disclosure."</f>
        <v>Management has evaluated subsequent events up to 20 November 2026. Bank items for October not yet recorded (interest, tax on interest and bank charges) are listed in the Bank Reconciliation and will be booked as adjusting entries. There are no other significant subsequent events requiring disclosure.</v>
      </c>
      <c r="D232" s="150"/>
      <c r="E232" s="150"/>
      <c r="F232" s="150"/>
      <c r="G232" s="150"/>
      <c r="H232" s="150"/>
      <c r="I232" s="150"/>
      <c r="J232" s="150"/>
      <c r="K232" s="150"/>
    </row>
  </sheetData>
  <mergeCells count="28">
    <mergeCell ref="S2:T2"/>
    <mergeCell ref="V2:W2"/>
    <mergeCell ref="Y2:Z2"/>
    <mergeCell ref="AB2:AC2"/>
    <mergeCell ref="C182:K182"/>
    <mergeCell ref="C229:K229"/>
    <mergeCell ref="C232:K232"/>
    <mergeCell ref="B2:C2"/>
    <mergeCell ref="M2:N2"/>
    <mergeCell ref="P2:Q2"/>
    <mergeCell ref="C34:K34"/>
    <mergeCell ref="C56:K56"/>
    <mergeCell ref="C63:K63"/>
    <mergeCell ref="C108:K108"/>
    <mergeCell ref="C119:K119"/>
    <mergeCell ref="C159:K159"/>
    <mergeCell ref="C22:K22"/>
    <mergeCell ref="C24:K24"/>
    <mergeCell ref="C26:K26"/>
    <mergeCell ref="C28:K28"/>
    <mergeCell ref="C30:K30"/>
    <mergeCell ref="C32:K32"/>
    <mergeCell ref="C11:K11"/>
    <mergeCell ref="C12:K12"/>
    <mergeCell ref="C13:K13"/>
    <mergeCell ref="C14:K14"/>
    <mergeCell ref="C18:K18"/>
    <mergeCell ref="C20:K20"/>
  </mergeCells>
  <hyperlinks>
    <hyperlink ref="B2:C2" location="'Dashboard'!A1" tooltip="Go to Dashboard" display="🏠 HOME" xr:uid="{4FA39267-08E3-4528-B35C-DD90FAC1C62D}"/>
    <hyperlink ref="E2" location="'Cash Flow'!A1" tooltip="Go to Cash Flow" display="◀ PREV" xr:uid="{35CF188E-0BCD-4310-B5D0-16377DFC1C37}"/>
    <hyperlink ref="G2" location="'Tax Reconciliation'!A1" tooltip="Go to Tax Reconciliation" display="NEXT ▶" xr:uid="{82BC6756-1651-472A-A232-3799A01D2300}"/>
    <hyperlink ref="I2" location="'Dashboard'!B5" tooltip="Go to Dashboard" display="☰ MENU" xr:uid="{5919170D-564B-4FE8-9648-52AC449D6A23}"/>
    <hyperlink ref="K2" location="'General Journal'!A1" tooltip="Go to General Journal" display="Journal" xr:uid="{89AEF167-E36F-4A4D-B599-334EA2F7FB20}"/>
    <hyperlink ref="M2:N2" location="'Trial Balance'!A1" tooltip="Go to Trial Balance" display="Trial Bal." xr:uid="{A8D0E5EB-6273-4B97-BA29-9378F3ADD730}"/>
    <hyperlink ref="P2:Q2" location="'Income Statement'!A1" tooltip="Go to Income Statement" display="Income St." xr:uid="{763404B6-5A01-4E89-B195-779F36E6DDC2}"/>
    <hyperlink ref="S2:T2" location="'Balance Sheet'!A1" tooltip="Go to Balance Sheet" display="Balance Sh." xr:uid="{902157CB-410B-4323-AB80-573DF5400BD0}"/>
    <hyperlink ref="V2:W2" location="'Tax Reconciliation'!A1" tooltip="Go to Tax Reconciliation" display="Tax Recon" xr:uid="{7BC238AD-B673-4DF3-AA50-67C2F2003EFD}"/>
    <hyperlink ref="Y2:Z2" location="'Bank Reconciliation'!A1" tooltip="Go to Bank Reconciliation" display="Bank Recon" xr:uid="{9B828B4C-8D21-46B7-9BB7-36C2323DF4CF}"/>
    <hyperlink ref="AB2:AC2" location="'Controls'!A1" tooltip="Go to Controls" display="Controls" xr:uid="{ECA9D21C-D991-42B2-97F9-FEBCF64009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7AD0-822D-4D79-BE61-61874C3F415F}">
  <sheetPr>
    <tabColor rgb="FFF43F5E"/>
  </sheetPr>
  <dimension ref="A1:BH91"/>
  <sheetViews>
    <sheetView showGridLines="0" workbookViewId="0">
      <pane ySplit="7" topLeftCell="A14" activePane="bottomLeft" state="frozen"/>
      <selection pane="bottomLeft"/>
    </sheetView>
  </sheetViews>
  <sheetFormatPr defaultRowHeight="14.5" x14ac:dyDescent="0.35"/>
  <cols>
    <col min="1" max="1" width="1.453125" style="1" customWidth="1"/>
    <col min="2" max="2" width="45.453125" style="1" customWidth="1"/>
    <col min="3" max="3" width="9.08984375" style="1" customWidth="1"/>
    <col min="4" max="4" width="1.81640625" style="1" customWidth="1"/>
    <col min="5" max="16" width="13.08984375" style="1" customWidth="1"/>
    <col min="17" max="17" width="16.36328125" style="1" customWidth="1"/>
    <col min="18" max="18" width="15.453125" style="1" customWidth="1"/>
    <col min="19" max="52" width="8.7265625" style="1"/>
  </cols>
  <sheetData>
    <row r="1" spans="1:60" ht="5" customHeight="1" x14ac:dyDescent="0.35"/>
    <row r="2" spans="1:60" ht="18" customHeight="1" thickBot="1" x14ac:dyDescent="0.4">
      <c r="A2" s="307"/>
      <c r="B2" s="308" t="s">
        <v>7075</v>
      </c>
      <c r="C2" s="307"/>
      <c r="D2" s="310" t="s">
        <v>7076</v>
      </c>
      <c r="E2" s="311"/>
      <c r="F2" s="307"/>
      <c r="G2" s="309" t="s">
        <v>7077</v>
      </c>
      <c r="H2" s="307"/>
      <c r="I2" s="308" t="s">
        <v>7078</v>
      </c>
      <c r="J2" s="307"/>
      <c r="K2" s="317" t="s">
        <v>7079</v>
      </c>
      <c r="L2" s="307"/>
      <c r="M2" s="317" t="s">
        <v>7080</v>
      </c>
      <c r="N2" s="307"/>
      <c r="O2" s="317" t="s">
        <v>7081</v>
      </c>
      <c r="P2" s="307"/>
      <c r="Q2" s="317" t="s">
        <v>7082</v>
      </c>
      <c r="R2" s="307"/>
      <c r="S2" s="322" t="s">
        <v>7083</v>
      </c>
      <c r="T2" s="321"/>
      <c r="U2" s="307"/>
      <c r="V2" s="314" t="s">
        <v>7084</v>
      </c>
      <c r="W2" s="315"/>
      <c r="X2" s="307"/>
      <c r="Y2" s="314" t="s">
        <v>7085</v>
      </c>
      <c r="Z2" s="315"/>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6584</v>
      </c>
      <c r="C4" s="67"/>
      <c r="D4" s="67"/>
      <c r="E4" s="67"/>
      <c r="F4" s="67"/>
      <c r="G4" s="67"/>
      <c r="H4" s="67"/>
      <c r="I4" s="67"/>
      <c r="J4" s="67"/>
      <c r="K4" s="67"/>
      <c r="L4" s="67"/>
      <c r="M4" s="67"/>
      <c r="N4" s="67"/>
      <c r="O4" s="67"/>
      <c r="P4" s="67"/>
      <c r="Q4" s="67"/>
      <c r="R4" s="67"/>
    </row>
    <row r="5" spans="1:60" x14ac:dyDescent="0.35">
      <c r="B5" s="72" t="str">
        <f>"Cross-check of sub-ledgers vs General Ledger. YTD column = January to "&amp;'Company Info'!C50&amp;" "&amp;FYear&amp;"."</f>
        <v>Cross-check of sub-ledgers vs General Ledger. YTD column = January to October 2026.</v>
      </c>
    </row>
    <row r="6" spans="1:60" x14ac:dyDescent="0.35">
      <c r="B6" s="122" t="s">
        <v>6585</v>
      </c>
      <c r="C6" s="122" t="s">
        <v>6586</v>
      </c>
      <c r="D6" s="122"/>
      <c r="E6" s="122" t="s">
        <v>4266</v>
      </c>
      <c r="F6" s="122" t="s">
        <v>4267</v>
      </c>
      <c r="G6" s="122" t="s">
        <v>4268</v>
      </c>
      <c r="H6" s="122" t="s">
        <v>4269</v>
      </c>
      <c r="I6" s="122" t="s">
        <v>4897</v>
      </c>
      <c r="J6" s="122" t="s">
        <v>4270</v>
      </c>
      <c r="K6" s="122" t="s">
        <v>4271</v>
      </c>
      <c r="L6" s="122" t="s">
        <v>4898</v>
      </c>
      <c r="M6" s="122" t="s">
        <v>4272</v>
      </c>
      <c r="N6" s="122" t="s">
        <v>4899</v>
      </c>
      <c r="O6" s="122" t="s">
        <v>4273</v>
      </c>
      <c r="P6" s="122" t="s">
        <v>4900</v>
      </c>
      <c r="Q6" s="122" t="s">
        <v>6587</v>
      </c>
      <c r="R6" s="122" t="s">
        <v>4276</v>
      </c>
    </row>
    <row r="7" spans="1:60" x14ac:dyDescent="0.35">
      <c r="B7" s="110" t="s">
        <v>4887</v>
      </c>
      <c r="C7" s="110"/>
      <c r="D7" s="110"/>
      <c r="E7" s="111">
        <v>1</v>
      </c>
      <c r="F7" s="111">
        <v>2</v>
      </c>
      <c r="G7" s="111">
        <v>3</v>
      </c>
      <c r="H7" s="111">
        <v>4</v>
      </c>
      <c r="I7" s="111">
        <v>5</v>
      </c>
      <c r="J7" s="111">
        <v>6</v>
      </c>
      <c r="K7" s="111">
        <v>7</v>
      </c>
      <c r="L7" s="111">
        <v>8</v>
      </c>
      <c r="M7" s="111">
        <v>9</v>
      </c>
      <c r="N7" s="111">
        <v>10</v>
      </c>
      <c r="O7" s="111">
        <v>11</v>
      </c>
      <c r="P7" s="111">
        <v>12</v>
      </c>
    </row>
    <row r="9" spans="1:60" x14ac:dyDescent="0.35">
      <c r="B9" s="124" t="s">
        <v>6588</v>
      </c>
      <c r="C9" s="124"/>
      <c r="D9" s="124"/>
      <c r="E9" s="124"/>
      <c r="F9" s="124"/>
      <c r="G9" s="124"/>
      <c r="H9" s="124"/>
      <c r="I9" s="124"/>
      <c r="J9" s="124"/>
      <c r="K9" s="124"/>
      <c r="L9" s="124"/>
      <c r="M9" s="124"/>
      <c r="N9" s="124"/>
      <c r="O9" s="124"/>
      <c r="P9" s="124"/>
      <c r="Q9" s="124"/>
      <c r="R9" s="124"/>
    </row>
    <row r="10" spans="1:60" x14ac:dyDescent="0.35">
      <c r="B10" s="1" t="s">
        <v>6589</v>
      </c>
      <c r="E10" s="5">
        <f>SUMIFS(tblSales[Output VAT],tblSales[Month],E$7)</f>
        <v>118029450</v>
      </c>
      <c r="F10" s="5">
        <f>SUMIFS(tblSales[Output VAT],tblSales[Month],F$7)</f>
        <v>106143950</v>
      </c>
      <c r="G10" s="5">
        <f>SUMIFS(tblSales[Output VAT],tblSales[Month],G$7)</f>
        <v>147121150</v>
      </c>
      <c r="H10" s="5">
        <f>SUMIFS(tblSales[Output VAT],tblSales[Month],H$7)</f>
        <v>120550100</v>
      </c>
      <c r="I10" s="5">
        <f>SUMIFS(tblSales[Output VAT],tblSales[Month],I$7)</f>
        <v>119369250</v>
      </c>
      <c r="J10" s="5">
        <f>SUMIFS(tblSales[Output VAT],tblSales[Month],J$7)</f>
        <v>125730550</v>
      </c>
      <c r="K10" s="5">
        <f>SUMIFS(tblSales[Output VAT],tblSales[Month],K$7)</f>
        <v>150908450</v>
      </c>
      <c r="L10" s="5">
        <f>SUMIFS(tblSales[Output VAT],tblSales[Month],L$7)</f>
        <v>107006900</v>
      </c>
      <c r="M10" s="5">
        <f>SUMIFS(tblSales[Output VAT],tblSales[Month],M$7)</f>
        <v>115778850</v>
      </c>
      <c r="N10" s="5">
        <f>SUMIFS(tblSales[Output VAT],tblSales[Month],N$7)</f>
        <v>137923500</v>
      </c>
      <c r="O10" s="5">
        <f>SUMIFS(tblSales[Output VAT],tblSales[Month],O$7)</f>
        <v>126125450</v>
      </c>
      <c r="P10" s="5">
        <f>SUMIFS(tblSales[Output VAT],tblSales[Month],P$7)</f>
        <v>151382550</v>
      </c>
      <c r="Q10" s="5" cm="1">
        <f t="array" ref="Q10">SUMPRODUCT(($E$7:$P$7&lt;=CutOff)*E10:P10)</f>
        <v>1248562150</v>
      </c>
    </row>
    <row r="11" spans="1:60" x14ac:dyDescent="0.35">
      <c r="B11" s="1" t="s">
        <v>6590</v>
      </c>
      <c r="C11" s="1">
        <v>2210</v>
      </c>
      <c r="E11" s="5">
        <f>SUMIFS(tblGJ[Credit],tblGJ[Account Code],$C11,tblGJ[Month],E$7)</f>
        <v>118029450</v>
      </c>
      <c r="F11" s="5">
        <f>SUMIFS(tblGJ[Credit],tblGJ[Account Code],$C11,tblGJ[Month],F$7)</f>
        <v>106143950</v>
      </c>
      <c r="G11" s="5">
        <f>SUMIFS(tblGJ[Credit],tblGJ[Account Code],$C11,tblGJ[Month],G$7)</f>
        <v>147121150</v>
      </c>
      <c r="H11" s="5">
        <f>SUMIFS(tblGJ[Credit],tblGJ[Account Code],$C11,tblGJ[Month],H$7)</f>
        <v>120550100</v>
      </c>
      <c r="I11" s="5">
        <f>SUMIFS(tblGJ[Credit],tblGJ[Account Code],$C11,tblGJ[Month],I$7)</f>
        <v>119369250</v>
      </c>
      <c r="J11" s="5">
        <f>SUMIFS(tblGJ[Credit],tblGJ[Account Code],$C11,tblGJ[Month],J$7)</f>
        <v>125730550</v>
      </c>
      <c r="K11" s="5">
        <f>SUMIFS(tblGJ[Credit],tblGJ[Account Code],$C11,tblGJ[Month],K$7)</f>
        <v>150908450</v>
      </c>
      <c r="L11" s="5">
        <f>SUMIFS(tblGJ[Credit],tblGJ[Account Code],$C11,tblGJ[Month],L$7)</f>
        <v>107006900</v>
      </c>
      <c r="M11" s="5">
        <f>SUMIFS(tblGJ[Credit],tblGJ[Account Code],$C11,tblGJ[Month],M$7)</f>
        <v>115778850</v>
      </c>
      <c r="N11" s="5">
        <f>SUMIFS(tblGJ[Credit],tblGJ[Account Code],$C11,tblGJ[Month],N$7)</f>
        <v>137923500</v>
      </c>
      <c r="O11" s="5">
        <f>SUMIFS(tblGJ[Credit],tblGJ[Account Code],$C11,tblGJ[Month],O$7)</f>
        <v>126125450</v>
      </c>
      <c r="P11" s="5">
        <f>SUMIFS(tblGJ[Credit],tblGJ[Account Code],$C11,tblGJ[Month],P$7)</f>
        <v>151382550</v>
      </c>
      <c r="Q11" s="5" cm="1">
        <f t="array" ref="Q11">SUMPRODUCT(($E$7:$P$7&lt;=CutOff)*E11:P11)</f>
        <v>1248562150</v>
      </c>
    </row>
    <row r="12" spans="1:60" x14ac:dyDescent="0.35">
      <c r="B12" s="3" t="s">
        <v>6591</v>
      </c>
      <c r="C12" s="3"/>
      <c r="D12" s="3"/>
      <c r="E12" s="14">
        <f>E10-E11</f>
        <v>0</v>
      </c>
      <c r="F12" s="14">
        <f>F10-F11</f>
        <v>0</v>
      </c>
      <c r="G12" s="14">
        <f>G10-G11</f>
        <v>0</v>
      </c>
      <c r="H12" s="14">
        <f>H10-H11</f>
        <v>0</v>
      </c>
      <c r="I12" s="14">
        <f>I10-I11</f>
        <v>0</v>
      </c>
      <c r="J12" s="14">
        <f>J10-J11</f>
        <v>0</v>
      </c>
      <c r="K12" s="14">
        <f>K10-K11</f>
        <v>0</v>
      </c>
      <c r="L12" s="14">
        <f>L10-L11</f>
        <v>0</v>
      </c>
      <c r="M12" s="14">
        <f>M10-M11</f>
        <v>0</v>
      </c>
      <c r="N12" s="14">
        <f>N10-N11</f>
        <v>0</v>
      </c>
      <c r="O12" s="14">
        <f>O10-O11</f>
        <v>0</v>
      </c>
      <c r="P12" s="14">
        <f>P10-P11</f>
        <v>0</v>
      </c>
      <c r="Q12" s="14" cm="1">
        <f t="array" ref="Q12">SUMPRODUCT(($E$7:$P$7&lt;=CutOff)*E12:P12)</f>
        <v>0</v>
      </c>
      <c r="R12" s="1" t="str">
        <f>IF(ABS(Q12)&lt;1,"✔ Match","✖ Check")</f>
        <v>✔ Match</v>
      </c>
    </row>
    <row r="13" spans="1:60" x14ac:dyDescent="0.35">
      <c r="B13" s="1" t="s">
        <v>6592</v>
      </c>
      <c r="E13" s="5">
        <f>SUMIFS(tblPurchases[Input VAT],tblPurchases[Month],E$7)</f>
        <v>66331100</v>
      </c>
      <c r="F13" s="5">
        <f>SUMIFS(tblPurchases[Input VAT],tblPurchases[Month],F$7)</f>
        <v>60049990</v>
      </c>
      <c r="G13" s="5">
        <f>SUMIFS(tblPurchases[Input VAT],tblPurchases[Month],G$7)</f>
        <v>103637380</v>
      </c>
      <c r="H13" s="5">
        <f>SUMIFS(tblPurchases[Input VAT],tblPurchases[Month],H$7)</f>
        <v>74712330</v>
      </c>
      <c r="I13" s="5">
        <f>SUMIFS(tblPurchases[Input VAT],tblPurchases[Month],I$7)</f>
        <v>66959420</v>
      </c>
      <c r="J13" s="5">
        <f>SUMIFS(tblPurchases[Input VAT],tblPurchases[Month],J$7)</f>
        <v>81360840</v>
      </c>
      <c r="K13" s="5">
        <f>SUMIFS(tblPurchases[Input VAT],tblPurchases[Month],K$7)</f>
        <v>80211340</v>
      </c>
      <c r="L13" s="5">
        <f>SUMIFS(tblPurchases[Input VAT],tblPurchases[Month],L$7)</f>
        <v>92134570</v>
      </c>
      <c r="M13" s="5">
        <f>SUMIFS(tblPurchases[Input VAT],tblPurchases[Month],M$7)</f>
        <v>65954350</v>
      </c>
      <c r="N13" s="5">
        <f>SUMIFS(tblPurchases[Input VAT],tblPurchases[Month],N$7)</f>
        <v>77408320</v>
      </c>
      <c r="O13" s="5">
        <f>SUMIFS(tblPurchases[Input VAT],tblPurchases[Month],O$7)</f>
        <v>68979460</v>
      </c>
      <c r="P13" s="5">
        <f>SUMIFS(tblPurchases[Input VAT],tblPurchases[Month],P$7)</f>
        <v>102386130</v>
      </c>
      <c r="Q13" s="5" cm="1">
        <f t="array" ref="Q13">SUMPRODUCT(($E$7:$P$7&lt;=CutOff)*E13:P13)</f>
        <v>768759640</v>
      </c>
    </row>
    <row r="14" spans="1:60" x14ac:dyDescent="0.35">
      <c r="B14" s="1" t="s">
        <v>6593</v>
      </c>
      <c r="C14" s="1">
        <v>1510</v>
      </c>
      <c r="E14" s="5">
        <f>SUMIFS(tblGJ[Debit],tblGJ[Account Code],$C14,tblGJ[Month],E$7)</f>
        <v>66331100</v>
      </c>
      <c r="F14" s="5">
        <f>SUMIFS(tblGJ[Debit],tblGJ[Account Code],$C14,tblGJ[Month],F$7)</f>
        <v>60049990</v>
      </c>
      <c r="G14" s="5">
        <f>SUMIFS(tblGJ[Debit],tblGJ[Account Code],$C14,tblGJ[Month],G$7)</f>
        <v>103637380</v>
      </c>
      <c r="H14" s="5">
        <f>SUMIFS(tblGJ[Debit],tblGJ[Account Code],$C14,tblGJ[Month],H$7)</f>
        <v>74712330</v>
      </c>
      <c r="I14" s="5">
        <f>SUMIFS(tblGJ[Debit],tblGJ[Account Code],$C14,tblGJ[Month],I$7)</f>
        <v>66959420</v>
      </c>
      <c r="J14" s="5">
        <f>SUMIFS(tblGJ[Debit],tblGJ[Account Code],$C14,tblGJ[Month],J$7)</f>
        <v>81360840</v>
      </c>
      <c r="K14" s="5">
        <f>SUMIFS(tblGJ[Debit],tblGJ[Account Code],$C14,tblGJ[Month],K$7)</f>
        <v>80211340</v>
      </c>
      <c r="L14" s="5">
        <f>SUMIFS(tblGJ[Debit],tblGJ[Account Code],$C14,tblGJ[Month],L$7)</f>
        <v>92134570</v>
      </c>
      <c r="M14" s="5">
        <f>SUMIFS(tblGJ[Debit],tblGJ[Account Code],$C14,tblGJ[Month],M$7)</f>
        <v>65954350</v>
      </c>
      <c r="N14" s="5">
        <f>SUMIFS(tblGJ[Debit],tblGJ[Account Code],$C14,tblGJ[Month],N$7)</f>
        <v>77408320</v>
      </c>
      <c r="O14" s="5">
        <f>SUMIFS(tblGJ[Debit],tblGJ[Account Code],$C14,tblGJ[Month],O$7)</f>
        <v>68979460</v>
      </c>
      <c r="P14" s="5">
        <f>SUMIFS(tblGJ[Debit],tblGJ[Account Code],$C14,tblGJ[Month],P$7)</f>
        <v>102386130</v>
      </c>
      <c r="Q14" s="5" cm="1">
        <f t="array" ref="Q14">SUMPRODUCT(($E$7:$P$7&lt;=CutOff)*E14:P14)</f>
        <v>768759640</v>
      </c>
    </row>
    <row r="15" spans="1:60" x14ac:dyDescent="0.35">
      <c r="B15" s="3" t="s">
        <v>6591</v>
      </c>
      <c r="C15" s="3"/>
      <c r="D15" s="3"/>
      <c r="E15" s="14">
        <f>E13-E14</f>
        <v>0</v>
      </c>
      <c r="F15" s="14">
        <f>F13-F14</f>
        <v>0</v>
      </c>
      <c r="G15" s="14">
        <f>G13-G14</f>
        <v>0</v>
      </c>
      <c r="H15" s="14">
        <f>H13-H14</f>
        <v>0</v>
      </c>
      <c r="I15" s="14">
        <f>I13-I14</f>
        <v>0</v>
      </c>
      <c r="J15" s="14">
        <f>J13-J14</f>
        <v>0</v>
      </c>
      <c r="K15" s="14">
        <f>K13-K14</f>
        <v>0</v>
      </c>
      <c r="L15" s="14">
        <f>L13-L14</f>
        <v>0</v>
      </c>
      <c r="M15" s="14">
        <f>M13-M14</f>
        <v>0</v>
      </c>
      <c r="N15" s="14">
        <f>N13-N14</f>
        <v>0</v>
      </c>
      <c r="O15" s="14">
        <f>O13-O14</f>
        <v>0</v>
      </c>
      <c r="P15" s="14">
        <f>P13-P14</f>
        <v>0</v>
      </c>
      <c r="Q15" s="14" cm="1">
        <f t="array" ref="Q15">SUMPRODUCT(($E$7:$P$7&lt;=CutOff)*E15:P15)</f>
        <v>0</v>
      </c>
      <c r="R15" s="1" t="str">
        <f>IF(ABS(Q15)&lt;1,"✔ Match","✖ Check")</f>
        <v>✔ Match</v>
      </c>
    </row>
    <row r="16" spans="1:60" x14ac:dyDescent="0.35">
      <c r="B16" s="2" t="s">
        <v>6594</v>
      </c>
      <c r="C16" s="2"/>
      <c r="D16" s="2"/>
      <c r="E16" s="13">
        <f>E10-E13</f>
        <v>51698350</v>
      </c>
      <c r="F16" s="13">
        <f>F10-F13</f>
        <v>46093960</v>
      </c>
      <c r="G16" s="13">
        <f>G10-G13</f>
        <v>43483770</v>
      </c>
      <c r="H16" s="13">
        <f>H10-H13</f>
        <v>45837770</v>
      </c>
      <c r="I16" s="13">
        <f>I10-I13</f>
        <v>52409830</v>
      </c>
      <c r="J16" s="13">
        <f>J10-J13</f>
        <v>44369710</v>
      </c>
      <c r="K16" s="13">
        <f>K10-K13</f>
        <v>70697110</v>
      </c>
      <c r="L16" s="13">
        <f>L10-L13</f>
        <v>14872330</v>
      </c>
      <c r="M16" s="13">
        <f>M10-M13</f>
        <v>49824500</v>
      </c>
      <c r="N16" s="13">
        <f>N10-N13</f>
        <v>60515180</v>
      </c>
      <c r="O16" s="13">
        <f>O10-O13</f>
        <v>57145990</v>
      </c>
      <c r="P16" s="13">
        <f>P10-P13</f>
        <v>48996420</v>
      </c>
      <c r="Q16" s="13" cm="1">
        <f t="array" ref="Q16">SUMPRODUCT(($E$7:$P$7&lt;=CutOff)*E16:P16)</f>
        <v>479802510</v>
      </c>
    </row>
    <row r="17" spans="2:18" x14ac:dyDescent="0.35">
      <c r="B17" s="1" t="s">
        <v>6595</v>
      </c>
      <c r="C17" s="1">
        <v>2220</v>
      </c>
      <c r="E17" s="5">
        <f>IF(E$7=12,0,SUMIFS(tblGJ[Debit],tblGJ[Account Code],$C17,tblGJ[Month],E$7+1))</f>
        <v>51698350</v>
      </c>
      <c r="F17" s="5">
        <f>IF(F$7=12,0,SUMIFS(tblGJ[Debit],tblGJ[Account Code],$C17,tblGJ[Month],F$7+1))</f>
        <v>46093960</v>
      </c>
      <c r="G17" s="5">
        <f>IF(G$7=12,0,SUMIFS(tblGJ[Debit],tblGJ[Account Code],$C17,tblGJ[Month],G$7+1))</f>
        <v>43483770</v>
      </c>
      <c r="H17" s="5">
        <f>IF(H$7=12,0,SUMIFS(tblGJ[Debit],tblGJ[Account Code],$C17,tblGJ[Month],H$7+1))</f>
        <v>45837770</v>
      </c>
      <c r="I17" s="5">
        <f>IF(I$7=12,0,SUMIFS(tblGJ[Debit],tblGJ[Account Code],$C17,tblGJ[Month],I$7+1))</f>
        <v>52409830</v>
      </c>
      <c r="J17" s="5">
        <f>IF(J$7=12,0,SUMIFS(tblGJ[Debit],tblGJ[Account Code],$C17,tblGJ[Month],J$7+1))</f>
        <v>44369710</v>
      </c>
      <c r="K17" s="5">
        <f>IF(K$7=12,0,SUMIFS(tblGJ[Debit],tblGJ[Account Code],$C17,tblGJ[Month],K$7+1))</f>
        <v>70697110</v>
      </c>
      <c r="L17" s="5">
        <f>IF(L$7=12,0,SUMIFS(tblGJ[Debit],tblGJ[Account Code],$C17,tblGJ[Month],L$7+1))</f>
        <v>14872330</v>
      </c>
      <c r="M17" s="5">
        <f>IF(M$7=12,0,SUMIFS(tblGJ[Debit],tblGJ[Account Code],$C17,tblGJ[Month],M$7+1))</f>
        <v>49824500</v>
      </c>
      <c r="N17" s="5">
        <f>IF(N$7=12,0,SUMIFS(tblGJ[Debit],tblGJ[Account Code],$C17,tblGJ[Month],N$7+1))</f>
        <v>60515180</v>
      </c>
      <c r="O17" s="5">
        <f>IF(O$7=12,0,SUMIFS(tblGJ[Debit],tblGJ[Account Code],$C17,tblGJ[Month],O$7+1))</f>
        <v>57145990</v>
      </c>
      <c r="P17" s="5">
        <f>IF(P$7=12,0,SUMIFS(tblGJ[Debit],tblGJ[Account Code],$C17,tblGJ[Month],P$7+1))</f>
        <v>0</v>
      </c>
      <c r="Q17" s="5" cm="1">
        <f t="array" ref="Q17">SUMPRODUCT(($E$7:$P$7&lt;=CutOff)*E17:P17)</f>
        <v>479802510</v>
      </c>
    </row>
    <row r="18" spans="2:18" x14ac:dyDescent="0.35">
      <c r="B18" s="1" t="s">
        <v>6596</v>
      </c>
      <c r="E18" s="5">
        <f>E16-E17</f>
        <v>0</v>
      </c>
      <c r="F18" s="5">
        <f>F16-F17</f>
        <v>0</v>
      </c>
      <c r="G18" s="5">
        <f>G16-G17</f>
        <v>0</v>
      </c>
      <c r="H18" s="5">
        <f>H16-H17</f>
        <v>0</v>
      </c>
      <c r="I18" s="5">
        <f>I16-I17</f>
        <v>0</v>
      </c>
      <c r="J18" s="5">
        <f>J16-J17</f>
        <v>0</v>
      </c>
      <c r="K18" s="5">
        <f>K16-K17</f>
        <v>0</v>
      </c>
      <c r="L18" s="5">
        <f>L16-L17</f>
        <v>0</v>
      </c>
      <c r="M18" s="5">
        <f>M16-M17</f>
        <v>0</v>
      </c>
      <c r="N18" s="5">
        <f>N16-N17</f>
        <v>0</v>
      </c>
      <c r="O18" s="5">
        <f>O16-O17</f>
        <v>0</v>
      </c>
      <c r="P18" s="5">
        <f>P16-P17</f>
        <v>48996420</v>
      </c>
      <c r="Q18" s="5" cm="1">
        <f t="array" ref="Q18">SUMPRODUCT(($E$7:$P$7&lt;=CutOff)*E18:P18)</f>
        <v>0</v>
      </c>
    </row>
    <row r="19" spans="2:18" x14ac:dyDescent="0.35">
      <c r="B19" s="1" t="s">
        <v>6597</v>
      </c>
      <c r="C19" s="1">
        <v>4100</v>
      </c>
      <c r="E19" s="5">
        <f>SUMIFS(tblGJ[Credit],tblGJ[Account Code],$C19,tblGJ[Month],E$7)</f>
        <v>1072995000</v>
      </c>
      <c r="F19" s="5">
        <f>SUMIFS(tblGJ[Credit],tblGJ[Account Code],$C19,tblGJ[Month],F$7)</f>
        <v>964945000</v>
      </c>
      <c r="G19" s="5">
        <f>SUMIFS(tblGJ[Credit],tblGJ[Account Code],$C19,tblGJ[Month],G$7)</f>
        <v>1337465000</v>
      </c>
      <c r="H19" s="5">
        <f>SUMIFS(tblGJ[Credit],tblGJ[Account Code],$C19,tblGJ[Month],H$7)</f>
        <v>1095910000</v>
      </c>
      <c r="I19" s="5">
        <f>SUMIFS(tblGJ[Credit],tblGJ[Account Code],$C19,tblGJ[Month],I$7)</f>
        <v>1085175000</v>
      </c>
      <c r="J19" s="5">
        <f>SUMIFS(tblGJ[Credit],tblGJ[Account Code],$C19,tblGJ[Month],J$7)</f>
        <v>1143005000</v>
      </c>
      <c r="K19" s="5">
        <f>SUMIFS(tblGJ[Credit],tblGJ[Account Code],$C19,tblGJ[Month],K$7)</f>
        <v>1371895000</v>
      </c>
      <c r="L19" s="5">
        <f>SUMIFS(tblGJ[Credit],tblGJ[Account Code],$C19,tblGJ[Month],L$7)</f>
        <v>972790000</v>
      </c>
      <c r="M19" s="5">
        <f>SUMIFS(tblGJ[Credit],tblGJ[Account Code],$C19,tblGJ[Month],M$7)</f>
        <v>1052535000</v>
      </c>
      <c r="N19" s="5">
        <f>SUMIFS(tblGJ[Credit],tblGJ[Account Code],$C19,tblGJ[Month],N$7)</f>
        <v>1253850000</v>
      </c>
      <c r="O19" s="5">
        <f>SUMIFS(tblGJ[Credit],tblGJ[Account Code],$C19,tblGJ[Month],O$7)</f>
        <v>1146595000</v>
      </c>
      <c r="P19" s="5">
        <f>SUMIFS(tblGJ[Credit],tblGJ[Account Code],$C19,tblGJ[Month],P$7)</f>
        <v>1376205000</v>
      </c>
      <c r="Q19" s="5" cm="1">
        <f t="array" ref="Q19">SUMPRODUCT(($E$7:$P$7&lt;=CutOff)*E19:P19)</f>
        <v>11350565000</v>
      </c>
    </row>
    <row r="20" spans="2:18" x14ac:dyDescent="0.35">
      <c r="B20" s="1" t="s">
        <v>6598</v>
      </c>
      <c r="E20" s="5">
        <f>ROUND(E19*VATEff,0)</f>
        <v>118029450</v>
      </c>
      <c r="F20" s="5">
        <f>ROUND(F19*VATEff,0)</f>
        <v>106143950</v>
      </c>
      <c r="G20" s="5">
        <f>ROUND(G19*VATEff,0)</f>
        <v>147121150</v>
      </c>
      <c r="H20" s="5">
        <f>ROUND(H19*VATEff,0)</f>
        <v>120550100</v>
      </c>
      <c r="I20" s="5">
        <f>ROUND(I19*VATEff,0)</f>
        <v>119369250</v>
      </c>
      <c r="J20" s="5">
        <f>ROUND(J19*VATEff,0)</f>
        <v>125730550</v>
      </c>
      <c r="K20" s="5">
        <f>ROUND(K19*VATEff,0)</f>
        <v>150908450</v>
      </c>
      <c r="L20" s="5">
        <f>ROUND(L19*VATEff,0)</f>
        <v>107006900</v>
      </c>
      <c r="M20" s="5">
        <f>ROUND(M19*VATEff,0)</f>
        <v>115778850</v>
      </c>
      <c r="N20" s="5">
        <f>ROUND(N19*VATEff,0)</f>
        <v>137923500</v>
      </c>
      <c r="O20" s="5">
        <f>ROUND(O19*VATEff,0)</f>
        <v>126125450</v>
      </c>
      <c r="P20" s="5">
        <f>ROUND(P19*VATEff,0)</f>
        <v>151382550</v>
      </c>
      <c r="Q20" s="5" cm="1">
        <f t="array" ref="Q20">SUMPRODUCT(($E$7:$P$7&lt;=CutOff)*E20:P20)</f>
        <v>1248562150</v>
      </c>
    </row>
    <row r="21" spans="2:18" x14ac:dyDescent="0.35">
      <c r="B21" s="1" t="s">
        <v>6599</v>
      </c>
      <c r="E21" s="5">
        <f>E10-E20</f>
        <v>0</v>
      </c>
      <c r="F21" s="5">
        <f>F10-F20</f>
        <v>0</v>
      </c>
      <c r="G21" s="5">
        <f>G10-G20</f>
        <v>0</v>
      </c>
      <c r="H21" s="5">
        <f>H10-H20</f>
        <v>0</v>
      </c>
      <c r="I21" s="5">
        <f>I10-I20</f>
        <v>0</v>
      </c>
      <c r="J21" s="5">
        <f>J10-J20</f>
        <v>0</v>
      </c>
      <c r="K21" s="5">
        <f>K10-K20</f>
        <v>0</v>
      </c>
      <c r="L21" s="5">
        <f>L10-L20</f>
        <v>0</v>
      </c>
      <c r="M21" s="5">
        <f>M10-M20</f>
        <v>0</v>
      </c>
      <c r="N21" s="5">
        <f>N10-N20</f>
        <v>0</v>
      </c>
      <c r="O21" s="5">
        <f>O10-O20</f>
        <v>0</v>
      </c>
      <c r="P21" s="5">
        <f>P10-P20</f>
        <v>0</v>
      </c>
      <c r="Q21" s="5" cm="1">
        <f t="array" ref="Q21">SUMPRODUCT(($E$7:$P$7&lt;=CutOff)*E21:P21)</f>
        <v>0</v>
      </c>
      <c r="R21" s="1" t="str">
        <f>IF(ABS(Q21)&lt;=ROWS(tblSales[Output VAT]),"✔ Rounding only","✖ Check")</f>
        <v>✔ Rounding only</v>
      </c>
    </row>
    <row r="23" spans="2:18" x14ac:dyDescent="0.35">
      <c r="B23" s="124" t="s">
        <v>6600</v>
      </c>
      <c r="C23" s="124"/>
      <c r="D23" s="124"/>
      <c r="E23" s="124"/>
      <c r="F23" s="124"/>
      <c r="G23" s="124"/>
      <c r="H23" s="124"/>
      <c r="I23" s="124"/>
      <c r="J23" s="124"/>
      <c r="K23" s="124"/>
      <c r="L23" s="124"/>
      <c r="M23" s="124"/>
      <c r="N23" s="124"/>
      <c r="O23" s="124"/>
      <c r="P23" s="124"/>
      <c r="Q23" s="124"/>
      <c r="R23" s="124"/>
    </row>
    <row r="24" spans="2:18" x14ac:dyDescent="0.35">
      <c r="B24" s="1" t="s">
        <v>6601</v>
      </c>
      <c r="E24" s="5">
        <f>SUMIFS(tblPayroll[Gross Salary],tblPayroll[Period],E$7)</f>
        <v>178200000</v>
      </c>
      <c r="F24" s="5">
        <f>SUMIFS(tblPayroll[Gross Salary],tblPayroll[Period],F$7)</f>
        <v>178200000</v>
      </c>
      <c r="G24" s="5">
        <f>SUMIFS(tblPayroll[Gross Salary],tblPayroll[Period],G$7)</f>
        <v>356400000</v>
      </c>
      <c r="H24" s="5">
        <f>SUMIFS(tblPayroll[Gross Salary],tblPayroll[Period],H$7)</f>
        <v>178200000</v>
      </c>
      <c r="I24" s="5">
        <f>SUMIFS(tblPayroll[Gross Salary],tblPayroll[Period],I$7)</f>
        <v>178200000</v>
      </c>
      <c r="J24" s="5">
        <f>SUMIFS(tblPayroll[Gross Salary],tblPayroll[Period],J$7)</f>
        <v>178200000</v>
      </c>
      <c r="K24" s="5">
        <f>SUMIFS(tblPayroll[Gross Salary],tblPayroll[Period],K$7)</f>
        <v>178200000</v>
      </c>
      <c r="L24" s="5">
        <f>SUMIFS(tblPayroll[Gross Salary],tblPayroll[Period],L$7)</f>
        <v>178200000</v>
      </c>
      <c r="M24" s="5">
        <f>SUMIFS(tblPayroll[Gross Salary],tblPayroll[Period],M$7)</f>
        <v>178200000</v>
      </c>
      <c r="N24" s="5">
        <f>SUMIFS(tblPayroll[Gross Salary],tblPayroll[Period],N$7)</f>
        <v>178200000</v>
      </c>
      <c r="O24" s="5">
        <f>SUMIFS(tblPayroll[Gross Salary],tblPayroll[Period],O$7)</f>
        <v>178200000</v>
      </c>
      <c r="P24" s="5">
        <f>SUMIFS(tblPayroll[Gross Salary],tblPayroll[Period],P$7)</f>
        <v>178200000</v>
      </c>
      <c r="Q24" s="5" cm="1">
        <f t="array" ref="Q24">SUMPRODUCT(($E$7:$P$7&lt;=CutOff)*E24:P24)</f>
        <v>1960200000</v>
      </c>
    </row>
    <row r="25" spans="2:18" x14ac:dyDescent="0.35">
      <c r="B25" s="1" t="s">
        <v>6602</v>
      </c>
      <c r="E25" s="5">
        <f>SUMIFS(tblGJ[Debit],tblGJ[Account Code],6110,tblGJ[Month],E$7)+SUMIFS(tblGJ[Debit],tblGJ[Account Code],6210,tblGJ[Month],E$7)</f>
        <v>178200000</v>
      </c>
      <c r="F25" s="5">
        <f>SUMIFS(tblGJ[Debit],tblGJ[Account Code],6110,tblGJ[Month],F$7)+SUMIFS(tblGJ[Debit],tblGJ[Account Code],6210,tblGJ[Month],F$7)</f>
        <v>178200000</v>
      </c>
      <c r="G25" s="5">
        <f>SUMIFS(tblGJ[Debit],tblGJ[Account Code],6110,tblGJ[Month],G$7)+SUMIFS(tblGJ[Debit],tblGJ[Account Code],6210,tblGJ[Month],G$7)</f>
        <v>356400000</v>
      </c>
      <c r="H25" s="5">
        <f>SUMIFS(tblGJ[Debit],tblGJ[Account Code],6110,tblGJ[Month],H$7)+SUMIFS(tblGJ[Debit],tblGJ[Account Code],6210,tblGJ[Month],H$7)</f>
        <v>178200000</v>
      </c>
      <c r="I25" s="5">
        <f>SUMIFS(tblGJ[Debit],tblGJ[Account Code],6110,tblGJ[Month],I$7)+SUMIFS(tblGJ[Debit],tblGJ[Account Code],6210,tblGJ[Month],I$7)</f>
        <v>178200000</v>
      </c>
      <c r="J25" s="5">
        <f>SUMIFS(tblGJ[Debit],tblGJ[Account Code],6110,tblGJ[Month],J$7)+SUMIFS(tblGJ[Debit],tblGJ[Account Code],6210,tblGJ[Month],J$7)</f>
        <v>178200000</v>
      </c>
      <c r="K25" s="5">
        <f>SUMIFS(tblGJ[Debit],tblGJ[Account Code],6110,tblGJ[Month],K$7)+SUMIFS(tblGJ[Debit],tblGJ[Account Code],6210,tblGJ[Month],K$7)</f>
        <v>178200000</v>
      </c>
      <c r="L25" s="5">
        <f>SUMIFS(tblGJ[Debit],tblGJ[Account Code],6110,tblGJ[Month],L$7)+SUMIFS(tblGJ[Debit],tblGJ[Account Code],6210,tblGJ[Month],L$7)</f>
        <v>178200000</v>
      </c>
      <c r="M25" s="5">
        <f>SUMIFS(tblGJ[Debit],tblGJ[Account Code],6110,tblGJ[Month],M$7)+SUMIFS(tblGJ[Debit],tblGJ[Account Code],6210,tblGJ[Month],M$7)</f>
        <v>178200000</v>
      </c>
      <c r="N25" s="5">
        <f>SUMIFS(tblGJ[Debit],tblGJ[Account Code],6110,tblGJ[Month],N$7)+SUMIFS(tblGJ[Debit],tblGJ[Account Code],6210,tblGJ[Month],N$7)</f>
        <v>178200000</v>
      </c>
      <c r="O25" s="5">
        <f>SUMIFS(tblGJ[Debit],tblGJ[Account Code],6110,tblGJ[Month],O$7)+SUMIFS(tblGJ[Debit],tblGJ[Account Code],6210,tblGJ[Month],O$7)</f>
        <v>178200000</v>
      </c>
      <c r="P25" s="5">
        <f>SUMIFS(tblGJ[Debit],tblGJ[Account Code],6110,tblGJ[Month],P$7)+SUMIFS(tblGJ[Debit],tblGJ[Account Code],6210,tblGJ[Month],P$7)</f>
        <v>178200000</v>
      </c>
      <c r="Q25" s="5" cm="1">
        <f t="array" ref="Q25">SUMPRODUCT(($E$7:$P$7&lt;=CutOff)*E25:P25)</f>
        <v>1960200000</v>
      </c>
    </row>
    <row r="26" spans="2:18" x14ac:dyDescent="0.35">
      <c r="B26" s="3" t="s">
        <v>6591</v>
      </c>
      <c r="C26" s="3"/>
      <c r="D26" s="3"/>
      <c r="E26" s="14">
        <f>E24-E25</f>
        <v>0</v>
      </c>
      <c r="F26" s="14">
        <f>F24-F25</f>
        <v>0</v>
      </c>
      <c r="G26" s="14">
        <f>G24-G25</f>
        <v>0</v>
      </c>
      <c r="H26" s="14">
        <f>H24-H25</f>
        <v>0</v>
      </c>
      <c r="I26" s="14">
        <f>I24-I25</f>
        <v>0</v>
      </c>
      <c r="J26" s="14">
        <f>J24-J25</f>
        <v>0</v>
      </c>
      <c r="K26" s="14">
        <f>K24-K25</f>
        <v>0</v>
      </c>
      <c r="L26" s="14">
        <f>L24-L25</f>
        <v>0</v>
      </c>
      <c r="M26" s="14">
        <f>M24-M25</f>
        <v>0</v>
      </c>
      <c r="N26" s="14">
        <f>N24-N25</f>
        <v>0</v>
      </c>
      <c r="O26" s="14">
        <f>O24-O25</f>
        <v>0</v>
      </c>
      <c r="P26" s="14">
        <f>P24-P25</f>
        <v>0</v>
      </c>
      <c r="Q26" s="14" cm="1">
        <f t="array" ref="Q26">SUMPRODUCT(($E$7:$P$7&lt;=CutOff)*E26:P26)</f>
        <v>0</v>
      </c>
      <c r="R26" s="1" t="str">
        <f>IF(ABS(Q26)&lt;1,"✔ Match","✖ Check")</f>
        <v>✔ Match</v>
      </c>
    </row>
    <row r="27" spans="2:18" x14ac:dyDescent="0.35">
      <c r="B27" s="1" t="s">
        <v>6603</v>
      </c>
      <c r="E27" s="5">
        <f>SUMIFS(tblPayroll[PPh 21],tblPayroll[Period],E$7)</f>
        <v>10516831</v>
      </c>
      <c r="F27" s="5">
        <f>SUMIFS(tblPayroll[PPh 21],tblPayroll[Period],F$7)</f>
        <v>10516831</v>
      </c>
      <c r="G27" s="5">
        <f>SUMIFS(tblPayroll[PPh 21],tblPayroll[Period],G$7)</f>
        <v>42979692</v>
      </c>
      <c r="H27" s="5">
        <f>SUMIFS(tblPayroll[PPh 21],tblPayroll[Period],H$7)</f>
        <v>10516831</v>
      </c>
      <c r="I27" s="5">
        <f>SUMIFS(tblPayroll[PPh 21],tblPayroll[Period],I$7)</f>
        <v>10516831</v>
      </c>
      <c r="J27" s="5">
        <f>SUMIFS(tblPayroll[PPh 21],tblPayroll[Period],J$7)</f>
        <v>10516831</v>
      </c>
      <c r="K27" s="5">
        <f>SUMIFS(tblPayroll[PPh 21],tblPayroll[Period],K$7)</f>
        <v>10516831</v>
      </c>
      <c r="L27" s="5">
        <f>SUMIFS(tblPayroll[PPh 21],tblPayroll[Period],L$7)</f>
        <v>10516831</v>
      </c>
      <c r="M27" s="5">
        <f>SUMIFS(tblPayroll[PPh 21],tblPayroll[Period],M$7)</f>
        <v>10516831</v>
      </c>
      <c r="N27" s="5">
        <f>SUMIFS(tblPayroll[PPh 21],tblPayroll[Period],N$7)</f>
        <v>10516831</v>
      </c>
      <c r="O27" s="5">
        <f>SUMIFS(tblPayroll[PPh 21],tblPayroll[Period],O$7)</f>
        <v>10516831</v>
      </c>
      <c r="P27" s="5">
        <f>SUMIFS(tblPayroll[PPh 21],tblPayroll[Period],P$7)</f>
        <v>10516831</v>
      </c>
      <c r="Q27" s="5" cm="1">
        <f t="array" ref="Q27">SUMPRODUCT(($E$7:$P$7&lt;=CutOff)*E27:P27)</f>
        <v>137631171</v>
      </c>
    </row>
    <row r="28" spans="2:18" x14ac:dyDescent="0.35">
      <c r="B28" s="1" t="s">
        <v>6604</v>
      </c>
      <c r="C28" s="1">
        <v>2230</v>
      </c>
      <c r="E28" s="5">
        <f>SUMIFS(tblGJ[Credit],tblGJ[Account Code],$C28,tblGJ[Month],E$7)</f>
        <v>10516831</v>
      </c>
      <c r="F28" s="5">
        <f>SUMIFS(tblGJ[Credit],tblGJ[Account Code],$C28,tblGJ[Month],F$7)</f>
        <v>10516831</v>
      </c>
      <c r="G28" s="5">
        <f>SUMIFS(tblGJ[Credit],tblGJ[Account Code],$C28,tblGJ[Month],G$7)</f>
        <v>42979692</v>
      </c>
      <c r="H28" s="5">
        <f>SUMIFS(tblGJ[Credit],tblGJ[Account Code],$C28,tblGJ[Month],H$7)</f>
        <v>10516831</v>
      </c>
      <c r="I28" s="5">
        <f>SUMIFS(tblGJ[Credit],tblGJ[Account Code],$C28,tblGJ[Month],I$7)</f>
        <v>10516831</v>
      </c>
      <c r="J28" s="5">
        <f>SUMIFS(tblGJ[Credit],tblGJ[Account Code],$C28,tblGJ[Month],J$7)</f>
        <v>10516831</v>
      </c>
      <c r="K28" s="5">
        <f>SUMIFS(tblGJ[Credit],tblGJ[Account Code],$C28,tblGJ[Month],K$7)</f>
        <v>10516831</v>
      </c>
      <c r="L28" s="5">
        <f>SUMIFS(tblGJ[Credit],tblGJ[Account Code],$C28,tblGJ[Month],L$7)</f>
        <v>10516831</v>
      </c>
      <c r="M28" s="5">
        <f>SUMIFS(tblGJ[Credit],tblGJ[Account Code],$C28,tblGJ[Month],M$7)</f>
        <v>10516831</v>
      </c>
      <c r="N28" s="5">
        <f>SUMIFS(tblGJ[Credit],tblGJ[Account Code],$C28,tblGJ[Month],N$7)</f>
        <v>10516831</v>
      </c>
      <c r="O28" s="5">
        <f>SUMIFS(tblGJ[Credit],tblGJ[Account Code],$C28,tblGJ[Month],O$7)</f>
        <v>10516831</v>
      </c>
      <c r="P28" s="5">
        <f>SUMIFS(tblGJ[Credit],tblGJ[Account Code],$C28,tblGJ[Month],P$7)</f>
        <v>10516831</v>
      </c>
      <c r="Q28" s="5" cm="1">
        <f t="array" ref="Q28">SUMPRODUCT(($E$7:$P$7&lt;=CutOff)*E28:P28)</f>
        <v>137631171</v>
      </c>
    </row>
    <row r="29" spans="2:18" x14ac:dyDescent="0.35">
      <c r="B29" s="3" t="s">
        <v>6591</v>
      </c>
      <c r="C29" s="3"/>
      <c r="D29" s="3"/>
      <c r="E29" s="14">
        <f>E27-E28</f>
        <v>0</v>
      </c>
      <c r="F29" s="14">
        <f>F27-F28</f>
        <v>0</v>
      </c>
      <c r="G29" s="14">
        <f>G27-G28</f>
        <v>0</v>
      </c>
      <c r="H29" s="14">
        <f>H27-H28</f>
        <v>0</v>
      </c>
      <c r="I29" s="14">
        <f>I27-I28</f>
        <v>0</v>
      </c>
      <c r="J29" s="14">
        <f>J27-J28</f>
        <v>0</v>
      </c>
      <c r="K29" s="14">
        <f>K27-K28</f>
        <v>0</v>
      </c>
      <c r="L29" s="14">
        <f>L27-L28</f>
        <v>0</v>
      </c>
      <c r="M29" s="14">
        <f>M27-M28</f>
        <v>0</v>
      </c>
      <c r="N29" s="14">
        <f>N27-N28</f>
        <v>0</v>
      </c>
      <c r="O29" s="14">
        <f>O27-O28</f>
        <v>0</v>
      </c>
      <c r="P29" s="14">
        <f>P27-P28</f>
        <v>0</v>
      </c>
      <c r="Q29" s="14" cm="1">
        <f t="array" ref="Q29">SUMPRODUCT(($E$7:$P$7&lt;=CutOff)*E29:P29)</f>
        <v>0</v>
      </c>
      <c r="R29" s="1" t="str">
        <f>IF(ABS(Q29)&lt;1,"✔ Match","✖ Check")</f>
        <v>✔ Match</v>
      </c>
    </row>
    <row r="30" spans="2:18" x14ac:dyDescent="0.35">
      <c r="B30" s="1" t="s">
        <v>6605</v>
      </c>
      <c r="C30" s="1">
        <v>2230</v>
      </c>
      <c r="E30" s="5">
        <f>IF(E$7=12,0,SUMIFS(tblGJ[Debit],tblGJ[Account Code],$C30,tblGJ[Month],E$7+1))</f>
        <v>10516831</v>
      </c>
      <c r="F30" s="5">
        <f>IF(F$7=12,0,SUMIFS(tblGJ[Debit],tblGJ[Account Code],$C30,tblGJ[Month],F$7+1))</f>
        <v>10516831</v>
      </c>
      <c r="G30" s="5">
        <f>IF(G$7=12,0,SUMIFS(tblGJ[Debit],tblGJ[Account Code],$C30,tblGJ[Month],G$7+1))</f>
        <v>42979692</v>
      </c>
      <c r="H30" s="5">
        <f>IF(H$7=12,0,SUMIFS(tblGJ[Debit],tblGJ[Account Code],$C30,tblGJ[Month],H$7+1))</f>
        <v>10516831</v>
      </c>
      <c r="I30" s="5">
        <f>IF(I$7=12,0,SUMIFS(tblGJ[Debit],tblGJ[Account Code],$C30,tblGJ[Month],I$7+1))</f>
        <v>10516831</v>
      </c>
      <c r="J30" s="5">
        <f>IF(J$7=12,0,SUMIFS(tblGJ[Debit],tblGJ[Account Code],$C30,tblGJ[Month],J$7+1))</f>
        <v>10516831</v>
      </c>
      <c r="K30" s="5">
        <f>IF(K$7=12,0,SUMIFS(tblGJ[Debit],tblGJ[Account Code],$C30,tblGJ[Month],K$7+1))</f>
        <v>10516831</v>
      </c>
      <c r="L30" s="5">
        <f>IF(L$7=12,0,SUMIFS(tblGJ[Debit],tblGJ[Account Code],$C30,tblGJ[Month],L$7+1))</f>
        <v>10516831</v>
      </c>
      <c r="M30" s="5">
        <f>IF(M$7=12,0,SUMIFS(tblGJ[Debit],tblGJ[Account Code],$C30,tblGJ[Month],M$7+1))</f>
        <v>10516831</v>
      </c>
      <c r="N30" s="5">
        <f>IF(N$7=12,0,SUMIFS(tblGJ[Debit],tblGJ[Account Code],$C30,tblGJ[Month],N$7+1))</f>
        <v>10516831</v>
      </c>
      <c r="O30" s="5">
        <f>IF(O$7=12,0,SUMIFS(tblGJ[Debit],tblGJ[Account Code],$C30,tblGJ[Month],O$7+1))</f>
        <v>10516831</v>
      </c>
      <c r="P30" s="5">
        <f>IF(P$7=12,0,SUMIFS(tblGJ[Debit],tblGJ[Account Code],$C30,tblGJ[Month],P$7+1))</f>
        <v>0</v>
      </c>
      <c r="Q30" s="5" cm="1">
        <f t="array" ref="Q30">SUMPRODUCT(($E$7:$P$7&lt;=CutOff)*E30:P30)</f>
        <v>137631171</v>
      </c>
    </row>
    <row r="31" spans="2:18" x14ac:dyDescent="0.35">
      <c r="B31" s="1" t="s">
        <v>6606</v>
      </c>
      <c r="E31" s="119">
        <f>IFERROR(E27/E24,0)</f>
        <v>5.9017008978675643E-2</v>
      </c>
      <c r="F31" s="119">
        <f>IFERROR(F27/F24,0)</f>
        <v>5.9017008978675643E-2</v>
      </c>
      <c r="G31" s="119">
        <f>IFERROR(G27/G24,0)</f>
        <v>0.12059397306397307</v>
      </c>
      <c r="H31" s="119">
        <f>IFERROR(H27/H24,0)</f>
        <v>5.9017008978675643E-2</v>
      </c>
      <c r="I31" s="119">
        <f>IFERROR(I27/I24,0)</f>
        <v>5.9017008978675643E-2</v>
      </c>
      <c r="J31" s="119">
        <f>IFERROR(J27/J24,0)</f>
        <v>5.9017008978675643E-2</v>
      </c>
      <c r="K31" s="119">
        <f>IFERROR(K27/K24,0)</f>
        <v>5.9017008978675643E-2</v>
      </c>
      <c r="L31" s="119">
        <f>IFERROR(L27/L24,0)</f>
        <v>5.9017008978675643E-2</v>
      </c>
      <c r="M31" s="119">
        <f>IFERROR(M27/M24,0)</f>
        <v>5.9017008978675643E-2</v>
      </c>
      <c r="N31" s="119">
        <f>IFERROR(N27/N24,0)</f>
        <v>5.9017008978675643E-2</v>
      </c>
      <c r="O31" s="119">
        <f>IFERROR(O27/O24,0)</f>
        <v>5.9017008978675643E-2</v>
      </c>
      <c r="P31" s="119">
        <f>IFERROR(P27/P24,0)</f>
        <v>5.9017008978675643E-2</v>
      </c>
      <c r="Q31" s="119">
        <f>IFERROR(Q27/Q24,0)</f>
        <v>7.0212820630547901E-2</v>
      </c>
    </row>
    <row r="33" spans="2:18" x14ac:dyDescent="0.35">
      <c r="B33" s="124" t="s">
        <v>6607</v>
      </c>
      <c r="C33" s="124"/>
      <c r="D33" s="124"/>
      <c r="E33" s="124"/>
      <c r="F33" s="124"/>
      <c r="G33" s="124"/>
      <c r="H33" s="124"/>
      <c r="I33" s="124"/>
      <c r="J33" s="124"/>
      <c r="K33" s="124"/>
      <c r="L33" s="124"/>
      <c r="M33" s="124"/>
      <c r="N33" s="124"/>
      <c r="O33" s="124"/>
      <c r="P33" s="124"/>
      <c r="Q33" s="124"/>
      <c r="R33" s="124"/>
    </row>
    <row r="34" spans="2:18" x14ac:dyDescent="0.35">
      <c r="B34" s="1" t="s">
        <v>6608</v>
      </c>
      <c r="E34" s="5">
        <f>SUMIFS(tblPurchases[DPP (excl. VAT)],tblPurchases[Month],E$7,tblPurchases[WHT Type],'Company Info'!$B$57)</f>
        <v>45705000</v>
      </c>
      <c r="F34" s="5">
        <f>SUMIFS(tblPurchases[DPP (excl. VAT)],tblPurchases[Month],F$7,tblPurchases[WHT Type],'Company Info'!$B$57)</f>
        <v>50046000</v>
      </c>
      <c r="G34" s="5">
        <f>SUMIFS(tblPurchases[DPP (excl. VAT)],tblPurchases[Month],G$7,tblPurchases[WHT Type],'Company Info'!$B$57)</f>
        <v>59971000</v>
      </c>
      <c r="H34" s="5">
        <f>SUMIFS(tblPurchases[DPP (excl. VAT)],tblPurchases[Month],H$7,tblPurchases[WHT Type],'Company Info'!$B$57)</f>
        <v>94854000</v>
      </c>
      <c r="I34" s="5">
        <f>SUMIFS(tblPurchases[DPP (excl. VAT)],tblPurchases[Month],I$7,tblPurchases[WHT Type],'Company Info'!$B$57)</f>
        <v>28112000</v>
      </c>
      <c r="J34" s="5">
        <f>SUMIFS(tblPurchases[DPP (excl. VAT)],tblPurchases[Month],J$7,tblPurchases[WHT Type],'Company Info'!$B$57)</f>
        <v>84456000</v>
      </c>
      <c r="K34" s="5">
        <f>SUMIFS(tblPurchases[DPP (excl. VAT)],tblPurchases[Month],K$7,tblPurchases[WHT Type],'Company Info'!$B$57)</f>
        <v>35079000</v>
      </c>
      <c r="L34" s="5">
        <f>SUMIFS(tblPurchases[DPP (excl. VAT)],tblPurchases[Month],L$7,tblPurchases[WHT Type],'Company Info'!$B$57)</f>
        <v>27229000</v>
      </c>
      <c r="M34" s="5">
        <f>SUMIFS(tblPurchases[DPP (excl. VAT)],tblPurchases[Month],M$7,tblPurchases[WHT Type],'Company Info'!$B$57)</f>
        <v>51991000</v>
      </c>
      <c r="N34" s="5">
        <f>SUMIFS(tblPurchases[DPP (excl. VAT)],tblPurchases[Month],N$7,tblPurchases[WHT Type],'Company Info'!$B$57)</f>
        <v>32194000</v>
      </c>
      <c r="O34" s="5">
        <f>SUMIFS(tblPurchases[DPP (excl. VAT)],tblPurchases[Month],O$7,tblPurchases[WHT Type],'Company Info'!$B$57)</f>
        <v>29910000</v>
      </c>
      <c r="P34" s="5">
        <f>SUMIFS(tblPurchases[DPP (excl. VAT)],tblPurchases[Month],P$7,tblPurchases[WHT Type],'Company Info'!$B$57)</f>
        <v>60079000</v>
      </c>
      <c r="Q34" s="5" cm="1">
        <f t="array" ref="Q34">SUMPRODUCT(($E$7:$P$7&lt;=CutOff)*E34:P34)</f>
        <v>509637000</v>
      </c>
    </row>
    <row r="35" spans="2:18" x14ac:dyDescent="0.35">
      <c r="B35" s="1" t="s">
        <v>6609</v>
      </c>
      <c r="E35" s="5">
        <f>SUMIFS(tblPurchases[WHT Amount],tblPurchases[Month],E$7,tblPurchases[WHT Type],'Company Info'!$B$57)</f>
        <v>914100</v>
      </c>
      <c r="F35" s="5">
        <f>SUMIFS(tblPurchases[WHT Amount],tblPurchases[Month],F$7,tblPurchases[WHT Type],'Company Info'!$B$57)</f>
        <v>1000920</v>
      </c>
      <c r="G35" s="5">
        <f>SUMIFS(tblPurchases[WHT Amount],tblPurchases[Month],G$7,tblPurchases[WHT Type],'Company Info'!$B$57)</f>
        <v>1199420</v>
      </c>
      <c r="H35" s="5">
        <f>SUMIFS(tblPurchases[WHT Amount],tblPurchases[Month],H$7,tblPurchases[WHT Type],'Company Info'!$B$57)</f>
        <v>1897080</v>
      </c>
      <c r="I35" s="5">
        <f>SUMIFS(tblPurchases[WHT Amount],tblPurchases[Month],I$7,tblPurchases[WHT Type],'Company Info'!$B$57)</f>
        <v>562240</v>
      </c>
      <c r="J35" s="5">
        <f>SUMIFS(tblPurchases[WHT Amount],tblPurchases[Month],J$7,tblPurchases[WHT Type],'Company Info'!$B$57)</f>
        <v>1689120</v>
      </c>
      <c r="K35" s="5">
        <f>SUMIFS(tblPurchases[WHT Amount],tblPurchases[Month],K$7,tblPurchases[WHT Type],'Company Info'!$B$57)</f>
        <v>701580</v>
      </c>
      <c r="L35" s="5">
        <f>SUMIFS(tblPurchases[WHT Amount],tblPurchases[Month],L$7,tblPurchases[WHT Type],'Company Info'!$B$57)</f>
        <v>544580</v>
      </c>
      <c r="M35" s="5">
        <f>SUMIFS(tblPurchases[WHT Amount],tblPurchases[Month],M$7,tblPurchases[WHT Type],'Company Info'!$B$57)</f>
        <v>1039820</v>
      </c>
      <c r="N35" s="5">
        <f>SUMIFS(tblPurchases[WHT Amount],tblPurchases[Month],N$7,tblPurchases[WHT Type],'Company Info'!$B$57)</f>
        <v>643880</v>
      </c>
      <c r="O35" s="5">
        <f>SUMIFS(tblPurchases[WHT Amount],tblPurchases[Month],O$7,tblPurchases[WHT Type],'Company Info'!$B$57)</f>
        <v>598200</v>
      </c>
      <c r="P35" s="5">
        <f>SUMIFS(tblPurchases[WHT Amount],tblPurchases[Month],P$7,tblPurchases[WHT Type],'Company Info'!$B$57)</f>
        <v>1201580</v>
      </c>
      <c r="Q35" s="5" cm="1">
        <f t="array" ref="Q35">SUMPRODUCT(($E$7:$P$7&lt;=CutOff)*E35:P35)</f>
        <v>10192740</v>
      </c>
    </row>
    <row r="36" spans="2:18" x14ac:dyDescent="0.35">
      <c r="B36" s="1" t="s">
        <v>6610</v>
      </c>
      <c r="E36" s="5">
        <f>SUMIFS(tblPurchases[DPP (excl. VAT)],tblPurchases[Month],E$7,tblPurchases[WHT Type],'Company Info'!$B$58)</f>
        <v>0</v>
      </c>
      <c r="F36" s="5">
        <f>SUMIFS(tblPurchases[DPP (excl. VAT)],tblPurchases[Month],F$7,tblPurchases[WHT Type],'Company Info'!$B$58)</f>
        <v>0</v>
      </c>
      <c r="G36" s="5">
        <f>SUMIFS(tblPurchases[DPP (excl. VAT)],tblPurchases[Month],G$7,tblPurchases[WHT Type],'Company Info'!$B$58)</f>
        <v>0</v>
      </c>
      <c r="H36" s="5">
        <f>SUMIFS(tblPurchases[DPP (excl. VAT)],tblPurchases[Month],H$7,tblPurchases[WHT Type],'Company Info'!$B$58)</f>
        <v>0</v>
      </c>
      <c r="I36" s="5">
        <f>SUMIFS(tblPurchases[DPP (excl. VAT)],tblPurchases[Month],I$7,tblPurchases[WHT Type],'Company Info'!$B$58)</f>
        <v>0</v>
      </c>
      <c r="J36" s="5">
        <f>SUMIFS(tblPurchases[DPP (excl. VAT)],tblPurchases[Month],J$7,tblPurchases[WHT Type],'Company Info'!$B$58)</f>
        <v>0</v>
      </c>
      <c r="K36" s="5">
        <f>SUMIFS(tblPurchases[DPP (excl. VAT)],tblPurchases[Month],K$7,tblPurchases[WHT Type],'Company Info'!$B$58)</f>
        <v>0</v>
      </c>
      <c r="L36" s="5">
        <f>SUMIFS(tblPurchases[DPP (excl. VAT)],tblPurchases[Month],L$7,tblPurchases[WHT Type],'Company Info'!$B$58)</f>
        <v>0</v>
      </c>
      <c r="M36" s="5">
        <f>SUMIFS(tblPurchases[DPP (excl. VAT)],tblPurchases[Month],M$7,tblPurchases[WHT Type],'Company Info'!$B$58)</f>
        <v>0</v>
      </c>
      <c r="N36" s="5">
        <f>SUMIFS(tblPurchases[DPP (excl. VAT)],tblPurchases[Month],N$7,tblPurchases[WHT Type],'Company Info'!$B$58)</f>
        <v>0</v>
      </c>
      <c r="O36" s="5">
        <f>SUMIFS(tblPurchases[DPP (excl. VAT)],tblPurchases[Month],O$7,tblPurchases[WHT Type],'Company Info'!$B$58)</f>
        <v>0</v>
      </c>
      <c r="P36" s="5">
        <f>SUMIFS(tblPurchases[DPP (excl. VAT)],tblPurchases[Month],P$7,tblPurchases[WHT Type],'Company Info'!$B$58)</f>
        <v>144000000</v>
      </c>
      <c r="Q36" s="5" cm="1">
        <f t="array" ref="Q36">SUMPRODUCT(($E$7:$P$7&lt;=CutOff)*E36:P36)</f>
        <v>0</v>
      </c>
    </row>
    <row r="37" spans="2:18" x14ac:dyDescent="0.35">
      <c r="B37" s="1" t="s">
        <v>6611</v>
      </c>
      <c r="E37" s="5">
        <f>SUMIFS(tblPurchases[WHT Amount],tblPurchases[Month],E$7,tblPurchases[WHT Type],'Company Info'!$B$58)</f>
        <v>0</v>
      </c>
      <c r="F37" s="5">
        <f>SUMIFS(tblPurchases[WHT Amount],tblPurchases[Month],F$7,tblPurchases[WHT Type],'Company Info'!$B$58)</f>
        <v>0</v>
      </c>
      <c r="G37" s="5">
        <f>SUMIFS(tblPurchases[WHT Amount],tblPurchases[Month],G$7,tblPurchases[WHT Type],'Company Info'!$B$58)</f>
        <v>0</v>
      </c>
      <c r="H37" s="5">
        <f>SUMIFS(tblPurchases[WHT Amount],tblPurchases[Month],H$7,tblPurchases[WHT Type],'Company Info'!$B$58)</f>
        <v>0</v>
      </c>
      <c r="I37" s="5">
        <f>SUMIFS(tblPurchases[WHT Amount],tblPurchases[Month],I$7,tblPurchases[WHT Type],'Company Info'!$B$58)</f>
        <v>0</v>
      </c>
      <c r="J37" s="5">
        <f>SUMIFS(tblPurchases[WHT Amount],tblPurchases[Month],J$7,tblPurchases[WHT Type],'Company Info'!$B$58)</f>
        <v>0</v>
      </c>
      <c r="K37" s="5">
        <f>SUMIFS(tblPurchases[WHT Amount],tblPurchases[Month],K$7,tblPurchases[WHT Type],'Company Info'!$B$58)</f>
        <v>0</v>
      </c>
      <c r="L37" s="5">
        <f>SUMIFS(tblPurchases[WHT Amount],tblPurchases[Month],L$7,tblPurchases[WHT Type],'Company Info'!$B$58)</f>
        <v>0</v>
      </c>
      <c r="M37" s="5">
        <f>SUMIFS(tblPurchases[WHT Amount],tblPurchases[Month],M$7,tblPurchases[WHT Type],'Company Info'!$B$58)</f>
        <v>0</v>
      </c>
      <c r="N37" s="5">
        <f>SUMIFS(tblPurchases[WHT Amount],tblPurchases[Month],N$7,tblPurchases[WHT Type],'Company Info'!$B$58)</f>
        <v>0</v>
      </c>
      <c r="O37" s="5">
        <f>SUMIFS(tblPurchases[WHT Amount],tblPurchases[Month],O$7,tblPurchases[WHT Type],'Company Info'!$B$58)</f>
        <v>0</v>
      </c>
      <c r="P37" s="5">
        <f>SUMIFS(tblPurchases[WHT Amount],tblPurchases[Month],P$7,tblPurchases[WHT Type],'Company Info'!$B$58)</f>
        <v>14400000</v>
      </c>
      <c r="Q37" s="5" cm="1">
        <f t="array" ref="Q37">SUMPRODUCT(($E$7:$P$7&lt;=CutOff)*E37:P37)</f>
        <v>0</v>
      </c>
    </row>
    <row r="38" spans="2:18" x14ac:dyDescent="0.35">
      <c r="B38" s="2" t="s">
        <v>6612</v>
      </c>
      <c r="C38" s="2"/>
      <c r="D38" s="2"/>
      <c r="E38" s="13">
        <f>SUMIFS(tblPurchases[WHT Amount],tblPurchases[Month],E$7)</f>
        <v>914100</v>
      </c>
      <c r="F38" s="13">
        <f>SUMIFS(tblPurchases[WHT Amount],tblPurchases[Month],F$7)</f>
        <v>1000920</v>
      </c>
      <c r="G38" s="13">
        <f>SUMIFS(tblPurchases[WHT Amount],tblPurchases[Month],G$7)</f>
        <v>1199420</v>
      </c>
      <c r="H38" s="13">
        <f>SUMIFS(tblPurchases[WHT Amount],tblPurchases[Month],H$7)</f>
        <v>1897080</v>
      </c>
      <c r="I38" s="13">
        <f>SUMIFS(tblPurchases[WHT Amount],tblPurchases[Month],I$7)</f>
        <v>562240</v>
      </c>
      <c r="J38" s="13">
        <f>SUMIFS(tblPurchases[WHT Amount],tblPurchases[Month],J$7)</f>
        <v>1689120</v>
      </c>
      <c r="K38" s="13">
        <f>SUMIFS(tblPurchases[WHT Amount],tblPurchases[Month],K$7)</f>
        <v>701580</v>
      </c>
      <c r="L38" s="13">
        <f>SUMIFS(tblPurchases[WHT Amount],tblPurchases[Month],L$7)</f>
        <v>544580</v>
      </c>
      <c r="M38" s="13">
        <f>SUMIFS(tblPurchases[WHT Amount],tblPurchases[Month],M$7)</f>
        <v>1039820</v>
      </c>
      <c r="N38" s="13">
        <f>SUMIFS(tblPurchases[WHT Amount],tblPurchases[Month],N$7)</f>
        <v>643880</v>
      </c>
      <c r="O38" s="13">
        <f>SUMIFS(tblPurchases[WHT Amount],tblPurchases[Month],O$7)</f>
        <v>598200</v>
      </c>
      <c r="P38" s="13">
        <f>SUMIFS(tblPurchases[WHT Amount],tblPurchases[Month],P$7)</f>
        <v>15601580</v>
      </c>
      <c r="Q38" s="13" cm="1">
        <f t="array" ref="Q38">SUMPRODUCT(($E$7:$P$7&lt;=CutOff)*E38:P38)</f>
        <v>10192740</v>
      </c>
    </row>
    <row r="39" spans="2:18" x14ac:dyDescent="0.35">
      <c r="B39" s="1" t="s">
        <v>6613</v>
      </c>
      <c r="C39" s="1">
        <v>2240</v>
      </c>
      <c r="E39" s="5">
        <f>SUMIFS(tblGJ[Credit],tblGJ[Account Code],$C39,tblGJ[Month],E$7)</f>
        <v>914100</v>
      </c>
      <c r="F39" s="5">
        <f>SUMIFS(tblGJ[Credit],tblGJ[Account Code],$C39,tblGJ[Month],F$7)</f>
        <v>1000920</v>
      </c>
      <c r="G39" s="5">
        <f>SUMIFS(tblGJ[Credit],tblGJ[Account Code],$C39,tblGJ[Month],G$7)</f>
        <v>1199420</v>
      </c>
      <c r="H39" s="5">
        <f>SUMIFS(tblGJ[Credit],tblGJ[Account Code],$C39,tblGJ[Month],H$7)</f>
        <v>1897080</v>
      </c>
      <c r="I39" s="5">
        <f>SUMIFS(tblGJ[Credit],tblGJ[Account Code],$C39,tblGJ[Month],I$7)</f>
        <v>562240</v>
      </c>
      <c r="J39" s="5">
        <f>SUMIFS(tblGJ[Credit],tblGJ[Account Code],$C39,tblGJ[Month],J$7)</f>
        <v>1689120</v>
      </c>
      <c r="K39" s="5">
        <f>SUMIFS(tblGJ[Credit],tblGJ[Account Code],$C39,tblGJ[Month],K$7)</f>
        <v>701580</v>
      </c>
      <c r="L39" s="5">
        <f>SUMIFS(tblGJ[Credit],tblGJ[Account Code],$C39,tblGJ[Month],L$7)</f>
        <v>544580</v>
      </c>
      <c r="M39" s="5">
        <f>SUMIFS(tblGJ[Credit],tblGJ[Account Code],$C39,tblGJ[Month],M$7)</f>
        <v>1039820</v>
      </c>
      <c r="N39" s="5">
        <f>SUMIFS(tblGJ[Credit],tblGJ[Account Code],$C39,tblGJ[Month],N$7)</f>
        <v>643880</v>
      </c>
      <c r="O39" s="5">
        <f>SUMIFS(tblGJ[Credit],tblGJ[Account Code],$C39,tblGJ[Month],O$7)</f>
        <v>598200</v>
      </c>
      <c r="P39" s="5">
        <f>SUMIFS(tblGJ[Credit],tblGJ[Account Code],$C39,tblGJ[Month],P$7)</f>
        <v>15601580</v>
      </c>
      <c r="Q39" s="5" cm="1">
        <f t="array" ref="Q39">SUMPRODUCT(($E$7:$P$7&lt;=CutOff)*E39:P39)</f>
        <v>10192740</v>
      </c>
    </row>
    <row r="40" spans="2:18" x14ac:dyDescent="0.35">
      <c r="B40" s="3" t="s">
        <v>6591</v>
      </c>
      <c r="C40" s="3"/>
      <c r="D40" s="3"/>
      <c r="E40" s="14">
        <f>E38-E39</f>
        <v>0</v>
      </c>
      <c r="F40" s="14">
        <f>F38-F39</f>
        <v>0</v>
      </c>
      <c r="G40" s="14">
        <f>G38-G39</f>
        <v>0</v>
      </c>
      <c r="H40" s="14">
        <f>H38-H39</f>
        <v>0</v>
      </c>
      <c r="I40" s="14">
        <f>I38-I39</f>
        <v>0</v>
      </c>
      <c r="J40" s="14">
        <f>J38-J39</f>
        <v>0</v>
      </c>
      <c r="K40" s="14">
        <f>K38-K39</f>
        <v>0</v>
      </c>
      <c r="L40" s="14">
        <f>L38-L39</f>
        <v>0</v>
      </c>
      <c r="M40" s="14">
        <f>M38-M39</f>
        <v>0</v>
      </c>
      <c r="N40" s="14">
        <f>N38-N39</f>
        <v>0</v>
      </c>
      <c r="O40" s="14">
        <f>O38-O39</f>
        <v>0</v>
      </c>
      <c r="P40" s="14">
        <f>P38-P39</f>
        <v>0</v>
      </c>
      <c r="Q40" s="14" cm="1">
        <f t="array" ref="Q40">SUMPRODUCT(($E$7:$P$7&lt;=CutOff)*E40:P40)</f>
        <v>0</v>
      </c>
      <c r="R40" s="1" t="str">
        <f>IF(ABS(Q40)&lt;1,"✔ Match","✖ Check")</f>
        <v>✔ Match</v>
      </c>
    </row>
    <row r="41" spans="2:18" x14ac:dyDescent="0.35">
      <c r="B41" s="1" t="s">
        <v>6614</v>
      </c>
      <c r="C41" s="1">
        <v>2240</v>
      </c>
      <c r="E41" s="5">
        <f>IF(E$7=12,0,SUMIFS(tblGJ[Debit],tblGJ[Account Code],$C41,tblGJ[Month],E$7+1))</f>
        <v>914100</v>
      </c>
      <c r="F41" s="5">
        <f>IF(F$7=12,0,SUMIFS(tblGJ[Debit],tblGJ[Account Code],$C41,tblGJ[Month],F$7+1))</f>
        <v>1000920</v>
      </c>
      <c r="G41" s="5">
        <f>IF(G$7=12,0,SUMIFS(tblGJ[Debit],tblGJ[Account Code],$C41,tblGJ[Month],G$7+1))</f>
        <v>1199420</v>
      </c>
      <c r="H41" s="5">
        <f>IF(H$7=12,0,SUMIFS(tblGJ[Debit],tblGJ[Account Code],$C41,tblGJ[Month],H$7+1))</f>
        <v>1897080</v>
      </c>
      <c r="I41" s="5">
        <f>IF(I$7=12,0,SUMIFS(tblGJ[Debit],tblGJ[Account Code],$C41,tblGJ[Month],I$7+1))</f>
        <v>562240</v>
      </c>
      <c r="J41" s="5">
        <f>IF(J$7=12,0,SUMIFS(tblGJ[Debit],tblGJ[Account Code],$C41,tblGJ[Month],J$7+1))</f>
        <v>1689120</v>
      </c>
      <c r="K41" s="5">
        <f>IF(K$7=12,0,SUMIFS(tblGJ[Debit],tblGJ[Account Code],$C41,tblGJ[Month],K$7+1))</f>
        <v>701580</v>
      </c>
      <c r="L41" s="5">
        <f>IF(L$7=12,0,SUMIFS(tblGJ[Debit],tblGJ[Account Code],$C41,tblGJ[Month],L$7+1))</f>
        <v>544580</v>
      </c>
      <c r="M41" s="5">
        <f>IF(M$7=12,0,SUMIFS(tblGJ[Debit],tblGJ[Account Code],$C41,tblGJ[Month],M$7+1))</f>
        <v>1039820</v>
      </c>
      <c r="N41" s="5">
        <f>IF(N$7=12,0,SUMIFS(tblGJ[Debit],tblGJ[Account Code],$C41,tblGJ[Month],N$7+1))</f>
        <v>643880</v>
      </c>
      <c r="O41" s="5">
        <f>IF(O$7=12,0,SUMIFS(tblGJ[Debit],tblGJ[Account Code],$C41,tblGJ[Month],O$7+1))</f>
        <v>598200</v>
      </c>
      <c r="P41" s="5">
        <f>IF(P$7=12,0,SUMIFS(tblGJ[Debit],tblGJ[Account Code],$C41,tblGJ[Month],P$7+1))</f>
        <v>0</v>
      </c>
      <c r="Q41" s="5" cm="1">
        <f t="array" ref="Q41">SUMPRODUCT(($E$7:$P$7&lt;=CutOff)*E41:P41)</f>
        <v>10192740</v>
      </c>
    </row>
    <row r="42" spans="2:18" x14ac:dyDescent="0.35">
      <c r="B42" s="1" t="s">
        <v>6615</v>
      </c>
      <c r="E42" s="5">
        <f>ROUND(E34*'Company Info'!$C$57,0)+ROUND(E36*'Company Info'!$C$58,0)</f>
        <v>914100</v>
      </c>
      <c r="F42" s="5">
        <f>ROUND(F34*'Company Info'!$C$57,0)+ROUND(F36*'Company Info'!$C$58,0)</f>
        <v>1000920</v>
      </c>
      <c r="G42" s="5">
        <f>ROUND(G34*'Company Info'!$C$57,0)+ROUND(G36*'Company Info'!$C$58,0)</f>
        <v>1199420</v>
      </c>
      <c r="H42" s="5">
        <f>ROUND(H34*'Company Info'!$C$57,0)+ROUND(H36*'Company Info'!$C$58,0)</f>
        <v>1897080</v>
      </c>
      <c r="I42" s="5">
        <f>ROUND(I34*'Company Info'!$C$57,0)+ROUND(I36*'Company Info'!$C$58,0)</f>
        <v>562240</v>
      </c>
      <c r="J42" s="5">
        <f>ROUND(J34*'Company Info'!$C$57,0)+ROUND(J36*'Company Info'!$C$58,0)</f>
        <v>1689120</v>
      </c>
      <c r="K42" s="5">
        <f>ROUND(K34*'Company Info'!$C$57,0)+ROUND(K36*'Company Info'!$C$58,0)</f>
        <v>701580</v>
      </c>
      <c r="L42" s="5">
        <f>ROUND(L34*'Company Info'!$C$57,0)+ROUND(L36*'Company Info'!$C$58,0)</f>
        <v>544580</v>
      </c>
      <c r="M42" s="5">
        <f>ROUND(M34*'Company Info'!$C$57,0)+ROUND(M36*'Company Info'!$C$58,0)</f>
        <v>1039820</v>
      </c>
      <c r="N42" s="5">
        <f>ROUND(N34*'Company Info'!$C$57,0)+ROUND(N36*'Company Info'!$C$58,0)</f>
        <v>643880</v>
      </c>
      <c r="O42" s="5">
        <f>ROUND(O34*'Company Info'!$C$57,0)+ROUND(O36*'Company Info'!$C$58,0)</f>
        <v>598200</v>
      </c>
      <c r="P42" s="5">
        <f>ROUND(P34*'Company Info'!$C$57,0)+ROUND(P36*'Company Info'!$C$58,0)</f>
        <v>15601580</v>
      </c>
      <c r="Q42" s="5" cm="1">
        <f t="array" ref="Q42">SUMPRODUCT(($E$7:$P$7&lt;=CutOff)*E42:P42)</f>
        <v>10192740</v>
      </c>
    </row>
    <row r="43" spans="2:18" x14ac:dyDescent="0.35">
      <c r="B43" s="3" t="s">
        <v>6616</v>
      </c>
      <c r="C43" s="3"/>
      <c r="D43" s="3"/>
      <c r="E43" s="14">
        <f>E38-E42</f>
        <v>0</v>
      </c>
      <c r="F43" s="14">
        <f>F38-F42</f>
        <v>0</v>
      </c>
      <c r="G43" s="14">
        <f>G38-G42</f>
        <v>0</v>
      </c>
      <c r="H43" s="14">
        <f>H38-H42</f>
        <v>0</v>
      </c>
      <c r="I43" s="14">
        <f>I38-I42</f>
        <v>0</v>
      </c>
      <c r="J43" s="14">
        <f>J38-J42</f>
        <v>0</v>
      </c>
      <c r="K43" s="14">
        <f>K38-K42</f>
        <v>0</v>
      </c>
      <c r="L43" s="14">
        <f>L38-L42</f>
        <v>0</v>
      </c>
      <c r="M43" s="14">
        <f>M38-M42</f>
        <v>0</v>
      </c>
      <c r="N43" s="14">
        <f>N38-N42</f>
        <v>0</v>
      </c>
      <c r="O43" s="14">
        <f>O38-O42</f>
        <v>0</v>
      </c>
      <c r="P43" s="14">
        <f>P38-P42</f>
        <v>0</v>
      </c>
      <c r="Q43" s="14" cm="1">
        <f t="array" ref="Q43">SUMPRODUCT(($E$7:$P$7&lt;=CutOff)*E43:P43)</f>
        <v>0</v>
      </c>
      <c r="R43" s="1" t="str">
        <f>IF(ABS(Q43)&lt;1,"✔ Match","✖ Check")</f>
        <v>✔ Match</v>
      </c>
    </row>
    <row r="45" spans="2:18" x14ac:dyDescent="0.35">
      <c r="B45" s="124" t="s">
        <v>6617</v>
      </c>
      <c r="C45" s="124"/>
      <c r="D45" s="124"/>
      <c r="E45" s="124"/>
      <c r="F45" s="124"/>
      <c r="G45" s="124"/>
      <c r="H45" s="124"/>
      <c r="I45" s="124"/>
      <c r="J45" s="124"/>
      <c r="K45" s="124"/>
      <c r="L45" s="124"/>
      <c r="M45" s="124"/>
      <c r="N45" s="124"/>
      <c r="O45" s="124"/>
      <c r="P45" s="124"/>
      <c r="Q45" s="124"/>
      <c r="R45" s="124"/>
    </row>
    <row r="46" spans="2:18" x14ac:dyDescent="0.35">
      <c r="B46" s="1" t="s">
        <v>6618</v>
      </c>
      <c r="E46" s="5">
        <f>PPh25Inst</f>
        <v>20000000</v>
      </c>
      <c r="F46" s="5">
        <f>PPh25Inst</f>
        <v>20000000</v>
      </c>
      <c r="G46" s="5">
        <f>PPh25Inst</f>
        <v>20000000</v>
      </c>
      <c r="H46" s="5">
        <f>PPh25Inst</f>
        <v>20000000</v>
      </c>
      <c r="I46" s="5">
        <f>PPh25Inst</f>
        <v>20000000</v>
      </c>
      <c r="J46" s="5">
        <f>PPh25Inst</f>
        <v>20000000</v>
      </c>
      <c r="K46" s="5">
        <f>PPh25Inst</f>
        <v>20000000</v>
      </c>
      <c r="L46" s="5">
        <f>PPh25Inst</f>
        <v>20000000</v>
      </c>
      <c r="M46" s="5">
        <f>PPh25Inst</f>
        <v>20000000</v>
      </c>
      <c r="N46" s="5">
        <f>PPh25Inst</f>
        <v>20000000</v>
      </c>
      <c r="O46" s="5">
        <f>PPh25Inst</f>
        <v>20000000</v>
      </c>
      <c r="P46" s="5">
        <f>PPh25Inst</f>
        <v>20000000</v>
      </c>
      <c r="Q46" s="5" cm="1">
        <f t="array" ref="Q46">SUMPRODUCT(($E$7:$P$7&lt;=CutOff)*E46:P46)</f>
        <v>200000000</v>
      </c>
    </row>
    <row r="47" spans="2:18" x14ac:dyDescent="0.35">
      <c r="B47" s="1" t="s">
        <v>6619</v>
      </c>
      <c r="C47" s="1">
        <v>1520</v>
      </c>
      <c r="E47" s="5">
        <f>SUMIFS(tblGJ[Debit],tblGJ[Account Code],$C47,tblGJ[Month],E$7)</f>
        <v>20000000</v>
      </c>
      <c r="F47" s="5">
        <f>SUMIFS(tblGJ[Debit],tblGJ[Account Code],$C47,tblGJ[Month],F$7)</f>
        <v>20000000</v>
      </c>
      <c r="G47" s="5">
        <f>SUMIFS(tblGJ[Debit],tblGJ[Account Code],$C47,tblGJ[Month],G$7)</f>
        <v>20000000</v>
      </c>
      <c r="H47" s="5">
        <f>SUMIFS(tblGJ[Debit],tblGJ[Account Code],$C47,tblGJ[Month],H$7)</f>
        <v>20000000</v>
      </c>
      <c r="I47" s="5">
        <f>SUMIFS(tblGJ[Debit],tblGJ[Account Code],$C47,tblGJ[Month],I$7)</f>
        <v>20000000</v>
      </c>
      <c r="J47" s="5">
        <f>SUMIFS(tblGJ[Debit],tblGJ[Account Code],$C47,tblGJ[Month],J$7)</f>
        <v>20000000</v>
      </c>
      <c r="K47" s="5">
        <f>SUMIFS(tblGJ[Debit],tblGJ[Account Code],$C47,tblGJ[Month],K$7)</f>
        <v>20000000</v>
      </c>
      <c r="L47" s="5">
        <f>SUMIFS(tblGJ[Debit],tblGJ[Account Code],$C47,tblGJ[Month],L$7)</f>
        <v>20000000</v>
      </c>
      <c r="M47" s="5">
        <f>SUMIFS(tblGJ[Debit],tblGJ[Account Code],$C47,tblGJ[Month],M$7)</f>
        <v>20000000</v>
      </c>
      <c r="N47" s="5">
        <f>SUMIFS(tblGJ[Debit],tblGJ[Account Code],$C47,tblGJ[Month],N$7)</f>
        <v>20000000</v>
      </c>
      <c r="O47" s="5">
        <f>SUMIFS(tblGJ[Debit],tblGJ[Account Code],$C47,tblGJ[Month],O$7)</f>
        <v>20000000</v>
      </c>
      <c r="P47" s="5">
        <f>SUMIFS(tblGJ[Debit],tblGJ[Account Code],$C47,tblGJ[Month],P$7)</f>
        <v>20000000</v>
      </c>
      <c r="Q47" s="5" cm="1">
        <f t="array" ref="Q47">SUMPRODUCT(($E$7:$P$7&lt;=CutOff)*E47:P47)</f>
        <v>200000000</v>
      </c>
    </row>
    <row r="48" spans="2:18" x14ac:dyDescent="0.35">
      <c r="B48" s="3" t="s">
        <v>6591</v>
      </c>
      <c r="C48" s="3"/>
      <c r="D48" s="3"/>
      <c r="E48" s="14">
        <f>E46-E47</f>
        <v>0</v>
      </c>
      <c r="F48" s="14">
        <f>F46-F47</f>
        <v>0</v>
      </c>
      <c r="G48" s="14">
        <f>G46-G47</f>
        <v>0</v>
      </c>
      <c r="H48" s="14">
        <f>H46-H47</f>
        <v>0</v>
      </c>
      <c r="I48" s="14">
        <f>I46-I47</f>
        <v>0</v>
      </c>
      <c r="J48" s="14">
        <f>J46-J47</f>
        <v>0</v>
      </c>
      <c r="K48" s="14">
        <f>K46-K47</f>
        <v>0</v>
      </c>
      <c r="L48" s="14">
        <f>L46-L47</f>
        <v>0</v>
      </c>
      <c r="M48" s="14">
        <f>M46-M47</f>
        <v>0</v>
      </c>
      <c r="N48" s="14">
        <f>N46-N47</f>
        <v>0</v>
      </c>
      <c r="O48" s="14">
        <f>O46-O47</f>
        <v>0</v>
      </c>
      <c r="P48" s="14">
        <f>P46-P47</f>
        <v>0</v>
      </c>
      <c r="Q48" s="14" cm="1">
        <f t="array" ref="Q48">SUMPRODUCT(($E$7:$P$7&lt;=CutOff)*E48:P48)</f>
        <v>0</v>
      </c>
      <c r="R48" s="1" t="str">
        <f>IF(ABS(Q48)&lt;1,"✔ Match","✖ Check")</f>
        <v>✔ Match</v>
      </c>
    </row>
    <row r="50" spans="2:18" x14ac:dyDescent="0.35">
      <c r="B50" s="124" t="s">
        <v>6620</v>
      </c>
      <c r="C50" s="124"/>
      <c r="D50" s="124"/>
      <c r="E50" s="124"/>
      <c r="F50" s="124"/>
      <c r="G50" s="124"/>
      <c r="H50" s="124"/>
      <c r="I50" s="124"/>
      <c r="J50" s="124"/>
      <c r="K50" s="124"/>
      <c r="L50" s="124"/>
      <c r="M50" s="124"/>
      <c r="N50" s="124"/>
      <c r="O50" s="124"/>
      <c r="P50" s="124"/>
      <c r="Q50" s="124"/>
      <c r="R50" s="124"/>
    </row>
    <row r="51" spans="2:18" x14ac:dyDescent="0.35">
      <c r="B51" s="1" t="s">
        <v>6621</v>
      </c>
      <c r="C51" s="1">
        <v>4100</v>
      </c>
      <c r="Q51" s="5">
        <f>SUMIFS(tblGJ[Credit],tblGJ[Account Code],C51,tblGJ[Date],"&lt;="&amp;PEnd)-SUMIFS(tblGJ[Debit],tblGJ[Account Code],C51,tblGJ[Date],"&lt;="&amp;PEnd)</f>
        <v>11350565000</v>
      </c>
    </row>
    <row r="52" spans="2:18" x14ac:dyDescent="0.35">
      <c r="B52" s="2" t="s">
        <v>6622</v>
      </c>
      <c r="C52" s="2"/>
      <c r="D52" s="2"/>
      <c r="E52" s="2"/>
      <c r="F52" s="2"/>
      <c r="G52" s="2"/>
      <c r="H52" s="2"/>
      <c r="I52" s="2"/>
      <c r="J52" s="2"/>
      <c r="K52" s="2"/>
      <c r="L52" s="2"/>
      <c r="M52" s="2"/>
      <c r="N52" s="2"/>
      <c r="O52" s="2"/>
      <c r="P52" s="2"/>
      <c r="Q52" s="13" cm="1">
        <f t="array" ref="Q52">SUM(SUMIFS(tblGJ[Credit],tblGJ[FS Line],{"Revenue","Other income","Cost of revenue","Selling expenses","General &amp; administrative expenses","Finance costs","Other expenses"},tblGJ[Date],"&lt;="&amp;PEnd))-SUM(SUMIFS(tblGJ[Debit],tblGJ[FS Line],{"Revenue","Other income","Cost of revenue","Selling expenses","General &amp; administrative expenses","Finance costs","Other expenses"},tblGJ[Date],"&lt;="&amp;PEnd))</f>
        <v>1124192448</v>
      </c>
    </row>
    <row r="54" spans="2:18" x14ac:dyDescent="0.35">
      <c r="B54" s="3" t="s">
        <v>6623</v>
      </c>
    </row>
    <row r="55" spans="2:18" x14ac:dyDescent="0.35">
      <c r="B55" s="1" t="s">
        <v>6624</v>
      </c>
      <c r="C55" s="1">
        <v>8200</v>
      </c>
      <c r="Q55" s="5">
        <f>SUMIFS(tblGJ[Debit],tblGJ[Account Code],C55,tblGJ[Date],"&lt;="&amp;PEnd)-SUMIFS(tblGJ[Credit],tblGJ[Account Code],C55,tblGJ[Date],"&lt;="&amp;PEnd)</f>
        <v>4329417</v>
      </c>
    </row>
    <row r="56" spans="2:18" x14ac:dyDescent="0.35">
      <c r="B56" s="1" t="s">
        <v>6625</v>
      </c>
      <c r="C56" s="1">
        <v>6296</v>
      </c>
      <c r="Q56" s="5">
        <f>SUMIFS(tblGJ[Debit],tblGJ[Account Code],C56,tblGJ[Date],"&lt;="&amp;PEnd)-SUMIFS(tblGJ[Credit],tblGJ[Account Code],C56,tblGJ[Date],"&lt;="&amp;PEnd)</f>
        <v>24449000</v>
      </c>
    </row>
    <row r="57" spans="2:18" x14ac:dyDescent="0.35">
      <c r="B57" s="1" t="s">
        <v>6626</v>
      </c>
      <c r="C57" s="1">
        <v>6290</v>
      </c>
      <c r="Q57" s="5">
        <f>SUMIFS(tblGJ[Debit],tblGJ[Account Code],C57,tblGJ[Date],"&lt;="&amp;PEnd)-SUMIFS(tblGJ[Credit],tblGJ[Account Code],C57,tblGJ[Date],"&lt;="&amp;PEnd)</f>
        <v>30000000</v>
      </c>
    </row>
    <row r="58" spans="2:18" x14ac:dyDescent="0.35">
      <c r="B58" s="1" t="s">
        <v>6627</v>
      </c>
      <c r="C58" s="1">
        <v>6285</v>
      </c>
      <c r="Q58" s="5">
        <f>SUMIFS(tblGJ[Debit],tblGJ[Account Code],C58,tblGJ[Date],"&lt;="&amp;PEnd)-SUMIFS(tblGJ[Credit],tblGJ[Account Code],C58,tblGJ[Date],"&lt;="&amp;PEnd)</f>
        <v>0</v>
      </c>
    </row>
    <row r="59" spans="2:18" x14ac:dyDescent="0.35">
      <c r="B59" s="2" t="s">
        <v>6628</v>
      </c>
      <c r="C59" s="2"/>
      <c r="D59" s="2"/>
      <c r="E59" s="2"/>
      <c r="F59" s="2"/>
      <c r="G59" s="2"/>
      <c r="H59" s="2"/>
      <c r="I59" s="2"/>
      <c r="J59" s="2"/>
      <c r="K59" s="2"/>
      <c r="L59" s="2"/>
      <c r="M59" s="2"/>
      <c r="N59" s="2"/>
      <c r="O59" s="2"/>
      <c r="P59" s="2"/>
      <c r="Q59" s="13">
        <f>SUM(Q55:Q58)</f>
        <v>58778417</v>
      </c>
    </row>
    <row r="60" spans="2:18" x14ac:dyDescent="0.35">
      <c r="B60" s="3" t="s">
        <v>6629</v>
      </c>
    </row>
    <row r="61" spans="2:18" x14ac:dyDescent="0.35">
      <c r="B61" s="1" t="s">
        <v>6630</v>
      </c>
      <c r="Q61" s="5">
        <f>-(SUMIFS(tblGJ[Debit],tblGJ[Account Code],7110,tblGJ[Date],"&lt;="&amp;PEnd)-SUMIFS(tblGJ[Credit],tblGJ[Account Code],7110,tblGJ[Date],"&lt;="&amp;PEnd)+SUMIFS(tblGJ[Debit],tblGJ[Account Code],7120,tblGJ[Date],"&lt;="&amp;PEnd)-SUMIFS(tblGJ[Credit],tblGJ[Account Code],7120,tblGJ[Date],"&lt;="&amp;PEnd))</f>
        <v>21647064</v>
      </c>
    </row>
    <row r="62" spans="2:18" x14ac:dyDescent="0.35">
      <c r="B62" s="2" t="s">
        <v>6631</v>
      </c>
      <c r="C62" s="2"/>
      <c r="D62" s="2"/>
      <c r="E62" s="2"/>
      <c r="F62" s="2"/>
      <c r="G62" s="2"/>
      <c r="H62" s="2"/>
      <c r="I62" s="2"/>
      <c r="J62" s="2"/>
      <c r="K62" s="2"/>
      <c r="L62" s="2"/>
      <c r="M62" s="2"/>
      <c r="N62" s="2"/>
      <c r="O62" s="2"/>
      <c r="P62" s="2"/>
      <c r="Q62" s="13">
        <f>Q61</f>
        <v>21647064</v>
      </c>
    </row>
    <row r="63" spans="2:18" x14ac:dyDescent="0.35">
      <c r="B63" s="2" t="s">
        <v>6632</v>
      </c>
      <c r="C63" s="2"/>
      <c r="D63" s="2"/>
      <c r="E63" s="2"/>
      <c r="F63" s="2"/>
      <c r="G63" s="2"/>
      <c r="H63" s="2"/>
      <c r="I63" s="2"/>
      <c r="J63" s="2"/>
      <c r="K63" s="2"/>
      <c r="L63" s="2"/>
      <c r="M63" s="2"/>
      <c r="N63" s="2"/>
      <c r="O63" s="2"/>
      <c r="P63" s="2"/>
      <c r="Q63" s="13">
        <f>Q52+Q59-Q62</f>
        <v>1161323801</v>
      </c>
    </row>
    <row r="64" spans="2:18" x14ac:dyDescent="0.35">
      <c r="B64" s="1" t="s">
        <v>6633</v>
      </c>
      <c r="Q64" s="5">
        <f>MAX(0,ROUNDDOWN(Q63,-3))</f>
        <v>1161323000</v>
      </c>
    </row>
    <row r="65" spans="2:18" x14ac:dyDescent="0.35">
      <c r="B65" s="1" t="s">
        <v>6634</v>
      </c>
      <c r="Q65" s="5">
        <f>IF(AND(Fac31E="Yes",Q51&lt;=50000000000,Q51&gt;0),ROUND(Q64*MIN(1,Fac31ELimit/Q51),0),0)</f>
        <v>491107747</v>
      </c>
    </row>
    <row r="66" spans="2:18" x14ac:dyDescent="0.35">
      <c r="B66" s="1" t="s">
        <v>6635</v>
      </c>
      <c r="Q66" s="5">
        <f>Q64-Q65</f>
        <v>670215253</v>
      </c>
    </row>
    <row r="67" spans="2:18" x14ac:dyDescent="0.35">
      <c r="B67" s="1" t="s">
        <v>6636</v>
      </c>
      <c r="Q67" s="5">
        <f>ROUND(Q65*CITRate*50%,0)</f>
        <v>54021852</v>
      </c>
    </row>
    <row r="68" spans="2:18" x14ac:dyDescent="0.35">
      <c r="B68" s="1" t="s">
        <v>6637</v>
      </c>
      <c r="Q68" s="5">
        <f>ROUND(Q66*CITRate,0)</f>
        <v>147447356</v>
      </c>
    </row>
    <row r="69" spans="2:18" x14ac:dyDescent="0.35">
      <c r="B69" s="2" t="s">
        <v>6638</v>
      </c>
      <c r="C69" s="2"/>
      <c r="D69" s="2"/>
      <c r="E69" s="2"/>
      <c r="F69" s="2"/>
      <c r="G69" s="2"/>
      <c r="H69" s="2"/>
      <c r="I69" s="2"/>
      <c r="J69" s="2"/>
      <c r="K69" s="2"/>
      <c r="L69" s="2"/>
      <c r="M69" s="2"/>
      <c r="N69" s="2"/>
      <c r="O69" s="2"/>
      <c r="P69" s="2"/>
      <c r="Q69" s="125">
        <f>Q67+Q68</f>
        <v>201469208</v>
      </c>
    </row>
    <row r="70" spans="2:18" x14ac:dyDescent="0.35">
      <c r="B70" s="1" t="s">
        <v>6639</v>
      </c>
      <c r="C70" s="1">
        <v>1520</v>
      </c>
      <c r="Q70" s="5">
        <f>SUMIFS(tblGJ[Debit],tblGJ[Account Code],C70,tblGJ[Date],"&lt;="&amp;PEnd)</f>
        <v>200000000</v>
      </c>
    </row>
    <row r="71" spans="2:18" x14ac:dyDescent="0.35">
      <c r="B71" s="2" t="s">
        <v>6640</v>
      </c>
      <c r="C71" s="2"/>
      <c r="D71" s="2"/>
      <c r="E71" s="2"/>
      <c r="F71" s="2"/>
      <c r="G71" s="2"/>
      <c r="H71" s="2"/>
      <c r="I71" s="2"/>
      <c r="J71" s="2"/>
      <c r="K71" s="2"/>
      <c r="L71" s="2"/>
      <c r="M71" s="2"/>
      <c r="N71" s="2"/>
      <c r="O71" s="2"/>
      <c r="P71" s="2"/>
      <c r="Q71" s="13">
        <f>Q69-Q70</f>
        <v>1469208</v>
      </c>
    </row>
    <row r="72" spans="2:18" x14ac:dyDescent="0.35">
      <c r="B72" s="1" t="s">
        <v>6641</v>
      </c>
      <c r="Q72" s="8">
        <f>IFERROR(Q69/Q52,0)</f>
        <v>0.17921238339434212</v>
      </c>
    </row>
    <row r="74" spans="2:18" x14ac:dyDescent="0.35">
      <c r="B74" s="124" t="s">
        <v>6642</v>
      </c>
      <c r="C74" s="124"/>
      <c r="D74" s="124"/>
      <c r="E74" s="124"/>
      <c r="F74" s="124"/>
      <c r="G74" s="124"/>
      <c r="H74" s="124"/>
      <c r="I74" s="124"/>
      <c r="J74" s="124"/>
      <c r="K74" s="124"/>
      <c r="L74" s="124"/>
      <c r="M74" s="124"/>
      <c r="N74" s="124"/>
      <c r="O74" s="124"/>
      <c r="P74" s="124"/>
      <c r="Q74" s="124"/>
      <c r="R74" s="124"/>
    </row>
    <row r="75" spans="2:18" x14ac:dyDescent="0.35">
      <c r="B75" s="1" t="s">
        <v>4368</v>
      </c>
      <c r="C75" s="1" t="s">
        <v>4864</v>
      </c>
      <c r="D75" s="1" t="s">
        <v>4965</v>
      </c>
      <c r="E75" s="1" t="s">
        <v>4262</v>
      </c>
      <c r="F75" s="1" t="s">
        <v>5646</v>
      </c>
    </row>
    <row r="76" spans="2:18" x14ac:dyDescent="0.35">
      <c r="B76" s="1" t="s">
        <v>6643</v>
      </c>
      <c r="C76" s="1">
        <v>8100</v>
      </c>
      <c r="D76" s="1" t="str">
        <f>_xlfn.XLOOKUP(C76,tblCOA[Code],tblCOA[Account Name])</f>
        <v>Corporate Income Tax Expense - Current</v>
      </c>
      <c r="E76" s="5">
        <f t="shared" ref="E76:E77" si="0">Q69</f>
        <v>201469208</v>
      </c>
      <c r="F76" s="5">
        <v>0</v>
      </c>
    </row>
    <row r="77" spans="2:18" x14ac:dyDescent="0.35">
      <c r="B77" s="1" t="s">
        <v>6644</v>
      </c>
      <c r="C77" s="1">
        <v>2250</v>
      </c>
      <c r="D77" s="1" t="str">
        <f>_xlfn.XLOOKUP(C77,tblCOA[Code],tblCOA[Account Name])</f>
        <v>Corporate Income Tax Payable (Art. 29)</v>
      </c>
      <c r="E77" s="5">
        <v>0</v>
      </c>
      <c r="F77" s="5">
        <f>Q69</f>
        <v>201469208</v>
      </c>
    </row>
    <row r="80" spans="2:18" x14ac:dyDescent="0.35">
      <c r="B80" s="124" t="s">
        <v>6653</v>
      </c>
      <c r="C80" s="124"/>
      <c r="D80" s="124"/>
      <c r="E80" s="124"/>
      <c r="F80" s="124"/>
      <c r="G80" s="124"/>
      <c r="H80" s="124"/>
      <c r="I80" s="124"/>
      <c r="J80" s="124"/>
      <c r="K80" s="124"/>
      <c r="L80" s="124"/>
      <c r="M80" s="124"/>
      <c r="N80" s="124"/>
      <c r="O80" s="124"/>
      <c r="P80" s="124"/>
      <c r="Q80" s="124"/>
      <c r="R80" s="124"/>
    </row>
    <row r="81" spans="2:9" x14ac:dyDescent="0.35">
      <c r="B81" s="68" t="s">
        <v>6654</v>
      </c>
      <c r="C81" s="68" t="s">
        <v>6586</v>
      </c>
      <c r="D81" s="68"/>
      <c r="E81" s="68" t="s">
        <v>6655</v>
      </c>
      <c r="F81" s="68" t="s">
        <v>6656</v>
      </c>
      <c r="G81" s="68" t="s">
        <v>6591</v>
      </c>
      <c r="H81" s="68" t="s">
        <v>4276</v>
      </c>
      <c r="I81" s="68" t="s">
        <v>6657</v>
      </c>
    </row>
    <row r="82" spans="2:9" x14ac:dyDescent="0.35">
      <c r="B82" s="1" t="s">
        <v>4988</v>
      </c>
      <c r="C82" s="1">
        <v>1510</v>
      </c>
      <c r="E82" s="5" cm="1">
        <f t="array" ref="E82">_xlfn.XLOOKUP(C82,_xlfn.ANCHORARRAY('Trial Balance'!$B$8),_xlfn.ANCHORARRAY('Trial Balance'!$L$8),0)</f>
        <v>0</v>
      </c>
      <c r="F82" s="5">
        <v>0</v>
      </c>
      <c r="G82" s="5">
        <f>E82-F82</f>
        <v>0</v>
      </c>
      <c r="H82" s="1" t="str">
        <f>IF(ABS(G82)&lt;1,"✔ Match","✖ Check")</f>
        <v>✔ Match</v>
      </c>
      <c r="I82" s="72" t="s">
        <v>6658</v>
      </c>
    </row>
    <row r="83" spans="2:9" x14ac:dyDescent="0.35">
      <c r="B83" s="1" t="s">
        <v>5013</v>
      </c>
      <c r="C83" s="1">
        <v>2210</v>
      </c>
      <c r="E83" s="5" cm="1">
        <f t="array" ref="E83">_xlfn.XLOOKUP(C83,_xlfn.ANCHORARRAY('Trial Balance'!$B$8),_xlfn.ANCHORARRAY('Trial Balance'!$L$8),0)</f>
        <v>0</v>
      </c>
      <c r="F83" s="5">
        <v>0</v>
      </c>
      <c r="G83" s="5">
        <f>E83-F83</f>
        <v>0</v>
      </c>
      <c r="H83" s="1" t="str">
        <f>IF(ABS(G83)&lt;1,"✔ Match","✖ Check")</f>
        <v>✔ Match</v>
      </c>
      <c r="I83" s="72" t="s">
        <v>6659</v>
      </c>
    </row>
    <row r="84" spans="2:9" x14ac:dyDescent="0.35">
      <c r="B84" s="1" t="s">
        <v>6660</v>
      </c>
      <c r="C84" s="1">
        <v>2220</v>
      </c>
      <c r="E84" s="5" cm="1">
        <f t="array" ref="E84">_xlfn.XLOOKUP(C84,_xlfn.ANCHORARRAY('Trial Balance'!$B$8),_xlfn.ANCHORARRAY('Trial Balance'!$L$8),0)</f>
        <v>60515180</v>
      </c>
      <c r="F84" s="5" cm="1">
        <f t="array" ref="F84">INDEX(E16:P16,CutOff)</f>
        <v>60515180</v>
      </c>
      <c r="G84" s="5">
        <f>E84-F84</f>
        <v>0</v>
      </c>
      <c r="H84" s="1" t="str">
        <f>IF(ABS(G84)&lt;1,"✔ Match","✖ Check")</f>
        <v>✔ Match</v>
      </c>
      <c r="I84" s="72" t="s">
        <v>6661</v>
      </c>
    </row>
    <row r="85" spans="2:9" x14ac:dyDescent="0.35">
      <c r="B85" s="1" t="s">
        <v>6662</v>
      </c>
      <c r="C85" s="1">
        <v>2230</v>
      </c>
      <c r="E85" s="5" cm="1">
        <f t="array" ref="E85">_xlfn.XLOOKUP(C85,_xlfn.ANCHORARRAY('Trial Balance'!$B$8),_xlfn.ANCHORARRAY('Trial Balance'!$L$8),0)</f>
        <v>10516831</v>
      </c>
      <c r="F85" s="5" cm="1">
        <f t="array" ref="F85">INDEX(E27:P27,CutOff)</f>
        <v>10516831</v>
      </c>
      <c r="G85" s="5">
        <f>E85-F85</f>
        <v>0</v>
      </c>
      <c r="H85" s="1" t="str">
        <f>IF(ABS(G85)&lt;1,"✔ Match","✖ Check")</f>
        <v>✔ Match</v>
      </c>
      <c r="I85" s="72" t="s">
        <v>6663</v>
      </c>
    </row>
    <row r="86" spans="2:9" x14ac:dyDescent="0.35">
      <c r="B86" s="1" t="s">
        <v>6664</v>
      </c>
      <c r="C86" s="1">
        <v>2240</v>
      </c>
      <c r="E86" s="5" cm="1">
        <f t="array" ref="E86">_xlfn.XLOOKUP(C86,_xlfn.ANCHORARRAY('Trial Balance'!$B$8),_xlfn.ANCHORARRAY('Trial Balance'!$L$8),0)</f>
        <v>643880</v>
      </c>
      <c r="F86" s="5" cm="1">
        <f t="array" ref="F86">INDEX(E38:P38,CutOff)</f>
        <v>643880</v>
      </c>
      <c r="G86" s="5">
        <f>E86-F86</f>
        <v>0</v>
      </c>
      <c r="H86" s="1" t="str">
        <f>IF(ABS(G86)&lt;1,"✔ Match","✖ Check")</f>
        <v>✔ Match</v>
      </c>
      <c r="I86" s="72" t="s">
        <v>6665</v>
      </c>
    </row>
    <row r="87" spans="2:9" x14ac:dyDescent="0.35">
      <c r="B87" s="1" t="s">
        <v>6666</v>
      </c>
      <c r="C87" s="1">
        <v>1520</v>
      </c>
      <c r="E87" s="5" cm="1">
        <f t="array" ref="E87">_xlfn.XLOOKUP(C87,_xlfn.ANCHORARRAY('Trial Balance'!$B$8),_xlfn.ANCHORARRAY('Trial Balance'!$L$8),0)</f>
        <v>200000000</v>
      </c>
      <c r="F87" s="5">
        <f>Q70</f>
        <v>200000000</v>
      </c>
      <c r="G87" s="5">
        <f>E87-F87</f>
        <v>0</v>
      </c>
      <c r="H87" s="1" t="str">
        <f>IF(ABS(G87)&lt;1,"✔ Match","✖ Check")</f>
        <v>✔ Match</v>
      </c>
      <c r="I87" s="72" t="s">
        <v>6667</v>
      </c>
    </row>
    <row r="88" spans="2:9" x14ac:dyDescent="0.35">
      <c r="B88" s="1" t="s">
        <v>6644</v>
      </c>
      <c r="C88" s="1">
        <v>2250</v>
      </c>
      <c r="E88" s="5" cm="1">
        <f t="array" ref="E88">_xlfn.XLOOKUP(C88,_xlfn.ANCHORARRAY('Trial Balance'!$B$8),_xlfn.ANCHORARRAY('Trial Balance'!$L$8),0)</f>
        <v>201469208</v>
      </c>
      <c r="F88" s="5">
        <f>Q69</f>
        <v>201469208</v>
      </c>
      <c r="G88" s="5">
        <f>E88-F88</f>
        <v>0</v>
      </c>
      <c r="H88" s="1" t="str">
        <f>IF(ABS(G88)&lt;1,"✔ Match","✖ Check")</f>
        <v>✔ Match</v>
      </c>
      <c r="I88" s="72" t="s">
        <v>6668</v>
      </c>
    </row>
    <row r="89" spans="2:9" x14ac:dyDescent="0.35">
      <c r="B89" s="1" t="s">
        <v>6669</v>
      </c>
      <c r="C89" s="1">
        <v>2150</v>
      </c>
      <c r="E89" s="5" cm="1">
        <f t="array" ref="E89">_xlfn.XLOOKUP(C89,_xlfn.ANCHORARRAY('Trial Balance'!$B$8),_xlfn.ANCHORARRAY('Trial Balance'!$L$8),0)</f>
        <v>22077790</v>
      </c>
      <c r="F89" s="5">
        <f>SUMIFS(tblPayroll[BPJS Payable],tblPayroll[Period],CutOff)</f>
        <v>22077790</v>
      </c>
      <c r="G89" s="5">
        <f>E89-F89</f>
        <v>0</v>
      </c>
      <c r="H89" s="1" t="str">
        <f>IF(ABS(G89)&lt;1,"✔ Match","✖ Check")</f>
        <v>✔ Match</v>
      </c>
      <c r="I89" s="72" t="s">
        <v>6670</v>
      </c>
    </row>
    <row r="91" spans="2:9" x14ac:dyDescent="0.35">
      <c r="B91" s="2" t="s">
        <v>6671</v>
      </c>
      <c r="E91" s="2" t="str">
        <f>IF(COUNTIF(R10:R48,"✖*")+COUNTIF(H82:H89,"✖*")=0,"✔ ALL TAXES RECONCILED","✖ "&amp;(COUNTIF(R10:R48,"✖*")+COUNTIF(H82:H89,"✖*"))&amp;" ITEM(S) TO CHECK")</f>
        <v>✔ ALL TAXES RECONCILED</v>
      </c>
    </row>
  </sheetData>
  <mergeCells count="4">
    <mergeCell ref="D2:E2"/>
    <mergeCell ref="S2:T2"/>
    <mergeCell ref="V2:W2"/>
    <mergeCell ref="Y2:Z2"/>
  </mergeCells>
  <conditionalFormatting sqref="R12:R48">
    <cfRule type="containsText" dxfId="28" priority="1" operator="containsText" text="✔">
      <formula>NOT(ISERROR(SEARCH("✔",R12)))</formula>
    </cfRule>
  </conditionalFormatting>
  <conditionalFormatting sqref="R12:R48">
    <cfRule type="containsText" dxfId="27" priority="2" operator="containsText" text="✖">
      <formula>NOT(ISERROR(SEARCH("✖",R12)))</formula>
    </cfRule>
  </conditionalFormatting>
  <conditionalFormatting sqref="H82:H89">
    <cfRule type="containsText" dxfId="26" priority="3" operator="containsText" text="✔">
      <formula>NOT(ISERROR(SEARCH("✔",H82)))</formula>
    </cfRule>
  </conditionalFormatting>
  <conditionalFormatting sqref="H82:H89">
    <cfRule type="containsText" dxfId="25" priority="4" operator="containsText" text="✖">
      <formula>NOT(ISERROR(SEARCH("✖",H82)))</formula>
    </cfRule>
  </conditionalFormatting>
  <hyperlinks>
    <hyperlink ref="B2" location="'Dashboard'!A1" tooltip="Go to Dashboard" display="🏠 HOME" xr:uid="{1F8B5D88-3749-4E20-A101-DE56FCD7F991}"/>
    <hyperlink ref="D2:E2" location="'Notes to FS'!A1" tooltip="Go to Notes to FS" display="◀ PREV" xr:uid="{2AFF2735-BA64-4F45-95C6-776B5D1E1F2D}"/>
    <hyperlink ref="G2" location="'Bank Statement'!A1" tooltip="Go to Bank Statement" display="NEXT ▶" xr:uid="{D5A0AE26-98D1-48C1-997D-EF916E8F4CBD}"/>
    <hyperlink ref="I2" location="'Dashboard'!B5" tooltip="Go to Dashboard" display="☰ MENU" xr:uid="{80E9997F-3947-4010-9F87-3CC13B2D1887}"/>
    <hyperlink ref="K2" location="'General Journal'!A1" tooltip="Go to General Journal" display="Journal" xr:uid="{6E7FE12E-4032-45AD-9DAF-FD79563F419C}"/>
    <hyperlink ref="M2" location="'Trial Balance'!A1" tooltip="Go to Trial Balance" display="Trial Bal." xr:uid="{22DDCF18-2A83-4BDF-B3DF-DB458F52C8BA}"/>
    <hyperlink ref="O2" location="'Income Statement'!A1" tooltip="Go to Income Statement" display="Income St." xr:uid="{A80FDCD7-73FF-4724-90E5-656AEC4AD1FB}"/>
    <hyperlink ref="Q2" location="'Balance Sheet'!A1" tooltip="Go to Balance Sheet" display="Balance Sh." xr:uid="{CF8AD923-73F4-4D1B-8C56-285EB8C2A73A}"/>
    <hyperlink ref="S2:T2" location="'Tax Reconciliation'!A1" tooltip="You are here" display="Tax Recon" xr:uid="{C167B9C0-31EF-4D2B-90CD-1FE727740C0F}"/>
    <hyperlink ref="V2:W2" location="'Bank Reconciliation'!A1" tooltip="Go to Bank Reconciliation" display="Bank Recon" xr:uid="{94C370CF-D222-41A4-8F1C-9297137B8435}"/>
    <hyperlink ref="Y2:Z2" location="'Controls'!A1" tooltip="Go to Controls" display="Controls" xr:uid="{8778F8CB-C36E-496C-8D1F-7E9F13C7C8C7}"/>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E99B-CC34-49D1-AB59-8960BCC9DFA6}">
  <sheetPr>
    <tabColor rgb="FFF43F5E"/>
  </sheetPr>
  <dimension ref="A1:BH262"/>
  <sheetViews>
    <sheetView showGridLines="0" workbookViewId="0">
      <pane ySplit="11" topLeftCell="A27" activePane="bottomLeft" state="frozen"/>
      <selection pane="bottomLeft"/>
    </sheetView>
  </sheetViews>
  <sheetFormatPr defaultRowHeight="14.5" x14ac:dyDescent="0.35"/>
  <cols>
    <col min="1" max="1" width="1.453125" style="1" customWidth="1"/>
    <col min="2" max="2" width="10" style="1" customWidth="1"/>
    <col min="3" max="3" width="10.90625" style="1" customWidth="1"/>
    <col min="4" max="4" width="14.54296875" style="1" customWidth="1"/>
    <col min="5" max="5" width="15.453125" style="1" customWidth="1"/>
    <col min="6" max="6" width="36.36328125" style="1" customWidth="1"/>
    <col min="7" max="7" width="16.36328125" style="1" customWidth="1"/>
    <col min="8" max="9" width="15.453125" style="1" customWidth="1"/>
    <col min="10" max="10" width="16.36328125" style="1" customWidth="1"/>
    <col min="11" max="11" width="6.36328125" style="1" customWidth="1"/>
    <col min="12" max="12" width="15.453125" style="1" customWidth="1"/>
    <col min="13" max="13" width="17.26953125" style="1" customWidth="1"/>
    <col min="14" max="52" width="8.7265625" style="1"/>
  </cols>
  <sheetData>
    <row r="1" spans="1:60" ht="5" customHeight="1" x14ac:dyDescent="0.35"/>
    <row r="2" spans="1:60" ht="18" customHeight="1" thickBot="1" x14ac:dyDescent="0.4">
      <c r="A2" s="307"/>
      <c r="B2" s="312" t="s">
        <v>7075</v>
      </c>
      <c r="C2" s="313"/>
      <c r="D2" s="307"/>
      <c r="E2" s="309" t="s">
        <v>7076</v>
      </c>
      <c r="F2" s="307"/>
      <c r="G2" s="309" t="s">
        <v>7077</v>
      </c>
      <c r="H2" s="307"/>
      <c r="I2" s="308" t="s">
        <v>7078</v>
      </c>
      <c r="J2" s="307"/>
      <c r="K2" s="314" t="s">
        <v>7079</v>
      </c>
      <c r="L2" s="315"/>
      <c r="M2" s="307"/>
      <c r="N2" s="314" t="s">
        <v>7080</v>
      </c>
      <c r="O2" s="315"/>
      <c r="P2" s="307"/>
      <c r="Q2" s="314" t="s">
        <v>7081</v>
      </c>
      <c r="R2" s="315"/>
      <c r="S2" s="307"/>
      <c r="T2" s="314" t="s">
        <v>7082</v>
      </c>
      <c r="U2" s="315"/>
      <c r="V2" s="307"/>
      <c r="W2" s="314" t="s">
        <v>7083</v>
      </c>
      <c r="X2" s="315"/>
      <c r="Y2" s="307"/>
      <c r="Z2" s="314" t="s">
        <v>7084</v>
      </c>
      <c r="AA2" s="315"/>
      <c r="AB2" s="307"/>
      <c r="AC2" s="314" t="s">
        <v>7085</v>
      </c>
      <c r="AD2" s="315"/>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6538</v>
      </c>
      <c r="C4" s="67"/>
      <c r="D4" s="67"/>
      <c r="E4" s="67"/>
      <c r="F4" s="67"/>
      <c r="G4" s="67"/>
      <c r="H4" s="67"/>
      <c r="I4" s="67"/>
      <c r="J4" s="67"/>
      <c r="K4" s="67"/>
      <c r="L4" s="67"/>
      <c r="M4" s="67"/>
    </row>
    <row r="5" spans="1:60" x14ac:dyDescent="0.35">
      <c r="B5" s="72" t="s">
        <v>6539</v>
      </c>
    </row>
    <row r="6" spans="1:60" ht="24" customHeight="1" x14ac:dyDescent="0.35">
      <c r="B6" s="100" t="s">
        <v>4864</v>
      </c>
      <c r="C6" s="100" t="s">
        <v>6540</v>
      </c>
      <c r="D6" s="100" t="s">
        <v>6541</v>
      </c>
      <c r="E6" s="100" t="s">
        <v>6542</v>
      </c>
      <c r="F6" s="100" t="s">
        <v>6543</v>
      </c>
    </row>
    <row r="7" spans="1:60" x14ac:dyDescent="0.35">
      <c r="B7" s="1">
        <v>1120</v>
      </c>
      <c r="C7" s="1" t="s">
        <v>6544</v>
      </c>
      <c r="D7" s="69" t="s">
        <v>6545</v>
      </c>
      <c r="E7" s="6">
        <v>1250000000</v>
      </c>
      <c r="F7" s="5">
        <f>E7+SUMIFS(tblBank[Money In],tblBank[Account Code],B7)-SUMIFS(tblBank[Money Out],tblBank[Account Code],B7)</f>
        <v>870295750</v>
      </c>
    </row>
    <row r="8" spans="1:60" x14ac:dyDescent="0.35">
      <c r="B8" s="1">
        <v>1130</v>
      </c>
      <c r="C8" s="1" t="s">
        <v>6546</v>
      </c>
      <c r="D8" s="69" t="s">
        <v>6547</v>
      </c>
      <c r="E8" s="6">
        <v>450000000</v>
      </c>
      <c r="F8" s="5">
        <f>E8+SUMIFS(tblBank[Money In],tblBank[Account Code],B8)-SUMIFS(tblBank[Money Out],tblBank[Account Code],B8)</f>
        <v>449254514</v>
      </c>
    </row>
    <row r="9" spans="1:60" x14ac:dyDescent="0.35">
      <c r="H9" s="2" t="s">
        <v>6583</v>
      </c>
      <c r="I9" s="2">
        <f>COUNTIF(tblBank[Status],"✖*")</f>
        <v>6</v>
      </c>
    </row>
    <row r="11" spans="1:60" x14ac:dyDescent="0.35">
      <c r="B11" s="1" t="s">
        <v>6548</v>
      </c>
      <c r="C11" s="1" t="s">
        <v>6540</v>
      </c>
      <c r="D11" s="1" t="s">
        <v>4864</v>
      </c>
      <c r="E11" s="1" t="s">
        <v>6549</v>
      </c>
      <c r="F11" s="1" t="s">
        <v>4368</v>
      </c>
      <c r="G11" s="1" t="s">
        <v>6550</v>
      </c>
      <c r="H11" s="1" t="s">
        <v>6551</v>
      </c>
      <c r="I11" s="1" t="s">
        <v>6552</v>
      </c>
      <c r="J11" s="1" t="s">
        <v>6553</v>
      </c>
      <c r="K11" s="1" t="s">
        <v>5081</v>
      </c>
      <c r="L11" s="1" t="s">
        <v>6554</v>
      </c>
      <c r="M11" s="1" t="s">
        <v>4276</v>
      </c>
    </row>
    <row r="12" spans="1:60" x14ac:dyDescent="0.35">
      <c r="B12" s="4">
        <v>1</v>
      </c>
      <c r="C12" s="4" t="s">
        <v>6555</v>
      </c>
      <c r="D12" s="4">
        <v>1120</v>
      </c>
      <c r="E12" s="113">
        <v>46032</v>
      </c>
      <c r="F12" s="4" t="s">
        <v>6556</v>
      </c>
      <c r="G12" s="4" t="s">
        <v>5650</v>
      </c>
      <c r="H12" s="6">
        <v>0</v>
      </c>
      <c r="I12" s="6">
        <v>14000000</v>
      </c>
      <c r="J1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1236000000</v>
      </c>
      <c r="K12" s="1">
        <f>MONTH(tblBank[[#This Row],[Value Date]])</f>
        <v>1</v>
      </c>
      <c r="L12" s="5">
        <f>SUMIFS(tblGJ[Debit],tblGJ[Voucher No],tblBank[[#This Row],[Reference]],tblGJ[Account Code],tblBank[[#This Row],[Account Code]])-SUMIFS(tblGJ[Credit],tblGJ[Voucher No],tblBank[[#This Row],[Reference]],tblGJ[Account Code],tblBank[[#This Row],[Account Code]])</f>
        <v>-14000000</v>
      </c>
      <c r="M12" s="1" t="str">
        <f>IF(COUNTIFS(tblGJ[Voucher No],tblBank[[#This Row],[Reference]],tblGJ[Account Code],tblBank[[#This Row],[Account Code]])=0,"✖ Not in GJ",IF(ABS(tblBank[[#This Row],[GJ Amount]]-(tblBank[[#This Row],[Money In]]-tblBank[[#This Row],[Money Out]]))&lt;1,"✔ Recorded","⚠ Amount mismatch"))</f>
        <v>✔ Recorded</v>
      </c>
    </row>
    <row r="13" spans="1:60" x14ac:dyDescent="0.35">
      <c r="B13" s="4">
        <v>2</v>
      </c>
      <c r="C13" s="4" t="s">
        <v>6555</v>
      </c>
      <c r="D13" s="4">
        <v>1120</v>
      </c>
      <c r="E13" s="113">
        <v>46032</v>
      </c>
      <c r="F13" s="4" t="s">
        <v>6557</v>
      </c>
      <c r="G13" s="4" t="s">
        <v>5651</v>
      </c>
      <c r="H13" s="6">
        <v>0</v>
      </c>
      <c r="I13" s="6">
        <v>18000000</v>
      </c>
      <c r="J1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1218000000</v>
      </c>
      <c r="K13" s="1">
        <f>MONTH(tblBank[[#This Row],[Value Date]])</f>
        <v>1</v>
      </c>
      <c r="L13" s="5">
        <f>SUMIFS(tblGJ[Debit],tblGJ[Voucher No],tblBank[[#This Row],[Reference]],tblGJ[Account Code],tblBank[[#This Row],[Account Code]])-SUMIFS(tblGJ[Credit],tblGJ[Voucher No],tblBank[[#This Row],[Reference]],tblGJ[Account Code],tblBank[[#This Row],[Account Code]])</f>
        <v>-18000000</v>
      </c>
      <c r="M13" s="1" t="str">
        <f>IF(COUNTIFS(tblGJ[Voucher No],tblBank[[#This Row],[Reference]],tblGJ[Account Code],tblBank[[#This Row],[Account Code]])=0,"✖ Not in GJ",IF(ABS(tblBank[[#This Row],[GJ Amount]]-(tblBank[[#This Row],[Money In]]-tblBank[[#This Row],[Money Out]]))&lt;1,"✔ Recorded","⚠ Amount mismatch"))</f>
        <v>✔ Recorded</v>
      </c>
    </row>
    <row r="14" spans="1:60" x14ac:dyDescent="0.35">
      <c r="B14" s="4">
        <v>3</v>
      </c>
      <c r="C14" s="4" t="s">
        <v>6555</v>
      </c>
      <c r="D14" s="4">
        <v>1120</v>
      </c>
      <c r="E14" s="113">
        <v>46034</v>
      </c>
      <c r="F14" s="4" t="s">
        <v>6558</v>
      </c>
      <c r="G14" s="4" t="s">
        <v>5652</v>
      </c>
      <c r="H14" s="6">
        <v>0</v>
      </c>
      <c r="I14" s="6">
        <v>45000000</v>
      </c>
      <c r="J1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1173000000</v>
      </c>
      <c r="K14" s="1">
        <f>MONTH(tblBank[[#This Row],[Value Date]])</f>
        <v>1</v>
      </c>
      <c r="L14" s="5">
        <f>SUMIFS(tblGJ[Debit],tblGJ[Voucher No],tblBank[[#This Row],[Reference]],tblGJ[Account Code],tblBank[[#This Row],[Account Code]])-SUMIFS(tblGJ[Credit],tblGJ[Voucher No],tblBank[[#This Row],[Reference]],tblGJ[Account Code],tblBank[[#This Row],[Account Code]])</f>
        <v>-45000000</v>
      </c>
      <c r="M14" s="1" t="str">
        <f>IF(COUNTIFS(tblGJ[Voucher No],tblBank[[#This Row],[Reference]],tblGJ[Account Code],tblBank[[#This Row],[Account Code]])=0,"✖ Not in GJ",IF(ABS(tblBank[[#This Row],[GJ Amount]]-(tblBank[[#This Row],[Money In]]-tblBank[[#This Row],[Money Out]]))&lt;1,"✔ Recorded","⚠ Amount mismatch"))</f>
        <v>✔ Recorded</v>
      </c>
    </row>
    <row r="15" spans="1:60" x14ac:dyDescent="0.35">
      <c r="B15" s="4">
        <v>4</v>
      </c>
      <c r="C15" s="4" t="s">
        <v>6555</v>
      </c>
      <c r="D15" s="4">
        <v>1120</v>
      </c>
      <c r="E15" s="113">
        <v>46037</v>
      </c>
      <c r="F15" s="4" t="s">
        <v>6559</v>
      </c>
      <c r="G15" s="4" t="s">
        <v>5653</v>
      </c>
      <c r="H15" s="6">
        <v>0</v>
      </c>
      <c r="I15" s="6">
        <v>6500000</v>
      </c>
      <c r="J1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1166500000</v>
      </c>
      <c r="K15" s="1">
        <f>MONTH(tblBank[[#This Row],[Value Date]])</f>
        <v>1</v>
      </c>
      <c r="L15" s="5">
        <f>SUMIFS(tblGJ[Debit],tblGJ[Voucher No],tblBank[[#This Row],[Reference]],tblGJ[Account Code],tblBank[[#This Row],[Account Code]])-SUMIFS(tblGJ[Credit],tblGJ[Voucher No],tblBank[[#This Row],[Reference]],tblGJ[Account Code],tblBank[[#This Row],[Account Code]])</f>
        <v>-6500000</v>
      </c>
      <c r="M15" s="1" t="str">
        <f>IF(COUNTIFS(tblGJ[Voucher No],tblBank[[#This Row],[Reference]],tblGJ[Account Code],tblBank[[#This Row],[Account Code]])=0,"✖ Not in GJ",IF(ABS(tblBank[[#This Row],[GJ Amount]]-(tblBank[[#This Row],[Money In]]-tblBank[[#This Row],[Money Out]]))&lt;1,"✔ Recorded","⚠ Amount mismatch"))</f>
        <v>✔ Recorded</v>
      </c>
    </row>
    <row r="16" spans="1:60" x14ac:dyDescent="0.35">
      <c r="B16" s="4">
        <v>5</v>
      </c>
      <c r="C16" s="4" t="s">
        <v>6555</v>
      </c>
      <c r="D16" s="4">
        <v>1120</v>
      </c>
      <c r="E16" s="113">
        <v>46037</v>
      </c>
      <c r="F16" s="4" t="s">
        <v>6560</v>
      </c>
      <c r="G16" s="4" t="s">
        <v>5654</v>
      </c>
      <c r="H16" s="6">
        <v>0</v>
      </c>
      <c r="I16" s="6">
        <v>20000000</v>
      </c>
      <c r="J1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1146500000</v>
      </c>
      <c r="K16" s="1">
        <f>MONTH(tblBank[[#This Row],[Value Date]])</f>
        <v>1</v>
      </c>
      <c r="L16" s="5">
        <f>SUMIFS(tblGJ[Debit],tblGJ[Voucher No],tblBank[[#This Row],[Reference]],tblGJ[Account Code],tblBank[[#This Row],[Account Code]])-SUMIFS(tblGJ[Credit],tblGJ[Voucher No],tblBank[[#This Row],[Reference]],tblGJ[Account Code],tblBank[[#This Row],[Account Code]])</f>
        <v>-20000000</v>
      </c>
      <c r="M16" s="1" t="str">
        <f>IF(COUNTIFS(tblGJ[Voucher No],tblBank[[#This Row],[Reference]],tblGJ[Account Code],tblBank[[#This Row],[Account Code]])=0,"✖ Not in GJ",IF(ABS(tblBank[[#This Row],[GJ Amount]]-(tblBank[[#This Row],[Money In]]-tblBank[[#This Row],[Money Out]]))&lt;1,"✔ Recorded","⚠ Amount mismatch"))</f>
        <v>✔ Recorded</v>
      </c>
    </row>
    <row r="17" spans="2:13" x14ac:dyDescent="0.35">
      <c r="B17" s="4">
        <v>6</v>
      </c>
      <c r="C17" s="4" t="s">
        <v>6555</v>
      </c>
      <c r="D17" s="4">
        <v>1120</v>
      </c>
      <c r="E17" s="113">
        <v>46037</v>
      </c>
      <c r="F17" s="4" t="s">
        <v>6561</v>
      </c>
      <c r="G17" s="4" t="s">
        <v>5655</v>
      </c>
      <c r="H17" s="6">
        <v>0</v>
      </c>
      <c r="I17" s="6">
        <v>620000000</v>
      </c>
      <c r="J1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526500000</v>
      </c>
      <c r="K17" s="1">
        <f>MONTH(tblBank[[#This Row],[Value Date]])</f>
        <v>1</v>
      </c>
      <c r="L17" s="5">
        <f>SUMIFS(tblGJ[Debit],tblGJ[Voucher No],tblBank[[#This Row],[Reference]],tblGJ[Account Code],tblBank[[#This Row],[Account Code]])-SUMIFS(tblGJ[Credit],tblGJ[Voucher No],tblBank[[#This Row],[Reference]],tblGJ[Account Code],tblBank[[#This Row],[Account Code]])</f>
        <v>-620000000</v>
      </c>
      <c r="M17" s="1" t="str">
        <f>IF(COUNTIFS(tblGJ[Voucher No],tblBank[[#This Row],[Reference]],tblGJ[Account Code],tblBank[[#This Row],[Account Code]])=0,"✖ Not in GJ",IF(ABS(tblBank[[#This Row],[GJ Amount]]-(tblBank[[#This Row],[Money In]]-tblBank[[#This Row],[Money Out]]))&lt;1,"✔ Recorded","⚠ Amount mismatch"))</f>
        <v>✔ Recorded</v>
      </c>
    </row>
    <row r="18" spans="2:13" x14ac:dyDescent="0.35">
      <c r="B18" s="4">
        <v>7</v>
      </c>
      <c r="C18" s="4" t="s">
        <v>6555</v>
      </c>
      <c r="D18" s="4">
        <v>1120</v>
      </c>
      <c r="E18" s="113">
        <v>46042</v>
      </c>
      <c r="F18" s="4" t="s">
        <v>6562</v>
      </c>
      <c r="G18" s="4" t="s">
        <v>5656</v>
      </c>
      <c r="H18" s="6">
        <v>420000000</v>
      </c>
      <c r="I18" s="6">
        <v>0</v>
      </c>
      <c r="J1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946500000</v>
      </c>
      <c r="K18" s="1">
        <f>MONTH(tblBank[[#This Row],[Value Date]])</f>
        <v>1</v>
      </c>
      <c r="L18" s="5">
        <f>SUMIFS(tblGJ[Debit],tblGJ[Voucher No],tblBank[[#This Row],[Reference]],tblGJ[Account Code],tblBank[[#This Row],[Account Code]])-SUMIFS(tblGJ[Credit],tblGJ[Voucher No],tblBank[[#This Row],[Reference]],tblGJ[Account Code],tblBank[[#This Row],[Account Code]])</f>
        <v>420000000</v>
      </c>
      <c r="M18" s="1" t="str">
        <f>IF(COUNTIFS(tblGJ[Voucher No],tblBank[[#This Row],[Reference]],tblGJ[Account Code],tblBank[[#This Row],[Account Code]])=0,"✖ Not in GJ",IF(ABS(tblBank[[#This Row],[GJ Amount]]-(tblBank[[#This Row],[Money In]]-tblBank[[#This Row],[Money Out]]))&lt;1,"✔ Recorded","⚠ Amount mismatch"))</f>
        <v>✔ Recorded</v>
      </c>
    </row>
    <row r="19" spans="2:13" x14ac:dyDescent="0.35">
      <c r="B19" s="4">
        <v>8</v>
      </c>
      <c r="C19" s="4" t="s">
        <v>6555</v>
      </c>
      <c r="D19" s="4">
        <v>1120</v>
      </c>
      <c r="E19" s="113">
        <v>46046</v>
      </c>
      <c r="F19" s="4" t="s">
        <v>6563</v>
      </c>
      <c r="G19" s="4" t="s">
        <v>5657</v>
      </c>
      <c r="H19" s="6">
        <v>0</v>
      </c>
      <c r="I19" s="6">
        <v>161397799</v>
      </c>
      <c r="J1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785102201</v>
      </c>
      <c r="K19" s="1">
        <f>MONTH(tblBank[[#This Row],[Value Date]])</f>
        <v>1</v>
      </c>
      <c r="L19" s="5">
        <f>SUMIFS(tblGJ[Debit],tblGJ[Voucher No],tblBank[[#This Row],[Reference]],tblGJ[Account Code],tblBank[[#This Row],[Account Code]])-SUMIFS(tblGJ[Credit],tblGJ[Voucher No],tblBank[[#This Row],[Reference]],tblGJ[Account Code],tblBank[[#This Row],[Account Code]])</f>
        <v>-161397799</v>
      </c>
      <c r="M19" s="1" t="str">
        <f>IF(COUNTIFS(tblGJ[Voucher No],tblBank[[#This Row],[Reference]],tblGJ[Account Code],tblBank[[#This Row],[Account Code]])=0,"✖ Not in GJ",IF(ABS(tblBank[[#This Row],[GJ Amount]]-(tblBank[[#This Row],[Money In]]-tblBank[[#This Row],[Money Out]]))&lt;1,"✔ Recorded","⚠ Amount mismatch"))</f>
        <v>✔ Recorded</v>
      </c>
    </row>
    <row r="20" spans="2:13" x14ac:dyDescent="0.35">
      <c r="B20" s="4">
        <v>9</v>
      </c>
      <c r="C20" s="4" t="s">
        <v>6555</v>
      </c>
      <c r="D20" s="4">
        <v>1120</v>
      </c>
      <c r="E20" s="113">
        <v>46050</v>
      </c>
      <c r="F20" s="4" t="s">
        <v>6564</v>
      </c>
      <c r="G20" s="4" t="s">
        <v>5659</v>
      </c>
      <c r="H20" s="6">
        <v>0</v>
      </c>
      <c r="I20" s="6">
        <v>85000000</v>
      </c>
      <c r="J2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700102201</v>
      </c>
      <c r="K20" s="1">
        <f>MONTH(tblBank[[#This Row],[Value Date]])</f>
        <v>1</v>
      </c>
      <c r="L20" s="5">
        <f>SUMIFS(tblGJ[Debit],tblGJ[Voucher No],tblBank[[#This Row],[Reference]],tblGJ[Account Code],tblBank[[#This Row],[Account Code]])-SUMIFS(tblGJ[Credit],tblGJ[Voucher No],tblBank[[#This Row],[Reference]],tblGJ[Account Code],tblBank[[#This Row],[Account Code]])</f>
        <v>-85000000</v>
      </c>
      <c r="M20" s="1" t="str">
        <f>IF(COUNTIFS(tblGJ[Voucher No],tblBank[[#This Row],[Reference]],tblGJ[Account Code],tblBank[[#This Row],[Account Code]])=0,"✖ Not in GJ",IF(ABS(tblBank[[#This Row],[GJ Amount]]-(tblBank[[#This Row],[Money In]]-tblBank[[#This Row],[Money Out]]))&lt;1,"✔ Recorded","⚠ Amount mismatch"))</f>
        <v>✔ Recorded</v>
      </c>
    </row>
    <row r="21" spans="2:13" x14ac:dyDescent="0.35">
      <c r="B21" s="4">
        <v>10</v>
      </c>
      <c r="C21" s="4" t="s">
        <v>6555</v>
      </c>
      <c r="D21" s="4">
        <v>1120</v>
      </c>
      <c r="E21" s="113">
        <v>46050</v>
      </c>
      <c r="F21" s="4" t="s">
        <v>6565</v>
      </c>
      <c r="G21" s="4" t="s">
        <v>5660</v>
      </c>
      <c r="H21" s="6">
        <v>0</v>
      </c>
      <c r="I21" s="6">
        <v>36250000</v>
      </c>
      <c r="J2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663852201</v>
      </c>
      <c r="K21" s="1">
        <f>MONTH(tblBank[[#This Row],[Value Date]])</f>
        <v>1</v>
      </c>
      <c r="L21" s="5">
        <f>SUMIFS(tblGJ[Debit],tblGJ[Voucher No],tblBank[[#This Row],[Reference]],tblGJ[Account Code],tblBank[[#This Row],[Account Code]])-SUMIFS(tblGJ[Credit],tblGJ[Voucher No],tblBank[[#This Row],[Reference]],tblGJ[Account Code],tblBank[[#This Row],[Account Code]])</f>
        <v>-36250000</v>
      </c>
      <c r="M21" s="1" t="str">
        <f>IF(COUNTIFS(tblGJ[Voucher No],tblBank[[#This Row],[Reference]],tblGJ[Account Code],tblBank[[#This Row],[Account Code]])=0,"✖ Not in GJ",IF(ABS(tblBank[[#This Row],[GJ Amount]]-(tblBank[[#This Row],[Money In]]-tblBank[[#This Row],[Money Out]]))&lt;1,"✔ Recorded","⚠ Amount mismatch"))</f>
        <v>✔ Recorded</v>
      </c>
    </row>
    <row r="22" spans="2:13" x14ac:dyDescent="0.35">
      <c r="B22" s="4">
        <v>11</v>
      </c>
      <c r="C22" s="4" t="s">
        <v>6555</v>
      </c>
      <c r="D22" s="4">
        <v>1120</v>
      </c>
      <c r="E22" s="113">
        <v>46050</v>
      </c>
      <c r="F22" s="4" t="s">
        <v>6566</v>
      </c>
      <c r="G22" s="4" t="s">
        <v>5661</v>
      </c>
      <c r="H22" s="6">
        <v>0</v>
      </c>
      <c r="I22" s="6">
        <v>2500000</v>
      </c>
      <c r="J2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661352201</v>
      </c>
      <c r="K22" s="1">
        <f>MONTH(tblBank[[#This Row],[Value Date]])</f>
        <v>1</v>
      </c>
      <c r="L22" s="5">
        <f>SUMIFS(tblGJ[Debit],tblGJ[Voucher No],tblBank[[#This Row],[Reference]],tblGJ[Account Code],tblBank[[#This Row],[Account Code]])-SUMIFS(tblGJ[Credit],tblGJ[Voucher No],tblBank[[#This Row],[Reference]],tblGJ[Account Code],tblBank[[#This Row],[Account Code]])</f>
        <v>-2500000</v>
      </c>
      <c r="M22" s="1" t="str">
        <f>IF(COUNTIFS(tblGJ[Voucher No],tblBank[[#This Row],[Reference]],tblGJ[Account Code],tblBank[[#This Row],[Account Code]])=0,"✖ Not in GJ",IF(ABS(tblBank[[#This Row],[GJ Amount]]-(tblBank[[#This Row],[Money In]]-tblBank[[#This Row],[Money Out]]))&lt;1,"✔ Recorded","⚠ Amount mismatch"))</f>
        <v>✔ Recorded</v>
      </c>
    </row>
    <row r="23" spans="2:13" x14ac:dyDescent="0.35">
      <c r="B23" s="4">
        <v>12</v>
      </c>
      <c r="C23" s="4" t="s">
        <v>6555</v>
      </c>
      <c r="D23" s="4">
        <v>1120</v>
      </c>
      <c r="E23" s="113">
        <v>46053</v>
      </c>
      <c r="F23" s="4" t="s">
        <v>6567</v>
      </c>
      <c r="G23" s="4" t="s">
        <v>5662</v>
      </c>
      <c r="H23" s="6">
        <v>173215500</v>
      </c>
      <c r="I23" s="6">
        <v>0</v>
      </c>
      <c r="J2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834567701</v>
      </c>
      <c r="K23" s="1">
        <f>MONTH(tblBank[[#This Row],[Value Date]])</f>
        <v>1</v>
      </c>
      <c r="L23" s="5">
        <f>SUMIFS(tblGJ[Debit],tblGJ[Voucher No],tblBank[[#This Row],[Reference]],tblGJ[Account Code],tblBank[[#This Row],[Account Code]])-SUMIFS(tblGJ[Credit],tblGJ[Voucher No],tblBank[[#This Row],[Reference]],tblGJ[Account Code],tblBank[[#This Row],[Account Code]])</f>
        <v>173215500</v>
      </c>
      <c r="M23" s="1" t="str">
        <f>IF(COUNTIFS(tblGJ[Voucher No],tblBank[[#This Row],[Reference]],tblGJ[Account Code],tblBank[[#This Row],[Account Code]])=0,"✖ Not in GJ",IF(ABS(tblBank[[#This Row],[GJ Amount]]-(tblBank[[#This Row],[Money In]]-tblBank[[#This Row],[Money Out]]))&lt;1,"✔ Recorded","⚠ Amount mismatch"))</f>
        <v>✔ Recorded</v>
      </c>
    </row>
    <row r="24" spans="2:13" x14ac:dyDescent="0.35">
      <c r="B24" s="4">
        <v>13</v>
      </c>
      <c r="C24" s="4" t="s">
        <v>6555</v>
      </c>
      <c r="D24" s="4">
        <v>1120</v>
      </c>
      <c r="E24" s="113">
        <v>46053</v>
      </c>
      <c r="F24" s="4" t="s">
        <v>6568</v>
      </c>
      <c r="G24" s="4" t="s">
        <v>5664</v>
      </c>
      <c r="H24" s="6">
        <v>135314550</v>
      </c>
      <c r="I24" s="6">
        <v>0</v>
      </c>
      <c r="J2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969882251</v>
      </c>
      <c r="K24" s="1">
        <f>MONTH(tblBank[[#This Row],[Value Date]])</f>
        <v>1</v>
      </c>
      <c r="L24" s="5">
        <f>SUMIFS(tblGJ[Debit],tblGJ[Voucher No],tblBank[[#This Row],[Reference]],tblGJ[Account Code],tblBank[[#This Row],[Account Code]])-SUMIFS(tblGJ[Credit],tblGJ[Voucher No],tblBank[[#This Row],[Reference]],tblGJ[Account Code],tblBank[[#This Row],[Account Code]])</f>
        <v>135314550</v>
      </c>
      <c r="M24" s="1" t="str">
        <f>IF(COUNTIFS(tblGJ[Voucher No],tblBank[[#This Row],[Reference]],tblGJ[Account Code],tblBank[[#This Row],[Account Code]])=0,"✖ Not in GJ",IF(ABS(tblBank[[#This Row],[GJ Amount]]-(tblBank[[#This Row],[Money In]]-tblBank[[#This Row],[Money Out]]))&lt;1,"✔ Recorded","⚠ Amount mismatch"))</f>
        <v>✔ Recorded</v>
      </c>
    </row>
    <row r="25" spans="2:13" x14ac:dyDescent="0.35">
      <c r="B25" s="4">
        <v>14</v>
      </c>
      <c r="C25" s="4" t="s">
        <v>6555</v>
      </c>
      <c r="D25" s="4">
        <v>1120</v>
      </c>
      <c r="E25" s="113">
        <v>46053</v>
      </c>
      <c r="F25" s="4" t="s">
        <v>6569</v>
      </c>
      <c r="G25" s="4" t="s">
        <v>5671</v>
      </c>
      <c r="H25" s="6">
        <v>1333333</v>
      </c>
      <c r="I25" s="6">
        <v>0</v>
      </c>
      <c r="J2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971215584</v>
      </c>
      <c r="K25" s="1">
        <f>MONTH(tblBank[[#This Row],[Value Date]])</f>
        <v>1</v>
      </c>
      <c r="L25" s="5">
        <f>SUMIFS(tblGJ[Debit],tblGJ[Voucher No],tblBank[[#This Row],[Reference]],tblGJ[Account Code],tblBank[[#This Row],[Account Code]])-SUMIFS(tblGJ[Credit],tblGJ[Voucher No],tblBank[[#This Row],[Reference]],tblGJ[Account Code],tblBank[[#This Row],[Account Code]])</f>
        <v>1333333</v>
      </c>
      <c r="M25" s="1" t="str">
        <f>IF(COUNTIFS(tblGJ[Voucher No],tblBank[[#This Row],[Reference]],tblGJ[Account Code],tblBank[[#This Row],[Account Code]])=0,"✖ Not in GJ",IF(ABS(tblBank[[#This Row],[GJ Amount]]-(tblBank[[#This Row],[Money In]]-tblBank[[#This Row],[Money Out]]))&lt;1,"✔ Recorded","⚠ Amount mismatch"))</f>
        <v>✔ Recorded</v>
      </c>
    </row>
    <row r="26" spans="2:13" x14ac:dyDescent="0.35">
      <c r="B26" s="4">
        <v>15</v>
      </c>
      <c r="C26" s="4" t="s">
        <v>6555</v>
      </c>
      <c r="D26" s="4">
        <v>1120</v>
      </c>
      <c r="E26" s="113">
        <v>46053</v>
      </c>
      <c r="F26" s="4" t="s">
        <v>6570</v>
      </c>
      <c r="G26" s="4" t="s">
        <v>5672</v>
      </c>
      <c r="H26" s="6">
        <v>472940</v>
      </c>
      <c r="I26" s="6">
        <v>0</v>
      </c>
      <c r="J2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971688524</v>
      </c>
      <c r="K26" s="1">
        <f>MONTH(tblBank[[#This Row],[Value Date]])</f>
        <v>1</v>
      </c>
      <c r="L26" s="5">
        <f>SUMIFS(tblGJ[Debit],tblGJ[Voucher No],tblBank[[#This Row],[Reference]],tblGJ[Account Code],tblBank[[#This Row],[Account Code]])-SUMIFS(tblGJ[Credit],tblGJ[Voucher No],tblBank[[#This Row],[Reference]],tblGJ[Account Code],tblBank[[#This Row],[Account Code]])</f>
        <v>472940</v>
      </c>
      <c r="M26" s="1" t="str">
        <f>IF(COUNTIFS(tblGJ[Voucher No],tblBank[[#This Row],[Reference]],tblGJ[Account Code],tblBank[[#This Row],[Account Code]])=0,"✖ Not in GJ",IF(ABS(tblBank[[#This Row],[GJ Amount]]-(tblBank[[#This Row],[Money In]]-tblBank[[#This Row],[Money Out]]))&lt;1,"✔ Recorded","⚠ Amount mismatch"))</f>
        <v>✔ Recorded</v>
      </c>
    </row>
    <row r="27" spans="2:13" x14ac:dyDescent="0.35">
      <c r="B27" s="4">
        <v>16</v>
      </c>
      <c r="C27" s="4" t="s">
        <v>6555</v>
      </c>
      <c r="D27" s="4">
        <v>1120</v>
      </c>
      <c r="E27" s="113">
        <v>46053</v>
      </c>
      <c r="F27" s="4" t="s">
        <v>6561</v>
      </c>
      <c r="G27" s="4" t="s">
        <v>5666</v>
      </c>
      <c r="H27" s="6">
        <v>0</v>
      </c>
      <c r="I27" s="6">
        <v>137735630</v>
      </c>
      <c r="J2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833952894</v>
      </c>
      <c r="K27" s="1">
        <f>MONTH(tblBank[[#This Row],[Value Date]])</f>
        <v>1</v>
      </c>
      <c r="L27" s="5">
        <f>SUMIFS(tblGJ[Debit],tblGJ[Voucher No],tblBank[[#This Row],[Reference]],tblGJ[Account Code],tblBank[[#This Row],[Account Code]])-SUMIFS(tblGJ[Credit],tblGJ[Voucher No],tblBank[[#This Row],[Reference]],tblGJ[Account Code],tblBank[[#This Row],[Account Code]])</f>
        <v>-137735630</v>
      </c>
      <c r="M27" s="1" t="str">
        <f>IF(COUNTIFS(tblGJ[Voucher No],tblBank[[#This Row],[Reference]],tblGJ[Account Code],tblBank[[#This Row],[Account Code]])=0,"✖ Not in GJ",IF(ABS(tblBank[[#This Row],[GJ Amount]]-(tblBank[[#This Row],[Money In]]-tblBank[[#This Row],[Money Out]]))&lt;1,"✔ Recorded","⚠ Amount mismatch"))</f>
        <v>✔ Recorded</v>
      </c>
    </row>
    <row r="28" spans="2:13" x14ac:dyDescent="0.35">
      <c r="B28" s="4">
        <v>17</v>
      </c>
      <c r="C28" s="4" t="s">
        <v>6555</v>
      </c>
      <c r="D28" s="4">
        <v>1120</v>
      </c>
      <c r="E28" s="113">
        <v>46053</v>
      </c>
      <c r="F28" s="4" t="s">
        <v>6571</v>
      </c>
      <c r="G28" s="4" t="s">
        <v>5673</v>
      </c>
      <c r="H28" s="6">
        <v>0</v>
      </c>
      <c r="I28" s="6">
        <v>94588</v>
      </c>
      <c r="J2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833858306</v>
      </c>
      <c r="K28" s="1">
        <f>MONTH(tblBank[[#This Row],[Value Date]])</f>
        <v>1</v>
      </c>
      <c r="L28" s="5">
        <f>SUMIFS(tblGJ[Debit],tblGJ[Voucher No],tblBank[[#This Row],[Reference]],tblGJ[Account Code],tblBank[[#This Row],[Account Code]])-SUMIFS(tblGJ[Credit],tblGJ[Voucher No],tblBank[[#This Row],[Reference]],tblGJ[Account Code],tblBank[[#This Row],[Account Code]])</f>
        <v>-94588</v>
      </c>
      <c r="M28" s="1" t="str">
        <f>IF(COUNTIFS(tblGJ[Voucher No],tblBank[[#This Row],[Reference]],tblGJ[Account Code],tblBank[[#This Row],[Account Code]])=0,"✖ Not in GJ",IF(ABS(tblBank[[#This Row],[GJ Amount]]-(tblBank[[#This Row],[Money In]]-tblBank[[#This Row],[Money Out]]))&lt;1,"✔ Recorded","⚠ Amount mismatch"))</f>
        <v>✔ Recorded</v>
      </c>
    </row>
    <row r="29" spans="2:13" x14ac:dyDescent="0.35">
      <c r="B29" s="4">
        <v>18</v>
      </c>
      <c r="C29" s="4" t="s">
        <v>6555</v>
      </c>
      <c r="D29" s="4">
        <v>1120</v>
      </c>
      <c r="E29" s="113">
        <v>46053</v>
      </c>
      <c r="F29" s="4" t="s">
        <v>6572</v>
      </c>
      <c r="G29" s="4" t="s">
        <v>5674</v>
      </c>
      <c r="H29" s="6">
        <v>0</v>
      </c>
      <c r="I29" s="6">
        <v>150000</v>
      </c>
      <c r="J2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833708306</v>
      </c>
      <c r="K29" s="1">
        <f>MONTH(tblBank[[#This Row],[Value Date]])</f>
        <v>1</v>
      </c>
      <c r="L29" s="5">
        <f>SUMIFS(tblGJ[Debit],tblGJ[Voucher No],tblBank[[#This Row],[Reference]],tblGJ[Account Code],tblBank[[#This Row],[Account Code]])-SUMIFS(tblGJ[Credit],tblGJ[Voucher No],tblBank[[#This Row],[Reference]],tblGJ[Account Code],tblBank[[#This Row],[Account Code]])</f>
        <v>-150000</v>
      </c>
      <c r="M29" s="1" t="str">
        <f>IF(COUNTIFS(tblGJ[Voucher No],tblBank[[#This Row],[Reference]],tblGJ[Account Code],tblBank[[#This Row],[Account Code]])=0,"✖ Not in GJ",IF(ABS(tblBank[[#This Row],[GJ Amount]]-(tblBank[[#This Row],[Money In]]-tblBank[[#This Row],[Money Out]]))&lt;1,"✔ Recorded","⚠ Amount mismatch"))</f>
        <v>✔ Recorded</v>
      </c>
    </row>
    <row r="30" spans="2:13" x14ac:dyDescent="0.35">
      <c r="B30" s="4">
        <v>19</v>
      </c>
      <c r="C30" s="4" t="s">
        <v>6555</v>
      </c>
      <c r="D30" s="4">
        <v>1120</v>
      </c>
      <c r="E30" s="113">
        <v>46063</v>
      </c>
      <c r="F30" s="4" t="s">
        <v>6556</v>
      </c>
      <c r="G30" s="4" t="s">
        <v>5678</v>
      </c>
      <c r="H30" s="6">
        <v>0</v>
      </c>
      <c r="I30" s="6">
        <v>10516831</v>
      </c>
      <c r="J3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823191475</v>
      </c>
      <c r="K30" s="1">
        <f>MONTH(tblBank[[#This Row],[Value Date]])</f>
        <v>2</v>
      </c>
      <c r="L30" s="5">
        <f>SUMIFS(tblGJ[Debit],tblGJ[Voucher No],tblBank[[#This Row],[Reference]],tblGJ[Account Code],tblBank[[#This Row],[Account Code]])-SUMIFS(tblGJ[Credit],tblGJ[Voucher No],tblBank[[#This Row],[Reference]],tblGJ[Account Code],tblBank[[#This Row],[Account Code]])</f>
        <v>-10516831</v>
      </c>
      <c r="M30" s="1" t="str">
        <f>IF(COUNTIFS(tblGJ[Voucher No],tblBank[[#This Row],[Reference]],tblGJ[Account Code],tblBank[[#This Row],[Account Code]])=0,"✖ Not in GJ",IF(ABS(tblBank[[#This Row],[GJ Amount]]-(tblBank[[#This Row],[Money In]]-tblBank[[#This Row],[Money Out]]))&lt;1,"✔ Recorded","⚠ Amount mismatch"))</f>
        <v>✔ Recorded</v>
      </c>
    </row>
    <row r="31" spans="2:13" x14ac:dyDescent="0.35">
      <c r="B31" s="4">
        <v>20</v>
      </c>
      <c r="C31" s="4" t="s">
        <v>6555</v>
      </c>
      <c r="D31" s="4">
        <v>1120</v>
      </c>
      <c r="E31" s="113">
        <v>46063</v>
      </c>
      <c r="F31" s="4" t="s">
        <v>6557</v>
      </c>
      <c r="G31" s="4" t="s">
        <v>5679</v>
      </c>
      <c r="H31" s="6">
        <v>0</v>
      </c>
      <c r="I31" s="6">
        <v>22077790</v>
      </c>
      <c r="J3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801113685</v>
      </c>
      <c r="K31" s="1">
        <f>MONTH(tblBank[[#This Row],[Value Date]])</f>
        <v>2</v>
      </c>
      <c r="L31" s="5">
        <f>SUMIFS(tblGJ[Debit],tblGJ[Voucher No],tblBank[[#This Row],[Reference]],tblGJ[Account Code],tblBank[[#This Row],[Account Code]])-SUMIFS(tblGJ[Credit],tblGJ[Voucher No],tblBank[[#This Row],[Reference]],tblGJ[Account Code],tblBank[[#This Row],[Account Code]])</f>
        <v>-22077790</v>
      </c>
      <c r="M31" s="1" t="str">
        <f>IF(COUNTIFS(tblGJ[Voucher No],tblBank[[#This Row],[Reference]],tblGJ[Account Code],tblBank[[#This Row],[Account Code]])=0,"✖ Not in GJ",IF(ABS(tblBank[[#This Row],[GJ Amount]]-(tblBank[[#This Row],[Money In]]-tblBank[[#This Row],[Money Out]]))&lt;1,"✔ Recorded","⚠ Amount mismatch"))</f>
        <v>✔ Recorded</v>
      </c>
    </row>
    <row r="32" spans="2:13" x14ac:dyDescent="0.35">
      <c r="B32" s="4">
        <v>21</v>
      </c>
      <c r="C32" s="4" t="s">
        <v>6555</v>
      </c>
      <c r="D32" s="4">
        <v>1120</v>
      </c>
      <c r="E32" s="113">
        <v>46068</v>
      </c>
      <c r="F32" s="4" t="s">
        <v>6559</v>
      </c>
      <c r="G32" s="4" t="s">
        <v>5680</v>
      </c>
      <c r="H32" s="6">
        <v>0</v>
      </c>
      <c r="I32" s="6">
        <v>914100</v>
      </c>
      <c r="J3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800199585</v>
      </c>
      <c r="K32" s="1">
        <f>MONTH(tblBank[[#This Row],[Value Date]])</f>
        <v>2</v>
      </c>
      <c r="L32" s="5">
        <f>SUMIFS(tblGJ[Debit],tblGJ[Voucher No],tblBank[[#This Row],[Reference]],tblGJ[Account Code],tblBank[[#This Row],[Account Code]])-SUMIFS(tblGJ[Credit],tblGJ[Voucher No],tblBank[[#This Row],[Reference]],tblGJ[Account Code],tblBank[[#This Row],[Account Code]])</f>
        <v>-914100</v>
      </c>
      <c r="M32" s="1" t="str">
        <f>IF(COUNTIFS(tblGJ[Voucher No],tblBank[[#This Row],[Reference]],tblGJ[Account Code],tblBank[[#This Row],[Account Code]])=0,"✖ Not in GJ",IF(ABS(tblBank[[#This Row],[GJ Amount]]-(tblBank[[#This Row],[Money In]]-tblBank[[#This Row],[Money Out]]))&lt;1,"✔ Recorded","⚠ Amount mismatch"))</f>
        <v>✔ Recorded</v>
      </c>
    </row>
    <row r="33" spans="2:13" x14ac:dyDescent="0.35">
      <c r="B33" s="4">
        <v>22</v>
      </c>
      <c r="C33" s="4" t="s">
        <v>6555</v>
      </c>
      <c r="D33" s="4">
        <v>1120</v>
      </c>
      <c r="E33" s="113">
        <v>46068</v>
      </c>
      <c r="F33" s="4" t="s">
        <v>6560</v>
      </c>
      <c r="G33" s="4" t="s">
        <v>5681</v>
      </c>
      <c r="H33" s="6">
        <v>0</v>
      </c>
      <c r="I33" s="6">
        <v>20000000</v>
      </c>
      <c r="J3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780199585</v>
      </c>
      <c r="K33" s="1">
        <f>MONTH(tblBank[[#This Row],[Value Date]])</f>
        <v>2</v>
      </c>
      <c r="L33" s="5">
        <f>SUMIFS(tblGJ[Debit],tblGJ[Voucher No],tblBank[[#This Row],[Reference]],tblGJ[Account Code],tblBank[[#This Row],[Account Code]])-SUMIFS(tblGJ[Credit],tblGJ[Voucher No],tblBank[[#This Row],[Reference]],tblGJ[Account Code],tblBank[[#This Row],[Account Code]])</f>
        <v>-20000000</v>
      </c>
      <c r="M33" s="1" t="str">
        <f>IF(COUNTIFS(tblGJ[Voucher No],tblBank[[#This Row],[Reference]],tblGJ[Account Code],tblBank[[#This Row],[Account Code]])=0,"✖ Not in GJ",IF(ABS(tblBank[[#This Row],[GJ Amount]]-(tblBank[[#This Row],[Money In]]-tblBank[[#This Row],[Money Out]]))&lt;1,"✔ Recorded","⚠ Amount mismatch"))</f>
        <v>✔ Recorded</v>
      </c>
    </row>
    <row r="34" spans="2:13" x14ac:dyDescent="0.35">
      <c r="B34" s="4">
        <v>23</v>
      </c>
      <c r="C34" s="4" t="s">
        <v>6555</v>
      </c>
      <c r="D34" s="4">
        <v>1120</v>
      </c>
      <c r="E34" s="113">
        <v>46073</v>
      </c>
      <c r="F34" s="4" t="s">
        <v>6562</v>
      </c>
      <c r="G34" s="4" t="s">
        <v>5682</v>
      </c>
      <c r="H34" s="6">
        <v>882494400</v>
      </c>
      <c r="I34" s="6">
        <v>0</v>
      </c>
      <c r="J3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1662693985</v>
      </c>
      <c r="K34" s="1">
        <f>MONTH(tblBank[[#This Row],[Value Date]])</f>
        <v>2</v>
      </c>
      <c r="L34" s="5">
        <f>SUMIFS(tblGJ[Debit],tblGJ[Voucher No],tblBank[[#This Row],[Reference]],tblGJ[Account Code],tblBank[[#This Row],[Account Code]])-SUMIFS(tblGJ[Credit],tblGJ[Voucher No],tblBank[[#This Row],[Reference]],tblGJ[Account Code],tblBank[[#This Row],[Account Code]])</f>
        <v>882494400</v>
      </c>
      <c r="M34" s="1" t="str">
        <f>IF(COUNTIFS(tblGJ[Voucher No],tblBank[[#This Row],[Reference]],tblGJ[Account Code],tblBank[[#This Row],[Account Code]])=0,"✖ Not in GJ",IF(ABS(tblBank[[#This Row],[GJ Amount]]-(tblBank[[#This Row],[Money In]]-tblBank[[#This Row],[Money Out]]))&lt;1,"✔ Recorded","⚠ Amount mismatch"))</f>
        <v>✔ Recorded</v>
      </c>
    </row>
    <row r="35" spans="2:13" x14ac:dyDescent="0.35">
      <c r="B35" s="4">
        <v>24</v>
      </c>
      <c r="C35" s="4" t="s">
        <v>6555</v>
      </c>
      <c r="D35" s="4">
        <v>1120</v>
      </c>
      <c r="E35" s="113">
        <v>46077</v>
      </c>
      <c r="F35" s="4" t="s">
        <v>6563</v>
      </c>
      <c r="G35" s="4" t="s">
        <v>5683</v>
      </c>
      <c r="H35" s="6">
        <v>0</v>
      </c>
      <c r="I35" s="6">
        <v>161397799</v>
      </c>
      <c r="J3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1501296186</v>
      </c>
      <c r="K35" s="1">
        <f>MONTH(tblBank[[#This Row],[Value Date]])</f>
        <v>2</v>
      </c>
      <c r="L35" s="5">
        <f>SUMIFS(tblGJ[Debit],tblGJ[Voucher No],tblBank[[#This Row],[Reference]],tblGJ[Account Code],tblBank[[#This Row],[Account Code]])-SUMIFS(tblGJ[Credit],tblGJ[Voucher No],tblBank[[#This Row],[Reference]],tblGJ[Account Code],tblBank[[#This Row],[Account Code]])</f>
        <v>-161397799</v>
      </c>
      <c r="M35" s="1" t="str">
        <f>IF(COUNTIFS(tblGJ[Voucher No],tblBank[[#This Row],[Reference]],tblGJ[Account Code],tblBank[[#This Row],[Account Code]])=0,"✖ Not in GJ",IF(ABS(tblBank[[#This Row],[GJ Amount]]-(tblBank[[#This Row],[Money In]]-tblBank[[#This Row],[Money Out]]))&lt;1,"✔ Recorded","⚠ Amount mismatch"))</f>
        <v>✔ Recorded</v>
      </c>
    </row>
    <row r="36" spans="2:13" x14ac:dyDescent="0.35">
      <c r="B36" s="4">
        <v>25</v>
      </c>
      <c r="C36" s="4" t="s">
        <v>6555</v>
      </c>
      <c r="D36" s="4">
        <v>1120</v>
      </c>
      <c r="E36" s="113">
        <v>46081</v>
      </c>
      <c r="F36" s="4" t="s">
        <v>6567</v>
      </c>
      <c r="G36" s="4" t="s">
        <v>5685</v>
      </c>
      <c r="H36" s="6">
        <v>177755400</v>
      </c>
      <c r="I36" s="6">
        <v>0</v>
      </c>
      <c r="J3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1679051586</v>
      </c>
      <c r="K36" s="1">
        <f>MONTH(tblBank[[#This Row],[Value Date]])</f>
        <v>2</v>
      </c>
      <c r="L36" s="5">
        <f>SUMIFS(tblGJ[Debit],tblGJ[Voucher No],tblBank[[#This Row],[Reference]],tblGJ[Account Code],tblBank[[#This Row],[Account Code]])-SUMIFS(tblGJ[Credit],tblGJ[Voucher No],tblBank[[#This Row],[Reference]],tblGJ[Account Code],tblBank[[#This Row],[Account Code]])</f>
        <v>177755400</v>
      </c>
      <c r="M36" s="1" t="str">
        <f>IF(COUNTIFS(tblGJ[Voucher No],tblBank[[#This Row],[Reference]],tblGJ[Account Code],tblBank[[#This Row],[Account Code]])=0,"✖ Not in GJ",IF(ABS(tblBank[[#This Row],[GJ Amount]]-(tblBank[[#This Row],[Money In]]-tblBank[[#This Row],[Money Out]]))&lt;1,"✔ Recorded","⚠ Amount mismatch"))</f>
        <v>✔ Recorded</v>
      </c>
    </row>
    <row r="37" spans="2:13" x14ac:dyDescent="0.35">
      <c r="B37" s="4">
        <v>26</v>
      </c>
      <c r="C37" s="4" t="s">
        <v>6555</v>
      </c>
      <c r="D37" s="4">
        <v>1120</v>
      </c>
      <c r="E37" s="113">
        <v>46081</v>
      </c>
      <c r="F37" s="4" t="s">
        <v>6568</v>
      </c>
      <c r="G37" s="4" t="s">
        <v>5687</v>
      </c>
      <c r="H37" s="6">
        <v>133738350</v>
      </c>
      <c r="I37" s="6">
        <v>0</v>
      </c>
      <c r="J3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1812789936</v>
      </c>
      <c r="K37" s="1">
        <f>MONTH(tblBank[[#This Row],[Value Date]])</f>
        <v>2</v>
      </c>
      <c r="L37" s="5">
        <f>SUMIFS(tblGJ[Debit],tblGJ[Voucher No],tblBank[[#This Row],[Reference]],tblGJ[Account Code],tblBank[[#This Row],[Account Code]])-SUMIFS(tblGJ[Credit],tblGJ[Voucher No],tblBank[[#This Row],[Reference]],tblGJ[Account Code],tblBank[[#This Row],[Account Code]])</f>
        <v>133738350</v>
      </c>
      <c r="M37" s="1" t="str">
        <f>IF(COUNTIFS(tblGJ[Voucher No],tblBank[[#This Row],[Reference]],tblGJ[Account Code],tblBank[[#This Row],[Account Code]])=0,"✖ Not in GJ",IF(ABS(tblBank[[#This Row],[GJ Amount]]-(tblBank[[#This Row],[Money In]]-tblBank[[#This Row],[Money Out]]))&lt;1,"✔ Recorded","⚠ Amount mismatch"))</f>
        <v>✔ Recorded</v>
      </c>
    </row>
    <row r="38" spans="2:13" x14ac:dyDescent="0.35">
      <c r="B38" s="4">
        <v>27</v>
      </c>
      <c r="C38" s="4" t="s">
        <v>6555</v>
      </c>
      <c r="D38" s="4">
        <v>1120</v>
      </c>
      <c r="E38" s="113">
        <v>46081</v>
      </c>
      <c r="F38" s="4" t="s">
        <v>6569</v>
      </c>
      <c r="G38" s="4" t="s">
        <v>5695</v>
      </c>
      <c r="H38" s="6">
        <v>1333333</v>
      </c>
      <c r="I38" s="6">
        <v>0</v>
      </c>
      <c r="J3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1814123269</v>
      </c>
      <c r="K38" s="1">
        <f>MONTH(tblBank[[#This Row],[Value Date]])</f>
        <v>2</v>
      </c>
      <c r="L38" s="5">
        <f>SUMIFS(tblGJ[Debit],tblGJ[Voucher No],tblBank[[#This Row],[Reference]],tblGJ[Account Code],tblBank[[#This Row],[Account Code]])-SUMIFS(tblGJ[Credit],tblGJ[Voucher No],tblBank[[#This Row],[Reference]],tblGJ[Account Code],tblBank[[#This Row],[Account Code]])</f>
        <v>1333333</v>
      </c>
      <c r="M38" s="1" t="str">
        <f>IF(COUNTIFS(tblGJ[Voucher No],tblBank[[#This Row],[Reference]],tblGJ[Account Code],tblBank[[#This Row],[Account Code]])=0,"✖ Not in GJ",IF(ABS(tblBank[[#This Row],[GJ Amount]]-(tblBank[[#This Row],[Money In]]-tblBank[[#This Row],[Money Out]]))&lt;1,"✔ Recorded","⚠ Amount mismatch"))</f>
        <v>✔ Recorded</v>
      </c>
    </row>
    <row r="39" spans="2:13" x14ac:dyDescent="0.35">
      <c r="B39" s="4">
        <v>28</v>
      </c>
      <c r="C39" s="4" t="s">
        <v>6555</v>
      </c>
      <c r="D39" s="4">
        <v>1120</v>
      </c>
      <c r="E39" s="113">
        <v>46081</v>
      </c>
      <c r="F39" s="4" t="s">
        <v>6570</v>
      </c>
      <c r="G39" s="4" t="s">
        <v>5696</v>
      </c>
      <c r="H39" s="6">
        <v>538310</v>
      </c>
      <c r="I39" s="6">
        <v>0</v>
      </c>
      <c r="J3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1814661579</v>
      </c>
      <c r="K39" s="1">
        <f>MONTH(tblBank[[#This Row],[Value Date]])</f>
        <v>2</v>
      </c>
      <c r="L39" s="5">
        <f>SUMIFS(tblGJ[Debit],tblGJ[Voucher No],tblBank[[#This Row],[Reference]],tblGJ[Account Code],tblBank[[#This Row],[Account Code]])-SUMIFS(tblGJ[Credit],tblGJ[Voucher No],tblBank[[#This Row],[Reference]],tblGJ[Account Code],tblBank[[#This Row],[Account Code]])</f>
        <v>538310</v>
      </c>
      <c r="M39" s="1" t="str">
        <f>IF(COUNTIFS(tblGJ[Voucher No],tblBank[[#This Row],[Reference]],tblGJ[Account Code],tblBank[[#This Row],[Account Code]])=0,"✖ Not in GJ",IF(ABS(tblBank[[#This Row],[GJ Amount]]-(tblBank[[#This Row],[Money In]]-tblBank[[#This Row],[Money Out]]))&lt;1,"✔ Recorded","⚠ Amount mismatch"))</f>
        <v>✔ Recorded</v>
      </c>
    </row>
    <row r="40" spans="2:13" x14ac:dyDescent="0.35">
      <c r="B40" s="4">
        <v>29</v>
      </c>
      <c r="C40" s="4" t="s">
        <v>6555</v>
      </c>
      <c r="D40" s="4">
        <v>1120</v>
      </c>
      <c r="E40" s="113">
        <v>46081</v>
      </c>
      <c r="F40" s="4" t="s">
        <v>6561</v>
      </c>
      <c r="G40" s="4" t="s">
        <v>5689</v>
      </c>
      <c r="H40" s="6">
        <v>0</v>
      </c>
      <c r="I40" s="6">
        <v>772218860</v>
      </c>
      <c r="J4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1042442719</v>
      </c>
      <c r="K40" s="1">
        <f>MONTH(tblBank[[#This Row],[Value Date]])</f>
        <v>2</v>
      </c>
      <c r="L40" s="5">
        <f>SUMIFS(tblGJ[Debit],tblGJ[Voucher No],tblBank[[#This Row],[Reference]],tblGJ[Account Code],tblBank[[#This Row],[Account Code]])-SUMIFS(tblGJ[Credit],tblGJ[Voucher No],tblBank[[#This Row],[Reference]],tblGJ[Account Code],tblBank[[#This Row],[Account Code]])</f>
        <v>-772218860</v>
      </c>
      <c r="M40" s="1" t="str">
        <f>IF(COUNTIFS(tblGJ[Voucher No],tblBank[[#This Row],[Reference]],tblGJ[Account Code],tblBank[[#This Row],[Account Code]])=0,"✖ Not in GJ",IF(ABS(tblBank[[#This Row],[GJ Amount]]-(tblBank[[#This Row],[Money In]]-tblBank[[#This Row],[Money Out]]))&lt;1,"✔ Recorded","⚠ Amount mismatch"))</f>
        <v>✔ Recorded</v>
      </c>
    </row>
    <row r="41" spans="2:13" x14ac:dyDescent="0.35">
      <c r="B41" s="4">
        <v>30</v>
      </c>
      <c r="C41" s="4" t="s">
        <v>6555</v>
      </c>
      <c r="D41" s="4">
        <v>1120</v>
      </c>
      <c r="E41" s="113">
        <v>46081</v>
      </c>
      <c r="F41" s="4" t="s">
        <v>6564</v>
      </c>
      <c r="G41" s="4" t="s">
        <v>5691</v>
      </c>
      <c r="H41" s="6">
        <v>0</v>
      </c>
      <c r="I41" s="6">
        <v>51698350</v>
      </c>
      <c r="J4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990744369</v>
      </c>
      <c r="K41" s="1">
        <f>MONTH(tblBank[[#This Row],[Value Date]])</f>
        <v>2</v>
      </c>
      <c r="L41" s="5">
        <f>SUMIFS(tblGJ[Debit],tblGJ[Voucher No],tblBank[[#This Row],[Reference]],tblGJ[Account Code],tblBank[[#This Row],[Account Code]])-SUMIFS(tblGJ[Credit],tblGJ[Voucher No],tblBank[[#This Row],[Reference]],tblGJ[Account Code],tblBank[[#This Row],[Account Code]])</f>
        <v>-51698350</v>
      </c>
      <c r="M41" s="1" t="str">
        <f>IF(COUNTIFS(tblGJ[Voucher No],tblBank[[#This Row],[Reference]],tblGJ[Account Code],tblBank[[#This Row],[Account Code]])=0,"✖ Not in GJ",IF(ABS(tblBank[[#This Row],[GJ Amount]]-(tblBank[[#This Row],[Money In]]-tblBank[[#This Row],[Money Out]]))&lt;1,"✔ Recorded","⚠ Amount mismatch"))</f>
        <v>✔ Recorded</v>
      </c>
    </row>
    <row r="42" spans="2:13" x14ac:dyDescent="0.35">
      <c r="B42" s="4">
        <v>31</v>
      </c>
      <c r="C42" s="4" t="s">
        <v>6555</v>
      </c>
      <c r="D42" s="4">
        <v>1120</v>
      </c>
      <c r="E42" s="113">
        <v>46081</v>
      </c>
      <c r="F42" s="4" t="s">
        <v>6571</v>
      </c>
      <c r="G42" s="4" t="s">
        <v>5697</v>
      </c>
      <c r="H42" s="6">
        <v>0</v>
      </c>
      <c r="I42" s="6">
        <v>107662</v>
      </c>
      <c r="J4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990636707</v>
      </c>
      <c r="K42" s="1">
        <f>MONTH(tblBank[[#This Row],[Value Date]])</f>
        <v>2</v>
      </c>
      <c r="L42" s="5">
        <f>SUMIFS(tblGJ[Debit],tblGJ[Voucher No],tblBank[[#This Row],[Reference]],tblGJ[Account Code],tblBank[[#This Row],[Account Code]])-SUMIFS(tblGJ[Credit],tblGJ[Voucher No],tblBank[[#This Row],[Reference]],tblGJ[Account Code],tblBank[[#This Row],[Account Code]])</f>
        <v>-107662</v>
      </c>
      <c r="M42" s="1" t="str">
        <f>IF(COUNTIFS(tblGJ[Voucher No],tblBank[[#This Row],[Reference]],tblGJ[Account Code],tblBank[[#This Row],[Account Code]])=0,"✖ Not in GJ",IF(ABS(tblBank[[#This Row],[GJ Amount]]-(tblBank[[#This Row],[Money In]]-tblBank[[#This Row],[Money Out]]))&lt;1,"✔ Recorded","⚠ Amount mismatch"))</f>
        <v>✔ Recorded</v>
      </c>
    </row>
    <row r="43" spans="2:13" x14ac:dyDescent="0.35">
      <c r="B43" s="4">
        <v>32</v>
      </c>
      <c r="C43" s="4" t="s">
        <v>6555</v>
      </c>
      <c r="D43" s="4">
        <v>1120</v>
      </c>
      <c r="E43" s="113">
        <v>46081</v>
      </c>
      <c r="F43" s="4" t="s">
        <v>6572</v>
      </c>
      <c r="G43" s="4" t="s">
        <v>5698</v>
      </c>
      <c r="H43" s="6">
        <v>0</v>
      </c>
      <c r="I43" s="6">
        <v>150000</v>
      </c>
      <c r="J4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990486707</v>
      </c>
      <c r="K43" s="1">
        <f>MONTH(tblBank[[#This Row],[Value Date]])</f>
        <v>2</v>
      </c>
      <c r="L43" s="5">
        <f>SUMIFS(tblGJ[Debit],tblGJ[Voucher No],tblBank[[#This Row],[Reference]],tblGJ[Account Code],tblBank[[#This Row],[Account Code]])-SUMIFS(tblGJ[Credit],tblGJ[Voucher No],tblBank[[#This Row],[Reference]],tblGJ[Account Code],tblBank[[#This Row],[Account Code]])</f>
        <v>-150000</v>
      </c>
      <c r="M43" s="1" t="str">
        <f>IF(COUNTIFS(tblGJ[Voucher No],tblBank[[#This Row],[Reference]],tblGJ[Account Code],tblBank[[#This Row],[Account Code]])=0,"✖ Not in GJ",IF(ABS(tblBank[[#This Row],[GJ Amount]]-(tblBank[[#This Row],[Money In]]-tblBank[[#This Row],[Money Out]]))&lt;1,"✔ Recorded","⚠ Amount mismatch"))</f>
        <v>✔ Recorded</v>
      </c>
    </row>
    <row r="44" spans="2:13" x14ac:dyDescent="0.35">
      <c r="B44" s="4">
        <v>33</v>
      </c>
      <c r="C44" s="4" t="s">
        <v>6555</v>
      </c>
      <c r="D44" s="4">
        <v>1120</v>
      </c>
      <c r="E44" s="113">
        <v>46081</v>
      </c>
      <c r="F44" s="4" t="s">
        <v>6565</v>
      </c>
      <c r="G44" s="4" t="s">
        <v>5702</v>
      </c>
      <c r="H44" s="6">
        <v>0</v>
      </c>
      <c r="I44" s="6">
        <v>36062500</v>
      </c>
      <c r="J4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954424207</v>
      </c>
      <c r="K44" s="1">
        <f>MONTH(tblBank[[#This Row],[Value Date]])</f>
        <v>2</v>
      </c>
      <c r="L44" s="5">
        <f>SUMIFS(tblGJ[Debit],tblGJ[Voucher No],tblBank[[#This Row],[Reference]],tblGJ[Account Code],tblBank[[#This Row],[Account Code]])-SUMIFS(tblGJ[Credit],tblGJ[Voucher No],tblBank[[#This Row],[Reference]],tblGJ[Account Code],tblBank[[#This Row],[Account Code]])</f>
        <v>-36062500</v>
      </c>
      <c r="M44" s="1" t="str">
        <f>IF(COUNTIFS(tblGJ[Voucher No],tblBank[[#This Row],[Reference]],tblGJ[Account Code],tblBank[[#This Row],[Account Code]])=0,"✖ Not in GJ",IF(ABS(tblBank[[#This Row],[GJ Amount]]-(tblBank[[#This Row],[Money In]]-tblBank[[#This Row],[Money Out]]))&lt;1,"✔ Recorded","⚠ Amount mismatch"))</f>
        <v>✔ Recorded</v>
      </c>
    </row>
    <row r="45" spans="2:13" x14ac:dyDescent="0.35">
      <c r="B45" s="4">
        <v>34</v>
      </c>
      <c r="C45" s="4" t="s">
        <v>6555</v>
      </c>
      <c r="D45" s="4">
        <v>1120</v>
      </c>
      <c r="E45" s="113">
        <v>46081</v>
      </c>
      <c r="F45" s="4" t="s">
        <v>6566</v>
      </c>
      <c r="G45" s="4" t="s">
        <v>5703</v>
      </c>
      <c r="H45" s="6">
        <v>0</v>
      </c>
      <c r="I45" s="6">
        <v>2500000</v>
      </c>
      <c r="J4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951924207</v>
      </c>
      <c r="K45" s="1">
        <f>MONTH(tblBank[[#This Row],[Value Date]])</f>
        <v>2</v>
      </c>
      <c r="L45" s="5">
        <f>SUMIFS(tblGJ[Debit],tblGJ[Voucher No],tblBank[[#This Row],[Reference]],tblGJ[Account Code],tblBank[[#This Row],[Account Code]])-SUMIFS(tblGJ[Credit],tblGJ[Voucher No],tblBank[[#This Row],[Reference]],tblGJ[Account Code],tblBank[[#This Row],[Account Code]])</f>
        <v>-2500000</v>
      </c>
      <c r="M45" s="1" t="str">
        <f>IF(COUNTIFS(tblGJ[Voucher No],tblBank[[#This Row],[Reference]],tblGJ[Account Code],tblBank[[#This Row],[Account Code]])=0,"✖ Not in GJ",IF(ABS(tblBank[[#This Row],[GJ Amount]]-(tblBank[[#This Row],[Money In]]-tblBank[[#This Row],[Money Out]]))&lt;1,"✔ Recorded","⚠ Amount mismatch"))</f>
        <v>✔ Recorded</v>
      </c>
    </row>
    <row r="46" spans="2:13" x14ac:dyDescent="0.35">
      <c r="B46" s="4">
        <v>35</v>
      </c>
      <c r="C46" s="4" t="s">
        <v>6555</v>
      </c>
      <c r="D46" s="4">
        <v>1120</v>
      </c>
      <c r="E46" s="113">
        <v>46091</v>
      </c>
      <c r="F46" s="4" t="s">
        <v>6556</v>
      </c>
      <c r="G46" s="4" t="s">
        <v>5704</v>
      </c>
      <c r="H46" s="6">
        <v>0</v>
      </c>
      <c r="I46" s="6">
        <v>10516831</v>
      </c>
      <c r="J4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941407376</v>
      </c>
      <c r="K46" s="1">
        <f>MONTH(tblBank[[#This Row],[Value Date]])</f>
        <v>3</v>
      </c>
      <c r="L46" s="5">
        <f>SUMIFS(tblGJ[Debit],tblGJ[Voucher No],tblBank[[#This Row],[Reference]],tblGJ[Account Code],tblBank[[#This Row],[Account Code]])-SUMIFS(tblGJ[Credit],tblGJ[Voucher No],tblBank[[#This Row],[Reference]],tblGJ[Account Code],tblBank[[#This Row],[Account Code]])</f>
        <v>-10516831</v>
      </c>
      <c r="M46" s="1" t="str">
        <f>IF(COUNTIFS(tblGJ[Voucher No],tblBank[[#This Row],[Reference]],tblGJ[Account Code],tblBank[[#This Row],[Account Code]])=0,"✖ Not in GJ",IF(ABS(tblBank[[#This Row],[GJ Amount]]-(tblBank[[#This Row],[Money In]]-tblBank[[#This Row],[Money Out]]))&lt;1,"✔ Recorded","⚠ Amount mismatch"))</f>
        <v>✔ Recorded</v>
      </c>
    </row>
    <row r="47" spans="2:13" x14ac:dyDescent="0.35">
      <c r="B47" s="4">
        <v>36</v>
      </c>
      <c r="C47" s="4" t="s">
        <v>6555</v>
      </c>
      <c r="D47" s="4">
        <v>1120</v>
      </c>
      <c r="E47" s="113">
        <v>46091</v>
      </c>
      <c r="F47" s="4" t="s">
        <v>6557</v>
      </c>
      <c r="G47" s="4" t="s">
        <v>5705</v>
      </c>
      <c r="H47" s="6">
        <v>0</v>
      </c>
      <c r="I47" s="6">
        <v>22077790</v>
      </c>
      <c r="J4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919329586</v>
      </c>
      <c r="K47" s="1">
        <f>MONTH(tblBank[[#This Row],[Value Date]])</f>
        <v>3</v>
      </c>
      <c r="L47" s="5">
        <f>SUMIFS(tblGJ[Debit],tblGJ[Voucher No],tblBank[[#This Row],[Reference]],tblGJ[Account Code],tblBank[[#This Row],[Account Code]])-SUMIFS(tblGJ[Credit],tblGJ[Voucher No],tblBank[[#This Row],[Reference]],tblGJ[Account Code],tblBank[[#This Row],[Account Code]])</f>
        <v>-22077790</v>
      </c>
      <c r="M47" s="1" t="str">
        <f>IF(COUNTIFS(tblGJ[Voucher No],tblBank[[#This Row],[Reference]],tblGJ[Account Code],tblBank[[#This Row],[Account Code]])=0,"✖ Not in GJ",IF(ABS(tblBank[[#This Row],[GJ Amount]]-(tblBank[[#This Row],[Money In]]-tblBank[[#This Row],[Money Out]]))&lt;1,"✔ Recorded","⚠ Amount mismatch"))</f>
        <v>✔ Recorded</v>
      </c>
    </row>
    <row r="48" spans="2:13" x14ac:dyDescent="0.35">
      <c r="B48" s="4">
        <v>37</v>
      </c>
      <c r="C48" s="4" t="s">
        <v>6555</v>
      </c>
      <c r="D48" s="4">
        <v>1120</v>
      </c>
      <c r="E48" s="113">
        <v>46096</v>
      </c>
      <c r="F48" s="4" t="s">
        <v>6559</v>
      </c>
      <c r="G48" s="4" t="s">
        <v>5706</v>
      </c>
      <c r="H48" s="6">
        <v>0</v>
      </c>
      <c r="I48" s="6">
        <v>1000920</v>
      </c>
      <c r="J4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918328666</v>
      </c>
      <c r="K48" s="1">
        <f>MONTH(tblBank[[#This Row],[Value Date]])</f>
        <v>3</v>
      </c>
      <c r="L48" s="5">
        <f>SUMIFS(tblGJ[Debit],tblGJ[Voucher No],tblBank[[#This Row],[Reference]],tblGJ[Account Code],tblBank[[#This Row],[Account Code]])-SUMIFS(tblGJ[Credit],tblGJ[Voucher No],tblBank[[#This Row],[Reference]],tblGJ[Account Code],tblBank[[#This Row],[Account Code]])</f>
        <v>-1000920</v>
      </c>
      <c r="M48" s="1" t="str">
        <f>IF(COUNTIFS(tblGJ[Voucher No],tblBank[[#This Row],[Reference]],tblGJ[Account Code],tblBank[[#This Row],[Account Code]])=0,"✖ Not in GJ",IF(ABS(tblBank[[#This Row],[GJ Amount]]-(tblBank[[#This Row],[Money In]]-tblBank[[#This Row],[Money Out]]))&lt;1,"✔ Recorded","⚠ Amount mismatch"))</f>
        <v>✔ Recorded</v>
      </c>
    </row>
    <row r="49" spans="2:13" x14ac:dyDescent="0.35">
      <c r="B49" s="4">
        <v>38</v>
      </c>
      <c r="C49" s="4" t="s">
        <v>6555</v>
      </c>
      <c r="D49" s="4">
        <v>1120</v>
      </c>
      <c r="E49" s="113">
        <v>46096</v>
      </c>
      <c r="F49" s="4" t="s">
        <v>6560</v>
      </c>
      <c r="G49" s="4" t="s">
        <v>5707</v>
      </c>
      <c r="H49" s="6">
        <v>0</v>
      </c>
      <c r="I49" s="6">
        <v>20000000</v>
      </c>
      <c r="J4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898328666</v>
      </c>
      <c r="K49" s="1">
        <f>MONTH(tblBank[[#This Row],[Value Date]])</f>
        <v>3</v>
      </c>
      <c r="L49" s="5">
        <f>SUMIFS(tblGJ[Debit],tblGJ[Voucher No],tblBank[[#This Row],[Reference]],tblGJ[Account Code],tblBank[[#This Row],[Account Code]])-SUMIFS(tblGJ[Credit],tblGJ[Voucher No],tblBank[[#This Row],[Reference]],tblGJ[Account Code],tblBank[[#This Row],[Account Code]])</f>
        <v>-20000000</v>
      </c>
      <c r="M49" s="1" t="str">
        <f>IF(COUNTIFS(tblGJ[Voucher No],tblBank[[#This Row],[Reference]],tblGJ[Account Code],tblBank[[#This Row],[Account Code]])=0,"✖ Not in GJ",IF(ABS(tblBank[[#This Row],[GJ Amount]]-(tblBank[[#This Row],[Money In]]-tblBank[[#This Row],[Money Out]]))&lt;1,"✔ Recorded","⚠ Amount mismatch"))</f>
        <v>✔ Recorded</v>
      </c>
    </row>
    <row r="50" spans="2:13" x14ac:dyDescent="0.35">
      <c r="B50" s="4">
        <v>39</v>
      </c>
      <c r="C50" s="4" t="s">
        <v>6555</v>
      </c>
      <c r="D50" s="4">
        <v>1120</v>
      </c>
      <c r="E50" s="113">
        <v>46101</v>
      </c>
      <c r="F50" s="4" t="s">
        <v>6562</v>
      </c>
      <c r="G50" s="4" t="s">
        <v>5708</v>
      </c>
      <c r="H50" s="6">
        <v>759595200</v>
      </c>
      <c r="I50" s="6">
        <v>0</v>
      </c>
      <c r="J5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1657923866</v>
      </c>
      <c r="K50" s="1">
        <f>MONTH(tblBank[[#This Row],[Value Date]])</f>
        <v>3</v>
      </c>
      <c r="L50" s="5">
        <f>SUMIFS(tblGJ[Debit],tblGJ[Voucher No],tblBank[[#This Row],[Reference]],tblGJ[Account Code],tblBank[[#This Row],[Account Code]])-SUMIFS(tblGJ[Credit],tblGJ[Voucher No],tblBank[[#This Row],[Reference]],tblGJ[Account Code],tblBank[[#This Row],[Account Code]])</f>
        <v>759595200</v>
      </c>
      <c r="M50" s="1" t="str">
        <f>IF(COUNTIFS(tblGJ[Voucher No],tblBank[[#This Row],[Reference]],tblGJ[Account Code],tblBank[[#This Row],[Account Code]])=0,"✖ Not in GJ",IF(ABS(tblBank[[#This Row],[GJ Amount]]-(tblBank[[#This Row],[Money In]]-tblBank[[#This Row],[Money Out]]))&lt;1,"✔ Recorded","⚠ Amount mismatch"))</f>
        <v>✔ Recorded</v>
      </c>
    </row>
    <row r="51" spans="2:13" x14ac:dyDescent="0.35">
      <c r="B51" s="4">
        <v>40</v>
      </c>
      <c r="C51" s="4" t="s">
        <v>6555</v>
      </c>
      <c r="D51" s="4">
        <v>1120</v>
      </c>
      <c r="E51" s="113">
        <v>46105</v>
      </c>
      <c r="F51" s="4" t="s">
        <v>6563</v>
      </c>
      <c r="G51" s="4" t="s">
        <v>5709</v>
      </c>
      <c r="H51" s="6">
        <v>0</v>
      </c>
      <c r="I51" s="6">
        <v>307134938</v>
      </c>
      <c r="J5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1350788928</v>
      </c>
      <c r="K51" s="1">
        <f>MONTH(tblBank[[#This Row],[Value Date]])</f>
        <v>3</v>
      </c>
      <c r="L51" s="5">
        <f>SUMIFS(tblGJ[Debit],tblGJ[Voucher No],tblBank[[#This Row],[Reference]],tblGJ[Account Code],tblBank[[#This Row],[Account Code]])-SUMIFS(tblGJ[Credit],tblGJ[Voucher No],tblBank[[#This Row],[Reference]],tblGJ[Account Code],tblBank[[#This Row],[Account Code]])</f>
        <v>-307134938</v>
      </c>
      <c r="M51" s="1" t="str">
        <f>IF(COUNTIFS(tblGJ[Voucher No],tblBank[[#This Row],[Reference]],tblGJ[Account Code],tblBank[[#This Row],[Account Code]])=0,"✖ Not in GJ",IF(ABS(tblBank[[#This Row],[GJ Amount]]-(tblBank[[#This Row],[Money In]]-tblBank[[#This Row],[Money Out]]))&lt;1,"✔ Recorded","⚠ Amount mismatch"))</f>
        <v>✔ Recorded</v>
      </c>
    </row>
    <row r="52" spans="2:13" x14ac:dyDescent="0.35">
      <c r="B52" s="4">
        <v>41</v>
      </c>
      <c r="C52" s="4" t="s">
        <v>6555</v>
      </c>
      <c r="D52" s="4">
        <v>1120</v>
      </c>
      <c r="E52" s="113">
        <v>46109</v>
      </c>
      <c r="F52" s="4" t="s">
        <v>6564</v>
      </c>
      <c r="G52" s="4" t="s">
        <v>5711</v>
      </c>
      <c r="H52" s="6">
        <v>0</v>
      </c>
      <c r="I52" s="6">
        <v>46093960</v>
      </c>
      <c r="J5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1304694968</v>
      </c>
      <c r="K52" s="1">
        <f>MONTH(tblBank[[#This Row],[Value Date]])</f>
        <v>3</v>
      </c>
      <c r="L52" s="5">
        <f>SUMIFS(tblGJ[Debit],tblGJ[Voucher No],tblBank[[#This Row],[Reference]],tblGJ[Account Code],tblBank[[#This Row],[Account Code]])-SUMIFS(tblGJ[Credit],tblGJ[Voucher No],tblBank[[#This Row],[Reference]],tblGJ[Account Code],tblBank[[#This Row],[Account Code]])</f>
        <v>-46093960</v>
      </c>
      <c r="M52" s="1" t="str">
        <f>IF(COUNTIFS(tblGJ[Voucher No],tblBank[[#This Row],[Reference]],tblGJ[Account Code],tblBank[[#This Row],[Account Code]])=0,"✖ Not in GJ",IF(ABS(tblBank[[#This Row],[GJ Amount]]-(tblBank[[#This Row],[Money In]]-tblBank[[#This Row],[Money Out]]))&lt;1,"✔ Recorded","⚠ Amount mismatch"))</f>
        <v>✔ Recorded</v>
      </c>
    </row>
    <row r="53" spans="2:13" x14ac:dyDescent="0.35">
      <c r="B53" s="4">
        <v>42</v>
      </c>
      <c r="C53" s="4" t="s">
        <v>6555</v>
      </c>
      <c r="D53" s="4">
        <v>1120</v>
      </c>
      <c r="E53" s="113">
        <v>46109</v>
      </c>
      <c r="F53" s="4" t="s">
        <v>6565</v>
      </c>
      <c r="G53" s="4" t="s">
        <v>5712</v>
      </c>
      <c r="H53" s="6">
        <v>0</v>
      </c>
      <c r="I53" s="6">
        <v>35875000</v>
      </c>
      <c r="J5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1268819968</v>
      </c>
      <c r="K53" s="1">
        <f>MONTH(tblBank[[#This Row],[Value Date]])</f>
        <v>3</v>
      </c>
      <c r="L53" s="5">
        <f>SUMIFS(tblGJ[Debit],tblGJ[Voucher No],tblBank[[#This Row],[Reference]],tblGJ[Account Code],tblBank[[#This Row],[Account Code]])-SUMIFS(tblGJ[Credit],tblGJ[Voucher No],tblBank[[#This Row],[Reference]],tblGJ[Account Code],tblBank[[#This Row],[Account Code]])</f>
        <v>-35875000</v>
      </c>
      <c r="M53" s="1" t="str">
        <f>IF(COUNTIFS(tblGJ[Voucher No],tblBank[[#This Row],[Reference]],tblGJ[Account Code],tblBank[[#This Row],[Account Code]])=0,"✖ Not in GJ",IF(ABS(tblBank[[#This Row],[GJ Amount]]-(tblBank[[#This Row],[Money In]]-tblBank[[#This Row],[Money Out]]))&lt;1,"✔ Recorded","⚠ Amount mismatch"))</f>
        <v>✔ Recorded</v>
      </c>
    </row>
    <row r="54" spans="2:13" x14ac:dyDescent="0.35">
      <c r="B54" s="4">
        <v>43</v>
      </c>
      <c r="C54" s="4" t="s">
        <v>6555</v>
      </c>
      <c r="D54" s="4">
        <v>1120</v>
      </c>
      <c r="E54" s="113">
        <v>46109</v>
      </c>
      <c r="F54" s="4" t="s">
        <v>6566</v>
      </c>
      <c r="G54" s="4" t="s">
        <v>5713</v>
      </c>
      <c r="H54" s="6">
        <v>0</v>
      </c>
      <c r="I54" s="6">
        <v>2500000</v>
      </c>
      <c r="J5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1266319968</v>
      </c>
      <c r="K54" s="1">
        <f>MONTH(tblBank[[#This Row],[Value Date]])</f>
        <v>3</v>
      </c>
      <c r="L54" s="5">
        <f>SUMIFS(tblGJ[Debit],tblGJ[Voucher No],tblBank[[#This Row],[Reference]],tblGJ[Account Code],tblBank[[#This Row],[Account Code]])-SUMIFS(tblGJ[Credit],tblGJ[Voucher No],tblBank[[#This Row],[Reference]],tblGJ[Account Code],tblBank[[#This Row],[Account Code]])</f>
        <v>-2500000</v>
      </c>
      <c r="M54" s="1" t="str">
        <f>IF(COUNTIFS(tblGJ[Voucher No],tblBank[[#This Row],[Reference]],tblGJ[Account Code],tblBank[[#This Row],[Account Code]])=0,"✖ Not in GJ",IF(ABS(tblBank[[#This Row],[GJ Amount]]-(tblBank[[#This Row],[Money In]]-tblBank[[#This Row],[Money Out]]))&lt;1,"✔ Recorded","⚠ Amount mismatch"))</f>
        <v>✔ Recorded</v>
      </c>
    </row>
    <row r="55" spans="2:13" x14ac:dyDescent="0.35">
      <c r="B55" s="4">
        <v>44</v>
      </c>
      <c r="C55" s="4" t="s">
        <v>6555</v>
      </c>
      <c r="D55" s="4">
        <v>1120</v>
      </c>
      <c r="E55" s="113">
        <v>46112</v>
      </c>
      <c r="F55" s="4" t="s">
        <v>6567</v>
      </c>
      <c r="G55" s="4" t="s">
        <v>5714</v>
      </c>
      <c r="H55" s="6">
        <v>255816150</v>
      </c>
      <c r="I55" s="6">
        <v>0</v>
      </c>
      <c r="J5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1522136118</v>
      </c>
      <c r="K55" s="1">
        <f>MONTH(tblBank[[#This Row],[Value Date]])</f>
        <v>3</v>
      </c>
      <c r="L55" s="5">
        <f>SUMIFS(tblGJ[Debit],tblGJ[Voucher No],tblBank[[#This Row],[Reference]],tblGJ[Account Code],tblBank[[#This Row],[Account Code]])-SUMIFS(tblGJ[Credit],tblGJ[Voucher No],tblBank[[#This Row],[Reference]],tblGJ[Account Code],tblBank[[#This Row],[Account Code]])</f>
        <v>255816150</v>
      </c>
      <c r="M55" s="1" t="str">
        <f>IF(COUNTIFS(tblGJ[Voucher No],tblBank[[#This Row],[Reference]],tblGJ[Account Code],tblBank[[#This Row],[Account Code]])=0,"✖ Not in GJ",IF(ABS(tblBank[[#This Row],[GJ Amount]]-(tblBank[[#This Row],[Money In]]-tblBank[[#This Row],[Money Out]]))&lt;1,"✔ Recorded","⚠ Amount mismatch"))</f>
        <v>✔ Recorded</v>
      </c>
    </row>
    <row r="56" spans="2:13" x14ac:dyDescent="0.35">
      <c r="B56" s="4">
        <v>45</v>
      </c>
      <c r="C56" s="4" t="s">
        <v>6555</v>
      </c>
      <c r="D56" s="4">
        <v>1120</v>
      </c>
      <c r="E56" s="113">
        <v>46112</v>
      </c>
      <c r="F56" s="4" t="s">
        <v>6568</v>
      </c>
      <c r="G56" s="4" t="s">
        <v>5716</v>
      </c>
      <c r="H56" s="6">
        <v>181240800</v>
      </c>
      <c r="I56" s="6">
        <v>0</v>
      </c>
      <c r="J5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1703376918</v>
      </c>
      <c r="K56" s="1">
        <f>MONTH(tblBank[[#This Row],[Value Date]])</f>
        <v>3</v>
      </c>
      <c r="L56" s="5">
        <f>SUMIFS(tblGJ[Debit],tblGJ[Voucher No],tblBank[[#This Row],[Reference]],tblGJ[Account Code],tblBank[[#This Row],[Account Code]])-SUMIFS(tblGJ[Credit],tblGJ[Voucher No],tblBank[[#This Row],[Reference]],tblGJ[Account Code],tblBank[[#This Row],[Account Code]])</f>
        <v>181240800</v>
      </c>
      <c r="M56" s="1" t="str">
        <f>IF(COUNTIFS(tblGJ[Voucher No],tblBank[[#This Row],[Reference]],tblGJ[Account Code],tblBank[[#This Row],[Account Code]])=0,"✖ Not in GJ",IF(ABS(tblBank[[#This Row],[GJ Amount]]-(tblBank[[#This Row],[Money In]]-tblBank[[#This Row],[Money Out]]))&lt;1,"✔ Recorded","⚠ Amount mismatch"))</f>
        <v>✔ Recorded</v>
      </c>
    </row>
    <row r="57" spans="2:13" x14ac:dyDescent="0.35">
      <c r="B57" s="4">
        <v>46</v>
      </c>
      <c r="C57" s="4" t="s">
        <v>6555</v>
      </c>
      <c r="D57" s="4">
        <v>1120</v>
      </c>
      <c r="E57" s="113">
        <v>46112</v>
      </c>
      <c r="F57" s="4" t="s">
        <v>6569</v>
      </c>
      <c r="G57" s="4" t="s">
        <v>5723</v>
      </c>
      <c r="H57" s="6">
        <v>1333333</v>
      </c>
      <c r="I57" s="6">
        <v>0</v>
      </c>
      <c r="J5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1704710251</v>
      </c>
      <c r="K57" s="1">
        <f>MONTH(tblBank[[#This Row],[Value Date]])</f>
        <v>3</v>
      </c>
      <c r="L57" s="5">
        <f>SUMIFS(tblGJ[Debit],tblGJ[Voucher No],tblBank[[#This Row],[Reference]],tblGJ[Account Code],tblBank[[#This Row],[Account Code]])-SUMIFS(tblGJ[Credit],tblGJ[Voucher No],tblBank[[#This Row],[Reference]],tblGJ[Account Code],tblBank[[#This Row],[Account Code]])</f>
        <v>1333333</v>
      </c>
      <c r="M57" s="1" t="str">
        <f>IF(COUNTIFS(tblGJ[Voucher No],tblBank[[#This Row],[Reference]],tblGJ[Account Code],tblBank[[#This Row],[Account Code]])=0,"✖ Not in GJ",IF(ABS(tblBank[[#This Row],[GJ Amount]]-(tblBank[[#This Row],[Money In]]-tblBank[[#This Row],[Money Out]]))&lt;1,"✔ Recorded","⚠ Amount mismatch"))</f>
        <v>✔ Recorded</v>
      </c>
    </row>
    <row r="58" spans="2:13" x14ac:dyDescent="0.35">
      <c r="B58" s="4">
        <v>47</v>
      </c>
      <c r="C58" s="4" t="s">
        <v>6555</v>
      </c>
      <c r="D58" s="4">
        <v>1120</v>
      </c>
      <c r="E58" s="113">
        <v>46112</v>
      </c>
      <c r="F58" s="4" t="s">
        <v>6570</v>
      </c>
      <c r="G58" s="4" t="s">
        <v>5724</v>
      </c>
      <c r="H58" s="6">
        <v>493692</v>
      </c>
      <c r="I58" s="6">
        <v>0</v>
      </c>
      <c r="J5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1705203943</v>
      </c>
      <c r="K58" s="1">
        <f>MONTH(tblBank[[#This Row],[Value Date]])</f>
        <v>3</v>
      </c>
      <c r="L58" s="5">
        <f>SUMIFS(tblGJ[Debit],tblGJ[Voucher No],tblBank[[#This Row],[Reference]],tblGJ[Account Code],tblBank[[#This Row],[Account Code]])-SUMIFS(tblGJ[Credit],tblGJ[Voucher No],tblBank[[#This Row],[Reference]],tblGJ[Account Code],tblBank[[#This Row],[Account Code]])</f>
        <v>493692</v>
      </c>
      <c r="M58" s="1" t="str">
        <f>IF(COUNTIFS(tblGJ[Voucher No],tblBank[[#This Row],[Reference]],tblGJ[Account Code],tblBank[[#This Row],[Account Code]])=0,"✖ Not in GJ",IF(ABS(tblBank[[#This Row],[GJ Amount]]-(tblBank[[#This Row],[Money In]]-tblBank[[#This Row],[Money Out]]))&lt;1,"✔ Recorded","⚠ Amount mismatch"))</f>
        <v>✔ Recorded</v>
      </c>
    </row>
    <row r="59" spans="2:13" x14ac:dyDescent="0.35">
      <c r="B59" s="4">
        <v>48</v>
      </c>
      <c r="C59" s="4" t="s">
        <v>6555</v>
      </c>
      <c r="D59" s="4">
        <v>1120</v>
      </c>
      <c r="E59" s="113">
        <v>46112</v>
      </c>
      <c r="F59" s="4" t="s">
        <v>6561</v>
      </c>
      <c r="G59" s="4" t="s">
        <v>5718</v>
      </c>
      <c r="H59" s="6">
        <v>0</v>
      </c>
      <c r="I59" s="6">
        <v>712602930</v>
      </c>
      <c r="J5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992601013</v>
      </c>
      <c r="K59" s="1">
        <f>MONTH(tblBank[[#This Row],[Value Date]])</f>
        <v>3</v>
      </c>
      <c r="L59" s="5">
        <f>SUMIFS(tblGJ[Debit],tblGJ[Voucher No],tblBank[[#This Row],[Reference]],tblGJ[Account Code],tblBank[[#This Row],[Account Code]])-SUMIFS(tblGJ[Credit],tblGJ[Voucher No],tblBank[[#This Row],[Reference]],tblGJ[Account Code],tblBank[[#This Row],[Account Code]])</f>
        <v>-712602930</v>
      </c>
      <c r="M59" s="1" t="str">
        <f>IF(COUNTIFS(tblGJ[Voucher No],tblBank[[#This Row],[Reference]],tblGJ[Account Code],tblBank[[#This Row],[Account Code]])=0,"✖ Not in GJ",IF(ABS(tblBank[[#This Row],[GJ Amount]]-(tblBank[[#This Row],[Money In]]-tblBank[[#This Row],[Money Out]]))&lt;1,"✔ Recorded","⚠ Amount mismatch"))</f>
        <v>✔ Recorded</v>
      </c>
    </row>
    <row r="60" spans="2:13" x14ac:dyDescent="0.35">
      <c r="B60" s="4">
        <v>49</v>
      </c>
      <c r="C60" s="4" t="s">
        <v>6555</v>
      </c>
      <c r="D60" s="4">
        <v>1120</v>
      </c>
      <c r="E60" s="113">
        <v>46112</v>
      </c>
      <c r="F60" s="4" t="s">
        <v>6571</v>
      </c>
      <c r="G60" s="4" t="s">
        <v>5725</v>
      </c>
      <c r="H60" s="6">
        <v>0</v>
      </c>
      <c r="I60" s="6">
        <v>98738</v>
      </c>
      <c r="J6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992502275</v>
      </c>
      <c r="K60" s="1">
        <f>MONTH(tblBank[[#This Row],[Value Date]])</f>
        <v>3</v>
      </c>
      <c r="L60" s="5">
        <f>SUMIFS(tblGJ[Debit],tblGJ[Voucher No],tblBank[[#This Row],[Reference]],tblGJ[Account Code],tblBank[[#This Row],[Account Code]])-SUMIFS(tblGJ[Credit],tblGJ[Voucher No],tblBank[[#This Row],[Reference]],tblGJ[Account Code],tblBank[[#This Row],[Account Code]])</f>
        <v>-98738</v>
      </c>
      <c r="M60" s="1" t="str">
        <f>IF(COUNTIFS(tblGJ[Voucher No],tblBank[[#This Row],[Reference]],tblGJ[Account Code],tblBank[[#This Row],[Account Code]])=0,"✖ Not in GJ",IF(ABS(tblBank[[#This Row],[GJ Amount]]-(tblBank[[#This Row],[Money In]]-tblBank[[#This Row],[Money Out]]))&lt;1,"✔ Recorded","⚠ Amount mismatch"))</f>
        <v>✔ Recorded</v>
      </c>
    </row>
    <row r="61" spans="2:13" x14ac:dyDescent="0.35">
      <c r="B61" s="4">
        <v>50</v>
      </c>
      <c r="C61" s="4" t="s">
        <v>6555</v>
      </c>
      <c r="D61" s="4">
        <v>1120</v>
      </c>
      <c r="E61" s="113">
        <v>46112</v>
      </c>
      <c r="F61" s="4" t="s">
        <v>6572</v>
      </c>
      <c r="G61" s="4" t="s">
        <v>5726</v>
      </c>
      <c r="H61" s="6">
        <v>0</v>
      </c>
      <c r="I61" s="6">
        <v>150000</v>
      </c>
      <c r="J6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992352275</v>
      </c>
      <c r="K61" s="1">
        <f>MONTH(tblBank[[#This Row],[Value Date]])</f>
        <v>3</v>
      </c>
      <c r="L61" s="5">
        <f>SUMIFS(tblGJ[Debit],tblGJ[Voucher No],tblBank[[#This Row],[Reference]],tblGJ[Account Code],tblBank[[#This Row],[Account Code]])-SUMIFS(tblGJ[Credit],tblGJ[Voucher No],tblBank[[#This Row],[Reference]],tblGJ[Account Code],tblBank[[#This Row],[Account Code]])</f>
        <v>-150000</v>
      </c>
      <c r="M61" s="1" t="str">
        <f>IF(COUNTIFS(tblGJ[Voucher No],tblBank[[#This Row],[Reference]],tblGJ[Account Code],tblBank[[#This Row],[Account Code]])=0,"✖ Not in GJ",IF(ABS(tblBank[[#This Row],[GJ Amount]]-(tblBank[[#This Row],[Money In]]-tblBank[[#This Row],[Money Out]]))&lt;1,"✔ Recorded","⚠ Amount mismatch"))</f>
        <v>✔ Recorded</v>
      </c>
    </row>
    <row r="62" spans="2:13" x14ac:dyDescent="0.35">
      <c r="B62" s="4">
        <v>51</v>
      </c>
      <c r="C62" s="4" t="s">
        <v>6555</v>
      </c>
      <c r="D62" s="4">
        <v>1120</v>
      </c>
      <c r="E62" s="113">
        <v>46122</v>
      </c>
      <c r="F62" s="4" t="s">
        <v>6556</v>
      </c>
      <c r="G62" s="4" t="s">
        <v>5730</v>
      </c>
      <c r="H62" s="6">
        <v>0</v>
      </c>
      <c r="I62" s="6">
        <v>42979692</v>
      </c>
      <c r="J6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949372583</v>
      </c>
      <c r="K62" s="1">
        <f>MONTH(tblBank[[#This Row],[Value Date]])</f>
        <v>4</v>
      </c>
      <c r="L62" s="5">
        <f>SUMIFS(tblGJ[Debit],tblGJ[Voucher No],tblBank[[#This Row],[Reference]],tblGJ[Account Code],tblBank[[#This Row],[Account Code]])-SUMIFS(tblGJ[Credit],tblGJ[Voucher No],tblBank[[#This Row],[Reference]],tblGJ[Account Code],tblBank[[#This Row],[Account Code]])</f>
        <v>-42979692</v>
      </c>
      <c r="M62" s="1" t="str">
        <f>IF(COUNTIFS(tblGJ[Voucher No],tblBank[[#This Row],[Reference]],tblGJ[Account Code],tblBank[[#This Row],[Account Code]])=0,"✖ Not in GJ",IF(ABS(tblBank[[#This Row],[GJ Amount]]-(tblBank[[#This Row],[Money In]]-tblBank[[#This Row],[Money Out]]))&lt;1,"✔ Recorded","⚠ Amount mismatch"))</f>
        <v>✔ Recorded</v>
      </c>
    </row>
    <row r="63" spans="2:13" x14ac:dyDescent="0.35">
      <c r="B63" s="4">
        <v>52</v>
      </c>
      <c r="C63" s="4" t="s">
        <v>6555</v>
      </c>
      <c r="D63" s="4">
        <v>1120</v>
      </c>
      <c r="E63" s="113">
        <v>46122</v>
      </c>
      <c r="F63" s="4" t="s">
        <v>6557</v>
      </c>
      <c r="G63" s="4" t="s">
        <v>5731</v>
      </c>
      <c r="H63" s="6">
        <v>0</v>
      </c>
      <c r="I63" s="6">
        <v>22077790</v>
      </c>
      <c r="J6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927294793</v>
      </c>
      <c r="K63" s="1">
        <f>MONTH(tblBank[[#This Row],[Value Date]])</f>
        <v>4</v>
      </c>
      <c r="L63" s="5">
        <f>SUMIFS(tblGJ[Debit],tblGJ[Voucher No],tblBank[[#This Row],[Reference]],tblGJ[Account Code],tblBank[[#This Row],[Account Code]])-SUMIFS(tblGJ[Credit],tblGJ[Voucher No],tblBank[[#This Row],[Reference]],tblGJ[Account Code],tblBank[[#This Row],[Account Code]])</f>
        <v>-22077790</v>
      </c>
      <c r="M63" s="1" t="str">
        <f>IF(COUNTIFS(tblGJ[Voucher No],tblBank[[#This Row],[Reference]],tblGJ[Account Code],tblBank[[#This Row],[Account Code]])=0,"✖ Not in GJ",IF(ABS(tblBank[[#This Row],[GJ Amount]]-(tblBank[[#This Row],[Money In]]-tblBank[[#This Row],[Money Out]]))&lt;1,"✔ Recorded","⚠ Amount mismatch"))</f>
        <v>✔ Recorded</v>
      </c>
    </row>
    <row r="64" spans="2:13" x14ac:dyDescent="0.35">
      <c r="B64" s="4">
        <v>53</v>
      </c>
      <c r="C64" s="4" t="s">
        <v>6555</v>
      </c>
      <c r="D64" s="4">
        <v>1120</v>
      </c>
      <c r="E64" s="113">
        <v>46127</v>
      </c>
      <c r="F64" s="4" t="s">
        <v>6559</v>
      </c>
      <c r="G64" s="4" t="s">
        <v>5732</v>
      </c>
      <c r="H64" s="6">
        <v>0</v>
      </c>
      <c r="I64" s="6">
        <v>1199420</v>
      </c>
      <c r="J6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926095373</v>
      </c>
      <c r="K64" s="1">
        <f>MONTH(tblBank[[#This Row],[Value Date]])</f>
        <v>4</v>
      </c>
      <c r="L64" s="5">
        <f>SUMIFS(tblGJ[Debit],tblGJ[Voucher No],tblBank[[#This Row],[Reference]],tblGJ[Account Code],tblBank[[#This Row],[Account Code]])-SUMIFS(tblGJ[Credit],tblGJ[Voucher No],tblBank[[#This Row],[Reference]],tblGJ[Account Code],tblBank[[#This Row],[Account Code]])</f>
        <v>-1199420</v>
      </c>
      <c r="M64" s="1" t="str">
        <f>IF(COUNTIFS(tblGJ[Voucher No],tblBank[[#This Row],[Reference]],tblGJ[Account Code],tblBank[[#This Row],[Account Code]])=0,"✖ Not in GJ",IF(ABS(tblBank[[#This Row],[GJ Amount]]-(tblBank[[#This Row],[Money In]]-tblBank[[#This Row],[Money Out]]))&lt;1,"✔ Recorded","⚠ Amount mismatch"))</f>
        <v>✔ Recorded</v>
      </c>
    </row>
    <row r="65" spans="2:13" x14ac:dyDescent="0.35">
      <c r="B65" s="4">
        <v>54</v>
      </c>
      <c r="C65" s="4" t="s">
        <v>6555</v>
      </c>
      <c r="D65" s="4">
        <v>1120</v>
      </c>
      <c r="E65" s="113">
        <v>46127</v>
      </c>
      <c r="F65" s="4" t="s">
        <v>6560</v>
      </c>
      <c r="G65" s="4" t="s">
        <v>5733</v>
      </c>
      <c r="H65" s="6">
        <v>0</v>
      </c>
      <c r="I65" s="6">
        <v>20000000</v>
      </c>
      <c r="J6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906095373</v>
      </c>
      <c r="K65" s="1">
        <f>MONTH(tblBank[[#This Row],[Value Date]])</f>
        <v>4</v>
      </c>
      <c r="L65" s="5">
        <f>SUMIFS(tblGJ[Debit],tblGJ[Voucher No],tblBank[[#This Row],[Reference]],tblGJ[Account Code],tblBank[[#This Row],[Account Code]])-SUMIFS(tblGJ[Credit],tblGJ[Voucher No],tblBank[[#This Row],[Reference]],tblGJ[Account Code],tblBank[[#This Row],[Account Code]])</f>
        <v>-20000000</v>
      </c>
      <c r="M65" s="1" t="str">
        <f>IF(COUNTIFS(tblGJ[Voucher No],tblBank[[#This Row],[Reference]],tblGJ[Account Code],tblBank[[#This Row],[Account Code]])=0,"✖ Not in GJ",IF(ABS(tblBank[[#This Row],[GJ Amount]]-(tblBank[[#This Row],[Money In]]-tblBank[[#This Row],[Money Out]]))&lt;1,"✔ Recorded","⚠ Amount mismatch"))</f>
        <v>✔ Recorded</v>
      </c>
    </row>
    <row r="66" spans="2:13" x14ac:dyDescent="0.35">
      <c r="B66" s="4">
        <v>55</v>
      </c>
      <c r="C66" s="4" t="s">
        <v>6555</v>
      </c>
      <c r="D66" s="4">
        <v>1120</v>
      </c>
      <c r="E66" s="113">
        <v>46132</v>
      </c>
      <c r="F66" s="4" t="s">
        <v>6562</v>
      </c>
      <c r="G66" s="4" t="s">
        <v>5734</v>
      </c>
      <c r="H66" s="6">
        <v>1047529200</v>
      </c>
      <c r="I66" s="6">
        <v>0</v>
      </c>
      <c r="J6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1953624573</v>
      </c>
      <c r="K66" s="1">
        <f>MONTH(tblBank[[#This Row],[Value Date]])</f>
        <v>4</v>
      </c>
      <c r="L66" s="5">
        <f>SUMIFS(tblGJ[Debit],tblGJ[Voucher No],tblBank[[#This Row],[Reference]],tblGJ[Account Code],tblBank[[#This Row],[Account Code]])-SUMIFS(tblGJ[Credit],tblGJ[Voucher No],tblBank[[#This Row],[Reference]],tblGJ[Account Code],tblBank[[#This Row],[Account Code]])</f>
        <v>1047529200</v>
      </c>
      <c r="M66" s="1" t="str">
        <f>IF(COUNTIFS(tblGJ[Voucher No],tblBank[[#This Row],[Reference]],tblGJ[Account Code],tblBank[[#This Row],[Account Code]])=0,"✖ Not in GJ",IF(ABS(tblBank[[#This Row],[GJ Amount]]-(tblBank[[#This Row],[Money In]]-tblBank[[#This Row],[Money Out]]))&lt;1,"✔ Recorded","⚠ Amount mismatch"))</f>
        <v>✔ Recorded</v>
      </c>
    </row>
    <row r="67" spans="2:13" x14ac:dyDescent="0.35">
      <c r="B67" s="4">
        <v>56</v>
      </c>
      <c r="C67" s="4" t="s">
        <v>6555</v>
      </c>
      <c r="D67" s="4">
        <v>1120</v>
      </c>
      <c r="E67" s="113">
        <v>46136</v>
      </c>
      <c r="F67" s="4" t="s">
        <v>6563</v>
      </c>
      <c r="G67" s="4" t="s">
        <v>5735</v>
      </c>
      <c r="H67" s="6">
        <v>0</v>
      </c>
      <c r="I67" s="6">
        <v>161397799</v>
      </c>
      <c r="J6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1792226774</v>
      </c>
      <c r="K67" s="1">
        <f>MONTH(tblBank[[#This Row],[Value Date]])</f>
        <v>4</v>
      </c>
      <c r="L67" s="5">
        <f>SUMIFS(tblGJ[Debit],tblGJ[Voucher No],tblBank[[#This Row],[Reference]],tblGJ[Account Code],tblBank[[#This Row],[Account Code]])-SUMIFS(tblGJ[Credit],tblGJ[Voucher No],tblBank[[#This Row],[Reference]],tblGJ[Account Code],tblBank[[#This Row],[Account Code]])</f>
        <v>-161397799</v>
      </c>
      <c r="M67" s="1" t="str">
        <f>IF(COUNTIFS(tblGJ[Voucher No],tblBank[[#This Row],[Reference]],tblGJ[Account Code],tblBank[[#This Row],[Account Code]])=0,"✖ Not in GJ",IF(ABS(tblBank[[#This Row],[GJ Amount]]-(tblBank[[#This Row],[Money In]]-tblBank[[#This Row],[Money Out]]))&lt;1,"✔ Recorded","⚠ Amount mismatch"))</f>
        <v>✔ Recorded</v>
      </c>
    </row>
    <row r="68" spans="2:13" x14ac:dyDescent="0.35">
      <c r="B68" s="4">
        <v>57</v>
      </c>
      <c r="C68" s="4" t="s">
        <v>6555</v>
      </c>
      <c r="D68" s="4">
        <v>1120</v>
      </c>
      <c r="E68" s="113">
        <v>46140</v>
      </c>
      <c r="F68" s="4" t="s">
        <v>6564</v>
      </c>
      <c r="G68" s="4" t="s">
        <v>5737</v>
      </c>
      <c r="H68" s="6">
        <v>0</v>
      </c>
      <c r="I68" s="6">
        <v>43483770</v>
      </c>
      <c r="J6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1748743004</v>
      </c>
      <c r="K68" s="1">
        <f>MONTH(tblBank[[#This Row],[Value Date]])</f>
        <v>4</v>
      </c>
      <c r="L68" s="5">
        <f>SUMIFS(tblGJ[Debit],tblGJ[Voucher No],tblBank[[#This Row],[Reference]],tblGJ[Account Code],tblBank[[#This Row],[Account Code]])-SUMIFS(tblGJ[Credit],tblGJ[Voucher No],tblBank[[#This Row],[Reference]],tblGJ[Account Code],tblBank[[#This Row],[Account Code]])</f>
        <v>-43483770</v>
      </c>
      <c r="M68" s="1" t="str">
        <f>IF(COUNTIFS(tblGJ[Voucher No],tblBank[[#This Row],[Reference]],tblGJ[Account Code],tblBank[[#This Row],[Account Code]])=0,"✖ Not in GJ",IF(ABS(tblBank[[#This Row],[GJ Amount]]-(tblBank[[#This Row],[Money In]]-tblBank[[#This Row],[Money Out]]))&lt;1,"✔ Recorded","⚠ Amount mismatch"))</f>
        <v>✔ Recorded</v>
      </c>
    </row>
    <row r="69" spans="2:13" x14ac:dyDescent="0.35">
      <c r="B69" s="4">
        <v>58</v>
      </c>
      <c r="C69" s="4" t="s">
        <v>6555</v>
      </c>
      <c r="D69" s="4">
        <v>1120</v>
      </c>
      <c r="E69" s="113">
        <v>46140</v>
      </c>
      <c r="F69" s="4" t="s">
        <v>6565</v>
      </c>
      <c r="G69" s="4" t="s">
        <v>5738</v>
      </c>
      <c r="H69" s="6">
        <v>0</v>
      </c>
      <c r="I69" s="6">
        <v>35687500</v>
      </c>
      <c r="J6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1713055504</v>
      </c>
      <c r="K69" s="1">
        <f>MONTH(tblBank[[#This Row],[Value Date]])</f>
        <v>4</v>
      </c>
      <c r="L69" s="5">
        <f>SUMIFS(tblGJ[Debit],tblGJ[Voucher No],tblBank[[#This Row],[Reference]],tblGJ[Account Code],tblBank[[#This Row],[Account Code]])-SUMIFS(tblGJ[Credit],tblGJ[Voucher No],tblBank[[#This Row],[Reference]],tblGJ[Account Code],tblBank[[#This Row],[Account Code]])</f>
        <v>-35687500</v>
      </c>
      <c r="M69" s="1" t="str">
        <f>IF(COUNTIFS(tblGJ[Voucher No],tblBank[[#This Row],[Reference]],tblGJ[Account Code],tblBank[[#This Row],[Account Code]])=0,"✖ Not in GJ",IF(ABS(tblBank[[#This Row],[GJ Amount]]-(tblBank[[#This Row],[Money In]]-tblBank[[#This Row],[Money Out]]))&lt;1,"✔ Recorded","⚠ Amount mismatch"))</f>
        <v>✔ Recorded</v>
      </c>
    </row>
    <row r="70" spans="2:13" x14ac:dyDescent="0.35">
      <c r="B70" s="4">
        <v>59</v>
      </c>
      <c r="C70" s="4" t="s">
        <v>6555</v>
      </c>
      <c r="D70" s="4">
        <v>1120</v>
      </c>
      <c r="E70" s="113">
        <v>46140</v>
      </c>
      <c r="F70" s="4" t="s">
        <v>6566</v>
      </c>
      <c r="G70" s="4" t="s">
        <v>5739</v>
      </c>
      <c r="H70" s="6">
        <v>0</v>
      </c>
      <c r="I70" s="6">
        <v>2500000</v>
      </c>
      <c r="J7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1710555504</v>
      </c>
      <c r="K70" s="1">
        <f>MONTH(tblBank[[#This Row],[Value Date]])</f>
        <v>4</v>
      </c>
      <c r="L70" s="5">
        <f>SUMIFS(tblGJ[Debit],tblGJ[Voucher No],tblBank[[#This Row],[Reference]],tblGJ[Account Code],tblBank[[#This Row],[Account Code]])-SUMIFS(tblGJ[Credit],tblGJ[Voucher No],tblBank[[#This Row],[Reference]],tblGJ[Account Code],tblBank[[#This Row],[Account Code]])</f>
        <v>-2500000</v>
      </c>
      <c r="M70" s="1" t="str">
        <f>IF(COUNTIFS(tblGJ[Voucher No],tblBank[[#This Row],[Reference]],tblGJ[Account Code],tblBank[[#This Row],[Account Code]])=0,"✖ Not in GJ",IF(ABS(tblBank[[#This Row],[GJ Amount]]-(tblBank[[#This Row],[Money In]]-tblBank[[#This Row],[Money Out]]))&lt;1,"✔ Recorded","⚠ Amount mismatch"))</f>
        <v>✔ Recorded</v>
      </c>
    </row>
    <row r="71" spans="2:13" x14ac:dyDescent="0.35">
      <c r="B71" s="4">
        <v>60</v>
      </c>
      <c r="C71" s="4" t="s">
        <v>6555</v>
      </c>
      <c r="D71" s="4">
        <v>1120</v>
      </c>
      <c r="E71" s="113">
        <v>46140</v>
      </c>
      <c r="F71" s="4" t="s">
        <v>6573</v>
      </c>
      <c r="G71" s="4" t="s">
        <v>5740</v>
      </c>
      <c r="H71" s="6">
        <v>0</v>
      </c>
      <c r="I71" s="6">
        <v>60000000</v>
      </c>
      <c r="J7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1650555504</v>
      </c>
      <c r="K71" s="1">
        <f>MONTH(tblBank[[#This Row],[Value Date]])</f>
        <v>4</v>
      </c>
      <c r="L71" s="5">
        <f>SUMIFS(tblGJ[Debit],tblGJ[Voucher No],tblBank[[#This Row],[Reference]],tblGJ[Account Code],tblBank[[#This Row],[Account Code]])-SUMIFS(tblGJ[Credit],tblGJ[Voucher No],tblBank[[#This Row],[Reference]],tblGJ[Account Code],tblBank[[#This Row],[Account Code]])</f>
        <v>-60000000</v>
      </c>
      <c r="M71" s="1" t="str">
        <f>IF(COUNTIFS(tblGJ[Voucher No],tblBank[[#This Row],[Reference]],tblGJ[Account Code],tblBank[[#This Row],[Account Code]])=0,"✖ Not in GJ",IF(ABS(tblBank[[#This Row],[GJ Amount]]-(tblBank[[#This Row],[Money In]]-tblBank[[#This Row],[Money Out]]))&lt;1,"✔ Recorded","⚠ Amount mismatch"))</f>
        <v>✔ Recorded</v>
      </c>
    </row>
    <row r="72" spans="2:13" x14ac:dyDescent="0.35">
      <c r="B72" s="4">
        <v>61</v>
      </c>
      <c r="C72" s="4" t="s">
        <v>6555</v>
      </c>
      <c r="D72" s="4">
        <v>1120</v>
      </c>
      <c r="E72" s="113">
        <v>46142</v>
      </c>
      <c r="F72" s="4" t="s">
        <v>6567</v>
      </c>
      <c r="G72" s="4" t="s">
        <v>5741</v>
      </c>
      <c r="H72" s="6">
        <v>215184600</v>
      </c>
      <c r="I72" s="6">
        <v>0</v>
      </c>
      <c r="J7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1865740104</v>
      </c>
      <c r="K72" s="1">
        <f>MONTH(tblBank[[#This Row],[Value Date]])</f>
        <v>4</v>
      </c>
      <c r="L72" s="5">
        <f>SUMIFS(tblGJ[Debit],tblGJ[Voucher No],tblBank[[#This Row],[Reference]],tblGJ[Account Code],tblBank[[#This Row],[Account Code]])-SUMIFS(tblGJ[Credit],tblGJ[Voucher No],tblBank[[#This Row],[Reference]],tblGJ[Account Code],tblBank[[#This Row],[Account Code]])</f>
        <v>215184600</v>
      </c>
      <c r="M72" s="1" t="str">
        <f>IF(COUNTIFS(tblGJ[Voucher No],tblBank[[#This Row],[Reference]],tblGJ[Account Code],tblBank[[#This Row],[Account Code]])=0,"✖ Not in GJ",IF(ABS(tblBank[[#This Row],[GJ Amount]]-(tblBank[[#This Row],[Money In]]-tblBank[[#This Row],[Money Out]]))&lt;1,"✔ Recorded","⚠ Amount mismatch"))</f>
        <v>✔ Recorded</v>
      </c>
    </row>
    <row r="73" spans="2:13" x14ac:dyDescent="0.35">
      <c r="B73" s="4">
        <v>62</v>
      </c>
      <c r="C73" s="4" t="s">
        <v>6555</v>
      </c>
      <c r="D73" s="4">
        <v>1120</v>
      </c>
      <c r="E73" s="113">
        <v>46142</v>
      </c>
      <c r="F73" s="4" t="s">
        <v>6568</v>
      </c>
      <c r="G73" s="4" t="s">
        <v>5743</v>
      </c>
      <c r="H73" s="6">
        <v>135875100</v>
      </c>
      <c r="I73" s="6">
        <v>0</v>
      </c>
      <c r="J7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2001615204</v>
      </c>
      <c r="K73" s="1">
        <f>MONTH(tblBank[[#This Row],[Value Date]])</f>
        <v>4</v>
      </c>
      <c r="L73" s="5">
        <f>SUMIFS(tblGJ[Debit],tblGJ[Voucher No],tblBank[[#This Row],[Reference]],tblGJ[Account Code],tblBank[[#This Row],[Account Code]])-SUMIFS(tblGJ[Credit],tblGJ[Voucher No],tblBank[[#This Row],[Reference]],tblGJ[Account Code],tblBank[[#This Row],[Account Code]])</f>
        <v>135875100</v>
      </c>
      <c r="M73" s="1" t="str">
        <f>IF(COUNTIFS(tblGJ[Voucher No],tblBank[[#This Row],[Reference]],tblGJ[Account Code],tblBank[[#This Row],[Account Code]])=0,"✖ Not in GJ",IF(ABS(tblBank[[#This Row],[GJ Amount]]-(tblBank[[#This Row],[Money In]]-tblBank[[#This Row],[Money Out]]))&lt;1,"✔ Recorded","⚠ Amount mismatch"))</f>
        <v>✔ Recorded</v>
      </c>
    </row>
    <row r="74" spans="2:13" x14ac:dyDescent="0.35">
      <c r="B74" s="4">
        <v>63</v>
      </c>
      <c r="C74" s="4" t="s">
        <v>6555</v>
      </c>
      <c r="D74" s="4">
        <v>1120</v>
      </c>
      <c r="E74" s="113">
        <v>46142</v>
      </c>
      <c r="F74" s="4" t="s">
        <v>6569</v>
      </c>
      <c r="G74" s="4" t="s">
        <v>5750</v>
      </c>
      <c r="H74" s="6">
        <v>1333333</v>
      </c>
      <c r="I74" s="6">
        <v>0</v>
      </c>
      <c r="J7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2002948537</v>
      </c>
      <c r="K74" s="1">
        <f>MONTH(tblBank[[#This Row],[Value Date]])</f>
        <v>4</v>
      </c>
      <c r="L74" s="5">
        <f>SUMIFS(tblGJ[Debit],tblGJ[Voucher No],tblBank[[#This Row],[Reference]],tblGJ[Account Code],tblBank[[#This Row],[Account Code]])-SUMIFS(tblGJ[Credit],tblGJ[Voucher No],tblBank[[#This Row],[Reference]],tblGJ[Account Code],tblBank[[#This Row],[Account Code]])</f>
        <v>1333333</v>
      </c>
      <c r="M74" s="1" t="str">
        <f>IF(COUNTIFS(tblGJ[Voucher No],tblBank[[#This Row],[Reference]],tblGJ[Account Code],tblBank[[#This Row],[Account Code]])=0,"✖ Not in GJ",IF(ABS(tblBank[[#This Row],[GJ Amount]]-(tblBank[[#This Row],[Money In]]-tblBank[[#This Row],[Money Out]]))&lt;1,"✔ Recorded","⚠ Amount mismatch"))</f>
        <v>✔ Recorded</v>
      </c>
    </row>
    <row r="75" spans="2:13" x14ac:dyDescent="0.35">
      <c r="B75" s="4">
        <v>64</v>
      </c>
      <c r="C75" s="4" t="s">
        <v>6555</v>
      </c>
      <c r="D75" s="4">
        <v>1120</v>
      </c>
      <c r="E75" s="113">
        <v>46142</v>
      </c>
      <c r="F75" s="4" t="s">
        <v>6570</v>
      </c>
      <c r="G75" s="4" t="s">
        <v>5751</v>
      </c>
      <c r="H75" s="6">
        <v>424147</v>
      </c>
      <c r="I75" s="6">
        <v>0</v>
      </c>
      <c r="J7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2003372684</v>
      </c>
      <c r="K75" s="1">
        <f>MONTH(tblBank[[#This Row],[Value Date]])</f>
        <v>4</v>
      </c>
      <c r="L75" s="5">
        <f>SUMIFS(tblGJ[Debit],tblGJ[Voucher No],tblBank[[#This Row],[Reference]],tblGJ[Account Code],tblBank[[#This Row],[Account Code]])-SUMIFS(tblGJ[Credit],tblGJ[Voucher No],tblBank[[#This Row],[Reference]],tblGJ[Account Code],tblBank[[#This Row],[Account Code]])</f>
        <v>424147</v>
      </c>
      <c r="M75" s="1" t="str">
        <f>IF(COUNTIFS(tblGJ[Voucher No],tblBank[[#This Row],[Reference]],tblGJ[Account Code],tblBank[[#This Row],[Account Code]])=0,"✖ Not in GJ",IF(ABS(tblBank[[#This Row],[GJ Amount]]-(tblBank[[#This Row],[Money In]]-tblBank[[#This Row],[Money Out]]))&lt;1,"✔ Recorded","⚠ Amount mismatch"))</f>
        <v>✔ Recorded</v>
      </c>
    </row>
    <row r="76" spans="2:13" x14ac:dyDescent="0.35">
      <c r="B76" s="4">
        <v>65</v>
      </c>
      <c r="C76" s="4" t="s">
        <v>6555</v>
      </c>
      <c r="D76" s="4">
        <v>1120</v>
      </c>
      <c r="E76" s="113">
        <v>46142</v>
      </c>
      <c r="F76" s="4" t="s">
        <v>6561</v>
      </c>
      <c r="G76" s="4" t="s">
        <v>5745</v>
      </c>
      <c r="H76" s="6">
        <v>0</v>
      </c>
      <c r="I76" s="6">
        <v>1226192220</v>
      </c>
      <c r="J7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777180464</v>
      </c>
      <c r="K76" s="1">
        <f>MONTH(tblBank[[#This Row],[Value Date]])</f>
        <v>4</v>
      </c>
      <c r="L76" s="5">
        <f>SUMIFS(tblGJ[Debit],tblGJ[Voucher No],tblBank[[#This Row],[Reference]],tblGJ[Account Code],tblBank[[#This Row],[Account Code]])-SUMIFS(tblGJ[Credit],tblGJ[Voucher No],tblBank[[#This Row],[Reference]],tblGJ[Account Code],tblBank[[#This Row],[Account Code]])</f>
        <v>-1226192220</v>
      </c>
      <c r="M76" s="1" t="str">
        <f>IF(COUNTIFS(tblGJ[Voucher No],tblBank[[#This Row],[Reference]],tblGJ[Account Code],tblBank[[#This Row],[Account Code]])=0,"✖ Not in GJ",IF(ABS(tblBank[[#This Row],[GJ Amount]]-(tblBank[[#This Row],[Money In]]-tblBank[[#This Row],[Money Out]]))&lt;1,"✔ Recorded","⚠ Amount mismatch"))</f>
        <v>✔ Recorded</v>
      </c>
    </row>
    <row r="77" spans="2:13" x14ac:dyDescent="0.35">
      <c r="B77" s="4">
        <v>66</v>
      </c>
      <c r="C77" s="4" t="s">
        <v>6555</v>
      </c>
      <c r="D77" s="4">
        <v>1120</v>
      </c>
      <c r="E77" s="113">
        <v>46142</v>
      </c>
      <c r="F77" s="4" t="s">
        <v>6571</v>
      </c>
      <c r="G77" s="4" t="s">
        <v>5752</v>
      </c>
      <c r="H77" s="6">
        <v>0</v>
      </c>
      <c r="I77" s="6">
        <v>84829</v>
      </c>
      <c r="J7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777095635</v>
      </c>
      <c r="K77" s="1">
        <f>MONTH(tblBank[[#This Row],[Value Date]])</f>
        <v>4</v>
      </c>
      <c r="L77" s="5">
        <f>SUMIFS(tblGJ[Debit],tblGJ[Voucher No],tblBank[[#This Row],[Reference]],tblGJ[Account Code],tblBank[[#This Row],[Account Code]])-SUMIFS(tblGJ[Credit],tblGJ[Voucher No],tblBank[[#This Row],[Reference]],tblGJ[Account Code],tblBank[[#This Row],[Account Code]])</f>
        <v>-84829</v>
      </c>
      <c r="M77" s="1" t="str">
        <f>IF(COUNTIFS(tblGJ[Voucher No],tblBank[[#This Row],[Reference]],tblGJ[Account Code],tblBank[[#This Row],[Account Code]])=0,"✖ Not in GJ",IF(ABS(tblBank[[#This Row],[GJ Amount]]-(tblBank[[#This Row],[Money In]]-tblBank[[#This Row],[Money Out]]))&lt;1,"✔ Recorded","⚠ Amount mismatch"))</f>
        <v>✔ Recorded</v>
      </c>
    </row>
    <row r="78" spans="2:13" x14ac:dyDescent="0.35">
      <c r="B78" s="4">
        <v>67</v>
      </c>
      <c r="C78" s="4" t="s">
        <v>6555</v>
      </c>
      <c r="D78" s="4">
        <v>1120</v>
      </c>
      <c r="E78" s="113">
        <v>46142</v>
      </c>
      <c r="F78" s="4" t="s">
        <v>6572</v>
      </c>
      <c r="G78" s="4" t="s">
        <v>5753</v>
      </c>
      <c r="H78" s="6">
        <v>0</v>
      </c>
      <c r="I78" s="6">
        <v>150000</v>
      </c>
      <c r="J7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776945635</v>
      </c>
      <c r="K78" s="1">
        <f>MONTH(tblBank[[#This Row],[Value Date]])</f>
        <v>4</v>
      </c>
      <c r="L78" s="5">
        <f>SUMIFS(tblGJ[Debit],tblGJ[Voucher No],tblBank[[#This Row],[Reference]],tblGJ[Account Code],tblBank[[#This Row],[Account Code]])-SUMIFS(tblGJ[Credit],tblGJ[Voucher No],tblBank[[#This Row],[Reference]],tblGJ[Account Code],tblBank[[#This Row],[Account Code]])</f>
        <v>-150000</v>
      </c>
      <c r="M78" s="1" t="str">
        <f>IF(COUNTIFS(tblGJ[Voucher No],tblBank[[#This Row],[Reference]],tblGJ[Account Code],tblBank[[#This Row],[Account Code]])=0,"✖ Not in GJ",IF(ABS(tblBank[[#This Row],[GJ Amount]]-(tblBank[[#This Row],[Money In]]-tblBank[[#This Row],[Money Out]]))&lt;1,"✔ Recorded","⚠ Amount mismatch"))</f>
        <v>✔ Recorded</v>
      </c>
    </row>
    <row r="79" spans="2:13" x14ac:dyDescent="0.35">
      <c r="B79" s="4">
        <v>68</v>
      </c>
      <c r="C79" s="4" t="s">
        <v>6555</v>
      </c>
      <c r="D79" s="4">
        <v>1120</v>
      </c>
      <c r="E79" s="113">
        <v>46152</v>
      </c>
      <c r="F79" s="4" t="s">
        <v>6556</v>
      </c>
      <c r="G79" s="4" t="s">
        <v>5757</v>
      </c>
      <c r="H79" s="6">
        <v>0</v>
      </c>
      <c r="I79" s="6">
        <v>10516831</v>
      </c>
      <c r="J7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766428804</v>
      </c>
      <c r="K79" s="1">
        <f>MONTH(tblBank[[#This Row],[Value Date]])</f>
        <v>5</v>
      </c>
      <c r="L79" s="5">
        <f>SUMIFS(tblGJ[Debit],tblGJ[Voucher No],tblBank[[#This Row],[Reference]],tblGJ[Account Code],tblBank[[#This Row],[Account Code]])-SUMIFS(tblGJ[Credit],tblGJ[Voucher No],tblBank[[#This Row],[Reference]],tblGJ[Account Code],tblBank[[#This Row],[Account Code]])</f>
        <v>-10516831</v>
      </c>
      <c r="M79" s="1" t="str">
        <f>IF(COUNTIFS(tblGJ[Voucher No],tblBank[[#This Row],[Reference]],tblGJ[Account Code],tblBank[[#This Row],[Account Code]])=0,"✖ Not in GJ",IF(ABS(tblBank[[#This Row],[GJ Amount]]-(tblBank[[#This Row],[Money In]]-tblBank[[#This Row],[Money Out]]))&lt;1,"✔ Recorded","⚠ Amount mismatch"))</f>
        <v>✔ Recorded</v>
      </c>
    </row>
    <row r="80" spans="2:13" x14ac:dyDescent="0.35">
      <c r="B80" s="4">
        <v>69</v>
      </c>
      <c r="C80" s="4" t="s">
        <v>6555</v>
      </c>
      <c r="D80" s="4">
        <v>1120</v>
      </c>
      <c r="E80" s="113">
        <v>46152</v>
      </c>
      <c r="F80" s="4" t="s">
        <v>6557</v>
      </c>
      <c r="G80" s="4" t="s">
        <v>5758</v>
      </c>
      <c r="H80" s="6">
        <v>0</v>
      </c>
      <c r="I80" s="6">
        <v>22077790</v>
      </c>
      <c r="J8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744351014</v>
      </c>
      <c r="K80" s="1">
        <f>MONTH(tblBank[[#This Row],[Value Date]])</f>
        <v>5</v>
      </c>
      <c r="L80" s="5">
        <f>SUMIFS(tblGJ[Debit],tblGJ[Voucher No],tblBank[[#This Row],[Reference]],tblGJ[Account Code],tblBank[[#This Row],[Account Code]])-SUMIFS(tblGJ[Credit],tblGJ[Voucher No],tblBank[[#This Row],[Reference]],tblGJ[Account Code],tblBank[[#This Row],[Account Code]])</f>
        <v>-22077790</v>
      </c>
      <c r="M80" s="1" t="str">
        <f>IF(COUNTIFS(tblGJ[Voucher No],tblBank[[#This Row],[Reference]],tblGJ[Account Code],tblBank[[#This Row],[Account Code]])=0,"✖ Not in GJ",IF(ABS(tblBank[[#This Row],[GJ Amount]]-(tblBank[[#This Row],[Money In]]-tblBank[[#This Row],[Money Out]]))&lt;1,"✔ Recorded","⚠ Amount mismatch"))</f>
        <v>✔ Recorded</v>
      </c>
    </row>
    <row r="81" spans="2:13" x14ac:dyDescent="0.35">
      <c r="B81" s="4">
        <v>70</v>
      </c>
      <c r="C81" s="4" t="s">
        <v>6555</v>
      </c>
      <c r="D81" s="4">
        <v>1120</v>
      </c>
      <c r="E81" s="113">
        <v>46157</v>
      </c>
      <c r="F81" s="4" t="s">
        <v>6559</v>
      </c>
      <c r="G81" s="4" t="s">
        <v>5759</v>
      </c>
      <c r="H81" s="6">
        <v>0</v>
      </c>
      <c r="I81" s="6">
        <v>1897080</v>
      </c>
      <c r="J8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742453934</v>
      </c>
      <c r="K81" s="1">
        <f>MONTH(tblBank[[#This Row],[Value Date]])</f>
        <v>5</v>
      </c>
      <c r="L81" s="5">
        <f>SUMIFS(tblGJ[Debit],tblGJ[Voucher No],tblBank[[#This Row],[Reference]],tblGJ[Account Code],tblBank[[#This Row],[Account Code]])-SUMIFS(tblGJ[Credit],tblGJ[Voucher No],tblBank[[#This Row],[Reference]],tblGJ[Account Code],tblBank[[#This Row],[Account Code]])</f>
        <v>-1897080</v>
      </c>
      <c r="M81" s="1" t="str">
        <f>IF(COUNTIFS(tblGJ[Voucher No],tblBank[[#This Row],[Reference]],tblGJ[Account Code],tblBank[[#This Row],[Account Code]])=0,"✖ Not in GJ",IF(ABS(tblBank[[#This Row],[GJ Amount]]-(tblBank[[#This Row],[Money In]]-tblBank[[#This Row],[Money Out]]))&lt;1,"✔ Recorded","⚠ Amount mismatch"))</f>
        <v>✔ Recorded</v>
      </c>
    </row>
    <row r="82" spans="2:13" x14ac:dyDescent="0.35">
      <c r="B82" s="4">
        <v>71</v>
      </c>
      <c r="C82" s="4" t="s">
        <v>6555</v>
      </c>
      <c r="D82" s="4">
        <v>1120</v>
      </c>
      <c r="E82" s="113">
        <v>46157</v>
      </c>
      <c r="F82" s="4" t="s">
        <v>6560</v>
      </c>
      <c r="G82" s="4" t="s">
        <v>5760</v>
      </c>
      <c r="H82" s="6">
        <v>0</v>
      </c>
      <c r="I82" s="6">
        <v>20000000</v>
      </c>
      <c r="J8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722453934</v>
      </c>
      <c r="K82" s="1">
        <f>MONTH(tblBank[[#This Row],[Value Date]])</f>
        <v>5</v>
      </c>
      <c r="L82" s="5">
        <f>SUMIFS(tblGJ[Debit],tblGJ[Voucher No],tblBank[[#This Row],[Reference]],tblGJ[Account Code],tblBank[[#This Row],[Account Code]])-SUMIFS(tblGJ[Credit],tblGJ[Voucher No],tblBank[[#This Row],[Reference]],tblGJ[Account Code],tblBank[[#This Row],[Account Code]])</f>
        <v>-20000000</v>
      </c>
      <c r="M82" s="1" t="str">
        <f>IF(COUNTIFS(tblGJ[Voucher No],tblBank[[#This Row],[Reference]],tblGJ[Account Code],tblBank[[#This Row],[Account Code]])=0,"✖ Not in GJ",IF(ABS(tblBank[[#This Row],[GJ Amount]]-(tblBank[[#This Row],[Money In]]-tblBank[[#This Row],[Money Out]]))&lt;1,"✔ Recorded","⚠ Amount mismatch"))</f>
        <v>✔ Recorded</v>
      </c>
    </row>
    <row r="83" spans="2:13" x14ac:dyDescent="0.35">
      <c r="B83" s="4">
        <v>72</v>
      </c>
      <c r="C83" s="4" t="s">
        <v>6555</v>
      </c>
      <c r="D83" s="4">
        <v>1120</v>
      </c>
      <c r="E83" s="113">
        <v>46162</v>
      </c>
      <c r="F83" s="4" t="s">
        <v>6562</v>
      </c>
      <c r="G83" s="4" t="s">
        <v>5761</v>
      </c>
      <c r="H83" s="6">
        <v>865400400</v>
      </c>
      <c r="I83" s="6">
        <v>0</v>
      </c>
      <c r="J8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1587854334</v>
      </c>
      <c r="K83" s="1">
        <f>MONTH(tblBank[[#This Row],[Value Date]])</f>
        <v>5</v>
      </c>
      <c r="L83" s="5">
        <f>SUMIFS(tblGJ[Debit],tblGJ[Voucher No],tblBank[[#This Row],[Reference]],tblGJ[Account Code],tblBank[[#This Row],[Account Code]])-SUMIFS(tblGJ[Credit],tblGJ[Voucher No],tblBank[[#This Row],[Reference]],tblGJ[Account Code],tblBank[[#This Row],[Account Code]])</f>
        <v>865400400</v>
      </c>
      <c r="M83" s="1" t="str">
        <f>IF(COUNTIFS(tblGJ[Voucher No],tblBank[[#This Row],[Reference]],tblGJ[Account Code],tblBank[[#This Row],[Account Code]])=0,"✖ Not in GJ",IF(ABS(tblBank[[#This Row],[GJ Amount]]-(tblBank[[#This Row],[Money In]]-tblBank[[#This Row],[Money Out]]))&lt;1,"✔ Recorded","⚠ Amount mismatch"))</f>
        <v>✔ Recorded</v>
      </c>
    </row>
    <row r="84" spans="2:13" x14ac:dyDescent="0.35">
      <c r="B84" s="4">
        <v>73</v>
      </c>
      <c r="C84" s="4" t="s">
        <v>6555</v>
      </c>
      <c r="D84" s="4">
        <v>1120</v>
      </c>
      <c r="E84" s="113">
        <v>46166</v>
      </c>
      <c r="F84" s="4" t="s">
        <v>6563</v>
      </c>
      <c r="G84" s="4" t="s">
        <v>5762</v>
      </c>
      <c r="H84" s="6">
        <v>0</v>
      </c>
      <c r="I84" s="6">
        <v>161397799</v>
      </c>
      <c r="J8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1426456535</v>
      </c>
      <c r="K84" s="1">
        <f>MONTH(tblBank[[#This Row],[Value Date]])</f>
        <v>5</v>
      </c>
      <c r="L84" s="5">
        <f>SUMIFS(tblGJ[Debit],tblGJ[Voucher No],tblBank[[#This Row],[Reference]],tblGJ[Account Code],tblBank[[#This Row],[Account Code]])-SUMIFS(tblGJ[Credit],tblGJ[Voucher No],tblBank[[#This Row],[Reference]],tblGJ[Account Code],tblBank[[#This Row],[Account Code]])</f>
        <v>-161397799</v>
      </c>
      <c r="M84" s="1" t="str">
        <f>IF(COUNTIFS(tblGJ[Voucher No],tblBank[[#This Row],[Reference]],tblGJ[Account Code],tblBank[[#This Row],[Account Code]])=0,"✖ Not in GJ",IF(ABS(tblBank[[#This Row],[GJ Amount]]-(tblBank[[#This Row],[Money In]]-tblBank[[#This Row],[Money Out]]))&lt;1,"✔ Recorded","⚠ Amount mismatch"))</f>
        <v>✔ Recorded</v>
      </c>
    </row>
    <row r="85" spans="2:13" x14ac:dyDescent="0.35">
      <c r="B85" s="4">
        <v>74</v>
      </c>
      <c r="C85" s="4" t="s">
        <v>6555</v>
      </c>
      <c r="D85" s="4">
        <v>1120</v>
      </c>
      <c r="E85" s="113">
        <v>46170</v>
      </c>
      <c r="F85" s="4" t="s">
        <v>6564</v>
      </c>
      <c r="G85" s="4" t="s">
        <v>5764</v>
      </c>
      <c r="H85" s="6">
        <v>0</v>
      </c>
      <c r="I85" s="6">
        <v>45837770</v>
      </c>
      <c r="J8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1380618765</v>
      </c>
      <c r="K85" s="1">
        <f>MONTH(tblBank[[#This Row],[Value Date]])</f>
        <v>5</v>
      </c>
      <c r="L85" s="5">
        <f>SUMIFS(tblGJ[Debit],tblGJ[Voucher No],tblBank[[#This Row],[Reference]],tblGJ[Account Code],tblBank[[#This Row],[Account Code]])-SUMIFS(tblGJ[Credit],tblGJ[Voucher No],tblBank[[#This Row],[Reference]],tblGJ[Account Code],tblBank[[#This Row],[Account Code]])</f>
        <v>-45837770</v>
      </c>
      <c r="M85" s="1" t="str">
        <f>IF(COUNTIFS(tblGJ[Voucher No],tblBank[[#This Row],[Reference]],tblGJ[Account Code],tblBank[[#This Row],[Account Code]])=0,"✖ Not in GJ",IF(ABS(tblBank[[#This Row],[GJ Amount]]-(tblBank[[#This Row],[Money In]]-tblBank[[#This Row],[Money Out]]))&lt;1,"✔ Recorded","⚠ Amount mismatch"))</f>
        <v>✔ Recorded</v>
      </c>
    </row>
    <row r="86" spans="2:13" x14ac:dyDescent="0.35">
      <c r="B86" s="4">
        <v>75</v>
      </c>
      <c r="C86" s="4" t="s">
        <v>6555</v>
      </c>
      <c r="D86" s="4">
        <v>1120</v>
      </c>
      <c r="E86" s="113">
        <v>46170</v>
      </c>
      <c r="F86" s="4" t="s">
        <v>6565</v>
      </c>
      <c r="G86" s="4" t="s">
        <v>5765</v>
      </c>
      <c r="H86" s="6">
        <v>0</v>
      </c>
      <c r="I86" s="6">
        <v>35500000</v>
      </c>
      <c r="J8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1345118765</v>
      </c>
      <c r="K86" s="1">
        <f>MONTH(tblBank[[#This Row],[Value Date]])</f>
        <v>5</v>
      </c>
      <c r="L86" s="5">
        <f>SUMIFS(tblGJ[Debit],tblGJ[Voucher No],tblBank[[#This Row],[Reference]],tblGJ[Account Code],tblBank[[#This Row],[Account Code]])-SUMIFS(tblGJ[Credit],tblGJ[Voucher No],tblBank[[#This Row],[Reference]],tblGJ[Account Code],tblBank[[#This Row],[Account Code]])</f>
        <v>-35500000</v>
      </c>
      <c r="M86" s="1" t="str">
        <f>IF(COUNTIFS(tblGJ[Voucher No],tblBank[[#This Row],[Reference]],tblGJ[Account Code],tblBank[[#This Row],[Account Code]])=0,"✖ Not in GJ",IF(ABS(tblBank[[#This Row],[GJ Amount]]-(tblBank[[#This Row],[Money In]]-tblBank[[#This Row],[Money Out]]))&lt;1,"✔ Recorded","⚠ Amount mismatch"))</f>
        <v>✔ Recorded</v>
      </c>
    </row>
    <row r="87" spans="2:13" x14ac:dyDescent="0.35">
      <c r="B87" s="4">
        <v>76</v>
      </c>
      <c r="C87" s="4" t="s">
        <v>6555</v>
      </c>
      <c r="D87" s="4">
        <v>1120</v>
      </c>
      <c r="E87" s="113">
        <v>46170</v>
      </c>
      <c r="F87" s="4" t="s">
        <v>6566</v>
      </c>
      <c r="G87" s="4" t="s">
        <v>5766</v>
      </c>
      <c r="H87" s="6">
        <v>0</v>
      </c>
      <c r="I87" s="6">
        <v>2500000</v>
      </c>
      <c r="J8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1342618765</v>
      </c>
      <c r="K87" s="1">
        <f>MONTH(tblBank[[#This Row],[Value Date]])</f>
        <v>5</v>
      </c>
      <c r="L87" s="5">
        <f>SUMIFS(tblGJ[Debit],tblGJ[Voucher No],tblBank[[#This Row],[Reference]],tblGJ[Account Code],tblBank[[#This Row],[Account Code]])-SUMIFS(tblGJ[Credit],tblGJ[Voucher No],tblBank[[#This Row],[Reference]],tblGJ[Account Code],tblBank[[#This Row],[Account Code]])</f>
        <v>-2500000</v>
      </c>
      <c r="M87" s="1" t="str">
        <f>IF(COUNTIFS(tblGJ[Voucher No],tblBank[[#This Row],[Reference]],tblGJ[Account Code],tblBank[[#This Row],[Account Code]])=0,"✖ Not in GJ",IF(ABS(tblBank[[#This Row],[GJ Amount]]-(tblBank[[#This Row],[Money In]]-tblBank[[#This Row],[Money Out]]))&lt;1,"✔ Recorded","⚠ Amount mismatch"))</f>
        <v>✔ Recorded</v>
      </c>
    </row>
    <row r="88" spans="2:13" x14ac:dyDescent="0.35">
      <c r="B88" s="4">
        <v>77</v>
      </c>
      <c r="C88" s="4" t="s">
        <v>6555</v>
      </c>
      <c r="D88" s="4">
        <v>1120</v>
      </c>
      <c r="E88" s="113">
        <v>46170</v>
      </c>
      <c r="F88" s="4" t="s">
        <v>6574</v>
      </c>
      <c r="G88" s="4" t="s">
        <v>5767</v>
      </c>
      <c r="H88" s="6">
        <v>0</v>
      </c>
      <c r="I88" s="6">
        <v>300000000</v>
      </c>
      <c r="J8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1042618765</v>
      </c>
      <c r="K88" s="1">
        <f>MONTH(tblBank[[#This Row],[Value Date]])</f>
        <v>5</v>
      </c>
      <c r="L88" s="5">
        <f>SUMIFS(tblGJ[Debit],tblGJ[Voucher No],tblBank[[#This Row],[Reference]],tblGJ[Account Code],tblBank[[#This Row],[Account Code]])-SUMIFS(tblGJ[Credit],tblGJ[Voucher No],tblBank[[#This Row],[Reference]],tblGJ[Account Code],tblBank[[#This Row],[Account Code]])</f>
        <v>-300000000</v>
      </c>
      <c r="M88" s="1" t="str">
        <f>IF(COUNTIFS(tblGJ[Voucher No],tblBank[[#This Row],[Reference]],tblGJ[Account Code],tblBank[[#This Row],[Account Code]])=0,"✖ Not in GJ",IF(ABS(tblBank[[#This Row],[GJ Amount]]-(tblBank[[#This Row],[Money In]]-tblBank[[#This Row],[Money Out]]))&lt;1,"✔ Recorded","⚠ Amount mismatch"))</f>
        <v>✔ Recorded</v>
      </c>
    </row>
    <row r="89" spans="2:13" x14ac:dyDescent="0.35">
      <c r="B89" s="4">
        <v>78</v>
      </c>
      <c r="C89" s="4" t="s">
        <v>6555</v>
      </c>
      <c r="D89" s="4">
        <v>1120</v>
      </c>
      <c r="E89" s="113">
        <v>46173</v>
      </c>
      <c r="F89" s="4" t="s">
        <v>6567</v>
      </c>
      <c r="G89" s="4" t="s">
        <v>5768</v>
      </c>
      <c r="H89" s="6">
        <v>199616850</v>
      </c>
      <c r="I89" s="6">
        <v>0</v>
      </c>
      <c r="J8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1242235615</v>
      </c>
      <c r="K89" s="1">
        <f>MONTH(tblBank[[#This Row],[Value Date]])</f>
        <v>5</v>
      </c>
      <c r="L89" s="5">
        <f>SUMIFS(tblGJ[Debit],tblGJ[Voucher No],tblBank[[#This Row],[Reference]],tblGJ[Account Code],tblBank[[#This Row],[Account Code]])-SUMIFS(tblGJ[Credit],tblGJ[Voucher No],tblBank[[#This Row],[Reference]],tblGJ[Account Code],tblBank[[#This Row],[Account Code]])</f>
        <v>199616850</v>
      </c>
      <c r="M89" s="1" t="str">
        <f>IF(COUNTIFS(tblGJ[Voucher No],tblBank[[#This Row],[Reference]],tblGJ[Account Code],tblBank[[#This Row],[Account Code]])=0,"✖ Not in GJ",IF(ABS(tblBank[[#This Row],[GJ Amount]]-(tblBank[[#This Row],[Money In]]-tblBank[[#This Row],[Money Out]]))&lt;1,"✔ Recorded","⚠ Amount mismatch"))</f>
        <v>✔ Recorded</v>
      </c>
    </row>
    <row r="90" spans="2:13" x14ac:dyDescent="0.35">
      <c r="B90" s="4">
        <v>79</v>
      </c>
      <c r="C90" s="4" t="s">
        <v>6555</v>
      </c>
      <c r="D90" s="4">
        <v>1120</v>
      </c>
      <c r="E90" s="113">
        <v>46173</v>
      </c>
      <c r="F90" s="4" t="s">
        <v>6568</v>
      </c>
      <c r="G90" s="4" t="s">
        <v>5770</v>
      </c>
      <c r="H90" s="6">
        <v>159684600</v>
      </c>
      <c r="I90" s="6">
        <v>0</v>
      </c>
      <c r="J9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1401920215</v>
      </c>
      <c r="K90" s="1">
        <f>MONTH(tblBank[[#This Row],[Value Date]])</f>
        <v>5</v>
      </c>
      <c r="L90" s="5">
        <f>SUMIFS(tblGJ[Debit],tblGJ[Voucher No],tblBank[[#This Row],[Reference]],tblGJ[Account Code],tblBank[[#This Row],[Account Code]])-SUMIFS(tblGJ[Credit],tblGJ[Voucher No],tblBank[[#This Row],[Reference]],tblGJ[Account Code],tblBank[[#This Row],[Account Code]])</f>
        <v>159684600</v>
      </c>
      <c r="M90" s="1" t="str">
        <f>IF(COUNTIFS(tblGJ[Voucher No],tblBank[[#This Row],[Reference]],tblGJ[Account Code],tblBank[[#This Row],[Account Code]])=0,"✖ Not in GJ",IF(ABS(tblBank[[#This Row],[GJ Amount]]-(tblBank[[#This Row],[Money In]]-tblBank[[#This Row],[Money Out]]))&lt;1,"✔ Recorded","⚠ Amount mismatch"))</f>
        <v>✔ Recorded</v>
      </c>
    </row>
    <row r="91" spans="2:13" x14ac:dyDescent="0.35">
      <c r="B91" s="4">
        <v>80</v>
      </c>
      <c r="C91" s="4" t="s">
        <v>6555</v>
      </c>
      <c r="D91" s="4">
        <v>1120</v>
      </c>
      <c r="E91" s="113">
        <v>46173</v>
      </c>
      <c r="F91" s="4" t="s">
        <v>6569</v>
      </c>
      <c r="G91" s="4" t="s">
        <v>5777</v>
      </c>
      <c r="H91" s="6">
        <v>1333333</v>
      </c>
      <c r="I91" s="6">
        <v>0</v>
      </c>
      <c r="J9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1403253548</v>
      </c>
      <c r="K91" s="1">
        <f>MONTH(tblBank[[#This Row],[Value Date]])</f>
        <v>5</v>
      </c>
      <c r="L91" s="5">
        <f>SUMIFS(tblGJ[Debit],tblGJ[Voucher No],tblBank[[#This Row],[Reference]],tblGJ[Account Code],tblBank[[#This Row],[Account Code]])-SUMIFS(tblGJ[Credit],tblGJ[Voucher No],tblBank[[#This Row],[Reference]],tblGJ[Account Code],tblBank[[#This Row],[Account Code]])</f>
        <v>1333333</v>
      </c>
      <c r="M91" s="1" t="str">
        <f>IF(COUNTIFS(tblGJ[Voucher No],tblBank[[#This Row],[Reference]],tblGJ[Account Code],tblBank[[#This Row],[Account Code]])=0,"✖ Not in GJ",IF(ABS(tblBank[[#This Row],[GJ Amount]]-(tblBank[[#This Row],[Money In]]-tblBank[[#This Row],[Money Out]]))&lt;1,"✔ Recorded","⚠ Amount mismatch"))</f>
        <v>✔ Recorded</v>
      </c>
    </row>
    <row r="92" spans="2:13" x14ac:dyDescent="0.35">
      <c r="B92" s="4">
        <v>81</v>
      </c>
      <c r="C92" s="4" t="s">
        <v>6555</v>
      </c>
      <c r="D92" s="4">
        <v>1120</v>
      </c>
      <c r="E92" s="113">
        <v>46173</v>
      </c>
      <c r="F92" s="4" t="s">
        <v>6570</v>
      </c>
      <c r="G92" s="4" t="s">
        <v>5778</v>
      </c>
      <c r="H92" s="6">
        <v>438506</v>
      </c>
      <c r="I92" s="6">
        <v>0</v>
      </c>
      <c r="J9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1403692054</v>
      </c>
      <c r="K92" s="1">
        <f>MONTH(tblBank[[#This Row],[Value Date]])</f>
        <v>5</v>
      </c>
      <c r="L92" s="5">
        <f>SUMIFS(tblGJ[Debit],tblGJ[Voucher No],tblBank[[#This Row],[Reference]],tblGJ[Account Code],tblBank[[#This Row],[Account Code]])-SUMIFS(tblGJ[Credit],tblGJ[Voucher No],tblBank[[#This Row],[Reference]],tblGJ[Account Code],tblBank[[#This Row],[Account Code]])</f>
        <v>438506</v>
      </c>
      <c r="M92" s="1" t="str">
        <f>IF(COUNTIFS(tblGJ[Voucher No],tblBank[[#This Row],[Reference]],tblGJ[Account Code],tblBank[[#This Row],[Account Code]])=0,"✖ Not in GJ",IF(ABS(tblBank[[#This Row],[GJ Amount]]-(tblBank[[#This Row],[Money In]]-tblBank[[#This Row],[Money Out]]))&lt;1,"✔ Recorded","⚠ Amount mismatch"))</f>
        <v>✔ Recorded</v>
      </c>
    </row>
    <row r="93" spans="2:13" x14ac:dyDescent="0.35">
      <c r="B93" s="4">
        <v>82</v>
      </c>
      <c r="C93" s="4" t="s">
        <v>6555</v>
      </c>
      <c r="D93" s="4">
        <v>1120</v>
      </c>
      <c r="E93" s="113">
        <v>46173</v>
      </c>
      <c r="F93" s="4" t="s">
        <v>6561</v>
      </c>
      <c r="G93" s="4" t="s">
        <v>5772</v>
      </c>
      <c r="H93" s="6">
        <v>0</v>
      </c>
      <c r="I93" s="6">
        <v>790052030</v>
      </c>
      <c r="J9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613640024</v>
      </c>
      <c r="K93" s="1">
        <f>MONTH(tblBank[[#This Row],[Value Date]])</f>
        <v>5</v>
      </c>
      <c r="L93" s="5">
        <f>SUMIFS(tblGJ[Debit],tblGJ[Voucher No],tblBank[[#This Row],[Reference]],tblGJ[Account Code],tblBank[[#This Row],[Account Code]])-SUMIFS(tblGJ[Credit],tblGJ[Voucher No],tblBank[[#This Row],[Reference]],tblGJ[Account Code],tblBank[[#This Row],[Account Code]])</f>
        <v>-790052030</v>
      </c>
      <c r="M93" s="1" t="str">
        <f>IF(COUNTIFS(tblGJ[Voucher No],tblBank[[#This Row],[Reference]],tblGJ[Account Code],tblBank[[#This Row],[Account Code]])=0,"✖ Not in GJ",IF(ABS(tblBank[[#This Row],[GJ Amount]]-(tblBank[[#This Row],[Money In]]-tblBank[[#This Row],[Money Out]]))&lt;1,"✔ Recorded","⚠ Amount mismatch"))</f>
        <v>✔ Recorded</v>
      </c>
    </row>
    <row r="94" spans="2:13" x14ac:dyDescent="0.35">
      <c r="B94" s="4">
        <v>83</v>
      </c>
      <c r="C94" s="4" t="s">
        <v>6555</v>
      </c>
      <c r="D94" s="4">
        <v>1120</v>
      </c>
      <c r="E94" s="113">
        <v>46173</v>
      </c>
      <c r="F94" s="4" t="s">
        <v>6571</v>
      </c>
      <c r="G94" s="4" t="s">
        <v>5779</v>
      </c>
      <c r="H94" s="6">
        <v>0</v>
      </c>
      <c r="I94" s="6">
        <v>87701</v>
      </c>
      <c r="J9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613552323</v>
      </c>
      <c r="K94" s="1">
        <f>MONTH(tblBank[[#This Row],[Value Date]])</f>
        <v>5</v>
      </c>
      <c r="L94" s="5">
        <f>SUMIFS(tblGJ[Debit],tblGJ[Voucher No],tblBank[[#This Row],[Reference]],tblGJ[Account Code],tblBank[[#This Row],[Account Code]])-SUMIFS(tblGJ[Credit],tblGJ[Voucher No],tblBank[[#This Row],[Reference]],tblGJ[Account Code],tblBank[[#This Row],[Account Code]])</f>
        <v>-87701</v>
      </c>
      <c r="M94" s="1" t="str">
        <f>IF(COUNTIFS(tblGJ[Voucher No],tblBank[[#This Row],[Reference]],tblGJ[Account Code],tblBank[[#This Row],[Account Code]])=0,"✖ Not in GJ",IF(ABS(tblBank[[#This Row],[GJ Amount]]-(tblBank[[#This Row],[Money In]]-tblBank[[#This Row],[Money Out]]))&lt;1,"✔ Recorded","⚠ Amount mismatch"))</f>
        <v>✔ Recorded</v>
      </c>
    </row>
    <row r="95" spans="2:13" x14ac:dyDescent="0.35">
      <c r="B95" s="4">
        <v>84</v>
      </c>
      <c r="C95" s="4" t="s">
        <v>6555</v>
      </c>
      <c r="D95" s="4">
        <v>1120</v>
      </c>
      <c r="E95" s="113">
        <v>46173</v>
      </c>
      <c r="F95" s="4" t="s">
        <v>6572</v>
      </c>
      <c r="G95" s="4" t="s">
        <v>5780</v>
      </c>
      <c r="H95" s="6">
        <v>0</v>
      </c>
      <c r="I95" s="6">
        <v>150000</v>
      </c>
      <c r="J9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613402323</v>
      </c>
      <c r="K95" s="1">
        <f>MONTH(tblBank[[#This Row],[Value Date]])</f>
        <v>5</v>
      </c>
      <c r="L95" s="5">
        <f>SUMIFS(tblGJ[Debit],tblGJ[Voucher No],tblBank[[#This Row],[Reference]],tblGJ[Account Code],tblBank[[#This Row],[Account Code]])-SUMIFS(tblGJ[Credit],tblGJ[Voucher No],tblBank[[#This Row],[Reference]],tblGJ[Account Code],tblBank[[#This Row],[Account Code]])</f>
        <v>-150000</v>
      </c>
      <c r="M95" s="1" t="str">
        <f>IF(COUNTIFS(tblGJ[Voucher No],tblBank[[#This Row],[Reference]],tblGJ[Account Code],tblBank[[#This Row],[Account Code]])=0,"✖ Not in GJ",IF(ABS(tblBank[[#This Row],[GJ Amount]]-(tblBank[[#This Row],[Money In]]-tblBank[[#This Row],[Money Out]]))&lt;1,"✔ Recorded","⚠ Amount mismatch"))</f>
        <v>✔ Recorded</v>
      </c>
    </row>
    <row r="96" spans="2:13" x14ac:dyDescent="0.35">
      <c r="B96" s="4">
        <v>85</v>
      </c>
      <c r="C96" s="4" t="s">
        <v>6555</v>
      </c>
      <c r="D96" s="4">
        <v>1120</v>
      </c>
      <c r="E96" s="113">
        <v>46183</v>
      </c>
      <c r="F96" s="4" t="s">
        <v>6556</v>
      </c>
      <c r="G96" s="4" t="s">
        <v>5784</v>
      </c>
      <c r="H96" s="6">
        <v>0</v>
      </c>
      <c r="I96" s="6">
        <v>10516831</v>
      </c>
      <c r="J9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602885492</v>
      </c>
      <c r="K96" s="1">
        <f>MONTH(tblBank[[#This Row],[Value Date]])</f>
        <v>6</v>
      </c>
      <c r="L96" s="5">
        <f>SUMIFS(tblGJ[Debit],tblGJ[Voucher No],tblBank[[#This Row],[Reference]],tblGJ[Account Code],tblBank[[#This Row],[Account Code]])-SUMIFS(tblGJ[Credit],tblGJ[Voucher No],tblBank[[#This Row],[Reference]],tblGJ[Account Code],tblBank[[#This Row],[Account Code]])</f>
        <v>-10516831</v>
      </c>
      <c r="M96" s="1" t="str">
        <f>IF(COUNTIFS(tblGJ[Voucher No],tblBank[[#This Row],[Reference]],tblGJ[Account Code],tblBank[[#This Row],[Account Code]])=0,"✖ Not in GJ",IF(ABS(tblBank[[#This Row],[GJ Amount]]-(tblBank[[#This Row],[Money In]]-tblBank[[#This Row],[Money Out]]))&lt;1,"✔ Recorded","⚠ Amount mismatch"))</f>
        <v>✔ Recorded</v>
      </c>
    </row>
    <row r="97" spans="2:13" x14ac:dyDescent="0.35">
      <c r="B97" s="4">
        <v>86</v>
      </c>
      <c r="C97" s="4" t="s">
        <v>6555</v>
      </c>
      <c r="D97" s="4">
        <v>1120</v>
      </c>
      <c r="E97" s="113">
        <v>46183</v>
      </c>
      <c r="F97" s="4" t="s">
        <v>6557</v>
      </c>
      <c r="G97" s="4" t="s">
        <v>5785</v>
      </c>
      <c r="H97" s="6">
        <v>0</v>
      </c>
      <c r="I97" s="6">
        <v>22077790</v>
      </c>
      <c r="J9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580807702</v>
      </c>
      <c r="K97" s="1">
        <f>MONTH(tblBank[[#This Row],[Value Date]])</f>
        <v>6</v>
      </c>
      <c r="L97" s="5">
        <f>SUMIFS(tblGJ[Debit],tblGJ[Voucher No],tblBank[[#This Row],[Reference]],tblGJ[Account Code],tblBank[[#This Row],[Account Code]])-SUMIFS(tblGJ[Credit],tblGJ[Voucher No],tblBank[[#This Row],[Reference]],tblGJ[Account Code],tblBank[[#This Row],[Account Code]])</f>
        <v>-22077790</v>
      </c>
      <c r="M97" s="1" t="str">
        <f>IF(COUNTIFS(tblGJ[Voucher No],tblBank[[#This Row],[Reference]],tblGJ[Account Code],tblBank[[#This Row],[Account Code]])=0,"✖ Not in GJ",IF(ABS(tblBank[[#This Row],[GJ Amount]]-(tblBank[[#This Row],[Money In]]-tblBank[[#This Row],[Money Out]]))&lt;1,"✔ Recorded","⚠ Amount mismatch"))</f>
        <v>✔ Recorded</v>
      </c>
    </row>
    <row r="98" spans="2:13" x14ac:dyDescent="0.35">
      <c r="B98" s="4">
        <v>87</v>
      </c>
      <c r="C98" s="4" t="s">
        <v>6555</v>
      </c>
      <c r="D98" s="4">
        <v>1120</v>
      </c>
      <c r="E98" s="113">
        <v>46188</v>
      </c>
      <c r="F98" s="4" t="s">
        <v>6559</v>
      </c>
      <c r="G98" s="4" t="s">
        <v>5786</v>
      </c>
      <c r="H98" s="6">
        <v>0</v>
      </c>
      <c r="I98" s="6">
        <v>562240</v>
      </c>
      <c r="J9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580245462</v>
      </c>
      <c r="K98" s="1">
        <f>MONTH(tblBank[[#This Row],[Value Date]])</f>
        <v>6</v>
      </c>
      <c r="L98" s="5">
        <f>SUMIFS(tblGJ[Debit],tblGJ[Voucher No],tblBank[[#This Row],[Reference]],tblGJ[Account Code],tblBank[[#This Row],[Account Code]])-SUMIFS(tblGJ[Credit],tblGJ[Voucher No],tblBank[[#This Row],[Reference]],tblGJ[Account Code],tblBank[[#This Row],[Account Code]])</f>
        <v>-562240</v>
      </c>
      <c r="M98" s="1" t="str">
        <f>IF(COUNTIFS(tblGJ[Voucher No],tblBank[[#This Row],[Reference]],tblGJ[Account Code],tblBank[[#This Row],[Account Code]])=0,"✖ Not in GJ",IF(ABS(tblBank[[#This Row],[GJ Amount]]-(tblBank[[#This Row],[Money In]]-tblBank[[#This Row],[Money Out]]))&lt;1,"✔ Recorded","⚠ Amount mismatch"))</f>
        <v>✔ Recorded</v>
      </c>
    </row>
    <row r="99" spans="2:13" x14ac:dyDescent="0.35">
      <c r="B99" s="4">
        <v>88</v>
      </c>
      <c r="C99" s="4" t="s">
        <v>6555</v>
      </c>
      <c r="D99" s="4">
        <v>1120</v>
      </c>
      <c r="E99" s="113">
        <v>46188</v>
      </c>
      <c r="F99" s="4" t="s">
        <v>6560</v>
      </c>
      <c r="G99" s="4" t="s">
        <v>5787</v>
      </c>
      <c r="H99" s="6">
        <v>0</v>
      </c>
      <c r="I99" s="6">
        <v>20000000</v>
      </c>
      <c r="J9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560245462</v>
      </c>
      <c r="K99" s="1">
        <f>MONTH(tblBank[[#This Row],[Value Date]])</f>
        <v>6</v>
      </c>
      <c r="L99" s="5">
        <f>SUMIFS(tblGJ[Debit],tblGJ[Voucher No],tblBank[[#This Row],[Reference]],tblGJ[Account Code],tblBank[[#This Row],[Account Code]])-SUMIFS(tblGJ[Credit],tblGJ[Voucher No],tblBank[[#This Row],[Reference]],tblGJ[Account Code],tblBank[[#This Row],[Account Code]])</f>
        <v>-20000000</v>
      </c>
      <c r="M99" s="1" t="str">
        <f>IF(COUNTIFS(tblGJ[Voucher No],tblBank[[#This Row],[Reference]],tblGJ[Account Code],tblBank[[#This Row],[Account Code]])=0,"✖ Not in GJ",IF(ABS(tblBank[[#This Row],[GJ Amount]]-(tblBank[[#This Row],[Money In]]-tblBank[[#This Row],[Money Out]]))&lt;1,"✔ Recorded","⚠ Amount mismatch"))</f>
        <v>✔ Recorded</v>
      </c>
    </row>
    <row r="100" spans="2:13" x14ac:dyDescent="0.35">
      <c r="B100" s="4">
        <v>89</v>
      </c>
      <c r="C100" s="4" t="s">
        <v>6555</v>
      </c>
      <c r="D100" s="4">
        <v>1120</v>
      </c>
      <c r="E100" s="113">
        <v>46193</v>
      </c>
      <c r="F100" s="4" t="s">
        <v>6562</v>
      </c>
      <c r="G100" s="4" t="s">
        <v>5788</v>
      </c>
      <c r="H100" s="6">
        <v>845242800</v>
      </c>
      <c r="I100" s="6">
        <v>0</v>
      </c>
      <c r="J10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1405488262</v>
      </c>
      <c r="K100" s="1">
        <f>MONTH(tblBank[[#This Row],[Value Date]])</f>
        <v>6</v>
      </c>
      <c r="L100" s="5">
        <f>SUMIFS(tblGJ[Debit],tblGJ[Voucher No],tblBank[[#This Row],[Reference]],tblGJ[Account Code],tblBank[[#This Row],[Account Code]])-SUMIFS(tblGJ[Credit],tblGJ[Voucher No],tblBank[[#This Row],[Reference]],tblGJ[Account Code],tblBank[[#This Row],[Account Code]])</f>
        <v>845242800</v>
      </c>
      <c r="M100" s="1" t="str">
        <f>IF(COUNTIFS(tblGJ[Voucher No],tblBank[[#This Row],[Reference]],tblGJ[Account Code],tblBank[[#This Row],[Account Code]])=0,"✖ Not in GJ",IF(ABS(tblBank[[#This Row],[GJ Amount]]-(tblBank[[#This Row],[Money In]]-tblBank[[#This Row],[Money Out]]))&lt;1,"✔ Recorded","⚠ Amount mismatch"))</f>
        <v>✔ Recorded</v>
      </c>
    </row>
    <row r="101" spans="2:13" x14ac:dyDescent="0.35">
      <c r="B101" s="4">
        <v>90</v>
      </c>
      <c r="C101" s="4" t="s">
        <v>6555</v>
      </c>
      <c r="D101" s="4">
        <v>1120</v>
      </c>
      <c r="E101" s="113">
        <v>46197</v>
      </c>
      <c r="F101" s="4" t="s">
        <v>6563</v>
      </c>
      <c r="G101" s="4" t="s">
        <v>5789</v>
      </c>
      <c r="H101" s="6">
        <v>0</v>
      </c>
      <c r="I101" s="6">
        <v>161397799</v>
      </c>
      <c r="J10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1244090463</v>
      </c>
      <c r="K101" s="1">
        <f>MONTH(tblBank[[#This Row],[Value Date]])</f>
        <v>6</v>
      </c>
      <c r="L101" s="5">
        <f>SUMIFS(tblGJ[Debit],tblGJ[Voucher No],tblBank[[#This Row],[Reference]],tblGJ[Account Code],tblBank[[#This Row],[Account Code]])-SUMIFS(tblGJ[Credit],tblGJ[Voucher No],tblBank[[#This Row],[Reference]],tblGJ[Account Code],tblBank[[#This Row],[Account Code]])</f>
        <v>-161397799</v>
      </c>
      <c r="M101" s="1" t="str">
        <f>IF(COUNTIFS(tblGJ[Voucher No],tblBank[[#This Row],[Reference]],tblGJ[Account Code],tblBank[[#This Row],[Account Code]])=0,"✖ Not in GJ",IF(ABS(tblBank[[#This Row],[GJ Amount]]-(tblBank[[#This Row],[Money In]]-tblBank[[#This Row],[Money Out]]))&lt;1,"✔ Recorded","⚠ Amount mismatch"))</f>
        <v>✔ Recorded</v>
      </c>
    </row>
    <row r="102" spans="2:13" x14ac:dyDescent="0.35">
      <c r="B102" s="4">
        <v>91</v>
      </c>
      <c r="C102" s="4" t="s">
        <v>6555</v>
      </c>
      <c r="D102" s="4">
        <v>1120</v>
      </c>
      <c r="E102" s="113">
        <v>46201</v>
      </c>
      <c r="F102" s="4" t="s">
        <v>6564</v>
      </c>
      <c r="G102" s="4" t="s">
        <v>5791</v>
      </c>
      <c r="H102" s="6">
        <v>0</v>
      </c>
      <c r="I102" s="6">
        <v>52409830</v>
      </c>
      <c r="J10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1191680633</v>
      </c>
      <c r="K102" s="1">
        <f>MONTH(tblBank[[#This Row],[Value Date]])</f>
        <v>6</v>
      </c>
      <c r="L102" s="5">
        <f>SUMIFS(tblGJ[Debit],tblGJ[Voucher No],tblBank[[#This Row],[Reference]],tblGJ[Account Code],tblBank[[#This Row],[Account Code]])-SUMIFS(tblGJ[Credit],tblGJ[Voucher No],tblBank[[#This Row],[Reference]],tblGJ[Account Code],tblBank[[#This Row],[Account Code]])</f>
        <v>-52409830</v>
      </c>
      <c r="M102" s="1" t="str">
        <f>IF(COUNTIFS(tblGJ[Voucher No],tblBank[[#This Row],[Reference]],tblGJ[Account Code],tblBank[[#This Row],[Account Code]])=0,"✖ Not in GJ",IF(ABS(tblBank[[#This Row],[GJ Amount]]-(tblBank[[#This Row],[Money In]]-tblBank[[#This Row],[Money Out]]))&lt;1,"✔ Recorded","⚠ Amount mismatch"))</f>
        <v>✔ Recorded</v>
      </c>
    </row>
    <row r="103" spans="2:13" x14ac:dyDescent="0.35">
      <c r="B103" s="4">
        <v>92</v>
      </c>
      <c r="C103" s="4" t="s">
        <v>6555</v>
      </c>
      <c r="D103" s="4">
        <v>1120</v>
      </c>
      <c r="E103" s="113">
        <v>46201</v>
      </c>
      <c r="F103" s="4" t="s">
        <v>6565</v>
      </c>
      <c r="G103" s="4" t="s">
        <v>5792</v>
      </c>
      <c r="H103" s="6">
        <v>0</v>
      </c>
      <c r="I103" s="6">
        <v>35312500</v>
      </c>
      <c r="J10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1156368133</v>
      </c>
      <c r="K103" s="1">
        <f>MONTH(tblBank[[#This Row],[Value Date]])</f>
        <v>6</v>
      </c>
      <c r="L103" s="5">
        <f>SUMIFS(tblGJ[Debit],tblGJ[Voucher No],tblBank[[#This Row],[Reference]],tblGJ[Account Code],tblBank[[#This Row],[Account Code]])-SUMIFS(tblGJ[Credit],tblGJ[Voucher No],tblBank[[#This Row],[Reference]],tblGJ[Account Code],tblBank[[#This Row],[Account Code]])</f>
        <v>-35312500</v>
      </c>
      <c r="M103" s="1" t="str">
        <f>IF(COUNTIFS(tblGJ[Voucher No],tblBank[[#This Row],[Reference]],tblGJ[Account Code],tblBank[[#This Row],[Account Code]])=0,"✖ Not in GJ",IF(ABS(tblBank[[#This Row],[GJ Amount]]-(tblBank[[#This Row],[Money In]]-tblBank[[#This Row],[Money Out]]))&lt;1,"✔ Recorded","⚠ Amount mismatch"))</f>
        <v>✔ Recorded</v>
      </c>
    </row>
    <row r="104" spans="2:13" x14ac:dyDescent="0.35">
      <c r="B104" s="4">
        <v>93</v>
      </c>
      <c r="C104" s="4" t="s">
        <v>6555</v>
      </c>
      <c r="D104" s="4">
        <v>1120</v>
      </c>
      <c r="E104" s="113">
        <v>46201</v>
      </c>
      <c r="F104" s="4" t="s">
        <v>6566</v>
      </c>
      <c r="G104" s="4" t="s">
        <v>5793</v>
      </c>
      <c r="H104" s="6">
        <v>0</v>
      </c>
      <c r="I104" s="6">
        <v>2500000</v>
      </c>
      <c r="J10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1153868133</v>
      </c>
      <c r="K104" s="1">
        <f>MONTH(tblBank[[#This Row],[Value Date]])</f>
        <v>6</v>
      </c>
      <c r="L104" s="5">
        <f>SUMIFS(tblGJ[Debit],tblGJ[Voucher No],tblBank[[#This Row],[Reference]],tblGJ[Account Code],tblBank[[#This Row],[Account Code]])-SUMIFS(tblGJ[Credit],tblGJ[Voucher No],tblBank[[#This Row],[Reference]],tblGJ[Account Code],tblBank[[#This Row],[Account Code]])</f>
        <v>-2500000</v>
      </c>
      <c r="M104" s="1" t="str">
        <f>IF(COUNTIFS(tblGJ[Voucher No],tblBank[[#This Row],[Reference]],tblGJ[Account Code],tblBank[[#This Row],[Account Code]])=0,"✖ Not in GJ",IF(ABS(tblBank[[#This Row],[GJ Amount]]-(tblBank[[#This Row],[Money In]]-tblBank[[#This Row],[Money Out]]))&lt;1,"✔ Recorded","⚠ Amount mismatch"))</f>
        <v>✔ Recorded</v>
      </c>
    </row>
    <row r="105" spans="2:13" x14ac:dyDescent="0.35">
      <c r="B105" s="4">
        <v>94</v>
      </c>
      <c r="C105" s="4" t="s">
        <v>6555</v>
      </c>
      <c r="D105" s="4">
        <v>1120</v>
      </c>
      <c r="E105" s="113">
        <v>46203</v>
      </c>
      <c r="F105" s="4" t="s">
        <v>6567</v>
      </c>
      <c r="G105" s="4" t="s">
        <v>5794</v>
      </c>
      <c r="H105" s="6">
        <v>208063950</v>
      </c>
      <c r="I105" s="6">
        <v>0</v>
      </c>
      <c r="J10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1361932083</v>
      </c>
      <c r="K105" s="1">
        <f>MONTH(tblBank[[#This Row],[Value Date]])</f>
        <v>6</v>
      </c>
      <c r="L105" s="5">
        <f>SUMIFS(tblGJ[Debit],tblGJ[Voucher No],tblBank[[#This Row],[Reference]],tblGJ[Account Code],tblBank[[#This Row],[Account Code]])-SUMIFS(tblGJ[Credit],tblGJ[Voucher No],tblBank[[#This Row],[Reference]],tblGJ[Account Code],tblBank[[#This Row],[Account Code]])</f>
        <v>208063950</v>
      </c>
      <c r="M105" s="1" t="str">
        <f>IF(COUNTIFS(tblGJ[Voucher No],tblBank[[#This Row],[Reference]],tblGJ[Account Code],tblBank[[#This Row],[Account Code]])=0,"✖ Not in GJ",IF(ABS(tblBank[[#This Row],[GJ Amount]]-(tblBank[[#This Row],[Money In]]-tblBank[[#This Row],[Money Out]]))&lt;1,"✔ Recorded","⚠ Amount mismatch"))</f>
        <v>✔ Recorded</v>
      </c>
    </row>
    <row r="106" spans="2:13" x14ac:dyDescent="0.35">
      <c r="B106" s="4">
        <v>95</v>
      </c>
      <c r="C106" s="4" t="s">
        <v>6555</v>
      </c>
      <c r="D106" s="4">
        <v>1120</v>
      </c>
      <c r="E106" s="113">
        <v>46203</v>
      </c>
      <c r="F106" s="4" t="s">
        <v>6568</v>
      </c>
      <c r="G106" s="4" t="s">
        <v>5796</v>
      </c>
      <c r="H106" s="6">
        <v>143900400</v>
      </c>
      <c r="I106" s="6">
        <v>0</v>
      </c>
      <c r="J10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1505832483</v>
      </c>
      <c r="K106" s="1">
        <f>MONTH(tblBank[[#This Row],[Value Date]])</f>
        <v>6</v>
      </c>
      <c r="L106" s="5">
        <f>SUMIFS(tblGJ[Debit],tblGJ[Voucher No],tblBank[[#This Row],[Reference]],tblGJ[Account Code],tblBank[[#This Row],[Account Code]])-SUMIFS(tblGJ[Credit],tblGJ[Voucher No],tblBank[[#This Row],[Reference]],tblGJ[Account Code],tblBank[[#This Row],[Account Code]])</f>
        <v>143900400</v>
      </c>
      <c r="M106" s="1" t="str">
        <f>IF(COUNTIFS(tblGJ[Voucher No],tblBank[[#This Row],[Reference]],tblGJ[Account Code],tblBank[[#This Row],[Account Code]])=0,"✖ Not in GJ",IF(ABS(tblBank[[#This Row],[GJ Amount]]-(tblBank[[#This Row],[Money In]]-tblBank[[#This Row],[Money Out]]))&lt;1,"✔ Recorded","⚠ Amount mismatch"))</f>
        <v>✔ Recorded</v>
      </c>
    </row>
    <row r="107" spans="2:13" x14ac:dyDescent="0.35">
      <c r="B107" s="4">
        <v>96</v>
      </c>
      <c r="C107" s="4" t="s">
        <v>6555</v>
      </c>
      <c r="D107" s="4">
        <v>1120</v>
      </c>
      <c r="E107" s="113">
        <v>46203</v>
      </c>
      <c r="F107" s="4" t="s">
        <v>6569</v>
      </c>
      <c r="G107" s="4" t="s">
        <v>5803</v>
      </c>
      <c r="H107" s="6">
        <v>1333333</v>
      </c>
      <c r="I107" s="6">
        <v>0</v>
      </c>
      <c r="J10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1507165816</v>
      </c>
      <c r="K107" s="1">
        <f>MONTH(tblBank[[#This Row],[Value Date]])</f>
        <v>6</v>
      </c>
      <c r="L107" s="5">
        <f>SUMIFS(tblGJ[Debit],tblGJ[Voucher No],tblBank[[#This Row],[Reference]],tblGJ[Account Code],tblBank[[#This Row],[Account Code]])-SUMIFS(tblGJ[Credit],tblGJ[Voucher No],tblBank[[#This Row],[Reference]],tblGJ[Account Code],tblBank[[#This Row],[Account Code]])</f>
        <v>1333333</v>
      </c>
      <c r="M107" s="1" t="str">
        <f>IF(COUNTIFS(tblGJ[Voucher No],tblBank[[#This Row],[Reference]],tblGJ[Account Code],tblBank[[#This Row],[Account Code]])=0,"✖ Not in GJ",IF(ABS(tblBank[[#This Row],[GJ Amount]]-(tblBank[[#This Row],[Money In]]-tblBank[[#This Row],[Money Out]]))&lt;1,"✔ Recorded","⚠ Amount mismatch"))</f>
        <v>✔ Recorded</v>
      </c>
    </row>
    <row r="108" spans="2:13" x14ac:dyDescent="0.35">
      <c r="B108" s="4">
        <v>97</v>
      </c>
      <c r="C108" s="4" t="s">
        <v>6555</v>
      </c>
      <c r="D108" s="4">
        <v>1120</v>
      </c>
      <c r="E108" s="113">
        <v>46203</v>
      </c>
      <c r="F108" s="4" t="s">
        <v>6570</v>
      </c>
      <c r="G108" s="4" t="s">
        <v>5804</v>
      </c>
      <c r="H108" s="6">
        <v>504305</v>
      </c>
      <c r="I108" s="6">
        <v>0</v>
      </c>
      <c r="J10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1507670121</v>
      </c>
      <c r="K108" s="1">
        <f>MONTH(tblBank[[#This Row],[Value Date]])</f>
        <v>6</v>
      </c>
      <c r="L108" s="5">
        <f>SUMIFS(tblGJ[Debit],tblGJ[Voucher No],tblBank[[#This Row],[Reference]],tblGJ[Account Code],tblBank[[#This Row],[Account Code]])-SUMIFS(tblGJ[Credit],tblGJ[Voucher No],tblBank[[#This Row],[Reference]],tblGJ[Account Code],tblBank[[#This Row],[Account Code]])</f>
        <v>504305</v>
      </c>
      <c r="M108" s="1" t="str">
        <f>IF(COUNTIFS(tblGJ[Voucher No],tblBank[[#This Row],[Reference]],tblGJ[Account Code],tblBank[[#This Row],[Account Code]])=0,"✖ Not in GJ",IF(ABS(tblBank[[#This Row],[GJ Amount]]-(tblBank[[#This Row],[Money In]]-tblBank[[#This Row],[Money Out]]))&lt;1,"✔ Recorded","⚠ Amount mismatch"))</f>
        <v>✔ Recorded</v>
      </c>
    </row>
    <row r="109" spans="2:13" x14ac:dyDescent="0.35">
      <c r="B109" s="4">
        <v>98</v>
      </c>
      <c r="C109" s="4" t="s">
        <v>6555</v>
      </c>
      <c r="D109" s="4">
        <v>1120</v>
      </c>
      <c r="E109" s="113">
        <v>46203</v>
      </c>
      <c r="F109" s="4" t="s">
        <v>6561</v>
      </c>
      <c r="G109" s="4" t="s">
        <v>5798</v>
      </c>
      <c r="H109" s="6">
        <v>0</v>
      </c>
      <c r="I109" s="6">
        <v>855877350</v>
      </c>
      <c r="J10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651792771</v>
      </c>
      <c r="K109" s="1">
        <f>MONTH(tblBank[[#This Row],[Value Date]])</f>
        <v>6</v>
      </c>
      <c r="L109" s="5">
        <f>SUMIFS(tblGJ[Debit],tblGJ[Voucher No],tblBank[[#This Row],[Reference]],tblGJ[Account Code],tblBank[[#This Row],[Account Code]])-SUMIFS(tblGJ[Credit],tblGJ[Voucher No],tblBank[[#This Row],[Reference]],tblGJ[Account Code],tblBank[[#This Row],[Account Code]])</f>
        <v>-855877350</v>
      </c>
      <c r="M109" s="1" t="str">
        <f>IF(COUNTIFS(tblGJ[Voucher No],tblBank[[#This Row],[Reference]],tblGJ[Account Code],tblBank[[#This Row],[Account Code]])=0,"✖ Not in GJ",IF(ABS(tblBank[[#This Row],[GJ Amount]]-(tblBank[[#This Row],[Money In]]-tblBank[[#This Row],[Money Out]]))&lt;1,"✔ Recorded","⚠ Amount mismatch"))</f>
        <v>✔ Recorded</v>
      </c>
    </row>
    <row r="110" spans="2:13" x14ac:dyDescent="0.35">
      <c r="B110" s="4">
        <v>99</v>
      </c>
      <c r="C110" s="4" t="s">
        <v>6555</v>
      </c>
      <c r="D110" s="4">
        <v>1120</v>
      </c>
      <c r="E110" s="113">
        <v>46203</v>
      </c>
      <c r="F110" s="4" t="s">
        <v>6571</v>
      </c>
      <c r="G110" s="4" t="s">
        <v>5805</v>
      </c>
      <c r="H110" s="6">
        <v>0</v>
      </c>
      <c r="I110" s="6">
        <v>100861</v>
      </c>
      <c r="J11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651691910</v>
      </c>
      <c r="K110" s="1">
        <f>MONTH(tblBank[[#This Row],[Value Date]])</f>
        <v>6</v>
      </c>
      <c r="L110" s="5">
        <f>SUMIFS(tblGJ[Debit],tblGJ[Voucher No],tblBank[[#This Row],[Reference]],tblGJ[Account Code],tblBank[[#This Row],[Account Code]])-SUMIFS(tblGJ[Credit],tblGJ[Voucher No],tblBank[[#This Row],[Reference]],tblGJ[Account Code],tblBank[[#This Row],[Account Code]])</f>
        <v>-100861</v>
      </c>
      <c r="M110" s="1" t="str">
        <f>IF(COUNTIFS(tblGJ[Voucher No],tblBank[[#This Row],[Reference]],tblGJ[Account Code],tblBank[[#This Row],[Account Code]])=0,"✖ Not in GJ",IF(ABS(tblBank[[#This Row],[GJ Amount]]-(tblBank[[#This Row],[Money In]]-tblBank[[#This Row],[Money Out]]))&lt;1,"✔ Recorded","⚠ Amount mismatch"))</f>
        <v>✔ Recorded</v>
      </c>
    </row>
    <row r="111" spans="2:13" x14ac:dyDescent="0.35">
      <c r="B111" s="4">
        <v>100</v>
      </c>
      <c r="C111" s="4" t="s">
        <v>6555</v>
      </c>
      <c r="D111" s="4">
        <v>1120</v>
      </c>
      <c r="E111" s="113">
        <v>46203</v>
      </c>
      <c r="F111" s="4" t="s">
        <v>6572</v>
      </c>
      <c r="G111" s="4" t="s">
        <v>5806</v>
      </c>
      <c r="H111" s="6">
        <v>0</v>
      </c>
      <c r="I111" s="6">
        <v>150000</v>
      </c>
      <c r="J11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651541910</v>
      </c>
      <c r="K111" s="1">
        <f>MONTH(tblBank[[#This Row],[Value Date]])</f>
        <v>6</v>
      </c>
      <c r="L111" s="5">
        <f>SUMIFS(tblGJ[Debit],tblGJ[Voucher No],tblBank[[#This Row],[Reference]],tblGJ[Account Code],tblBank[[#This Row],[Account Code]])-SUMIFS(tblGJ[Credit],tblGJ[Voucher No],tblBank[[#This Row],[Reference]],tblGJ[Account Code],tblBank[[#This Row],[Account Code]])</f>
        <v>-150000</v>
      </c>
      <c r="M111" s="1" t="str">
        <f>IF(COUNTIFS(tblGJ[Voucher No],tblBank[[#This Row],[Reference]],tblGJ[Account Code],tblBank[[#This Row],[Account Code]])=0,"✖ Not in GJ",IF(ABS(tblBank[[#This Row],[GJ Amount]]-(tblBank[[#This Row],[Money In]]-tblBank[[#This Row],[Money Out]]))&lt;1,"✔ Recorded","⚠ Amount mismatch"))</f>
        <v>✔ Recorded</v>
      </c>
    </row>
    <row r="112" spans="2:13" x14ac:dyDescent="0.35">
      <c r="B112" s="4">
        <v>101</v>
      </c>
      <c r="C112" s="4" t="s">
        <v>6555</v>
      </c>
      <c r="D112" s="4">
        <v>1120</v>
      </c>
      <c r="E112" s="113">
        <v>46203</v>
      </c>
      <c r="F112" s="4" t="s">
        <v>6575</v>
      </c>
      <c r="G112" s="4" t="s">
        <v>5810</v>
      </c>
      <c r="H112" s="6">
        <v>0</v>
      </c>
      <c r="I112" s="6">
        <v>300000000</v>
      </c>
      <c r="J11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351541910</v>
      </c>
      <c r="K112" s="1">
        <f>MONTH(tblBank[[#This Row],[Value Date]])</f>
        <v>6</v>
      </c>
      <c r="L112" s="5">
        <f>SUMIFS(tblGJ[Debit],tblGJ[Voucher No],tblBank[[#This Row],[Reference]],tblGJ[Account Code],tblBank[[#This Row],[Account Code]])-SUMIFS(tblGJ[Credit],tblGJ[Voucher No],tblBank[[#This Row],[Reference]],tblGJ[Account Code],tblBank[[#This Row],[Account Code]])</f>
        <v>-300000000</v>
      </c>
      <c r="M112" s="1" t="str">
        <f>IF(COUNTIFS(tblGJ[Voucher No],tblBank[[#This Row],[Reference]],tblGJ[Account Code],tblBank[[#This Row],[Account Code]])=0,"✖ Not in GJ",IF(ABS(tblBank[[#This Row],[GJ Amount]]-(tblBank[[#This Row],[Money In]]-tblBank[[#This Row],[Money Out]]))&lt;1,"✔ Recorded","⚠ Amount mismatch"))</f>
        <v>✔ Recorded</v>
      </c>
    </row>
    <row r="113" spans="2:13" x14ac:dyDescent="0.35">
      <c r="B113" s="4">
        <v>102</v>
      </c>
      <c r="C113" s="4" t="s">
        <v>6555</v>
      </c>
      <c r="D113" s="4">
        <v>1120</v>
      </c>
      <c r="E113" s="113">
        <v>46213</v>
      </c>
      <c r="F113" s="4" t="s">
        <v>6556</v>
      </c>
      <c r="G113" s="4" t="s">
        <v>5811</v>
      </c>
      <c r="H113" s="6">
        <v>0</v>
      </c>
      <c r="I113" s="6">
        <v>10516831</v>
      </c>
      <c r="J11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341025079</v>
      </c>
      <c r="K113" s="1">
        <f>MONTH(tblBank[[#This Row],[Value Date]])</f>
        <v>7</v>
      </c>
      <c r="L113" s="5">
        <f>SUMIFS(tblGJ[Debit],tblGJ[Voucher No],tblBank[[#This Row],[Reference]],tblGJ[Account Code],tblBank[[#This Row],[Account Code]])-SUMIFS(tblGJ[Credit],tblGJ[Voucher No],tblBank[[#This Row],[Reference]],tblGJ[Account Code],tblBank[[#This Row],[Account Code]])</f>
        <v>-10516831</v>
      </c>
      <c r="M113" s="1" t="str">
        <f>IF(COUNTIFS(tblGJ[Voucher No],tblBank[[#This Row],[Reference]],tblGJ[Account Code],tblBank[[#This Row],[Account Code]])=0,"✖ Not in GJ",IF(ABS(tblBank[[#This Row],[GJ Amount]]-(tblBank[[#This Row],[Money In]]-tblBank[[#This Row],[Money Out]]))&lt;1,"✔ Recorded","⚠ Amount mismatch"))</f>
        <v>✔ Recorded</v>
      </c>
    </row>
    <row r="114" spans="2:13" x14ac:dyDescent="0.35">
      <c r="B114" s="4">
        <v>103</v>
      </c>
      <c r="C114" s="4" t="s">
        <v>6555</v>
      </c>
      <c r="D114" s="4">
        <v>1120</v>
      </c>
      <c r="E114" s="113">
        <v>46213</v>
      </c>
      <c r="F114" s="4" t="s">
        <v>6557</v>
      </c>
      <c r="G114" s="4" t="s">
        <v>5812</v>
      </c>
      <c r="H114" s="6">
        <v>0</v>
      </c>
      <c r="I114" s="6">
        <v>22077790</v>
      </c>
      <c r="J11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318947289</v>
      </c>
      <c r="K114" s="1">
        <f>MONTH(tblBank[[#This Row],[Value Date]])</f>
        <v>7</v>
      </c>
      <c r="L114" s="5">
        <f>SUMIFS(tblGJ[Debit],tblGJ[Voucher No],tblBank[[#This Row],[Reference]],tblGJ[Account Code],tblBank[[#This Row],[Account Code]])-SUMIFS(tblGJ[Credit],tblGJ[Voucher No],tblBank[[#This Row],[Reference]],tblGJ[Account Code],tblBank[[#This Row],[Account Code]])</f>
        <v>-22077790</v>
      </c>
      <c r="M114" s="1" t="str">
        <f>IF(COUNTIFS(tblGJ[Voucher No],tblBank[[#This Row],[Reference]],tblGJ[Account Code],tblBank[[#This Row],[Account Code]])=0,"✖ Not in GJ",IF(ABS(tblBank[[#This Row],[GJ Amount]]-(tblBank[[#This Row],[Money In]]-tblBank[[#This Row],[Money Out]]))&lt;1,"✔ Recorded","⚠ Amount mismatch"))</f>
        <v>✔ Recorded</v>
      </c>
    </row>
    <row r="115" spans="2:13" x14ac:dyDescent="0.35">
      <c r="B115" s="4">
        <v>104</v>
      </c>
      <c r="C115" s="4" t="s">
        <v>6555</v>
      </c>
      <c r="D115" s="4">
        <v>1120</v>
      </c>
      <c r="E115" s="113">
        <v>46218</v>
      </c>
      <c r="F115" s="4" t="s">
        <v>6559</v>
      </c>
      <c r="G115" s="4" t="s">
        <v>5813</v>
      </c>
      <c r="H115" s="6">
        <v>0</v>
      </c>
      <c r="I115" s="6">
        <v>1689120</v>
      </c>
      <c r="J11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317258169</v>
      </c>
      <c r="K115" s="1">
        <f>MONTH(tblBank[[#This Row],[Value Date]])</f>
        <v>7</v>
      </c>
      <c r="L115" s="5">
        <f>SUMIFS(tblGJ[Debit],tblGJ[Voucher No],tblBank[[#This Row],[Reference]],tblGJ[Account Code],tblBank[[#This Row],[Account Code]])-SUMIFS(tblGJ[Credit],tblGJ[Voucher No],tblBank[[#This Row],[Reference]],tblGJ[Account Code],tblBank[[#This Row],[Account Code]])</f>
        <v>-1689120</v>
      </c>
      <c r="M115" s="1" t="str">
        <f>IF(COUNTIFS(tblGJ[Voucher No],tblBank[[#This Row],[Reference]],tblGJ[Account Code],tblBank[[#This Row],[Account Code]])=0,"✖ Not in GJ",IF(ABS(tblBank[[#This Row],[GJ Amount]]-(tblBank[[#This Row],[Money In]]-tblBank[[#This Row],[Money Out]]))&lt;1,"✔ Recorded","⚠ Amount mismatch"))</f>
        <v>✔ Recorded</v>
      </c>
    </row>
    <row r="116" spans="2:13" x14ac:dyDescent="0.35">
      <c r="B116" s="4">
        <v>105</v>
      </c>
      <c r="C116" s="4" t="s">
        <v>6555</v>
      </c>
      <c r="D116" s="4">
        <v>1120</v>
      </c>
      <c r="E116" s="113">
        <v>46218</v>
      </c>
      <c r="F116" s="4" t="s">
        <v>6560</v>
      </c>
      <c r="G116" s="4" t="s">
        <v>5814</v>
      </c>
      <c r="H116" s="6">
        <v>0</v>
      </c>
      <c r="I116" s="6">
        <v>20000000</v>
      </c>
      <c r="J11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297258169</v>
      </c>
      <c r="K116" s="1">
        <f>MONTH(tblBank[[#This Row],[Value Date]])</f>
        <v>7</v>
      </c>
      <c r="L116" s="5">
        <f>SUMIFS(tblGJ[Debit],tblGJ[Voucher No],tblBank[[#This Row],[Reference]],tblGJ[Account Code],tblBank[[#This Row],[Account Code]])-SUMIFS(tblGJ[Credit],tblGJ[Voucher No],tblBank[[#This Row],[Reference]],tblGJ[Account Code],tblBank[[#This Row],[Account Code]])</f>
        <v>-20000000</v>
      </c>
      <c r="M116" s="1" t="str">
        <f>IF(COUNTIFS(tblGJ[Voucher No],tblBank[[#This Row],[Reference]],tblGJ[Account Code],tblBank[[#This Row],[Account Code]])=0,"✖ Not in GJ",IF(ABS(tblBank[[#This Row],[GJ Amount]]-(tblBank[[#This Row],[Money In]]-tblBank[[#This Row],[Money Out]]))&lt;1,"✔ Recorded","⚠ Amount mismatch"))</f>
        <v>✔ Recorded</v>
      </c>
    </row>
    <row r="117" spans="2:13" x14ac:dyDescent="0.35">
      <c r="B117" s="4">
        <v>106</v>
      </c>
      <c r="C117" s="4" t="s">
        <v>6555</v>
      </c>
      <c r="D117" s="4">
        <v>1120</v>
      </c>
      <c r="E117" s="113">
        <v>46223</v>
      </c>
      <c r="F117" s="4" t="s">
        <v>6562</v>
      </c>
      <c r="G117" s="4" t="s">
        <v>5815</v>
      </c>
      <c r="H117" s="6">
        <v>916771200</v>
      </c>
      <c r="I117" s="6">
        <v>0</v>
      </c>
      <c r="J11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1214029369</v>
      </c>
      <c r="K117" s="1">
        <f>MONTH(tblBank[[#This Row],[Value Date]])</f>
        <v>7</v>
      </c>
      <c r="L117" s="5">
        <f>SUMIFS(tblGJ[Debit],tblGJ[Voucher No],tblBank[[#This Row],[Reference]],tblGJ[Account Code],tblBank[[#This Row],[Account Code]])-SUMIFS(tblGJ[Credit],tblGJ[Voucher No],tblBank[[#This Row],[Reference]],tblGJ[Account Code],tblBank[[#This Row],[Account Code]])</f>
        <v>916771200</v>
      </c>
      <c r="M117" s="1" t="str">
        <f>IF(COUNTIFS(tblGJ[Voucher No],tblBank[[#This Row],[Reference]],tblGJ[Account Code],tblBank[[#This Row],[Account Code]])=0,"✖ Not in GJ",IF(ABS(tblBank[[#This Row],[GJ Amount]]-(tblBank[[#This Row],[Money In]]-tblBank[[#This Row],[Money Out]]))&lt;1,"✔ Recorded","⚠ Amount mismatch"))</f>
        <v>✔ Recorded</v>
      </c>
    </row>
    <row r="118" spans="2:13" x14ac:dyDescent="0.35">
      <c r="B118" s="4">
        <v>107</v>
      </c>
      <c r="C118" s="4" t="s">
        <v>6555</v>
      </c>
      <c r="D118" s="4">
        <v>1120</v>
      </c>
      <c r="E118" s="113">
        <v>46227</v>
      </c>
      <c r="F118" s="4" t="s">
        <v>6563</v>
      </c>
      <c r="G118" s="4" t="s">
        <v>5816</v>
      </c>
      <c r="H118" s="6">
        <v>0</v>
      </c>
      <c r="I118" s="6">
        <v>161397799</v>
      </c>
      <c r="J11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1052631570</v>
      </c>
      <c r="K118" s="1">
        <f>MONTH(tblBank[[#This Row],[Value Date]])</f>
        <v>7</v>
      </c>
      <c r="L118" s="5">
        <f>SUMIFS(tblGJ[Debit],tblGJ[Voucher No],tblBank[[#This Row],[Reference]],tblGJ[Account Code],tblBank[[#This Row],[Account Code]])-SUMIFS(tblGJ[Credit],tblGJ[Voucher No],tblBank[[#This Row],[Reference]],tblGJ[Account Code],tblBank[[#This Row],[Account Code]])</f>
        <v>-161397799</v>
      </c>
      <c r="M118" s="1" t="str">
        <f>IF(COUNTIFS(tblGJ[Voucher No],tblBank[[#This Row],[Reference]],tblGJ[Account Code],tblBank[[#This Row],[Account Code]])=0,"✖ Not in GJ",IF(ABS(tblBank[[#This Row],[GJ Amount]]-(tblBank[[#This Row],[Money In]]-tblBank[[#This Row],[Money Out]]))&lt;1,"✔ Recorded","⚠ Amount mismatch"))</f>
        <v>✔ Recorded</v>
      </c>
    </row>
    <row r="119" spans="2:13" x14ac:dyDescent="0.35">
      <c r="B119" s="4">
        <v>108</v>
      </c>
      <c r="C119" s="4" t="s">
        <v>6555</v>
      </c>
      <c r="D119" s="4">
        <v>1120</v>
      </c>
      <c r="E119" s="113">
        <v>46231</v>
      </c>
      <c r="F119" s="4" t="s">
        <v>6564</v>
      </c>
      <c r="G119" s="4" t="s">
        <v>5818</v>
      </c>
      <c r="H119" s="6">
        <v>0</v>
      </c>
      <c r="I119" s="6">
        <v>44369710</v>
      </c>
      <c r="J11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1008261860</v>
      </c>
      <c r="K119" s="1">
        <f>MONTH(tblBank[[#This Row],[Value Date]])</f>
        <v>7</v>
      </c>
      <c r="L119" s="5">
        <f>SUMIFS(tblGJ[Debit],tblGJ[Voucher No],tblBank[[#This Row],[Reference]],tblGJ[Account Code],tblBank[[#This Row],[Account Code]])-SUMIFS(tblGJ[Credit],tblGJ[Voucher No],tblBank[[#This Row],[Reference]],tblGJ[Account Code],tblBank[[#This Row],[Account Code]])</f>
        <v>-44369710</v>
      </c>
      <c r="M119" s="1" t="str">
        <f>IF(COUNTIFS(tblGJ[Voucher No],tblBank[[#This Row],[Reference]],tblGJ[Account Code],tblBank[[#This Row],[Account Code]])=0,"✖ Not in GJ",IF(ABS(tblBank[[#This Row],[GJ Amount]]-(tblBank[[#This Row],[Money In]]-tblBank[[#This Row],[Money Out]]))&lt;1,"✔ Recorded","⚠ Amount mismatch"))</f>
        <v>✔ Recorded</v>
      </c>
    </row>
    <row r="120" spans="2:13" x14ac:dyDescent="0.35">
      <c r="B120" s="4">
        <v>109</v>
      </c>
      <c r="C120" s="4" t="s">
        <v>6555</v>
      </c>
      <c r="D120" s="4">
        <v>1120</v>
      </c>
      <c r="E120" s="113">
        <v>46231</v>
      </c>
      <c r="F120" s="4" t="s">
        <v>6565</v>
      </c>
      <c r="G120" s="4" t="s">
        <v>5819</v>
      </c>
      <c r="H120" s="6">
        <v>0</v>
      </c>
      <c r="I120" s="6">
        <v>35125000</v>
      </c>
      <c r="J12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973136860</v>
      </c>
      <c r="K120" s="1">
        <f>MONTH(tblBank[[#This Row],[Value Date]])</f>
        <v>7</v>
      </c>
      <c r="L120" s="5">
        <f>SUMIFS(tblGJ[Debit],tblGJ[Voucher No],tblBank[[#This Row],[Reference]],tblGJ[Account Code],tblBank[[#This Row],[Account Code]])-SUMIFS(tblGJ[Credit],tblGJ[Voucher No],tblBank[[#This Row],[Reference]],tblGJ[Account Code],tblBank[[#This Row],[Account Code]])</f>
        <v>-35125000</v>
      </c>
      <c r="M120" s="1" t="str">
        <f>IF(COUNTIFS(tblGJ[Voucher No],tblBank[[#This Row],[Reference]],tblGJ[Account Code],tblBank[[#This Row],[Account Code]])=0,"✖ Not in GJ",IF(ABS(tblBank[[#This Row],[GJ Amount]]-(tblBank[[#This Row],[Money In]]-tblBank[[#This Row],[Money Out]]))&lt;1,"✔ Recorded","⚠ Amount mismatch"))</f>
        <v>✔ Recorded</v>
      </c>
    </row>
    <row r="121" spans="2:13" x14ac:dyDescent="0.35">
      <c r="B121" s="4">
        <v>110</v>
      </c>
      <c r="C121" s="4" t="s">
        <v>6555</v>
      </c>
      <c r="D121" s="4">
        <v>1120</v>
      </c>
      <c r="E121" s="113">
        <v>46234</v>
      </c>
      <c r="F121" s="4" t="s">
        <v>6567</v>
      </c>
      <c r="G121" s="4" t="s">
        <v>5820</v>
      </c>
      <c r="H121" s="6">
        <v>241208550</v>
      </c>
      <c r="I121" s="6">
        <v>0</v>
      </c>
      <c r="J12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1214345410</v>
      </c>
      <c r="K121" s="1">
        <f>MONTH(tblBank[[#This Row],[Value Date]])</f>
        <v>7</v>
      </c>
      <c r="L121" s="5">
        <f>SUMIFS(tblGJ[Debit],tblGJ[Voucher No],tblBank[[#This Row],[Reference]],tblGJ[Account Code],tblBank[[#This Row],[Account Code]])-SUMIFS(tblGJ[Credit],tblGJ[Voucher No],tblBank[[#This Row],[Reference]],tblGJ[Account Code],tblBank[[#This Row],[Account Code]])</f>
        <v>241208550</v>
      </c>
      <c r="M121" s="1" t="str">
        <f>IF(COUNTIFS(tblGJ[Voucher No],tblBank[[#This Row],[Reference]],tblGJ[Account Code],tblBank[[#This Row],[Account Code]])=0,"✖ Not in GJ",IF(ABS(tblBank[[#This Row],[GJ Amount]]-(tblBank[[#This Row],[Money In]]-tblBank[[#This Row],[Money Out]]))&lt;1,"✔ Recorded","⚠ Amount mismatch"))</f>
        <v>✔ Recorded</v>
      </c>
    </row>
    <row r="122" spans="2:13" x14ac:dyDescent="0.35">
      <c r="B122" s="4">
        <v>111</v>
      </c>
      <c r="C122" s="4" t="s">
        <v>6555</v>
      </c>
      <c r="D122" s="4">
        <v>1120</v>
      </c>
      <c r="E122" s="113">
        <v>46234</v>
      </c>
      <c r="F122" s="4" t="s">
        <v>6568</v>
      </c>
      <c r="G122" s="4" t="s">
        <v>5822</v>
      </c>
      <c r="H122" s="6">
        <v>130968900</v>
      </c>
      <c r="I122" s="6">
        <v>0</v>
      </c>
      <c r="J12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1345314310</v>
      </c>
      <c r="K122" s="1">
        <f>MONTH(tblBank[[#This Row],[Value Date]])</f>
        <v>7</v>
      </c>
      <c r="L122" s="5">
        <f>SUMIFS(tblGJ[Debit],tblGJ[Voucher No],tblBank[[#This Row],[Reference]],tblGJ[Account Code],tblBank[[#This Row],[Account Code]])-SUMIFS(tblGJ[Credit],tblGJ[Voucher No],tblBank[[#This Row],[Reference]],tblGJ[Account Code],tblBank[[#This Row],[Account Code]])</f>
        <v>130968900</v>
      </c>
      <c r="M122" s="1" t="str">
        <f>IF(COUNTIFS(tblGJ[Voucher No],tblBank[[#This Row],[Reference]],tblGJ[Account Code],tblBank[[#This Row],[Account Code]])=0,"✖ Not in GJ",IF(ABS(tblBank[[#This Row],[GJ Amount]]-(tblBank[[#This Row],[Money In]]-tblBank[[#This Row],[Money Out]]))&lt;1,"✔ Recorded","⚠ Amount mismatch"))</f>
        <v>✔ Recorded</v>
      </c>
    </row>
    <row r="123" spans="2:13" x14ac:dyDescent="0.35">
      <c r="B123" s="4">
        <v>112</v>
      </c>
      <c r="C123" s="4" t="s">
        <v>6555</v>
      </c>
      <c r="D123" s="4">
        <v>1120</v>
      </c>
      <c r="E123" s="113">
        <v>46234</v>
      </c>
      <c r="F123" s="4" t="s">
        <v>6569</v>
      </c>
      <c r="G123" s="4" t="s">
        <v>5829</v>
      </c>
      <c r="H123" s="6">
        <v>1333333</v>
      </c>
      <c r="I123" s="6">
        <v>0</v>
      </c>
      <c r="J12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1346647643</v>
      </c>
      <c r="K123" s="1">
        <f>MONTH(tblBank[[#This Row],[Value Date]])</f>
        <v>7</v>
      </c>
      <c r="L123" s="5">
        <f>SUMIFS(tblGJ[Debit],tblGJ[Voucher No],tblBank[[#This Row],[Reference]],tblGJ[Account Code],tblBank[[#This Row],[Account Code]])-SUMIFS(tblGJ[Credit],tblGJ[Voucher No],tblBank[[#This Row],[Reference]],tblGJ[Account Code],tblBank[[#This Row],[Account Code]])</f>
        <v>1333333</v>
      </c>
      <c r="M123" s="1" t="str">
        <f>IF(COUNTIFS(tblGJ[Voucher No],tblBank[[#This Row],[Reference]],tblGJ[Account Code],tblBank[[#This Row],[Account Code]])=0,"✖ Not in GJ",IF(ABS(tblBank[[#This Row],[GJ Amount]]-(tblBank[[#This Row],[Money In]]-tblBank[[#This Row],[Money Out]]))&lt;1,"✔ Recorded","⚠ Amount mismatch"))</f>
        <v>✔ Recorded</v>
      </c>
    </row>
    <row r="124" spans="2:13" x14ac:dyDescent="0.35">
      <c r="B124" s="4">
        <v>113</v>
      </c>
      <c r="C124" s="4" t="s">
        <v>6555</v>
      </c>
      <c r="D124" s="4">
        <v>1120</v>
      </c>
      <c r="E124" s="113">
        <v>46234</v>
      </c>
      <c r="F124" s="4" t="s">
        <v>6570</v>
      </c>
      <c r="G124" s="4" t="s">
        <v>5830</v>
      </c>
      <c r="H124" s="6">
        <v>483293</v>
      </c>
      <c r="I124" s="6">
        <v>0</v>
      </c>
      <c r="J12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1347130936</v>
      </c>
      <c r="K124" s="1">
        <f>MONTH(tblBank[[#This Row],[Value Date]])</f>
        <v>7</v>
      </c>
      <c r="L124" s="5">
        <f>SUMIFS(tblGJ[Debit],tblGJ[Voucher No],tblBank[[#This Row],[Reference]],tblGJ[Account Code],tblBank[[#This Row],[Account Code]])-SUMIFS(tblGJ[Credit],tblGJ[Voucher No],tblBank[[#This Row],[Reference]],tblGJ[Account Code],tblBank[[#This Row],[Account Code]])</f>
        <v>483293</v>
      </c>
      <c r="M124" s="1" t="str">
        <f>IF(COUNTIFS(tblGJ[Voucher No],tblBank[[#This Row],[Reference]],tblGJ[Account Code],tblBank[[#This Row],[Account Code]])=0,"✖ Not in GJ",IF(ABS(tblBank[[#This Row],[GJ Amount]]-(tblBank[[#This Row],[Money In]]-tblBank[[#This Row],[Money Out]]))&lt;1,"✔ Recorded","⚠ Amount mismatch"))</f>
        <v>✔ Recorded</v>
      </c>
    </row>
    <row r="125" spans="2:13" x14ac:dyDescent="0.35">
      <c r="B125" s="4">
        <v>114</v>
      </c>
      <c r="C125" s="4" t="s">
        <v>6555</v>
      </c>
      <c r="D125" s="4">
        <v>1120</v>
      </c>
      <c r="E125" s="113">
        <v>46234</v>
      </c>
      <c r="F125" s="4" t="s">
        <v>6561</v>
      </c>
      <c r="G125" s="4" t="s">
        <v>5824</v>
      </c>
      <c r="H125" s="6">
        <v>0</v>
      </c>
      <c r="I125" s="6">
        <v>881629080</v>
      </c>
      <c r="J12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465501856</v>
      </c>
      <c r="K125" s="1">
        <f>MONTH(tblBank[[#This Row],[Value Date]])</f>
        <v>7</v>
      </c>
      <c r="L125" s="5">
        <f>SUMIFS(tblGJ[Debit],tblGJ[Voucher No],tblBank[[#This Row],[Reference]],tblGJ[Account Code],tblBank[[#This Row],[Account Code]])-SUMIFS(tblGJ[Credit],tblGJ[Voucher No],tblBank[[#This Row],[Reference]],tblGJ[Account Code],tblBank[[#This Row],[Account Code]])</f>
        <v>-881629080</v>
      </c>
      <c r="M125" s="1" t="str">
        <f>IF(COUNTIFS(tblGJ[Voucher No],tblBank[[#This Row],[Reference]],tblGJ[Account Code],tblBank[[#This Row],[Account Code]])=0,"✖ Not in GJ",IF(ABS(tblBank[[#This Row],[GJ Amount]]-(tblBank[[#This Row],[Money In]]-tblBank[[#This Row],[Money Out]]))&lt;1,"✔ Recorded","⚠ Amount mismatch"))</f>
        <v>✔ Recorded</v>
      </c>
    </row>
    <row r="126" spans="2:13" x14ac:dyDescent="0.35">
      <c r="B126" s="4">
        <v>115</v>
      </c>
      <c r="C126" s="4" t="s">
        <v>6555</v>
      </c>
      <c r="D126" s="4">
        <v>1120</v>
      </c>
      <c r="E126" s="113">
        <v>46234</v>
      </c>
      <c r="F126" s="4" t="s">
        <v>6571</v>
      </c>
      <c r="G126" s="4" t="s">
        <v>5831</v>
      </c>
      <c r="H126" s="6">
        <v>0</v>
      </c>
      <c r="I126" s="6">
        <v>96659</v>
      </c>
      <c r="J12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465405197</v>
      </c>
      <c r="K126" s="1">
        <f>MONTH(tblBank[[#This Row],[Value Date]])</f>
        <v>7</v>
      </c>
      <c r="L126" s="5">
        <f>SUMIFS(tblGJ[Debit],tblGJ[Voucher No],tblBank[[#This Row],[Reference]],tblGJ[Account Code],tblBank[[#This Row],[Account Code]])-SUMIFS(tblGJ[Credit],tblGJ[Voucher No],tblBank[[#This Row],[Reference]],tblGJ[Account Code],tblBank[[#This Row],[Account Code]])</f>
        <v>-96659</v>
      </c>
      <c r="M126" s="1" t="str">
        <f>IF(COUNTIFS(tblGJ[Voucher No],tblBank[[#This Row],[Reference]],tblGJ[Account Code],tblBank[[#This Row],[Account Code]])=0,"✖ Not in GJ",IF(ABS(tblBank[[#This Row],[GJ Amount]]-(tblBank[[#This Row],[Money In]]-tblBank[[#This Row],[Money Out]]))&lt;1,"✔ Recorded","⚠ Amount mismatch"))</f>
        <v>✔ Recorded</v>
      </c>
    </row>
    <row r="127" spans="2:13" x14ac:dyDescent="0.35">
      <c r="B127" s="4">
        <v>116</v>
      </c>
      <c r="C127" s="4" t="s">
        <v>6555</v>
      </c>
      <c r="D127" s="4">
        <v>1120</v>
      </c>
      <c r="E127" s="113">
        <v>46234</v>
      </c>
      <c r="F127" s="4" t="s">
        <v>6572</v>
      </c>
      <c r="G127" s="4" t="s">
        <v>5832</v>
      </c>
      <c r="H127" s="6">
        <v>0</v>
      </c>
      <c r="I127" s="6">
        <v>150000</v>
      </c>
      <c r="J12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465255197</v>
      </c>
      <c r="K127" s="1">
        <f>MONTH(tblBank[[#This Row],[Value Date]])</f>
        <v>7</v>
      </c>
      <c r="L127" s="5">
        <f>SUMIFS(tblGJ[Debit],tblGJ[Voucher No],tblBank[[#This Row],[Reference]],tblGJ[Account Code],tblBank[[#This Row],[Account Code]])-SUMIFS(tblGJ[Credit],tblGJ[Voucher No],tblBank[[#This Row],[Reference]],tblGJ[Account Code],tblBank[[#This Row],[Account Code]])</f>
        <v>-150000</v>
      </c>
      <c r="M127" s="1" t="str">
        <f>IF(COUNTIFS(tblGJ[Voucher No],tblBank[[#This Row],[Reference]],tblGJ[Account Code],tblBank[[#This Row],[Account Code]])=0,"✖ Not in GJ",IF(ABS(tblBank[[#This Row],[GJ Amount]]-(tblBank[[#This Row],[Money In]]-tblBank[[#This Row],[Money Out]]))&lt;1,"✔ Recorded","⚠ Amount mismatch"))</f>
        <v>✔ Recorded</v>
      </c>
    </row>
    <row r="128" spans="2:13" x14ac:dyDescent="0.35">
      <c r="B128" s="4">
        <v>117</v>
      </c>
      <c r="C128" s="4" t="s">
        <v>6555</v>
      </c>
      <c r="D128" s="4">
        <v>1120</v>
      </c>
      <c r="E128" s="113">
        <v>46244</v>
      </c>
      <c r="F128" s="4" t="s">
        <v>6556</v>
      </c>
      <c r="G128" s="4" t="s">
        <v>5836</v>
      </c>
      <c r="H128" s="6">
        <v>0</v>
      </c>
      <c r="I128" s="6">
        <v>10516831</v>
      </c>
      <c r="J12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454738366</v>
      </c>
      <c r="K128" s="1">
        <f>MONTH(tblBank[[#This Row],[Value Date]])</f>
        <v>8</v>
      </c>
      <c r="L128" s="5">
        <f>SUMIFS(tblGJ[Debit],tblGJ[Voucher No],tblBank[[#This Row],[Reference]],tblGJ[Account Code],tblBank[[#This Row],[Account Code]])-SUMIFS(tblGJ[Credit],tblGJ[Voucher No],tblBank[[#This Row],[Reference]],tblGJ[Account Code],tblBank[[#This Row],[Account Code]])</f>
        <v>-10516831</v>
      </c>
      <c r="M128" s="1" t="str">
        <f>IF(COUNTIFS(tblGJ[Voucher No],tblBank[[#This Row],[Reference]],tblGJ[Account Code],tblBank[[#This Row],[Account Code]])=0,"✖ Not in GJ",IF(ABS(tblBank[[#This Row],[GJ Amount]]-(tblBank[[#This Row],[Money In]]-tblBank[[#This Row],[Money Out]]))&lt;1,"✔ Recorded","⚠ Amount mismatch"))</f>
        <v>✔ Recorded</v>
      </c>
    </row>
    <row r="129" spans="2:13" x14ac:dyDescent="0.35">
      <c r="B129" s="4">
        <v>118</v>
      </c>
      <c r="C129" s="4" t="s">
        <v>6555</v>
      </c>
      <c r="D129" s="4">
        <v>1120</v>
      </c>
      <c r="E129" s="113">
        <v>46244</v>
      </c>
      <c r="F129" s="4" t="s">
        <v>6557</v>
      </c>
      <c r="G129" s="4" t="s">
        <v>5837</v>
      </c>
      <c r="H129" s="6">
        <v>0</v>
      </c>
      <c r="I129" s="6">
        <v>22077790</v>
      </c>
      <c r="J12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432660576</v>
      </c>
      <c r="K129" s="1">
        <f>MONTH(tblBank[[#This Row],[Value Date]])</f>
        <v>8</v>
      </c>
      <c r="L129" s="5">
        <f>SUMIFS(tblGJ[Debit],tblGJ[Voucher No],tblBank[[#This Row],[Reference]],tblGJ[Account Code],tblBank[[#This Row],[Account Code]])-SUMIFS(tblGJ[Credit],tblGJ[Voucher No],tblBank[[#This Row],[Reference]],tblGJ[Account Code],tblBank[[#This Row],[Account Code]])</f>
        <v>-22077790</v>
      </c>
      <c r="M129" s="1" t="str">
        <f>IF(COUNTIFS(tblGJ[Voucher No],tblBank[[#This Row],[Reference]],tblGJ[Account Code],tblBank[[#This Row],[Account Code]])=0,"✖ Not in GJ",IF(ABS(tblBank[[#This Row],[GJ Amount]]-(tblBank[[#This Row],[Money In]]-tblBank[[#This Row],[Money Out]]))&lt;1,"✔ Recorded","⚠ Amount mismatch"))</f>
        <v>✔ Recorded</v>
      </c>
    </row>
    <row r="130" spans="2:13" x14ac:dyDescent="0.35">
      <c r="B130" s="4">
        <v>119</v>
      </c>
      <c r="C130" s="4" t="s">
        <v>6555</v>
      </c>
      <c r="D130" s="4">
        <v>1120</v>
      </c>
      <c r="E130" s="113">
        <v>46249</v>
      </c>
      <c r="F130" s="4" t="s">
        <v>6559</v>
      </c>
      <c r="G130" s="4" t="s">
        <v>5838</v>
      </c>
      <c r="H130" s="6">
        <v>0</v>
      </c>
      <c r="I130" s="6">
        <v>701580</v>
      </c>
      <c r="J13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431958996</v>
      </c>
      <c r="K130" s="1">
        <f>MONTH(tblBank[[#This Row],[Value Date]])</f>
        <v>8</v>
      </c>
      <c r="L130" s="5">
        <f>SUMIFS(tblGJ[Debit],tblGJ[Voucher No],tblBank[[#This Row],[Reference]],tblGJ[Account Code],tblBank[[#This Row],[Account Code]])-SUMIFS(tblGJ[Credit],tblGJ[Voucher No],tblBank[[#This Row],[Reference]],tblGJ[Account Code],tblBank[[#This Row],[Account Code]])</f>
        <v>-701580</v>
      </c>
      <c r="M130" s="1" t="str">
        <f>IF(COUNTIFS(tblGJ[Voucher No],tblBank[[#This Row],[Reference]],tblGJ[Account Code],tblBank[[#This Row],[Account Code]])=0,"✖ Not in GJ",IF(ABS(tblBank[[#This Row],[GJ Amount]]-(tblBank[[#This Row],[Money In]]-tblBank[[#This Row],[Money Out]]))&lt;1,"✔ Recorded","⚠ Amount mismatch"))</f>
        <v>✔ Recorded</v>
      </c>
    </row>
    <row r="131" spans="2:13" x14ac:dyDescent="0.35">
      <c r="B131" s="4">
        <v>120</v>
      </c>
      <c r="C131" s="4" t="s">
        <v>6555</v>
      </c>
      <c r="D131" s="4">
        <v>1120</v>
      </c>
      <c r="E131" s="113">
        <v>46249</v>
      </c>
      <c r="F131" s="4" t="s">
        <v>6560</v>
      </c>
      <c r="G131" s="4" t="s">
        <v>5839</v>
      </c>
      <c r="H131" s="6">
        <v>0</v>
      </c>
      <c r="I131" s="6">
        <v>20000000</v>
      </c>
      <c r="J13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411958996</v>
      </c>
      <c r="K131" s="1">
        <f>MONTH(tblBank[[#This Row],[Value Date]])</f>
        <v>8</v>
      </c>
      <c r="L131" s="5">
        <f>SUMIFS(tblGJ[Debit],tblGJ[Voucher No],tblBank[[#This Row],[Reference]],tblGJ[Account Code],tblBank[[#This Row],[Account Code]])-SUMIFS(tblGJ[Credit],tblGJ[Voucher No],tblBank[[#This Row],[Reference]],tblGJ[Account Code],tblBank[[#This Row],[Account Code]])</f>
        <v>-20000000</v>
      </c>
      <c r="M131" s="1" t="str">
        <f>IF(COUNTIFS(tblGJ[Voucher No],tblBank[[#This Row],[Reference]],tblGJ[Account Code],tblBank[[#This Row],[Account Code]])=0,"✖ Not in GJ",IF(ABS(tblBank[[#This Row],[GJ Amount]]-(tblBank[[#This Row],[Money In]]-tblBank[[#This Row],[Money Out]]))&lt;1,"✔ Recorded","⚠ Amount mismatch"))</f>
        <v>✔ Recorded</v>
      </c>
    </row>
    <row r="132" spans="2:13" x14ac:dyDescent="0.35">
      <c r="B132" s="4">
        <v>121</v>
      </c>
      <c r="C132" s="4" t="s">
        <v>6555</v>
      </c>
      <c r="D132" s="4">
        <v>1120</v>
      </c>
      <c r="E132" s="113">
        <v>46254</v>
      </c>
      <c r="F132" s="4" t="s">
        <v>6562</v>
      </c>
      <c r="G132" s="4" t="s">
        <v>5840</v>
      </c>
      <c r="H132" s="6">
        <v>1150626000</v>
      </c>
      <c r="I132" s="6">
        <v>0</v>
      </c>
      <c r="J13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1562584996</v>
      </c>
      <c r="K132" s="1">
        <f>MONTH(tblBank[[#This Row],[Value Date]])</f>
        <v>8</v>
      </c>
      <c r="L132" s="5">
        <f>SUMIFS(tblGJ[Debit],tblGJ[Voucher No],tblBank[[#This Row],[Reference]],tblGJ[Account Code],tblBank[[#This Row],[Account Code]])-SUMIFS(tblGJ[Credit],tblGJ[Voucher No],tblBank[[#This Row],[Reference]],tblGJ[Account Code],tblBank[[#This Row],[Account Code]])</f>
        <v>1150626000</v>
      </c>
      <c r="M132" s="1" t="str">
        <f>IF(COUNTIFS(tblGJ[Voucher No],tblBank[[#This Row],[Reference]],tblGJ[Account Code],tblBank[[#This Row],[Account Code]])=0,"✖ Not in GJ",IF(ABS(tblBank[[#This Row],[GJ Amount]]-(tblBank[[#This Row],[Money In]]-tblBank[[#This Row],[Money Out]]))&lt;1,"✔ Recorded","⚠ Amount mismatch"))</f>
        <v>✔ Recorded</v>
      </c>
    </row>
    <row r="133" spans="2:13" x14ac:dyDescent="0.35">
      <c r="B133" s="4">
        <v>122</v>
      </c>
      <c r="C133" s="4" t="s">
        <v>6555</v>
      </c>
      <c r="D133" s="4">
        <v>1120</v>
      </c>
      <c r="E133" s="113">
        <v>46258</v>
      </c>
      <c r="F133" s="4" t="s">
        <v>6563</v>
      </c>
      <c r="G133" s="4" t="s">
        <v>5841</v>
      </c>
      <c r="H133" s="6">
        <v>0</v>
      </c>
      <c r="I133" s="6">
        <v>161397799</v>
      </c>
      <c r="J13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1401187197</v>
      </c>
      <c r="K133" s="1">
        <f>MONTH(tblBank[[#This Row],[Value Date]])</f>
        <v>8</v>
      </c>
      <c r="L133" s="5">
        <f>SUMIFS(tblGJ[Debit],tblGJ[Voucher No],tblBank[[#This Row],[Reference]],tblGJ[Account Code],tblBank[[#This Row],[Account Code]])-SUMIFS(tblGJ[Credit],tblGJ[Voucher No],tblBank[[#This Row],[Reference]],tblGJ[Account Code],tblBank[[#This Row],[Account Code]])</f>
        <v>-161397799</v>
      </c>
      <c r="M133" s="1" t="str">
        <f>IF(COUNTIFS(tblGJ[Voucher No],tblBank[[#This Row],[Reference]],tblGJ[Account Code],tblBank[[#This Row],[Account Code]])=0,"✖ Not in GJ",IF(ABS(tblBank[[#This Row],[GJ Amount]]-(tblBank[[#This Row],[Money In]]-tblBank[[#This Row],[Money Out]]))&lt;1,"✔ Recorded","⚠ Amount mismatch"))</f>
        <v>✔ Recorded</v>
      </c>
    </row>
    <row r="134" spans="2:13" x14ac:dyDescent="0.35">
      <c r="B134" s="4">
        <v>123</v>
      </c>
      <c r="C134" s="4" t="s">
        <v>6555</v>
      </c>
      <c r="D134" s="4">
        <v>1120</v>
      </c>
      <c r="E134" s="113">
        <v>46262</v>
      </c>
      <c r="F134" s="4" t="s">
        <v>6564</v>
      </c>
      <c r="G134" s="4" t="s">
        <v>5843</v>
      </c>
      <c r="H134" s="6">
        <v>0</v>
      </c>
      <c r="I134" s="6">
        <v>70697110</v>
      </c>
      <c r="J13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1330490087</v>
      </c>
      <c r="K134" s="1">
        <f>MONTH(tblBank[[#This Row],[Value Date]])</f>
        <v>8</v>
      </c>
      <c r="L134" s="5">
        <f>SUMIFS(tblGJ[Debit],tblGJ[Voucher No],tblBank[[#This Row],[Reference]],tblGJ[Account Code],tblBank[[#This Row],[Account Code]])-SUMIFS(tblGJ[Credit],tblGJ[Voucher No],tblBank[[#This Row],[Reference]],tblGJ[Account Code],tblBank[[#This Row],[Account Code]])</f>
        <v>-70697110</v>
      </c>
      <c r="M134" s="1" t="str">
        <f>IF(COUNTIFS(tblGJ[Voucher No],tblBank[[#This Row],[Reference]],tblGJ[Account Code],tblBank[[#This Row],[Account Code]])=0,"✖ Not in GJ",IF(ABS(tblBank[[#This Row],[GJ Amount]]-(tblBank[[#This Row],[Money In]]-tblBank[[#This Row],[Money Out]]))&lt;1,"✔ Recorded","⚠ Amount mismatch"))</f>
        <v>✔ Recorded</v>
      </c>
    </row>
    <row r="135" spans="2:13" x14ac:dyDescent="0.35">
      <c r="B135" s="4">
        <v>124</v>
      </c>
      <c r="C135" s="4" t="s">
        <v>6555</v>
      </c>
      <c r="D135" s="4">
        <v>1120</v>
      </c>
      <c r="E135" s="113">
        <v>46262</v>
      </c>
      <c r="F135" s="4" t="s">
        <v>6565</v>
      </c>
      <c r="G135" s="4" t="s">
        <v>5844</v>
      </c>
      <c r="H135" s="6">
        <v>0</v>
      </c>
      <c r="I135" s="6">
        <v>34937500</v>
      </c>
      <c r="J13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1295552587</v>
      </c>
      <c r="K135" s="1">
        <f>MONTH(tblBank[[#This Row],[Value Date]])</f>
        <v>8</v>
      </c>
      <c r="L135" s="5">
        <f>SUMIFS(tblGJ[Debit],tblGJ[Voucher No],tblBank[[#This Row],[Reference]],tblGJ[Account Code],tblBank[[#This Row],[Account Code]])-SUMIFS(tblGJ[Credit],tblGJ[Voucher No],tblBank[[#This Row],[Reference]],tblGJ[Account Code],tblBank[[#This Row],[Account Code]])</f>
        <v>-34937500</v>
      </c>
      <c r="M135" s="1" t="str">
        <f>IF(COUNTIFS(tblGJ[Voucher No],tblBank[[#This Row],[Reference]],tblGJ[Account Code],tblBank[[#This Row],[Account Code]])=0,"✖ Not in GJ",IF(ABS(tblBank[[#This Row],[GJ Amount]]-(tblBank[[#This Row],[Money In]]-tblBank[[#This Row],[Money Out]]))&lt;1,"✔ Recorded","⚠ Amount mismatch"))</f>
        <v>✔ Recorded</v>
      </c>
    </row>
    <row r="136" spans="2:13" x14ac:dyDescent="0.35">
      <c r="B136" s="4">
        <v>125</v>
      </c>
      <c r="C136" s="4" t="s">
        <v>6555</v>
      </c>
      <c r="D136" s="4">
        <v>1120</v>
      </c>
      <c r="E136" s="113">
        <v>46265</v>
      </c>
      <c r="F136" s="4" t="s">
        <v>6567</v>
      </c>
      <c r="G136" s="4" t="s">
        <v>5845</v>
      </c>
      <c r="H136" s="6">
        <v>216716400</v>
      </c>
      <c r="I136" s="6">
        <v>0</v>
      </c>
      <c r="J13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1512268987</v>
      </c>
      <c r="K136" s="1">
        <f>MONTH(tblBank[[#This Row],[Value Date]])</f>
        <v>8</v>
      </c>
      <c r="L136" s="5">
        <f>SUMIFS(tblGJ[Debit],tblGJ[Voucher No],tblBank[[#This Row],[Reference]],tblGJ[Account Code],tblBank[[#This Row],[Account Code]])-SUMIFS(tblGJ[Credit],tblGJ[Voucher No],tblBank[[#This Row],[Reference]],tblGJ[Account Code],tblBank[[#This Row],[Account Code]])</f>
        <v>216716400</v>
      </c>
      <c r="M136" s="1" t="str">
        <f>IF(COUNTIFS(tblGJ[Voucher No],tblBank[[#This Row],[Reference]],tblGJ[Account Code],tblBank[[#This Row],[Account Code]])=0,"✖ Not in GJ",IF(ABS(tblBank[[#This Row],[GJ Amount]]-(tblBank[[#This Row],[Money In]]-tblBank[[#This Row],[Money Out]]))&lt;1,"✔ Recorded","⚠ Amount mismatch"))</f>
        <v>✔ Recorded</v>
      </c>
    </row>
    <row r="137" spans="2:13" x14ac:dyDescent="0.35">
      <c r="B137" s="4">
        <v>126</v>
      </c>
      <c r="C137" s="4" t="s">
        <v>6555</v>
      </c>
      <c r="D137" s="4">
        <v>1120</v>
      </c>
      <c r="E137" s="113">
        <v>46265</v>
      </c>
      <c r="F137" s="4" t="s">
        <v>6568</v>
      </c>
      <c r="G137" s="4" t="s">
        <v>5847</v>
      </c>
      <c r="H137" s="6">
        <v>184648500</v>
      </c>
      <c r="I137" s="6">
        <v>0</v>
      </c>
      <c r="J13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1696917487</v>
      </c>
      <c r="K137" s="1">
        <f>MONTH(tblBank[[#This Row],[Value Date]])</f>
        <v>8</v>
      </c>
      <c r="L137" s="5">
        <f>SUMIFS(tblGJ[Debit],tblGJ[Voucher No],tblBank[[#This Row],[Reference]],tblGJ[Account Code],tblBank[[#This Row],[Account Code]])-SUMIFS(tblGJ[Credit],tblGJ[Voucher No],tblBank[[#This Row],[Reference]],tblGJ[Account Code],tblBank[[#This Row],[Account Code]])</f>
        <v>184648500</v>
      </c>
      <c r="M137" s="1" t="str">
        <f>IF(COUNTIFS(tblGJ[Voucher No],tblBank[[#This Row],[Reference]],tblGJ[Account Code],tblBank[[#This Row],[Account Code]])=0,"✖ Not in GJ",IF(ABS(tblBank[[#This Row],[GJ Amount]]-(tblBank[[#This Row],[Money In]]-tblBank[[#This Row],[Money Out]]))&lt;1,"✔ Recorded","⚠ Amount mismatch"))</f>
        <v>✔ Recorded</v>
      </c>
    </row>
    <row r="138" spans="2:13" x14ac:dyDescent="0.35">
      <c r="B138" s="4">
        <v>127</v>
      </c>
      <c r="C138" s="4" t="s">
        <v>6555</v>
      </c>
      <c r="D138" s="4">
        <v>1120</v>
      </c>
      <c r="E138" s="113">
        <v>46265</v>
      </c>
      <c r="F138" s="4" t="s">
        <v>6569</v>
      </c>
      <c r="G138" s="4" t="s">
        <v>5854</v>
      </c>
      <c r="H138" s="6">
        <v>1333333</v>
      </c>
      <c r="I138" s="6">
        <v>0</v>
      </c>
      <c r="J13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1698250820</v>
      </c>
      <c r="K138" s="1">
        <f>MONTH(tblBank[[#This Row],[Value Date]])</f>
        <v>8</v>
      </c>
      <c r="L138" s="5">
        <f>SUMIFS(tblGJ[Debit],tblGJ[Voucher No],tblBank[[#This Row],[Reference]],tblGJ[Account Code],tblBank[[#This Row],[Account Code]])-SUMIFS(tblGJ[Credit],tblGJ[Voucher No],tblBank[[#This Row],[Reference]],tblGJ[Account Code],tblBank[[#This Row],[Account Code]])</f>
        <v>1333333</v>
      </c>
      <c r="M138" s="1" t="str">
        <f>IF(COUNTIFS(tblGJ[Voucher No],tblBank[[#This Row],[Reference]],tblGJ[Account Code],tblBank[[#This Row],[Account Code]])=0,"✖ Not in GJ",IF(ABS(tblBank[[#This Row],[GJ Amount]]-(tblBank[[#This Row],[Money In]]-tblBank[[#This Row],[Money Out]]))&lt;1,"✔ Recorded","⚠ Amount mismatch"))</f>
        <v>✔ Recorded</v>
      </c>
    </row>
    <row r="139" spans="2:13" x14ac:dyDescent="0.35">
      <c r="B139" s="4">
        <v>128</v>
      </c>
      <c r="C139" s="4" t="s">
        <v>6555</v>
      </c>
      <c r="D139" s="4">
        <v>1120</v>
      </c>
      <c r="E139" s="113">
        <v>46265</v>
      </c>
      <c r="F139" s="4" t="s">
        <v>6570</v>
      </c>
      <c r="G139" s="4" t="s">
        <v>5855</v>
      </c>
      <c r="H139" s="6">
        <v>437312</v>
      </c>
      <c r="I139" s="6">
        <v>0</v>
      </c>
      <c r="J13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1698688132</v>
      </c>
      <c r="K139" s="1">
        <f>MONTH(tblBank[[#This Row],[Value Date]])</f>
        <v>8</v>
      </c>
      <c r="L139" s="5">
        <f>SUMIFS(tblGJ[Debit],tblGJ[Voucher No],tblBank[[#This Row],[Reference]],tblGJ[Account Code],tblBank[[#This Row],[Account Code]])-SUMIFS(tblGJ[Credit],tblGJ[Voucher No],tblBank[[#This Row],[Reference]],tblGJ[Account Code],tblBank[[#This Row],[Account Code]])</f>
        <v>437312</v>
      </c>
      <c r="M139" s="1" t="str">
        <f>IF(COUNTIFS(tblGJ[Voucher No],tblBank[[#This Row],[Reference]],tblGJ[Account Code],tblBank[[#This Row],[Account Code]])=0,"✖ Not in GJ",IF(ABS(tblBank[[#This Row],[GJ Amount]]-(tblBank[[#This Row],[Money In]]-tblBank[[#This Row],[Money Out]]))&lt;1,"✔ Recorded","⚠ Amount mismatch"))</f>
        <v>✔ Recorded</v>
      </c>
    </row>
    <row r="140" spans="2:13" x14ac:dyDescent="0.35">
      <c r="B140" s="4">
        <v>129</v>
      </c>
      <c r="C140" s="4" t="s">
        <v>6555</v>
      </c>
      <c r="D140" s="4">
        <v>1120</v>
      </c>
      <c r="E140" s="113">
        <v>46265</v>
      </c>
      <c r="F140" s="4" t="s">
        <v>6561</v>
      </c>
      <c r="G140" s="4" t="s">
        <v>5849</v>
      </c>
      <c r="H140" s="6">
        <v>0</v>
      </c>
      <c r="I140" s="6">
        <v>1259751860</v>
      </c>
      <c r="J14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438936272</v>
      </c>
      <c r="K140" s="1">
        <f>MONTH(tblBank[[#This Row],[Value Date]])</f>
        <v>8</v>
      </c>
      <c r="L140" s="5">
        <f>SUMIFS(tblGJ[Debit],tblGJ[Voucher No],tblBank[[#This Row],[Reference]],tblGJ[Account Code],tblBank[[#This Row],[Account Code]])-SUMIFS(tblGJ[Credit],tblGJ[Voucher No],tblBank[[#This Row],[Reference]],tblGJ[Account Code],tblBank[[#This Row],[Account Code]])</f>
        <v>-1259751860</v>
      </c>
      <c r="M140" s="1" t="str">
        <f>IF(COUNTIFS(tblGJ[Voucher No],tblBank[[#This Row],[Reference]],tblGJ[Account Code],tblBank[[#This Row],[Account Code]])=0,"✖ Not in GJ",IF(ABS(tblBank[[#This Row],[GJ Amount]]-(tblBank[[#This Row],[Money In]]-tblBank[[#This Row],[Money Out]]))&lt;1,"✔ Recorded","⚠ Amount mismatch"))</f>
        <v>✔ Recorded</v>
      </c>
    </row>
    <row r="141" spans="2:13" x14ac:dyDescent="0.35">
      <c r="B141" s="4">
        <v>130</v>
      </c>
      <c r="C141" s="4" t="s">
        <v>6555</v>
      </c>
      <c r="D141" s="4">
        <v>1120</v>
      </c>
      <c r="E141" s="113">
        <v>46265</v>
      </c>
      <c r="F141" s="4" t="s">
        <v>6571</v>
      </c>
      <c r="G141" s="4" t="s">
        <v>5856</v>
      </c>
      <c r="H141" s="6">
        <v>0</v>
      </c>
      <c r="I141" s="6">
        <v>87462</v>
      </c>
      <c r="J14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438848810</v>
      </c>
      <c r="K141" s="1">
        <f>MONTH(tblBank[[#This Row],[Value Date]])</f>
        <v>8</v>
      </c>
      <c r="L141" s="5">
        <f>SUMIFS(tblGJ[Debit],tblGJ[Voucher No],tblBank[[#This Row],[Reference]],tblGJ[Account Code],tblBank[[#This Row],[Account Code]])-SUMIFS(tblGJ[Credit],tblGJ[Voucher No],tblBank[[#This Row],[Reference]],tblGJ[Account Code],tblBank[[#This Row],[Account Code]])</f>
        <v>-87462</v>
      </c>
      <c r="M141" s="1" t="str">
        <f>IF(COUNTIFS(tblGJ[Voucher No],tblBank[[#This Row],[Reference]],tblGJ[Account Code],tblBank[[#This Row],[Account Code]])=0,"✖ Not in GJ",IF(ABS(tblBank[[#This Row],[GJ Amount]]-(tblBank[[#This Row],[Money In]]-tblBank[[#This Row],[Money Out]]))&lt;1,"✔ Recorded","⚠ Amount mismatch"))</f>
        <v>✔ Recorded</v>
      </c>
    </row>
    <row r="142" spans="2:13" x14ac:dyDescent="0.35">
      <c r="B142" s="4">
        <v>131</v>
      </c>
      <c r="C142" s="4" t="s">
        <v>6555</v>
      </c>
      <c r="D142" s="4">
        <v>1120</v>
      </c>
      <c r="E142" s="113">
        <v>46265</v>
      </c>
      <c r="F142" s="4" t="s">
        <v>6572</v>
      </c>
      <c r="G142" s="4" t="s">
        <v>5857</v>
      </c>
      <c r="H142" s="6">
        <v>0</v>
      </c>
      <c r="I142" s="6">
        <v>150000</v>
      </c>
      <c r="J14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438698810</v>
      </c>
      <c r="K142" s="1">
        <f>MONTH(tblBank[[#This Row],[Value Date]])</f>
        <v>8</v>
      </c>
      <c r="L142" s="5">
        <f>SUMIFS(tblGJ[Debit],tblGJ[Voucher No],tblBank[[#This Row],[Reference]],tblGJ[Account Code],tblBank[[#This Row],[Account Code]])-SUMIFS(tblGJ[Credit],tblGJ[Voucher No],tblBank[[#This Row],[Reference]],tblGJ[Account Code],tblBank[[#This Row],[Account Code]])</f>
        <v>-150000</v>
      </c>
      <c r="M142" s="1" t="str">
        <f>IF(COUNTIFS(tblGJ[Voucher No],tblBank[[#This Row],[Reference]],tblGJ[Account Code],tblBank[[#This Row],[Account Code]])=0,"✖ Not in GJ",IF(ABS(tblBank[[#This Row],[GJ Amount]]-(tblBank[[#This Row],[Money In]]-tblBank[[#This Row],[Money Out]]))&lt;1,"✔ Recorded","⚠ Amount mismatch"))</f>
        <v>✔ Recorded</v>
      </c>
    </row>
    <row r="143" spans="2:13" x14ac:dyDescent="0.35">
      <c r="B143" s="4">
        <v>132</v>
      </c>
      <c r="C143" s="4" t="s">
        <v>6555</v>
      </c>
      <c r="D143" s="4">
        <v>1120</v>
      </c>
      <c r="E143" s="113">
        <v>46275</v>
      </c>
      <c r="F143" s="4" t="s">
        <v>6556</v>
      </c>
      <c r="G143" s="4" t="s">
        <v>5861</v>
      </c>
      <c r="H143" s="6">
        <v>0</v>
      </c>
      <c r="I143" s="6">
        <v>10516831</v>
      </c>
      <c r="J14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428181979</v>
      </c>
      <c r="K143" s="1">
        <f>MONTH(tblBank[[#This Row],[Value Date]])</f>
        <v>9</v>
      </c>
      <c r="L143" s="5">
        <f>SUMIFS(tblGJ[Debit],tblGJ[Voucher No],tblBank[[#This Row],[Reference]],tblGJ[Account Code],tblBank[[#This Row],[Account Code]])-SUMIFS(tblGJ[Credit],tblGJ[Voucher No],tblBank[[#This Row],[Reference]],tblGJ[Account Code],tblBank[[#This Row],[Account Code]])</f>
        <v>-10516831</v>
      </c>
      <c r="M143" s="1" t="str">
        <f>IF(COUNTIFS(tblGJ[Voucher No],tblBank[[#This Row],[Reference]],tblGJ[Account Code],tblBank[[#This Row],[Account Code]])=0,"✖ Not in GJ",IF(ABS(tblBank[[#This Row],[GJ Amount]]-(tblBank[[#This Row],[Money In]]-tblBank[[#This Row],[Money Out]]))&lt;1,"✔ Recorded","⚠ Amount mismatch"))</f>
        <v>✔ Recorded</v>
      </c>
    </row>
    <row r="144" spans="2:13" x14ac:dyDescent="0.35">
      <c r="B144" s="4">
        <v>133</v>
      </c>
      <c r="C144" s="4" t="s">
        <v>6555</v>
      </c>
      <c r="D144" s="4">
        <v>1120</v>
      </c>
      <c r="E144" s="113">
        <v>46275</v>
      </c>
      <c r="F144" s="4" t="s">
        <v>6557</v>
      </c>
      <c r="G144" s="4" t="s">
        <v>5862</v>
      </c>
      <c r="H144" s="6">
        <v>0</v>
      </c>
      <c r="I144" s="6">
        <v>22077790</v>
      </c>
      <c r="J14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406104189</v>
      </c>
      <c r="K144" s="1">
        <f>MONTH(tblBank[[#This Row],[Value Date]])</f>
        <v>9</v>
      </c>
      <c r="L144" s="5">
        <f>SUMIFS(tblGJ[Debit],tblGJ[Voucher No],tblBank[[#This Row],[Reference]],tblGJ[Account Code],tblBank[[#This Row],[Account Code]])-SUMIFS(tblGJ[Credit],tblGJ[Voucher No],tblBank[[#This Row],[Reference]],tblGJ[Account Code],tblBank[[#This Row],[Account Code]])</f>
        <v>-22077790</v>
      </c>
      <c r="M144" s="1" t="str">
        <f>IF(COUNTIFS(tblGJ[Voucher No],tblBank[[#This Row],[Reference]],tblGJ[Account Code],tblBank[[#This Row],[Account Code]])=0,"✖ Not in GJ",IF(ABS(tblBank[[#This Row],[GJ Amount]]-(tblBank[[#This Row],[Money In]]-tblBank[[#This Row],[Money Out]]))&lt;1,"✔ Recorded","⚠ Amount mismatch"))</f>
        <v>✔ Recorded</v>
      </c>
    </row>
    <row r="145" spans="2:13" x14ac:dyDescent="0.35">
      <c r="B145" s="4">
        <v>134</v>
      </c>
      <c r="C145" s="4" t="s">
        <v>6555</v>
      </c>
      <c r="D145" s="4">
        <v>1120</v>
      </c>
      <c r="E145" s="113">
        <v>46280</v>
      </c>
      <c r="F145" s="4" t="s">
        <v>6559</v>
      </c>
      <c r="G145" s="4" t="s">
        <v>5863</v>
      </c>
      <c r="H145" s="6">
        <v>0</v>
      </c>
      <c r="I145" s="6">
        <v>544580</v>
      </c>
      <c r="J14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405559609</v>
      </c>
      <c r="K145" s="1">
        <f>MONTH(tblBank[[#This Row],[Value Date]])</f>
        <v>9</v>
      </c>
      <c r="L145" s="5">
        <f>SUMIFS(tblGJ[Debit],tblGJ[Voucher No],tblBank[[#This Row],[Reference]],tblGJ[Account Code],tblBank[[#This Row],[Account Code]])-SUMIFS(tblGJ[Credit],tblGJ[Voucher No],tblBank[[#This Row],[Reference]],tblGJ[Account Code],tblBank[[#This Row],[Account Code]])</f>
        <v>-544580</v>
      </c>
      <c r="M145" s="1" t="str">
        <f>IF(COUNTIFS(tblGJ[Voucher No],tblBank[[#This Row],[Reference]],tblGJ[Account Code],tblBank[[#This Row],[Account Code]])=0,"✖ Not in GJ",IF(ABS(tblBank[[#This Row],[GJ Amount]]-(tblBank[[#This Row],[Money In]]-tblBank[[#This Row],[Money Out]]))&lt;1,"✔ Recorded","⚠ Amount mismatch"))</f>
        <v>✔ Recorded</v>
      </c>
    </row>
    <row r="146" spans="2:13" x14ac:dyDescent="0.35">
      <c r="B146" s="4">
        <v>135</v>
      </c>
      <c r="C146" s="4" t="s">
        <v>6555</v>
      </c>
      <c r="D146" s="4">
        <v>1120</v>
      </c>
      <c r="E146" s="113">
        <v>46280</v>
      </c>
      <c r="F146" s="4" t="s">
        <v>6560</v>
      </c>
      <c r="G146" s="4" t="s">
        <v>5864</v>
      </c>
      <c r="H146" s="6">
        <v>0</v>
      </c>
      <c r="I146" s="6">
        <v>20000000</v>
      </c>
      <c r="J14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385559609</v>
      </c>
      <c r="K146" s="1">
        <f>MONTH(tblBank[[#This Row],[Value Date]])</f>
        <v>9</v>
      </c>
      <c r="L146" s="5">
        <f>SUMIFS(tblGJ[Debit],tblGJ[Voucher No],tblBank[[#This Row],[Reference]],tblGJ[Account Code],tblBank[[#This Row],[Account Code]])-SUMIFS(tblGJ[Credit],tblGJ[Voucher No],tblBank[[#This Row],[Reference]],tblGJ[Account Code],tblBank[[#This Row],[Account Code]])</f>
        <v>-20000000</v>
      </c>
      <c r="M146" s="1" t="str">
        <f>IF(COUNTIFS(tblGJ[Voucher No],tblBank[[#This Row],[Reference]],tblGJ[Account Code],tblBank[[#This Row],[Account Code]])=0,"✖ Not in GJ",IF(ABS(tblBank[[#This Row],[GJ Amount]]-(tblBank[[#This Row],[Money In]]-tblBank[[#This Row],[Money Out]]))&lt;1,"✔ Recorded","⚠ Amount mismatch"))</f>
        <v>✔ Recorded</v>
      </c>
    </row>
    <row r="147" spans="2:13" x14ac:dyDescent="0.35">
      <c r="B147" s="4">
        <v>136</v>
      </c>
      <c r="C147" s="4" t="s">
        <v>6555</v>
      </c>
      <c r="D147" s="4">
        <v>1120</v>
      </c>
      <c r="E147" s="113">
        <v>46285</v>
      </c>
      <c r="F147" s="4" t="s">
        <v>6562</v>
      </c>
      <c r="G147" s="4" t="s">
        <v>5865</v>
      </c>
      <c r="H147" s="6">
        <v>678432000</v>
      </c>
      <c r="I147" s="6">
        <v>0</v>
      </c>
      <c r="J14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1063991609</v>
      </c>
      <c r="K147" s="1">
        <f>MONTH(tblBank[[#This Row],[Value Date]])</f>
        <v>9</v>
      </c>
      <c r="L147" s="5">
        <f>SUMIFS(tblGJ[Debit],tblGJ[Voucher No],tblBank[[#This Row],[Reference]],tblGJ[Account Code],tblBank[[#This Row],[Account Code]])-SUMIFS(tblGJ[Credit],tblGJ[Voucher No],tblBank[[#This Row],[Reference]],tblGJ[Account Code],tblBank[[#This Row],[Account Code]])</f>
        <v>678432000</v>
      </c>
      <c r="M147" s="1" t="str">
        <f>IF(COUNTIFS(tblGJ[Voucher No],tblBank[[#This Row],[Reference]],tblGJ[Account Code],tblBank[[#This Row],[Account Code]])=0,"✖ Not in GJ",IF(ABS(tblBank[[#This Row],[GJ Amount]]-(tblBank[[#This Row],[Money In]]-tblBank[[#This Row],[Money Out]]))&lt;1,"✔ Recorded","⚠ Amount mismatch"))</f>
        <v>✔ Recorded</v>
      </c>
    </row>
    <row r="148" spans="2:13" x14ac:dyDescent="0.35">
      <c r="B148" s="4">
        <v>137</v>
      </c>
      <c r="C148" s="4" t="s">
        <v>6555</v>
      </c>
      <c r="D148" s="4">
        <v>1120</v>
      </c>
      <c r="E148" s="113">
        <v>46289</v>
      </c>
      <c r="F148" s="4" t="s">
        <v>6563</v>
      </c>
      <c r="G148" s="4" t="s">
        <v>5866</v>
      </c>
      <c r="H148" s="6">
        <v>0</v>
      </c>
      <c r="I148" s="6">
        <v>161397799</v>
      </c>
      <c r="J14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902593810</v>
      </c>
      <c r="K148" s="1">
        <f>MONTH(tblBank[[#This Row],[Value Date]])</f>
        <v>9</v>
      </c>
      <c r="L148" s="5">
        <f>SUMIFS(tblGJ[Debit],tblGJ[Voucher No],tblBank[[#This Row],[Reference]],tblGJ[Account Code],tblBank[[#This Row],[Account Code]])-SUMIFS(tblGJ[Credit],tblGJ[Voucher No],tblBank[[#This Row],[Reference]],tblGJ[Account Code],tblBank[[#This Row],[Account Code]])</f>
        <v>-161397799</v>
      </c>
      <c r="M148" s="1" t="str">
        <f>IF(COUNTIFS(tblGJ[Voucher No],tblBank[[#This Row],[Reference]],tblGJ[Account Code],tblBank[[#This Row],[Account Code]])=0,"✖ Not in GJ",IF(ABS(tblBank[[#This Row],[GJ Amount]]-(tblBank[[#This Row],[Money In]]-tblBank[[#This Row],[Money Out]]))&lt;1,"✔ Recorded","⚠ Amount mismatch"))</f>
        <v>✔ Recorded</v>
      </c>
    </row>
    <row r="149" spans="2:13" x14ac:dyDescent="0.35">
      <c r="B149" s="4">
        <v>138</v>
      </c>
      <c r="C149" s="4" t="s">
        <v>6555</v>
      </c>
      <c r="D149" s="4">
        <v>1120</v>
      </c>
      <c r="E149" s="113">
        <v>46293</v>
      </c>
      <c r="F149" s="4" t="s">
        <v>6564</v>
      </c>
      <c r="G149" s="4" t="s">
        <v>5868</v>
      </c>
      <c r="H149" s="6">
        <v>0</v>
      </c>
      <c r="I149" s="6">
        <v>14872330</v>
      </c>
      <c r="J14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887721480</v>
      </c>
      <c r="K149" s="1">
        <f>MONTH(tblBank[[#This Row],[Value Date]])</f>
        <v>9</v>
      </c>
      <c r="L149" s="5">
        <f>SUMIFS(tblGJ[Debit],tblGJ[Voucher No],tblBank[[#This Row],[Reference]],tblGJ[Account Code],tblBank[[#This Row],[Account Code]])-SUMIFS(tblGJ[Credit],tblGJ[Voucher No],tblBank[[#This Row],[Reference]],tblGJ[Account Code],tblBank[[#This Row],[Account Code]])</f>
        <v>-14872330</v>
      </c>
      <c r="M149" s="1" t="str">
        <f>IF(COUNTIFS(tblGJ[Voucher No],tblBank[[#This Row],[Reference]],tblGJ[Account Code],tblBank[[#This Row],[Account Code]])=0,"✖ Not in GJ",IF(ABS(tblBank[[#This Row],[GJ Amount]]-(tblBank[[#This Row],[Money In]]-tblBank[[#This Row],[Money Out]]))&lt;1,"✔ Recorded","⚠ Amount mismatch"))</f>
        <v>✔ Recorded</v>
      </c>
    </row>
    <row r="150" spans="2:13" x14ac:dyDescent="0.35">
      <c r="B150" s="4">
        <v>139</v>
      </c>
      <c r="C150" s="4" t="s">
        <v>6555</v>
      </c>
      <c r="D150" s="4">
        <v>1120</v>
      </c>
      <c r="E150" s="113">
        <v>46293</v>
      </c>
      <c r="F150" s="4" t="s">
        <v>6565</v>
      </c>
      <c r="G150" s="4" t="s">
        <v>5869</v>
      </c>
      <c r="H150" s="6">
        <v>0</v>
      </c>
      <c r="I150" s="6">
        <v>34750000</v>
      </c>
      <c r="J15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852971480</v>
      </c>
      <c r="K150" s="1">
        <f>MONTH(tblBank[[#This Row],[Value Date]])</f>
        <v>9</v>
      </c>
      <c r="L150" s="5">
        <f>SUMIFS(tblGJ[Debit],tblGJ[Voucher No],tblBank[[#This Row],[Reference]],tblGJ[Account Code],tblBank[[#This Row],[Account Code]])-SUMIFS(tblGJ[Credit],tblGJ[Voucher No],tblBank[[#This Row],[Reference]],tblGJ[Account Code],tblBank[[#This Row],[Account Code]])</f>
        <v>-34750000</v>
      </c>
      <c r="M150" s="1" t="str">
        <f>IF(COUNTIFS(tblGJ[Voucher No],tblBank[[#This Row],[Reference]],tblGJ[Account Code],tblBank[[#This Row],[Account Code]])=0,"✖ Not in GJ",IF(ABS(tblBank[[#This Row],[GJ Amount]]-(tblBank[[#This Row],[Money In]]-tblBank[[#This Row],[Money Out]]))&lt;1,"✔ Recorded","⚠ Amount mismatch"))</f>
        <v>✔ Recorded</v>
      </c>
    </row>
    <row r="151" spans="2:13" x14ac:dyDescent="0.35">
      <c r="B151" s="4">
        <v>140</v>
      </c>
      <c r="C151" s="4" t="s">
        <v>6555</v>
      </c>
      <c r="D151" s="4">
        <v>1120</v>
      </c>
      <c r="E151" s="113">
        <v>46295</v>
      </c>
      <c r="F151" s="4" t="s">
        <v>6567</v>
      </c>
      <c r="G151" s="4" t="s">
        <v>5870</v>
      </c>
      <c r="H151" s="6">
        <v>188694450</v>
      </c>
      <c r="I151" s="6">
        <v>0</v>
      </c>
      <c r="J15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1041665930</v>
      </c>
      <c r="K151" s="1">
        <f>MONTH(tblBank[[#This Row],[Value Date]])</f>
        <v>9</v>
      </c>
      <c r="L151" s="5">
        <f>SUMIFS(tblGJ[Debit],tblGJ[Voucher No],tblBank[[#This Row],[Reference]],tblGJ[Account Code],tblBank[[#This Row],[Account Code]])-SUMIFS(tblGJ[Credit],tblGJ[Voucher No],tblBank[[#This Row],[Reference]],tblGJ[Account Code],tblBank[[#This Row],[Account Code]])</f>
        <v>188694450</v>
      </c>
      <c r="M151" s="1" t="str">
        <f>IF(COUNTIFS(tblGJ[Voucher No],tblBank[[#This Row],[Reference]],tblGJ[Account Code],tblBank[[#This Row],[Account Code]])=0,"✖ Not in GJ",IF(ABS(tblBank[[#This Row],[GJ Amount]]-(tblBank[[#This Row],[Money In]]-tblBank[[#This Row],[Money Out]]))&lt;1,"✔ Recorded","⚠ Amount mismatch"))</f>
        <v>✔ Recorded</v>
      </c>
    </row>
    <row r="152" spans="2:13" x14ac:dyDescent="0.35">
      <c r="B152" s="4">
        <v>141</v>
      </c>
      <c r="C152" s="4" t="s">
        <v>6555</v>
      </c>
      <c r="D152" s="4">
        <v>1120</v>
      </c>
      <c r="E152" s="113">
        <v>46295</v>
      </c>
      <c r="F152" s="4" t="s">
        <v>6568</v>
      </c>
      <c r="G152" s="4" t="s">
        <v>5872</v>
      </c>
      <c r="H152" s="6">
        <v>126917400</v>
      </c>
      <c r="I152" s="6">
        <v>0</v>
      </c>
      <c r="J15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1168583330</v>
      </c>
      <c r="K152" s="1">
        <f>MONTH(tblBank[[#This Row],[Value Date]])</f>
        <v>9</v>
      </c>
      <c r="L152" s="5">
        <f>SUMIFS(tblGJ[Debit],tblGJ[Voucher No],tblBank[[#This Row],[Reference]],tblGJ[Account Code],tblBank[[#This Row],[Account Code]])-SUMIFS(tblGJ[Credit],tblGJ[Voucher No],tblBank[[#This Row],[Reference]],tblGJ[Account Code],tblBank[[#This Row],[Account Code]])</f>
        <v>126917400</v>
      </c>
      <c r="M152" s="1" t="str">
        <f>IF(COUNTIFS(tblGJ[Voucher No],tblBank[[#This Row],[Reference]],tblGJ[Account Code],tblBank[[#This Row],[Account Code]])=0,"✖ Not in GJ",IF(ABS(tblBank[[#This Row],[GJ Amount]]-(tblBank[[#This Row],[Money In]]-tblBank[[#This Row],[Money Out]]))&lt;1,"✔ Recorded","⚠ Amount mismatch"))</f>
        <v>✔ Recorded</v>
      </c>
    </row>
    <row r="153" spans="2:13" x14ac:dyDescent="0.35">
      <c r="B153" s="4">
        <v>142</v>
      </c>
      <c r="C153" s="4" t="s">
        <v>6555</v>
      </c>
      <c r="D153" s="4">
        <v>1120</v>
      </c>
      <c r="E153" s="113">
        <v>46295</v>
      </c>
      <c r="F153" s="4" t="s">
        <v>6569</v>
      </c>
      <c r="G153" s="4" t="s">
        <v>5879</v>
      </c>
      <c r="H153" s="6">
        <v>1333333</v>
      </c>
      <c r="I153" s="6">
        <v>0</v>
      </c>
      <c r="J15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1169916663</v>
      </c>
      <c r="K153" s="1">
        <f>MONTH(tblBank[[#This Row],[Value Date]])</f>
        <v>9</v>
      </c>
      <c r="L153" s="5">
        <f>SUMIFS(tblGJ[Debit],tblGJ[Voucher No],tblBank[[#This Row],[Reference]],tblGJ[Account Code],tblBank[[#This Row],[Account Code]])-SUMIFS(tblGJ[Credit],tblGJ[Voucher No],tblBank[[#This Row],[Reference]],tblGJ[Account Code],tblBank[[#This Row],[Account Code]])</f>
        <v>1333333</v>
      </c>
      <c r="M153" s="1" t="str">
        <f>IF(COUNTIFS(tblGJ[Voucher No],tblBank[[#This Row],[Reference]],tblGJ[Account Code],tblBank[[#This Row],[Account Code]])=0,"✖ Not in GJ",IF(ABS(tblBank[[#This Row],[GJ Amount]]-(tblBank[[#This Row],[Money In]]-tblBank[[#This Row],[Money Out]]))&lt;1,"✔ Recorded","⚠ Amount mismatch"))</f>
        <v>✔ Recorded</v>
      </c>
    </row>
    <row r="154" spans="2:13" x14ac:dyDescent="0.35">
      <c r="B154" s="4">
        <v>143</v>
      </c>
      <c r="C154" s="4" t="s">
        <v>6555</v>
      </c>
      <c r="D154" s="4">
        <v>1120</v>
      </c>
      <c r="E154" s="113">
        <v>46295</v>
      </c>
      <c r="F154" s="4" t="s">
        <v>6570</v>
      </c>
      <c r="G154" s="4" t="s">
        <v>5880</v>
      </c>
      <c r="H154" s="6">
        <v>526177</v>
      </c>
      <c r="I154" s="6">
        <v>0</v>
      </c>
      <c r="J15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1170442840</v>
      </c>
      <c r="K154" s="1">
        <f>MONTH(tblBank[[#This Row],[Value Date]])</f>
        <v>9</v>
      </c>
      <c r="L154" s="5">
        <f>SUMIFS(tblGJ[Debit],tblGJ[Voucher No],tblBank[[#This Row],[Reference]],tblGJ[Account Code],tblBank[[#This Row],[Account Code]])-SUMIFS(tblGJ[Credit],tblGJ[Voucher No],tblBank[[#This Row],[Reference]],tblGJ[Account Code],tblBank[[#This Row],[Account Code]])</f>
        <v>526177</v>
      </c>
      <c r="M154" s="1" t="str">
        <f>IF(COUNTIFS(tblGJ[Voucher No],tblBank[[#This Row],[Reference]],tblGJ[Account Code],tblBank[[#This Row],[Account Code]])=0,"✖ Not in GJ",IF(ABS(tblBank[[#This Row],[GJ Amount]]-(tblBank[[#This Row],[Money In]]-tblBank[[#This Row],[Money Out]]))&lt;1,"✔ Recorded","⚠ Amount mismatch"))</f>
        <v>✔ Recorded</v>
      </c>
    </row>
    <row r="155" spans="2:13" x14ac:dyDescent="0.35">
      <c r="B155" s="4">
        <v>144</v>
      </c>
      <c r="C155" s="4" t="s">
        <v>6555</v>
      </c>
      <c r="D155" s="4">
        <v>1120</v>
      </c>
      <c r="E155" s="113">
        <v>46295</v>
      </c>
      <c r="F155" s="4" t="s">
        <v>6561</v>
      </c>
      <c r="G155" s="4" t="s">
        <v>5874</v>
      </c>
      <c r="H155" s="6">
        <v>0</v>
      </c>
      <c r="I155" s="6">
        <v>679293870</v>
      </c>
      <c r="J15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491148970</v>
      </c>
      <c r="K155" s="1">
        <f>MONTH(tblBank[[#This Row],[Value Date]])</f>
        <v>9</v>
      </c>
      <c r="L155" s="5">
        <f>SUMIFS(tblGJ[Debit],tblGJ[Voucher No],tblBank[[#This Row],[Reference]],tblGJ[Account Code],tblBank[[#This Row],[Account Code]])-SUMIFS(tblGJ[Credit],tblGJ[Voucher No],tblBank[[#This Row],[Reference]],tblGJ[Account Code],tblBank[[#This Row],[Account Code]])</f>
        <v>-679293870</v>
      </c>
      <c r="M155" s="1" t="str">
        <f>IF(COUNTIFS(tblGJ[Voucher No],tblBank[[#This Row],[Reference]],tblGJ[Account Code],tblBank[[#This Row],[Account Code]])=0,"✖ Not in GJ",IF(ABS(tblBank[[#This Row],[GJ Amount]]-(tblBank[[#This Row],[Money In]]-tblBank[[#This Row],[Money Out]]))&lt;1,"✔ Recorded","⚠ Amount mismatch"))</f>
        <v>✔ Recorded</v>
      </c>
    </row>
    <row r="156" spans="2:13" x14ac:dyDescent="0.35">
      <c r="B156" s="4">
        <v>145</v>
      </c>
      <c r="C156" s="4" t="s">
        <v>6555</v>
      </c>
      <c r="D156" s="4">
        <v>1120</v>
      </c>
      <c r="E156" s="113">
        <v>46295</v>
      </c>
      <c r="F156" s="4" t="s">
        <v>6571</v>
      </c>
      <c r="G156" s="4" t="s">
        <v>5881</v>
      </c>
      <c r="H156" s="6">
        <v>0</v>
      </c>
      <c r="I156" s="6">
        <v>105235</v>
      </c>
      <c r="J15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491043735</v>
      </c>
      <c r="K156" s="1">
        <f>MONTH(tblBank[[#This Row],[Value Date]])</f>
        <v>9</v>
      </c>
      <c r="L156" s="5">
        <f>SUMIFS(tblGJ[Debit],tblGJ[Voucher No],tblBank[[#This Row],[Reference]],tblGJ[Account Code],tblBank[[#This Row],[Account Code]])-SUMIFS(tblGJ[Credit],tblGJ[Voucher No],tblBank[[#This Row],[Reference]],tblGJ[Account Code],tblBank[[#This Row],[Account Code]])</f>
        <v>-105235</v>
      </c>
      <c r="M156" s="1" t="str">
        <f>IF(COUNTIFS(tblGJ[Voucher No],tblBank[[#This Row],[Reference]],tblGJ[Account Code],tblBank[[#This Row],[Account Code]])=0,"✖ Not in GJ",IF(ABS(tblBank[[#This Row],[GJ Amount]]-(tblBank[[#This Row],[Money In]]-tblBank[[#This Row],[Money Out]]))&lt;1,"✔ Recorded","⚠ Amount mismatch"))</f>
        <v>✔ Recorded</v>
      </c>
    </row>
    <row r="157" spans="2:13" x14ac:dyDescent="0.35">
      <c r="B157" s="4">
        <v>146</v>
      </c>
      <c r="C157" s="4" t="s">
        <v>6555</v>
      </c>
      <c r="D157" s="4">
        <v>1120</v>
      </c>
      <c r="E157" s="113">
        <v>46295</v>
      </c>
      <c r="F157" s="4" t="s">
        <v>6572</v>
      </c>
      <c r="G157" s="4" t="s">
        <v>5882</v>
      </c>
      <c r="H157" s="6">
        <v>0</v>
      </c>
      <c r="I157" s="6">
        <v>150000</v>
      </c>
      <c r="J15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490893735</v>
      </c>
      <c r="K157" s="1">
        <f>MONTH(tblBank[[#This Row],[Value Date]])</f>
        <v>9</v>
      </c>
      <c r="L157" s="5">
        <f>SUMIFS(tblGJ[Debit],tblGJ[Voucher No],tblBank[[#This Row],[Reference]],tblGJ[Account Code],tblBank[[#This Row],[Account Code]])-SUMIFS(tblGJ[Credit],tblGJ[Voucher No],tblBank[[#This Row],[Reference]],tblGJ[Account Code],tblBank[[#This Row],[Account Code]])</f>
        <v>-150000</v>
      </c>
      <c r="M157" s="1" t="str">
        <f>IF(COUNTIFS(tblGJ[Voucher No],tblBank[[#This Row],[Reference]],tblGJ[Account Code],tblBank[[#This Row],[Account Code]])=0,"✖ Not in GJ",IF(ABS(tblBank[[#This Row],[GJ Amount]]-(tblBank[[#This Row],[Money In]]-tblBank[[#This Row],[Money Out]]))&lt;1,"✔ Recorded","⚠ Amount mismatch"))</f>
        <v>✔ Recorded</v>
      </c>
    </row>
    <row r="158" spans="2:13" x14ac:dyDescent="0.35">
      <c r="B158" s="4">
        <v>147</v>
      </c>
      <c r="C158" s="4" t="s">
        <v>6555</v>
      </c>
      <c r="D158" s="4">
        <v>1120</v>
      </c>
      <c r="E158" s="113">
        <v>46305</v>
      </c>
      <c r="F158" s="4" t="s">
        <v>6556</v>
      </c>
      <c r="G158" s="4" t="s">
        <v>5886</v>
      </c>
      <c r="H158" s="6">
        <v>0</v>
      </c>
      <c r="I158" s="6">
        <v>10516831</v>
      </c>
      <c r="J15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480376904</v>
      </c>
      <c r="K158" s="1">
        <f>MONTH(tblBank[[#This Row],[Value Date]])</f>
        <v>10</v>
      </c>
      <c r="L158" s="5">
        <f>SUMIFS(tblGJ[Debit],tblGJ[Voucher No],tblBank[[#This Row],[Reference]],tblGJ[Account Code],tblBank[[#This Row],[Account Code]])-SUMIFS(tblGJ[Credit],tblGJ[Voucher No],tblBank[[#This Row],[Reference]],tblGJ[Account Code],tblBank[[#This Row],[Account Code]])</f>
        <v>-10516831</v>
      </c>
      <c r="M158" s="1" t="str">
        <f>IF(COUNTIFS(tblGJ[Voucher No],tblBank[[#This Row],[Reference]],tblGJ[Account Code],tblBank[[#This Row],[Account Code]])=0,"✖ Not in GJ",IF(ABS(tblBank[[#This Row],[GJ Amount]]-(tblBank[[#This Row],[Money In]]-tblBank[[#This Row],[Money Out]]))&lt;1,"✔ Recorded","⚠ Amount mismatch"))</f>
        <v>✔ Recorded</v>
      </c>
    </row>
    <row r="159" spans="2:13" x14ac:dyDescent="0.35">
      <c r="B159" s="4">
        <v>148</v>
      </c>
      <c r="C159" s="4" t="s">
        <v>6555</v>
      </c>
      <c r="D159" s="4">
        <v>1120</v>
      </c>
      <c r="E159" s="113">
        <v>46305</v>
      </c>
      <c r="F159" s="4" t="s">
        <v>6557</v>
      </c>
      <c r="G159" s="4" t="s">
        <v>5887</v>
      </c>
      <c r="H159" s="6">
        <v>0</v>
      </c>
      <c r="I159" s="6">
        <v>22077790</v>
      </c>
      <c r="J15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458299114</v>
      </c>
      <c r="K159" s="1">
        <f>MONTH(tblBank[[#This Row],[Value Date]])</f>
        <v>10</v>
      </c>
      <c r="L159" s="5">
        <f>SUMIFS(tblGJ[Debit],tblGJ[Voucher No],tblBank[[#This Row],[Reference]],tblGJ[Account Code],tblBank[[#This Row],[Account Code]])-SUMIFS(tblGJ[Credit],tblGJ[Voucher No],tblBank[[#This Row],[Reference]],tblGJ[Account Code],tblBank[[#This Row],[Account Code]])</f>
        <v>-22077790</v>
      </c>
      <c r="M159" s="1" t="str">
        <f>IF(COUNTIFS(tblGJ[Voucher No],tblBank[[#This Row],[Reference]],tblGJ[Account Code],tblBank[[#This Row],[Account Code]])=0,"✖ Not in GJ",IF(ABS(tblBank[[#This Row],[GJ Amount]]-(tblBank[[#This Row],[Money In]]-tblBank[[#This Row],[Money Out]]))&lt;1,"✔ Recorded","⚠ Amount mismatch"))</f>
        <v>✔ Recorded</v>
      </c>
    </row>
    <row r="160" spans="2:13" x14ac:dyDescent="0.35">
      <c r="B160" s="4">
        <v>149</v>
      </c>
      <c r="C160" s="4" t="s">
        <v>6555</v>
      </c>
      <c r="D160" s="4">
        <v>1120</v>
      </c>
      <c r="E160" s="113">
        <v>46310</v>
      </c>
      <c r="F160" s="4" t="s">
        <v>6559</v>
      </c>
      <c r="G160" s="4" t="s">
        <v>5888</v>
      </c>
      <c r="H160" s="6">
        <v>0</v>
      </c>
      <c r="I160" s="6">
        <v>1039820</v>
      </c>
      <c r="J16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457259294</v>
      </c>
      <c r="K160" s="1">
        <f>MONTH(tblBank[[#This Row],[Value Date]])</f>
        <v>10</v>
      </c>
      <c r="L160" s="5">
        <f>SUMIFS(tblGJ[Debit],tblGJ[Voucher No],tblBank[[#This Row],[Reference]],tblGJ[Account Code],tblBank[[#This Row],[Account Code]])-SUMIFS(tblGJ[Credit],tblGJ[Voucher No],tblBank[[#This Row],[Reference]],tblGJ[Account Code],tblBank[[#This Row],[Account Code]])</f>
        <v>-1039820</v>
      </c>
      <c r="M160" s="1" t="str">
        <f>IF(COUNTIFS(tblGJ[Voucher No],tblBank[[#This Row],[Reference]],tblGJ[Account Code],tblBank[[#This Row],[Account Code]])=0,"✖ Not in GJ",IF(ABS(tblBank[[#This Row],[GJ Amount]]-(tblBank[[#This Row],[Money In]]-tblBank[[#This Row],[Money Out]]))&lt;1,"✔ Recorded","⚠ Amount mismatch"))</f>
        <v>✔ Recorded</v>
      </c>
    </row>
    <row r="161" spans="2:13" x14ac:dyDescent="0.35">
      <c r="B161" s="4">
        <v>150</v>
      </c>
      <c r="C161" s="4" t="s">
        <v>6555</v>
      </c>
      <c r="D161" s="4">
        <v>1120</v>
      </c>
      <c r="E161" s="113">
        <v>46310</v>
      </c>
      <c r="F161" s="4" t="s">
        <v>6560</v>
      </c>
      <c r="G161" s="4" t="s">
        <v>5889</v>
      </c>
      <c r="H161" s="6">
        <v>0</v>
      </c>
      <c r="I161" s="6">
        <v>20000000</v>
      </c>
      <c r="J16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437259294</v>
      </c>
      <c r="K161" s="1">
        <f>MONTH(tblBank[[#This Row],[Value Date]])</f>
        <v>10</v>
      </c>
      <c r="L161" s="5">
        <f>SUMIFS(tblGJ[Debit],tblGJ[Voucher No],tblBank[[#This Row],[Reference]],tblGJ[Account Code],tblBank[[#This Row],[Account Code]])-SUMIFS(tblGJ[Credit],tblGJ[Voucher No],tblBank[[#This Row],[Reference]],tblGJ[Account Code],tblBank[[#This Row],[Account Code]])</f>
        <v>-20000000</v>
      </c>
      <c r="M161" s="1" t="str">
        <f>IF(COUNTIFS(tblGJ[Voucher No],tblBank[[#This Row],[Reference]],tblGJ[Account Code],tblBank[[#This Row],[Account Code]])=0,"✖ Not in GJ",IF(ABS(tblBank[[#This Row],[GJ Amount]]-(tblBank[[#This Row],[Money In]]-tblBank[[#This Row],[Money Out]]))&lt;1,"✔ Recorded","⚠ Amount mismatch"))</f>
        <v>✔ Recorded</v>
      </c>
    </row>
    <row r="162" spans="2:13" x14ac:dyDescent="0.35">
      <c r="B162" s="4">
        <v>151</v>
      </c>
      <c r="C162" s="4" t="s">
        <v>6555</v>
      </c>
      <c r="D162" s="4">
        <v>1120</v>
      </c>
      <c r="E162" s="113">
        <v>46315</v>
      </c>
      <c r="F162" s="4" t="s">
        <v>6562</v>
      </c>
      <c r="G162" s="4" t="s">
        <v>5890</v>
      </c>
      <c r="H162" s="6">
        <v>852702000</v>
      </c>
      <c r="I162" s="6">
        <v>0</v>
      </c>
      <c r="J16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1289961294</v>
      </c>
      <c r="K162" s="1">
        <f>MONTH(tblBank[[#This Row],[Value Date]])</f>
        <v>10</v>
      </c>
      <c r="L162" s="5">
        <f>SUMIFS(tblGJ[Debit],tblGJ[Voucher No],tblBank[[#This Row],[Reference]],tblGJ[Account Code],tblBank[[#This Row],[Account Code]])-SUMIFS(tblGJ[Credit],tblGJ[Voucher No],tblBank[[#This Row],[Reference]],tblGJ[Account Code],tblBank[[#This Row],[Account Code]])</f>
        <v>852702000</v>
      </c>
      <c r="M162" s="1" t="str">
        <f>IF(COUNTIFS(tblGJ[Voucher No],tblBank[[#This Row],[Reference]],tblGJ[Account Code],tblBank[[#This Row],[Account Code]])=0,"✖ Not in GJ",IF(ABS(tblBank[[#This Row],[GJ Amount]]-(tblBank[[#This Row],[Money In]]-tblBank[[#This Row],[Money Out]]))&lt;1,"✔ Recorded","⚠ Amount mismatch"))</f>
        <v>✔ Recorded</v>
      </c>
    </row>
    <row r="163" spans="2:13" x14ac:dyDescent="0.35">
      <c r="B163" s="4">
        <v>152</v>
      </c>
      <c r="C163" s="4" t="s">
        <v>6555</v>
      </c>
      <c r="D163" s="4">
        <v>1120</v>
      </c>
      <c r="E163" s="113">
        <v>46319</v>
      </c>
      <c r="F163" s="4" t="s">
        <v>6563</v>
      </c>
      <c r="G163" s="4" t="s">
        <v>5891</v>
      </c>
      <c r="H163" s="6">
        <v>0</v>
      </c>
      <c r="I163" s="6">
        <v>161397799</v>
      </c>
      <c r="J16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1128563495</v>
      </c>
      <c r="K163" s="1">
        <f>MONTH(tblBank[[#This Row],[Value Date]])</f>
        <v>10</v>
      </c>
      <c r="L163" s="5">
        <f>SUMIFS(tblGJ[Debit],tblGJ[Voucher No],tblBank[[#This Row],[Reference]],tblGJ[Account Code],tblBank[[#This Row],[Account Code]])-SUMIFS(tblGJ[Credit],tblGJ[Voucher No],tblBank[[#This Row],[Reference]],tblGJ[Account Code],tblBank[[#This Row],[Account Code]])</f>
        <v>-161397799</v>
      </c>
      <c r="M163" s="1" t="str">
        <f>IF(COUNTIFS(tblGJ[Voucher No],tblBank[[#This Row],[Reference]],tblGJ[Account Code],tblBank[[#This Row],[Account Code]])=0,"✖ Not in GJ",IF(ABS(tblBank[[#This Row],[GJ Amount]]-(tblBank[[#This Row],[Money In]]-tblBank[[#This Row],[Money Out]]))&lt;1,"✔ Recorded","⚠ Amount mismatch"))</f>
        <v>✔ Recorded</v>
      </c>
    </row>
    <row r="164" spans="2:13" x14ac:dyDescent="0.35">
      <c r="B164" s="4">
        <v>153</v>
      </c>
      <c r="C164" s="4" t="s">
        <v>6555</v>
      </c>
      <c r="D164" s="4">
        <v>1120</v>
      </c>
      <c r="E164" s="113">
        <v>46323</v>
      </c>
      <c r="F164" s="4" t="s">
        <v>6564</v>
      </c>
      <c r="G164" s="4" t="s">
        <v>5893</v>
      </c>
      <c r="H164" s="6">
        <v>0</v>
      </c>
      <c r="I164" s="6">
        <v>49824500</v>
      </c>
      <c r="J16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1078738995</v>
      </c>
      <c r="K164" s="1">
        <f>MONTH(tblBank[[#This Row],[Value Date]])</f>
        <v>10</v>
      </c>
      <c r="L164" s="5">
        <f>SUMIFS(tblGJ[Debit],tblGJ[Voucher No],tblBank[[#This Row],[Reference]],tblGJ[Account Code],tblBank[[#This Row],[Account Code]])-SUMIFS(tblGJ[Credit],tblGJ[Voucher No],tblBank[[#This Row],[Reference]],tblGJ[Account Code],tblBank[[#This Row],[Account Code]])</f>
        <v>-49824500</v>
      </c>
      <c r="M164" s="1" t="str">
        <f>IF(COUNTIFS(tblGJ[Voucher No],tblBank[[#This Row],[Reference]],tblGJ[Account Code],tblBank[[#This Row],[Account Code]])=0,"✖ Not in GJ",IF(ABS(tblBank[[#This Row],[GJ Amount]]-(tblBank[[#This Row],[Money In]]-tblBank[[#This Row],[Money Out]]))&lt;1,"✔ Recorded","⚠ Amount mismatch"))</f>
        <v>✔ Recorded</v>
      </c>
    </row>
    <row r="165" spans="2:13" x14ac:dyDescent="0.35">
      <c r="B165" s="4">
        <v>154</v>
      </c>
      <c r="C165" s="4" t="s">
        <v>6555</v>
      </c>
      <c r="D165" s="4">
        <v>1120</v>
      </c>
      <c r="E165" s="113">
        <v>46323</v>
      </c>
      <c r="F165" s="4" t="s">
        <v>6565</v>
      </c>
      <c r="G165" s="4" t="s">
        <v>5894</v>
      </c>
      <c r="H165" s="6">
        <v>0</v>
      </c>
      <c r="I165" s="6">
        <v>34562500</v>
      </c>
      <c r="J16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1044176495</v>
      </c>
      <c r="K165" s="1">
        <f>MONTH(tblBank[[#This Row],[Value Date]])</f>
        <v>10</v>
      </c>
      <c r="L165" s="5">
        <f>SUMIFS(tblGJ[Debit],tblGJ[Voucher No],tblBank[[#This Row],[Reference]],tblGJ[Account Code],tblBank[[#This Row],[Account Code]])-SUMIFS(tblGJ[Credit],tblGJ[Voucher No],tblBank[[#This Row],[Reference]],tblGJ[Account Code],tblBank[[#This Row],[Account Code]])</f>
        <v>-34562500</v>
      </c>
      <c r="M165" s="1" t="str">
        <f>IF(COUNTIFS(tblGJ[Voucher No],tblBank[[#This Row],[Reference]],tblGJ[Account Code],tblBank[[#This Row],[Account Code]])=0,"✖ Not in GJ",IF(ABS(tblBank[[#This Row],[GJ Amount]]-(tblBank[[#This Row],[Money In]]-tblBank[[#This Row],[Money Out]]))&lt;1,"✔ Recorded","⚠ Amount mismatch"))</f>
        <v>✔ Recorded</v>
      </c>
    </row>
    <row r="166" spans="2:13" x14ac:dyDescent="0.35">
      <c r="B166" s="4">
        <v>155</v>
      </c>
      <c r="C166" s="4" t="s">
        <v>6555</v>
      </c>
      <c r="D166" s="4">
        <v>1120</v>
      </c>
      <c r="E166" s="113">
        <v>46326</v>
      </c>
      <c r="F166" s="4" t="s">
        <v>6568</v>
      </c>
      <c r="G166" s="4" t="s">
        <v>5898</v>
      </c>
      <c r="H166" s="6">
        <v>123076800</v>
      </c>
      <c r="I166" s="6">
        <v>0</v>
      </c>
      <c r="J16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1167253295</v>
      </c>
      <c r="K166" s="1">
        <f>MONTH(tblBank[[#This Row],[Value Date]])</f>
        <v>10</v>
      </c>
      <c r="L166" s="5">
        <f>SUMIFS(tblGJ[Debit],tblGJ[Voucher No],tblBank[[#This Row],[Reference]],tblGJ[Account Code],tblBank[[#This Row],[Account Code]])-SUMIFS(tblGJ[Credit],tblGJ[Voucher No],tblBank[[#This Row],[Reference]],tblGJ[Account Code],tblBank[[#This Row],[Account Code]])</f>
        <v>123076800</v>
      </c>
      <c r="M166" s="1" t="str">
        <f>IF(COUNTIFS(tblGJ[Voucher No],tblBank[[#This Row],[Reference]],tblGJ[Account Code],tblBank[[#This Row],[Account Code]])=0,"✖ Not in GJ",IF(ABS(tblBank[[#This Row],[GJ Amount]]-(tblBank[[#This Row],[Money In]]-tblBank[[#This Row],[Money Out]]))&lt;1,"✔ Recorded","⚠ Amount mismatch"))</f>
        <v>✔ Recorded</v>
      </c>
    </row>
    <row r="167" spans="2:13" x14ac:dyDescent="0.35">
      <c r="B167" s="4">
        <v>156</v>
      </c>
      <c r="C167" s="4" t="s">
        <v>6555</v>
      </c>
      <c r="D167" s="4">
        <v>1120</v>
      </c>
      <c r="E167" s="113">
        <v>46326</v>
      </c>
      <c r="F167" s="4" t="s">
        <v>6569</v>
      </c>
      <c r="G167" s="4" t="s">
        <v>5904</v>
      </c>
      <c r="H167" s="6">
        <v>1333333</v>
      </c>
      <c r="I167" s="6">
        <v>0</v>
      </c>
      <c r="J16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1168586628</v>
      </c>
      <c r="K167" s="1">
        <f>MONTH(tblBank[[#This Row],[Value Date]])</f>
        <v>10</v>
      </c>
      <c r="L167" s="5">
        <f>SUMIFS(tblGJ[Debit],tblGJ[Voucher No],tblBank[[#This Row],[Reference]],tblGJ[Account Code],tblBank[[#This Row],[Account Code]])-SUMIFS(tblGJ[Credit],tblGJ[Voucher No],tblBank[[#This Row],[Reference]],tblGJ[Account Code],tblBank[[#This Row],[Account Code]])</f>
        <v>1333333</v>
      </c>
      <c r="M167" s="1" t="str">
        <f>IF(COUNTIFS(tblGJ[Voucher No],tblBank[[#This Row],[Reference]],tblGJ[Account Code],tblBank[[#This Row],[Account Code]])=0,"✖ Not in GJ",IF(ABS(tblBank[[#This Row],[GJ Amount]]-(tblBank[[#This Row],[Money In]]-tblBank[[#This Row],[Money Out]]))&lt;1,"✔ Recorded","⚠ Amount mismatch"))</f>
        <v>✔ Recorded</v>
      </c>
    </row>
    <row r="168" spans="2:13" x14ac:dyDescent="0.35">
      <c r="B168" s="4">
        <v>157</v>
      </c>
      <c r="C168" s="4" t="s">
        <v>6555</v>
      </c>
      <c r="D168" s="4">
        <v>1120</v>
      </c>
      <c r="E168" s="113">
        <v>46326</v>
      </c>
      <c r="F168" s="4" t="s">
        <v>6570</v>
      </c>
      <c r="G168" s="4" t="s">
        <v>6576</v>
      </c>
      <c r="H168" s="6">
        <v>489177</v>
      </c>
      <c r="I168" s="6">
        <v>0</v>
      </c>
      <c r="J16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1169075805</v>
      </c>
      <c r="K168" s="1">
        <f>MONTH(tblBank[[#This Row],[Value Date]])</f>
        <v>10</v>
      </c>
      <c r="L168" s="5">
        <f>SUMIFS(tblGJ[Debit],tblGJ[Voucher No],tblBank[[#This Row],[Reference]],tblGJ[Account Code],tblBank[[#This Row],[Account Code]])-SUMIFS(tblGJ[Credit],tblGJ[Voucher No],tblBank[[#This Row],[Reference]],tblGJ[Account Code],tblBank[[#This Row],[Account Code]])</f>
        <v>0</v>
      </c>
      <c r="M168" s="1" t="str">
        <f>IF(COUNTIFS(tblGJ[Voucher No],tblBank[[#This Row],[Reference]],tblGJ[Account Code],tblBank[[#This Row],[Account Code]])=0,"✖ Not in GJ",IF(ABS(tblBank[[#This Row],[GJ Amount]]-(tblBank[[#This Row],[Money In]]-tblBank[[#This Row],[Money Out]]))&lt;1,"✔ Recorded","⚠ Amount mismatch"))</f>
        <v>✖ Not in GJ</v>
      </c>
    </row>
    <row r="169" spans="2:13" x14ac:dyDescent="0.35">
      <c r="B169" s="4">
        <v>158</v>
      </c>
      <c r="C169" s="4" t="s">
        <v>6555</v>
      </c>
      <c r="D169" s="4">
        <v>1120</v>
      </c>
      <c r="E169" s="113">
        <v>46326</v>
      </c>
      <c r="F169" s="4" t="s">
        <v>6571</v>
      </c>
      <c r="G169" s="4" t="s">
        <v>6577</v>
      </c>
      <c r="H169" s="6">
        <v>0</v>
      </c>
      <c r="I169" s="6">
        <v>97835</v>
      </c>
      <c r="J16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1168977970</v>
      </c>
      <c r="K169" s="1">
        <f>MONTH(tblBank[[#This Row],[Value Date]])</f>
        <v>10</v>
      </c>
      <c r="L169" s="5">
        <f>SUMIFS(tblGJ[Debit],tblGJ[Voucher No],tblBank[[#This Row],[Reference]],tblGJ[Account Code],tblBank[[#This Row],[Account Code]])-SUMIFS(tblGJ[Credit],tblGJ[Voucher No],tblBank[[#This Row],[Reference]],tblGJ[Account Code],tblBank[[#This Row],[Account Code]])</f>
        <v>0</v>
      </c>
      <c r="M169" s="1" t="str">
        <f>IF(COUNTIFS(tblGJ[Voucher No],tblBank[[#This Row],[Reference]],tblGJ[Account Code],tblBank[[#This Row],[Account Code]])=0,"✖ Not in GJ",IF(ABS(tblBank[[#This Row],[GJ Amount]]-(tblBank[[#This Row],[Money In]]-tblBank[[#This Row],[Money Out]]))&lt;1,"✔ Recorded","⚠ Amount mismatch"))</f>
        <v>✖ Not in GJ</v>
      </c>
    </row>
    <row r="170" spans="2:13" x14ac:dyDescent="0.35">
      <c r="B170" s="4">
        <v>159</v>
      </c>
      <c r="C170" s="4" t="s">
        <v>6555</v>
      </c>
      <c r="D170" s="4">
        <v>1120</v>
      </c>
      <c r="E170" s="113">
        <v>46326</v>
      </c>
      <c r="F170" s="4" t="s">
        <v>6578</v>
      </c>
      <c r="G170" s="4" t="s">
        <v>6579</v>
      </c>
      <c r="H170" s="6">
        <v>0</v>
      </c>
      <c r="I170" s="6">
        <v>150000</v>
      </c>
      <c r="J17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1168827970</v>
      </c>
      <c r="K170" s="1">
        <f>MONTH(tblBank[[#This Row],[Value Date]])</f>
        <v>10</v>
      </c>
      <c r="L170" s="5">
        <f>SUMIFS(tblGJ[Debit],tblGJ[Voucher No],tblBank[[#This Row],[Reference]],tblGJ[Account Code],tblBank[[#This Row],[Account Code]])-SUMIFS(tblGJ[Credit],tblGJ[Voucher No],tblBank[[#This Row],[Reference]],tblGJ[Account Code],tblBank[[#This Row],[Account Code]])</f>
        <v>0</v>
      </c>
      <c r="M170" s="1" t="str">
        <f>IF(COUNTIFS(tblGJ[Voucher No],tblBank[[#This Row],[Reference]],tblGJ[Account Code],tblBank[[#This Row],[Account Code]])=0,"✖ Not in GJ",IF(ABS(tblBank[[#This Row],[GJ Amount]]-(tblBank[[#This Row],[Money In]]-tblBank[[#This Row],[Money Out]]))&lt;1,"✔ Recorded","⚠ Amount mismatch"))</f>
        <v>✖ Not in GJ</v>
      </c>
    </row>
    <row r="171" spans="2:13" x14ac:dyDescent="0.35">
      <c r="B171" s="4">
        <v>160</v>
      </c>
      <c r="C171" s="4" t="s">
        <v>6555</v>
      </c>
      <c r="D171" s="4">
        <v>1120</v>
      </c>
      <c r="E171" s="113">
        <v>46327</v>
      </c>
      <c r="F171" s="4" t="s">
        <v>6567</v>
      </c>
      <c r="G171" s="4" t="s">
        <v>5896</v>
      </c>
      <c r="H171" s="6">
        <v>211355100</v>
      </c>
      <c r="I171" s="6">
        <v>0</v>
      </c>
      <c r="J17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1380183070</v>
      </c>
      <c r="K171" s="1">
        <f>MONTH(tblBank[[#This Row],[Value Date]])</f>
        <v>11</v>
      </c>
      <c r="L171" s="5">
        <f>SUMIFS(tblGJ[Debit],tblGJ[Voucher No],tblBank[[#This Row],[Reference]],tblGJ[Account Code],tblBank[[#This Row],[Account Code]])-SUMIFS(tblGJ[Credit],tblGJ[Voucher No],tblBank[[#This Row],[Reference]],tblGJ[Account Code],tblBank[[#This Row],[Account Code]])</f>
        <v>211355100</v>
      </c>
      <c r="M171" s="1" t="str">
        <f>IF(COUNTIFS(tblGJ[Voucher No],tblBank[[#This Row],[Reference]],tblGJ[Account Code],tblBank[[#This Row],[Account Code]])=0,"✖ Not in GJ",IF(ABS(tblBank[[#This Row],[GJ Amount]]-(tblBank[[#This Row],[Money In]]-tblBank[[#This Row],[Money Out]]))&lt;1,"✔ Recorded","⚠ Amount mismatch"))</f>
        <v>✔ Recorded</v>
      </c>
    </row>
    <row r="172" spans="2:13" x14ac:dyDescent="0.35">
      <c r="B172" s="4">
        <v>161</v>
      </c>
      <c r="C172" s="4" t="s">
        <v>6555</v>
      </c>
      <c r="D172" s="4">
        <v>1120</v>
      </c>
      <c r="E172" s="113">
        <v>46328</v>
      </c>
      <c r="F172" s="4" t="s">
        <v>6561</v>
      </c>
      <c r="G172" s="4" t="s">
        <v>5895</v>
      </c>
      <c r="H172" s="6">
        <v>0</v>
      </c>
      <c r="I172" s="6">
        <v>791159030</v>
      </c>
      <c r="J17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589024040</v>
      </c>
      <c r="K172" s="1">
        <f>MONTH(tblBank[[#This Row],[Value Date]])</f>
        <v>11</v>
      </c>
      <c r="L172" s="5">
        <f>SUMIFS(tblGJ[Debit],tblGJ[Voucher No],tblBank[[#This Row],[Reference]],tblGJ[Account Code],tblBank[[#This Row],[Account Code]])-SUMIFS(tblGJ[Credit],tblGJ[Voucher No],tblBank[[#This Row],[Reference]],tblGJ[Account Code],tblBank[[#This Row],[Account Code]])</f>
        <v>-791159030</v>
      </c>
      <c r="M172" s="1" t="str">
        <f>IF(COUNTIFS(tblGJ[Voucher No],tblBank[[#This Row],[Reference]],tblGJ[Account Code],tblBank[[#This Row],[Account Code]])=0,"✖ Not in GJ",IF(ABS(tblBank[[#This Row],[GJ Amount]]-(tblBank[[#This Row],[Money In]]-tblBank[[#This Row],[Money Out]]))&lt;1,"✔ Recorded","⚠ Amount mismatch"))</f>
        <v>✔ Recorded</v>
      </c>
    </row>
    <row r="173" spans="2:13" x14ac:dyDescent="0.35">
      <c r="B173" s="4">
        <v>162</v>
      </c>
      <c r="C173" s="4" t="s">
        <v>6555</v>
      </c>
      <c r="D173" s="4">
        <v>1120</v>
      </c>
      <c r="E173" s="113">
        <v>46336</v>
      </c>
      <c r="F173" s="4" t="s">
        <v>6556</v>
      </c>
      <c r="G173" s="4" t="s">
        <v>5905</v>
      </c>
      <c r="H173" s="6">
        <v>0</v>
      </c>
      <c r="I173" s="6">
        <v>10516831</v>
      </c>
      <c r="J17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578507209</v>
      </c>
      <c r="K173" s="1">
        <f>MONTH(tblBank[[#This Row],[Value Date]])</f>
        <v>11</v>
      </c>
      <c r="L173" s="5">
        <f>SUMIFS(tblGJ[Debit],tblGJ[Voucher No],tblBank[[#This Row],[Reference]],tblGJ[Account Code],tblBank[[#This Row],[Account Code]])-SUMIFS(tblGJ[Credit],tblGJ[Voucher No],tblBank[[#This Row],[Reference]],tblGJ[Account Code],tblBank[[#This Row],[Account Code]])</f>
        <v>-10516831</v>
      </c>
      <c r="M173" s="1" t="str">
        <f>IF(COUNTIFS(tblGJ[Voucher No],tblBank[[#This Row],[Reference]],tblGJ[Account Code],tblBank[[#This Row],[Account Code]])=0,"✖ Not in GJ",IF(ABS(tblBank[[#This Row],[GJ Amount]]-(tblBank[[#This Row],[Money In]]-tblBank[[#This Row],[Money Out]]))&lt;1,"✔ Recorded","⚠ Amount mismatch"))</f>
        <v>✔ Recorded</v>
      </c>
    </row>
    <row r="174" spans="2:13" x14ac:dyDescent="0.35">
      <c r="B174" s="4">
        <v>163</v>
      </c>
      <c r="C174" s="4" t="s">
        <v>6555</v>
      </c>
      <c r="D174" s="4">
        <v>1120</v>
      </c>
      <c r="E174" s="113">
        <v>46336</v>
      </c>
      <c r="F174" s="4" t="s">
        <v>6557</v>
      </c>
      <c r="G174" s="4" t="s">
        <v>5906</v>
      </c>
      <c r="H174" s="6">
        <v>0</v>
      </c>
      <c r="I174" s="6">
        <v>22077790</v>
      </c>
      <c r="J17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556429419</v>
      </c>
      <c r="K174" s="1">
        <f>MONTH(tblBank[[#This Row],[Value Date]])</f>
        <v>11</v>
      </c>
      <c r="L174" s="5">
        <f>SUMIFS(tblGJ[Debit],tblGJ[Voucher No],tblBank[[#This Row],[Reference]],tblGJ[Account Code],tblBank[[#This Row],[Account Code]])-SUMIFS(tblGJ[Credit],tblGJ[Voucher No],tblBank[[#This Row],[Reference]],tblGJ[Account Code],tblBank[[#This Row],[Account Code]])</f>
        <v>-22077790</v>
      </c>
      <c r="M174" s="1" t="str">
        <f>IF(COUNTIFS(tblGJ[Voucher No],tblBank[[#This Row],[Reference]],tblGJ[Account Code],tblBank[[#This Row],[Account Code]])=0,"✖ Not in GJ",IF(ABS(tblBank[[#This Row],[GJ Amount]]-(tblBank[[#This Row],[Money In]]-tblBank[[#This Row],[Money Out]]))&lt;1,"✔ Recorded","⚠ Amount mismatch"))</f>
        <v>✔ Recorded</v>
      </c>
    </row>
    <row r="175" spans="2:13" x14ac:dyDescent="0.35">
      <c r="B175" s="4">
        <v>164</v>
      </c>
      <c r="C175" s="4" t="s">
        <v>6555</v>
      </c>
      <c r="D175" s="4">
        <v>1120</v>
      </c>
      <c r="E175" s="113">
        <v>46341</v>
      </c>
      <c r="F175" s="4" t="s">
        <v>6559</v>
      </c>
      <c r="G175" s="4" t="s">
        <v>5907</v>
      </c>
      <c r="H175" s="6">
        <v>0</v>
      </c>
      <c r="I175" s="6">
        <v>643880</v>
      </c>
      <c r="J17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555785539</v>
      </c>
      <c r="K175" s="1">
        <f>MONTH(tblBank[[#This Row],[Value Date]])</f>
        <v>11</v>
      </c>
      <c r="L175" s="5">
        <f>SUMIFS(tblGJ[Debit],tblGJ[Voucher No],tblBank[[#This Row],[Reference]],tblGJ[Account Code],tblBank[[#This Row],[Account Code]])-SUMIFS(tblGJ[Credit],tblGJ[Voucher No],tblBank[[#This Row],[Reference]],tblGJ[Account Code],tblBank[[#This Row],[Account Code]])</f>
        <v>-643880</v>
      </c>
      <c r="M175" s="1" t="str">
        <f>IF(COUNTIFS(tblGJ[Voucher No],tblBank[[#This Row],[Reference]],tblGJ[Account Code],tblBank[[#This Row],[Account Code]])=0,"✖ Not in GJ",IF(ABS(tblBank[[#This Row],[GJ Amount]]-(tblBank[[#This Row],[Money In]]-tblBank[[#This Row],[Money Out]]))&lt;1,"✔ Recorded","⚠ Amount mismatch"))</f>
        <v>✔ Recorded</v>
      </c>
    </row>
    <row r="176" spans="2:13" x14ac:dyDescent="0.35">
      <c r="B176" s="4">
        <v>165</v>
      </c>
      <c r="C176" s="4" t="s">
        <v>6555</v>
      </c>
      <c r="D176" s="4">
        <v>1120</v>
      </c>
      <c r="E176" s="113">
        <v>46341</v>
      </c>
      <c r="F176" s="4" t="s">
        <v>6560</v>
      </c>
      <c r="G176" s="4" t="s">
        <v>5908</v>
      </c>
      <c r="H176" s="6">
        <v>0</v>
      </c>
      <c r="I176" s="6">
        <v>20000000</v>
      </c>
      <c r="J17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535785539</v>
      </c>
      <c r="K176" s="1">
        <f>MONTH(tblBank[[#This Row],[Value Date]])</f>
        <v>11</v>
      </c>
      <c r="L176" s="5">
        <f>SUMIFS(tblGJ[Debit],tblGJ[Voucher No],tblBank[[#This Row],[Reference]],tblGJ[Account Code],tblBank[[#This Row],[Account Code]])-SUMIFS(tblGJ[Credit],tblGJ[Voucher No],tblBank[[#This Row],[Reference]],tblGJ[Account Code],tblBank[[#This Row],[Account Code]])</f>
        <v>-20000000</v>
      </c>
      <c r="M176" s="1" t="str">
        <f>IF(COUNTIFS(tblGJ[Voucher No],tblBank[[#This Row],[Reference]],tblGJ[Account Code],tblBank[[#This Row],[Account Code]])=0,"✖ Not in GJ",IF(ABS(tblBank[[#This Row],[GJ Amount]]-(tblBank[[#This Row],[Money In]]-tblBank[[#This Row],[Money Out]]))&lt;1,"✔ Recorded","⚠ Amount mismatch"))</f>
        <v>✔ Recorded</v>
      </c>
    </row>
    <row r="177" spans="2:13" x14ac:dyDescent="0.35">
      <c r="B177" s="4">
        <v>166</v>
      </c>
      <c r="C177" s="4" t="s">
        <v>6555</v>
      </c>
      <c r="D177" s="4">
        <v>1120</v>
      </c>
      <c r="E177" s="113">
        <v>46346</v>
      </c>
      <c r="F177" s="4" t="s">
        <v>6562</v>
      </c>
      <c r="G177" s="4" t="s">
        <v>5909</v>
      </c>
      <c r="H177" s="6">
        <v>1057341600</v>
      </c>
      <c r="I177" s="6">
        <v>0</v>
      </c>
      <c r="J17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1593127139</v>
      </c>
      <c r="K177" s="1">
        <f>MONTH(tblBank[[#This Row],[Value Date]])</f>
        <v>11</v>
      </c>
      <c r="L177" s="5">
        <f>SUMIFS(tblGJ[Debit],tblGJ[Voucher No],tblBank[[#This Row],[Reference]],tblGJ[Account Code],tblBank[[#This Row],[Account Code]])-SUMIFS(tblGJ[Credit],tblGJ[Voucher No],tblBank[[#This Row],[Reference]],tblGJ[Account Code],tblBank[[#This Row],[Account Code]])</f>
        <v>1057341600</v>
      </c>
      <c r="M177" s="1" t="str">
        <f>IF(COUNTIFS(tblGJ[Voucher No],tblBank[[#This Row],[Reference]],tblGJ[Account Code],tblBank[[#This Row],[Account Code]])=0,"✖ Not in GJ",IF(ABS(tblBank[[#This Row],[GJ Amount]]-(tblBank[[#This Row],[Money In]]-tblBank[[#This Row],[Money Out]]))&lt;1,"✔ Recorded","⚠ Amount mismatch"))</f>
        <v>✔ Recorded</v>
      </c>
    </row>
    <row r="178" spans="2:13" x14ac:dyDescent="0.35">
      <c r="B178" s="4">
        <v>167</v>
      </c>
      <c r="C178" s="4" t="s">
        <v>6555</v>
      </c>
      <c r="D178" s="4">
        <v>1120</v>
      </c>
      <c r="E178" s="113">
        <v>46350</v>
      </c>
      <c r="F178" s="4" t="s">
        <v>6563</v>
      </c>
      <c r="G178" s="4" t="s">
        <v>5910</v>
      </c>
      <c r="H178" s="6">
        <v>0</v>
      </c>
      <c r="I178" s="6">
        <v>161397799</v>
      </c>
      <c r="J17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1431729340</v>
      </c>
      <c r="K178" s="1">
        <f>MONTH(tblBank[[#This Row],[Value Date]])</f>
        <v>11</v>
      </c>
      <c r="L178" s="5">
        <f>SUMIFS(tblGJ[Debit],tblGJ[Voucher No],tblBank[[#This Row],[Reference]],tblGJ[Account Code],tblBank[[#This Row],[Account Code]])-SUMIFS(tblGJ[Credit],tblGJ[Voucher No],tblBank[[#This Row],[Reference]],tblGJ[Account Code],tblBank[[#This Row],[Account Code]])</f>
        <v>-161397799</v>
      </c>
      <c r="M178" s="1" t="str">
        <f>IF(COUNTIFS(tblGJ[Voucher No],tblBank[[#This Row],[Reference]],tblGJ[Account Code],tblBank[[#This Row],[Account Code]])=0,"✖ Not in GJ",IF(ABS(tblBank[[#This Row],[GJ Amount]]-(tblBank[[#This Row],[Money In]]-tblBank[[#This Row],[Money Out]]))&lt;1,"✔ Recorded","⚠ Amount mismatch"))</f>
        <v>✔ Recorded</v>
      </c>
    </row>
    <row r="179" spans="2:13" x14ac:dyDescent="0.35">
      <c r="B179" s="4">
        <v>168</v>
      </c>
      <c r="C179" s="4" t="s">
        <v>6555</v>
      </c>
      <c r="D179" s="4">
        <v>1120</v>
      </c>
      <c r="E179" s="113">
        <v>46354</v>
      </c>
      <c r="F179" s="4" t="s">
        <v>6564</v>
      </c>
      <c r="G179" s="4" t="s">
        <v>5912</v>
      </c>
      <c r="H179" s="6">
        <v>0</v>
      </c>
      <c r="I179" s="6">
        <v>60515180</v>
      </c>
      <c r="J17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1371214160</v>
      </c>
      <c r="K179" s="1">
        <f>MONTH(tblBank[[#This Row],[Value Date]])</f>
        <v>11</v>
      </c>
      <c r="L179" s="5">
        <f>SUMIFS(tblGJ[Debit],tblGJ[Voucher No],tblBank[[#This Row],[Reference]],tblGJ[Account Code],tblBank[[#This Row],[Account Code]])-SUMIFS(tblGJ[Credit],tblGJ[Voucher No],tblBank[[#This Row],[Reference]],tblGJ[Account Code],tblBank[[#This Row],[Account Code]])</f>
        <v>-60515180</v>
      </c>
      <c r="M179" s="1" t="str">
        <f>IF(COUNTIFS(tblGJ[Voucher No],tblBank[[#This Row],[Reference]],tblGJ[Account Code],tblBank[[#This Row],[Account Code]])=0,"✖ Not in GJ",IF(ABS(tblBank[[#This Row],[GJ Amount]]-(tblBank[[#This Row],[Money In]]-tblBank[[#This Row],[Money Out]]))&lt;1,"✔ Recorded","⚠ Amount mismatch"))</f>
        <v>✔ Recorded</v>
      </c>
    </row>
    <row r="180" spans="2:13" x14ac:dyDescent="0.35">
      <c r="B180" s="4">
        <v>169</v>
      </c>
      <c r="C180" s="4" t="s">
        <v>6555</v>
      </c>
      <c r="D180" s="4">
        <v>1120</v>
      </c>
      <c r="E180" s="113">
        <v>46354</v>
      </c>
      <c r="F180" s="4" t="s">
        <v>6565</v>
      </c>
      <c r="G180" s="4" t="s">
        <v>5913</v>
      </c>
      <c r="H180" s="6">
        <v>0</v>
      </c>
      <c r="I180" s="6">
        <v>34375000</v>
      </c>
      <c r="J18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1336839160</v>
      </c>
      <c r="K180" s="1">
        <f>MONTH(tblBank[[#This Row],[Value Date]])</f>
        <v>11</v>
      </c>
      <c r="L180" s="5">
        <f>SUMIFS(tblGJ[Debit],tblGJ[Voucher No],tblBank[[#This Row],[Reference]],tblGJ[Account Code],tblBank[[#This Row],[Account Code]])-SUMIFS(tblGJ[Credit],tblGJ[Voucher No],tblBank[[#This Row],[Reference]],tblGJ[Account Code],tblBank[[#This Row],[Account Code]])</f>
        <v>-34375000</v>
      </c>
      <c r="M180" s="1" t="str">
        <f>IF(COUNTIFS(tblGJ[Voucher No],tblBank[[#This Row],[Reference]],tblGJ[Account Code],tblBank[[#This Row],[Account Code]])=0,"✖ Not in GJ",IF(ABS(tblBank[[#This Row],[GJ Amount]]-(tblBank[[#This Row],[Money In]]-tblBank[[#This Row],[Money Out]]))&lt;1,"✔ Recorded","⚠ Amount mismatch"))</f>
        <v>✔ Recorded</v>
      </c>
    </row>
    <row r="181" spans="2:13" x14ac:dyDescent="0.35">
      <c r="B181" s="4">
        <v>170</v>
      </c>
      <c r="C181" s="4" t="s">
        <v>6555</v>
      </c>
      <c r="D181" s="4">
        <v>1120</v>
      </c>
      <c r="E181" s="113">
        <v>46356</v>
      </c>
      <c r="F181" s="4" t="s">
        <v>6567</v>
      </c>
      <c r="G181" s="4" t="s">
        <v>5914</v>
      </c>
      <c r="H181" s="6">
        <v>256582050</v>
      </c>
      <c r="I181" s="6">
        <v>0</v>
      </c>
      <c r="J18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1593421210</v>
      </c>
      <c r="K181" s="1">
        <f>MONTH(tblBank[[#This Row],[Value Date]])</f>
        <v>11</v>
      </c>
      <c r="L181" s="5">
        <f>SUMIFS(tblGJ[Debit],tblGJ[Voucher No],tblBank[[#This Row],[Reference]],tblGJ[Account Code],tblBank[[#This Row],[Account Code]])-SUMIFS(tblGJ[Credit],tblGJ[Voucher No],tblBank[[#This Row],[Reference]],tblGJ[Account Code],tblBank[[#This Row],[Account Code]])</f>
        <v>256582050</v>
      </c>
      <c r="M181" s="1" t="str">
        <f>IF(COUNTIFS(tblGJ[Voucher No],tblBank[[#This Row],[Reference]],tblGJ[Account Code],tblBank[[#This Row],[Account Code]])=0,"✖ Not in GJ",IF(ABS(tblBank[[#This Row],[GJ Amount]]-(tblBank[[#This Row],[Money In]]-tblBank[[#This Row],[Money Out]]))&lt;1,"✔ Recorded","⚠ Amount mismatch"))</f>
        <v>✔ Recorded</v>
      </c>
    </row>
    <row r="182" spans="2:13" x14ac:dyDescent="0.35">
      <c r="B182" s="4">
        <v>171</v>
      </c>
      <c r="C182" s="4" t="s">
        <v>6555</v>
      </c>
      <c r="D182" s="4">
        <v>1120</v>
      </c>
      <c r="E182" s="113">
        <v>46356</v>
      </c>
      <c r="F182" s="4" t="s">
        <v>6568</v>
      </c>
      <c r="G182" s="4" t="s">
        <v>5916</v>
      </c>
      <c r="H182" s="6">
        <v>136796400</v>
      </c>
      <c r="I182" s="6">
        <v>0</v>
      </c>
      <c r="J18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1730217610</v>
      </c>
      <c r="K182" s="1">
        <f>MONTH(tblBank[[#This Row],[Value Date]])</f>
        <v>11</v>
      </c>
      <c r="L182" s="5">
        <f>SUMIFS(tblGJ[Debit],tblGJ[Voucher No],tblBank[[#This Row],[Reference]],tblGJ[Account Code],tblBank[[#This Row],[Account Code]])-SUMIFS(tblGJ[Credit],tblGJ[Voucher No],tblBank[[#This Row],[Reference]],tblGJ[Account Code],tblBank[[#This Row],[Account Code]])</f>
        <v>136796400</v>
      </c>
      <c r="M182" s="1" t="str">
        <f>IF(COUNTIFS(tblGJ[Voucher No],tblBank[[#This Row],[Reference]],tblGJ[Account Code],tblBank[[#This Row],[Account Code]])=0,"✖ Not in GJ",IF(ABS(tblBank[[#This Row],[GJ Amount]]-(tblBank[[#This Row],[Money In]]-tblBank[[#This Row],[Money Out]]))&lt;1,"✔ Recorded","⚠ Amount mismatch"))</f>
        <v>✔ Recorded</v>
      </c>
    </row>
    <row r="183" spans="2:13" x14ac:dyDescent="0.35">
      <c r="B183" s="4">
        <v>172</v>
      </c>
      <c r="C183" s="4" t="s">
        <v>6555</v>
      </c>
      <c r="D183" s="4">
        <v>1120</v>
      </c>
      <c r="E183" s="113">
        <v>46356</v>
      </c>
      <c r="F183" s="4" t="s">
        <v>6569</v>
      </c>
      <c r="G183" s="4" t="s">
        <v>5923</v>
      </c>
      <c r="H183" s="6">
        <v>1333333</v>
      </c>
      <c r="I183" s="6">
        <v>0</v>
      </c>
      <c r="J18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1731550943</v>
      </c>
      <c r="K183" s="1">
        <f>MONTH(tblBank[[#This Row],[Value Date]])</f>
        <v>11</v>
      </c>
      <c r="L183" s="5">
        <f>SUMIFS(tblGJ[Debit],tblGJ[Voucher No],tblBank[[#This Row],[Reference]],tblGJ[Account Code],tblBank[[#This Row],[Account Code]])-SUMIFS(tblGJ[Credit],tblGJ[Voucher No],tblBank[[#This Row],[Reference]],tblGJ[Account Code],tblBank[[#This Row],[Account Code]])</f>
        <v>1333333</v>
      </c>
      <c r="M183" s="1" t="str">
        <f>IF(COUNTIFS(tblGJ[Voucher No],tblBank[[#This Row],[Reference]],tblGJ[Account Code],tblBank[[#This Row],[Account Code]])=0,"✖ Not in GJ",IF(ABS(tblBank[[#This Row],[GJ Amount]]-(tblBank[[#This Row],[Money In]]-tblBank[[#This Row],[Money Out]]))&lt;1,"✔ Recorded","⚠ Amount mismatch"))</f>
        <v>✔ Recorded</v>
      </c>
    </row>
    <row r="184" spans="2:13" x14ac:dyDescent="0.35">
      <c r="B184" s="4">
        <v>173</v>
      </c>
      <c r="C184" s="4" t="s">
        <v>6555</v>
      </c>
      <c r="D184" s="4">
        <v>1120</v>
      </c>
      <c r="E184" s="113">
        <v>46356</v>
      </c>
      <c r="F184" s="4" t="s">
        <v>6570</v>
      </c>
      <c r="G184" s="4" t="s">
        <v>5924</v>
      </c>
      <c r="H184" s="6">
        <v>411804</v>
      </c>
      <c r="I184" s="6">
        <v>0</v>
      </c>
      <c r="J18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1731962747</v>
      </c>
      <c r="K184" s="1">
        <f>MONTH(tblBank[[#This Row],[Value Date]])</f>
        <v>11</v>
      </c>
      <c r="L184" s="5">
        <f>SUMIFS(tblGJ[Debit],tblGJ[Voucher No],tblBank[[#This Row],[Reference]],tblGJ[Account Code],tblBank[[#This Row],[Account Code]])-SUMIFS(tblGJ[Credit],tblGJ[Voucher No],tblBank[[#This Row],[Reference]],tblGJ[Account Code],tblBank[[#This Row],[Account Code]])</f>
        <v>411804</v>
      </c>
      <c r="M184" s="1" t="str">
        <f>IF(COUNTIFS(tblGJ[Voucher No],tblBank[[#This Row],[Reference]],tblGJ[Account Code],tblBank[[#This Row],[Account Code]])=0,"✖ Not in GJ",IF(ABS(tblBank[[#This Row],[GJ Amount]]-(tblBank[[#This Row],[Money In]]-tblBank[[#This Row],[Money Out]]))&lt;1,"✔ Recorded","⚠ Amount mismatch"))</f>
        <v>✔ Recorded</v>
      </c>
    </row>
    <row r="185" spans="2:13" x14ac:dyDescent="0.35">
      <c r="B185" s="4">
        <v>174</v>
      </c>
      <c r="C185" s="4" t="s">
        <v>6555</v>
      </c>
      <c r="D185" s="4">
        <v>1120</v>
      </c>
      <c r="E185" s="113">
        <v>46356</v>
      </c>
      <c r="F185" s="4" t="s">
        <v>6561</v>
      </c>
      <c r="G185" s="4" t="s">
        <v>5918</v>
      </c>
      <c r="H185" s="6">
        <v>0</v>
      </c>
      <c r="I185" s="6">
        <v>928221880</v>
      </c>
      <c r="J18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803740867</v>
      </c>
      <c r="K185" s="1">
        <f>MONTH(tblBank[[#This Row],[Value Date]])</f>
        <v>11</v>
      </c>
      <c r="L185" s="5">
        <f>SUMIFS(tblGJ[Debit],tblGJ[Voucher No],tblBank[[#This Row],[Reference]],tblGJ[Account Code],tblBank[[#This Row],[Account Code]])-SUMIFS(tblGJ[Credit],tblGJ[Voucher No],tblBank[[#This Row],[Reference]],tblGJ[Account Code],tblBank[[#This Row],[Account Code]])</f>
        <v>-928221880</v>
      </c>
      <c r="M185" s="1" t="str">
        <f>IF(COUNTIFS(tblGJ[Voucher No],tblBank[[#This Row],[Reference]],tblGJ[Account Code],tblBank[[#This Row],[Account Code]])=0,"✖ Not in GJ",IF(ABS(tblBank[[#This Row],[GJ Amount]]-(tblBank[[#This Row],[Money In]]-tblBank[[#This Row],[Money Out]]))&lt;1,"✔ Recorded","⚠ Amount mismatch"))</f>
        <v>✔ Recorded</v>
      </c>
    </row>
    <row r="186" spans="2:13" x14ac:dyDescent="0.35">
      <c r="B186" s="4">
        <v>175</v>
      </c>
      <c r="C186" s="4" t="s">
        <v>6555</v>
      </c>
      <c r="D186" s="4">
        <v>1120</v>
      </c>
      <c r="E186" s="113">
        <v>46356</v>
      </c>
      <c r="F186" s="4" t="s">
        <v>6571</v>
      </c>
      <c r="G186" s="4" t="s">
        <v>5925</v>
      </c>
      <c r="H186" s="6">
        <v>0</v>
      </c>
      <c r="I186" s="6">
        <v>82361</v>
      </c>
      <c r="J18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803658506</v>
      </c>
      <c r="K186" s="1">
        <f>MONTH(tblBank[[#This Row],[Value Date]])</f>
        <v>11</v>
      </c>
      <c r="L186" s="5">
        <f>SUMIFS(tblGJ[Debit],tblGJ[Voucher No],tblBank[[#This Row],[Reference]],tblGJ[Account Code],tblBank[[#This Row],[Account Code]])-SUMIFS(tblGJ[Credit],tblGJ[Voucher No],tblBank[[#This Row],[Reference]],tblGJ[Account Code],tblBank[[#This Row],[Account Code]])</f>
        <v>-82361</v>
      </c>
      <c r="M186" s="1" t="str">
        <f>IF(COUNTIFS(tblGJ[Voucher No],tblBank[[#This Row],[Reference]],tblGJ[Account Code],tblBank[[#This Row],[Account Code]])=0,"✖ Not in GJ",IF(ABS(tblBank[[#This Row],[GJ Amount]]-(tblBank[[#This Row],[Money In]]-tblBank[[#This Row],[Money Out]]))&lt;1,"✔ Recorded","⚠ Amount mismatch"))</f>
        <v>✔ Recorded</v>
      </c>
    </row>
    <row r="187" spans="2:13" x14ac:dyDescent="0.35">
      <c r="B187" s="4">
        <v>176</v>
      </c>
      <c r="C187" s="4" t="s">
        <v>6555</v>
      </c>
      <c r="D187" s="4">
        <v>1120</v>
      </c>
      <c r="E187" s="113">
        <v>46356</v>
      </c>
      <c r="F187" s="4" t="s">
        <v>6572</v>
      </c>
      <c r="G187" s="4" t="s">
        <v>5926</v>
      </c>
      <c r="H187" s="6">
        <v>0</v>
      </c>
      <c r="I187" s="6">
        <v>150000</v>
      </c>
      <c r="J18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803508506</v>
      </c>
      <c r="K187" s="1">
        <f>MONTH(tblBank[[#This Row],[Value Date]])</f>
        <v>11</v>
      </c>
      <c r="L187" s="5">
        <f>SUMIFS(tblGJ[Debit],tblGJ[Voucher No],tblBank[[#This Row],[Reference]],tblGJ[Account Code],tblBank[[#This Row],[Account Code]])-SUMIFS(tblGJ[Credit],tblGJ[Voucher No],tblBank[[#This Row],[Reference]],tblGJ[Account Code],tblBank[[#This Row],[Account Code]])</f>
        <v>-150000</v>
      </c>
      <c r="M187" s="1" t="str">
        <f>IF(COUNTIFS(tblGJ[Voucher No],tblBank[[#This Row],[Reference]],tblGJ[Account Code],tblBank[[#This Row],[Account Code]])=0,"✖ Not in GJ",IF(ABS(tblBank[[#This Row],[GJ Amount]]-(tblBank[[#This Row],[Money In]]-tblBank[[#This Row],[Money Out]]))&lt;1,"✔ Recorded","⚠ Amount mismatch"))</f>
        <v>✔ Recorded</v>
      </c>
    </row>
    <row r="188" spans="2:13" x14ac:dyDescent="0.35">
      <c r="B188" s="4">
        <v>177</v>
      </c>
      <c r="C188" s="4" t="s">
        <v>6555</v>
      </c>
      <c r="D188" s="4">
        <v>1120</v>
      </c>
      <c r="E188" s="113">
        <v>46366</v>
      </c>
      <c r="F188" s="4" t="s">
        <v>6556</v>
      </c>
      <c r="G188" s="4" t="s">
        <v>5930</v>
      </c>
      <c r="H188" s="6">
        <v>0</v>
      </c>
      <c r="I188" s="6">
        <v>10516831</v>
      </c>
      <c r="J18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792991675</v>
      </c>
      <c r="K188" s="1">
        <f>MONTH(tblBank[[#This Row],[Value Date]])</f>
        <v>12</v>
      </c>
      <c r="L188" s="5">
        <f>SUMIFS(tblGJ[Debit],tblGJ[Voucher No],tblBank[[#This Row],[Reference]],tblGJ[Account Code],tblBank[[#This Row],[Account Code]])-SUMIFS(tblGJ[Credit],tblGJ[Voucher No],tblBank[[#This Row],[Reference]],tblGJ[Account Code],tblBank[[#This Row],[Account Code]])</f>
        <v>-10516831</v>
      </c>
      <c r="M188" s="1" t="str">
        <f>IF(COUNTIFS(tblGJ[Voucher No],tblBank[[#This Row],[Reference]],tblGJ[Account Code],tblBank[[#This Row],[Account Code]])=0,"✖ Not in GJ",IF(ABS(tblBank[[#This Row],[GJ Amount]]-(tblBank[[#This Row],[Money In]]-tblBank[[#This Row],[Money Out]]))&lt;1,"✔ Recorded","⚠ Amount mismatch"))</f>
        <v>✔ Recorded</v>
      </c>
    </row>
    <row r="189" spans="2:13" x14ac:dyDescent="0.35">
      <c r="B189" s="4">
        <v>178</v>
      </c>
      <c r="C189" s="4" t="s">
        <v>6555</v>
      </c>
      <c r="D189" s="4">
        <v>1120</v>
      </c>
      <c r="E189" s="113">
        <v>46366</v>
      </c>
      <c r="F189" s="4" t="s">
        <v>6557</v>
      </c>
      <c r="G189" s="4" t="s">
        <v>5931</v>
      </c>
      <c r="H189" s="6">
        <v>0</v>
      </c>
      <c r="I189" s="6">
        <v>22077790</v>
      </c>
      <c r="J18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770913885</v>
      </c>
      <c r="K189" s="1">
        <f>MONTH(tblBank[[#This Row],[Value Date]])</f>
        <v>12</v>
      </c>
      <c r="L189" s="5">
        <f>SUMIFS(tblGJ[Debit],tblGJ[Voucher No],tblBank[[#This Row],[Reference]],tblGJ[Account Code],tblBank[[#This Row],[Account Code]])-SUMIFS(tblGJ[Credit],tblGJ[Voucher No],tblBank[[#This Row],[Reference]],tblGJ[Account Code],tblBank[[#This Row],[Account Code]])</f>
        <v>-22077790</v>
      </c>
      <c r="M189" s="1" t="str">
        <f>IF(COUNTIFS(tblGJ[Voucher No],tblBank[[#This Row],[Reference]],tblGJ[Account Code],tblBank[[#This Row],[Account Code]])=0,"✖ Not in GJ",IF(ABS(tblBank[[#This Row],[GJ Amount]]-(tblBank[[#This Row],[Money In]]-tblBank[[#This Row],[Money Out]]))&lt;1,"✔ Recorded","⚠ Amount mismatch"))</f>
        <v>✔ Recorded</v>
      </c>
    </row>
    <row r="190" spans="2:13" x14ac:dyDescent="0.35">
      <c r="B190" s="4">
        <v>179</v>
      </c>
      <c r="C190" s="4" t="s">
        <v>6555</v>
      </c>
      <c r="D190" s="4">
        <v>1120</v>
      </c>
      <c r="E190" s="113">
        <v>46371</v>
      </c>
      <c r="F190" s="4" t="s">
        <v>6559</v>
      </c>
      <c r="G190" s="4" t="s">
        <v>5932</v>
      </c>
      <c r="H190" s="6">
        <v>0</v>
      </c>
      <c r="I190" s="6">
        <v>598200</v>
      </c>
      <c r="J19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770315685</v>
      </c>
      <c r="K190" s="1">
        <f>MONTH(tblBank[[#This Row],[Value Date]])</f>
        <v>12</v>
      </c>
      <c r="L190" s="5">
        <f>SUMIFS(tblGJ[Debit],tblGJ[Voucher No],tblBank[[#This Row],[Reference]],tblGJ[Account Code],tblBank[[#This Row],[Account Code]])-SUMIFS(tblGJ[Credit],tblGJ[Voucher No],tblBank[[#This Row],[Reference]],tblGJ[Account Code],tblBank[[#This Row],[Account Code]])</f>
        <v>-598200</v>
      </c>
      <c r="M190" s="1" t="str">
        <f>IF(COUNTIFS(tblGJ[Voucher No],tblBank[[#This Row],[Reference]],tblGJ[Account Code],tblBank[[#This Row],[Account Code]])=0,"✖ Not in GJ",IF(ABS(tblBank[[#This Row],[GJ Amount]]-(tblBank[[#This Row],[Money In]]-tblBank[[#This Row],[Money Out]]))&lt;1,"✔ Recorded","⚠ Amount mismatch"))</f>
        <v>✔ Recorded</v>
      </c>
    </row>
    <row r="191" spans="2:13" x14ac:dyDescent="0.35">
      <c r="B191" s="4">
        <v>180</v>
      </c>
      <c r="C191" s="4" t="s">
        <v>6555</v>
      </c>
      <c r="D191" s="4">
        <v>1120</v>
      </c>
      <c r="E191" s="113">
        <v>46371</v>
      </c>
      <c r="F191" s="4" t="s">
        <v>6560</v>
      </c>
      <c r="G191" s="4" t="s">
        <v>5933</v>
      </c>
      <c r="H191" s="6">
        <v>0</v>
      </c>
      <c r="I191" s="6">
        <v>20000000</v>
      </c>
      <c r="J19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750315685</v>
      </c>
      <c r="K191" s="1">
        <f>MONTH(tblBank[[#This Row],[Value Date]])</f>
        <v>12</v>
      </c>
      <c r="L191" s="5">
        <f>SUMIFS(tblGJ[Debit],tblGJ[Voucher No],tblBank[[#This Row],[Reference]],tblGJ[Account Code],tblBank[[#This Row],[Account Code]])-SUMIFS(tblGJ[Credit],tblGJ[Voucher No],tblBank[[#This Row],[Reference]],tblGJ[Account Code],tblBank[[#This Row],[Account Code]])</f>
        <v>-20000000</v>
      </c>
      <c r="M191" s="1" t="str">
        <f>IF(COUNTIFS(tblGJ[Voucher No],tblBank[[#This Row],[Reference]],tblGJ[Account Code],tblBank[[#This Row],[Account Code]])=0,"✖ Not in GJ",IF(ABS(tblBank[[#This Row],[GJ Amount]]-(tblBank[[#This Row],[Money In]]-tblBank[[#This Row],[Money Out]]))&lt;1,"✔ Recorded","⚠ Amount mismatch"))</f>
        <v>✔ Recorded</v>
      </c>
    </row>
    <row r="192" spans="2:13" x14ac:dyDescent="0.35">
      <c r="B192" s="4">
        <v>181</v>
      </c>
      <c r="C192" s="4" t="s">
        <v>6555</v>
      </c>
      <c r="D192" s="4">
        <v>1120</v>
      </c>
      <c r="E192" s="113">
        <v>46376</v>
      </c>
      <c r="F192" s="4" t="s">
        <v>6562</v>
      </c>
      <c r="G192" s="4" t="s">
        <v>5934</v>
      </c>
      <c r="H192" s="6">
        <v>879342000</v>
      </c>
      <c r="I192" s="6">
        <v>0</v>
      </c>
      <c r="J19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1629657685</v>
      </c>
      <c r="K192" s="1">
        <f>MONTH(tblBank[[#This Row],[Value Date]])</f>
        <v>12</v>
      </c>
      <c r="L192" s="5">
        <f>SUMIFS(tblGJ[Debit],tblGJ[Voucher No],tblBank[[#This Row],[Reference]],tblGJ[Account Code],tblBank[[#This Row],[Account Code]])-SUMIFS(tblGJ[Credit],tblGJ[Voucher No],tblBank[[#This Row],[Reference]],tblGJ[Account Code],tblBank[[#This Row],[Account Code]])</f>
        <v>879342000</v>
      </c>
      <c r="M192" s="1" t="str">
        <f>IF(COUNTIFS(tblGJ[Voucher No],tblBank[[#This Row],[Reference]],tblGJ[Account Code],tblBank[[#This Row],[Account Code]])=0,"✖ Not in GJ",IF(ABS(tblBank[[#This Row],[GJ Amount]]-(tblBank[[#This Row],[Money In]]-tblBank[[#This Row],[Money Out]]))&lt;1,"✔ Recorded","⚠ Amount mismatch"))</f>
        <v>✔ Recorded</v>
      </c>
    </row>
    <row r="193" spans="2:13" x14ac:dyDescent="0.35">
      <c r="B193" s="4">
        <v>182</v>
      </c>
      <c r="C193" s="4" t="s">
        <v>6555</v>
      </c>
      <c r="D193" s="4">
        <v>1120</v>
      </c>
      <c r="E193" s="113">
        <v>46380</v>
      </c>
      <c r="F193" s="4" t="s">
        <v>6563</v>
      </c>
      <c r="G193" s="4" t="s">
        <v>5935</v>
      </c>
      <c r="H193" s="6">
        <v>0</v>
      </c>
      <c r="I193" s="6">
        <v>161397799</v>
      </c>
      <c r="J19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1468259886</v>
      </c>
      <c r="K193" s="1">
        <f>MONTH(tblBank[[#This Row],[Value Date]])</f>
        <v>12</v>
      </c>
      <c r="L193" s="5">
        <f>SUMIFS(tblGJ[Debit],tblGJ[Voucher No],tblBank[[#This Row],[Reference]],tblGJ[Account Code],tblBank[[#This Row],[Account Code]])-SUMIFS(tblGJ[Credit],tblGJ[Voucher No],tblBank[[#This Row],[Reference]],tblGJ[Account Code],tblBank[[#This Row],[Account Code]])</f>
        <v>-161397799</v>
      </c>
      <c r="M193" s="1" t="str">
        <f>IF(COUNTIFS(tblGJ[Voucher No],tblBank[[#This Row],[Reference]],tblGJ[Account Code],tblBank[[#This Row],[Account Code]])=0,"✖ Not in GJ",IF(ABS(tblBank[[#This Row],[GJ Amount]]-(tblBank[[#This Row],[Money In]]-tblBank[[#This Row],[Money Out]]))&lt;1,"✔ Recorded","⚠ Amount mismatch"))</f>
        <v>✔ Recorded</v>
      </c>
    </row>
    <row r="194" spans="2:13" x14ac:dyDescent="0.35">
      <c r="B194" s="4">
        <v>183</v>
      </c>
      <c r="C194" s="4" t="s">
        <v>6555</v>
      </c>
      <c r="D194" s="4">
        <v>1120</v>
      </c>
      <c r="E194" s="113">
        <v>46384</v>
      </c>
      <c r="F194" s="4" t="s">
        <v>6564</v>
      </c>
      <c r="G194" s="4" t="s">
        <v>5937</v>
      </c>
      <c r="H194" s="6">
        <v>0</v>
      </c>
      <c r="I194" s="6">
        <v>57145990</v>
      </c>
      <c r="J19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1411113896</v>
      </c>
      <c r="K194" s="1">
        <f>MONTH(tblBank[[#This Row],[Value Date]])</f>
        <v>12</v>
      </c>
      <c r="L194" s="5">
        <f>SUMIFS(tblGJ[Debit],tblGJ[Voucher No],tblBank[[#This Row],[Reference]],tblGJ[Account Code],tblBank[[#This Row],[Account Code]])-SUMIFS(tblGJ[Credit],tblGJ[Voucher No],tblBank[[#This Row],[Reference]],tblGJ[Account Code],tblBank[[#This Row],[Account Code]])</f>
        <v>-57145990</v>
      </c>
      <c r="M194" s="1" t="str">
        <f>IF(COUNTIFS(tblGJ[Voucher No],tblBank[[#This Row],[Reference]],tblGJ[Account Code],tblBank[[#This Row],[Account Code]])=0,"✖ Not in GJ",IF(ABS(tblBank[[#This Row],[GJ Amount]]-(tblBank[[#This Row],[Money In]]-tblBank[[#This Row],[Money Out]]))&lt;1,"✔ Recorded","⚠ Amount mismatch"))</f>
        <v>✔ Recorded</v>
      </c>
    </row>
    <row r="195" spans="2:13" x14ac:dyDescent="0.35">
      <c r="B195" s="4">
        <v>184</v>
      </c>
      <c r="C195" s="4" t="s">
        <v>6555</v>
      </c>
      <c r="D195" s="4">
        <v>1120</v>
      </c>
      <c r="E195" s="113">
        <v>46384</v>
      </c>
      <c r="F195" s="4" t="s">
        <v>6565</v>
      </c>
      <c r="G195" s="4" t="s">
        <v>5938</v>
      </c>
      <c r="H195" s="6">
        <v>0</v>
      </c>
      <c r="I195" s="6">
        <v>34187500</v>
      </c>
      <c r="J19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1376926396</v>
      </c>
      <c r="K195" s="1">
        <f>MONTH(tblBank[[#This Row],[Value Date]])</f>
        <v>12</v>
      </c>
      <c r="L195" s="5">
        <f>SUMIFS(tblGJ[Debit],tblGJ[Voucher No],tblBank[[#This Row],[Reference]],tblGJ[Account Code],tblBank[[#This Row],[Account Code]])-SUMIFS(tblGJ[Credit],tblGJ[Voucher No],tblBank[[#This Row],[Reference]],tblGJ[Account Code],tblBank[[#This Row],[Account Code]])</f>
        <v>-34187500</v>
      </c>
      <c r="M195" s="1" t="str">
        <f>IF(COUNTIFS(tblGJ[Voucher No],tblBank[[#This Row],[Reference]],tblGJ[Account Code],tblBank[[#This Row],[Account Code]])=0,"✖ Not in GJ",IF(ABS(tblBank[[#This Row],[GJ Amount]]-(tblBank[[#This Row],[Money In]]-tblBank[[#This Row],[Money Out]]))&lt;1,"✔ Recorded","⚠ Amount mismatch"))</f>
        <v>✔ Recorded</v>
      </c>
    </row>
    <row r="196" spans="2:13" x14ac:dyDescent="0.35">
      <c r="B196" s="4">
        <v>185</v>
      </c>
      <c r="C196" s="4" t="s">
        <v>6555</v>
      </c>
      <c r="D196" s="4">
        <v>1120</v>
      </c>
      <c r="E196" s="113">
        <v>46387</v>
      </c>
      <c r="F196" s="4" t="s">
        <v>6567</v>
      </c>
      <c r="G196" s="4" t="s">
        <v>5939</v>
      </c>
      <c r="H196" s="6">
        <v>273509550</v>
      </c>
      <c r="I196" s="6">
        <v>0</v>
      </c>
      <c r="J19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1650435946</v>
      </c>
      <c r="K196" s="1">
        <f>MONTH(tblBank[[#This Row],[Value Date]])</f>
        <v>12</v>
      </c>
      <c r="L196" s="5">
        <f>SUMIFS(tblGJ[Debit],tblGJ[Voucher No],tblBank[[#This Row],[Reference]],tblGJ[Account Code],tblBank[[#This Row],[Account Code]])-SUMIFS(tblGJ[Credit],tblGJ[Voucher No],tblBank[[#This Row],[Reference]],tblGJ[Account Code],tblBank[[#This Row],[Account Code]])</f>
        <v>273509550</v>
      </c>
      <c r="M196" s="1" t="str">
        <f>IF(COUNTIFS(tblGJ[Voucher No],tblBank[[#This Row],[Reference]],tblGJ[Account Code],tblBank[[#This Row],[Account Code]])=0,"✖ Not in GJ",IF(ABS(tblBank[[#This Row],[GJ Amount]]-(tblBank[[#This Row],[Money In]]-tblBank[[#This Row],[Money Out]]))&lt;1,"✔ Recorded","⚠ Amount mismatch"))</f>
        <v>✔ Recorded</v>
      </c>
    </row>
    <row r="197" spans="2:13" x14ac:dyDescent="0.35">
      <c r="B197" s="4">
        <v>186</v>
      </c>
      <c r="C197" s="4" t="s">
        <v>6555</v>
      </c>
      <c r="D197" s="4">
        <v>1120</v>
      </c>
      <c r="E197" s="113">
        <v>46387</v>
      </c>
      <c r="F197" s="4" t="s">
        <v>6568</v>
      </c>
      <c r="G197" s="4" t="s">
        <v>5941</v>
      </c>
      <c r="H197" s="6">
        <v>195138000</v>
      </c>
      <c r="I197" s="6">
        <v>0</v>
      </c>
      <c r="J19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1845573946</v>
      </c>
      <c r="K197" s="1">
        <f>MONTH(tblBank[[#This Row],[Value Date]])</f>
        <v>12</v>
      </c>
      <c r="L197" s="5">
        <f>SUMIFS(tblGJ[Debit],tblGJ[Voucher No],tblBank[[#This Row],[Reference]],tblGJ[Account Code],tblBank[[#This Row],[Account Code]])-SUMIFS(tblGJ[Credit],tblGJ[Voucher No],tblBank[[#This Row],[Reference]],tblGJ[Account Code],tblBank[[#This Row],[Account Code]])</f>
        <v>195138000</v>
      </c>
      <c r="M197" s="1" t="str">
        <f>IF(COUNTIFS(tblGJ[Voucher No],tblBank[[#This Row],[Reference]],tblGJ[Account Code],tblBank[[#This Row],[Account Code]])=0,"✖ Not in GJ",IF(ABS(tblBank[[#This Row],[GJ Amount]]-(tblBank[[#This Row],[Money In]]-tblBank[[#This Row],[Money Out]]))&lt;1,"✔ Recorded","⚠ Amount mismatch"))</f>
        <v>✔ Recorded</v>
      </c>
    </row>
    <row r="198" spans="2:13" x14ac:dyDescent="0.35">
      <c r="B198" s="4">
        <v>187</v>
      </c>
      <c r="C198" s="4" t="s">
        <v>6555</v>
      </c>
      <c r="D198" s="4">
        <v>1120</v>
      </c>
      <c r="E198" s="113">
        <v>46387</v>
      </c>
      <c r="F198" s="4" t="s">
        <v>6569</v>
      </c>
      <c r="G198" s="4" t="s">
        <v>5948</v>
      </c>
      <c r="H198" s="6">
        <v>1333333</v>
      </c>
      <c r="I198" s="6">
        <v>0</v>
      </c>
      <c r="J19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1846907279</v>
      </c>
      <c r="K198" s="1">
        <f>MONTH(tblBank[[#This Row],[Value Date]])</f>
        <v>12</v>
      </c>
      <c r="L198" s="5">
        <f>SUMIFS(tblGJ[Debit],tblGJ[Voucher No],tblBank[[#This Row],[Reference]],tblGJ[Account Code],tblBank[[#This Row],[Account Code]])-SUMIFS(tblGJ[Credit],tblGJ[Voucher No],tblBank[[#This Row],[Reference]],tblGJ[Account Code],tblBank[[#This Row],[Account Code]])</f>
        <v>1333333</v>
      </c>
      <c r="M198" s="1" t="str">
        <f>IF(COUNTIFS(tblGJ[Voucher No],tblBank[[#This Row],[Reference]],tblGJ[Account Code],tblBank[[#This Row],[Account Code]])=0,"✖ Not in GJ",IF(ABS(tblBank[[#This Row],[GJ Amount]]-(tblBank[[#This Row],[Money In]]-tblBank[[#This Row],[Money Out]]))&lt;1,"✔ Recorded","⚠ Amount mismatch"))</f>
        <v>✔ Recorded</v>
      </c>
    </row>
    <row r="199" spans="2:13" x14ac:dyDescent="0.35">
      <c r="B199" s="4">
        <v>188</v>
      </c>
      <c r="C199" s="4" t="s">
        <v>6555</v>
      </c>
      <c r="D199" s="4">
        <v>1120</v>
      </c>
      <c r="E199" s="113">
        <v>46387</v>
      </c>
      <c r="F199" s="4" t="s">
        <v>6570</v>
      </c>
      <c r="G199" s="4" t="s">
        <v>5949</v>
      </c>
      <c r="H199" s="6">
        <v>400976</v>
      </c>
      <c r="I199" s="6">
        <v>0</v>
      </c>
      <c r="J19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1847308255</v>
      </c>
      <c r="K199" s="1">
        <f>MONTH(tblBank[[#This Row],[Value Date]])</f>
        <v>12</v>
      </c>
      <c r="L199" s="5">
        <f>SUMIFS(tblGJ[Debit],tblGJ[Voucher No],tblBank[[#This Row],[Reference]],tblGJ[Account Code],tblBank[[#This Row],[Account Code]])-SUMIFS(tblGJ[Credit],tblGJ[Voucher No],tblBank[[#This Row],[Reference]],tblGJ[Account Code],tblBank[[#This Row],[Account Code]])</f>
        <v>400976</v>
      </c>
      <c r="M199" s="1" t="str">
        <f>IF(COUNTIFS(tblGJ[Voucher No],tblBank[[#This Row],[Reference]],tblGJ[Account Code],tblBank[[#This Row],[Account Code]])=0,"✖ Not in GJ",IF(ABS(tblBank[[#This Row],[GJ Amount]]-(tblBank[[#This Row],[Money In]]-tblBank[[#This Row],[Money Out]]))&lt;1,"✔ Recorded","⚠ Amount mismatch"))</f>
        <v>✔ Recorded</v>
      </c>
    </row>
    <row r="200" spans="2:13" x14ac:dyDescent="0.35">
      <c r="B200" s="4">
        <v>189</v>
      </c>
      <c r="C200" s="4" t="s">
        <v>6555</v>
      </c>
      <c r="D200" s="4">
        <v>1120</v>
      </c>
      <c r="E200" s="113">
        <v>46387</v>
      </c>
      <c r="F200" s="4" t="s">
        <v>6561</v>
      </c>
      <c r="G200" s="4" t="s">
        <v>5943</v>
      </c>
      <c r="H200" s="6">
        <v>0</v>
      </c>
      <c r="I200" s="6">
        <v>976782310</v>
      </c>
      <c r="J20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870525945</v>
      </c>
      <c r="K200" s="1">
        <f>MONTH(tblBank[[#This Row],[Value Date]])</f>
        <v>12</v>
      </c>
      <c r="L200" s="5">
        <f>SUMIFS(tblGJ[Debit],tblGJ[Voucher No],tblBank[[#This Row],[Reference]],tblGJ[Account Code],tblBank[[#This Row],[Account Code]])-SUMIFS(tblGJ[Credit],tblGJ[Voucher No],tblBank[[#This Row],[Reference]],tblGJ[Account Code],tblBank[[#This Row],[Account Code]])</f>
        <v>-976782310</v>
      </c>
      <c r="M200" s="1" t="str">
        <f>IF(COUNTIFS(tblGJ[Voucher No],tblBank[[#This Row],[Reference]],tblGJ[Account Code],tblBank[[#This Row],[Account Code]])=0,"✖ Not in GJ",IF(ABS(tblBank[[#This Row],[GJ Amount]]-(tblBank[[#This Row],[Money In]]-tblBank[[#This Row],[Money Out]]))&lt;1,"✔ Recorded","⚠ Amount mismatch"))</f>
        <v>✔ Recorded</v>
      </c>
    </row>
    <row r="201" spans="2:13" x14ac:dyDescent="0.35">
      <c r="B201" s="4">
        <v>190</v>
      </c>
      <c r="C201" s="4" t="s">
        <v>6555</v>
      </c>
      <c r="D201" s="4">
        <v>1120</v>
      </c>
      <c r="E201" s="113">
        <v>46387</v>
      </c>
      <c r="F201" s="4" t="s">
        <v>6571</v>
      </c>
      <c r="G201" s="4" t="s">
        <v>5950</v>
      </c>
      <c r="H201" s="6">
        <v>0</v>
      </c>
      <c r="I201" s="6">
        <v>80195</v>
      </c>
      <c r="J20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870445750</v>
      </c>
      <c r="K201" s="1">
        <f>MONTH(tblBank[[#This Row],[Value Date]])</f>
        <v>12</v>
      </c>
      <c r="L201" s="5">
        <f>SUMIFS(tblGJ[Debit],tblGJ[Voucher No],tblBank[[#This Row],[Reference]],tblGJ[Account Code],tblBank[[#This Row],[Account Code]])-SUMIFS(tblGJ[Credit],tblGJ[Voucher No],tblBank[[#This Row],[Reference]],tblGJ[Account Code],tblBank[[#This Row],[Account Code]])</f>
        <v>-80195</v>
      </c>
      <c r="M201" s="1" t="str">
        <f>IF(COUNTIFS(tblGJ[Voucher No],tblBank[[#This Row],[Reference]],tblGJ[Account Code],tblBank[[#This Row],[Account Code]])=0,"✖ Not in GJ",IF(ABS(tblBank[[#This Row],[GJ Amount]]-(tblBank[[#This Row],[Money In]]-tblBank[[#This Row],[Money Out]]))&lt;1,"✔ Recorded","⚠ Amount mismatch"))</f>
        <v>✔ Recorded</v>
      </c>
    </row>
    <row r="202" spans="2:13" x14ac:dyDescent="0.35">
      <c r="B202" s="4">
        <v>191</v>
      </c>
      <c r="C202" s="4" t="s">
        <v>6555</v>
      </c>
      <c r="D202" s="4">
        <v>1120</v>
      </c>
      <c r="E202" s="113">
        <v>46387</v>
      </c>
      <c r="F202" s="4" t="s">
        <v>6572</v>
      </c>
      <c r="G202" s="4" t="s">
        <v>5951</v>
      </c>
      <c r="H202" s="6">
        <v>0</v>
      </c>
      <c r="I202" s="6">
        <v>150000</v>
      </c>
      <c r="J20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870295750</v>
      </c>
      <c r="K202" s="1">
        <f>MONTH(tblBank[[#This Row],[Value Date]])</f>
        <v>12</v>
      </c>
      <c r="L202" s="5">
        <f>SUMIFS(tblGJ[Debit],tblGJ[Voucher No],tblBank[[#This Row],[Reference]],tblGJ[Account Code],tblBank[[#This Row],[Account Code]])-SUMIFS(tblGJ[Credit],tblGJ[Voucher No],tblBank[[#This Row],[Reference]],tblGJ[Account Code],tblBank[[#This Row],[Account Code]])</f>
        <v>-150000</v>
      </c>
      <c r="M202" s="1" t="str">
        <f>IF(COUNTIFS(tblGJ[Voucher No],tblBank[[#This Row],[Reference]],tblGJ[Account Code],tblBank[[#This Row],[Account Code]])=0,"✖ Not in GJ",IF(ABS(tblBank[[#This Row],[GJ Amount]]-(tblBank[[#This Row],[Money In]]-tblBank[[#This Row],[Money Out]]))&lt;1,"✔ Recorded","⚠ Amount mismatch"))</f>
        <v>✔ Recorded</v>
      </c>
    </row>
    <row r="203" spans="2:13" x14ac:dyDescent="0.35">
      <c r="B203" s="4">
        <v>192</v>
      </c>
      <c r="C203" s="4" t="s">
        <v>6580</v>
      </c>
      <c r="D203" s="4">
        <v>1130</v>
      </c>
      <c r="E203" s="113">
        <v>46046</v>
      </c>
      <c r="F203" s="4" t="s">
        <v>6581</v>
      </c>
      <c r="G203" s="4" t="s">
        <v>5657</v>
      </c>
      <c r="H203" s="6">
        <v>161397799</v>
      </c>
      <c r="I203" s="6">
        <v>0</v>
      </c>
      <c r="J20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611397799</v>
      </c>
      <c r="K203" s="1">
        <f>MONTH(tblBank[[#This Row],[Value Date]])</f>
        <v>1</v>
      </c>
      <c r="L203" s="5">
        <f>SUMIFS(tblGJ[Debit],tblGJ[Voucher No],tblBank[[#This Row],[Reference]],tblGJ[Account Code],tblBank[[#This Row],[Account Code]])-SUMIFS(tblGJ[Credit],tblGJ[Voucher No],tblBank[[#This Row],[Reference]],tblGJ[Account Code],tblBank[[#This Row],[Account Code]])</f>
        <v>161397799</v>
      </c>
      <c r="M203" s="1" t="str">
        <f>IF(COUNTIFS(tblGJ[Voucher No],tblBank[[#This Row],[Reference]],tblGJ[Account Code],tblBank[[#This Row],[Account Code]])=0,"✖ Not in GJ",IF(ABS(tblBank[[#This Row],[GJ Amount]]-(tblBank[[#This Row],[Money In]]-tblBank[[#This Row],[Money Out]]))&lt;1,"✔ Recorded","⚠ Amount mismatch"))</f>
        <v>✔ Recorded</v>
      </c>
    </row>
    <row r="204" spans="2:13" x14ac:dyDescent="0.35">
      <c r="B204" s="4">
        <v>193</v>
      </c>
      <c r="C204" s="4" t="s">
        <v>6580</v>
      </c>
      <c r="D204" s="4">
        <v>1130</v>
      </c>
      <c r="E204" s="113">
        <v>46047</v>
      </c>
      <c r="F204" s="4" t="s">
        <v>6582</v>
      </c>
      <c r="G204" s="4" t="s">
        <v>5658</v>
      </c>
      <c r="H204" s="6">
        <v>0</v>
      </c>
      <c r="I204" s="6">
        <v>161397799</v>
      </c>
      <c r="J20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450000000</v>
      </c>
      <c r="K204" s="1">
        <f>MONTH(tblBank[[#This Row],[Value Date]])</f>
        <v>1</v>
      </c>
      <c r="L204" s="5">
        <f>SUMIFS(tblGJ[Debit],tblGJ[Voucher No],tblBank[[#This Row],[Reference]],tblGJ[Account Code],tblBank[[#This Row],[Account Code]])-SUMIFS(tblGJ[Credit],tblGJ[Voucher No],tblBank[[#This Row],[Reference]],tblGJ[Account Code],tblBank[[#This Row],[Account Code]])</f>
        <v>-161397799</v>
      </c>
      <c r="M204" s="1" t="str">
        <f>IF(COUNTIFS(tblGJ[Voucher No],tblBank[[#This Row],[Reference]],tblGJ[Account Code],tblBank[[#This Row],[Account Code]])=0,"✖ Not in GJ",IF(ABS(tblBank[[#This Row],[GJ Amount]]-(tblBank[[#This Row],[Money In]]-tblBank[[#This Row],[Money Out]]))&lt;1,"✔ Recorded","⚠ Amount mismatch"))</f>
        <v>✔ Recorded</v>
      </c>
    </row>
    <row r="205" spans="2:13" x14ac:dyDescent="0.35">
      <c r="B205" s="4">
        <v>194</v>
      </c>
      <c r="C205" s="4" t="s">
        <v>6580</v>
      </c>
      <c r="D205" s="4">
        <v>1130</v>
      </c>
      <c r="E205" s="113">
        <v>46053</v>
      </c>
      <c r="F205" s="4" t="s">
        <v>6570</v>
      </c>
      <c r="G205" s="4" t="s">
        <v>5675</v>
      </c>
      <c r="H205" s="6">
        <v>64751</v>
      </c>
      <c r="I205" s="6">
        <v>0</v>
      </c>
      <c r="J20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450064751</v>
      </c>
      <c r="K205" s="1">
        <f>MONTH(tblBank[[#This Row],[Value Date]])</f>
        <v>1</v>
      </c>
      <c r="L205" s="5">
        <f>SUMIFS(tblGJ[Debit],tblGJ[Voucher No],tblBank[[#This Row],[Reference]],tblGJ[Account Code],tblBank[[#This Row],[Account Code]])-SUMIFS(tblGJ[Credit],tblGJ[Voucher No],tblBank[[#This Row],[Reference]],tblGJ[Account Code],tblBank[[#This Row],[Account Code]])</f>
        <v>64751</v>
      </c>
      <c r="M205" s="1" t="str">
        <f>IF(COUNTIFS(tblGJ[Voucher No],tblBank[[#This Row],[Reference]],tblGJ[Account Code],tblBank[[#This Row],[Account Code]])=0,"✖ Not in GJ",IF(ABS(tblBank[[#This Row],[GJ Amount]]-(tblBank[[#This Row],[Money In]]-tblBank[[#This Row],[Money Out]]))&lt;1,"✔ Recorded","⚠ Amount mismatch"))</f>
        <v>✔ Recorded</v>
      </c>
    </row>
    <row r="206" spans="2:13" x14ac:dyDescent="0.35">
      <c r="B206" s="4">
        <v>195</v>
      </c>
      <c r="C206" s="4" t="s">
        <v>6580</v>
      </c>
      <c r="D206" s="4">
        <v>1130</v>
      </c>
      <c r="E206" s="113">
        <v>46053</v>
      </c>
      <c r="F206" s="4" t="s">
        <v>6571</v>
      </c>
      <c r="G206" s="4" t="s">
        <v>5676</v>
      </c>
      <c r="H206" s="6">
        <v>0</v>
      </c>
      <c r="I206" s="6">
        <v>12950</v>
      </c>
      <c r="J20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450051801</v>
      </c>
      <c r="K206" s="1">
        <f>MONTH(tblBank[[#This Row],[Value Date]])</f>
        <v>1</v>
      </c>
      <c r="L206" s="5">
        <f>SUMIFS(tblGJ[Debit],tblGJ[Voucher No],tblBank[[#This Row],[Reference]],tblGJ[Account Code],tblBank[[#This Row],[Account Code]])-SUMIFS(tblGJ[Credit],tblGJ[Voucher No],tblBank[[#This Row],[Reference]],tblGJ[Account Code],tblBank[[#This Row],[Account Code]])</f>
        <v>-12950</v>
      </c>
      <c r="M206" s="1" t="str">
        <f>IF(COUNTIFS(tblGJ[Voucher No],tblBank[[#This Row],[Reference]],tblGJ[Account Code],tblBank[[#This Row],[Account Code]])=0,"✖ Not in GJ",IF(ABS(tblBank[[#This Row],[GJ Amount]]-(tblBank[[#This Row],[Money In]]-tblBank[[#This Row],[Money Out]]))&lt;1,"✔ Recorded","⚠ Amount mismatch"))</f>
        <v>✔ Recorded</v>
      </c>
    </row>
    <row r="207" spans="2:13" x14ac:dyDescent="0.35">
      <c r="B207" s="4">
        <v>196</v>
      </c>
      <c r="C207" s="4" t="s">
        <v>6580</v>
      </c>
      <c r="D207" s="4">
        <v>1130</v>
      </c>
      <c r="E207" s="113">
        <v>46053</v>
      </c>
      <c r="F207" s="4" t="s">
        <v>6572</v>
      </c>
      <c r="G207" s="4" t="s">
        <v>5677</v>
      </c>
      <c r="H207" s="6">
        <v>0</v>
      </c>
      <c r="I207" s="6">
        <v>118500</v>
      </c>
      <c r="J20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449933301</v>
      </c>
      <c r="K207" s="1">
        <f>MONTH(tblBank[[#This Row],[Value Date]])</f>
        <v>1</v>
      </c>
      <c r="L207" s="5">
        <f>SUMIFS(tblGJ[Debit],tblGJ[Voucher No],tblBank[[#This Row],[Reference]],tblGJ[Account Code],tblBank[[#This Row],[Account Code]])-SUMIFS(tblGJ[Credit],tblGJ[Voucher No],tblBank[[#This Row],[Reference]],tblGJ[Account Code],tblBank[[#This Row],[Account Code]])</f>
        <v>-118500</v>
      </c>
      <c r="M207" s="1" t="str">
        <f>IF(COUNTIFS(tblGJ[Voucher No],tblBank[[#This Row],[Reference]],tblGJ[Account Code],tblBank[[#This Row],[Account Code]])=0,"✖ Not in GJ",IF(ABS(tblBank[[#This Row],[GJ Amount]]-(tblBank[[#This Row],[Money In]]-tblBank[[#This Row],[Money Out]]))&lt;1,"✔ Recorded","⚠ Amount mismatch"))</f>
        <v>✔ Recorded</v>
      </c>
    </row>
    <row r="208" spans="2:13" x14ac:dyDescent="0.35">
      <c r="B208" s="4">
        <v>197</v>
      </c>
      <c r="C208" s="4" t="s">
        <v>6580</v>
      </c>
      <c r="D208" s="4">
        <v>1130</v>
      </c>
      <c r="E208" s="113">
        <v>46077</v>
      </c>
      <c r="F208" s="4" t="s">
        <v>6581</v>
      </c>
      <c r="G208" s="4" t="s">
        <v>5683</v>
      </c>
      <c r="H208" s="6">
        <v>161397799</v>
      </c>
      <c r="I208" s="6">
        <v>0</v>
      </c>
      <c r="J20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611331100</v>
      </c>
      <c r="K208" s="1">
        <f>MONTH(tblBank[[#This Row],[Value Date]])</f>
        <v>2</v>
      </c>
      <c r="L208" s="5">
        <f>SUMIFS(tblGJ[Debit],tblGJ[Voucher No],tblBank[[#This Row],[Reference]],tblGJ[Account Code],tblBank[[#This Row],[Account Code]])-SUMIFS(tblGJ[Credit],tblGJ[Voucher No],tblBank[[#This Row],[Reference]],tblGJ[Account Code],tblBank[[#This Row],[Account Code]])</f>
        <v>161397799</v>
      </c>
      <c r="M208" s="1" t="str">
        <f>IF(COUNTIFS(tblGJ[Voucher No],tblBank[[#This Row],[Reference]],tblGJ[Account Code],tblBank[[#This Row],[Account Code]])=0,"✖ Not in GJ",IF(ABS(tblBank[[#This Row],[GJ Amount]]-(tblBank[[#This Row],[Money In]]-tblBank[[#This Row],[Money Out]]))&lt;1,"✔ Recorded","⚠ Amount mismatch"))</f>
        <v>✔ Recorded</v>
      </c>
    </row>
    <row r="209" spans="2:13" x14ac:dyDescent="0.35">
      <c r="B209" s="4">
        <v>198</v>
      </c>
      <c r="C209" s="4" t="s">
        <v>6580</v>
      </c>
      <c r="D209" s="4">
        <v>1130</v>
      </c>
      <c r="E209" s="113">
        <v>46078</v>
      </c>
      <c r="F209" s="4" t="s">
        <v>6582</v>
      </c>
      <c r="G209" s="4" t="s">
        <v>5684</v>
      </c>
      <c r="H209" s="6">
        <v>0</v>
      </c>
      <c r="I209" s="6">
        <v>161397799</v>
      </c>
      <c r="J20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449933301</v>
      </c>
      <c r="K209" s="1">
        <f>MONTH(tblBank[[#This Row],[Value Date]])</f>
        <v>2</v>
      </c>
      <c r="L209" s="5">
        <f>SUMIFS(tblGJ[Debit],tblGJ[Voucher No],tblBank[[#This Row],[Reference]],tblGJ[Account Code],tblBank[[#This Row],[Account Code]])-SUMIFS(tblGJ[Credit],tblGJ[Voucher No],tblBank[[#This Row],[Reference]],tblGJ[Account Code],tblBank[[#This Row],[Account Code]])</f>
        <v>-161397799</v>
      </c>
      <c r="M209" s="1" t="str">
        <f>IF(COUNTIFS(tblGJ[Voucher No],tblBank[[#This Row],[Reference]],tblGJ[Account Code],tblBank[[#This Row],[Account Code]])=0,"✖ Not in GJ",IF(ABS(tblBank[[#This Row],[GJ Amount]]-(tblBank[[#This Row],[Money In]]-tblBank[[#This Row],[Money Out]]))&lt;1,"✔ Recorded","⚠ Amount mismatch"))</f>
        <v>✔ Recorded</v>
      </c>
    </row>
    <row r="210" spans="2:13" x14ac:dyDescent="0.35">
      <c r="B210" s="4">
        <v>199</v>
      </c>
      <c r="C210" s="4" t="s">
        <v>6580</v>
      </c>
      <c r="D210" s="4">
        <v>1130</v>
      </c>
      <c r="E210" s="113">
        <v>46081</v>
      </c>
      <c r="F210" s="4" t="s">
        <v>6570</v>
      </c>
      <c r="G210" s="4" t="s">
        <v>5699</v>
      </c>
      <c r="H210" s="6">
        <v>72753</v>
      </c>
      <c r="I210" s="6">
        <v>0</v>
      </c>
      <c r="J21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450006054</v>
      </c>
      <c r="K210" s="1">
        <f>MONTH(tblBank[[#This Row],[Value Date]])</f>
        <v>2</v>
      </c>
      <c r="L210" s="5">
        <f>SUMIFS(tblGJ[Debit],tblGJ[Voucher No],tblBank[[#This Row],[Reference]],tblGJ[Account Code],tblBank[[#This Row],[Account Code]])-SUMIFS(tblGJ[Credit],tblGJ[Voucher No],tblBank[[#This Row],[Reference]],tblGJ[Account Code],tblBank[[#This Row],[Account Code]])</f>
        <v>72753</v>
      </c>
      <c r="M210" s="1" t="str">
        <f>IF(COUNTIFS(tblGJ[Voucher No],tblBank[[#This Row],[Reference]],tblGJ[Account Code],tblBank[[#This Row],[Account Code]])=0,"✖ Not in GJ",IF(ABS(tblBank[[#This Row],[GJ Amount]]-(tblBank[[#This Row],[Money In]]-tblBank[[#This Row],[Money Out]]))&lt;1,"✔ Recorded","⚠ Amount mismatch"))</f>
        <v>✔ Recorded</v>
      </c>
    </row>
    <row r="211" spans="2:13" x14ac:dyDescent="0.35">
      <c r="B211" s="4">
        <v>200</v>
      </c>
      <c r="C211" s="4" t="s">
        <v>6580</v>
      </c>
      <c r="D211" s="4">
        <v>1130</v>
      </c>
      <c r="E211" s="113">
        <v>46081</v>
      </c>
      <c r="F211" s="4" t="s">
        <v>6571</v>
      </c>
      <c r="G211" s="4" t="s">
        <v>5700</v>
      </c>
      <c r="H211" s="6">
        <v>0</v>
      </c>
      <c r="I211" s="6">
        <v>14551</v>
      </c>
      <c r="J21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449991503</v>
      </c>
      <c r="K211" s="1">
        <f>MONTH(tblBank[[#This Row],[Value Date]])</f>
        <v>2</v>
      </c>
      <c r="L211" s="5">
        <f>SUMIFS(tblGJ[Debit],tblGJ[Voucher No],tblBank[[#This Row],[Reference]],tblGJ[Account Code],tblBank[[#This Row],[Account Code]])-SUMIFS(tblGJ[Credit],tblGJ[Voucher No],tblBank[[#This Row],[Reference]],tblGJ[Account Code],tblBank[[#This Row],[Account Code]])</f>
        <v>-14551</v>
      </c>
      <c r="M211" s="1" t="str">
        <f>IF(COUNTIFS(tblGJ[Voucher No],tblBank[[#This Row],[Reference]],tblGJ[Account Code],tblBank[[#This Row],[Account Code]])=0,"✖ Not in GJ",IF(ABS(tblBank[[#This Row],[GJ Amount]]-(tblBank[[#This Row],[Money In]]-tblBank[[#This Row],[Money Out]]))&lt;1,"✔ Recorded","⚠ Amount mismatch"))</f>
        <v>✔ Recorded</v>
      </c>
    </row>
    <row r="212" spans="2:13" x14ac:dyDescent="0.35">
      <c r="B212" s="4">
        <v>201</v>
      </c>
      <c r="C212" s="4" t="s">
        <v>6580</v>
      </c>
      <c r="D212" s="4">
        <v>1130</v>
      </c>
      <c r="E212" s="113">
        <v>46081</v>
      </c>
      <c r="F212" s="4" t="s">
        <v>6572</v>
      </c>
      <c r="G212" s="4" t="s">
        <v>5701</v>
      </c>
      <c r="H212" s="6">
        <v>0</v>
      </c>
      <c r="I212" s="6">
        <v>118500</v>
      </c>
      <c r="J21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449873003</v>
      </c>
      <c r="K212" s="1">
        <f>MONTH(tblBank[[#This Row],[Value Date]])</f>
        <v>2</v>
      </c>
      <c r="L212" s="5">
        <f>SUMIFS(tblGJ[Debit],tblGJ[Voucher No],tblBank[[#This Row],[Reference]],tblGJ[Account Code],tblBank[[#This Row],[Account Code]])-SUMIFS(tblGJ[Credit],tblGJ[Voucher No],tblBank[[#This Row],[Reference]],tblGJ[Account Code],tblBank[[#This Row],[Account Code]])</f>
        <v>-118500</v>
      </c>
      <c r="M212" s="1" t="str">
        <f>IF(COUNTIFS(tblGJ[Voucher No],tblBank[[#This Row],[Reference]],tblGJ[Account Code],tblBank[[#This Row],[Account Code]])=0,"✖ Not in GJ",IF(ABS(tblBank[[#This Row],[GJ Amount]]-(tblBank[[#This Row],[Money In]]-tblBank[[#This Row],[Money Out]]))&lt;1,"✔ Recorded","⚠ Amount mismatch"))</f>
        <v>✔ Recorded</v>
      </c>
    </row>
    <row r="213" spans="2:13" x14ac:dyDescent="0.35">
      <c r="B213" s="4">
        <v>202</v>
      </c>
      <c r="C213" s="4" t="s">
        <v>6580</v>
      </c>
      <c r="D213" s="4">
        <v>1130</v>
      </c>
      <c r="E213" s="113">
        <v>46105</v>
      </c>
      <c r="F213" s="4" t="s">
        <v>6581</v>
      </c>
      <c r="G213" s="4" t="s">
        <v>5709</v>
      </c>
      <c r="H213" s="6">
        <v>307134938</v>
      </c>
      <c r="I213" s="6">
        <v>0</v>
      </c>
      <c r="J21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757007941</v>
      </c>
      <c r="K213" s="1">
        <f>MONTH(tblBank[[#This Row],[Value Date]])</f>
        <v>3</v>
      </c>
      <c r="L213" s="5">
        <f>SUMIFS(tblGJ[Debit],tblGJ[Voucher No],tblBank[[#This Row],[Reference]],tblGJ[Account Code],tblBank[[#This Row],[Account Code]])-SUMIFS(tblGJ[Credit],tblGJ[Voucher No],tblBank[[#This Row],[Reference]],tblGJ[Account Code],tblBank[[#This Row],[Account Code]])</f>
        <v>307134938</v>
      </c>
      <c r="M213" s="1" t="str">
        <f>IF(COUNTIFS(tblGJ[Voucher No],tblBank[[#This Row],[Reference]],tblGJ[Account Code],tblBank[[#This Row],[Account Code]])=0,"✖ Not in GJ",IF(ABS(tblBank[[#This Row],[GJ Amount]]-(tblBank[[#This Row],[Money In]]-tblBank[[#This Row],[Money Out]]))&lt;1,"✔ Recorded","⚠ Amount mismatch"))</f>
        <v>✔ Recorded</v>
      </c>
    </row>
    <row r="214" spans="2:13" x14ac:dyDescent="0.35">
      <c r="B214" s="4">
        <v>203</v>
      </c>
      <c r="C214" s="4" t="s">
        <v>6580</v>
      </c>
      <c r="D214" s="4">
        <v>1130</v>
      </c>
      <c r="E214" s="113">
        <v>46106</v>
      </c>
      <c r="F214" s="4" t="s">
        <v>6582</v>
      </c>
      <c r="G214" s="4" t="s">
        <v>5710</v>
      </c>
      <c r="H214" s="6">
        <v>0</v>
      </c>
      <c r="I214" s="6">
        <v>307134938</v>
      </c>
      <c r="J21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449873003</v>
      </c>
      <c r="K214" s="1">
        <f>MONTH(tblBank[[#This Row],[Value Date]])</f>
        <v>3</v>
      </c>
      <c r="L214" s="5">
        <f>SUMIFS(tblGJ[Debit],tblGJ[Voucher No],tblBank[[#This Row],[Reference]],tblGJ[Account Code],tblBank[[#This Row],[Account Code]])-SUMIFS(tblGJ[Credit],tblGJ[Voucher No],tblBank[[#This Row],[Reference]],tblGJ[Account Code],tblBank[[#This Row],[Account Code]])</f>
        <v>-307134938</v>
      </c>
      <c r="M214" s="1" t="str">
        <f>IF(COUNTIFS(tblGJ[Voucher No],tblBank[[#This Row],[Reference]],tblGJ[Account Code],tblBank[[#This Row],[Account Code]])=0,"✖ Not in GJ",IF(ABS(tblBank[[#This Row],[GJ Amount]]-(tblBank[[#This Row],[Money In]]-tblBank[[#This Row],[Money Out]]))&lt;1,"✔ Recorded","⚠ Amount mismatch"))</f>
        <v>✔ Recorded</v>
      </c>
    </row>
    <row r="215" spans="2:13" x14ac:dyDescent="0.35">
      <c r="B215" s="4">
        <v>204</v>
      </c>
      <c r="C215" s="4" t="s">
        <v>6580</v>
      </c>
      <c r="D215" s="4">
        <v>1130</v>
      </c>
      <c r="E215" s="113">
        <v>46112</v>
      </c>
      <c r="F215" s="4" t="s">
        <v>6570</v>
      </c>
      <c r="G215" s="4" t="s">
        <v>5727</v>
      </c>
      <c r="H215" s="6">
        <v>65076</v>
      </c>
      <c r="I215" s="6">
        <v>0</v>
      </c>
      <c r="J21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449938079</v>
      </c>
      <c r="K215" s="1">
        <f>MONTH(tblBank[[#This Row],[Value Date]])</f>
        <v>3</v>
      </c>
      <c r="L215" s="5">
        <f>SUMIFS(tblGJ[Debit],tblGJ[Voucher No],tblBank[[#This Row],[Reference]],tblGJ[Account Code],tblBank[[#This Row],[Account Code]])-SUMIFS(tblGJ[Credit],tblGJ[Voucher No],tblBank[[#This Row],[Reference]],tblGJ[Account Code],tblBank[[#This Row],[Account Code]])</f>
        <v>65076</v>
      </c>
      <c r="M215" s="1" t="str">
        <f>IF(COUNTIFS(tblGJ[Voucher No],tblBank[[#This Row],[Reference]],tblGJ[Account Code],tblBank[[#This Row],[Account Code]])=0,"✖ Not in GJ",IF(ABS(tblBank[[#This Row],[GJ Amount]]-(tblBank[[#This Row],[Money In]]-tblBank[[#This Row],[Money Out]]))&lt;1,"✔ Recorded","⚠ Amount mismatch"))</f>
        <v>✔ Recorded</v>
      </c>
    </row>
    <row r="216" spans="2:13" x14ac:dyDescent="0.35">
      <c r="B216" s="4">
        <v>205</v>
      </c>
      <c r="C216" s="4" t="s">
        <v>6580</v>
      </c>
      <c r="D216" s="4">
        <v>1130</v>
      </c>
      <c r="E216" s="113">
        <v>46112</v>
      </c>
      <c r="F216" s="4" t="s">
        <v>6571</v>
      </c>
      <c r="G216" s="4" t="s">
        <v>5728</v>
      </c>
      <c r="H216" s="6">
        <v>0</v>
      </c>
      <c r="I216" s="6">
        <v>13015</v>
      </c>
      <c r="J21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449925064</v>
      </c>
      <c r="K216" s="1">
        <f>MONTH(tblBank[[#This Row],[Value Date]])</f>
        <v>3</v>
      </c>
      <c r="L216" s="5">
        <f>SUMIFS(tblGJ[Debit],tblGJ[Voucher No],tblBank[[#This Row],[Reference]],tblGJ[Account Code],tblBank[[#This Row],[Account Code]])-SUMIFS(tblGJ[Credit],tblGJ[Voucher No],tblBank[[#This Row],[Reference]],tblGJ[Account Code],tblBank[[#This Row],[Account Code]])</f>
        <v>-13015</v>
      </c>
      <c r="M216" s="1" t="str">
        <f>IF(COUNTIFS(tblGJ[Voucher No],tblBank[[#This Row],[Reference]],tblGJ[Account Code],tblBank[[#This Row],[Account Code]])=0,"✖ Not in GJ",IF(ABS(tblBank[[#This Row],[GJ Amount]]-(tblBank[[#This Row],[Money In]]-tblBank[[#This Row],[Money Out]]))&lt;1,"✔ Recorded","⚠ Amount mismatch"))</f>
        <v>✔ Recorded</v>
      </c>
    </row>
    <row r="217" spans="2:13" x14ac:dyDescent="0.35">
      <c r="B217" s="4">
        <v>206</v>
      </c>
      <c r="C217" s="4" t="s">
        <v>6580</v>
      </c>
      <c r="D217" s="4">
        <v>1130</v>
      </c>
      <c r="E217" s="113">
        <v>46112</v>
      </c>
      <c r="F217" s="4" t="s">
        <v>6572</v>
      </c>
      <c r="G217" s="4" t="s">
        <v>5729</v>
      </c>
      <c r="H217" s="6">
        <v>0</v>
      </c>
      <c r="I217" s="6">
        <v>118500</v>
      </c>
      <c r="J21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449806564</v>
      </c>
      <c r="K217" s="1">
        <f>MONTH(tblBank[[#This Row],[Value Date]])</f>
        <v>3</v>
      </c>
      <c r="L217" s="5">
        <f>SUMIFS(tblGJ[Debit],tblGJ[Voucher No],tblBank[[#This Row],[Reference]],tblGJ[Account Code],tblBank[[#This Row],[Account Code]])-SUMIFS(tblGJ[Credit],tblGJ[Voucher No],tblBank[[#This Row],[Reference]],tblGJ[Account Code],tblBank[[#This Row],[Account Code]])</f>
        <v>-118500</v>
      </c>
      <c r="M217" s="1" t="str">
        <f>IF(COUNTIFS(tblGJ[Voucher No],tblBank[[#This Row],[Reference]],tblGJ[Account Code],tblBank[[#This Row],[Account Code]])=0,"✖ Not in GJ",IF(ABS(tblBank[[#This Row],[GJ Amount]]-(tblBank[[#This Row],[Money In]]-tblBank[[#This Row],[Money Out]]))&lt;1,"✔ Recorded","⚠ Amount mismatch"))</f>
        <v>✔ Recorded</v>
      </c>
    </row>
    <row r="218" spans="2:13" x14ac:dyDescent="0.35">
      <c r="B218" s="4">
        <v>207</v>
      </c>
      <c r="C218" s="4" t="s">
        <v>6580</v>
      </c>
      <c r="D218" s="4">
        <v>1130</v>
      </c>
      <c r="E218" s="113">
        <v>46136</v>
      </c>
      <c r="F218" s="4" t="s">
        <v>6581</v>
      </c>
      <c r="G218" s="4" t="s">
        <v>5735</v>
      </c>
      <c r="H218" s="6">
        <v>161397799</v>
      </c>
      <c r="I218" s="6">
        <v>0</v>
      </c>
      <c r="J21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611204363</v>
      </c>
      <c r="K218" s="1">
        <f>MONTH(tblBank[[#This Row],[Value Date]])</f>
        <v>4</v>
      </c>
      <c r="L218" s="5">
        <f>SUMIFS(tblGJ[Debit],tblGJ[Voucher No],tblBank[[#This Row],[Reference]],tblGJ[Account Code],tblBank[[#This Row],[Account Code]])-SUMIFS(tblGJ[Credit],tblGJ[Voucher No],tblBank[[#This Row],[Reference]],tblGJ[Account Code],tblBank[[#This Row],[Account Code]])</f>
        <v>161397799</v>
      </c>
      <c r="M218" s="1" t="str">
        <f>IF(COUNTIFS(tblGJ[Voucher No],tblBank[[#This Row],[Reference]],tblGJ[Account Code],tblBank[[#This Row],[Account Code]])=0,"✖ Not in GJ",IF(ABS(tblBank[[#This Row],[GJ Amount]]-(tblBank[[#This Row],[Money In]]-tblBank[[#This Row],[Money Out]]))&lt;1,"✔ Recorded","⚠ Amount mismatch"))</f>
        <v>✔ Recorded</v>
      </c>
    </row>
    <row r="219" spans="2:13" x14ac:dyDescent="0.35">
      <c r="B219" s="4">
        <v>208</v>
      </c>
      <c r="C219" s="4" t="s">
        <v>6580</v>
      </c>
      <c r="D219" s="4">
        <v>1130</v>
      </c>
      <c r="E219" s="113">
        <v>46137</v>
      </c>
      <c r="F219" s="4" t="s">
        <v>6582</v>
      </c>
      <c r="G219" s="4" t="s">
        <v>5736</v>
      </c>
      <c r="H219" s="6">
        <v>0</v>
      </c>
      <c r="I219" s="6">
        <v>161397799</v>
      </c>
      <c r="J21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449806564</v>
      </c>
      <c r="K219" s="1">
        <f>MONTH(tblBank[[#This Row],[Value Date]])</f>
        <v>4</v>
      </c>
      <c r="L219" s="5">
        <f>SUMIFS(tblGJ[Debit],tblGJ[Voucher No],tblBank[[#This Row],[Reference]],tblGJ[Account Code],tblBank[[#This Row],[Account Code]])-SUMIFS(tblGJ[Credit],tblGJ[Voucher No],tblBank[[#This Row],[Reference]],tblGJ[Account Code],tblBank[[#This Row],[Account Code]])</f>
        <v>-161397799</v>
      </c>
      <c r="M219" s="1" t="str">
        <f>IF(COUNTIFS(tblGJ[Voucher No],tblBank[[#This Row],[Reference]],tblGJ[Account Code],tblBank[[#This Row],[Account Code]])=0,"✖ Not in GJ",IF(ABS(tblBank[[#This Row],[GJ Amount]]-(tblBank[[#This Row],[Money In]]-tblBank[[#This Row],[Money Out]]))&lt;1,"✔ Recorded","⚠ Amount mismatch"))</f>
        <v>✔ Recorded</v>
      </c>
    </row>
    <row r="220" spans="2:13" x14ac:dyDescent="0.35">
      <c r="B220" s="4">
        <v>209</v>
      </c>
      <c r="C220" s="4" t="s">
        <v>6580</v>
      </c>
      <c r="D220" s="4">
        <v>1130</v>
      </c>
      <c r="E220" s="113">
        <v>46142</v>
      </c>
      <c r="F220" s="4" t="s">
        <v>6570</v>
      </c>
      <c r="G220" s="4" t="s">
        <v>5754</v>
      </c>
      <c r="H220" s="6">
        <v>69050</v>
      </c>
      <c r="I220" s="6">
        <v>0</v>
      </c>
      <c r="J22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449875614</v>
      </c>
      <c r="K220" s="1">
        <f>MONTH(tblBank[[#This Row],[Value Date]])</f>
        <v>4</v>
      </c>
      <c r="L220" s="5">
        <f>SUMIFS(tblGJ[Debit],tblGJ[Voucher No],tblBank[[#This Row],[Reference]],tblGJ[Account Code],tblBank[[#This Row],[Account Code]])-SUMIFS(tblGJ[Credit],tblGJ[Voucher No],tblBank[[#This Row],[Reference]],tblGJ[Account Code],tblBank[[#This Row],[Account Code]])</f>
        <v>69050</v>
      </c>
      <c r="M220" s="1" t="str">
        <f>IF(COUNTIFS(tblGJ[Voucher No],tblBank[[#This Row],[Reference]],tblGJ[Account Code],tblBank[[#This Row],[Account Code]])=0,"✖ Not in GJ",IF(ABS(tblBank[[#This Row],[GJ Amount]]-(tblBank[[#This Row],[Money In]]-tblBank[[#This Row],[Money Out]]))&lt;1,"✔ Recorded","⚠ Amount mismatch"))</f>
        <v>✔ Recorded</v>
      </c>
    </row>
    <row r="221" spans="2:13" x14ac:dyDescent="0.35">
      <c r="B221" s="4">
        <v>210</v>
      </c>
      <c r="C221" s="4" t="s">
        <v>6580</v>
      </c>
      <c r="D221" s="4">
        <v>1130</v>
      </c>
      <c r="E221" s="113">
        <v>46142</v>
      </c>
      <c r="F221" s="4" t="s">
        <v>6571</v>
      </c>
      <c r="G221" s="4" t="s">
        <v>5755</v>
      </c>
      <c r="H221" s="6">
        <v>0</v>
      </c>
      <c r="I221" s="6">
        <v>13810</v>
      </c>
      <c r="J22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449861804</v>
      </c>
      <c r="K221" s="1">
        <f>MONTH(tblBank[[#This Row],[Value Date]])</f>
        <v>4</v>
      </c>
      <c r="L221" s="5">
        <f>SUMIFS(tblGJ[Debit],tblGJ[Voucher No],tblBank[[#This Row],[Reference]],tblGJ[Account Code],tblBank[[#This Row],[Account Code]])-SUMIFS(tblGJ[Credit],tblGJ[Voucher No],tblBank[[#This Row],[Reference]],tblGJ[Account Code],tblBank[[#This Row],[Account Code]])</f>
        <v>-13810</v>
      </c>
      <c r="M221" s="1" t="str">
        <f>IF(COUNTIFS(tblGJ[Voucher No],tblBank[[#This Row],[Reference]],tblGJ[Account Code],tblBank[[#This Row],[Account Code]])=0,"✖ Not in GJ",IF(ABS(tblBank[[#This Row],[GJ Amount]]-(tblBank[[#This Row],[Money In]]-tblBank[[#This Row],[Money Out]]))&lt;1,"✔ Recorded","⚠ Amount mismatch"))</f>
        <v>✔ Recorded</v>
      </c>
    </row>
    <row r="222" spans="2:13" x14ac:dyDescent="0.35">
      <c r="B222" s="4">
        <v>211</v>
      </c>
      <c r="C222" s="4" t="s">
        <v>6580</v>
      </c>
      <c r="D222" s="4">
        <v>1130</v>
      </c>
      <c r="E222" s="113">
        <v>46142</v>
      </c>
      <c r="F222" s="4" t="s">
        <v>6572</v>
      </c>
      <c r="G222" s="4" t="s">
        <v>5756</v>
      </c>
      <c r="H222" s="6">
        <v>0</v>
      </c>
      <c r="I222" s="6">
        <v>118500</v>
      </c>
      <c r="J22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449743304</v>
      </c>
      <c r="K222" s="1">
        <f>MONTH(tblBank[[#This Row],[Value Date]])</f>
        <v>4</v>
      </c>
      <c r="L222" s="5">
        <f>SUMIFS(tblGJ[Debit],tblGJ[Voucher No],tblBank[[#This Row],[Reference]],tblGJ[Account Code],tblBank[[#This Row],[Account Code]])-SUMIFS(tblGJ[Credit],tblGJ[Voucher No],tblBank[[#This Row],[Reference]],tblGJ[Account Code],tblBank[[#This Row],[Account Code]])</f>
        <v>-118500</v>
      </c>
      <c r="M222" s="1" t="str">
        <f>IF(COUNTIFS(tblGJ[Voucher No],tblBank[[#This Row],[Reference]],tblGJ[Account Code],tblBank[[#This Row],[Account Code]])=0,"✖ Not in GJ",IF(ABS(tblBank[[#This Row],[GJ Amount]]-(tblBank[[#This Row],[Money In]]-tblBank[[#This Row],[Money Out]]))&lt;1,"✔ Recorded","⚠ Amount mismatch"))</f>
        <v>✔ Recorded</v>
      </c>
    </row>
    <row r="223" spans="2:13" x14ac:dyDescent="0.35">
      <c r="B223" s="4">
        <v>212</v>
      </c>
      <c r="C223" s="4" t="s">
        <v>6580</v>
      </c>
      <c r="D223" s="4">
        <v>1130</v>
      </c>
      <c r="E223" s="113">
        <v>46166</v>
      </c>
      <c r="F223" s="4" t="s">
        <v>6581</v>
      </c>
      <c r="G223" s="4" t="s">
        <v>5762</v>
      </c>
      <c r="H223" s="6">
        <v>161397799</v>
      </c>
      <c r="I223" s="6">
        <v>0</v>
      </c>
      <c r="J22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611141103</v>
      </c>
      <c r="K223" s="1">
        <f>MONTH(tblBank[[#This Row],[Value Date]])</f>
        <v>5</v>
      </c>
      <c r="L223" s="5">
        <f>SUMIFS(tblGJ[Debit],tblGJ[Voucher No],tblBank[[#This Row],[Reference]],tblGJ[Account Code],tblBank[[#This Row],[Account Code]])-SUMIFS(tblGJ[Credit],tblGJ[Voucher No],tblBank[[#This Row],[Reference]],tblGJ[Account Code],tblBank[[#This Row],[Account Code]])</f>
        <v>161397799</v>
      </c>
      <c r="M223" s="1" t="str">
        <f>IF(COUNTIFS(tblGJ[Voucher No],tblBank[[#This Row],[Reference]],tblGJ[Account Code],tblBank[[#This Row],[Account Code]])=0,"✖ Not in GJ",IF(ABS(tblBank[[#This Row],[GJ Amount]]-(tblBank[[#This Row],[Money In]]-tblBank[[#This Row],[Money Out]]))&lt;1,"✔ Recorded","⚠ Amount mismatch"))</f>
        <v>✔ Recorded</v>
      </c>
    </row>
    <row r="224" spans="2:13" x14ac:dyDescent="0.35">
      <c r="B224" s="4">
        <v>213</v>
      </c>
      <c r="C224" s="4" t="s">
        <v>6580</v>
      </c>
      <c r="D224" s="4">
        <v>1130</v>
      </c>
      <c r="E224" s="113">
        <v>46167</v>
      </c>
      <c r="F224" s="4" t="s">
        <v>6582</v>
      </c>
      <c r="G224" s="4" t="s">
        <v>5763</v>
      </c>
      <c r="H224" s="6">
        <v>0</v>
      </c>
      <c r="I224" s="6">
        <v>161397799</v>
      </c>
      <c r="J22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449743304</v>
      </c>
      <c r="K224" s="1">
        <f>MONTH(tblBank[[#This Row],[Value Date]])</f>
        <v>5</v>
      </c>
      <c r="L224" s="5">
        <f>SUMIFS(tblGJ[Debit],tblGJ[Voucher No],tblBank[[#This Row],[Reference]],tblGJ[Account Code],tblBank[[#This Row],[Account Code]])-SUMIFS(tblGJ[Credit],tblGJ[Voucher No],tblBank[[#This Row],[Reference]],tblGJ[Account Code],tblBank[[#This Row],[Account Code]])</f>
        <v>-161397799</v>
      </c>
      <c r="M224" s="1" t="str">
        <f>IF(COUNTIFS(tblGJ[Voucher No],tblBank[[#This Row],[Reference]],tblGJ[Account Code],tblBank[[#This Row],[Account Code]])=0,"✖ Not in GJ",IF(ABS(tblBank[[#This Row],[GJ Amount]]-(tblBank[[#This Row],[Money In]]-tblBank[[#This Row],[Money Out]]))&lt;1,"✔ Recorded","⚠ Amount mismatch"))</f>
        <v>✔ Recorded</v>
      </c>
    </row>
    <row r="225" spans="2:13" x14ac:dyDescent="0.35">
      <c r="B225" s="4">
        <v>214</v>
      </c>
      <c r="C225" s="4" t="s">
        <v>6580</v>
      </c>
      <c r="D225" s="4">
        <v>1130</v>
      </c>
      <c r="E225" s="113">
        <v>46173</v>
      </c>
      <c r="F225" s="4" t="s">
        <v>6570</v>
      </c>
      <c r="G225" s="4" t="s">
        <v>5781</v>
      </c>
      <c r="H225" s="6">
        <v>75570</v>
      </c>
      <c r="I225" s="6">
        <v>0</v>
      </c>
      <c r="J22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449818874</v>
      </c>
      <c r="K225" s="1">
        <f>MONTH(tblBank[[#This Row],[Value Date]])</f>
        <v>5</v>
      </c>
      <c r="L225" s="5">
        <f>SUMIFS(tblGJ[Debit],tblGJ[Voucher No],tblBank[[#This Row],[Reference]],tblGJ[Account Code],tblBank[[#This Row],[Account Code]])-SUMIFS(tblGJ[Credit],tblGJ[Voucher No],tblBank[[#This Row],[Reference]],tblGJ[Account Code],tblBank[[#This Row],[Account Code]])</f>
        <v>75570</v>
      </c>
      <c r="M225" s="1" t="str">
        <f>IF(COUNTIFS(tblGJ[Voucher No],tblBank[[#This Row],[Reference]],tblGJ[Account Code],tblBank[[#This Row],[Account Code]])=0,"✖ Not in GJ",IF(ABS(tblBank[[#This Row],[GJ Amount]]-(tblBank[[#This Row],[Money In]]-tblBank[[#This Row],[Money Out]]))&lt;1,"✔ Recorded","⚠ Amount mismatch"))</f>
        <v>✔ Recorded</v>
      </c>
    </row>
    <row r="226" spans="2:13" x14ac:dyDescent="0.35">
      <c r="B226" s="4">
        <v>215</v>
      </c>
      <c r="C226" s="4" t="s">
        <v>6580</v>
      </c>
      <c r="D226" s="4">
        <v>1130</v>
      </c>
      <c r="E226" s="113">
        <v>46173</v>
      </c>
      <c r="F226" s="4" t="s">
        <v>6571</v>
      </c>
      <c r="G226" s="4" t="s">
        <v>5782</v>
      </c>
      <c r="H226" s="6">
        <v>0</v>
      </c>
      <c r="I226" s="6">
        <v>15114</v>
      </c>
      <c r="J22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449803760</v>
      </c>
      <c r="K226" s="1">
        <f>MONTH(tblBank[[#This Row],[Value Date]])</f>
        <v>5</v>
      </c>
      <c r="L226" s="5">
        <f>SUMIFS(tblGJ[Debit],tblGJ[Voucher No],tblBank[[#This Row],[Reference]],tblGJ[Account Code],tblBank[[#This Row],[Account Code]])-SUMIFS(tblGJ[Credit],tblGJ[Voucher No],tblBank[[#This Row],[Reference]],tblGJ[Account Code],tblBank[[#This Row],[Account Code]])</f>
        <v>-15114</v>
      </c>
      <c r="M226" s="1" t="str">
        <f>IF(COUNTIFS(tblGJ[Voucher No],tblBank[[#This Row],[Reference]],tblGJ[Account Code],tblBank[[#This Row],[Account Code]])=0,"✖ Not in GJ",IF(ABS(tblBank[[#This Row],[GJ Amount]]-(tblBank[[#This Row],[Money In]]-tblBank[[#This Row],[Money Out]]))&lt;1,"✔ Recorded","⚠ Amount mismatch"))</f>
        <v>✔ Recorded</v>
      </c>
    </row>
    <row r="227" spans="2:13" x14ac:dyDescent="0.35">
      <c r="B227" s="4">
        <v>216</v>
      </c>
      <c r="C227" s="4" t="s">
        <v>6580</v>
      </c>
      <c r="D227" s="4">
        <v>1130</v>
      </c>
      <c r="E227" s="113">
        <v>46173</v>
      </c>
      <c r="F227" s="4" t="s">
        <v>6572</v>
      </c>
      <c r="G227" s="4" t="s">
        <v>5783</v>
      </c>
      <c r="H227" s="6">
        <v>0</v>
      </c>
      <c r="I227" s="6">
        <v>118500</v>
      </c>
      <c r="J22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449685260</v>
      </c>
      <c r="K227" s="1">
        <f>MONTH(tblBank[[#This Row],[Value Date]])</f>
        <v>5</v>
      </c>
      <c r="L227" s="5">
        <f>SUMIFS(tblGJ[Debit],tblGJ[Voucher No],tblBank[[#This Row],[Reference]],tblGJ[Account Code],tblBank[[#This Row],[Account Code]])-SUMIFS(tblGJ[Credit],tblGJ[Voucher No],tblBank[[#This Row],[Reference]],tblGJ[Account Code],tblBank[[#This Row],[Account Code]])</f>
        <v>-118500</v>
      </c>
      <c r="M227" s="1" t="str">
        <f>IF(COUNTIFS(tblGJ[Voucher No],tblBank[[#This Row],[Reference]],tblGJ[Account Code],tblBank[[#This Row],[Account Code]])=0,"✖ Not in GJ",IF(ABS(tblBank[[#This Row],[GJ Amount]]-(tblBank[[#This Row],[Money In]]-tblBank[[#This Row],[Money Out]]))&lt;1,"✔ Recorded","⚠ Amount mismatch"))</f>
        <v>✔ Recorded</v>
      </c>
    </row>
    <row r="228" spans="2:13" x14ac:dyDescent="0.35">
      <c r="B228" s="4">
        <v>217</v>
      </c>
      <c r="C228" s="4" t="s">
        <v>6580</v>
      </c>
      <c r="D228" s="4">
        <v>1130</v>
      </c>
      <c r="E228" s="113">
        <v>46197</v>
      </c>
      <c r="F228" s="4" t="s">
        <v>6581</v>
      </c>
      <c r="G228" s="4" t="s">
        <v>5789</v>
      </c>
      <c r="H228" s="6">
        <v>161397799</v>
      </c>
      <c r="I228" s="6">
        <v>0</v>
      </c>
      <c r="J22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611083059</v>
      </c>
      <c r="K228" s="1">
        <f>MONTH(tblBank[[#This Row],[Value Date]])</f>
        <v>6</v>
      </c>
      <c r="L228" s="5">
        <f>SUMIFS(tblGJ[Debit],tblGJ[Voucher No],tblBank[[#This Row],[Reference]],tblGJ[Account Code],tblBank[[#This Row],[Account Code]])-SUMIFS(tblGJ[Credit],tblGJ[Voucher No],tblBank[[#This Row],[Reference]],tblGJ[Account Code],tblBank[[#This Row],[Account Code]])</f>
        <v>161397799</v>
      </c>
      <c r="M228" s="1" t="str">
        <f>IF(COUNTIFS(tblGJ[Voucher No],tblBank[[#This Row],[Reference]],tblGJ[Account Code],tblBank[[#This Row],[Account Code]])=0,"✖ Not in GJ",IF(ABS(tblBank[[#This Row],[GJ Amount]]-(tblBank[[#This Row],[Money In]]-tblBank[[#This Row],[Money Out]]))&lt;1,"✔ Recorded","⚠ Amount mismatch"))</f>
        <v>✔ Recorded</v>
      </c>
    </row>
    <row r="229" spans="2:13" x14ac:dyDescent="0.35">
      <c r="B229" s="4">
        <v>218</v>
      </c>
      <c r="C229" s="4" t="s">
        <v>6580</v>
      </c>
      <c r="D229" s="4">
        <v>1130</v>
      </c>
      <c r="E229" s="113">
        <v>46198</v>
      </c>
      <c r="F229" s="4" t="s">
        <v>6582</v>
      </c>
      <c r="G229" s="4" t="s">
        <v>5790</v>
      </c>
      <c r="H229" s="6">
        <v>0</v>
      </c>
      <c r="I229" s="6">
        <v>161397799</v>
      </c>
      <c r="J22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449685260</v>
      </c>
      <c r="K229" s="1">
        <f>MONTH(tblBank[[#This Row],[Value Date]])</f>
        <v>6</v>
      </c>
      <c r="L229" s="5">
        <f>SUMIFS(tblGJ[Debit],tblGJ[Voucher No],tblBank[[#This Row],[Reference]],tblGJ[Account Code],tblBank[[#This Row],[Account Code]])-SUMIFS(tblGJ[Credit],tblGJ[Voucher No],tblBank[[#This Row],[Reference]],tblGJ[Account Code],tblBank[[#This Row],[Account Code]])</f>
        <v>-161397799</v>
      </c>
      <c r="M229" s="1" t="str">
        <f>IF(COUNTIFS(tblGJ[Voucher No],tblBank[[#This Row],[Reference]],tblGJ[Account Code],tblBank[[#This Row],[Account Code]])=0,"✖ Not in GJ",IF(ABS(tblBank[[#This Row],[GJ Amount]]-(tblBank[[#This Row],[Money In]]-tblBank[[#This Row],[Money Out]]))&lt;1,"✔ Recorded","⚠ Amount mismatch"))</f>
        <v>✔ Recorded</v>
      </c>
    </row>
    <row r="230" spans="2:13" x14ac:dyDescent="0.35">
      <c r="B230" s="4">
        <v>219</v>
      </c>
      <c r="C230" s="4" t="s">
        <v>6580</v>
      </c>
      <c r="D230" s="4">
        <v>1130</v>
      </c>
      <c r="E230" s="113">
        <v>46203</v>
      </c>
      <c r="F230" s="4" t="s">
        <v>6570</v>
      </c>
      <c r="G230" s="4" t="s">
        <v>5807</v>
      </c>
      <c r="H230" s="6">
        <v>81406</v>
      </c>
      <c r="I230" s="6">
        <v>0</v>
      </c>
      <c r="J23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449766666</v>
      </c>
      <c r="K230" s="1">
        <f>MONTH(tblBank[[#This Row],[Value Date]])</f>
        <v>6</v>
      </c>
      <c r="L230" s="5">
        <f>SUMIFS(tblGJ[Debit],tblGJ[Voucher No],tblBank[[#This Row],[Reference]],tblGJ[Account Code],tblBank[[#This Row],[Account Code]])-SUMIFS(tblGJ[Credit],tblGJ[Voucher No],tblBank[[#This Row],[Reference]],tblGJ[Account Code],tblBank[[#This Row],[Account Code]])</f>
        <v>81406</v>
      </c>
      <c r="M230" s="1" t="str">
        <f>IF(COUNTIFS(tblGJ[Voucher No],tblBank[[#This Row],[Reference]],tblGJ[Account Code],tblBank[[#This Row],[Account Code]])=0,"✖ Not in GJ",IF(ABS(tblBank[[#This Row],[GJ Amount]]-(tblBank[[#This Row],[Money In]]-tblBank[[#This Row],[Money Out]]))&lt;1,"✔ Recorded","⚠ Amount mismatch"))</f>
        <v>✔ Recorded</v>
      </c>
    </row>
    <row r="231" spans="2:13" x14ac:dyDescent="0.35">
      <c r="B231" s="4">
        <v>220</v>
      </c>
      <c r="C231" s="4" t="s">
        <v>6580</v>
      </c>
      <c r="D231" s="4">
        <v>1130</v>
      </c>
      <c r="E231" s="113">
        <v>46203</v>
      </c>
      <c r="F231" s="4" t="s">
        <v>6571</v>
      </c>
      <c r="G231" s="4" t="s">
        <v>5808</v>
      </c>
      <c r="H231" s="6">
        <v>0</v>
      </c>
      <c r="I231" s="6">
        <v>16281</v>
      </c>
      <c r="J23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449750385</v>
      </c>
      <c r="K231" s="1">
        <f>MONTH(tblBank[[#This Row],[Value Date]])</f>
        <v>6</v>
      </c>
      <c r="L231" s="5">
        <f>SUMIFS(tblGJ[Debit],tblGJ[Voucher No],tblBank[[#This Row],[Reference]],tblGJ[Account Code],tblBank[[#This Row],[Account Code]])-SUMIFS(tblGJ[Credit],tblGJ[Voucher No],tblBank[[#This Row],[Reference]],tblGJ[Account Code],tblBank[[#This Row],[Account Code]])</f>
        <v>-16281</v>
      </c>
      <c r="M231" s="1" t="str">
        <f>IF(COUNTIFS(tblGJ[Voucher No],tblBank[[#This Row],[Reference]],tblGJ[Account Code],tblBank[[#This Row],[Account Code]])=0,"✖ Not in GJ",IF(ABS(tblBank[[#This Row],[GJ Amount]]-(tblBank[[#This Row],[Money In]]-tblBank[[#This Row],[Money Out]]))&lt;1,"✔ Recorded","⚠ Amount mismatch"))</f>
        <v>✔ Recorded</v>
      </c>
    </row>
    <row r="232" spans="2:13" x14ac:dyDescent="0.35">
      <c r="B232" s="4">
        <v>221</v>
      </c>
      <c r="C232" s="4" t="s">
        <v>6580</v>
      </c>
      <c r="D232" s="4">
        <v>1130</v>
      </c>
      <c r="E232" s="113">
        <v>46203</v>
      </c>
      <c r="F232" s="4" t="s">
        <v>6572</v>
      </c>
      <c r="G232" s="4" t="s">
        <v>5809</v>
      </c>
      <c r="H232" s="6">
        <v>0</v>
      </c>
      <c r="I232" s="6">
        <v>118500</v>
      </c>
      <c r="J23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449631885</v>
      </c>
      <c r="K232" s="1">
        <f>MONTH(tblBank[[#This Row],[Value Date]])</f>
        <v>6</v>
      </c>
      <c r="L232" s="5">
        <f>SUMIFS(tblGJ[Debit],tblGJ[Voucher No],tblBank[[#This Row],[Reference]],tblGJ[Account Code],tblBank[[#This Row],[Account Code]])-SUMIFS(tblGJ[Credit],tblGJ[Voucher No],tblBank[[#This Row],[Reference]],tblGJ[Account Code],tblBank[[#This Row],[Account Code]])</f>
        <v>-118500</v>
      </c>
      <c r="M232" s="1" t="str">
        <f>IF(COUNTIFS(tblGJ[Voucher No],tblBank[[#This Row],[Reference]],tblGJ[Account Code],tblBank[[#This Row],[Account Code]])=0,"✖ Not in GJ",IF(ABS(tblBank[[#This Row],[GJ Amount]]-(tblBank[[#This Row],[Money In]]-tblBank[[#This Row],[Money Out]]))&lt;1,"✔ Recorded","⚠ Amount mismatch"))</f>
        <v>✔ Recorded</v>
      </c>
    </row>
    <row r="233" spans="2:13" x14ac:dyDescent="0.35">
      <c r="B233" s="4">
        <v>222</v>
      </c>
      <c r="C233" s="4" t="s">
        <v>6580</v>
      </c>
      <c r="D233" s="4">
        <v>1130</v>
      </c>
      <c r="E233" s="113">
        <v>46227</v>
      </c>
      <c r="F233" s="4" t="s">
        <v>6581</v>
      </c>
      <c r="G233" s="4" t="s">
        <v>5816</v>
      </c>
      <c r="H233" s="6">
        <v>161397799</v>
      </c>
      <c r="I233" s="6">
        <v>0</v>
      </c>
      <c r="J23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611029684</v>
      </c>
      <c r="K233" s="1">
        <f>MONTH(tblBank[[#This Row],[Value Date]])</f>
        <v>7</v>
      </c>
      <c r="L233" s="5">
        <f>SUMIFS(tblGJ[Debit],tblGJ[Voucher No],tblBank[[#This Row],[Reference]],tblGJ[Account Code],tblBank[[#This Row],[Account Code]])-SUMIFS(tblGJ[Credit],tblGJ[Voucher No],tblBank[[#This Row],[Reference]],tblGJ[Account Code],tblBank[[#This Row],[Account Code]])</f>
        <v>161397799</v>
      </c>
      <c r="M233" s="1" t="str">
        <f>IF(COUNTIFS(tblGJ[Voucher No],tblBank[[#This Row],[Reference]],tblGJ[Account Code],tblBank[[#This Row],[Account Code]])=0,"✖ Not in GJ",IF(ABS(tblBank[[#This Row],[GJ Amount]]-(tblBank[[#This Row],[Money In]]-tblBank[[#This Row],[Money Out]]))&lt;1,"✔ Recorded","⚠ Amount mismatch"))</f>
        <v>✔ Recorded</v>
      </c>
    </row>
    <row r="234" spans="2:13" x14ac:dyDescent="0.35">
      <c r="B234" s="4">
        <v>223</v>
      </c>
      <c r="C234" s="4" t="s">
        <v>6580</v>
      </c>
      <c r="D234" s="4">
        <v>1130</v>
      </c>
      <c r="E234" s="113">
        <v>46228</v>
      </c>
      <c r="F234" s="4" t="s">
        <v>6582</v>
      </c>
      <c r="G234" s="4" t="s">
        <v>5817</v>
      </c>
      <c r="H234" s="6">
        <v>0</v>
      </c>
      <c r="I234" s="6">
        <v>161397799</v>
      </c>
      <c r="J23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449631885</v>
      </c>
      <c r="K234" s="1">
        <f>MONTH(tblBank[[#This Row],[Value Date]])</f>
        <v>7</v>
      </c>
      <c r="L234" s="5">
        <f>SUMIFS(tblGJ[Debit],tblGJ[Voucher No],tblBank[[#This Row],[Reference]],tblGJ[Account Code],tblBank[[#This Row],[Account Code]])-SUMIFS(tblGJ[Credit],tblGJ[Voucher No],tblBank[[#This Row],[Reference]],tblGJ[Account Code],tblBank[[#This Row],[Account Code]])</f>
        <v>-161397799</v>
      </c>
      <c r="M234" s="1" t="str">
        <f>IF(COUNTIFS(tblGJ[Voucher No],tblBank[[#This Row],[Reference]],tblGJ[Account Code],tblBank[[#This Row],[Account Code]])=0,"✖ Not in GJ",IF(ABS(tblBank[[#This Row],[GJ Amount]]-(tblBank[[#This Row],[Money In]]-tblBank[[#This Row],[Money Out]]))&lt;1,"✔ Recorded","⚠ Amount mismatch"))</f>
        <v>✔ Recorded</v>
      </c>
    </row>
    <row r="235" spans="2:13" x14ac:dyDescent="0.35">
      <c r="B235" s="4">
        <v>224</v>
      </c>
      <c r="C235" s="4" t="s">
        <v>6580</v>
      </c>
      <c r="D235" s="4">
        <v>1130</v>
      </c>
      <c r="E235" s="113">
        <v>46234</v>
      </c>
      <c r="F235" s="4" t="s">
        <v>6570</v>
      </c>
      <c r="G235" s="4" t="s">
        <v>5833</v>
      </c>
      <c r="H235" s="6">
        <v>89796</v>
      </c>
      <c r="I235" s="6">
        <v>0</v>
      </c>
      <c r="J23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449721681</v>
      </c>
      <c r="K235" s="1">
        <f>MONTH(tblBank[[#This Row],[Value Date]])</f>
        <v>7</v>
      </c>
      <c r="L235" s="5">
        <f>SUMIFS(tblGJ[Debit],tblGJ[Voucher No],tblBank[[#This Row],[Reference]],tblGJ[Account Code],tblBank[[#This Row],[Account Code]])-SUMIFS(tblGJ[Credit],tblGJ[Voucher No],tblBank[[#This Row],[Reference]],tblGJ[Account Code],tblBank[[#This Row],[Account Code]])</f>
        <v>89796</v>
      </c>
      <c r="M235" s="1" t="str">
        <f>IF(COUNTIFS(tblGJ[Voucher No],tblBank[[#This Row],[Reference]],tblGJ[Account Code],tblBank[[#This Row],[Account Code]])=0,"✖ Not in GJ",IF(ABS(tblBank[[#This Row],[GJ Amount]]-(tblBank[[#This Row],[Money In]]-tblBank[[#This Row],[Money Out]]))&lt;1,"✔ Recorded","⚠ Amount mismatch"))</f>
        <v>✔ Recorded</v>
      </c>
    </row>
    <row r="236" spans="2:13" x14ac:dyDescent="0.35">
      <c r="B236" s="4">
        <v>225</v>
      </c>
      <c r="C236" s="4" t="s">
        <v>6580</v>
      </c>
      <c r="D236" s="4">
        <v>1130</v>
      </c>
      <c r="E236" s="113">
        <v>46234</v>
      </c>
      <c r="F236" s="4" t="s">
        <v>6571</v>
      </c>
      <c r="G236" s="4" t="s">
        <v>5834</v>
      </c>
      <c r="H236" s="6">
        <v>0</v>
      </c>
      <c r="I236" s="6">
        <v>17959</v>
      </c>
      <c r="J23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449703722</v>
      </c>
      <c r="K236" s="1">
        <f>MONTH(tblBank[[#This Row],[Value Date]])</f>
        <v>7</v>
      </c>
      <c r="L236" s="5">
        <f>SUMIFS(tblGJ[Debit],tblGJ[Voucher No],tblBank[[#This Row],[Reference]],tblGJ[Account Code],tblBank[[#This Row],[Account Code]])-SUMIFS(tblGJ[Credit],tblGJ[Voucher No],tblBank[[#This Row],[Reference]],tblGJ[Account Code],tblBank[[#This Row],[Account Code]])</f>
        <v>-17959</v>
      </c>
      <c r="M236" s="1" t="str">
        <f>IF(COUNTIFS(tblGJ[Voucher No],tblBank[[#This Row],[Reference]],tblGJ[Account Code],tblBank[[#This Row],[Account Code]])=0,"✖ Not in GJ",IF(ABS(tblBank[[#This Row],[GJ Amount]]-(tblBank[[#This Row],[Money In]]-tblBank[[#This Row],[Money Out]]))&lt;1,"✔ Recorded","⚠ Amount mismatch"))</f>
        <v>✔ Recorded</v>
      </c>
    </row>
    <row r="237" spans="2:13" x14ac:dyDescent="0.35">
      <c r="B237" s="4">
        <v>226</v>
      </c>
      <c r="C237" s="4" t="s">
        <v>6580</v>
      </c>
      <c r="D237" s="4">
        <v>1130</v>
      </c>
      <c r="E237" s="113">
        <v>46234</v>
      </c>
      <c r="F237" s="4" t="s">
        <v>6572</v>
      </c>
      <c r="G237" s="4" t="s">
        <v>5835</v>
      </c>
      <c r="H237" s="6">
        <v>0</v>
      </c>
      <c r="I237" s="6">
        <v>118500</v>
      </c>
      <c r="J23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449585222</v>
      </c>
      <c r="K237" s="1">
        <f>MONTH(tblBank[[#This Row],[Value Date]])</f>
        <v>7</v>
      </c>
      <c r="L237" s="5">
        <f>SUMIFS(tblGJ[Debit],tblGJ[Voucher No],tblBank[[#This Row],[Reference]],tblGJ[Account Code],tblBank[[#This Row],[Account Code]])-SUMIFS(tblGJ[Credit],tblGJ[Voucher No],tblBank[[#This Row],[Reference]],tblGJ[Account Code],tblBank[[#This Row],[Account Code]])</f>
        <v>-118500</v>
      </c>
      <c r="M237" s="1" t="str">
        <f>IF(COUNTIFS(tblGJ[Voucher No],tblBank[[#This Row],[Reference]],tblGJ[Account Code],tblBank[[#This Row],[Account Code]])=0,"✖ Not in GJ",IF(ABS(tblBank[[#This Row],[GJ Amount]]-(tblBank[[#This Row],[Money In]]-tblBank[[#This Row],[Money Out]]))&lt;1,"✔ Recorded","⚠ Amount mismatch"))</f>
        <v>✔ Recorded</v>
      </c>
    </row>
    <row r="238" spans="2:13" x14ac:dyDescent="0.35">
      <c r="B238" s="4">
        <v>227</v>
      </c>
      <c r="C238" s="4" t="s">
        <v>6580</v>
      </c>
      <c r="D238" s="4">
        <v>1130</v>
      </c>
      <c r="E238" s="113">
        <v>46258</v>
      </c>
      <c r="F238" s="4" t="s">
        <v>6581</v>
      </c>
      <c r="G238" s="4" t="s">
        <v>5841</v>
      </c>
      <c r="H238" s="6">
        <v>161397799</v>
      </c>
      <c r="I238" s="6">
        <v>0</v>
      </c>
      <c r="J23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610983021</v>
      </c>
      <c r="K238" s="1">
        <f>MONTH(tblBank[[#This Row],[Value Date]])</f>
        <v>8</v>
      </c>
      <c r="L238" s="5">
        <f>SUMIFS(tblGJ[Debit],tblGJ[Voucher No],tblBank[[#This Row],[Reference]],tblGJ[Account Code],tblBank[[#This Row],[Account Code]])-SUMIFS(tblGJ[Credit],tblGJ[Voucher No],tblBank[[#This Row],[Reference]],tblGJ[Account Code],tblBank[[#This Row],[Account Code]])</f>
        <v>161397799</v>
      </c>
      <c r="M238" s="1" t="str">
        <f>IF(COUNTIFS(tblGJ[Voucher No],tblBank[[#This Row],[Reference]],tblGJ[Account Code],tblBank[[#This Row],[Account Code]])=0,"✖ Not in GJ",IF(ABS(tblBank[[#This Row],[GJ Amount]]-(tblBank[[#This Row],[Money In]]-tblBank[[#This Row],[Money Out]]))&lt;1,"✔ Recorded","⚠ Amount mismatch"))</f>
        <v>✔ Recorded</v>
      </c>
    </row>
    <row r="239" spans="2:13" x14ac:dyDescent="0.35">
      <c r="B239" s="4">
        <v>228</v>
      </c>
      <c r="C239" s="4" t="s">
        <v>6580</v>
      </c>
      <c r="D239" s="4">
        <v>1130</v>
      </c>
      <c r="E239" s="113">
        <v>46259</v>
      </c>
      <c r="F239" s="4" t="s">
        <v>6582</v>
      </c>
      <c r="G239" s="4" t="s">
        <v>5842</v>
      </c>
      <c r="H239" s="6">
        <v>0</v>
      </c>
      <c r="I239" s="6">
        <v>161397799</v>
      </c>
      <c r="J23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449585222</v>
      </c>
      <c r="K239" s="1">
        <f>MONTH(tblBank[[#This Row],[Value Date]])</f>
        <v>8</v>
      </c>
      <c r="L239" s="5">
        <f>SUMIFS(tblGJ[Debit],tblGJ[Voucher No],tblBank[[#This Row],[Reference]],tblGJ[Account Code],tblBank[[#This Row],[Account Code]])-SUMIFS(tblGJ[Credit],tblGJ[Voucher No],tblBank[[#This Row],[Reference]],tblGJ[Account Code],tblBank[[#This Row],[Account Code]])</f>
        <v>-161397799</v>
      </c>
      <c r="M239" s="1" t="str">
        <f>IF(COUNTIFS(tblGJ[Voucher No],tblBank[[#This Row],[Reference]],tblGJ[Account Code],tblBank[[#This Row],[Account Code]])=0,"✖ Not in GJ",IF(ABS(tblBank[[#This Row],[GJ Amount]]-(tblBank[[#This Row],[Money In]]-tblBank[[#This Row],[Money Out]]))&lt;1,"✔ Recorded","⚠ Amount mismatch"))</f>
        <v>✔ Recorded</v>
      </c>
    </row>
    <row r="240" spans="2:13" x14ac:dyDescent="0.35">
      <c r="B240" s="4">
        <v>229</v>
      </c>
      <c r="C240" s="4" t="s">
        <v>6580</v>
      </c>
      <c r="D240" s="4">
        <v>1130</v>
      </c>
      <c r="E240" s="113">
        <v>46265</v>
      </c>
      <c r="F240" s="4" t="s">
        <v>6570</v>
      </c>
      <c r="G240" s="4" t="s">
        <v>5858</v>
      </c>
      <c r="H240" s="6">
        <v>81292</v>
      </c>
      <c r="I240" s="6">
        <v>0</v>
      </c>
      <c r="J24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449666514</v>
      </c>
      <c r="K240" s="1">
        <f>MONTH(tblBank[[#This Row],[Value Date]])</f>
        <v>8</v>
      </c>
      <c r="L240" s="5">
        <f>SUMIFS(tblGJ[Debit],tblGJ[Voucher No],tblBank[[#This Row],[Reference]],tblGJ[Account Code],tblBank[[#This Row],[Account Code]])-SUMIFS(tblGJ[Credit],tblGJ[Voucher No],tblBank[[#This Row],[Reference]],tblGJ[Account Code],tblBank[[#This Row],[Account Code]])</f>
        <v>81292</v>
      </c>
      <c r="M240" s="1" t="str">
        <f>IF(COUNTIFS(tblGJ[Voucher No],tblBank[[#This Row],[Reference]],tblGJ[Account Code],tblBank[[#This Row],[Account Code]])=0,"✖ Not in GJ",IF(ABS(tblBank[[#This Row],[GJ Amount]]-(tblBank[[#This Row],[Money In]]-tblBank[[#This Row],[Money Out]]))&lt;1,"✔ Recorded","⚠ Amount mismatch"))</f>
        <v>✔ Recorded</v>
      </c>
    </row>
    <row r="241" spans="2:13" x14ac:dyDescent="0.35">
      <c r="B241" s="4">
        <v>230</v>
      </c>
      <c r="C241" s="4" t="s">
        <v>6580</v>
      </c>
      <c r="D241" s="4">
        <v>1130</v>
      </c>
      <c r="E241" s="113">
        <v>46265</v>
      </c>
      <c r="F241" s="4" t="s">
        <v>6571</v>
      </c>
      <c r="G241" s="4" t="s">
        <v>5859</v>
      </c>
      <c r="H241" s="6">
        <v>0</v>
      </c>
      <c r="I241" s="6">
        <v>16258</v>
      </c>
      <c r="J24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449650256</v>
      </c>
      <c r="K241" s="1">
        <f>MONTH(tblBank[[#This Row],[Value Date]])</f>
        <v>8</v>
      </c>
      <c r="L241" s="5">
        <f>SUMIFS(tblGJ[Debit],tblGJ[Voucher No],tblBank[[#This Row],[Reference]],tblGJ[Account Code],tblBank[[#This Row],[Account Code]])-SUMIFS(tblGJ[Credit],tblGJ[Voucher No],tblBank[[#This Row],[Reference]],tblGJ[Account Code],tblBank[[#This Row],[Account Code]])</f>
        <v>-16258</v>
      </c>
      <c r="M241" s="1" t="str">
        <f>IF(COUNTIFS(tblGJ[Voucher No],tblBank[[#This Row],[Reference]],tblGJ[Account Code],tblBank[[#This Row],[Account Code]])=0,"✖ Not in GJ",IF(ABS(tblBank[[#This Row],[GJ Amount]]-(tblBank[[#This Row],[Money In]]-tblBank[[#This Row],[Money Out]]))&lt;1,"✔ Recorded","⚠ Amount mismatch"))</f>
        <v>✔ Recorded</v>
      </c>
    </row>
    <row r="242" spans="2:13" x14ac:dyDescent="0.35">
      <c r="B242" s="4">
        <v>231</v>
      </c>
      <c r="C242" s="4" t="s">
        <v>6580</v>
      </c>
      <c r="D242" s="4">
        <v>1130</v>
      </c>
      <c r="E242" s="113">
        <v>46265</v>
      </c>
      <c r="F242" s="4" t="s">
        <v>6572</v>
      </c>
      <c r="G242" s="4" t="s">
        <v>5860</v>
      </c>
      <c r="H242" s="6">
        <v>0</v>
      </c>
      <c r="I242" s="6">
        <v>118500</v>
      </c>
      <c r="J24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449531756</v>
      </c>
      <c r="K242" s="1">
        <f>MONTH(tblBank[[#This Row],[Value Date]])</f>
        <v>8</v>
      </c>
      <c r="L242" s="5">
        <f>SUMIFS(tblGJ[Debit],tblGJ[Voucher No],tblBank[[#This Row],[Reference]],tblGJ[Account Code],tblBank[[#This Row],[Account Code]])-SUMIFS(tblGJ[Credit],tblGJ[Voucher No],tblBank[[#This Row],[Reference]],tblGJ[Account Code],tblBank[[#This Row],[Account Code]])</f>
        <v>-118500</v>
      </c>
      <c r="M242" s="1" t="str">
        <f>IF(COUNTIFS(tblGJ[Voucher No],tblBank[[#This Row],[Reference]],tblGJ[Account Code],tblBank[[#This Row],[Account Code]])=0,"✖ Not in GJ",IF(ABS(tblBank[[#This Row],[GJ Amount]]-(tblBank[[#This Row],[Money In]]-tblBank[[#This Row],[Money Out]]))&lt;1,"✔ Recorded","⚠ Amount mismatch"))</f>
        <v>✔ Recorded</v>
      </c>
    </row>
    <row r="243" spans="2:13" x14ac:dyDescent="0.35">
      <c r="B243" s="4">
        <v>232</v>
      </c>
      <c r="C243" s="4" t="s">
        <v>6580</v>
      </c>
      <c r="D243" s="4">
        <v>1130</v>
      </c>
      <c r="E243" s="113">
        <v>46289</v>
      </c>
      <c r="F243" s="4" t="s">
        <v>6581</v>
      </c>
      <c r="G243" s="4" t="s">
        <v>5866</v>
      </c>
      <c r="H243" s="6">
        <v>161397799</v>
      </c>
      <c r="I243" s="6">
        <v>0</v>
      </c>
      <c r="J24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610929555</v>
      </c>
      <c r="K243" s="1">
        <f>MONTH(tblBank[[#This Row],[Value Date]])</f>
        <v>9</v>
      </c>
      <c r="L243" s="5">
        <f>SUMIFS(tblGJ[Debit],tblGJ[Voucher No],tblBank[[#This Row],[Reference]],tblGJ[Account Code],tblBank[[#This Row],[Account Code]])-SUMIFS(tblGJ[Credit],tblGJ[Voucher No],tblBank[[#This Row],[Reference]],tblGJ[Account Code],tblBank[[#This Row],[Account Code]])</f>
        <v>161397799</v>
      </c>
      <c r="M243" s="1" t="str">
        <f>IF(COUNTIFS(tblGJ[Voucher No],tblBank[[#This Row],[Reference]],tblGJ[Account Code],tblBank[[#This Row],[Account Code]])=0,"✖ Not in GJ",IF(ABS(tblBank[[#This Row],[GJ Amount]]-(tblBank[[#This Row],[Money In]]-tblBank[[#This Row],[Money Out]]))&lt;1,"✔ Recorded","⚠ Amount mismatch"))</f>
        <v>✔ Recorded</v>
      </c>
    </row>
    <row r="244" spans="2:13" x14ac:dyDescent="0.35">
      <c r="B244" s="4">
        <v>233</v>
      </c>
      <c r="C244" s="4" t="s">
        <v>6580</v>
      </c>
      <c r="D244" s="4">
        <v>1130</v>
      </c>
      <c r="E244" s="113">
        <v>46290</v>
      </c>
      <c r="F244" s="4" t="s">
        <v>6582</v>
      </c>
      <c r="G244" s="4" t="s">
        <v>5867</v>
      </c>
      <c r="H244" s="6">
        <v>0</v>
      </c>
      <c r="I244" s="6">
        <v>161397799</v>
      </c>
      <c r="J24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449531756</v>
      </c>
      <c r="K244" s="1">
        <f>MONTH(tblBank[[#This Row],[Value Date]])</f>
        <v>9</v>
      </c>
      <c r="L244" s="5">
        <f>SUMIFS(tblGJ[Debit],tblGJ[Voucher No],tblBank[[#This Row],[Reference]],tblGJ[Account Code],tblBank[[#This Row],[Account Code]])-SUMIFS(tblGJ[Credit],tblGJ[Voucher No],tblBank[[#This Row],[Reference]],tblGJ[Account Code],tblBank[[#This Row],[Account Code]])</f>
        <v>-161397799</v>
      </c>
      <c r="M244" s="1" t="str">
        <f>IF(COUNTIFS(tblGJ[Voucher No],tblBank[[#This Row],[Reference]],tblGJ[Account Code],tblBank[[#This Row],[Account Code]])=0,"✖ Not in GJ",IF(ABS(tblBank[[#This Row],[GJ Amount]]-(tblBank[[#This Row],[Money In]]-tblBank[[#This Row],[Money Out]]))&lt;1,"✔ Recorded","⚠ Amount mismatch"))</f>
        <v>✔ Recorded</v>
      </c>
    </row>
    <row r="245" spans="2:13" x14ac:dyDescent="0.35">
      <c r="B245" s="4">
        <v>234</v>
      </c>
      <c r="C245" s="4" t="s">
        <v>6580</v>
      </c>
      <c r="D245" s="4">
        <v>1130</v>
      </c>
      <c r="E245" s="113">
        <v>46295</v>
      </c>
      <c r="F245" s="4" t="s">
        <v>6570</v>
      </c>
      <c r="G245" s="4" t="s">
        <v>5883</v>
      </c>
      <c r="H245" s="6">
        <v>62018</v>
      </c>
      <c r="I245" s="6">
        <v>0</v>
      </c>
      <c r="J24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449593774</v>
      </c>
      <c r="K245" s="1">
        <f>MONTH(tblBank[[#This Row],[Value Date]])</f>
        <v>9</v>
      </c>
      <c r="L245" s="5">
        <f>SUMIFS(tblGJ[Debit],tblGJ[Voucher No],tblBank[[#This Row],[Reference]],tblGJ[Account Code],tblBank[[#This Row],[Account Code]])-SUMIFS(tblGJ[Credit],tblGJ[Voucher No],tblBank[[#This Row],[Reference]],tblGJ[Account Code],tblBank[[#This Row],[Account Code]])</f>
        <v>62018</v>
      </c>
      <c r="M245" s="1" t="str">
        <f>IF(COUNTIFS(tblGJ[Voucher No],tblBank[[#This Row],[Reference]],tblGJ[Account Code],tblBank[[#This Row],[Account Code]])=0,"✖ Not in GJ",IF(ABS(tblBank[[#This Row],[GJ Amount]]-(tblBank[[#This Row],[Money In]]-tblBank[[#This Row],[Money Out]]))&lt;1,"✔ Recorded","⚠ Amount mismatch"))</f>
        <v>✔ Recorded</v>
      </c>
    </row>
    <row r="246" spans="2:13" x14ac:dyDescent="0.35">
      <c r="B246" s="4">
        <v>235</v>
      </c>
      <c r="C246" s="4" t="s">
        <v>6580</v>
      </c>
      <c r="D246" s="4">
        <v>1130</v>
      </c>
      <c r="E246" s="113">
        <v>46295</v>
      </c>
      <c r="F246" s="4" t="s">
        <v>6571</v>
      </c>
      <c r="G246" s="4" t="s">
        <v>5884</v>
      </c>
      <c r="H246" s="6">
        <v>0</v>
      </c>
      <c r="I246" s="6">
        <v>12404</v>
      </c>
      <c r="J24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449581370</v>
      </c>
      <c r="K246" s="1">
        <f>MONTH(tblBank[[#This Row],[Value Date]])</f>
        <v>9</v>
      </c>
      <c r="L246" s="5">
        <f>SUMIFS(tblGJ[Debit],tblGJ[Voucher No],tblBank[[#This Row],[Reference]],tblGJ[Account Code],tblBank[[#This Row],[Account Code]])-SUMIFS(tblGJ[Credit],tblGJ[Voucher No],tblBank[[#This Row],[Reference]],tblGJ[Account Code],tblBank[[#This Row],[Account Code]])</f>
        <v>-12404</v>
      </c>
      <c r="M246" s="1" t="str">
        <f>IF(COUNTIFS(tblGJ[Voucher No],tblBank[[#This Row],[Reference]],tblGJ[Account Code],tblBank[[#This Row],[Account Code]])=0,"✖ Not in GJ",IF(ABS(tblBank[[#This Row],[GJ Amount]]-(tblBank[[#This Row],[Money In]]-tblBank[[#This Row],[Money Out]]))&lt;1,"✔ Recorded","⚠ Amount mismatch"))</f>
        <v>✔ Recorded</v>
      </c>
    </row>
    <row r="247" spans="2:13" x14ac:dyDescent="0.35">
      <c r="B247" s="4">
        <v>236</v>
      </c>
      <c r="C247" s="4" t="s">
        <v>6580</v>
      </c>
      <c r="D247" s="4">
        <v>1130</v>
      </c>
      <c r="E247" s="113">
        <v>46295</v>
      </c>
      <c r="F247" s="4" t="s">
        <v>6572</v>
      </c>
      <c r="G247" s="4" t="s">
        <v>5885</v>
      </c>
      <c r="H247" s="6">
        <v>0</v>
      </c>
      <c r="I247" s="6">
        <v>118500</v>
      </c>
      <c r="J24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449462870</v>
      </c>
      <c r="K247" s="1">
        <f>MONTH(tblBank[[#This Row],[Value Date]])</f>
        <v>9</v>
      </c>
      <c r="L247" s="5">
        <f>SUMIFS(tblGJ[Debit],tblGJ[Voucher No],tblBank[[#This Row],[Reference]],tblGJ[Account Code],tblBank[[#This Row],[Account Code]])-SUMIFS(tblGJ[Credit],tblGJ[Voucher No],tblBank[[#This Row],[Reference]],tblGJ[Account Code],tblBank[[#This Row],[Account Code]])</f>
        <v>-118500</v>
      </c>
      <c r="M247" s="1" t="str">
        <f>IF(COUNTIFS(tblGJ[Voucher No],tblBank[[#This Row],[Reference]],tblGJ[Account Code],tblBank[[#This Row],[Account Code]])=0,"✖ Not in GJ",IF(ABS(tblBank[[#This Row],[GJ Amount]]-(tblBank[[#This Row],[Money In]]-tblBank[[#This Row],[Money Out]]))&lt;1,"✔ Recorded","⚠ Amount mismatch"))</f>
        <v>✔ Recorded</v>
      </c>
    </row>
    <row r="248" spans="2:13" x14ac:dyDescent="0.35">
      <c r="B248" s="4">
        <v>237</v>
      </c>
      <c r="C248" s="4" t="s">
        <v>6580</v>
      </c>
      <c r="D248" s="4">
        <v>1130</v>
      </c>
      <c r="E248" s="113">
        <v>46319</v>
      </c>
      <c r="F248" s="4" t="s">
        <v>6581</v>
      </c>
      <c r="G248" s="4" t="s">
        <v>5891</v>
      </c>
      <c r="H248" s="6">
        <v>161397799</v>
      </c>
      <c r="I248" s="6">
        <v>0</v>
      </c>
      <c r="J24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610860669</v>
      </c>
      <c r="K248" s="1">
        <f>MONTH(tblBank[[#This Row],[Value Date]])</f>
        <v>10</v>
      </c>
      <c r="L248" s="5">
        <f>SUMIFS(tblGJ[Debit],tblGJ[Voucher No],tblBank[[#This Row],[Reference]],tblGJ[Account Code],tblBank[[#This Row],[Account Code]])-SUMIFS(tblGJ[Credit],tblGJ[Voucher No],tblBank[[#This Row],[Reference]],tblGJ[Account Code],tblBank[[#This Row],[Account Code]])</f>
        <v>161397799</v>
      </c>
      <c r="M248" s="1" t="str">
        <f>IF(COUNTIFS(tblGJ[Voucher No],tblBank[[#This Row],[Reference]],tblGJ[Account Code],tblBank[[#This Row],[Account Code]])=0,"✖ Not in GJ",IF(ABS(tblBank[[#This Row],[GJ Amount]]-(tblBank[[#This Row],[Money In]]-tblBank[[#This Row],[Money Out]]))&lt;1,"✔ Recorded","⚠ Amount mismatch"))</f>
        <v>✔ Recorded</v>
      </c>
    </row>
    <row r="249" spans="2:13" x14ac:dyDescent="0.35">
      <c r="B249" s="4">
        <v>238</v>
      </c>
      <c r="C249" s="4" t="s">
        <v>6580</v>
      </c>
      <c r="D249" s="4">
        <v>1130</v>
      </c>
      <c r="E249" s="113">
        <v>46320</v>
      </c>
      <c r="F249" s="4" t="s">
        <v>6582</v>
      </c>
      <c r="G249" s="4" t="s">
        <v>5892</v>
      </c>
      <c r="H249" s="6">
        <v>0</v>
      </c>
      <c r="I249" s="6">
        <v>161397799</v>
      </c>
      <c r="J24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449462870</v>
      </c>
      <c r="K249" s="1">
        <f>MONTH(tblBank[[#This Row],[Value Date]])</f>
        <v>10</v>
      </c>
      <c r="L249" s="5">
        <f>SUMIFS(tblGJ[Debit],tblGJ[Voucher No],tblBank[[#This Row],[Reference]],tblGJ[Account Code],tblBank[[#This Row],[Account Code]])-SUMIFS(tblGJ[Credit],tblGJ[Voucher No],tblBank[[#This Row],[Reference]],tblGJ[Account Code],tblBank[[#This Row],[Account Code]])</f>
        <v>-161397799</v>
      </c>
      <c r="M249" s="1" t="str">
        <f>IF(COUNTIFS(tblGJ[Voucher No],tblBank[[#This Row],[Reference]],tblGJ[Account Code],tblBank[[#This Row],[Account Code]])=0,"✖ Not in GJ",IF(ABS(tblBank[[#This Row],[GJ Amount]]-(tblBank[[#This Row],[Money In]]-tblBank[[#This Row],[Money Out]]))&lt;1,"✔ Recorded","⚠ Amount mismatch"))</f>
        <v>✔ Recorded</v>
      </c>
    </row>
    <row r="250" spans="2:13" x14ac:dyDescent="0.35">
      <c r="B250" s="4">
        <v>239</v>
      </c>
      <c r="C250" s="4" t="s">
        <v>6580</v>
      </c>
      <c r="D250" s="4">
        <v>1130</v>
      </c>
      <c r="E250" s="113">
        <v>46326</v>
      </c>
      <c r="F250" s="4" t="s">
        <v>6570</v>
      </c>
      <c r="G250" s="4" t="s">
        <v>6576</v>
      </c>
      <c r="H250" s="6">
        <v>58746</v>
      </c>
      <c r="I250" s="6">
        <v>0</v>
      </c>
      <c r="J25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449521616</v>
      </c>
      <c r="K250" s="1">
        <f>MONTH(tblBank[[#This Row],[Value Date]])</f>
        <v>10</v>
      </c>
      <c r="L250" s="5">
        <f>SUMIFS(tblGJ[Debit],tblGJ[Voucher No],tblBank[[#This Row],[Reference]],tblGJ[Account Code],tblBank[[#This Row],[Account Code]])-SUMIFS(tblGJ[Credit],tblGJ[Voucher No],tblBank[[#This Row],[Reference]],tblGJ[Account Code],tblBank[[#This Row],[Account Code]])</f>
        <v>0</v>
      </c>
      <c r="M250" s="1" t="str">
        <f>IF(COUNTIFS(tblGJ[Voucher No],tblBank[[#This Row],[Reference]],tblGJ[Account Code],tblBank[[#This Row],[Account Code]])=0,"✖ Not in GJ",IF(ABS(tblBank[[#This Row],[GJ Amount]]-(tblBank[[#This Row],[Money In]]-tblBank[[#This Row],[Money Out]]))&lt;1,"✔ Recorded","⚠ Amount mismatch"))</f>
        <v>✖ Not in GJ</v>
      </c>
    </row>
    <row r="251" spans="2:13" x14ac:dyDescent="0.35">
      <c r="B251" s="4">
        <v>240</v>
      </c>
      <c r="C251" s="4" t="s">
        <v>6580</v>
      </c>
      <c r="D251" s="4">
        <v>1130</v>
      </c>
      <c r="E251" s="113">
        <v>46326</v>
      </c>
      <c r="F251" s="4" t="s">
        <v>6571</v>
      </c>
      <c r="G251" s="4" t="s">
        <v>6577</v>
      </c>
      <c r="H251" s="6">
        <v>0</v>
      </c>
      <c r="I251" s="6">
        <v>11749</v>
      </c>
      <c r="J25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449509867</v>
      </c>
      <c r="K251" s="1">
        <f>MONTH(tblBank[[#This Row],[Value Date]])</f>
        <v>10</v>
      </c>
      <c r="L251" s="5">
        <f>SUMIFS(tblGJ[Debit],tblGJ[Voucher No],tblBank[[#This Row],[Reference]],tblGJ[Account Code],tblBank[[#This Row],[Account Code]])-SUMIFS(tblGJ[Credit],tblGJ[Voucher No],tblBank[[#This Row],[Reference]],tblGJ[Account Code],tblBank[[#This Row],[Account Code]])</f>
        <v>0</v>
      </c>
      <c r="M251" s="1" t="str">
        <f>IF(COUNTIFS(tblGJ[Voucher No],tblBank[[#This Row],[Reference]],tblGJ[Account Code],tblBank[[#This Row],[Account Code]])=0,"✖ Not in GJ",IF(ABS(tblBank[[#This Row],[GJ Amount]]-(tblBank[[#This Row],[Money In]]-tblBank[[#This Row],[Money Out]]))&lt;1,"✔ Recorded","⚠ Amount mismatch"))</f>
        <v>✖ Not in GJ</v>
      </c>
    </row>
    <row r="252" spans="2:13" x14ac:dyDescent="0.35">
      <c r="B252" s="4">
        <v>241</v>
      </c>
      <c r="C252" s="4" t="s">
        <v>6580</v>
      </c>
      <c r="D252" s="4">
        <v>1130</v>
      </c>
      <c r="E252" s="113">
        <v>46326</v>
      </c>
      <c r="F252" s="4" t="s">
        <v>6572</v>
      </c>
      <c r="G252" s="4" t="s">
        <v>6579</v>
      </c>
      <c r="H252" s="6">
        <v>0</v>
      </c>
      <c r="I252" s="6">
        <v>118500</v>
      </c>
      <c r="J25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449391367</v>
      </c>
      <c r="K252" s="1">
        <f>MONTH(tblBank[[#This Row],[Value Date]])</f>
        <v>10</v>
      </c>
      <c r="L252" s="5">
        <f>SUMIFS(tblGJ[Debit],tblGJ[Voucher No],tblBank[[#This Row],[Reference]],tblGJ[Account Code],tblBank[[#This Row],[Account Code]])-SUMIFS(tblGJ[Credit],tblGJ[Voucher No],tblBank[[#This Row],[Reference]],tblGJ[Account Code],tblBank[[#This Row],[Account Code]])</f>
        <v>0</v>
      </c>
      <c r="M252" s="1" t="str">
        <f>IF(COUNTIFS(tblGJ[Voucher No],tblBank[[#This Row],[Reference]],tblGJ[Account Code],tblBank[[#This Row],[Account Code]])=0,"✖ Not in GJ",IF(ABS(tblBank[[#This Row],[GJ Amount]]-(tblBank[[#This Row],[Money In]]-tblBank[[#This Row],[Money Out]]))&lt;1,"✔ Recorded","⚠ Amount mismatch"))</f>
        <v>✖ Not in GJ</v>
      </c>
    </row>
    <row r="253" spans="2:13" x14ac:dyDescent="0.35">
      <c r="B253" s="4">
        <v>242</v>
      </c>
      <c r="C253" s="4" t="s">
        <v>6580</v>
      </c>
      <c r="D253" s="4">
        <v>1130</v>
      </c>
      <c r="E253" s="113">
        <v>46350</v>
      </c>
      <c r="F253" s="4" t="s">
        <v>6581</v>
      </c>
      <c r="G253" s="4" t="s">
        <v>5910</v>
      </c>
      <c r="H253" s="6">
        <v>161397799</v>
      </c>
      <c r="I253" s="6">
        <v>0</v>
      </c>
      <c r="J253"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610789166</v>
      </c>
      <c r="K253" s="1">
        <f>MONTH(tblBank[[#This Row],[Value Date]])</f>
        <v>11</v>
      </c>
      <c r="L253" s="5">
        <f>SUMIFS(tblGJ[Debit],tblGJ[Voucher No],tblBank[[#This Row],[Reference]],tblGJ[Account Code],tblBank[[#This Row],[Account Code]])-SUMIFS(tblGJ[Credit],tblGJ[Voucher No],tblBank[[#This Row],[Reference]],tblGJ[Account Code],tblBank[[#This Row],[Account Code]])</f>
        <v>161397799</v>
      </c>
      <c r="M253" s="1" t="str">
        <f>IF(COUNTIFS(tblGJ[Voucher No],tblBank[[#This Row],[Reference]],tblGJ[Account Code],tblBank[[#This Row],[Account Code]])=0,"✖ Not in GJ",IF(ABS(tblBank[[#This Row],[GJ Amount]]-(tblBank[[#This Row],[Money In]]-tblBank[[#This Row],[Money Out]]))&lt;1,"✔ Recorded","⚠ Amount mismatch"))</f>
        <v>✔ Recorded</v>
      </c>
    </row>
    <row r="254" spans="2:13" x14ac:dyDescent="0.35">
      <c r="B254" s="4">
        <v>243</v>
      </c>
      <c r="C254" s="4" t="s">
        <v>6580</v>
      </c>
      <c r="D254" s="4">
        <v>1130</v>
      </c>
      <c r="E254" s="113">
        <v>46351</v>
      </c>
      <c r="F254" s="4" t="s">
        <v>6582</v>
      </c>
      <c r="G254" s="4" t="s">
        <v>5911</v>
      </c>
      <c r="H254" s="6">
        <v>0</v>
      </c>
      <c r="I254" s="6">
        <v>161397799</v>
      </c>
      <c r="J254"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449391367</v>
      </c>
      <c r="K254" s="1">
        <f>MONTH(tblBank[[#This Row],[Value Date]])</f>
        <v>11</v>
      </c>
      <c r="L254" s="5">
        <f>SUMIFS(tblGJ[Debit],tblGJ[Voucher No],tblBank[[#This Row],[Reference]],tblGJ[Account Code],tblBank[[#This Row],[Account Code]])-SUMIFS(tblGJ[Credit],tblGJ[Voucher No],tblBank[[#This Row],[Reference]],tblGJ[Account Code],tblBank[[#This Row],[Account Code]])</f>
        <v>-161397799</v>
      </c>
      <c r="M254" s="1" t="str">
        <f>IF(COUNTIFS(tblGJ[Voucher No],tblBank[[#This Row],[Reference]],tblGJ[Account Code],tblBank[[#This Row],[Account Code]])=0,"✖ Not in GJ",IF(ABS(tblBank[[#This Row],[GJ Amount]]-(tblBank[[#This Row],[Money In]]-tblBank[[#This Row],[Money Out]]))&lt;1,"✔ Recorded","⚠ Amount mismatch"))</f>
        <v>✔ Recorded</v>
      </c>
    </row>
    <row r="255" spans="2:13" x14ac:dyDescent="0.35">
      <c r="B255" s="4">
        <v>244</v>
      </c>
      <c r="C255" s="4" t="s">
        <v>6580</v>
      </c>
      <c r="D255" s="4">
        <v>1130</v>
      </c>
      <c r="E255" s="113">
        <v>46356</v>
      </c>
      <c r="F255" s="4" t="s">
        <v>6570</v>
      </c>
      <c r="G255" s="4" t="s">
        <v>5927</v>
      </c>
      <c r="H255" s="6">
        <v>62821</v>
      </c>
      <c r="I255" s="6">
        <v>0</v>
      </c>
      <c r="J255"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449454188</v>
      </c>
      <c r="K255" s="1">
        <f>MONTH(tblBank[[#This Row],[Value Date]])</f>
        <v>11</v>
      </c>
      <c r="L255" s="5">
        <f>SUMIFS(tblGJ[Debit],tblGJ[Voucher No],tblBank[[#This Row],[Reference]],tblGJ[Account Code],tblBank[[#This Row],[Account Code]])-SUMIFS(tblGJ[Credit],tblGJ[Voucher No],tblBank[[#This Row],[Reference]],tblGJ[Account Code],tblBank[[#This Row],[Account Code]])</f>
        <v>62821</v>
      </c>
      <c r="M255" s="1" t="str">
        <f>IF(COUNTIFS(tblGJ[Voucher No],tblBank[[#This Row],[Reference]],tblGJ[Account Code],tblBank[[#This Row],[Account Code]])=0,"✖ Not in GJ",IF(ABS(tblBank[[#This Row],[GJ Amount]]-(tblBank[[#This Row],[Money In]]-tblBank[[#This Row],[Money Out]]))&lt;1,"✔ Recorded","⚠ Amount mismatch"))</f>
        <v>✔ Recorded</v>
      </c>
    </row>
    <row r="256" spans="2:13" x14ac:dyDescent="0.35">
      <c r="B256" s="4">
        <v>245</v>
      </c>
      <c r="C256" s="4" t="s">
        <v>6580</v>
      </c>
      <c r="D256" s="4">
        <v>1130</v>
      </c>
      <c r="E256" s="113">
        <v>46356</v>
      </c>
      <c r="F256" s="4" t="s">
        <v>6571</v>
      </c>
      <c r="G256" s="4" t="s">
        <v>5928</v>
      </c>
      <c r="H256" s="6">
        <v>0</v>
      </c>
      <c r="I256" s="6">
        <v>12564</v>
      </c>
      <c r="J256"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449441624</v>
      </c>
      <c r="K256" s="1">
        <f>MONTH(tblBank[[#This Row],[Value Date]])</f>
        <v>11</v>
      </c>
      <c r="L256" s="5">
        <f>SUMIFS(tblGJ[Debit],tblGJ[Voucher No],tblBank[[#This Row],[Reference]],tblGJ[Account Code],tblBank[[#This Row],[Account Code]])-SUMIFS(tblGJ[Credit],tblGJ[Voucher No],tblBank[[#This Row],[Reference]],tblGJ[Account Code],tblBank[[#This Row],[Account Code]])</f>
        <v>-12564</v>
      </c>
      <c r="M256" s="1" t="str">
        <f>IF(COUNTIFS(tblGJ[Voucher No],tblBank[[#This Row],[Reference]],tblGJ[Account Code],tblBank[[#This Row],[Account Code]])=0,"✖ Not in GJ",IF(ABS(tblBank[[#This Row],[GJ Amount]]-(tblBank[[#This Row],[Money In]]-tblBank[[#This Row],[Money Out]]))&lt;1,"✔ Recorded","⚠ Amount mismatch"))</f>
        <v>✔ Recorded</v>
      </c>
    </row>
    <row r="257" spans="2:13" x14ac:dyDescent="0.35">
      <c r="B257" s="4">
        <v>246</v>
      </c>
      <c r="C257" s="4" t="s">
        <v>6580</v>
      </c>
      <c r="D257" s="4">
        <v>1130</v>
      </c>
      <c r="E257" s="113">
        <v>46356</v>
      </c>
      <c r="F257" s="4" t="s">
        <v>6572</v>
      </c>
      <c r="G257" s="4" t="s">
        <v>5929</v>
      </c>
      <c r="H257" s="6">
        <v>0</v>
      </c>
      <c r="I257" s="6">
        <v>118500</v>
      </c>
      <c r="J257"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449323124</v>
      </c>
      <c r="K257" s="1">
        <f>MONTH(tblBank[[#This Row],[Value Date]])</f>
        <v>11</v>
      </c>
      <c r="L257" s="5">
        <f>SUMIFS(tblGJ[Debit],tblGJ[Voucher No],tblBank[[#This Row],[Reference]],tblGJ[Account Code],tblBank[[#This Row],[Account Code]])-SUMIFS(tblGJ[Credit],tblGJ[Voucher No],tblBank[[#This Row],[Reference]],tblGJ[Account Code],tblBank[[#This Row],[Account Code]])</f>
        <v>-118500</v>
      </c>
      <c r="M257" s="1" t="str">
        <f>IF(COUNTIFS(tblGJ[Voucher No],tblBank[[#This Row],[Reference]],tblGJ[Account Code],tblBank[[#This Row],[Account Code]])=0,"✖ Not in GJ",IF(ABS(tblBank[[#This Row],[GJ Amount]]-(tblBank[[#This Row],[Money In]]-tblBank[[#This Row],[Money Out]]))&lt;1,"✔ Recorded","⚠ Amount mismatch"))</f>
        <v>✔ Recorded</v>
      </c>
    </row>
    <row r="258" spans="2:13" x14ac:dyDescent="0.35">
      <c r="B258" s="4">
        <v>247</v>
      </c>
      <c r="C258" s="4" t="s">
        <v>6580</v>
      </c>
      <c r="D258" s="4">
        <v>1130</v>
      </c>
      <c r="E258" s="113">
        <v>46380</v>
      </c>
      <c r="F258" s="4" t="s">
        <v>6581</v>
      </c>
      <c r="G258" s="4" t="s">
        <v>5935</v>
      </c>
      <c r="H258" s="6">
        <v>161397799</v>
      </c>
      <c r="I258" s="6">
        <v>0</v>
      </c>
      <c r="J258"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610720923</v>
      </c>
      <c r="K258" s="1">
        <f>MONTH(tblBank[[#This Row],[Value Date]])</f>
        <v>12</v>
      </c>
      <c r="L258" s="5">
        <f>SUMIFS(tblGJ[Debit],tblGJ[Voucher No],tblBank[[#This Row],[Reference]],tblGJ[Account Code],tblBank[[#This Row],[Account Code]])-SUMIFS(tblGJ[Credit],tblGJ[Voucher No],tblBank[[#This Row],[Reference]],tblGJ[Account Code],tblBank[[#This Row],[Account Code]])</f>
        <v>161397799</v>
      </c>
      <c r="M258" s="1" t="str">
        <f>IF(COUNTIFS(tblGJ[Voucher No],tblBank[[#This Row],[Reference]],tblGJ[Account Code],tblBank[[#This Row],[Account Code]])=0,"✖ Not in GJ",IF(ABS(tblBank[[#This Row],[GJ Amount]]-(tblBank[[#This Row],[Money In]]-tblBank[[#This Row],[Money Out]]))&lt;1,"✔ Recorded","⚠ Amount mismatch"))</f>
        <v>✔ Recorded</v>
      </c>
    </row>
    <row r="259" spans="2:13" x14ac:dyDescent="0.35">
      <c r="B259" s="4">
        <v>248</v>
      </c>
      <c r="C259" s="4" t="s">
        <v>6580</v>
      </c>
      <c r="D259" s="4">
        <v>1130</v>
      </c>
      <c r="E259" s="113">
        <v>46381</v>
      </c>
      <c r="F259" s="4" t="s">
        <v>6582</v>
      </c>
      <c r="G259" s="4" t="s">
        <v>5936</v>
      </c>
      <c r="H259" s="6">
        <v>0</v>
      </c>
      <c r="I259" s="6">
        <v>161397799</v>
      </c>
      <c r="J259"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449323124</v>
      </c>
      <c r="K259" s="1">
        <f>MONTH(tblBank[[#This Row],[Value Date]])</f>
        <v>12</v>
      </c>
      <c r="L259" s="5">
        <f>SUMIFS(tblGJ[Debit],tblGJ[Voucher No],tblBank[[#This Row],[Reference]],tblGJ[Account Code],tblBank[[#This Row],[Account Code]])-SUMIFS(tblGJ[Credit],tblGJ[Voucher No],tblBank[[#This Row],[Reference]],tblGJ[Account Code],tblBank[[#This Row],[Account Code]])</f>
        <v>-161397799</v>
      </c>
      <c r="M259" s="1" t="str">
        <f>IF(COUNTIFS(tblGJ[Voucher No],tblBank[[#This Row],[Reference]],tblGJ[Account Code],tblBank[[#This Row],[Account Code]])=0,"✖ Not in GJ",IF(ABS(tblBank[[#This Row],[GJ Amount]]-(tblBank[[#This Row],[Money In]]-tblBank[[#This Row],[Money Out]]))&lt;1,"✔ Recorded","⚠ Amount mismatch"))</f>
        <v>✔ Recorded</v>
      </c>
    </row>
    <row r="260" spans="2:13" x14ac:dyDescent="0.35">
      <c r="B260" s="4">
        <v>249</v>
      </c>
      <c r="C260" s="4" t="s">
        <v>6580</v>
      </c>
      <c r="D260" s="4">
        <v>1130</v>
      </c>
      <c r="E260" s="113">
        <v>46387</v>
      </c>
      <c r="F260" s="4" t="s">
        <v>6570</v>
      </c>
      <c r="G260" s="4" t="s">
        <v>5952</v>
      </c>
      <c r="H260" s="6">
        <v>62362</v>
      </c>
      <c r="I260" s="6">
        <v>0</v>
      </c>
      <c r="J260"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449385486</v>
      </c>
      <c r="K260" s="1">
        <f>MONTH(tblBank[[#This Row],[Value Date]])</f>
        <v>12</v>
      </c>
      <c r="L260" s="5">
        <f>SUMIFS(tblGJ[Debit],tblGJ[Voucher No],tblBank[[#This Row],[Reference]],tblGJ[Account Code],tblBank[[#This Row],[Account Code]])-SUMIFS(tblGJ[Credit],tblGJ[Voucher No],tblBank[[#This Row],[Reference]],tblGJ[Account Code],tblBank[[#This Row],[Account Code]])</f>
        <v>62362</v>
      </c>
      <c r="M260" s="1" t="str">
        <f>IF(COUNTIFS(tblGJ[Voucher No],tblBank[[#This Row],[Reference]],tblGJ[Account Code],tblBank[[#This Row],[Account Code]])=0,"✖ Not in GJ",IF(ABS(tblBank[[#This Row],[GJ Amount]]-(tblBank[[#This Row],[Money In]]-tblBank[[#This Row],[Money Out]]))&lt;1,"✔ Recorded","⚠ Amount mismatch"))</f>
        <v>✔ Recorded</v>
      </c>
    </row>
    <row r="261" spans="2:13" x14ac:dyDescent="0.35">
      <c r="B261" s="4">
        <v>250</v>
      </c>
      <c r="C261" s="4" t="s">
        <v>6580</v>
      </c>
      <c r="D261" s="4">
        <v>1130</v>
      </c>
      <c r="E261" s="113">
        <v>46387</v>
      </c>
      <c r="F261" s="4" t="s">
        <v>6571</v>
      </c>
      <c r="G261" s="4" t="s">
        <v>5953</v>
      </c>
      <c r="H261" s="6">
        <v>0</v>
      </c>
      <c r="I261" s="6">
        <v>12472</v>
      </c>
      <c r="J261"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449373014</v>
      </c>
      <c r="K261" s="1">
        <f>MONTH(tblBank[[#This Row],[Value Date]])</f>
        <v>12</v>
      </c>
      <c r="L261" s="5">
        <f>SUMIFS(tblGJ[Debit],tblGJ[Voucher No],tblBank[[#This Row],[Reference]],tblGJ[Account Code],tblBank[[#This Row],[Account Code]])-SUMIFS(tblGJ[Credit],tblGJ[Voucher No],tblBank[[#This Row],[Reference]],tblGJ[Account Code],tblBank[[#This Row],[Account Code]])</f>
        <v>-12472</v>
      </c>
      <c r="M261" s="1" t="str">
        <f>IF(COUNTIFS(tblGJ[Voucher No],tblBank[[#This Row],[Reference]],tblGJ[Account Code],tblBank[[#This Row],[Account Code]])=0,"✖ Not in GJ",IF(ABS(tblBank[[#This Row],[GJ Amount]]-(tblBank[[#This Row],[Money In]]-tblBank[[#This Row],[Money Out]]))&lt;1,"✔ Recorded","⚠ Amount mismatch"))</f>
        <v>✔ Recorded</v>
      </c>
    </row>
    <row r="262" spans="2:13" x14ac:dyDescent="0.35">
      <c r="B262" s="4">
        <v>251</v>
      </c>
      <c r="C262" s="4" t="s">
        <v>6580</v>
      </c>
      <c r="D262" s="4">
        <v>1130</v>
      </c>
      <c r="E262" s="113">
        <v>46387</v>
      </c>
      <c r="F262" s="4" t="s">
        <v>6572</v>
      </c>
      <c r="G262" s="4" t="s">
        <v>5954</v>
      </c>
      <c r="H262" s="6">
        <v>0</v>
      </c>
      <c r="I262" s="6">
        <v>118500</v>
      </c>
      <c r="J262" s="5">
        <f>_xlfn.XLOOKUP(tblBank[[#This Row],[Account Code]],tblBankAcc[Account Code],tblBankAcc[Opening Balance per Statement])+SUMIFS(tblBank[Money In],tblBank[Account Code],tblBank[[#This Row],[Account Code]],tblBank[Seq],"&lt;="&amp;tblBank[[#This Row],[Seq]])-SUMIFS(tblBank[Money Out],tblBank[Account Code],tblBank[[#This Row],[Account Code]],tblBank[Seq],"&lt;="&amp;tblBank[[#This Row],[Seq]])</f>
        <v>449254514</v>
      </c>
      <c r="K262" s="1">
        <f>MONTH(tblBank[[#This Row],[Value Date]])</f>
        <v>12</v>
      </c>
      <c r="L262" s="5">
        <f>SUMIFS(tblGJ[Debit],tblGJ[Voucher No],tblBank[[#This Row],[Reference]],tblGJ[Account Code],tblBank[[#This Row],[Account Code]])-SUMIFS(tblGJ[Credit],tblGJ[Voucher No],tblBank[[#This Row],[Reference]],tblGJ[Account Code],tblBank[[#This Row],[Account Code]])</f>
        <v>-118500</v>
      </c>
      <c r="M262" s="1" t="str">
        <f>IF(COUNTIFS(tblGJ[Voucher No],tblBank[[#This Row],[Reference]],tblGJ[Account Code],tblBank[[#This Row],[Account Code]])=0,"✖ Not in GJ",IF(ABS(tblBank[[#This Row],[GJ Amount]]-(tblBank[[#This Row],[Money In]]-tblBank[[#This Row],[Money Out]]))&lt;1,"✔ Recorded","⚠ Amount mismatch"))</f>
        <v>✔ Recorded</v>
      </c>
    </row>
  </sheetData>
  <mergeCells count="8">
    <mergeCell ref="Z2:AA2"/>
    <mergeCell ref="AC2:AD2"/>
    <mergeCell ref="B2:C2"/>
    <mergeCell ref="K2:L2"/>
    <mergeCell ref="N2:O2"/>
    <mergeCell ref="Q2:R2"/>
    <mergeCell ref="T2:U2"/>
    <mergeCell ref="W2:X2"/>
  </mergeCells>
  <conditionalFormatting sqref="M12:M262">
    <cfRule type="containsText" dxfId="24" priority="1" operator="containsText" text="✔">
      <formula>NOT(ISERROR(SEARCH("✔",M12)))</formula>
    </cfRule>
  </conditionalFormatting>
  <conditionalFormatting sqref="M12:M262">
    <cfRule type="containsText" dxfId="23" priority="2" operator="containsText" text="✖">
      <formula>NOT(ISERROR(SEARCH("✖",M12)))</formula>
    </cfRule>
  </conditionalFormatting>
  <conditionalFormatting sqref="M12:M262">
    <cfRule type="containsText" dxfId="22" priority="3" operator="containsText" text="⚠">
      <formula>NOT(ISERROR(SEARCH("⚠",M12)))</formula>
    </cfRule>
  </conditionalFormatting>
  <hyperlinks>
    <hyperlink ref="B2:C2" location="'Dashboard'!A1" tooltip="Go to Dashboard" display="🏠 HOME" xr:uid="{E466231A-2D30-4E44-8D56-8206897D9624}"/>
    <hyperlink ref="E2" location="'Tax Reconciliation'!A1" tooltip="Go to Tax Reconciliation" display="◀ PREV" xr:uid="{E40AB92A-8C88-4485-803C-B62130B532C5}"/>
    <hyperlink ref="G2" location="'Bank Reconciliation'!A1" tooltip="Go to Bank Reconciliation" display="NEXT ▶" xr:uid="{5440599B-221D-451D-BF8A-68FBE98C82FF}"/>
    <hyperlink ref="I2" location="'Dashboard'!B5" tooltip="Go to Dashboard" display="☰ MENU" xr:uid="{33234A92-66DA-43E2-B4DC-38698E5998E0}"/>
    <hyperlink ref="K2:L2" location="'General Journal'!A1" tooltip="Go to General Journal" display="Journal" xr:uid="{1B57BF0E-8D3C-47A5-AC7E-C1A182883C4D}"/>
    <hyperlink ref="N2:O2" location="'Trial Balance'!A1" tooltip="Go to Trial Balance" display="Trial Bal." xr:uid="{4E21B708-E6A5-4056-ACC3-F1FA8B61EAA6}"/>
    <hyperlink ref="Q2:R2" location="'Income Statement'!A1" tooltip="Go to Income Statement" display="Income St." xr:uid="{AC8AA652-DF12-453B-96B7-9559AD721BF7}"/>
    <hyperlink ref="T2:U2" location="'Balance Sheet'!A1" tooltip="Go to Balance Sheet" display="Balance Sh." xr:uid="{A93F526A-7288-40E7-B011-252A1DFAD38A}"/>
    <hyperlink ref="W2:X2" location="'Tax Reconciliation'!A1" tooltip="Go to Tax Reconciliation" display="Tax Recon" xr:uid="{AF56104E-7DFA-424F-A40A-29D973BA4224}"/>
    <hyperlink ref="Z2:AA2" location="'Bank Reconciliation'!A1" tooltip="Go to Bank Reconciliation" display="Bank Recon" xr:uid="{E4B8883C-5495-43FB-9684-D3A62EEF5280}"/>
    <hyperlink ref="AC2:AD2" location="'Controls'!A1" tooltip="Go to Controls" display="Controls" xr:uid="{7882533B-19FB-4E6B-9F84-CB23A8F07211}"/>
  </hyperlink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10E2-3BCF-410D-B474-345E51B07178}">
  <sheetPr>
    <tabColor rgb="FFF43F5E"/>
  </sheetPr>
  <dimension ref="A1:BH50"/>
  <sheetViews>
    <sheetView showGridLines="0" topLeftCell="A17" workbookViewId="0"/>
  </sheetViews>
  <sheetFormatPr defaultRowHeight="14.5" x14ac:dyDescent="0.35"/>
  <cols>
    <col min="1" max="1" width="1.453125" style="1" customWidth="1"/>
    <col min="2" max="2" width="49.08984375" style="1" customWidth="1"/>
    <col min="3" max="3" width="27.26953125" style="1" customWidth="1"/>
    <col min="4" max="4" width="16.36328125" style="1" customWidth="1"/>
    <col min="5" max="8" width="15.453125" style="1" customWidth="1"/>
    <col min="9" max="10" width="2.7265625" style="1" customWidth="1"/>
    <col min="11" max="11" width="7.26953125" style="1" customWidth="1"/>
    <col min="12" max="12" width="10.90625" style="1" customWidth="1"/>
    <col min="13" max="18" width="16" style="1" customWidth="1"/>
    <col min="19" max="19" width="7.26953125" style="1" customWidth="1"/>
    <col min="20" max="52" width="8.7265625" style="1"/>
  </cols>
  <sheetData>
    <row r="1" spans="1:60" ht="5" customHeight="1" x14ac:dyDescent="0.35"/>
    <row r="2" spans="1:60" ht="18" customHeight="1" thickBot="1" x14ac:dyDescent="0.4">
      <c r="A2" s="307"/>
      <c r="B2" s="308" t="s">
        <v>7075</v>
      </c>
      <c r="C2" s="307"/>
      <c r="D2" s="309" t="s">
        <v>7076</v>
      </c>
      <c r="E2" s="307"/>
      <c r="F2" s="309" t="s">
        <v>7077</v>
      </c>
      <c r="G2" s="307"/>
      <c r="H2" s="308" t="s">
        <v>7078</v>
      </c>
      <c r="I2" s="307"/>
      <c r="J2" s="314" t="s">
        <v>7079</v>
      </c>
      <c r="K2" s="318"/>
      <c r="L2" s="315"/>
      <c r="M2" s="307"/>
      <c r="N2" s="317" t="s">
        <v>7080</v>
      </c>
      <c r="O2" s="307"/>
      <c r="P2" s="317" t="s">
        <v>7081</v>
      </c>
      <c r="Q2" s="307"/>
      <c r="R2" s="317" t="s">
        <v>7082</v>
      </c>
      <c r="S2" s="307"/>
      <c r="T2" s="314" t="s">
        <v>7083</v>
      </c>
      <c r="U2" s="315"/>
      <c r="V2" s="307"/>
      <c r="W2" s="322" t="s">
        <v>7084</v>
      </c>
      <c r="X2" s="321"/>
      <c r="Y2" s="307"/>
      <c r="Z2" s="314" t="s">
        <v>7085</v>
      </c>
      <c r="AA2" s="315"/>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6672</v>
      </c>
      <c r="C4" s="67"/>
      <c r="D4" s="67"/>
      <c r="E4" s="67"/>
      <c r="F4" s="67"/>
      <c r="G4" s="67"/>
      <c r="H4" s="67"/>
      <c r="I4" s="67"/>
      <c r="J4" s="67"/>
      <c r="K4" s="67"/>
      <c r="L4" s="67"/>
      <c r="M4" s="67"/>
      <c r="N4" s="67"/>
      <c r="O4" s="67"/>
      <c r="P4" s="67"/>
      <c r="Q4" s="67"/>
      <c r="R4" s="67"/>
      <c r="S4" s="67"/>
    </row>
    <row r="6" spans="1:60" x14ac:dyDescent="0.35">
      <c r="B6" s="2" t="s">
        <v>6673</v>
      </c>
      <c r="C6" s="130">
        <v>1120</v>
      </c>
      <c r="D6" s="1" t="str">
        <f>_xlfn.XLOOKUP(C6,tblBankAcc[Account Code],tblBankAcc[Bank])&amp;" – "&amp;_xlfn.XLOOKUP(C6,tblBankAcc[Account Code],tblBankAcc[Account No])</f>
        <v>Bank BCA – 527-001-8899</v>
      </c>
      <c r="K6" s="75" t="s">
        <v>6688</v>
      </c>
    </row>
    <row r="7" spans="1:60" ht="24" customHeight="1" x14ac:dyDescent="0.35">
      <c r="B7" s="2" t="s">
        <v>6674</v>
      </c>
      <c r="C7" s="109">
        <f>PEnd</f>
        <v>46326</v>
      </c>
      <c r="K7" s="126" t="s">
        <v>5081</v>
      </c>
      <c r="L7" s="126" t="s">
        <v>6689</v>
      </c>
      <c r="M7" s="126" t="s">
        <v>6690</v>
      </c>
      <c r="N7" s="126" t="s">
        <v>6691</v>
      </c>
      <c r="O7" s="126" t="s">
        <v>6692</v>
      </c>
      <c r="P7" s="126" t="s">
        <v>6693</v>
      </c>
      <c r="Q7" s="126" t="s">
        <v>6694</v>
      </c>
      <c r="R7" s="126" t="s">
        <v>6695</v>
      </c>
      <c r="S7" s="126" t="s">
        <v>4276</v>
      </c>
    </row>
    <row r="8" spans="1:60" x14ac:dyDescent="0.35">
      <c r="K8" s="1" t="s">
        <v>4266</v>
      </c>
      <c r="L8" s="131">
        <f>EOMONTH(DATE(FYear,1,1),0)</f>
        <v>46053</v>
      </c>
      <c r="M8" s="5">
        <f>_xlfn.XLOOKUP(1120,tblBankAcc[Account Code],tblBankAcc[Opening Balance per Statement])+SUMIFS(tblBank[Money In],tblBank[Account Code],1120,tblBank[Value Date],"&lt;="&amp;$L8)-SUMIFS(tblBank[Money Out],tblBank[Account Code],1120,tblBank[Value Date],"&lt;="&amp;$L8)</f>
        <v>833708306</v>
      </c>
      <c r="N8" s="5">
        <f>_xlfn.XLOOKUP(1120,tblCOA[Code],tblCOA[Opening Balance])+SUMIFS(tblGJ[Debit],tblGJ[Account Code],1120,tblGJ[Date],"&lt;="&amp;$L8)-SUMIFS(tblGJ[Credit],tblGJ[Account Code],1120,tblGJ[Date],"&lt;="&amp;$L8)</f>
        <v>833708306</v>
      </c>
      <c r="O8" s="5">
        <f>_xlfn.LET(_xlpm.dit,SUMIFS(tblGJ[Debit],tblGJ[Account Code],1120,tblGJ[Date],"&lt;="&amp;$L8)-SUMIFS(tblGJ[Debit],tblGJ[Account Code],1120,tblGJ[Date],"&lt;="&amp;$L8,tblGJ[Bank Cleared Date],"&gt;0",tblGJ[Bank Cleared Date],"&lt;="&amp;$L8),_xlpm.op,SUMIFS(tblGJ[Credit],tblGJ[Account Code],1120,tblGJ[Date],"&lt;="&amp;$L8)-SUMIFS(tblGJ[Credit],tblGJ[Account Code],1120,tblGJ[Date],"&lt;="&amp;$L8,tblGJ[Bank Cleared Date],"&gt;0",tblGJ[Bank Cleared Date],"&lt;="&amp;$L8),_xlpm.ui,SUMIFS(tblBank[Money In],tblBank[Account Code],1120,tblBank[Value Date],"&lt;="&amp;$L8,tblBank[Status],"✖*"),_xlpm.uo,SUMIFS(tblBank[Money Out],tblBank[Account Code],1120,tblBank[Value Date],"&lt;="&amp;$L8,tblBank[Status],"✖*"),(M8+_xlpm.dit-_xlpm.op)-(N8+_xlpm.ui-_xlpm.uo))</f>
        <v>0</v>
      </c>
      <c r="P8" s="5">
        <f>_xlfn.XLOOKUP(1130,tblBankAcc[Account Code],tblBankAcc[Opening Balance per Statement])+SUMIFS(tblBank[Money In],tblBank[Account Code],1130,tblBank[Value Date],"&lt;="&amp;$L8)-SUMIFS(tblBank[Money Out],tblBank[Account Code],1130,tblBank[Value Date],"&lt;="&amp;$L8)</f>
        <v>449933301</v>
      </c>
      <c r="Q8" s="5">
        <f>_xlfn.XLOOKUP(1130,tblCOA[Code],tblCOA[Opening Balance])+SUMIFS(tblGJ[Debit],tblGJ[Account Code],1130,tblGJ[Date],"&lt;="&amp;$L8)-SUMIFS(tblGJ[Credit],tblGJ[Account Code],1130,tblGJ[Date],"&lt;="&amp;$L8)</f>
        <v>449933301</v>
      </c>
      <c r="R8" s="5">
        <f>_xlfn.LET(_xlpm.dit,SUMIFS(tblGJ[Debit],tblGJ[Account Code],1130,tblGJ[Date],"&lt;="&amp;$L8)-SUMIFS(tblGJ[Debit],tblGJ[Account Code],1130,tblGJ[Date],"&lt;="&amp;$L8,tblGJ[Bank Cleared Date],"&gt;0",tblGJ[Bank Cleared Date],"&lt;="&amp;$L8),_xlpm.op,SUMIFS(tblGJ[Credit],tblGJ[Account Code],1130,tblGJ[Date],"&lt;="&amp;$L8)-SUMIFS(tblGJ[Credit],tblGJ[Account Code],1130,tblGJ[Date],"&lt;="&amp;$L8,tblGJ[Bank Cleared Date],"&gt;0",tblGJ[Bank Cleared Date],"&lt;="&amp;$L8),_xlpm.ui,SUMIFS(tblBank[Money In],tblBank[Account Code],1130,tblBank[Value Date],"&lt;="&amp;$L8,tblBank[Status],"✖*"),_xlpm.uo,SUMIFS(tblBank[Money Out],tblBank[Account Code],1130,tblBank[Value Date],"&lt;="&amp;$L8,tblBank[Status],"✖*"),(P8+_xlpm.dit-_xlpm.op)-(Q8+_xlpm.ui-_xlpm.uo))</f>
        <v>0</v>
      </c>
      <c r="S8" s="7" t="str">
        <f>IF(AND(ABS(O8)&lt;1,ABS(R8)&lt;1),"✔","✖")</f>
        <v>✔</v>
      </c>
    </row>
    <row r="9" spans="1:60" x14ac:dyDescent="0.35">
      <c r="B9" s="68" t="s">
        <v>6675</v>
      </c>
      <c r="C9" s="68"/>
      <c r="K9" s="1" t="s">
        <v>4267</v>
      </c>
      <c r="L9" s="131">
        <f>EOMONTH(DATE(FYear,2,1),0)</f>
        <v>46081</v>
      </c>
      <c r="M9" s="5">
        <f>_xlfn.XLOOKUP(1120,tblBankAcc[Account Code],tblBankAcc[Opening Balance per Statement])+SUMIFS(tblBank[Money In],tblBank[Account Code],1120,tblBank[Value Date],"&lt;="&amp;$L9)-SUMIFS(tblBank[Money Out],tblBank[Account Code],1120,tblBank[Value Date],"&lt;="&amp;$L9)</f>
        <v>951924207</v>
      </c>
      <c r="N9" s="5">
        <f>_xlfn.XLOOKUP(1120,tblCOA[Code],tblCOA[Opening Balance])+SUMIFS(tblGJ[Debit],tblGJ[Account Code],1120,tblGJ[Date],"&lt;="&amp;$L9)-SUMIFS(tblGJ[Credit],tblGJ[Account Code],1120,tblGJ[Date],"&lt;="&amp;$L9)</f>
        <v>951924207</v>
      </c>
      <c r="O9" s="5">
        <f>_xlfn.LET(_xlpm.dit,SUMIFS(tblGJ[Debit],tblGJ[Account Code],1120,tblGJ[Date],"&lt;="&amp;$L9)-SUMIFS(tblGJ[Debit],tblGJ[Account Code],1120,tblGJ[Date],"&lt;="&amp;$L9,tblGJ[Bank Cleared Date],"&gt;0",tblGJ[Bank Cleared Date],"&lt;="&amp;$L9),_xlpm.op,SUMIFS(tblGJ[Credit],tblGJ[Account Code],1120,tblGJ[Date],"&lt;="&amp;$L9)-SUMIFS(tblGJ[Credit],tblGJ[Account Code],1120,tblGJ[Date],"&lt;="&amp;$L9,tblGJ[Bank Cleared Date],"&gt;0",tblGJ[Bank Cleared Date],"&lt;="&amp;$L9),_xlpm.ui,SUMIFS(tblBank[Money In],tblBank[Account Code],1120,tblBank[Value Date],"&lt;="&amp;$L9,tblBank[Status],"✖*"),_xlpm.uo,SUMIFS(tblBank[Money Out],tblBank[Account Code],1120,tblBank[Value Date],"&lt;="&amp;$L9,tblBank[Status],"✖*"),(M9+_xlpm.dit-_xlpm.op)-(N9+_xlpm.ui-_xlpm.uo))</f>
        <v>0</v>
      </c>
      <c r="P9" s="5">
        <f>_xlfn.XLOOKUP(1130,tblBankAcc[Account Code],tblBankAcc[Opening Balance per Statement])+SUMIFS(tblBank[Money In],tblBank[Account Code],1130,tblBank[Value Date],"&lt;="&amp;$L9)-SUMIFS(tblBank[Money Out],tblBank[Account Code],1130,tblBank[Value Date],"&lt;="&amp;$L9)</f>
        <v>449873003</v>
      </c>
      <c r="Q9" s="5">
        <f>_xlfn.XLOOKUP(1130,tblCOA[Code],tblCOA[Opening Balance])+SUMIFS(tblGJ[Debit],tblGJ[Account Code],1130,tblGJ[Date],"&lt;="&amp;$L9)-SUMIFS(tblGJ[Credit],tblGJ[Account Code],1130,tblGJ[Date],"&lt;="&amp;$L9)</f>
        <v>449873003</v>
      </c>
      <c r="R9" s="5">
        <f>_xlfn.LET(_xlpm.dit,SUMIFS(tblGJ[Debit],tblGJ[Account Code],1130,tblGJ[Date],"&lt;="&amp;$L9)-SUMIFS(tblGJ[Debit],tblGJ[Account Code],1130,tblGJ[Date],"&lt;="&amp;$L9,tblGJ[Bank Cleared Date],"&gt;0",tblGJ[Bank Cleared Date],"&lt;="&amp;$L9),_xlpm.op,SUMIFS(tblGJ[Credit],tblGJ[Account Code],1130,tblGJ[Date],"&lt;="&amp;$L9)-SUMIFS(tblGJ[Credit],tblGJ[Account Code],1130,tblGJ[Date],"&lt;="&amp;$L9,tblGJ[Bank Cleared Date],"&gt;0",tblGJ[Bank Cleared Date],"&lt;="&amp;$L9),_xlpm.ui,SUMIFS(tblBank[Money In],tblBank[Account Code],1130,tblBank[Value Date],"&lt;="&amp;$L9,tblBank[Status],"✖*"),_xlpm.uo,SUMIFS(tblBank[Money Out],tblBank[Account Code],1130,tblBank[Value Date],"&lt;="&amp;$L9,tblBank[Status],"✖*"),(P9+_xlpm.dit-_xlpm.op)-(Q9+_xlpm.ui-_xlpm.uo))</f>
        <v>0</v>
      </c>
      <c r="S9" s="7" t="str">
        <f>IF(AND(ABS(O9)&lt;1,ABS(R9)&lt;1),"✔","✖")</f>
        <v>✔</v>
      </c>
    </row>
    <row r="10" spans="1:60" x14ac:dyDescent="0.35">
      <c r="B10" s="1" t="s">
        <v>6676</v>
      </c>
      <c r="C10" s="5">
        <f>_xlfn.XLOOKUP(C6,tblBankAcc[Account Code],tblBankAcc[Opening Balance per Statement])+SUMIFS(tblBank[Money In],tblBank[Account Code],C6,tblBank[Value Date],"&lt;="&amp;C7)-SUMIFS(tblBank[Money Out],tblBank[Account Code],C6,tblBank[Value Date],"&lt;="&amp;C7)</f>
        <v>1168827970</v>
      </c>
      <c r="K10" s="1" t="s">
        <v>4268</v>
      </c>
      <c r="L10" s="131">
        <f>EOMONTH(DATE(FYear,3,1),0)</f>
        <v>46112</v>
      </c>
      <c r="M10" s="5">
        <f>_xlfn.XLOOKUP(1120,tblBankAcc[Account Code],tblBankAcc[Opening Balance per Statement])+SUMIFS(tblBank[Money In],tblBank[Account Code],1120,tblBank[Value Date],"&lt;="&amp;$L10)-SUMIFS(tblBank[Money Out],tblBank[Account Code],1120,tblBank[Value Date],"&lt;="&amp;$L10)</f>
        <v>992352275</v>
      </c>
      <c r="N10" s="5">
        <f>_xlfn.XLOOKUP(1120,tblCOA[Code],tblCOA[Opening Balance])+SUMIFS(tblGJ[Debit],tblGJ[Account Code],1120,tblGJ[Date],"&lt;="&amp;$L10)-SUMIFS(tblGJ[Credit],tblGJ[Account Code],1120,tblGJ[Date],"&lt;="&amp;$L10)</f>
        <v>992352275</v>
      </c>
      <c r="O10" s="5">
        <f>_xlfn.LET(_xlpm.dit,SUMIFS(tblGJ[Debit],tblGJ[Account Code],1120,tblGJ[Date],"&lt;="&amp;$L10)-SUMIFS(tblGJ[Debit],tblGJ[Account Code],1120,tblGJ[Date],"&lt;="&amp;$L10,tblGJ[Bank Cleared Date],"&gt;0",tblGJ[Bank Cleared Date],"&lt;="&amp;$L10),_xlpm.op,SUMIFS(tblGJ[Credit],tblGJ[Account Code],1120,tblGJ[Date],"&lt;="&amp;$L10)-SUMIFS(tblGJ[Credit],tblGJ[Account Code],1120,tblGJ[Date],"&lt;="&amp;$L10,tblGJ[Bank Cleared Date],"&gt;0",tblGJ[Bank Cleared Date],"&lt;="&amp;$L10),_xlpm.ui,SUMIFS(tblBank[Money In],tblBank[Account Code],1120,tblBank[Value Date],"&lt;="&amp;$L10,tblBank[Status],"✖*"),_xlpm.uo,SUMIFS(tblBank[Money Out],tblBank[Account Code],1120,tblBank[Value Date],"&lt;="&amp;$L10,tblBank[Status],"✖*"),(M10+_xlpm.dit-_xlpm.op)-(N10+_xlpm.ui-_xlpm.uo))</f>
        <v>0</v>
      </c>
      <c r="P10" s="5">
        <f>_xlfn.XLOOKUP(1130,tblBankAcc[Account Code],tblBankAcc[Opening Balance per Statement])+SUMIFS(tblBank[Money In],tblBank[Account Code],1130,tblBank[Value Date],"&lt;="&amp;$L10)-SUMIFS(tblBank[Money Out],tblBank[Account Code],1130,tblBank[Value Date],"&lt;="&amp;$L10)</f>
        <v>449806564</v>
      </c>
      <c r="Q10" s="5">
        <f>_xlfn.XLOOKUP(1130,tblCOA[Code],tblCOA[Opening Balance])+SUMIFS(tblGJ[Debit],tblGJ[Account Code],1130,tblGJ[Date],"&lt;="&amp;$L10)-SUMIFS(tblGJ[Credit],tblGJ[Account Code],1130,tblGJ[Date],"&lt;="&amp;$L10)</f>
        <v>449806564</v>
      </c>
      <c r="R10" s="5">
        <f>_xlfn.LET(_xlpm.dit,SUMIFS(tblGJ[Debit],tblGJ[Account Code],1130,tblGJ[Date],"&lt;="&amp;$L10)-SUMIFS(tblGJ[Debit],tblGJ[Account Code],1130,tblGJ[Date],"&lt;="&amp;$L10,tblGJ[Bank Cleared Date],"&gt;0",tblGJ[Bank Cleared Date],"&lt;="&amp;$L10),_xlpm.op,SUMIFS(tblGJ[Credit],tblGJ[Account Code],1130,tblGJ[Date],"&lt;="&amp;$L10)-SUMIFS(tblGJ[Credit],tblGJ[Account Code],1130,tblGJ[Date],"&lt;="&amp;$L10,tblGJ[Bank Cleared Date],"&gt;0",tblGJ[Bank Cleared Date],"&lt;="&amp;$L10),_xlpm.ui,SUMIFS(tblBank[Money In],tblBank[Account Code],1130,tblBank[Value Date],"&lt;="&amp;$L10,tblBank[Status],"✖*"),_xlpm.uo,SUMIFS(tblBank[Money Out],tblBank[Account Code],1130,tblBank[Value Date],"&lt;="&amp;$L10,tblBank[Status],"✖*"),(P10+_xlpm.dit-_xlpm.op)-(Q10+_xlpm.ui-_xlpm.uo))</f>
        <v>0</v>
      </c>
      <c r="S10" s="7" t="str">
        <f>IF(AND(ABS(O10)&lt;1,ABS(R10)&lt;1),"✔","✖")</f>
        <v>✔</v>
      </c>
    </row>
    <row r="11" spans="1:60" x14ac:dyDescent="0.35">
      <c r="B11" s="1" t="s">
        <v>6677</v>
      </c>
      <c r="C11" s="5">
        <f>SUMIFS(tblGJ[Debit],tblGJ[Account Code],C6,tblGJ[Date],"&lt;="&amp;C7)-SUMIFS(tblGJ[Debit],tblGJ[Account Code],C6,tblGJ[Date],"&lt;="&amp;C7,tblGJ[Bank Cleared Date],"&gt;0",tblGJ[Bank Cleared Date],"&lt;="&amp;C7)</f>
        <v>211355100</v>
      </c>
      <c r="K11" s="1" t="s">
        <v>4269</v>
      </c>
      <c r="L11" s="131">
        <f>EOMONTH(DATE(FYear,4,1),0)</f>
        <v>46142</v>
      </c>
      <c r="M11" s="5">
        <f>_xlfn.XLOOKUP(1120,tblBankAcc[Account Code],tblBankAcc[Opening Balance per Statement])+SUMIFS(tblBank[Money In],tblBank[Account Code],1120,tblBank[Value Date],"&lt;="&amp;$L11)-SUMIFS(tblBank[Money Out],tblBank[Account Code],1120,tblBank[Value Date],"&lt;="&amp;$L11)</f>
        <v>776945635</v>
      </c>
      <c r="N11" s="5">
        <f>_xlfn.XLOOKUP(1120,tblCOA[Code],tblCOA[Opening Balance])+SUMIFS(tblGJ[Debit],tblGJ[Account Code],1120,tblGJ[Date],"&lt;="&amp;$L11)-SUMIFS(tblGJ[Credit],tblGJ[Account Code],1120,tblGJ[Date],"&lt;="&amp;$L11)</f>
        <v>776945635</v>
      </c>
      <c r="O11" s="5">
        <f>_xlfn.LET(_xlpm.dit,SUMIFS(tblGJ[Debit],tblGJ[Account Code],1120,tblGJ[Date],"&lt;="&amp;$L11)-SUMIFS(tblGJ[Debit],tblGJ[Account Code],1120,tblGJ[Date],"&lt;="&amp;$L11,tblGJ[Bank Cleared Date],"&gt;0",tblGJ[Bank Cleared Date],"&lt;="&amp;$L11),_xlpm.op,SUMIFS(tblGJ[Credit],tblGJ[Account Code],1120,tblGJ[Date],"&lt;="&amp;$L11)-SUMIFS(tblGJ[Credit],tblGJ[Account Code],1120,tblGJ[Date],"&lt;="&amp;$L11,tblGJ[Bank Cleared Date],"&gt;0",tblGJ[Bank Cleared Date],"&lt;="&amp;$L11),_xlpm.ui,SUMIFS(tblBank[Money In],tblBank[Account Code],1120,tblBank[Value Date],"&lt;="&amp;$L11,tblBank[Status],"✖*"),_xlpm.uo,SUMIFS(tblBank[Money Out],tblBank[Account Code],1120,tblBank[Value Date],"&lt;="&amp;$L11,tblBank[Status],"✖*"),(M11+_xlpm.dit-_xlpm.op)-(N11+_xlpm.ui-_xlpm.uo))</f>
        <v>0</v>
      </c>
      <c r="P11" s="5">
        <f>_xlfn.XLOOKUP(1130,tblBankAcc[Account Code],tblBankAcc[Opening Balance per Statement])+SUMIFS(tblBank[Money In],tblBank[Account Code],1130,tblBank[Value Date],"&lt;="&amp;$L11)-SUMIFS(tblBank[Money Out],tblBank[Account Code],1130,tblBank[Value Date],"&lt;="&amp;$L11)</f>
        <v>449743304</v>
      </c>
      <c r="Q11" s="5">
        <f>_xlfn.XLOOKUP(1130,tblCOA[Code],tblCOA[Opening Balance])+SUMIFS(tblGJ[Debit],tblGJ[Account Code],1130,tblGJ[Date],"&lt;="&amp;$L11)-SUMIFS(tblGJ[Credit],tblGJ[Account Code],1130,tblGJ[Date],"&lt;="&amp;$L11)</f>
        <v>449743304</v>
      </c>
      <c r="R11" s="5">
        <f>_xlfn.LET(_xlpm.dit,SUMIFS(tblGJ[Debit],tblGJ[Account Code],1130,tblGJ[Date],"&lt;="&amp;$L11)-SUMIFS(tblGJ[Debit],tblGJ[Account Code],1130,tblGJ[Date],"&lt;="&amp;$L11,tblGJ[Bank Cleared Date],"&gt;0",tblGJ[Bank Cleared Date],"&lt;="&amp;$L11),_xlpm.op,SUMIFS(tblGJ[Credit],tblGJ[Account Code],1130,tblGJ[Date],"&lt;="&amp;$L11)-SUMIFS(tblGJ[Credit],tblGJ[Account Code],1130,tblGJ[Date],"&lt;="&amp;$L11,tblGJ[Bank Cleared Date],"&gt;0",tblGJ[Bank Cleared Date],"&lt;="&amp;$L11),_xlpm.ui,SUMIFS(tblBank[Money In],tblBank[Account Code],1130,tblBank[Value Date],"&lt;="&amp;$L11,tblBank[Status],"✖*"),_xlpm.uo,SUMIFS(tblBank[Money Out],tblBank[Account Code],1130,tblBank[Value Date],"&lt;="&amp;$L11,tblBank[Status],"✖*"),(P11+_xlpm.dit-_xlpm.op)-(Q11+_xlpm.ui-_xlpm.uo))</f>
        <v>0</v>
      </c>
      <c r="S11" s="7" t="str">
        <f>IF(AND(ABS(O11)&lt;1,ABS(R11)&lt;1),"✔","✖")</f>
        <v>✔</v>
      </c>
    </row>
    <row r="12" spans="1:60" x14ac:dyDescent="0.35">
      <c r="B12" s="1" t="s">
        <v>6678</v>
      </c>
      <c r="C12" s="5">
        <f>SUMIFS(tblGJ[Credit],tblGJ[Account Code],C6,tblGJ[Date],"&lt;="&amp;C7)-SUMIFS(tblGJ[Credit],tblGJ[Account Code],C6,tblGJ[Date],"&lt;="&amp;C7,tblGJ[Bank Cleared Date],"&gt;0",tblGJ[Bank Cleared Date],"&lt;="&amp;C7)</f>
        <v>791159030</v>
      </c>
      <c r="K12" s="1" t="s">
        <v>4897</v>
      </c>
      <c r="L12" s="131">
        <f>EOMONTH(DATE(FYear,5,1),0)</f>
        <v>46173</v>
      </c>
      <c r="M12" s="5">
        <f>_xlfn.XLOOKUP(1120,tblBankAcc[Account Code],tblBankAcc[Opening Balance per Statement])+SUMIFS(tblBank[Money In],tblBank[Account Code],1120,tblBank[Value Date],"&lt;="&amp;$L12)-SUMIFS(tblBank[Money Out],tblBank[Account Code],1120,tblBank[Value Date],"&lt;="&amp;$L12)</f>
        <v>613402323</v>
      </c>
      <c r="N12" s="5">
        <f>_xlfn.XLOOKUP(1120,tblCOA[Code],tblCOA[Opening Balance])+SUMIFS(tblGJ[Debit],tblGJ[Account Code],1120,tblGJ[Date],"&lt;="&amp;$L12)-SUMIFS(tblGJ[Credit],tblGJ[Account Code],1120,tblGJ[Date],"&lt;="&amp;$L12)</f>
        <v>613402323</v>
      </c>
      <c r="O12" s="5">
        <f>_xlfn.LET(_xlpm.dit,SUMIFS(tblGJ[Debit],tblGJ[Account Code],1120,tblGJ[Date],"&lt;="&amp;$L12)-SUMIFS(tblGJ[Debit],tblGJ[Account Code],1120,tblGJ[Date],"&lt;="&amp;$L12,tblGJ[Bank Cleared Date],"&gt;0",tblGJ[Bank Cleared Date],"&lt;="&amp;$L12),_xlpm.op,SUMIFS(tblGJ[Credit],tblGJ[Account Code],1120,tblGJ[Date],"&lt;="&amp;$L12)-SUMIFS(tblGJ[Credit],tblGJ[Account Code],1120,tblGJ[Date],"&lt;="&amp;$L12,tblGJ[Bank Cleared Date],"&gt;0",tblGJ[Bank Cleared Date],"&lt;="&amp;$L12),_xlpm.ui,SUMIFS(tblBank[Money In],tblBank[Account Code],1120,tblBank[Value Date],"&lt;="&amp;$L12,tblBank[Status],"✖*"),_xlpm.uo,SUMIFS(tblBank[Money Out],tblBank[Account Code],1120,tblBank[Value Date],"&lt;="&amp;$L12,tblBank[Status],"✖*"),(M12+_xlpm.dit-_xlpm.op)-(N12+_xlpm.ui-_xlpm.uo))</f>
        <v>0</v>
      </c>
      <c r="P12" s="5">
        <f>_xlfn.XLOOKUP(1130,tblBankAcc[Account Code],tblBankAcc[Opening Balance per Statement])+SUMIFS(tblBank[Money In],tblBank[Account Code],1130,tblBank[Value Date],"&lt;="&amp;$L12)-SUMIFS(tblBank[Money Out],tblBank[Account Code],1130,tblBank[Value Date],"&lt;="&amp;$L12)</f>
        <v>449685260</v>
      </c>
      <c r="Q12" s="5">
        <f>_xlfn.XLOOKUP(1130,tblCOA[Code],tblCOA[Opening Balance])+SUMIFS(tblGJ[Debit],tblGJ[Account Code],1130,tblGJ[Date],"&lt;="&amp;$L12)-SUMIFS(tblGJ[Credit],tblGJ[Account Code],1130,tblGJ[Date],"&lt;="&amp;$L12)</f>
        <v>449685260</v>
      </c>
      <c r="R12" s="5">
        <f>_xlfn.LET(_xlpm.dit,SUMIFS(tblGJ[Debit],tblGJ[Account Code],1130,tblGJ[Date],"&lt;="&amp;$L12)-SUMIFS(tblGJ[Debit],tblGJ[Account Code],1130,tblGJ[Date],"&lt;="&amp;$L12,tblGJ[Bank Cleared Date],"&gt;0",tblGJ[Bank Cleared Date],"&lt;="&amp;$L12),_xlpm.op,SUMIFS(tblGJ[Credit],tblGJ[Account Code],1130,tblGJ[Date],"&lt;="&amp;$L12)-SUMIFS(tblGJ[Credit],tblGJ[Account Code],1130,tblGJ[Date],"&lt;="&amp;$L12,tblGJ[Bank Cleared Date],"&gt;0",tblGJ[Bank Cleared Date],"&lt;="&amp;$L12),_xlpm.ui,SUMIFS(tblBank[Money In],tblBank[Account Code],1130,tblBank[Value Date],"&lt;="&amp;$L12,tblBank[Status],"✖*"),_xlpm.uo,SUMIFS(tblBank[Money Out],tblBank[Account Code],1130,tblBank[Value Date],"&lt;="&amp;$L12,tblBank[Status],"✖*"),(P12+_xlpm.dit-_xlpm.op)-(Q12+_xlpm.ui-_xlpm.uo))</f>
        <v>0</v>
      </c>
      <c r="S12" s="7" t="str">
        <f>IF(AND(ABS(O12)&lt;1,ABS(R12)&lt;1),"✔","✖")</f>
        <v>✔</v>
      </c>
    </row>
    <row r="13" spans="1:60" x14ac:dyDescent="0.35">
      <c r="B13" s="2" t="s">
        <v>6679</v>
      </c>
      <c r="C13" s="13">
        <f>C10+C11-C12</f>
        <v>589024040</v>
      </c>
      <c r="K13" s="1" t="s">
        <v>4270</v>
      </c>
      <c r="L13" s="131">
        <f>EOMONTH(DATE(FYear,6,1),0)</f>
        <v>46203</v>
      </c>
      <c r="M13" s="5">
        <f>_xlfn.XLOOKUP(1120,tblBankAcc[Account Code],tblBankAcc[Opening Balance per Statement])+SUMIFS(tblBank[Money In],tblBank[Account Code],1120,tblBank[Value Date],"&lt;="&amp;$L13)-SUMIFS(tblBank[Money Out],tblBank[Account Code],1120,tblBank[Value Date],"&lt;="&amp;$L13)</f>
        <v>351541910</v>
      </c>
      <c r="N13" s="5">
        <f>_xlfn.XLOOKUP(1120,tblCOA[Code],tblCOA[Opening Balance])+SUMIFS(tblGJ[Debit],tblGJ[Account Code],1120,tblGJ[Date],"&lt;="&amp;$L13)-SUMIFS(tblGJ[Credit],tblGJ[Account Code],1120,tblGJ[Date],"&lt;="&amp;$L13)</f>
        <v>351541910</v>
      </c>
      <c r="O13" s="5">
        <f>_xlfn.LET(_xlpm.dit,SUMIFS(tblGJ[Debit],tblGJ[Account Code],1120,tblGJ[Date],"&lt;="&amp;$L13)-SUMIFS(tblGJ[Debit],tblGJ[Account Code],1120,tblGJ[Date],"&lt;="&amp;$L13,tblGJ[Bank Cleared Date],"&gt;0",tblGJ[Bank Cleared Date],"&lt;="&amp;$L13),_xlpm.op,SUMIFS(tblGJ[Credit],tblGJ[Account Code],1120,tblGJ[Date],"&lt;="&amp;$L13)-SUMIFS(tblGJ[Credit],tblGJ[Account Code],1120,tblGJ[Date],"&lt;="&amp;$L13,tblGJ[Bank Cleared Date],"&gt;0",tblGJ[Bank Cleared Date],"&lt;="&amp;$L13),_xlpm.ui,SUMIFS(tblBank[Money In],tblBank[Account Code],1120,tblBank[Value Date],"&lt;="&amp;$L13,tblBank[Status],"✖*"),_xlpm.uo,SUMIFS(tblBank[Money Out],tblBank[Account Code],1120,tblBank[Value Date],"&lt;="&amp;$L13,tblBank[Status],"✖*"),(M13+_xlpm.dit-_xlpm.op)-(N13+_xlpm.ui-_xlpm.uo))</f>
        <v>0</v>
      </c>
      <c r="P13" s="5">
        <f>_xlfn.XLOOKUP(1130,tblBankAcc[Account Code],tblBankAcc[Opening Balance per Statement])+SUMIFS(tblBank[Money In],tblBank[Account Code],1130,tblBank[Value Date],"&lt;="&amp;$L13)-SUMIFS(tblBank[Money Out],tblBank[Account Code],1130,tblBank[Value Date],"&lt;="&amp;$L13)</f>
        <v>449631885</v>
      </c>
      <c r="Q13" s="5">
        <f>_xlfn.XLOOKUP(1130,tblCOA[Code],tblCOA[Opening Balance])+SUMIFS(tblGJ[Debit],tblGJ[Account Code],1130,tblGJ[Date],"&lt;="&amp;$L13)-SUMIFS(tblGJ[Credit],tblGJ[Account Code],1130,tblGJ[Date],"&lt;="&amp;$L13)</f>
        <v>449631885</v>
      </c>
      <c r="R13" s="5">
        <f>_xlfn.LET(_xlpm.dit,SUMIFS(tblGJ[Debit],tblGJ[Account Code],1130,tblGJ[Date],"&lt;="&amp;$L13)-SUMIFS(tblGJ[Debit],tblGJ[Account Code],1130,tblGJ[Date],"&lt;="&amp;$L13,tblGJ[Bank Cleared Date],"&gt;0",tblGJ[Bank Cleared Date],"&lt;="&amp;$L13),_xlpm.op,SUMIFS(tblGJ[Credit],tblGJ[Account Code],1130,tblGJ[Date],"&lt;="&amp;$L13)-SUMIFS(tblGJ[Credit],tblGJ[Account Code],1130,tblGJ[Date],"&lt;="&amp;$L13,tblGJ[Bank Cleared Date],"&gt;0",tblGJ[Bank Cleared Date],"&lt;="&amp;$L13),_xlpm.ui,SUMIFS(tblBank[Money In],tblBank[Account Code],1130,tblBank[Value Date],"&lt;="&amp;$L13,tblBank[Status],"✖*"),_xlpm.uo,SUMIFS(tblBank[Money Out],tblBank[Account Code],1130,tblBank[Value Date],"&lt;="&amp;$L13,tblBank[Status],"✖*"),(P13+_xlpm.dit-_xlpm.op)-(Q13+_xlpm.ui-_xlpm.uo))</f>
        <v>0</v>
      </c>
      <c r="S13" s="7" t="str">
        <f>IF(AND(ABS(O13)&lt;1,ABS(R13)&lt;1),"✔","✖")</f>
        <v>✔</v>
      </c>
    </row>
    <row r="14" spans="1:60" x14ac:dyDescent="0.35">
      <c r="K14" s="1" t="s">
        <v>4271</v>
      </c>
      <c r="L14" s="131">
        <f>EOMONTH(DATE(FYear,7,1),0)</f>
        <v>46234</v>
      </c>
      <c r="M14" s="5">
        <f>_xlfn.XLOOKUP(1120,tblBankAcc[Account Code],tblBankAcc[Opening Balance per Statement])+SUMIFS(tblBank[Money In],tblBank[Account Code],1120,tblBank[Value Date],"&lt;="&amp;$L14)-SUMIFS(tblBank[Money Out],tblBank[Account Code],1120,tblBank[Value Date],"&lt;="&amp;$L14)</f>
        <v>465255197</v>
      </c>
      <c r="N14" s="5">
        <f>_xlfn.XLOOKUP(1120,tblCOA[Code],tblCOA[Opening Balance])+SUMIFS(tblGJ[Debit],tblGJ[Account Code],1120,tblGJ[Date],"&lt;="&amp;$L14)-SUMIFS(tblGJ[Credit],tblGJ[Account Code],1120,tblGJ[Date],"&lt;="&amp;$L14)</f>
        <v>465255197</v>
      </c>
      <c r="O14" s="5">
        <f>_xlfn.LET(_xlpm.dit,SUMIFS(tblGJ[Debit],tblGJ[Account Code],1120,tblGJ[Date],"&lt;="&amp;$L14)-SUMIFS(tblGJ[Debit],tblGJ[Account Code],1120,tblGJ[Date],"&lt;="&amp;$L14,tblGJ[Bank Cleared Date],"&gt;0",tblGJ[Bank Cleared Date],"&lt;="&amp;$L14),_xlpm.op,SUMIFS(tblGJ[Credit],tblGJ[Account Code],1120,tblGJ[Date],"&lt;="&amp;$L14)-SUMIFS(tblGJ[Credit],tblGJ[Account Code],1120,tblGJ[Date],"&lt;="&amp;$L14,tblGJ[Bank Cleared Date],"&gt;0",tblGJ[Bank Cleared Date],"&lt;="&amp;$L14),_xlpm.ui,SUMIFS(tblBank[Money In],tblBank[Account Code],1120,tblBank[Value Date],"&lt;="&amp;$L14,tblBank[Status],"✖*"),_xlpm.uo,SUMIFS(tblBank[Money Out],tblBank[Account Code],1120,tblBank[Value Date],"&lt;="&amp;$L14,tblBank[Status],"✖*"),(M14+_xlpm.dit-_xlpm.op)-(N14+_xlpm.ui-_xlpm.uo))</f>
        <v>0</v>
      </c>
      <c r="P14" s="5">
        <f>_xlfn.XLOOKUP(1130,tblBankAcc[Account Code],tblBankAcc[Opening Balance per Statement])+SUMIFS(tblBank[Money In],tblBank[Account Code],1130,tblBank[Value Date],"&lt;="&amp;$L14)-SUMIFS(tblBank[Money Out],tblBank[Account Code],1130,tblBank[Value Date],"&lt;="&amp;$L14)</f>
        <v>449585222</v>
      </c>
      <c r="Q14" s="5">
        <f>_xlfn.XLOOKUP(1130,tblCOA[Code],tblCOA[Opening Balance])+SUMIFS(tblGJ[Debit],tblGJ[Account Code],1130,tblGJ[Date],"&lt;="&amp;$L14)-SUMIFS(tblGJ[Credit],tblGJ[Account Code],1130,tblGJ[Date],"&lt;="&amp;$L14)</f>
        <v>449585222</v>
      </c>
      <c r="R14" s="5">
        <f>_xlfn.LET(_xlpm.dit,SUMIFS(tblGJ[Debit],tblGJ[Account Code],1130,tblGJ[Date],"&lt;="&amp;$L14)-SUMIFS(tblGJ[Debit],tblGJ[Account Code],1130,tblGJ[Date],"&lt;="&amp;$L14,tblGJ[Bank Cleared Date],"&gt;0",tblGJ[Bank Cleared Date],"&lt;="&amp;$L14),_xlpm.op,SUMIFS(tblGJ[Credit],tblGJ[Account Code],1130,tblGJ[Date],"&lt;="&amp;$L14)-SUMIFS(tblGJ[Credit],tblGJ[Account Code],1130,tblGJ[Date],"&lt;="&amp;$L14,tblGJ[Bank Cleared Date],"&gt;0",tblGJ[Bank Cleared Date],"&lt;="&amp;$L14),_xlpm.ui,SUMIFS(tblBank[Money In],tblBank[Account Code],1130,tblBank[Value Date],"&lt;="&amp;$L14,tblBank[Status],"✖*"),_xlpm.uo,SUMIFS(tblBank[Money Out],tblBank[Account Code],1130,tblBank[Value Date],"&lt;="&amp;$L14,tblBank[Status],"✖*"),(P14+_xlpm.dit-_xlpm.op)-(Q14+_xlpm.ui-_xlpm.uo))</f>
        <v>0</v>
      </c>
      <c r="S14" s="7" t="str">
        <f>IF(AND(ABS(O14)&lt;1,ABS(R14)&lt;1),"✔","✖")</f>
        <v>✔</v>
      </c>
    </row>
    <row r="15" spans="1:60" x14ac:dyDescent="0.35">
      <c r="B15" s="68" t="s">
        <v>6680</v>
      </c>
      <c r="C15" s="68"/>
      <c r="K15" s="1" t="s">
        <v>4898</v>
      </c>
      <c r="L15" s="131">
        <f>EOMONTH(DATE(FYear,8,1),0)</f>
        <v>46265</v>
      </c>
      <c r="M15" s="5">
        <f>_xlfn.XLOOKUP(1120,tblBankAcc[Account Code],tblBankAcc[Opening Balance per Statement])+SUMIFS(tblBank[Money In],tblBank[Account Code],1120,tblBank[Value Date],"&lt;="&amp;$L15)-SUMIFS(tblBank[Money Out],tblBank[Account Code],1120,tblBank[Value Date],"&lt;="&amp;$L15)</f>
        <v>438698810</v>
      </c>
      <c r="N15" s="5">
        <f>_xlfn.XLOOKUP(1120,tblCOA[Code],tblCOA[Opening Balance])+SUMIFS(tblGJ[Debit],tblGJ[Account Code],1120,tblGJ[Date],"&lt;="&amp;$L15)-SUMIFS(tblGJ[Credit],tblGJ[Account Code],1120,tblGJ[Date],"&lt;="&amp;$L15)</f>
        <v>438698810</v>
      </c>
      <c r="O15" s="5">
        <f>_xlfn.LET(_xlpm.dit,SUMIFS(tblGJ[Debit],tblGJ[Account Code],1120,tblGJ[Date],"&lt;="&amp;$L15)-SUMIFS(tblGJ[Debit],tblGJ[Account Code],1120,tblGJ[Date],"&lt;="&amp;$L15,tblGJ[Bank Cleared Date],"&gt;0",tblGJ[Bank Cleared Date],"&lt;="&amp;$L15),_xlpm.op,SUMIFS(tblGJ[Credit],tblGJ[Account Code],1120,tblGJ[Date],"&lt;="&amp;$L15)-SUMIFS(tblGJ[Credit],tblGJ[Account Code],1120,tblGJ[Date],"&lt;="&amp;$L15,tblGJ[Bank Cleared Date],"&gt;0",tblGJ[Bank Cleared Date],"&lt;="&amp;$L15),_xlpm.ui,SUMIFS(tblBank[Money In],tblBank[Account Code],1120,tblBank[Value Date],"&lt;="&amp;$L15,tblBank[Status],"✖*"),_xlpm.uo,SUMIFS(tblBank[Money Out],tblBank[Account Code],1120,tblBank[Value Date],"&lt;="&amp;$L15,tblBank[Status],"✖*"),(M15+_xlpm.dit-_xlpm.op)-(N15+_xlpm.ui-_xlpm.uo))</f>
        <v>0</v>
      </c>
      <c r="P15" s="5">
        <f>_xlfn.XLOOKUP(1130,tblBankAcc[Account Code],tblBankAcc[Opening Balance per Statement])+SUMIFS(tblBank[Money In],tblBank[Account Code],1130,tblBank[Value Date],"&lt;="&amp;$L15)-SUMIFS(tblBank[Money Out],tblBank[Account Code],1130,tblBank[Value Date],"&lt;="&amp;$L15)</f>
        <v>449531756</v>
      </c>
      <c r="Q15" s="5">
        <f>_xlfn.XLOOKUP(1130,tblCOA[Code],tblCOA[Opening Balance])+SUMIFS(tblGJ[Debit],tblGJ[Account Code],1130,tblGJ[Date],"&lt;="&amp;$L15)-SUMIFS(tblGJ[Credit],tblGJ[Account Code],1130,tblGJ[Date],"&lt;="&amp;$L15)</f>
        <v>449531756</v>
      </c>
      <c r="R15" s="5">
        <f>_xlfn.LET(_xlpm.dit,SUMIFS(tblGJ[Debit],tblGJ[Account Code],1130,tblGJ[Date],"&lt;="&amp;$L15)-SUMIFS(tblGJ[Debit],tblGJ[Account Code],1130,tblGJ[Date],"&lt;="&amp;$L15,tblGJ[Bank Cleared Date],"&gt;0",tblGJ[Bank Cleared Date],"&lt;="&amp;$L15),_xlpm.op,SUMIFS(tblGJ[Credit],tblGJ[Account Code],1130,tblGJ[Date],"&lt;="&amp;$L15)-SUMIFS(tblGJ[Credit],tblGJ[Account Code],1130,tblGJ[Date],"&lt;="&amp;$L15,tblGJ[Bank Cleared Date],"&gt;0",tblGJ[Bank Cleared Date],"&lt;="&amp;$L15),_xlpm.ui,SUMIFS(tblBank[Money In],tblBank[Account Code],1130,tblBank[Value Date],"&lt;="&amp;$L15,tblBank[Status],"✖*"),_xlpm.uo,SUMIFS(tblBank[Money Out],tblBank[Account Code],1130,tblBank[Value Date],"&lt;="&amp;$L15,tblBank[Status],"✖*"),(P15+_xlpm.dit-_xlpm.op)-(Q15+_xlpm.ui-_xlpm.uo))</f>
        <v>0</v>
      </c>
      <c r="S15" s="7" t="str">
        <f>IF(AND(ABS(O15)&lt;1,ABS(R15)&lt;1),"✔","✖")</f>
        <v>✔</v>
      </c>
    </row>
    <row r="16" spans="1:60" x14ac:dyDescent="0.35">
      <c r="B16" s="1" t="s">
        <v>6681</v>
      </c>
      <c r="C16" s="5">
        <f>_xlfn.XLOOKUP(C6,tblCOA[Code],tblCOA[Opening Balance])+SUMIFS(tblGJ[Debit],tblGJ[Account Code],C6,tblGJ[Date],"&lt;="&amp;C7)-SUMIFS(tblGJ[Credit],tblGJ[Account Code],C6,tblGJ[Date],"&lt;="&amp;C7)</f>
        <v>588782698</v>
      </c>
      <c r="K16" s="1" t="s">
        <v>4272</v>
      </c>
      <c r="L16" s="131">
        <f>EOMONTH(DATE(FYear,9,1),0)</f>
        <v>46295</v>
      </c>
      <c r="M16" s="5">
        <f>_xlfn.XLOOKUP(1120,tblBankAcc[Account Code],tblBankAcc[Opening Balance per Statement])+SUMIFS(tblBank[Money In],tblBank[Account Code],1120,tblBank[Value Date],"&lt;="&amp;$L16)-SUMIFS(tblBank[Money Out],tblBank[Account Code],1120,tblBank[Value Date],"&lt;="&amp;$L16)</f>
        <v>490893735</v>
      </c>
      <c r="N16" s="5">
        <f>_xlfn.XLOOKUP(1120,tblCOA[Code],tblCOA[Opening Balance])+SUMIFS(tblGJ[Debit],tblGJ[Account Code],1120,tblGJ[Date],"&lt;="&amp;$L16)-SUMIFS(tblGJ[Credit],tblGJ[Account Code],1120,tblGJ[Date],"&lt;="&amp;$L16)</f>
        <v>490893735</v>
      </c>
      <c r="O16" s="5">
        <f>_xlfn.LET(_xlpm.dit,SUMIFS(tblGJ[Debit],tblGJ[Account Code],1120,tblGJ[Date],"&lt;="&amp;$L16)-SUMIFS(tblGJ[Debit],tblGJ[Account Code],1120,tblGJ[Date],"&lt;="&amp;$L16,tblGJ[Bank Cleared Date],"&gt;0",tblGJ[Bank Cleared Date],"&lt;="&amp;$L16),_xlpm.op,SUMIFS(tblGJ[Credit],tblGJ[Account Code],1120,tblGJ[Date],"&lt;="&amp;$L16)-SUMIFS(tblGJ[Credit],tblGJ[Account Code],1120,tblGJ[Date],"&lt;="&amp;$L16,tblGJ[Bank Cleared Date],"&gt;0",tblGJ[Bank Cleared Date],"&lt;="&amp;$L16),_xlpm.ui,SUMIFS(tblBank[Money In],tblBank[Account Code],1120,tblBank[Value Date],"&lt;="&amp;$L16,tblBank[Status],"✖*"),_xlpm.uo,SUMIFS(tblBank[Money Out],tblBank[Account Code],1120,tblBank[Value Date],"&lt;="&amp;$L16,tblBank[Status],"✖*"),(M16+_xlpm.dit-_xlpm.op)-(N16+_xlpm.ui-_xlpm.uo))</f>
        <v>0</v>
      </c>
      <c r="P16" s="5">
        <f>_xlfn.XLOOKUP(1130,tblBankAcc[Account Code],tblBankAcc[Opening Balance per Statement])+SUMIFS(tblBank[Money In],tblBank[Account Code],1130,tblBank[Value Date],"&lt;="&amp;$L16)-SUMIFS(tblBank[Money Out],tblBank[Account Code],1130,tblBank[Value Date],"&lt;="&amp;$L16)</f>
        <v>449462870</v>
      </c>
      <c r="Q16" s="5">
        <f>_xlfn.XLOOKUP(1130,tblCOA[Code],tblCOA[Opening Balance])+SUMIFS(tblGJ[Debit],tblGJ[Account Code],1130,tblGJ[Date],"&lt;="&amp;$L16)-SUMIFS(tblGJ[Credit],tblGJ[Account Code],1130,tblGJ[Date],"&lt;="&amp;$L16)</f>
        <v>449462870</v>
      </c>
      <c r="R16" s="5">
        <f>_xlfn.LET(_xlpm.dit,SUMIFS(tblGJ[Debit],tblGJ[Account Code],1130,tblGJ[Date],"&lt;="&amp;$L16)-SUMIFS(tblGJ[Debit],tblGJ[Account Code],1130,tblGJ[Date],"&lt;="&amp;$L16,tblGJ[Bank Cleared Date],"&gt;0",tblGJ[Bank Cleared Date],"&lt;="&amp;$L16),_xlpm.op,SUMIFS(tblGJ[Credit],tblGJ[Account Code],1130,tblGJ[Date],"&lt;="&amp;$L16)-SUMIFS(tblGJ[Credit],tblGJ[Account Code],1130,tblGJ[Date],"&lt;="&amp;$L16,tblGJ[Bank Cleared Date],"&gt;0",tblGJ[Bank Cleared Date],"&lt;="&amp;$L16),_xlpm.ui,SUMIFS(tblBank[Money In],tblBank[Account Code],1130,tblBank[Value Date],"&lt;="&amp;$L16,tblBank[Status],"✖*"),_xlpm.uo,SUMIFS(tblBank[Money Out],tblBank[Account Code],1130,tblBank[Value Date],"&lt;="&amp;$L16,tblBank[Status],"✖*"),(P16+_xlpm.dit-_xlpm.op)-(Q16+_xlpm.ui-_xlpm.uo))</f>
        <v>0</v>
      </c>
      <c r="S16" s="7" t="str">
        <f>IF(AND(ABS(O16)&lt;1,ABS(R16)&lt;1),"✔","✖")</f>
        <v>✔</v>
      </c>
    </row>
    <row r="17" spans="2:19" x14ac:dyDescent="0.35">
      <c r="B17" s="1" t="s">
        <v>6682</v>
      </c>
      <c r="C17" s="5">
        <f>SUMIFS(tblBank[Money In],tblBank[Account Code],C6,tblBank[Value Date],"&lt;="&amp;C7,tblBank[Status],"✖*")</f>
        <v>489177</v>
      </c>
      <c r="K17" s="1" t="s">
        <v>4899</v>
      </c>
      <c r="L17" s="131">
        <f>EOMONTH(DATE(FYear,10,1),0)</f>
        <v>46326</v>
      </c>
      <c r="M17" s="5">
        <f>_xlfn.XLOOKUP(1120,tblBankAcc[Account Code],tblBankAcc[Opening Balance per Statement])+SUMIFS(tblBank[Money In],tblBank[Account Code],1120,tblBank[Value Date],"&lt;="&amp;$L17)-SUMIFS(tblBank[Money Out],tblBank[Account Code],1120,tblBank[Value Date],"&lt;="&amp;$L17)</f>
        <v>1168827970</v>
      </c>
      <c r="N17" s="5">
        <f>_xlfn.XLOOKUP(1120,tblCOA[Code],tblCOA[Opening Balance])+SUMIFS(tblGJ[Debit],tblGJ[Account Code],1120,tblGJ[Date],"&lt;="&amp;$L17)-SUMIFS(tblGJ[Credit],tblGJ[Account Code],1120,tblGJ[Date],"&lt;="&amp;$L17)</f>
        <v>588782698</v>
      </c>
      <c r="O17" s="5">
        <f>_xlfn.LET(_xlpm.dit,SUMIFS(tblGJ[Debit],tblGJ[Account Code],1120,tblGJ[Date],"&lt;="&amp;$L17)-SUMIFS(tblGJ[Debit],tblGJ[Account Code],1120,tblGJ[Date],"&lt;="&amp;$L17,tblGJ[Bank Cleared Date],"&gt;0",tblGJ[Bank Cleared Date],"&lt;="&amp;$L17),_xlpm.op,SUMIFS(tblGJ[Credit],tblGJ[Account Code],1120,tblGJ[Date],"&lt;="&amp;$L17)-SUMIFS(tblGJ[Credit],tblGJ[Account Code],1120,tblGJ[Date],"&lt;="&amp;$L17,tblGJ[Bank Cleared Date],"&gt;0",tblGJ[Bank Cleared Date],"&lt;="&amp;$L17),_xlpm.ui,SUMIFS(tblBank[Money In],tblBank[Account Code],1120,tblBank[Value Date],"&lt;="&amp;$L17,tblBank[Status],"✖*"),_xlpm.uo,SUMIFS(tblBank[Money Out],tblBank[Account Code],1120,tblBank[Value Date],"&lt;="&amp;$L17,tblBank[Status],"✖*"),(M17+_xlpm.dit-_xlpm.op)-(N17+_xlpm.ui-_xlpm.uo))</f>
        <v>0</v>
      </c>
      <c r="P17" s="5">
        <f>_xlfn.XLOOKUP(1130,tblBankAcc[Account Code],tblBankAcc[Opening Balance per Statement])+SUMIFS(tblBank[Money In],tblBank[Account Code],1130,tblBank[Value Date],"&lt;="&amp;$L17)-SUMIFS(tblBank[Money Out],tblBank[Account Code],1130,tblBank[Value Date],"&lt;="&amp;$L17)</f>
        <v>449391367</v>
      </c>
      <c r="Q17" s="5">
        <f>_xlfn.XLOOKUP(1130,tblCOA[Code],tblCOA[Opening Balance])+SUMIFS(tblGJ[Debit],tblGJ[Account Code],1130,tblGJ[Date],"&lt;="&amp;$L17)-SUMIFS(tblGJ[Credit],tblGJ[Account Code],1130,tblGJ[Date],"&lt;="&amp;$L17)</f>
        <v>449462870</v>
      </c>
      <c r="R17" s="5">
        <f>_xlfn.LET(_xlpm.dit,SUMIFS(tblGJ[Debit],tblGJ[Account Code],1130,tblGJ[Date],"&lt;="&amp;$L17)-SUMIFS(tblGJ[Debit],tblGJ[Account Code],1130,tblGJ[Date],"&lt;="&amp;$L17,tblGJ[Bank Cleared Date],"&gt;0",tblGJ[Bank Cleared Date],"&lt;="&amp;$L17),_xlpm.op,SUMIFS(tblGJ[Credit],tblGJ[Account Code],1130,tblGJ[Date],"&lt;="&amp;$L17)-SUMIFS(tblGJ[Credit],tblGJ[Account Code],1130,tblGJ[Date],"&lt;="&amp;$L17,tblGJ[Bank Cleared Date],"&gt;0",tblGJ[Bank Cleared Date],"&lt;="&amp;$L17),_xlpm.ui,SUMIFS(tblBank[Money In],tblBank[Account Code],1130,tblBank[Value Date],"&lt;="&amp;$L17,tblBank[Status],"✖*"),_xlpm.uo,SUMIFS(tblBank[Money Out],tblBank[Account Code],1130,tblBank[Value Date],"&lt;="&amp;$L17,tblBank[Status],"✖*"),(P17+_xlpm.dit-_xlpm.op)-(Q17+_xlpm.ui-_xlpm.uo))</f>
        <v>0</v>
      </c>
      <c r="S17" s="7" t="str">
        <f>IF(AND(ABS(O17)&lt;1,ABS(R17)&lt;1),"✔","✖")</f>
        <v>✔</v>
      </c>
    </row>
    <row r="18" spans="2:19" x14ac:dyDescent="0.35">
      <c r="B18" s="1" t="s">
        <v>6683</v>
      </c>
      <c r="C18" s="5">
        <f>SUMIFS(tblBank[Money Out],tblBank[Account Code],C6,tblBank[Value Date],"&lt;="&amp;C7,tblBank[Status],"✖*")</f>
        <v>247835</v>
      </c>
      <c r="K18" s="1" t="s">
        <v>4273</v>
      </c>
      <c r="L18" s="131">
        <f>EOMONTH(DATE(FYear,11,1),0)</f>
        <v>46356</v>
      </c>
      <c r="M18" s="5">
        <f>_xlfn.XLOOKUP(1120,tblBankAcc[Account Code],tblBankAcc[Opening Balance per Statement])+SUMIFS(tblBank[Money In],tblBank[Account Code],1120,tblBank[Value Date],"&lt;="&amp;$L18)-SUMIFS(tblBank[Money Out],tblBank[Account Code],1120,tblBank[Value Date],"&lt;="&amp;$L18)</f>
        <v>803508506</v>
      </c>
      <c r="N18" s="5">
        <f>_xlfn.XLOOKUP(1120,tblCOA[Code],tblCOA[Opening Balance])+SUMIFS(tblGJ[Debit],tblGJ[Account Code],1120,tblGJ[Date],"&lt;="&amp;$L18)-SUMIFS(tblGJ[Credit],tblGJ[Account Code],1120,tblGJ[Date],"&lt;="&amp;$L18)</f>
        <v>803267164</v>
      </c>
      <c r="O18" s="5">
        <f>_xlfn.LET(_xlpm.dit,SUMIFS(tblGJ[Debit],tblGJ[Account Code],1120,tblGJ[Date],"&lt;="&amp;$L18)-SUMIFS(tblGJ[Debit],tblGJ[Account Code],1120,tblGJ[Date],"&lt;="&amp;$L18,tblGJ[Bank Cleared Date],"&gt;0",tblGJ[Bank Cleared Date],"&lt;="&amp;$L18),_xlpm.op,SUMIFS(tblGJ[Credit],tblGJ[Account Code],1120,tblGJ[Date],"&lt;="&amp;$L18)-SUMIFS(tblGJ[Credit],tblGJ[Account Code],1120,tblGJ[Date],"&lt;="&amp;$L18,tblGJ[Bank Cleared Date],"&gt;0",tblGJ[Bank Cleared Date],"&lt;="&amp;$L18),_xlpm.ui,SUMIFS(tblBank[Money In],tblBank[Account Code],1120,tblBank[Value Date],"&lt;="&amp;$L18,tblBank[Status],"✖*"),_xlpm.uo,SUMIFS(tblBank[Money Out],tblBank[Account Code],1120,tblBank[Value Date],"&lt;="&amp;$L18,tblBank[Status],"✖*"),(M18+_xlpm.dit-_xlpm.op)-(N18+_xlpm.ui-_xlpm.uo))</f>
        <v>0</v>
      </c>
      <c r="P18" s="5">
        <f>_xlfn.XLOOKUP(1130,tblBankAcc[Account Code],tblBankAcc[Opening Balance per Statement])+SUMIFS(tblBank[Money In],tblBank[Account Code],1130,tblBank[Value Date],"&lt;="&amp;$L18)-SUMIFS(tblBank[Money Out],tblBank[Account Code],1130,tblBank[Value Date],"&lt;="&amp;$L18)</f>
        <v>449323124</v>
      </c>
      <c r="Q18" s="5">
        <f>_xlfn.XLOOKUP(1130,tblCOA[Code],tblCOA[Opening Balance])+SUMIFS(tblGJ[Debit],tblGJ[Account Code],1130,tblGJ[Date],"&lt;="&amp;$L18)-SUMIFS(tblGJ[Credit],tblGJ[Account Code],1130,tblGJ[Date],"&lt;="&amp;$L18)</f>
        <v>449394627</v>
      </c>
      <c r="R18" s="5">
        <f>_xlfn.LET(_xlpm.dit,SUMIFS(tblGJ[Debit],tblGJ[Account Code],1130,tblGJ[Date],"&lt;="&amp;$L18)-SUMIFS(tblGJ[Debit],tblGJ[Account Code],1130,tblGJ[Date],"&lt;="&amp;$L18,tblGJ[Bank Cleared Date],"&gt;0",tblGJ[Bank Cleared Date],"&lt;="&amp;$L18),_xlpm.op,SUMIFS(tblGJ[Credit],tblGJ[Account Code],1130,tblGJ[Date],"&lt;="&amp;$L18)-SUMIFS(tblGJ[Credit],tblGJ[Account Code],1130,tblGJ[Date],"&lt;="&amp;$L18,tblGJ[Bank Cleared Date],"&gt;0",tblGJ[Bank Cleared Date],"&lt;="&amp;$L18),_xlpm.ui,SUMIFS(tblBank[Money In],tblBank[Account Code],1130,tblBank[Value Date],"&lt;="&amp;$L18,tblBank[Status],"✖*"),_xlpm.uo,SUMIFS(tblBank[Money Out],tblBank[Account Code],1130,tblBank[Value Date],"&lt;="&amp;$L18,tblBank[Status],"✖*"),(P18+_xlpm.dit-_xlpm.op)-(Q18+_xlpm.ui-_xlpm.uo))</f>
        <v>0</v>
      </c>
      <c r="S18" s="7" t="str">
        <f>IF(AND(ABS(O18)&lt;1,ABS(R18)&lt;1),"✔","✖")</f>
        <v>✔</v>
      </c>
    </row>
    <row r="19" spans="2:19" x14ac:dyDescent="0.35">
      <c r="B19" s="2" t="s">
        <v>6684</v>
      </c>
      <c r="C19" s="13">
        <f>C16+C17-C18</f>
        <v>589024040</v>
      </c>
      <c r="K19" s="1" t="s">
        <v>4900</v>
      </c>
      <c r="L19" s="131">
        <f>EOMONTH(DATE(FYear,12,1),0)</f>
        <v>46387</v>
      </c>
      <c r="M19" s="5">
        <f>_xlfn.XLOOKUP(1120,tblBankAcc[Account Code],tblBankAcc[Opening Balance per Statement])+SUMIFS(tblBank[Money In],tblBank[Account Code],1120,tblBank[Value Date],"&lt;="&amp;$L19)-SUMIFS(tblBank[Money Out],tblBank[Account Code],1120,tblBank[Value Date],"&lt;="&amp;$L19)</f>
        <v>870295750</v>
      </c>
      <c r="N19" s="5">
        <f>_xlfn.XLOOKUP(1120,tblCOA[Code],tblCOA[Opening Balance])+SUMIFS(tblGJ[Debit],tblGJ[Account Code],1120,tblGJ[Date],"&lt;="&amp;$L19)-SUMIFS(tblGJ[Credit],tblGJ[Account Code],1120,tblGJ[Date],"&lt;="&amp;$L19)</f>
        <v>870054408</v>
      </c>
      <c r="O19" s="5">
        <f>_xlfn.LET(_xlpm.dit,SUMIFS(tblGJ[Debit],tblGJ[Account Code],1120,tblGJ[Date],"&lt;="&amp;$L19)-SUMIFS(tblGJ[Debit],tblGJ[Account Code],1120,tblGJ[Date],"&lt;="&amp;$L19,tblGJ[Bank Cleared Date],"&gt;0",tblGJ[Bank Cleared Date],"&lt;="&amp;$L19),_xlpm.op,SUMIFS(tblGJ[Credit],tblGJ[Account Code],1120,tblGJ[Date],"&lt;="&amp;$L19)-SUMIFS(tblGJ[Credit],tblGJ[Account Code],1120,tblGJ[Date],"&lt;="&amp;$L19,tblGJ[Bank Cleared Date],"&gt;0",tblGJ[Bank Cleared Date],"&lt;="&amp;$L19),_xlpm.ui,SUMIFS(tblBank[Money In],tblBank[Account Code],1120,tblBank[Value Date],"&lt;="&amp;$L19,tblBank[Status],"✖*"),_xlpm.uo,SUMIFS(tblBank[Money Out],tblBank[Account Code],1120,tblBank[Value Date],"&lt;="&amp;$L19,tblBank[Status],"✖*"),(M19+_xlpm.dit-_xlpm.op)-(N19+_xlpm.ui-_xlpm.uo))</f>
        <v>0</v>
      </c>
      <c r="P19" s="5">
        <f>_xlfn.XLOOKUP(1130,tblBankAcc[Account Code],tblBankAcc[Opening Balance per Statement])+SUMIFS(tblBank[Money In],tblBank[Account Code],1130,tblBank[Value Date],"&lt;="&amp;$L19)-SUMIFS(tblBank[Money Out],tblBank[Account Code],1130,tblBank[Value Date],"&lt;="&amp;$L19)</f>
        <v>449254514</v>
      </c>
      <c r="Q19" s="5">
        <f>_xlfn.XLOOKUP(1130,tblCOA[Code],tblCOA[Opening Balance])+SUMIFS(tblGJ[Debit],tblGJ[Account Code],1130,tblGJ[Date],"&lt;="&amp;$L19)-SUMIFS(tblGJ[Credit],tblGJ[Account Code],1130,tblGJ[Date],"&lt;="&amp;$L19)</f>
        <v>449326017</v>
      </c>
      <c r="R19" s="5">
        <f>_xlfn.LET(_xlpm.dit,SUMIFS(tblGJ[Debit],tblGJ[Account Code],1130,tblGJ[Date],"&lt;="&amp;$L19)-SUMIFS(tblGJ[Debit],tblGJ[Account Code],1130,tblGJ[Date],"&lt;="&amp;$L19,tblGJ[Bank Cleared Date],"&gt;0",tblGJ[Bank Cleared Date],"&lt;="&amp;$L19),_xlpm.op,SUMIFS(tblGJ[Credit],tblGJ[Account Code],1130,tblGJ[Date],"&lt;="&amp;$L19)-SUMIFS(tblGJ[Credit],tblGJ[Account Code],1130,tblGJ[Date],"&lt;="&amp;$L19,tblGJ[Bank Cleared Date],"&gt;0",tblGJ[Bank Cleared Date],"&lt;="&amp;$L19),_xlpm.ui,SUMIFS(tblBank[Money In],tblBank[Account Code],1130,tblBank[Value Date],"&lt;="&amp;$L19,tblBank[Status],"✖*"),_xlpm.uo,SUMIFS(tblBank[Money Out],tblBank[Account Code],1130,tblBank[Value Date],"&lt;="&amp;$L19,tblBank[Status],"✖*"),(P19+_xlpm.dit-_xlpm.op)-(Q19+_xlpm.ui-_xlpm.uo))</f>
        <v>0</v>
      </c>
      <c r="S19" s="7" t="str">
        <f>IF(AND(ABS(O19)&lt;1,ABS(R19)&lt;1),"✔","✖")</f>
        <v>✔</v>
      </c>
    </row>
    <row r="21" spans="2:19" x14ac:dyDescent="0.35">
      <c r="B21" s="99" t="s">
        <v>6685</v>
      </c>
      <c r="C21" s="125">
        <f>C13-C19</f>
        <v>0</v>
      </c>
    </row>
    <row r="22" spans="2:19" x14ac:dyDescent="0.35">
      <c r="B22" s="1" t="s">
        <v>4276</v>
      </c>
      <c r="C22" s="2" t="str">
        <f>IF(ABS(C21)&lt;1,"✔ Reconciled – books agree to bank after listed items","✖ Unexplained difference")</f>
        <v>✔ Reconciled – books agree to bank after listed items</v>
      </c>
    </row>
    <row r="25" spans="2:19" x14ac:dyDescent="0.35">
      <c r="B25" s="75" t="s">
        <v>6686</v>
      </c>
    </row>
    <row r="26" spans="2:19" x14ac:dyDescent="0.35">
      <c r="B26" s="68" t="s">
        <v>6549</v>
      </c>
      <c r="C26" s="68" t="s">
        <v>4368</v>
      </c>
      <c r="D26" s="68" t="s">
        <v>6550</v>
      </c>
      <c r="E26" s="68" t="s">
        <v>6551</v>
      </c>
      <c r="F26" s="68" t="s">
        <v>6552</v>
      </c>
    </row>
    <row r="27" spans="2:19" x14ac:dyDescent="0.35">
      <c r="B27" s="109" cm="1">
        <f t="array" ref="B27:F29">IFERROR(_xlfn._xlws.FILTER(tblBank[[Value Date]:[Money Out]],(tblBank[Account Code]=C6)*(tblBank[Value Date]&lt;=C7)*(LEFT(tblBank[Status],1)="✖")),"– none –")</f>
        <v>46326</v>
      </c>
      <c r="C27" s="1" t="str">
        <v>BUNGA / INTEREST CREDIT</v>
      </c>
      <c r="D27" s="1" t="str">
        <v>BNK-INT-2610</v>
      </c>
      <c r="E27" s="5">
        <v>489177</v>
      </c>
      <c r="F27" s="5">
        <v>0</v>
      </c>
    </row>
    <row r="28" spans="2:19" x14ac:dyDescent="0.35">
      <c r="B28" s="109">
        <v>46326</v>
      </c>
      <c r="C28" s="1" t="str">
        <v>PAJAK BUNGA / TAX ON INTEREST</v>
      </c>
      <c r="D28" s="1" t="str">
        <v>BNK-TAX-2610</v>
      </c>
      <c r="E28" s="5">
        <v>0</v>
      </c>
      <c r="F28" s="5">
        <v>97835</v>
      </c>
    </row>
    <row r="29" spans="2:19" x14ac:dyDescent="0.35">
      <c r="B29" s="109">
        <v>46326</v>
      </c>
      <c r="C29" s="1" t="str">
        <v>BIAYA ADM / ADMIN FEE</v>
      </c>
      <c r="D29" s="1" t="str">
        <v>BNK-ADM-2610</v>
      </c>
      <c r="E29" s="5">
        <v>0</v>
      </c>
      <c r="F29" s="5">
        <v>150000</v>
      </c>
    </row>
    <row r="30" spans="2:19" x14ac:dyDescent="0.35">
      <c r="B30" s="109"/>
      <c r="E30" s="5"/>
      <c r="F30" s="5"/>
    </row>
    <row r="31" spans="2:19" x14ac:dyDescent="0.35">
      <c r="B31" s="109"/>
      <c r="E31" s="5"/>
      <c r="F31" s="5"/>
    </row>
    <row r="32" spans="2:19" x14ac:dyDescent="0.35">
      <c r="B32" s="109"/>
      <c r="E32" s="5"/>
      <c r="F32" s="5"/>
    </row>
    <row r="33" spans="2:8" x14ac:dyDescent="0.35">
      <c r="B33" s="109"/>
      <c r="E33" s="5"/>
      <c r="F33" s="5"/>
    </row>
    <row r="34" spans="2:8" x14ac:dyDescent="0.35">
      <c r="B34" s="109"/>
      <c r="E34" s="5"/>
      <c r="F34" s="5"/>
    </row>
    <row r="36" spans="2:8" x14ac:dyDescent="0.35">
      <c r="B36" s="75" t="s">
        <v>6687</v>
      </c>
    </row>
    <row r="37" spans="2:8" x14ac:dyDescent="0.35">
      <c r="B37" s="68" t="s">
        <v>5072</v>
      </c>
      <c r="C37" s="68" t="s">
        <v>5645</v>
      </c>
      <c r="D37" s="68" t="s">
        <v>4864</v>
      </c>
      <c r="E37" s="68" t="s">
        <v>4965</v>
      </c>
      <c r="F37" s="68" t="s">
        <v>4368</v>
      </c>
      <c r="G37" s="68" t="s">
        <v>4262</v>
      </c>
      <c r="H37" s="68" t="s">
        <v>5646</v>
      </c>
    </row>
    <row r="38" spans="2:8" x14ac:dyDescent="0.35">
      <c r="B38" s="109" cm="1">
        <f t="array" ref="B38:H39">IFERROR(_xlfn._xlws.FILTER(tblGJ[[Date]:[Credit]],(tblGJ[Account Code]=C6)*(tblGJ[Date]&lt;=C7)*((tblGJ[Bank Cleared Date]=0)+(tblGJ[Bank Cleared Date]&gt;C7))),"– none –")</f>
        <v>46325</v>
      </c>
      <c r="C38" s="1" t="str">
        <v>PV-2610</v>
      </c>
      <c r="D38" s="1">
        <v>1120</v>
      </c>
      <c r="E38" s="1" t="str">
        <v>Bank BCA - Current Account</v>
      </c>
      <c r="F38" s="1" t="str">
        <v>Vendor payments batch - Oct</v>
      </c>
      <c r="G38" s="5">
        <v>0</v>
      </c>
      <c r="H38" s="5">
        <v>791159030</v>
      </c>
    </row>
    <row r="39" spans="2:8" x14ac:dyDescent="0.35">
      <c r="B39" s="109">
        <v>46326</v>
      </c>
      <c r="C39" s="1" t="str">
        <v>SJ-2610</v>
      </c>
      <c r="D39" s="1">
        <v>1120</v>
      </c>
      <c r="E39" s="1" t="str">
        <v>Bank BCA - Current Account</v>
      </c>
      <c r="F39" s="1" t="str">
        <v>QRIS / transfer sales settlement - Oct</v>
      </c>
      <c r="G39" s="5">
        <v>211355100</v>
      </c>
      <c r="H39" s="5">
        <v>0</v>
      </c>
    </row>
    <row r="40" spans="2:8" x14ac:dyDescent="0.35">
      <c r="B40" s="109"/>
      <c r="G40" s="5"/>
      <c r="H40" s="5"/>
    </row>
    <row r="41" spans="2:8" x14ac:dyDescent="0.35">
      <c r="B41" s="109"/>
      <c r="G41" s="5"/>
      <c r="H41" s="5"/>
    </row>
    <row r="42" spans="2:8" x14ac:dyDescent="0.35">
      <c r="B42" s="109"/>
      <c r="G42" s="5"/>
      <c r="H42" s="5"/>
    </row>
    <row r="43" spans="2:8" x14ac:dyDescent="0.35">
      <c r="B43" s="109"/>
      <c r="G43" s="5"/>
      <c r="H43" s="5"/>
    </row>
    <row r="44" spans="2:8" x14ac:dyDescent="0.35">
      <c r="B44" s="109"/>
      <c r="G44" s="5"/>
      <c r="H44" s="5"/>
    </row>
    <row r="45" spans="2:8" x14ac:dyDescent="0.35">
      <c r="B45" s="109"/>
      <c r="G45" s="5"/>
      <c r="H45" s="5"/>
    </row>
    <row r="46" spans="2:8" x14ac:dyDescent="0.35">
      <c r="B46" s="109"/>
      <c r="G46" s="5"/>
      <c r="H46" s="5"/>
    </row>
    <row r="47" spans="2:8" x14ac:dyDescent="0.35">
      <c r="B47" s="109"/>
      <c r="G47" s="5"/>
      <c r="H47" s="5"/>
    </row>
    <row r="48" spans="2:8" x14ac:dyDescent="0.35">
      <c r="B48" s="109"/>
      <c r="G48" s="5"/>
      <c r="H48" s="5"/>
    </row>
    <row r="49" spans="2:8" x14ac:dyDescent="0.35">
      <c r="B49" s="109"/>
      <c r="G49" s="5"/>
      <c r="H49" s="5"/>
    </row>
    <row r="50" spans="2:8" x14ac:dyDescent="0.35">
      <c r="B50" s="109"/>
      <c r="G50" s="5"/>
      <c r="H50" s="5"/>
    </row>
  </sheetData>
  <mergeCells count="4">
    <mergeCell ref="J2:L2"/>
    <mergeCell ref="T2:U2"/>
    <mergeCell ref="W2:X2"/>
    <mergeCell ref="Z2:AA2"/>
  </mergeCells>
  <conditionalFormatting sqref="C22">
    <cfRule type="containsText" dxfId="21" priority="1" operator="containsText" text="✔">
      <formula>NOT(ISERROR(SEARCH("✔",C22)))</formula>
    </cfRule>
  </conditionalFormatting>
  <conditionalFormatting sqref="C22">
    <cfRule type="containsText" dxfId="20" priority="2" operator="containsText" text="✖">
      <formula>NOT(ISERROR(SEARCH("✖",C22)))</formula>
    </cfRule>
  </conditionalFormatting>
  <conditionalFormatting sqref="K8:S19">
    <cfRule type="expression" dxfId="19" priority="3">
      <formula>$L8=PEnd</formula>
    </cfRule>
  </conditionalFormatting>
  <dataValidations count="1">
    <dataValidation type="list" allowBlank="1" showInputMessage="1" showErrorMessage="1" sqref="C6" xr:uid="{76EFCDFD-C6F1-4833-B51A-19101DA9814B}">
      <formula1>"1120,1130"</formula1>
    </dataValidation>
  </dataValidations>
  <hyperlinks>
    <hyperlink ref="B2" location="'Dashboard'!A1" tooltip="Go to Dashboard" display="🏠 HOME" xr:uid="{4B9DE2FA-8161-4580-B060-645976E5B53B}"/>
    <hyperlink ref="D2" location="'Bank Statement'!A1" tooltip="Go to Bank Statement" display="◀ PREV" xr:uid="{08E86D56-0629-465A-BFC4-4CD2A64B3689}"/>
    <hyperlink ref="F2" location="'Sales Invoice'!A1" tooltip="Go to Sales Invoice" display="NEXT ▶" xr:uid="{4F6EE51A-4B23-403B-A408-72BD19788F54}"/>
    <hyperlink ref="H2" location="'Dashboard'!B5" tooltip="Go to Dashboard" display="☰ MENU" xr:uid="{23F9B3E4-B43C-487D-BC13-2D8399978245}"/>
    <hyperlink ref="J2:L2" location="'General Journal'!A1" tooltip="Go to General Journal" display="Journal" xr:uid="{FBFD6BBF-A762-4B47-B2F9-A29B921F9A2B}"/>
    <hyperlink ref="N2" location="'Trial Balance'!A1" tooltip="Go to Trial Balance" display="Trial Bal." xr:uid="{C36BCC3B-C274-430E-A05C-6D7F3164D1A8}"/>
    <hyperlink ref="P2" location="'Income Statement'!A1" tooltip="Go to Income Statement" display="Income St." xr:uid="{6CEDFD5B-CC63-434F-8FC1-026E802ADA8E}"/>
    <hyperlink ref="R2" location="'Balance Sheet'!A1" tooltip="Go to Balance Sheet" display="Balance Sh." xr:uid="{33E9645C-645E-4E0D-A61D-D3FCEAFD1E22}"/>
    <hyperlink ref="T2:U2" location="'Tax Reconciliation'!A1" tooltip="Go to Tax Reconciliation" display="Tax Recon" xr:uid="{85E4B636-5CF5-4164-9627-91D96EF8EC80}"/>
    <hyperlink ref="W2:X2" location="'Bank Reconciliation'!A1" tooltip="You are here" display="Bank Recon" xr:uid="{210B581A-F4D0-4BEB-8BEB-ABCD770B2662}"/>
    <hyperlink ref="Z2:AA2" location="'Controls'!A1" tooltip="Go to Controls" display="Controls" xr:uid="{17923891-7C2B-4572-A807-87EA8531A52D}"/>
  </hyperlink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05E8-84E9-4466-BFFF-F08173504785}">
  <sheetPr>
    <tabColor rgb="FF0EA5E9"/>
  </sheetPr>
  <dimension ref="A1:BH4476"/>
  <sheetViews>
    <sheetView showGridLines="0" topLeftCell="A6" workbookViewId="0">
      <selection activeCell="D10" sqref="D10"/>
    </sheetView>
  </sheetViews>
  <sheetFormatPr defaultRowHeight="14.5" x14ac:dyDescent="0.35"/>
  <cols>
    <col min="1" max="1" width="1.453125" style="1" customWidth="1"/>
    <col min="2" max="2" width="5.453125" style="1" customWidth="1"/>
    <col min="3" max="3" width="10.90625" style="1" customWidth="1"/>
    <col min="4" max="4" width="40" style="1" customWidth="1"/>
    <col min="5" max="5" width="9.08984375" style="1" customWidth="1"/>
    <col min="6" max="6" width="10" style="1" customWidth="1"/>
    <col min="7" max="7" width="17.26953125" style="1" customWidth="1"/>
    <col min="8" max="8" width="20" style="1" customWidth="1"/>
    <col min="9" max="10" width="3.6328125" style="1" customWidth="1"/>
    <col min="11" max="11" width="16.36328125" style="110" customWidth="1"/>
    <col min="12" max="52" width="8.7265625" style="1"/>
  </cols>
  <sheetData>
    <row r="1" spans="1:60" ht="5" customHeight="1" x14ac:dyDescent="0.35"/>
    <row r="2" spans="1:60" ht="18" customHeight="1" thickBot="1" x14ac:dyDescent="0.4">
      <c r="A2" s="307"/>
      <c r="B2" s="312" t="s">
        <v>7075</v>
      </c>
      <c r="C2" s="313"/>
      <c r="D2" s="307"/>
      <c r="E2" s="310" t="s">
        <v>7076</v>
      </c>
      <c r="F2" s="311"/>
      <c r="G2" s="307"/>
      <c r="H2" s="309" t="s">
        <v>7077</v>
      </c>
      <c r="I2" s="307"/>
      <c r="J2" s="312" t="s">
        <v>7078</v>
      </c>
      <c r="K2" s="313"/>
      <c r="L2" s="307"/>
      <c r="M2" s="314" t="s">
        <v>7079</v>
      </c>
      <c r="N2" s="315"/>
      <c r="O2" s="307"/>
      <c r="P2" s="314" t="s">
        <v>7080</v>
      </c>
      <c r="Q2" s="315"/>
      <c r="R2" s="307"/>
      <c r="S2" s="314" t="s">
        <v>7081</v>
      </c>
      <c r="T2" s="315"/>
      <c r="U2" s="307"/>
      <c r="V2" s="314" t="s">
        <v>7082</v>
      </c>
      <c r="W2" s="315"/>
      <c r="X2" s="307"/>
      <c r="Y2" s="314" t="s">
        <v>7083</v>
      </c>
      <c r="Z2" s="315"/>
      <c r="AA2" s="307"/>
      <c r="AB2" s="314" t="s">
        <v>7084</v>
      </c>
      <c r="AC2" s="315"/>
      <c r="AD2" s="307"/>
      <c r="AE2" s="314" t="s">
        <v>7085</v>
      </c>
      <c r="AF2" s="315"/>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6841</v>
      </c>
      <c r="C4" s="67"/>
      <c r="D4" s="67"/>
      <c r="E4" s="67"/>
      <c r="F4" s="67"/>
      <c r="G4" s="67"/>
      <c r="H4" s="67"/>
    </row>
    <row r="5" spans="1:60" x14ac:dyDescent="0.35">
      <c r="B5" s="72" t="s">
        <v>6842</v>
      </c>
    </row>
    <row r="6" spans="1:60" ht="28" customHeight="1" x14ac:dyDescent="0.6">
      <c r="B6" s="162" t="str">
        <f>UPPER(CompanyName)</f>
        <v>PT NUSANTARA SEJAHTERA ABADI</v>
      </c>
      <c r="C6" s="162"/>
      <c r="D6" s="162"/>
      <c r="E6" s="162"/>
      <c r="F6" s="163" t="s">
        <v>6843</v>
      </c>
      <c r="G6" s="163"/>
      <c r="H6" s="163"/>
      <c r="K6" s="110" t="s">
        <v>6849</v>
      </c>
    </row>
    <row r="7" spans="1:60" x14ac:dyDescent="0.35">
      <c r="B7" s="165" t="str">
        <f>'Company Info'!C12&amp;", "&amp;'Company Info'!C13</f>
        <v>Jl. Jend. Sudirman Kav. 52-53, Jakarta Selatan 12190, Jakarta</v>
      </c>
      <c r="C7" s="165"/>
      <c r="D7" s="165"/>
      <c r="E7" s="165"/>
      <c r="F7" s="164" t="str">
        <f>"Tax invoice (Faktur Pajak) reference: 010.000-"&amp;RIGHT(FYear,2)&amp;"."&amp;RIGHT(H10,8)</f>
        <v>Tax invoice (Faktur Pajak) reference: 010.000-26.610-0001</v>
      </c>
      <c r="G7" s="164"/>
      <c r="H7" s="164"/>
      <c r="K7" s="110" t="str" cm="1">
        <f t="array" ref="K7:K4476">_xlfn.UNIQUE(tblSales[Invoice No])</f>
        <v>INV-2601-0001</v>
      </c>
    </row>
    <row r="8" spans="1:60" x14ac:dyDescent="0.35">
      <c r="B8" s="165" t="str">
        <f>"NPWP: "&amp;'Company Info'!C9&amp;"  •  "&amp;'Company Info'!C14&amp;"  •  "&amp;'Company Info'!C15</f>
        <v>NPWP: 0123456789012000  •  +62 21 5150 8888  •  finance@nusantarasejahtera.co.id</v>
      </c>
      <c r="C8" s="165"/>
      <c r="D8" s="165"/>
      <c r="E8" s="165"/>
      <c r="K8" s="110" t="str">
        <v>INV-2601-0002</v>
      </c>
    </row>
    <row r="9" spans="1:60" ht="15" thickBot="1" x14ac:dyDescent="0.4">
      <c r="B9" s="166"/>
      <c r="C9" s="166"/>
      <c r="D9" s="166"/>
      <c r="E9" s="166"/>
      <c r="F9" s="166"/>
      <c r="G9" s="166"/>
      <c r="H9" s="166"/>
      <c r="K9" s="110" t="str">
        <v>INV-2601-0003</v>
      </c>
    </row>
    <row r="10" spans="1:60" x14ac:dyDescent="0.35">
      <c r="B10" s="75" t="s">
        <v>6844</v>
      </c>
      <c r="G10" s="167" t="s">
        <v>6845</v>
      </c>
      <c r="H10" s="169" t="s">
        <v>3066</v>
      </c>
      <c r="K10" s="110" t="str">
        <v>INV-2601-0004</v>
      </c>
    </row>
    <row r="11" spans="1:60" x14ac:dyDescent="0.35">
      <c r="C11" s="168" t="str">
        <f>_xlfn.XLOOKUP(_xlfn.XLOOKUP(H10,tblSales[Invoice No],tblSales[Customer ID],""),tblCustomers[Customer ID],tblCustomers[Customer Name],"⚠ Invoice not found")</f>
        <v>PT Mega Prima Distribusi</v>
      </c>
      <c r="D11" s="168"/>
      <c r="E11" s="168"/>
      <c r="F11" s="168"/>
      <c r="G11" s="167" t="s">
        <v>6846</v>
      </c>
      <c r="H11" s="170">
        <f>_xlfn.XLOOKUP(H10,tblSales[Invoice No],tblSales[Date],"")</f>
        <v>46296</v>
      </c>
      <c r="K11" s="110" t="str">
        <v>INV-2601-0005</v>
      </c>
    </row>
    <row r="12" spans="1:60" x14ac:dyDescent="0.35">
      <c r="C12" s="20" t="str">
        <f>_xlfn.XLOOKUP(_xlfn.XLOOKUP(H10,tblSales[Invoice No],tblSales[Customer ID],""),tblCustomers[Customer ID],tblCustomers[Address],"")</f>
        <v>Jl. Raya Bekasi Km 22</v>
      </c>
      <c r="D12" s="20"/>
      <c r="E12" s="20"/>
      <c r="F12" s="20"/>
      <c r="G12" s="167" t="s">
        <v>6847</v>
      </c>
      <c r="H12" s="170">
        <f>IFERROR(H11+_xlfn.XLOOKUP(_xlfn.XLOOKUP(H10,tblSales[Invoice No],tblSales[Customer ID]),tblCustomers[Customer ID],tblCustomers[Payment Terms (days)]),"")</f>
        <v>46326</v>
      </c>
      <c r="K12" s="110" t="str">
        <v>INV-2601-0006</v>
      </c>
    </row>
    <row r="13" spans="1:60" x14ac:dyDescent="0.35">
      <c r="C13" s="20" t="str">
        <f>_xlfn.XLOOKUP(_xlfn.XLOOKUP(H10,tblSales[Invoice No],tblSales[Customer ID],""),tblCustomers[Customer ID],tblCustomers[City],"")</f>
        <v>Bekasi</v>
      </c>
      <c r="D13" s="20"/>
      <c r="E13" s="20"/>
      <c r="F13" s="20"/>
      <c r="G13" s="167" t="s">
        <v>4863</v>
      </c>
      <c r="H13" s="153" t="str">
        <f>_xlfn.XLOOKUP(H10,tblSales[Invoice No],tblSales[Payment Method],"")</f>
        <v>Credit (Term)</v>
      </c>
      <c r="K13" s="110" t="str">
        <v>INV-2601-0007</v>
      </c>
    </row>
    <row r="14" spans="1:60" x14ac:dyDescent="0.35">
      <c r="C14" s="20" t="str">
        <f>"NPWP: "&amp;_xlfn.XLOOKUP(_xlfn.XLOOKUP(H10,tblSales[Invoice No],tblSales[Customer ID],""),tblCustomers[Customer ID],tblCustomers[NPWP],"")</f>
        <v>NPWP: 0819012345678000</v>
      </c>
      <c r="D14" s="20"/>
      <c r="E14" s="20"/>
      <c r="F14" s="20"/>
      <c r="G14" s="167" t="s">
        <v>6848</v>
      </c>
      <c r="H14" s="153" t="str">
        <f>_xlfn.XLOOKUP(H10,tblSales[Invoice No],tblSales[Channel],"")</f>
        <v>In-store</v>
      </c>
      <c r="K14" s="110" t="str">
        <v>INV-2601-0008</v>
      </c>
    </row>
    <row r="15" spans="1:60" x14ac:dyDescent="0.35">
      <c r="K15" s="110" t="str">
        <v>INV-2601-0009</v>
      </c>
    </row>
    <row r="16" spans="1:60" ht="18" customHeight="1" x14ac:dyDescent="0.35">
      <c r="B16" s="68" t="s">
        <v>4280</v>
      </c>
      <c r="C16" s="68" t="s">
        <v>4852</v>
      </c>
      <c r="D16" s="68" t="s">
        <v>4368</v>
      </c>
      <c r="E16" s="136" t="s">
        <v>37</v>
      </c>
      <c r="F16" s="136" t="s">
        <v>4389</v>
      </c>
      <c r="G16" s="136" t="s">
        <v>5076</v>
      </c>
      <c r="H16" s="136" t="s">
        <v>6850</v>
      </c>
      <c r="K16" s="110" t="str">
        <v>INV-2601-0010</v>
      </c>
    </row>
    <row r="17" spans="2:11" x14ac:dyDescent="0.35">
      <c r="B17" s="176" cm="1">
        <f t="array" ref="B17:H19">_xlfn.LET(_xlpm.f,_xlfn._xlws.FILTER(_xlfn.HSTACK(tblSales[Product Code],tblSales[Product / Service],tblSales[Qty],_xlfn.XLOOKUP(tblSales[Product Code],tblProducts[Code],tblProducts[Unit],""),tblSales[Unit Price],tblSales[DPP (excl. VAT)]),tblSales[Invoice No]=H10,""),IFERROR(_xlfn.HSTACK(_xlfn.SEQUENCE(ROWS(_xlpm.f)),_xlpm.f),""))</f>
        <v>1</v>
      </c>
      <c r="C17" s="114" t="str">
        <v>P02</v>
      </c>
      <c r="D17" s="114" t="str">
        <v>Premium Basic T-shirt</v>
      </c>
      <c r="E17" s="173">
        <v>32</v>
      </c>
      <c r="F17" s="179" t="str">
        <v>pcs</v>
      </c>
      <c r="G17" s="115">
        <v>65000</v>
      </c>
      <c r="H17" s="115">
        <v>2080000</v>
      </c>
      <c r="K17" s="110" t="str">
        <v>INV-2601-0011</v>
      </c>
    </row>
    <row r="18" spans="2:11" x14ac:dyDescent="0.35">
      <c r="B18" s="177">
        <v>2</v>
      </c>
      <c r="C18" s="73" t="str">
        <v>P08</v>
      </c>
      <c r="D18" s="73" t="str">
        <v>Backpack</v>
      </c>
      <c r="E18" s="174">
        <v>8</v>
      </c>
      <c r="F18" s="180" t="str">
        <v>pcs</v>
      </c>
      <c r="G18" s="116">
        <v>500000</v>
      </c>
      <c r="H18" s="116">
        <v>4000000</v>
      </c>
      <c r="K18" s="110" t="str">
        <v>INV-2601-0012</v>
      </c>
    </row>
    <row r="19" spans="2:11" x14ac:dyDescent="0.35">
      <c r="B19" s="177">
        <v>3</v>
      </c>
      <c r="C19" s="73" t="str">
        <v>P05</v>
      </c>
      <c r="D19" s="73" t="str">
        <v>Chino Pants</v>
      </c>
      <c r="E19" s="174">
        <v>24</v>
      </c>
      <c r="F19" s="180" t="str">
        <v>pcs</v>
      </c>
      <c r="G19" s="116">
        <v>150000</v>
      </c>
      <c r="H19" s="116">
        <v>3600000</v>
      </c>
      <c r="K19" s="110" t="str">
        <v>INV-2601-0013</v>
      </c>
    </row>
    <row r="20" spans="2:11" x14ac:dyDescent="0.35">
      <c r="B20" s="177"/>
      <c r="C20" s="73"/>
      <c r="D20" s="73"/>
      <c r="E20" s="174"/>
      <c r="F20" s="180"/>
      <c r="G20" s="116"/>
      <c r="H20" s="116"/>
      <c r="K20" s="110" t="str">
        <v>INV-2601-0014</v>
      </c>
    </row>
    <row r="21" spans="2:11" x14ac:dyDescent="0.35">
      <c r="B21" s="177"/>
      <c r="C21" s="73"/>
      <c r="D21" s="73"/>
      <c r="E21" s="174"/>
      <c r="F21" s="180"/>
      <c r="G21" s="116"/>
      <c r="H21" s="116"/>
      <c r="K21" s="110" t="str">
        <v>INV-2601-0015</v>
      </c>
    </row>
    <row r="22" spans="2:11" x14ac:dyDescent="0.35">
      <c r="B22" s="177"/>
      <c r="C22" s="73"/>
      <c r="D22" s="73"/>
      <c r="E22" s="174"/>
      <c r="F22" s="180"/>
      <c r="G22" s="116"/>
      <c r="H22" s="116"/>
      <c r="K22" s="110" t="str">
        <v>INV-2601-0016</v>
      </c>
    </row>
    <row r="23" spans="2:11" x14ac:dyDescent="0.35">
      <c r="B23" s="177"/>
      <c r="C23" s="73"/>
      <c r="D23" s="73"/>
      <c r="E23" s="174"/>
      <c r="F23" s="180"/>
      <c r="G23" s="116"/>
      <c r="H23" s="116"/>
      <c r="K23" s="110" t="str">
        <v>INV-2601-0017</v>
      </c>
    </row>
    <row r="24" spans="2:11" x14ac:dyDescent="0.35">
      <c r="B24" s="177"/>
      <c r="C24" s="73"/>
      <c r="D24" s="73"/>
      <c r="E24" s="174"/>
      <c r="F24" s="180"/>
      <c r="G24" s="116"/>
      <c r="H24" s="116"/>
      <c r="K24" s="110" t="str">
        <v>INV-2601-0018</v>
      </c>
    </row>
    <row r="25" spans="2:11" x14ac:dyDescent="0.35">
      <c r="B25" s="177"/>
      <c r="C25" s="73"/>
      <c r="D25" s="73"/>
      <c r="E25" s="174"/>
      <c r="F25" s="180"/>
      <c r="G25" s="116"/>
      <c r="H25" s="116"/>
      <c r="K25" s="110" t="str">
        <v>INV-2601-0019</v>
      </c>
    </row>
    <row r="26" spans="2:11" x14ac:dyDescent="0.35">
      <c r="B26" s="178"/>
      <c r="C26" s="171"/>
      <c r="D26" s="171"/>
      <c r="E26" s="175"/>
      <c r="F26" s="181"/>
      <c r="G26" s="172"/>
      <c r="H26" s="172"/>
      <c r="K26" s="110" t="str">
        <v>INV-2601-0020</v>
      </c>
    </row>
    <row r="27" spans="2:11" x14ac:dyDescent="0.35">
      <c r="K27" s="110" t="str">
        <v>INV-2601-0021</v>
      </c>
    </row>
    <row r="28" spans="2:11" x14ac:dyDescent="0.35">
      <c r="B28" s="75" t="s">
        <v>6854</v>
      </c>
      <c r="F28" s="21" t="s">
        <v>6851</v>
      </c>
      <c r="G28" s="21"/>
      <c r="H28" s="5">
        <f>SUM(H17:H26)</f>
        <v>9680000</v>
      </c>
      <c r="K28" s="110" t="str">
        <v>INV-2601-0022</v>
      </c>
    </row>
    <row r="29" spans="2:11" x14ac:dyDescent="0.35">
      <c r="B29" s="20" t="str">
        <f>"Bank BCA  •  A/C "&amp;'Bank Statement'!D7&amp;"  •  a.n. "&amp;CompanyName</f>
        <v>Bank BCA  •  A/C 527-001-8899  •  a.n. PT Nusantara Sejahtera Abadi</v>
      </c>
      <c r="C29" s="20"/>
      <c r="D29" s="20"/>
      <c r="E29" s="20"/>
      <c r="F29" s="164" t="s">
        <v>6852</v>
      </c>
      <c r="G29" s="164"/>
      <c r="H29" s="184">
        <f>ROUND(H28*VATFactor,0)</f>
        <v>8873333</v>
      </c>
      <c r="K29" s="110" t="str">
        <v>INV-2601-0023</v>
      </c>
    </row>
    <row r="30" spans="2:11" x14ac:dyDescent="0.35">
      <c r="B30" s="20" t="str">
        <f>"Bank Mandiri  •  A/C "&amp;'Bank Statement'!D8&amp;"  •  a.n. "&amp;CompanyName</f>
        <v>Bank Mandiri  •  A/C 123-00-0456789-0  •  a.n. PT Nusantara Sejahtera Abadi</v>
      </c>
      <c r="C30" s="20"/>
      <c r="D30" s="20"/>
      <c r="E30" s="20"/>
      <c r="F30" s="21" t="str">
        <f>"VAT (PPN) "&amp;TEXT(VATRate,"0%")</f>
        <v>VAT (PPN) 12%</v>
      </c>
      <c r="G30" s="21"/>
      <c r="H30" s="5">
        <f>SUMIFS(tblSales[Output VAT],tblSales[Invoice No],H10)</f>
        <v>1064800</v>
      </c>
      <c r="K30" s="110" t="str">
        <v>INV-2601-0024</v>
      </c>
    </row>
    <row r="31" spans="2:11" ht="20" customHeight="1" x14ac:dyDescent="0.35">
      <c r="B31" s="22" t="str">
        <f>IF(H13="Credit (Term)","Please pay by "&amp;TEXT(H12,"[$-409]dd mmmm yyyy")&amp;" and quote the invoice number.","PAID – thank you for your purchase.")</f>
        <v>Please pay by 31 October 2026 and quote the invoice number.</v>
      </c>
      <c r="C31" s="22"/>
      <c r="D31" s="22"/>
      <c r="E31" s="22"/>
      <c r="F31" s="182" t="s">
        <v>6853</v>
      </c>
      <c r="G31" s="182"/>
      <c r="H31" s="183">
        <f>H28+H30</f>
        <v>10744800</v>
      </c>
      <c r="K31" s="110" t="str">
        <v>INV-2601-0025</v>
      </c>
    </row>
    <row r="32" spans="2:11" x14ac:dyDescent="0.35">
      <c r="K32" s="110" t="str">
        <v>INV-2601-0026</v>
      </c>
    </row>
    <row r="33" spans="2:11" x14ac:dyDescent="0.35">
      <c r="B33" s="185" t="s">
        <v>6855</v>
      </c>
      <c r="C33" s="20"/>
      <c r="D33" s="20"/>
      <c r="E33" s="20"/>
      <c r="K33" s="110" t="str">
        <v>INV-2601-0027</v>
      </c>
    </row>
    <row r="34" spans="2:11" x14ac:dyDescent="0.35">
      <c r="F34" s="186" t="s">
        <v>6856</v>
      </c>
      <c r="G34" s="20"/>
      <c r="H34" s="20"/>
      <c r="K34" s="110" t="str">
        <v>INV-2601-0028</v>
      </c>
    </row>
    <row r="35" spans="2:11" x14ac:dyDescent="0.35">
      <c r="K35" s="110" t="str">
        <v>INV-2601-0029</v>
      </c>
    </row>
    <row r="36" spans="2:11" x14ac:dyDescent="0.35">
      <c r="K36" s="110" t="str">
        <v>INV-2601-0030</v>
      </c>
    </row>
    <row r="37" spans="2:11" x14ac:dyDescent="0.35">
      <c r="K37" s="110" t="str">
        <v>INV-2601-0031</v>
      </c>
    </row>
    <row r="38" spans="2:11" x14ac:dyDescent="0.35">
      <c r="F38" s="187" t="str">
        <f>'Company Info'!C25</f>
        <v>Siti Rahmawati</v>
      </c>
      <c r="G38" s="187"/>
      <c r="H38" s="187"/>
      <c r="K38" s="110" t="str">
        <v>INV-2601-0032</v>
      </c>
    </row>
    <row r="39" spans="2:11" x14ac:dyDescent="0.35">
      <c r="F39" s="188" t="s">
        <v>4323</v>
      </c>
      <c r="G39" s="188"/>
      <c r="H39" s="188"/>
      <c r="K39" s="110" t="str">
        <v>INV-2601-0033</v>
      </c>
    </row>
    <row r="40" spans="2:11" x14ac:dyDescent="0.35">
      <c r="K40" s="110" t="str">
        <v>INV-2601-0034</v>
      </c>
    </row>
    <row r="41" spans="2:11" x14ac:dyDescent="0.35">
      <c r="K41" s="110" t="str">
        <v>INV-2601-0035</v>
      </c>
    </row>
    <row r="42" spans="2:11" x14ac:dyDescent="0.35">
      <c r="K42" s="110" t="str">
        <v>INV-2601-0036</v>
      </c>
    </row>
    <row r="43" spans="2:11" x14ac:dyDescent="0.35">
      <c r="K43" s="110" t="str">
        <v>INV-2601-0037</v>
      </c>
    </row>
    <row r="44" spans="2:11" x14ac:dyDescent="0.35">
      <c r="K44" s="110" t="str">
        <v>INV-2601-0038</v>
      </c>
    </row>
    <row r="45" spans="2:11" x14ac:dyDescent="0.35">
      <c r="K45" s="110" t="str">
        <v>INV-2601-0039</v>
      </c>
    </row>
    <row r="46" spans="2:11" x14ac:dyDescent="0.35">
      <c r="K46" s="110" t="str">
        <v>INV-2601-0040</v>
      </c>
    </row>
    <row r="47" spans="2:11" x14ac:dyDescent="0.35">
      <c r="K47" s="110" t="str">
        <v>INV-2601-0041</v>
      </c>
    </row>
    <row r="48" spans="2:11" x14ac:dyDescent="0.35">
      <c r="K48" s="110" t="str">
        <v>INV-2601-0042</v>
      </c>
    </row>
    <row r="49" spans="11:11" x14ac:dyDescent="0.35">
      <c r="K49" s="110" t="str">
        <v>INV-2601-0043</v>
      </c>
    </row>
    <row r="50" spans="11:11" x14ac:dyDescent="0.35">
      <c r="K50" s="110" t="str">
        <v>INV-2601-0044</v>
      </c>
    </row>
    <row r="51" spans="11:11" x14ac:dyDescent="0.35">
      <c r="K51" s="110" t="str">
        <v>INV-2601-0045</v>
      </c>
    </row>
    <row r="52" spans="11:11" x14ac:dyDescent="0.35">
      <c r="K52" s="110" t="str">
        <v>INV-2601-0046</v>
      </c>
    </row>
    <row r="53" spans="11:11" x14ac:dyDescent="0.35">
      <c r="K53" s="110" t="str">
        <v>INV-2601-0047</v>
      </c>
    </row>
    <row r="54" spans="11:11" x14ac:dyDescent="0.35">
      <c r="K54" s="110" t="str">
        <v>INV-2601-0048</v>
      </c>
    </row>
    <row r="55" spans="11:11" x14ac:dyDescent="0.35">
      <c r="K55" s="110" t="str">
        <v>INV-2601-0049</v>
      </c>
    </row>
    <row r="56" spans="11:11" x14ac:dyDescent="0.35">
      <c r="K56" s="110" t="str">
        <v>INV-2601-0050</v>
      </c>
    </row>
    <row r="57" spans="11:11" x14ac:dyDescent="0.35">
      <c r="K57" s="110" t="str">
        <v>INV-2601-0051</v>
      </c>
    </row>
    <row r="58" spans="11:11" x14ac:dyDescent="0.35">
      <c r="K58" s="110" t="str">
        <v>INV-2601-0052</v>
      </c>
    </row>
    <row r="59" spans="11:11" x14ac:dyDescent="0.35">
      <c r="K59" s="110" t="str">
        <v>INV-2601-0053</v>
      </c>
    </row>
    <row r="60" spans="11:11" x14ac:dyDescent="0.35">
      <c r="K60" s="110" t="str">
        <v>INV-2601-0054</v>
      </c>
    </row>
    <row r="61" spans="11:11" x14ac:dyDescent="0.35">
      <c r="K61" s="110" t="str">
        <v>INV-2601-0055</v>
      </c>
    </row>
    <row r="62" spans="11:11" x14ac:dyDescent="0.35">
      <c r="K62" s="110" t="str">
        <v>INV-2601-0056</v>
      </c>
    </row>
    <row r="63" spans="11:11" x14ac:dyDescent="0.35">
      <c r="K63" s="110" t="str">
        <v>INV-2601-0057</v>
      </c>
    </row>
    <row r="64" spans="11:11" x14ac:dyDescent="0.35">
      <c r="K64" s="110" t="str">
        <v>INV-2601-0058</v>
      </c>
    </row>
    <row r="65" spans="11:11" x14ac:dyDescent="0.35">
      <c r="K65" s="110" t="str">
        <v>INV-2601-0059</v>
      </c>
    </row>
    <row r="66" spans="11:11" x14ac:dyDescent="0.35">
      <c r="K66" s="110" t="str">
        <v>INV-2601-0060</v>
      </c>
    </row>
    <row r="67" spans="11:11" x14ac:dyDescent="0.35">
      <c r="K67" s="110" t="str">
        <v>INV-2601-0061</v>
      </c>
    </row>
    <row r="68" spans="11:11" x14ac:dyDescent="0.35">
      <c r="K68" s="110" t="str">
        <v>INV-2601-0062</v>
      </c>
    </row>
    <row r="69" spans="11:11" x14ac:dyDescent="0.35">
      <c r="K69" s="110" t="str">
        <v>INV-2601-0063</v>
      </c>
    </row>
    <row r="70" spans="11:11" x14ac:dyDescent="0.35">
      <c r="K70" s="110" t="str">
        <v>INV-2601-0064</v>
      </c>
    </row>
    <row r="71" spans="11:11" x14ac:dyDescent="0.35">
      <c r="K71" s="110" t="str">
        <v>INV-2601-0065</v>
      </c>
    </row>
    <row r="72" spans="11:11" x14ac:dyDescent="0.35">
      <c r="K72" s="110" t="str">
        <v>INV-2601-0066</v>
      </c>
    </row>
    <row r="73" spans="11:11" x14ac:dyDescent="0.35">
      <c r="K73" s="110" t="str">
        <v>INV-2601-0067</v>
      </c>
    </row>
    <row r="74" spans="11:11" x14ac:dyDescent="0.35">
      <c r="K74" s="110" t="str">
        <v>INV-2601-0068</v>
      </c>
    </row>
    <row r="75" spans="11:11" x14ac:dyDescent="0.35">
      <c r="K75" s="110" t="str">
        <v>INV-2601-0069</v>
      </c>
    </row>
    <row r="76" spans="11:11" x14ac:dyDescent="0.35">
      <c r="K76" s="110" t="str">
        <v>INV-2601-0070</v>
      </c>
    </row>
    <row r="77" spans="11:11" x14ac:dyDescent="0.35">
      <c r="K77" s="110" t="str">
        <v>INV-2601-0071</v>
      </c>
    </row>
    <row r="78" spans="11:11" x14ac:dyDescent="0.35">
      <c r="K78" s="110" t="str">
        <v>INV-2601-0072</v>
      </c>
    </row>
    <row r="79" spans="11:11" x14ac:dyDescent="0.35">
      <c r="K79" s="110" t="str">
        <v>INV-2601-0073</v>
      </c>
    </row>
    <row r="80" spans="11:11" x14ac:dyDescent="0.35">
      <c r="K80" s="110" t="str">
        <v>INV-2601-0074</v>
      </c>
    </row>
    <row r="81" spans="11:11" x14ac:dyDescent="0.35">
      <c r="K81" s="110" t="str">
        <v>INV-2601-0075</v>
      </c>
    </row>
    <row r="82" spans="11:11" x14ac:dyDescent="0.35">
      <c r="K82" s="110" t="str">
        <v>INV-2601-0076</v>
      </c>
    </row>
    <row r="83" spans="11:11" x14ac:dyDescent="0.35">
      <c r="K83" s="110" t="str">
        <v>INV-2601-0077</v>
      </c>
    </row>
    <row r="84" spans="11:11" x14ac:dyDescent="0.35">
      <c r="K84" s="110" t="str">
        <v>INV-2601-0078</v>
      </c>
    </row>
    <row r="85" spans="11:11" x14ac:dyDescent="0.35">
      <c r="K85" s="110" t="str">
        <v>INV-2601-0079</v>
      </c>
    </row>
    <row r="86" spans="11:11" x14ac:dyDescent="0.35">
      <c r="K86" s="110" t="str">
        <v>INV-2601-0080</v>
      </c>
    </row>
    <row r="87" spans="11:11" x14ac:dyDescent="0.35">
      <c r="K87" s="110" t="str">
        <v>INV-2601-0081</v>
      </c>
    </row>
    <row r="88" spans="11:11" x14ac:dyDescent="0.35">
      <c r="K88" s="110" t="str">
        <v>INV-2601-0082</v>
      </c>
    </row>
    <row r="89" spans="11:11" x14ac:dyDescent="0.35">
      <c r="K89" s="110" t="str">
        <v>INV-2601-0083</v>
      </c>
    </row>
    <row r="90" spans="11:11" x14ac:dyDescent="0.35">
      <c r="K90" s="110" t="str">
        <v>INV-2601-0084</v>
      </c>
    </row>
    <row r="91" spans="11:11" x14ac:dyDescent="0.35">
      <c r="K91" s="110" t="str">
        <v>INV-2601-0085</v>
      </c>
    </row>
    <row r="92" spans="11:11" x14ac:dyDescent="0.35">
      <c r="K92" s="110" t="str">
        <v>INV-2601-0086</v>
      </c>
    </row>
    <row r="93" spans="11:11" x14ac:dyDescent="0.35">
      <c r="K93" s="110" t="str">
        <v>INV-2601-0087</v>
      </c>
    </row>
    <row r="94" spans="11:11" x14ac:dyDescent="0.35">
      <c r="K94" s="110" t="str">
        <v>INV-2601-0088</v>
      </c>
    </row>
    <row r="95" spans="11:11" x14ac:dyDescent="0.35">
      <c r="K95" s="110" t="str">
        <v>INV-2601-0089</v>
      </c>
    </row>
    <row r="96" spans="11:11" x14ac:dyDescent="0.35">
      <c r="K96" s="110" t="str">
        <v>INV-2601-0090</v>
      </c>
    </row>
    <row r="97" spans="11:11" x14ac:dyDescent="0.35">
      <c r="K97" s="110" t="str">
        <v>INV-2601-0091</v>
      </c>
    </row>
    <row r="98" spans="11:11" x14ac:dyDescent="0.35">
      <c r="K98" s="110" t="str">
        <v>INV-2601-0092</v>
      </c>
    </row>
    <row r="99" spans="11:11" x14ac:dyDescent="0.35">
      <c r="K99" s="110" t="str">
        <v>INV-2601-0093</v>
      </c>
    </row>
    <row r="100" spans="11:11" x14ac:dyDescent="0.35">
      <c r="K100" s="110" t="str">
        <v>INV-2601-0094</v>
      </c>
    </row>
    <row r="101" spans="11:11" x14ac:dyDescent="0.35">
      <c r="K101" s="110" t="str">
        <v>INV-2601-0095</v>
      </c>
    </row>
    <row r="102" spans="11:11" x14ac:dyDescent="0.35">
      <c r="K102" s="110" t="str">
        <v>INV-2601-0096</v>
      </c>
    </row>
    <row r="103" spans="11:11" x14ac:dyDescent="0.35">
      <c r="K103" s="110" t="str">
        <v>INV-2601-0097</v>
      </c>
    </row>
    <row r="104" spans="11:11" x14ac:dyDescent="0.35">
      <c r="K104" s="110" t="str">
        <v>INV-2601-0098</v>
      </c>
    </row>
    <row r="105" spans="11:11" x14ac:dyDescent="0.35">
      <c r="K105" s="110" t="str">
        <v>INV-2601-0099</v>
      </c>
    </row>
    <row r="106" spans="11:11" x14ac:dyDescent="0.35">
      <c r="K106" s="110" t="str">
        <v>INV-2601-0100</v>
      </c>
    </row>
    <row r="107" spans="11:11" x14ac:dyDescent="0.35">
      <c r="K107" s="110" t="str">
        <v>INV-2601-0101</v>
      </c>
    </row>
    <row r="108" spans="11:11" x14ac:dyDescent="0.35">
      <c r="K108" s="110" t="str">
        <v>INV-2601-0102</v>
      </c>
    </row>
    <row r="109" spans="11:11" x14ac:dyDescent="0.35">
      <c r="K109" s="110" t="str">
        <v>INV-2601-0103</v>
      </c>
    </row>
    <row r="110" spans="11:11" x14ac:dyDescent="0.35">
      <c r="K110" s="110" t="str">
        <v>INV-2601-0104</v>
      </c>
    </row>
    <row r="111" spans="11:11" x14ac:dyDescent="0.35">
      <c r="K111" s="110" t="str">
        <v>INV-2601-0105</v>
      </c>
    </row>
    <row r="112" spans="11:11" x14ac:dyDescent="0.35">
      <c r="K112" s="110" t="str">
        <v>INV-2601-0106</v>
      </c>
    </row>
    <row r="113" spans="11:11" x14ac:dyDescent="0.35">
      <c r="K113" s="110" t="str">
        <v>INV-2601-0107</v>
      </c>
    </row>
    <row r="114" spans="11:11" x14ac:dyDescent="0.35">
      <c r="K114" s="110" t="str">
        <v>INV-2601-0108</v>
      </c>
    </row>
    <row r="115" spans="11:11" x14ac:dyDescent="0.35">
      <c r="K115" s="110" t="str">
        <v>INV-2601-0109</v>
      </c>
    </row>
    <row r="116" spans="11:11" x14ac:dyDescent="0.35">
      <c r="K116" s="110" t="str">
        <v>INV-2601-0110</v>
      </c>
    </row>
    <row r="117" spans="11:11" x14ac:dyDescent="0.35">
      <c r="K117" s="110" t="str">
        <v>INV-2601-0111</v>
      </c>
    </row>
    <row r="118" spans="11:11" x14ac:dyDescent="0.35">
      <c r="K118" s="110" t="str">
        <v>INV-2601-0112</v>
      </c>
    </row>
    <row r="119" spans="11:11" x14ac:dyDescent="0.35">
      <c r="K119" s="110" t="str">
        <v>INV-2601-0113</v>
      </c>
    </row>
    <row r="120" spans="11:11" x14ac:dyDescent="0.35">
      <c r="K120" s="110" t="str">
        <v>INV-2601-0114</v>
      </c>
    </row>
    <row r="121" spans="11:11" x14ac:dyDescent="0.35">
      <c r="K121" s="110" t="str">
        <v>INV-2601-0115</v>
      </c>
    </row>
    <row r="122" spans="11:11" x14ac:dyDescent="0.35">
      <c r="K122" s="110" t="str">
        <v>INV-2601-0116</v>
      </c>
    </row>
    <row r="123" spans="11:11" x14ac:dyDescent="0.35">
      <c r="K123" s="110" t="str">
        <v>INV-2601-0117</v>
      </c>
    </row>
    <row r="124" spans="11:11" x14ac:dyDescent="0.35">
      <c r="K124" s="110" t="str">
        <v>INV-2601-0118</v>
      </c>
    </row>
    <row r="125" spans="11:11" x14ac:dyDescent="0.35">
      <c r="K125" s="110" t="str">
        <v>INV-2601-0119</v>
      </c>
    </row>
    <row r="126" spans="11:11" x14ac:dyDescent="0.35">
      <c r="K126" s="110" t="str">
        <v>INV-2601-0120</v>
      </c>
    </row>
    <row r="127" spans="11:11" x14ac:dyDescent="0.35">
      <c r="K127" s="110" t="str">
        <v>INV-2601-0121</v>
      </c>
    </row>
    <row r="128" spans="11:11" x14ac:dyDescent="0.35">
      <c r="K128" s="110" t="str">
        <v>INV-2601-0122</v>
      </c>
    </row>
    <row r="129" spans="11:11" x14ac:dyDescent="0.35">
      <c r="K129" s="110" t="str">
        <v>INV-2601-0123</v>
      </c>
    </row>
    <row r="130" spans="11:11" x14ac:dyDescent="0.35">
      <c r="K130" s="110" t="str">
        <v>INV-2601-0124</v>
      </c>
    </row>
    <row r="131" spans="11:11" x14ac:dyDescent="0.35">
      <c r="K131" s="110" t="str">
        <v>INV-2601-0125</v>
      </c>
    </row>
    <row r="132" spans="11:11" x14ac:dyDescent="0.35">
      <c r="K132" s="110" t="str">
        <v>INV-2601-0126</v>
      </c>
    </row>
    <row r="133" spans="11:11" x14ac:dyDescent="0.35">
      <c r="K133" s="110" t="str">
        <v>INV-2601-0127</v>
      </c>
    </row>
    <row r="134" spans="11:11" x14ac:dyDescent="0.35">
      <c r="K134" s="110" t="str">
        <v>INV-2601-0128</v>
      </c>
    </row>
    <row r="135" spans="11:11" x14ac:dyDescent="0.35">
      <c r="K135" s="110" t="str">
        <v>INV-2601-0129</v>
      </c>
    </row>
    <row r="136" spans="11:11" x14ac:dyDescent="0.35">
      <c r="K136" s="110" t="str">
        <v>INV-2601-0130</v>
      </c>
    </row>
    <row r="137" spans="11:11" x14ac:dyDescent="0.35">
      <c r="K137" s="110" t="str">
        <v>INV-2601-0131</v>
      </c>
    </row>
    <row r="138" spans="11:11" x14ac:dyDescent="0.35">
      <c r="K138" s="110" t="str">
        <v>INV-2601-0132</v>
      </c>
    </row>
    <row r="139" spans="11:11" x14ac:dyDescent="0.35">
      <c r="K139" s="110" t="str">
        <v>INV-2601-0133</v>
      </c>
    </row>
    <row r="140" spans="11:11" x14ac:dyDescent="0.35">
      <c r="K140" s="110" t="str">
        <v>INV-2601-0134</v>
      </c>
    </row>
    <row r="141" spans="11:11" x14ac:dyDescent="0.35">
      <c r="K141" s="110" t="str">
        <v>INV-2601-0135</v>
      </c>
    </row>
    <row r="142" spans="11:11" x14ac:dyDescent="0.35">
      <c r="K142" s="110" t="str">
        <v>INV-2601-0136</v>
      </c>
    </row>
    <row r="143" spans="11:11" x14ac:dyDescent="0.35">
      <c r="K143" s="110" t="str">
        <v>INV-2601-0137</v>
      </c>
    </row>
    <row r="144" spans="11:11" x14ac:dyDescent="0.35">
      <c r="K144" s="110" t="str">
        <v>INV-2601-0138</v>
      </c>
    </row>
    <row r="145" spans="11:11" x14ac:dyDescent="0.35">
      <c r="K145" s="110" t="str">
        <v>INV-2601-0139</v>
      </c>
    </row>
    <row r="146" spans="11:11" x14ac:dyDescent="0.35">
      <c r="K146" s="110" t="str">
        <v>INV-2601-0140</v>
      </c>
    </row>
    <row r="147" spans="11:11" x14ac:dyDescent="0.35">
      <c r="K147" s="110" t="str">
        <v>INV-2601-0141</v>
      </c>
    </row>
    <row r="148" spans="11:11" x14ac:dyDescent="0.35">
      <c r="K148" s="110" t="str">
        <v>INV-2601-0142</v>
      </c>
    </row>
    <row r="149" spans="11:11" x14ac:dyDescent="0.35">
      <c r="K149" s="110" t="str">
        <v>INV-2601-0143</v>
      </c>
    </row>
    <row r="150" spans="11:11" x14ac:dyDescent="0.35">
      <c r="K150" s="110" t="str">
        <v>INV-2601-0144</v>
      </c>
    </row>
    <row r="151" spans="11:11" x14ac:dyDescent="0.35">
      <c r="K151" s="110" t="str">
        <v>INV-2601-0145</v>
      </c>
    </row>
    <row r="152" spans="11:11" x14ac:dyDescent="0.35">
      <c r="K152" s="110" t="str">
        <v>INV-2601-0146</v>
      </c>
    </row>
    <row r="153" spans="11:11" x14ac:dyDescent="0.35">
      <c r="K153" s="110" t="str">
        <v>INV-2601-0147</v>
      </c>
    </row>
    <row r="154" spans="11:11" x14ac:dyDescent="0.35">
      <c r="K154" s="110" t="str">
        <v>INV-2601-0148</v>
      </c>
    </row>
    <row r="155" spans="11:11" x14ac:dyDescent="0.35">
      <c r="K155" s="110" t="str">
        <v>INV-2601-0149</v>
      </c>
    </row>
    <row r="156" spans="11:11" x14ac:dyDescent="0.35">
      <c r="K156" s="110" t="str">
        <v>INV-2601-0150</v>
      </c>
    </row>
    <row r="157" spans="11:11" x14ac:dyDescent="0.35">
      <c r="K157" s="110" t="str">
        <v>INV-2601-0151</v>
      </c>
    </row>
    <row r="158" spans="11:11" x14ac:dyDescent="0.35">
      <c r="K158" s="110" t="str">
        <v>INV-2601-0152</v>
      </c>
    </row>
    <row r="159" spans="11:11" x14ac:dyDescent="0.35">
      <c r="K159" s="110" t="str">
        <v>INV-2601-0153</v>
      </c>
    </row>
    <row r="160" spans="11:11" x14ac:dyDescent="0.35">
      <c r="K160" s="110" t="str">
        <v>INV-2601-0154</v>
      </c>
    </row>
    <row r="161" spans="11:11" x14ac:dyDescent="0.35">
      <c r="K161" s="110" t="str">
        <v>INV-2601-0155</v>
      </c>
    </row>
    <row r="162" spans="11:11" x14ac:dyDescent="0.35">
      <c r="K162" s="110" t="str">
        <v>INV-2601-0156</v>
      </c>
    </row>
    <row r="163" spans="11:11" x14ac:dyDescent="0.35">
      <c r="K163" s="110" t="str">
        <v>INV-2601-0157</v>
      </c>
    </row>
    <row r="164" spans="11:11" x14ac:dyDescent="0.35">
      <c r="K164" s="110" t="str">
        <v>INV-2601-0158</v>
      </c>
    </row>
    <row r="165" spans="11:11" x14ac:dyDescent="0.35">
      <c r="K165" s="110" t="str">
        <v>INV-2601-0159</v>
      </c>
    </row>
    <row r="166" spans="11:11" x14ac:dyDescent="0.35">
      <c r="K166" s="110" t="str">
        <v>INV-2601-0160</v>
      </c>
    </row>
    <row r="167" spans="11:11" x14ac:dyDescent="0.35">
      <c r="K167" s="110" t="str">
        <v>INV-2601-0161</v>
      </c>
    </row>
    <row r="168" spans="11:11" x14ac:dyDescent="0.35">
      <c r="K168" s="110" t="str">
        <v>INV-2601-0162</v>
      </c>
    </row>
    <row r="169" spans="11:11" x14ac:dyDescent="0.35">
      <c r="K169" s="110" t="str">
        <v>INV-2601-0163</v>
      </c>
    </row>
    <row r="170" spans="11:11" x14ac:dyDescent="0.35">
      <c r="K170" s="110" t="str">
        <v>INV-2601-0164</v>
      </c>
    </row>
    <row r="171" spans="11:11" x14ac:dyDescent="0.35">
      <c r="K171" s="110" t="str">
        <v>INV-2601-0165</v>
      </c>
    </row>
    <row r="172" spans="11:11" x14ac:dyDescent="0.35">
      <c r="K172" s="110" t="str">
        <v>INV-2601-0166</v>
      </c>
    </row>
    <row r="173" spans="11:11" x14ac:dyDescent="0.35">
      <c r="K173" s="110" t="str">
        <v>INV-2601-0167</v>
      </c>
    </row>
    <row r="174" spans="11:11" x14ac:dyDescent="0.35">
      <c r="K174" s="110" t="str">
        <v>INV-2601-0168</v>
      </c>
    </row>
    <row r="175" spans="11:11" x14ac:dyDescent="0.35">
      <c r="K175" s="110" t="str">
        <v>INV-2601-0169</v>
      </c>
    </row>
    <row r="176" spans="11:11" x14ac:dyDescent="0.35">
      <c r="K176" s="110" t="str">
        <v>INV-2601-0170</v>
      </c>
    </row>
    <row r="177" spans="11:11" x14ac:dyDescent="0.35">
      <c r="K177" s="110" t="str">
        <v>INV-2601-0171</v>
      </c>
    </row>
    <row r="178" spans="11:11" x14ac:dyDescent="0.35">
      <c r="K178" s="110" t="str">
        <v>INV-2601-0172</v>
      </c>
    </row>
    <row r="179" spans="11:11" x14ac:dyDescent="0.35">
      <c r="K179" s="110" t="str">
        <v>INV-2601-0173</v>
      </c>
    </row>
    <row r="180" spans="11:11" x14ac:dyDescent="0.35">
      <c r="K180" s="110" t="str">
        <v>INV-2601-0174</v>
      </c>
    </row>
    <row r="181" spans="11:11" x14ac:dyDescent="0.35">
      <c r="K181" s="110" t="str">
        <v>INV-2601-0175</v>
      </c>
    </row>
    <row r="182" spans="11:11" x14ac:dyDescent="0.35">
      <c r="K182" s="110" t="str">
        <v>INV-2601-0176</v>
      </c>
    </row>
    <row r="183" spans="11:11" x14ac:dyDescent="0.35">
      <c r="K183" s="110" t="str">
        <v>INV-2601-0177</v>
      </c>
    </row>
    <row r="184" spans="11:11" x14ac:dyDescent="0.35">
      <c r="K184" s="110" t="str">
        <v>INV-2601-0178</v>
      </c>
    </row>
    <row r="185" spans="11:11" x14ac:dyDescent="0.35">
      <c r="K185" s="110" t="str">
        <v>INV-2601-0179</v>
      </c>
    </row>
    <row r="186" spans="11:11" x14ac:dyDescent="0.35">
      <c r="K186" s="110" t="str">
        <v>INV-2601-0180</v>
      </c>
    </row>
    <row r="187" spans="11:11" x14ac:dyDescent="0.35">
      <c r="K187" s="110" t="str">
        <v>INV-2601-0181</v>
      </c>
    </row>
    <row r="188" spans="11:11" x14ac:dyDescent="0.35">
      <c r="K188" s="110" t="str">
        <v>INV-2601-0182</v>
      </c>
    </row>
    <row r="189" spans="11:11" x14ac:dyDescent="0.35">
      <c r="K189" s="110" t="str">
        <v>INV-2601-0183</v>
      </c>
    </row>
    <row r="190" spans="11:11" x14ac:dyDescent="0.35">
      <c r="K190" s="110" t="str">
        <v>INV-2601-0184</v>
      </c>
    </row>
    <row r="191" spans="11:11" x14ac:dyDescent="0.35">
      <c r="K191" s="110" t="str">
        <v>INV-2601-0185</v>
      </c>
    </row>
    <row r="192" spans="11:11" x14ac:dyDescent="0.35">
      <c r="K192" s="110" t="str">
        <v>INV-2601-0186</v>
      </c>
    </row>
    <row r="193" spans="11:11" x14ac:dyDescent="0.35">
      <c r="K193" s="110" t="str">
        <v>INV-2601-0187</v>
      </c>
    </row>
    <row r="194" spans="11:11" x14ac:dyDescent="0.35">
      <c r="K194" s="110" t="str">
        <v>INV-2601-0188</v>
      </c>
    </row>
    <row r="195" spans="11:11" x14ac:dyDescent="0.35">
      <c r="K195" s="110" t="str">
        <v>INV-2601-0189</v>
      </c>
    </row>
    <row r="196" spans="11:11" x14ac:dyDescent="0.35">
      <c r="K196" s="110" t="str">
        <v>INV-2601-0190</v>
      </c>
    </row>
    <row r="197" spans="11:11" x14ac:dyDescent="0.35">
      <c r="K197" s="110" t="str">
        <v>INV-2601-0191</v>
      </c>
    </row>
    <row r="198" spans="11:11" x14ac:dyDescent="0.35">
      <c r="K198" s="110" t="str">
        <v>INV-2601-0192</v>
      </c>
    </row>
    <row r="199" spans="11:11" x14ac:dyDescent="0.35">
      <c r="K199" s="110" t="str">
        <v>INV-2601-0193</v>
      </c>
    </row>
    <row r="200" spans="11:11" x14ac:dyDescent="0.35">
      <c r="K200" s="110" t="str">
        <v>INV-2601-0194</v>
      </c>
    </row>
    <row r="201" spans="11:11" x14ac:dyDescent="0.35">
      <c r="K201" s="110" t="str">
        <v>INV-2601-0195</v>
      </c>
    </row>
    <row r="202" spans="11:11" x14ac:dyDescent="0.35">
      <c r="K202" s="110" t="str">
        <v>INV-2601-0196</v>
      </c>
    </row>
    <row r="203" spans="11:11" x14ac:dyDescent="0.35">
      <c r="K203" s="110" t="str">
        <v>INV-2601-0197</v>
      </c>
    </row>
    <row r="204" spans="11:11" x14ac:dyDescent="0.35">
      <c r="K204" s="110" t="str">
        <v>INV-2601-0198</v>
      </c>
    </row>
    <row r="205" spans="11:11" x14ac:dyDescent="0.35">
      <c r="K205" s="110" t="str">
        <v>INV-2601-0199</v>
      </c>
    </row>
    <row r="206" spans="11:11" x14ac:dyDescent="0.35">
      <c r="K206" s="110" t="str">
        <v>INV-2601-0200</v>
      </c>
    </row>
    <row r="207" spans="11:11" x14ac:dyDescent="0.35">
      <c r="K207" s="110" t="str">
        <v>INV-2601-0201</v>
      </c>
    </row>
    <row r="208" spans="11:11" x14ac:dyDescent="0.35">
      <c r="K208" s="110" t="str">
        <v>INV-2601-0202</v>
      </c>
    </row>
    <row r="209" spans="11:11" x14ac:dyDescent="0.35">
      <c r="K209" s="110" t="str">
        <v>INV-2601-0203</v>
      </c>
    </row>
    <row r="210" spans="11:11" x14ac:dyDescent="0.35">
      <c r="K210" s="110" t="str">
        <v>INV-2601-0204</v>
      </c>
    </row>
    <row r="211" spans="11:11" x14ac:dyDescent="0.35">
      <c r="K211" s="110" t="str">
        <v>INV-2601-0205</v>
      </c>
    </row>
    <row r="212" spans="11:11" x14ac:dyDescent="0.35">
      <c r="K212" s="110" t="str">
        <v>INV-2601-0206</v>
      </c>
    </row>
    <row r="213" spans="11:11" x14ac:dyDescent="0.35">
      <c r="K213" s="110" t="str">
        <v>INV-2601-0207</v>
      </c>
    </row>
    <row r="214" spans="11:11" x14ac:dyDescent="0.35">
      <c r="K214" s="110" t="str">
        <v>INV-2601-0208</v>
      </c>
    </row>
    <row r="215" spans="11:11" x14ac:dyDescent="0.35">
      <c r="K215" s="110" t="str">
        <v>INV-2601-0209</v>
      </c>
    </row>
    <row r="216" spans="11:11" x14ac:dyDescent="0.35">
      <c r="K216" s="110" t="str">
        <v>INV-2601-0210</v>
      </c>
    </row>
    <row r="217" spans="11:11" x14ac:dyDescent="0.35">
      <c r="K217" s="110" t="str">
        <v>INV-2601-0211</v>
      </c>
    </row>
    <row r="218" spans="11:11" x14ac:dyDescent="0.35">
      <c r="K218" s="110" t="str">
        <v>INV-2601-0212</v>
      </c>
    </row>
    <row r="219" spans="11:11" x14ac:dyDescent="0.35">
      <c r="K219" s="110" t="str">
        <v>INV-2601-0213</v>
      </c>
    </row>
    <row r="220" spans="11:11" x14ac:dyDescent="0.35">
      <c r="K220" s="110" t="str">
        <v>INV-2601-0214</v>
      </c>
    </row>
    <row r="221" spans="11:11" x14ac:dyDescent="0.35">
      <c r="K221" s="110" t="str">
        <v>INV-2601-0215</v>
      </c>
    </row>
    <row r="222" spans="11:11" x14ac:dyDescent="0.35">
      <c r="K222" s="110" t="str">
        <v>INV-2601-0216</v>
      </c>
    </row>
    <row r="223" spans="11:11" x14ac:dyDescent="0.35">
      <c r="K223" s="110" t="str">
        <v>INV-2601-0217</v>
      </c>
    </row>
    <row r="224" spans="11:11" x14ac:dyDescent="0.35">
      <c r="K224" s="110" t="str">
        <v>INV-2601-0218</v>
      </c>
    </row>
    <row r="225" spans="11:11" x14ac:dyDescent="0.35">
      <c r="K225" s="110" t="str">
        <v>INV-2601-0219</v>
      </c>
    </row>
    <row r="226" spans="11:11" x14ac:dyDescent="0.35">
      <c r="K226" s="110" t="str">
        <v>INV-2601-0220</v>
      </c>
    </row>
    <row r="227" spans="11:11" x14ac:dyDescent="0.35">
      <c r="K227" s="110" t="str">
        <v>INV-2601-0221</v>
      </c>
    </row>
    <row r="228" spans="11:11" x14ac:dyDescent="0.35">
      <c r="K228" s="110" t="str">
        <v>INV-2601-0222</v>
      </c>
    </row>
    <row r="229" spans="11:11" x14ac:dyDescent="0.35">
      <c r="K229" s="110" t="str">
        <v>INV-2601-0223</v>
      </c>
    </row>
    <row r="230" spans="11:11" x14ac:dyDescent="0.35">
      <c r="K230" s="110" t="str">
        <v>INV-2601-0224</v>
      </c>
    </row>
    <row r="231" spans="11:11" x14ac:dyDescent="0.35">
      <c r="K231" s="110" t="str">
        <v>INV-2601-0225</v>
      </c>
    </row>
    <row r="232" spans="11:11" x14ac:dyDescent="0.35">
      <c r="K232" s="110" t="str">
        <v>INV-2601-0226</v>
      </c>
    </row>
    <row r="233" spans="11:11" x14ac:dyDescent="0.35">
      <c r="K233" s="110" t="str">
        <v>INV-2601-0227</v>
      </c>
    </row>
    <row r="234" spans="11:11" x14ac:dyDescent="0.35">
      <c r="K234" s="110" t="str">
        <v>INV-2601-0228</v>
      </c>
    </row>
    <row r="235" spans="11:11" x14ac:dyDescent="0.35">
      <c r="K235" s="110" t="str">
        <v>INV-2601-0229</v>
      </c>
    </row>
    <row r="236" spans="11:11" x14ac:dyDescent="0.35">
      <c r="K236" s="110" t="str">
        <v>INV-2601-0230</v>
      </c>
    </row>
    <row r="237" spans="11:11" x14ac:dyDescent="0.35">
      <c r="K237" s="110" t="str">
        <v>INV-2601-0231</v>
      </c>
    </row>
    <row r="238" spans="11:11" x14ac:dyDescent="0.35">
      <c r="K238" s="110" t="str">
        <v>INV-2601-0232</v>
      </c>
    </row>
    <row r="239" spans="11:11" x14ac:dyDescent="0.35">
      <c r="K239" s="110" t="str">
        <v>INV-2601-0233</v>
      </c>
    </row>
    <row r="240" spans="11:11" x14ac:dyDescent="0.35">
      <c r="K240" s="110" t="str">
        <v>INV-2601-0234</v>
      </c>
    </row>
    <row r="241" spans="11:11" x14ac:dyDescent="0.35">
      <c r="K241" s="110" t="str">
        <v>INV-2601-0235</v>
      </c>
    </row>
    <row r="242" spans="11:11" x14ac:dyDescent="0.35">
      <c r="K242" s="110" t="str">
        <v>INV-2601-0236</v>
      </c>
    </row>
    <row r="243" spans="11:11" x14ac:dyDescent="0.35">
      <c r="K243" s="110" t="str">
        <v>INV-2601-0237</v>
      </c>
    </row>
    <row r="244" spans="11:11" x14ac:dyDescent="0.35">
      <c r="K244" s="110" t="str">
        <v>INV-2601-0238</v>
      </c>
    </row>
    <row r="245" spans="11:11" x14ac:dyDescent="0.35">
      <c r="K245" s="110" t="str">
        <v>INV-2601-0239</v>
      </c>
    </row>
    <row r="246" spans="11:11" x14ac:dyDescent="0.35">
      <c r="K246" s="110" t="str">
        <v>INV-2601-0240</v>
      </c>
    </row>
    <row r="247" spans="11:11" x14ac:dyDescent="0.35">
      <c r="K247" s="110" t="str">
        <v>INV-2601-0241</v>
      </c>
    </row>
    <row r="248" spans="11:11" x14ac:dyDescent="0.35">
      <c r="K248" s="110" t="str">
        <v>INV-2601-0242</v>
      </c>
    </row>
    <row r="249" spans="11:11" x14ac:dyDescent="0.35">
      <c r="K249" s="110" t="str">
        <v>INV-2601-0243</v>
      </c>
    </row>
    <row r="250" spans="11:11" x14ac:dyDescent="0.35">
      <c r="K250" s="110" t="str">
        <v>INV-2601-0244</v>
      </c>
    </row>
    <row r="251" spans="11:11" x14ac:dyDescent="0.35">
      <c r="K251" s="110" t="str">
        <v>INV-2601-0245</v>
      </c>
    </row>
    <row r="252" spans="11:11" x14ac:dyDescent="0.35">
      <c r="K252" s="110" t="str">
        <v>INV-2601-0246</v>
      </c>
    </row>
    <row r="253" spans="11:11" x14ac:dyDescent="0.35">
      <c r="K253" s="110" t="str">
        <v>INV-2601-0247</v>
      </c>
    </row>
    <row r="254" spans="11:11" x14ac:dyDescent="0.35">
      <c r="K254" s="110" t="str">
        <v>INV-2601-0248</v>
      </c>
    </row>
    <row r="255" spans="11:11" x14ac:dyDescent="0.35">
      <c r="K255" s="110" t="str">
        <v>INV-2601-0249</v>
      </c>
    </row>
    <row r="256" spans="11:11" x14ac:dyDescent="0.35">
      <c r="K256" s="110" t="str">
        <v>INV-2601-0250</v>
      </c>
    </row>
    <row r="257" spans="11:11" x14ac:dyDescent="0.35">
      <c r="K257" s="110" t="str">
        <v>INV-2601-0251</v>
      </c>
    </row>
    <row r="258" spans="11:11" x14ac:dyDescent="0.35">
      <c r="K258" s="110" t="str">
        <v>INV-2601-0252</v>
      </c>
    </row>
    <row r="259" spans="11:11" x14ac:dyDescent="0.35">
      <c r="K259" s="110" t="str">
        <v>INV-2601-0253</v>
      </c>
    </row>
    <row r="260" spans="11:11" x14ac:dyDescent="0.35">
      <c r="K260" s="110" t="str">
        <v>INV-2601-0254</v>
      </c>
    </row>
    <row r="261" spans="11:11" x14ac:dyDescent="0.35">
      <c r="K261" s="110" t="str">
        <v>INV-2601-0255</v>
      </c>
    </row>
    <row r="262" spans="11:11" x14ac:dyDescent="0.35">
      <c r="K262" s="110" t="str">
        <v>INV-2601-0256</v>
      </c>
    </row>
    <row r="263" spans="11:11" x14ac:dyDescent="0.35">
      <c r="K263" s="110" t="str">
        <v>INV-2601-0257</v>
      </c>
    </row>
    <row r="264" spans="11:11" x14ac:dyDescent="0.35">
      <c r="K264" s="110" t="str">
        <v>INV-2601-0258</v>
      </c>
    </row>
    <row r="265" spans="11:11" x14ac:dyDescent="0.35">
      <c r="K265" s="110" t="str">
        <v>INV-2601-0259</v>
      </c>
    </row>
    <row r="266" spans="11:11" x14ac:dyDescent="0.35">
      <c r="K266" s="110" t="str">
        <v>INV-2601-0260</v>
      </c>
    </row>
    <row r="267" spans="11:11" x14ac:dyDescent="0.35">
      <c r="K267" s="110" t="str">
        <v>INV-2601-0261</v>
      </c>
    </row>
    <row r="268" spans="11:11" x14ac:dyDescent="0.35">
      <c r="K268" s="110" t="str">
        <v>INV-2601-0262</v>
      </c>
    </row>
    <row r="269" spans="11:11" x14ac:dyDescent="0.35">
      <c r="K269" s="110" t="str">
        <v>INV-2601-0263</v>
      </c>
    </row>
    <row r="270" spans="11:11" x14ac:dyDescent="0.35">
      <c r="K270" s="110" t="str">
        <v>INV-2601-0264</v>
      </c>
    </row>
    <row r="271" spans="11:11" x14ac:dyDescent="0.35">
      <c r="K271" s="110" t="str">
        <v>INV-2601-0265</v>
      </c>
    </row>
    <row r="272" spans="11:11" x14ac:dyDescent="0.35">
      <c r="K272" s="110" t="str">
        <v>INV-2601-0266</v>
      </c>
    </row>
    <row r="273" spans="11:11" x14ac:dyDescent="0.35">
      <c r="K273" s="110" t="str">
        <v>INV-2601-0267</v>
      </c>
    </row>
    <row r="274" spans="11:11" x14ac:dyDescent="0.35">
      <c r="K274" s="110" t="str">
        <v>INV-2601-0268</v>
      </c>
    </row>
    <row r="275" spans="11:11" x14ac:dyDescent="0.35">
      <c r="K275" s="110" t="str">
        <v>INV-2601-0269</v>
      </c>
    </row>
    <row r="276" spans="11:11" x14ac:dyDescent="0.35">
      <c r="K276" s="110" t="str">
        <v>INV-2601-0270</v>
      </c>
    </row>
    <row r="277" spans="11:11" x14ac:dyDescent="0.35">
      <c r="K277" s="110" t="str">
        <v>INV-2601-0271</v>
      </c>
    </row>
    <row r="278" spans="11:11" x14ac:dyDescent="0.35">
      <c r="K278" s="110" t="str">
        <v>INV-2601-0272</v>
      </c>
    </row>
    <row r="279" spans="11:11" x14ac:dyDescent="0.35">
      <c r="K279" s="110" t="str">
        <v>INV-2601-0273</v>
      </c>
    </row>
    <row r="280" spans="11:11" x14ac:dyDescent="0.35">
      <c r="K280" s="110" t="str">
        <v>INV-2601-0274</v>
      </c>
    </row>
    <row r="281" spans="11:11" x14ac:dyDescent="0.35">
      <c r="K281" s="110" t="str">
        <v>INV-2601-0275</v>
      </c>
    </row>
    <row r="282" spans="11:11" x14ac:dyDescent="0.35">
      <c r="K282" s="110" t="str">
        <v>INV-2601-0276</v>
      </c>
    </row>
    <row r="283" spans="11:11" x14ac:dyDescent="0.35">
      <c r="K283" s="110" t="str">
        <v>INV-2601-0277</v>
      </c>
    </row>
    <row r="284" spans="11:11" x14ac:dyDescent="0.35">
      <c r="K284" s="110" t="str">
        <v>INV-2601-0278</v>
      </c>
    </row>
    <row r="285" spans="11:11" x14ac:dyDescent="0.35">
      <c r="K285" s="110" t="str">
        <v>INV-2601-0279</v>
      </c>
    </row>
    <row r="286" spans="11:11" x14ac:dyDescent="0.35">
      <c r="K286" s="110" t="str">
        <v>INV-2601-0280</v>
      </c>
    </row>
    <row r="287" spans="11:11" x14ac:dyDescent="0.35">
      <c r="K287" s="110" t="str">
        <v>INV-2601-0281</v>
      </c>
    </row>
    <row r="288" spans="11:11" x14ac:dyDescent="0.35">
      <c r="K288" s="110" t="str">
        <v>INV-2601-0282</v>
      </c>
    </row>
    <row r="289" spans="11:11" x14ac:dyDescent="0.35">
      <c r="K289" s="110" t="str">
        <v>INV-2601-0283</v>
      </c>
    </row>
    <row r="290" spans="11:11" x14ac:dyDescent="0.35">
      <c r="K290" s="110" t="str">
        <v>INV-2601-0284</v>
      </c>
    </row>
    <row r="291" spans="11:11" x14ac:dyDescent="0.35">
      <c r="K291" s="110" t="str">
        <v>INV-2601-0285</v>
      </c>
    </row>
    <row r="292" spans="11:11" x14ac:dyDescent="0.35">
      <c r="K292" s="110" t="str">
        <v>INV-2601-0286</v>
      </c>
    </row>
    <row r="293" spans="11:11" x14ac:dyDescent="0.35">
      <c r="K293" s="110" t="str">
        <v>INV-2601-0287</v>
      </c>
    </row>
    <row r="294" spans="11:11" x14ac:dyDescent="0.35">
      <c r="K294" s="110" t="str">
        <v>INV-2601-0288</v>
      </c>
    </row>
    <row r="295" spans="11:11" x14ac:dyDescent="0.35">
      <c r="K295" s="110" t="str">
        <v>INV-2601-0289</v>
      </c>
    </row>
    <row r="296" spans="11:11" x14ac:dyDescent="0.35">
      <c r="K296" s="110" t="str">
        <v>INV-2601-0290</v>
      </c>
    </row>
    <row r="297" spans="11:11" x14ac:dyDescent="0.35">
      <c r="K297" s="110" t="str">
        <v>INV-2601-0291</v>
      </c>
    </row>
    <row r="298" spans="11:11" x14ac:dyDescent="0.35">
      <c r="K298" s="110" t="str">
        <v>INV-2601-0292</v>
      </c>
    </row>
    <row r="299" spans="11:11" x14ac:dyDescent="0.35">
      <c r="K299" s="110" t="str">
        <v>INV-2601-0293</v>
      </c>
    </row>
    <row r="300" spans="11:11" x14ac:dyDescent="0.35">
      <c r="K300" s="110" t="str">
        <v>INV-2601-0294</v>
      </c>
    </row>
    <row r="301" spans="11:11" x14ac:dyDescent="0.35">
      <c r="K301" s="110" t="str">
        <v>INV-2601-0295</v>
      </c>
    </row>
    <row r="302" spans="11:11" x14ac:dyDescent="0.35">
      <c r="K302" s="110" t="str">
        <v>INV-2601-0296</v>
      </c>
    </row>
    <row r="303" spans="11:11" x14ac:dyDescent="0.35">
      <c r="K303" s="110" t="str">
        <v>INV-2601-0297</v>
      </c>
    </row>
    <row r="304" spans="11:11" x14ac:dyDescent="0.35">
      <c r="K304" s="110" t="str">
        <v>INV-2601-0298</v>
      </c>
    </row>
    <row r="305" spans="11:11" x14ac:dyDescent="0.35">
      <c r="K305" s="110" t="str">
        <v>INV-2601-0299</v>
      </c>
    </row>
    <row r="306" spans="11:11" x14ac:dyDescent="0.35">
      <c r="K306" s="110" t="str">
        <v>INV-2601-0300</v>
      </c>
    </row>
    <row r="307" spans="11:11" x14ac:dyDescent="0.35">
      <c r="K307" s="110" t="str">
        <v>INV-2601-0301</v>
      </c>
    </row>
    <row r="308" spans="11:11" x14ac:dyDescent="0.35">
      <c r="K308" s="110" t="str">
        <v>INV-2601-0302</v>
      </c>
    </row>
    <row r="309" spans="11:11" x14ac:dyDescent="0.35">
      <c r="K309" s="110" t="str">
        <v>INV-2601-0303</v>
      </c>
    </row>
    <row r="310" spans="11:11" x14ac:dyDescent="0.35">
      <c r="K310" s="110" t="str">
        <v>INV-2601-0304</v>
      </c>
    </row>
    <row r="311" spans="11:11" x14ac:dyDescent="0.35">
      <c r="K311" s="110" t="str">
        <v>INV-2601-0305</v>
      </c>
    </row>
    <row r="312" spans="11:11" x14ac:dyDescent="0.35">
      <c r="K312" s="110" t="str">
        <v>INV-2601-0306</v>
      </c>
    </row>
    <row r="313" spans="11:11" x14ac:dyDescent="0.35">
      <c r="K313" s="110" t="str">
        <v>INV-2601-0307</v>
      </c>
    </row>
    <row r="314" spans="11:11" x14ac:dyDescent="0.35">
      <c r="K314" s="110" t="str">
        <v>INV-2601-0308</v>
      </c>
    </row>
    <row r="315" spans="11:11" x14ac:dyDescent="0.35">
      <c r="K315" s="110" t="str">
        <v>INV-2601-0309</v>
      </c>
    </row>
    <row r="316" spans="11:11" x14ac:dyDescent="0.35">
      <c r="K316" s="110" t="str">
        <v>INV-2601-0310</v>
      </c>
    </row>
    <row r="317" spans="11:11" x14ac:dyDescent="0.35">
      <c r="K317" s="110" t="str">
        <v>INV-2601-0311</v>
      </c>
    </row>
    <row r="318" spans="11:11" x14ac:dyDescent="0.35">
      <c r="K318" s="110" t="str">
        <v>INV-2601-0312</v>
      </c>
    </row>
    <row r="319" spans="11:11" x14ac:dyDescent="0.35">
      <c r="K319" s="110" t="str">
        <v>INV-2601-0313</v>
      </c>
    </row>
    <row r="320" spans="11:11" x14ac:dyDescent="0.35">
      <c r="K320" s="110" t="str">
        <v>INV-2601-0314</v>
      </c>
    </row>
    <row r="321" spans="11:11" x14ac:dyDescent="0.35">
      <c r="K321" s="110" t="str">
        <v>INV-2601-0315</v>
      </c>
    </row>
    <row r="322" spans="11:11" x14ac:dyDescent="0.35">
      <c r="K322" s="110" t="str">
        <v>INV-2601-0316</v>
      </c>
    </row>
    <row r="323" spans="11:11" x14ac:dyDescent="0.35">
      <c r="K323" s="110" t="str">
        <v>INV-2601-0317</v>
      </c>
    </row>
    <row r="324" spans="11:11" x14ac:dyDescent="0.35">
      <c r="K324" s="110" t="str">
        <v>INV-2601-0318</v>
      </c>
    </row>
    <row r="325" spans="11:11" x14ac:dyDescent="0.35">
      <c r="K325" s="110" t="str">
        <v>INV-2601-0319</v>
      </c>
    </row>
    <row r="326" spans="11:11" x14ac:dyDescent="0.35">
      <c r="K326" s="110" t="str">
        <v>INV-2601-0320</v>
      </c>
    </row>
    <row r="327" spans="11:11" x14ac:dyDescent="0.35">
      <c r="K327" s="110" t="str">
        <v>INV-2601-0321</v>
      </c>
    </row>
    <row r="328" spans="11:11" x14ac:dyDescent="0.35">
      <c r="K328" s="110" t="str">
        <v>INV-2601-0322</v>
      </c>
    </row>
    <row r="329" spans="11:11" x14ac:dyDescent="0.35">
      <c r="K329" s="110" t="str">
        <v>INV-2601-0323</v>
      </c>
    </row>
    <row r="330" spans="11:11" x14ac:dyDescent="0.35">
      <c r="K330" s="110" t="str">
        <v>INV-2601-0324</v>
      </c>
    </row>
    <row r="331" spans="11:11" x14ac:dyDescent="0.35">
      <c r="K331" s="110" t="str">
        <v>INV-2601-0325</v>
      </c>
    </row>
    <row r="332" spans="11:11" x14ac:dyDescent="0.35">
      <c r="K332" s="110" t="str">
        <v>INV-2601-0326</v>
      </c>
    </row>
    <row r="333" spans="11:11" x14ac:dyDescent="0.35">
      <c r="K333" s="110" t="str">
        <v>INV-2601-0327</v>
      </c>
    </row>
    <row r="334" spans="11:11" x14ac:dyDescent="0.35">
      <c r="K334" s="110" t="str">
        <v>INV-2601-0328</v>
      </c>
    </row>
    <row r="335" spans="11:11" x14ac:dyDescent="0.35">
      <c r="K335" s="110" t="str">
        <v>INV-2601-0329</v>
      </c>
    </row>
    <row r="336" spans="11:11" x14ac:dyDescent="0.35">
      <c r="K336" s="110" t="str">
        <v>INV-2601-0330</v>
      </c>
    </row>
    <row r="337" spans="11:11" x14ac:dyDescent="0.35">
      <c r="K337" s="110" t="str">
        <v>INV-2601-0331</v>
      </c>
    </row>
    <row r="338" spans="11:11" x14ac:dyDescent="0.35">
      <c r="K338" s="110" t="str">
        <v>INV-2601-0332</v>
      </c>
    </row>
    <row r="339" spans="11:11" x14ac:dyDescent="0.35">
      <c r="K339" s="110" t="str">
        <v>INV-2601-0333</v>
      </c>
    </row>
    <row r="340" spans="11:11" x14ac:dyDescent="0.35">
      <c r="K340" s="110" t="str">
        <v>INV-2601-0334</v>
      </c>
    </row>
    <row r="341" spans="11:11" x14ac:dyDescent="0.35">
      <c r="K341" s="110" t="str">
        <v>INV-2601-0335</v>
      </c>
    </row>
    <row r="342" spans="11:11" x14ac:dyDescent="0.35">
      <c r="K342" s="110" t="str">
        <v>INV-2601-0336</v>
      </c>
    </row>
    <row r="343" spans="11:11" x14ac:dyDescent="0.35">
      <c r="K343" s="110" t="str">
        <v>INV-2601-0337</v>
      </c>
    </row>
    <row r="344" spans="11:11" x14ac:dyDescent="0.35">
      <c r="K344" s="110" t="str">
        <v>INV-2601-0338</v>
      </c>
    </row>
    <row r="345" spans="11:11" x14ac:dyDescent="0.35">
      <c r="K345" s="110" t="str">
        <v>INV-2601-0339</v>
      </c>
    </row>
    <row r="346" spans="11:11" x14ac:dyDescent="0.35">
      <c r="K346" s="110" t="str">
        <v>INV-2601-0340</v>
      </c>
    </row>
    <row r="347" spans="11:11" x14ac:dyDescent="0.35">
      <c r="K347" s="110" t="str">
        <v>INV-2601-0341</v>
      </c>
    </row>
    <row r="348" spans="11:11" x14ac:dyDescent="0.35">
      <c r="K348" s="110" t="str">
        <v>INV-2601-0342</v>
      </c>
    </row>
    <row r="349" spans="11:11" x14ac:dyDescent="0.35">
      <c r="K349" s="110" t="str">
        <v>INV-2601-0343</v>
      </c>
    </row>
    <row r="350" spans="11:11" x14ac:dyDescent="0.35">
      <c r="K350" s="110" t="str">
        <v>INV-2601-0344</v>
      </c>
    </row>
    <row r="351" spans="11:11" x14ac:dyDescent="0.35">
      <c r="K351" s="110" t="str">
        <v>INV-2602-0001</v>
      </c>
    </row>
    <row r="352" spans="11:11" x14ac:dyDescent="0.35">
      <c r="K352" s="110" t="str">
        <v>INV-2602-0002</v>
      </c>
    </row>
    <row r="353" spans="11:11" x14ac:dyDescent="0.35">
      <c r="K353" s="110" t="str">
        <v>INV-2602-0003</v>
      </c>
    </row>
    <row r="354" spans="11:11" x14ac:dyDescent="0.35">
      <c r="K354" s="110" t="str">
        <v>INV-2602-0004</v>
      </c>
    </row>
    <row r="355" spans="11:11" x14ac:dyDescent="0.35">
      <c r="K355" s="110" t="str">
        <v>INV-2602-0005</v>
      </c>
    </row>
    <row r="356" spans="11:11" x14ac:dyDescent="0.35">
      <c r="K356" s="110" t="str">
        <v>INV-2602-0006</v>
      </c>
    </row>
    <row r="357" spans="11:11" x14ac:dyDescent="0.35">
      <c r="K357" s="110" t="str">
        <v>INV-2602-0007</v>
      </c>
    </row>
    <row r="358" spans="11:11" x14ac:dyDescent="0.35">
      <c r="K358" s="110" t="str">
        <v>INV-2602-0008</v>
      </c>
    </row>
    <row r="359" spans="11:11" x14ac:dyDescent="0.35">
      <c r="K359" s="110" t="str">
        <v>INV-2602-0009</v>
      </c>
    </row>
    <row r="360" spans="11:11" x14ac:dyDescent="0.35">
      <c r="K360" s="110" t="str">
        <v>INV-2602-0010</v>
      </c>
    </row>
    <row r="361" spans="11:11" x14ac:dyDescent="0.35">
      <c r="K361" s="110" t="str">
        <v>INV-2602-0011</v>
      </c>
    </row>
    <row r="362" spans="11:11" x14ac:dyDescent="0.35">
      <c r="K362" s="110" t="str">
        <v>INV-2602-0012</v>
      </c>
    </row>
    <row r="363" spans="11:11" x14ac:dyDescent="0.35">
      <c r="K363" s="110" t="str">
        <v>INV-2602-0013</v>
      </c>
    </row>
    <row r="364" spans="11:11" x14ac:dyDescent="0.35">
      <c r="K364" s="110" t="str">
        <v>INV-2602-0014</v>
      </c>
    </row>
    <row r="365" spans="11:11" x14ac:dyDescent="0.35">
      <c r="K365" s="110" t="str">
        <v>INV-2602-0015</v>
      </c>
    </row>
    <row r="366" spans="11:11" x14ac:dyDescent="0.35">
      <c r="K366" s="110" t="str">
        <v>INV-2602-0016</v>
      </c>
    </row>
    <row r="367" spans="11:11" x14ac:dyDescent="0.35">
      <c r="K367" s="110" t="str">
        <v>INV-2602-0017</v>
      </c>
    </row>
    <row r="368" spans="11:11" x14ac:dyDescent="0.35">
      <c r="K368" s="110" t="str">
        <v>INV-2602-0018</v>
      </c>
    </row>
    <row r="369" spans="11:11" x14ac:dyDescent="0.35">
      <c r="K369" s="110" t="str">
        <v>INV-2602-0019</v>
      </c>
    </row>
    <row r="370" spans="11:11" x14ac:dyDescent="0.35">
      <c r="K370" s="110" t="str">
        <v>INV-2602-0020</v>
      </c>
    </row>
    <row r="371" spans="11:11" x14ac:dyDescent="0.35">
      <c r="K371" s="110" t="str">
        <v>INV-2602-0021</v>
      </c>
    </row>
    <row r="372" spans="11:11" x14ac:dyDescent="0.35">
      <c r="K372" s="110" t="str">
        <v>INV-2602-0022</v>
      </c>
    </row>
    <row r="373" spans="11:11" x14ac:dyDescent="0.35">
      <c r="K373" s="110" t="str">
        <v>INV-2602-0023</v>
      </c>
    </row>
    <row r="374" spans="11:11" x14ac:dyDescent="0.35">
      <c r="K374" s="110" t="str">
        <v>INV-2602-0024</v>
      </c>
    </row>
    <row r="375" spans="11:11" x14ac:dyDescent="0.35">
      <c r="K375" s="110" t="str">
        <v>INV-2602-0025</v>
      </c>
    </row>
    <row r="376" spans="11:11" x14ac:dyDescent="0.35">
      <c r="K376" s="110" t="str">
        <v>INV-2602-0026</v>
      </c>
    </row>
    <row r="377" spans="11:11" x14ac:dyDescent="0.35">
      <c r="K377" s="110" t="str">
        <v>INV-2602-0027</v>
      </c>
    </row>
    <row r="378" spans="11:11" x14ac:dyDescent="0.35">
      <c r="K378" s="110" t="str">
        <v>INV-2602-0028</v>
      </c>
    </row>
    <row r="379" spans="11:11" x14ac:dyDescent="0.35">
      <c r="K379" s="110" t="str">
        <v>INV-2602-0029</v>
      </c>
    </row>
    <row r="380" spans="11:11" x14ac:dyDescent="0.35">
      <c r="K380" s="110" t="str">
        <v>INV-2602-0030</v>
      </c>
    </row>
    <row r="381" spans="11:11" x14ac:dyDescent="0.35">
      <c r="K381" s="110" t="str">
        <v>INV-2602-0031</v>
      </c>
    </row>
    <row r="382" spans="11:11" x14ac:dyDescent="0.35">
      <c r="K382" s="110" t="str">
        <v>INV-2602-0032</v>
      </c>
    </row>
    <row r="383" spans="11:11" x14ac:dyDescent="0.35">
      <c r="K383" s="110" t="str">
        <v>INV-2602-0033</v>
      </c>
    </row>
    <row r="384" spans="11:11" x14ac:dyDescent="0.35">
      <c r="K384" s="110" t="str">
        <v>INV-2602-0034</v>
      </c>
    </row>
    <row r="385" spans="11:11" x14ac:dyDescent="0.35">
      <c r="K385" s="110" t="str">
        <v>INV-2602-0035</v>
      </c>
    </row>
    <row r="386" spans="11:11" x14ac:dyDescent="0.35">
      <c r="K386" s="110" t="str">
        <v>INV-2602-0036</v>
      </c>
    </row>
    <row r="387" spans="11:11" x14ac:dyDescent="0.35">
      <c r="K387" s="110" t="str">
        <v>INV-2602-0037</v>
      </c>
    </row>
    <row r="388" spans="11:11" x14ac:dyDescent="0.35">
      <c r="K388" s="110" t="str">
        <v>INV-2602-0038</v>
      </c>
    </row>
    <row r="389" spans="11:11" x14ac:dyDescent="0.35">
      <c r="K389" s="110" t="str">
        <v>INV-2602-0039</v>
      </c>
    </row>
    <row r="390" spans="11:11" x14ac:dyDescent="0.35">
      <c r="K390" s="110" t="str">
        <v>INV-2602-0040</v>
      </c>
    </row>
    <row r="391" spans="11:11" x14ac:dyDescent="0.35">
      <c r="K391" s="110" t="str">
        <v>INV-2602-0041</v>
      </c>
    </row>
    <row r="392" spans="11:11" x14ac:dyDescent="0.35">
      <c r="K392" s="110" t="str">
        <v>INV-2602-0042</v>
      </c>
    </row>
    <row r="393" spans="11:11" x14ac:dyDescent="0.35">
      <c r="K393" s="110" t="str">
        <v>INV-2602-0043</v>
      </c>
    </row>
    <row r="394" spans="11:11" x14ac:dyDescent="0.35">
      <c r="K394" s="110" t="str">
        <v>INV-2602-0044</v>
      </c>
    </row>
    <row r="395" spans="11:11" x14ac:dyDescent="0.35">
      <c r="K395" s="110" t="str">
        <v>INV-2602-0045</v>
      </c>
    </row>
    <row r="396" spans="11:11" x14ac:dyDescent="0.35">
      <c r="K396" s="110" t="str">
        <v>INV-2602-0046</v>
      </c>
    </row>
    <row r="397" spans="11:11" x14ac:dyDescent="0.35">
      <c r="K397" s="110" t="str">
        <v>INV-2602-0047</v>
      </c>
    </row>
    <row r="398" spans="11:11" x14ac:dyDescent="0.35">
      <c r="K398" s="110" t="str">
        <v>INV-2602-0048</v>
      </c>
    </row>
    <row r="399" spans="11:11" x14ac:dyDescent="0.35">
      <c r="K399" s="110" t="str">
        <v>INV-2602-0049</v>
      </c>
    </row>
    <row r="400" spans="11:11" x14ac:dyDescent="0.35">
      <c r="K400" s="110" t="str">
        <v>INV-2602-0050</v>
      </c>
    </row>
    <row r="401" spans="11:11" x14ac:dyDescent="0.35">
      <c r="K401" s="110" t="str">
        <v>INV-2602-0051</v>
      </c>
    </row>
    <row r="402" spans="11:11" x14ac:dyDescent="0.35">
      <c r="K402" s="110" t="str">
        <v>INV-2602-0052</v>
      </c>
    </row>
    <row r="403" spans="11:11" x14ac:dyDescent="0.35">
      <c r="K403" s="110" t="str">
        <v>INV-2602-0053</v>
      </c>
    </row>
    <row r="404" spans="11:11" x14ac:dyDescent="0.35">
      <c r="K404" s="110" t="str">
        <v>INV-2602-0054</v>
      </c>
    </row>
    <row r="405" spans="11:11" x14ac:dyDescent="0.35">
      <c r="K405" s="110" t="str">
        <v>INV-2602-0055</v>
      </c>
    </row>
    <row r="406" spans="11:11" x14ac:dyDescent="0.35">
      <c r="K406" s="110" t="str">
        <v>INV-2602-0056</v>
      </c>
    </row>
    <row r="407" spans="11:11" x14ac:dyDescent="0.35">
      <c r="K407" s="110" t="str">
        <v>INV-2602-0057</v>
      </c>
    </row>
    <row r="408" spans="11:11" x14ac:dyDescent="0.35">
      <c r="K408" s="110" t="str">
        <v>INV-2602-0058</v>
      </c>
    </row>
    <row r="409" spans="11:11" x14ac:dyDescent="0.35">
      <c r="K409" s="110" t="str">
        <v>INV-2602-0059</v>
      </c>
    </row>
    <row r="410" spans="11:11" x14ac:dyDescent="0.35">
      <c r="K410" s="110" t="str">
        <v>INV-2602-0060</v>
      </c>
    </row>
    <row r="411" spans="11:11" x14ac:dyDescent="0.35">
      <c r="K411" s="110" t="str">
        <v>INV-2602-0061</v>
      </c>
    </row>
    <row r="412" spans="11:11" x14ac:dyDescent="0.35">
      <c r="K412" s="110" t="str">
        <v>INV-2602-0062</v>
      </c>
    </row>
    <row r="413" spans="11:11" x14ac:dyDescent="0.35">
      <c r="K413" s="110" t="str">
        <v>INV-2602-0063</v>
      </c>
    </row>
    <row r="414" spans="11:11" x14ac:dyDescent="0.35">
      <c r="K414" s="110" t="str">
        <v>INV-2602-0064</v>
      </c>
    </row>
    <row r="415" spans="11:11" x14ac:dyDescent="0.35">
      <c r="K415" s="110" t="str">
        <v>INV-2602-0065</v>
      </c>
    </row>
    <row r="416" spans="11:11" x14ac:dyDescent="0.35">
      <c r="K416" s="110" t="str">
        <v>INV-2602-0066</v>
      </c>
    </row>
    <row r="417" spans="11:11" x14ac:dyDescent="0.35">
      <c r="K417" s="110" t="str">
        <v>INV-2602-0067</v>
      </c>
    </row>
    <row r="418" spans="11:11" x14ac:dyDescent="0.35">
      <c r="K418" s="110" t="str">
        <v>INV-2602-0068</v>
      </c>
    </row>
    <row r="419" spans="11:11" x14ac:dyDescent="0.35">
      <c r="K419" s="110" t="str">
        <v>INV-2602-0069</v>
      </c>
    </row>
    <row r="420" spans="11:11" x14ac:dyDescent="0.35">
      <c r="K420" s="110" t="str">
        <v>INV-2602-0070</v>
      </c>
    </row>
    <row r="421" spans="11:11" x14ac:dyDescent="0.35">
      <c r="K421" s="110" t="str">
        <v>INV-2602-0071</v>
      </c>
    </row>
    <row r="422" spans="11:11" x14ac:dyDescent="0.35">
      <c r="K422" s="110" t="str">
        <v>INV-2602-0072</v>
      </c>
    </row>
    <row r="423" spans="11:11" x14ac:dyDescent="0.35">
      <c r="K423" s="110" t="str">
        <v>INV-2602-0073</v>
      </c>
    </row>
    <row r="424" spans="11:11" x14ac:dyDescent="0.35">
      <c r="K424" s="110" t="str">
        <v>INV-2602-0074</v>
      </c>
    </row>
    <row r="425" spans="11:11" x14ac:dyDescent="0.35">
      <c r="K425" s="110" t="str">
        <v>INV-2602-0075</v>
      </c>
    </row>
    <row r="426" spans="11:11" x14ac:dyDescent="0.35">
      <c r="K426" s="110" t="str">
        <v>INV-2602-0076</v>
      </c>
    </row>
    <row r="427" spans="11:11" x14ac:dyDescent="0.35">
      <c r="K427" s="110" t="str">
        <v>INV-2602-0077</v>
      </c>
    </row>
    <row r="428" spans="11:11" x14ac:dyDescent="0.35">
      <c r="K428" s="110" t="str">
        <v>INV-2602-0078</v>
      </c>
    </row>
    <row r="429" spans="11:11" x14ac:dyDescent="0.35">
      <c r="K429" s="110" t="str">
        <v>INV-2602-0079</v>
      </c>
    </row>
    <row r="430" spans="11:11" x14ac:dyDescent="0.35">
      <c r="K430" s="110" t="str">
        <v>INV-2602-0080</v>
      </c>
    </row>
    <row r="431" spans="11:11" x14ac:dyDescent="0.35">
      <c r="K431" s="110" t="str">
        <v>INV-2602-0081</v>
      </c>
    </row>
    <row r="432" spans="11:11" x14ac:dyDescent="0.35">
      <c r="K432" s="110" t="str">
        <v>INV-2602-0082</v>
      </c>
    </row>
    <row r="433" spans="11:11" x14ac:dyDescent="0.35">
      <c r="K433" s="110" t="str">
        <v>INV-2602-0083</v>
      </c>
    </row>
    <row r="434" spans="11:11" x14ac:dyDescent="0.35">
      <c r="K434" s="110" t="str">
        <v>INV-2602-0084</v>
      </c>
    </row>
    <row r="435" spans="11:11" x14ac:dyDescent="0.35">
      <c r="K435" s="110" t="str">
        <v>INV-2602-0085</v>
      </c>
    </row>
    <row r="436" spans="11:11" x14ac:dyDescent="0.35">
      <c r="K436" s="110" t="str">
        <v>INV-2602-0086</v>
      </c>
    </row>
    <row r="437" spans="11:11" x14ac:dyDescent="0.35">
      <c r="K437" s="110" t="str">
        <v>INV-2602-0087</v>
      </c>
    </row>
    <row r="438" spans="11:11" x14ac:dyDescent="0.35">
      <c r="K438" s="110" t="str">
        <v>INV-2602-0088</v>
      </c>
    </row>
    <row r="439" spans="11:11" x14ac:dyDescent="0.35">
      <c r="K439" s="110" t="str">
        <v>INV-2602-0089</v>
      </c>
    </row>
    <row r="440" spans="11:11" x14ac:dyDescent="0.35">
      <c r="K440" s="110" t="str">
        <v>INV-2602-0090</v>
      </c>
    </row>
    <row r="441" spans="11:11" x14ac:dyDescent="0.35">
      <c r="K441" s="110" t="str">
        <v>INV-2602-0091</v>
      </c>
    </row>
    <row r="442" spans="11:11" x14ac:dyDescent="0.35">
      <c r="K442" s="110" t="str">
        <v>INV-2602-0092</v>
      </c>
    </row>
    <row r="443" spans="11:11" x14ac:dyDescent="0.35">
      <c r="K443" s="110" t="str">
        <v>INV-2602-0093</v>
      </c>
    </row>
    <row r="444" spans="11:11" x14ac:dyDescent="0.35">
      <c r="K444" s="110" t="str">
        <v>INV-2602-0094</v>
      </c>
    </row>
    <row r="445" spans="11:11" x14ac:dyDescent="0.35">
      <c r="K445" s="110" t="str">
        <v>INV-2602-0095</v>
      </c>
    </row>
    <row r="446" spans="11:11" x14ac:dyDescent="0.35">
      <c r="K446" s="110" t="str">
        <v>INV-2602-0096</v>
      </c>
    </row>
    <row r="447" spans="11:11" x14ac:dyDescent="0.35">
      <c r="K447" s="110" t="str">
        <v>INV-2602-0097</v>
      </c>
    </row>
    <row r="448" spans="11:11" x14ac:dyDescent="0.35">
      <c r="K448" s="110" t="str">
        <v>INV-2602-0098</v>
      </c>
    </row>
    <row r="449" spans="11:11" x14ac:dyDescent="0.35">
      <c r="K449" s="110" t="str">
        <v>INV-2602-0099</v>
      </c>
    </row>
    <row r="450" spans="11:11" x14ac:dyDescent="0.35">
      <c r="K450" s="110" t="str">
        <v>INV-2602-0100</v>
      </c>
    </row>
    <row r="451" spans="11:11" x14ac:dyDescent="0.35">
      <c r="K451" s="110" t="str">
        <v>INV-2602-0101</v>
      </c>
    </row>
    <row r="452" spans="11:11" x14ac:dyDescent="0.35">
      <c r="K452" s="110" t="str">
        <v>INV-2602-0102</v>
      </c>
    </row>
    <row r="453" spans="11:11" x14ac:dyDescent="0.35">
      <c r="K453" s="110" t="str">
        <v>INV-2602-0103</v>
      </c>
    </row>
    <row r="454" spans="11:11" x14ac:dyDescent="0.35">
      <c r="K454" s="110" t="str">
        <v>INV-2602-0104</v>
      </c>
    </row>
    <row r="455" spans="11:11" x14ac:dyDescent="0.35">
      <c r="K455" s="110" t="str">
        <v>INV-2602-0105</v>
      </c>
    </row>
    <row r="456" spans="11:11" x14ac:dyDescent="0.35">
      <c r="K456" s="110" t="str">
        <v>INV-2602-0106</v>
      </c>
    </row>
    <row r="457" spans="11:11" x14ac:dyDescent="0.35">
      <c r="K457" s="110" t="str">
        <v>INV-2602-0107</v>
      </c>
    </row>
    <row r="458" spans="11:11" x14ac:dyDescent="0.35">
      <c r="K458" s="110" t="str">
        <v>INV-2602-0108</v>
      </c>
    </row>
    <row r="459" spans="11:11" x14ac:dyDescent="0.35">
      <c r="K459" s="110" t="str">
        <v>INV-2602-0109</v>
      </c>
    </row>
    <row r="460" spans="11:11" x14ac:dyDescent="0.35">
      <c r="K460" s="110" t="str">
        <v>INV-2602-0110</v>
      </c>
    </row>
    <row r="461" spans="11:11" x14ac:dyDescent="0.35">
      <c r="K461" s="110" t="str">
        <v>INV-2602-0111</v>
      </c>
    </row>
    <row r="462" spans="11:11" x14ac:dyDescent="0.35">
      <c r="K462" s="110" t="str">
        <v>INV-2602-0112</v>
      </c>
    </row>
    <row r="463" spans="11:11" x14ac:dyDescent="0.35">
      <c r="K463" s="110" t="str">
        <v>INV-2602-0113</v>
      </c>
    </row>
    <row r="464" spans="11:11" x14ac:dyDescent="0.35">
      <c r="K464" s="110" t="str">
        <v>INV-2602-0114</v>
      </c>
    </row>
    <row r="465" spans="11:11" x14ac:dyDescent="0.35">
      <c r="K465" s="110" t="str">
        <v>INV-2602-0115</v>
      </c>
    </row>
    <row r="466" spans="11:11" x14ac:dyDescent="0.35">
      <c r="K466" s="110" t="str">
        <v>INV-2602-0116</v>
      </c>
    </row>
    <row r="467" spans="11:11" x14ac:dyDescent="0.35">
      <c r="K467" s="110" t="str">
        <v>INV-2602-0117</v>
      </c>
    </row>
    <row r="468" spans="11:11" x14ac:dyDescent="0.35">
      <c r="K468" s="110" t="str">
        <v>INV-2602-0118</v>
      </c>
    </row>
    <row r="469" spans="11:11" x14ac:dyDescent="0.35">
      <c r="K469" s="110" t="str">
        <v>INV-2602-0119</v>
      </c>
    </row>
    <row r="470" spans="11:11" x14ac:dyDescent="0.35">
      <c r="K470" s="110" t="str">
        <v>INV-2602-0120</v>
      </c>
    </row>
    <row r="471" spans="11:11" x14ac:dyDescent="0.35">
      <c r="K471" s="110" t="str">
        <v>INV-2602-0121</v>
      </c>
    </row>
    <row r="472" spans="11:11" x14ac:dyDescent="0.35">
      <c r="K472" s="110" t="str">
        <v>INV-2602-0122</v>
      </c>
    </row>
    <row r="473" spans="11:11" x14ac:dyDescent="0.35">
      <c r="K473" s="110" t="str">
        <v>INV-2602-0123</v>
      </c>
    </row>
    <row r="474" spans="11:11" x14ac:dyDescent="0.35">
      <c r="K474" s="110" t="str">
        <v>INV-2602-0124</v>
      </c>
    </row>
    <row r="475" spans="11:11" x14ac:dyDescent="0.35">
      <c r="K475" s="110" t="str">
        <v>INV-2602-0125</v>
      </c>
    </row>
    <row r="476" spans="11:11" x14ac:dyDescent="0.35">
      <c r="K476" s="110" t="str">
        <v>INV-2602-0126</v>
      </c>
    </row>
    <row r="477" spans="11:11" x14ac:dyDescent="0.35">
      <c r="K477" s="110" t="str">
        <v>INV-2602-0127</v>
      </c>
    </row>
    <row r="478" spans="11:11" x14ac:dyDescent="0.35">
      <c r="K478" s="110" t="str">
        <v>INV-2602-0128</v>
      </c>
    </row>
    <row r="479" spans="11:11" x14ac:dyDescent="0.35">
      <c r="K479" s="110" t="str">
        <v>INV-2602-0129</v>
      </c>
    </row>
    <row r="480" spans="11:11" x14ac:dyDescent="0.35">
      <c r="K480" s="110" t="str">
        <v>INV-2602-0130</v>
      </c>
    </row>
    <row r="481" spans="11:11" x14ac:dyDescent="0.35">
      <c r="K481" s="110" t="str">
        <v>INV-2602-0131</v>
      </c>
    </row>
    <row r="482" spans="11:11" x14ac:dyDescent="0.35">
      <c r="K482" s="110" t="str">
        <v>INV-2602-0132</v>
      </c>
    </row>
    <row r="483" spans="11:11" x14ac:dyDescent="0.35">
      <c r="K483" s="110" t="str">
        <v>INV-2602-0133</v>
      </c>
    </row>
    <row r="484" spans="11:11" x14ac:dyDescent="0.35">
      <c r="K484" s="110" t="str">
        <v>INV-2602-0134</v>
      </c>
    </row>
    <row r="485" spans="11:11" x14ac:dyDescent="0.35">
      <c r="K485" s="110" t="str">
        <v>INV-2602-0135</v>
      </c>
    </row>
    <row r="486" spans="11:11" x14ac:dyDescent="0.35">
      <c r="K486" s="110" t="str">
        <v>INV-2602-0136</v>
      </c>
    </row>
    <row r="487" spans="11:11" x14ac:dyDescent="0.35">
      <c r="K487" s="110" t="str">
        <v>INV-2602-0137</v>
      </c>
    </row>
    <row r="488" spans="11:11" x14ac:dyDescent="0.35">
      <c r="K488" s="110" t="str">
        <v>INV-2602-0138</v>
      </c>
    </row>
    <row r="489" spans="11:11" x14ac:dyDescent="0.35">
      <c r="K489" s="110" t="str">
        <v>INV-2602-0139</v>
      </c>
    </row>
    <row r="490" spans="11:11" x14ac:dyDescent="0.35">
      <c r="K490" s="110" t="str">
        <v>INV-2602-0140</v>
      </c>
    </row>
    <row r="491" spans="11:11" x14ac:dyDescent="0.35">
      <c r="K491" s="110" t="str">
        <v>INV-2602-0141</v>
      </c>
    </row>
    <row r="492" spans="11:11" x14ac:dyDescent="0.35">
      <c r="K492" s="110" t="str">
        <v>INV-2602-0142</v>
      </c>
    </row>
    <row r="493" spans="11:11" x14ac:dyDescent="0.35">
      <c r="K493" s="110" t="str">
        <v>INV-2602-0143</v>
      </c>
    </row>
    <row r="494" spans="11:11" x14ac:dyDescent="0.35">
      <c r="K494" s="110" t="str">
        <v>INV-2602-0144</v>
      </c>
    </row>
    <row r="495" spans="11:11" x14ac:dyDescent="0.35">
      <c r="K495" s="110" t="str">
        <v>INV-2602-0145</v>
      </c>
    </row>
    <row r="496" spans="11:11" x14ac:dyDescent="0.35">
      <c r="K496" s="110" t="str">
        <v>INV-2602-0146</v>
      </c>
    </row>
    <row r="497" spans="11:11" x14ac:dyDescent="0.35">
      <c r="K497" s="110" t="str">
        <v>INV-2602-0147</v>
      </c>
    </row>
    <row r="498" spans="11:11" x14ac:dyDescent="0.35">
      <c r="K498" s="110" t="str">
        <v>INV-2602-0148</v>
      </c>
    </row>
    <row r="499" spans="11:11" x14ac:dyDescent="0.35">
      <c r="K499" s="110" t="str">
        <v>INV-2602-0149</v>
      </c>
    </row>
    <row r="500" spans="11:11" x14ac:dyDescent="0.35">
      <c r="K500" s="110" t="str">
        <v>INV-2602-0150</v>
      </c>
    </row>
    <row r="501" spans="11:11" x14ac:dyDescent="0.35">
      <c r="K501" s="110" t="str">
        <v>INV-2602-0151</v>
      </c>
    </row>
    <row r="502" spans="11:11" x14ac:dyDescent="0.35">
      <c r="K502" s="110" t="str">
        <v>INV-2602-0152</v>
      </c>
    </row>
    <row r="503" spans="11:11" x14ac:dyDescent="0.35">
      <c r="K503" s="110" t="str">
        <v>INV-2602-0153</v>
      </c>
    </row>
    <row r="504" spans="11:11" x14ac:dyDescent="0.35">
      <c r="K504" s="110" t="str">
        <v>INV-2602-0154</v>
      </c>
    </row>
    <row r="505" spans="11:11" x14ac:dyDescent="0.35">
      <c r="K505" s="110" t="str">
        <v>INV-2602-0155</v>
      </c>
    </row>
    <row r="506" spans="11:11" x14ac:dyDescent="0.35">
      <c r="K506" s="110" t="str">
        <v>INV-2602-0156</v>
      </c>
    </row>
    <row r="507" spans="11:11" x14ac:dyDescent="0.35">
      <c r="K507" s="110" t="str">
        <v>INV-2602-0157</v>
      </c>
    </row>
    <row r="508" spans="11:11" x14ac:dyDescent="0.35">
      <c r="K508" s="110" t="str">
        <v>INV-2602-0158</v>
      </c>
    </row>
    <row r="509" spans="11:11" x14ac:dyDescent="0.35">
      <c r="K509" s="110" t="str">
        <v>INV-2602-0159</v>
      </c>
    </row>
    <row r="510" spans="11:11" x14ac:dyDescent="0.35">
      <c r="K510" s="110" t="str">
        <v>INV-2602-0160</v>
      </c>
    </row>
    <row r="511" spans="11:11" x14ac:dyDescent="0.35">
      <c r="K511" s="110" t="str">
        <v>INV-2602-0161</v>
      </c>
    </row>
    <row r="512" spans="11:11" x14ac:dyDescent="0.35">
      <c r="K512" s="110" t="str">
        <v>INV-2602-0162</v>
      </c>
    </row>
    <row r="513" spans="11:11" x14ac:dyDescent="0.35">
      <c r="K513" s="110" t="str">
        <v>INV-2602-0163</v>
      </c>
    </row>
    <row r="514" spans="11:11" x14ac:dyDescent="0.35">
      <c r="K514" s="110" t="str">
        <v>INV-2602-0164</v>
      </c>
    </row>
    <row r="515" spans="11:11" x14ac:dyDescent="0.35">
      <c r="K515" s="110" t="str">
        <v>INV-2602-0165</v>
      </c>
    </row>
    <row r="516" spans="11:11" x14ac:dyDescent="0.35">
      <c r="K516" s="110" t="str">
        <v>INV-2602-0166</v>
      </c>
    </row>
    <row r="517" spans="11:11" x14ac:dyDescent="0.35">
      <c r="K517" s="110" t="str">
        <v>INV-2602-0167</v>
      </c>
    </row>
    <row r="518" spans="11:11" x14ac:dyDescent="0.35">
      <c r="K518" s="110" t="str">
        <v>INV-2602-0168</v>
      </c>
    </row>
    <row r="519" spans="11:11" x14ac:dyDescent="0.35">
      <c r="K519" s="110" t="str">
        <v>INV-2602-0169</v>
      </c>
    </row>
    <row r="520" spans="11:11" x14ac:dyDescent="0.35">
      <c r="K520" s="110" t="str">
        <v>INV-2602-0170</v>
      </c>
    </row>
    <row r="521" spans="11:11" x14ac:dyDescent="0.35">
      <c r="K521" s="110" t="str">
        <v>INV-2602-0171</v>
      </c>
    </row>
    <row r="522" spans="11:11" x14ac:dyDescent="0.35">
      <c r="K522" s="110" t="str">
        <v>INV-2602-0172</v>
      </c>
    </row>
    <row r="523" spans="11:11" x14ac:dyDescent="0.35">
      <c r="K523" s="110" t="str">
        <v>INV-2602-0173</v>
      </c>
    </row>
    <row r="524" spans="11:11" x14ac:dyDescent="0.35">
      <c r="K524" s="110" t="str">
        <v>INV-2602-0174</v>
      </c>
    </row>
    <row r="525" spans="11:11" x14ac:dyDescent="0.35">
      <c r="K525" s="110" t="str">
        <v>INV-2602-0175</v>
      </c>
    </row>
    <row r="526" spans="11:11" x14ac:dyDescent="0.35">
      <c r="K526" s="110" t="str">
        <v>INV-2602-0176</v>
      </c>
    </row>
    <row r="527" spans="11:11" x14ac:dyDescent="0.35">
      <c r="K527" s="110" t="str">
        <v>INV-2602-0177</v>
      </c>
    </row>
    <row r="528" spans="11:11" x14ac:dyDescent="0.35">
      <c r="K528" s="110" t="str">
        <v>INV-2602-0178</v>
      </c>
    </row>
    <row r="529" spans="11:11" x14ac:dyDescent="0.35">
      <c r="K529" s="110" t="str">
        <v>INV-2602-0179</v>
      </c>
    </row>
    <row r="530" spans="11:11" x14ac:dyDescent="0.35">
      <c r="K530" s="110" t="str">
        <v>INV-2602-0180</v>
      </c>
    </row>
    <row r="531" spans="11:11" x14ac:dyDescent="0.35">
      <c r="K531" s="110" t="str">
        <v>INV-2602-0181</v>
      </c>
    </row>
    <row r="532" spans="11:11" x14ac:dyDescent="0.35">
      <c r="K532" s="110" t="str">
        <v>INV-2602-0182</v>
      </c>
    </row>
    <row r="533" spans="11:11" x14ac:dyDescent="0.35">
      <c r="K533" s="110" t="str">
        <v>INV-2602-0183</v>
      </c>
    </row>
    <row r="534" spans="11:11" x14ac:dyDescent="0.35">
      <c r="K534" s="110" t="str">
        <v>INV-2602-0184</v>
      </c>
    </row>
    <row r="535" spans="11:11" x14ac:dyDescent="0.35">
      <c r="K535" s="110" t="str">
        <v>INV-2602-0185</v>
      </c>
    </row>
    <row r="536" spans="11:11" x14ac:dyDescent="0.35">
      <c r="K536" s="110" t="str">
        <v>INV-2602-0186</v>
      </c>
    </row>
    <row r="537" spans="11:11" x14ac:dyDescent="0.35">
      <c r="K537" s="110" t="str">
        <v>INV-2602-0187</v>
      </c>
    </row>
    <row r="538" spans="11:11" x14ac:dyDescent="0.35">
      <c r="K538" s="110" t="str">
        <v>INV-2602-0188</v>
      </c>
    </row>
    <row r="539" spans="11:11" x14ac:dyDescent="0.35">
      <c r="K539" s="110" t="str">
        <v>INV-2602-0189</v>
      </c>
    </row>
    <row r="540" spans="11:11" x14ac:dyDescent="0.35">
      <c r="K540" s="110" t="str">
        <v>INV-2602-0190</v>
      </c>
    </row>
    <row r="541" spans="11:11" x14ac:dyDescent="0.35">
      <c r="K541" s="110" t="str">
        <v>INV-2602-0191</v>
      </c>
    </row>
    <row r="542" spans="11:11" x14ac:dyDescent="0.35">
      <c r="K542" s="110" t="str">
        <v>INV-2602-0192</v>
      </c>
    </row>
    <row r="543" spans="11:11" x14ac:dyDescent="0.35">
      <c r="K543" s="110" t="str">
        <v>INV-2602-0193</v>
      </c>
    </row>
    <row r="544" spans="11:11" x14ac:dyDescent="0.35">
      <c r="K544" s="110" t="str">
        <v>INV-2602-0194</v>
      </c>
    </row>
    <row r="545" spans="11:11" x14ac:dyDescent="0.35">
      <c r="K545" s="110" t="str">
        <v>INV-2602-0195</v>
      </c>
    </row>
    <row r="546" spans="11:11" x14ac:dyDescent="0.35">
      <c r="K546" s="110" t="str">
        <v>INV-2602-0196</v>
      </c>
    </row>
    <row r="547" spans="11:11" x14ac:dyDescent="0.35">
      <c r="K547" s="110" t="str">
        <v>INV-2602-0197</v>
      </c>
    </row>
    <row r="548" spans="11:11" x14ac:dyDescent="0.35">
      <c r="K548" s="110" t="str">
        <v>INV-2602-0198</v>
      </c>
    </row>
    <row r="549" spans="11:11" x14ac:dyDescent="0.35">
      <c r="K549" s="110" t="str">
        <v>INV-2602-0199</v>
      </c>
    </row>
    <row r="550" spans="11:11" x14ac:dyDescent="0.35">
      <c r="K550" s="110" t="str">
        <v>INV-2602-0200</v>
      </c>
    </row>
    <row r="551" spans="11:11" x14ac:dyDescent="0.35">
      <c r="K551" s="110" t="str">
        <v>INV-2602-0201</v>
      </c>
    </row>
    <row r="552" spans="11:11" x14ac:dyDescent="0.35">
      <c r="K552" s="110" t="str">
        <v>INV-2602-0202</v>
      </c>
    </row>
    <row r="553" spans="11:11" x14ac:dyDescent="0.35">
      <c r="K553" s="110" t="str">
        <v>INV-2602-0203</v>
      </c>
    </row>
    <row r="554" spans="11:11" x14ac:dyDescent="0.35">
      <c r="K554" s="110" t="str">
        <v>INV-2602-0204</v>
      </c>
    </row>
    <row r="555" spans="11:11" x14ac:dyDescent="0.35">
      <c r="K555" s="110" t="str">
        <v>INV-2602-0205</v>
      </c>
    </row>
    <row r="556" spans="11:11" x14ac:dyDescent="0.35">
      <c r="K556" s="110" t="str">
        <v>INV-2602-0206</v>
      </c>
    </row>
    <row r="557" spans="11:11" x14ac:dyDescent="0.35">
      <c r="K557" s="110" t="str">
        <v>INV-2602-0207</v>
      </c>
    </row>
    <row r="558" spans="11:11" x14ac:dyDescent="0.35">
      <c r="K558" s="110" t="str">
        <v>INV-2602-0208</v>
      </c>
    </row>
    <row r="559" spans="11:11" x14ac:dyDescent="0.35">
      <c r="K559" s="110" t="str">
        <v>INV-2602-0209</v>
      </c>
    </row>
    <row r="560" spans="11:11" x14ac:dyDescent="0.35">
      <c r="K560" s="110" t="str">
        <v>INV-2602-0210</v>
      </c>
    </row>
    <row r="561" spans="11:11" x14ac:dyDescent="0.35">
      <c r="K561" s="110" t="str">
        <v>INV-2602-0211</v>
      </c>
    </row>
    <row r="562" spans="11:11" x14ac:dyDescent="0.35">
      <c r="K562" s="110" t="str">
        <v>INV-2602-0212</v>
      </c>
    </row>
    <row r="563" spans="11:11" x14ac:dyDescent="0.35">
      <c r="K563" s="110" t="str">
        <v>INV-2602-0213</v>
      </c>
    </row>
    <row r="564" spans="11:11" x14ac:dyDescent="0.35">
      <c r="K564" s="110" t="str">
        <v>INV-2602-0214</v>
      </c>
    </row>
    <row r="565" spans="11:11" x14ac:dyDescent="0.35">
      <c r="K565" s="110" t="str">
        <v>INV-2602-0215</v>
      </c>
    </row>
    <row r="566" spans="11:11" x14ac:dyDescent="0.35">
      <c r="K566" s="110" t="str">
        <v>INV-2602-0216</v>
      </c>
    </row>
    <row r="567" spans="11:11" x14ac:dyDescent="0.35">
      <c r="K567" s="110" t="str">
        <v>INV-2602-0217</v>
      </c>
    </row>
    <row r="568" spans="11:11" x14ac:dyDescent="0.35">
      <c r="K568" s="110" t="str">
        <v>INV-2602-0218</v>
      </c>
    </row>
    <row r="569" spans="11:11" x14ac:dyDescent="0.35">
      <c r="K569" s="110" t="str">
        <v>INV-2602-0219</v>
      </c>
    </row>
    <row r="570" spans="11:11" x14ac:dyDescent="0.35">
      <c r="K570" s="110" t="str">
        <v>INV-2602-0220</v>
      </c>
    </row>
    <row r="571" spans="11:11" x14ac:dyDescent="0.35">
      <c r="K571" s="110" t="str">
        <v>INV-2602-0221</v>
      </c>
    </row>
    <row r="572" spans="11:11" x14ac:dyDescent="0.35">
      <c r="K572" s="110" t="str">
        <v>INV-2602-0222</v>
      </c>
    </row>
    <row r="573" spans="11:11" x14ac:dyDescent="0.35">
      <c r="K573" s="110" t="str">
        <v>INV-2602-0223</v>
      </c>
    </row>
    <row r="574" spans="11:11" x14ac:dyDescent="0.35">
      <c r="K574" s="110" t="str">
        <v>INV-2602-0224</v>
      </c>
    </row>
    <row r="575" spans="11:11" x14ac:dyDescent="0.35">
      <c r="K575" s="110" t="str">
        <v>INV-2602-0225</v>
      </c>
    </row>
    <row r="576" spans="11:11" x14ac:dyDescent="0.35">
      <c r="K576" s="110" t="str">
        <v>INV-2602-0226</v>
      </c>
    </row>
    <row r="577" spans="11:11" x14ac:dyDescent="0.35">
      <c r="K577" s="110" t="str">
        <v>INV-2602-0227</v>
      </c>
    </row>
    <row r="578" spans="11:11" x14ac:dyDescent="0.35">
      <c r="K578" s="110" t="str">
        <v>INV-2602-0228</v>
      </c>
    </row>
    <row r="579" spans="11:11" x14ac:dyDescent="0.35">
      <c r="K579" s="110" t="str">
        <v>INV-2602-0229</v>
      </c>
    </row>
    <row r="580" spans="11:11" x14ac:dyDescent="0.35">
      <c r="K580" s="110" t="str">
        <v>INV-2602-0230</v>
      </c>
    </row>
    <row r="581" spans="11:11" x14ac:dyDescent="0.35">
      <c r="K581" s="110" t="str">
        <v>INV-2602-0231</v>
      </c>
    </row>
    <row r="582" spans="11:11" x14ac:dyDescent="0.35">
      <c r="K582" s="110" t="str">
        <v>INV-2602-0232</v>
      </c>
    </row>
    <row r="583" spans="11:11" x14ac:dyDescent="0.35">
      <c r="K583" s="110" t="str">
        <v>INV-2602-0233</v>
      </c>
    </row>
    <row r="584" spans="11:11" x14ac:dyDescent="0.35">
      <c r="K584" s="110" t="str">
        <v>INV-2602-0234</v>
      </c>
    </row>
    <row r="585" spans="11:11" x14ac:dyDescent="0.35">
      <c r="K585" s="110" t="str">
        <v>INV-2602-0235</v>
      </c>
    </row>
    <row r="586" spans="11:11" x14ac:dyDescent="0.35">
      <c r="K586" s="110" t="str">
        <v>INV-2602-0236</v>
      </c>
    </row>
    <row r="587" spans="11:11" x14ac:dyDescent="0.35">
      <c r="K587" s="110" t="str">
        <v>INV-2602-0237</v>
      </c>
    </row>
    <row r="588" spans="11:11" x14ac:dyDescent="0.35">
      <c r="K588" s="110" t="str">
        <v>INV-2602-0238</v>
      </c>
    </row>
    <row r="589" spans="11:11" x14ac:dyDescent="0.35">
      <c r="K589" s="110" t="str">
        <v>INV-2602-0239</v>
      </c>
    </row>
    <row r="590" spans="11:11" x14ac:dyDescent="0.35">
      <c r="K590" s="110" t="str">
        <v>INV-2602-0240</v>
      </c>
    </row>
    <row r="591" spans="11:11" x14ac:dyDescent="0.35">
      <c r="K591" s="110" t="str">
        <v>INV-2602-0241</v>
      </c>
    </row>
    <row r="592" spans="11:11" x14ac:dyDescent="0.35">
      <c r="K592" s="110" t="str">
        <v>INV-2602-0242</v>
      </c>
    </row>
    <row r="593" spans="11:11" x14ac:dyDescent="0.35">
      <c r="K593" s="110" t="str">
        <v>INV-2602-0243</v>
      </c>
    </row>
    <row r="594" spans="11:11" x14ac:dyDescent="0.35">
      <c r="K594" s="110" t="str">
        <v>INV-2602-0244</v>
      </c>
    </row>
    <row r="595" spans="11:11" x14ac:dyDescent="0.35">
      <c r="K595" s="110" t="str">
        <v>INV-2602-0245</v>
      </c>
    </row>
    <row r="596" spans="11:11" x14ac:dyDescent="0.35">
      <c r="K596" s="110" t="str">
        <v>INV-2602-0246</v>
      </c>
    </row>
    <row r="597" spans="11:11" x14ac:dyDescent="0.35">
      <c r="K597" s="110" t="str">
        <v>INV-2602-0247</v>
      </c>
    </row>
    <row r="598" spans="11:11" x14ac:dyDescent="0.35">
      <c r="K598" s="110" t="str">
        <v>INV-2602-0248</v>
      </c>
    </row>
    <row r="599" spans="11:11" x14ac:dyDescent="0.35">
      <c r="K599" s="110" t="str">
        <v>INV-2602-0249</v>
      </c>
    </row>
    <row r="600" spans="11:11" x14ac:dyDescent="0.35">
      <c r="K600" s="110" t="str">
        <v>INV-2602-0250</v>
      </c>
    </row>
    <row r="601" spans="11:11" x14ac:dyDescent="0.35">
      <c r="K601" s="110" t="str">
        <v>INV-2602-0251</v>
      </c>
    </row>
    <row r="602" spans="11:11" x14ac:dyDescent="0.35">
      <c r="K602" s="110" t="str">
        <v>INV-2602-0252</v>
      </c>
    </row>
    <row r="603" spans="11:11" x14ac:dyDescent="0.35">
      <c r="K603" s="110" t="str">
        <v>INV-2602-0253</v>
      </c>
    </row>
    <row r="604" spans="11:11" x14ac:dyDescent="0.35">
      <c r="K604" s="110" t="str">
        <v>INV-2602-0254</v>
      </c>
    </row>
    <row r="605" spans="11:11" x14ac:dyDescent="0.35">
      <c r="K605" s="110" t="str">
        <v>INV-2602-0255</v>
      </c>
    </row>
    <row r="606" spans="11:11" x14ac:dyDescent="0.35">
      <c r="K606" s="110" t="str">
        <v>INV-2602-0256</v>
      </c>
    </row>
    <row r="607" spans="11:11" x14ac:dyDescent="0.35">
      <c r="K607" s="110" t="str">
        <v>INV-2602-0257</v>
      </c>
    </row>
    <row r="608" spans="11:11" x14ac:dyDescent="0.35">
      <c r="K608" s="110" t="str">
        <v>INV-2602-0258</v>
      </c>
    </row>
    <row r="609" spans="11:11" x14ac:dyDescent="0.35">
      <c r="K609" s="110" t="str">
        <v>INV-2602-0259</v>
      </c>
    </row>
    <row r="610" spans="11:11" x14ac:dyDescent="0.35">
      <c r="K610" s="110" t="str">
        <v>INV-2602-0260</v>
      </c>
    </row>
    <row r="611" spans="11:11" x14ac:dyDescent="0.35">
      <c r="K611" s="110" t="str">
        <v>INV-2602-0261</v>
      </c>
    </row>
    <row r="612" spans="11:11" x14ac:dyDescent="0.35">
      <c r="K612" s="110" t="str">
        <v>INV-2602-0262</v>
      </c>
    </row>
    <row r="613" spans="11:11" x14ac:dyDescent="0.35">
      <c r="K613" s="110" t="str">
        <v>INV-2602-0263</v>
      </c>
    </row>
    <row r="614" spans="11:11" x14ac:dyDescent="0.35">
      <c r="K614" s="110" t="str">
        <v>INV-2602-0264</v>
      </c>
    </row>
    <row r="615" spans="11:11" x14ac:dyDescent="0.35">
      <c r="K615" s="110" t="str">
        <v>INV-2602-0265</v>
      </c>
    </row>
    <row r="616" spans="11:11" x14ac:dyDescent="0.35">
      <c r="K616" s="110" t="str">
        <v>INV-2602-0266</v>
      </c>
    </row>
    <row r="617" spans="11:11" x14ac:dyDescent="0.35">
      <c r="K617" s="110" t="str">
        <v>INV-2602-0267</v>
      </c>
    </row>
    <row r="618" spans="11:11" x14ac:dyDescent="0.35">
      <c r="K618" s="110" t="str">
        <v>INV-2602-0268</v>
      </c>
    </row>
    <row r="619" spans="11:11" x14ac:dyDescent="0.35">
      <c r="K619" s="110" t="str">
        <v>INV-2602-0269</v>
      </c>
    </row>
    <row r="620" spans="11:11" x14ac:dyDescent="0.35">
      <c r="K620" s="110" t="str">
        <v>INV-2602-0270</v>
      </c>
    </row>
    <row r="621" spans="11:11" x14ac:dyDescent="0.35">
      <c r="K621" s="110" t="str">
        <v>INV-2602-0271</v>
      </c>
    </row>
    <row r="622" spans="11:11" x14ac:dyDescent="0.35">
      <c r="K622" s="110" t="str">
        <v>INV-2602-0272</v>
      </c>
    </row>
    <row r="623" spans="11:11" x14ac:dyDescent="0.35">
      <c r="K623" s="110" t="str">
        <v>INV-2602-0273</v>
      </c>
    </row>
    <row r="624" spans="11:11" x14ac:dyDescent="0.35">
      <c r="K624" s="110" t="str">
        <v>INV-2602-0274</v>
      </c>
    </row>
    <row r="625" spans="11:11" x14ac:dyDescent="0.35">
      <c r="K625" s="110" t="str">
        <v>INV-2602-0275</v>
      </c>
    </row>
    <row r="626" spans="11:11" x14ac:dyDescent="0.35">
      <c r="K626" s="110" t="str">
        <v>INV-2602-0276</v>
      </c>
    </row>
    <row r="627" spans="11:11" x14ac:dyDescent="0.35">
      <c r="K627" s="110" t="str">
        <v>INV-2602-0277</v>
      </c>
    </row>
    <row r="628" spans="11:11" x14ac:dyDescent="0.35">
      <c r="K628" s="110" t="str">
        <v>INV-2602-0278</v>
      </c>
    </row>
    <row r="629" spans="11:11" x14ac:dyDescent="0.35">
      <c r="K629" s="110" t="str">
        <v>INV-2602-0279</v>
      </c>
    </row>
    <row r="630" spans="11:11" x14ac:dyDescent="0.35">
      <c r="K630" s="110" t="str">
        <v>INV-2602-0280</v>
      </c>
    </row>
    <row r="631" spans="11:11" x14ac:dyDescent="0.35">
      <c r="K631" s="110" t="str">
        <v>INV-2602-0281</v>
      </c>
    </row>
    <row r="632" spans="11:11" x14ac:dyDescent="0.35">
      <c r="K632" s="110" t="str">
        <v>INV-2602-0282</v>
      </c>
    </row>
    <row r="633" spans="11:11" x14ac:dyDescent="0.35">
      <c r="K633" s="110" t="str">
        <v>INV-2602-0283</v>
      </c>
    </row>
    <row r="634" spans="11:11" x14ac:dyDescent="0.35">
      <c r="K634" s="110" t="str">
        <v>INV-2602-0284</v>
      </c>
    </row>
    <row r="635" spans="11:11" x14ac:dyDescent="0.35">
      <c r="K635" s="110" t="str">
        <v>INV-2602-0285</v>
      </c>
    </row>
    <row r="636" spans="11:11" x14ac:dyDescent="0.35">
      <c r="K636" s="110" t="str">
        <v>INV-2602-0286</v>
      </c>
    </row>
    <row r="637" spans="11:11" x14ac:dyDescent="0.35">
      <c r="K637" s="110" t="str">
        <v>INV-2602-0287</v>
      </c>
    </row>
    <row r="638" spans="11:11" x14ac:dyDescent="0.35">
      <c r="K638" s="110" t="str">
        <v>INV-2602-0288</v>
      </c>
    </row>
    <row r="639" spans="11:11" x14ac:dyDescent="0.35">
      <c r="K639" s="110" t="str">
        <v>INV-2602-0289</v>
      </c>
    </row>
    <row r="640" spans="11:11" x14ac:dyDescent="0.35">
      <c r="K640" s="110" t="str">
        <v>INV-2602-0290</v>
      </c>
    </row>
    <row r="641" spans="11:11" x14ac:dyDescent="0.35">
      <c r="K641" s="110" t="str">
        <v>INV-2602-0291</v>
      </c>
    </row>
    <row r="642" spans="11:11" x14ac:dyDescent="0.35">
      <c r="K642" s="110" t="str">
        <v>INV-2602-0292</v>
      </c>
    </row>
    <row r="643" spans="11:11" x14ac:dyDescent="0.35">
      <c r="K643" s="110" t="str">
        <v>INV-2602-0293</v>
      </c>
    </row>
    <row r="644" spans="11:11" x14ac:dyDescent="0.35">
      <c r="K644" s="110" t="str">
        <v>INV-2602-0294</v>
      </c>
    </row>
    <row r="645" spans="11:11" x14ac:dyDescent="0.35">
      <c r="K645" s="110" t="str">
        <v>INV-2602-0295</v>
      </c>
    </row>
    <row r="646" spans="11:11" x14ac:dyDescent="0.35">
      <c r="K646" s="110" t="str">
        <v>INV-2602-0296</v>
      </c>
    </row>
    <row r="647" spans="11:11" x14ac:dyDescent="0.35">
      <c r="K647" s="110" t="str">
        <v>INV-2602-0297</v>
      </c>
    </row>
    <row r="648" spans="11:11" x14ac:dyDescent="0.35">
      <c r="K648" s="110" t="str">
        <v>INV-2602-0298</v>
      </c>
    </row>
    <row r="649" spans="11:11" x14ac:dyDescent="0.35">
      <c r="K649" s="110" t="str">
        <v>INV-2602-0299</v>
      </c>
    </row>
    <row r="650" spans="11:11" x14ac:dyDescent="0.35">
      <c r="K650" s="110" t="str">
        <v>INV-2602-0300</v>
      </c>
    </row>
    <row r="651" spans="11:11" x14ac:dyDescent="0.35">
      <c r="K651" s="110" t="str">
        <v>INV-2602-0301</v>
      </c>
    </row>
    <row r="652" spans="11:11" x14ac:dyDescent="0.35">
      <c r="K652" s="110" t="str">
        <v>INV-2602-0302</v>
      </c>
    </row>
    <row r="653" spans="11:11" x14ac:dyDescent="0.35">
      <c r="K653" s="110" t="str">
        <v>INV-2602-0303</v>
      </c>
    </row>
    <row r="654" spans="11:11" x14ac:dyDescent="0.35">
      <c r="K654" s="110" t="str">
        <v>INV-2602-0304</v>
      </c>
    </row>
    <row r="655" spans="11:11" x14ac:dyDescent="0.35">
      <c r="K655" s="110" t="str">
        <v>INV-2602-0305</v>
      </c>
    </row>
    <row r="656" spans="11:11" x14ac:dyDescent="0.35">
      <c r="K656" s="110" t="str">
        <v>INV-2602-0306</v>
      </c>
    </row>
    <row r="657" spans="11:11" x14ac:dyDescent="0.35">
      <c r="K657" s="110" t="str">
        <v>INV-2602-0307</v>
      </c>
    </row>
    <row r="658" spans="11:11" x14ac:dyDescent="0.35">
      <c r="K658" s="110" t="str">
        <v>INV-2602-0308</v>
      </c>
    </row>
    <row r="659" spans="11:11" x14ac:dyDescent="0.35">
      <c r="K659" s="110" t="str">
        <v>INV-2602-0309</v>
      </c>
    </row>
    <row r="660" spans="11:11" x14ac:dyDescent="0.35">
      <c r="K660" s="110" t="str">
        <v>INV-2602-0310</v>
      </c>
    </row>
    <row r="661" spans="11:11" x14ac:dyDescent="0.35">
      <c r="K661" s="110" t="str">
        <v>INV-2603-0001</v>
      </c>
    </row>
    <row r="662" spans="11:11" x14ac:dyDescent="0.35">
      <c r="K662" s="110" t="str">
        <v>INV-2603-0002</v>
      </c>
    </row>
    <row r="663" spans="11:11" x14ac:dyDescent="0.35">
      <c r="K663" s="110" t="str">
        <v>INV-2603-0003</v>
      </c>
    </row>
    <row r="664" spans="11:11" x14ac:dyDescent="0.35">
      <c r="K664" s="110" t="str">
        <v>INV-2603-0004</v>
      </c>
    </row>
    <row r="665" spans="11:11" x14ac:dyDescent="0.35">
      <c r="K665" s="110" t="str">
        <v>INV-2603-0005</v>
      </c>
    </row>
    <row r="666" spans="11:11" x14ac:dyDescent="0.35">
      <c r="K666" s="110" t="str">
        <v>INV-2603-0006</v>
      </c>
    </row>
    <row r="667" spans="11:11" x14ac:dyDescent="0.35">
      <c r="K667" s="110" t="str">
        <v>INV-2603-0007</v>
      </c>
    </row>
    <row r="668" spans="11:11" x14ac:dyDescent="0.35">
      <c r="K668" s="110" t="str">
        <v>INV-2603-0008</v>
      </c>
    </row>
    <row r="669" spans="11:11" x14ac:dyDescent="0.35">
      <c r="K669" s="110" t="str">
        <v>INV-2603-0009</v>
      </c>
    </row>
    <row r="670" spans="11:11" x14ac:dyDescent="0.35">
      <c r="K670" s="110" t="str">
        <v>INV-2603-0010</v>
      </c>
    </row>
    <row r="671" spans="11:11" x14ac:dyDescent="0.35">
      <c r="K671" s="110" t="str">
        <v>INV-2603-0011</v>
      </c>
    </row>
    <row r="672" spans="11:11" x14ac:dyDescent="0.35">
      <c r="K672" s="110" t="str">
        <v>INV-2603-0012</v>
      </c>
    </row>
    <row r="673" spans="11:11" x14ac:dyDescent="0.35">
      <c r="K673" s="110" t="str">
        <v>INV-2603-0013</v>
      </c>
    </row>
    <row r="674" spans="11:11" x14ac:dyDescent="0.35">
      <c r="K674" s="110" t="str">
        <v>INV-2603-0014</v>
      </c>
    </row>
    <row r="675" spans="11:11" x14ac:dyDescent="0.35">
      <c r="K675" s="110" t="str">
        <v>INV-2603-0015</v>
      </c>
    </row>
    <row r="676" spans="11:11" x14ac:dyDescent="0.35">
      <c r="K676" s="110" t="str">
        <v>INV-2603-0016</v>
      </c>
    </row>
    <row r="677" spans="11:11" x14ac:dyDescent="0.35">
      <c r="K677" s="110" t="str">
        <v>INV-2603-0017</v>
      </c>
    </row>
    <row r="678" spans="11:11" x14ac:dyDescent="0.35">
      <c r="K678" s="110" t="str">
        <v>INV-2603-0018</v>
      </c>
    </row>
    <row r="679" spans="11:11" x14ac:dyDescent="0.35">
      <c r="K679" s="110" t="str">
        <v>INV-2603-0019</v>
      </c>
    </row>
    <row r="680" spans="11:11" x14ac:dyDescent="0.35">
      <c r="K680" s="110" t="str">
        <v>INV-2603-0020</v>
      </c>
    </row>
    <row r="681" spans="11:11" x14ac:dyDescent="0.35">
      <c r="K681" s="110" t="str">
        <v>INV-2603-0021</v>
      </c>
    </row>
    <row r="682" spans="11:11" x14ac:dyDescent="0.35">
      <c r="K682" s="110" t="str">
        <v>INV-2603-0022</v>
      </c>
    </row>
    <row r="683" spans="11:11" x14ac:dyDescent="0.35">
      <c r="K683" s="110" t="str">
        <v>INV-2603-0023</v>
      </c>
    </row>
    <row r="684" spans="11:11" x14ac:dyDescent="0.35">
      <c r="K684" s="110" t="str">
        <v>INV-2603-0024</v>
      </c>
    </row>
    <row r="685" spans="11:11" x14ac:dyDescent="0.35">
      <c r="K685" s="110" t="str">
        <v>INV-2603-0025</v>
      </c>
    </row>
    <row r="686" spans="11:11" x14ac:dyDescent="0.35">
      <c r="K686" s="110" t="str">
        <v>INV-2603-0026</v>
      </c>
    </row>
    <row r="687" spans="11:11" x14ac:dyDescent="0.35">
      <c r="K687" s="110" t="str">
        <v>INV-2603-0027</v>
      </c>
    </row>
    <row r="688" spans="11:11" x14ac:dyDescent="0.35">
      <c r="K688" s="110" t="str">
        <v>INV-2603-0028</v>
      </c>
    </row>
    <row r="689" spans="11:11" x14ac:dyDescent="0.35">
      <c r="K689" s="110" t="str">
        <v>INV-2603-0029</v>
      </c>
    </row>
    <row r="690" spans="11:11" x14ac:dyDescent="0.35">
      <c r="K690" s="110" t="str">
        <v>INV-2603-0030</v>
      </c>
    </row>
    <row r="691" spans="11:11" x14ac:dyDescent="0.35">
      <c r="K691" s="110" t="str">
        <v>INV-2603-0031</v>
      </c>
    </row>
    <row r="692" spans="11:11" x14ac:dyDescent="0.35">
      <c r="K692" s="110" t="str">
        <v>INV-2603-0032</v>
      </c>
    </row>
    <row r="693" spans="11:11" x14ac:dyDescent="0.35">
      <c r="K693" s="110" t="str">
        <v>INV-2603-0033</v>
      </c>
    </row>
    <row r="694" spans="11:11" x14ac:dyDescent="0.35">
      <c r="K694" s="110" t="str">
        <v>INV-2603-0034</v>
      </c>
    </row>
    <row r="695" spans="11:11" x14ac:dyDescent="0.35">
      <c r="K695" s="110" t="str">
        <v>INV-2603-0035</v>
      </c>
    </row>
    <row r="696" spans="11:11" x14ac:dyDescent="0.35">
      <c r="K696" s="110" t="str">
        <v>INV-2603-0036</v>
      </c>
    </row>
    <row r="697" spans="11:11" x14ac:dyDescent="0.35">
      <c r="K697" s="110" t="str">
        <v>INV-2603-0037</v>
      </c>
    </row>
    <row r="698" spans="11:11" x14ac:dyDescent="0.35">
      <c r="K698" s="110" t="str">
        <v>INV-2603-0038</v>
      </c>
    </row>
    <row r="699" spans="11:11" x14ac:dyDescent="0.35">
      <c r="K699" s="110" t="str">
        <v>INV-2603-0039</v>
      </c>
    </row>
    <row r="700" spans="11:11" x14ac:dyDescent="0.35">
      <c r="K700" s="110" t="str">
        <v>INV-2603-0040</v>
      </c>
    </row>
    <row r="701" spans="11:11" x14ac:dyDescent="0.35">
      <c r="K701" s="110" t="str">
        <v>INV-2603-0041</v>
      </c>
    </row>
    <row r="702" spans="11:11" x14ac:dyDescent="0.35">
      <c r="K702" s="110" t="str">
        <v>INV-2603-0042</v>
      </c>
    </row>
    <row r="703" spans="11:11" x14ac:dyDescent="0.35">
      <c r="K703" s="110" t="str">
        <v>INV-2603-0043</v>
      </c>
    </row>
    <row r="704" spans="11:11" x14ac:dyDescent="0.35">
      <c r="K704" s="110" t="str">
        <v>INV-2603-0044</v>
      </c>
    </row>
    <row r="705" spans="11:11" x14ac:dyDescent="0.35">
      <c r="K705" s="110" t="str">
        <v>INV-2603-0045</v>
      </c>
    </row>
    <row r="706" spans="11:11" x14ac:dyDescent="0.35">
      <c r="K706" s="110" t="str">
        <v>INV-2603-0046</v>
      </c>
    </row>
    <row r="707" spans="11:11" x14ac:dyDescent="0.35">
      <c r="K707" s="110" t="str">
        <v>INV-2603-0047</v>
      </c>
    </row>
    <row r="708" spans="11:11" x14ac:dyDescent="0.35">
      <c r="K708" s="110" t="str">
        <v>INV-2603-0048</v>
      </c>
    </row>
    <row r="709" spans="11:11" x14ac:dyDescent="0.35">
      <c r="K709" s="110" t="str">
        <v>INV-2603-0049</v>
      </c>
    </row>
    <row r="710" spans="11:11" x14ac:dyDescent="0.35">
      <c r="K710" s="110" t="str">
        <v>INV-2603-0050</v>
      </c>
    </row>
    <row r="711" spans="11:11" x14ac:dyDescent="0.35">
      <c r="K711" s="110" t="str">
        <v>INV-2603-0051</v>
      </c>
    </row>
    <row r="712" spans="11:11" x14ac:dyDescent="0.35">
      <c r="K712" s="110" t="str">
        <v>INV-2603-0052</v>
      </c>
    </row>
    <row r="713" spans="11:11" x14ac:dyDescent="0.35">
      <c r="K713" s="110" t="str">
        <v>INV-2603-0053</v>
      </c>
    </row>
    <row r="714" spans="11:11" x14ac:dyDescent="0.35">
      <c r="K714" s="110" t="str">
        <v>INV-2603-0054</v>
      </c>
    </row>
    <row r="715" spans="11:11" x14ac:dyDescent="0.35">
      <c r="K715" s="110" t="str">
        <v>INV-2603-0055</v>
      </c>
    </row>
    <row r="716" spans="11:11" x14ac:dyDescent="0.35">
      <c r="K716" s="110" t="str">
        <v>INV-2603-0056</v>
      </c>
    </row>
    <row r="717" spans="11:11" x14ac:dyDescent="0.35">
      <c r="K717" s="110" t="str">
        <v>INV-2603-0057</v>
      </c>
    </row>
    <row r="718" spans="11:11" x14ac:dyDescent="0.35">
      <c r="K718" s="110" t="str">
        <v>INV-2603-0058</v>
      </c>
    </row>
    <row r="719" spans="11:11" x14ac:dyDescent="0.35">
      <c r="K719" s="110" t="str">
        <v>INV-2603-0059</v>
      </c>
    </row>
    <row r="720" spans="11:11" x14ac:dyDescent="0.35">
      <c r="K720" s="110" t="str">
        <v>INV-2603-0060</v>
      </c>
    </row>
    <row r="721" spans="11:11" x14ac:dyDescent="0.35">
      <c r="K721" s="110" t="str">
        <v>INV-2603-0061</v>
      </c>
    </row>
    <row r="722" spans="11:11" x14ac:dyDescent="0.35">
      <c r="K722" s="110" t="str">
        <v>INV-2603-0062</v>
      </c>
    </row>
    <row r="723" spans="11:11" x14ac:dyDescent="0.35">
      <c r="K723" s="110" t="str">
        <v>INV-2603-0063</v>
      </c>
    </row>
    <row r="724" spans="11:11" x14ac:dyDescent="0.35">
      <c r="K724" s="110" t="str">
        <v>INV-2603-0064</v>
      </c>
    </row>
    <row r="725" spans="11:11" x14ac:dyDescent="0.35">
      <c r="K725" s="110" t="str">
        <v>INV-2603-0065</v>
      </c>
    </row>
    <row r="726" spans="11:11" x14ac:dyDescent="0.35">
      <c r="K726" s="110" t="str">
        <v>INV-2603-0066</v>
      </c>
    </row>
    <row r="727" spans="11:11" x14ac:dyDescent="0.35">
      <c r="K727" s="110" t="str">
        <v>INV-2603-0067</v>
      </c>
    </row>
    <row r="728" spans="11:11" x14ac:dyDescent="0.35">
      <c r="K728" s="110" t="str">
        <v>INV-2603-0068</v>
      </c>
    </row>
    <row r="729" spans="11:11" x14ac:dyDescent="0.35">
      <c r="K729" s="110" t="str">
        <v>INV-2603-0069</v>
      </c>
    </row>
    <row r="730" spans="11:11" x14ac:dyDescent="0.35">
      <c r="K730" s="110" t="str">
        <v>INV-2603-0070</v>
      </c>
    </row>
    <row r="731" spans="11:11" x14ac:dyDescent="0.35">
      <c r="K731" s="110" t="str">
        <v>INV-2603-0071</v>
      </c>
    </row>
    <row r="732" spans="11:11" x14ac:dyDescent="0.35">
      <c r="K732" s="110" t="str">
        <v>INV-2603-0072</v>
      </c>
    </row>
    <row r="733" spans="11:11" x14ac:dyDescent="0.35">
      <c r="K733" s="110" t="str">
        <v>INV-2603-0073</v>
      </c>
    </row>
    <row r="734" spans="11:11" x14ac:dyDescent="0.35">
      <c r="K734" s="110" t="str">
        <v>INV-2603-0074</v>
      </c>
    </row>
    <row r="735" spans="11:11" x14ac:dyDescent="0.35">
      <c r="K735" s="110" t="str">
        <v>INV-2603-0075</v>
      </c>
    </row>
    <row r="736" spans="11:11" x14ac:dyDescent="0.35">
      <c r="K736" s="110" t="str">
        <v>INV-2603-0076</v>
      </c>
    </row>
    <row r="737" spans="11:11" x14ac:dyDescent="0.35">
      <c r="K737" s="110" t="str">
        <v>INV-2603-0077</v>
      </c>
    </row>
    <row r="738" spans="11:11" x14ac:dyDescent="0.35">
      <c r="K738" s="110" t="str">
        <v>INV-2603-0078</v>
      </c>
    </row>
    <row r="739" spans="11:11" x14ac:dyDescent="0.35">
      <c r="K739" s="110" t="str">
        <v>INV-2603-0079</v>
      </c>
    </row>
    <row r="740" spans="11:11" x14ac:dyDescent="0.35">
      <c r="K740" s="110" t="str">
        <v>INV-2603-0080</v>
      </c>
    </row>
    <row r="741" spans="11:11" x14ac:dyDescent="0.35">
      <c r="K741" s="110" t="str">
        <v>INV-2603-0081</v>
      </c>
    </row>
    <row r="742" spans="11:11" x14ac:dyDescent="0.35">
      <c r="K742" s="110" t="str">
        <v>INV-2603-0082</v>
      </c>
    </row>
    <row r="743" spans="11:11" x14ac:dyDescent="0.35">
      <c r="K743" s="110" t="str">
        <v>INV-2603-0083</v>
      </c>
    </row>
    <row r="744" spans="11:11" x14ac:dyDescent="0.35">
      <c r="K744" s="110" t="str">
        <v>INV-2603-0084</v>
      </c>
    </row>
    <row r="745" spans="11:11" x14ac:dyDescent="0.35">
      <c r="K745" s="110" t="str">
        <v>INV-2603-0085</v>
      </c>
    </row>
    <row r="746" spans="11:11" x14ac:dyDescent="0.35">
      <c r="K746" s="110" t="str">
        <v>INV-2603-0086</v>
      </c>
    </row>
    <row r="747" spans="11:11" x14ac:dyDescent="0.35">
      <c r="K747" s="110" t="str">
        <v>INV-2603-0087</v>
      </c>
    </row>
    <row r="748" spans="11:11" x14ac:dyDescent="0.35">
      <c r="K748" s="110" t="str">
        <v>INV-2603-0088</v>
      </c>
    </row>
    <row r="749" spans="11:11" x14ac:dyDescent="0.35">
      <c r="K749" s="110" t="str">
        <v>INV-2603-0089</v>
      </c>
    </row>
    <row r="750" spans="11:11" x14ac:dyDescent="0.35">
      <c r="K750" s="110" t="str">
        <v>INV-2603-0090</v>
      </c>
    </row>
    <row r="751" spans="11:11" x14ac:dyDescent="0.35">
      <c r="K751" s="110" t="str">
        <v>INV-2603-0091</v>
      </c>
    </row>
    <row r="752" spans="11:11" x14ac:dyDescent="0.35">
      <c r="K752" s="110" t="str">
        <v>INV-2603-0092</v>
      </c>
    </row>
    <row r="753" spans="11:11" x14ac:dyDescent="0.35">
      <c r="K753" s="110" t="str">
        <v>INV-2603-0093</v>
      </c>
    </row>
    <row r="754" spans="11:11" x14ac:dyDescent="0.35">
      <c r="K754" s="110" t="str">
        <v>INV-2603-0094</v>
      </c>
    </row>
    <row r="755" spans="11:11" x14ac:dyDescent="0.35">
      <c r="K755" s="110" t="str">
        <v>INV-2603-0095</v>
      </c>
    </row>
    <row r="756" spans="11:11" x14ac:dyDescent="0.35">
      <c r="K756" s="110" t="str">
        <v>INV-2603-0096</v>
      </c>
    </row>
    <row r="757" spans="11:11" x14ac:dyDescent="0.35">
      <c r="K757" s="110" t="str">
        <v>INV-2603-0097</v>
      </c>
    </row>
    <row r="758" spans="11:11" x14ac:dyDescent="0.35">
      <c r="K758" s="110" t="str">
        <v>INV-2603-0098</v>
      </c>
    </row>
    <row r="759" spans="11:11" x14ac:dyDescent="0.35">
      <c r="K759" s="110" t="str">
        <v>INV-2603-0099</v>
      </c>
    </row>
    <row r="760" spans="11:11" x14ac:dyDescent="0.35">
      <c r="K760" s="110" t="str">
        <v>INV-2603-0100</v>
      </c>
    </row>
    <row r="761" spans="11:11" x14ac:dyDescent="0.35">
      <c r="K761" s="110" t="str">
        <v>INV-2603-0101</v>
      </c>
    </row>
    <row r="762" spans="11:11" x14ac:dyDescent="0.35">
      <c r="K762" s="110" t="str">
        <v>INV-2603-0102</v>
      </c>
    </row>
    <row r="763" spans="11:11" x14ac:dyDescent="0.35">
      <c r="K763" s="110" t="str">
        <v>INV-2603-0103</v>
      </c>
    </row>
    <row r="764" spans="11:11" x14ac:dyDescent="0.35">
      <c r="K764" s="110" t="str">
        <v>INV-2603-0104</v>
      </c>
    </row>
    <row r="765" spans="11:11" x14ac:dyDescent="0.35">
      <c r="K765" s="110" t="str">
        <v>INV-2603-0105</v>
      </c>
    </row>
    <row r="766" spans="11:11" x14ac:dyDescent="0.35">
      <c r="K766" s="110" t="str">
        <v>INV-2603-0106</v>
      </c>
    </row>
    <row r="767" spans="11:11" x14ac:dyDescent="0.35">
      <c r="K767" s="110" t="str">
        <v>INV-2603-0107</v>
      </c>
    </row>
    <row r="768" spans="11:11" x14ac:dyDescent="0.35">
      <c r="K768" s="110" t="str">
        <v>INV-2603-0108</v>
      </c>
    </row>
    <row r="769" spans="11:11" x14ac:dyDescent="0.35">
      <c r="K769" s="110" t="str">
        <v>INV-2603-0109</v>
      </c>
    </row>
    <row r="770" spans="11:11" x14ac:dyDescent="0.35">
      <c r="K770" s="110" t="str">
        <v>INV-2603-0110</v>
      </c>
    </row>
    <row r="771" spans="11:11" x14ac:dyDescent="0.35">
      <c r="K771" s="110" t="str">
        <v>INV-2603-0111</v>
      </c>
    </row>
    <row r="772" spans="11:11" x14ac:dyDescent="0.35">
      <c r="K772" s="110" t="str">
        <v>INV-2603-0112</v>
      </c>
    </row>
    <row r="773" spans="11:11" x14ac:dyDescent="0.35">
      <c r="K773" s="110" t="str">
        <v>INV-2603-0113</v>
      </c>
    </row>
    <row r="774" spans="11:11" x14ac:dyDescent="0.35">
      <c r="K774" s="110" t="str">
        <v>INV-2603-0114</v>
      </c>
    </row>
    <row r="775" spans="11:11" x14ac:dyDescent="0.35">
      <c r="K775" s="110" t="str">
        <v>INV-2603-0115</v>
      </c>
    </row>
    <row r="776" spans="11:11" x14ac:dyDescent="0.35">
      <c r="K776" s="110" t="str">
        <v>INV-2603-0116</v>
      </c>
    </row>
    <row r="777" spans="11:11" x14ac:dyDescent="0.35">
      <c r="K777" s="110" t="str">
        <v>INV-2603-0117</v>
      </c>
    </row>
    <row r="778" spans="11:11" x14ac:dyDescent="0.35">
      <c r="K778" s="110" t="str">
        <v>INV-2603-0118</v>
      </c>
    </row>
    <row r="779" spans="11:11" x14ac:dyDescent="0.35">
      <c r="K779" s="110" t="str">
        <v>INV-2603-0119</v>
      </c>
    </row>
    <row r="780" spans="11:11" x14ac:dyDescent="0.35">
      <c r="K780" s="110" t="str">
        <v>INV-2603-0120</v>
      </c>
    </row>
    <row r="781" spans="11:11" x14ac:dyDescent="0.35">
      <c r="K781" s="110" t="str">
        <v>INV-2603-0121</v>
      </c>
    </row>
    <row r="782" spans="11:11" x14ac:dyDescent="0.35">
      <c r="K782" s="110" t="str">
        <v>INV-2603-0122</v>
      </c>
    </row>
    <row r="783" spans="11:11" x14ac:dyDescent="0.35">
      <c r="K783" s="110" t="str">
        <v>INV-2603-0123</v>
      </c>
    </row>
    <row r="784" spans="11:11" x14ac:dyDescent="0.35">
      <c r="K784" s="110" t="str">
        <v>INV-2603-0124</v>
      </c>
    </row>
    <row r="785" spans="11:11" x14ac:dyDescent="0.35">
      <c r="K785" s="110" t="str">
        <v>INV-2603-0125</v>
      </c>
    </row>
    <row r="786" spans="11:11" x14ac:dyDescent="0.35">
      <c r="K786" s="110" t="str">
        <v>INV-2603-0126</v>
      </c>
    </row>
    <row r="787" spans="11:11" x14ac:dyDescent="0.35">
      <c r="K787" s="110" t="str">
        <v>INV-2603-0127</v>
      </c>
    </row>
    <row r="788" spans="11:11" x14ac:dyDescent="0.35">
      <c r="K788" s="110" t="str">
        <v>INV-2603-0128</v>
      </c>
    </row>
    <row r="789" spans="11:11" x14ac:dyDescent="0.35">
      <c r="K789" s="110" t="str">
        <v>INV-2603-0129</v>
      </c>
    </row>
    <row r="790" spans="11:11" x14ac:dyDescent="0.35">
      <c r="K790" s="110" t="str">
        <v>INV-2603-0130</v>
      </c>
    </row>
    <row r="791" spans="11:11" x14ac:dyDescent="0.35">
      <c r="K791" s="110" t="str">
        <v>INV-2603-0131</v>
      </c>
    </row>
    <row r="792" spans="11:11" x14ac:dyDescent="0.35">
      <c r="K792" s="110" t="str">
        <v>INV-2603-0132</v>
      </c>
    </row>
    <row r="793" spans="11:11" x14ac:dyDescent="0.35">
      <c r="K793" s="110" t="str">
        <v>INV-2603-0133</v>
      </c>
    </row>
    <row r="794" spans="11:11" x14ac:dyDescent="0.35">
      <c r="K794" s="110" t="str">
        <v>INV-2603-0134</v>
      </c>
    </row>
    <row r="795" spans="11:11" x14ac:dyDescent="0.35">
      <c r="K795" s="110" t="str">
        <v>INV-2603-0135</v>
      </c>
    </row>
    <row r="796" spans="11:11" x14ac:dyDescent="0.35">
      <c r="K796" s="110" t="str">
        <v>INV-2603-0136</v>
      </c>
    </row>
    <row r="797" spans="11:11" x14ac:dyDescent="0.35">
      <c r="K797" s="110" t="str">
        <v>INV-2603-0137</v>
      </c>
    </row>
    <row r="798" spans="11:11" x14ac:dyDescent="0.35">
      <c r="K798" s="110" t="str">
        <v>INV-2603-0138</v>
      </c>
    </row>
    <row r="799" spans="11:11" x14ac:dyDescent="0.35">
      <c r="K799" s="110" t="str">
        <v>INV-2603-0139</v>
      </c>
    </row>
    <row r="800" spans="11:11" x14ac:dyDescent="0.35">
      <c r="K800" s="110" t="str">
        <v>INV-2603-0140</v>
      </c>
    </row>
    <row r="801" spans="11:11" x14ac:dyDescent="0.35">
      <c r="K801" s="110" t="str">
        <v>INV-2603-0141</v>
      </c>
    </row>
    <row r="802" spans="11:11" x14ac:dyDescent="0.35">
      <c r="K802" s="110" t="str">
        <v>INV-2603-0142</v>
      </c>
    </row>
    <row r="803" spans="11:11" x14ac:dyDescent="0.35">
      <c r="K803" s="110" t="str">
        <v>INV-2603-0143</v>
      </c>
    </row>
    <row r="804" spans="11:11" x14ac:dyDescent="0.35">
      <c r="K804" s="110" t="str">
        <v>INV-2603-0144</v>
      </c>
    </row>
    <row r="805" spans="11:11" x14ac:dyDescent="0.35">
      <c r="K805" s="110" t="str">
        <v>INV-2603-0145</v>
      </c>
    </row>
    <row r="806" spans="11:11" x14ac:dyDescent="0.35">
      <c r="K806" s="110" t="str">
        <v>INV-2603-0146</v>
      </c>
    </row>
    <row r="807" spans="11:11" x14ac:dyDescent="0.35">
      <c r="K807" s="110" t="str">
        <v>INV-2603-0147</v>
      </c>
    </row>
    <row r="808" spans="11:11" x14ac:dyDescent="0.35">
      <c r="K808" s="110" t="str">
        <v>INV-2603-0148</v>
      </c>
    </row>
    <row r="809" spans="11:11" x14ac:dyDescent="0.35">
      <c r="K809" s="110" t="str">
        <v>INV-2603-0149</v>
      </c>
    </row>
    <row r="810" spans="11:11" x14ac:dyDescent="0.35">
      <c r="K810" s="110" t="str">
        <v>INV-2603-0150</v>
      </c>
    </row>
    <row r="811" spans="11:11" x14ac:dyDescent="0.35">
      <c r="K811" s="110" t="str">
        <v>INV-2603-0151</v>
      </c>
    </row>
    <row r="812" spans="11:11" x14ac:dyDescent="0.35">
      <c r="K812" s="110" t="str">
        <v>INV-2603-0152</v>
      </c>
    </row>
    <row r="813" spans="11:11" x14ac:dyDescent="0.35">
      <c r="K813" s="110" t="str">
        <v>INV-2603-0153</v>
      </c>
    </row>
    <row r="814" spans="11:11" x14ac:dyDescent="0.35">
      <c r="K814" s="110" t="str">
        <v>INV-2603-0154</v>
      </c>
    </row>
    <row r="815" spans="11:11" x14ac:dyDescent="0.35">
      <c r="K815" s="110" t="str">
        <v>INV-2603-0155</v>
      </c>
    </row>
    <row r="816" spans="11:11" x14ac:dyDescent="0.35">
      <c r="K816" s="110" t="str">
        <v>INV-2603-0156</v>
      </c>
    </row>
    <row r="817" spans="11:11" x14ac:dyDescent="0.35">
      <c r="K817" s="110" t="str">
        <v>INV-2603-0157</v>
      </c>
    </row>
    <row r="818" spans="11:11" x14ac:dyDescent="0.35">
      <c r="K818" s="110" t="str">
        <v>INV-2603-0158</v>
      </c>
    </row>
    <row r="819" spans="11:11" x14ac:dyDescent="0.35">
      <c r="K819" s="110" t="str">
        <v>INV-2603-0159</v>
      </c>
    </row>
    <row r="820" spans="11:11" x14ac:dyDescent="0.35">
      <c r="K820" s="110" t="str">
        <v>INV-2603-0160</v>
      </c>
    </row>
    <row r="821" spans="11:11" x14ac:dyDescent="0.35">
      <c r="K821" s="110" t="str">
        <v>INV-2603-0161</v>
      </c>
    </row>
    <row r="822" spans="11:11" x14ac:dyDescent="0.35">
      <c r="K822" s="110" t="str">
        <v>INV-2603-0162</v>
      </c>
    </row>
    <row r="823" spans="11:11" x14ac:dyDescent="0.35">
      <c r="K823" s="110" t="str">
        <v>INV-2603-0163</v>
      </c>
    </row>
    <row r="824" spans="11:11" x14ac:dyDescent="0.35">
      <c r="K824" s="110" t="str">
        <v>INV-2603-0164</v>
      </c>
    </row>
    <row r="825" spans="11:11" x14ac:dyDescent="0.35">
      <c r="K825" s="110" t="str">
        <v>INV-2603-0165</v>
      </c>
    </row>
    <row r="826" spans="11:11" x14ac:dyDescent="0.35">
      <c r="K826" s="110" t="str">
        <v>INV-2603-0166</v>
      </c>
    </row>
    <row r="827" spans="11:11" x14ac:dyDescent="0.35">
      <c r="K827" s="110" t="str">
        <v>INV-2603-0167</v>
      </c>
    </row>
    <row r="828" spans="11:11" x14ac:dyDescent="0.35">
      <c r="K828" s="110" t="str">
        <v>INV-2603-0168</v>
      </c>
    </row>
    <row r="829" spans="11:11" x14ac:dyDescent="0.35">
      <c r="K829" s="110" t="str">
        <v>INV-2603-0169</v>
      </c>
    </row>
    <row r="830" spans="11:11" x14ac:dyDescent="0.35">
      <c r="K830" s="110" t="str">
        <v>INV-2603-0170</v>
      </c>
    </row>
    <row r="831" spans="11:11" x14ac:dyDescent="0.35">
      <c r="K831" s="110" t="str">
        <v>INV-2603-0171</v>
      </c>
    </row>
    <row r="832" spans="11:11" x14ac:dyDescent="0.35">
      <c r="K832" s="110" t="str">
        <v>INV-2603-0172</v>
      </c>
    </row>
    <row r="833" spans="11:11" x14ac:dyDescent="0.35">
      <c r="K833" s="110" t="str">
        <v>INV-2603-0173</v>
      </c>
    </row>
    <row r="834" spans="11:11" x14ac:dyDescent="0.35">
      <c r="K834" s="110" t="str">
        <v>INV-2603-0174</v>
      </c>
    </row>
    <row r="835" spans="11:11" x14ac:dyDescent="0.35">
      <c r="K835" s="110" t="str">
        <v>INV-2603-0175</v>
      </c>
    </row>
    <row r="836" spans="11:11" x14ac:dyDescent="0.35">
      <c r="K836" s="110" t="str">
        <v>INV-2603-0176</v>
      </c>
    </row>
    <row r="837" spans="11:11" x14ac:dyDescent="0.35">
      <c r="K837" s="110" t="str">
        <v>INV-2603-0177</v>
      </c>
    </row>
    <row r="838" spans="11:11" x14ac:dyDescent="0.35">
      <c r="K838" s="110" t="str">
        <v>INV-2603-0178</v>
      </c>
    </row>
    <row r="839" spans="11:11" x14ac:dyDescent="0.35">
      <c r="K839" s="110" t="str">
        <v>INV-2603-0179</v>
      </c>
    </row>
    <row r="840" spans="11:11" x14ac:dyDescent="0.35">
      <c r="K840" s="110" t="str">
        <v>INV-2603-0180</v>
      </c>
    </row>
    <row r="841" spans="11:11" x14ac:dyDescent="0.35">
      <c r="K841" s="110" t="str">
        <v>INV-2603-0181</v>
      </c>
    </row>
    <row r="842" spans="11:11" x14ac:dyDescent="0.35">
      <c r="K842" s="110" t="str">
        <v>INV-2603-0182</v>
      </c>
    </row>
    <row r="843" spans="11:11" x14ac:dyDescent="0.35">
      <c r="K843" s="110" t="str">
        <v>INV-2603-0183</v>
      </c>
    </row>
    <row r="844" spans="11:11" x14ac:dyDescent="0.35">
      <c r="K844" s="110" t="str">
        <v>INV-2603-0184</v>
      </c>
    </row>
    <row r="845" spans="11:11" x14ac:dyDescent="0.35">
      <c r="K845" s="110" t="str">
        <v>INV-2603-0185</v>
      </c>
    </row>
    <row r="846" spans="11:11" x14ac:dyDescent="0.35">
      <c r="K846" s="110" t="str">
        <v>INV-2603-0186</v>
      </c>
    </row>
    <row r="847" spans="11:11" x14ac:dyDescent="0.35">
      <c r="K847" s="110" t="str">
        <v>INV-2603-0187</v>
      </c>
    </row>
    <row r="848" spans="11:11" x14ac:dyDescent="0.35">
      <c r="K848" s="110" t="str">
        <v>INV-2603-0188</v>
      </c>
    </row>
    <row r="849" spans="11:11" x14ac:dyDescent="0.35">
      <c r="K849" s="110" t="str">
        <v>INV-2603-0189</v>
      </c>
    </row>
    <row r="850" spans="11:11" x14ac:dyDescent="0.35">
      <c r="K850" s="110" t="str">
        <v>INV-2603-0190</v>
      </c>
    </row>
    <row r="851" spans="11:11" x14ac:dyDescent="0.35">
      <c r="K851" s="110" t="str">
        <v>INV-2603-0191</v>
      </c>
    </row>
    <row r="852" spans="11:11" x14ac:dyDescent="0.35">
      <c r="K852" s="110" t="str">
        <v>INV-2603-0192</v>
      </c>
    </row>
    <row r="853" spans="11:11" x14ac:dyDescent="0.35">
      <c r="K853" s="110" t="str">
        <v>INV-2603-0193</v>
      </c>
    </row>
    <row r="854" spans="11:11" x14ac:dyDescent="0.35">
      <c r="K854" s="110" t="str">
        <v>INV-2603-0194</v>
      </c>
    </row>
    <row r="855" spans="11:11" x14ac:dyDescent="0.35">
      <c r="K855" s="110" t="str">
        <v>INV-2603-0195</v>
      </c>
    </row>
    <row r="856" spans="11:11" x14ac:dyDescent="0.35">
      <c r="K856" s="110" t="str">
        <v>INV-2603-0196</v>
      </c>
    </row>
    <row r="857" spans="11:11" x14ac:dyDescent="0.35">
      <c r="K857" s="110" t="str">
        <v>INV-2603-0197</v>
      </c>
    </row>
    <row r="858" spans="11:11" x14ac:dyDescent="0.35">
      <c r="K858" s="110" t="str">
        <v>INV-2603-0198</v>
      </c>
    </row>
    <row r="859" spans="11:11" x14ac:dyDescent="0.35">
      <c r="K859" s="110" t="str">
        <v>INV-2603-0199</v>
      </c>
    </row>
    <row r="860" spans="11:11" x14ac:dyDescent="0.35">
      <c r="K860" s="110" t="str">
        <v>INV-2603-0200</v>
      </c>
    </row>
    <row r="861" spans="11:11" x14ac:dyDescent="0.35">
      <c r="K861" s="110" t="str">
        <v>INV-2603-0201</v>
      </c>
    </row>
    <row r="862" spans="11:11" x14ac:dyDescent="0.35">
      <c r="K862" s="110" t="str">
        <v>INV-2603-0202</v>
      </c>
    </row>
    <row r="863" spans="11:11" x14ac:dyDescent="0.35">
      <c r="K863" s="110" t="str">
        <v>INV-2603-0203</v>
      </c>
    </row>
    <row r="864" spans="11:11" x14ac:dyDescent="0.35">
      <c r="K864" s="110" t="str">
        <v>INV-2603-0204</v>
      </c>
    </row>
    <row r="865" spans="11:11" x14ac:dyDescent="0.35">
      <c r="K865" s="110" t="str">
        <v>INV-2603-0205</v>
      </c>
    </row>
    <row r="866" spans="11:11" x14ac:dyDescent="0.35">
      <c r="K866" s="110" t="str">
        <v>INV-2603-0206</v>
      </c>
    </row>
    <row r="867" spans="11:11" x14ac:dyDescent="0.35">
      <c r="K867" s="110" t="str">
        <v>INV-2603-0207</v>
      </c>
    </row>
    <row r="868" spans="11:11" x14ac:dyDescent="0.35">
      <c r="K868" s="110" t="str">
        <v>INV-2603-0208</v>
      </c>
    </row>
    <row r="869" spans="11:11" x14ac:dyDescent="0.35">
      <c r="K869" s="110" t="str">
        <v>INV-2603-0209</v>
      </c>
    </row>
    <row r="870" spans="11:11" x14ac:dyDescent="0.35">
      <c r="K870" s="110" t="str">
        <v>INV-2603-0210</v>
      </c>
    </row>
    <row r="871" spans="11:11" x14ac:dyDescent="0.35">
      <c r="K871" s="110" t="str">
        <v>INV-2603-0211</v>
      </c>
    </row>
    <row r="872" spans="11:11" x14ac:dyDescent="0.35">
      <c r="K872" s="110" t="str">
        <v>INV-2603-0212</v>
      </c>
    </row>
    <row r="873" spans="11:11" x14ac:dyDescent="0.35">
      <c r="K873" s="110" t="str">
        <v>INV-2603-0213</v>
      </c>
    </row>
    <row r="874" spans="11:11" x14ac:dyDescent="0.35">
      <c r="K874" s="110" t="str">
        <v>INV-2603-0214</v>
      </c>
    </row>
    <row r="875" spans="11:11" x14ac:dyDescent="0.35">
      <c r="K875" s="110" t="str">
        <v>INV-2603-0215</v>
      </c>
    </row>
    <row r="876" spans="11:11" x14ac:dyDescent="0.35">
      <c r="K876" s="110" t="str">
        <v>INV-2603-0216</v>
      </c>
    </row>
    <row r="877" spans="11:11" x14ac:dyDescent="0.35">
      <c r="K877" s="110" t="str">
        <v>INV-2603-0217</v>
      </c>
    </row>
    <row r="878" spans="11:11" x14ac:dyDescent="0.35">
      <c r="K878" s="110" t="str">
        <v>INV-2603-0218</v>
      </c>
    </row>
    <row r="879" spans="11:11" x14ac:dyDescent="0.35">
      <c r="K879" s="110" t="str">
        <v>INV-2603-0219</v>
      </c>
    </row>
    <row r="880" spans="11:11" x14ac:dyDescent="0.35">
      <c r="K880" s="110" t="str">
        <v>INV-2603-0220</v>
      </c>
    </row>
    <row r="881" spans="11:11" x14ac:dyDescent="0.35">
      <c r="K881" s="110" t="str">
        <v>INV-2603-0221</v>
      </c>
    </row>
    <row r="882" spans="11:11" x14ac:dyDescent="0.35">
      <c r="K882" s="110" t="str">
        <v>INV-2603-0222</v>
      </c>
    </row>
    <row r="883" spans="11:11" x14ac:dyDescent="0.35">
      <c r="K883" s="110" t="str">
        <v>INV-2603-0223</v>
      </c>
    </row>
    <row r="884" spans="11:11" x14ac:dyDescent="0.35">
      <c r="K884" s="110" t="str">
        <v>INV-2603-0224</v>
      </c>
    </row>
    <row r="885" spans="11:11" x14ac:dyDescent="0.35">
      <c r="K885" s="110" t="str">
        <v>INV-2603-0225</v>
      </c>
    </row>
    <row r="886" spans="11:11" x14ac:dyDescent="0.35">
      <c r="K886" s="110" t="str">
        <v>INV-2603-0226</v>
      </c>
    </row>
    <row r="887" spans="11:11" x14ac:dyDescent="0.35">
      <c r="K887" s="110" t="str">
        <v>INV-2603-0227</v>
      </c>
    </row>
    <row r="888" spans="11:11" x14ac:dyDescent="0.35">
      <c r="K888" s="110" t="str">
        <v>INV-2603-0228</v>
      </c>
    </row>
    <row r="889" spans="11:11" x14ac:dyDescent="0.35">
      <c r="K889" s="110" t="str">
        <v>INV-2603-0229</v>
      </c>
    </row>
    <row r="890" spans="11:11" x14ac:dyDescent="0.35">
      <c r="K890" s="110" t="str">
        <v>INV-2603-0230</v>
      </c>
    </row>
    <row r="891" spans="11:11" x14ac:dyDescent="0.35">
      <c r="K891" s="110" t="str">
        <v>INV-2603-0231</v>
      </c>
    </row>
    <row r="892" spans="11:11" x14ac:dyDescent="0.35">
      <c r="K892" s="110" t="str">
        <v>INV-2603-0232</v>
      </c>
    </row>
    <row r="893" spans="11:11" x14ac:dyDescent="0.35">
      <c r="K893" s="110" t="str">
        <v>INV-2603-0233</v>
      </c>
    </row>
    <row r="894" spans="11:11" x14ac:dyDescent="0.35">
      <c r="K894" s="110" t="str">
        <v>INV-2603-0234</v>
      </c>
    </row>
    <row r="895" spans="11:11" x14ac:dyDescent="0.35">
      <c r="K895" s="110" t="str">
        <v>INV-2603-0235</v>
      </c>
    </row>
    <row r="896" spans="11:11" x14ac:dyDescent="0.35">
      <c r="K896" s="110" t="str">
        <v>INV-2603-0236</v>
      </c>
    </row>
    <row r="897" spans="11:11" x14ac:dyDescent="0.35">
      <c r="K897" s="110" t="str">
        <v>INV-2603-0237</v>
      </c>
    </row>
    <row r="898" spans="11:11" x14ac:dyDescent="0.35">
      <c r="K898" s="110" t="str">
        <v>INV-2603-0238</v>
      </c>
    </row>
    <row r="899" spans="11:11" x14ac:dyDescent="0.35">
      <c r="K899" s="110" t="str">
        <v>INV-2603-0239</v>
      </c>
    </row>
    <row r="900" spans="11:11" x14ac:dyDescent="0.35">
      <c r="K900" s="110" t="str">
        <v>INV-2603-0240</v>
      </c>
    </row>
    <row r="901" spans="11:11" x14ac:dyDescent="0.35">
      <c r="K901" s="110" t="str">
        <v>INV-2603-0241</v>
      </c>
    </row>
    <row r="902" spans="11:11" x14ac:dyDescent="0.35">
      <c r="K902" s="110" t="str">
        <v>INV-2603-0242</v>
      </c>
    </row>
    <row r="903" spans="11:11" x14ac:dyDescent="0.35">
      <c r="K903" s="110" t="str">
        <v>INV-2603-0243</v>
      </c>
    </row>
    <row r="904" spans="11:11" x14ac:dyDescent="0.35">
      <c r="K904" s="110" t="str">
        <v>INV-2603-0244</v>
      </c>
    </row>
    <row r="905" spans="11:11" x14ac:dyDescent="0.35">
      <c r="K905" s="110" t="str">
        <v>INV-2603-0245</v>
      </c>
    </row>
    <row r="906" spans="11:11" x14ac:dyDescent="0.35">
      <c r="K906" s="110" t="str">
        <v>INV-2603-0246</v>
      </c>
    </row>
    <row r="907" spans="11:11" x14ac:dyDescent="0.35">
      <c r="K907" s="110" t="str">
        <v>INV-2603-0247</v>
      </c>
    </row>
    <row r="908" spans="11:11" x14ac:dyDescent="0.35">
      <c r="K908" s="110" t="str">
        <v>INV-2603-0248</v>
      </c>
    </row>
    <row r="909" spans="11:11" x14ac:dyDescent="0.35">
      <c r="K909" s="110" t="str">
        <v>INV-2603-0249</v>
      </c>
    </row>
    <row r="910" spans="11:11" x14ac:dyDescent="0.35">
      <c r="K910" s="110" t="str">
        <v>INV-2603-0250</v>
      </c>
    </row>
    <row r="911" spans="11:11" x14ac:dyDescent="0.35">
      <c r="K911" s="110" t="str">
        <v>INV-2603-0251</v>
      </c>
    </row>
    <row r="912" spans="11:11" x14ac:dyDescent="0.35">
      <c r="K912" s="110" t="str">
        <v>INV-2603-0252</v>
      </c>
    </row>
    <row r="913" spans="11:11" x14ac:dyDescent="0.35">
      <c r="K913" s="110" t="str">
        <v>INV-2603-0253</v>
      </c>
    </row>
    <row r="914" spans="11:11" x14ac:dyDescent="0.35">
      <c r="K914" s="110" t="str">
        <v>INV-2603-0254</v>
      </c>
    </row>
    <row r="915" spans="11:11" x14ac:dyDescent="0.35">
      <c r="K915" s="110" t="str">
        <v>INV-2603-0255</v>
      </c>
    </row>
    <row r="916" spans="11:11" x14ac:dyDescent="0.35">
      <c r="K916" s="110" t="str">
        <v>INV-2603-0256</v>
      </c>
    </row>
    <row r="917" spans="11:11" x14ac:dyDescent="0.35">
      <c r="K917" s="110" t="str">
        <v>INV-2603-0257</v>
      </c>
    </row>
    <row r="918" spans="11:11" x14ac:dyDescent="0.35">
      <c r="K918" s="110" t="str">
        <v>INV-2603-0258</v>
      </c>
    </row>
    <row r="919" spans="11:11" x14ac:dyDescent="0.35">
      <c r="K919" s="110" t="str">
        <v>INV-2603-0259</v>
      </c>
    </row>
    <row r="920" spans="11:11" x14ac:dyDescent="0.35">
      <c r="K920" s="110" t="str">
        <v>INV-2603-0260</v>
      </c>
    </row>
    <row r="921" spans="11:11" x14ac:dyDescent="0.35">
      <c r="K921" s="110" t="str">
        <v>INV-2603-0261</v>
      </c>
    </row>
    <row r="922" spans="11:11" x14ac:dyDescent="0.35">
      <c r="K922" s="110" t="str">
        <v>INV-2603-0262</v>
      </c>
    </row>
    <row r="923" spans="11:11" x14ac:dyDescent="0.35">
      <c r="K923" s="110" t="str">
        <v>INV-2603-0263</v>
      </c>
    </row>
    <row r="924" spans="11:11" x14ac:dyDescent="0.35">
      <c r="K924" s="110" t="str">
        <v>INV-2603-0264</v>
      </c>
    </row>
    <row r="925" spans="11:11" x14ac:dyDescent="0.35">
      <c r="K925" s="110" t="str">
        <v>INV-2603-0265</v>
      </c>
    </row>
    <row r="926" spans="11:11" x14ac:dyDescent="0.35">
      <c r="K926" s="110" t="str">
        <v>INV-2603-0266</v>
      </c>
    </row>
    <row r="927" spans="11:11" x14ac:dyDescent="0.35">
      <c r="K927" s="110" t="str">
        <v>INV-2603-0267</v>
      </c>
    </row>
    <row r="928" spans="11:11" x14ac:dyDescent="0.35">
      <c r="K928" s="110" t="str">
        <v>INV-2603-0268</v>
      </c>
    </row>
    <row r="929" spans="11:11" x14ac:dyDescent="0.35">
      <c r="K929" s="110" t="str">
        <v>INV-2603-0269</v>
      </c>
    </row>
    <row r="930" spans="11:11" x14ac:dyDescent="0.35">
      <c r="K930" s="110" t="str">
        <v>INV-2603-0270</v>
      </c>
    </row>
    <row r="931" spans="11:11" x14ac:dyDescent="0.35">
      <c r="K931" s="110" t="str">
        <v>INV-2603-0271</v>
      </c>
    </row>
    <row r="932" spans="11:11" x14ac:dyDescent="0.35">
      <c r="K932" s="110" t="str">
        <v>INV-2603-0272</v>
      </c>
    </row>
    <row r="933" spans="11:11" x14ac:dyDescent="0.35">
      <c r="K933" s="110" t="str">
        <v>INV-2603-0273</v>
      </c>
    </row>
    <row r="934" spans="11:11" x14ac:dyDescent="0.35">
      <c r="K934" s="110" t="str">
        <v>INV-2603-0274</v>
      </c>
    </row>
    <row r="935" spans="11:11" x14ac:dyDescent="0.35">
      <c r="K935" s="110" t="str">
        <v>INV-2603-0275</v>
      </c>
    </row>
    <row r="936" spans="11:11" x14ac:dyDescent="0.35">
      <c r="K936" s="110" t="str">
        <v>INV-2603-0276</v>
      </c>
    </row>
    <row r="937" spans="11:11" x14ac:dyDescent="0.35">
      <c r="K937" s="110" t="str">
        <v>INV-2603-0277</v>
      </c>
    </row>
    <row r="938" spans="11:11" x14ac:dyDescent="0.35">
      <c r="K938" s="110" t="str">
        <v>INV-2603-0278</v>
      </c>
    </row>
    <row r="939" spans="11:11" x14ac:dyDescent="0.35">
      <c r="K939" s="110" t="str">
        <v>INV-2603-0279</v>
      </c>
    </row>
    <row r="940" spans="11:11" x14ac:dyDescent="0.35">
      <c r="K940" s="110" t="str">
        <v>INV-2603-0280</v>
      </c>
    </row>
    <row r="941" spans="11:11" x14ac:dyDescent="0.35">
      <c r="K941" s="110" t="str">
        <v>INV-2603-0281</v>
      </c>
    </row>
    <row r="942" spans="11:11" x14ac:dyDescent="0.35">
      <c r="K942" s="110" t="str">
        <v>INV-2603-0282</v>
      </c>
    </row>
    <row r="943" spans="11:11" x14ac:dyDescent="0.35">
      <c r="K943" s="110" t="str">
        <v>INV-2603-0283</v>
      </c>
    </row>
    <row r="944" spans="11:11" x14ac:dyDescent="0.35">
      <c r="K944" s="110" t="str">
        <v>INV-2603-0284</v>
      </c>
    </row>
    <row r="945" spans="11:11" x14ac:dyDescent="0.35">
      <c r="K945" s="110" t="str">
        <v>INV-2603-0285</v>
      </c>
    </row>
    <row r="946" spans="11:11" x14ac:dyDescent="0.35">
      <c r="K946" s="110" t="str">
        <v>INV-2603-0286</v>
      </c>
    </row>
    <row r="947" spans="11:11" x14ac:dyDescent="0.35">
      <c r="K947" s="110" t="str">
        <v>INV-2603-0287</v>
      </c>
    </row>
    <row r="948" spans="11:11" x14ac:dyDescent="0.35">
      <c r="K948" s="110" t="str">
        <v>INV-2603-0288</v>
      </c>
    </row>
    <row r="949" spans="11:11" x14ac:dyDescent="0.35">
      <c r="K949" s="110" t="str">
        <v>INV-2603-0289</v>
      </c>
    </row>
    <row r="950" spans="11:11" x14ac:dyDescent="0.35">
      <c r="K950" s="110" t="str">
        <v>INV-2603-0290</v>
      </c>
    </row>
    <row r="951" spans="11:11" x14ac:dyDescent="0.35">
      <c r="K951" s="110" t="str">
        <v>INV-2603-0291</v>
      </c>
    </row>
    <row r="952" spans="11:11" x14ac:dyDescent="0.35">
      <c r="K952" s="110" t="str">
        <v>INV-2603-0292</v>
      </c>
    </row>
    <row r="953" spans="11:11" x14ac:dyDescent="0.35">
      <c r="K953" s="110" t="str">
        <v>INV-2603-0293</v>
      </c>
    </row>
    <row r="954" spans="11:11" x14ac:dyDescent="0.35">
      <c r="K954" s="110" t="str">
        <v>INV-2603-0294</v>
      </c>
    </row>
    <row r="955" spans="11:11" x14ac:dyDescent="0.35">
      <c r="K955" s="110" t="str">
        <v>INV-2603-0295</v>
      </c>
    </row>
    <row r="956" spans="11:11" x14ac:dyDescent="0.35">
      <c r="K956" s="110" t="str">
        <v>INV-2603-0296</v>
      </c>
    </row>
    <row r="957" spans="11:11" x14ac:dyDescent="0.35">
      <c r="K957" s="110" t="str">
        <v>INV-2603-0297</v>
      </c>
    </row>
    <row r="958" spans="11:11" x14ac:dyDescent="0.35">
      <c r="K958" s="110" t="str">
        <v>INV-2603-0298</v>
      </c>
    </row>
    <row r="959" spans="11:11" x14ac:dyDescent="0.35">
      <c r="K959" s="110" t="str">
        <v>INV-2603-0299</v>
      </c>
    </row>
    <row r="960" spans="11:11" x14ac:dyDescent="0.35">
      <c r="K960" s="110" t="str">
        <v>INV-2603-0300</v>
      </c>
    </row>
    <row r="961" spans="11:11" x14ac:dyDescent="0.35">
      <c r="K961" s="110" t="str">
        <v>INV-2603-0301</v>
      </c>
    </row>
    <row r="962" spans="11:11" x14ac:dyDescent="0.35">
      <c r="K962" s="110" t="str">
        <v>INV-2603-0302</v>
      </c>
    </row>
    <row r="963" spans="11:11" x14ac:dyDescent="0.35">
      <c r="K963" s="110" t="str">
        <v>INV-2603-0303</v>
      </c>
    </row>
    <row r="964" spans="11:11" x14ac:dyDescent="0.35">
      <c r="K964" s="110" t="str">
        <v>INV-2603-0304</v>
      </c>
    </row>
    <row r="965" spans="11:11" x14ac:dyDescent="0.35">
      <c r="K965" s="110" t="str">
        <v>INV-2603-0305</v>
      </c>
    </row>
    <row r="966" spans="11:11" x14ac:dyDescent="0.35">
      <c r="K966" s="110" t="str">
        <v>INV-2603-0306</v>
      </c>
    </row>
    <row r="967" spans="11:11" x14ac:dyDescent="0.35">
      <c r="K967" s="110" t="str">
        <v>INV-2603-0307</v>
      </c>
    </row>
    <row r="968" spans="11:11" x14ac:dyDescent="0.35">
      <c r="K968" s="110" t="str">
        <v>INV-2603-0308</v>
      </c>
    </row>
    <row r="969" spans="11:11" x14ac:dyDescent="0.35">
      <c r="K969" s="110" t="str">
        <v>INV-2603-0309</v>
      </c>
    </row>
    <row r="970" spans="11:11" x14ac:dyDescent="0.35">
      <c r="K970" s="110" t="str">
        <v>INV-2603-0310</v>
      </c>
    </row>
    <row r="971" spans="11:11" x14ac:dyDescent="0.35">
      <c r="K971" s="110" t="str">
        <v>INV-2603-0311</v>
      </c>
    </row>
    <row r="972" spans="11:11" x14ac:dyDescent="0.35">
      <c r="K972" s="110" t="str">
        <v>INV-2603-0312</v>
      </c>
    </row>
    <row r="973" spans="11:11" x14ac:dyDescent="0.35">
      <c r="K973" s="110" t="str">
        <v>INV-2603-0313</v>
      </c>
    </row>
    <row r="974" spans="11:11" x14ac:dyDescent="0.35">
      <c r="K974" s="110" t="str">
        <v>INV-2603-0314</v>
      </c>
    </row>
    <row r="975" spans="11:11" x14ac:dyDescent="0.35">
      <c r="K975" s="110" t="str">
        <v>INV-2603-0315</v>
      </c>
    </row>
    <row r="976" spans="11:11" x14ac:dyDescent="0.35">
      <c r="K976" s="110" t="str">
        <v>INV-2603-0316</v>
      </c>
    </row>
    <row r="977" spans="11:11" x14ac:dyDescent="0.35">
      <c r="K977" s="110" t="str">
        <v>INV-2603-0317</v>
      </c>
    </row>
    <row r="978" spans="11:11" x14ac:dyDescent="0.35">
      <c r="K978" s="110" t="str">
        <v>INV-2603-0318</v>
      </c>
    </row>
    <row r="979" spans="11:11" x14ac:dyDescent="0.35">
      <c r="K979" s="110" t="str">
        <v>INV-2603-0319</v>
      </c>
    </row>
    <row r="980" spans="11:11" x14ac:dyDescent="0.35">
      <c r="K980" s="110" t="str">
        <v>INV-2603-0320</v>
      </c>
    </row>
    <row r="981" spans="11:11" x14ac:dyDescent="0.35">
      <c r="K981" s="110" t="str">
        <v>INV-2603-0321</v>
      </c>
    </row>
    <row r="982" spans="11:11" x14ac:dyDescent="0.35">
      <c r="K982" s="110" t="str">
        <v>INV-2603-0322</v>
      </c>
    </row>
    <row r="983" spans="11:11" x14ac:dyDescent="0.35">
      <c r="K983" s="110" t="str">
        <v>INV-2603-0323</v>
      </c>
    </row>
    <row r="984" spans="11:11" x14ac:dyDescent="0.35">
      <c r="K984" s="110" t="str">
        <v>INV-2603-0324</v>
      </c>
    </row>
    <row r="985" spans="11:11" x14ac:dyDescent="0.35">
      <c r="K985" s="110" t="str">
        <v>INV-2603-0325</v>
      </c>
    </row>
    <row r="986" spans="11:11" x14ac:dyDescent="0.35">
      <c r="K986" s="110" t="str">
        <v>INV-2603-0326</v>
      </c>
    </row>
    <row r="987" spans="11:11" x14ac:dyDescent="0.35">
      <c r="K987" s="110" t="str">
        <v>INV-2603-0327</v>
      </c>
    </row>
    <row r="988" spans="11:11" x14ac:dyDescent="0.35">
      <c r="K988" s="110" t="str">
        <v>INV-2603-0328</v>
      </c>
    </row>
    <row r="989" spans="11:11" x14ac:dyDescent="0.35">
      <c r="K989" s="110" t="str">
        <v>INV-2603-0329</v>
      </c>
    </row>
    <row r="990" spans="11:11" x14ac:dyDescent="0.35">
      <c r="K990" s="110" t="str">
        <v>INV-2603-0330</v>
      </c>
    </row>
    <row r="991" spans="11:11" x14ac:dyDescent="0.35">
      <c r="K991" s="110" t="str">
        <v>INV-2603-0331</v>
      </c>
    </row>
    <row r="992" spans="11:11" x14ac:dyDescent="0.35">
      <c r="K992" s="110" t="str">
        <v>INV-2603-0332</v>
      </c>
    </row>
    <row r="993" spans="11:11" x14ac:dyDescent="0.35">
      <c r="K993" s="110" t="str">
        <v>INV-2603-0333</v>
      </c>
    </row>
    <row r="994" spans="11:11" x14ac:dyDescent="0.35">
      <c r="K994" s="110" t="str">
        <v>INV-2603-0334</v>
      </c>
    </row>
    <row r="995" spans="11:11" x14ac:dyDescent="0.35">
      <c r="K995" s="110" t="str">
        <v>INV-2603-0335</v>
      </c>
    </row>
    <row r="996" spans="11:11" x14ac:dyDescent="0.35">
      <c r="K996" s="110" t="str">
        <v>INV-2603-0336</v>
      </c>
    </row>
    <row r="997" spans="11:11" x14ac:dyDescent="0.35">
      <c r="K997" s="110" t="str">
        <v>INV-2603-0337</v>
      </c>
    </row>
    <row r="998" spans="11:11" x14ac:dyDescent="0.35">
      <c r="K998" s="110" t="str">
        <v>INV-2603-0338</v>
      </c>
    </row>
    <row r="999" spans="11:11" x14ac:dyDescent="0.35">
      <c r="K999" s="110" t="str">
        <v>INV-2603-0339</v>
      </c>
    </row>
    <row r="1000" spans="11:11" x14ac:dyDescent="0.35">
      <c r="K1000" s="110" t="str">
        <v>INV-2603-0340</v>
      </c>
    </row>
    <row r="1001" spans="11:11" x14ac:dyDescent="0.35">
      <c r="K1001" s="110" t="str">
        <v>INV-2603-0341</v>
      </c>
    </row>
    <row r="1002" spans="11:11" x14ac:dyDescent="0.35">
      <c r="K1002" s="110" t="str">
        <v>INV-2603-0342</v>
      </c>
    </row>
    <row r="1003" spans="11:11" x14ac:dyDescent="0.35">
      <c r="K1003" s="110" t="str">
        <v>INV-2603-0343</v>
      </c>
    </row>
    <row r="1004" spans="11:11" x14ac:dyDescent="0.35">
      <c r="K1004" s="110" t="str">
        <v>INV-2603-0344</v>
      </c>
    </row>
    <row r="1005" spans="11:11" x14ac:dyDescent="0.35">
      <c r="K1005" s="110" t="str">
        <v>INV-2603-0345</v>
      </c>
    </row>
    <row r="1006" spans="11:11" x14ac:dyDescent="0.35">
      <c r="K1006" s="110" t="str">
        <v>INV-2603-0346</v>
      </c>
    </row>
    <row r="1007" spans="11:11" x14ac:dyDescent="0.35">
      <c r="K1007" s="110" t="str">
        <v>INV-2603-0347</v>
      </c>
    </row>
    <row r="1008" spans="11:11" x14ac:dyDescent="0.35">
      <c r="K1008" s="110" t="str">
        <v>INV-2603-0348</v>
      </c>
    </row>
    <row r="1009" spans="11:11" x14ac:dyDescent="0.35">
      <c r="K1009" s="110" t="str">
        <v>INV-2603-0349</v>
      </c>
    </row>
    <row r="1010" spans="11:11" x14ac:dyDescent="0.35">
      <c r="K1010" s="110" t="str">
        <v>INV-2603-0350</v>
      </c>
    </row>
    <row r="1011" spans="11:11" x14ac:dyDescent="0.35">
      <c r="K1011" s="110" t="str">
        <v>INV-2603-0351</v>
      </c>
    </row>
    <row r="1012" spans="11:11" x14ac:dyDescent="0.35">
      <c r="K1012" s="110" t="str">
        <v>INV-2603-0352</v>
      </c>
    </row>
    <row r="1013" spans="11:11" x14ac:dyDescent="0.35">
      <c r="K1013" s="110" t="str">
        <v>INV-2603-0353</v>
      </c>
    </row>
    <row r="1014" spans="11:11" x14ac:dyDescent="0.35">
      <c r="K1014" s="110" t="str">
        <v>INV-2603-0354</v>
      </c>
    </row>
    <row r="1015" spans="11:11" x14ac:dyDescent="0.35">
      <c r="K1015" s="110" t="str">
        <v>INV-2603-0355</v>
      </c>
    </row>
    <row r="1016" spans="11:11" x14ac:dyDescent="0.35">
      <c r="K1016" s="110" t="str">
        <v>INV-2603-0356</v>
      </c>
    </row>
    <row r="1017" spans="11:11" x14ac:dyDescent="0.35">
      <c r="K1017" s="110" t="str">
        <v>INV-2603-0357</v>
      </c>
    </row>
    <row r="1018" spans="11:11" x14ac:dyDescent="0.35">
      <c r="K1018" s="110" t="str">
        <v>INV-2603-0358</v>
      </c>
    </row>
    <row r="1019" spans="11:11" x14ac:dyDescent="0.35">
      <c r="K1019" s="110" t="str">
        <v>INV-2603-0359</v>
      </c>
    </row>
    <row r="1020" spans="11:11" x14ac:dyDescent="0.35">
      <c r="K1020" s="110" t="str">
        <v>INV-2603-0360</v>
      </c>
    </row>
    <row r="1021" spans="11:11" x14ac:dyDescent="0.35">
      <c r="K1021" s="110" t="str">
        <v>INV-2603-0361</v>
      </c>
    </row>
    <row r="1022" spans="11:11" x14ac:dyDescent="0.35">
      <c r="K1022" s="110" t="str">
        <v>INV-2603-0362</v>
      </c>
    </row>
    <row r="1023" spans="11:11" x14ac:dyDescent="0.35">
      <c r="K1023" s="110" t="str">
        <v>INV-2603-0363</v>
      </c>
    </row>
    <row r="1024" spans="11:11" x14ac:dyDescent="0.35">
      <c r="K1024" s="110" t="str">
        <v>INV-2603-0364</v>
      </c>
    </row>
    <row r="1025" spans="11:11" x14ac:dyDescent="0.35">
      <c r="K1025" s="110" t="str">
        <v>INV-2603-0365</v>
      </c>
    </row>
    <row r="1026" spans="11:11" x14ac:dyDescent="0.35">
      <c r="K1026" s="110" t="str">
        <v>INV-2603-0366</v>
      </c>
    </row>
    <row r="1027" spans="11:11" x14ac:dyDescent="0.35">
      <c r="K1027" s="110" t="str">
        <v>INV-2603-0367</v>
      </c>
    </row>
    <row r="1028" spans="11:11" x14ac:dyDescent="0.35">
      <c r="K1028" s="110" t="str">
        <v>INV-2603-0368</v>
      </c>
    </row>
    <row r="1029" spans="11:11" x14ac:dyDescent="0.35">
      <c r="K1029" s="110" t="str">
        <v>INV-2603-0369</v>
      </c>
    </row>
    <row r="1030" spans="11:11" x14ac:dyDescent="0.35">
      <c r="K1030" s="110" t="str">
        <v>INV-2603-0370</v>
      </c>
    </row>
    <row r="1031" spans="11:11" x14ac:dyDescent="0.35">
      <c r="K1031" s="110" t="str">
        <v>INV-2603-0371</v>
      </c>
    </row>
    <row r="1032" spans="11:11" x14ac:dyDescent="0.35">
      <c r="K1032" s="110" t="str">
        <v>INV-2603-0372</v>
      </c>
    </row>
    <row r="1033" spans="11:11" x14ac:dyDescent="0.35">
      <c r="K1033" s="110" t="str">
        <v>INV-2603-0373</v>
      </c>
    </row>
    <row r="1034" spans="11:11" x14ac:dyDescent="0.35">
      <c r="K1034" s="110" t="str">
        <v>INV-2603-0374</v>
      </c>
    </row>
    <row r="1035" spans="11:11" x14ac:dyDescent="0.35">
      <c r="K1035" s="110" t="str">
        <v>INV-2603-0375</v>
      </c>
    </row>
    <row r="1036" spans="11:11" x14ac:dyDescent="0.35">
      <c r="K1036" s="110" t="str">
        <v>INV-2603-0376</v>
      </c>
    </row>
    <row r="1037" spans="11:11" x14ac:dyDescent="0.35">
      <c r="K1037" s="110" t="str">
        <v>INV-2603-0377</v>
      </c>
    </row>
    <row r="1038" spans="11:11" x14ac:dyDescent="0.35">
      <c r="K1038" s="110" t="str">
        <v>INV-2603-0378</v>
      </c>
    </row>
    <row r="1039" spans="11:11" x14ac:dyDescent="0.35">
      <c r="K1039" s="110" t="str">
        <v>INV-2603-0379</v>
      </c>
    </row>
    <row r="1040" spans="11:11" x14ac:dyDescent="0.35">
      <c r="K1040" s="110" t="str">
        <v>INV-2603-0380</v>
      </c>
    </row>
    <row r="1041" spans="11:11" x14ac:dyDescent="0.35">
      <c r="K1041" s="110" t="str">
        <v>INV-2603-0381</v>
      </c>
    </row>
    <row r="1042" spans="11:11" x14ac:dyDescent="0.35">
      <c r="K1042" s="110" t="str">
        <v>INV-2603-0382</v>
      </c>
    </row>
    <row r="1043" spans="11:11" x14ac:dyDescent="0.35">
      <c r="K1043" s="110" t="str">
        <v>INV-2603-0383</v>
      </c>
    </row>
    <row r="1044" spans="11:11" x14ac:dyDescent="0.35">
      <c r="K1044" s="110" t="str">
        <v>INV-2603-0384</v>
      </c>
    </row>
    <row r="1045" spans="11:11" x14ac:dyDescent="0.35">
      <c r="K1045" s="110" t="str">
        <v>INV-2603-0385</v>
      </c>
    </row>
    <row r="1046" spans="11:11" x14ac:dyDescent="0.35">
      <c r="K1046" s="110" t="str">
        <v>INV-2603-0386</v>
      </c>
    </row>
    <row r="1047" spans="11:11" x14ac:dyDescent="0.35">
      <c r="K1047" s="110" t="str">
        <v>INV-2603-0387</v>
      </c>
    </row>
    <row r="1048" spans="11:11" x14ac:dyDescent="0.35">
      <c r="K1048" s="110" t="str">
        <v>INV-2603-0388</v>
      </c>
    </row>
    <row r="1049" spans="11:11" x14ac:dyDescent="0.35">
      <c r="K1049" s="110" t="str">
        <v>INV-2603-0389</v>
      </c>
    </row>
    <row r="1050" spans="11:11" x14ac:dyDescent="0.35">
      <c r="K1050" s="110" t="str">
        <v>INV-2603-0390</v>
      </c>
    </row>
    <row r="1051" spans="11:11" x14ac:dyDescent="0.35">
      <c r="K1051" s="110" t="str">
        <v>INV-2603-0391</v>
      </c>
    </row>
    <row r="1052" spans="11:11" x14ac:dyDescent="0.35">
      <c r="K1052" s="110" t="str">
        <v>INV-2603-0392</v>
      </c>
    </row>
    <row r="1053" spans="11:11" x14ac:dyDescent="0.35">
      <c r="K1053" s="110" t="str">
        <v>INV-2603-0393</v>
      </c>
    </row>
    <row r="1054" spans="11:11" x14ac:dyDescent="0.35">
      <c r="K1054" s="110" t="str">
        <v>INV-2603-0394</v>
      </c>
    </row>
    <row r="1055" spans="11:11" x14ac:dyDescent="0.35">
      <c r="K1055" s="110" t="str">
        <v>INV-2603-0395</v>
      </c>
    </row>
    <row r="1056" spans="11:11" x14ac:dyDescent="0.35">
      <c r="K1056" s="110" t="str">
        <v>INV-2603-0396</v>
      </c>
    </row>
    <row r="1057" spans="11:11" x14ac:dyDescent="0.35">
      <c r="K1057" s="110" t="str">
        <v>INV-2603-0397</v>
      </c>
    </row>
    <row r="1058" spans="11:11" x14ac:dyDescent="0.35">
      <c r="K1058" s="110" t="str">
        <v>INV-2603-0398</v>
      </c>
    </row>
    <row r="1059" spans="11:11" x14ac:dyDescent="0.35">
      <c r="K1059" s="110" t="str">
        <v>INV-2603-0399</v>
      </c>
    </row>
    <row r="1060" spans="11:11" x14ac:dyDescent="0.35">
      <c r="K1060" s="110" t="str">
        <v>INV-2603-0400</v>
      </c>
    </row>
    <row r="1061" spans="11:11" x14ac:dyDescent="0.35">
      <c r="K1061" s="110" t="str">
        <v>INV-2603-0401</v>
      </c>
    </row>
    <row r="1062" spans="11:11" x14ac:dyDescent="0.35">
      <c r="K1062" s="110" t="str">
        <v>INV-2603-0402</v>
      </c>
    </row>
    <row r="1063" spans="11:11" x14ac:dyDescent="0.35">
      <c r="K1063" s="110" t="str">
        <v>INV-2603-0403</v>
      </c>
    </row>
    <row r="1064" spans="11:11" x14ac:dyDescent="0.35">
      <c r="K1064" s="110" t="str">
        <v>INV-2603-0404</v>
      </c>
    </row>
    <row r="1065" spans="11:11" x14ac:dyDescent="0.35">
      <c r="K1065" s="110" t="str">
        <v>INV-2603-0405</v>
      </c>
    </row>
    <row r="1066" spans="11:11" x14ac:dyDescent="0.35">
      <c r="K1066" s="110" t="str">
        <v>INV-2603-0406</v>
      </c>
    </row>
    <row r="1067" spans="11:11" x14ac:dyDescent="0.35">
      <c r="K1067" s="110" t="str">
        <v>INV-2603-0407</v>
      </c>
    </row>
    <row r="1068" spans="11:11" x14ac:dyDescent="0.35">
      <c r="K1068" s="110" t="str">
        <v>INV-2603-0408</v>
      </c>
    </row>
    <row r="1069" spans="11:11" x14ac:dyDescent="0.35">
      <c r="K1069" s="110" t="str">
        <v>INV-2603-0409</v>
      </c>
    </row>
    <row r="1070" spans="11:11" x14ac:dyDescent="0.35">
      <c r="K1070" s="110" t="str">
        <v>INV-2603-0410</v>
      </c>
    </row>
    <row r="1071" spans="11:11" x14ac:dyDescent="0.35">
      <c r="K1071" s="110" t="str">
        <v>INV-2603-0411</v>
      </c>
    </row>
    <row r="1072" spans="11:11" x14ac:dyDescent="0.35">
      <c r="K1072" s="110" t="str">
        <v>INV-2603-0412</v>
      </c>
    </row>
    <row r="1073" spans="11:11" x14ac:dyDescent="0.35">
      <c r="K1073" s="110" t="str">
        <v>INV-2603-0413</v>
      </c>
    </row>
    <row r="1074" spans="11:11" x14ac:dyDescent="0.35">
      <c r="K1074" s="110" t="str">
        <v>INV-2603-0414</v>
      </c>
    </row>
    <row r="1075" spans="11:11" x14ac:dyDescent="0.35">
      <c r="K1075" s="110" t="str">
        <v>INV-2603-0415</v>
      </c>
    </row>
    <row r="1076" spans="11:11" x14ac:dyDescent="0.35">
      <c r="K1076" s="110" t="str">
        <v>INV-2603-0416</v>
      </c>
    </row>
    <row r="1077" spans="11:11" x14ac:dyDescent="0.35">
      <c r="K1077" s="110" t="str">
        <v>INV-2603-0417</v>
      </c>
    </row>
    <row r="1078" spans="11:11" x14ac:dyDescent="0.35">
      <c r="K1078" s="110" t="str">
        <v>INV-2603-0418</v>
      </c>
    </row>
    <row r="1079" spans="11:11" x14ac:dyDescent="0.35">
      <c r="K1079" s="110" t="str">
        <v>INV-2603-0419</v>
      </c>
    </row>
    <row r="1080" spans="11:11" x14ac:dyDescent="0.35">
      <c r="K1080" s="110" t="str">
        <v>INV-2603-0420</v>
      </c>
    </row>
    <row r="1081" spans="11:11" x14ac:dyDescent="0.35">
      <c r="K1081" s="110" t="str">
        <v>INV-2603-0421</v>
      </c>
    </row>
    <row r="1082" spans="11:11" x14ac:dyDescent="0.35">
      <c r="K1082" s="110" t="str">
        <v>INV-2603-0422</v>
      </c>
    </row>
    <row r="1083" spans="11:11" x14ac:dyDescent="0.35">
      <c r="K1083" s="110" t="str">
        <v>INV-2603-0423</v>
      </c>
    </row>
    <row r="1084" spans="11:11" x14ac:dyDescent="0.35">
      <c r="K1084" s="110" t="str">
        <v>INV-2603-0424</v>
      </c>
    </row>
    <row r="1085" spans="11:11" x14ac:dyDescent="0.35">
      <c r="K1085" s="110" t="str">
        <v>INV-2603-0425</v>
      </c>
    </row>
    <row r="1086" spans="11:11" x14ac:dyDescent="0.35">
      <c r="K1086" s="110" t="str">
        <v>INV-2603-0426</v>
      </c>
    </row>
    <row r="1087" spans="11:11" x14ac:dyDescent="0.35">
      <c r="K1087" s="110" t="str">
        <v>INV-2603-0427</v>
      </c>
    </row>
    <row r="1088" spans="11:11" x14ac:dyDescent="0.35">
      <c r="K1088" s="110" t="str">
        <v>INV-2603-0428</v>
      </c>
    </row>
    <row r="1089" spans="11:11" x14ac:dyDescent="0.35">
      <c r="K1089" s="110" t="str">
        <v>INV-2603-0429</v>
      </c>
    </row>
    <row r="1090" spans="11:11" x14ac:dyDescent="0.35">
      <c r="K1090" s="110" t="str">
        <v>INV-2603-0430</v>
      </c>
    </row>
    <row r="1091" spans="11:11" x14ac:dyDescent="0.35">
      <c r="K1091" s="110" t="str">
        <v>INV-2603-0431</v>
      </c>
    </row>
    <row r="1092" spans="11:11" x14ac:dyDescent="0.35">
      <c r="K1092" s="110" t="str">
        <v>INV-2603-0432</v>
      </c>
    </row>
    <row r="1093" spans="11:11" x14ac:dyDescent="0.35">
      <c r="K1093" s="110" t="str">
        <v>INV-2603-0433</v>
      </c>
    </row>
    <row r="1094" spans="11:11" x14ac:dyDescent="0.35">
      <c r="K1094" s="110" t="str">
        <v>INV-2603-0434</v>
      </c>
    </row>
    <row r="1095" spans="11:11" x14ac:dyDescent="0.35">
      <c r="K1095" s="110" t="str">
        <v>INV-2603-0435</v>
      </c>
    </row>
    <row r="1096" spans="11:11" x14ac:dyDescent="0.35">
      <c r="K1096" s="110" t="str">
        <v>INV-2603-0436</v>
      </c>
    </row>
    <row r="1097" spans="11:11" x14ac:dyDescent="0.35">
      <c r="K1097" s="110" t="str">
        <v>INV-2603-0437</v>
      </c>
    </row>
    <row r="1098" spans="11:11" x14ac:dyDescent="0.35">
      <c r="K1098" s="110" t="str">
        <v>INV-2603-0438</v>
      </c>
    </row>
    <row r="1099" spans="11:11" x14ac:dyDescent="0.35">
      <c r="K1099" s="110" t="str">
        <v>INV-2603-0439</v>
      </c>
    </row>
    <row r="1100" spans="11:11" x14ac:dyDescent="0.35">
      <c r="K1100" s="110" t="str">
        <v>INV-2603-0440</v>
      </c>
    </row>
    <row r="1101" spans="11:11" x14ac:dyDescent="0.35">
      <c r="K1101" s="110" t="str">
        <v>INV-2603-0441</v>
      </c>
    </row>
    <row r="1102" spans="11:11" x14ac:dyDescent="0.35">
      <c r="K1102" s="110" t="str">
        <v>INV-2603-0442</v>
      </c>
    </row>
    <row r="1103" spans="11:11" x14ac:dyDescent="0.35">
      <c r="K1103" s="110" t="str">
        <v>INV-2603-0443</v>
      </c>
    </row>
    <row r="1104" spans="11:11" x14ac:dyDescent="0.35">
      <c r="K1104" s="110" t="str">
        <v>INV-2603-0444</v>
      </c>
    </row>
    <row r="1105" spans="11:11" x14ac:dyDescent="0.35">
      <c r="K1105" s="110" t="str">
        <v>INV-2603-0445</v>
      </c>
    </row>
    <row r="1106" spans="11:11" x14ac:dyDescent="0.35">
      <c r="K1106" s="110" t="str">
        <v>INV-2603-0446</v>
      </c>
    </row>
    <row r="1107" spans="11:11" x14ac:dyDescent="0.35">
      <c r="K1107" s="110" t="str">
        <v>INV-2603-0447</v>
      </c>
    </row>
    <row r="1108" spans="11:11" x14ac:dyDescent="0.35">
      <c r="K1108" s="110" t="str">
        <v>INV-2603-0448</v>
      </c>
    </row>
    <row r="1109" spans="11:11" x14ac:dyDescent="0.35">
      <c r="K1109" s="110" t="str">
        <v>INV-2603-0449</v>
      </c>
    </row>
    <row r="1110" spans="11:11" x14ac:dyDescent="0.35">
      <c r="K1110" s="110" t="str">
        <v>INV-2603-0450</v>
      </c>
    </row>
    <row r="1111" spans="11:11" x14ac:dyDescent="0.35">
      <c r="K1111" s="110" t="str">
        <v>INV-2603-0451</v>
      </c>
    </row>
    <row r="1112" spans="11:11" x14ac:dyDescent="0.35">
      <c r="K1112" s="110" t="str">
        <v>INV-2603-0452</v>
      </c>
    </row>
    <row r="1113" spans="11:11" x14ac:dyDescent="0.35">
      <c r="K1113" s="110" t="str">
        <v>INV-2603-0453</v>
      </c>
    </row>
    <row r="1114" spans="11:11" x14ac:dyDescent="0.35">
      <c r="K1114" s="110" t="str">
        <v>INV-2603-0454</v>
      </c>
    </row>
    <row r="1115" spans="11:11" x14ac:dyDescent="0.35">
      <c r="K1115" s="110" t="str">
        <v>INV-2603-0455</v>
      </c>
    </row>
    <row r="1116" spans="11:11" x14ac:dyDescent="0.35">
      <c r="K1116" s="110" t="str">
        <v>INV-2603-0456</v>
      </c>
    </row>
    <row r="1117" spans="11:11" x14ac:dyDescent="0.35">
      <c r="K1117" s="110" t="str">
        <v>INV-2603-0457</v>
      </c>
    </row>
    <row r="1118" spans="11:11" x14ac:dyDescent="0.35">
      <c r="K1118" s="110" t="str">
        <v>INV-2603-0458</v>
      </c>
    </row>
    <row r="1119" spans="11:11" x14ac:dyDescent="0.35">
      <c r="K1119" s="110" t="str">
        <v>INV-2603-0459</v>
      </c>
    </row>
    <row r="1120" spans="11:11" x14ac:dyDescent="0.35">
      <c r="K1120" s="110" t="str">
        <v>INV-2604-0001</v>
      </c>
    </row>
    <row r="1121" spans="11:11" x14ac:dyDescent="0.35">
      <c r="K1121" s="110" t="str">
        <v>INV-2604-0002</v>
      </c>
    </row>
    <row r="1122" spans="11:11" x14ac:dyDescent="0.35">
      <c r="K1122" s="110" t="str">
        <v>INV-2604-0003</v>
      </c>
    </row>
    <row r="1123" spans="11:11" x14ac:dyDescent="0.35">
      <c r="K1123" s="110" t="str">
        <v>INV-2604-0004</v>
      </c>
    </row>
    <row r="1124" spans="11:11" x14ac:dyDescent="0.35">
      <c r="K1124" s="110" t="str">
        <v>INV-2604-0005</v>
      </c>
    </row>
    <row r="1125" spans="11:11" x14ac:dyDescent="0.35">
      <c r="K1125" s="110" t="str">
        <v>INV-2604-0006</v>
      </c>
    </row>
    <row r="1126" spans="11:11" x14ac:dyDescent="0.35">
      <c r="K1126" s="110" t="str">
        <v>INV-2604-0007</v>
      </c>
    </row>
    <row r="1127" spans="11:11" x14ac:dyDescent="0.35">
      <c r="K1127" s="110" t="str">
        <v>INV-2604-0008</v>
      </c>
    </row>
    <row r="1128" spans="11:11" x14ac:dyDescent="0.35">
      <c r="K1128" s="110" t="str">
        <v>INV-2604-0009</v>
      </c>
    </row>
    <row r="1129" spans="11:11" x14ac:dyDescent="0.35">
      <c r="K1129" s="110" t="str">
        <v>INV-2604-0010</v>
      </c>
    </row>
    <row r="1130" spans="11:11" x14ac:dyDescent="0.35">
      <c r="K1130" s="110" t="str">
        <v>INV-2604-0011</v>
      </c>
    </row>
    <row r="1131" spans="11:11" x14ac:dyDescent="0.35">
      <c r="K1131" s="110" t="str">
        <v>INV-2604-0012</v>
      </c>
    </row>
    <row r="1132" spans="11:11" x14ac:dyDescent="0.35">
      <c r="K1132" s="110" t="str">
        <v>INV-2604-0013</v>
      </c>
    </row>
    <row r="1133" spans="11:11" x14ac:dyDescent="0.35">
      <c r="K1133" s="110" t="str">
        <v>INV-2604-0014</v>
      </c>
    </row>
    <row r="1134" spans="11:11" x14ac:dyDescent="0.35">
      <c r="K1134" s="110" t="str">
        <v>INV-2604-0015</v>
      </c>
    </row>
    <row r="1135" spans="11:11" x14ac:dyDescent="0.35">
      <c r="K1135" s="110" t="str">
        <v>INV-2604-0016</v>
      </c>
    </row>
    <row r="1136" spans="11:11" x14ac:dyDescent="0.35">
      <c r="K1136" s="110" t="str">
        <v>INV-2604-0017</v>
      </c>
    </row>
    <row r="1137" spans="11:11" x14ac:dyDescent="0.35">
      <c r="K1137" s="110" t="str">
        <v>INV-2604-0018</v>
      </c>
    </row>
    <row r="1138" spans="11:11" x14ac:dyDescent="0.35">
      <c r="K1138" s="110" t="str">
        <v>INV-2604-0019</v>
      </c>
    </row>
    <row r="1139" spans="11:11" x14ac:dyDescent="0.35">
      <c r="K1139" s="110" t="str">
        <v>INV-2604-0020</v>
      </c>
    </row>
    <row r="1140" spans="11:11" x14ac:dyDescent="0.35">
      <c r="K1140" s="110" t="str">
        <v>INV-2604-0021</v>
      </c>
    </row>
    <row r="1141" spans="11:11" x14ac:dyDescent="0.35">
      <c r="K1141" s="110" t="str">
        <v>INV-2604-0022</v>
      </c>
    </row>
    <row r="1142" spans="11:11" x14ac:dyDescent="0.35">
      <c r="K1142" s="110" t="str">
        <v>INV-2604-0023</v>
      </c>
    </row>
    <row r="1143" spans="11:11" x14ac:dyDescent="0.35">
      <c r="K1143" s="110" t="str">
        <v>INV-2604-0024</v>
      </c>
    </row>
    <row r="1144" spans="11:11" x14ac:dyDescent="0.35">
      <c r="K1144" s="110" t="str">
        <v>INV-2604-0025</v>
      </c>
    </row>
    <row r="1145" spans="11:11" x14ac:dyDescent="0.35">
      <c r="K1145" s="110" t="str">
        <v>INV-2604-0026</v>
      </c>
    </row>
    <row r="1146" spans="11:11" x14ac:dyDescent="0.35">
      <c r="K1146" s="110" t="str">
        <v>INV-2604-0027</v>
      </c>
    </row>
    <row r="1147" spans="11:11" x14ac:dyDescent="0.35">
      <c r="K1147" s="110" t="str">
        <v>INV-2604-0028</v>
      </c>
    </row>
    <row r="1148" spans="11:11" x14ac:dyDescent="0.35">
      <c r="K1148" s="110" t="str">
        <v>INV-2604-0029</v>
      </c>
    </row>
    <row r="1149" spans="11:11" x14ac:dyDescent="0.35">
      <c r="K1149" s="110" t="str">
        <v>INV-2604-0030</v>
      </c>
    </row>
    <row r="1150" spans="11:11" x14ac:dyDescent="0.35">
      <c r="K1150" s="110" t="str">
        <v>INV-2604-0031</v>
      </c>
    </row>
    <row r="1151" spans="11:11" x14ac:dyDescent="0.35">
      <c r="K1151" s="110" t="str">
        <v>INV-2604-0032</v>
      </c>
    </row>
    <row r="1152" spans="11:11" x14ac:dyDescent="0.35">
      <c r="K1152" s="110" t="str">
        <v>INV-2604-0033</v>
      </c>
    </row>
    <row r="1153" spans="11:11" x14ac:dyDescent="0.35">
      <c r="K1153" s="110" t="str">
        <v>INV-2604-0034</v>
      </c>
    </row>
    <row r="1154" spans="11:11" x14ac:dyDescent="0.35">
      <c r="K1154" s="110" t="str">
        <v>INV-2604-0035</v>
      </c>
    </row>
    <row r="1155" spans="11:11" x14ac:dyDescent="0.35">
      <c r="K1155" s="110" t="str">
        <v>INV-2604-0036</v>
      </c>
    </row>
    <row r="1156" spans="11:11" x14ac:dyDescent="0.35">
      <c r="K1156" s="110" t="str">
        <v>INV-2604-0037</v>
      </c>
    </row>
    <row r="1157" spans="11:11" x14ac:dyDescent="0.35">
      <c r="K1157" s="110" t="str">
        <v>INV-2604-0038</v>
      </c>
    </row>
    <row r="1158" spans="11:11" x14ac:dyDescent="0.35">
      <c r="K1158" s="110" t="str">
        <v>INV-2604-0039</v>
      </c>
    </row>
    <row r="1159" spans="11:11" x14ac:dyDescent="0.35">
      <c r="K1159" s="110" t="str">
        <v>INV-2604-0040</v>
      </c>
    </row>
    <row r="1160" spans="11:11" x14ac:dyDescent="0.35">
      <c r="K1160" s="110" t="str">
        <v>INV-2604-0041</v>
      </c>
    </row>
    <row r="1161" spans="11:11" x14ac:dyDescent="0.35">
      <c r="K1161" s="110" t="str">
        <v>INV-2604-0042</v>
      </c>
    </row>
    <row r="1162" spans="11:11" x14ac:dyDescent="0.35">
      <c r="K1162" s="110" t="str">
        <v>INV-2604-0043</v>
      </c>
    </row>
    <row r="1163" spans="11:11" x14ac:dyDescent="0.35">
      <c r="K1163" s="110" t="str">
        <v>INV-2604-0044</v>
      </c>
    </row>
    <row r="1164" spans="11:11" x14ac:dyDescent="0.35">
      <c r="K1164" s="110" t="str">
        <v>INV-2604-0045</v>
      </c>
    </row>
    <row r="1165" spans="11:11" x14ac:dyDescent="0.35">
      <c r="K1165" s="110" t="str">
        <v>INV-2604-0046</v>
      </c>
    </row>
    <row r="1166" spans="11:11" x14ac:dyDescent="0.35">
      <c r="K1166" s="110" t="str">
        <v>INV-2604-0047</v>
      </c>
    </row>
    <row r="1167" spans="11:11" x14ac:dyDescent="0.35">
      <c r="K1167" s="110" t="str">
        <v>INV-2604-0048</v>
      </c>
    </row>
    <row r="1168" spans="11:11" x14ac:dyDescent="0.35">
      <c r="K1168" s="110" t="str">
        <v>INV-2604-0049</v>
      </c>
    </row>
    <row r="1169" spans="11:11" x14ac:dyDescent="0.35">
      <c r="K1169" s="110" t="str">
        <v>INV-2604-0050</v>
      </c>
    </row>
    <row r="1170" spans="11:11" x14ac:dyDescent="0.35">
      <c r="K1170" s="110" t="str">
        <v>INV-2604-0051</v>
      </c>
    </row>
    <row r="1171" spans="11:11" x14ac:dyDescent="0.35">
      <c r="K1171" s="110" t="str">
        <v>INV-2604-0052</v>
      </c>
    </row>
    <row r="1172" spans="11:11" x14ac:dyDescent="0.35">
      <c r="K1172" s="110" t="str">
        <v>INV-2604-0053</v>
      </c>
    </row>
    <row r="1173" spans="11:11" x14ac:dyDescent="0.35">
      <c r="K1173" s="110" t="str">
        <v>INV-2604-0054</v>
      </c>
    </row>
    <row r="1174" spans="11:11" x14ac:dyDescent="0.35">
      <c r="K1174" s="110" t="str">
        <v>INV-2604-0055</v>
      </c>
    </row>
    <row r="1175" spans="11:11" x14ac:dyDescent="0.35">
      <c r="K1175" s="110" t="str">
        <v>INV-2604-0056</v>
      </c>
    </row>
    <row r="1176" spans="11:11" x14ac:dyDescent="0.35">
      <c r="K1176" s="110" t="str">
        <v>INV-2604-0057</v>
      </c>
    </row>
    <row r="1177" spans="11:11" x14ac:dyDescent="0.35">
      <c r="K1177" s="110" t="str">
        <v>INV-2604-0058</v>
      </c>
    </row>
    <row r="1178" spans="11:11" x14ac:dyDescent="0.35">
      <c r="K1178" s="110" t="str">
        <v>INV-2604-0059</v>
      </c>
    </row>
    <row r="1179" spans="11:11" x14ac:dyDescent="0.35">
      <c r="K1179" s="110" t="str">
        <v>INV-2604-0060</v>
      </c>
    </row>
    <row r="1180" spans="11:11" x14ac:dyDescent="0.35">
      <c r="K1180" s="110" t="str">
        <v>INV-2604-0061</v>
      </c>
    </row>
    <row r="1181" spans="11:11" x14ac:dyDescent="0.35">
      <c r="K1181" s="110" t="str">
        <v>INV-2604-0062</v>
      </c>
    </row>
    <row r="1182" spans="11:11" x14ac:dyDescent="0.35">
      <c r="K1182" s="110" t="str">
        <v>INV-2604-0063</v>
      </c>
    </row>
    <row r="1183" spans="11:11" x14ac:dyDescent="0.35">
      <c r="K1183" s="110" t="str">
        <v>INV-2604-0064</v>
      </c>
    </row>
    <row r="1184" spans="11:11" x14ac:dyDescent="0.35">
      <c r="K1184" s="110" t="str">
        <v>INV-2604-0065</v>
      </c>
    </row>
    <row r="1185" spans="11:11" x14ac:dyDescent="0.35">
      <c r="K1185" s="110" t="str">
        <v>INV-2604-0066</v>
      </c>
    </row>
    <row r="1186" spans="11:11" x14ac:dyDescent="0.35">
      <c r="K1186" s="110" t="str">
        <v>INV-2604-0067</v>
      </c>
    </row>
    <row r="1187" spans="11:11" x14ac:dyDescent="0.35">
      <c r="K1187" s="110" t="str">
        <v>INV-2604-0068</v>
      </c>
    </row>
    <row r="1188" spans="11:11" x14ac:dyDescent="0.35">
      <c r="K1188" s="110" t="str">
        <v>INV-2604-0069</v>
      </c>
    </row>
    <row r="1189" spans="11:11" x14ac:dyDescent="0.35">
      <c r="K1189" s="110" t="str">
        <v>INV-2604-0070</v>
      </c>
    </row>
    <row r="1190" spans="11:11" x14ac:dyDescent="0.35">
      <c r="K1190" s="110" t="str">
        <v>INV-2604-0071</v>
      </c>
    </row>
    <row r="1191" spans="11:11" x14ac:dyDescent="0.35">
      <c r="K1191" s="110" t="str">
        <v>INV-2604-0072</v>
      </c>
    </row>
    <row r="1192" spans="11:11" x14ac:dyDescent="0.35">
      <c r="K1192" s="110" t="str">
        <v>INV-2604-0073</v>
      </c>
    </row>
    <row r="1193" spans="11:11" x14ac:dyDescent="0.35">
      <c r="K1193" s="110" t="str">
        <v>INV-2604-0074</v>
      </c>
    </row>
    <row r="1194" spans="11:11" x14ac:dyDescent="0.35">
      <c r="K1194" s="110" t="str">
        <v>INV-2604-0075</v>
      </c>
    </row>
    <row r="1195" spans="11:11" x14ac:dyDescent="0.35">
      <c r="K1195" s="110" t="str">
        <v>INV-2604-0076</v>
      </c>
    </row>
    <row r="1196" spans="11:11" x14ac:dyDescent="0.35">
      <c r="K1196" s="110" t="str">
        <v>INV-2604-0077</v>
      </c>
    </row>
    <row r="1197" spans="11:11" x14ac:dyDescent="0.35">
      <c r="K1197" s="110" t="str">
        <v>INV-2604-0078</v>
      </c>
    </row>
    <row r="1198" spans="11:11" x14ac:dyDescent="0.35">
      <c r="K1198" s="110" t="str">
        <v>INV-2604-0079</v>
      </c>
    </row>
    <row r="1199" spans="11:11" x14ac:dyDescent="0.35">
      <c r="K1199" s="110" t="str">
        <v>INV-2604-0080</v>
      </c>
    </row>
    <row r="1200" spans="11:11" x14ac:dyDescent="0.35">
      <c r="K1200" s="110" t="str">
        <v>INV-2604-0081</v>
      </c>
    </row>
    <row r="1201" spans="11:11" x14ac:dyDescent="0.35">
      <c r="K1201" s="110" t="str">
        <v>INV-2604-0082</v>
      </c>
    </row>
    <row r="1202" spans="11:11" x14ac:dyDescent="0.35">
      <c r="K1202" s="110" t="str">
        <v>INV-2604-0083</v>
      </c>
    </row>
    <row r="1203" spans="11:11" x14ac:dyDescent="0.35">
      <c r="K1203" s="110" t="str">
        <v>INV-2604-0084</v>
      </c>
    </row>
    <row r="1204" spans="11:11" x14ac:dyDescent="0.35">
      <c r="K1204" s="110" t="str">
        <v>INV-2604-0085</v>
      </c>
    </row>
    <row r="1205" spans="11:11" x14ac:dyDescent="0.35">
      <c r="K1205" s="110" t="str">
        <v>INV-2604-0086</v>
      </c>
    </row>
    <row r="1206" spans="11:11" x14ac:dyDescent="0.35">
      <c r="K1206" s="110" t="str">
        <v>INV-2604-0087</v>
      </c>
    </row>
    <row r="1207" spans="11:11" x14ac:dyDescent="0.35">
      <c r="K1207" s="110" t="str">
        <v>INV-2604-0088</v>
      </c>
    </row>
    <row r="1208" spans="11:11" x14ac:dyDescent="0.35">
      <c r="K1208" s="110" t="str">
        <v>INV-2604-0089</v>
      </c>
    </row>
    <row r="1209" spans="11:11" x14ac:dyDescent="0.35">
      <c r="K1209" s="110" t="str">
        <v>INV-2604-0090</v>
      </c>
    </row>
    <row r="1210" spans="11:11" x14ac:dyDescent="0.35">
      <c r="K1210" s="110" t="str">
        <v>INV-2604-0091</v>
      </c>
    </row>
    <row r="1211" spans="11:11" x14ac:dyDescent="0.35">
      <c r="K1211" s="110" t="str">
        <v>INV-2604-0092</v>
      </c>
    </row>
    <row r="1212" spans="11:11" x14ac:dyDescent="0.35">
      <c r="K1212" s="110" t="str">
        <v>INV-2604-0093</v>
      </c>
    </row>
    <row r="1213" spans="11:11" x14ac:dyDescent="0.35">
      <c r="K1213" s="110" t="str">
        <v>INV-2604-0094</v>
      </c>
    </row>
    <row r="1214" spans="11:11" x14ac:dyDescent="0.35">
      <c r="K1214" s="110" t="str">
        <v>INV-2604-0095</v>
      </c>
    </row>
    <row r="1215" spans="11:11" x14ac:dyDescent="0.35">
      <c r="K1215" s="110" t="str">
        <v>INV-2604-0096</v>
      </c>
    </row>
    <row r="1216" spans="11:11" x14ac:dyDescent="0.35">
      <c r="K1216" s="110" t="str">
        <v>INV-2604-0097</v>
      </c>
    </row>
    <row r="1217" spans="11:11" x14ac:dyDescent="0.35">
      <c r="K1217" s="110" t="str">
        <v>INV-2604-0098</v>
      </c>
    </row>
    <row r="1218" spans="11:11" x14ac:dyDescent="0.35">
      <c r="K1218" s="110" t="str">
        <v>INV-2604-0099</v>
      </c>
    </row>
    <row r="1219" spans="11:11" x14ac:dyDescent="0.35">
      <c r="K1219" s="110" t="str">
        <v>INV-2604-0100</v>
      </c>
    </row>
    <row r="1220" spans="11:11" x14ac:dyDescent="0.35">
      <c r="K1220" s="110" t="str">
        <v>INV-2604-0101</v>
      </c>
    </row>
    <row r="1221" spans="11:11" x14ac:dyDescent="0.35">
      <c r="K1221" s="110" t="str">
        <v>INV-2604-0102</v>
      </c>
    </row>
    <row r="1222" spans="11:11" x14ac:dyDescent="0.35">
      <c r="K1222" s="110" t="str">
        <v>INV-2604-0103</v>
      </c>
    </row>
    <row r="1223" spans="11:11" x14ac:dyDescent="0.35">
      <c r="K1223" s="110" t="str">
        <v>INV-2604-0104</v>
      </c>
    </row>
    <row r="1224" spans="11:11" x14ac:dyDescent="0.35">
      <c r="K1224" s="110" t="str">
        <v>INV-2604-0105</v>
      </c>
    </row>
    <row r="1225" spans="11:11" x14ac:dyDescent="0.35">
      <c r="K1225" s="110" t="str">
        <v>INV-2604-0106</v>
      </c>
    </row>
    <row r="1226" spans="11:11" x14ac:dyDescent="0.35">
      <c r="K1226" s="110" t="str">
        <v>INV-2604-0107</v>
      </c>
    </row>
    <row r="1227" spans="11:11" x14ac:dyDescent="0.35">
      <c r="K1227" s="110" t="str">
        <v>INV-2604-0108</v>
      </c>
    </row>
    <row r="1228" spans="11:11" x14ac:dyDescent="0.35">
      <c r="K1228" s="110" t="str">
        <v>INV-2604-0109</v>
      </c>
    </row>
    <row r="1229" spans="11:11" x14ac:dyDescent="0.35">
      <c r="K1229" s="110" t="str">
        <v>INV-2604-0110</v>
      </c>
    </row>
    <row r="1230" spans="11:11" x14ac:dyDescent="0.35">
      <c r="K1230" s="110" t="str">
        <v>INV-2604-0111</v>
      </c>
    </row>
    <row r="1231" spans="11:11" x14ac:dyDescent="0.35">
      <c r="K1231" s="110" t="str">
        <v>INV-2604-0112</v>
      </c>
    </row>
    <row r="1232" spans="11:11" x14ac:dyDescent="0.35">
      <c r="K1232" s="110" t="str">
        <v>INV-2604-0113</v>
      </c>
    </row>
    <row r="1233" spans="11:11" x14ac:dyDescent="0.35">
      <c r="K1233" s="110" t="str">
        <v>INV-2604-0114</v>
      </c>
    </row>
    <row r="1234" spans="11:11" x14ac:dyDescent="0.35">
      <c r="K1234" s="110" t="str">
        <v>INV-2604-0115</v>
      </c>
    </row>
    <row r="1235" spans="11:11" x14ac:dyDescent="0.35">
      <c r="K1235" s="110" t="str">
        <v>INV-2604-0116</v>
      </c>
    </row>
    <row r="1236" spans="11:11" x14ac:dyDescent="0.35">
      <c r="K1236" s="110" t="str">
        <v>INV-2604-0117</v>
      </c>
    </row>
    <row r="1237" spans="11:11" x14ac:dyDescent="0.35">
      <c r="K1237" s="110" t="str">
        <v>INV-2604-0118</v>
      </c>
    </row>
    <row r="1238" spans="11:11" x14ac:dyDescent="0.35">
      <c r="K1238" s="110" t="str">
        <v>INV-2604-0119</v>
      </c>
    </row>
    <row r="1239" spans="11:11" x14ac:dyDescent="0.35">
      <c r="K1239" s="110" t="str">
        <v>INV-2604-0120</v>
      </c>
    </row>
    <row r="1240" spans="11:11" x14ac:dyDescent="0.35">
      <c r="K1240" s="110" t="str">
        <v>INV-2604-0121</v>
      </c>
    </row>
    <row r="1241" spans="11:11" x14ac:dyDescent="0.35">
      <c r="K1241" s="110" t="str">
        <v>INV-2604-0122</v>
      </c>
    </row>
    <row r="1242" spans="11:11" x14ac:dyDescent="0.35">
      <c r="K1242" s="110" t="str">
        <v>INV-2604-0123</v>
      </c>
    </row>
    <row r="1243" spans="11:11" x14ac:dyDescent="0.35">
      <c r="K1243" s="110" t="str">
        <v>INV-2604-0124</v>
      </c>
    </row>
    <row r="1244" spans="11:11" x14ac:dyDescent="0.35">
      <c r="K1244" s="110" t="str">
        <v>INV-2604-0125</v>
      </c>
    </row>
    <row r="1245" spans="11:11" x14ac:dyDescent="0.35">
      <c r="K1245" s="110" t="str">
        <v>INV-2604-0126</v>
      </c>
    </row>
    <row r="1246" spans="11:11" x14ac:dyDescent="0.35">
      <c r="K1246" s="110" t="str">
        <v>INV-2604-0127</v>
      </c>
    </row>
    <row r="1247" spans="11:11" x14ac:dyDescent="0.35">
      <c r="K1247" s="110" t="str">
        <v>INV-2604-0128</v>
      </c>
    </row>
    <row r="1248" spans="11:11" x14ac:dyDescent="0.35">
      <c r="K1248" s="110" t="str">
        <v>INV-2604-0129</v>
      </c>
    </row>
    <row r="1249" spans="11:11" x14ac:dyDescent="0.35">
      <c r="K1249" s="110" t="str">
        <v>INV-2604-0130</v>
      </c>
    </row>
    <row r="1250" spans="11:11" x14ac:dyDescent="0.35">
      <c r="K1250" s="110" t="str">
        <v>INV-2604-0131</v>
      </c>
    </row>
    <row r="1251" spans="11:11" x14ac:dyDescent="0.35">
      <c r="K1251" s="110" t="str">
        <v>INV-2604-0132</v>
      </c>
    </row>
    <row r="1252" spans="11:11" x14ac:dyDescent="0.35">
      <c r="K1252" s="110" t="str">
        <v>INV-2604-0133</v>
      </c>
    </row>
    <row r="1253" spans="11:11" x14ac:dyDescent="0.35">
      <c r="K1253" s="110" t="str">
        <v>INV-2604-0134</v>
      </c>
    </row>
    <row r="1254" spans="11:11" x14ac:dyDescent="0.35">
      <c r="K1254" s="110" t="str">
        <v>INV-2604-0135</v>
      </c>
    </row>
    <row r="1255" spans="11:11" x14ac:dyDescent="0.35">
      <c r="K1255" s="110" t="str">
        <v>INV-2604-0136</v>
      </c>
    </row>
    <row r="1256" spans="11:11" x14ac:dyDescent="0.35">
      <c r="K1256" s="110" t="str">
        <v>INV-2604-0137</v>
      </c>
    </row>
    <row r="1257" spans="11:11" x14ac:dyDescent="0.35">
      <c r="K1257" s="110" t="str">
        <v>INV-2604-0138</v>
      </c>
    </row>
    <row r="1258" spans="11:11" x14ac:dyDescent="0.35">
      <c r="K1258" s="110" t="str">
        <v>INV-2604-0139</v>
      </c>
    </row>
    <row r="1259" spans="11:11" x14ac:dyDescent="0.35">
      <c r="K1259" s="110" t="str">
        <v>INV-2604-0140</v>
      </c>
    </row>
    <row r="1260" spans="11:11" x14ac:dyDescent="0.35">
      <c r="K1260" s="110" t="str">
        <v>INV-2604-0141</v>
      </c>
    </row>
    <row r="1261" spans="11:11" x14ac:dyDescent="0.35">
      <c r="K1261" s="110" t="str">
        <v>INV-2604-0142</v>
      </c>
    </row>
    <row r="1262" spans="11:11" x14ac:dyDescent="0.35">
      <c r="K1262" s="110" t="str">
        <v>INV-2604-0143</v>
      </c>
    </row>
    <row r="1263" spans="11:11" x14ac:dyDescent="0.35">
      <c r="K1263" s="110" t="str">
        <v>INV-2604-0144</v>
      </c>
    </row>
    <row r="1264" spans="11:11" x14ac:dyDescent="0.35">
      <c r="K1264" s="110" t="str">
        <v>INV-2604-0145</v>
      </c>
    </row>
    <row r="1265" spans="11:11" x14ac:dyDescent="0.35">
      <c r="K1265" s="110" t="str">
        <v>INV-2604-0146</v>
      </c>
    </row>
    <row r="1266" spans="11:11" x14ac:dyDescent="0.35">
      <c r="K1266" s="110" t="str">
        <v>INV-2604-0147</v>
      </c>
    </row>
    <row r="1267" spans="11:11" x14ac:dyDescent="0.35">
      <c r="K1267" s="110" t="str">
        <v>INV-2604-0148</v>
      </c>
    </row>
    <row r="1268" spans="11:11" x14ac:dyDescent="0.35">
      <c r="K1268" s="110" t="str">
        <v>INV-2604-0149</v>
      </c>
    </row>
    <row r="1269" spans="11:11" x14ac:dyDescent="0.35">
      <c r="K1269" s="110" t="str">
        <v>INV-2604-0150</v>
      </c>
    </row>
    <row r="1270" spans="11:11" x14ac:dyDescent="0.35">
      <c r="K1270" s="110" t="str">
        <v>INV-2604-0151</v>
      </c>
    </row>
    <row r="1271" spans="11:11" x14ac:dyDescent="0.35">
      <c r="K1271" s="110" t="str">
        <v>INV-2604-0152</v>
      </c>
    </row>
    <row r="1272" spans="11:11" x14ac:dyDescent="0.35">
      <c r="K1272" s="110" t="str">
        <v>INV-2604-0153</v>
      </c>
    </row>
    <row r="1273" spans="11:11" x14ac:dyDescent="0.35">
      <c r="K1273" s="110" t="str">
        <v>INV-2604-0154</v>
      </c>
    </row>
    <row r="1274" spans="11:11" x14ac:dyDescent="0.35">
      <c r="K1274" s="110" t="str">
        <v>INV-2604-0155</v>
      </c>
    </row>
    <row r="1275" spans="11:11" x14ac:dyDescent="0.35">
      <c r="K1275" s="110" t="str">
        <v>INV-2604-0156</v>
      </c>
    </row>
    <row r="1276" spans="11:11" x14ac:dyDescent="0.35">
      <c r="K1276" s="110" t="str">
        <v>INV-2604-0157</v>
      </c>
    </row>
    <row r="1277" spans="11:11" x14ac:dyDescent="0.35">
      <c r="K1277" s="110" t="str">
        <v>INV-2604-0158</v>
      </c>
    </row>
    <row r="1278" spans="11:11" x14ac:dyDescent="0.35">
      <c r="K1278" s="110" t="str">
        <v>INV-2604-0159</v>
      </c>
    </row>
    <row r="1279" spans="11:11" x14ac:dyDescent="0.35">
      <c r="K1279" s="110" t="str">
        <v>INV-2604-0160</v>
      </c>
    </row>
    <row r="1280" spans="11:11" x14ac:dyDescent="0.35">
      <c r="K1280" s="110" t="str">
        <v>INV-2604-0161</v>
      </c>
    </row>
    <row r="1281" spans="11:11" x14ac:dyDescent="0.35">
      <c r="K1281" s="110" t="str">
        <v>INV-2604-0162</v>
      </c>
    </row>
    <row r="1282" spans="11:11" x14ac:dyDescent="0.35">
      <c r="K1282" s="110" t="str">
        <v>INV-2604-0163</v>
      </c>
    </row>
    <row r="1283" spans="11:11" x14ac:dyDescent="0.35">
      <c r="K1283" s="110" t="str">
        <v>INV-2604-0164</v>
      </c>
    </row>
    <row r="1284" spans="11:11" x14ac:dyDescent="0.35">
      <c r="K1284" s="110" t="str">
        <v>INV-2604-0165</v>
      </c>
    </row>
    <row r="1285" spans="11:11" x14ac:dyDescent="0.35">
      <c r="K1285" s="110" t="str">
        <v>INV-2604-0166</v>
      </c>
    </row>
    <row r="1286" spans="11:11" x14ac:dyDescent="0.35">
      <c r="K1286" s="110" t="str">
        <v>INV-2604-0167</v>
      </c>
    </row>
    <row r="1287" spans="11:11" x14ac:dyDescent="0.35">
      <c r="K1287" s="110" t="str">
        <v>INV-2604-0168</v>
      </c>
    </row>
    <row r="1288" spans="11:11" x14ac:dyDescent="0.35">
      <c r="K1288" s="110" t="str">
        <v>INV-2604-0169</v>
      </c>
    </row>
    <row r="1289" spans="11:11" x14ac:dyDescent="0.35">
      <c r="K1289" s="110" t="str">
        <v>INV-2604-0170</v>
      </c>
    </row>
    <row r="1290" spans="11:11" x14ac:dyDescent="0.35">
      <c r="K1290" s="110" t="str">
        <v>INV-2604-0171</v>
      </c>
    </row>
    <row r="1291" spans="11:11" x14ac:dyDescent="0.35">
      <c r="K1291" s="110" t="str">
        <v>INV-2604-0172</v>
      </c>
    </row>
    <row r="1292" spans="11:11" x14ac:dyDescent="0.35">
      <c r="K1292" s="110" t="str">
        <v>INV-2604-0173</v>
      </c>
    </row>
    <row r="1293" spans="11:11" x14ac:dyDescent="0.35">
      <c r="K1293" s="110" t="str">
        <v>INV-2604-0174</v>
      </c>
    </row>
    <row r="1294" spans="11:11" x14ac:dyDescent="0.35">
      <c r="K1294" s="110" t="str">
        <v>INV-2604-0175</v>
      </c>
    </row>
    <row r="1295" spans="11:11" x14ac:dyDescent="0.35">
      <c r="K1295" s="110" t="str">
        <v>INV-2604-0176</v>
      </c>
    </row>
    <row r="1296" spans="11:11" x14ac:dyDescent="0.35">
      <c r="K1296" s="110" t="str">
        <v>INV-2604-0177</v>
      </c>
    </row>
    <row r="1297" spans="11:11" x14ac:dyDescent="0.35">
      <c r="K1297" s="110" t="str">
        <v>INV-2604-0178</v>
      </c>
    </row>
    <row r="1298" spans="11:11" x14ac:dyDescent="0.35">
      <c r="K1298" s="110" t="str">
        <v>INV-2604-0179</v>
      </c>
    </row>
    <row r="1299" spans="11:11" x14ac:dyDescent="0.35">
      <c r="K1299" s="110" t="str">
        <v>INV-2604-0180</v>
      </c>
    </row>
    <row r="1300" spans="11:11" x14ac:dyDescent="0.35">
      <c r="K1300" s="110" t="str">
        <v>INV-2604-0181</v>
      </c>
    </row>
    <row r="1301" spans="11:11" x14ac:dyDescent="0.35">
      <c r="K1301" s="110" t="str">
        <v>INV-2604-0182</v>
      </c>
    </row>
    <row r="1302" spans="11:11" x14ac:dyDescent="0.35">
      <c r="K1302" s="110" t="str">
        <v>INV-2604-0183</v>
      </c>
    </row>
    <row r="1303" spans="11:11" x14ac:dyDescent="0.35">
      <c r="K1303" s="110" t="str">
        <v>INV-2604-0184</v>
      </c>
    </row>
    <row r="1304" spans="11:11" x14ac:dyDescent="0.35">
      <c r="K1304" s="110" t="str">
        <v>INV-2604-0185</v>
      </c>
    </row>
    <row r="1305" spans="11:11" x14ac:dyDescent="0.35">
      <c r="K1305" s="110" t="str">
        <v>INV-2604-0186</v>
      </c>
    </row>
    <row r="1306" spans="11:11" x14ac:dyDescent="0.35">
      <c r="K1306" s="110" t="str">
        <v>INV-2604-0187</v>
      </c>
    </row>
    <row r="1307" spans="11:11" x14ac:dyDescent="0.35">
      <c r="K1307" s="110" t="str">
        <v>INV-2604-0188</v>
      </c>
    </row>
    <row r="1308" spans="11:11" x14ac:dyDescent="0.35">
      <c r="K1308" s="110" t="str">
        <v>INV-2604-0189</v>
      </c>
    </row>
    <row r="1309" spans="11:11" x14ac:dyDescent="0.35">
      <c r="K1309" s="110" t="str">
        <v>INV-2604-0190</v>
      </c>
    </row>
    <row r="1310" spans="11:11" x14ac:dyDescent="0.35">
      <c r="K1310" s="110" t="str">
        <v>INV-2604-0191</v>
      </c>
    </row>
    <row r="1311" spans="11:11" x14ac:dyDescent="0.35">
      <c r="K1311" s="110" t="str">
        <v>INV-2604-0192</v>
      </c>
    </row>
    <row r="1312" spans="11:11" x14ac:dyDescent="0.35">
      <c r="K1312" s="110" t="str">
        <v>INV-2604-0193</v>
      </c>
    </row>
    <row r="1313" spans="11:11" x14ac:dyDescent="0.35">
      <c r="K1313" s="110" t="str">
        <v>INV-2604-0194</v>
      </c>
    </row>
    <row r="1314" spans="11:11" x14ac:dyDescent="0.35">
      <c r="K1314" s="110" t="str">
        <v>INV-2604-0195</v>
      </c>
    </row>
    <row r="1315" spans="11:11" x14ac:dyDescent="0.35">
      <c r="K1315" s="110" t="str">
        <v>INV-2604-0196</v>
      </c>
    </row>
    <row r="1316" spans="11:11" x14ac:dyDescent="0.35">
      <c r="K1316" s="110" t="str">
        <v>INV-2604-0197</v>
      </c>
    </row>
    <row r="1317" spans="11:11" x14ac:dyDescent="0.35">
      <c r="K1317" s="110" t="str">
        <v>INV-2604-0198</v>
      </c>
    </row>
    <row r="1318" spans="11:11" x14ac:dyDescent="0.35">
      <c r="K1318" s="110" t="str">
        <v>INV-2604-0199</v>
      </c>
    </row>
    <row r="1319" spans="11:11" x14ac:dyDescent="0.35">
      <c r="K1319" s="110" t="str">
        <v>INV-2604-0200</v>
      </c>
    </row>
    <row r="1320" spans="11:11" x14ac:dyDescent="0.35">
      <c r="K1320" s="110" t="str">
        <v>INV-2604-0201</v>
      </c>
    </row>
    <row r="1321" spans="11:11" x14ac:dyDescent="0.35">
      <c r="K1321" s="110" t="str">
        <v>INV-2604-0202</v>
      </c>
    </row>
    <row r="1322" spans="11:11" x14ac:dyDescent="0.35">
      <c r="K1322" s="110" t="str">
        <v>INV-2604-0203</v>
      </c>
    </row>
    <row r="1323" spans="11:11" x14ac:dyDescent="0.35">
      <c r="K1323" s="110" t="str">
        <v>INV-2604-0204</v>
      </c>
    </row>
    <row r="1324" spans="11:11" x14ac:dyDescent="0.35">
      <c r="K1324" s="110" t="str">
        <v>INV-2604-0205</v>
      </c>
    </row>
    <row r="1325" spans="11:11" x14ac:dyDescent="0.35">
      <c r="K1325" s="110" t="str">
        <v>INV-2604-0206</v>
      </c>
    </row>
    <row r="1326" spans="11:11" x14ac:dyDescent="0.35">
      <c r="K1326" s="110" t="str">
        <v>INV-2604-0207</v>
      </c>
    </row>
    <row r="1327" spans="11:11" x14ac:dyDescent="0.35">
      <c r="K1327" s="110" t="str">
        <v>INV-2604-0208</v>
      </c>
    </row>
    <row r="1328" spans="11:11" x14ac:dyDescent="0.35">
      <c r="K1328" s="110" t="str">
        <v>INV-2604-0209</v>
      </c>
    </row>
    <row r="1329" spans="11:11" x14ac:dyDescent="0.35">
      <c r="K1329" s="110" t="str">
        <v>INV-2604-0210</v>
      </c>
    </row>
    <row r="1330" spans="11:11" x14ac:dyDescent="0.35">
      <c r="K1330" s="110" t="str">
        <v>INV-2604-0211</v>
      </c>
    </row>
    <row r="1331" spans="11:11" x14ac:dyDescent="0.35">
      <c r="K1331" s="110" t="str">
        <v>INV-2604-0212</v>
      </c>
    </row>
    <row r="1332" spans="11:11" x14ac:dyDescent="0.35">
      <c r="K1332" s="110" t="str">
        <v>INV-2604-0213</v>
      </c>
    </row>
    <row r="1333" spans="11:11" x14ac:dyDescent="0.35">
      <c r="K1333" s="110" t="str">
        <v>INV-2604-0214</v>
      </c>
    </row>
    <row r="1334" spans="11:11" x14ac:dyDescent="0.35">
      <c r="K1334" s="110" t="str">
        <v>INV-2604-0215</v>
      </c>
    </row>
    <row r="1335" spans="11:11" x14ac:dyDescent="0.35">
      <c r="K1335" s="110" t="str">
        <v>INV-2604-0216</v>
      </c>
    </row>
    <row r="1336" spans="11:11" x14ac:dyDescent="0.35">
      <c r="K1336" s="110" t="str">
        <v>INV-2604-0217</v>
      </c>
    </row>
    <row r="1337" spans="11:11" x14ac:dyDescent="0.35">
      <c r="K1337" s="110" t="str">
        <v>INV-2604-0218</v>
      </c>
    </row>
    <row r="1338" spans="11:11" x14ac:dyDescent="0.35">
      <c r="K1338" s="110" t="str">
        <v>INV-2604-0219</v>
      </c>
    </row>
    <row r="1339" spans="11:11" x14ac:dyDescent="0.35">
      <c r="K1339" s="110" t="str">
        <v>INV-2604-0220</v>
      </c>
    </row>
    <row r="1340" spans="11:11" x14ac:dyDescent="0.35">
      <c r="K1340" s="110" t="str">
        <v>INV-2604-0221</v>
      </c>
    </row>
    <row r="1341" spans="11:11" x14ac:dyDescent="0.35">
      <c r="K1341" s="110" t="str">
        <v>INV-2604-0222</v>
      </c>
    </row>
    <row r="1342" spans="11:11" x14ac:dyDescent="0.35">
      <c r="K1342" s="110" t="str">
        <v>INV-2604-0223</v>
      </c>
    </row>
    <row r="1343" spans="11:11" x14ac:dyDescent="0.35">
      <c r="K1343" s="110" t="str">
        <v>INV-2604-0224</v>
      </c>
    </row>
    <row r="1344" spans="11:11" x14ac:dyDescent="0.35">
      <c r="K1344" s="110" t="str">
        <v>INV-2604-0225</v>
      </c>
    </row>
    <row r="1345" spans="11:11" x14ac:dyDescent="0.35">
      <c r="K1345" s="110" t="str">
        <v>INV-2604-0226</v>
      </c>
    </row>
    <row r="1346" spans="11:11" x14ac:dyDescent="0.35">
      <c r="K1346" s="110" t="str">
        <v>INV-2604-0227</v>
      </c>
    </row>
    <row r="1347" spans="11:11" x14ac:dyDescent="0.35">
      <c r="K1347" s="110" t="str">
        <v>INV-2604-0228</v>
      </c>
    </row>
    <row r="1348" spans="11:11" x14ac:dyDescent="0.35">
      <c r="K1348" s="110" t="str">
        <v>INV-2604-0229</v>
      </c>
    </row>
    <row r="1349" spans="11:11" x14ac:dyDescent="0.35">
      <c r="K1349" s="110" t="str">
        <v>INV-2604-0230</v>
      </c>
    </row>
    <row r="1350" spans="11:11" x14ac:dyDescent="0.35">
      <c r="K1350" s="110" t="str">
        <v>INV-2604-0231</v>
      </c>
    </row>
    <row r="1351" spans="11:11" x14ac:dyDescent="0.35">
      <c r="K1351" s="110" t="str">
        <v>INV-2604-0232</v>
      </c>
    </row>
    <row r="1352" spans="11:11" x14ac:dyDescent="0.35">
      <c r="K1352" s="110" t="str">
        <v>INV-2604-0233</v>
      </c>
    </row>
    <row r="1353" spans="11:11" x14ac:dyDescent="0.35">
      <c r="K1353" s="110" t="str">
        <v>INV-2604-0234</v>
      </c>
    </row>
    <row r="1354" spans="11:11" x14ac:dyDescent="0.35">
      <c r="K1354" s="110" t="str">
        <v>INV-2604-0235</v>
      </c>
    </row>
    <row r="1355" spans="11:11" x14ac:dyDescent="0.35">
      <c r="K1355" s="110" t="str">
        <v>INV-2604-0236</v>
      </c>
    </row>
    <row r="1356" spans="11:11" x14ac:dyDescent="0.35">
      <c r="K1356" s="110" t="str">
        <v>INV-2604-0237</v>
      </c>
    </row>
    <row r="1357" spans="11:11" x14ac:dyDescent="0.35">
      <c r="K1357" s="110" t="str">
        <v>INV-2604-0238</v>
      </c>
    </row>
    <row r="1358" spans="11:11" x14ac:dyDescent="0.35">
      <c r="K1358" s="110" t="str">
        <v>INV-2604-0239</v>
      </c>
    </row>
    <row r="1359" spans="11:11" x14ac:dyDescent="0.35">
      <c r="K1359" s="110" t="str">
        <v>INV-2604-0240</v>
      </c>
    </row>
    <row r="1360" spans="11:11" x14ac:dyDescent="0.35">
      <c r="K1360" s="110" t="str">
        <v>INV-2604-0241</v>
      </c>
    </row>
    <row r="1361" spans="11:11" x14ac:dyDescent="0.35">
      <c r="K1361" s="110" t="str">
        <v>INV-2604-0242</v>
      </c>
    </row>
    <row r="1362" spans="11:11" x14ac:dyDescent="0.35">
      <c r="K1362" s="110" t="str">
        <v>INV-2604-0243</v>
      </c>
    </row>
    <row r="1363" spans="11:11" x14ac:dyDescent="0.35">
      <c r="K1363" s="110" t="str">
        <v>INV-2604-0244</v>
      </c>
    </row>
    <row r="1364" spans="11:11" x14ac:dyDescent="0.35">
      <c r="K1364" s="110" t="str">
        <v>INV-2604-0245</v>
      </c>
    </row>
    <row r="1365" spans="11:11" x14ac:dyDescent="0.35">
      <c r="K1365" s="110" t="str">
        <v>INV-2604-0246</v>
      </c>
    </row>
    <row r="1366" spans="11:11" x14ac:dyDescent="0.35">
      <c r="K1366" s="110" t="str">
        <v>INV-2604-0247</v>
      </c>
    </row>
    <row r="1367" spans="11:11" x14ac:dyDescent="0.35">
      <c r="K1367" s="110" t="str">
        <v>INV-2604-0248</v>
      </c>
    </row>
    <row r="1368" spans="11:11" x14ac:dyDescent="0.35">
      <c r="K1368" s="110" t="str">
        <v>INV-2604-0249</v>
      </c>
    </row>
    <row r="1369" spans="11:11" x14ac:dyDescent="0.35">
      <c r="K1369" s="110" t="str">
        <v>INV-2604-0250</v>
      </c>
    </row>
    <row r="1370" spans="11:11" x14ac:dyDescent="0.35">
      <c r="K1370" s="110" t="str">
        <v>INV-2604-0251</v>
      </c>
    </row>
    <row r="1371" spans="11:11" x14ac:dyDescent="0.35">
      <c r="K1371" s="110" t="str">
        <v>INV-2604-0252</v>
      </c>
    </row>
    <row r="1372" spans="11:11" x14ac:dyDescent="0.35">
      <c r="K1372" s="110" t="str">
        <v>INV-2604-0253</v>
      </c>
    </row>
    <row r="1373" spans="11:11" x14ac:dyDescent="0.35">
      <c r="K1373" s="110" t="str">
        <v>INV-2604-0254</v>
      </c>
    </row>
    <row r="1374" spans="11:11" x14ac:dyDescent="0.35">
      <c r="K1374" s="110" t="str">
        <v>INV-2604-0255</v>
      </c>
    </row>
    <row r="1375" spans="11:11" x14ac:dyDescent="0.35">
      <c r="K1375" s="110" t="str">
        <v>INV-2604-0256</v>
      </c>
    </row>
    <row r="1376" spans="11:11" x14ac:dyDescent="0.35">
      <c r="K1376" s="110" t="str">
        <v>INV-2604-0257</v>
      </c>
    </row>
    <row r="1377" spans="11:11" x14ac:dyDescent="0.35">
      <c r="K1377" s="110" t="str">
        <v>INV-2604-0258</v>
      </c>
    </row>
    <row r="1378" spans="11:11" x14ac:dyDescent="0.35">
      <c r="K1378" s="110" t="str">
        <v>INV-2604-0259</v>
      </c>
    </row>
    <row r="1379" spans="11:11" x14ac:dyDescent="0.35">
      <c r="K1379" s="110" t="str">
        <v>INV-2604-0260</v>
      </c>
    </row>
    <row r="1380" spans="11:11" x14ac:dyDescent="0.35">
      <c r="K1380" s="110" t="str">
        <v>INV-2604-0261</v>
      </c>
    </row>
    <row r="1381" spans="11:11" x14ac:dyDescent="0.35">
      <c r="K1381" s="110" t="str">
        <v>INV-2604-0262</v>
      </c>
    </row>
    <row r="1382" spans="11:11" x14ac:dyDescent="0.35">
      <c r="K1382" s="110" t="str">
        <v>INV-2604-0263</v>
      </c>
    </row>
    <row r="1383" spans="11:11" x14ac:dyDescent="0.35">
      <c r="K1383" s="110" t="str">
        <v>INV-2604-0264</v>
      </c>
    </row>
    <row r="1384" spans="11:11" x14ac:dyDescent="0.35">
      <c r="K1384" s="110" t="str">
        <v>INV-2604-0265</v>
      </c>
    </row>
    <row r="1385" spans="11:11" x14ac:dyDescent="0.35">
      <c r="K1385" s="110" t="str">
        <v>INV-2604-0266</v>
      </c>
    </row>
    <row r="1386" spans="11:11" x14ac:dyDescent="0.35">
      <c r="K1386" s="110" t="str">
        <v>INV-2604-0267</v>
      </c>
    </row>
    <row r="1387" spans="11:11" x14ac:dyDescent="0.35">
      <c r="K1387" s="110" t="str">
        <v>INV-2604-0268</v>
      </c>
    </row>
    <row r="1388" spans="11:11" x14ac:dyDescent="0.35">
      <c r="K1388" s="110" t="str">
        <v>INV-2604-0269</v>
      </c>
    </row>
    <row r="1389" spans="11:11" x14ac:dyDescent="0.35">
      <c r="K1389" s="110" t="str">
        <v>INV-2604-0270</v>
      </c>
    </row>
    <row r="1390" spans="11:11" x14ac:dyDescent="0.35">
      <c r="K1390" s="110" t="str">
        <v>INV-2604-0271</v>
      </c>
    </row>
    <row r="1391" spans="11:11" x14ac:dyDescent="0.35">
      <c r="K1391" s="110" t="str">
        <v>INV-2604-0272</v>
      </c>
    </row>
    <row r="1392" spans="11:11" x14ac:dyDescent="0.35">
      <c r="K1392" s="110" t="str">
        <v>INV-2604-0273</v>
      </c>
    </row>
    <row r="1393" spans="11:11" x14ac:dyDescent="0.35">
      <c r="K1393" s="110" t="str">
        <v>INV-2604-0274</v>
      </c>
    </row>
    <row r="1394" spans="11:11" x14ac:dyDescent="0.35">
      <c r="K1394" s="110" t="str">
        <v>INV-2604-0275</v>
      </c>
    </row>
    <row r="1395" spans="11:11" x14ac:dyDescent="0.35">
      <c r="K1395" s="110" t="str">
        <v>INV-2604-0276</v>
      </c>
    </row>
    <row r="1396" spans="11:11" x14ac:dyDescent="0.35">
      <c r="K1396" s="110" t="str">
        <v>INV-2604-0277</v>
      </c>
    </row>
    <row r="1397" spans="11:11" x14ac:dyDescent="0.35">
      <c r="K1397" s="110" t="str">
        <v>INV-2604-0278</v>
      </c>
    </row>
    <row r="1398" spans="11:11" x14ac:dyDescent="0.35">
      <c r="K1398" s="110" t="str">
        <v>INV-2604-0279</v>
      </c>
    </row>
    <row r="1399" spans="11:11" x14ac:dyDescent="0.35">
      <c r="K1399" s="110" t="str">
        <v>INV-2604-0280</v>
      </c>
    </row>
    <row r="1400" spans="11:11" x14ac:dyDescent="0.35">
      <c r="K1400" s="110" t="str">
        <v>INV-2604-0281</v>
      </c>
    </row>
    <row r="1401" spans="11:11" x14ac:dyDescent="0.35">
      <c r="K1401" s="110" t="str">
        <v>INV-2604-0282</v>
      </c>
    </row>
    <row r="1402" spans="11:11" x14ac:dyDescent="0.35">
      <c r="K1402" s="110" t="str">
        <v>INV-2604-0283</v>
      </c>
    </row>
    <row r="1403" spans="11:11" x14ac:dyDescent="0.35">
      <c r="K1403" s="110" t="str">
        <v>INV-2604-0284</v>
      </c>
    </row>
    <row r="1404" spans="11:11" x14ac:dyDescent="0.35">
      <c r="K1404" s="110" t="str">
        <v>INV-2604-0285</v>
      </c>
    </row>
    <row r="1405" spans="11:11" x14ac:dyDescent="0.35">
      <c r="K1405" s="110" t="str">
        <v>INV-2604-0286</v>
      </c>
    </row>
    <row r="1406" spans="11:11" x14ac:dyDescent="0.35">
      <c r="K1406" s="110" t="str">
        <v>INV-2604-0287</v>
      </c>
    </row>
    <row r="1407" spans="11:11" x14ac:dyDescent="0.35">
      <c r="K1407" s="110" t="str">
        <v>INV-2604-0288</v>
      </c>
    </row>
    <row r="1408" spans="11:11" x14ac:dyDescent="0.35">
      <c r="K1408" s="110" t="str">
        <v>INV-2604-0289</v>
      </c>
    </row>
    <row r="1409" spans="11:11" x14ac:dyDescent="0.35">
      <c r="K1409" s="110" t="str">
        <v>INV-2604-0290</v>
      </c>
    </row>
    <row r="1410" spans="11:11" x14ac:dyDescent="0.35">
      <c r="K1410" s="110" t="str">
        <v>INV-2604-0291</v>
      </c>
    </row>
    <row r="1411" spans="11:11" x14ac:dyDescent="0.35">
      <c r="K1411" s="110" t="str">
        <v>INV-2604-0292</v>
      </c>
    </row>
    <row r="1412" spans="11:11" x14ac:dyDescent="0.35">
      <c r="K1412" s="110" t="str">
        <v>INV-2604-0293</v>
      </c>
    </row>
    <row r="1413" spans="11:11" x14ac:dyDescent="0.35">
      <c r="K1413" s="110" t="str">
        <v>INV-2604-0294</v>
      </c>
    </row>
    <row r="1414" spans="11:11" x14ac:dyDescent="0.35">
      <c r="K1414" s="110" t="str">
        <v>INV-2604-0295</v>
      </c>
    </row>
    <row r="1415" spans="11:11" x14ac:dyDescent="0.35">
      <c r="K1415" s="110" t="str">
        <v>INV-2604-0296</v>
      </c>
    </row>
    <row r="1416" spans="11:11" x14ac:dyDescent="0.35">
      <c r="K1416" s="110" t="str">
        <v>INV-2604-0297</v>
      </c>
    </row>
    <row r="1417" spans="11:11" x14ac:dyDescent="0.35">
      <c r="K1417" s="110" t="str">
        <v>INV-2604-0298</v>
      </c>
    </row>
    <row r="1418" spans="11:11" x14ac:dyDescent="0.35">
      <c r="K1418" s="110" t="str">
        <v>INV-2604-0299</v>
      </c>
    </row>
    <row r="1419" spans="11:11" x14ac:dyDescent="0.35">
      <c r="K1419" s="110" t="str">
        <v>INV-2604-0300</v>
      </c>
    </row>
    <row r="1420" spans="11:11" x14ac:dyDescent="0.35">
      <c r="K1420" s="110" t="str">
        <v>INV-2604-0301</v>
      </c>
    </row>
    <row r="1421" spans="11:11" x14ac:dyDescent="0.35">
      <c r="K1421" s="110" t="str">
        <v>INV-2604-0302</v>
      </c>
    </row>
    <row r="1422" spans="11:11" x14ac:dyDescent="0.35">
      <c r="K1422" s="110" t="str">
        <v>INV-2604-0303</v>
      </c>
    </row>
    <row r="1423" spans="11:11" x14ac:dyDescent="0.35">
      <c r="K1423" s="110" t="str">
        <v>INV-2604-0304</v>
      </c>
    </row>
    <row r="1424" spans="11:11" x14ac:dyDescent="0.35">
      <c r="K1424" s="110" t="str">
        <v>INV-2604-0305</v>
      </c>
    </row>
    <row r="1425" spans="11:11" x14ac:dyDescent="0.35">
      <c r="K1425" s="110" t="str">
        <v>INV-2604-0306</v>
      </c>
    </row>
    <row r="1426" spans="11:11" x14ac:dyDescent="0.35">
      <c r="K1426" s="110" t="str">
        <v>INV-2604-0307</v>
      </c>
    </row>
    <row r="1427" spans="11:11" x14ac:dyDescent="0.35">
      <c r="K1427" s="110" t="str">
        <v>INV-2604-0308</v>
      </c>
    </row>
    <row r="1428" spans="11:11" x14ac:dyDescent="0.35">
      <c r="K1428" s="110" t="str">
        <v>INV-2604-0309</v>
      </c>
    </row>
    <row r="1429" spans="11:11" x14ac:dyDescent="0.35">
      <c r="K1429" s="110" t="str">
        <v>INV-2604-0310</v>
      </c>
    </row>
    <row r="1430" spans="11:11" x14ac:dyDescent="0.35">
      <c r="K1430" s="110" t="str">
        <v>INV-2604-0311</v>
      </c>
    </row>
    <row r="1431" spans="11:11" x14ac:dyDescent="0.35">
      <c r="K1431" s="110" t="str">
        <v>INV-2604-0312</v>
      </c>
    </row>
    <row r="1432" spans="11:11" x14ac:dyDescent="0.35">
      <c r="K1432" s="110" t="str">
        <v>INV-2604-0313</v>
      </c>
    </row>
    <row r="1433" spans="11:11" x14ac:dyDescent="0.35">
      <c r="K1433" s="110" t="str">
        <v>INV-2604-0314</v>
      </c>
    </row>
    <row r="1434" spans="11:11" x14ac:dyDescent="0.35">
      <c r="K1434" s="110" t="str">
        <v>INV-2604-0315</v>
      </c>
    </row>
    <row r="1435" spans="11:11" x14ac:dyDescent="0.35">
      <c r="K1435" s="110" t="str">
        <v>INV-2604-0316</v>
      </c>
    </row>
    <row r="1436" spans="11:11" x14ac:dyDescent="0.35">
      <c r="K1436" s="110" t="str">
        <v>INV-2604-0317</v>
      </c>
    </row>
    <row r="1437" spans="11:11" x14ac:dyDescent="0.35">
      <c r="K1437" s="110" t="str">
        <v>INV-2604-0318</v>
      </c>
    </row>
    <row r="1438" spans="11:11" x14ac:dyDescent="0.35">
      <c r="K1438" s="110" t="str">
        <v>INV-2604-0319</v>
      </c>
    </row>
    <row r="1439" spans="11:11" x14ac:dyDescent="0.35">
      <c r="K1439" s="110" t="str">
        <v>INV-2604-0320</v>
      </c>
    </row>
    <row r="1440" spans="11:11" x14ac:dyDescent="0.35">
      <c r="K1440" s="110" t="str">
        <v>INV-2604-0321</v>
      </c>
    </row>
    <row r="1441" spans="11:11" x14ac:dyDescent="0.35">
      <c r="K1441" s="110" t="str">
        <v>INV-2604-0322</v>
      </c>
    </row>
    <row r="1442" spans="11:11" x14ac:dyDescent="0.35">
      <c r="K1442" s="110" t="str">
        <v>INV-2604-0323</v>
      </c>
    </row>
    <row r="1443" spans="11:11" x14ac:dyDescent="0.35">
      <c r="K1443" s="110" t="str">
        <v>INV-2604-0324</v>
      </c>
    </row>
    <row r="1444" spans="11:11" x14ac:dyDescent="0.35">
      <c r="K1444" s="110" t="str">
        <v>INV-2604-0325</v>
      </c>
    </row>
    <row r="1445" spans="11:11" x14ac:dyDescent="0.35">
      <c r="K1445" s="110" t="str">
        <v>INV-2604-0326</v>
      </c>
    </row>
    <row r="1446" spans="11:11" x14ac:dyDescent="0.35">
      <c r="K1446" s="110" t="str">
        <v>INV-2604-0327</v>
      </c>
    </row>
    <row r="1447" spans="11:11" x14ac:dyDescent="0.35">
      <c r="K1447" s="110" t="str">
        <v>INV-2604-0328</v>
      </c>
    </row>
    <row r="1448" spans="11:11" x14ac:dyDescent="0.35">
      <c r="K1448" s="110" t="str">
        <v>INV-2604-0329</v>
      </c>
    </row>
    <row r="1449" spans="11:11" x14ac:dyDescent="0.35">
      <c r="K1449" s="110" t="str">
        <v>INV-2604-0330</v>
      </c>
    </row>
    <row r="1450" spans="11:11" x14ac:dyDescent="0.35">
      <c r="K1450" s="110" t="str">
        <v>INV-2604-0331</v>
      </c>
    </row>
    <row r="1451" spans="11:11" x14ac:dyDescent="0.35">
      <c r="K1451" s="110" t="str">
        <v>INV-2604-0332</v>
      </c>
    </row>
    <row r="1452" spans="11:11" x14ac:dyDescent="0.35">
      <c r="K1452" s="110" t="str">
        <v>INV-2604-0333</v>
      </c>
    </row>
    <row r="1453" spans="11:11" x14ac:dyDescent="0.35">
      <c r="K1453" s="110" t="str">
        <v>INV-2604-0334</v>
      </c>
    </row>
    <row r="1454" spans="11:11" x14ac:dyDescent="0.35">
      <c r="K1454" s="110" t="str">
        <v>INV-2604-0335</v>
      </c>
    </row>
    <row r="1455" spans="11:11" x14ac:dyDescent="0.35">
      <c r="K1455" s="110" t="str">
        <v>INV-2604-0336</v>
      </c>
    </row>
    <row r="1456" spans="11:11" x14ac:dyDescent="0.35">
      <c r="K1456" s="110" t="str">
        <v>INV-2604-0337</v>
      </c>
    </row>
    <row r="1457" spans="11:11" x14ac:dyDescent="0.35">
      <c r="K1457" s="110" t="str">
        <v>INV-2604-0338</v>
      </c>
    </row>
    <row r="1458" spans="11:11" x14ac:dyDescent="0.35">
      <c r="K1458" s="110" t="str">
        <v>INV-2604-0339</v>
      </c>
    </row>
    <row r="1459" spans="11:11" x14ac:dyDescent="0.35">
      <c r="K1459" s="110" t="str">
        <v>INV-2604-0340</v>
      </c>
    </row>
    <row r="1460" spans="11:11" x14ac:dyDescent="0.35">
      <c r="K1460" s="110" t="str">
        <v>INV-2604-0341</v>
      </c>
    </row>
    <row r="1461" spans="11:11" x14ac:dyDescent="0.35">
      <c r="K1461" s="110" t="str">
        <v>INV-2604-0342</v>
      </c>
    </row>
    <row r="1462" spans="11:11" x14ac:dyDescent="0.35">
      <c r="K1462" s="110" t="str">
        <v>INV-2604-0343</v>
      </c>
    </row>
    <row r="1463" spans="11:11" x14ac:dyDescent="0.35">
      <c r="K1463" s="110" t="str">
        <v>INV-2604-0344</v>
      </c>
    </row>
    <row r="1464" spans="11:11" x14ac:dyDescent="0.35">
      <c r="K1464" s="110" t="str">
        <v>INV-2604-0345</v>
      </c>
    </row>
    <row r="1465" spans="11:11" x14ac:dyDescent="0.35">
      <c r="K1465" s="110" t="str">
        <v>INV-2604-0346</v>
      </c>
    </row>
    <row r="1466" spans="11:11" x14ac:dyDescent="0.35">
      <c r="K1466" s="110" t="str">
        <v>INV-2604-0347</v>
      </c>
    </row>
    <row r="1467" spans="11:11" x14ac:dyDescent="0.35">
      <c r="K1467" s="110" t="str">
        <v>INV-2604-0348</v>
      </c>
    </row>
    <row r="1468" spans="11:11" x14ac:dyDescent="0.35">
      <c r="K1468" s="110" t="str">
        <v>INV-2604-0349</v>
      </c>
    </row>
    <row r="1469" spans="11:11" x14ac:dyDescent="0.35">
      <c r="K1469" s="110" t="str">
        <v>INV-2604-0350</v>
      </c>
    </row>
    <row r="1470" spans="11:11" x14ac:dyDescent="0.35">
      <c r="K1470" s="110" t="str">
        <v>INV-2604-0351</v>
      </c>
    </row>
    <row r="1471" spans="11:11" x14ac:dyDescent="0.35">
      <c r="K1471" s="110" t="str">
        <v>INV-2604-0352</v>
      </c>
    </row>
    <row r="1472" spans="11:11" x14ac:dyDescent="0.35">
      <c r="K1472" s="110" t="str">
        <v>INV-2604-0353</v>
      </c>
    </row>
    <row r="1473" spans="11:11" x14ac:dyDescent="0.35">
      <c r="K1473" s="110" t="str">
        <v>INV-2604-0354</v>
      </c>
    </row>
    <row r="1474" spans="11:11" x14ac:dyDescent="0.35">
      <c r="K1474" s="110" t="str">
        <v>INV-2604-0355</v>
      </c>
    </row>
    <row r="1475" spans="11:11" x14ac:dyDescent="0.35">
      <c r="K1475" s="110" t="str">
        <v>INV-2604-0356</v>
      </c>
    </row>
    <row r="1476" spans="11:11" x14ac:dyDescent="0.35">
      <c r="K1476" s="110" t="str">
        <v>INV-2604-0357</v>
      </c>
    </row>
    <row r="1477" spans="11:11" x14ac:dyDescent="0.35">
      <c r="K1477" s="110" t="str">
        <v>INV-2605-0001</v>
      </c>
    </row>
    <row r="1478" spans="11:11" x14ac:dyDescent="0.35">
      <c r="K1478" s="110" t="str">
        <v>INV-2605-0002</v>
      </c>
    </row>
    <row r="1479" spans="11:11" x14ac:dyDescent="0.35">
      <c r="K1479" s="110" t="str">
        <v>INV-2605-0003</v>
      </c>
    </row>
    <row r="1480" spans="11:11" x14ac:dyDescent="0.35">
      <c r="K1480" s="110" t="str">
        <v>INV-2605-0004</v>
      </c>
    </row>
    <row r="1481" spans="11:11" x14ac:dyDescent="0.35">
      <c r="K1481" s="110" t="str">
        <v>INV-2605-0005</v>
      </c>
    </row>
    <row r="1482" spans="11:11" x14ac:dyDescent="0.35">
      <c r="K1482" s="110" t="str">
        <v>INV-2605-0006</v>
      </c>
    </row>
    <row r="1483" spans="11:11" x14ac:dyDescent="0.35">
      <c r="K1483" s="110" t="str">
        <v>INV-2605-0007</v>
      </c>
    </row>
    <row r="1484" spans="11:11" x14ac:dyDescent="0.35">
      <c r="K1484" s="110" t="str">
        <v>INV-2605-0008</v>
      </c>
    </row>
    <row r="1485" spans="11:11" x14ac:dyDescent="0.35">
      <c r="K1485" s="110" t="str">
        <v>INV-2605-0009</v>
      </c>
    </row>
    <row r="1486" spans="11:11" x14ac:dyDescent="0.35">
      <c r="K1486" s="110" t="str">
        <v>INV-2605-0010</v>
      </c>
    </row>
    <row r="1487" spans="11:11" x14ac:dyDescent="0.35">
      <c r="K1487" s="110" t="str">
        <v>INV-2605-0011</v>
      </c>
    </row>
    <row r="1488" spans="11:11" x14ac:dyDescent="0.35">
      <c r="K1488" s="110" t="str">
        <v>INV-2605-0012</v>
      </c>
    </row>
    <row r="1489" spans="11:11" x14ac:dyDescent="0.35">
      <c r="K1489" s="110" t="str">
        <v>INV-2605-0013</v>
      </c>
    </row>
    <row r="1490" spans="11:11" x14ac:dyDescent="0.35">
      <c r="K1490" s="110" t="str">
        <v>INV-2605-0014</v>
      </c>
    </row>
    <row r="1491" spans="11:11" x14ac:dyDescent="0.35">
      <c r="K1491" s="110" t="str">
        <v>INV-2605-0015</v>
      </c>
    </row>
    <row r="1492" spans="11:11" x14ac:dyDescent="0.35">
      <c r="K1492" s="110" t="str">
        <v>INV-2605-0016</v>
      </c>
    </row>
    <row r="1493" spans="11:11" x14ac:dyDescent="0.35">
      <c r="K1493" s="110" t="str">
        <v>INV-2605-0017</v>
      </c>
    </row>
    <row r="1494" spans="11:11" x14ac:dyDescent="0.35">
      <c r="K1494" s="110" t="str">
        <v>INV-2605-0018</v>
      </c>
    </row>
    <row r="1495" spans="11:11" x14ac:dyDescent="0.35">
      <c r="K1495" s="110" t="str">
        <v>INV-2605-0019</v>
      </c>
    </row>
    <row r="1496" spans="11:11" x14ac:dyDescent="0.35">
      <c r="K1496" s="110" t="str">
        <v>INV-2605-0020</v>
      </c>
    </row>
    <row r="1497" spans="11:11" x14ac:dyDescent="0.35">
      <c r="K1497" s="110" t="str">
        <v>INV-2605-0021</v>
      </c>
    </row>
    <row r="1498" spans="11:11" x14ac:dyDescent="0.35">
      <c r="K1498" s="110" t="str">
        <v>INV-2605-0022</v>
      </c>
    </row>
    <row r="1499" spans="11:11" x14ac:dyDescent="0.35">
      <c r="K1499" s="110" t="str">
        <v>INV-2605-0023</v>
      </c>
    </row>
    <row r="1500" spans="11:11" x14ac:dyDescent="0.35">
      <c r="K1500" s="110" t="str">
        <v>INV-2605-0024</v>
      </c>
    </row>
    <row r="1501" spans="11:11" x14ac:dyDescent="0.35">
      <c r="K1501" s="110" t="str">
        <v>INV-2605-0025</v>
      </c>
    </row>
    <row r="1502" spans="11:11" x14ac:dyDescent="0.35">
      <c r="K1502" s="110" t="str">
        <v>INV-2605-0026</v>
      </c>
    </row>
    <row r="1503" spans="11:11" x14ac:dyDescent="0.35">
      <c r="K1503" s="110" t="str">
        <v>INV-2605-0027</v>
      </c>
    </row>
    <row r="1504" spans="11:11" x14ac:dyDescent="0.35">
      <c r="K1504" s="110" t="str">
        <v>INV-2605-0028</v>
      </c>
    </row>
    <row r="1505" spans="11:11" x14ac:dyDescent="0.35">
      <c r="K1505" s="110" t="str">
        <v>INV-2605-0029</v>
      </c>
    </row>
    <row r="1506" spans="11:11" x14ac:dyDescent="0.35">
      <c r="K1506" s="110" t="str">
        <v>INV-2605-0030</v>
      </c>
    </row>
    <row r="1507" spans="11:11" x14ac:dyDescent="0.35">
      <c r="K1507" s="110" t="str">
        <v>INV-2605-0031</v>
      </c>
    </row>
    <row r="1508" spans="11:11" x14ac:dyDescent="0.35">
      <c r="K1508" s="110" t="str">
        <v>INV-2605-0032</v>
      </c>
    </row>
    <row r="1509" spans="11:11" x14ac:dyDescent="0.35">
      <c r="K1509" s="110" t="str">
        <v>INV-2605-0033</v>
      </c>
    </row>
    <row r="1510" spans="11:11" x14ac:dyDescent="0.35">
      <c r="K1510" s="110" t="str">
        <v>INV-2605-0034</v>
      </c>
    </row>
    <row r="1511" spans="11:11" x14ac:dyDescent="0.35">
      <c r="K1511" s="110" t="str">
        <v>INV-2605-0035</v>
      </c>
    </row>
    <row r="1512" spans="11:11" x14ac:dyDescent="0.35">
      <c r="K1512" s="110" t="str">
        <v>INV-2605-0036</v>
      </c>
    </row>
    <row r="1513" spans="11:11" x14ac:dyDescent="0.35">
      <c r="K1513" s="110" t="str">
        <v>INV-2605-0037</v>
      </c>
    </row>
    <row r="1514" spans="11:11" x14ac:dyDescent="0.35">
      <c r="K1514" s="110" t="str">
        <v>INV-2605-0038</v>
      </c>
    </row>
    <row r="1515" spans="11:11" x14ac:dyDescent="0.35">
      <c r="K1515" s="110" t="str">
        <v>INV-2605-0039</v>
      </c>
    </row>
    <row r="1516" spans="11:11" x14ac:dyDescent="0.35">
      <c r="K1516" s="110" t="str">
        <v>INV-2605-0040</v>
      </c>
    </row>
    <row r="1517" spans="11:11" x14ac:dyDescent="0.35">
      <c r="K1517" s="110" t="str">
        <v>INV-2605-0041</v>
      </c>
    </row>
    <row r="1518" spans="11:11" x14ac:dyDescent="0.35">
      <c r="K1518" s="110" t="str">
        <v>INV-2605-0042</v>
      </c>
    </row>
    <row r="1519" spans="11:11" x14ac:dyDescent="0.35">
      <c r="K1519" s="110" t="str">
        <v>INV-2605-0043</v>
      </c>
    </row>
    <row r="1520" spans="11:11" x14ac:dyDescent="0.35">
      <c r="K1520" s="110" t="str">
        <v>INV-2605-0044</v>
      </c>
    </row>
    <row r="1521" spans="11:11" x14ac:dyDescent="0.35">
      <c r="K1521" s="110" t="str">
        <v>INV-2605-0045</v>
      </c>
    </row>
    <row r="1522" spans="11:11" x14ac:dyDescent="0.35">
      <c r="K1522" s="110" t="str">
        <v>INV-2605-0046</v>
      </c>
    </row>
    <row r="1523" spans="11:11" x14ac:dyDescent="0.35">
      <c r="K1523" s="110" t="str">
        <v>INV-2605-0047</v>
      </c>
    </row>
    <row r="1524" spans="11:11" x14ac:dyDescent="0.35">
      <c r="K1524" s="110" t="str">
        <v>INV-2605-0048</v>
      </c>
    </row>
    <row r="1525" spans="11:11" x14ac:dyDescent="0.35">
      <c r="K1525" s="110" t="str">
        <v>INV-2605-0049</v>
      </c>
    </row>
    <row r="1526" spans="11:11" x14ac:dyDescent="0.35">
      <c r="K1526" s="110" t="str">
        <v>INV-2605-0050</v>
      </c>
    </row>
    <row r="1527" spans="11:11" x14ac:dyDescent="0.35">
      <c r="K1527" s="110" t="str">
        <v>INV-2605-0051</v>
      </c>
    </row>
    <row r="1528" spans="11:11" x14ac:dyDescent="0.35">
      <c r="K1528" s="110" t="str">
        <v>INV-2605-0052</v>
      </c>
    </row>
    <row r="1529" spans="11:11" x14ac:dyDescent="0.35">
      <c r="K1529" s="110" t="str">
        <v>INV-2605-0053</v>
      </c>
    </row>
    <row r="1530" spans="11:11" x14ac:dyDescent="0.35">
      <c r="K1530" s="110" t="str">
        <v>INV-2605-0054</v>
      </c>
    </row>
    <row r="1531" spans="11:11" x14ac:dyDescent="0.35">
      <c r="K1531" s="110" t="str">
        <v>INV-2605-0055</v>
      </c>
    </row>
    <row r="1532" spans="11:11" x14ac:dyDescent="0.35">
      <c r="K1532" s="110" t="str">
        <v>INV-2605-0056</v>
      </c>
    </row>
    <row r="1533" spans="11:11" x14ac:dyDescent="0.35">
      <c r="K1533" s="110" t="str">
        <v>INV-2605-0057</v>
      </c>
    </row>
    <row r="1534" spans="11:11" x14ac:dyDescent="0.35">
      <c r="K1534" s="110" t="str">
        <v>INV-2605-0058</v>
      </c>
    </row>
    <row r="1535" spans="11:11" x14ac:dyDescent="0.35">
      <c r="K1535" s="110" t="str">
        <v>INV-2605-0059</v>
      </c>
    </row>
    <row r="1536" spans="11:11" x14ac:dyDescent="0.35">
      <c r="K1536" s="110" t="str">
        <v>INV-2605-0060</v>
      </c>
    </row>
    <row r="1537" spans="11:11" x14ac:dyDescent="0.35">
      <c r="K1537" s="110" t="str">
        <v>INV-2605-0061</v>
      </c>
    </row>
    <row r="1538" spans="11:11" x14ac:dyDescent="0.35">
      <c r="K1538" s="110" t="str">
        <v>INV-2605-0062</v>
      </c>
    </row>
    <row r="1539" spans="11:11" x14ac:dyDescent="0.35">
      <c r="K1539" s="110" t="str">
        <v>INV-2605-0063</v>
      </c>
    </row>
    <row r="1540" spans="11:11" x14ac:dyDescent="0.35">
      <c r="K1540" s="110" t="str">
        <v>INV-2605-0064</v>
      </c>
    </row>
    <row r="1541" spans="11:11" x14ac:dyDescent="0.35">
      <c r="K1541" s="110" t="str">
        <v>INV-2605-0065</v>
      </c>
    </row>
    <row r="1542" spans="11:11" x14ac:dyDescent="0.35">
      <c r="K1542" s="110" t="str">
        <v>INV-2605-0066</v>
      </c>
    </row>
    <row r="1543" spans="11:11" x14ac:dyDescent="0.35">
      <c r="K1543" s="110" t="str">
        <v>INV-2605-0067</v>
      </c>
    </row>
    <row r="1544" spans="11:11" x14ac:dyDescent="0.35">
      <c r="K1544" s="110" t="str">
        <v>INV-2605-0068</v>
      </c>
    </row>
    <row r="1545" spans="11:11" x14ac:dyDescent="0.35">
      <c r="K1545" s="110" t="str">
        <v>INV-2605-0069</v>
      </c>
    </row>
    <row r="1546" spans="11:11" x14ac:dyDescent="0.35">
      <c r="K1546" s="110" t="str">
        <v>INV-2605-0070</v>
      </c>
    </row>
    <row r="1547" spans="11:11" x14ac:dyDescent="0.35">
      <c r="K1547" s="110" t="str">
        <v>INV-2605-0071</v>
      </c>
    </row>
    <row r="1548" spans="11:11" x14ac:dyDescent="0.35">
      <c r="K1548" s="110" t="str">
        <v>INV-2605-0072</v>
      </c>
    </row>
    <row r="1549" spans="11:11" x14ac:dyDescent="0.35">
      <c r="K1549" s="110" t="str">
        <v>INV-2605-0073</v>
      </c>
    </row>
    <row r="1550" spans="11:11" x14ac:dyDescent="0.35">
      <c r="K1550" s="110" t="str">
        <v>INV-2605-0074</v>
      </c>
    </row>
    <row r="1551" spans="11:11" x14ac:dyDescent="0.35">
      <c r="K1551" s="110" t="str">
        <v>INV-2605-0075</v>
      </c>
    </row>
    <row r="1552" spans="11:11" x14ac:dyDescent="0.35">
      <c r="K1552" s="110" t="str">
        <v>INV-2605-0076</v>
      </c>
    </row>
    <row r="1553" spans="11:11" x14ac:dyDescent="0.35">
      <c r="K1553" s="110" t="str">
        <v>INV-2605-0077</v>
      </c>
    </row>
    <row r="1554" spans="11:11" x14ac:dyDescent="0.35">
      <c r="K1554" s="110" t="str">
        <v>INV-2605-0078</v>
      </c>
    </row>
    <row r="1555" spans="11:11" x14ac:dyDescent="0.35">
      <c r="K1555" s="110" t="str">
        <v>INV-2605-0079</v>
      </c>
    </row>
    <row r="1556" spans="11:11" x14ac:dyDescent="0.35">
      <c r="K1556" s="110" t="str">
        <v>INV-2605-0080</v>
      </c>
    </row>
    <row r="1557" spans="11:11" x14ac:dyDescent="0.35">
      <c r="K1557" s="110" t="str">
        <v>INV-2605-0081</v>
      </c>
    </row>
    <row r="1558" spans="11:11" x14ac:dyDescent="0.35">
      <c r="K1558" s="110" t="str">
        <v>INV-2605-0082</v>
      </c>
    </row>
    <row r="1559" spans="11:11" x14ac:dyDescent="0.35">
      <c r="K1559" s="110" t="str">
        <v>INV-2605-0083</v>
      </c>
    </row>
    <row r="1560" spans="11:11" x14ac:dyDescent="0.35">
      <c r="K1560" s="110" t="str">
        <v>INV-2605-0084</v>
      </c>
    </row>
    <row r="1561" spans="11:11" x14ac:dyDescent="0.35">
      <c r="K1561" s="110" t="str">
        <v>INV-2605-0085</v>
      </c>
    </row>
    <row r="1562" spans="11:11" x14ac:dyDescent="0.35">
      <c r="K1562" s="110" t="str">
        <v>INV-2605-0086</v>
      </c>
    </row>
    <row r="1563" spans="11:11" x14ac:dyDescent="0.35">
      <c r="K1563" s="110" t="str">
        <v>INV-2605-0087</v>
      </c>
    </row>
    <row r="1564" spans="11:11" x14ac:dyDescent="0.35">
      <c r="K1564" s="110" t="str">
        <v>INV-2605-0088</v>
      </c>
    </row>
    <row r="1565" spans="11:11" x14ac:dyDescent="0.35">
      <c r="K1565" s="110" t="str">
        <v>INV-2605-0089</v>
      </c>
    </row>
    <row r="1566" spans="11:11" x14ac:dyDescent="0.35">
      <c r="K1566" s="110" t="str">
        <v>INV-2605-0090</v>
      </c>
    </row>
    <row r="1567" spans="11:11" x14ac:dyDescent="0.35">
      <c r="K1567" s="110" t="str">
        <v>INV-2605-0091</v>
      </c>
    </row>
    <row r="1568" spans="11:11" x14ac:dyDescent="0.35">
      <c r="K1568" s="110" t="str">
        <v>INV-2605-0092</v>
      </c>
    </row>
    <row r="1569" spans="11:11" x14ac:dyDescent="0.35">
      <c r="K1569" s="110" t="str">
        <v>INV-2605-0093</v>
      </c>
    </row>
    <row r="1570" spans="11:11" x14ac:dyDescent="0.35">
      <c r="K1570" s="110" t="str">
        <v>INV-2605-0094</v>
      </c>
    </row>
    <row r="1571" spans="11:11" x14ac:dyDescent="0.35">
      <c r="K1571" s="110" t="str">
        <v>INV-2605-0095</v>
      </c>
    </row>
    <row r="1572" spans="11:11" x14ac:dyDescent="0.35">
      <c r="K1572" s="110" t="str">
        <v>INV-2605-0096</v>
      </c>
    </row>
    <row r="1573" spans="11:11" x14ac:dyDescent="0.35">
      <c r="K1573" s="110" t="str">
        <v>INV-2605-0097</v>
      </c>
    </row>
    <row r="1574" spans="11:11" x14ac:dyDescent="0.35">
      <c r="K1574" s="110" t="str">
        <v>INV-2605-0098</v>
      </c>
    </row>
    <row r="1575" spans="11:11" x14ac:dyDescent="0.35">
      <c r="K1575" s="110" t="str">
        <v>INV-2605-0099</v>
      </c>
    </row>
    <row r="1576" spans="11:11" x14ac:dyDescent="0.35">
      <c r="K1576" s="110" t="str">
        <v>INV-2605-0100</v>
      </c>
    </row>
    <row r="1577" spans="11:11" x14ac:dyDescent="0.35">
      <c r="K1577" s="110" t="str">
        <v>INV-2605-0101</v>
      </c>
    </row>
    <row r="1578" spans="11:11" x14ac:dyDescent="0.35">
      <c r="K1578" s="110" t="str">
        <v>INV-2605-0102</v>
      </c>
    </row>
    <row r="1579" spans="11:11" x14ac:dyDescent="0.35">
      <c r="K1579" s="110" t="str">
        <v>INV-2605-0103</v>
      </c>
    </row>
    <row r="1580" spans="11:11" x14ac:dyDescent="0.35">
      <c r="K1580" s="110" t="str">
        <v>INV-2605-0104</v>
      </c>
    </row>
    <row r="1581" spans="11:11" x14ac:dyDescent="0.35">
      <c r="K1581" s="110" t="str">
        <v>INV-2605-0105</v>
      </c>
    </row>
    <row r="1582" spans="11:11" x14ac:dyDescent="0.35">
      <c r="K1582" s="110" t="str">
        <v>INV-2605-0106</v>
      </c>
    </row>
    <row r="1583" spans="11:11" x14ac:dyDescent="0.35">
      <c r="K1583" s="110" t="str">
        <v>INV-2605-0107</v>
      </c>
    </row>
    <row r="1584" spans="11:11" x14ac:dyDescent="0.35">
      <c r="K1584" s="110" t="str">
        <v>INV-2605-0108</v>
      </c>
    </row>
    <row r="1585" spans="11:11" x14ac:dyDescent="0.35">
      <c r="K1585" s="110" t="str">
        <v>INV-2605-0109</v>
      </c>
    </row>
    <row r="1586" spans="11:11" x14ac:dyDescent="0.35">
      <c r="K1586" s="110" t="str">
        <v>INV-2605-0110</v>
      </c>
    </row>
    <row r="1587" spans="11:11" x14ac:dyDescent="0.35">
      <c r="K1587" s="110" t="str">
        <v>INV-2605-0111</v>
      </c>
    </row>
    <row r="1588" spans="11:11" x14ac:dyDescent="0.35">
      <c r="K1588" s="110" t="str">
        <v>INV-2605-0112</v>
      </c>
    </row>
    <row r="1589" spans="11:11" x14ac:dyDescent="0.35">
      <c r="K1589" s="110" t="str">
        <v>INV-2605-0113</v>
      </c>
    </row>
    <row r="1590" spans="11:11" x14ac:dyDescent="0.35">
      <c r="K1590" s="110" t="str">
        <v>INV-2605-0114</v>
      </c>
    </row>
    <row r="1591" spans="11:11" x14ac:dyDescent="0.35">
      <c r="K1591" s="110" t="str">
        <v>INV-2605-0115</v>
      </c>
    </row>
    <row r="1592" spans="11:11" x14ac:dyDescent="0.35">
      <c r="K1592" s="110" t="str">
        <v>INV-2605-0116</v>
      </c>
    </row>
    <row r="1593" spans="11:11" x14ac:dyDescent="0.35">
      <c r="K1593" s="110" t="str">
        <v>INV-2605-0117</v>
      </c>
    </row>
    <row r="1594" spans="11:11" x14ac:dyDescent="0.35">
      <c r="K1594" s="110" t="str">
        <v>INV-2605-0118</v>
      </c>
    </row>
    <row r="1595" spans="11:11" x14ac:dyDescent="0.35">
      <c r="K1595" s="110" t="str">
        <v>INV-2605-0119</v>
      </c>
    </row>
    <row r="1596" spans="11:11" x14ac:dyDescent="0.35">
      <c r="K1596" s="110" t="str">
        <v>INV-2605-0120</v>
      </c>
    </row>
    <row r="1597" spans="11:11" x14ac:dyDescent="0.35">
      <c r="K1597" s="110" t="str">
        <v>INV-2605-0121</v>
      </c>
    </row>
    <row r="1598" spans="11:11" x14ac:dyDescent="0.35">
      <c r="K1598" s="110" t="str">
        <v>INV-2605-0122</v>
      </c>
    </row>
    <row r="1599" spans="11:11" x14ac:dyDescent="0.35">
      <c r="K1599" s="110" t="str">
        <v>INV-2605-0123</v>
      </c>
    </row>
    <row r="1600" spans="11:11" x14ac:dyDescent="0.35">
      <c r="K1600" s="110" t="str">
        <v>INV-2605-0124</v>
      </c>
    </row>
    <row r="1601" spans="11:11" x14ac:dyDescent="0.35">
      <c r="K1601" s="110" t="str">
        <v>INV-2605-0125</v>
      </c>
    </row>
    <row r="1602" spans="11:11" x14ac:dyDescent="0.35">
      <c r="K1602" s="110" t="str">
        <v>INV-2605-0126</v>
      </c>
    </row>
    <row r="1603" spans="11:11" x14ac:dyDescent="0.35">
      <c r="K1603" s="110" t="str">
        <v>INV-2605-0127</v>
      </c>
    </row>
    <row r="1604" spans="11:11" x14ac:dyDescent="0.35">
      <c r="K1604" s="110" t="str">
        <v>INV-2605-0128</v>
      </c>
    </row>
    <row r="1605" spans="11:11" x14ac:dyDescent="0.35">
      <c r="K1605" s="110" t="str">
        <v>INV-2605-0129</v>
      </c>
    </row>
    <row r="1606" spans="11:11" x14ac:dyDescent="0.35">
      <c r="K1606" s="110" t="str">
        <v>INV-2605-0130</v>
      </c>
    </row>
    <row r="1607" spans="11:11" x14ac:dyDescent="0.35">
      <c r="K1607" s="110" t="str">
        <v>INV-2605-0131</v>
      </c>
    </row>
    <row r="1608" spans="11:11" x14ac:dyDescent="0.35">
      <c r="K1608" s="110" t="str">
        <v>INV-2605-0132</v>
      </c>
    </row>
    <row r="1609" spans="11:11" x14ac:dyDescent="0.35">
      <c r="K1609" s="110" t="str">
        <v>INV-2605-0133</v>
      </c>
    </row>
    <row r="1610" spans="11:11" x14ac:dyDescent="0.35">
      <c r="K1610" s="110" t="str">
        <v>INV-2605-0134</v>
      </c>
    </row>
    <row r="1611" spans="11:11" x14ac:dyDescent="0.35">
      <c r="K1611" s="110" t="str">
        <v>INV-2605-0135</v>
      </c>
    </row>
    <row r="1612" spans="11:11" x14ac:dyDescent="0.35">
      <c r="K1612" s="110" t="str">
        <v>INV-2605-0136</v>
      </c>
    </row>
    <row r="1613" spans="11:11" x14ac:dyDescent="0.35">
      <c r="K1613" s="110" t="str">
        <v>INV-2605-0137</v>
      </c>
    </row>
    <row r="1614" spans="11:11" x14ac:dyDescent="0.35">
      <c r="K1614" s="110" t="str">
        <v>INV-2605-0138</v>
      </c>
    </row>
    <row r="1615" spans="11:11" x14ac:dyDescent="0.35">
      <c r="K1615" s="110" t="str">
        <v>INV-2605-0139</v>
      </c>
    </row>
    <row r="1616" spans="11:11" x14ac:dyDescent="0.35">
      <c r="K1616" s="110" t="str">
        <v>INV-2605-0140</v>
      </c>
    </row>
    <row r="1617" spans="11:11" x14ac:dyDescent="0.35">
      <c r="K1617" s="110" t="str">
        <v>INV-2605-0141</v>
      </c>
    </row>
    <row r="1618" spans="11:11" x14ac:dyDescent="0.35">
      <c r="K1618" s="110" t="str">
        <v>INV-2605-0142</v>
      </c>
    </row>
    <row r="1619" spans="11:11" x14ac:dyDescent="0.35">
      <c r="K1619" s="110" t="str">
        <v>INV-2605-0143</v>
      </c>
    </row>
    <row r="1620" spans="11:11" x14ac:dyDescent="0.35">
      <c r="K1620" s="110" t="str">
        <v>INV-2605-0144</v>
      </c>
    </row>
    <row r="1621" spans="11:11" x14ac:dyDescent="0.35">
      <c r="K1621" s="110" t="str">
        <v>INV-2605-0145</v>
      </c>
    </row>
    <row r="1622" spans="11:11" x14ac:dyDescent="0.35">
      <c r="K1622" s="110" t="str">
        <v>INV-2605-0146</v>
      </c>
    </row>
    <row r="1623" spans="11:11" x14ac:dyDescent="0.35">
      <c r="K1623" s="110" t="str">
        <v>INV-2605-0147</v>
      </c>
    </row>
    <row r="1624" spans="11:11" x14ac:dyDescent="0.35">
      <c r="K1624" s="110" t="str">
        <v>INV-2605-0148</v>
      </c>
    </row>
    <row r="1625" spans="11:11" x14ac:dyDescent="0.35">
      <c r="K1625" s="110" t="str">
        <v>INV-2605-0149</v>
      </c>
    </row>
    <row r="1626" spans="11:11" x14ac:dyDescent="0.35">
      <c r="K1626" s="110" t="str">
        <v>INV-2605-0150</v>
      </c>
    </row>
    <row r="1627" spans="11:11" x14ac:dyDescent="0.35">
      <c r="K1627" s="110" t="str">
        <v>INV-2605-0151</v>
      </c>
    </row>
    <row r="1628" spans="11:11" x14ac:dyDescent="0.35">
      <c r="K1628" s="110" t="str">
        <v>INV-2605-0152</v>
      </c>
    </row>
    <row r="1629" spans="11:11" x14ac:dyDescent="0.35">
      <c r="K1629" s="110" t="str">
        <v>INV-2605-0153</v>
      </c>
    </row>
    <row r="1630" spans="11:11" x14ac:dyDescent="0.35">
      <c r="K1630" s="110" t="str">
        <v>INV-2605-0154</v>
      </c>
    </row>
    <row r="1631" spans="11:11" x14ac:dyDescent="0.35">
      <c r="K1631" s="110" t="str">
        <v>INV-2605-0155</v>
      </c>
    </row>
    <row r="1632" spans="11:11" x14ac:dyDescent="0.35">
      <c r="K1632" s="110" t="str">
        <v>INV-2605-0156</v>
      </c>
    </row>
    <row r="1633" spans="11:11" x14ac:dyDescent="0.35">
      <c r="K1633" s="110" t="str">
        <v>INV-2605-0157</v>
      </c>
    </row>
    <row r="1634" spans="11:11" x14ac:dyDescent="0.35">
      <c r="K1634" s="110" t="str">
        <v>INV-2605-0158</v>
      </c>
    </row>
    <row r="1635" spans="11:11" x14ac:dyDescent="0.35">
      <c r="K1635" s="110" t="str">
        <v>INV-2605-0159</v>
      </c>
    </row>
    <row r="1636" spans="11:11" x14ac:dyDescent="0.35">
      <c r="K1636" s="110" t="str">
        <v>INV-2605-0160</v>
      </c>
    </row>
    <row r="1637" spans="11:11" x14ac:dyDescent="0.35">
      <c r="K1637" s="110" t="str">
        <v>INV-2605-0161</v>
      </c>
    </row>
    <row r="1638" spans="11:11" x14ac:dyDescent="0.35">
      <c r="K1638" s="110" t="str">
        <v>INV-2605-0162</v>
      </c>
    </row>
    <row r="1639" spans="11:11" x14ac:dyDescent="0.35">
      <c r="K1639" s="110" t="str">
        <v>INV-2605-0163</v>
      </c>
    </row>
    <row r="1640" spans="11:11" x14ac:dyDescent="0.35">
      <c r="K1640" s="110" t="str">
        <v>INV-2605-0164</v>
      </c>
    </row>
    <row r="1641" spans="11:11" x14ac:dyDescent="0.35">
      <c r="K1641" s="110" t="str">
        <v>INV-2605-0165</v>
      </c>
    </row>
    <row r="1642" spans="11:11" x14ac:dyDescent="0.35">
      <c r="K1642" s="110" t="str">
        <v>INV-2605-0166</v>
      </c>
    </row>
    <row r="1643" spans="11:11" x14ac:dyDescent="0.35">
      <c r="K1643" s="110" t="str">
        <v>INV-2605-0167</v>
      </c>
    </row>
    <row r="1644" spans="11:11" x14ac:dyDescent="0.35">
      <c r="K1644" s="110" t="str">
        <v>INV-2605-0168</v>
      </c>
    </row>
    <row r="1645" spans="11:11" x14ac:dyDescent="0.35">
      <c r="K1645" s="110" t="str">
        <v>INV-2605-0169</v>
      </c>
    </row>
    <row r="1646" spans="11:11" x14ac:dyDescent="0.35">
      <c r="K1646" s="110" t="str">
        <v>INV-2605-0170</v>
      </c>
    </row>
    <row r="1647" spans="11:11" x14ac:dyDescent="0.35">
      <c r="K1647" s="110" t="str">
        <v>INV-2605-0171</v>
      </c>
    </row>
    <row r="1648" spans="11:11" x14ac:dyDescent="0.35">
      <c r="K1648" s="110" t="str">
        <v>INV-2605-0172</v>
      </c>
    </row>
    <row r="1649" spans="11:11" x14ac:dyDescent="0.35">
      <c r="K1649" s="110" t="str">
        <v>INV-2605-0173</v>
      </c>
    </row>
    <row r="1650" spans="11:11" x14ac:dyDescent="0.35">
      <c r="K1650" s="110" t="str">
        <v>INV-2605-0174</v>
      </c>
    </row>
    <row r="1651" spans="11:11" x14ac:dyDescent="0.35">
      <c r="K1651" s="110" t="str">
        <v>INV-2605-0175</v>
      </c>
    </row>
    <row r="1652" spans="11:11" x14ac:dyDescent="0.35">
      <c r="K1652" s="110" t="str">
        <v>INV-2605-0176</v>
      </c>
    </row>
    <row r="1653" spans="11:11" x14ac:dyDescent="0.35">
      <c r="K1653" s="110" t="str">
        <v>INV-2605-0177</v>
      </c>
    </row>
    <row r="1654" spans="11:11" x14ac:dyDescent="0.35">
      <c r="K1654" s="110" t="str">
        <v>INV-2605-0178</v>
      </c>
    </row>
    <row r="1655" spans="11:11" x14ac:dyDescent="0.35">
      <c r="K1655" s="110" t="str">
        <v>INV-2605-0179</v>
      </c>
    </row>
    <row r="1656" spans="11:11" x14ac:dyDescent="0.35">
      <c r="K1656" s="110" t="str">
        <v>INV-2605-0180</v>
      </c>
    </row>
    <row r="1657" spans="11:11" x14ac:dyDescent="0.35">
      <c r="K1657" s="110" t="str">
        <v>INV-2605-0181</v>
      </c>
    </row>
    <row r="1658" spans="11:11" x14ac:dyDescent="0.35">
      <c r="K1658" s="110" t="str">
        <v>INV-2605-0182</v>
      </c>
    </row>
    <row r="1659" spans="11:11" x14ac:dyDescent="0.35">
      <c r="K1659" s="110" t="str">
        <v>INV-2605-0183</v>
      </c>
    </row>
    <row r="1660" spans="11:11" x14ac:dyDescent="0.35">
      <c r="K1660" s="110" t="str">
        <v>INV-2605-0184</v>
      </c>
    </row>
    <row r="1661" spans="11:11" x14ac:dyDescent="0.35">
      <c r="K1661" s="110" t="str">
        <v>INV-2605-0185</v>
      </c>
    </row>
    <row r="1662" spans="11:11" x14ac:dyDescent="0.35">
      <c r="K1662" s="110" t="str">
        <v>INV-2605-0186</v>
      </c>
    </row>
    <row r="1663" spans="11:11" x14ac:dyDescent="0.35">
      <c r="K1663" s="110" t="str">
        <v>INV-2605-0187</v>
      </c>
    </row>
    <row r="1664" spans="11:11" x14ac:dyDescent="0.35">
      <c r="K1664" s="110" t="str">
        <v>INV-2605-0188</v>
      </c>
    </row>
    <row r="1665" spans="11:11" x14ac:dyDescent="0.35">
      <c r="K1665" s="110" t="str">
        <v>INV-2605-0189</v>
      </c>
    </row>
    <row r="1666" spans="11:11" x14ac:dyDescent="0.35">
      <c r="K1666" s="110" t="str">
        <v>INV-2605-0190</v>
      </c>
    </row>
    <row r="1667" spans="11:11" x14ac:dyDescent="0.35">
      <c r="K1667" s="110" t="str">
        <v>INV-2605-0191</v>
      </c>
    </row>
    <row r="1668" spans="11:11" x14ac:dyDescent="0.35">
      <c r="K1668" s="110" t="str">
        <v>INV-2605-0192</v>
      </c>
    </row>
    <row r="1669" spans="11:11" x14ac:dyDescent="0.35">
      <c r="K1669" s="110" t="str">
        <v>INV-2605-0193</v>
      </c>
    </row>
    <row r="1670" spans="11:11" x14ac:dyDescent="0.35">
      <c r="K1670" s="110" t="str">
        <v>INV-2605-0194</v>
      </c>
    </row>
    <row r="1671" spans="11:11" x14ac:dyDescent="0.35">
      <c r="K1671" s="110" t="str">
        <v>INV-2605-0195</v>
      </c>
    </row>
    <row r="1672" spans="11:11" x14ac:dyDescent="0.35">
      <c r="K1672" s="110" t="str">
        <v>INV-2605-0196</v>
      </c>
    </row>
    <row r="1673" spans="11:11" x14ac:dyDescent="0.35">
      <c r="K1673" s="110" t="str">
        <v>INV-2605-0197</v>
      </c>
    </row>
    <row r="1674" spans="11:11" x14ac:dyDescent="0.35">
      <c r="K1674" s="110" t="str">
        <v>INV-2605-0198</v>
      </c>
    </row>
    <row r="1675" spans="11:11" x14ac:dyDescent="0.35">
      <c r="K1675" s="110" t="str">
        <v>INV-2605-0199</v>
      </c>
    </row>
    <row r="1676" spans="11:11" x14ac:dyDescent="0.35">
      <c r="K1676" s="110" t="str">
        <v>INV-2605-0200</v>
      </c>
    </row>
    <row r="1677" spans="11:11" x14ac:dyDescent="0.35">
      <c r="K1677" s="110" t="str">
        <v>INV-2605-0201</v>
      </c>
    </row>
    <row r="1678" spans="11:11" x14ac:dyDescent="0.35">
      <c r="K1678" s="110" t="str">
        <v>INV-2605-0202</v>
      </c>
    </row>
    <row r="1679" spans="11:11" x14ac:dyDescent="0.35">
      <c r="K1679" s="110" t="str">
        <v>INV-2605-0203</v>
      </c>
    </row>
    <row r="1680" spans="11:11" x14ac:dyDescent="0.35">
      <c r="K1680" s="110" t="str">
        <v>INV-2605-0204</v>
      </c>
    </row>
    <row r="1681" spans="11:11" x14ac:dyDescent="0.35">
      <c r="K1681" s="110" t="str">
        <v>INV-2605-0205</v>
      </c>
    </row>
    <row r="1682" spans="11:11" x14ac:dyDescent="0.35">
      <c r="K1682" s="110" t="str">
        <v>INV-2605-0206</v>
      </c>
    </row>
    <row r="1683" spans="11:11" x14ac:dyDescent="0.35">
      <c r="K1683" s="110" t="str">
        <v>INV-2605-0207</v>
      </c>
    </row>
    <row r="1684" spans="11:11" x14ac:dyDescent="0.35">
      <c r="K1684" s="110" t="str">
        <v>INV-2605-0208</v>
      </c>
    </row>
    <row r="1685" spans="11:11" x14ac:dyDescent="0.35">
      <c r="K1685" s="110" t="str">
        <v>INV-2605-0209</v>
      </c>
    </row>
    <row r="1686" spans="11:11" x14ac:dyDescent="0.35">
      <c r="K1686" s="110" t="str">
        <v>INV-2605-0210</v>
      </c>
    </row>
    <row r="1687" spans="11:11" x14ac:dyDescent="0.35">
      <c r="K1687" s="110" t="str">
        <v>INV-2605-0211</v>
      </c>
    </row>
    <row r="1688" spans="11:11" x14ac:dyDescent="0.35">
      <c r="K1688" s="110" t="str">
        <v>INV-2605-0212</v>
      </c>
    </row>
    <row r="1689" spans="11:11" x14ac:dyDescent="0.35">
      <c r="K1689" s="110" t="str">
        <v>INV-2605-0213</v>
      </c>
    </row>
    <row r="1690" spans="11:11" x14ac:dyDescent="0.35">
      <c r="K1690" s="110" t="str">
        <v>INV-2605-0214</v>
      </c>
    </row>
    <row r="1691" spans="11:11" x14ac:dyDescent="0.35">
      <c r="K1691" s="110" t="str">
        <v>INV-2605-0215</v>
      </c>
    </row>
    <row r="1692" spans="11:11" x14ac:dyDescent="0.35">
      <c r="K1692" s="110" t="str">
        <v>INV-2605-0216</v>
      </c>
    </row>
    <row r="1693" spans="11:11" x14ac:dyDescent="0.35">
      <c r="K1693" s="110" t="str">
        <v>INV-2605-0217</v>
      </c>
    </row>
    <row r="1694" spans="11:11" x14ac:dyDescent="0.35">
      <c r="K1694" s="110" t="str">
        <v>INV-2605-0218</v>
      </c>
    </row>
    <row r="1695" spans="11:11" x14ac:dyDescent="0.35">
      <c r="K1695" s="110" t="str">
        <v>INV-2605-0219</v>
      </c>
    </row>
    <row r="1696" spans="11:11" x14ac:dyDescent="0.35">
      <c r="K1696" s="110" t="str">
        <v>INV-2605-0220</v>
      </c>
    </row>
    <row r="1697" spans="11:11" x14ac:dyDescent="0.35">
      <c r="K1697" s="110" t="str">
        <v>INV-2605-0221</v>
      </c>
    </row>
    <row r="1698" spans="11:11" x14ac:dyDescent="0.35">
      <c r="K1698" s="110" t="str">
        <v>INV-2605-0222</v>
      </c>
    </row>
    <row r="1699" spans="11:11" x14ac:dyDescent="0.35">
      <c r="K1699" s="110" t="str">
        <v>INV-2605-0223</v>
      </c>
    </row>
    <row r="1700" spans="11:11" x14ac:dyDescent="0.35">
      <c r="K1700" s="110" t="str">
        <v>INV-2605-0224</v>
      </c>
    </row>
    <row r="1701" spans="11:11" x14ac:dyDescent="0.35">
      <c r="K1701" s="110" t="str">
        <v>INV-2605-0225</v>
      </c>
    </row>
    <row r="1702" spans="11:11" x14ac:dyDescent="0.35">
      <c r="K1702" s="110" t="str">
        <v>INV-2605-0226</v>
      </c>
    </row>
    <row r="1703" spans="11:11" x14ac:dyDescent="0.35">
      <c r="K1703" s="110" t="str">
        <v>INV-2605-0227</v>
      </c>
    </row>
    <row r="1704" spans="11:11" x14ac:dyDescent="0.35">
      <c r="K1704" s="110" t="str">
        <v>INV-2605-0228</v>
      </c>
    </row>
    <row r="1705" spans="11:11" x14ac:dyDescent="0.35">
      <c r="K1705" s="110" t="str">
        <v>INV-2605-0229</v>
      </c>
    </row>
    <row r="1706" spans="11:11" x14ac:dyDescent="0.35">
      <c r="K1706" s="110" t="str">
        <v>INV-2605-0230</v>
      </c>
    </row>
    <row r="1707" spans="11:11" x14ac:dyDescent="0.35">
      <c r="K1707" s="110" t="str">
        <v>INV-2605-0231</v>
      </c>
    </row>
    <row r="1708" spans="11:11" x14ac:dyDescent="0.35">
      <c r="K1708" s="110" t="str">
        <v>INV-2605-0232</v>
      </c>
    </row>
    <row r="1709" spans="11:11" x14ac:dyDescent="0.35">
      <c r="K1709" s="110" t="str">
        <v>INV-2605-0233</v>
      </c>
    </row>
    <row r="1710" spans="11:11" x14ac:dyDescent="0.35">
      <c r="K1710" s="110" t="str">
        <v>INV-2605-0234</v>
      </c>
    </row>
    <row r="1711" spans="11:11" x14ac:dyDescent="0.35">
      <c r="K1711" s="110" t="str">
        <v>INV-2605-0235</v>
      </c>
    </row>
    <row r="1712" spans="11:11" x14ac:dyDescent="0.35">
      <c r="K1712" s="110" t="str">
        <v>INV-2605-0236</v>
      </c>
    </row>
    <row r="1713" spans="11:11" x14ac:dyDescent="0.35">
      <c r="K1713" s="110" t="str">
        <v>INV-2605-0237</v>
      </c>
    </row>
    <row r="1714" spans="11:11" x14ac:dyDescent="0.35">
      <c r="K1714" s="110" t="str">
        <v>INV-2605-0238</v>
      </c>
    </row>
    <row r="1715" spans="11:11" x14ac:dyDescent="0.35">
      <c r="K1715" s="110" t="str">
        <v>INV-2605-0239</v>
      </c>
    </row>
    <row r="1716" spans="11:11" x14ac:dyDescent="0.35">
      <c r="K1716" s="110" t="str">
        <v>INV-2605-0240</v>
      </c>
    </row>
    <row r="1717" spans="11:11" x14ac:dyDescent="0.35">
      <c r="K1717" s="110" t="str">
        <v>INV-2605-0241</v>
      </c>
    </row>
    <row r="1718" spans="11:11" x14ac:dyDescent="0.35">
      <c r="K1718" s="110" t="str">
        <v>INV-2605-0242</v>
      </c>
    </row>
    <row r="1719" spans="11:11" x14ac:dyDescent="0.35">
      <c r="K1719" s="110" t="str">
        <v>INV-2605-0243</v>
      </c>
    </row>
    <row r="1720" spans="11:11" x14ac:dyDescent="0.35">
      <c r="K1720" s="110" t="str">
        <v>INV-2605-0244</v>
      </c>
    </row>
    <row r="1721" spans="11:11" x14ac:dyDescent="0.35">
      <c r="K1721" s="110" t="str">
        <v>INV-2605-0245</v>
      </c>
    </row>
    <row r="1722" spans="11:11" x14ac:dyDescent="0.35">
      <c r="K1722" s="110" t="str">
        <v>INV-2605-0246</v>
      </c>
    </row>
    <row r="1723" spans="11:11" x14ac:dyDescent="0.35">
      <c r="K1723" s="110" t="str">
        <v>INV-2605-0247</v>
      </c>
    </row>
    <row r="1724" spans="11:11" x14ac:dyDescent="0.35">
      <c r="K1724" s="110" t="str">
        <v>INV-2605-0248</v>
      </c>
    </row>
    <row r="1725" spans="11:11" x14ac:dyDescent="0.35">
      <c r="K1725" s="110" t="str">
        <v>INV-2605-0249</v>
      </c>
    </row>
    <row r="1726" spans="11:11" x14ac:dyDescent="0.35">
      <c r="K1726" s="110" t="str">
        <v>INV-2605-0250</v>
      </c>
    </row>
    <row r="1727" spans="11:11" x14ac:dyDescent="0.35">
      <c r="K1727" s="110" t="str">
        <v>INV-2605-0251</v>
      </c>
    </row>
    <row r="1728" spans="11:11" x14ac:dyDescent="0.35">
      <c r="K1728" s="110" t="str">
        <v>INV-2605-0252</v>
      </c>
    </row>
    <row r="1729" spans="11:11" x14ac:dyDescent="0.35">
      <c r="K1729" s="110" t="str">
        <v>INV-2605-0253</v>
      </c>
    </row>
    <row r="1730" spans="11:11" x14ac:dyDescent="0.35">
      <c r="K1730" s="110" t="str">
        <v>INV-2605-0254</v>
      </c>
    </row>
    <row r="1731" spans="11:11" x14ac:dyDescent="0.35">
      <c r="K1731" s="110" t="str">
        <v>INV-2605-0255</v>
      </c>
    </row>
    <row r="1732" spans="11:11" x14ac:dyDescent="0.35">
      <c r="K1732" s="110" t="str">
        <v>INV-2605-0256</v>
      </c>
    </row>
    <row r="1733" spans="11:11" x14ac:dyDescent="0.35">
      <c r="K1733" s="110" t="str">
        <v>INV-2605-0257</v>
      </c>
    </row>
    <row r="1734" spans="11:11" x14ac:dyDescent="0.35">
      <c r="K1734" s="110" t="str">
        <v>INV-2605-0258</v>
      </c>
    </row>
    <row r="1735" spans="11:11" x14ac:dyDescent="0.35">
      <c r="K1735" s="110" t="str">
        <v>INV-2605-0259</v>
      </c>
    </row>
    <row r="1736" spans="11:11" x14ac:dyDescent="0.35">
      <c r="K1736" s="110" t="str">
        <v>INV-2605-0260</v>
      </c>
    </row>
    <row r="1737" spans="11:11" x14ac:dyDescent="0.35">
      <c r="K1737" s="110" t="str">
        <v>INV-2605-0261</v>
      </c>
    </row>
    <row r="1738" spans="11:11" x14ac:dyDescent="0.35">
      <c r="K1738" s="110" t="str">
        <v>INV-2605-0262</v>
      </c>
    </row>
    <row r="1739" spans="11:11" x14ac:dyDescent="0.35">
      <c r="K1739" s="110" t="str">
        <v>INV-2605-0263</v>
      </c>
    </row>
    <row r="1740" spans="11:11" x14ac:dyDescent="0.35">
      <c r="K1740" s="110" t="str">
        <v>INV-2605-0264</v>
      </c>
    </row>
    <row r="1741" spans="11:11" x14ac:dyDescent="0.35">
      <c r="K1741" s="110" t="str">
        <v>INV-2605-0265</v>
      </c>
    </row>
    <row r="1742" spans="11:11" x14ac:dyDescent="0.35">
      <c r="K1742" s="110" t="str">
        <v>INV-2605-0266</v>
      </c>
    </row>
    <row r="1743" spans="11:11" x14ac:dyDescent="0.35">
      <c r="K1743" s="110" t="str">
        <v>INV-2605-0267</v>
      </c>
    </row>
    <row r="1744" spans="11:11" x14ac:dyDescent="0.35">
      <c r="K1744" s="110" t="str">
        <v>INV-2605-0268</v>
      </c>
    </row>
    <row r="1745" spans="11:11" x14ac:dyDescent="0.35">
      <c r="K1745" s="110" t="str">
        <v>INV-2605-0269</v>
      </c>
    </row>
    <row r="1746" spans="11:11" x14ac:dyDescent="0.35">
      <c r="K1746" s="110" t="str">
        <v>INV-2605-0270</v>
      </c>
    </row>
    <row r="1747" spans="11:11" x14ac:dyDescent="0.35">
      <c r="K1747" s="110" t="str">
        <v>INV-2605-0271</v>
      </c>
    </row>
    <row r="1748" spans="11:11" x14ac:dyDescent="0.35">
      <c r="K1748" s="110" t="str">
        <v>INV-2605-0272</v>
      </c>
    </row>
    <row r="1749" spans="11:11" x14ac:dyDescent="0.35">
      <c r="K1749" s="110" t="str">
        <v>INV-2605-0273</v>
      </c>
    </row>
    <row r="1750" spans="11:11" x14ac:dyDescent="0.35">
      <c r="K1750" s="110" t="str">
        <v>INV-2605-0274</v>
      </c>
    </row>
    <row r="1751" spans="11:11" x14ac:dyDescent="0.35">
      <c r="K1751" s="110" t="str">
        <v>INV-2605-0275</v>
      </c>
    </row>
    <row r="1752" spans="11:11" x14ac:dyDescent="0.35">
      <c r="K1752" s="110" t="str">
        <v>INV-2605-0276</v>
      </c>
    </row>
    <row r="1753" spans="11:11" x14ac:dyDescent="0.35">
      <c r="K1753" s="110" t="str">
        <v>INV-2605-0277</v>
      </c>
    </row>
    <row r="1754" spans="11:11" x14ac:dyDescent="0.35">
      <c r="K1754" s="110" t="str">
        <v>INV-2605-0278</v>
      </c>
    </row>
    <row r="1755" spans="11:11" x14ac:dyDescent="0.35">
      <c r="K1755" s="110" t="str">
        <v>INV-2605-0279</v>
      </c>
    </row>
    <row r="1756" spans="11:11" x14ac:dyDescent="0.35">
      <c r="K1756" s="110" t="str">
        <v>INV-2605-0280</v>
      </c>
    </row>
    <row r="1757" spans="11:11" x14ac:dyDescent="0.35">
      <c r="K1757" s="110" t="str">
        <v>INV-2605-0281</v>
      </c>
    </row>
    <row r="1758" spans="11:11" x14ac:dyDescent="0.35">
      <c r="K1758" s="110" t="str">
        <v>INV-2605-0282</v>
      </c>
    </row>
    <row r="1759" spans="11:11" x14ac:dyDescent="0.35">
      <c r="K1759" s="110" t="str">
        <v>INV-2605-0283</v>
      </c>
    </row>
    <row r="1760" spans="11:11" x14ac:dyDescent="0.35">
      <c r="K1760" s="110" t="str">
        <v>INV-2605-0284</v>
      </c>
    </row>
    <row r="1761" spans="11:11" x14ac:dyDescent="0.35">
      <c r="K1761" s="110" t="str">
        <v>INV-2605-0285</v>
      </c>
    </row>
    <row r="1762" spans="11:11" x14ac:dyDescent="0.35">
      <c r="K1762" s="110" t="str">
        <v>INV-2605-0286</v>
      </c>
    </row>
    <row r="1763" spans="11:11" x14ac:dyDescent="0.35">
      <c r="K1763" s="110" t="str">
        <v>INV-2605-0287</v>
      </c>
    </row>
    <row r="1764" spans="11:11" x14ac:dyDescent="0.35">
      <c r="K1764" s="110" t="str">
        <v>INV-2605-0288</v>
      </c>
    </row>
    <row r="1765" spans="11:11" x14ac:dyDescent="0.35">
      <c r="K1765" s="110" t="str">
        <v>INV-2605-0289</v>
      </c>
    </row>
    <row r="1766" spans="11:11" x14ac:dyDescent="0.35">
      <c r="K1766" s="110" t="str">
        <v>INV-2605-0290</v>
      </c>
    </row>
    <row r="1767" spans="11:11" x14ac:dyDescent="0.35">
      <c r="K1767" s="110" t="str">
        <v>INV-2605-0291</v>
      </c>
    </row>
    <row r="1768" spans="11:11" x14ac:dyDescent="0.35">
      <c r="K1768" s="110" t="str">
        <v>INV-2605-0292</v>
      </c>
    </row>
    <row r="1769" spans="11:11" x14ac:dyDescent="0.35">
      <c r="K1769" s="110" t="str">
        <v>INV-2605-0293</v>
      </c>
    </row>
    <row r="1770" spans="11:11" x14ac:dyDescent="0.35">
      <c r="K1770" s="110" t="str">
        <v>INV-2605-0294</v>
      </c>
    </row>
    <row r="1771" spans="11:11" x14ac:dyDescent="0.35">
      <c r="K1771" s="110" t="str">
        <v>INV-2605-0295</v>
      </c>
    </row>
    <row r="1772" spans="11:11" x14ac:dyDescent="0.35">
      <c r="K1772" s="110" t="str">
        <v>INV-2605-0296</v>
      </c>
    </row>
    <row r="1773" spans="11:11" x14ac:dyDescent="0.35">
      <c r="K1773" s="110" t="str">
        <v>INV-2605-0297</v>
      </c>
    </row>
    <row r="1774" spans="11:11" x14ac:dyDescent="0.35">
      <c r="K1774" s="110" t="str">
        <v>INV-2605-0298</v>
      </c>
    </row>
    <row r="1775" spans="11:11" x14ac:dyDescent="0.35">
      <c r="K1775" s="110" t="str">
        <v>INV-2605-0299</v>
      </c>
    </row>
    <row r="1776" spans="11:11" x14ac:dyDescent="0.35">
      <c r="K1776" s="110" t="str">
        <v>INV-2605-0300</v>
      </c>
    </row>
    <row r="1777" spans="11:11" x14ac:dyDescent="0.35">
      <c r="K1777" s="110" t="str">
        <v>INV-2605-0301</v>
      </c>
    </row>
    <row r="1778" spans="11:11" x14ac:dyDescent="0.35">
      <c r="K1778" s="110" t="str">
        <v>INV-2605-0302</v>
      </c>
    </row>
    <row r="1779" spans="11:11" x14ac:dyDescent="0.35">
      <c r="K1779" s="110" t="str">
        <v>INV-2605-0303</v>
      </c>
    </row>
    <row r="1780" spans="11:11" x14ac:dyDescent="0.35">
      <c r="K1780" s="110" t="str">
        <v>INV-2605-0304</v>
      </c>
    </row>
    <row r="1781" spans="11:11" x14ac:dyDescent="0.35">
      <c r="K1781" s="110" t="str">
        <v>INV-2605-0305</v>
      </c>
    </row>
    <row r="1782" spans="11:11" x14ac:dyDescent="0.35">
      <c r="K1782" s="110" t="str">
        <v>INV-2605-0306</v>
      </c>
    </row>
    <row r="1783" spans="11:11" x14ac:dyDescent="0.35">
      <c r="K1783" s="110" t="str">
        <v>INV-2605-0307</v>
      </c>
    </row>
    <row r="1784" spans="11:11" x14ac:dyDescent="0.35">
      <c r="K1784" s="110" t="str">
        <v>INV-2605-0308</v>
      </c>
    </row>
    <row r="1785" spans="11:11" x14ac:dyDescent="0.35">
      <c r="K1785" s="110" t="str">
        <v>INV-2605-0309</v>
      </c>
    </row>
    <row r="1786" spans="11:11" x14ac:dyDescent="0.35">
      <c r="K1786" s="110" t="str">
        <v>INV-2605-0310</v>
      </c>
    </row>
    <row r="1787" spans="11:11" x14ac:dyDescent="0.35">
      <c r="K1787" s="110" t="str">
        <v>INV-2605-0311</v>
      </c>
    </row>
    <row r="1788" spans="11:11" x14ac:dyDescent="0.35">
      <c r="K1788" s="110" t="str">
        <v>INV-2605-0312</v>
      </c>
    </row>
    <row r="1789" spans="11:11" x14ac:dyDescent="0.35">
      <c r="K1789" s="110" t="str">
        <v>INV-2605-0313</v>
      </c>
    </row>
    <row r="1790" spans="11:11" x14ac:dyDescent="0.35">
      <c r="K1790" s="110" t="str">
        <v>INV-2605-0314</v>
      </c>
    </row>
    <row r="1791" spans="11:11" x14ac:dyDescent="0.35">
      <c r="K1791" s="110" t="str">
        <v>INV-2605-0315</v>
      </c>
    </row>
    <row r="1792" spans="11:11" x14ac:dyDescent="0.35">
      <c r="K1792" s="110" t="str">
        <v>INV-2605-0316</v>
      </c>
    </row>
    <row r="1793" spans="11:11" x14ac:dyDescent="0.35">
      <c r="K1793" s="110" t="str">
        <v>INV-2605-0317</v>
      </c>
    </row>
    <row r="1794" spans="11:11" x14ac:dyDescent="0.35">
      <c r="K1794" s="110" t="str">
        <v>INV-2605-0318</v>
      </c>
    </row>
    <row r="1795" spans="11:11" x14ac:dyDescent="0.35">
      <c r="K1795" s="110" t="str">
        <v>INV-2605-0319</v>
      </c>
    </row>
    <row r="1796" spans="11:11" x14ac:dyDescent="0.35">
      <c r="K1796" s="110" t="str">
        <v>INV-2605-0320</v>
      </c>
    </row>
    <row r="1797" spans="11:11" x14ac:dyDescent="0.35">
      <c r="K1797" s="110" t="str">
        <v>INV-2605-0321</v>
      </c>
    </row>
    <row r="1798" spans="11:11" x14ac:dyDescent="0.35">
      <c r="K1798" s="110" t="str">
        <v>INV-2605-0322</v>
      </c>
    </row>
    <row r="1799" spans="11:11" x14ac:dyDescent="0.35">
      <c r="K1799" s="110" t="str">
        <v>INV-2605-0323</v>
      </c>
    </row>
    <row r="1800" spans="11:11" x14ac:dyDescent="0.35">
      <c r="K1800" s="110" t="str">
        <v>INV-2605-0324</v>
      </c>
    </row>
    <row r="1801" spans="11:11" x14ac:dyDescent="0.35">
      <c r="K1801" s="110" t="str">
        <v>INV-2605-0325</v>
      </c>
    </row>
    <row r="1802" spans="11:11" x14ac:dyDescent="0.35">
      <c r="K1802" s="110" t="str">
        <v>INV-2605-0326</v>
      </c>
    </row>
    <row r="1803" spans="11:11" x14ac:dyDescent="0.35">
      <c r="K1803" s="110" t="str">
        <v>INV-2605-0327</v>
      </c>
    </row>
    <row r="1804" spans="11:11" x14ac:dyDescent="0.35">
      <c r="K1804" s="110" t="str">
        <v>INV-2605-0328</v>
      </c>
    </row>
    <row r="1805" spans="11:11" x14ac:dyDescent="0.35">
      <c r="K1805" s="110" t="str">
        <v>INV-2605-0329</v>
      </c>
    </row>
    <row r="1806" spans="11:11" x14ac:dyDescent="0.35">
      <c r="K1806" s="110" t="str">
        <v>INV-2605-0330</v>
      </c>
    </row>
    <row r="1807" spans="11:11" x14ac:dyDescent="0.35">
      <c r="K1807" s="110" t="str">
        <v>INV-2605-0331</v>
      </c>
    </row>
    <row r="1808" spans="11:11" x14ac:dyDescent="0.35">
      <c r="K1808" s="110" t="str">
        <v>INV-2605-0332</v>
      </c>
    </row>
    <row r="1809" spans="11:11" x14ac:dyDescent="0.35">
      <c r="K1809" s="110" t="str">
        <v>INV-2605-0333</v>
      </c>
    </row>
    <row r="1810" spans="11:11" x14ac:dyDescent="0.35">
      <c r="K1810" s="110" t="str">
        <v>INV-2605-0334</v>
      </c>
    </row>
    <row r="1811" spans="11:11" x14ac:dyDescent="0.35">
      <c r="K1811" s="110" t="str">
        <v>INV-2605-0335</v>
      </c>
    </row>
    <row r="1812" spans="11:11" x14ac:dyDescent="0.35">
      <c r="K1812" s="110" t="str">
        <v>INV-2605-0336</v>
      </c>
    </row>
    <row r="1813" spans="11:11" x14ac:dyDescent="0.35">
      <c r="K1813" s="110" t="str">
        <v>INV-2605-0337</v>
      </c>
    </row>
    <row r="1814" spans="11:11" x14ac:dyDescent="0.35">
      <c r="K1814" s="110" t="str">
        <v>INV-2605-0338</v>
      </c>
    </row>
    <row r="1815" spans="11:11" x14ac:dyDescent="0.35">
      <c r="K1815" s="110" t="str">
        <v>INV-2605-0339</v>
      </c>
    </row>
    <row r="1816" spans="11:11" x14ac:dyDescent="0.35">
      <c r="K1816" s="110" t="str">
        <v>INV-2605-0340</v>
      </c>
    </row>
    <row r="1817" spans="11:11" x14ac:dyDescent="0.35">
      <c r="K1817" s="110" t="str">
        <v>INV-2605-0341</v>
      </c>
    </row>
    <row r="1818" spans="11:11" x14ac:dyDescent="0.35">
      <c r="K1818" s="110" t="str">
        <v>INV-2605-0342</v>
      </c>
    </row>
    <row r="1819" spans="11:11" x14ac:dyDescent="0.35">
      <c r="K1819" s="110" t="str">
        <v>INV-2605-0343</v>
      </c>
    </row>
    <row r="1820" spans="11:11" x14ac:dyDescent="0.35">
      <c r="K1820" s="110" t="str">
        <v>INV-2605-0344</v>
      </c>
    </row>
    <row r="1821" spans="11:11" x14ac:dyDescent="0.35">
      <c r="K1821" s="110" t="str">
        <v>INV-2605-0345</v>
      </c>
    </row>
    <row r="1822" spans="11:11" x14ac:dyDescent="0.35">
      <c r="K1822" s="110" t="str">
        <v>INV-2605-0346</v>
      </c>
    </row>
    <row r="1823" spans="11:11" x14ac:dyDescent="0.35">
      <c r="K1823" s="110" t="str">
        <v>INV-2605-0347</v>
      </c>
    </row>
    <row r="1824" spans="11:11" x14ac:dyDescent="0.35">
      <c r="K1824" s="110" t="str">
        <v>INV-2605-0348</v>
      </c>
    </row>
    <row r="1825" spans="11:11" x14ac:dyDescent="0.35">
      <c r="K1825" s="110" t="str">
        <v>INV-2605-0349</v>
      </c>
    </row>
    <row r="1826" spans="11:11" x14ac:dyDescent="0.35">
      <c r="K1826" s="110" t="str">
        <v>INV-2605-0350</v>
      </c>
    </row>
    <row r="1827" spans="11:11" x14ac:dyDescent="0.35">
      <c r="K1827" s="110" t="str">
        <v>INV-2605-0351</v>
      </c>
    </row>
    <row r="1828" spans="11:11" x14ac:dyDescent="0.35">
      <c r="K1828" s="110" t="str">
        <v>INV-2605-0352</v>
      </c>
    </row>
    <row r="1829" spans="11:11" x14ac:dyDescent="0.35">
      <c r="K1829" s="110" t="str">
        <v>INV-2605-0353</v>
      </c>
    </row>
    <row r="1830" spans="11:11" x14ac:dyDescent="0.35">
      <c r="K1830" s="110" t="str">
        <v>INV-2605-0354</v>
      </c>
    </row>
    <row r="1831" spans="11:11" x14ac:dyDescent="0.35">
      <c r="K1831" s="110" t="str">
        <v>INV-2605-0355</v>
      </c>
    </row>
    <row r="1832" spans="11:11" x14ac:dyDescent="0.35">
      <c r="K1832" s="110" t="str">
        <v>INV-2605-0356</v>
      </c>
    </row>
    <row r="1833" spans="11:11" x14ac:dyDescent="0.35">
      <c r="K1833" s="110" t="str">
        <v>INV-2605-0357</v>
      </c>
    </row>
    <row r="1834" spans="11:11" x14ac:dyDescent="0.35">
      <c r="K1834" s="110" t="str">
        <v>INV-2605-0358</v>
      </c>
    </row>
    <row r="1835" spans="11:11" x14ac:dyDescent="0.35">
      <c r="K1835" s="110" t="str">
        <v>INV-2605-0359</v>
      </c>
    </row>
    <row r="1836" spans="11:11" x14ac:dyDescent="0.35">
      <c r="K1836" s="110" t="str">
        <v>INV-2606-0001</v>
      </c>
    </row>
    <row r="1837" spans="11:11" x14ac:dyDescent="0.35">
      <c r="K1837" s="110" t="str">
        <v>INV-2606-0002</v>
      </c>
    </row>
    <row r="1838" spans="11:11" x14ac:dyDescent="0.35">
      <c r="K1838" s="110" t="str">
        <v>INV-2606-0003</v>
      </c>
    </row>
    <row r="1839" spans="11:11" x14ac:dyDescent="0.35">
      <c r="K1839" s="110" t="str">
        <v>INV-2606-0004</v>
      </c>
    </row>
    <row r="1840" spans="11:11" x14ac:dyDescent="0.35">
      <c r="K1840" s="110" t="str">
        <v>INV-2606-0005</v>
      </c>
    </row>
    <row r="1841" spans="11:11" x14ac:dyDescent="0.35">
      <c r="K1841" s="110" t="str">
        <v>INV-2606-0006</v>
      </c>
    </row>
    <row r="1842" spans="11:11" x14ac:dyDescent="0.35">
      <c r="K1842" s="110" t="str">
        <v>INV-2606-0007</v>
      </c>
    </row>
    <row r="1843" spans="11:11" x14ac:dyDescent="0.35">
      <c r="K1843" s="110" t="str">
        <v>INV-2606-0008</v>
      </c>
    </row>
    <row r="1844" spans="11:11" x14ac:dyDescent="0.35">
      <c r="K1844" s="110" t="str">
        <v>INV-2606-0009</v>
      </c>
    </row>
    <row r="1845" spans="11:11" x14ac:dyDescent="0.35">
      <c r="K1845" s="110" t="str">
        <v>INV-2606-0010</v>
      </c>
    </row>
    <row r="1846" spans="11:11" x14ac:dyDescent="0.35">
      <c r="K1846" s="110" t="str">
        <v>INV-2606-0011</v>
      </c>
    </row>
    <row r="1847" spans="11:11" x14ac:dyDescent="0.35">
      <c r="K1847" s="110" t="str">
        <v>INV-2606-0012</v>
      </c>
    </row>
    <row r="1848" spans="11:11" x14ac:dyDescent="0.35">
      <c r="K1848" s="110" t="str">
        <v>INV-2606-0013</v>
      </c>
    </row>
    <row r="1849" spans="11:11" x14ac:dyDescent="0.35">
      <c r="K1849" s="110" t="str">
        <v>INV-2606-0014</v>
      </c>
    </row>
    <row r="1850" spans="11:11" x14ac:dyDescent="0.35">
      <c r="K1850" s="110" t="str">
        <v>INV-2606-0015</v>
      </c>
    </row>
    <row r="1851" spans="11:11" x14ac:dyDescent="0.35">
      <c r="K1851" s="110" t="str">
        <v>INV-2606-0016</v>
      </c>
    </row>
    <row r="1852" spans="11:11" x14ac:dyDescent="0.35">
      <c r="K1852" s="110" t="str">
        <v>INV-2606-0017</v>
      </c>
    </row>
    <row r="1853" spans="11:11" x14ac:dyDescent="0.35">
      <c r="K1853" s="110" t="str">
        <v>INV-2606-0018</v>
      </c>
    </row>
    <row r="1854" spans="11:11" x14ac:dyDescent="0.35">
      <c r="K1854" s="110" t="str">
        <v>INV-2606-0019</v>
      </c>
    </row>
    <row r="1855" spans="11:11" x14ac:dyDescent="0.35">
      <c r="K1855" s="110" t="str">
        <v>INV-2606-0020</v>
      </c>
    </row>
    <row r="1856" spans="11:11" x14ac:dyDescent="0.35">
      <c r="K1856" s="110" t="str">
        <v>INV-2606-0021</v>
      </c>
    </row>
    <row r="1857" spans="11:11" x14ac:dyDescent="0.35">
      <c r="K1857" s="110" t="str">
        <v>INV-2606-0022</v>
      </c>
    </row>
    <row r="1858" spans="11:11" x14ac:dyDescent="0.35">
      <c r="K1858" s="110" t="str">
        <v>INV-2606-0023</v>
      </c>
    </row>
    <row r="1859" spans="11:11" x14ac:dyDescent="0.35">
      <c r="K1859" s="110" t="str">
        <v>INV-2606-0024</v>
      </c>
    </row>
    <row r="1860" spans="11:11" x14ac:dyDescent="0.35">
      <c r="K1860" s="110" t="str">
        <v>INV-2606-0025</v>
      </c>
    </row>
    <row r="1861" spans="11:11" x14ac:dyDescent="0.35">
      <c r="K1861" s="110" t="str">
        <v>INV-2606-0026</v>
      </c>
    </row>
    <row r="1862" spans="11:11" x14ac:dyDescent="0.35">
      <c r="K1862" s="110" t="str">
        <v>INV-2606-0027</v>
      </c>
    </row>
    <row r="1863" spans="11:11" x14ac:dyDescent="0.35">
      <c r="K1863" s="110" t="str">
        <v>INV-2606-0028</v>
      </c>
    </row>
    <row r="1864" spans="11:11" x14ac:dyDescent="0.35">
      <c r="K1864" s="110" t="str">
        <v>INV-2606-0029</v>
      </c>
    </row>
    <row r="1865" spans="11:11" x14ac:dyDescent="0.35">
      <c r="K1865" s="110" t="str">
        <v>INV-2606-0030</v>
      </c>
    </row>
    <row r="1866" spans="11:11" x14ac:dyDescent="0.35">
      <c r="K1866" s="110" t="str">
        <v>INV-2606-0031</v>
      </c>
    </row>
    <row r="1867" spans="11:11" x14ac:dyDescent="0.35">
      <c r="K1867" s="110" t="str">
        <v>INV-2606-0032</v>
      </c>
    </row>
    <row r="1868" spans="11:11" x14ac:dyDescent="0.35">
      <c r="K1868" s="110" t="str">
        <v>INV-2606-0033</v>
      </c>
    </row>
    <row r="1869" spans="11:11" x14ac:dyDescent="0.35">
      <c r="K1869" s="110" t="str">
        <v>INV-2606-0034</v>
      </c>
    </row>
    <row r="1870" spans="11:11" x14ac:dyDescent="0.35">
      <c r="K1870" s="110" t="str">
        <v>INV-2606-0035</v>
      </c>
    </row>
    <row r="1871" spans="11:11" x14ac:dyDescent="0.35">
      <c r="K1871" s="110" t="str">
        <v>INV-2606-0036</v>
      </c>
    </row>
    <row r="1872" spans="11:11" x14ac:dyDescent="0.35">
      <c r="K1872" s="110" t="str">
        <v>INV-2606-0037</v>
      </c>
    </row>
    <row r="1873" spans="11:11" x14ac:dyDescent="0.35">
      <c r="K1873" s="110" t="str">
        <v>INV-2606-0038</v>
      </c>
    </row>
    <row r="1874" spans="11:11" x14ac:dyDescent="0.35">
      <c r="K1874" s="110" t="str">
        <v>INV-2606-0039</v>
      </c>
    </row>
    <row r="1875" spans="11:11" x14ac:dyDescent="0.35">
      <c r="K1875" s="110" t="str">
        <v>INV-2606-0040</v>
      </c>
    </row>
    <row r="1876" spans="11:11" x14ac:dyDescent="0.35">
      <c r="K1876" s="110" t="str">
        <v>INV-2606-0041</v>
      </c>
    </row>
    <row r="1877" spans="11:11" x14ac:dyDescent="0.35">
      <c r="K1877" s="110" t="str">
        <v>INV-2606-0042</v>
      </c>
    </row>
    <row r="1878" spans="11:11" x14ac:dyDescent="0.35">
      <c r="K1878" s="110" t="str">
        <v>INV-2606-0043</v>
      </c>
    </row>
    <row r="1879" spans="11:11" x14ac:dyDescent="0.35">
      <c r="K1879" s="110" t="str">
        <v>INV-2606-0044</v>
      </c>
    </row>
    <row r="1880" spans="11:11" x14ac:dyDescent="0.35">
      <c r="K1880" s="110" t="str">
        <v>INV-2606-0045</v>
      </c>
    </row>
    <row r="1881" spans="11:11" x14ac:dyDescent="0.35">
      <c r="K1881" s="110" t="str">
        <v>INV-2606-0046</v>
      </c>
    </row>
    <row r="1882" spans="11:11" x14ac:dyDescent="0.35">
      <c r="K1882" s="110" t="str">
        <v>INV-2606-0047</v>
      </c>
    </row>
    <row r="1883" spans="11:11" x14ac:dyDescent="0.35">
      <c r="K1883" s="110" t="str">
        <v>INV-2606-0048</v>
      </c>
    </row>
    <row r="1884" spans="11:11" x14ac:dyDescent="0.35">
      <c r="K1884" s="110" t="str">
        <v>INV-2606-0049</v>
      </c>
    </row>
    <row r="1885" spans="11:11" x14ac:dyDescent="0.35">
      <c r="K1885" s="110" t="str">
        <v>INV-2606-0050</v>
      </c>
    </row>
    <row r="1886" spans="11:11" x14ac:dyDescent="0.35">
      <c r="K1886" s="110" t="str">
        <v>INV-2606-0051</v>
      </c>
    </row>
    <row r="1887" spans="11:11" x14ac:dyDescent="0.35">
      <c r="K1887" s="110" t="str">
        <v>INV-2606-0052</v>
      </c>
    </row>
    <row r="1888" spans="11:11" x14ac:dyDescent="0.35">
      <c r="K1888" s="110" t="str">
        <v>INV-2606-0053</v>
      </c>
    </row>
    <row r="1889" spans="11:11" x14ac:dyDescent="0.35">
      <c r="K1889" s="110" t="str">
        <v>INV-2606-0054</v>
      </c>
    </row>
    <row r="1890" spans="11:11" x14ac:dyDescent="0.35">
      <c r="K1890" s="110" t="str">
        <v>INV-2606-0055</v>
      </c>
    </row>
    <row r="1891" spans="11:11" x14ac:dyDescent="0.35">
      <c r="K1891" s="110" t="str">
        <v>INV-2606-0056</v>
      </c>
    </row>
    <row r="1892" spans="11:11" x14ac:dyDescent="0.35">
      <c r="K1892" s="110" t="str">
        <v>INV-2606-0057</v>
      </c>
    </row>
    <row r="1893" spans="11:11" x14ac:dyDescent="0.35">
      <c r="K1893" s="110" t="str">
        <v>INV-2606-0058</v>
      </c>
    </row>
    <row r="1894" spans="11:11" x14ac:dyDescent="0.35">
      <c r="K1894" s="110" t="str">
        <v>INV-2606-0059</v>
      </c>
    </row>
    <row r="1895" spans="11:11" x14ac:dyDescent="0.35">
      <c r="K1895" s="110" t="str">
        <v>INV-2606-0060</v>
      </c>
    </row>
    <row r="1896" spans="11:11" x14ac:dyDescent="0.35">
      <c r="K1896" s="110" t="str">
        <v>INV-2606-0061</v>
      </c>
    </row>
    <row r="1897" spans="11:11" x14ac:dyDescent="0.35">
      <c r="K1897" s="110" t="str">
        <v>INV-2606-0062</v>
      </c>
    </row>
    <row r="1898" spans="11:11" x14ac:dyDescent="0.35">
      <c r="K1898" s="110" t="str">
        <v>INV-2606-0063</v>
      </c>
    </row>
    <row r="1899" spans="11:11" x14ac:dyDescent="0.35">
      <c r="K1899" s="110" t="str">
        <v>INV-2606-0064</v>
      </c>
    </row>
    <row r="1900" spans="11:11" x14ac:dyDescent="0.35">
      <c r="K1900" s="110" t="str">
        <v>INV-2606-0065</v>
      </c>
    </row>
    <row r="1901" spans="11:11" x14ac:dyDescent="0.35">
      <c r="K1901" s="110" t="str">
        <v>INV-2606-0066</v>
      </c>
    </row>
    <row r="1902" spans="11:11" x14ac:dyDescent="0.35">
      <c r="K1902" s="110" t="str">
        <v>INV-2606-0067</v>
      </c>
    </row>
    <row r="1903" spans="11:11" x14ac:dyDescent="0.35">
      <c r="K1903" s="110" t="str">
        <v>INV-2606-0068</v>
      </c>
    </row>
    <row r="1904" spans="11:11" x14ac:dyDescent="0.35">
      <c r="K1904" s="110" t="str">
        <v>INV-2606-0069</v>
      </c>
    </row>
    <row r="1905" spans="11:11" x14ac:dyDescent="0.35">
      <c r="K1905" s="110" t="str">
        <v>INV-2606-0070</v>
      </c>
    </row>
    <row r="1906" spans="11:11" x14ac:dyDescent="0.35">
      <c r="K1906" s="110" t="str">
        <v>INV-2606-0071</v>
      </c>
    </row>
    <row r="1907" spans="11:11" x14ac:dyDescent="0.35">
      <c r="K1907" s="110" t="str">
        <v>INV-2606-0072</v>
      </c>
    </row>
    <row r="1908" spans="11:11" x14ac:dyDescent="0.35">
      <c r="K1908" s="110" t="str">
        <v>INV-2606-0073</v>
      </c>
    </row>
    <row r="1909" spans="11:11" x14ac:dyDescent="0.35">
      <c r="K1909" s="110" t="str">
        <v>INV-2606-0074</v>
      </c>
    </row>
    <row r="1910" spans="11:11" x14ac:dyDescent="0.35">
      <c r="K1910" s="110" t="str">
        <v>INV-2606-0075</v>
      </c>
    </row>
    <row r="1911" spans="11:11" x14ac:dyDescent="0.35">
      <c r="K1911" s="110" t="str">
        <v>INV-2606-0076</v>
      </c>
    </row>
    <row r="1912" spans="11:11" x14ac:dyDescent="0.35">
      <c r="K1912" s="110" t="str">
        <v>INV-2606-0077</v>
      </c>
    </row>
    <row r="1913" spans="11:11" x14ac:dyDescent="0.35">
      <c r="K1913" s="110" t="str">
        <v>INV-2606-0078</v>
      </c>
    </row>
    <row r="1914" spans="11:11" x14ac:dyDescent="0.35">
      <c r="K1914" s="110" t="str">
        <v>INV-2606-0079</v>
      </c>
    </row>
    <row r="1915" spans="11:11" x14ac:dyDescent="0.35">
      <c r="K1915" s="110" t="str">
        <v>INV-2606-0080</v>
      </c>
    </row>
    <row r="1916" spans="11:11" x14ac:dyDescent="0.35">
      <c r="K1916" s="110" t="str">
        <v>INV-2606-0081</v>
      </c>
    </row>
    <row r="1917" spans="11:11" x14ac:dyDescent="0.35">
      <c r="K1917" s="110" t="str">
        <v>INV-2606-0082</v>
      </c>
    </row>
    <row r="1918" spans="11:11" x14ac:dyDescent="0.35">
      <c r="K1918" s="110" t="str">
        <v>INV-2606-0083</v>
      </c>
    </row>
    <row r="1919" spans="11:11" x14ac:dyDescent="0.35">
      <c r="K1919" s="110" t="str">
        <v>INV-2606-0084</v>
      </c>
    </row>
    <row r="1920" spans="11:11" x14ac:dyDescent="0.35">
      <c r="K1920" s="110" t="str">
        <v>INV-2606-0085</v>
      </c>
    </row>
    <row r="1921" spans="11:11" x14ac:dyDescent="0.35">
      <c r="K1921" s="110" t="str">
        <v>INV-2606-0086</v>
      </c>
    </row>
    <row r="1922" spans="11:11" x14ac:dyDescent="0.35">
      <c r="K1922" s="110" t="str">
        <v>INV-2606-0087</v>
      </c>
    </row>
    <row r="1923" spans="11:11" x14ac:dyDescent="0.35">
      <c r="K1923" s="110" t="str">
        <v>INV-2606-0088</v>
      </c>
    </row>
    <row r="1924" spans="11:11" x14ac:dyDescent="0.35">
      <c r="K1924" s="110" t="str">
        <v>INV-2606-0089</v>
      </c>
    </row>
    <row r="1925" spans="11:11" x14ac:dyDescent="0.35">
      <c r="K1925" s="110" t="str">
        <v>INV-2606-0090</v>
      </c>
    </row>
    <row r="1926" spans="11:11" x14ac:dyDescent="0.35">
      <c r="K1926" s="110" t="str">
        <v>INV-2606-0091</v>
      </c>
    </row>
    <row r="1927" spans="11:11" x14ac:dyDescent="0.35">
      <c r="K1927" s="110" t="str">
        <v>INV-2606-0092</v>
      </c>
    </row>
    <row r="1928" spans="11:11" x14ac:dyDescent="0.35">
      <c r="K1928" s="110" t="str">
        <v>INV-2606-0093</v>
      </c>
    </row>
    <row r="1929" spans="11:11" x14ac:dyDescent="0.35">
      <c r="K1929" s="110" t="str">
        <v>INV-2606-0094</v>
      </c>
    </row>
    <row r="1930" spans="11:11" x14ac:dyDescent="0.35">
      <c r="K1930" s="110" t="str">
        <v>INV-2606-0095</v>
      </c>
    </row>
    <row r="1931" spans="11:11" x14ac:dyDescent="0.35">
      <c r="K1931" s="110" t="str">
        <v>INV-2606-0096</v>
      </c>
    </row>
    <row r="1932" spans="11:11" x14ac:dyDescent="0.35">
      <c r="K1932" s="110" t="str">
        <v>INV-2606-0097</v>
      </c>
    </row>
    <row r="1933" spans="11:11" x14ac:dyDescent="0.35">
      <c r="K1933" s="110" t="str">
        <v>INV-2606-0098</v>
      </c>
    </row>
    <row r="1934" spans="11:11" x14ac:dyDescent="0.35">
      <c r="K1934" s="110" t="str">
        <v>INV-2606-0099</v>
      </c>
    </row>
    <row r="1935" spans="11:11" x14ac:dyDescent="0.35">
      <c r="K1935" s="110" t="str">
        <v>INV-2606-0100</v>
      </c>
    </row>
    <row r="1936" spans="11:11" x14ac:dyDescent="0.35">
      <c r="K1936" s="110" t="str">
        <v>INV-2606-0101</v>
      </c>
    </row>
    <row r="1937" spans="11:11" x14ac:dyDescent="0.35">
      <c r="K1937" s="110" t="str">
        <v>INV-2606-0102</v>
      </c>
    </row>
    <row r="1938" spans="11:11" x14ac:dyDescent="0.35">
      <c r="K1938" s="110" t="str">
        <v>INV-2606-0103</v>
      </c>
    </row>
    <row r="1939" spans="11:11" x14ac:dyDescent="0.35">
      <c r="K1939" s="110" t="str">
        <v>INV-2606-0104</v>
      </c>
    </row>
    <row r="1940" spans="11:11" x14ac:dyDescent="0.35">
      <c r="K1940" s="110" t="str">
        <v>INV-2606-0105</v>
      </c>
    </row>
    <row r="1941" spans="11:11" x14ac:dyDescent="0.35">
      <c r="K1941" s="110" t="str">
        <v>INV-2606-0106</v>
      </c>
    </row>
    <row r="1942" spans="11:11" x14ac:dyDescent="0.35">
      <c r="K1942" s="110" t="str">
        <v>INV-2606-0107</v>
      </c>
    </row>
    <row r="1943" spans="11:11" x14ac:dyDescent="0.35">
      <c r="K1943" s="110" t="str">
        <v>INV-2606-0108</v>
      </c>
    </row>
    <row r="1944" spans="11:11" x14ac:dyDescent="0.35">
      <c r="K1944" s="110" t="str">
        <v>INV-2606-0109</v>
      </c>
    </row>
    <row r="1945" spans="11:11" x14ac:dyDescent="0.35">
      <c r="K1945" s="110" t="str">
        <v>INV-2606-0110</v>
      </c>
    </row>
    <row r="1946" spans="11:11" x14ac:dyDescent="0.35">
      <c r="K1946" s="110" t="str">
        <v>INV-2606-0111</v>
      </c>
    </row>
    <row r="1947" spans="11:11" x14ac:dyDescent="0.35">
      <c r="K1947" s="110" t="str">
        <v>INV-2606-0112</v>
      </c>
    </row>
    <row r="1948" spans="11:11" x14ac:dyDescent="0.35">
      <c r="K1948" s="110" t="str">
        <v>INV-2606-0113</v>
      </c>
    </row>
    <row r="1949" spans="11:11" x14ac:dyDescent="0.35">
      <c r="K1949" s="110" t="str">
        <v>INV-2606-0114</v>
      </c>
    </row>
    <row r="1950" spans="11:11" x14ac:dyDescent="0.35">
      <c r="K1950" s="110" t="str">
        <v>INV-2606-0115</v>
      </c>
    </row>
    <row r="1951" spans="11:11" x14ac:dyDescent="0.35">
      <c r="K1951" s="110" t="str">
        <v>INV-2606-0116</v>
      </c>
    </row>
    <row r="1952" spans="11:11" x14ac:dyDescent="0.35">
      <c r="K1952" s="110" t="str">
        <v>INV-2606-0117</v>
      </c>
    </row>
    <row r="1953" spans="11:11" x14ac:dyDescent="0.35">
      <c r="K1953" s="110" t="str">
        <v>INV-2606-0118</v>
      </c>
    </row>
    <row r="1954" spans="11:11" x14ac:dyDescent="0.35">
      <c r="K1954" s="110" t="str">
        <v>INV-2606-0119</v>
      </c>
    </row>
    <row r="1955" spans="11:11" x14ac:dyDescent="0.35">
      <c r="K1955" s="110" t="str">
        <v>INV-2606-0120</v>
      </c>
    </row>
    <row r="1956" spans="11:11" x14ac:dyDescent="0.35">
      <c r="K1956" s="110" t="str">
        <v>INV-2606-0121</v>
      </c>
    </row>
    <row r="1957" spans="11:11" x14ac:dyDescent="0.35">
      <c r="K1957" s="110" t="str">
        <v>INV-2606-0122</v>
      </c>
    </row>
    <row r="1958" spans="11:11" x14ac:dyDescent="0.35">
      <c r="K1958" s="110" t="str">
        <v>INV-2606-0123</v>
      </c>
    </row>
    <row r="1959" spans="11:11" x14ac:dyDescent="0.35">
      <c r="K1959" s="110" t="str">
        <v>INV-2606-0124</v>
      </c>
    </row>
    <row r="1960" spans="11:11" x14ac:dyDescent="0.35">
      <c r="K1960" s="110" t="str">
        <v>INV-2606-0125</v>
      </c>
    </row>
    <row r="1961" spans="11:11" x14ac:dyDescent="0.35">
      <c r="K1961" s="110" t="str">
        <v>INV-2606-0126</v>
      </c>
    </row>
    <row r="1962" spans="11:11" x14ac:dyDescent="0.35">
      <c r="K1962" s="110" t="str">
        <v>INV-2606-0127</v>
      </c>
    </row>
    <row r="1963" spans="11:11" x14ac:dyDescent="0.35">
      <c r="K1963" s="110" t="str">
        <v>INV-2606-0128</v>
      </c>
    </row>
    <row r="1964" spans="11:11" x14ac:dyDescent="0.35">
      <c r="K1964" s="110" t="str">
        <v>INV-2606-0129</v>
      </c>
    </row>
    <row r="1965" spans="11:11" x14ac:dyDescent="0.35">
      <c r="K1965" s="110" t="str">
        <v>INV-2606-0130</v>
      </c>
    </row>
    <row r="1966" spans="11:11" x14ac:dyDescent="0.35">
      <c r="K1966" s="110" t="str">
        <v>INV-2606-0131</v>
      </c>
    </row>
    <row r="1967" spans="11:11" x14ac:dyDescent="0.35">
      <c r="K1967" s="110" t="str">
        <v>INV-2606-0132</v>
      </c>
    </row>
    <row r="1968" spans="11:11" x14ac:dyDescent="0.35">
      <c r="K1968" s="110" t="str">
        <v>INV-2606-0133</v>
      </c>
    </row>
    <row r="1969" spans="11:11" x14ac:dyDescent="0.35">
      <c r="K1969" s="110" t="str">
        <v>INV-2606-0134</v>
      </c>
    </row>
    <row r="1970" spans="11:11" x14ac:dyDescent="0.35">
      <c r="K1970" s="110" t="str">
        <v>INV-2606-0135</v>
      </c>
    </row>
    <row r="1971" spans="11:11" x14ac:dyDescent="0.35">
      <c r="K1971" s="110" t="str">
        <v>INV-2606-0136</v>
      </c>
    </row>
    <row r="1972" spans="11:11" x14ac:dyDescent="0.35">
      <c r="K1972" s="110" t="str">
        <v>INV-2606-0137</v>
      </c>
    </row>
    <row r="1973" spans="11:11" x14ac:dyDescent="0.35">
      <c r="K1973" s="110" t="str">
        <v>INV-2606-0138</v>
      </c>
    </row>
    <row r="1974" spans="11:11" x14ac:dyDescent="0.35">
      <c r="K1974" s="110" t="str">
        <v>INV-2606-0139</v>
      </c>
    </row>
    <row r="1975" spans="11:11" x14ac:dyDescent="0.35">
      <c r="K1975" s="110" t="str">
        <v>INV-2606-0140</v>
      </c>
    </row>
    <row r="1976" spans="11:11" x14ac:dyDescent="0.35">
      <c r="K1976" s="110" t="str">
        <v>INV-2606-0141</v>
      </c>
    </row>
    <row r="1977" spans="11:11" x14ac:dyDescent="0.35">
      <c r="K1977" s="110" t="str">
        <v>INV-2606-0142</v>
      </c>
    </row>
    <row r="1978" spans="11:11" x14ac:dyDescent="0.35">
      <c r="K1978" s="110" t="str">
        <v>INV-2606-0143</v>
      </c>
    </row>
    <row r="1979" spans="11:11" x14ac:dyDescent="0.35">
      <c r="K1979" s="110" t="str">
        <v>INV-2606-0144</v>
      </c>
    </row>
    <row r="1980" spans="11:11" x14ac:dyDescent="0.35">
      <c r="K1980" s="110" t="str">
        <v>INV-2606-0145</v>
      </c>
    </row>
    <row r="1981" spans="11:11" x14ac:dyDescent="0.35">
      <c r="K1981" s="110" t="str">
        <v>INV-2606-0146</v>
      </c>
    </row>
    <row r="1982" spans="11:11" x14ac:dyDescent="0.35">
      <c r="K1982" s="110" t="str">
        <v>INV-2606-0147</v>
      </c>
    </row>
    <row r="1983" spans="11:11" x14ac:dyDescent="0.35">
      <c r="K1983" s="110" t="str">
        <v>INV-2606-0148</v>
      </c>
    </row>
    <row r="1984" spans="11:11" x14ac:dyDescent="0.35">
      <c r="K1984" s="110" t="str">
        <v>INV-2606-0149</v>
      </c>
    </row>
    <row r="1985" spans="11:11" x14ac:dyDescent="0.35">
      <c r="K1985" s="110" t="str">
        <v>INV-2606-0150</v>
      </c>
    </row>
    <row r="1986" spans="11:11" x14ac:dyDescent="0.35">
      <c r="K1986" s="110" t="str">
        <v>INV-2606-0151</v>
      </c>
    </row>
    <row r="1987" spans="11:11" x14ac:dyDescent="0.35">
      <c r="K1987" s="110" t="str">
        <v>INV-2606-0152</v>
      </c>
    </row>
    <row r="1988" spans="11:11" x14ac:dyDescent="0.35">
      <c r="K1988" s="110" t="str">
        <v>INV-2606-0153</v>
      </c>
    </row>
    <row r="1989" spans="11:11" x14ac:dyDescent="0.35">
      <c r="K1989" s="110" t="str">
        <v>INV-2606-0154</v>
      </c>
    </row>
    <row r="1990" spans="11:11" x14ac:dyDescent="0.35">
      <c r="K1990" s="110" t="str">
        <v>INV-2606-0155</v>
      </c>
    </row>
    <row r="1991" spans="11:11" x14ac:dyDescent="0.35">
      <c r="K1991" s="110" t="str">
        <v>INV-2606-0156</v>
      </c>
    </row>
    <row r="1992" spans="11:11" x14ac:dyDescent="0.35">
      <c r="K1992" s="110" t="str">
        <v>INV-2606-0157</v>
      </c>
    </row>
    <row r="1993" spans="11:11" x14ac:dyDescent="0.35">
      <c r="K1993" s="110" t="str">
        <v>INV-2606-0158</v>
      </c>
    </row>
    <row r="1994" spans="11:11" x14ac:dyDescent="0.35">
      <c r="K1994" s="110" t="str">
        <v>INV-2606-0159</v>
      </c>
    </row>
    <row r="1995" spans="11:11" x14ac:dyDescent="0.35">
      <c r="K1995" s="110" t="str">
        <v>INV-2606-0160</v>
      </c>
    </row>
    <row r="1996" spans="11:11" x14ac:dyDescent="0.35">
      <c r="K1996" s="110" t="str">
        <v>INV-2606-0161</v>
      </c>
    </row>
    <row r="1997" spans="11:11" x14ac:dyDescent="0.35">
      <c r="K1997" s="110" t="str">
        <v>INV-2606-0162</v>
      </c>
    </row>
    <row r="1998" spans="11:11" x14ac:dyDescent="0.35">
      <c r="K1998" s="110" t="str">
        <v>INV-2606-0163</v>
      </c>
    </row>
    <row r="1999" spans="11:11" x14ac:dyDescent="0.35">
      <c r="K1999" s="110" t="str">
        <v>INV-2606-0164</v>
      </c>
    </row>
    <row r="2000" spans="11:11" x14ac:dyDescent="0.35">
      <c r="K2000" s="110" t="str">
        <v>INV-2606-0165</v>
      </c>
    </row>
    <row r="2001" spans="11:11" x14ac:dyDescent="0.35">
      <c r="K2001" s="110" t="str">
        <v>INV-2606-0166</v>
      </c>
    </row>
    <row r="2002" spans="11:11" x14ac:dyDescent="0.35">
      <c r="K2002" s="110" t="str">
        <v>INV-2606-0167</v>
      </c>
    </row>
    <row r="2003" spans="11:11" x14ac:dyDescent="0.35">
      <c r="K2003" s="110" t="str">
        <v>INV-2606-0168</v>
      </c>
    </row>
    <row r="2004" spans="11:11" x14ac:dyDescent="0.35">
      <c r="K2004" s="110" t="str">
        <v>INV-2606-0169</v>
      </c>
    </row>
    <row r="2005" spans="11:11" x14ac:dyDescent="0.35">
      <c r="K2005" s="110" t="str">
        <v>INV-2606-0170</v>
      </c>
    </row>
    <row r="2006" spans="11:11" x14ac:dyDescent="0.35">
      <c r="K2006" s="110" t="str">
        <v>INV-2606-0171</v>
      </c>
    </row>
    <row r="2007" spans="11:11" x14ac:dyDescent="0.35">
      <c r="K2007" s="110" t="str">
        <v>INV-2606-0172</v>
      </c>
    </row>
    <row r="2008" spans="11:11" x14ac:dyDescent="0.35">
      <c r="K2008" s="110" t="str">
        <v>INV-2606-0173</v>
      </c>
    </row>
    <row r="2009" spans="11:11" x14ac:dyDescent="0.35">
      <c r="K2009" s="110" t="str">
        <v>INV-2606-0174</v>
      </c>
    </row>
    <row r="2010" spans="11:11" x14ac:dyDescent="0.35">
      <c r="K2010" s="110" t="str">
        <v>INV-2606-0175</v>
      </c>
    </row>
    <row r="2011" spans="11:11" x14ac:dyDescent="0.35">
      <c r="K2011" s="110" t="str">
        <v>INV-2606-0176</v>
      </c>
    </row>
    <row r="2012" spans="11:11" x14ac:dyDescent="0.35">
      <c r="K2012" s="110" t="str">
        <v>INV-2606-0177</v>
      </c>
    </row>
    <row r="2013" spans="11:11" x14ac:dyDescent="0.35">
      <c r="K2013" s="110" t="str">
        <v>INV-2606-0178</v>
      </c>
    </row>
    <row r="2014" spans="11:11" x14ac:dyDescent="0.35">
      <c r="K2014" s="110" t="str">
        <v>INV-2606-0179</v>
      </c>
    </row>
    <row r="2015" spans="11:11" x14ac:dyDescent="0.35">
      <c r="K2015" s="110" t="str">
        <v>INV-2606-0180</v>
      </c>
    </row>
    <row r="2016" spans="11:11" x14ac:dyDescent="0.35">
      <c r="K2016" s="110" t="str">
        <v>INV-2606-0181</v>
      </c>
    </row>
    <row r="2017" spans="11:11" x14ac:dyDescent="0.35">
      <c r="K2017" s="110" t="str">
        <v>INV-2606-0182</v>
      </c>
    </row>
    <row r="2018" spans="11:11" x14ac:dyDescent="0.35">
      <c r="K2018" s="110" t="str">
        <v>INV-2606-0183</v>
      </c>
    </row>
    <row r="2019" spans="11:11" x14ac:dyDescent="0.35">
      <c r="K2019" s="110" t="str">
        <v>INV-2606-0184</v>
      </c>
    </row>
    <row r="2020" spans="11:11" x14ac:dyDescent="0.35">
      <c r="K2020" s="110" t="str">
        <v>INV-2606-0185</v>
      </c>
    </row>
    <row r="2021" spans="11:11" x14ac:dyDescent="0.35">
      <c r="K2021" s="110" t="str">
        <v>INV-2606-0186</v>
      </c>
    </row>
    <row r="2022" spans="11:11" x14ac:dyDescent="0.35">
      <c r="K2022" s="110" t="str">
        <v>INV-2606-0187</v>
      </c>
    </row>
    <row r="2023" spans="11:11" x14ac:dyDescent="0.35">
      <c r="K2023" s="110" t="str">
        <v>INV-2606-0188</v>
      </c>
    </row>
    <row r="2024" spans="11:11" x14ac:dyDescent="0.35">
      <c r="K2024" s="110" t="str">
        <v>INV-2606-0189</v>
      </c>
    </row>
    <row r="2025" spans="11:11" x14ac:dyDescent="0.35">
      <c r="K2025" s="110" t="str">
        <v>INV-2606-0190</v>
      </c>
    </row>
    <row r="2026" spans="11:11" x14ac:dyDescent="0.35">
      <c r="K2026" s="110" t="str">
        <v>INV-2606-0191</v>
      </c>
    </row>
    <row r="2027" spans="11:11" x14ac:dyDescent="0.35">
      <c r="K2027" s="110" t="str">
        <v>INV-2606-0192</v>
      </c>
    </row>
    <row r="2028" spans="11:11" x14ac:dyDescent="0.35">
      <c r="K2028" s="110" t="str">
        <v>INV-2606-0193</v>
      </c>
    </row>
    <row r="2029" spans="11:11" x14ac:dyDescent="0.35">
      <c r="K2029" s="110" t="str">
        <v>INV-2606-0194</v>
      </c>
    </row>
    <row r="2030" spans="11:11" x14ac:dyDescent="0.35">
      <c r="K2030" s="110" t="str">
        <v>INV-2606-0195</v>
      </c>
    </row>
    <row r="2031" spans="11:11" x14ac:dyDescent="0.35">
      <c r="K2031" s="110" t="str">
        <v>INV-2606-0196</v>
      </c>
    </row>
    <row r="2032" spans="11:11" x14ac:dyDescent="0.35">
      <c r="K2032" s="110" t="str">
        <v>INV-2606-0197</v>
      </c>
    </row>
    <row r="2033" spans="11:11" x14ac:dyDescent="0.35">
      <c r="K2033" s="110" t="str">
        <v>INV-2606-0198</v>
      </c>
    </row>
    <row r="2034" spans="11:11" x14ac:dyDescent="0.35">
      <c r="K2034" s="110" t="str">
        <v>INV-2606-0199</v>
      </c>
    </row>
    <row r="2035" spans="11:11" x14ac:dyDescent="0.35">
      <c r="K2035" s="110" t="str">
        <v>INV-2606-0200</v>
      </c>
    </row>
    <row r="2036" spans="11:11" x14ac:dyDescent="0.35">
      <c r="K2036" s="110" t="str">
        <v>INV-2606-0201</v>
      </c>
    </row>
    <row r="2037" spans="11:11" x14ac:dyDescent="0.35">
      <c r="K2037" s="110" t="str">
        <v>INV-2606-0202</v>
      </c>
    </row>
    <row r="2038" spans="11:11" x14ac:dyDescent="0.35">
      <c r="K2038" s="110" t="str">
        <v>INV-2606-0203</v>
      </c>
    </row>
    <row r="2039" spans="11:11" x14ac:dyDescent="0.35">
      <c r="K2039" s="110" t="str">
        <v>INV-2606-0204</v>
      </c>
    </row>
    <row r="2040" spans="11:11" x14ac:dyDescent="0.35">
      <c r="K2040" s="110" t="str">
        <v>INV-2606-0205</v>
      </c>
    </row>
    <row r="2041" spans="11:11" x14ac:dyDescent="0.35">
      <c r="K2041" s="110" t="str">
        <v>INV-2606-0206</v>
      </c>
    </row>
    <row r="2042" spans="11:11" x14ac:dyDescent="0.35">
      <c r="K2042" s="110" t="str">
        <v>INV-2606-0207</v>
      </c>
    </row>
    <row r="2043" spans="11:11" x14ac:dyDescent="0.35">
      <c r="K2043" s="110" t="str">
        <v>INV-2606-0208</v>
      </c>
    </row>
    <row r="2044" spans="11:11" x14ac:dyDescent="0.35">
      <c r="K2044" s="110" t="str">
        <v>INV-2606-0209</v>
      </c>
    </row>
    <row r="2045" spans="11:11" x14ac:dyDescent="0.35">
      <c r="K2045" s="110" t="str">
        <v>INV-2606-0210</v>
      </c>
    </row>
    <row r="2046" spans="11:11" x14ac:dyDescent="0.35">
      <c r="K2046" s="110" t="str">
        <v>INV-2606-0211</v>
      </c>
    </row>
    <row r="2047" spans="11:11" x14ac:dyDescent="0.35">
      <c r="K2047" s="110" t="str">
        <v>INV-2606-0212</v>
      </c>
    </row>
    <row r="2048" spans="11:11" x14ac:dyDescent="0.35">
      <c r="K2048" s="110" t="str">
        <v>INV-2606-0213</v>
      </c>
    </row>
    <row r="2049" spans="11:11" x14ac:dyDescent="0.35">
      <c r="K2049" s="110" t="str">
        <v>INV-2606-0214</v>
      </c>
    </row>
    <row r="2050" spans="11:11" x14ac:dyDescent="0.35">
      <c r="K2050" s="110" t="str">
        <v>INV-2606-0215</v>
      </c>
    </row>
    <row r="2051" spans="11:11" x14ac:dyDescent="0.35">
      <c r="K2051" s="110" t="str">
        <v>INV-2606-0216</v>
      </c>
    </row>
    <row r="2052" spans="11:11" x14ac:dyDescent="0.35">
      <c r="K2052" s="110" t="str">
        <v>INV-2606-0217</v>
      </c>
    </row>
    <row r="2053" spans="11:11" x14ac:dyDescent="0.35">
      <c r="K2053" s="110" t="str">
        <v>INV-2606-0218</v>
      </c>
    </row>
    <row r="2054" spans="11:11" x14ac:dyDescent="0.35">
      <c r="K2054" s="110" t="str">
        <v>INV-2606-0219</v>
      </c>
    </row>
    <row r="2055" spans="11:11" x14ac:dyDescent="0.35">
      <c r="K2055" s="110" t="str">
        <v>INV-2606-0220</v>
      </c>
    </row>
    <row r="2056" spans="11:11" x14ac:dyDescent="0.35">
      <c r="K2056" s="110" t="str">
        <v>INV-2606-0221</v>
      </c>
    </row>
    <row r="2057" spans="11:11" x14ac:dyDescent="0.35">
      <c r="K2057" s="110" t="str">
        <v>INV-2606-0222</v>
      </c>
    </row>
    <row r="2058" spans="11:11" x14ac:dyDescent="0.35">
      <c r="K2058" s="110" t="str">
        <v>INV-2606-0223</v>
      </c>
    </row>
    <row r="2059" spans="11:11" x14ac:dyDescent="0.35">
      <c r="K2059" s="110" t="str">
        <v>INV-2606-0224</v>
      </c>
    </row>
    <row r="2060" spans="11:11" x14ac:dyDescent="0.35">
      <c r="K2060" s="110" t="str">
        <v>INV-2606-0225</v>
      </c>
    </row>
    <row r="2061" spans="11:11" x14ac:dyDescent="0.35">
      <c r="K2061" s="110" t="str">
        <v>INV-2606-0226</v>
      </c>
    </row>
    <row r="2062" spans="11:11" x14ac:dyDescent="0.35">
      <c r="K2062" s="110" t="str">
        <v>INV-2606-0227</v>
      </c>
    </row>
    <row r="2063" spans="11:11" x14ac:dyDescent="0.35">
      <c r="K2063" s="110" t="str">
        <v>INV-2606-0228</v>
      </c>
    </row>
    <row r="2064" spans="11:11" x14ac:dyDescent="0.35">
      <c r="K2064" s="110" t="str">
        <v>INV-2606-0229</v>
      </c>
    </row>
    <row r="2065" spans="11:11" x14ac:dyDescent="0.35">
      <c r="K2065" s="110" t="str">
        <v>INV-2606-0230</v>
      </c>
    </row>
    <row r="2066" spans="11:11" x14ac:dyDescent="0.35">
      <c r="K2066" s="110" t="str">
        <v>INV-2606-0231</v>
      </c>
    </row>
    <row r="2067" spans="11:11" x14ac:dyDescent="0.35">
      <c r="K2067" s="110" t="str">
        <v>INV-2606-0232</v>
      </c>
    </row>
    <row r="2068" spans="11:11" x14ac:dyDescent="0.35">
      <c r="K2068" s="110" t="str">
        <v>INV-2606-0233</v>
      </c>
    </row>
    <row r="2069" spans="11:11" x14ac:dyDescent="0.35">
      <c r="K2069" s="110" t="str">
        <v>INV-2606-0234</v>
      </c>
    </row>
    <row r="2070" spans="11:11" x14ac:dyDescent="0.35">
      <c r="K2070" s="110" t="str">
        <v>INV-2606-0235</v>
      </c>
    </row>
    <row r="2071" spans="11:11" x14ac:dyDescent="0.35">
      <c r="K2071" s="110" t="str">
        <v>INV-2606-0236</v>
      </c>
    </row>
    <row r="2072" spans="11:11" x14ac:dyDescent="0.35">
      <c r="K2072" s="110" t="str">
        <v>INV-2606-0237</v>
      </c>
    </row>
    <row r="2073" spans="11:11" x14ac:dyDescent="0.35">
      <c r="K2073" s="110" t="str">
        <v>INV-2606-0238</v>
      </c>
    </row>
    <row r="2074" spans="11:11" x14ac:dyDescent="0.35">
      <c r="K2074" s="110" t="str">
        <v>INV-2606-0239</v>
      </c>
    </row>
    <row r="2075" spans="11:11" x14ac:dyDescent="0.35">
      <c r="K2075" s="110" t="str">
        <v>INV-2606-0240</v>
      </c>
    </row>
    <row r="2076" spans="11:11" x14ac:dyDescent="0.35">
      <c r="K2076" s="110" t="str">
        <v>INV-2606-0241</v>
      </c>
    </row>
    <row r="2077" spans="11:11" x14ac:dyDescent="0.35">
      <c r="K2077" s="110" t="str">
        <v>INV-2606-0242</v>
      </c>
    </row>
    <row r="2078" spans="11:11" x14ac:dyDescent="0.35">
      <c r="K2078" s="110" t="str">
        <v>INV-2606-0243</v>
      </c>
    </row>
    <row r="2079" spans="11:11" x14ac:dyDescent="0.35">
      <c r="K2079" s="110" t="str">
        <v>INV-2606-0244</v>
      </c>
    </row>
    <row r="2080" spans="11:11" x14ac:dyDescent="0.35">
      <c r="K2080" s="110" t="str">
        <v>INV-2606-0245</v>
      </c>
    </row>
    <row r="2081" spans="11:11" x14ac:dyDescent="0.35">
      <c r="K2081" s="110" t="str">
        <v>INV-2606-0246</v>
      </c>
    </row>
    <row r="2082" spans="11:11" x14ac:dyDescent="0.35">
      <c r="K2082" s="110" t="str">
        <v>INV-2606-0247</v>
      </c>
    </row>
    <row r="2083" spans="11:11" x14ac:dyDescent="0.35">
      <c r="K2083" s="110" t="str">
        <v>INV-2606-0248</v>
      </c>
    </row>
    <row r="2084" spans="11:11" x14ac:dyDescent="0.35">
      <c r="K2084" s="110" t="str">
        <v>INV-2606-0249</v>
      </c>
    </row>
    <row r="2085" spans="11:11" x14ac:dyDescent="0.35">
      <c r="K2085" s="110" t="str">
        <v>INV-2606-0250</v>
      </c>
    </row>
    <row r="2086" spans="11:11" x14ac:dyDescent="0.35">
      <c r="K2086" s="110" t="str">
        <v>INV-2606-0251</v>
      </c>
    </row>
    <row r="2087" spans="11:11" x14ac:dyDescent="0.35">
      <c r="K2087" s="110" t="str">
        <v>INV-2606-0252</v>
      </c>
    </row>
    <row r="2088" spans="11:11" x14ac:dyDescent="0.35">
      <c r="K2088" s="110" t="str">
        <v>INV-2606-0253</v>
      </c>
    </row>
    <row r="2089" spans="11:11" x14ac:dyDescent="0.35">
      <c r="K2089" s="110" t="str">
        <v>INV-2606-0254</v>
      </c>
    </row>
    <row r="2090" spans="11:11" x14ac:dyDescent="0.35">
      <c r="K2090" s="110" t="str">
        <v>INV-2606-0255</v>
      </c>
    </row>
    <row r="2091" spans="11:11" x14ac:dyDescent="0.35">
      <c r="K2091" s="110" t="str">
        <v>INV-2606-0256</v>
      </c>
    </row>
    <row r="2092" spans="11:11" x14ac:dyDescent="0.35">
      <c r="K2092" s="110" t="str">
        <v>INV-2606-0257</v>
      </c>
    </row>
    <row r="2093" spans="11:11" x14ac:dyDescent="0.35">
      <c r="K2093" s="110" t="str">
        <v>INV-2606-0258</v>
      </c>
    </row>
    <row r="2094" spans="11:11" x14ac:dyDescent="0.35">
      <c r="K2094" s="110" t="str">
        <v>INV-2606-0259</v>
      </c>
    </row>
    <row r="2095" spans="11:11" x14ac:dyDescent="0.35">
      <c r="K2095" s="110" t="str">
        <v>INV-2606-0260</v>
      </c>
    </row>
    <row r="2096" spans="11:11" x14ac:dyDescent="0.35">
      <c r="K2096" s="110" t="str">
        <v>INV-2606-0261</v>
      </c>
    </row>
    <row r="2097" spans="11:11" x14ac:dyDescent="0.35">
      <c r="K2097" s="110" t="str">
        <v>INV-2606-0262</v>
      </c>
    </row>
    <row r="2098" spans="11:11" x14ac:dyDescent="0.35">
      <c r="K2098" s="110" t="str">
        <v>INV-2606-0263</v>
      </c>
    </row>
    <row r="2099" spans="11:11" x14ac:dyDescent="0.35">
      <c r="K2099" s="110" t="str">
        <v>INV-2606-0264</v>
      </c>
    </row>
    <row r="2100" spans="11:11" x14ac:dyDescent="0.35">
      <c r="K2100" s="110" t="str">
        <v>INV-2606-0265</v>
      </c>
    </row>
    <row r="2101" spans="11:11" x14ac:dyDescent="0.35">
      <c r="K2101" s="110" t="str">
        <v>INV-2606-0266</v>
      </c>
    </row>
    <row r="2102" spans="11:11" x14ac:dyDescent="0.35">
      <c r="K2102" s="110" t="str">
        <v>INV-2606-0267</v>
      </c>
    </row>
    <row r="2103" spans="11:11" x14ac:dyDescent="0.35">
      <c r="K2103" s="110" t="str">
        <v>INV-2606-0268</v>
      </c>
    </row>
    <row r="2104" spans="11:11" x14ac:dyDescent="0.35">
      <c r="K2104" s="110" t="str">
        <v>INV-2606-0269</v>
      </c>
    </row>
    <row r="2105" spans="11:11" x14ac:dyDescent="0.35">
      <c r="K2105" s="110" t="str">
        <v>INV-2606-0270</v>
      </c>
    </row>
    <row r="2106" spans="11:11" x14ac:dyDescent="0.35">
      <c r="K2106" s="110" t="str">
        <v>INV-2606-0271</v>
      </c>
    </row>
    <row r="2107" spans="11:11" x14ac:dyDescent="0.35">
      <c r="K2107" s="110" t="str">
        <v>INV-2606-0272</v>
      </c>
    </row>
    <row r="2108" spans="11:11" x14ac:dyDescent="0.35">
      <c r="K2108" s="110" t="str">
        <v>INV-2606-0273</v>
      </c>
    </row>
    <row r="2109" spans="11:11" x14ac:dyDescent="0.35">
      <c r="K2109" s="110" t="str">
        <v>INV-2606-0274</v>
      </c>
    </row>
    <row r="2110" spans="11:11" x14ac:dyDescent="0.35">
      <c r="K2110" s="110" t="str">
        <v>INV-2606-0275</v>
      </c>
    </row>
    <row r="2111" spans="11:11" x14ac:dyDescent="0.35">
      <c r="K2111" s="110" t="str">
        <v>INV-2606-0276</v>
      </c>
    </row>
    <row r="2112" spans="11:11" x14ac:dyDescent="0.35">
      <c r="K2112" s="110" t="str">
        <v>INV-2606-0277</v>
      </c>
    </row>
    <row r="2113" spans="11:11" x14ac:dyDescent="0.35">
      <c r="K2113" s="110" t="str">
        <v>INV-2606-0278</v>
      </c>
    </row>
    <row r="2114" spans="11:11" x14ac:dyDescent="0.35">
      <c r="K2114" s="110" t="str">
        <v>INV-2606-0279</v>
      </c>
    </row>
    <row r="2115" spans="11:11" x14ac:dyDescent="0.35">
      <c r="K2115" s="110" t="str">
        <v>INV-2606-0280</v>
      </c>
    </row>
    <row r="2116" spans="11:11" x14ac:dyDescent="0.35">
      <c r="K2116" s="110" t="str">
        <v>INV-2606-0281</v>
      </c>
    </row>
    <row r="2117" spans="11:11" x14ac:dyDescent="0.35">
      <c r="K2117" s="110" t="str">
        <v>INV-2606-0282</v>
      </c>
    </row>
    <row r="2118" spans="11:11" x14ac:dyDescent="0.35">
      <c r="K2118" s="110" t="str">
        <v>INV-2606-0283</v>
      </c>
    </row>
    <row r="2119" spans="11:11" x14ac:dyDescent="0.35">
      <c r="K2119" s="110" t="str">
        <v>INV-2606-0284</v>
      </c>
    </row>
    <row r="2120" spans="11:11" x14ac:dyDescent="0.35">
      <c r="K2120" s="110" t="str">
        <v>INV-2606-0285</v>
      </c>
    </row>
    <row r="2121" spans="11:11" x14ac:dyDescent="0.35">
      <c r="K2121" s="110" t="str">
        <v>INV-2606-0286</v>
      </c>
    </row>
    <row r="2122" spans="11:11" x14ac:dyDescent="0.35">
      <c r="K2122" s="110" t="str">
        <v>INV-2606-0287</v>
      </c>
    </row>
    <row r="2123" spans="11:11" x14ac:dyDescent="0.35">
      <c r="K2123" s="110" t="str">
        <v>INV-2606-0288</v>
      </c>
    </row>
    <row r="2124" spans="11:11" x14ac:dyDescent="0.35">
      <c r="K2124" s="110" t="str">
        <v>INV-2606-0289</v>
      </c>
    </row>
    <row r="2125" spans="11:11" x14ac:dyDescent="0.35">
      <c r="K2125" s="110" t="str">
        <v>INV-2606-0290</v>
      </c>
    </row>
    <row r="2126" spans="11:11" x14ac:dyDescent="0.35">
      <c r="K2126" s="110" t="str">
        <v>INV-2606-0291</v>
      </c>
    </row>
    <row r="2127" spans="11:11" x14ac:dyDescent="0.35">
      <c r="K2127" s="110" t="str">
        <v>INV-2606-0292</v>
      </c>
    </row>
    <row r="2128" spans="11:11" x14ac:dyDescent="0.35">
      <c r="K2128" s="110" t="str">
        <v>INV-2606-0293</v>
      </c>
    </row>
    <row r="2129" spans="11:11" x14ac:dyDescent="0.35">
      <c r="K2129" s="110" t="str">
        <v>INV-2606-0294</v>
      </c>
    </row>
    <row r="2130" spans="11:11" x14ac:dyDescent="0.35">
      <c r="K2130" s="110" t="str">
        <v>INV-2606-0295</v>
      </c>
    </row>
    <row r="2131" spans="11:11" x14ac:dyDescent="0.35">
      <c r="K2131" s="110" t="str">
        <v>INV-2606-0296</v>
      </c>
    </row>
    <row r="2132" spans="11:11" x14ac:dyDescent="0.35">
      <c r="K2132" s="110" t="str">
        <v>INV-2606-0297</v>
      </c>
    </row>
    <row r="2133" spans="11:11" x14ac:dyDescent="0.35">
      <c r="K2133" s="110" t="str">
        <v>INV-2606-0298</v>
      </c>
    </row>
    <row r="2134" spans="11:11" x14ac:dyDescent="0.35">
      <c r="K2134" s="110" t="str">
        <v>INV-2606-0299</v>
      </c>
    </row>
    <row r="2135" spans="11:11" x14ac:dyDescent="0.35">
      <c r="K2135" s="110" t="str">
        <v>INV-2606-0300</v>
      </c>
    </row>
    <row r="2136" spans="11:11" x14ac:dyDescent="0.35">
      <c r="K2136" s="110" t="str">
        <v>INV-2606-0301</v>
      </c>
    </row>
    <row r="2137" spans="11:11" x14ac:dyDescent="0.35">
      <c r="K2137" s="110" t="str">
        <v>INV-2606-0302</v>
      </c>
    </row>
    <row r="2138" spans="11:11" x14ac:dyDescent="0.35">
      <c r="K2138" s="110" t="str">
        <v>INV-2606-0303</v>
      </c>
    </row>
    <row r="2139" spans="11:11" x14ac:dyDescent="0.35">
      <c r="K2139" s="110" t="str">
        <v>INV-2606-0304</v>
      </c>
    </row>
    <row r="2140" spans="11:11" x14ac:dyDescent="0.35">
      <c r="K2140" s="110" t="str">
        <v>INV-2606-0305</v>
      </c>
    </row>
    <row r="2141" spans="11:11" x14ac:dyDescent="0.35">
      <c r="K2141" s="110" t="str">
        <v>INV-2606-0306</v>
      </c>
    </row>
    <row r="2142" spans="11:11" x14ac:dyDescent="0.35">
      <c r="K2142" s="110" t="str">
        <v>INV-2606-0307</v>
      </c>
    </row>
    <row r="2143" spans="11:11" x14ac:dyDescent="0.35">
      <c r="K2143" s="110" t="str">
        <v>INV-2606-0308</v>
      </c>
    </row>
    <row r="2144" spans="11:11" x14ac:dyDescent="0.35">
      <c r="K2144" s="110" t="str">
        <v>INV-2606-0309</v>
      </c>
    </row>
    <row r="2145" spans="11:11" x14ac:dyDescent="0.35">
      <c r="K2145" s="110" t="str">
        <v>INV-2606-0310</v>
      </c>
    </row>
    <row r="2146" spans="11:11" x14ac:dyDescent="0.35">
      <c r="K2146" s="110" t="str">
        <v>INV-2606-0311</v>
      </c>
    </row>
    <row r="2147" spans="11:11" x14ac:dyDescent="0.35">
      <c r="K2147" s="110" t="str">
        <v>INV-2606-0312</v>
      </c>
    </row>
    <row r="2148" spans="11:11" x14ac:dyDescent="0.35">
      <c r="K2148" s="110" t="str">
        <v>INV-2606-0313</v>
      </c>
    </row>
    <row r="2149" spans="11:11" x14ac:dyDescent="0.35">
      <c r="K2149" s="110" t="str">
        <v>INV-2606-0314</v>
      </c>
    </row>
    <row r="2150" spans="11:11" x14ac:dyDescent="0.35">
      <c r="K2150" s="110" t="str">
        <v>INV-2606-0315</v>
      </c>
    </row>
    <row r="2151" spans="11:11" x14ac:dyDescent="0.35">
      <c r="K2151" s="110" t="str">
        <v>INV-2606-0316</v>
      </c>
    </row>
    <row r="2152" spans="11:11" x14ac:dyDescent="0.35">
      <c r="K2152" s="110" t="str">
        <v>INV-2606-0317</v>
      </c>
    </row>
    <row r="2153" spans="11:11" x14ac:dyDescent="0.35">
      <c r="K2153" s="110" t="str">
        <v>INV-2606-0318</v>
      </c>
    </row>
    <row r="2154" spans="11:11" x14ac:dyDescent="0.35">
      <c r="K2154" s="110" t="str">
        <v>INV-2606-0319</v>
      </c>
    </row>
    <row r="2155" spans="11:11" x14ac:dyDescent="0.35">
      <c r="K2155" s="110" t="str">
        <v>INV-2606-0320</v>
      </c>
    </row>
    <row r="2156" spans="11:11" x14ac:dyDescent="0.35">
      <c r="K2156" s="110" t="str">
        <v>INV-2606-0321</v>
      </c>
    </row>
    <row r="2157" spans="11:11" x14ac:dyDescent="0.35">
      <c r="K2157" s="110" t="str">
        <v>INV-2606-0322</v>
      </c>
    </row>
    <row r="2158" spans="11:11" x14ac:dyDescent="0.35">
      <c r="K2158" s="110" t="str">
        <v>INV-2606-0323</v>
      </c>
    </row>
    <row r="2159" spans="11:11" x14ac:dyDescent="0.35">
      <c r="K2159" s="110" t="str">
        <v>INV-2606-0324</v>
      </c>
    </row>
    <row r="2160" spans="11:11" x14ac:dyDescent="0.35">
      <c r="K2160" s="110" t="str">
        <v>INV-2606-0325</v>
      </c>
    </row>
    <row r="2161" spans="11:11" x14ac:dyDescent="0.35">
      <c r="K2161" s="110" t="str">
        <v>INV-2606-0326</v>
      </c>
    </row>
    <row r="2162" spans="11:11" x14ac:dyDescent="0.35">
      <c r="K2162" s="110" t="str">
        <v>INV-2606-0327</v>
      </c>
    </row>
    <row r="2163" spans="11:11" x14ac:dyDescent="0.35">
      <c r="K2163" s="110" t="str">
        <v>INV-2606-0328</v>
      </c>
    </row>
    <row r="2164" spans="11:11" x14ac:dyDescent="0.35">
      <c r="K2164" s="110" t="str">
        <v>INV-2606-0329</v>
      </c>
    </row>
    <row r="2165" spans="11:11" x14ac:dyDescent="0.35">
      <c r="K2165" s="110" t="str">
        <v>INV-2606-0330</v>
      </c>
    </row>
    <row r="2166" spans="11:11" x14ac:dyDescent="0.35">
      <c r="K2166" s="110" t="str">
        <v>INV-2606-0331</v>
      </c>
    </row>
    <row r="2167" spans="11:11" x14ac:dyDescent="0.35">
      <c r="K2167" s="110" t="str">
        <v>INV-2606-0332</v>
      </c>
    </row>
    <row r="2168" spans="11:11" x14ac:dyDescent="0.35">
      <c r="K2168" s="110" t="str">
        <v>INV-2606-0333</v>
      </c>
    </row>
    <row r="2169" spans="11:11" x14ac:dyDescent="0.35">
      <c r="K2169" s="110" t="str">
        <v>INV-2606-0334</v>
      </c>
    </row>
    <row r="2170" spans="11:11" x14ac:dyDescent="0.35">
      <c r="K2170" s="110" t="str">
        <v>INV-2606-0335</v>
      </c>
    </row>
    <row r="2171" spans="11:11" x14ac:dyDescent="0.35">
      <c r="K2171" s="110" t="str">
        <v>INV-2606-0336</v>
      </c>
    </row>
    <row r="2172" spans="11:11" x14ac:dyDescent="0.35">
      <c r="K2172" s="110" t="str">
        <v>INV-2606-0337</v>
      </c>
    </row>
    <row r="2173" spans="11:11" x14ac:dyDescent="0.35">
      <c r="K2173" s="110" t="str">
        <v>INV-2606-0338</v>
      </c>
    </row>
    <row r="2174" spans="11:11" x14ac:dyDescent="0.35">
      <c r="K2174" s="110" t="str">
        <v>INV-2606-0339</v>
      </c>
    </row>
    <row r="2175" spans="11:11" x14ac:dyDescent="0.35">
      <c r="K2175" s="110" t="str">
        <v>INV-2606-0340</v>
      </c>
    </row>
    <row r="2176" spans="11:11" x14ac:dyDescent="0.35">
      <c r="K2176" s="110" t="str">
        <v>INV-2606-0341</v>
      </c>
    </row>
    <row r="2177" spans="11:11" x14ac:dyDescent="0.35">
      <c r="K2177" s="110" t="str">
        <v>INV-2606-0342</v>
      </c>
    </row>
    <row r="2178" spans="11:11" x14ac:dyDescent="0.35">
      <c r="K2178" s="110" t="str">
        <v>INV-2606-0343</v>
      </c>
    </row>
    <row r="2179" spans="11:11" x14ac:dyDescent="0.35">
      <c r="K2179" s="110" t="str">
        <v>INV-2606-0344</v>
      </c>
    </row>
    <row r="2180" spans="11:11" x14ac:dyDescent="0.35">
      <c r="K2180" s="110" t="str">
        <v>INV-2606-0345</v>
      </c>
    </row>
    <row r="2181" spans="11:11" x14ac:dyDescent="0.35">
      <c r="K2181" s="110" t="str">
        <v>INV-2606-0346</v>
      </c>
    </row>
    <row r="2182" spans="11:11" x14ac:dyDescent="0.35">
      <c r="K2182" s="110" t="str">
        <v>INV-2606-0347</v>
      </c>
    </row>
    <row r="2183" spans="11:11" x14ac:dyDescent="0.35">
      <c r="K2183" s="110" t="str">
        <v>INV-2606-0348</v>
      </c>
    </row>
    <row r="2184" spans="11:11" x14ac:dyDescent="0.35">
      <c r="K2184" s="110" t="str">
        <v>INV-2606-0349</v>
      </c>
    </row>
    <row r="2185" spans="11:11" x14ac:dyDescent="0.35">
      <c r="K2185" s="110" t="str">
        <v>INV-2606-0350</v>
      </c>
    </row>
    <row r="2186" spans="11:11" x14ac:dyDescent="0.35">
      <c r="K2186" s="110" t="str">
        <v>INV-2606-0351</v>
      </c>
    </row>
    <row r="2187" spans="11:11" x14ac:dyDescent="0.35">
      <c r="K2187" s="110" t="str">
        <v>INV-2606-0352</v>
      </c>
    </row>
    <row r="2188" spans="11:11" x14ac:dyDescent="0.35">
      <c r="K2188" s="110" t="str">
        <v>INV-2606-0353</v>
      </c>
    </row>
    <row r="2189" spans="11:11" x14ac:dyDescent="0.35">
      <c r="K2189" s="110" t="str">
        <v>INV-2606-0354</v>
      </c>
    </row>
    <row r="2190" spans="11:11" x14ac:dyDescent="0.35">
      <c r="K2190" s="110" t="str">
        <v>INV-2606-0355</v>
      </c>
    </row>
    <row r="2191" spans="11:11" x14ac:dyDescent="0.35">
      <c r="K2191" s="110" t="str">
        <v>INV-2606-0356</v>
      </c>
    </row>
    <row r="2192" spans="11:11" x14ac:dyDescent="0.35">
      <c r="K2192" s="110" t="str">
        <v>INV-2606-0357</v>
      </c>
    </row>
    <row r="2193" spans="11:11" x14ac:dyDescent="0.35">
      <c r="K2193" s="110" t="str">
        <v>INV-2606-0358</v>
      </c>
    </row>
    <row r="2194" spans="11:11" x14ac:dyDescent="0.35">
      <c r="K2194" s="110" t="str">
        <v>INV-2606-0359</v>
      </c>
    </row>
    <row r="2195" spans="11:11" x14ac:dyDescent="0.35">
      <c r="K2195" s="110" t="str">
        <v>INV-2606-0360</v>
      </c>
    </row>
    <row r="2196" spans="11:11" x14ac:dyDescent="0.35">
      <c r="K2196" s="110" t="str">
        <v>INV-2606-0361</v>
      </c>
    </row>
    <row r="2197" spans="11:11" x14ac:dyDescent="0.35">
      <c r="K2197" s="110" t="str">
        <v>INV-2606-0362</v>
      </c>
    </row>
    <row r="2198" spans="11:11" x14ac:dyDescent="0.35">
      <c r="K2198" s="110" t="str">
        <v>INV-2606-0363</v>
      </c>
    </row>
    <row r="2199" spans="11:11" x14ac:dyDescent="0.35">
      <c r="K2199" s="110" t="str">
        <v>INV-2606-0364</v>
      </c>
    </row>
    <row r="2200" spans="11:11" x14ac:dyDescent="0.35">
      <c r="K2200" s="110" t="str">
        <v>INV-2606-0365</v>
      </c>
    </row>
    <row r="2201" spans="11:11" x14ac:dyDescent="0.35">
      <c r="K2201" s="110" t="str">
        <v>INV-2606-0366</v>
      </c>
    </row>
    <row r="2202" spans="11:11" x14ac:dyDescent="0.35">
      <c r="K2202" s="110" t="str">
        <v>INV-2606-0367</v>
      </c>
    </row>
    <row r="2203" spans="11:11" x14ac:dyDescent="0.35">
      <c r="K2203" s="110" t="str">
        <v>INV-2606-0368</v>
      </c>
    </row>
    <row r="2204" spans="11:11" x14ac:dyDescent="0.35">
      <c r="K2204" s="110" t="str">
        <v>INV-2606-0369</v>
      </c>
    </row>
    <row r="2205" spans="11:11" x14ac:dyDescent="0.35">
      <c r="K2205" s="110" t="str">
        <v>INV-2606-0370</v>
      </c>
    </row>
    <row r="2206" spans="11:11" x14ac:dyDescent="0.35">
      <c r="K2206" s="110" t="str">
        <v>INV-2606-0371</v>
      </c>
    </row>
    <row r="2207" spans="11:11" x14ac:dyDescent="0.35">
      <c r="K2207" s="110" t="str">
        <v>INV-2606-0372</v>
      </c>
    </row>
    <row r="2208" spans="11:11" x14ac:dyDescent="0.35">
      <c r="K2208" s="110" t="str">
        <v>INV-2606-0373</v>
      </c>
    </row>
    <row r="2209" spans="11:11" x14ac:dyDescent="0.35">
      <c r="K2209" s="110" t="str">
        <v>INV-2606-0374</v>
      </c>
    </row>
    <row r="2210" spans="11:11" x14ac:dyDescent="0.35">
      <c r="K2210" s="110" t="str">
        <v>INV-2606-0375</v>
      </c>
    </row>
    <row r="2211" spans="11:11" x14ac:dyDescent="0.35">
      <c r="K2211" s="110" t="str">
        <v>INV-2607-0001</v>
      </c>
    </row>
    <row r="2212" spans="11:11" x14ac:dyDescent="0.35">
      <c r="K2212" s="110" t="str">
        <v>INV-2607-0002</v>
      </c>
    </row>
    <row r="2213" spans="11:11" x14ac:dyDescent="0.35">
      <c r="K2213" s="110" t="str">
        <v>INV-2607-0003</v>
      </c>
    </row>
    <row r="2214" spans="11:11" x14ac:dyDescent="0.35">
      <c r="K2214" s="110" t="str">
        <v>INV-2607-0004</v>
      </c>
    </row>
    <row r="2215" spans="11:11" x14ac:dyDescent="0.35">
      <c r="K2215" s="110" t="str">
        <v>INV-2607-0005</v>
      </c>
    </row>
    <row r="2216" spans="11:11" x14ac:dyDescent="0.35">
      <c r="K2216" s="110" t="str">
        <v>INV-2607-0006</v>
      </c>
    </row>
    <row r="2217" spans="11:11" x14ac:dyDescent="0.35">
      <c r="K2217" s="110" t="str">
        <v>INV-2607-0007</v>
      </c>
    </row>
    <row r="2218" spans="11:11" x14ac:dyDescent="0.35">
      <c r="K2218" s="110" t="str">
        <v>INV-2607-0008</v>
      </c>
    </row>
    <row r="2219" spans="11:11" x14ac:dyDescent="0.35">
      <c r="K2219" s="110" t="str">
        <v>INV-2607-0009</v>
      </c>
    </row>
    <row r="2220" spans="11:11" x14ac:dyDescent="0.35">
      <c r="K2220" s="110" t="str">
        <v>INV-2607-0010</v>
      </c>
    </row>
    <row r="2221" spans="11:11" x14ac:dyDescent="0.35">
      <c r="K2221" s="110" t="str">
        <v>INV-2607-0011</v>
      </c>
    </row>
    <row r="2222" spans="11:11" x14ac:dyDescent="0.35">
      <c r="K2222" s="110" t="str">
        <v>INV-2607-0012</v>
      </c>
    </row>
    <row r="2223" spans="11:11" x14ac:dyDescent="0.35">
      <c r="K2223" s="110" t="str">
        <v>INV-2607-0013</v>
      </c>
    </row>
    <row r="2224" spans="11:11" x14ac:dyDescent="0.35">
      <c r="K2224" s="110" t="str">
        <v>INV-2607-0014</v>
      </c>
    </row>
    <row r="2225" spans="11:11" x14ac:dyDescent="0.35">
      <c r="K2225" s="110" t="str">
        <v>INV-2607-0015</v>
      </c>
    </row>
    <row r="2226" spans="11:11" x14ac:dyDescent="0.35">
      <c r="K2226" s="110" t="str">
        <v>INV-2607-0016</v>
      </c>
    </row>
    <row r="2227" spans="11:11" x14ac:dyDescent="0.35">
      <c r="K2227" s="110" t="str">
        <v>INV-2607-0017</v>
      </c>
    </row>
    <row r="2228" spans="11:11" x14ac:dyDescent="0.35">
      <c r="K2228" s="110" t="str">
        <v>INV-2607-0018</v>
      </c>
    </row>
    <row r="2229" spans="11:11" x14ac:dyDescent="0.35">
      <c r="K2229" s="110" t="str">
        <v>INV-2607-0019</v>
      </c>
    </row>
    <row r="2230" spans="11:11" x14ac:dyDescent="0.35">
      <c r="K2230" s="110" t="str">
        <v>INV-2607-0020</v>
      </c>
    </row>
    <row r="2231" spans="11:11" x14ac:dyDescent="0.35">
      <c r="K2231" s="110" t="str">
        <v>INV-2607-0021</v>
      </c>
    </row>
    <row r="2232" spans="11:11" x14ac:dyDescent="0.35">
      <c r="K2232" s="110" t="str">
        <v>INV-2607-0022</v>
      </c>
    </row>
    <row r="2233" spans="11:11" x14ac:dyDescent="0.35">
      <c r="K2233" s="110" t="str">
        <v>INV-2607-0023</v>
      </c>
    </row>
    <row r="2234" spans="11:11" x14ac:dyDescent="0.35">
      <c r="K2234" s="110" t="str">
        <v>INV-2607-0024</v>
      </c>
    </row>
    <row r="2235" spans="11:11" x14ac:dyDescent="0.35">
      <c r="K2235" s="110" t="str">
        <v>INV-2607-0025</v>
      </c>
    </row>
    <row r="2236" spans="11:11" x14ac:dyDescent="0.35">
      <c r="K2236" s="110" t="str">
        <v>INV-2607-0026</v>
      </c>
    </row>
    <row r="2237" spans="11:11" x14ac:dyDescent="0.35">
      <c r="K2237" s="110" t="str">
        <v>INV-2607-0027</v>
      </c>
    </row>
    <row r="2238" spans="11:11" x14ac:dyDescent="0.35">
      <c r="K2238" s="110" t="str">
        <v>INV-2607-0028</v>
      </c>
    </row>
    <row r="2239" spans="11:11" x14ac:dyDescent="0.35">
      <c r="K2239" s="110" t="str">
        <v>INV-2607-0029</v>
      </c>
    </row>
    <row r="2240" spans="11:11" x14ac:dyDescent="0.35">
      <c r="K2240" s="110" t="str">
        <v>INV-2607-0030</v>
      </c>
    </row>
    <row r="2241" spans="11:11" x14ac:dyDescent="0.35">
      <c r="K2241" s="110" t="str">
        <v>INV-2607-0031</v>
      </c>
    </row>
    <row r="2242" spans="11:11" x14ac:dyDescent="0.35">
      <c r="K2242" s="110" t="str">
        <v>INV-2607-0032</v>
      </c>
    </row>
    <row r="2243" spans="11:11" x14ac:dyDescent="0.35">
      <c r="K2243" s="110" t="str">
        <v>INV-2607-0033</v>
      </c>
    </row>
    <row r="2244" spans="11:11" x14ac:dyDescent="0.35">
      <c r="K2244" s="110" t="str">
        <v>INV-2607-0034</v>
      </c>
    </row>
    <row r="2245" spans="11:11" x14ac:dyDescent="0.35">
      <c r="K2245" s="110" t="str">
        <v>INV-2607-0035</v>
      </c>
    </row>
    <row r="2246" spans="11:11" x14ac:dyDescent="0.35">
      <c r="K2246" s="110" t="str">
        <v>INV-2607-0036</v>
      </c>
    </row>
    <row r="2247" spans="11:11" x14ac:dyDescent="0.35">
      <c r="K2247" s="110" t="str">
        <v>INV-2607-0037</v>
      </c>
    </row>
    <row r="2248" spans="11:11" x14ac:dyDescent="0.35">
      <c r="K2248" s="110" t="str">
        <v>INV-2607-0038</v>
      </c>
    </row>
    <row r="2249" spans="11:11" x14ac:dyDescent="0.35">
      <c r="K2249" s="110" t="str">
        <v>INV-2607-0039</v>
      </c>
    </row>
    <row r="2250" spans="11:11" x14ac:dyDescent="0.35">
      <c r="K2250" s="110" t="str">
        <v>INV-2607-0040</v>
      </c>
    </row>
    <row r="2251" spans="11:11" x14ac:dyDescent="0.35">
      <c r="K2251" s="110" t="str">
        <v>INV-2607-0041</v>
      </c>
    </row>
    <row r="2252" spans="11:11" x14ac:dyDescent="0.35">
      <c r="K2252" s="110" t="str">
        <v>INV-2607-0042</v>
      </c>
    </row>
    <row r="2253" spans="11:11" x14ac:dyDescent="0.35">
      <c r="K2253" s="110" t="str">
        <v>INV-2607-0043</v>
      </c>
    </row>
    <row r="2254" spans="11:11" x14ac:dyDescent="0.35">
      <c r="K2254" s="110" t="str">
        <v>INV-2607-0044</v>
      </c>
    </row>
    <row r="2255" spans="11:11" x14ac:dyDescent="0.35">
      <c r="K2255" s="110" t="str">
        <v>INV-2607-0045</v>
      </c>
    </row>
    <row r="2256" spans="11:11" x14ac:dyDescent="0.35">
      <c r="K2256" s="110" t="str">
        <v>INV-2607-0046</v>
      </c>
    </row>
    <row r="2257" spans="11:11" x14ac:dyDescent="0.35">
      <c r="K2257" s="110" t="str">
        <v>INV-2607-0047</v>
      </c>
    </row>
    <row r="2258" spans="11:11" x14ac:dyDescent="0.35">
      <c r="K2258" s="110" t="str">
        <v>INV-2607-0048</v>
      </c>
    </row>
    <row r="2259" spans="11:11" x14ac:dyDescent="0.35">
      <c r="K2259" s="110" t="str">
        <v>INV-2607-0049</v>
      </c>
    </row>
    <row r="2260" spans="11:11" x14ac:dyDescent="0.35">
      <c r="K2260" s="110" t="str">
        <v>INV-2607-0050</v>
      </c>
    </row>
    <row r="2261" spans="11:11" x14ac:dyDescent="0.35">
      <c r="K2261" s="110" t="str">
        <v>INV-2607-0051</v>
      </c>
    </row>
    <row r="2262" spans="11:11" x14ac:dyDescent="0.35">
      <c r="K2262" s="110" t="str">
        <v>INV-2607-0052</v>
      </c>
    </row>
    <row r="2263" spans="11:11" x14ac:dyDescent="0.35">
      <c r="K2263" s="110" t="str">
        <v>INV-2607-0053</v>
      </c>
    </row>
    <row r="2264" spans="11:11" x14ac:dyDescent="0.35">
      <c r="K2264" s="110" t="str">
        <v>INV-2607-0054</v>
      </c>
    </row>
    <row r="2265" spans="11:11" x14ac:dyDescent="0.35">
      <c r="K2265" s="110" t="str">
        <v>INV-2607-0055</v>
      </c>
    </row>
    <row r="2266" spans="11:11" x14ac:dyDescent="0.35">
      <c r="K2266" s="110" t="str">
        <v>INV-2607-0056</v>
      </c>
    </row>
    <row r="2267" spans="11:11" x14ac:dyDescent="0.35">
      <c r="K2267" s="110" t="str">
        <v>INV-2607-0057</v>
      </c>
    </row>
    <row r="2268" spans="11:11" x14ac:dyDescent="0.35">
      <c r="K2268" s="110" t="str">
        <v>INV-2607-0058</v>
      </c>
    </row>
    <row r="2269" spans="11:11" x14ac:dyDescent="0.35">
      <c r="K2269" s="110" t="str">
        <v>INV-2607-0059</v>
      </c>
    </row>
    <row r="2270" spans="11:11" x14ac:dyDescent="0.35">
      <c r="K2270" s="110" t="str">
        <v>INV-2607-0060</v>
      </c>
    </row>
    <row r="2271" spans="11:11" x14ac:dyDescent="0.35">
      <c r="K2271" s="110" t="str">
        <v>INV-2607-0061</v>
      </c>
    </row>
    <row r="2272" spans="11:11" x14ac:dyDescent="0.35">
      <c r="K2272" s="110" t="str">
        <v>INV-2607-0062</v>
      </c>
    </row>
    <row r="2273" spans="11:11" x14ac:dyDescent="0.35">
      <c r="K2273" s="110" t="str">
        <v>INV-2607-0063</v>
      </c>
    </row>
    <row r="2274" spans="11:11" x14ac:dyDescent="0.35">
      <c r="K2274" s="110" t="str">
        <v>INV-2607-0064</v>
      </c>
    </row>
    <row r="2275" spans="11:11" x14ac:dyDescent="0.35">
      <c r="K2275" s="110" t="str">
        <v>INV-2607-0065</v>
      </c>
    </row>
    <row r="2276" spans="11:11" x14ac:dyDescent="0.35">
      <c r="K2276" s="110" t="str">
        <v>INV-2607-0066</v>
      </c>
    </row>
    <row r="2277" spans="11:11" x14ac:dyDescent="0.35">
      <c r="K2277" s="110" t="str">
        <v>INV-2607-0067</v>
      </c>
    </row>
    <row r="2278" spans="11:11" x14ac:dyDescent="0.35">
      <c r="K2278" s="110" t="str">
        <v>INV-2607-0068</v>
      </c>
    </row>
    <row r="2279" spans="11:11" x14ac:dyDescent="0.35">
      <c r="K2279" s="110" t="str">
        <v>INV-2607-0069</v>
      </c>
    </row>
    <row r="2280" spans="11:11" x14ac:dyDescent="0.35">
      <c r="K2280" s="110" t="str">
        <v>INV-2607-0070</v>
      </c>
    </row>
    <row r="2281" spans="11:11" x14ac:dyDescent="0.35">
      <c r="K2281" s="110" t="str">
        <v>INV-2607-0071</v>
      </c>
    </row>
    <row r="2282" spans="11:11" x14ac:dyDescent="0.35">
      <c r="K2282" s="110" t="str">
        <v>INV-2607-0072</v>
      </c>
    </row>
    <row r="2283" spans="11:11" x14ac:dyDescent="0.35">
      <c r="K2283" s="110" t="str">
        <v>INV-2607-0073</v>
      </c>
    </row>
    <row r="2284" spans="11:11" x14ac:dyDescent="0.35">
      <c r="K2284" s="110" t="str">
        <v>INV-2607-0074</v>
      </c>
    </row>
    <row r="2285" spans="11:11" x14ac:dyDescent="0.35">
      <c r="K2285" s="110" t="str">
        <v>INV-2607-0075</v>
      </c>
    </row>
    <row r="2286" spans="11:11" x14ac:dyDescent="0.35">
      <c r="K2286" s="110" t="str">
        <v>INV-2607-0076</v>
      </c>
    </row>
    <row r="2287" spans="11:11" x14ac:dyDescent="0.35">
      <c r="K2287" s="110" t="str">
        <v>INV-2607-0077</v>
      </c>
    </row>
    <row r="2288" spans="11:11" x14ac:dyDescent="0.35">
      <c r="K2288" s="110" t="str">
        <v>INV-2607-0078</v>
      </c>
    </row>
    <row r="2289" spans="11:11" x14ac:dyDescent="0.35">
      <c r="K2289" s="110" t="str">
        <v>INV-2607-0079</v>
      </c>
    </row>
    <row r="2290" spans="11:11" x14ac:dyDescent="0.35">
      <c r="K2290" s="110" t="str">
        <v>INV-2607-0080</v>
      </c>
    </row>
    <row r="2291" spans="11:11" x14ac:dyDescent="0.35">
      <c r="K2291" s="110" t="str">
        <v>INV-2607-0081</v>
      </c>
    </row>
    <row r="2292" spans="11:11" x14ac:dyDescent="0.35">
      <c r="K2292" s="110" t="str">
        <v>INV-2607-0082</v>
      </c>
    </row>
    <row r="2293" spans="11:11" x14ac:dyDescent="0.35">
      <c r="K2293" s="110" t="str">
        <v>INV-2607-0083</v>
      </c>
    </row>
    <row r="2294" spans="11:11" x14ac:dyDescent="0.35">
      <c r="K2294" s="110" t="str">
        <v>INV-2607-0084</v>
      </c>
    </row>
    <row r="2295" spans="11:11" x14ac:dyDescent="0.35">
      <c r="K2295" s="110" t="str">
        <v>INV-2607-0085</v>
      </c>
    </row>
    <row r="2296" spans="11:11" x14ac:dyDescent="0.35">
      <c r="K2296" s="110" t="str">
        <v>INV-2607-0086</v>
      </c>
    </row>
    <row r="2297" spans="11:11" x14ac:dyDescent="0.35">
      <c r="K2297" s="110" t="str">
        <v>INV-2607-0087</v>
      </c>
    </row>
    <row r="2298" spans="11:11" x14ac:dyDescent="0.35">
      <c r="K2298" s="110" t="str">
        <v>INV-2607-0088</v>
      </c>
    </row>
    <row r="2299" spans="11:11" x14ac:dyDescent="0.35">
      <c r="K2299" s="110" t="str">
        <v>INV-2607-0089</v>
      </c>
    </row>
    <row r="2300" spans="11:11" x14ac:dyDescent="0.35">
      <c r="K2300" s="110" t="str">
        <v>INV-2607-0090</v>
      </c>
    </row>
    <row r="2301" spans="11:11" x14ac:dyDescent="0.35">
      <c r="K2301" s="110" t="str">
        <v>INV-2607-0091</v>
      </c>
    </row>
    <row r="2302" spans="11:11" x14ac:dyDescent="0.35">
      <c r="K2302" s="110" t="str">
        <v>INV-2607-0092</v>
      </c>
    </row>
    <row r="2303" spans="11:11" x14ac:dyDescent="0.35">
      <c r="K2303" s="110" t="str">
        <v>INV-2607-0093</v>
      </c>
    </row>
    <row r="2304" spans="11:11" x14ac:dyDescent="0.35">
      <c r="K2304" s="110" t="str">
        <v>INV-2607-0094</v>
      </c>
    </row>
    <row r="2305" spans="11:11" x14ac:dyDescent="0.35">
      <c r="K2305" s="110" t="str">
        <v>INV-2607-0095</v>
      </c>
    </row>
    <row r="2306" spans="11:11" x14ac:dyDescent="0.35">
      <c r="K2306" s="110" t="str">
        <v>INV-2607-0096</v>
      </c>
    </row>
    <row r="2307" spans="11:11" x14ac:dyDescent="0.35">
      <c r="K2307" s="110" t="str">
        <v>INV-2607-0097</v>
      </c>
    </row>
    <row r="2308" spans="11:11" x14ac:dyDescent="0.35">
      <c r="K2308" s="110" t="str">
        <v>INV-2607-0098</v>
      </c>
    </row>
    <row r="2309" spans="11:11" x14ac:dyDescent="0.35">
      <c r="K2309" s="110" t="str">
        <v>INV-2607-0099</v>
      </c>
    </row>
    <row r="2310" spans="11:11" x14ac:dyDescent="0.35">
      <c r="K2310" s="110" t="str">
        <v>INV-2607-0100</v>
      </c>
    </row>
    <row r="2311" spans="11:11" x14ac:dyDescent="0.35">
      <c r="K2311" s="110" t="str">
        <v>INV-2607-0101</v>
      </c>
    </row>
    <row r="2312" spans="11:11" x14ac:dyDescent="0.35">
      <c r="K2312" s="110" t="str">
        <v>INV-2607-0102</v>
      </c>
    </row>
    <row r="2313" spans="11:11" x14ac:dyDescent="0.35">
      <c r="K2313" s="110" t="str">
        <v>INV-2607-0103</v>
      </c>
    </row>
    <row r="2314" spans="11:11" x14ac:dyDescent="0.35">
      <c r="K2314" s="110" t="str">
        <v>INV-2607-0104</v>
      </c>
    </row>
    <row r="2315" spans="11:11" x14ac:dyDescent="0.35">
      <c r="K2315" s="110" t="str">
        <v>INV-2607-0105</v>
      </c>
    </row>
    <row r="2316" spans="11:11" x14ac:dyDescent="0.35">
      <c r="K2316" s="110" t="str">
        <v>INV-2607-0106</v>
      </c>
    </row>
    <row r="2317" spans="11:11" x14ac:dyDescent="0.35">
      <c r="K2317" s="110" t="str">
        <v>INV-2607-0107</v>
      </c>
    </row>
    <row r="2318" spans="11:11" x14ac:dyDescent="0.35">
      <c r="K2318" s="110" t="str">
        <v>INV-2607-0108</v>
      </c>
    </row>
    <row r="2319" spans="11:11" x14ac:dyDescent="0.35">
      <c r="K2319" s="110" t="str">
        <v>INV-2607-0109</v>
      </c>
    </row>
    <row r="2320" spans="11:11" x14ac:dyDescent="0.35">
      <c r="K2320" s="110" t="str">
        <v>INV-2607-0110</v>
      </c>
    </row>
    <row r="2321" spans="11:11" x14ac:dyDescent="0.35">
      <c r="K2321" s="110" t="str">
        <v>INV-2607-0111</v>
      </c>
    </row>
    <row r="2322" spans="11:11" x14ac:dyDescent="0.35">
      <c r="K2322" s="110" t="str">
        <v>INV-2607-0112</v>
      </c>
    </row>
    <row r="2323" spans="11:11" x14ac:dyDescent="0.35">
      <c r="K2323" s="110" t="str">
        <v>INV-2607-0113</v>
      </c>
    </row>
    <row r="2324" spans="11:11" x14ac:dyDescent="0.35">
      <c r="K2324" s="110" t="str">
        <v>INV-2607-0114</v>
      </c>
    </row>
    <row r="2325" spans="11:11" x14ac:dyDescent="0.35">
      <c r="K2325" s="110" t="str">
        <v>INV-2607-0115</v>
      </c>
    </row>
    <row r="2326" spans="11:11" x14ac:dyDescent="0.35">
      <c r="K2326" s="110" t="str">
        <v>INV-2607-0116</v>
      </c>
    </row>
    <row r="2327" spans="11:11" x14ac:dyDescent="0.35">
      <c r="K2327" s="110" t="str">
        <v>INV-2607-0117</v>
      </c>
    </row>
    <row r="2328" spans="11:11" x14ac:dyDescent="0.35">
      <c r="K2328" s="110" t="str">
        <v>INV-2607-0118</v>
      </c>
    </row>
    <row r="2329" spans="11:11" x14ac:dyDescent="0.35">
      <c r="K2329" s="110" t="str">
        <v>INV-2607-0119</v>
      </c>
    </row>
    <row r="2330" spans="11:11" x14ac:dyDescent="0.35">
      <c r="K2330" s="110" t="str">
        <v>INV-2607-0120</v>
      </c>
    </row>
    <row r="2331" spans="11:11" x14ac:dyDescent="0.35">
      <c r="K2331" s="110" t="str">
        <v>INV-2607-0121</v>
      </c>
    </row>
    <row r="2332" spans="11:11" x14ac:dyDescent="0.35">
      <c r="K2332" s="110" t="str">
        <v>INV-2607-0122</v>
      </c>
    </row>
    <row r="2333" spans="11:11" x14ac:dyDescent="0.35">
      <c r="K2333" s="110" t="str">
        <v>INV-2607-0123</v>
      </c>
    </row>
    <row r="2334" spans="11:11" x14ac:dyDescent="0.35">
      <c r="K2334" s="110" t="str">
        <v>INV-2607-0124</v>
      </c>
    </row>
    <row r="2335" spans="11:11" x14ac:dyDescent="0.35">
      <c r="K2335" s="110" t="str">
        <v>INV-2607-0125</v>
      </c>
    </row>
    <row r="2336" spans="11:11" x14ac:dyDescent="0.35">
      <c r="K2336" s="110" t="str">
        <v>INV-2607-0126</v>
      </c>
    </row>
    <row r="2337" spans="11:11" x14ac:dyDescent="0.35">
      <c r="K2337" s="110" t="str">
        <v>INV-2607-0127</v>
      </c>
    </row>
    <row r="2338" spans="11:11" x14ac:dyDescent="0.35">
      <c r="K2338" s="110" t="str">
        <v>INV-2607-0128</v>
      </c>
    </row>
    <row r="2339" spans="11:11" x14ac:dyDescent="0.35">
      <c r="K2339" s="110" t="str">
        <v>INV-2607-0129</v>
      </c>
    </row>
    <row r="2340" spans="11:11" x14ac:dyDescent="0.35">
      <c r="K2340" s="110" t="str">
        <v>INV-2607-0130</v>
      </c>
    </row>
    <row r="2341" spans="11:11" x14ac:dyDescent="0.35">
      <c r="K2341" s="110" t="str">
        <v>INV-2607-0131</v>
      </c>
    </row>
    <row r="2342" spans="11:11" x14ac:dyDescent="0.35">
      <c r="K2342" s="110" t="str">
        <v>INV-2607-0132</v>
      </c>
    </row>
    <row r="2343" spans="11:11" x14ac:dyDescent="0.35">
      <c r="K2343" s="110" t="str">
        <v>INV-2607-0133</v>
      </c>
    </row>
    <row r="2344" spans="11:11" x14ac:dyDescent="0.35">
      <c r="K2344" s="110" t="str">
        <v>INV-2607-0134</v>
      </c>
    </row>
    <row r="2345" spans="11:11" x14ac:dyDescent="0.35">
      <c r="K2345" s="110" t="str">
        <v>INV-2607-0135</v>
      </c>
    </row>
    <row r="2346" spans="11:11" x14ac:dyDescent="0.35">
      <c r="K2346" s="110" t="str">
        <v>INV-2607-0136</v>
      </c>
    </row>
    <row r="2347" spans="11:11" x14ac:dyDescent="0.35">
      <c r="K2347" s="110" t="str">
        <v>INV-2607-0137</v>
      </c>
    </row>
    <row r="2348" spans="11:11" x14ac:dyDescent="0.35">
      <c r="K2348" s="110" t="str">
        <v>INV-2607-0138</v>
      </c>
    </row>
    <row r="2349" spans="11:11" x14ac:dyDescent="0.35">
      <c r="K2349" s="110" t="str">
        <v>INV-2607-0139</v>
      </c>
    </row>
    <row r="2350" spans="11:11" x14ac:dyDescent="0.35">
      <c r="K2350" s="110" t="str">
        <v>INV-2607-0140</v>
      </c>
    </row>
    <row r="2351" spans="11:11" x14ac:dyDescent="0.35">
      <c r="K2351" s="110" t="str">
        <v>INV-2607-0141</v>
      </c>
    </row>
    <row r="2352" spans="11:11" x14ac:dyDescent="0.35">
      <c r="K2352" s="110" t="str">
        <v>INV-2607-0142</v>
      </c>
    </row>
    <row r="2353" spans="11:11" x14ac:dyDescent="0.35">
      <c r="K2353" s="110" t="str">
        <v>INV-2607-0143</v>
      </c>
    </row>
    <row r="2354" spans="11:11" x14ac:dyDescent="0.35">
      <c r="K2354" s="110" t="str">
        <v>INV-2607-0144</v>
      </c>
    </row>
    <row r="2355" spans="11:11" x14ac:dyDescent="0.35">
      <c r="K2355" s="110" t="str">
        <v>INV-2607-0145</v>
      </c>
    </row>
    <row r="2356" spans="11:11" x14ac:dyDescent="0.35">
      <c r="K2356" s="110" t="str">
        <v>INV-2607-0146</v>
      </c>
    </row>
    <row r="2357" spans="11:11" x14ac:dyDescent="0.35">
      <c r="K2357" s="110" t="str">
        <v>INV-2607-0147</v>
      </c>
    </row>
    <row r="2358" spans="11:11" x14ac:dyDescent="0.35">
      <c r="K2358" s="110" t="str">
        <v>INV-2607-0148</v>
      </c>
    </row>
    <row r="2359" spans="11:11" x14ac:dyDescent="0.35">
      <c r="K2359" s="110" t="str">
        <v>INV-2607-0149</v>
      </c>
    </row>
    <row r="2360" spans="11:11" x14ac:dyDescent="0.35">
      <c r="K2360" s="110" t="str">
        <v>INV-2607-0150</v>
      </c>
    </row>
    <row r="2361" spans="11:11" x14ac:dyDescent="0.35">
      <c r="K2361" s="110" t="str">
        <v>INV-2607-0151</v>
      </c>
    </row>
    <row r="2362" spans="11:11" x14ac:dyDescent="0.35">
      <c r="K2362" s="110" t="str">
        <v>INV-2607-0152</v>
      </c>
    </row>
    <row r="2363" spans="11:11" x14ac:dyDescent="0.35">
      <c r="K2363" s="110" t="str">
        <v>INV-2607-0153</v>
      </c>
    </row>
    <row r="2364" spans="11:11" x14ac:dyDescent="0.35">
      <c r="K2364" s="110" t="str">
        <v>INV-2607-0154</v>
      </c>
    </row>
    <row r="2365" spans="11:11" x14ac:dyDescent="0.35">
      <c r="K2365" s="110" t="str">
        <v>INV-2607-0155</v>
      </c>
    </row>
    <row r="2366" spans="11:11" x14ac:dyDescent="0.35">
      <c r="K2366" s="110" t="str">
        <v>INV-2607-0156</v>
      </c>
    </row>
    <row r="2367" spans="11:11" x14ac:dyDescent="0.35">
      <c r="K2367" s="110" t="str">
        <v>INV-2607-0157</v>
      </c>
    </row>
    <row r="2368" spans="11:11" x14ac:dyDescent="0.35">
      <c r="K2368" s="110" t="str">
        <v>INV-2607-0158</v>
      </c>
    </row>
    <row r="2369" spans="11:11" x14ac:dyDescent="0.35">
      <c r="K2369" s="110" t="str">
        <v>INV-2607-0159</v>
      </c>
    </row>
    <row r="2370" spans="11:11" x14ac:dyDescent="0.35">
      <c r="K2370" s="110" t="str">
        <v>INV-2607-0160</v>
      </c>
    </row>
    <row r="2371" spans="11:11" x14ac:dyDescent="0.35">
      <c r="K2371" s="110" t="str">
        <v>INV-2607-0161</v>
      </c>
    </row>
    <row r="2372" spans="11:11" x14ac:dyDescent="0.35">
      <c r="K2372" s="110" t="str">
        <v>INV-2607-0162</v>
      </c>
    </row>
    <row r="2373" spans="11:11" x14ac:dyDescent="0.35">
      <c r="K2373" s="110" t="str">
        <v>INV-2607-0163</v>
      </c>
    </row>
    <row r="2374" spans="11:11" x14ac:dyDescent="0.35">
      <c r="K2374" s="110" t="str">
        <v>INV-2607-0164</v>
      </c>
    </row>
    <row r="2375" spans="11:11" x14ac:dyDescent="0.35">
      <c r="K2375" s="110" t="str">
        <v>INV-2607-0165</v>
      </c>
    </row>
    <row r="2376" spans="11:11" x14ac:dyDescent="0.35">
      <c r="K2376" s="110" t="str">
        <v>INV-2607-0166</v>
      </c>
    </row>
    <row r="2377" spans="11:11" x14ac:dyDescent="0.35">
      <c r="K2377" s="110" t="str">
        <v>INV-2607-0167</v>
      </c>
    </row>
    <row r="2378" spans="11:11" x14ac:dyDescent="0.35">
      <c r="K2378" s="110" t="str">
        <v>INV-2607-0168</v>
      </c>
    </row>
    <row r="2379" spans="11:11" x14ac:dyDescent="0.35">
      <c r="K2379" s="110" t="str">
        <v>INV-2607-0169</v>
      </c>
    </row>
    <row r="2380" spans="11:11" x14ac:dyDescent="0.35">
      <c r="K2380" s="110" t="str">
        <v>INV-2607-0170</v>
      </c>
    </row>
    <row r="2381" spans="11:11" x14ac:dyDescent="0.35">
      <c r="K2381" s="110" t="str">
        <v>INV-2607-0171</v>
      </c>
    </row>
    <row r="2382" spans="11:11" x14ac:dyDescent="0.35">
      <c r="K2382" s="110" t="str">
        <v>INV-2607-0172</v>
      </c>
    </row>
    <row r="2383" spans="11:11" x14ac:dyDescent="0.35">
      <c r="K2383" s="110" t="str">
        <v>INV-2607-0173</v>
      </c>
    </row>
    <row r="2384" spans="11:11" x14ac:dyDescent="0.35">
      <c r="K2384" s="110" t="str">
        <v>INV-2607-0174</v>
      </c>
    </row>
    <row r="2385" spans="11:11" x14ac:dyDescent="0.35">
      <c r="K2385" s="110" t="str">
        <v>INV-2607-0175</v>
      </c>
    </row>
    <row r="2386" spans="11:11" x14ac:dyDescent="0.35">
      <c r="K2386" s="110" t="str">
        <v>INV-2607-0176</v>
      </c>
    </row>
    <row r="2387" spans="11:11" x14ac:dyDescent="0.35">
      <c r="K2387" s="110" t="str">
        <v>INV-2607-0177</v>
      </c>
    </row>
    <row r="2388" spans="11:11" x14ac:dyDescent="0.35">
      <c r="K2388" s="110" t="str">
        <v>INV-2607-0178</v>
      </c>
    </row>
    <row r="2389" spans="11:11" x14ac:dyDescent="0.35">
      <c r="K2389" s="110" t="str">
        <v>INV-2607-0179</v>
      </c>
    </row>
    <row r="2390" spans="11:11" x14ac:dyDescent="0.35">
      <c r="K2390" s="110" t="str">
        <v>INV-2607-0180</v>
      </c>
    </row>
    <row r="2391" spans="11:11" x14ac:dyDescent="0.35">
      <c r="K2391" s="110" t="str">
        <v>INV-2607-0181</v>
      </c>
    </row>
    <row r="2392" spans="11:11" x14ac:dyDescent="0.35">
      <c r="K2392" s="110" t="str">
        <v>INV-2607-0182</v>
      </c>
    </row>
    <row r="2393" spans="11:11" x14ac:dyDescent="0.35">
      <c r="K2393" s="110" t="str">
        <v>INV-2607-0183</v>
      </c>
    </row>
    <row r="2394" spans="11:11" x14ac:dyDescent="0.35">
      <c r="K2394" s="110" t="str">
        <v>INV-2607-0184</v>
      </c>
    </row>
    <row r="2395" spans="11:11" x14ac:dyDescent="0.35">
      <c r="K2395" s="110" t="str">
        <v>INV-2607-0185</v>
      </c>
    </row>
    <row r="2396" spans="11:11" x14ac:dyDescent="0.35">
      <c r="K2396" s="110" t="str">
        <v>INV-2607-0186</v>
      </c>
    </row>
    <row r="2397" spans="11:11" x14ac:dyDescent="0.35">
      <c r="K2397" s="110" t="str">
        <v>INV-2607-0187</v>
      </c>
    </row>
    <row r="2398" spans="11:11" x14ac:dyDescent="0.35">
      <c r="K2398" s="110" t="str">
        <v>INV-2607-0188</v>
      </c>
    </row>
    <row r="2399" spans="11:11" x14ac:dyDescent="0.35">
      <c r="K2399" s="110" t="str">
        <v>INV-2607-0189</v>
      </c>
    </row>
    <row r="2400" spans="11:11" x14ac:dyDescent="0.35">
      <c r="K2400" s="110" t="str">
        <v>INV-2607-0190</v>
      </c>
    </row>
    <row r="2401" spans="11:11" x14ac:dyDescent="0.35">
      <c r="K2401" s="110" t="str">
        <v>INV-2607-0191</v>
      </c>
    </row>
    <row r="2402" spans="11:11" x14ac:dyDescent="0.35">
      <c r="K2402" s="110" t="str">
        <v>INV-2607-0192</v>
      </c>
    </row>
    <row r="2403" spans="11:11" x14ac:dyDescent="0.35">
      <c r="K2403" s="110" t="str">
        <v>INV-2607-0193</v>
      </c>
    </row>
    <row r="2404" spans="11:11" x14ac:dyDescent="0.35">
      <c r="K2404" s="110" t="str">
        <v>INV-2607-0194</v>
      </c>
    </row>
    <row r="2405" spans="11:11" x14ac:dyDescent="0.35">
      <c r="K2405" s="110" t="str">
        <v>INV-2607-0195</v>
      </c>
    </row>
    <row r="2406" spans="11:11" x14ac:dyDescent="0.35">
      <c r="K2406" s="110" t="str">
        <v>INV-2607-0196</v>
      </c>
    </row>
    <row r="2407" spans="11:11" x14ac:dyDescent="0.35">
      <c r="K2407" s="110" t="str">
        <v>INV-2607-0197</v>
      </c>
    </row>
    <row r="2408" spans="11:11" x14ac:dyDescent="0.35">
      <c r="K2408" s="110" t="str">
        <v>INV-2607-0198</v>
      </c>
    </row>
    <row r="2409" spans="11:11" x14ac:dyDescent="0.35">
      <c r="K2409" s="110" t="str">
        <v>INV-2607-0199</v>
      </c>
    </row>
    <row r="2410" spans="11:11" x14ac:dyDescent="0.35">
      <c r="K2410" s="110" t="str">
        <v>INV-2607-0200</v>
      </c>
    </row>
    <row r="2411" spans="11:11" x14ac:dyDescent="0.35">
      <c r="K2411" s="110" t="str">
        <v>INV-2607-0201</v>
      </c>
    </row>
    <row r="2412" spans="11:11" x14ac:dyDescent="0.35">
      <c r="K2412" s="110" t="str">
        <v>INV-2607-0202</v>
      </c>
    </row>
    <row r="2413" spans="11:11" x14ac:dyDescent="0.35">
      <c r="K2413" s="110" t="str">
        <v>INV-2607-0203</v>
      </c>
    </row>
    <row r="2414" spans="11:11" x14ac:dyDescent="0.35">
      <c r="K2414" s="110" t="str">
        <v>INV-2607-0204</v>
      </c>
    </row>
    <row r="2415" spans="11:11" x14ac:dyDescent="0.35">
      <c r="K2415" s="110" t="str">
        <v>INV-2607-0205</v>
      </c>
    </row>
    <row r="2416" spans="11:11" x14ac:dyDescent="0.35">
      <c r="K2416" s="110" t="str">
        <v>INV-2607-0206</v>
      </c>
    </row>
    <row r="2417" spans="11:11" x14ac:dyDescent="0.35">
      <c r="K2417" s="110" t="str">
        <v>INV-2607-0207</v>
      </c>
    </row>
    <row r="2418" spans="11:11" x14ac:dyDescent="0.35">
      <c r="K2418" s="110" t="str">
        <v>INV-2607-0208</v>
      </c>
    </row>
    <row r="2419" spans="11:11" x14ac:dyDescent="0.35">
      <c r="K2419" s="110" t="str">
        <v>INV-2607-0209</v>
      </c>
    </row>
    <row r="2420" spans="11:11" x14ac:dyDescent="0.35">
      <c r="K2420" s="110" t="str">
        <v>INV-2607-0210</v>
      </c>
    </row>
    <row r="2421" spans="11:11" x14ac:dyDescent="0.35">
      <c r="K2421" s="110" t="str">
        <v>INV-2607-0211</v>
      </c>
    </row>
    <row r="2422" spans="11:11" x14ac:dyDescent="0.35">
      <c r="K2422" s="110" t="str">
        <v>INV-2607-0212</v>
      </c>
    </row>
    <row r="2423" spans="11:11" x14ac:dyDescent="0.35">
      <c r="K2423" s="110" t="str">
        <v>INV-2607-0213</v>
      </c>
    </row>
    <row r="2424" spans="11:11" x14ac:dyDescent="0.35">
      <c r="K2424" s="110" t="str">
        <v>INV-2607-0214</v>
      </c>
    </row>
    <row r="2425" spans="11:11" x14ac:dyDescent="0.35">
      <c r="K2425" s="110" t="str">
        <v>INV-2607-0215</v>
      </c>
    </row>
    <row r="2426" spans="11:11" x14ac:dyDescent="0.35">
      <c r="K2426" s="110" t="str">
        <v>INV-2607-0216</v>
      </c>
    </row>
    <row r="2427" spans="11:11" x14ac:dyDescent="0.35">
      <c r="K2427" s="110" t="str">
        <v>INV-2607-0217</v>
      </c>
    </row>
    <row r="2428" spans="11:11" x14ac:dyDescent="0.35">
      <c r="K2428" s="110" t="str">
        <v>INV-2607-0218</v>
      </c>
    </row>
    <row r="2429" spans="11:11" x14ac:dyDescent="0.35">
      <c r="K2429" s="110" t="str">
        <v>INV-2607-0219</v>
      </c>
    </row>
    <row r="2430" spans="11:11" x14ac:dyDescent="0.35">
      <c r="K2430" s="110" t="str">
        <v>INV-2607-0220</v>
      </c>
    </row>
    <row r="2431" spans="11:11" x14ac:dyDescent="0.35">
      <c r="K2431" s="110" t="str">
        <v>INV-2607-0221</v>
      </c>
    </row>
    <row r="2432" spans="11:11" x14ac:dyDescent="0.35">
      <c r="K2432" s="110" t="str">
        <v>INV-2607-0222</v>
      </c>
    </row>
    <row r="2433" spans="11:11" x14ac:dyDescent="0.35">
      <c r="K2433" s="110" t="str">
        <v>INV-2607-0223</v>
      </c>
    </row>
    <row r="2434" spans="11:11" x14ac:dyDescent="0.35">
      <c r="K2434" s="110" t="str">
        <v>INV-2607-0224</v>
      </c>
    </row>
    <row r="2435" spans="11:11" x14ac:dyDescent="0.35">
      <c r="K2435" s="110" t="str">
        <v>INV-2607-0225</v>
      </c>
    </row>
    <row r="2436" spans="11:11" x14ac:dyDescent="0.35">
      <c r="K2436" s="110" t="str">
        <v>INV-2607-0226</v>
      </c>
    </row>
    <row r="2437" spans="11:11" x14ac:dyDescent="0.35">
      <c r="K2437" s="110" t="str">
        <v>INV-2607-0227</v>
      </c>
    </row>
    <row r="2438" spans="11:11" x14ac:dyDescent="0.35">
      <c r="K2438" s="110" t="str">
        <v>INV-2607-0228</v>
      </c>
    </row>
    <row r="2439" spans="11:11" x14ac:dyDescent="0.35">
      <c r="K2439" s="110" t="str">
        <v>INV-2607-0229</v>
      </c>
    </row>
    <row r="2440" spans="11:11" x14ac:dyDescent="0.35">
      <c r="K2440" s="110" t="str">
        <v>INV-2607-0230</v>
      </c>
    </row>
    <row r="2441" spans="11:11" x14ac:dyDescent="0.35">
      <c r="K2441" s="110" t="str">
        <v>INV-2607-0231</v>
      </c>
    </row>
    <row r="2442" spans="11:11" x14ac:dyDescent="0.35">
      <c r="K2442" s="110" t="str">
        <v>INV-2607-0232</v>
      </c>
    </row>
    <row r="2443" spans="11:11" x14ac:dyDescent="0.35">
      <c r="K2443" s="110" t="str">
        <v>INV-2607-0233</v>
      </c>
    </row>
    <row r="2444" spans="11:11" x14ac:dyDescent="0.35">
      <c r="K2444" s="110" t="str">
        <v>INV-2607-0234</v>
      </c>
    </row>
    <row r="2445" spans="11:11" x14ac:dyDescent="0.35">
      <c r="K2445" s="110" t="str">
        <v>INV-2607-0235</v>
      </c>
    </row>
    <row r="2446" spans="11:11" x14ac:dyDescent="0.35">
      <c r="K2446" s="110" t="str">
        <v>INV-2607-0236</v>
      </c>
    </row>
    <row r="2447" spans="11:11" x14ac:dyDescent="0.35">
      <c r="K2447" s="110" t="str">
        <v>INV-2607-0237</v>
      </c>
    </row>
    <row r="2448" spans="11:11" x14ac:dyDescent="0.35">
      <c r="K2448" s="110" t="str">
        <v>INV-2607-0238</v>
      </c>
    </row>
    <row r="2449" spans="11:11" x14ac:dyDescent="0.35">
      <c r="K2449" s="110" t="str">
        <v>INV-2607-0239</v>
      </c>
    </row>
    <row r="2450" spans="11:11" x14ac:dyDescent="0.35">
      <c r="K2450" s="110" t="str">
        <v>INV-2607-0240</v>
      </c>
    </row>
    <row r="2451" spans="11:11" x14ac:dyDescent="0.35">
      <c r="K2451" s="110" t="str">
        <v>INV-2607-0241</v>
      </c>
    </row>
    <row r="2452" spans="11:11" x14ac:dyDescent="0.35">
      <c r="K2452" s="110" t="str">
        <v>INV-2607-0242</v>
      </c>
    </row>
    <row r="2453" spans="11:11" x14ac:dyDescent="0.35">
      <c r="K2453" s="110" t="str">
        <v>INV-2607-0243</v>
      </c>
    </row>
    <row r="2454" spans="11:11" x14ac:dyDescent="0.35">
      <c r="K2454" s="110" t="str">
        <v>INV-2607-0244</v>
      </c>
    </row>
    <row r="2455" spans="11:11" x14ac:dyDescent="0.35">
      <c r="K2455" s="110" t="str">
        <v>INV-2607-0245</v>
      </c>
    </row>
    <row r="2456" spans="11:11" x14ac:dyDescent="0.35">
      <c r="K2456" s="110" t="str">
        <v>INV-2607-0246</v>
      </c>
    </row>
    <row r="2457" spans="11:11" x14ac:dyDescent="0.35">
      <c r="K2457" s="110" t="str">
        <v>INV-2607-0247</v>
      </c>
    </row>
    <row r="2458" spans="11:11" x14ac:dyDescent="0.35">
      <c r="K2458" s="110" t="str">
        <v>INV-2607-0248</v>
      </c>
    </row>
    <row r="2459" spans="11:11" x14ac:dyDescent="0.35">
      <c r="K2459" s="110" t="str">
        <v>INV-2607-0249</v>
      </c>
    </row>
    <row r="2460" spans="11:11" x14ac:dyDescent="0.35">
      <c r="K2460" s="110" t="str">
        <v>INV-2607-0250</v>
      </c>
    </row>
    <row r="2461" spans="11:11" x14ac:dyDescent="0.35">
      <c r="K2461" s="110" t="str">
        <v>INV-2607-0251</v>
      </c>
    </row>
    <row r="2462" spans="11:11" x14ac:dyDescent="0.35">
      <c r="K2462" s="110" t="str">
        <v>INV-2607-0252</v>
      </c>
    </row>
    <row r="2463" spans="11:11" x14ac:dyDescent="0.35">
      <c r="K2463" s="110" t="str">
        <v>INV-2607-0253</v>
      </c>
    </row>
    <row r="2464" spans="11:11" x14ac:dyDescent="0.35">
      <c r="K2464" s="110" t="str">
        <v>INV-2607-0254</v>
      </c>
    </row>
    <row r="2465" spans="11:11" x14ac:dyDescent="0.35">
      <c r="K2465" s="110" t="str">
        <v>INV-2607-0255</v>
      </c>
    </row>
    <row r="2466" spans="11:11" x14ac:dyDescent="0.35">
      <c r="K2466" s="110" t="str">
        <v>INV-2607-0256</v>
      </c>
    </row>
    <row r="2467" spans="11:11" x14ac:dyDescent="0.35">
      <c r="K2467" s="110" t="str">
        <v>INV-2607-0257</v>
      </c>
    </row>
    <row r="2468" spans="11:11" x14ac:dyDescent="0.35">
      <c r="K2468" s="110" t="str">
        <v>INV-2607-0258</v>
      </c>
    </row>
    <row r="2469" spans="11:11" x14ac:dyDescent="0.35">
      <c r="K2469" s="110" t="str">
        <v>INV-2607-0259</v>
      </c>
    </row>
    <row r="2470" spans="11:11" x14ac:dyDescent="0.35">
      <c r="K2470" s="110" t="str">
        <v>INV-2607-0260</v>
      </c>
    </row>
    <row r="2471" spans="11:11" x14ac:dyDescent="0.35">
      <c r="K2471" s="110" t="str">
        <v>INV-2607-0261</v>
      </c>
    </row>
    <row r="2472" spans="11:11" x14ac:dyDescent="0.35">
      <c r="K2472" s="110" t="str">
        <v>INV-2607-0262</v>
      </c>
    </row>
    <row r="2473" spans="11:11" x14ac:dyDescent="0.35">
      <c r="K2473" s="110" t="str">
        <v>INV-2607-0263</v>
      </c>
    </row>
    <row r="2474" spans="11:11" x14ac:dyDescent="0.35">
      <c r="K2474" s="110" t="str">
        <v>INV-2607-0264</v>
      </c>
    </row>
    <row r="2475" spans="11:11" x14ac:dyDescent="0.35">
      <c r="K2475" s="110" t="str">
        <v>INV-2607-0265</v>
      </c>
    </row>
    <row r="2476" spans="11:11" x14ac:dyDescent="0.35">
      <c r="K2476" s="110" t="str">
        <v>INV-2607-0266</v>
      </c>
    </row>
    <row r="2477" spans="11:11" x14ac:dyDescent="0.35">
      <c r="K2477" s="110" t="str">
        <v>INV-2607-0267</v>
      </c>
    </row>
    <row r="2478" spans="11:11" x14ac:dyDescent="0.35">
      <c r="K2478" s="110" t="str">
        <v>INV-2607-0268</v>
      </c>
    </row>
    <row r="2479" spans="11:11" x14ac:dyDescent="0.35">
      <c r="K2479" s="110" t="str">
        <v>INV-2607-0269</v>
      </c>
    </row>
    <row r="2480" spans="11:11" x14ac:dyDescent="0.35">
      <c r="K2480" s="110" t="str">
        <v>INV-2607-0270</v>
      </c>
    </row>
    <row r="2481" spans="11:11" x14ac:dyDescent="0.35">
      <c r="K2481" s="110" t="str">
        <v>INV-2607-0271</v>
      </c>
    </row>
    <row r="2482" spans="11:11" x14ac:dyDescent="0.35">
      <c r="K2482" s="110" t="str">
        <v>INV-2607-0272</v>
      </c>
    </row>
    <row r="2483" spans="11:11" x14ac:dyDescent="0.35">
      <c r="K2483" s="110" t="str">
        <v>INV-2607-0273</v>
      </c>
    </row>
    <row r="2484" spans="11:11" x14ac:dyDescent="0.35">
      <c r="K2484" s="110" t="str">
        <v>INV-2607-0274</v>
      </c>
    </row>
    <row r="2485" spans="11:11" x14ac:dyDescent="0.35">
      <c r="K2485" s="110" t="str">
        <v>INV-2607-0275</v>
      </c>
    </row>
    <row r="2486" spans="11:11" x14ac:dyDescent="0.35">
      <c r="K2486" s="110" t="str">
        <v>INV-2607-0276</v>
      </c>
    </row>
    <row r="2487" spans="11:11" x14ac:dyDescent="0.35">
      <c r="K2487" s="110" t="str">
        <v>INV-2607-0277</v>
      </c>
    </row>
    <row r="2488" spans="11:11" x14ac:dyDescent="0.35">
      <c r="K2488" s="110" t="str">
        <v>INV-2607-0278</v>
      </c>
    </row>
    <row r="2489" spans="11:11" x14ac:dyDescent="0.35">
      <c r="K2489" s="110" t="str">
        <v>INV-2607-0279</v>
      </c>
    </row>
    <row r="2490" spans="11:11" x14ac:dyDescent="0.35">
      <c r="K2490" s="110" t="str">
        <v>INV-2607-0280</v>
      </c>
    </row>
    <row r="2491" spans="11:11" x14ac:dyDescent="0.35">
      <c r="K2491" s="110" t="str">
        <v>INV-2607-0281</v>
      </c>
    </row>
    <row r="2492" spans="11:11" x14ac:dyDescent="0.35">
      <c r="K2492" s="110" t="str">
        <v>INV-2607-0282</v>
      </c>
    </row>
    <row r="2493" spans="11:11" x14ac:dyDescent="0.35">
      <c r="K2493" s="110" t="str">
        <v>INV-2607-0283</v>
      </c>
    </row>
    <row r="2494" spans="11:11" x14ac:dyDescent="0.35">
      <c r="K2494" s="110" t="str">
        <v>INV-2607-0284</v>
      </c>
    </row>
    <row r="2495" spans="11:11" x14ac:dyDescent="0.35">
      <c r="K2495" s="110" t="str">
        <v>INV-2607-0285</v>
      </c>
    </row>
    <row r="2496" spans="11:11" x14ac:dyDescent="0.35">
      <c r="K2496" s="110" t="str">
        <v>INV-2607-0286</v>
      </c>
    </row>
    <row r="2497" spans="11:11" x14ac:dyDescent="0.35">
      <c r="K2497" s="110" t="str">
        <v>INV-2607-0287</v>
      </c>
    </row>
    <row r="2498" spans="11:11" x14ac:dyDescent="0.35">
      <c r="K2498" s="110" t="str">
        <v>INV-2607-0288</v>
      </c>
    </row>
    <row r="2499" spans="11:11" x14ac:dyDescent="0.35">
      <c r="K2499" s="110" t="str">
        <v>INV-2607-0289</v>
      </c>
    </row>
    <row r="2500" spans="11:11" x14ac:dyDescent="0.35">
      <c r="K2500" s="110" t="str">
        <v>INV-2607-0290</v>
      </c>
    </row>
    <row r="2501" spans="11:11" x14ac:dyDescent="0.35">
      <c r="K2501" s="110" t="str">
        <v>INV-2607-0291</v>
      </c>
    </row>
    <row r="2502" spans="11:11" x14ac:dyDescent="0.35">
      <c r="K2502" s="110" t="str">
        <v>INV-2607-0292</v>
      </c>
    </row>
    <row r="2503" spans="11:11" x14ac:dyDescent="0.35">
      <c r="K2503" s="110" t="str">
        <v>INV-2607-0293</v>
      </c>
    </row>
    <row r="2504" spans="11:11" x14ac:dyDescent="0.35">
      <c r="K2504" s="110" t="str">
        <v>INV-2607-0294</v>
      </c>
    </row>
    <row r="2505" spans="11:11" x14ac:dyDescent="0.35">
      <c r="K2505" s="110" t="str">
        <v>INV-2607-0295</v>
      </c>
    </row>
    <row r="2506" spans="11:11" x14ac:dyDescent="0.35">
      <c r="K2506" s="110" t="str">
        <v>INV-2607-0296</v>
      </c>
    </row>
    <row r="2507" spans="11:11" x14ac:dyDescent="0.35">
      <c r="K2507" s="110" t="str">
        <v>INV-2607-0297</v>
      </c>
    </row>
    <row r="2508" spans="11:11" x14ac:dyDescent="0.35">
      <c r="K2508" s="110" t="str">
        <v>INV-2607-0298</v>
      </c>
    </row>
    <row r="2509" spans="11:11" x14ac:dyDescent="0.35">
      <c r="K2509" s="110" t="str">
        <v>INV-2607-0299</v>
      </c>
    </row>
    <row r="2510" spans="11:11" x14ac:dyDescent="0.35">
      <c r="K2510" s="110" t="str">
        <v>INV-2607-0300</v>
      </c>
    </row>
    <row r="2511" spans="11:11" x14ac:dyDescent="0.35">
      <c r="K2511" s="110" t="str">
        <v>INV-2607-0301</v>
      </c>
    </row>
    <row r="2512" spans="11:11" x14ac:dyDescent="0.35">
      <c r="K2512" s="110" t="str">
        <v>INV-2607-0302</v>
      </c>
    </row>
    <row r="2513" spans="11:11" x14ac:dyDescent="0.35">
      <c r="K2513" s="110" t="str">
        <v>INV-2607-0303</v>
      </c>
    </row>
    <row r="2514" spans="11:11" x14ac:dyDescent="0.35">
      <c r="K2514" s="110" t="str">
        <v>INV-2607-0304</v>
      </c>
    </row>
    <row r="2515" spans="11:11" x14ac:dyDescent="0.35">
      <c r="K2515" s="110" t="str">
        <v>INV-2607-0305</v>
      </c>
    </row>
    <row r="2516" spans="11:11" x14ac:dyDescent="0.35">
      <c r="K2516" s="110" t="str">
        <v>INV-2607-0306</v>
      </c>
    </row>
    <row r="2517" spans="11:11" x14ac:dyDescent="0.35">
      <c r="K2517" s="110" t="str">
        <v>INV-2607-0307</v>
      </c>
    </row>
    <row r="2518" spans="11:11" x14ac:dyDescent="0.35">
      <c r="K2518" s="110" t="str">
        <v>INV-2607-0308</v>
      </c>
    </row>
    <row r="2519" spans="11:11" x14ac:dyDescent="0.35">
      <c r="K2519" s="110" t="str">
        <v>INV-2607-0309</v>
      </c>
    </row>
    <row r="2520" spans="11:11" x14ac:dyDescent="0.35">
      <c r="K2520" s="110" t="str">
        <v>INV-2607-0310</v>
      </c>
    </row>
    <row r="2521" spans="11:11" x14ac:dyDescent="0.35">
      <c r="K2521" s="110" t="str">
        <v>INV-2607-0311</v>
      </c>
    </row>
    <row r="2522" spans="11:11" x14ac:dyDescent="0.35">
      <c r="K2522" s="110" t="str">
        <v>INV-2607-0312</v>
      </c>
    </row>
    <row r="2523" spans="11:11" x14ac:dyDescent="0.35">
      <c r="K2523" s="110" t="str">
        <v>INV-2607-0313</v>
      </c>
    </row>
    <row r="2524" spans="11:11" x14ac:dyDescent="0.35">
      <c r="K2524" s="110" t="str">
        <v>INV-2607-0314</v>
      </c>
    </row>
    <row r="2525" spans="11:11" x14ac:dyDescent="0.35">
      <c r="K2525" s="110" t="str">
        <v>INV-2607-0315</v>
      </c>
    </row>
    <row r="2526" spans="11:11" x14ac:dyDescent="0.35">
      <c r="K2526" s="110" t="str">
        <v>INV-2607-0316</v>
      </c>
    </row>
    <row r="2527" spans="11:11" x14ac:dyDescent="0.35">
      <c r="K2527" s="110" t="str">
        <v>INV-2607-0317</v>
      </c>
    </row>
    <row r="2528" spans="11:11" x14ac:dyDescent="0.35">
      <c r="K2528" s="110" t="str">
        <v>INV-2607-0318</v>
      </c>
    </row>
    <row r="2529" spans="11:11" x14ac:dyDescent="0.35">
      <c r="K2529" s="110" t="str">
        <v>INV-2607-0319</v>
      </c>
    </row>
    <row r="2530" spans="11:11" x14ac:dyDescent="0.35">
      <c r="K2530" s="110" t="str">
        <v>INV-2607-0320</v>
      </c>
    </row>
    <row r="2531" spans="11:11" x14ac:dyDescent="0.35">
      <c r="K2531" s="110" t="str">
        <v>INV-2607-0321</v>
      </c>
    </row>
    <row r="2532" spans="11:11" x14ac:dyDescent="0.35">
      <c r="K2532" s="110" t="str">
        <v>INV-2607-0322</v>
      </c>
    </row>
    <row r="2533" spans="11:11" x14ac:dyDescent="0.35">
      <c r="K2533" s="110" t="str">
        <v>INV-2607-0323</v>
      </c>
    </row>
    <row r="2534" spans="11:11" x14ac:dyDescent="0.35">
      <c r="K2534" s="110" t="str">
        <v>INV-2607-0324</v>
      </c>
    </row>
    <row r="2535" spans="11:11" x14ac:dyDescent="0.35">
      <c r="K2535" s="110" t="str">
        <v>INV-2607-0325</v>
      </c>
    </row>
    <row r="2536" spans="11:11" x14ac:dyDescent="0.35">
      <c r="K2536" s="110" t="str">
        <v>INV-2607-0326</v>
      </c>
    </row>
    <row r="2537" spans="11:11" x14ac:dyDescent="0.35">
      <c r="K2537" s="110" t="str">
        <v>INV-2607-0327</v>
      </c>
    </row>
    <row r="2538" spans="11:11" x14ac:dyDescent="0.35">
      <c r="K2538" s="110" t="str">
        <v>INV-2607-0328</v>
      </c>
    </row>
    <row r="2539" spans="11:11" x14ac:dyDescent="0.35">
      <c r="K2539" s="110" t="str">
        <v>INV-2607-0329</v>
      </c>
    </row>
    <row r="2540" spans="11:11" x14ac:dyDescent="0.35">
      <c r="K2540" s="110" t="str">
        <v>INV-2607-0330</v>
      </c>
    </row>
    <row r="2541" spans="11:11" x14ac:dyDescent="0.35">
      <c r="K2541" s="110" t="str">
        <v>INV-2607-0331</v>
      </c>
    </row>
    <row r="2542" spans="11:11" x14ac:dyDescent="0.35">
      <c r="K2542" s="110" t="str">
        <v>INV-2607-0332</v>
      </c>
    </row>
    <row r="2543" spans="11:11" x14ac:dyDescent="0.35">
      <c r="K2543" s="110" t="str">
        <v>INV-2607-0333</v>
      </c>
    </row>
    <row r="2544" spans="11:11" x14ac:dyDescent="0.35">
      <c r="K2544" s="110" t="str">
        <v>INV-2607-0334</v>
      </c>
    </row>
    <row r="2545" spans="11:11" x14ac:dyDescent="0.35">
      <c r="K2545" s="110" t="str">
        <v>INV-2607-0335</v>
      </c>
    </row>
    <row r="2546" spans="11:11" x14ac:dyDescent="0.35">
      <c r="K2546" s="110" t="str">
        <v>INV-2607-0336</v>
      </c>
    </row>
    <row r="2547" spans="11:11" x14ac:dyDescent="0.35">
      <c r="K2547" s="110" t="str">
        <v>INV-2607-0337</v>
      </c>
    </row>
    <row r="2548" spans="11:11" x14ac:dyDescent="0.35">
      <c r="K2548" s="110" t="str">
        <v>INV-2607-0338</v>
      </c>
    </row>
    <row r="2549" spans="11:11" x14ac:dyDescent="0.35">
      <c r="K2549" s="110" t="str">
        <v>INV-2607-0339</v>
      </c>
    </row>
    <row r="2550" spans="11:11" x14ac:dyDescent="0.35">
      <c r="K2550" s="110" t="str">
        <v>INV-2607-0340</v>
      </c>
    </row>
    <row r="2551" spans="11:11" x14ac:dyDescent="0.35">
      <c r="K2551" s="110" t="str">
        <v>INV-2607-0341</v>
      </c>
    </row>
    <row r="2552" spans="11:11" x14ac:dyDescent="0.35">
      <c r="K2552" s="110" t="str">
        <v>INV-2607-0342</v>
      </c>
    </row>
    <row r="2553" spans="11:11" x14ac:dyDescent="0.35">
      <c r="K2553" s="110" t="str">
        <v>INV-2607-0343</v>
      </c>
    </row>
    <row r="2554" spans="11:11" x14ac:dyDescent="0.35">
      <c r="K2554" s="110" t="str">
        <v>INV-2607-0344</v>
      </c>
    </row>
    <row r="2555" spans="11:11" x14ac:dyDescent="0.35">
      <c r="K2555" s="110" t="str">
        <v>INV-2607-0345</v>
      </c>
    </row>
    <row r="2556" spans="11:11" x14ac:dyDescent="0.35">
      <c r="K2556" s="110" t="str">
        <v>INV-2607-0346</v>
      </c>
    </row>
    <row r="2557" spans="11:11" x14ac:dyDescent="0.35">
      <c r="K2557" s="110" t="str">
        <v>INV-2607-0347</v>
      </c>
    </row>
    <row r="2558" spans="11:11" x14ac:dyDescent="0.35">
      <c r="K2558" s="110" t="str">
        <v>INV-2607-0348</v>
      </c>
    </row>
    <row r="2559" spans="11:11" x14ac:dyDescent="0.35">
      <c r="K2559" s="110" t="str">
        <v>INV-2607-0349</v>
      </c>
    </row>
    <row r="2560" spans="11:11" x14ac:dyDescent="0.35">
      <c r="K2560" s="110" t="str">
        <v>INV-2607-0350</v>
      </c>
    </row>
    <row r="2561" spans="11:11" x14ac:dyDescent="0.35">
      <c r="K2561" s="110" t="str">
        <v>INV-2607-0351</v>
      </c>
    </row>
    <row r="2562" spans="11:11" x14ac:dyDescent="0.35">
      <c r="K2562" s="110" t="str">
        <v>INV-2607-0352</v>
      </c>
    </row>
    <row r="2563" spans="11:11" x14ac:dyDescent="0.35">
      <c r="K2563" s="110" t="str">
        <v>INV-2607-0353</v>
      </c>
    </row>
    <row r="2564" spans="11:11" x14ac:dyDescent="0.35">
      <c r="K2564" s="110" t="str">
        <v>INV-2607-0354</v>
      </c>
    </row>
    <row r="2565" spans="11:11" x14ac:dyDescent="0.35">
      <c r="K2565" s="110" t="str">
        <v>INV-2607-0355</v>
      </c>
    </row>
    <row r="2566" spans="11:11" x14ac:dyDescent="0.35">
      <c r="K2566" s="110" t="str">
        <v>INV-2607-0356</v>
      </c>
    </row>
    <row r="2567" spans="11:11" x14ac:dyDescent="0.35">
      <c r="K2567" s="110" t="str">
        <v>INV-2607-0357</v>
      </c>
    </row>
    <row r="2568" spans="11:11" x14ac:dyDescent="0.35">
      <c r="K2568" s="110" t="str">
        <v>INV-2607-0358</v>
      </c>
    </row>
    <row r="2569" spans="11:11" x14ac:dyDescent="0.35">
      <c r="K2569" s="110" t="str">
        <v>INV-2607-0359</v>
      </c>
    </row>
    <row r="2570" spans="11:11" x14ac:dyDescent="0.35">
      <c r="K2570" s="110" t="str">
        <v>INV-2607-0360</v>
      </c>
    </row>
    <row r="2571" spans="11:11" x14ac:dyDescent="0.35">
      <c r="K2571" s="110" t="str">
        <v>INV-2607-0361</v>
      </c>
    </row>
    <row r="2572" spans="11:11" x14ac:dyDescent="0.35">
      <c r="K2572" s="110" t="str">
        <v>INV-2607-0362</v>
      </c>
    </row>
    <row r="2573" spans="11:11" x14ac:dyDescent="0.35">
      <c r="K2573" s="110" t="str">
        <v>INV-2607-0363</v>
      </c>
    </row>
    <row r="2574" spans="11:11" x14ac:dyDescent="0.35">
      <c r="K2574" s="110" t="str">
        <v>INV-2607-0364</v>
      </c>
    </row>
    <row r="2575" spans="11:11" x14ac:dyDescent="0.35">
      <c r="K2575" s="110" t="str">
        <v>INV-2607-0365</v>
      </c>
    </row>
    <row r="2576" spans="11:11" x14ac:dyDescent="0.35">
      <c r="K2576" s="110" t="str">
        <v>INV-2607-0366</v>
      </c>
    </row>
    <row r="2577" spans="11:11" x14ac:dyDescent="0.35">
      <c r="K2577" s="110" t="str">
        <v>INV-2607-0367</v>
      </c>
    </row>
    <row r="2578" spans="11:11" x14ac:dyDescent="0.35">
      <c r="K2578" s="110" t="str">
        <v>INV-2607-0368</v>
      </c>
    </row>
    <row r="2579" spans="11:11" x14ac:dyDescent="0.35">
      <c r="K2579" s="110" t="str">
        <v>INV-2607-0369</v>
      </c>
    </row>
    <row r="2580" spans="11:11" x14ac:dyDescent="0.35">
      <c r="K2580" s="110" t="str">
        <v>INV-2607-0370</v>
      </c>
    </row>
    <row r="2581" spans="11:11" x14ac:dyDescent="0.35">
      <c r="K2581" s="110" t="str">
        <v>INV-2607-0371</v>
      </c>
    </row>
    <row r="2582" spans="11:11" x14ac:dyDescent="0.35">
      <c r="K2582" s="110" t="str">
        <v>INV-2607-0372</v>
      </c>
    </row>
    <row r="2583" spans="11:11" x14ac:dyDescent="0.35">
      <c r="K2583" s="110" t="str">
        <v>INV-2607-0373</v>
      </c>
    </row>
    <row r="2584" spans="11:11" x14ac:dyDescent="0.35">
      <c r="K2584" s="110" t="str">
        <v>INV-2607-0374</v>
      </c>
    </row>
    <row r="2585" spans="11:11" x14ac:dyDescent="0.35">
      <c r="K2585" s="110" t="str">
        <v>INV-2607-0375</v>
      </c>
    </row>
    <row r="2586" spans="11:11" x14ac:dyDescent="0.35">
      <c r="K2586" s="110" t="str">
        <v>INV-2607-0376</v>
      </c>
    </row>
    <row r="2587" spans="11:11" x14ac:dyDescent="0.35">
      <c r="K2587" s="110" t="str">
        <v>INV-2607-0377</v>
      </c>
    </row>
    <row r="2588" spans="11:11" x14ac:dyDescent="0.35">
      <c r="K2588" s="110" t="str">
        <v>INV-2607-0378</v>
      </c>
    </row>
    <row r="2589" spans="11:11" x14ac:dyDescent="0.35">
      <c r="K2589" s="110" t="str">
        <v>INV-2607-0379</v>
      </c>
    </row>
    <row r="2590" spans="11:11" x14ac:dyDescent="0.35">
      <c r="K2590" s="110" t="str">
        <v>INV-2607-0380</v>
      </c>
    </row>
    <row r="2591" spans="11:11" x14ac:dyDescent="0.35">
      <c r="K2591" s="110" t="str">
        <v>INV-2607-0381</v>
      </c>
    </row>
    <row r="2592" spans="11:11" x14ac:dyDescent="0.35">
      <c r="K2592" s="110" t="str">
        <v>INV-2607-0382</v>
      </c>
    </row>
    <row r="2593" spans="11:11" x14ac:dyDescent="0.35">
      <c r="K2593" s="110" t="str">
        <v>INV-2607-0383</v>
      </c>
    </row>
    <row r="2594" spans="11:11" x14ac:dyDescent="0.35">
      <c r="K2594" s="110" t="str">
        <v>INV-2607-0384</v>
      </c>
    </row>
    <row r="2595" spans="11:11" x14ac:dyDescent="0.35">
      <c r="K2595" s="110" t="str">
        <v>INV-2607-0385</v>
      </c>
    </row>
    <row r="2596" spans="11:11" x14ac:dyDescent="0.35">
      <c r="K2596" s="110" t="str">
        <v>INV-2607-0386</v>
      </c>
    </row>
    <row r="2597" spans="11:11" x14ac:dyDescent="0.35">
      <c r="K2597" s="110" t="str">
        <v>INV-2607-0387</v>
      </c>
    </row>
    <row r="2598" spans="11:11" x14ac:dyDescent="0.35">
      <c r="K2598" s="110" t="str">
        <v>INV-2607-0388</v>
      </c>
    </row>
    <row r="2599" spans="11:11" x14ac:dyDescent="0.35">
      <c r="K2599" s="110" t="str">
        <v>INV-2607-0389</v>
      </c>
    </row>
    <row r="2600" spans="11:11" x14ac:dyDescent="0.35">
      <c r="K2600" s="110" t="str">
        <v>INV-2607-0390</v>
      </c>
    </row>
    <row r="2601" spans="11:11" x14ac:dyDescent="0.35">
      <c r="K2601" s="110" t="str">
        <v>INV-2607-0391</v>
      </c>
    </row>
    <row r="2602" spans="11:11" x14ac:dyDescent="0.35">
      <c r="K2602" s="110" t="str">
        <v>INV-2607-0392</v>
      </c>
    </row>
    <row r="2603" spans="11:11" x14ac:dyDescent="0.35">
      <c r="K2603" s="110" t="str">
        <v>INV-2608-0001</v>
      </c>
    </row>
    <row r="2604" spans="11:11" x14ac:dyDescent="0.35">
      <c r="K2604" s="110" t="str">
        <v>INV-2608-0002</v>
      </c>
    </row>
    <row r="2605" spans="11:11" x14ac:dyDescent="0.35">
      <c r="K2605" s="110" t="str">
        <v>INV-2608-0003</v>
      </c>
    </row>
    <row r="2606" spans="11:11" x14ac:dyDescent="0.35">
      <c r="K2606" s="110" t="str">
        <v>INV-2608-0004</v>
      </c>
    </row>
    <row r="2607" spans="11:11" x14ac:dyDescent="0.35">
      <c r="K2607" s="110" t="str">
        <v>INV-2608-0005</v>
      </c>
    </row>
    <row r="2608" spans="11:11" x14ac:dyDescent="0.35">
      <c r="K2608" s="110" t="str">
        <v>INV-2608-0006</v>
      </c>
    </row>
    <row r="2609" spans="11:11" x14ac:dyDescent="0.35">
      <c r="K2609" s="110" t="str">
        <v>INV-2608-0007</v>
      </c>
    </row>
    <row r="2610" spans="11:11" x14ac:dyDescent="0.35">
      <c r="K2610" s="110" t="str">
        <v>INV-2608-0008</v>
      </c>
    </row>
    <row r="2611" spans="11:11" x14ac:dyDescent="0.35">
      <c r="K2611" s="110" t="str">
        <v>INV-2608-0009</v>
      </c>
    </row>
    <row r="2612" spans="11:11" x14ac:dyDescent="0.35">
      <c r="K2612" s="110" t="str">
        <v>INV-2608-0010</v>
      </c>
    </row>
    <row r="2613" spans="11:11" x14ac:dyDescent="0.35">
      <c r="K2613" s="110" t="str">
        <v>INV-2608-0011</v>
      </c>
    </row>
    <row r="2614" spans="11:11" x14ac:dyDescent="0.35">
      <c r="K2614" s="110" t="str">
        <v>INV-2608-0012</v>
      </c>
    </row>
    <row r="2615" spans="11:11" x14ac:dyDescent="0.35">
      <c r="K2615" s="110" t="str">
        <v>INV-2608-0013</v>
      </c>
    </row>
    <row r="2616" spans="11:11" x14ac:dyDescent="0.35">
      <c r="K2616" s="110" t="str">
        <v>INV-2608-0014</v>
      </c>
    </row>
    <row r="2617" spans="11:11" x14ac:dyDescent="0.35">
      <c r="K2617" s="110" t="str">
        <v>INV-2608-0015</v>
      </c>
    </row>
    <row r="2618" spans="11:11" x14ac:dyDescent="0.35">
      <c r="K2618" s="110" t="str">
        <v>INV-2608-0016</v>
      </c>
    </row>
    <row r="2619" spans="11:11" x14ac:dyDescent="0.35">
      <c r="K2619" s="110" t="str">
        <v>INV-2608-0017</v>
      </c>
    </row>
    <row r="2620" spans="11:11" x14ac:dyDescent="0.35">
      <c r="K2620" s="110" t="str">
        <v>INV-2608-0018</v>
      </c>
    </row>
    <row r="2621" spans="11:11" x14ac:dyDescent="0.35">
      <c r="K2621" s="110" t="str">
        <v>INV-2608-0019</v>
      </c>
    </row>
    <row r="2622" spans="11:11" x14ac:dyDescent="0.35">
      <c r="K2622" s="110" t="str">
        <v>INV-2608-0020</v>
      </c>
    </row>
    <row r="2623" spans="11:11" x14ac:dyDescent="0.35">
      <c r="K2623" s="110" t="str">
        <v>INV-2608-0021</v>
      </c>
    </row>
    <row r="2624" spans="11:11" x14ac:dyDescent="0.35">
      <c r="K2624" s="110" t="str">
        <v>INV-2608-0022</v>
      </c>
    </row>
    <row r="2625" spans="11:11" x14ac:dyDescent="0.35">
      <c r="K2625" s="110" t="str">
        <v>INV-2608-0023</v>
      </c>
    </row>
    <row r="2626" spans="11:11" x14ac:dyDescent="0.35">
      <c r="K2626" s="110" t="str">
        <v>INV-2608-0024</v>
      </c>
    </row>
    <row r="2627" spans="11:11" x14ac:dyDescent="0.35">
      <c r="K2627" s="110" t="str">
        <v>INV-2608-0025</v>
      </c>
    </row>
    <row r="2628" spans="11:11" x14ac:dyDescent="0.35">
      <c r="K2628" s="110" t="str">
        <v>INV-2608-0026</v>
      </c>
    </row>
    <row r="2629" spans="11:11" x14ac:dyDescent="0.35">
      <c r="K2629" s="110" t="str">
        <v>INV-2608-0027</v>
      </c>
    </row>
    <row r="2630" spans="11:11" x14ac:dyDescent="0.35">
      <c r="K2630" s="110" t="str">
        <v>INV-2608-0028</v>
      </c>
    </row>
    <row r="2631" spans="11:11" x14ac:dyDescent="0.35">
      <c r="K2631" s="110" t="str">
        <v>INV-2608-0029</v>
      </c>
    </row>
    <row r="2632" spans="11:11" x14ac:dyDescent="0.35">
      <c r="K2632" s="110" t="str">
        <v>INV-2608-0030</v>
      </c>
    </row>
    <row r="2633" spans="11:11" x14ac:dyDescent="0.35">
      <c r="K2633" s="110" t="str">
        <v>INV-2608-0031</v>
      </c>
    </row>
    <row r="2634" spans="11:11" x14ac:dyDescent="0.35">
      <c r="K2634" s="110" t="str">
        <v>INV-2608-0032</v>
      </c>
    </row>
    <row r="2635" spans="11:11" x14ac:dyDescent="0.35">
      <c r="K2635" s="110" t="str">
        <v>INV-2608-0033</v>
      </c>
    </row>
    <row r="2636" spans="11:11" x14ac:dyDescent="0.35">
      <c r="K2636" s="110" t="str">
        <v>INV-2608-0034</v>
      </c>
    </row>
    <row r="2637" spans="11:11" x14ac:dyDescent="0.35">
      <c r="K2637" s="110" t="str">
        <v>INV-2608-0035</v>
      </c>
    </row>
    <row r="2638" spans="11:11" x14ac:dyDescent="0.35">
      <c r="K2638" s="110" t="str">
        <v>INV-2608-0036</v>
      </c>
    </row>
    <row r="2639" spans="11:11" x14ac:dyDescent="0.35">
      <c r="K2639" s="110" t="str">
        <v>INV-2608-0037</v>
      </c>
    </row>
    <row r="2640" spans="11:11" x14ac:dyDescent="0.35">
      <c r="K2640" s="110" t="str">
        <v>INV-2608-0038</v>
      </c>
    </row>
    <row r="2641" spans="11:11" x14ac:dyDescent="0.35">
      <c r="K2641" s="110" t="str">
        <v>INV-2608-0039</v>
      </c>
    </row>
    <row r="2642" spans="11:11" x14ac:dyDescent="0.35">
      <c r="K2642" s="110" t="str">
        <v>INV-2608-0040</v>
      </c>
    </row>
    <row r="2643" spans="11:11" x14ac:dyDescent="0.35">
      <c r="K2643" s="110" t="str">
        <v>INV-2608-0041</v>
      </c>
    </row>
    <row r="2644" spans="11:11" x14ac:dyDescent="0.35">
      <c r="K2644" s="110" t="str">
        <v>INV-2608-0042</v>
      </c>
    </row>
    <row r="2645" spans="11:11" x14ac:dyDescent="0.35">
      <c r="K2645" s="110" t="str">
        <v>INV-2608-0043</v>
      </c>
    </row>
    <row r="2646" spans="11:11" x14ac:dyDescent="0.35">
      <c r="K2646" s="110" t="str">
        <v>INV-2608-0044</v>
      </c>
    </row>
    <row r="2647" spans="11:11" x14ac:dyDescent="0.35">
      <c r="K2647" s="110" t="str">
        <v>INV-2608-0045</v>
      </c>
    </row>
    <row r="2648" spans="11:11" x14ac:dyDescent="0.35">
      <c r="K2648" s="110" t="str">
        <v>INV-2608-0046</v>
      </c>
    </row>
    <row r="2649" spans="11:11" x14ac:dyDescent="0.35">
      <c r="K2649" s="110" t="str">
        <v>INV-2608-0047</v>
      </c>
    </row>
    <row r="2650" spans="11:11" x14ac:dyDescent="0.35">
      <c r="K2650" s="110" t="str">
        <v>INV-2608-0048</v>
      </c>
    </row>
    <row r="2651" spans="11:11" x14ac:dyDescent="0.35">
      <c r="K2651" s="110" t="str">
        <v>INV-2608-0049</v>
      </c>
    </row>
    <row r="2652" spans="11:11" x14ac:dyDescent="0.35">
      <c r="K2652" s="110" t="str">
        <v>INV-2608-0050</v>
      </c>
    </row>
    <row r="2653" spans="11:11" x14ac:dyDescent="0.35">
      <c r="K2653" s="110" t="str">
        <v>INV-2608-0051</v>
      </c>
    </row>
    <row r="2654" spans="11:11" x14ac:dyDescent="0.35">
      <c r="K2654" s="110" t="str">
        <v>INV-2608-0052</v>
      </c>
    </row>
    <row r="2655" spans="11:11" x14ac:dyDescent="0.35">
      <c r="K2655" s="110" t="str">
        <v>INV-2608-0053</v>
      </c>
    </row>
    <row r="2656" spans="11:11" x14ac:dyDescent="0.35">
      <c r="K2656" s="110" t="str">
        <v>INV-2608-0054</v>
      </c>
    </row>
    <row r="2657" spans="11:11" x14ac:dyDescent="0.35">
      <c r="K2657" s="110" t="str">
        <v>INV-2608-0055</v>
      </c>
    </row>
    <row r="2658" spans="11:11" x14ac:dyDescent="0.35">
      <c r="K2658" s="110" t="str">
        <v>INV-2608-0056</v>
      </c>
    </row>
    <row r="2659" spans="11:11" x14ac:dyDescent="0.35">
      <c r="K2659" s="110" t="str">
        <v>INV-2608-0057</v>
      </c>
    </row>
    <row r="2660" spans="11:11" x14ac:dyDescent="0.35">
      <c r="K2660" s="110" t="str">
        <v>INV-2608-0058</v>
      </c>
    </row>
    <row r="2661" spans="11:11" x14ac:dyDescent="0.35">
      <c r="K2661" s="110" t="str">
        <v>INV-2608-0059</v>
      </c>
    </row>
    <row r="2662" spans="11:11" x14ac:dyDescent="0.35">
      <c r="K2662" s="110" t="str">
        <v>INV-2608-0060</v>
      </c>
    </row>
    <row r="2663" spans="11:11" x14ac:dyDescent="0.35">
      <c r="K2663" s="110" t="str">
        <v>INV-2608-0061</v>
      </c>
    </row>
    <row r="2664" spans="11:11" x14ac:dyDescent="0.35">
      <c r="K2664" s="110" t="str">
        <v>INV-2608-0062</v>
      </c>
    </row>
    <row r="2665" spans="11:11" x14ac:dyDescent="0.35">
      <c r="K2665" s="110" t="str">
        <v>INV-2608-0063</v>
      </c>
    </row>
    <row r="2666" spans="11:11" x14ac:dyDescent="0.35">
      <c r="K2666" s="110" t="str">
        <v>INV-2608-0064</v>
      </c>
    </row>
    <row r="2667" spans="11:11" x14ac:dyDescent="0.35">
      <c r="K2667" s="110" t="str">
        <v>INV-2608-0065</v>
      </c>
    </row>
    <row r="2668" spans="11:11" x14ac:dyDescent="0.35">
      <c r="K2668" s="110" t="str">
        <v>INV-2608-0066</v>
      </c>
    </row>
    <row r="2669" spans="11:11" x14ac:dyDescent="0.35">
      <c r="K2669" s="110" t="str">
        <v>INV-2608-0067</v>
      </c>
    </row>
    <row r="2670" spans="11:11" x14ac:dyDescent="0.35">
      <c r="K2670" s="110" t="str">
        <v>INV-2608-0068</v>
      </c>
    </row>
    <row r="2671" spans="11:11" x14ac:dyDescent="0.35">
      <c r="K2671" s="110" t="str">
        <v>INV-2608-0069</v>
      </c>
    </row>
    <row r="2672" spans="11:11" x14ac:dyDescent="0.35">
      <c r="K2672" s="110" t="str">
        <v>INV-2608-0070</v>
      </c>
    </row>
    <row r="2673" spans="11:11" x14ac:dyDescent="0.35">
      <c r="K2673" s="110" t="str">
        <v>INV-2608-0071</v>
      </c>
    </row>
    <row r="2674" spans="11:11" x14ac:dyDescent="0.35">
      <c r="K2674" s="110" t="str">
        <v>INV-2608-0072</v>
      </c>
    </row>
    <row r="2675" spans="11:11" x14ac:dyDescent="0.35">
      <c r="K2675" s="110" t="str">
        <v>INV-2608-0073</v>
      </c>
    </row>
    <row r="2676" spans="11:11" x14ac:dyDescent="0.35">
      <c r="K2676" s="110" t="str">
        <v>INV-2608-0074</v>
      </c>
    </row>
    <row r="2677" spans="11:11" x14ac:dyDescent="0.35">
      <c r="K2677" s="110" t="str">
        <v>INV-2608-0075</v>
      </c>
    </row>
    <row r="2678" spans="11:11" x14ac:dyDescent="0.35">
      <c r="K2678" s="110" t="str">
        <v>INV-2608-0076</v>
      </c>
    </row>
    <row r="2679" spans="11:11" x14ac:dyDescent="0.35">
      <c r="K2679" s="110" t="str">
        <v>INV-2608-0077</v>
      </c>
    </row>
    <row r="2680" spans="11:11" x14ac:dyDescent="0.35">
      <c r="K2680" s="110" t="str">
        <v>INV-2608-0078</v>
      </c>
    </row>
    <row r="2681" spans="11:11" x14ac:dyDescent="0.35">
      <c r="K2681" s="110" t="str">
        <v>INV-2608-0079</v>
      </c>
    </row>
    <row r="2682" spans="11:11" x14ac:dyDescent="0.35">
      <c r="K2682" s="110" t="str">
        <v>INV-2608-0080</v>
      </c>
    </row>
    <row r="2683" spans="11:11" x14ac:dyDescent="0.35">
      <c r="K2683" s="110" t="str">
        <v>INV-2608-0081</v>
      </c>
    </row>
    <row r="2684" spans="11:11" x14ac:dyDescent="0.35">
      <c r="K2684" s="110" t="str">
        <v>INV-2608-0082</v>
      </c>
    </row>
    <row r="2685" spans="11:11" x14ac:dyDescent="0.35">
      <c r="K2685" s="110" t="str">
        <v>INV-2608-0083</v>
      </c>
    </row>
    <row r="2686" spans="11:11" x14ac:dyDescent="0.35">
      <c r="K2686" s="110" t="str">
        <v>INV-2608-0084</v>
      </c>
    </row>
    <row r="2687" spans="11:11" x14ac:dyDescent="0.35">
      <c r="K2687" s="110" t="str">
        <v>INV-2608-0085</v>
      </c>
    </row>
    <row r="2688" spans="11:11" x14ac:dyDescent="0.35">
      <c r="K2688" s="110" t="str">
        <v>INV-2608-0086</v>
      </c>
    </row>
    <row r="2689" spans="11:11" x14ac:dyDescent="0.35">
      <c r="K2689" s="110" t="str">
        <v>INV-2608-0087</v>
      </c>
    </row>
    <row r="2690" spans="11:11" x14ac:dyDescent="0.35">
      <c r="K2690" s="110" t="str">
        <v>INV-2608-0088</v>
      </c>
    </row>
    <row r="2691" spans="11:11" x14ac:dyDescent="0.35">
      <c r="K2691" s="110" t="str">
        <v>INV-2608-0089</v>
      </c>
    </row>
    <row r="2692" spans="11:11" x14ac:dyDescent="0.35">
      <c r="K2692" s="110" t="str">
        <v>INV-2608-0090</v>
      </c>
    </row>
    <row r="2693" spans="11:11" x14ac:dyDescent="0.35">
      <c r="K2693" s="110" t="str">
        <v>INV-2608-0091</v>
      </c>
    </row>
    <row r="2694" spans="11:11" x14ac:dyDescent="0.35">
      <c r="K2694" s="110" t="str">
        <v>INV-2608-0092</v>
      </c>
    </row>
    <row r="2695" spans="11:11" x14ac:dyDescent="0.35">
      <c r="K2695" s="110" t="str">
        <v>INV-2608-0093</v>
      </c>
    </row>
    <row r="2696" spans="11:11" x14ac:dyDescent="0.35">
      <c r="K2696" s="110" t="str">
        <v>INV-2608-0094</v>
      </c>
    </row>
    <row r="2697" spans="11:11" x14ac:dyDescent="0.35">
      <c r="K2697" s="110" t="str">
        <v>INV-2608-0095</v>
      </c>
    </row>
    <row r="2698" spans="11:11" x14ac:dyDescent="0.35">
      <c r="K2698" s="110" t="str">
        <v>INV-2608-0096</v>
      </c>
    </row>
    <row r="2699" spans="11:11" x14ac:dyDescent="0.35">
      <c r="K2699" s="110" t="str">
        <v>INV-2608-0097</v>
      </c>
    </row>
    <row r="2700" spans="11:11" x14ac:dyDescent="0.35">
      <c r="K2700" s="110" t="str">
        <v>INV-2608-0098</v>
      </c>
    </row>
    <row r="2701" spans="11:11" x14ac:dyDescent="0.35">
      <c r="K2701" s="110" t="str">
        <v>INV-2608-0099</v>
      </c>
    </row>
    <row r="2702" spans="11:11" x14ac:dyDescent="0.35">
      <c r="K2702" s="110" t="str">
        <v>INV-2608-0100</v>
      </c>
    </row>
    <row r="2703" spans="11:11" x14ac:dyDescent="0.35">
      <c r="K2703" s="110" t="str">
        <v>INV-2608-0101</v>
      </c>
    </row>
    <row r="2704" spans="11:11" x14ac:dyDescent="0.35">
      <c r="K2704" s="110" t="str">
        <v>INV-2608-0102</v>
      </c>
    </row>
    <row r="2705" spans="11:11" x14ac:dyDescent="0.35">
      <c r="K2705" s="110" t="str">
        <v>INV-2608-0103</v>
      </c>
    </row>
    <row r="2706" spans="11:11" x14ac:dyDescent="0.35">
      <c r="K2706" s="110" t="str">
        <v>INV-2608-0104</v>
      </c>
    </row>
    <row r="2707" spans="11:11" x14ac:dyDescent="0.35">
      <c r="K2707" s="110" t="str">
        <v>INV-2608-0105</v>
      </c>
    </row>
    <row r="2708" spans="11:11" x14ac:dyDescent="0.35">
      <c r="K2708" s="110" t="str">
        <v>INV-2608-0106</v>
      </c>
    </row>
    <row r="2709" spans="11:11" x14ac:dyDescent="0.35">
      <c r="K2709" s="110" t="str">
        <v>INV-2608-0107</v>
      </c>
    </row>
    <row r="2710" spans="11:11" x14ac:dyDescent="0.35">
      <c r="K2710" s="110" t="str">
        <v>INV-2608-0108</v>
      </c>
    </row>
    <row r="2711" spans="11:11" x14ac:dyDescent="0.35">
      <c r="K2711" s="110" t="str">
        <v>INV-2608-0109</v>
      </c>
    </row>
    <row r="2712" spans="11:11" x14ac:dyDescent="0.35">
      <c r="K2712" s="110" t="str">
        <v>INV-2608-0110</v>
      </c>
    </row>
    <row r="2713" spans="11:11" x14ac:dyDescent="0.35">
      <c r="K2713" s="110" t="str">
        <v>INV-2608-0111</v>
      </c>
    </row>
    <row r="2714" spans="11:11" x14ac:dyDescent="0.35">
      <c r="K2714" s="110" t="str">
        <v>INV-2608-0112</v>
      </c>
    </row>
    <row r="2715" spans="11:11" x14ac:dyDescent="0.35">
      <c r="K2715" s="110" t="str">
        <v>INV-2608-0113</v>
      </c>
    </row>
    <row r="2716" spans="11:11" x14ac:dyDescent="0.35">
      <c r="K2716" s="110" t="str">
        <v>INV-2608-0114</v>
      </c>
    </row>
    <row r="2717" spans="11:11" x14ac:dyDescent="0.35">
      <c r="K2717" s="110" t="str">
        <v>INV-2608-0115</v>
      </c>
    </row>
    <row r="2718" spans="11:11" x14ac:dyDescent="0.35">
      <c r="K2718" s="110" t="str">
        <v>INV-2608-0116</v>
      </c>
    </row>
    <row r="2719" spans="11:11" x14ac:dyDescent="0.35">
      <c r="K2719" s="110" t="str">
        <v>INV-2608-0117</v>
      </c>
    </row>
    <row r="2720" spans="11:11" x14ac:dyDescent="0.35">
      <c r="K2720" s="110" t="str">
        <v>INV-2608-0118</v>
      </c>
    </row>
    <row r="2721" spans="11:11" x14ac:dyDescent="0.35">
      <c r="K2721" s="110" t="str">
        <v>INV-2608-0119</v>
      </c>
    </row>
    <row r="2722" spans="11:11" x14ac:dyDescent="0.35">
      <c r="K2722" s="110" t="str">
        <v>INV-2608-0120</v>
      </c>
    </row>
    <row r="2723" spans="11:11" x14ac:dyDescent="0.35">
      <c r="K2723" s="110" t="str">
        <v>INV-2608-0121</v>
      </c>
    </row>
    <row r="2724" spans="11:11" x14ac:dyDescent="0.35">
      <c r="K2724" s="110" t="str">
        <v>INV-2608-0122</v>
      </c>
    </row>
    <row r="2725" spans="11:11" x14ac:dyDescent="0.35">
      <c r="K2725" s="110" t="str">
        <v>INV-2608-0123</v>
      </c>
    </row>
    <row r="2726" spans="11:11" x14ac:dyDescent="0.35">
      <c r="K2726" s="110" t="str">
        <v>INV-2608-0124</v>
      </c>
    </row>
    <row r="2727" spans="11:11" x14ac:dyDescent="0.35">
      <c r="K2727" s="110" t="str">
        <v>INV-2608-0125</v>
      </c>
    </row>
    <row r="2728" spans="11:11" x14ac:dyDescent="0.35">
      <c r="K2728" s="110" t="str">
        <v>INV-2608-0126</v>
      </c>
    </row>
    <row r="2729" spans="11:11" x14ac:dyDescent="0.35">
      <c r="K2729" s="110" t="str">
        <v>INV-2608-0127</v>
      </c>
    </row>
    <row r="2730" spans="11:11" x14ac:dyDescent="0.35">
      <c r="K2730" s="110" t="str">
        <v>INV-2608-0128</v>
      </c>
    </row>
    <row r="2731" spans="11:11" x14ac:dyDescent="0.35">
      <c r="K2731" s="110" t="str">
        <v>INV-2608-0129</v>
      </c>
    </row>
    <row r="2732" spans="11:11" x14ac:dyDescent="0.35">
      <c r="K2732" s="110" t="str">
        <v>INV-2608-0130</v>
      </c>
    </row>
    <row r="2733" spans="11:11" x14ac:dyDescent="0.35">
      <c r="K2733" s="110" t="str">
        <v>INV-2608-0131</v>
      </c>
    </row>
    <row r="2734" spans="11:11" x14ac:dyDescent="0.35">
      <c r="K2734" s="110" t="str">
        <v>INV-2608-0132</v>
      </c>
    </row>
    <row r="2735" spans="11:11" x14ac:dyDescent="0.35">
      <c r="K2735" s="110" t="str">
        <v>INV-2608-0133</v>
      </c>
    </row>
    <row r="2736" spans="11:11" x14ac:dyDescent="0.35">
      <c r="K2736" s="110" t="str">
        <v>INV-2608-0134</v>
      </c>
    </row>
    <row r="2737" spans="11:11" x14ac:dyDescent="0.35">
      <c r="K2737" s="110" t="str">
        <v>INV-2608-0135</v>
      </c>
    </row>
    <row r="2738" spans="11:11" x14ac:dyDescent="0.35">
      <c r="K2738" s="110" t="str">
        <v>INV-2608-0136</v>
      </c>
    </row>
    <row r="2739" spans="11:11" x14ac:dyDescent="0.35">
      <c r="K2739" s="110" t="str">
        <v>INV-2608-0137</v>
      </c>
    </row>
    <row r="2740" spans="11:11" x14ac:dyDescent="0.35">
      <c r="K2740" s="110" t="str">
        <v>INV-2608-0138</v>
      </c>
    </row>
    <row r="2741" spans="11:11" x14ac:dyDescent="0.35">
      <c r="K2741" s="110" t="str">
        <v>INV-2608-0139</v>
      </c>
    </row>
    <row r="2742" spans="11:11" x14ac:dyDescent="0.35">
      <c r="K2742" s="110" t="str">
        <v>INV-2608-0140</v>
      </c>
    </row>
    <row r="2743" spans="11:11" x14ac:dyDescent="0.35">
      <c r="K2743" s="110" t="str">
        <v>INV-2608-0141</v>
      </c>
    </row>
    <row r="2744" spans="11:11" x14ac:dyDescent="0.35">
      <c r="K2744" s="110" t="str">
        <v>INV-2608-0142</v>
      </c>
    </row>
    <row r="2745" spans="11:11" x14ac:dyDescent="0.35">
      <c r="K2745" s="110" t="str">
        <v>INV-2608-0143</v>
      </c>
    </row>
    <row r="2746" spans="11:11" x14ac:dyDescent="0.35">
      <c r="K2746" s="110" t="str">
        <v>INV-2608-0144</v>
      </c>
    </row>
    <row r="2747" spans="11:11" x14ac:dyDescent="0.35">
      <c r="K2747" s="110" t="str">
        <v>INV-2608-0145</v>
      </c>
    </row>
    <row r="2748" spans="11:11" x14ac:dyDescent="0.35">
      <c r="K2748" s="110" t="str">
        <v>INV-2608-0146</v>
      </c>
    </row>
    <row r="2749" spans="11:11" x14ac:dyDescent="0.35">
      <c r="K2749" s="110" t="str">
        <v>INV-2608-0147</v>
      </c>
    </row>
    <row r="2750" spans="11:11" x14ac:dyDescent="0.35">
      <c r="K2750" s="110" t="str">
        <v>INV-2608-0148</v>
      </c>
    </row>
    <row r="2751" spans="11:11" x14ac:dyDescent="0.35">
      <c r="K2751" s="110" t="str">
        <v>INV-2608-0149</v>
      </c>
    </row>
    <row r="2752" spans="11:11" x14ac:dyDescent="0.35">
      <c r="K2752" s="110" t="str">
        <v>INV-2608-0150</v>
      </c>
    </row>
    <row r="2753" spans="11:11" x14ac:dyDescent="0.35">
      <c r="K2753" s="110" t="str">
        <v>INV-2608-0151</v>
      </c>
    </row>
    <row r="2754" spans="11:11" x14ac:dyDescent="0.35">
      <c r="K2754" s="110" t="str">
        <v>INV-2608-0152</v>
      </c>
    </row>
    <row r="2755" spans="11:11" x14ac:dyDescent="0.35">
      <c r="K2755" s="110" t="str">
        <v>INV-2608-0153</v>
      </c>
    </row>
    <row r="2756" spans="11:11" x14ac:dyDescent="0.35">
      <c r="K2756" s="110" t="str">
        <v>INV-2608-0154</v>
      </c>
    </row>
    <row r="2757" spans="11:11" x14ac:dyDescent="0.35">
      <c r="K2757" s="110" t="str">
        <v>INV-2608-0155</v>
      </c>
    </row>
    <row r="2758" spans="11:11" x14ac:dyDescent="0.35">
      <c r="K2758" s="110" t="str">
        <v>INV-2608-0156</v>
      </c>
    </row>
    <row r="2759" spans="11:11" x14ac:dyDescent="0.35">
      <c r="K2759" s="110" t="str">
        <v>INV-2608-0157</v>
      </c>
    </row>
    <row r="2760" spans="11:11" x14ac:dyDescent="0.35">
      <c r="K2760" s="110" t="str">
        <v>INV-2608-0158</v>
      </c>
    </row>
    <row r="2761" spans="11:11" x14ac:dyDescent="0.35">
      <c r="K2761" s="110" t="str">
        <v>INV-2608-0159</v>
      </c>
    </row>
    <row r="2762" spans="11:11" x14ac:dyDescent="0.35">
      <c r="K2762" s="110" t="str">
        <v>INV-2608-0160</v>
      </c>
    </row>
    <row r="2763" spans="11:11" x14ac:dyDescent="0.35">
      <c r="K2763" s="110" t="str">
        <v>INV-2608-0161</v>
      </c>
    </row>
    <row r="2764" spans="11:11" x14ac:dyDescent="0.35">
      <c r="K2764" s="110" t="str">
        <v>INV-2608-0162</v>
      </c>
    </row>
    <row r="2765" spans="11:11" x14ac:dyDescent="0.35">
      <c r="K2765" s="110" t="str">
        <v>INV-2608-0163</v>
      </c>
    </row>
    <row r="2766" spans="11:11" x14ac:dyDescent="0.35">
      <c r="K2766" s="110" t="str">
        <v>INV-2608-0164</v>
      </c>
    </row>
    <row r="2767" spans="11:11" x14ac:dyDescent="0.35">
      <c r="K2767" s="110" t="str">
        <v>INV-2608-0165</v>
      </c>
    </row>
    <row r="2768" spans="11:11" x14ac:dyDescent="0.35">
      <c r="K2768" s="110" t="str">
        <v>INV-2608-0166</v>
      </c>
    </row>
    <row r="2769" spans="11:11" x14ac:dyDescent="0.35">
      <c r="K2769" s="110" t="str">
        <v>INV-2608-0167</v>
      </c>
    </row>
    <row r="2770" spans="11:11" x14ac:dyDescent="0.35">
      <c r="K2770" s="110" t="str">
        <v>INV-2608-0168</v>
      </c>
    </row>
    <row r="2771" spans="11:11" x14ac:dyDescent="0.35">
      <c r="K2771" s="110" t="str">
        <v>INV-2608-0169</v>
      </c>
    </row>
    <row r="2772" spans="11:11" x14ac:dyDescent="0.35">
      <c r="K2772" s="110" t="str">
        <v>INV-2608-0170</v>
      </c>
    </row>
    <row r="2773" spans="11:11" x14ac:dyDescent="0.35">
      <c r="K2773" s="110" t="str">
        <v>INV-2608-0171</v>
      </c>
    </row>
    <row r="2774" spans="11:11" x14ac:dyDescent="0.35">
      <c r="K2774" s="110" t="str">
        <v>INV-2608-0172</v>
      </c>
    </row>
    <row r="2775" spans="11:11" x14ac:dyDescent="0.35">
      <c r="K2775" s="110" t="str">
        <v>INV-2608-0173</v>
      </c>
    </row>
    <row r="2776" spans="11:11" x14ac:dyDescent="0.35">
      <c r="K2776" s="110" t="str">
        <v>INV-2608-0174</v>
      </c>
    </row>
    <row r="2777" spans="11:11" x14ac:dyDescent="0.35">
      <c r="K2777" s="110" t="str">
        <v>INV-2608-0175</v>
      </c>
    </row>
    <row r="2778" spans="11:11" x14ac:dyDescent="0.35">
      <c r="K2778" s="110" t="str">
        <v>INV-2608-0176</v>
      </c>
    </row>
    <row r="2779" spans="11:11" x14ac:dyDescent="0.35">
      <c r="K2779" s="110" t="str">
        <v>INV-2608-0177</v>
      </c>
    </row>
    <row r="2780" spans="11:11" x14ac:dyDescent="0.35">
      <c r="K2780" s="110" t="str">
        <v>INV-2608-0178</v>
      </c>
    </row>
    <row r="2781" spans="11:11" x14ac:dyDescent="0.35">
      <c r="K2781" s="110" t="str">
        <v>INV-2608-0179</v>
      </c>
    </row>
    <row r="2782" spans="11:11" x14ac:dyDescent="0.35">
      <c r="K2782" s="110" t="str">
        <v>INV-2608-0180</v>
      </c>
    </row>
    <row r="2783" spans="11:11" x14ac:dyDescent="0.35">
      <c r="K2783" s="110" t="str">
        <v>INV-2608-0181</v>
      </c>
    </row>
    <row r="2784" spans="11:11" x14ac:dyDescent="0.35">
      <c r="K2784" s="110" t="str">
        <v>INV-2608-0182</v>
      </c>
    </row>
    <row r="2785" spans="11:11" x14ac:dyDescent="0.35">
      <c r="K2785" s="110" t="str">
        <v>INV-2608-0183</v>
      </c>
    </row>
    <row r="2786" spans="11:11" x14ac:dyDescent="0.35">
      <c r="K2786" s="110" t="str">
        <v>INV-2608-0184</v>
      </c>
    </row>
    <row r="2787" spans="11:11" x14ac:dyDescent="0.35">
      <c r="K2787" s="110" t="str">
        <v>INV-2608-0185</v>
      </c>
    </row>
    <row r="2788" spans="11:11" x14ac:dyDescent="0.35">
      <c r="K2788" s="110" t="str">
        <v>INV-2608-0186</v>
      </c>
    </row>
    <row r="2789" spans="11:11" x14ac:dyDescent="0.35">
      <c r="K2789" s="110" t="str">
        <v>INV-2608-0187</v>
      </c>
    </row>
    <row r="2790" spans="11:11" x14ac:dyDescent="0.35">
      <c r="K2790" s="110" t="str">
        <v>INV-2608-0188</v>
      </c>
    </row>
    <row r="2791" spans="11:11" x14ac:dyDescent="0.35">
      <c r="K2791" s="110" t="str">
        <v>INV-2608-0189</v>
      </c>
    </row>
    <row r="2792" spans="11:11" x14ac:dyDescent="0.35">
      <c r="K2792" s="110" t="str">
        <v>INV-2608-0190</v>
      </c>
    </row>
    <row r="2793" spans="11:11" x14ac:dyDescent="0.35">
      <c r="K2793" s="110" t="str">
        <v>INV-2608-0191</v>
      </c>
    </row>
    <row r="2794" spans="11:11" x14ac:dyDescent="0.35">
      <c r="K2794" s="110" t="str">
        <v>INV-2608-0192</v>
      </c>
    </row>
    <row r="2795" spans="11:11" x14ac:dyDescent="0.35">
      <c r="K2795" s="110" t="str">
        <v>INV-2608-0193</v>
      </c>
    </row>
    <row r="2796" spans="11:11" x14ac:dyDescent="0.35">
      <c r="K2796" s="110" t="str">
        <v>INV-2608-0194</v>
      </c>
    </row>
    <row r="2797" spans="11:11" x14ac:dyDescent="0.35">
      <c r="K2797" s="110" t="str">
        <v>INV-2608-0195</v>
      </c>
    </row>
    <row r="2798" spans="11:11" x14ac:dyDescent="0.35">
      <c r="K2798" s="110" t="str">
        <v>INV-2608-0196</v>
      </c>
    </row>
    <row r="2799" spans="11:11" x14ac:dyDescent="0.35">
      <c r="K2799" s="110" t="str">
        <v>INV-2608-0197</v>
      </c>
    </row>
    <row r="2800" spans="11:11" x14ac:dyDescent="0.35">
      <c r="K2800" s="110" t="str">
        <v>INV-2608-0198</v>
      </c>
    </row>
    <row r="2801" spans="11:11" x14ac:dyDescent="0.35">
      <c r="K2801" s="110" t="str">
        <v>INV-2608-0199</v>
      </c>
    </row>
    <row r="2802" spans="11:11" x14ac:dyDescent="0.35">
      <c r="K2802" s="110" t="str">
        <v>INV-2608-0200</v>
      </c>
    </row>
    <row r="2803" spans="11:11" x14ac:dyDescent="0.35">
      <c r="K2803" s="110" t="str">
        <v>INV-2608-0201</v>
      </c>
    </row>
    <row r="2804" spans="11:11" x14ac:dyDescent="0.35">
      <c r="K2804" s="110" t="str">
        <v>INV-2608-0202</v>
      </c>
    </row>
    <row r="2805" spans="11:11" x14ac:dyDescent="0.35">
      <c r="K2805" s="110" t="str">
        <v>INV-2608-0203</v>
      </c>
    </row>
    <row r="2806" spans="11:11" x14ac:dyDescent="0.35">
      <c r="K2806" s="110" t="str">
        <v>INV-2608-0204</v>
      </c>
    </row>
    <row r="2807" spans="11:11" x14ac:dyDescent="0.35">
      <c r="K2807" s="110" t="str">
        <v>INV-2608-0205</v>
      </c>
    </row>
    <row r="2808" spans="11:11" x14ac:dyDescent="0.35">
      <c r="K2808" s="110" t="str">
        <v>INV-2608-0206</v>
      </c>
    </row>
    <row r="2809" spans="11:11" x14ac:dyDescent="0.35">
      <c r="K2809" s="110" t="str">
        <v>INV-2608-0207</v>
      </c>
    </row>
    <row r="2810" spans="11:11" x14ac:dyDescent="0.35">
      <c r="K2810" s="110" t="str">
        <v>INV-2608-0208</v>
      </c>
    </row>
    <row r="2811" spans="11:11" x14ac:dyDescent="0.35">
      <c r="K2811" s="110" t="str">
        <v>INV-2608-0209</v>
      </c>
    </row>
    <row r="2812" spans="11:11" x14ac:dyDescent="0.35">
      <c r="K2812" s="110" t="str">
        <v>INV-2608-0210</v>
      </c>
    </row>
    <row r="2813" spans="11:11" x14ac:dyDescent="0.35">
      <c r="K2813" s="110" t="str">
        <v>INV-2608-0211</v>
      </c>
    </row>
    <row r="2814" spans="11:11" x14ac:dyDescent="0.35">
      <c r="K2814" s="110" t="str">
        <v>INV-2608-0212</v>
      </c>
    </row>
    <row r="2815" spans="11:11" x14ac:dyDescent="0.35">
      <c r="K2815" s="110" t="str">
        <v>INV-2608-0213</v>
      </c>
    </row>
    <row r="2816" spans="11:11" x14ac:dyDescent="0.35">
      <c r="K2816" s="110" t="str">
        <v>INV-2608-0214</v>
      </c>
    </row>
    <row r="2817" spans="11:11" x14ac:dyDescent="0.35">
      <c r="K2817" s="110" t="str">
        <v>INV-2608-0215</v>
      </c>
    </row>
    <row r="2818" spans="11:11" x14ac:dyDescent="0.35">
      <c r="K2818" s="110" t="str">
        <v>INV-2608-0216</v>
      </c>
    </row>
    <row r="2819" spans="11:11" x14ac:dyDescent="0.35">
      <c r="K2819" s="110" t="str">
        <v>INV-2608-0217</v>
      </c>
    </row>
    <row r="2820" spans="11:11" x14ac:dyDescent="0.35">
      <c r="K2820" s="110" t="str">
        <v>INV-2608-0218</v>
      </c>
    </row>
    <row r="2821" spans="11:11" x14ac:dyDescent="0.35">
      <c r="K2821" s="110" t="str">
        <v>INV-2608-0219</v>
      </c>
    </row>
    <row r="2822" spans="11:11" x14ac:dyDescent="0.35">
      <c r="K2822" s="110" t="str">
        <v>INV-2608-0220</v>
      </c>
    </row>
    <row r="2823" spans="11:11" x14ac:dyDescent="0.35">
      <c r="K2823" s="110" t="str">
        <v>INV-2608-0221</v>
      </c>
    </row>
    <row r="2824" spans="11:11" x14ac:dyDescent="0.35">
      <c r="K2824" s="110" t="str">
        <v>INV-2608-0222</v>
      </c>
    </row>
    <row r="2825" spans="11:11" x14ac:dyDescent="0.35">
      <c r="K2825" s="110" t="str">
        <v>INV-2608-0223</v>
      </c>
    </row>
    <row r="2826" spans="11:11" x14ac:dyDescent="0.35">
      <c r="K2826" s="110" t="str">
        <v>INV-2608-0224</v>
      </c>
    </row>
    <row r="2827" spans="11:11" x14ac:dyDescent="0.35">
      <c r="K2827" s="110" t="str">
        <v>INV-2608-0225</v>
      </c>
    </row>
    <row r="2828" spans="11:11" x14ac:dyDescent="0.35">
      <c r="K2828" s="110" t="str">
        <v>INV-2608-0226</v>
      </c>
    </row>
    <row r="2829" spans="11:11" x14ac:dyDescent="0.35">
      <c r="K2829" s="110" t="str">
        <v>INV-2608-0227</v>
      </c>
    </row>
    <row r="2830" spans="11:11" x14ac:dyDescent="0.35">
      <c r="K2830" s="110" t="str">
        <v>INV-2608-0228</v>
      </c>
    </row>
    <row r="2831" spans="11:11" x14ac:dyDescent="0.35">
      <c r="K2831" s="110" t="str">
        <v>INV-2608-0229</v>
      </c>
    </row>
    <row r="2832" spans="11:11" x14ac:dyDescent="0.35">
      <c r="K2832" s="110" t="str">
        <v>INV-2608-0230</v>
      </c>
    </row>
    <row r="2833" spans="11:11" x14ac:dyDescent="0.35">
      <c r="K2833" s="110" t="str">
        <v>INV-2608-0231</v>
      </c>
    </row>
    <row r="2834" spans="11:11" x14ac:dyDescent="0.35">
      <c r="K2834" s="110" t="str">
        <v>INV-2608-0232</v>
      </c>
    </row>
    <row r="2835" spans="11:11" x14ac:dyDescent="0.35">
      <c r="K2835" s="110" t="str">
        <v>INV-2608-0233</v>
      </c>
    </row>
    <row r="2836" spans="11:11" x14ac:dyDescent="0.35">
      <c r="K2836" s="110" t="str">
        <v>INV-2608-0234</v>
      </c>
    </row>
    <row r="2837" spans="11:11" x14ac:dyDescent="0.35">
      <c r="K2837" s="110" t="str">
        <v>INV-2608-0235</v>
      </c>
    </row>
    <row r="2838" spans="11:11" x14ac:dyDescent="0.35">
      <c r="K2838" s="110" t="str">
        <v>INV-2608-0236</v>
      </c>
    </row>
    <row r="2839" spans="11:11" x14ac:dyDescent="0.35">
      <c r="K2839" s="110" t="str">
        <v>INV-2608-0237</v>
      </c>
    </row>
    <row r="2840" spans="11:11" x14ac:dyDescent="0.35">
      <c r="K2840" s="110" t="str">
        <v>INV-2608-0238</v>
      </c>
    </row>
    <row r="2841" spans="11:11" x14ac:dyDescent="0.35">
      <c r="K2841" s="110" t="str">
        <v>INV-2608-0239</v>
      </c>
    </row>
    <row r="2842" spans="11:11" x14ac:dyDescent="0.35">
      <c r="K2842" s="110" t="str">
        <v>INV-2608-0240</v>
      </c>
    </row>
    <row r="2843" spans="11:11" x14ac:dyDescent="0.35">
      <c r="K2843" s="110" t="str">
        <v>INV-2608-0241</v>
      </c>
    </row>
    <row r="2844" spans="11:11" x14ac:dyDescent="0.35">
      <c r="K2844" s="110" t="str">
        <v>INV-2608-0242</v>
      </c>
    </row>
    <row r="2845" spans="11:11" x14ac:dyDescent="0.35">
      <c r="K2845" s="110" t="str">
        <v>INV-2608-0243</v>
      </c>
    </row>
    <row r="2846" spans="11:11" x14ac:dyDescent="0.35">
      <c r="K2846" s="110" t="str">
        <v>INV-2608-0244</v>
      </c>
    </row>
    <row r="2847" spans="11:11" x14ac:dyDescent="0.35">
      <c r="K2847" s="110" t="str">
        <v>INV-2608-0245</v>
      </c>
    </row>
    <row r="2848" spans="11:11" x14ac:dyDescent="0.35">
      <c r="K2848" s="110" t="str">
        <v>INV-2608-0246</v>
      </c>
    </row>
    <row r="2849" spans="11:11" x14ac:dyDescent="0.35">
      <c r="K2849" s="110" t="str">
        <v>INV-2608-0247</v>
      </c>
    </row>
    <row r="2850" spans="11:11" x14ac:dyDescent="0.35">
      <c r="K2850" s="110" t="str">
        <v>INV-2608-0248</v>
      </c>
    </row>
    <row r="2851" spans="11:11" x14ac:dyDescent="0.35">
      <c r="K2851" s="110" t="str">
        <v>INV-2608-0249</v>
      </c>
    </row>
    <row r="2852" spans="11:11" x14ac:dyDescent="0.35">
      <c r="K2852" s="110" t="str">
        <v>INV-2608-0250</v>
      </c>
    </row>
    <row r="2853" spans="11:11" x14ac:dyDescent="0.35">
      <c r="K2853" s="110" t="str">
        <v>INV-2608-0251</v>
      </c>
    </row>
    <row r="2854" spans="11:11" x14ac:dyDescent="0.35">
      <c r="K2854" s="110" t="str">
        <v>INV-2608-0252</v>
      </c>
    </row>
    <row r="2855" spans="11:11" x14ac:dyDescent="0.35">
      <c r="K2855" s="110" t="str">
        <v>INV-2608-0253</v>
      </c>
    </row>
    <row r="2856" spans="11:11" x14ac:dyDescent="0.35">
      <c r="K2856" s="110" t="str">
        <v>INV-2608-0254</v>
      </c>
    </row>
    <row r="2857" spans="11:11" x14ac:dyDescent="0.35">
      <c r="K2857" s="110" t="str">
        <v>INV-2608-0255</v>
      </c>
    </row>
    <row r="2858" spans="11:11" x14ac:dyDescent="0.35">
      <c r="K2858" s="110" t="str">
        <v>INV-2608-0256</v>
      </c>
    </row>
    <row r="2859" spans="11:11" x14ac:dyDescent="0.35">
      <c r="K2859" s="110" t="str">
        <v>INV-2608-0257</v>
      </c>
    </row>
    <row r="2860" spans="11:11" x14ac:dyDescent="0.35">
      <c r="K2860" s="110" t="str">
        <v>INV-2608-0258</v>
      </c>
    </row>
    <row r="2861" spans="11:11" x14ac:dyDescent="0.35">
      <c r="K2861" s="110" t="str">
        <v>INV-2608-0259</v>
      </c>
    </row>
    <row r="2862" spans="11:11" x14ac:dyDescent="0.35">
      <c r="K2862" s="110" t="str">
        <v>INV-2608-0260</v>
      </c>
    </row>
    <row r="2863" spans="11:11" x14ac:dyDescent="0.35">
      <c r="K2863" s="110" t="str">
        <v>INV-2608-0261</v>
      </c>
    </row>
    <row r="2864" spans="11:11" x14ac:dyDescent="0.35">
      <c r="K2864" s="110" t="str">
        <v>INV-2608-0262</v>
      </c>
    </row>
    <row r="2865" spans="11:11" x14ac:dyDescent="0.35">
      <c r="K2865" s="110" t="str">
        <v>INV-2608-0263</v>
      </c>
    </row>
    <row r="2866" spans="11:11" x14ac:dyDescent="0.35">
      <c r="K2866" s="110" t="str">
        <v>INV-2608-0264</v>
      </c>
    </row>
    <row r="2867" spans="11:11" x14ac:dyDescent="0.35">
      <c r="K2867" s="110" t="str">
        <v>INV-2608-0265</v>
      </c>
    </row>
    <row r="2868" spans="11:11" x14ac:dyDescent="0.35">
      <c r="K2868" s="110" t="str">
        <v>INV-2608-0266</v>
      </c>
    </row>
    <row r="2869" spans="11:11" x14ac:dyDescent="0.35">
      <c r="K2869" s="110" t="str">
        <v>INV-2608-0267</v>
      </c>
    </row>
    <row r="2870" spans="11:11" x14ac:dyDescent="0.35">
      <c r="K2870" s="110" t="str">
        <v>INV-2608-0268</v>
      </c>
    </row>
    <row r="2871" spans="11:11" x14ac:dyDescent="0.35">
      <c r="K2871" s="110" t="str">
        <v>INV-2608-0269</v>
      </c>
    </row>
    <row r="2872" spans="11:11" x14ac:dyDescent="0.35">
      <c r="K2872" s="110" t="str">
        <v>INV-2608-0270</v>
      </c>
    </row>
    <row r="2873" spans="11:11" x14ac:dyDescent="0.35">
      <c r="K2873" s="110" t="str">
        <v>INV-2608-0271</v>
      </c>
    </row>
    <row r="2874" spans="11:11" x14ac:dyDescent="0.35">
      <c r="K2874" s="110" t="str">
        <v>INV-2608-0272</v>
      </c>
    </row>
    <row r="2875" spans="11:11" x14ac:dyDescent="0.35">
      <c r="K2875" s="110" t="str">
        <v>INV-2608-0273</v>
      </c>
    </row>
    <row r="2876" spans="11:11" x14ac:dyDescent="0.35">
      <c r="K2876" s="110" t="str">
        <v>INV-2608-0274</v>
      </c>
    </row>
    <row r="2877" spans="11:11" x14ac:dyDescent="0.35">
      <c r="K2877" s="110" t="str">
        <v>INV-2608-0275</v>
      </c>
    </row>
    <row r="2878" spans="11:11" x14ac:dyDescent="0.35">
      <c r="K2878" s="110" t="str">
        <v>INV-2608-0276</v>
      </c>
    </row>
    <row r="2879" spans="11:11" x14ac:dyDescent="0.35">
      <c r="K2879" s="110" t="str">
        <v>INV-2608-0277</v>
      </c>
    </row>
    <row r="2880" spans="11:11" x14ac:dyDescent="0.35">
      <c r="K2880" s="110" t="str">
        <v>INV-2608-0278</v>
      </c>
    </row>
    <row r="2881" spans="11:11" x14ac:dyDescent="0.35">
      <c r="K2881" s="110" t="str">
        <v>INV-2608-0279</v>
      </c>
    </row>
    <row r="2882" spans="11:11" x14ac:dyDescent="0.35">
      <c r="K2882" s="110" t="str">
        <v>INV-2608-0280</v>
      </c>
    </row>
    <row r="2883" spans="11:11" x14ac:dyDescent="0.35">
      <c r="K2883" s="110" t="str">
        <v>INV-2608-0281</v>
      </c>
    </row>
    <row r="2884" spans="11:11" x14ac:dyDescent="0.35">
      <c r="K2884" s="110" t="str">
        <v>INV-2608-0282</v>
      </c>
    </row>
    <row r="2885" spans="11:11" x14ac:dyDescent="0.35">
      <c r="K2885" s="110" t="str">
        <v>INV-2608-0283</v>
      </c>
    </row>
    <row r="2886" spans="11:11" x14ac:dyDescent="0.35">
      <c r="K2886" s="110" t="str">
        <v>INV-2608-0284</v>
      </c>
    </row>
    <row r="2887" spans="11:11" x14ac:dyDescent="0.35">
      <c r="K2887" s="110" t="str">
        <v>INV-2608-0285</v>
      </c>
    </row>
    <row r="2888" spans="11:11" x14ac:dyDescent="0.35">
      <c r="K2888" s="110" t="str">
        <v>INV-2608-0286</v>
      </c>
    </row>
    <row r="2889" spans="11:11" x14ac:dyDescent="0.35">
      <c r="K2889" s="110" t="str">
        <v>INV-2608-0287</v>
      </c>
    </row>
    <row r="2890" spans="11:11" x14ac:dyDescent="0.35">
      <c r="K2890" s="110" t="str">
        <v>INV-2608-0288</v>
      </c>
    </row>
    <row r="2891" spans="11:11" x14ac:dyDescent="0.35">
      <c r="K2891" s="110" t="str">
        <v>INV-2608-0289</v>
      </c>
    </row>
    <row r="2892" spans="11:11" x14ac:dyDescent="0.35">
      <c r="K2892" s="110" t="str">
        <v>INV-2608-0290</v>
      </c>
    </row>
    <row r="2893" spans="11:11" x14ac:dyDescent="0.35">
      <c r="K2893" s="110" t="str">
        <v>INV-2608-0291</v>
      </c>
    </row>
    <row r="2894" spans="11:11" x14ac:dyDescent="0.35">
      <c r="K2894" s="110" t="str">
        <v>INV-2608-0292</v>
      </c>
    </row>
    <row r="2895" spans="11:11" x14ac:dyDescent="0.35">
      <c r="K2895" s="110" t="str">
        <v>INV-2608-0293</v>
      </c>
    </row>
    <row r="2896" spans="11:11" x14ac:dyDescent="0.35">
      <c r="K2896" s="110" t="str">
        <v>INV-2608-0294</v>
      </c>
    </row>
    <row r="2897" spans="11:11" x14ac:dyDescent="0.35">
      <c r="K2897" s="110" t="str">
        <v>INV-2608-0295</v>
      </c>
    </row>
    <row r="2898" spans="11:11" x14ac:dyDescent="0.35">
      <c r="K2898" s="110" t="str">
        <v>INV-2608-0296</v>
      </c>
    </row>
    <row r="2899" spans="11:11" x14ac:dyDescent="0.35">
      <c r="K2899" s="110" t="str">
        <v>INV-2608-0297</v>
      </c>
    </row>
    <row r="2900" spans="11:11" x14ac:dyDescent="0.35">
      <c r="K2900" s="110" t="str">
        <v>INV-2608-0298</v>
      </c>
    </row>
    <row r="2901" spans="11:11" x14ac:dyDescent="0.35">
      <c r="K2901" s="110" t="str">
        <v>INV-2608-0299</v>
      </c>
    </row>
    <row r="2902" spans="11:11" x14ac:dyDescent="0.35">
      <c r="K2902" s="110" t="str">
        <v>INV-2608-0300</v>
      </c>
    </row>
    <row r="2903" spans="11:11" x14ac:dyDescent="0.35">
      <c r="K2903" s="110" t="str">
        <v>INV-2608-0301</v>
      </c>
    </row>
    <row r="2904" spans="11:11" x14ac:dyDescent="0.35">
      <c r="K2904" s="110" t="str">
        <v>INV-2608-0302</v>
      </c>
    </row>
    <row r="2905" spans="11:11" x14ac:dyDescent="0.35">
      <c r="K2905" s="110" t="str">
        <v>INV-2608-0303</v>
      </c>
    </row>
    <row r="2906" spans="11:11" x14ac:dyDescent="0.35">
      <c r="K2906" s="110" t="str">
        <v>INV-2608-0304</v>
      </c>
    </row>
    <row r="2907" spans="11:11" x14ac:dyDescent="0.35">
      <c r="K2907" s="110" t="str">
        <v>INV-2608-0305</v>
      </c>
    </row>
    <row r="2908" spans="11:11" x14ac:dyDescent="0.35">
      <c r="K2908" s="110" t="str">
        <v>INV-2608-0306</v>
      </c>
    </row>
    <row r="2909" spans="11:11" x14ac:dyDescent="0.35">
      <c r="K2909" s="110" t="str">
        <v>INV-2608-0307</v>
      </c>
    </row>
    <row r="2910" spans="11:11" x14ac:dyDescent="0.35">
      <c r="K2910" s="110" t="str">
        <v>INV-2608-0308</v>
      </c>
    </row>
    <row r="2911" spans="11:11" x14ac:dyDescent="0.35">
      <c r="K2911" s="110" t="str">
        <v>INV-2608-0309</v>
      </c>
    </row>
    <row r="2912" spans="11:11" x14ac:dyDescent="0.35">
      <c r="K2912" s="110" t="str">
        <v>INV-2608-0310</v>
      </c>
    </row>
    <row r="2913" spans="11:11" x14ac:dyDescent="0.35">
      <c r="K2913" s="110" t="str">
        <v>INV-2608-0311</v>
      </c>
    </row>
    <row r="2914" spans="11:11" x14ac:dyDescent="0.35">
      <c r="K2914" s="110" t="str">
        <v>INV-2608-0312</v>
      </c>
    </row>
    <row r="2915" spans="11:11" x14ac:dyDescent="0.35">
      <c r="K2915" s="110" t="str">
        <v>INV-2608-0313</v>
      </c>
    </row>
    <row r="2916" spans="11:11" x14ac:dyDescent="0.35">
      <c r="K2916" s="110" t="str">
        <v>INV-2608-0314</v>
      </c>
    </row>
    <row r="2917" spans="11:11" x14ac:dyDescent="0.35">
      <c r="K2917" s="110" t="str">
        <v>INV-2608-0315</v>
      </c>
    </row>
    <row r="2918" spans="11:11" x14ac:dyDescent="0.35">
      <c r="K2918" s="110" t="str">
        <v>INV-2608-0316</v>
      </c>
    </row>
    <row r="2919" spans="11:11" x14ac:dyDescent="0.35">
      <c r="K2919" s="110" t="str">
        <v>INV-2608-0317</v>
      </c>
    </row>
    <row r="2920" spans="11:11" x14ac:dyDescent="0.35">
      <c r="K2920" s="110" t="str">
        <v>INV-2608-0318</v>
      </c>
    </row>
    <row r="2921" spans="11:11" x14ac:dyDescent="0.35">
      <c r="K2921" s="110" t="str">
        <v>INV-2608-0319</v>
      </c>
    </row>
    <row r="2922" spans="11:11" x14ac:dyDescent="0.35">
      <c r="K2922" s="110" t="str">
        <v>INV-2608-0320</v>
      </c>
    </row>
    <row r="2923" spans="11:11" x14ac:dyDescent="0.35">
      <c r="K2923" s="110" t="str">
        <v>INV-2608-0321</v>
      </c>
    </row>
    <row r="2924" spans="11:11" x14ac:dyDescent="0.35">
      <c r="K2924" s="110" t="str">
        <v>INV-2608-0322</v>
      </c>
    </row>
    <row r="2925" spans="11:11" x14ac:dyDescent="0.35">
      <c r="K2925" s="110" t="str">
        <v>INV-2608-0323</v>
      </c>
    </row>
    <row r="2926" spans="11:11" x14ac:dyDescent="0.35">
      <c r="K2926" s="110" t="str">
        <v>INV-2608-0324</v>
      </c>
    </row>
    <row r="2927" spans="11:11" x14ac:dyDescent="0.35">
      <c r="K2927" s="110" t="str">
        <v>INV-2608-0325</v>
      </c>
    </row>
    <row r="2928" spans="11:11" x14ac:dyDescent="0.35">
      <c r="K2928" s="110" t="str">
        <v>INV-2608-0326</v>
      </c>
    </row>
    <row r="2929" spans="11:11" x14ac:dyDescent="0.35">
      <c r="K2929" s="110" t="str">
        <v>INV-2608-0327</v>
      </c>
    </row>
    <row r="2930" spans="11:11" x14ac:dyDescent="0.35">
      <c r="K2930" s="110" t="str">
        <v>INV-2608-0328</v>
      </c>
    </row>
    <row r="2931" spans="11:11" x14ac:dyDescent="0.35">
      <c r="K2931" s="110" t="str">
        <v>INV-2608-0329</v>
      </c>
    </row>
    <row r="2932" spans="11:11" x14ac:dyDescent="0.35">
      <c r="K2932" s="110" t="str">
        <v>INV-2608-0330</v>
      </c>
    </row>
    <row r="2933" spans="11:11" x14ac:dyDescent="0.35">
      <c r="K2933" s="110" t="str">
        <v>INV-2608-0331</v>
      </c>
    </row>
    <row r="2934" spans="11:11" x14ac:dyDescent="0.35">
      <c r="K2934" s="110" t="str">
        <v>INV-2608-0332</v>
      </c>
    </row>
    <row r="2935" spans="11:11" x14ac:dyDescent="0.35">
      <c r="K2935" s="110" t="str">
        <v>INV-2608-0333</v>
      </c>
    </row>
    <row r="2936" spans="11:11" x14ac:dyDescent="0.35">
      <c r="K2936" s="110" t="str">
        <v>INV-2608-0334</v>
      </c>
    </row>
    <row r="2937" spans="11:11" x14ac:dyDescent="0.35">
      <c r="K2937" s="110" t="str">
        <v>INV-2608-0335</v>
      </c>
    </row>
    <row r="2938" spans="11:11" x14ac:dyDescent="0.35">
      <c r="K2938" s="110" t="str">
        <v>INV-2608-0336</v>
      </c>
    </row>
    <row r="2939" spans="11:11" x14ac:dyDescent="0.35">
      <c r="K2939" s="110" t="str">
        <v>INV-2608-0337</v>
      </c>
    </row>
    <row r="2940" spans="11:11" x14ac:dyDescent="0.35">
      <c r="K2940" s="110" t="str">
        <v>INV-2608-0338</v>
      </c>
    </row>
    <row r="2941" spans="11:11" x14ac:dyDescent="0.35">
      <c r="K2941" s="110" t="str">
        <v>INV-2608-0339</v>
      </c>
    </row>
    <row r="2942" spans="11:11" x14ac:dyDescent="0.35">
      <c r="K2942" s="110" t="str">
        <v>INV-2608-0340</v>
      </c>
    </row>
    <row r="2943" spans="11:11" x14ac:dyDescent="0.35">
      <c r="K2943" s="110" t="str">
        <v>INV-2608-0341</v>
      </c>
    </row>
    <row r="2944" spans="11:11" x14ac:dyDescent="0.35">
      <c r="K2944" s="110" t="str">
        <v>INV-2608-0342</v>
      </c>
    </row>
    <row r="2945" spans="11:11" x14ac:dyDescent="0.35">
      <c r="K2945" s="110" t="str">
        <v>INV-2608-0343</v>
      </c>
    </row>
    <row r="2946" spans="11:11" x14ac:dyDescent="0.35">
      <c r="K2946" s="110" t="str">
        <v>INV-2608-0344</v>
      </c>
    </row>
    <row r="2947" spans="11:11" x14ac:dyDescent="0.35">
      <c r="K2947" s="110" t="str">
        <v>INV-2608-0345</v>
      </c>
    </row>
    <row r="2948" spans="11:11" x14ac:dyDescent="0.35">
      <c r="K2948" s="110" t="str">
        <v>INV-2608-0346</v>
      </c>
    </row>
    <row r="2949" spans="11:11" x14ac:dyDescent="0.35">
      <c r="K2949" s="110" t="str">
        <v>INV-2608-0347</v>
      </c>
    </row>
    <row r="2950" spans="11:11" x14ac:dyDescent="0.35">
      <c r="K2950" s="110" t="str">
        <v>INV-2608-0348</v>
      </c>
    </row>
    <row r="2951" spans="11:11" x14ac:dyDescent="0.35">
      <c r="K2951" s="110" t="str">
        <v>INV-2608-0349</v>
      </c>
    </row>
    <row r="2952" spans="11:11" x14ac:dyDescent="0.35">
      <c r="K2952" s="110" t="str">
        <v>INV-2608-0350</v>
      </c>
    </row>
    <row r="2953" spans="11:11" x14ac:dyDescent="0.35">
      <c r="K2953" s="110" t="str">
        <v>INV-2608-0351</v>
      </c>
    </row>
    <row r="2954" spans="11:11" x14ac:dyDescent="0.35">
      <c r="K2954" s="110" t="str">
        <v>INV-2608-0352</v>
      </c>
    </row>
    <row r="2955" spans="11:11" x14ac:dyDescent="0.35">
      <c r="K2955" s="110" t="str">
        <v>INV-2608-0353</v>
      </c>
    </row>
    <row r="2956" spans="11:11" x14ac:dyDescent="0.35">
      <c r="K2956" s="110" t="str">
        <v>INV-2608-0354</v>
      </c>
    </row>
    <row r="2957" spans="11:11" x14ac:dyDescent="0.35">
      <c r="K2957" s="110" t="str">
        <v>INV-2608-0355</v>
      </c>
    </row>
    <row r="2958" spans="11:11" x14ac:dyDescent="0.35">
      <c r="K2958" s="110" t="str">
        <v>INV-2608-0356</v>
      </c>
    </row>
    <row r="2959" spans="11:11" x14ac:dyDescent="0.35">
      <c r="K2959" s="110" t="str">
        <v>INV-2608-0357</v>
      </c>
    </row>
    <row r="2960" spans="11:11" x14ac:dyDescent="0.35">
      <c r="K2960" s="110" t="str">
        <v>INV-2608-0358</v>
      </c>
    </row>
    <row r="2961" spans="11:11" x14ac:dyDescent="0.35">
      <c r="K2961" s="110" t="str">
        <v>INV-2609-0001</v>
      </c>
    </row>
    <row r="2962" spans="11:11" x14ac:dyDescent="0.35">
      <c r="K2962" s="110" t="str">
        <v>INV-2609-0002</v>
      </c>
    </row>
    <row r="2963" spans="11:11" x14ac:dyDescent="0.35">
      <c r="K2963" s="110" t="str">
        <v>INV-2609-0003</v>
      </c>
    </row>
    <row r="2964" spans="11:11" x14ac:dyDescent="0.35">
      <c r="K2964" s="110" t="str">
        <v>INV-2609-0004</v>
      </c>
    </row>
    <row r="2965" spans="11:11" x14ac:dyDescent="0.35">
      <c r="K2965" s="110" t="str">
        <v>INV-2609-0005</v>
      </c>
    </row>
    <row r="2966" spans="11:11" x14ac:dyDescent="0.35">
      <c r="K2966" s="110" t="str">
        <v>INV-2609-0006</v>
      </c>
    </row>
    <row r="2967" spans="11:11" x14ac:dyDescent="0.35">
      <c r="K2967" s="110" t="str">
        <v>INV-2609-0007</v>
      </c>
    </row>
    <row r="2968" spans="11:11" x14ac:dyDescent="0.35">
      <c r="K2968" s="110" t="str">
        <v>INV-2609-0008</v>
      </c>
    </row>
    <row r="2969" spans="11:11" x14ac:dyDescent="0.35">
      <c r="K2969" s="110" t="str">
        <v>INV-2609-0009</v>
      </c>
    </row>
    <row r="2970" spans="11:11" x14ac:dyDescent="0.35">
      <c r="K2970" s="110" t="str">
        <v>INV-2609-0010</v>
      </c>
    </row>
    <row r="2971" spans="11:11" x14ac:dyDescent="0.35">
      <c r="K2971" s="110" t="str">
        <v>INV-2609-0011</v>
      </c>
    </row>
    <row r="2972" spans="11:11" x14ac:dyDescent="0.35">
      <c r="K2972" s="110" t="str">
        <v>INV-2609-0012</v>
      </c>
    </row>
    <row r="2973" spans="11:11" x14ac:dyDescent="0.35">
      <c r="K2973" s="110" t="str">
        <v>INV-2609-0013</v>
      </c>
    </row>
    <row r="2974" spans="11:11" x14ac:dyDescent="0.35">
      <c r="K2974" s="110" t="str">
        <v>INV-2609-0014</v>
      </c>
    </row>
    <row r="2975" spans="11:11" x14ac:dyDescent="0.35">
      <c r="K2975" s="110" t="str">
        <v>INV-2609-0015</v>
      </c>
    </row>
    <row r="2976" spans="11:11" x14ac:dyDescent="0.35">
      <c r="K2976" s="110" t="str">
        <v>INV-2609-0016</v>
      </c>
    </row>
    <row r="2977" spans="11:11" x14ac:dyDescent="0.35">
      <c r="K2977" s="110" t="str">
        <v>INV-2609-0017</v>
      </c>
    </row>
    <row r="2978" spans="11:11" x14ac:dyDescent="0.35">
      <c r="K2978" s="110" t="str">
        <v>INV-2609-0018</v>
      </c>
    </row>
    <row r="2979" spans="11:11" x14ac:dyDescent="0.35">
      <c r="K2979" s="110" t="str">
        <v>INV-2609-0019</v>
      </c>
    </row>
    <row r="2980" spans="11:11" x14ac:dyDescent="0.35">
      <c r="K2980" s="110" t="str">
        <v>INV-2609-0020</v>
      </c>
    </row>
    <row r="2981" spans="11:11" x14ac:dyDescent="0.35">
      <c r="K2981" s="110" t="str">
        <v>INV-2609-0021</v>
      </c>
    </row>
    <row r="2982" spans="11:11" x14ac:dyDescent="0.35">
      <c r="K2982" s="110" t="str">
        <v>INV-2609-0022</v>
      </c>
    </row>
    <row r="2983" spans="11:11" x14ac:dyDescent="0.35">
      <c r="K2983" s="110" t="str">
        <v>INV-2609-0023</v>
      </c>
    </row>
    <row r="2984" spans="11:11" x14ac:dyDescent="0.35">
      <c r="K2984" s="110" t="str">
        <v>INV-2609-0024</v>
      </c>
    </row>
    <row r="2985" spans="11:11" x14ac:dyDescent="0.35">
      <c r="K2985" s="110" t="str">
        <v>INV-2609-0025</v>
      </c>
    </row>
    <row r="2986" spans="11:11" x14ac:dyDescent="0.35">
      <c r="K2986" s="110" t="str">
        <v>INV-2609-0026</v>
      </c>
    </row>
    <row r="2987" spans="11:11" x14ac:dyDescent="0.35">
      <c r="K2987" s="110" t="str">
        <v>INV-2609-0027</v>
      </c>
    </row>
    <row r="2988" spans="11:11" x14ac:dyDescent="0.35">
      <c r="K2988" s="110" t="str">
        <v>INV-2609-0028</v>
      </c>
    </row>
    <row r="2989" spans="11:11" x14ac:dyDescent="0.35">
      <c r="K2989" s="110" t="str">
        <v>INV-2609-0029</v>
      </c>
    </row>
    <row r="2990" spans="11:11" x14ac:dyDescent="0.35">
      <c r="K2990" s="110" t="str">
        <v>INV-2609-0030</v>
      </c>
    </row>
    <row r="2991" spans="11:11" x14ac:dyDescent="0.35">
      <c r="K2991" s="110" t="str">
        <v>INV-2609-0031</v>
      </c>
    </row>
    <row r="2992" spans="11:11" x14ac:dyDescent="0.35">
      <c r="K2992" s="110" t="str">
        <v>INV-2609-0032</v>
      </c>
    </row>
    <row r="2993" spans="11:11" x14ac:dyDescent="0.35">
      <c r="K2993" s="110" t="str">
        <v>INV-2609-0033</v>
      </c>
    </row>
    <row r="2994" spans="11:11" x14ac:dyDescent="0.35">
      <c r="K2994" s="110" t="str">
        <v>INV-2609-0034</v>
      </c>
    </row>
    <row r="2995" spans="11:11" x14ac:dyDescent="0.35">
      <c r="K2995" s="110" t="str">
        <v>INV-2609-0035</v>
      </c>
    </row>
    <row r="2996" spans="11:11" x14ac:dyDescent="0.35">
      <c r="K2996" s="110" t="str">
        <v>INV-2609-0036</v>
      </c>
    </row>
    <row r="2997" spans="11:11" x14ac:dyDescent="0.35">
      <c r="K2997" s="110" t="str">
        <v>INV-2609-0037</v>
      </c>
    </row>
    <row r="2998" spans="11:11" x14ac:dyDescent="0.35">
      <c r="K2998" s="110" t="str">
        <v>INV-2609-0038</v>
      </c>
    </row>
    <row r="2999" spans="11:11" x14ac:dyDescent="0.35">
      <c r="K2999" s="110" t="str">
        <v>INV-2609-0039</v>
      </c>
    </row>
    <row r="3000" spans="11:11" x14ac:dyDescent="0.35">
      <c r="K3000" s="110" t="str">
        <v>INV-2609-0040</v>
      </c>
    </row>
    <row r="3001" spans="11:11" x14ac:dyDescent="0.35">
      <c r="K3001" s="110" t="str">
        <v>INV-2609-0041</v>
      </c>
    </row>
    <row r="3002" spans="11:11" x14ac:dyDescent="0.35">
      <c r="K3002" s="110" t="str">
        <v>INV-2609-0042</v>
      </c>
    </row>
    <row r="3003" spans="11:11" x14ac:dyDescent="0.35">
      <c r="K3003" s="110" t="str">
        <v>INV-2609-0043</v>
      </c>
    </row>
    <row r="3004" spans="11:11" x14ac:dyDescent="0.35">
      <c r="K3004" s="110" t="str">
        <v>INV-2609-0044</v>
      </c>
    </row>
    <row r="3005" spans="11:11" x14ac:dyDescent="0.35">
      <c r="K3005" s="110" t="str">
        <v>INV-2609-0045</v>
      </c>
    </row>
    <row r="3006" spans="11:11" x14ac:dyDescent="0.35">
      <c r="K3006" s="110" t="str">
        <v>INV-2609-0046</v>
      </c>
    </row>
    <row r="3007" spans="11:11" x14ac:dyDescent="0.35">
      <c r="K3007" s="110" t="str">
        <v>INV-2609-0047</v>
      </c>
    </row>
    <row r="3008" spans="11:11" x14ac:dyDescent="0.35">
      <c r="K3008" s="110" t="str">
        <v>INV-2609-0048</v>
      </c>
    </row>
    <row r="3009" spans="11:11" x14ac:dyDescent="0.35">
      <c r="K3009" s="110" t="str">
        <v>INV-2609-0049</v>
      </c>
    </row>
    <row r="3010" spans="11:11" x14ac:dyDescent="0.35">
      <c r="K3010" s="110" t="str">
        <v>INV-2609-0050</v>
      </c>
    </row>
    <row r="3011" spans="11:11" x14ac:dyDescent="0.35">
      <c r="K3011" s="110" t="str">
        <v>INV-2609-0051</v>
      </c>
    </row>
    <row r="3012" spans="11:11" x14ac:dyDescent="0.35">
      <c r="K3012" s="110" t="str">
        <v>INV-2609-0052</v>
      </c>
    </row>
    <row r="3013" spans="11:11" x14ac:dyDescent="0.35">
      <c r="K3013" s="110" t="str">
        <v>INV-2609-0053</v>
      </c>
    </row>
    <row r="3014" spans="11:11" x14ac:dyDescent="0.35">
      <c r="K3014" s="110" t="str">
        <v>INV-2609-0054</v>
      </c>
    </row>
    <row r="3015" spans="11:11" x14ac:dyDescent="0.35">
      <c r="K3015" s="110" t="str">
        <v>INV-2609-0055</v>
      </c>
    </row>
    <row r="3016" spans="11:11" x14ac:dyDescent="0.35">
      <c r="K3016" s="110" t="str">
        <v>INV-2609-0056</v>
      </c>
    </row>
    <row r="3017" spans="11:11" x14ac:dyDescent="0.35">
      <c r="K3017" s="110" t="str">
        <v>INV-2609-0057</v>
      </c>
    </row>
    <row r="3018" spans="11:11" x14ac:dyDescent="0.35">
      <c r="K3018" s="110" t="str">
        <v>INV-2609-0058</v>
      </c>
    </row>
    <row r="3019" spans="11:11" x14ac:dyDescent="0.35">
      <c r="K3019" s="110" t="str">
        <v>INV-2609-0059</v>
      </c>
    </row>
    <row r="3020" spans="11:11" x14ac:dyDescent="0.35">
      <c r="K3020" s="110" t="str">
        <v>INV-2609-0060</v>
      </c>
    </row>
    <row r="3021" spans="11:11" x14ac:dyDescent="0.35">
      <c r="K3021" s="110" t="str">
        <v>INV-2609-0061</v>
      </c>
    </row>
    <row r="3022" spans="11:11" x14ac:dyDescent="0.35">
      <c r="K3022" s="110" t="str">
        <v>INV-2609-0062</v>
      </c>
    </row>
    <row r="3023" spans="11:11" x14ac:dyDescent="0.35">
      <c r="K3023" s="110" t="str">
        <v>INV-2609-0063</v>
      </c>
    </row>
    <row r="3024" spans="11:11" x14ac:dyDescent="0.35">
      <c r="K3024" s="110" t="str">
        <v>INV-2609-0064</v>
      </c>
    </row>
    <row r="3025" spans="11:11" x14ac:dyDescent="0.35">
      <c r="K3025" s="110" t="str">
        <v>INV-2609-0065</v>
      </c>
    </row>
    <row r="3026" spans="11:11" x14ac:dyDescent="0.35">
      <c r="K3026" s="110" t="str">
        <v>INV-2609-0066</v>
      </c>
    </row>
    <row r="3027" spans="11:11" x14ac:dyDescent="0.35">
      <c r="K3027" s="110" t="str">
        <v>INV-2609-0067</v>
      </c>
    </row>
    <row r="3028" spans="11:11" x14ac:dyDescent="0.35">
      <c r="K3028" s="110" t="str">
        <v>INV-2609-0068</v>
      </c>
    </row>
    <row r="3029" spans="11:11" x14ac:dyDescent="0.35">
      <c r="K3029" s="110" t="str">
        <v>INV-2609-0069</v>
      </c>
    </row>
    <row r="3030" spans="11:11" x14ac:dyDescent="0.35">
      <c r="K3030" s="110" t="str">
        <v>INV-2609-0070</v>
      </c>
    </row>
    <row r="3031" spans="11:11" x14ac:dyDescent="0.35">
      <c r="K3031" s="110" t="str">
        <v>INV-2609-0071</v>
      </c>
    </row>
    <row r="3032" spans="11:11" x14ac:dyDescent="0.35">
      <c r="K3032" s="110" t="str">
        <v>INV-2609-0072</v>
      </c>
    </row>
    <row r="3033" spans="11:11" x14ac:dyDescent="0.35">
      <c r="K3033" s="110" t="str">
        <v>INV-2609-0073</v>
      </c>
    </row>
    <row r="3034" spans="11:11" x14ac:dyDescent="0.35">
      <c r="K3034" s="110" t="str">
        <v>INV-2609-0074</v>
      </c>
    </row>
    <row r="3035" spans="11:11" x14ac:dyDescent="0.35">
      <c r="K3035" s="110" t="str">
        <v>INV-2609-0075</v>
      </c>
    </row>
    <row r="3036" spans="11:11" x14ac:dyDescent="0.35">
      <c r="K3036" s="110" t="str">
        <v>INV-2609-0076</v>
      </c>
    </row>
    <row r="3037" spans="11:11" x14ac:dyDescent="0.35">
      <c r="K3037" s="110" t="str">
        <v>INV-2609-0077</v>
      </c>
    </row>
    <row r="3038" spans="11:11" x14ac:dyDescent="0.35">
      <c r="K3038" s="110" t="str">
        <v>INV-2609-0078</v>
      </c>
    </row>
    <row r="3039" spans="11:11" x14ac:dyDescent="0.35">
      <c r="K3039" s="110" t="str">
        <v>INV-2609-0079</v>
      </c>
    </row>
    <row r="3040" spans="11:11" x14ac:dyDescent="0.35">
      <c r="K3040" s="110" t="str">
        <v>INV-2609-0080</v>
      </c>
    </row>
    <row r="3041" spans="11:11" x14ac:dyDescent="0.35">
      <c r="K3041" s="110" t="str">
        <v>INV-2609-0081</v>
      </c>
    </row>
    <row r="3042" spans="11:11" x14ac:dyDescent="0.35">
      <c r="K3042" s="110" t="str">
        <v>INV-2609-0082</v>
      </c>
    </row>
    <row r="3043" spans="11:11" x14ac:dyDescent="0.35">
      <c r="K3043" s="110" t="str">
        <v>INV-2609-0083</v>
      </c>
    </row>
    <row r="3044" spans="11:11" x14ac:dyDescent="0.35">
      <c r="K3044" s="110" t="str">
        <v>INV-2609-0084</v>
      </c>
    </row>
    <row r="3045" spans="11:11" x14ac:dyDescent="0.35">
      <c r="K3045" s="110" t="str">
        <v>INV-2609-0085</v>
      </c>
    </row>
    <row r="3046" spans="11:11" x14ac:dyDescent="0.35">
      <c r="K3046" s="110" t="str">
        <v>INV-2609-0086</v>
      </c>
    </row>
    <row r="3047" spans="11:11" x14ac:dyDescent="0.35">
      <c r="K3047" s="110" t="str">
        <v>INV-2609-0087</v>
      </c>
    </row>
    <row r="3048" spans="11:11" x14ac:dyDescent="0.35">
      <c r="K3048" s="110" t="str">
        <v>INV-2609-0088</v>
      </c>
    </row>
    <row r="3049" spans="11:11" x14ac:dyDescent="0.35">
      <c r="K3049" s="110" t="str">
        <v>INV-2609-0089</v>
      </c>
    </row>
    <row r="3050" spans="11:11" x14ac:dyDescent="0.35">
      <c r="K3050" s="110" t="str">
        <v>INV-2609-0090</v>
      </c>
    </row>
    <row r="3051" spans="11:11" x14ac:dyDescent="0.35">
      <c r="K3051" s="110" t="str">
        <v>INV-2609-0091</v>
      </c>
    </row>
    <row r="3052" spans="11:11" x14ac:dyDescent="0.35">
      <c r="K3052" s="110" t="str">
        <v>INV-2609-0092</v>
      </c>
    </row>
    <row r="3053" spans="11:11" x14ac:dyDescent="0.35">
      <c r="K3053" s="110" t="str">
        <v>INV-2609-0093</v>
      </c>
    </row>
    <row r="3054" spans="11:11" x14ac:dyDescent="0.35">
      <c r="K3054" s="110" t="str">
        <v>INV-2609-0094</v>
      </c>
    </row>
    <row r="3055" spans="11:11" x14ac:dyDescent="0.35">
      <c r="K3055" s="110" t="str">
        <v>INV-2609-0095</v>
      </c>
    </row>
    <row r="3056" spans="11:11" x14ac:dyDescent="0.35">
      <c r="K3056" s="110" t="str">
        <v>INV-2609-0096</v>
      </c>
    </row>
    <row r="3057" spans="11:11" x14ac:dyDescent="0.35">
      <c r="K3057" s="110" t="str">
        <v>INV-2609-0097</v>
      </c>
    </row>
    <row r="3058" spans="11:11" x14ac:dyDescent="0.35">
      <c r="K3058" s="110" t="str">
        <v>INV-2609-0098</v>
      </c>
    </row>
    <row r="3059" spans="11:11" x14ac:dyDescent="0.35">
      <c r="K3059" s="110" t="str">
        <v>INV-2609-0099</v>
      </c>
    </row>
    <row r="3060" spans="11:11" x14ac:dyDescent="0.35">
      <c r="K3060" s="110" t="str">
        <v>INV-2609-0100</v>
      </c>
    </row>
    <row r="3061" spans="11:11" x14ac:dyDescent="0.35">
      <c r="K3061" s="110" t="str">
        <v>INV-2609-0101</v>
      </c>
    </row>
    <row r="3062" spans="11:11" x14ac:dyDescent="0.35">
      <c r="K3062" s="110" t="str">
        <v>INV-2609-0102</v>
      </c>
    </row>
    <row r="3063" spans="11:11" x14ac:dyDescent="0.35">
      <c r="K3063" s="110" t="str">
        <v>INV-2609-0103</v>
      </c>
    </row>
    <row r="3064" spans="11:11" x14ac:dyDescent="0.35">
      <c r="K3064" s="110" t="str">
        <v>INV-2609-0104</v>
      </c>
    </row>
    <row r="3065" spans="11:11" x14ac:dyDescent="0.35">
      <c r="K3065" s="110" t="str">
        <v>INV-2609-0105</v>
      </c>
    </row>
    <row r="3066" spans="11:11" x14ac:dyDescent="0.35">
      <c r="K3066" s="110" t="str">
        <v>INV-2609-0106</v>
      </c>
    </row>
    <row r="3067" spans="11:11" x14ac:dyDescent="0.35">
      <c r="K3067" s="110" t="str">
        <v>INV-2609-0107</v>
      </c>
    </row>
    <row r="3068" spans="11:11" x14ac:dyDescent="0.35">
      <c r="K3068" s="110" t="str">
        <v>INV-2609-0108</v>
      </c>
    </row>
    <row r="3069" spans="11:11" x14ac:dyDescent="0.35">
      <c r="K3069" s="110" t="str">
        <v>INV-2609-0109</v>
      </c>
    </row>
    <row r="3070" spans="11:11" x14ac:dyDescent="0.35">
      <c r="K3070" s="110" t="str">
        <v>INV-2609-0110</v>
      </c>
    </row>
    <row r="3071" spans="11:11" x14ac:dyDescent="0.35">
      <c r="K3071" s="110" t="str">
        <v>INV-2609-0111</v>
      </c>
    </row>
    <row r="3072" spans="11:11" x14ac:dyDescent="0.35">
      <c r="K3072" s="110" t="str">
        <v>INV-2609-0112</v>
      </c>
    </row>
    <row r="3073" spans="11:11" x14ac:dyDescent="0.35">
      <c r="K3073" s="110" t="str">
        <v>INV-2609-0113</v>
      </c>
    </row>
    <row r="3074" spans="11:11" x14ac:dyDescent="0.35">
      <c r="K3074" s="110" t="str">
        <v>INV-2609-0114</v>
      </c>
    </row>
    <row r="3075" spans="11:11" x14ac:dyDescent="0.35">
      <c r="K3075" s="110" t="str">
        <v>INV-2609-0115</v>
      </c>
    </row>
    <row r="3076" spans="11:11" x14ac:dyDescent="0.35">
      <c r="K3076" s="110" t="str">
        <v>INV-2609-0116</v>
      </c>
    </row>
    <row r="3077" spans="11:11" x14ac:dyDescent="0.35">
      <c r="K3077" s="110" t="str">
        <v>INV-2609-0117</v>
      </c>
    </row>
    <row r="3078" spans="11:11" x14ac:dyDescent="0.35">
      <c r="K3078" s="110" t="str">
        <v>INV-2609-0118</v>
      </c>
    </row>
    <row r="3079" spans="11:11" x14ac:dyDescent="0.35">
      <c r="K3079" s="110" t="str">
        <v>INV-2609-0119</v>
      </c>
    </row>
    <row r="3080" spans="11:11" x14ac:dyDescent="0.35">
      <c r="K3080" s="110" t="str">
        <v>INV-2609-0120</v>
      </c>
    </row>
    <row r="3081" spans="11:11" x14ac:dyDescent="0.35">
      <c r="K3081" s="110" t="str">
        <v>INV-2609-0121</v>
      </c>
    </row>
    <row r="3082" spans="11:11" x14ac:dyDescent="0.35">
      <c r="K3082" s="110" t="str">
        <v>INV-2609-0122</v>
      </c>
    </row>
    <row r="3083" spans="11:11" x14ac:dyDescent="0.35">
      <c r="K3083" s="110" t="str">
        <v>INV-2609-0123</v>
      </c>
    </row>
    <row r="3084" spans="11:11" x14ac:dyDescent="0.35">
      <c r="K3084" s="110" t="str">
        <v>INV-2609-0124</v>
      </c>
    </row>
    <row r="3085" spans="11:11" x14ac:dyDescent="0.35">
      <c r="K3085" s="110" t="str">
        <v>INV-2609-0125</v>
      </c>
    </row>
    <row r="3086" spans="11:11" x14ac:dyDescent="0.35">
      <c r="K3086" s="110" t="str">
        <v>INV-2609-0126</v>
      </c>
    </row>
    <row r="3087" spans="11:11" x14ac:dyDescent="0.35">
      <c r="K3087" s="110" t="str">
        <v>INV-2609-0127</v>
      </c>
    </row>
    <row r="3088" spans="11:11" x14ac:dyDescent="0.35">
      <c r="K3088" s="110" t="str">
        <v>INV-2609-0128</v>
      </c>
    </row>
    <row r="3089" spans="11:11" x14ac:dyDescent="0.35">
      <c r="K3089" s="110" t="str">
        <v>INV-2609-0129</v>
      </c>
    </row>
    <row r="3090" spans="11:11" x14ac:dyDescent="0.35">
      <c r="K3090" s="110" t="str">
        <v>INV-2609-0130</v>
      </c>
    </row>
    <row r="3091" spans="11:11" x14ac:dyDescent="0.35">
      <c r="K3091" s="110" t="str">
        <v>INV-2609-0131</v>
      </c>
    </row>
    <row r="3092" spans="11:11" x14ac:dyDescent="0.35">
      <c r="K3092" s="110" t="str">
        <v>INV-2609-0132</v>
      </c>
    </row>
    <row r="3093" spans="11:11" x14ac:dyDescent="0.35">
      <c r="K3093" s="110" t="str">
        <v>INV-2609-0133</v>
      </c>
    </row>
    <row r="3094" spans="11:11" x14ac:dyDescent="0.35">
      <c r="K3094" s="110" t="str">
        <v>INV-2609-0134</v>
      </c>
    </row>
    <row r="3095" spans="11:11" x14ac:dyDescent="0.35">
      <c r="K3095" s="110" t="str">
        <v>INV-2609-0135</v>
      </c>
    </row>
    <row r="3096" spans="11:11" x14ac:dyDescent="0.35">
      <c r="K3096" s="110" t="str">
        <v>INV-2609-0136</v>
      </c>
    </row>
    <row r="3097" spans="11:11" x14ac:dyDescent="0.35">
      <c r="K3097" s="110" t="str">
        <v>INV-2609-0137</v>
      </c>
    </row>
    <row r="3098" spans="11:11" x14ac:dyDescent="0.35">
      <c r="K3098" s="110" t="str">
        <v>INV-2609-0138</v>
      </c>
    </row>
    <row r="3099" spans="11:11" x14ac:dyDescent="0.35">
      <c r="K3099" s="110" t="str">
        <v>INV-2609-0139</v>
      </c>
    </row>
    <row r="3100" spans="11:11" x14ac:dyDescent="0.35">
      <c r="K3100" s="110" t="str">
        <v>INV-2609-0140</v>
      </c>
    </row>
    <row r="3101" spans="11:11" x14ac:dyDescent="0.35">
      <c r="K3101" s="110" t="str">
        <v>INV-2609-0141</v>
      </c>
    </row>
    <row r="3102" spans="11:11" x14ac:dyDescent="0.35">
      <c r="K3102" s="110" t="str">
        <v>INV-2609-0142</v>
      </c>
    </row>
    <row r="3103" spans="11:11" x14ac:dyDescent="0.35">
      <c r="K3103" s="110" t="str">
        <v>INV-2609-0143</v>
      </c>
    </row>
    <row r="3104" spans="11:11" x14ac:dyDescent="0.35">
      <c r="K3104" s="110" t="str">
        <v>INV-2609-0144</v>
      </c>
    </row>
    <row r="3105" spans="11:11" x14ac:dyDescent="0.35">
      <c r="K3105" s="110" t="str">
        <v>INV-2609-0145</v>
      </c>
    </row>
    <row r="3106" spans="11:11" x14ac:dyDescent="0.35">
      <c r="K3106" s="110" t="str">
        <v>INV-2609-0146</v>
      </c>
    </row>
    <row r="3107" spans="11:11" x14ac:dyDescent="0.35">
      <c r="K3107" s="110" t="str">
        <v>INV-2609-0147</v>
      </c>
    </row>
    <row r="3108" spans="11:11" x14ac:dyDescent="0.35">
      <c r="K3108" s="110" t="str">
        <v>INV-2609-0148</v>
      </c>
    </row>
    <row r="3109" spans="11:11" x14ac:dyDescent="0.35">
      <c r="K3109" s="110" t="str">
        <v>INV-2609-0149</v>
      </c>
    </row>
    <row r="3110" spans="11:11" x14ac:dyDescent="0.35">
      <c r="K3110" s="110" t="str">
        <v>INV-2609-0150</v>
      </c>
    </row>
    <row r="3111" spans="11:11" x14ac:dyDescent="0.35">
      <c r="K3111" s="110" t="str">
        <v>INV-2609-0151</v>
      </c>
    </row>
    <row r="3112" spans="11:11" x14ac:dyDescent="0.35">
      <c r="K3112" s="110" t="str">
        <v>INV-2609-0152</v>
      </c>
    </row>
    <row r="3113" spans="11:11" x14ac:dyDescent="0.35">
      <c r="K3113" s="110" t="str">
        <v>INV-2609-0153</v>
      </c>
    </row>
    <row r="3114" spans="11:11" x14ac:dyDescent="0.35">
      <c r="K3114" s="110" t="str">
        <v>INV-2609-0154</v>
      </c>
    </row>
    <row r="3115" spans="11:11" x14ac:dyDescent="0.35">
      <c r="K3115" s="110" t="str">
        <v>INV-2609-0155</v>
      </c>
    </row>
    <row r="3116" spans="11:11" x14ac:dyDescent="0.35">
      <c r="K3116" s="110" t="str">
        <v>INV-2609-0156</v>
      </c>
    </row>
    <row r="3117" spans="11:11" x14ac:dyDescent="0.35">
      <c r="K3117" s="110" t="str">
        <v>INV-2609-0157</v>
      </c>
    </row>
    <row r="3118" spans="11:11" x14ac:dyDescent="0.35">
      <c r="K3118" s="110" t="str">
        <v>INV-2609-0158</v>
      </c>
    </row>
    <row r="3119" spans="11:11" x14ac:dyDescent="0.35">
      <c r="K3119" s="110" t="str">
        <v>INV-2609-0159</v>
      </c>
    </row>
    <row r="3120" spans="11:11" x14ac:dyDescent="0.35">
      <c r="K3120" s="110" t="str">
        <v>INV-2609-0160</v>
      </c>
    </row>
    <row r="3121" spans="11:11" x14ac:dyDescent="0.35">
      <c r="K3121" s="110" t="str">
        <v>INV-2609-0161</v>
      </c>
    </row>
    <row r="3122" spans="11:11" x14ac:dyDescent="0.35">
      <c r="K3122" s="110" t="str">
        <v>INV-2609-0162</v>
      </c>
    </row>
    <row r="3123" spans="11:11" x14ac:dyDescent="0.35">
      <c r="K3123" s="110" t="str">
        <v>INV-2609-0163</v>
      </c>
    </row>
    <row r="3124" spans="11:11" x14ac:dyDescent="0.35">
      <c r="K3124" s="110" t="str">
        <v>INV-2609-0164</v>
      </c>
    </row>
    <row r="3125" spans="11:11" x14ac:dyDescent="0.35">
      <c r="K3125" s="110" t="str">
        <v>INV-2609-0165</v>
      </c>
    </row>
    <row r="3126" spans="11:11" x14ac:dyDescent="0.35">
      <c r="K3126" s="110" t="str">
        <v>INV-2609-0166</v>
      </c>
    </row>
    <row r="3127" spans="11:11" x14ac:dyDescent="0.35">
      <c r="K3127" s="110" t="str">
        <v>INV-2609-0167</v>
      </c>
    </row>
    <row r="3128" spans="11:11" x14ac:dyDescent="0.35">
      <c r="K3128" s="110" t="str">
        <v>INV-2609-0168</v>
      </c>
    </row>
    <row r="3129" spans="11:11" x14ac:dyDescent="0.35">
      <c r="K3129" s="110" t="str">
        <v>INV-2609-0169</v>
      </c>
    </row>
    <row r="3130" spans="11:11" x14ac:dyDescent="0.35">
      <c r="K3130" s="110" t="str">
        <v>INV-2609-0170</v>
      </c>
    </row>
    <row r="3131" spans="11:11" x14ac:dyDescent="0.35">
      <c r="K3131" s="110" t="str">
        <v>INV-2609-0171</v>
      </c>
    </row>
    <row r="3132" spans="11:11" x14ac:dyDescent="0.35">
      <c r="K3132" s="110" t="str">
        <v>INV-2609-0172</v>
      </c>
    </row>
    <row r="3133" spans="11:11" x14ac:dyDescent="0.35">
      <c r="K3133" s="110" t="str">
        <v>INV-2609-0173</v>
      </c>
    </row>
    <row r="3134" spans="11:11" x14ac:dyDescent="0.35">
      <c r="K3134" s="110" t="str">
        <v>INV-2609-0174</v>
      </c>
    </row>
    <row r="3135" spans="11:11" x14ac:dyDescent="0.35">
      <c r="K3135" s="110" t="str">
        <v>INV-2609-0175</v>
      </c>
    </row>
    <row r="3136" spans="11:11" x14ac:dyDescent="0.35">
      <c r="K3136" s="110" t="str">
        <v>INV-2609-0176</v>
      </c>
    </row>
    <row r="3137" spans="11:11" x14ac:dyDescent="0.35">
      <c r="K3137" s="110" t="str">
        <v>INV-2609-0177</v>
      </c>
    </row>
    <row r="3138" spans="11:11" x14ac:dyDescent="0.35">
      <c r="K3138" s="110" t="str">
        <v>INV-2609-0178</v>
      </c>
    </row>
    <row r="3139" spans="11:11" x14ac:dyDescent="0.35">
      <c r="K3139" s="110" t="str">
        <v>INV-2609-0179</v>
      </c>
    </row>
    <row r="3140" spans="11:11" x14ac:dyDescent="0.35">
      <c r="K3140" s="110" t="str">
        <v>INV-2609-0180</v>
      </c>
    </row>
    <row r="3141" spans="11:11" x14ac:dyDescent="0.35">
      <c r="K3141" s="110" t="str">
        <v>INV-2609-0181</v>
      </c>
    </row>
    <row r="3142" spans="11:11" x14ac:dyDescent="0.35">
      <c r="K3142" s="110" t="str">
        <v>INV-2609-0182</v>
      </c>
    </row>
    <row r="3143" spans="11:11" x14ac:dyDescent="0.35">
      <c r="K3143" s="110" t="str">
        <v>INV-2609-0183</v>
      </c>
    </row>
    <row r="3144" spans="11:11" x14ac:dyDescent="0.35">
      <c r="K3144" s="110" t="str">
        <v>INV-2609-0184</v>
      </c>
    </row>
    <row r="3145" spans="11:11" x14ac:dyDescent="0.35">
      <c r="K3145" s="110" t="str">
        <v>INV-2609-0185</v>
      </c>
    </row>
    <row r="3146" spans="11:11" x14ac:dyDescent="0.35">
      <c r="K3146" s="110" t="str">
        <v>INV-2609-0186</v>
      </c>
    </row>
    <row r="3147" spans="11:11" x14ac:dyDescent="0.35">
      <c r="K3147" s="110" t="str">
        <v>INV-2609-0187</v>
      </c>
    </row>
    <row r="3148" spans="11:11" x14ac:dyDescent="0.35">
      <c r="K3148" s="110" t="str">
        <v>INV-2609-0188</v>
      </c>
    </row>
    <row r="3149" spans="11:11" x14ac:dyDescent="0.35">
      <c r="K3149" s="110" t="str">
        <v>INV-2609-0189</v>
      </c>
    </row>
    <row r="3150" spans="11:11" x14ac:dyDescent="0.35">
      <c r="K3150" s="110" t="str">
        <v>INV-2609-0190</v>
      </c>
    </row>
    <row r="3151" spans="11:11" x14ac:dyDescent="0.35">
      <c r="K3151" s="110" t="str">
        <v>INV-2609-0191</v>
      </c>
    </row>
    <row r="3152" spans="11:11" x14ac:dyDescent="0.35">
      <c r="K3152" s="110" t="str">
        <v>INV-2609-0192</v>
      </c>
    </row>
    <row r="3153" spans="11:11" x14ac:dyDescent="0.35">
      <c r="K3153" s="110" t="str">
        <v>INV-2609-0193</v>
      </c>
    </row>
    <row r="3154" spans="11:11" x14ac:dyDescent="0.35">
      <c r="K3154" s="110" t="str">
        <v>INV-2609-0194</v>
      </c>
    </row>
    <row r="3155" spans="11:11" x14ac:dyDescent="0.35">
      <c r="K3155" s="110" t="str">
        <v>INV-2609-0195</v>
      </c>
    </row>
    <row r="3156" spans="11:11" x14ac:dyDescent="0.35">
      <c r="K3156" s="110" t="str">
        <v>INV-2609-0196</v>
      </c>
    </row>
    <row r="3157" spans="11:11" x14ac:dyDescent="0.35">
      <c r="K3157" s="110" t="str">
        <v>INV-2609-0197</v>
      </c>
    </row>
    <row r="3158" spans="11:11" x14ac:dyDescent="0.35">
      <c r="K3158" s="110" t="str">
        <v>INV-2609-0198</v>
      </c>
    </row>
    <row r="3159" spans="11:11" x14ac:dyDescent="0.35">
      <c r="K3159" s="110" t="str">
        <v>INV-2609-0199</v>
      </c>
    </row>
    <row r="3160" spans="11:11" x14ac:dyDescent="0.35">
      <c r="K3160" s="110" t="str">
        <v>INV-2609-0200</v>
      </c>
    </row>
    <row r="3161" spans="11:11" x14ac:dyDescent="0.35">
      <c r="K3161" s="110" t="str">
        <v>INV-2609-0201</v>
      </c>
    </row>
    <row r="3162" spans="11:11" x14ac:dyDescent="0.35">
      <c r="K3162" s="110" t="str">
        <v>INV-2609-0202</v>
      </c>
    </row>
    <row r="3163" spans="11:11" x14ac:dyDescent="0.35">
      <c r="K3163" s="110" t="str">
        <v>INV-2609-0203</v>
      </c>
    </row>
    <row r="3164" spans="11:11" x14ac:dyDescent="0.35">
      <c r="K3164" s="110" t="str">
        <v>INV-2609-0204</v>
      </c>
    </row>
    <row r="3165" spans="11:11" x14ac:dyDescent="0.35">
      <c r="K3165" s="110" t="str">
        <v>INV-2609-0205</v>
      </c>
    </row>
    <row r="3166" spans="11:11" x14ac:dyDescent="0.35">
      <c r="K3166" s="110" t="str">
        <v>INV-2609-0206</v>
      </c>
    </row>
    <row r="3167" spans="11:11" x14ac:dyDescent="0.35">
      <c r="K3167" s="110" t="str">
        <v>INV-2609-0207</v>
      </c>
    </row>
    <row r="3168" spans="11:11" x14ac:dyDescent="0.35">
      <c r="K3168" s="110" t="str">
        <v>INV-2609-0208</v>
      </c>
    </row>
    <row r="3169" spans="11:11" x14ac:dyDescent="0.35">
      <c r="K3169" s="110" t="str">
        <v>INV-2609-0209</v>
      </c>
    </row>
    <row r="3170" spans="11:11" x14ac:dyDescent="0.35">
      <c r="K3170" s="110" t="str">
        <v>INV-2609-0210</v>
      </c>
    </row>
    <row r="3171" spans="11:11" x14ac:dyDescent="0.35">
      <c r="K3171" s="110" t="str">
        <v>INV-2609-0211</v>
      </c>
    </row>
    <row r="3172" spans="11:11" x14ac:dyDescent="0.35">
      <c r="K3172" s="110" t="str">
        <v>INV-2609-0212</v>
      </c>
    </row>
    <row r="3173" spans="11:11" x14ac:dyDescent="0.35">
      <c r="K3173" s="110" t="str">
        <v>INV-2609-0213</v>
      </c>
    </row>
    <row r="3174" spans="11:11" x14ac:dyDescent="0.35">
      <c r="K3174" s="110" t="str">
        <v>INV-2609-0214</v>
      </c>
    </row>
    <row r="3175" spans="11:11" x14ac:dyDescent="0.35">
      <c r="K3175" s="110" t="str">
        <v>INV-2609-0215</v>
      </c>
    </row>
    <row r="3176" spans="11:11" x14ac:dyDescent="0.35">
      <c r="K3176" s="110" t="str">
        <v>INV-2609-0216</v>
      </c>
    </row>
    <row r="3177" spans="11:11" x14ac:dyDescent="0.35">
      <c r="K3177" s="110" t="str">
        <v>INV-2609-0217</v>
      </c>
    </row>
    <row r="3178" spans="11:11" x14ac:dyDescent="0.35">
      <c r="K3178" s="110" t="str">
        <v>INV-2609-0218</v>
      </c>
    </row>
    <row r="3179" spans="11:11" x14ac:dyDescent="0.35">
      <c r="K3179" s="110" t="str">
        <v>INV-2609-0219</v>
      </c>
    </row>
    <row r="3180" spans="11:11" x14ac:dyDescent="0.35">
      <c r="K3180" s="110" t="str">
        <v>INV-2609-0220</v>
      </c>
    </row>
    <row r="3181" spans="11:11" x14ac:dyDescent="0.35">
      <c r="K3181" s="110" t="str">
        <v>INV-2609-0221</v>
      </c>
    </row>
    <row r="3182" spans="11:11" x14ac:dyDescent="0.35">
      <c r="K3182" s="110" t="str">
        <v>INV-2609-0222</v>
      </c>
    </row>
    <row r="3183" spans="11:11" x14ac:dyDescent="0.35">
      <c r="K3183" s="110" t="str">
        <v>INV-2609-0223</v>
      </c>
    </row>
    <row r="3184" spans="11:11" x14ac:dyDescent="0.35">
      <c r="K3184" s="110" t="str">
        <v>INV-2609-0224</v>
      </c>
    </row>
    <row r="3185" spans="11:11" x14ac:dyDescent="0.35">
      <c r="K3185" s="110" t="str">
        <v>INV-2609-0225</v>
      </c>
    </row>
    <row r="3186" spans="11:11" x14ac:dyDescent="0.35">
      <c r="K3186" s="110" t="str">
        <v>INV-2609-0226</v>
      </c>
    </row>
    <row r="3187" spans="11:11" x14ac:dyDescent="0.35">
      <c r="K3187" s="110" t="str">
        <v>INV-2609-0227</v>
      </c>
    </row>
    <row r="3188" spans="11:11" x14ac:dyDescent="0.35">
      <c r="K3188" s="110" t="str">
        <v>INV-2609-0228</v>
      </c>
    </row>
    <row r="3189" spans="11:11" x14ac:dyDescent="0.35">
      <c r="K3189" s="110" t="str">
        <v>INV-2609-0229</v>
      </c>
    </row>
    <row r="3190" spans="11:11" x14ac:dyDescent="0.35">
      <c r="K3190" s="110" t="str">
        <v>INV-2609-0230</v>
      </c>
    </row>
    <row r="3191" spans="11:11" x14ac:dyDescent="0.35">
      <c r="K3191" s="110" t="str">
        <v>INV-2609-0231</v>
      </c>
    </row>
    <row r="3192" spans="11:11" x14ac:dyDescent="0.35">
      <c r="K3192" s="110" t="str">
        <v>INV-2609-0232</v>
      </c>
    </row>
    <row r="3193" spans="11:11" x14ac:dyDescent="0.35">
      <c r="K3193" s="110" t="str">
        <v>INV-2609-0233</v>
      </c>
    </row>
    <row r="3194" spans="11:11" x14ac:dyDescent="0.35">
      <c r="K3194" s="110" t="str">
        <v>INV-2609-0234</v>
      </c>
    </row>
    <row r="3195" spans="11:11" x14ac:dyDescent="0.35">
      <c r="K3195" s="110" t="str">
        <v>INV-2609-0235</v>
      </c>
    </row>
    <row r="3196" spans="11:11" x14ac:dyDescent="0.35">
      <c r="K3196" s="110" t="str">
        <v>INV-2609-0236</v>
      </c>
    </row>
    <row r="3197" spans="11:11" x14ac:dyDescent="0.35">
      <c r="K3197" s="110" t="str">
        <v>INV-2609-0237</v>
      </c>
    </row>
    <row r="3198" spans="11:11" x14ac:dyDescent="0.35">
      <c r="K3198" s="110" t="str">
        <v>INV-2609-0238</v>
      </c>
    </row>
    <row r="3199" spans="11:11" x14ac:dyDescent="0.35">
      <c r="K3199" s="110" t="str">
        <v>INV-2609-0239</v>
      </c>
    </row>
    <row r="3200" spans="11:11" x14ac:dyDescent="0.35">
      <c r="K3200" s="110" t="str">
        <v>INV-2609-0240</v>
      </c>
    </row>
    <row r="3201" spans="11:11" x14ac:dyDescent="0.35">
      <c r="K3201" s="110" t="str">
        <v>INV-2609-0241</v>
      </c>
    </row>
    <row r="3202" spans="11:11" x14ac:dyDescent="0.35">
      <c r="K3202" s="110" t="str">
        <v>INV-2609-0242</v>
      </c>
    </row>
    <row r="3203" spans="11:11" x14ac:dyDescent="0.35">
      <c r="K3203" s="110" t="str">
        <v>INV-2609-0243</v>
      </c>
    </row>
    <row r="3204" spans="11:11" x14ac:dyDescent="0.35">
      <c r="K3204" s="110" t="str">
        <v>INV-2609-0244</v>
      </c>
    </row>
    <row r="3205" spans="11:11" x14ac:dyDescent="0.35">
      <c r="K3205" s="110" t="str">
        <v>INV-2609-0245</v>
      </c>
    </row>
    <row r="3206" spans="11:11" x14ac:dyDescent="0.35">
      <c r="K3206" s="110" t="str">
        <v>INV-2609-0246</v>
      </c>
    </row>
    <row r="3207" spans="11:11" x14ac:dyDescent="0.35">
      <c r="K3207" s="110" t="str">
        <v>INV-2609-0247</v>
      </c>
    </row>
    <row r="3208" spans="11:11" x14ac:dyDescent="0.35">
      <c r="K3208" s="110" t="str">
        <v>INV-2609-0248</v>
      </c>
    </row>
    <row r="3209" spans="11:11" x14ac:dyDescent="0.35">
      <c r="K3209" s="110" t="str">
        <v>INV-2609-0249</v>
      </c>
    </row>
    <row r="3210" spans="11:11" x14ac:dyDescent="0.35">
      <c r="K3210" s="110" t="str">
        <v>INV-2609-0250</v>
      </c>
    </row>
    <row r="3211" spans="11:11" x14ac:dyDescent="0.35">
      <c r="K3211" s="110" t="str">
        <v>INV-2609-0251</v>
      </c>
    </row>
    <row r="3212" spans="11:11" x14ac:dyDescent="0.35">
      <c r="K3212" s="110" t="str">
        <v>INV-2609-0252</v>
      </c>
    </row>
    <row r="3213" spans="11:11" x14ac:dyDescent="0.35">
      <c r="K3213" s="110" t="str">
        <v>INV-2609-0253</v>
      </c>
    </row>
    <row r="3214" spans="11:11" x14ac:dyDescent="0.35">
      <c r="K3214" s="110" t="str">
        <v>INV-2609-0254</v>
      </c>
    </row>
    <row r="3215" spans="11:11" x14ac:dyDescent="0.35">
      <c r="K3215" s="110" t="str">
        <v>INV-2609-0255</v>
      </c>
    </row>
    <row r="3216" spans="11:11" x14ac:dyDescent="0.35">
      <c r="K3216" s="110" t="str">
        <v>INV-2609-0256</v>
      </c>
    </row>
    <row r="3217" spans="11:11" x14ac:dyDescent="0.35">
      <c r="K3217" s="110" t="str">
        <v>INV-2609-0257</v>
      </c>
    </row>
    <row r="3218" spans="11:11" x14ac:dyDescent="0.35">
      <c r="K3218" s="110" t="str">
        <v>INV-2609-0258</v>
      </c>
    </row>
    <row r="3219" spans="11:11" x14ac:dyDescent="0.35">
      <c r="K3219" s="110" t="str">
        <v>INV-2609-0259</v>
      </c>
    </row>
    <row r="3220" spans="11:11" x14ac:dyDescent="0.35">
      <c r="K3220" s="110" t="str">
        <v>INV-2609-0260</v>
      </c>
    </row>
    <row r="3221" spans="11:11" x14ac:dyDescent="0.35">
      <c r="K3221" s="110" t="str">
        <v>INV-2609-0261</v>
      </c>
    </row>
    <row r="3222" spans="11:11" x14ac:dyDescent="0.35">
      <c r="K3222" s="110" t="str">
        <v>INV-2609-0262</v>
      </c>
    </row>
    <row r="3223" spans="11:11" x14ac:dyDescent="0.35">
      <c r="K3223" s="110" t="str">
        <v>INV-2609-0263</v>
      </c>
    </row>
    <row r="3224" spans="11:11" x14ac:dyDescent="0.35">
      <c r="K3224" s="110" t="str">
        <v>INV-2609-0264</v>
      </c>
    </row>
    <row r="3225" spans="11:11" x14ac:dyDescent="0.35">
      <c r="K3225" s="110" t="str">
        <v>INV-2609-0265</v>
      </c>
    </row>
    <row r="3226" spans="11:11" x14ac:dyDescent="0.35">
      <c r="K3226" s="110" t="str">
        <v>INV-2609-0266</v>
      </c>
    </row>
    <row r="3227" spans="11:11" x14ac:dyDescent="0.35">
      <c r="K3227" s="110" t="str">
        <v>INV-2609-0267</v>
      </c>
    </row>
    <row r="3228" spans="11:11" x14ac:dyDescent="0.35">
      <c r="K3228" s="110" t="str">
        <v>INV-2609-0268</v>
      </c>
    </row>
    <row r="3229" spans="11:11" x14ac:dyDescent="0.35">
      <c r="K3229" s="110" t="str">
        <v>INV-2609-0269</v>
      </c>
    </row>
    <row r="3230" spans="11:11" x14ac:dyDescent="0.35">
      <c r="K3230" s="110" t="str">
        <v>INV-2609-0270</v>
      </c>
    </row>
    <row r="3231" spans="11:11" x14ac:dyDescent="0.35">
      <c r="K3231" s="110" t="str">
        <v>INV-2609-0271</v>
      </c>
    </row>
    <row r="3232" spans="11:11" x14ac:dyDescent="0.35">
      <c r="K3232" s="110" t="str">
        <v>INV-2609-0272</v>
      </c>
    </row>
    <row r="3233" spans="11:11" x14ac:dyDescent="0.35">
      <c r="K3233" s="110" t="str">
        <v>INV-2609-0273</v>
      </c>
    </row>
    <row r="3234" spans="11:11" x14ac:dyDescent="0.35">
      <c r="K3234" s="110" t="str">
        <v>INV-2609-0274</v>
      </c>
    </row>
    <row r="3235" spans="11:11" x14ac:dyDescent="0.35">
      <c r="K3235" s="110" t="str">
        <v>INV-2609-0275</v>
      </c>
    </row>
    <row r="3236" spans="11:11" x14ac:dyDescent="0.35">
      <c r="K3236" s="110" t="str">
        <v>INV-2609-0276</v>
      </c>
    </row>
    <row r="3237" spans="11:11" x14ac:dyDescent="0.35">
      <c r="K3237" s="110" t="str">
        <v>INV-2609-0277</v>
      </c>
    </row>
    <row r="3238" spans="11:11" x14ac:dyDescent="0.35">
      <c r="K3238" s="110" t="str">
        <v>INV-2609-0278</v>
      </c>
    </row>
    <row r="3239" spans="11:11" x14ac:dyDescent="0.35">
      <c r="K3239" s="110" t="str">
        <v>INV-2609-0279</v>
      </c>
    </row>
    <row r="3240" spans="11:11" x14ac:dyDescent="0.35">
      <c r="K3240" s="110" t="str">
        <v>INV-2609-0280</v>
      </c>
    </row>
    <row r="3241" spans="11:11" x14ac:dyDescent="0.35">
      <c r="K3241" s="110" t="str">
        <v>INV-2609-0281</v>
      </c>
    </row>
    <row r="3242" spans="11:11" x14ac:dyDescent="0.35">
      <c r="K3242" s="110" t="str">
        <v>INV-2609-0282</v>
      </c>
    </row>
    <row r="3243" spans="11:11" x14ac:dyDescent="0.35">
      <c r="K3243" s="110" t="str">
        <v>INV-2609-0283</v>
      </c>
    </row>
    <row r="3244" spans="11:11" x14ac:dyDescent="0.35">
      <c r="K3244" s="110" t="str">
        <v>INV-2609-0284</v>
      </c>
    </row>
    <row r="3245" spans="11:11" x14ac:dyDescent="0.35">
      <c r="K3245" s="110" t="str">
        <v>INV-2609-0285</v>
      </c>
    </row>
    <row r="3246" spans="11:11" x14ac:dyDescent="0.35">
      <c r="K3246" s="110" t="str">
        <v>INV-2609-0286</v>
      </c>
    </row>
    <row r="3247" spans="11:11" x14ac:dyDescent="0.35">
      <c r="K3247" s="110" t="str">
        <v>INV-2609-0287</v>
      </c>
    </row>
    <row r="3248" spans="11:11" x14ac:dyDescent="0.35">
      <c r="K3248" s="110" t="str">
        <v>INV-2609-0288</v>
      </c>
    </row>
    <row r="3249" spans="11:11" x14ac:dyDescent="0.35">
      <c r="K3249" s="110" t="str">
        <v>INV-2609-0289</v>
      </c>
    </row>
    <row r="3250" spans="11:11" x14ac:dyDescent="0.35">
      <c r="K3250" s="110" t="str">
        <v>INV-2609-0290</v>
      </c>
    </row>
    <row r="3251" spans="11:11" x14ac:dyDescent="0.35">
      <c r="K3251" s="110" t="str">
        <v>INV-2609-0291</v>
      </c>
    </row>
    <row r="3252" spans="11:11" x14ac:dyDescent="0.35">
      <c r="K3252" s="110" t="str">
        <v>INV-2609-0292</v>
      </c>
    </row>
    <row r="3253" spans="11:11" x14ac:dyDescent="0.35">
      <c r="K3253" s="110" t="str">
        <v>INV-2609-0293</v>
      </c>
    </row>
    <row r="3254" spans="11:11" x14ac:dyDescent="0.35">
      <c r="K3254" s="110" t="str">
        <v>INV-2609-0294</v>
      </c>
    </row>
    <row r="3255" spans="11:11" x14ac:dyDescent="0.35">
      <c r="K3255" s="110" t="str">
        <v>INV-2609-0295</v>
      </c>
    </row>
    <row r="3256" spans="11:11" x14ac:dyDescent="0.35">
      <c r="K3256" s="110" t="str">
        <v>INV-2609-0296</v>
      </c>
    </row>
    <row r="3257" spans="11:11" x14ac:dyDescent="0.35">
      <c r="K3257" s="110" t="str">
        <v>INV-2609-0297</v>
      </c>
    </row>
    <row r="3258" spans="11:11" x14ac:dyDescent="0.35">
      <c r="K3258" s="110" t="str">
        <v>INV-2609-0298</v>
      </c>
    </row>
    <row r="3259" spans="11:11" x14ac:dyDescent="0.35">
      <c r="K3259" s="110" t="str">
        <v>INV-2609-0299</v>
      </c>
    </row>
    <row r="3260" spans="11:11" x14ac:dyDescent="0.35">
      <c r="K3260" s="110" t="str">
        <v>INV-2609-0300</v>
      </c>
    </row>
    <row r="3261" spans="11:11" x14ac:dyDescent="0.35">
      <c r="K3261" s="110" t="str">
        <v>INV-2609-0301</v>
      </c>
    </row>
    <row r="3262" spans="11:11" x14ac:dyDescent="0.35">
      <c r="K3262" s="110" t="str">
        <v>INV-2609-0302</v>
      </c>
    </row>
    <row r="3263" spans="11:11" x14ac:dyDescent="0.35">
      <c r="K3263" s="110" t="str">
        <v>INV-2609-0303</v>
      </c>
    </row>
    <row r="3264" spans="11:11" x14ac:dyDescent="0.35">
      <c r="K3264" s="110" t="str">
        <v>INV-2609-0304</v>
      </c>
    </row>
    <row r="3265" spans="11:11" x14ac:dyDescent="0.35">
      <c r="K3265" s="110" t="str">
        <v>INV-2609-0305</v>
      </c>
    </row>
    <row r="3266" spans="11:11" x14ac:dyDescent="0.35">
      <c r="K3266" s="110" t="str">
        <v>INV-2609-0306</v>
      </c>
    </row>
    <row r="3267" spans="11:11" x14ac:dyDescent="0.35">
      <c r="K3267" s="110" t="str">
        <v>INV-2609-0307</v>
      </c>
    </row>
    <row r="3268" spans="11:11" x14ac:dyDescent="0.35">
      <c r="K3268" s="110" t="str">
        <v>INV-2609-0308</v>
      </c>
    </row>
    <row r="3269" spans="11:11" x14ac:dyDescent="0.35">
      <c r="K3269" s="110" t="str">
        <v>INV-2609-0309</v>
      </c>
    </row>
    <row r="3270" spans="11:11" x14ac:dyDescent="0.35">
      <c r="K3270" s="110" t="str">
        <v>INV-2609-0310</v>
      </c>
    </row>
    <row r="3271" spans="11:11" x14ac:dyDescent="0.35">
      <c r="K3271" s="110" t="str">
        <v>INV-2609-0311</v>
      </c>
    </row>
    <row r="3272" spans="11:11" x14ac:dyDescent="0.35">
      <c r="K3272" s="110" t="str">
        <v>INV-2609-0312</v>
      </c>
    </row>
    <row r="3273" spans="11:11" x14ac:dyDescent="0.35">
      <c r="K3273" s="110" t="str">
        <v>INV-2609-0313</v>
      </c>
    </row>
    <row r="3274" spans="11:11" x14ac:dyDescent="0.35">
      <c r="K3274" s="110" t="str">
        <v>INV-2609-0314</v>
      </c>
    </row>
    <row r="3275" spans="11:11" x14ac:dyDescent="0.35">
      <c r="K3275" s="110" t="str">
        <v>INV-2609-0315</v>
      </c>
    </row>
    <row r="3276" spans="11:11" x14ac:dyDescent="0.35">
      <c r="K3276" s="110" t="str">
        <v>INV-2609-0316</v>
      </c>
    </row>
    <row r="3277" spans="11:11" x14ac:dyDescent="0.35">
      <c r="K3277" s="110" t="str">
        <v>INV-2609-0317</v>
      </c>
    </row>
    <row r="3278" spans="11:11" x14ac:dyDescent="0.35">
      <c r="K3278" s="110" t="str">
        <v>INV-2609-0318</v>
      </c>
    </row>
    <row r="3279" spans="11:11" x14ac:dyDescent="0.35">
      <c r="K3279" s="110" t="str">
        <v>INV-2609-0319</v>
      </c>
    </row>
    <row r="3280" spans="11:11" x14ac:dyDescent="0.35">
      <c r="K3280" s="110" t="str">
        <v>INV-2609-0320</v>
      </c>
    </row>
    <row r="3281" spans="11:11" x14ac:dyDescent="0.35">
      <c r="K3281" s="110" t="str">
        <v>INV-2610-0001</v>
      </c>
    </row>
    <row r="3282" spans="11:11" x14ac:dyDescent="0.35">
      <c r="K3282" s="110" t="str">
        <v>INV-2610-0002</v>
      </c>
    </row>
    <row r="3283" spans="11:11" x14ac:dyDescent="0.35">
      <c r="K3283" s="110" t="str">
        <v>INV-2610-0003</v>
      </c>
    </row>
    <row r="3284" spans="11:11" x14ac:dyDescent="0.35">
      <c r="K3284" s="110" t="str">
        <v>INV-2610-0004</v>
      </c>
    </row>
    <row r="3285" spans="11:11" x14ac:dyDescent="0.35">
      <c r="K3285" s="110" t="str">
        <v>INV-2610-0005</v>
      </c>
    </row>
    <row r="3286" spans="11:11" x14ac:dyDescent="0.35">
      <c r="K3286" s="110" t="str">
        <v>INV-2610-0006</v>
      </c>
    </row>
    <row r="3287" spans="11:11" x14ac:dyDescent="0.35">
      <c r="K3287" s="110" t="str">
        <v>INV-2610-0007</v>
      </c>
    </row>
    <row r="3288" spans="11:11" x14ac:dyDescent="0.35">
      <c r="K3288" s="110" t="str">
        <v>INV-2610-0008</v>
      </c>
    </row>
    <row r="3289" spans="11:11" x14ac:dyDescent="0.35">
      <c r="K3289" s="110" t="str">
        <v>INV-2610-0009</v>
      </c>
    </row>
    <row r="3290" spans="11:11" x14ac:dyDescent="0.35">
      <c r="K3290" s="110" t="str">
        <v>INV-2610-0010</v>
      </c>
    </row>
    <row r="3291" spans="11:11" x14ac:dyDescent="0.35">
      <c r="K3291" s="110" t="str">
        <v>INV-2610-0011</v>
      </c>
    </row>
    <row r="3292" spans="11:11" x14ac:dyDescent="0.35">
      <c r="K3292" s="110" t="str">
        <v>INV-2610-0012</v>
      </c>
    </row>
    <row r="3293" spans="11:11" x14ac:dyDescent="0.35">
      <c r="K3293" s="110" t="str">
        <v>INV-2610-0013</v>
      </c>
    </row>
    <row r="3294" spans="11:11" x14ac:dyDescent="0.35">
      <c r="K3294" s="110" t="str">
        <v>INV-2610-0014</v>
      </c>
    </row>
    <row r="3295" spans="11:11" x14ac:dyDescent="0.35">
      <c r="K3295" s="110" t="str">
        <v>INV-2610-0015</v>
      </c>
    </row>
    <row r="3296" spans="11:11" x14ac:dyDescent="0.35">
      <c r="K3296" s="110" t="str">
        <v>INV-2610-0016</v>
      </c>
    </row>
    <row r="3297" spans="11:11" x14ac:dyDescent="0.35">
      <c r="K3297" s="110" t="str">
        <v>INV-2610-0017</v>
      </c>
    </row>
    <row r="3298" spans="11:11" x14ac:dyDescent="0.35">
      <c r="K3298" s="110" t="str">
        <v>INV-2610-0018</v>
      </c>
    </row>
    <row r="3299" spans="11:11" x14ac:dyDescent="0.35">
      <c r="K3299" s="110" t="str">
        <v>INV-2610-0019</v>
      </c>
    </row>
    <row r="3300" spans="11:11" x14ac:dyDescent="0.35">
      <c r="K3300" s="110" t="str">
        <v>INV-2610-0020</v>
      </c>
    </row>
    <row r="3301" spans="11:11" x14ac:dyDescent="0.35">
      <c r="K3301" s="110" t="str">
        <v>INV-2610-0021</v>
      </c>
    </row>
    <row r="3302" spans="11:11" x14ac:dyDescent="0.35">
      <c r="K3302" s="110" t="str">
        <v>INV-2610-0022</v>
      </c>
    </row>
    <row r="3303" spans="11:11" x14ac:dyDescent="0.35">
      <c r="K3303" s="110" t="str">
        <v>INV-2610-0023</v>
      </c>
    </row>
    <row r="3304" spans="11:11" x14ac:dyDescent="0.35">
      <c r="K3304" s="110" t="str">
        <v>INV-2610-0024</v>
      </c>
    </row>
    <row r="3305" spans="11:11" x14ac:dyDescent="0.35">
      <c r="K3305" s="110" t="str">
        <v>INV-2610-0025</v>
      </c>
    </row>
    <row r="3306" spans="11:11" x14ac:dyDescent="0.35">
      <c r="K3306" s="110" t="str">
        <v>INV-2610-0026</v>
      </c>
    </row>
    <row r="3307" spans="11:11" x14ac:dyDescent="0.35">
      <c r="K3307" s="110" t="str">
        <v>INV-2610-0027</v>
      </c>
    </row>
    <row r="3308" spans="11:11" x14ac:dyDescent="0.35">
      <c r="K3308" s="110" t="str">
        <v>INV-2610-0028</v>
      </c>
    </row>
    <row r="3309" spans="11:11" x14ac:dyDescent="0.35">
      <c r="K3309" s="110" t="str">
        <v>INV-2610-0029</v>
      </c>
    </row>
    <row r="3310" spans="11:11" x14ac:dyDescent="0.35">
      <c r="K3310" s="110" t="str">
        <v>INV-2610-0030</v>
      </c>
    </row>
    <row r="3311" spans="11:11" x14ac:dyDescent="0.35">
      <c r="K3311" s="110" t="str">
        <v>INV-2610-0031</v>
      </c>
    </row>
    <row r="3312" spans="11:11" x14ac:dyDescent="0.35">
      <c r="K3312" s="110" t="str">
        <v>INV-2610-0032</v>
      </c>
    </row>
    <row r="3313" spans="11:11" x14ac:dyDescent="0.35">
      <c r="K3313" s="110" t="str">
        <v>INV-2610-0033</v>
      </c>
    </row>
    <row r="3314" spans="11:11" x14ac:dyDescent="0.35">
      <c r="K3314" s="110" t="str">
        <v>INV-2610-0034</v>
      </c>
    </row>
    <row r="3315" spans="11:11" x14ac:dyDescent="0.35">
      <c r="K3315" s="110" t="str">
        <v>INV-2610-0035</v>
      </c>
    </row>
    <row r="3316" spans="11:11" x14ac:dyDescent="0.35">
      <c r="K3316" s="110" t="str">
        <v>INV-2610-0036</v>
      </c>
    </row>
    <row r="3317" spans="11:11" x14ac:dyDescent="0.35">
      <c r="K3317" s="110" t="str">
        <v>INV-2610-0037</v>
      </c>
    </row>
    <row r="3318" spans="11:11" x14ac:dyDescent="0.35">
      <c r="K3318" s="110" t="str">
        <v>INV-2610-0038</v>
      </c>
    </row>
    <row r="3319" spans="11:11" x14ac:dyDescent="0.35">
      <c r="K3319" s="110" t="str">
        <v>INV-2610-0039</v>
      </c>
    </row>
    <row r="3320" spans="11:11" x14ac:dyDescent="0.35">
      <c r="K3320" s="110" t="str">
        <v>INV-2610-0040</v>
      </c>
    </row>
    <row r="3321" spans="11:11" x14ac:dyDescent="0.35">
      <c r="K3321" s="110" t="str">
        <v>INV-2610-0041</v>
      </c>
    </row>
    <row r="3322" spans="11:11" x14ac:dyDescent="0.35">
      <c r="K3322" s="110" t="str">
        <v>INV-2610-0042</v>
      </c>
    </row>
    <row r="3323" spans="11:11" x14ac:dyDescent="0.35">
      <c r="K3323" s="110" t="str">
        <v>INV-2610-0043</v>
      </c>
    </row>
    <row r="3324" spans="11:11" x14ac:dyDescent="0.35">
      <c r="K3324" s="110" t="str">
        <v>INV-2610-0044</v>
      </c>
    </row>
    <row r="3325" spans="11:11" x14ac:dyDescent="0.35">
      <c r="K3325" s="110" t="str">
        <v>INV-2610-0045</v>
      </c>
    </row>
    <row r="3326" spans="11:11" x14ac:dyDescent="0.35">
      <c r="K3326" s="110" t="str">
        <v>INV-2610-0046</v>
      </c>
    </row>
    <row r="3327" spans="11:11" x14ac:dyDescent="0.35">
      <c r="K3327" s="110" t="str">
        <v>INV-2610-0047</v>
      </c>
    </row>
    <row r="3328" spans="11:11" x14ac:dyDescent="0.35">
      <c r="K3328" s="110" t="str">
        <v>INV-2610-0048</v>
      </c>
    </row>
    <row r="3329" spans="11:11" x14ac:dyDescent="0.35">
      <c r="K3329" s="110" t="str">
        <v>INV-2610-0049</v>
      </c>
    </row>
    <row r="3330" spans="11:11" x14ac:dyDescent="0.35">
      <c r="K3330" s="110" t="str">
        <v>INV-2610-0050</v>
      </c>
    </row>
    <row r="3331" spans="11:11" x14ac:dyDescent="0.35">
      <c r="K3331" s="110" t="str">
        <v>INV-2610-0051</v>
      </c>
    </row>
    <row r="3332" spans="11:11" x14ac:dyDescent="0.35">
      <c r="K3332" s="110" t="str">
        <v>INV-2610-0052</v>
      </c>
    </row>
    <row r="3333" spans="11:11" x14ac:dyDescent="0.35">
      <c r="K3333" s="110" t="str">
        <v>INV-2610-0053</v>
      </c>
    </row>
    <row r="3334" spans="11:11" x14ac:dyDescent="0.35">
      <c r="K3334" s="110" t="str">
        <v>INV-2610-0054</v>
      </c>
    </row>
    <row r="3335" spans="11:11" x14ac:dyDescent="0.35">
      <c r="K3335" s="110" t="str">
        <v>INV-2610-0055</v>
      </c>
    </row>
    <row r="3336" spans="11:11" x14ac:dyDescent="0.35">
      <c r="K3336" s="110" t="str">
        <v>INV-2610-0056</v>
      </c>
    </row>
    <row r="3337" spans="11:11" x14ac:dyDescent="0.35">
      <c r="K3337" s="110" t="str">
        <v>INV-2610-0057</v>
      </c>
    </row>
    <row r="3338" spans="11:11" x14ac:dyDescent="0.35">
      <c r="K3338" s="110" t="str">
        <v>INV-2610-0058</v>
      </c>
    </row>
    <row r="3339" spans="11:11" x14ac:dyDescent="0.35">
      <c r="K3339" s="110" t="str">
        <v>INV-2610-0059</v>
      </c>
    </row>
    <row r="3340" spans="11:11" x14ac:dyDescent="0.35">
      <c r="K3340" s="110" t="str">
        <v>INV-2610-0060</v>
      </c>
    </row>
    <row r="3341" spans="11:11" x14ac:dyDescent="0.35">
      <c r="K3341" s="110" t="str">
        <v>INV-2610-0061</v>
      </c>
    </row>
    <row r="3342" spans="11:11" x14ac:dyDescent="0.35">
      <c r="K3342" s="110" t="str">
        <v>INV-2610-0062</v>
      </c>
    </row>
    <row r="3343" spans="11:11" x14ac:dyDescent="0.35">
      <c r="K3343" s="110" t="str">
        <v>INV-2610-0063</v>
      </c>
    </row>
    <row r="3344" spans="11:11" x14ac:dyDescent="0.35">
      <c r="K3344" s="110" t="str">
        <v>INV-2610-0064</v>
      </c>
    </row>
    <row r="3345" spans="11:11" x14ac:dyDescent="0.35">
      <c r="K3345" s="110" t="str">
        <v>INV-2610-0065</v>
      </c>
    </row>
    <row r="3346" spans="11:11" x14ac:dyDescent="0.35">
      <c r="K3346" s="110" t="str">
        <v>INV-2610-0066</v>
      </c>
    </row>
    <row r="3347" spans="11:11" x14ac:dyDescent="0.35">
      <c r="K3347" s="110" t="str">
        <v>INV-2610-0067</v>
      </c>
    </row>
    <row r="3348" spans="11:11" x14ac:dyDescent="0.35">
      <c r="K3348" s="110" t="str">
        <v>INV-2610-0068</v>
      </c>
    </row>
    <row r="3349" spans="11:11" x14ac:dyDescent="0.35">
      <c r="K3349" s="110" t="str">
        <v>INV-2610-0069</v>
      </c>
    </row>
    <row r="3350" spans="11:11" x14ac:dyDescent="0.35">
      <c r="K3350" s="110" t="str">
        <v>INV-2610-0070</v>
      </c>
    </row>
    <row r="3351" spans="11:11" x14ac:dyDescent="0.35">
      <c r="K3351" s="110" t="str">
        <v>INV-2610-0071</v>
      </c>
    </row>
    <row r="3352" spans="11:11" x14ac:dyDescent="0.35">
      <c r="K3352" s="110" t="str">
        <v>INV-2610-0072</v>
      </c>
    </row>
    <row r="3353" spans="11:11" x14ac:dyDescent="0.35">
      <c r="K3353" s="110" t="str">
        <v>INV-2610-0073</v>
      </c>
    </row>
    <row r="3354" spans="11:11" x14ac:dyDescent="0.35">
      <c r="K3354" s="110" t="str">
        <v>INV-2610-0074</v>
      </c>
    </row>
    <row r="3355" spans="11:11" x14ac:dyDescent="0.35">
      <c r="K3355" s="110" t="str">
        <v>INV-2610-0075</v>
      </c>
    </row>
    <row r="3356" spans="11:11" x14ac:dyDescent="0.35">
      <c r="K3356" s="110" t="str">
        <v>INV-2610-0076</v>
      </c>
    </row>
    <row r="3357" spans="11:11" x14ac:dyDescent="0.35">
      <c r="K3357" s="110" t="str">
        <v>INV-2610-0077</v>
      </c>
    </row>
    <row r="3358" spans="11:11" x14ac:dyDescent="0.35">
      <c r="K3358" s="110" t="str">
        <v>INV-2610-0078</v>
      </c>
    </row>
    <row r="3359" spans="11:11" x14ac:dyDescent="0.35">
      <c r="K3359" s="110" t="str">
        <v>INV-2610-0079</v>
      </c>
    </row>
    <row r="3360" spans="11:11" x14ac:dyDescent="0.35">
      <c r="K3360" s="110" t="str">
        <v>INV-2610-0080</v>
      </c>
    </row>
    <row r="3361" spans="11:11" x14ac:dyDescent="0.35">
      <c r="K3361" s="110" t="str">
        <v>INV-2610-0081</v>
      </c>
    </row>
    <row r="3362" spans="11:11" x14ac:dyDescent="0.35">
      <c r="K3362" s="110" t="str">
        <v>INV-2610-0082</v>
      </c>
    </row>
    <row r="3363" spans="11:11" x14ac:dyDescent="0.35">
      <c r="K3363" s="110" t="str">
        <v>INV-2610-0083</v>
      </c>
    </row>
    <row r="3364" spans="11:11" x14ac:dyDescent="0.35">
      <c r="K3364" s="110" t="str">
        <v>INV-2610-0084</v>
      </c>
    </row>
    <row r="3365" spans="11:11" x14ac:dyDescent="0.35">
      <c r="K3365" s="110" t="str">
        <v>INV-2610-0085</v>
      </c>
    </row>
    <row r="3366" spans="11:11" x14ac:dyDescent="0.35">
      <c r="K3366" s="110" t="str">
        <v>INV-2610-0086</v>
      </c>
    </row>
    <row r="3367" spans="11:11" x14ac:dyDescent="0.35">
      <c r="K3367" s="110" t="str">
        <v>INV-2610-0087</v>
      </c>
    </row>
    <row r="3368" spans="11:11" x14ac:dyDescent="0.35">
      <c r="K3368" s="110" t="str">
        <v>INV-2610-0088</v>
      </c>
    </row>
    <row r="3369" spans="11:11" x14ac:dyDescent="0.35">
      <c r="K3369" s="110" t="str">
        <v>INV-2610-0089</v>
      </c>
    </row>
    <row r="3370" spans="11:11" x14ac:dyDescent="0.35">
      <c r="K3370" s="110" t="str">
        <v>INV-2610-0090</v>
      </c>
    </row>
    <row r="3371" spans="11:11" x14ac:dyDescent="0.35">
      <c r="K3371" s="110" t="str">
        <v>INV-2610-0091</v>
      </c>
    </row>
    <row r="3372" spans="11:11" x14ac:dyDescent="0.35">
      <c r="K3372" s="110" t="str">
        <v>INV-2610-0092</v>
      </c>
    </row>
    <row r="3373" spans="11:11" x14ac:dyDescent="0.35">
      <c r="K3373" s="110" t="str">
        <v>INV-2610-0093</v>
      </c>
    </row>
    <row r="3374" spans="11:11" x14ac:dyDescent="0.35">
      <c r="K3374" s="110" t="str">
        <v>INV-2610-0094</v>
      </c>
    </row>
    <row r="3375" spans="11:11" x14ac:dyDescent="0.35">
      <c r="K3375" s="110" t="str">
        <v>INV-2610-0095</v>
      </c>
    </row>
    <row r="3376" spans="11:11" x14ac:dyDescent="0.35">
      <c r="K3376" s="110" t="str">
        <v>INV-2610-0096</v>
      </c>
    </row>
    <row r="3377" spans="11:11" x14ac:dyDescent="0.35">
      <c r="K3377" s="110" t="str">
        <v>INV-2610-0097</v>
      </c>
    </row>
    <row r="3378" spans="11:11" x14ac:dyDescent="0.35">
      <c r="K3378" s="110" t="str">
        <v>INV-2610-0098</v>
      </c>
    </row>
    <row r="3379" spans="11:11" x14ac:dyDescent="0.35">
      <c r="K3379" s="110" t="str">
        <v>INV-2610-0099</v>
      </c>
    </row>
    <row r="3380" spans="11:11" x14ac:dyDescent="0.35">
      <c r="K3380" s="110" t="str">
        <v>INV-2610-0100</v>
      </c>
    </row>
    <row r="3381" spans="11:11" x14ac:dyDescent="0.35">
      <c r="K3381" s="110" t="str">
        <v>INV-2610-0101</v>
      </c>
    </row>
    <row r="3382" spans="11:11" x14ac:dyDescent="0.35">
      <c r="K3382" s="110" t="str">
        <v>INV-2610-0102</v>
      </c>
    </row>
    <row r="3383" spans="11:11" x14ac:dyDescent="0.35">
      <c r="K3383" s="110" t="str">
        <v>INV-2610-0103</v>
      </c>
    </row>
    <row r="3384" spans="11:11" x14ac:dyDescent="0.35">
      <c r="K3384" s="110" t="str">
        <v>INV-2610-0104</v>
      </c>
    </row>
    <row r="3385" spans="11:11" x14ac:dyDescent="0.35">
      <c r="K3385" s="110" t="str">
        <v>INV-2610-0105</v>
      </c>
    </row>
    <row r="3386" spans="11:11" x14ac:dyDescent="0.35">
      <c r="K3386" s="110" t="str">
        <v>INV-2610-0106</v>
      </c>
    </row>
    <row r="3387" spans="11:11" x14ac:dyDescent="0.35">
      <c r="K3387" s="110" t="str">
        <v>INV-2610-0107</v>
      </c>
    </row>
    <row r="3388" spans="11:11" x14ac:dyDescent="0.35">
      <c r="K3388" s="110" t="str">
        <v>INV-2610-0108</v>
      </c>
    </row>
    <row r="3389" spans="11:11" x14ac:dyDescent="0.35">
      <c r="K3389" s="110" t="str">
        <v>INV-2610-0109</v>
      </c>
    </row>
    <row r="3390" spans="11:11" x14ac:dyDescent="0.35">
      <c r="K3390" s="110" t="str">
        <v>INV-2610-0110</v>
      </c>
    </row>
    <row r="3391" spans="11:11" x14ac:dyDescent="0.35">
      <c r="K3391" s="110" t="str">
        <v>INV-2610-0111</v>
      </c>
    </row>
    <row r="3392" spans="11:11" x14ac:dyDescent="0.35">
      <c r="K3392" s="110" t="str">
        <v>INV-2610-0112</v>
      </c>
    </row>
    <row r="3393" spans="11:11" x14ac:dyDescent="0.35">
      <c r="K3393" s="110" t="str">
        <v>INV-2610-0113</v>
      </c>
    </row>
    <row r="3394" spans="11:11" x14ac:dyDescent="0.35">
      <c r="K3394" s="110" t="str">
        <v>INV-2610-0114</v>
      </c>
    </row>
    <row r="3395" spans="11:11" x14ac:dyDescent="0.35">
      <c r="K3395" s="110" t="str">
        <v>INV-2610-0115</v>
      </c>
    </row>
    <row r="3396" spans="11:11" x14ac:dyDescent="0.35">
      <c r="K3396" s="110" t="str">
        <v>INV-2610-0116</v>
      </c>
    </row>
    <row r="3397" spans="11:11" x14ac:dyDescent="0.35">
      <c r="K3397" s="110" t="str">
        <v>INV-2610-0117</v>
      </c>
    </row>
    <row r="3398" spans="11:11" x14ac:dyDescent="0.35">
      <c r="K3398" s="110" t="str">
        <v>INV-2610-0118</v>
      </c>
    </row>
    <row r="3399" spans="11:11" x14ac:dyDescent="0.35">
      <c r="K3399" s="110" t="str">
        <v>INV-2610-0119</v>
      </c>
    </row>
    <row r="3400" spans="11:11" x14ac:dyDescent="0.35">
      <c r="K3400" s="110" t="str">
        <v>INV-2610-0120</v>
      </c>
    </row>
    <row r="3401" spans="11:11" x14ac:dyDescent="0.35">
      <c r="K3401" s="110" t="str">
        <v>INV-2610-0121</v>
      </c>
    </row>
    <row r="3402" spans="11:11" x14ac:dyDescent="0.35">
      <c r="K3402" s="110" t="str">
        <v>INV-2610-0122</v>
      </c>
    </row>
    <row r="3403" spans="11:11" x14ac:dyDescent="0.35">
      <c r="K3403" s="110" t="str">
        <v>INV-2610-0123</v>
      </c>
    </row>
    <row r="3404" spans="11:11" x14ac:dyDescent="0.35">
      <c r="K3404" s="110" t="str">
        <v>INV-2610-0124</v>
      </c>
    </row>
    <row r="3405" spans="11:11" x14ac:dyDescent="0.35">
      <c r="K3405" s="110" t="str">
        <v>INV-2610-0125</v>
      </c>
    </row>
    <row r="3406" spans="11:11" x14ac:dyDescent="0.35">
      <c r="K3406" s="110" t="str">
        <v>INV-2610-0126</v>
      </c>
    </row>
    <row r="3407" spans="11:11" x14ac:dyDescent="0.35">
      <c r="K3407" s="110" t="str">
        <v>INV-2610-0127</v>
      </c>
    </row>
    <row r="3408" spans="11:11" x14ac:dyDescent="0.35">
      <c r="K3408" s="110" t="str">
        <v>INV-2610-0128</v>
      </c>
    </row>
    <row r="3409" spans="11:11" x14ac:dyDescent="0.35">
      <c r="K3409" s="110" t="str">
        <v>INV-2610-0129</v>
      </c>
    </row>
    <row r="3410" spans="11:11" x14ac:dyDescent="0.35">
      <c r="K3410" s="110" t="str">
        <v>INV-2610-0130</v>
      </c>
    </row>
    <row r="3411" spans="11:11" x14ac:dyDescent="0.35">
      <c r="K3411" s="110" t="str">
        <v>INV-2610-0131</v>
      </c>
    </row>
    <row r="3412" spans="11:11" x14ac:dyDescent="0.35">
      <c r="K3412" s="110" t="str">
        <v>INV-2610-0132</v>
      </c>
    </row>
    <row r="3413" spans="11:11" x14ac:dyDescent="0.35">
      <c r="K3413" s="110" t="str">
        <v>INV-2610-0133</v>
      </c>
    </row>
    <row r="3414" spans="11:11" x14ac:dyDescent="0.35">
      <c r="K3414" s="110" t="str">
        <v>INV-2610-0134</v>
      </c>
    </row>
    <row r="3415" spans="11:11" x14ac:dyDescent="0.35">
      <c r="K3415" s="110" t="str">
        <v>INV-2610-0135</v>
      </c>
    </row>
    <row r="3416" spans="11:11" x14ac:dyDescent="0.35">
      <c r="K3416" s="110" t="str">
        <v>INV-2610-0136</v>
      </c>
    </row>
    <row r="3417" spans="11:11" x14ac:dyDescent="0.35">
      <c r="K3417" s="110" t="str">
        <v>INV-2610-0137</v>
      </c>
    </row>
    <row r="3418" spans="11:11" x14ac:dyDescent="0.35">
      <c r="K3418" s="110" t="str">
        <v>INV-2610-0138</v>
      </c>
    </row>
    <row r="3419" spans="11:11" x14ac:dyDescent="0.35">
      <c r="K3419" s="110" t="str">
        <v>INV-2610-0139</v>
      </c>
    </row>
    <row r="3420" spans="11:11" x14ac:dyDescent="0.35">
      <c r="K3420" s="110" t="str">
        <v>INV-2610-0140</v>
      </c>
    </row>
    <row r="3421" spans="11:11" x14ac:dyDescent="0.35">
      <c r="K3421" s="110" t="str">
        <v>INV-2610-0141</v>
      </c>
    </row>
    <row r="3422" spans="11:11" x14ac:dyDescent="0.35">
      <c r="K3422" s="110" t="str">
        <v>INV-2610-0142</v>
      </c>
    </row>
    <row r="3423" spans="11:11" x14ac:dyDescent="0.35">
      <c r="K3423" s="110" t="str">
        <v>INV-2610-0143</v>
      </c>
    </row>
    <row r="3424" spans="11:11" x14ac:dyDescent="0.35">
      <c r="K3424" s="110" t="str">
        <v>INV-2610-0144</v>
      </c>
    </row>
    <row r="3425" spans="11:11" x14ac:dyDescent="0.35">
      <c r="K3425" s="110" t="str">
        <v>INV-2610-0145</v>
      </c>
    </row>
    <row r="3426" spans="11:11" x14ac:dyDescent="0.35">
      <c r="K3426" s="110" t="str">
        <v>INV-2610-0146</v>
      </c>
    </row>
    <row r="3427" spans="11:11" x14ac:dyDescent="0.35">
      <c r="K3427" s="110" t="str">
        <v>INV-2610-0147</v>
      </c>
    </row>
    <row r="3428" spans="11:11" x14ac:dyDescent="0.35">
      <c r="K3428" s="110" t="str">
        <v>INV-2610-0148</v>
      </c>
    </row>
    <row r="3429" spans="11:11" x14ac:dyDescent="0.35">
      <c r="K3429" s="110" t="str">
        <v>INV-2610-0149</v>
      </c>
    </row>
    <row r="3430" spans="11:11" x14ac:dyDescent="0.35">
      <c r="K3430" s="110" t="str">
        <v>INV-2610-0150</v>
      </c>
    </row>
    <row r="3431" spans="11:11" x14ac:dyDescent="0.35">
      <c r="K3431" s="110" t="str">
        <v>INV-2610-0151</v>
      </c>
    </row>
    <row r="3432" spans="11:11" x14ac:dyDescent="0.35">
      <c r="K3432" s="110" t="str">
        <v>INV-2610-0152</v>
      </c>
    </row>
    <row r="3433" spans="11:11" x14ac:dyDescent="0.35">
      <c r="K3433" s="110" t="str">
        <v>INV-2610-0153</v>
      </c>
    </row>
    <row r="3434" spans="11:11" x14ac:dyDescent="0.35">
      <c r="K3434" s="110" t="str">
        <v>INV-2610-0154</v>
      </c>
    </row>
    <row r="3435" spans="11:11" x14ac:dyDescent="0.35">
      <c r="K3435" s="110" t="str">
        <v>INV-2610-0155</v>
      </c>
    </row>
    <row r="3436" spans="11:11" x14ac:dyDescent="0.35">
      <c r="K3436" s="110" t="str">
        <v>INV-2610-0156</v>
      </c>
    </row>
    <row r="3437" spans="11:11" x14ac:dyDescent="0.35">
      <c r="K3437" s="110" t="str">
        <v>INV-2610-0157</v>
      </c>
    </row>
    <row r="3438" spans="11:11" x14ac:dyDescent="0.35">
      <c r="K3438" s="110" t="str">
        <v>INV-2610-0158</v>
      </c>
    </row>
    <row r="3439" spans="11:11" x14ac:dyDescent="0.35">
      <c r="K3439" s="110" t="str">
        <v>INV-2610-0159</v>
      </c>
    </row>
    <row r="3440" spans="11:11" x14ac:dyDescent="0.35">
      <c r="K3440" s="110" t="str">
        <v>INV-2610-0160</v>
      </c>
    </row>
    <row r="3441" spans="11:11" x14ac:dyDescent="0.35">
      <c r="K3441" s="110" t="str">
        <v>INV-2610-0161</v>
      </c>
    </row>
    <row r="3442" spans="11:11" x14ac:dyDescent="0.35">
      <c r="K3442" s="110" t="str">
        <v>INV-2610-0162</v>
      </c>
    </row>
    <row r="3443" spans="11:11" x14ac:dyDescent="0.35">
      <c r="K3443" s="110" t="str">
        <v>INV-2610-0163</v>
      </c>
    </row>
    <row r="3444" spans="11:11" x14ac:dyDescent="0.35">
      <c r="K3444" s="110" t="str">
        <v>INV-2610-0164</v>
      </c>
    </row>
    <row r="3445" spans="11:11" x14ac:dyDescent="0.35">
      <c r="K3445" s="110" t="str">
        <v>INV-2610-0165</v>
      </c>
    </row>
    <row r="3446" spans="11:11" x14ac:dyDescent="0.35">
      <c r="K3446" s="110" t="str">
        <v>INV-2610-0166</v>
      </c>
    </row>
    <row r="3447" spans="11:11" x14ac:dyDescent="0.35">
      <c r="K3447" s="110" t="str">
        <v>INV-2610-0167</v>
      </c>
    </row>
    <row r="3448" spans="11:11" x14ac:dyDescent="0.35">
      <c r="K3448" s="110" t="str">
        <v>INV-2610-0168</v>
      </c>
    </row>
    <row r="3449" spans="11:11" x14ac:dyDescent="0.35">
      <c r="K3449" s="110" t="str">
        <v>INV-2610-0169</v>
      </c>
    </row>
    <row r="3450" spans="11:11" x14ac:dyDescent="0.35">
      <c r="K3450" s="110" t="str">
        <v>INV-2610-0170</v>
      </c>
    </row>
    <row r="3451" spans="11:11" x14ac:dyDescent="0.35">
      <c r="K3451" s="110" t="str">
        <v>INV-2610-0171</v>
      </c>
    </row>
    <row r="3452" spans="11:11" x14ac:dyDescent="0.35">
      <c r="K3452" s="110" t="str">
        <v>INV-2610-0172</v>
      </c>
    </row>
    <row r="3453" spans="11:11" x14ac:dyDescent="0.35">
      <c r="K3453" s="110" t="str">
        <v>INV-2610-0173</v>
      </c>
    </row>
    <row r="3454" spans="11:11" x14ac:dyDescent="0.35">
      <c r="K3454" s="110" t="str">
        <v>INV-2610-0174</v>
      </c>
    </row>
    <row r="3455" spans="11:11" x14ac:dyDescent="0.35">
      <c r="K3455" s="110" t="str">
        <v>INV-2610-0175</v>
      </c>
    </row>
    <row r="3456" spans="11:11" x14ac:dyDescent="0.35">
      <c r="K3456" s="110" t="str">
        <v>INV-2610-0176</v>
      </c>
    </row>
    <row r="3457" spans="11:11" x14ac:dyDescent="0.35">
      <c r="K3457" s="110" t="str">
        <v>INV-2610-0177</v>
      </c>
    </row>
    <row r="3458" spans="11:11" x14ac:dyDescent="0.35">
      <c r="K3458" s="110" t="str">
        <v>INV-2610-0178</v>
      </c>
    </row>
    <row r="3459" spans="11:11" x14ac:dyDescent="0.35">
      <c r="K3459" s="110" t="str">
        <v>INV-2610-0179</v>
      </c>
    </row>
    <row r="3460" spans="11:11" x14ac:dyDescent="0.35">
      <c r="K3460" s="110" t="str">
        <v>INV-2610-0180</v>
      </c>
    </row>
    <row r="3461" spans="11:11" x14ac:dyDescent="0.35">
      <c r="K3461" s="110" t="str">
        <v>INV-2610-0181</v>
      </c>
    </row>
    <row r="3462" spans="11:11" x14ac:dyDescent="0.35">
      <c r="K3462" s="110" t="str">
        <v>INV-2610-0182</v>
      </c>
    </row>
    <row r="3463" spans="11:11" x14ac:dyDescent="0.35">
      <c r="K3463" s="110" t="str">
        <v>INV-2610-0183</v>
      </c>
    </row>
    <row r="3464" spans="11:11" x14ac:dyDescent="0.35">
      <c r="K3464" s="110" t="str">
        <v>INV-2610-0184</v>
      </c>
    </row>
    <row r="3465" spans="11:11" x14ac:dyDescent="0.35">
      <c r="K3465" s="110" t="str">
        <v>INV-2610-0185</v>
      </c>
    </row>
    <row r="3466" spans="11:11" x14ac:dyDescent="0.35">
      <c r="K3466" s="110" t="str">
        <v>INV-2610-0186</v>
      </c>
    </row>
    <row r="3467" spans="11:11" x14ac:dyDescent="0.35">
      <c r="K3467" s="110" t="str">
        <v>INV-2610-0187</v>
      </c>
    </row>
    <row r="3468" spans="11:11" x14ac:dyDescent="0.35">
      <c r="K3468" s="110" t="str">
        <v>INV-2610-0188</v>
      </c>
    </row>
    <row r="3469" spans="11:11" x14ac:dyDescent="0.35">
      <c r="K3469" s="110" t="str">
        <v>INV-2610-0189</v>
      </c>
    </row>
    <row r="3470" spans="11:11" x14ac:dyDescent="0.35">
      <c r="K3470" s="110" t="str">
        <v>INV-2610-0190</v>
      </c>
    </row>
    <row r="3471" spans="11:11" x14ac:dyDescent="0.35">
      <c r="K3471" s="110" t="str">
        <v>INV-2610-0191</v>
      </c>
    </row>
    <row r="3472" spans="11:11" x14ac:dyDescent="0.35">
      <c r="K3472" s="110" t="str">
        <v>INV-2610-0192</v>
      </c>
    </row>
    <row r="3473" spans="11:11" x14ac:dyDescent="0.35">
      <c r="K3473" s="110" t="str">
        <v>INV-2610-0193</v>
      </c>
    </row>
    <row r="3474" spans="11:11" x14ac:dyDescent="0.35">
      <c r="K3474" s="110" t="str">
        <v>INV-2610-0194</v>
      </c>
    </row>
    <row r="3475" spans="11:11" x14ac:dyDescent="0.35">
      <c r="K3475" s="110" t="str">
        <v>INV-2610-0195</v>
      </c>
    </row>
    <row r="3476" spans="11:11" x14ac:dyDescent="0.35">
      <c r="K3476" s="110" t="str">
        <v>INV-2610-0196</v>
      </c>
    </row>
    <row r="3477" spans="11:11" x14ac:dyDescent="0.35">
      <c r="K3477" s="110" t="str">
        <v>INV-2610-0197</v>
      </c>
    </row>
    <row r="3478" spans="11:11" x14ac:dyDescent="0.35">
      <c r="K3478" s="110" t="str">
        <v>INV-2610-0198</v>
      </c>
    </row>
    <row r="3479" spans="11:11" x14ac:dyDescent="0.35">
      <c r="K3479" s="110" t="str">
        <v>INV-2610-0199</v>
      </c>
    </row>
    <row r="3480" spans="11:11" x14ac:dyDescent="0.35">
      <c r="K3480" s="110" t="str">
        <v>INV-2610-0200</v>
      </c>
    </row>
    <row r="3481" spans="11:11" x14ac:dyDescent="0.35">
      <c r="K3481" s="110" t="str">
        <v>INV-2610-0201</v>
      </c>
    </row>
    <row r="3482" spans="11:11" x14ac:dyDescent="0.35">
      <c r="K3482" s="110" t="str">
        <v>INV-2610-0202</v>
      </c>
    </row>
    <row r="3483" spans="11:11" x14ac:dyDescent="0.35">
      <c r="K3483" s="110" t="str">
        <v>INV-2610-0203</v>
      </c>
    </row>
    <row r="3484" spans="11:11" x14ac:dyDescent="0.35">
      <c r="K3484" s="110" t="str">
        <v>INV-2610-0204</v>
      </c>
    </row>
    <row r="3485" spans="11:11" x14ac:dyDescent="0.35">
      <c r="K3485" s="110" t="str">
        <v>INV-2610-0205</v>
      </c>
    </row>
    <row r="3486" spans="11:11" x14ac:dyDescent="0.35">
      <c r="K3486" s="110" t="str">
        <v>INV-2610-0206</v>
      </c>
    </row>
    <row r="3487" spans="11:11" x14ac:dyDescent="0.35">
      <c r="K3487" s="110" t="str">
        <v>INV-2610-0207</v>
      </c>
    </row>
    <row r="3488" spans="11:11" x14ac:dyDescent="0.35">
      <c r="K3488" s="110" t="str">
        <v>INV-2610-0208</v>
      </c>
    </row>
    <row r="3489" spans="11:11" x14ac:dyDescent="0.35">
      <c r="K3489" s="110" t="str">
        <v>INV-2610-0209</v>
      </c>
    </row>
    <row r="3490" spans="11:11" x14ac:dyDescent="0.35">
      <c r="K3490" s="110" t="str">
        <v>INV-2610-0210</v>
      </c>
    </row>
    <row r="3491" spans="11:11" x14ac:dyDescent="0.35">
      <c r="K3491" s="110" t="str">
        <v>INV-2610-0211</v>
      </c>
    </row>
    <row r="3492" spans="11:11" x14ac:dyDescent="0.35">
      <c r="K3492" s="110" t="str">
        <v>INV-2610-0212</v>
      </c>
    </row>
    <row r="3493" spans="11:11" x14ac:dyDescent="0.35">
      <c r="K3493" s="110" t="str">
        <v>INV-2610-0213</v>
      </c>
    </row>
    <row r="3494" spans="11:11" x14ac:dyDescent="0.35">
      <c r="K3494" s="110" t="str">
        <v>INV-2610-0214</v>
      </c>
    </row>
    <row r="3495" spans="11:11" x14ac:dyDescent="0.35">
      <c r="K3495" s="110" t="str">
        <v>INV-2610-0215</v>
      </c>
    </row>
    <row r="3496" spans="11:11" x14ac:dyDescent="0.35">
      <c r="K3496" s="110" t="str">
        <v>INV-2610-0216</v>
      </c>
    </row>
    <row r="3497" spans="11:11" x14ac:dyDescent="0.35">
      <c r="K3497" s="110" t="str">
        <v>INV-2610-0217</v>
      </c>
    </row>
    <row r="3498" spans="11:11" x14ac:dyDescent="0.35">
      <c r="K3498" s="110" t="str">
        <v>INV-2610-0218</v>
      </c>
    </row>
    <row r="3499" spans="11:11" x14ac:dyDescent="0.35">
      <c r="K3499" s="110" t="str">
        <v>INV-2610-0219</v>
      </c>
    </row>
    <row r="3500" spans="11:11" x14ac:dyDescent="0.35">
      <c r="K3500" s="110" t="str">
        <v>INV-2610-0220</v>
      </c>
    </row>
    <row r="3501" spans="11:11" x14ac:dyDescent="0.35">
      <c r="K3501" s="110" t="str">
        <v>INV-2610-0221</v>
      </c>
    </row>
    <row r="3502" spans="11:11" x14ac:dyDescent="0.35">
      <c r="K3502" s="110" t="str">
        <v>INV-2610-0222</v>
      </c>
    </row>
    <row r="3503" spans="11:11" x14ac:dyDescent="0.35">
      <c r="K3503" s="110" t="str">
        <v>INV-2610-0223</v>
      </c>
    </row>
    <row r="3504" spans="11:11" x14ac:dyDescent="0.35">
      <c r="K3504" s="110" t="str">
        <v>INV-2610-0224</v>
      </c>
    </row>
    <row r="3505" spans="11:11" x14ac:dyDescent="0.35">
      <c r="K3505" s="110" t="str">
        <v>INV-2610-0225</v>
      </c>
    </row>
    <row r="3506" spans="11:11" x14ac:dyDescent="0.35">
      <c r="K3506" s="110" t="str">
        <v>INV-2610-0226</v>
      </c>
    </row>
    <row r="3507" spans="11:11" x14ac:dyDescent="0.35">
      <c r="K3507" s="110" t="str">
        <v>INV-2610-0227</v>
      </c>
    </row>
    <row r="3508" spans="11:11" x14ac:dyDescent="0.35">
      <c r="K3508" s="110" t="str">
        <v>INV-2610-0228</v>
      </c>
    </row>
    <row r="3509" spans="11:11" x14ac:dyDescent="0.35">
      <c r="K3509" s="110" t="str">
        <v>INV-2610-0229</v>
      </c>
    </row>
    <row r="3510" spans="11:11" x14ac:dyDescent="0.35">
      <c r="K3510" s="110" t="str">
        <v>INV-2610-0230</v>
      </c>
    </row>
    <row r="3511" spans="11:11" x14ac:dyDescent="0.35">
      <c r="K3511" s="110" t="str">
        <v>INV-2610-0231</v>
      </c>
    </row>
    <row r="3512" spans="11:11" x14ac:dyDescent="0.35">
      <c r="K3512" s="110" t="str">
        <v>INV-2610-0232</v>
      </c>
    </row>
    <row r="3513" spans="11:11" x14ac:dyDescent="0.35">
      <c r="K3513" s="110" t="str">
        <v>INV-2610-0233</v>
      </c>
    </row>
    <row r="3514" spans="11:11" x14ac:dyDescent="0.35">
      <c r="K3514" s="110" t="str">
        <v>INV-2610-0234</v>
      </c>
    </row>
    <row r="3515" spans="11:11" x14ac:dyDescent="0.35">
      <c r="K3515" s="110" t="str">
        <v>INV-2610-0235</v>
      </c>
    </row>
    <row r="3516" spans="11:11" x14ac:dyDescent="0.35">
      <c r="K3516" s="110" t="str">
        <v>INV-2610-0236</v>
      </c>
    </row>
    <row r="3517" spans="11:11" x14ac:dyDescent="0.35">
      <c r="K3517" s="110" t="str">
        <v>INV-2610-0237</v>
      </c>
    </row>
    <row r="3518" spans="11:11" x14ac:dyDescent="0.35">
      <c r="K3518" s="110" t="str">
        <v>INV-2610-0238</v>
      </c>
    </row>
    <row r="3519" spans="11:11" x14ac:dyDescent="0.35">
      <c r="K3519" s="110" t="str">
        <v>INV-2610-0239</v>
      </c>
    </row>
    <row r="3520" spans="11:11" x14ac:dyDescent="0.35">
      <c r="K3520" s="110" t="str">
        <v>INV-2610-0240</v>
      </c>
    </row>
    <row r="3521" spans="11:11" x14ac:dyDescent="0.35">
      <c r="K3521" s="110" t="str">
        <v>INV-2610-0241</v>
      </c>
    </row>
    <row r="3522" spans="11:11" x14ac:dyDescent="0.35">
      <c r="K3522" s="110" t="str">
        <v>INV-2610-0242</v>
      </c>
    </row>
    <row r="3523" spans="11:11" x14ac:dyDescent="0.35">
      <c r="K3523" s="110" t="str">
        <v>INV-2610-0243</v>
      </c>
    </row>
    <row r="3524" spans="11:11" x14ac:dyDescent="0.35">
      <c r="K3524" s="110" t="str">
        <v>INV-2610-0244</v>
      </c>
    </row>
    <row r="3525" spans="11:11" x14ac:dyDescent="0.35">
      <c r="K3525" s="110" t="str">
        <v>INV-2610-0245</v>
      </c>
    </row>
    <row r="3526" spans="11:11" x14ac:dyDescent="0.35">
      <c r="K3526" s="110" t="str">
        <v>INV-2610-0246</v>
      </c>
    </row>
    <row r="3527" spans="11:11" x14ac:dyDescent="0.35">
      <c r="K3527" s="110" t="str">
        <v>INV-2610-0247</v>
      </c>
    </row>
    <row r="3528" spans="11:11" x14ac:dyDescent="0.35">
      <c r="K3528" s="110" t="str">
        <v>INV-2610-0248</v>
      </c>
    </row>
    <row r="3529" spans="11:11" x14ac:dyDescent="0.35">
      <c r="K3529" s="110" t="str">
        <v>INV-2610-0249</v>
      </c>
    </row>
    <row r="3530" spans="11:11" x14ac:dyDescent="0.35">
      <c r="K3530" s="110" t="str">
        <v>INV-2610-0250</v>
      </c>
    </row>
    <row r="3531" spans="11:11" x14ac:dyDescent="0.35">
      <c r="K3531" s="110" t="str">
        <v>INV-2610-0251</v>
      </c>
    </row>
    <row r="3532" spans="11:11" x14ac:dyDescent="0.35">
      <c r="K3532" s="110" t="str">
        <v>INV-2610-0252</v>
      </c>
    </row>
    <row r="3533" spans="11:11" x14ac:dyDescent="0.35">
      <c r="K3533" s="110" t="str">
        <v>INV-2610-0253</v>
      </c>
    </row>
    <row r="3534" spans="11:11" x14ac:dyDescent="0.35">
      <c r="K3534" s="110" t="str">
        <v>INV-2610-0254</v>
      </c>
    </row>
    <row r="3535" spans="11:11" x14ac:dyDescent="0.35">
      <c r="K3535" s="110" t="str">
        <v>INV-2610-0255</v>
      </c>
    </row>
    <row r="3536" spans="11:11" x14ac:dyDescent="0.35">
      <c r="K3536" s="110" t="str">
        <v>INV-2610-0256</v>
      </c>
    </row>
    <row r="3537" spans="11:11" x14ac:dyDescent="0.35">
      <c r="K3537" s="110" t="str">
        <v>INV-2610-0257</v>
      </c>
    </row>
    <row r="3538" spans="11:11" x14ac:dyDescent="0.35">
      <c r="K3538" s="110" t="str">
        <v>INV-2610-0258</v>
      </c>
    </row>
    <row r="3539" spans="11:11" x14ac:dyDescent="0.35">
      <c r="K3539" s="110" t="str">
        <v>INV-2610-0259</v>
      </c>
    </row>
    <row r="3540" spans="11:11" x14ac:dyDescent="0.35">
      <c r="K3540" s="110" t="str">
        <v>INV-2610-0260</v>
      </c>
    </row>
    <row r="3541" spans="11:11" x14ac:dyDescent="0.35">
      <c r="K3541" s="110" t="str">
        <v>INV-2610-0261</v>
      </c>
    </row>
    <row r="3542" spans="11:11" x14ac:dyDescent="0.35">
      <c r="K3542" s="110" t="str">
        <v>INV-2610-0262</v>
      </c>
    </row>
    <row r="3543" spans="11:11" x14ac:dyDescent="0.35">
      <c r="K3543" s="110" t="str">
        <v>INV-2610-0263</v>
      </c>
    </row>
    <row r="3544" spans="11:11" x14ac:dyDescent="0.35">
      <c r="K3544" s="110" t="str">
        <v>INV-2610-0264</v>
      </c>
    </row>
    <row r="3545" spans="11:11" x14ac:dyDescent="0.35">
      <c r="K3545" s="110" t="str">
        <v>INV-2610-0265</v>
      </c>
    </row>
    <row r="3546" spans="11:11" x14ac:dyDescent="0.35">
      <c r="K3546" s="110" t="str">
        <v>INV-2610-0266</v>
      </c>
    </row>
    <row r="3547" spans="11:11" x14ac:dyDescent="0.35">
      <c r="K3547" s="110" t="str">
        <v>INV-2610-0267</v>
      </c>
    </row>
    <row r="3548" spans="11:11" x14ac:dyDescent="0.35">
      <c r="K3548" s="110" t="str">
        <v>INV-2610-0268</v>
      </c>
    </row>
    <row r="3549" spans="11:11" x14ac:dyDescent="0.35">
      <c r="K3549" s="110" t="str">
        <v>INV-2610-0269</v>
      </c>
    </row>
    <row r="3550" spans="11:11" x14ac:dyDescent="0.35">
      <c r="K3550" s="110" t="str">
        <v>INV-2610-0270</v>
      </c>
    </row>
    <row r="3551" spans="11:11" x14ac:dyDescent="0.35">
      <c r="K3551" s="110" t="str">
        <v>INV-2610-0271</v>
      </c>
    </row>
    <row r="3552" spans="11:11" x14ac:dyDescent="0.35">
      <c r="K3552" s="110" t="str">
        <v>INV-2610-0272</v>
      </c>
    </row>
    <row r="3553" spans="11:11" x14ac:dyDescent="0.35">
      <c r="K3553" s="110" t="str">
        <v>INV-2610-0273</v>
      </c>
    </row>
    <row r="3554" spans="11:11" x14ac:dyDescent="0.35">
      <c r="K3554" s="110" t="str">
        <v>INV-2610-0274</v>
      </c>
    </row>
    <row r="3555" spans="11:11" x14ac:dyDescent="0.35">
      <c r="K3555" s="110" t="str">
        <v>INV-2610-0275</v>
      </c>
    </row>
    <row r="3556" spans="11:11" x14ac:dyDescent="0.35">
      <c r="K3556" s="110" t="str">
        <v>INV-2610-0276</v>
      </c>
    </row>
    <row r="3557" spans="11:11" x14ac:dyDescent="0.35">
      <c r="K3557" s="110" t="str">
        <v>INV-2610-0277</v>
      </c>
    </row>
    <row r="3558" spans="11:11" x14ac:dyDescent="0.35">
      <c r="K3558" s="110" t="str">
        <v>INV-2610-0278</v>
      </c>
    </row>
    <row r="3559" spans="11:11" x14ac:dyDescent="0.35">
      <c r="K3559" s="110" t="str">
        <v>INV-2610-0279</v>
      </c>
    </row>
    <row r="3560" spans="11:11" x14ac:dyDescent="0.35">
      <c r="K3560" s="110" t="str">
        <v>INV-2610-0280</v>
      </c>
    </row>
    <row r="3561" spans="11:11" x14ac:dyDescent="0.35">
      <c r="K3561" s="110" t="str">
        <v>INV-2610-0281</v>
      </c>
    </row>
    <row r="3562" spans="11:11" x14ac:dyDescent="0.35">
      <c r="K3562" s="110" t="str">
        <v>INV-2610-0282</v>
      </c>
    </row>
    <row r="3563" spans="11:11" x14ac:dyDescent="0.35">
      <c r="K3563" s="110" t="str">
        <v>INV-2610-0283</v>
      </c>
    </row>
    <row r="3564" spans="11:11" x14ac:dyDescent="0.35">
      <c r="K3564" s="110" t="str">
        <v>INV-2610-0284</v>
      </c>
    </row>
    <row r="3565" spans="11:11" x14ac:dyDescent="0.35">
      <c r="K3565" s="110" t="str">
        <v>INV-2610-0285</v>
      </c>
    </row>
    <row r="3566" spans="11:11" x14ac:dyDescent="0.35">
      <c r="K3566" s="110" t="str">
        <v>INV-2610-0286</v>
      </c>
    </row>
    <row r="3567" spans="11:11" x14ac:dyDescent="0.35">
      <c r="K3567" s="110" t="str">
        <v>INV-2610-0287</v>
      </c>
    </row>
    <row r="3568" spans="11:11" x14ac:dyDescent="0.35">
      <c r="K3568" s="110" t="str">
        <v>INV-2610-0288</v>
      </c>
    </row>
    <row r="3569" spans="11:11" x14ac:dyDescent="0.35">
      <c r="K3569" s="110" t="str">
        <v>INV-2610-0289</v>
      </c>
    </row>
    <row r="3570" spans="11:11" x14ac:dyDescent="0.35">
      <c r="K3570" s="110" t="str">
        <v>INV-2610-0290</v>
      </c>
    </row>
    <row r="3571" spans="11:11" x14ac:dyDescent="0.35">
      <c r="K3571" s="110" t="str">
        <v>INV-2610-0291</v>
      </c>
    </row>
    <row r="3572" spans="11:11" x14ac:dyDescent="0.35">
      <c r="K3572" s="110" t="str">
        <v>INV-2610-0292</v>
      </c>
    </row>
    <row r="3573" spans="11:11" x14ac:dyDescent="0.35">
      <c r="K3573" s="110" t="str">
        <v>INV-2610-0293</v>
      </c>
    </row>
    <row r="3574" spans="11:11" x14ac:dyDescent="0.35">
      <c r="K3574" s="110" t="str">
        <v>INV-2610-0294</v>
      </c>
    </row>
    <row r="3575" spans="11:11" x14ac:dyDescent="0.35">
      <c r="K3575" s="110" t="str">
        <v>INV-2610-0295</v>
      </c>
    </row>
    <row r="3576" spans="11:11" x14ac:dyDescent="0.35">
      <c r="K3576" s="110" t="str">
        <v>INV-2610-0296</v>
      </c>
    </row>
    <row r="3577" spans="11:11" x14ac:dyDescent="0.35">
      <c r="K3577" s="110" t="str">
        <v>INV-2610-0297</v>
      </c>
    </row>
    <row r="3578" spans="11:11" x14ac:dyDescent="0.35">
      <c r="K3578" s="110" t="str">
        <v>INV-2610-0298</v>
      </c>
    </row>
    <row r="3579" spans="11:11" x14ac:dyDescent="0.35">
      <c r="K3579" s="110" t="str">
        <v>INV-2610-0299</v>
      </c>
    </row>
    <row r="3580" spans="11:11" x14ac:dyDescent="0.35">
      <c r="K3580" s="110" t="str">
        <v>INV-2610-0300</v>
      </c>
    </row>
    <row r="3581" spans="11:11" x14ac:dyDescent="0.35">
      <c r="K3581" s="110" t="str">
        <v>INV-2610-0301</v>
      </c>
    </row>
    <row r="3582" spans="11:11" x14ac:dyDescent="0.35">
      <c r="K3582" s="110" t="str">
        <v>INV-2610-0302</v>
      </c>
    </row>
    <row r="3583" spans="11:11" x14ac:dyDescent="0.35">
      <c r="K3583" s="110" t="str">
        <v>INV-2610-0303</v>
      </c>
    </row>
    <row r="3584" spans="11:11" x14ac:dyDescent="0.35">
      <c r="K3584" s="110" t="str">
        <v>INV-2610-0304</v>
      </c>
    </row>
    <row r="3585" spans="11:11" x14ac:dyDescent="0.35">
      <c r="K3585" s="110" t="str">
        <v>INV-2610-0305</v>
      </c>
    </row>
    <row r="3586" spans="11:11" x14ac:dyDescent="0.35">
      <c r="K3586" s="110" t="str">
        <v>INV-2610-0306</v>
      </c>
    </row>
    <row r="3587" spans="11:11" x14ac:dyDescent="0.35">
      <c r="K3587" s="110" t="str">
        <v>INV-2610-0307</v>
      </c>
    </row>
    <row r="3588" spans="11:11" x14ac:dyDescent="0.35">
      <c r="K3588" s="110" t="str">
        <v>INV-2610-0308</v>
      </c>
    </row>
    <row r="3589" spans="11:11" x14ac:dyDescent="0.35">
      <c r="K3589" s="110" t="str">
        <v>INV-2610-0309</v>
      </c>
    </row>
    <row r="3590" spans="11:11" x14ac:dyDescent="0.35">
      <c r="K3590" s="110" t="str">
        <v>INV-2610-0310</v>
      </c>
    </row>
    <row r="3591" spans="11:11" x14ac:dyDescent="0.35">
      <c r="K3591" s="110" t="str">
        <v>INV-2610-0311</v>
      </c>
    </row>
    <row r="3592" spans="11:11" x14ac:dyDescent="0.35">
      <c r="K3592" s="110" t="str">
        <v>INV-2610-0312</v>
      </c>
    </row>
    <row r="3593" spans="11:11" x14ac:dyDescent="0.35">
      <c r="K3593" s="110" t="str">
        <v>INV-2610-0313</v>
      </c>
    </row>
    <row r="3594" spans="11:11" x14ac:dyDescent="0.35">
      <c r="K3594" s="110" t="str">
        <v>INV-2610-0314</v>
      </c>
    </row>
    <row r="3595" spans="11:11" x14ac:dyDescent="0.35">
      <c r="K3595" s="110" t="str">
        <v>INV-2610-0315</v>
      </c>
    </row>
    <row r="3596" spans="11:11" x14ac:dyDescent="0.35">
      <c r="K3596" s="110" t="str">
        <v>INV-2610-0316</v>
      </c>
    </row>
    <row r="3597" spans="11:11" x14ac:dyDescent="0.35">
      <c r="K3597" s="110" t="str">
        <v>INV-2610-0317</v>
      </c>
    </row>
    <row r="3598" spans="11:11" x14ac:dyDescent="0.35">
      <c r="K3598" s="110" t="str">
        <v>INV-2610-0318</v>
      </c>
    </row>
    <row r="3599" spans="11:11" x14ac:dyDescent="0.35">
      <c r="K3599" s="110" t="str">
        <v>INV-2610-0319</v>
      </c>
    </row>
    <row r="3600" spans="11:11" x14ac:dyDescent="0.35">
      <c r="K3600" s="110" t="str">
        <v>INV-2610-0320</v>
      </c>
    </row>
    <row r="3601" spans="11:11" x14ac:dyDescent="0.35">
      <c r="K3601" s="110" t="str">
        <v>INV-2610-0321</v>
      </c>
    </row>
    <row r="3602" spans="11:11" x14ac:dyDescent="0.35">
      <c r="K3602" s="110" t="str">
        <v>INV-2610-0322</v>
      </c>
    </row>
    <row r="3603" spans="11:11" x14ac:dyDescent="0.35">
      <c r="K3603" s="110" t="str">
        <v>INV-2610-0323</v>
      </c>
    </row>
    <row r="3604" spans="11:11" x14ac:dyDescent="0.35">
      <c r="K3604" s="110" t="str">
        <v>INV-2610-0324</v>
      </c>
    </row>
    <row r="3605" spans="11:11" x14ac:dyDescent="0.35">
      <c r="K3605" s="110" t="str">
        <v>INV-2610-0325</v>
      </c>
    </row>
    <row r="3606" spans="11:11" x14ac:dyDescent="0.35">
      <c r="K3606" s="110" t="str">
        <v>INV-2610-0326</v>
      </c>
    </row>
    <row r="3607" spans="11:11" x14ac:dyDescent="0.35">
      <c r="K3607" s="110" t="str">
        <v>INV-2610-0327</v>
      </c>
    </row>
    <row r="3608" spans="11:11" x14ac:dyDescent="0.35">
      <c r="K3608" s="110" t="str">
        <v>INV-2610-0328</v>
      </c>
    </row>
    <row r="3609" spans="11:11" x14ac:dyDescent="0.35">
      <c r="K3609" s="110" t="str">
        <v>INV-2610-0329</v>
      </c>
    </row>
    <row r="3610" spans="11:11" x14ac:dyDescent="0.35">
      <c r="K3610" s="110" t="str">
        <v>INV-2610-0330</v>
      </c>
    </row>
    <row r="3611" spans="11:11" x14ac:dyDescent="0.35">
      <c r="K3611" s="110" t="str">
        <v>INV-2610-0331</v>
      </c>
    </row>
    <row r="3612" spans="11:11" x14ac:dyDescent="0.35">
      <c r="K3612" s="110" t="str">
        <v>INV-2610-0332</v>
      </c>
    </row>
    <row r="3613" spans="11:11" x14ac:dyDescent="0.35">
      <c r="K3613" s="110" t="str">
        <v>INV-2610-0333</v>
      </c>
    </row>
    <row r="3614" spans="11:11" x14ac:dyDescent="0.35">
      <c r="K3614" s="110" t="str">
        <v>INV-2610-0334</v>
      </c>
    </row>
    <row r="3615" spans="11:11" x14ac:dyDescent="0.35">
      <c r="K3615" s="110" t="str">
        <v>INV-2610-0335</v>
      </c>
    </row>
    <row r="3616" spans="11:11" x14ac:dyDescent="0.35">
      <c r="K3616" s="110" t="str">
        <v>INV-2610-0336</v>
      </c>
    </row>
    <row r="3617" spans="11:11" x14ac:dyDescent="0.35">
      <c r="K3617" s="110" t="str">
        <v>INV-2610-0337</v>
      </c>
    </row>
    <row r="3618" spans="11:11" x14ac:dyDescent="0.35">
      <c r="K3618" s="110" t="str">
        <v>INV-2610-0338</v>
      </c>
    </row>
    <row r="3619" spans="11:11" x14ac:dyDescent="0.35">
      <c r="K3619" s="110" t="str">
        <v>INV-2610-0339</v>
      </c>
    </row>
    <row r="3620" spans="11:11" x14ac:dyDescent="0.35">
      <c r="K3620" s="110" t="str">
        <v>INV-2610-0340</v>
      </c>
    </row>
    <row r="3621" spans="11:11" x14ac:dyDescent="0.35">
      <c r="K3621" s="110" t="str">
        <v>INV-2610-0341</v>
      </c>
    </row>
    <row r="3622" spans="11:11" x14ac:dyDescent="0.35">
      <c r="K3622" s="110" t="str">
        <v>INV-2610-0342</v>
      </c>
    </row>
    <row r="3623" spans="11:11" x14ac:dyDescent="0.35">
      <c r="K3623" s="110" t="str">
        <v>INV-2610-0343</v>
      </c>
    </row>
    <row r="3624" spans="11:11" x14ac:dyDescent="0.35">
      <c r="K3624" s="110" t="str">
        <v>INV-2610-0344</v>
      </c>
    </row>
    <row r="3625" spans="11:11" x14ac:dyDescent="0.35">
      <c r="K3625" s="110" t="str">
        <v>INV-2610-0345</v>
      </c>
    </row>
    <row r="3626" spans="11:11" x14ac:dyDescent="0.35">
      <c r="K3626" s="110" t="str">
        <v>INV-2610-0346</v>
      </c>
    </row>
    <row r="3627" spans="11:11" x14ac:dyDescent="0.35">
      <c r="K3627" s="110" t="str">
        <v>INV-2610-0347</v>
      </c>
    </row>
    <row r="3628" spans="11:11" x14ac:dyDescent="0.35">
      <c r="K3628" s="110" t="str">
        <v>INV-2610-0348</v>
      </c>
    </row>
    <row r="3629" spans="11:11" x14ac:dyDescent="0.35">
      <c r="K3629" s="110" t="str">
        <v>INV-2610-0349</v>
      </c>
    </row>
    <row r="3630" spans="11:11" x14ac:dyDescent="0.35">
      <c r="K3630" s="110" t="str">
        <v>INV-2611-0001</v>
      </c>
    </row>
    <row r="3631" spans="11:11" x14ac:dyDescent="0.35">
      <c r="K3631" s="110" t="str">
        <v>INV-2611-0002</v>
      </c>
    </row>
    <row r="3632" spans="11:11" x14ac:dyDescent="0.35">
      <c r="K3632" s="110" t="str">
        <v>INV-2611-0003</v>
      </c>
    </row>
    <row r="3633" spans="11:11" x14ac:dyDescent="0.35">
      <c r="K3633" s="110" t="str">
        <v>INV-2611-0004</v>
      </c>
    </row>
    <row r="3634" spans="11:11" x14ac:dyDescent="0.35">
      <c r="K3634" s="110" t="str">
        <v>INV-2611-0005</v>
      </c>
    </row>
    <row r="3635" spans="11:11" x14ac:dyDescent="0.35">
      <c r="K3635" s="110" t="str">
        <v>INV-2611-0006</v>
      </c>
    </row>
    <row r="3636" spans="11:11" x14ac:dyDescent="0.35">
      <c r="K3636" s="110" t="str">
        <v>INV-2611-0007</v>
      </c>
    </row>
    <row r="3637" spans="11:11" x14ac:dyDescent="0.35">
      <c r="K3637" s="110" t="str">
        <v>INV-2611-0008</v>
      </c>
    </row>
    <row r="3638" spans="11:11" x14ac:dyDescent="0.35">
      <c r="K3638" s="110" t="str">
        <v>INV-2611-0009</v>
      </c>
    </row>
    <row r="3639" spans="11:11" x14ac:dyDescent="0.35">
      <c r="K3639" s="110" t="str">
        <v>INV-2611-0010</v>
      </c>
    </row>
    <row r="3640" spans="11:11" x14ac:dyDescent="0.35">
      <c r="K3640" s="110" t="str">
        <v>INV-2611-0011</v>
      </c>
    </row>
    <row r="3641" spans="11:11" x14ac:dyDescent="0.35">
      <c r="K3641" s="110" t="str">
        <v>INV-2611-0012</v>
      </c>
    </row>
    <row r="3642" spans="11:11" x14ac:dyDescent="0.35">
      <c r="K3642" s="110" t="str">
        <v>INV-2611-0013</v>
      </c>
    </row>
    <row r="3643" spans="11:11" x14ac:dyDescent="0.35">
      <c r="K3643" s="110" t="str">
        <v>INV-2611-0014</v>
      </c>
    </row>
    <row r="3644" spans="11:11" x14ac:dyDescent="0.35">
      <c r="K3644" s="110" t="str">
        <v>INV-2611-0015</v>
      </c>
    </row>
    <row r="3645" spans="11:11" x14ac:dyDescent="0.35">
      <c r="K3645" s="110" t="str">
        <v>INV-2611-0016</v>
      </c>
    </row>
    <row r="3646" spans="11:11" x14ac:dyDescent="0.35">
      <c r="K3646" s="110" t="str">
        <v>INV-2611-0017</v>
      </c>
    </row>
    <row r="3647" spans="11:11" x14ac:dyDescent="0.35">
      <c r="K3647" s="110" t="str">
        <v>INV-2611-0018</v>
      </c>
    </row>
    <row r="3648" spans="11:11" x14ac:dyDescent="0.35">
      <c r="K3648" s="110" t="str">
        <v>INV-2611-0019</v>
      </c>
    </row>
    <row r="3649" spans="11:11" x14ac:dyDescent="0.35">
      <c r="K3649" s="110" t="str">
        <v>INV-2611-0020</v>
      </c>
    </row>
    <row r="3650" spans="11:11" x14ac:dyDescent="0.35">
      <c r="K3650" s="110" t="str">
        <v>INV-2611-0021</v>
      </c>
    </row>
    <row r="3651" spans="11:11" x14ac:dyDescent="0.35">
      <c r="K3651" s="110" t="str">
        <v>INV-2611-0022</v>
      </c>
    </row>
    <row r="3652" spans="11:11" x14ac:dyDescent="0.35">
      <c r="K3652" s="110" t="str">
        <v>INV-2611-0023</v>
      </c>
    </row>
    <row r="3653" spans="11:11" x14ac:dyDescent="0.35">
      <c r="K3653" s="110" t="str">
        <v>INV-2611-0024</v>
      </c>
    </row>
    <row r="3654" spans="11:11" x14ac:dyDescent="0.35">
      <c r="K3654" s="110" t="str">
        <v>INV-2611-0025</v>
      </c>
    </row>
    <row r="3655" spans="11:11" x14ac:dyDescent="0.35">
      <c r="K3655" s="110" t="str">
        <v>INV-2611-0026</v>
      </c>
    </row>
    <row r="3656" spans="11:11" x14ac:dyDescent="0.35">
      <c r="K3656" s="110" t="str">
        <v>INV-2611-0027</v>
      </c>
    </row>
    <row r="3657" spans="11:11" x14ac:dyDescent="0.35">
      <c r="K3657" s="110" t="str">
        <v>INV-2611-0028</v>
      </c>
    </row>
    <row r="3658" spans="11:11" x14ac:dyDescent="0.35">
      <c r="K3658" s="110" t="str">
        <v>INV-2611-0029</v>
      </c>
    </row>
    <row r="3659" spans="11:11" x14ac:dyDescent="0.35">
      <c r="K3659" s="110" t="str">
        <v>INV-2611-0030</v>
      </c>
    </row>
    <row r="3660" spans="11:11" x14ac:dyDescent="0.35">
      <c r="K3660" s="110" t="str">
        <v>INV-2611-0031</v>
      </c>
    </row>
    <row r="3661" spans="11:11" x14ac:dyDescent="0.35">
      <c r="K3661" s="110" t="str">
        <v>INV-2611-0032</v>
      </c>
    </row>
    <row r="3662" spans="11:11" x14ac:dyDescent="0.35">
      <c r="K3662" s="110" t="str">
        <v>INV-2611-0033</v>
      </c>
    </row>
    <row r="3663" spans="11:11" x14ac:dyDescent="0.35">
      <c r="K3663" s="110" t="str">
        <v>INV-2611-0034</v>
      </c>
    </row>
    <row r="3664" spans="11:11" x14ac:dyDescent="0.35">
      <c r="K3664" s="110" t="str">
        <v>INV-2611-0035</v>
      </c>
    </row>
    <row r="3665" spans="11:11" x14ac:dyDescent="0.35">
      <c r="K3665" s="110" t="str">
        <v>INV-2611-0036</v>
      </c>
    </row>
    <row r="3666" spans="11:11" x14ac:dyDescent="0.35">
      <c r="K3666" s="110" t="str">
        <v>INV-2611-0037</v>
      </c>
    </row>
    <row r="3667" spans="11:11" x14ac:dyDescent="0.35">
      <c r="K3667" s="110" t="str">
        <v>INV-2611-0038</v>
      </c>
    </row>
    <row r="3668" spans="11:11" x14ac:dyDescent="0.35">
      <c r="K3668" s="110" t="str">
        <v>INV-2611-0039</v>
      </c>
    </row>
    <row r="3669" spans="11:11" x14ac:dyDescent="0.35">
      <c r="K3669" s="110" t="str">
        <v>INV-2611-0040</v>
      </c>
    </row>
    <row r="3670" spans="11:11" x14ac:dyDescent="0.35">
      <c r="K3670" s="110" t="str">
        <v>INV-2611-0041</v>
      </c>
    </row>
    <row r="3671" spans="11:11" x14ac:dyDescent="0.35">
      <c r="K3671" s="110" t="str">
        <v>INV-2611-0042</v>
      </c>
    </row>
    <row r="3672" spans="11:11" x14ac:dyDescent="0.35">
      <c r="K3672" s="110" t="str">
        <v>INV-2611-0043</v>
      </c>
    </row>
    <row r="3673" spans="11:11" x14ac:dyDescent="0.35">
      <c r="K3673" s="110" t="str">
        <v>INV-2611-0044</v>
      </c>
    </row>
    <row r="3674" spans="11:11" x14ac:dyDescent="0.35">
      <c r="K3674" s="110" t="str">
        <v>INV-2611-0045</v>
      </c>
    </row>
    <row r="3675" spans="11:11" x14ac:dyDescent="0.35">
      <c r="K3675" s="110" t="str">
        <v>INV-2611-0046</v>
      </c>
    </row>
    <row r="3676" spans="11:11" x14ac:dyDescent="0.35">
      <c r="K3676" s="110" t="str">
        <v>INV-2611-0047</v>
      </c>
    </row>
    <row r="3677" spans="11:11" x14ac:dyDescent="0.35">
      <c r="K3677" s="110" t="str">
        <v>INV-2611-0048</v>
      </c>
    </row>
    <row r="3678" spans="11:11" x14ac:dyDescent="0.35">
      <c r="K3678" s="110" t="str">
        <v>INV-2611-0049</v>
      </c>
    </row>
    <row r="3679" spans="11:11" x14ac:dyDescent="0.35">
      <c r="K3679" s="110" t="str">
        <v>INV-2611-0050</v>
      </c>
    </row>
    <row r="3680" spans="11:11" x14ac:dyDescent="0.35">
      <c r="K3680" s="110" t="str">
        <v>INV-2611-0051</v>
      </c>
    </row>
    <row r="3681" spans="11:11" x14ac:dyDescent="0.35">
      <c r="K3681" s="110" t="str">
        <v>INV-2611-0052</v>
      </c>
    </row>
    <row r="3682" spans="11:11" x14ac:dyDescent="0.35">
      <c r="K3682" s="110" t="str">
        <v>INV-2611-0053</v>
      </c>
    </row>
    <row r="3683" spans="11:11" x14ac:dyDescent="0.35">
      <c r="K3683" s="110" t="str">
        <v>INV-2611-0054</v>
      </c>
    </row>
    <row r="3684" spans="11:11" x14ac:dyDescent="0.35">
      <c r="K3684" s="110" t="str">
        <v>INV-2611-0055</v>
      </c>
    </row>
    <row r="3685" spans="11:11" x14ac:dyDescent="0.35">
      <c r="K3685" s="110" t="str">
        <v>INV-2611-0056</v>
      </c>
    </row>
    <row r="3686" spans="11:11" x14ac:dyDescent="0.35">
      <c r="K3686" s="110" t="str">
        <v>INV-2611-0057</v>
      </c>
    </row>
    <row r="3687" spans="11:11" x14ac:dyDescent="0.35">
      <c r="K3687" s="110" t="str">
        <v>INV-2611-0058</v>
      </c>
    </row>
    <row r="3688" spans="11:11" x14ac:dyDescent="0.35">
      <c r="K3688" s="110" t="str">
        <v>INV-2611-0059</v>
      </c>
    </row>
    <row r="3689" spans="11:11" x14ac:dyDescent="0.35">
      <c r="K3689" s="110" t="str">
        <v>INV-2611-0060</v>
      </c>
    </row>
    <row r="3690" spans="11:11" x14ac:dyDescent="0.35">
      <c r="K3690" s="110" t="str">
        <v>INV-2611-0061</v>
      </c>
    </row>
    <row r="3691" spans="11:11" x14ac:dyDescent="0.35">
      <c r="K3691" s="110" t="str">
        <v>INV-2611-0062</v>
      </c>
    </row>
    <row r="3692" spans="11:11" x14ac:dyDescent="0.35">
      <c r="K3692" s="110" t="str">
        <v>INV-2611-0063</v>
      </c>
    </row>
    <row r="3693" spans="11:11" x14ac:dyDescent="0.35">
      <c r="K3693" s="110" t="str">
        <v>INV-2611-0064</v>
      </c>
    </row>
    <row r="3694" spans="11:11" x14ac:dyDescent="0.35">
      <c r="K3694" s="110" t="str">
        <v>INV-2611-0065</v>
      </c>
    </row>
    <row r="3695" spans="11:11" x14ac:dyDescent="0.35">
      <c r="K3695" s="110" t="str">
        <v>INV-2611-0066</v>
      </c>
    </row>
    <row r="3696" spans="11:11" x14ac:dyDescent="0.35">
      <c r="K3696" s="110" t="str">
        <v>INV-2611-0067</v>
      </c>
    </row>
    <row r="3697" spans="11:11" x14ac:dyDescent="0.35">
      <c r="K3697" s="110" t="str">
        <v>INV-2611-0068</v>
      </c>
    </row>
    <row r="3698" spans="11:11" x14ac:dyDescent="0.35">
      <c r="K3698" s="110" t="str">
        <v>INV-2611-0069</v>
      </c>
    </row>
    <row r="3699" spans="11:11" x14ac:dyDescent="0.35">
      <c r="K3699" s="110" t="str">
        <v>INV-2611-0070</v>
      </c>
    </row>
    <row r="3700" spans="11:11" x14ac:dyDescent="0.35">
      <c r="K3700" s="110" t="str">
        <v>INV-2611-0071</v>
      </c>
    </row>
    <row r="3701" spans="11:11" x14ac:dyDescent="0.35">
      <c r="K3701" s="110" t="str">
        <v>INV-2611-0072</v>
      </c>
    </row>
    <row r="3702" spans="11:11" x14ac:dyDescent="0.35">
      <c r="K3702" s="110" t="str">
        <v>INV-2611-0073</v>
      </c>
    </row>
    <row r="3703" spans="11:11" x14ac:dyDescent="0.35">
      <c r="K3703" s="110" t="str">
        <v>INV-2611-0074</v>
      </c>
    </row>
    <row r="3704" spans="11:11" x14ac:dyDescent="0.35">
      <c r="K3704" s="110" t="str">
        <v>INV-2611-0075</v>
      </c>
    </row>
    <row r="3705" spans="11:11" x14ac:dyDescent="0.35">
      <c r="K3705" s="110" t="str">
        <v>INV-2611-0076</v>
      </c>
    </row>
    <row r="3706" spans="11:11" x14ac:dyDescent="0.35">
      <c r="K3706" s="110" t="str">
        <v>INV-2611-0077</v>
      </c>
    </row>
    <row r="3707" spans="11:11" x14ac:dyDescent="0.35">
      <c r="K3707" s="110" t="str">
        <v>INV-2611-0078</v>
      </c>
    </row>
    <row r="3708" spans="11:11" x14ac:dyDescent="0.35">
      <c r="K3708" s="110" t="str">
        <v>INV-2611-0079</v>
      </c>
    </row>
    <row r="3709" spans="11:11" x14ac:dyDescent="0.35">
      <c r="K3709" s="110" t="str">
        <v>INV-2611-0080</v>
      </c>
    </row>
    <row r="3710" spans="11:11" x14ac:dyDescent="0.35">
      <c r="K3710" s="110" t="str">
        <v>INV-2611-0081</v>
      </c>
    </row>
    <row r="3711" spans="11:11" x14ac:dyDescent="0.35">
      <c r="K3711" s="110" t="str">
        <v>INV-2611-0082</v>
      </c>
    </row>
    <row r="3712" spans="11:11" x14ac:dyDescent="0.35">
      <c r="K3712" s="110" t="str">
        <v>INV-2611-0083</v>
      </c>
    </row>
    <row r="3713" spans="11:11" x14ac:dyDescent="0.35">
      <c r="K3713" s="110" t="str">
        <v>INV-2611-0084</v>
      </c>
    </row>
    <row r="3714" spans="11:11" x14ac:dyDescent="0.35">
      <c r="K3714" s="110" t="str">
        <v>INV-2611-0085</v>
      </c>
    </row>
    <row r="3715" spans="11:11" x14ac:dyDescent="0.35">
      <c r="K3715" s="110" t="str">
        <v>INV-2611-0086</v>
      </c>
    </row>
    <row r="3716" spans="11:11" x14ac:dyDescent="0.35">
      <c r="K3716" s="110" t="str">
        <v>INV-2611-0087</v>
      </c>
    </row>
    <row r="3717" spans="11:11" x14ac:dyDescent="0.35">
      <c r="K3717" s="110" t="str">
        <v>INV-2611-0088</v>
      </c>
    </row>
    <row r="3718" spans="11:11" x14ac:dyDescent="0.35">
      <c r="K3718" s="110" t="str">
        <v>INV-2611-0089</v>
      </c>
    </row>
    <row r="3719" spans="11:11" x14ac:dyDescent="0.35">
      <c r="K3719" s="110" t="str">
        <v>INV-2611-0090</v>
      </c>
    </row>
    <row r="3720" spans="11:11" x14ac:dyDescent="0.35">
      <c r="K3720" s="110" t="str">
        <v>INV-2611-0091</v>
      </c>
    </row>
    <row r="3721" spans="11:11" x14ac:dyDescent="0.35">
      <c r="K3721" s="110" t="str">
        <v>INV-2611-0092</v>
      </c>
    </row>
    <row r="3722" spans="11:11" x14ac:dyDescent="0.35">
      <c r="K3722" s="110" t="str">
        <v>INV-2611-0093</v>
      </c>
    </row>
    <row r="3723" spans="11:11" x14ac:dyDescent="0.35">
      <c r="K3723" s="110" t="str">
        <v>INV-2611-0094</v>
      </c>
    </row>
    <row r="3724" spans="11:11" x14ac:dyDescent="0.35">
      <c r="K3724" s="110" t="str">
        <v>INV-2611-0095</v>
      </c>
    </row>
    <row r="3725" spans="11:11" x14ac:dyDescent="0.35">
      <c r="K3725" s="110" t="str">
        <v>INV-2611-0096</v>
      </c>
    </row>
    <row r="3726" spans="11:11" x14ac:dyDescent="0.35">
      <c r="K3726" s="110" t="str">
        <v>INV-2611-0097</v>
      </c>
    </row>
    <row r="3727" spans="11:11" x14ac:dyDescent="0.35">
      <c r="K3727" s="110" t="str">
        <v>INV-2611-0098</v>
      </c>
    </row>
    <row r="3728" spans="11:11" x14ac:dyDescent="0.35">
      <c r="K3728" s="110" t="str">
        <v>INV-2611-0099</v>
      </c>
    </row>
    <row r="3729" spans="11:11" x14ac:dyDescent="0.35">
      <c r="K3729" s="110" t="str">
        <v>INV-2611-0100</v>
      </c>
    </row>
    <row r="3730" spans="11:11" x14ac:dyDescent="0.35">
      <c r="K3730" s="110" t="str">
        <v>INV-2611-0101</v>
      </c>
    </row>
    <row r="3731" spans="11:11" x14ac:dyDescent="0.35">
      <c r="K3731" s="110" t="str">
        <v>INV-2611-0102</v>
      </c>
    </row>
    <row r="3732" spans="11:11" x14ac:dyDescent="0.35">
      <c r="K3732" s="110" t="str">
        <v>INV-2611-0103</v>
      </c>
    </row>
    <row r="3733" spans="11:11" x14ac:dyDescent="0.35">
      <c r="K3733" s="110" t="str">
        <v>INV-2611-0104</v>
      </c>
    </row>
    <row r="3734" spans="11:11" x14ac:dyDescent="0.35">
      <c r="K3734" s="110" t="str">
        <v>INV-2611-0105</v>
      </c>
    </row>
    <row r="3735" spans="11:11" x14ac:dyDescent="0.35">
      <c r="K3735" s="110" t="str">
        <v>INV-2611-0106</v>
      </c>
    </row>
    <row r="3736" spans="11:11" x14ac:dyDescent="0.35">
      <c r="K3736" s="110" t="str">
        <v>INV-2611-0107</v>
      </c>
    </row>
    <row r="3737" spans="11:11" x14ac:dyDescent="0.35">
      <c r="K3737" s="110" t="str">
        <v>INV-2611-0108</v>
      </c>
    </row>
    <row r="3738" spans="11:11" x14ac:dyDescent="0.35">
      <c r="K3738" s="110" t="str">
        <v>INV-2611-0109</v>
      </c>
    </row>
    <row r="3739" spans="11:11" x14ac:dyDescent="0.35">
      <c r="K3739" s="110" t="str">
        <v>INV-2611-0110</v>
      </c>
    </row>
    <row r="3740" spans="11:11" x14ac:dyDescent="0.35">
      <c r="K3740" s="110" t="str">
        <v>INV-2611-0111</v>
      </c>
    </row>
    <row r="3741" spans="11:11" x14ac:dyDescent="0.35">
      <c r="K3741" s="110" t="str">
        <v>INV-2611-0112</v>
      </c>
    </row>
    <row r="3742" spans="11:11" x14ac:dyDescent="0.35">
      <c r="K3742" s="110" t="str">
        <v>INV-2611-0113</v>
      </c>
    </row>
    <row r="3743" spans="11:11" x14ac:dyDescent="0.35">
      <c r="K3743" s="110" t="str">
        <v>INV-2611-0114</v>
      </c>
    </row>
    <row r="3744" spans="11:11" x14ac:dyDescent="0.35">
      <c r="K3744" s="110" t="str">
        <v>INV-2611-0115</v>
      </c>
    </row>
    <row r="3745" spans="11:11" x14ac:dyDescent="0.35">
      <c r="K3745" s="110" t="str">
        <v>INV-2611-0116</v>
      </c>
    </row>
    <row r="3746" spans="11:11" x14ac:dyDescent="0.35">
      <c r="K3746" s="110" t="str">
        <v>INV-2611-0117</v>
      </c>
    </row>
    <row r="3747" spans="11:11" x14ac:dyDescent="0.35">
      <c r="K3747" s="110" t="str">
        <v>INV-2611-0118</v>
      </c>
    </row>
    <row r="3748" spans="11:11" x14ac:dyDescent="0.35">
      <c r="K3748" s="110" t="str">
        <v>INV-2611-0119</v>
      </c>
    </row>
    <row r="3749" spans="11:11" x14ac:dyDescent="0.35">
      <c r="K3749" s="110" t="str">
        <v>INV-2611-0120</v>
      </c>
    </row>
    <row r="3750" spans="11:11" x14ac:dyDescent="0.35">
      <c r="K3750" s="110" t="str">
        <v>INV-2611-0121</v>
      </c>
    </row>
    <row r="3751" spans="11:11" x14ac:dyDescent="0.35">
      <c r="K3751" s="110" t="str">
        <v>INV-2611-0122</v>
      </c>
    </row>
    <row r="3752" spans="11:11" x14ac:dyDescent="0.35">
      <c r="K3752" s="110" t="str">
        <v>INV-2611-0123</v>
      </c>
    </row>
    <row r="3753" spans="11:11" x14ac:dyDescent="0.35">
      <c r="K3753" s="110" t="str">
        <v>INV-2611-0124</v>
      </c>
    </row>
    <row r="3754" spans="11:11" x14ac:dyDescent="0.35">
      <c r="K3754" s="110" t="str">
        <v>INV-2611-0125</v>
      </c>
    </row>
    <row r="3755" spans="11:11" x14ac:dyDescent="0.35">
      <c r="K3755" s="110" t="str">
        <v>INV-2611-0126</v>
      </c>
    </row>
    <row r="3756" spans="11:11" x14ac:dyDescent="0.35">
      <c r="K3756" s="110" t="str">
        <v>INV-2611-0127</v>
      </c>
    </row>
    <row r="3757" spans="11:11" x14ac:dyDescent="0.35">
      <c r="K3757" s="110" t="str">
        <v>INV-2611-0128</v>
      </c>
    </row>
    <row r="3758" spans="11:11" x14ac:dyDescent="0.35">
      <c r="K3758" s="110" t="str">
        <v>INV-2611-0129</v>
      </c>
    </row>
    <row r="3759" spans="11:11" x14ac:dyDescent="0.35">
      <c r="K3759" s="110" t="str">
        <v>INV-2611-0130</v>
      </c>
    </row>
    <row r="3760" spans="11:11" x14ac:dyDescent="0.35">
      <c r="K3760" s="110" t="str">
        <v>INV-2611-0131</v>
      </c>
    </row>
    <row r="3761" spans="11:11" x14ac:dyDescent="0.35">
      <c r="K3761" s="110" t="str">
        <v>INV-2611-0132</v>
      </c>
    </row>
    <row r="3762" spans="11:11" x14ac:dyDescent="0.35">
      <c r="K3762" s="110" t="str">
        <v>INV-2611-0133</v>
      </c>
    </row>
    <row r="3763" spans="11:11" x14ac:dyDescent="0.35">
      <c r="K3763" s="110" t="str">
        <v>INV-2611-0134</v>
      </c>
    </row>
    <row r="3764" spans="11:11" x14ac:dyDescent="0.35">
      <c r="K3764" s="110" t="str">
        <v>INV-2611-0135</v>
      </c>
    </row>
    <row r="3765" spans="11:11" x14ac:dyDescent="0.35">
      <c r="K3765" s="110" t="str">
        <v>INV-2611-0136</v>
      </c>
    </row>
    <row r="3766" spans="11:11" x14ac:dyDescent="0.35">
      <c r="K3766" s="110" t="str">
        <v>INV-2611-0137</v>
      </c>
    </row>
    <row r="3767" spans="11:11" x14ac:dyDescent="0.35">
      <c r="K3767" s="110" t="str">
        <v>INV-2611-0138</v>
      </c>
    </row>
    <row r="3768" spans="11:11" x14ac:dyDescent="0.35">
      <c r="K3768" s="110" t="str">
        <v>INV-2611-0139</v>
      </c>
    </row>
    <row r="3769" spans="11:11" x14ac:dyDescent="0.35">
      <c r="K3769" s="110" t="str">
        <v>INV-2611-0140</v>
      </c>
    </row>
    <row r="3770" spans="11:11" x14ac:dyDescent="0.35">
      <c r="K3770" s="110" t="str">
        <v>INV-2611-0141</v>
      </c>
    </row>
    <row r="3771" spans="11:11" x14ac:dyDescent="0.35">
      <c r="K3771" s="110" t="str">
        <v>INV-2611-0142</v>
      </c>
    </row>
    <row r="3772" spans="11:11" x14ac:dyDescent="0.35">
      <c r="K3772" s="110" t="str">
        <v>INV-2611-0143</v>
      </c>
    </row>
    <row r="3773" spans="11:11" x14ac:dyDescent="0.35">
      <c r="K3773" s="110" t="str">
        <v>INV-2611-0144</v>
      </c>
    </row>
    <row r="3774" spans="11:11" x14ac:dyDescent="0.35">
      <c r="K3774" s="110" t="str">
        <v>INV-2611-0145</v>
      </c>
    </row>
    <row r="3775" spans="11:11" x14ac:dyDescent="0.35">
      <c r="K3775" s="110" t="str">
        <v>INV-2611-0146</v>
      </c>
    </row>
    <row r="3776" spans="11:11" x14ac:dyDescent="0.35">
      <c r="K3776" s="110" t="str">
        <v>INV-2611-0147</v>
      </c>
    </row>
    <row r="3777" spans="11:11" x14ac:dyDescent="0.35">
      <c r="K3777" s="110" t="str">
        <v>INV-2611-0148</v>
      </c>
    </row>
    <row r="3778" spans="11:11" x14ac:dyDescent="0.35">
      <c r="K3778" s="110" t="str">
        <v>INV-2611-0149</v>
      </c>
    </row>
    <row r="3779" spans="11:11" x14ac:dyDescent="0.35">
      <c r="K3779" s="110" t="str">
        <v>INV-2611-0150</v>
      </c>
    </row>
    <row r="3780" spans="11:11" x14ac:dyDescent="0.35">
      <c r="K3780" s="110" t="str">
        <v>INV-2611-0151</v>
      </c>
    </row>
    <row r="3781" spans="11:11" x14ac:dyDescent="0.35">
      <c r="K3781" s="110" t="str">
        <v>INV-2611-0152</v>
      </c>
    </row>
    <row r="3782" spans="11:11" x14ac:dyDescent="0.35">
      <c r="K3782" s="110" t="str">
        <v>INV-2611-0153</v>
      </c>
    </row>
    <row r="3783" spans="11:11" x14ac:dyDescent="0.35">
      <c r="K3783" s="110" t="str">
        <v>INV-2611-0154</v>
      </c>
    </row>
    <row r="3784" spans="11:11" x14ac:dyDescent="0.35">
      <c r="K3784" s="110" t="str">
        <v>INV-2611-0155</v>
      </c>
    </row>
    <row r="3785" spans="11:11" x14ac:dyDescent="0.35">
      <c r="K3785" s="110" t="str">
        <v>INV-2611-0156</v>
      </c>
    </row>
    <row r="3786" spans="11:11" x14ac:dyDescent="0.35">
      <c r="K3786" s="110" t="str">
        <v>INV-2611-0157</v>
      </c>
    </row>
    <row r="3787" spans="11:11" x14ac:dyDescent="0.35">
      <c r="K3787" s="110" t="str">
        <v>INV-2611-0158</v>
      </c>
    </row>
    <row r="3788" spans="11:11" x14ac:dyDescent="0.35">
      <c r="K3788" s="110" t="str">
        <v>INV-2611-0159</v>
      </c>
    </row>
    <row r="3789" spans="11:11" x14ac:dyDescent="0.35">
      <c r="K3789" s="110" t="str">
        <v>INV-2611-0160</v>
      </c>
    </row>
    <row r="3790" spans="11:11" x14ac:dyDescent="0.35">
      <c r="K3790" s="110" t="str">
        <v>INV-2611-0161</v>
      </c>
    </row>
    <row r="3791" spans="11:11" x14ac:dyDescent="0.35">
      <c r="K3791" s="110" t="str">
        <v>INV-2611-0162</v>
      </c>
    </row>
    <row r="3792" spans="11:11" x14ac:dyDescent="0.35">
      <c r="K3792" s="110" t="str">
        <v>INV-2611-0163</v>
      </c>
    </row>
    <row r="3793" spans="11:11" x14ac:dyDescent="0.35">
      <c r="K3793" s="110" t="str">
        <v>INV-2611-0164</v>
      </c>
    </row>
    <row r="3794" spans="11:11" x14ac:dyDescent="0.35">
      <c r="K3794" s="110" t="str">
        <v>INV-2611-0165</v>
      </c>
    </row>
    <row r="3795" spans="11:11" x14ac:dyDescent="0.35">
      <c r="K3795" s="110" t="str">
        <v>INV-2611-0166</v>
      </c>
    </row>
    <row r="3796" spans="11:11" x14ac:dyDescent="0.35">
      <c r="K3796" s="110" t="str">
        <v>INV-2611-0167</v>
      </c>
    </row>
    <row r="3797" spans="11:11" x14ac:dyDescent="0.35">
      <c r="K3797" s="110" t="str">
        <v>INV-2611-0168</v>
      </c>
    </row>
    <row r="3798" spans="11:11" x14ac:dyDescent="0.35">
      <c r="K3798" s="110" t="str">
        <v>INV-2611-0169</v>
      </c>
    </row>
    <row r="3799" spans="11:11" x14ac:dyDescent="0.35">
      <c r="K3799" s="110" t="str">
        <v>INV-2611-0170</v>
      </c>
    </row>
    <row r="3800" spans="11:11" x14ac:dyDescent="0.35">
      <c r="K3800" s="110" t="str">
        <v>INV-2611-0171</v>
      </c>
    </row>
    <row r="3801" spans="11:11" x14ac:dyDescent="0.35">
      <c r="K3801" s="110" t="str">
        <v>INV-2611-0172</v>
      </c>
    </row>
    <row r="3802" spans="11:11" x14ac:dyDescent="0.35">
      <c r="K3802" s="110" t="str">
        <v>INV-2611-0173</v>
      </c>
    </row>
    <row r="3803" spans="11:11" x14ac:dyDescent="0.35">
      <c r="K3803" s="110" t="str">
        <v>INV-2611-0174</v>
      </c>
    </row>
    <row r="3804" spans="11:11" x14ac:dyDescent="0.35">
      <c r="K3804" s="110" t="str">
        <v>INV-2611-0175</v>
      </c>
    </row>
    <row r="3805" spans="11:11" x14ac:dyDescent="0.35">
      <c r="K3805" s="110" t="str">
        <v>INV-2611-0176</v>
      </c>
    </row>
    <row r="3806" spans="11:11" x14ac:dyDescent="0.35">
      <c r="K3806" s="110" t="str">
        <v>INV-2611-0177</v>
      </c>
    </row>
    <row r="3807" spans="11:11" x14ac:dyDescent="0.35">
      <c r="K3807" s="110" t="str">
        <v>INV-2611-0178</v>
      </c>
    </row>
    <row r="3808" spans="11:11" x14ac:dyDescent="0.35">
      <c r="K3808" s="110" t="str">
        <v>INV-2611-0179</v>
      </c>
    </row>
    <row r="3809" spans="11:11" x14ac:dyDescent="0.35">
      <c r="K3809" s="110" t="str">
        <v>INV-2611-0180</v>
      </c>
    </row>
    <row r="3810" spans="11:11" x14ac:dyDescent="0.35">
      <c r="K3810" s="110" t="str">
        <v>INV-2611-0181</v>
      </c>
    </row>
    <row r="3811" spans="11:11" x14ac:dyDescent="0.35">
      <c r="K3811" s="110" t="str">
        <v>INV-2611-0182</v>
      </c>
    </row>
    <row r="3812" spans="11:11" x14ac:dyDescent="0.35">
      <c r="K3812" s="110" t="str">
        <v>INV-2611-0183</v>
      </c>
    </row>
    <row r="3813" spans="11:11" x14ac:dyDescent="0.35">
      <c r="K3813" s="110" t="str">
        <v>INV-2611-0184</v>
      </c>
    </row>
    <row r="3814" spans="11:11" x14ac:dyDescent="0.35">
      <c r="K3814" s="110" t="str">
        <v>INV-2611-0185</v>
      </c>
    </row>
    <row r="3815" spans="11:11" x14ac:dyDescent="0.35">
      <c r="K3815" s="110" t="str">
        <v>INV-2611-0186</v>
      </c>
    </row>
    <row r="3816" spans="11:11" x14ac:dyDescent="0.35">
      <c r="K3816" s="110" t="str">
        <v>INV-2611-0187</v>
      </c>
    </row>
    <row r="3817" spans="11:11" x14ac:dyDescent="0.35">
      <c r="K3817" s="110" t="str">
        <v>INV-2611-0188</v>
      </c>
    </row>
    <row r="3818" spans="11:11" x14ac:dyDescent="0.35">
      <c r="K3818" s="110" t="str">
        <v>INV-2611-0189</v>
      </c>
    </row>
    <row r="3819" spans="11:11" x14ac:dyDescent="0.35">
      <c r="K3819" s="110" t="str">
        <v>INV-2611-0190</v>
      </c>
    </row>
    <row r="3820" spans="11:11" x14ac:dyDescent="0.35">
      <c r="K3820" s="110" t="str">
        <v>INV-2611-0191</v>
      </c>
    </row>
    <row r="3821" spans="11:11" x14ac:dyDescent="0.35">
      <c r="K3821" s="110" t="str">
        <v>INV-2611-0192</v>
      </c>
    </row>
    <row r="3822" spans="11:11" x14ac:dyDescent="0.35">
      <c r="K3822" s="110" t="str">
        <v>INV-2611-0193</v>
      </c>
    </row>
    <row r="3823" spans="11:11" x14ac:dyDescent="0.35">
      <c r="K3823" s="110" t="str">
        <v>INV-2611-0194</v>
      </c>
    </row>
    <row r="3824" spans="11:11" x14ac:dyDescent="0.35">
      <c r="K3824" s="110" t="str">
        <v>INV-2611-0195</v>
      </c>
    </row>
    <row r="3825" spans="11:11" x14ac:dyDescent="0.35">
      <c r="K3825" s="110" t="str">
        <v>INV-2611-0196</v>
      </c>
    </row>
    <row r="3826" spans="11:11" x14ac:dyDescent="0.35">
      <c r="K3826" s="110" t="str">
        <v>INV-2611-0197</v>
      </c>
    </row>
    <row r="3827" spans="11:11" x14ac:dyDescent="0.35">
      <c r="K3827" s="110" t="str">
        <v>INV-2611-0198</v>
      </c>
    </row>
    <row r="3828" spans="11:11" x14ac:dyDescent="0.35">
      <c r="K3828" s="110" t="str">
        <v>INV-2611-0199</v>
      </c>
    </row>
    <row r="3829" spans="11:11" x14ac:dyDescent="0.35">
      <c r="K3829" s="110" t="str">
        <v>INV-2611-0200</v>
      </c>
    </row>
    <row r="3830" spans="11:11" x14ac:dyDescent="0.35">
      <c r="K3830" s="110" t="str">
        <v>INV-2611-0201</v>
      </c>
    </row>
    <row r="3831" spans="11:11" x14ac:dyDescent="0.35">
      <c r="K3831" s="110" t="str">
        <v>INV-2611-0202</v>
      </c>
    </row>
    <row r="3832" spans="11:11" x14ac:dyDescent="0.35">
      <c r="K3832" s="110" t="str">
        <v>INV-2611-0203</v>
      </c>
    </row>
    <row r="3833" spans="11:11" x14ac:dyDescent="0.35">
      <c r="K3833" s="110" t="str">
        <v>INV-2611-0204</v>
      </c>
    </row>
    <row r="3834" spans="11:11" x14ac:dyDescent="0.35">
      <c r="K3834" s="110" t="str">
        <v>INV-2611-0205</v>
      </c>
    </row>
    <row r="3835" spans="11:11" x14ac:dyDescent="0.35">
      <c r="K3835" s="110" t="str">
        <v>INV-2611-0206</v>
      </c>
    </row>
    <row r="3836" spans="11:11" x14ac:dyDescent="0.35">
      <c r="K3836" s="110" t="str">
        <v>INV-2611-0207</v>
      </c>
    </row>
    <row r="3837" spans="11:11" x14ac:dyDescent="0.35">
      <c r="K3837" s="110" t="str">
        <v>INV-2611-0208</v>
      </c>
    </row>
    <row r="3838" spans="11:11" x14ac:dyDescent="0.35">
      <c r="K3838" s="110" t="str">
        <v>INV-2611-0209</v>
      </c>
    </row>
    <row r="3839" spans="11:11" x14ac:dyDescent="0.35">
      <c r="K3839" s="110" t="str">
        <v>INV-2611-0210</v>
      </c>
    </row>
    <row r="3840" spans="11:11" x14ac:dyDescent="0.35">
      <c r="K3840" s="110" t="str">
        <v>INV-2611-0211</v>
      </c>
    </row>
    <row r="3841" spans="11:11" x14ac:dyDescent="0.35">
      <c r="K3841" s="110" t="str">
        <v>INV-2611-0212</v>
      </c>
    </row>
    <row r="3842" spans="11:11" x14ac:dyDescent="0.35">
      <c r="K3842" s="110" t="str">
        <v>INV-2611-0213</v>
      </c>
    </row>
    <row r="3843" spans="11:11" x14ac:dyDescent="0.35">
      <c r="K3843" s="110" t="str">
        <v>INV-2611-0214</v>
      </c>
    </row>
    <row r="3844" spans="11:11" x14ac:dyDescent="0.35">
      <c r="K3844" s="110" t="str">
        <v>INV-2611-0215</v>
      </c>
    </row>
    <row r="3845" spans="11:11" x14ac:dyDescent="0.35">
      <c r="K3845" s="110" t="str">
        <v>INV-2611-0216</v>
      </c>
    </row>
    <row r="3846" spans="11:11" x14ac:dyDescent="0.35">
      <c r="K3846" s="110" t="str">
        <v>INV-2611-0217</v>
      </c>
    </row>
    <row r="3847" spans="11:11" x14ac:dyDescent="0.35">
      <c r="K3847" s="110" t="str">
        <v>INV-2611-0218</v>
      </c>
    </row>
    <row r="3848" spans="11:11" x14ac:dyDescent="0.35">
      <c r="K3848" s="110" t="str">
        <v>INV-2611-0219</v>
      </c>
    </row>
    <row r="3849" spans="11:11" x14ac:dyDescent="0.35">
      <c r="K3849" s="110" t="str">
        <v>INV-2611-0220</v>
      </c>
    </row>
    <row r="3850" spans="11:11" x14ac:dyDescent="0.35">
      <c r="K3850" s="110" t="str">
        <v>INV-2611-0221</v>
      </c>
    </row>
    <row r="3851" spans="11:11" x14ac:dyDescent="0.35">
      <c r="K3851" s="110" t="str">
        <v>INV-2611-0222</v>
      </c>
    </row>
    <row r="3852" spans="11:11" x14ac:dyDescent="0.35">
      <c r="K3852" s="110" t="str">
        <v>INV-2611-0223</v>
      </c>
    </row>
    <row r="3853" spans="11:11" x14ac:dyDescent="0.35">
      <c r="K3853" s="110" t="str">
        <v>INV-2611-0224</v>
      </c>
    </row>
    <row r="3854" spans="11:11" x14ac:dyDescent="0.35">
      <c r="K3854" s="110" t="str">
        <v>INV-2611-0225</v>
      </c>
    </row>
    <row r="3855" spans="11:11" x14ac:dyDescent="0.35">
      <c r="K3855" s="110" t="str">
        <v>INV-2611-0226</v>
      </c>
    </row>
    <row r="3856" spans="11:11" x14ac:dyDescent="0.35">
      <c r="K3856" s="110" t="str">
        <v>INV-2611-0227</v>
      </c>
    </row>
    <row r="3857" spans="11:11" x14ac:dyDescent="0.35">
      <c r="K3857" s="110" t="str">
        <v>INV-2611-0228</v>
      </c>
    </row>
    <row r="3858" spans="11:11" x14ac:dyDescent="0.35">
      <c r="K3858" s="110" t="str">
        <v>INV-2611-0229</v>
      </c>
    </row>
    <row r="3859" spans="11:11" x14ac:dyDescent="0.35">
      <c r="K3859" s="110" t="str">
        <v>INV-2611-0230</v>
      </c>
    </row>
    <row r="3860" spans="11:11" x14ac:dyDescent="0.35">
      <c r="K3860" s="110" t="str">
        <v>INV-2611-0231</v>
      </c>
    </row>
    <row r="3861" spans="11:11" x14ac:dyDescent="0.35">
      <c r="K3861" s="110" t="str">
        <v>INV-2611-0232</v>
      </c>
    </row>
    <row r="3862" spans="11:11" x14ac:dyDescent="0.35">
      <c r="K3862" s="110" t="str">
        <v>INV-2611-0233</v>
      </c>
    </row>
    <row r="3863" spans="11:11" x14ac:dyDescent="0.35">
      <c r="K3863" s="110" t="str">
        <v>INV-2611-0234</v>
      </c>
    </row>
    <row r="3864" spans="11:11" x14ac:dyDescent="0.35">
      <c r="K3864" s="110" t="str">
        <v>INV-2611-0235</v>
      </c>
    </row>
    <row r="3865" spans="11:11" x14ac:dyDescent="0.35">
      <c r="K3865" s="110" t="str">
        <v>INV-2611-0236</v>
      </c>
    </row>
    <row r="3866" spans="11:11" x14ac:dyDescent="0.35">
      <c r="K3866" s="110" t="str">
        <v>INV-2611-0237</v>
      </c>
    </row>
    <row r="3867" spans="11:11" x14ac:dyDescent="0.35">
      <c r="K3867" s="110" t="str">
        <v>INV-2611-0238</v>
      </c>
    </row>
    <row r="3868" spans="11:11" x14ac:dyDescent="0.35">
      <c r="K3868" s="110" t="str">
        <v>INV-2611-0239</v>
      </c>
    </row>
    <row r="3869" spans="11:11" x14ac:dyDescent="0.35">
      <c r="K3869" s="110" t="str">
        <v>INV-2611-0240</v>
      </c>
    </row>
    <row r="3870" spans="11:11" x14ac:dyDescent="0.35">
      <c r="K3870" s="110" t="str">
        <v>INV-2611-0241</v>
      </c>
    </row>
    <row r="3871" spans="11:11" x14ac:dyDescent="0.35">
      <c r="K3871" s="110" t="str">
        <v>INV-2611-0242</v>
      </c>
    </row>
    <row r="3872" spans="11:11" x14ac:dyDescent="0.35">
      <c r="K3872" s="110" t="str">
        <v>INV-2611-0243</v>
      </c>
    </row>
    <row r="3873" spans="11:11" x14ac:dyDescent="0.35">
      <c r="K3873" s="110" t="str">
        <v>INV-2611-0244</v>
      </c>
    </row>
    <row r="3874" spans="11:11" x14ac:dyDescent="0.35">
      <c r="K3874" s="110" t="str">
        <v>INV-2611-0245</v>
      </c>
    </row>
    <row r="3875" spans="11:11" x14ac:dyDescent="0.35">
      <c r="K3875" s="110" t="str">
        <v>INV-2611-0246</v>
      </c>
    </row>
    <row r="3876" spans="11:11" x14ac:dyDescent="0.35">
      <c r="K3876" s="110" t="str">
        <v>INV-2611-0247</v>
      </c>
    </row>
    <row r="3877" spans="11:11" x14ac:dyDescent="0.35">
      <c r="K3877" s="110" t="str">
        <v>INV-2611-0248</v>
      </c>
    </row>
    <row r="3878" spans="11:11" x14ac:dyDescent="0.35">
      <c r="K3878" s="110" t="str">
        <v>INV-2611-0249</v>
      </c>
    </row>
    <row r="3879" spans="11:11" x14ac:dyDescent="0.35">
      <c r="K3879" s="110" t="str">
        <v>INV-2611-0250</v>
      </c>
    </row>
    <row r="3880" spans="11:11" x14ac:dyDescent="0.35">
      <c r="K3880" s="110" t="str">
        <v>INV-2611-0251</v>
      </c>
    </row>
    <row r="3881" spans="11:11" x14ac:dyDescent="0.35">
      <c r="K3881" s="110" t="str">
        <v>INV-2611-0252</v>
      </c>
    </row>
    <row r="3882" spans="11:11" x14ac:dyDescent="0.35">
      <c r="K3882" s="110" t="str">
        <v>INV-2611-0253</v>
      </c>
    </row>
    <row r="3883" spans="11:11" x14ac:dyDescent="0.35">
      <c r="K3883" s="110" t="str">
        <v>INV-2611-0254</v>
      </c>
    </row>
    <row r="3884" spans="11:11" x14ac:dyDescent="0.35">
      <c r="K3884" s="110" t="str">
        <v>INV-2611-0255</v>
      </c>
    </row>
    <row r="3885" spans="11:11" x14ac:dyDescent="0.35">
      <c r="K3885" s="110" t="str">
        <v>INV-2611-0256</v>
      </c>
    </row>
    <row r="3886" spans="11:11" x14ac:dyDescent="0.35">
      <c r="K3886" s="110" t="str">
        <v>INV-2611-0257</v>
      </c>
    </row>
    <row r="3887" spans="11:11" x14ac:dyDescent="0.35">
      <c r="K3887" s="110" t="str">
        <v>INV-2611-0258</v>
      </c>
    </row>
    <row r="3888" spans="11:11" x14ac:dyDescent="0.35">
      <c r="K3888" s="110" t="str">
        <v>INV-2611-0259</v>
      </c>
    </row>
    <row r="3889" spans="11:11" x14ac:dyDescent="0.35">
      <c r="K3889" s="110" t="str">
        <v>INV-2611-0260</v>
      </c>
    </row>
    <row r="3890" spans="11:11" x14ac:dyDescent="0.35">
      <c r="K3890" s="110" t="str">
        <v>INV-2611-0261</v>
      </c>
    </row>
    <row r="3891" spans="11:11" x14ac:dyDescent="0.35">
      <c r="K3891" s="110" t="str">
        <v>INV-2611-0262</v>
      </c>
    </row>
    <row r="3892" spans="11:11" x14ac:dyDescent="0.35">
      <c r="K3892" s="110" t="str">
        <v>INV-2611-0263</v>
      </c>
    </row>
    <row r="3893" spans="11:11" x14ac:dyDescent="0.35">
      <c r="K3893" s="110" t="str">
        <v>INV-2611-0264</v>
      </c>
    </row>
    <row r="3894" spans="11:11" x14ac:dyDescent="0.35">
      <c r="K3894" s="110" t="str">
        <v>INV-2611-0265</v>
      </c>
    </row>
    <row r="3895" spans="11:11" x14ac:dyDescent="0.35">
      <c r="K3895" s="110" t="str">
        <v>INV-2611-0266</v>
      </c>
    </row>
    <row r="3896" spans="11:11" x14ac:dyDescent="0.35">
      <c r="K3896" s="110" t="str">
        <v>INV-2611-0267</v>
      </c>
    </row>
    <row r="3897" spans="11:11" x14ac:dyDescent="0.35">
      <c r="K3897" s="110" t="str">
        <v>INV-2611-0268</v>
      </c>
    </row>
    <row r="3898" spans="11:11" x14ac:dyDescent="0.35">
      <c r="K3898" s="110" t="str">
        <v>INV-2611-0269</v>
      </c>
    </row>
    <row r="3899" spans="11:11" x14ac:dyDescent="0.35">
      <c r="K3899" s="110" t="str">
        <v>INV-2611-0270</v>
      </c>
    </row>
    <row r="3900" spans="11:11" x14ac:dyDescent="0.35">
      <c r="K3900" s="110" t="str">
        <v>INV-2611-0271</v>
      </c>
    </row>
    <row r="3901" spans="11:11" x14ac:dyDescent="0.35">
      <c r="K3901" s="110" t="str">
        <v>INV-2611-0272</v>
      </c>
    </row>
    <row r="3902" spans="11:11" x14ac:dyDescent="0.35">
      <c r="K3902" s="110" t="str">
        <v>INV-2611-0273</v>
      </c>
    </row>
    <row r="3903" spans="11:11" x14ac:dyDescent="0.35">
      <c r="K3903" s="110" t="str">
        <v>INV-2611-0274</v>
      </c>
    </row>
    <row r="3904" spans="11:11" x14ac:dyDescent="0.35">
      <c r="K3904" s="110" t="str">
        <v>INV-2611-0275</v>
      </c>
    </row>
    <row r="3905" spans="11:11" x14ac:dyDescent="0.35">
      <c r="K3905" s="110" t="str">
        <v>INV-2611-0276</v>
      </c>
    </row>
    <row r="3906" spans="11:11" x14ac:dyDescent="0.35">
      <c r="K3906" s="110" t="str">
        <v>INV-2611-0277</v>
      </c>
    </row>
    <row r="3907" spans="11:11" x14ac:dyDescent="0.35">
      <c r="K3907" s="110" t="str">
        <v>INV-2611-0278</v>
      </c>
    </row>
    <row r="3908" spans="11:11" x14ac:dyDescent="0.35">
      <c r="K3908" s="110" t="str">
        <v>INV-2611-0279</v>
      </c>
    </row>
    <row r="3909" spans="11:11" x14ac:dyDescent="0.35">
      <c r="K3909" s="110" t="str">
        <v>INV-2611-0280</v>
      </c>
    </row>
    <row r="3910" spans="11:11" x14ac:dyDescent="0.35">
      <c r="K3910" s="110" t="str">
        <v>INV-2611-0281</v>
      </c>
    </row>
    <row r="3911" spans="11:11" x14ac:dyDescent="0.35">
      <c r="K3911" s="110" t="str">
        <v>INV-2611-0282</v>
      </c>
    </row>
    <row r="3912" spans="11:11" x14ac:dyDescent="0.35">
      <c r="K3912" s="110" t="str">
        <v>INV-2611-0283</v>
      </c>
    </row>
    <row r="3913" spans="11:11" x14ac:dyDescent="0.35">
      <c r="K3913" s="110" t="str">
        <v>INV-2611-0284</v>
      </c>
    </row>
    <row r="3914" spans="11:11" x14ac:dyDescent="0.35">
      <c r="K3914" s="110" t="str">
        <v>INV-2611-0285</v>
      </c>
    </row>
    <row r="3915" spans="11:11" x14ac:dyDescent="0.35">
      <c r="K3915" s="110" t="str">
        <v>INV-2611-0286</v>
      </c>
    </row>
    <row r="3916" spans="11:11" x14ac:dyDescent="0.35">
      <c r="K3916" s="110" t="str">
        <v>INV-2611-0287</v>
      </c>
    </row>
    <row r="3917" spans="11:11" x14ac:dyDescent="0.35">
      <c r="K3917" s="110" t="str">
        <v>INV-2611-0288</v>
      </c>
    </row>
    <row r="3918" spans="11:11" x14ac:dyDescent="0.35">
      <c r="K3918" s="110" t="str">
        <v>INV-2611-0289</v>
      </c>
    </row>
    <row r="3919" spans="11:11" x14ac:dyDescent="0.35">
      <c r="K3919" s="110" t="str">
        <v>INV-2611-0290</v>
      </c>
    </row>
    <row r="3920" spans="11:11" x14ac:dyDescent="0.35">
      <c r="K3920" s="110" t="str">
        <v>INV-2611-0291</v>
      </c>
    </row>
    <row r="3921" spans="11:11" x14ac:dyDescent="0.35">
      <c r="K3921" s="110" t="str">
        <v>INV-2611-0292</v>
      </c>
    </row>
    <row r="3922" spans="11:11" x14ac:dyDescent="0.35">
      <c r="K3922" s="110" t="str">
        <v>INV-2611-0293</v>
      </c>
    </row>
    <row r="3923" spans="11:11" x14ac:dyDescent="0.35">
      <c r="K3923" s="110" t="str">
        <v>INV-2611-0294</v>
      </c>
    </row>
    <row r="3924" spans="11:11" x14ac:dyDescent="0.35">
      <c r="K3924" s="110" t="str">
        <v>INV-2611-0295</v>
      </c>
    </row>
    <row r="3925" spans="11:11" x14ac:dyDescent="0.35">
      <c r="K3925" s="110" t="str">
        <v>INV-2611-0296</v>
      </c>
    </row>
    <row r="3926" spans="11:11" x14ac:dyDescent="0.35">
      <c r="K3926" s="110" t="str">
        <v>INV-2611-0297</v>
      </c>
    </row>
    <row r="3927" spans="11:11" x14ac:dyDescent="0.35">
      <c r="K3927" s="110" t="str">
        <v>INV-2611-0298</v>
      </c>
    </row>
    <row r="3928" spans="11:11" x14ac:dyDescent="0.35">
      <c r="K3928" s="110" t="str">
        <v>INV-2611-0299</v>
      </c>
    </row>
    <row r="3929" spans="11:11" x14ac:dyDescent="0.35">
      <c r="K3929" s="110" t="str">
        <v>INV-2611-0300</v>
      </c>
    </row>
    <row r="3930" spans="11:11" x14ac:dyDescent="0.35">
      <c r="K3930" s="110" t="str">
        <v>INV-2611-0301</v>
      </c>
    </row>
    <row r="3931" spans="11:11" x14ac:dyDescent="0.35">
      <c r="K3931" s="110" t="str">
        <v>INV-2611-0302</v>
      </c>
    </row>
    <row r="3932" spans="11:11" x14ac:dyDescent="0.35">
      <c r="K3932" s="110" t="str">
        <v>INV-2611-0303</v>
      </c>
    </row>
    <row r="3933" spans="11:11" x14ac:dyDescent="0.35">
      <c r="K3933" s="110" t="str">
        <v>INV-2611-0304</v>
      </c>
    </row>
    <row r="3934" spans="11:11" x14ac:dyDescent="0.35">
      <c r="K3934" s="110" t="str">
        <v>INV-2611-0305</v>
      </c>
    </row>
    <row r="3935" spans="11:11" x14ac:dyDescent="0.35">
      <c r="K3935" s="110" t="str">
        <v>INV-2611-0306</v>
      </c>
    </row>
    <row r="3936" spans="11:11" x14ac:dyDescent="0.35">
      <c r="K3936" s="110" t="str">
        <v>INV-2611-0307</v>
      </c>
    </row>
    <row r="3937" spans="11:11" x14ac:dyDescent="0.35">
      <c r="K3937" s="110" t="str">
        <v>INV-2611-0308</v>
      </c>
    </row>
    <row r="3938" spans="11:11" x14ac:dyDescent="0.35">
      <c r="K3938" s="110" t="str">
        <v>INV-2611-0309</v>
      </c>
    </row>
    <row r="3939" spans="11:11" x14ac:dyDescent="0.35">
      <c r="K3939" s="110" t="str">
        <v>INV-2611-0310</v>
      </c>
    </row>
    <row r="3940" spans="11:11" x14ac:dyDescent="0.35">
      <c r="K3940" s="110" t="str">
        <v>INV-2611-0311</v>
      </c>
    </row>
    <row r="3941" spans="11:11" x14ac:dyDescent="0.35">
      <c r="K3941" s="110" t="str">
        <v>INV-2611-0312</v>
      </c>
    </row>
    <row r="3942" spans="11:11" x14ac:dyDescent="0.35">
      <c r="K3942" s="110" t="str">
        <v>INV-2611-0313</v>
      </c>
    </row>
    <row r="3943" spans="11:11" x14ac:dyDescent="0.35">
      <c r="K3943" s="110" t="str">
        <v>INV-2611-0314</v>
      </c>
    </row>
    <row r="3944" spans="11:11" x14ac:dyDescent="0.35">
      <c r="K3944" s="110" t="str">
        <v>INV-2611-0315</v>
      </c>
    </row>
    <row r="3945" spans="11:11" x14ac:dyDescent="0.35">
      <c r="K3945" s="110" t="str">
        <v>INV-2611-0316</v>
      </c>
    </row>
    <row r="3946" spans="11:11" x14ac:dyDescent="0.35">
      <c r="K3946" s="110" t="str">
        <v>INV-2611-0317</v>
      </c>
    </row>
    <row r="3947" spans="11:11" x14ac:dyDescent="0.35">
      <c r="K3947" s="110" t="str">
        <v>INV-2611-0318</v>
      </c>
    </row>
    <row r="3948" spans="11:11" x14ac:dyDescent="0.35">
      <c r="K3948" s="110" t="str">
        <v>INV-2611-0319</v>
      </c>
    </row>
    <row r="3949" spans="11:11" x14ac:dyDescent="0.35">
      <c r="K3949" s="110" t="str">
        <v>INV-2611-0320</v>
      </c>
    </row>
    <row r="3950" spans="11:11" x14ac:dyDescent="0.35">
      <c r="K3950" s="110" t="str">
        <v>INV-2611-0321</v>
      </c>
    </row>
    <row r="3951" spans="11:11" x14ac:dyDescent="0.35">
      <c r="K3951" s="110" t="str">
        <v>INV-2611-0322</v>
      </c>
    </row>
    <row r="3952" spans="11:11" x14ac:dyDescent="0.35">
      <c r="K3952" s="110" t="str">
        <v>INV-2611-0323</v>
      </c>
    </row>
    <row r="3953" spans="11:11" x14ac:dyDescent="0.35">
      <c r="K3953" s="110" t="str">
        <v>INV-2611-0324</v>
      </c>
    </row>
    <row r="3954" spans="11:11" x14ac:dyDescent="0.35">
      <c r="K3954" s="110" t="str">
        <v>INV-2611-0325</v>
      </c>
    </row>
    <row r="3955" spans="11:11" x14ac:dyDescent="0.35">
      <c r="K3955" s="110" t="str">
        <v>INV-2611-0326</v>
      </c>
    </row>
    <row r="3956" spans="11:11" x14ac:dyDescent="0.35">
      <c r="K3956" s="110" t="str">
        <v>INV-2611-0327</v>
      </c>
    </row>
    <row r="3957" spans="11:11" x14ac:dyDescent="0.35">
      <c r="K3957" s="110" t="str">
        <v>INV-2611-0328</v>
      </c>
    </row>
    <row r="3958" spans="11:11" x14ac:dyDescent="0.35">
      <c r="K3958" s="110" t="str">
        <v>INV-2611-0329</v>
      </c>
    </row>
    <row r="3959" spans="11:11" x14ac:dyDescent="0.35">
      <c r="K3959" s="110" t="str">
        <v>INV-2611-0330</v>
      </c>
    </row>
    <row r="3960" spans="11:11" x14ac:dyDescent="0.35">
      <c r="K3960" s="110" t="str">
        <v>INV-2611-0331</v>
      </c>
    </row>
    <row r="3961" spans="11:11" x14ac:dyDescent="0.35">
      <c r="K3961" s="110" t="str">
        <v>INV-2611-0332</v>
      </c>
    </row>
    <row r="3962" spans="11:11" x14ac:dyDescent="0.35">
      <c r="K3962" s="110" t="str">
        <v>INV-2611-0333</v>
      </c>
    </row>
    <row r="3963" spans="11:11" x14ac:dyDescent="0.35">
      <c r="K3963" s="110" t="str">
        <v>INV-2611-0334</v>
      </c>
    </row>
    <row r="3964" spans="11:11" x14ac:dyDescent="0.35">
      <c r="K3964" s="110" t="str">
        <v>INV-2611-0335</v>
      </c>
    </row>
    <row r="3965" spans="11:11" x14ac:dyDescent="0.35">
      <c r="K3965" s="110" t="str">
        <v>INV-2611-0336</v>
      </c>
    </row>
    <row r="3966" spans="11:11" x14ac:dyDescent="0.35">
      <c r="K3966" s="110" t="str">
        <v>INV-2611-0337</v>
      </c>
    </row>
    <row r="3967" spans="11:11" x14ac:dyDescent="0.35">
      <c r="K3967" s="110" t="str">
        <v>INV-2611-0338</v>
      </c>
    </row>
    <row r="3968" spans="11:11" x14ac:dyDescent="0.35">
      <c r="K3968" s="110" t="str">
        <v>INV-2611-0339</v>
      </c>
    </row>
    <row r="3969" spans="11:11" x14ac:dyDescent="0.35">
      <c r="K3969" s="110" t="str">
        <v>INV-2611-0340</v>
      </c>
    </row>
    <row r="3970" spans="11:11" x14ac:dyDescent="0.35">
      <c r="K3970" s="110" t="str">
        <v>INV-2611-0341</v>
      </c>
    </row>
    <row r="3971" spans="11:11" x14ac:dyDescent="0.35">
      <c r="K3971" s="110" t="str">
        <v>INV-2611-0342</v>
      </c>
    </row>
    <row r="3972" spans="11:11" x14ac:dyDescent="0.35">
      <c r="K3972" s="110" t="str">
        <v>INV-2611-0343</v>
      </c>
    </row>
    <row r="3973" spans="11:11" x14ac:dyDescent="0.35">
      <c r="K3973" s="110" t="str">
        <v>INV-2611-0344</v>
      </c>
    </row>
    <row r="3974" spans="11:11" x14ac:dyDescent="0.35">
      <c r="K3974" s="110" t="str">
        <v>INV-2611-0345</v>
      </c>
    </row>
    <row r="3975" spans="11:11" x14ac:dyDescent="0.35">
      <c r="K3975" s="110" t="str">
        <v>INV-2611-0346</v>
      </c>
    </row>
    <row r="3976" spans="11:11" x14ac:dyDescent="0.35">
      <c r="K3976" s="110" t="str">
        <v>INV-2611-0347</v>
      </c>
    </row>
    <row r="3977" spans="11:11" x14ac:dyDescent="0.35">
      <c r="K3977" s="110" t="str">
        <v>INV-2611-0348</v>
      </c>
    </row>
    <row r="3978" spans="11:11" x14ac:dyDescent="0.35">
      <c r="K3978" s="110" t="str">
        <v>INV-2611-0349</v>
      </c>
    </row>
    <row r="3979" spans="11:11" x14ac:dyDescent="0.35">
      <c r="K3979" s="110" t="str">
        <v>INV-2611-0350</v>
      </c>
    </row>
    <row r="3980" spans="11:11" x14ac:dyDescent="0.35">
      <c r="K3980" s="110" t="str">
        <v>INV-2611-0351</v>
      </c>
    </row>
    <row r="3981" spans="11:11" x14ac:dyDescent="0.35">
      <c r="K3981" s="110" t="str">
        <v>INV-2611-0352</v>
      </c>
    </row>
    <row r="3982" spans="11:11" x14ac:dyDescent="0.35">
      <c r="K3982" s="110" t="str">
        <v>INV-2611-0353</v>
      </c>
    </row>
    <row r="3983" spans="11:11" x14ac:dyDescent="0.35">
      <c r="K3983" s="110" t="str">
        <v>INV-2611-0354</v>
      </c>
    </row>
    <row r="3984" spans="11:11" x14ac:dyDescent="0.35">
      <c r="K3984" s="110" t="str">
        <v>INV-2611-0355</v>
      </c>
    </row>
    <row r="3985" spans="11:11" x14ac:dyDescent="0.35">
      <c r="K3985" s="110" t="str">
        <v>INV-2611-0356</v>
      </c>
    </row>
    <row r="3986" spans="11:11" x14ac:dyDescent="0.35">
      <c r="K3986" s="110" t="str">
        <v>INV-2611-0357</v>
      </c>
    </row>
    <row r="3987" spans="11:11" x14ac:dyDescent="0.35">
      <c r="K3987" s="110" t="str">
        <v>INV-2611-0358</v>
      </c>
    </row>
    <row r="3988" spans="11:11" x14ac:dyDescent="0.35">
      <c r="K3988" s="110" t="str">
        <v>INV-2611-0359</v>
      </c>
    </row>
    <row r="3989" spans="11:11" x14ac:dyDescent="0.35">
      <c r="K3989" s="110" t="str">
        <v>INV-2611-0360</v>
      </c>
    </row>
    <row r="3990" spans="11:11" x14ac:dyDescent="0.35">
      <c r="K3990" s="110" t="str">
        <v>INV-2611-0361</v>
      </c>
    </row>
    <row r="3991" spans="11:11" x14ac:dyDescent="0.35">
      <c r="K3991" s="110" t="str">
        <v>INV-2611-0362</v>
      </c>
    </row>
    <row r="3992" spans="11:11" x14ac:dyDescent="0.35">
      <c r="K3992" s="110" t="str">
        <v>INV-2611-0363</v>
      </c>
    </row>
    <row r="3993" spans="11:11" x14ac:dyDescent="0.35">
      <c r="K3993" s="110" t="str">
        <v>INV-2611-0364</v>
      </c>
    </row>
    <row r="3994" spans="11:11" x14ac:dyDescent="0.35">
      <c r="K3994" s="110" t="str">
        <v>INV-2611-0365</v>
      </c>
    </row>
    <row r="3995" spans="11:11" x14ac:dyDescent="0.35">
      <c r="K3995" s="110" t="str">
        <v>INV-2611-0366</v>
      </c>
    </row>
    <row r="3996" spans="11:11" x14ac:dyDescent="0.35">
      <c r="K3996" s="110" t="str">
        <v>INV-2611-0367</v>
      </c>
    </row>
    <row r="3997" spans="11:11" x14ac:dyDescent="0.35">
      <c r="K3997" s="110" t="str">
        <v>INV-2611-0368</v>
      </c>
    </row>
    <row r="3998" spans="11:11" x14ac:dyDescent="0.35">
      <c r="K3998" s="110" t="str">
        <v>INV-2611-0369</v>
      </c>
    </row>
    <row r="3999" spans="11:11" x14ac:dyDescent="0.35">
      <c r="K3999" s="110" t="str">
        <v>INV-2611-0370</v>
      </c>
    </row>
    <row r="4000" spans="11:11" x14ac:dyDescent="0.35">
      <c r="K4000" s="110" t="str">
        <v>INV-2611-0371</v>
      </c>
    </row>
    <row r="4001" spans="11:11" x14ac:dyDescent="0.35">
      <c r="K4001" s="110" t="str">
        <v>INV-2612-0001</v>
      </c>
    </row>
    <row r="4002" spans="11:11" x14ac:dyDescent="0.35">
      <c r="K4002" s="110" t="str">
        <v>INV-2612-0002</v>
      </c>
    </row>
    <row r="4003" spans="11:11" x14ac:dyDescent="0.35">
      <c r="K4003" s="110" t="str">
        <v>INV-2612-0003</v>
      </c>
    </row>
    <row r="4004" spans="11:11" x14ac:dyDescent="0.35">
      <c r="K4004" s="110" t="str">
        <v>INV-2612-0004</v>
      </c>
    </row>
    <row r="4005" spans="11:11" x14ac:dyDescent="0.35">
      <c r="K4005" s="110" t="str">
        <v>INV-2612-0005</v>
      </c>
    </row>
    <row r="4006" spans="11:11" x14ac:dyDescent="0.35">
      <c r="K4006" s="110" t="str">
        <v>INV-2612-0006</v>
      </c>
    </row>
    <row r="4007" spans="11:11" x14ac:dyDescent="0.35">
      <c r="K4007" s="110" t="str">
        <v>INV-2612-0007</v>
      </c>
    </row>
    <row r="4008" spans="11:11" x14ac:dyDescent="0.35">
      <c r="K4008" s="110" t="str">
        <v>INV-2612-0008</v>
      </c>
    </row>
    <row r="4009" spans="11:11" x14ac:dyDescent="0.35">
      <c r="K4009" s="110" t="str">
        <v>INV-2612-0009</v>
      </c>
    </row>
    <row r="4010" spans="11:11" x14ac:dyDescent="0.35">
      <c r="K4010" s="110" t="str">
        <v>INV-2612-0010</v>
      </c>
    </row>
    <row r="4011" spans="11:11" x14ac:dyDescent="0.35">
      <c r="K4011" s="110" t="str">
        <v>INV-2612-0011</v>
      </c>
    </row>
    <row r="4012" spans="11:11" x14ac:dyDescent="0.35">
      <c r="K4012" s="110" t="str">
        <v>INV-2612-0012</v>
      </c>
    </row>
    <row r="4013" spans="11:11" x14ac:dyDescent="0.35">
      <c r="K4013" s="110" t="str">
        <v>INV-2612-0013</v>
      </c>
    </row>
    <row r="4014" spans="11:11" x14ac:dyDescent="0.35">
      <c r="K4014" s="110" t="str">
        <v>INV-2612-0014</v>
      </c>
    </row>
    <row r="4015" spans="11:11" x14ac:dyDescent="0.35">
      <c r="K4015" s="110" t="str">
        <v>INV-2612-0015</v>
      </c>
    </row>
    <row r="4016" spans="11:11" x14ac:dyDescent="0.35">
      <c r="K4016" s="110" t="str">
        <v>INV-2612-0016</v>
      </c>
    </row>
    <row r="4017" spans="11:11" x14ac:dyDescent="0.35">
      <c r="K4017" s="110" t="str">
        <v>INV-2612-0017</v>
      </c>
    </row>
    <row r="4018" spans="11:11" x14ac:dyDescent="0.35">
      <c r="K4018" s="110" t="str">
        <v>INV-2612-0018</v>
      </c>
    </row>
    <row r="4019" spans="11:11" x14ac:dyDescent="0.35">
      <c r="K4019" s="110" t="str">
        <v>INV-2612-0019</v>
      </c>
    </row>
    <row r="4020" spans="11:11" x14ac:dyDescent="0.35">
      <c r="K4020" s="110" t="str">
        <v>INV-2612-0020</v>
      </c>
    </row>
    <row r="4021" spans="11:11" x14ac:dyDescent="0.35">
      <c r="K4021" s="110" t="str">
        <v>INV-2612-0021</v>
      </c>
    </row>
    <row r="4022" spans="11:11" x14ac:dyDescent="0.35">
      <c r="K4022" s="110" t="str">
        <v>INV-2612-0022</v>
      </c>
    </row>
    <row r="4023" spans="11:11" x14ac:dyDescent="0.35">
      <c r="K4023" s="110" t="str">
        <v>INV-2612-0023</v>
      </c>
    </row>
    <row r="4024" spans="11:11" x14ac:dyDescent="0.35">
      <c r="K4024" s="110" t="str">
        <v>INV-2612-0024</v>
      </c>
    </row>
    <row r="4025" spans="11:11" x14ac:dyDescent="0.35">
      <c r="K4025" s="110" t="str">
        <v>INV-2612-0025</v>
      </c>
    </row>
    <row r="4026" spans="11:11" x14ac:dyDescent="0.35">
      <c r="K4026" s="110" t="str">
        <v>INV-2612-0026</v>
      </c>
    </row>
    <row r="4027" spans="11:11" x14ac:dyDescent="0.35">
      <c r="K4027" s="110" t="str">
        <v>INV-2612-0027</v>
      </c>
    </row>
    <row r="4028" spans="11:11" x14ac:dyDescent="0.35">
      <c r="K4028" s="110" t="str">
        <v>INV-2612-0028</v>
      </c>
    </row>
    <row r="4029" spans="11:11" x14ac:dyDescent="0.35">
      <c r="K4029" s="110" t="str">
        <v>INV-2612-0029</v>
      </c>
    </row>
    <row r="4030" spans="11:11" x14ac:dyDescent="0.35">
      <c r="K4030" s="110" t="str">
        <v>INV-2612-0030</v>
      </c>
    </row>
    <row r="4031" spans="11:11" x14ac:dyDescent="0.35">
      <c r="K4031" s="110" t="str">
        <v>INV-2612-0031</v>
      </c>
    </row>
    <row r="4032" spans="11:11" x14ac:dyDescent="0.35">
      <c r="K4032" s="110" t="str">
        <v>INV-2612-0032</v>
      </c>
    </row>
    <row r="4033" spans="11:11" x14ac:dyDescent="0.35">
      <c r="K4033" s="110" t="str">
        <v>INV-2612-0033</v>
      </c>
    </row>
    <row r="4034" spans="11:11" x14ac:dyDescent="0.35">
      <c r="K4034" s="110" t="str">
        <v>INV-2612-0034</v>
      </c>
    </row>
    <row r="4035" spans="11:11" x14ac:dyDescent="0.35">
      <c r="K4035" s="110" t="str">
        <v>INV-2612-0035</v>
      </c>
    </row>
    <row r="4036" spans="11:11" x14ac:dyDescent="0.35">
      <c r="K4036" s="110" t="str">
        <v>INV-2612-0036</v>
      </c>
    </row>
    <row r="4037" spans="11:11" x14ac:dyDescent="0.35">
      <c r="K4037" s="110" t="str">
        <v>INV-2612-0037</v>
      </c>
    </row>
    <row r="4038" spans="11:11" x14ac:dyDescent="0.35">
      <c r="K4038" s="110" t="str">
        <v>INV-2612-0038</v>
      </c>
    </row>
    <row r="4039" spans="11:11" x14ac:dyDescent="0.35">
      <c r="K4039" s="110" t="str">
        <v>INV-2612-0039</v>
      </c>
    </row>
    <row r="4040" spans="11:11" x14ac:dyDescent="0.35">
      <c r="K4040" s="110" t="str">
        <v>INV-2612-0040</v>
      </c>
    </row>
    <row r="4041" spans="11:11" x14ac:dyDescent="0.35">
      <c r="K4041" s="110" t="str">
        <v>INV-2612-0041</v>
      </c>
    </row>
    <row r="4042" spans="11:11" x14ac:dyDescent="0.35">
      <c r="K4042" s="110" t="str">
        <v>INV-2612-0042</v>
      </c>
    </row>
    <row r="4043" spans="11:11" x14ac:dyDescent="0.35">
      <c r="K4043" s="110" t="str">
        <v>INV-2612-0043</v>
      </c>
    </row>
    <row r="4044" spans="11:11" x14ac:dyDescent="0.35">
      <c r="K4044" s="110" t="str">
        <v>INV-2612-0044</v>
      </c>
    </row>
    <row r="4045" spans="11:11" x14ac:dyDescent="0.35">
      <c r="K4045" s="110" t="str">
        <v>INV-2612-0045</v>
      </c>
    </row>
    <row r="4046" spans="11:11" x14ac:dyDescent="0.35">
      <c r="K4046" s="110" t="str">
        <v>INV-2612-0046</v>
      </c>
    </row>
    <row r="4047" spans="11:11" x14ac:dyDescent="0.35">
      <c r="K4047" s="110" t="str">
        <v>INV-2612-0047</v>
      </c>
    </row>
    <row r="4048" spans="11:11" x14ac:dyDescent="0.35">
      <c r="K4048" s="110" t="str">
        <v>INV-2612-0048</v>
      </c>
    </row>
    <row r="4049" spans="11:11" x14ac:dyDescent="0.35">
      <c r="K4049" s="110" t="str">
        <v>INV-2612-0049</v>
      </c>
    </row>
    <row r="4050" spans="11:11" x14ac:dyDescent="0.35">
      <c r="K4050" s="110" t="str">
        <v>INV-2612-0050</v>
      </c>
    </row>
    <row r="4051" spans="11:11" x14ac:dyDescent="0.35">
      <c r="K4051" s="110" t="str">
        <v>INV-2612-0051</v>
      </c>
    </row>
    <row r="4052" spans="11:11" x14ac:dyDescent="0.35">
      <c r="K4052" s="110" t="str">
        <v>INV-2612-0052</v>
      </c>
    </row>
    <row r="4053" spans="11:11" x14ac:dyDescent="0.35">
      <c r="K4053" s="110" t="str">
        <v>INV-2612-0053</v>
      </c>
    </row>
    <row r="4054" spans="11:11" x14ac:dyDescent="0.35">
      <c r="K4054" s="110" t="str">
        <v>INV-2612-0054</v>
      </c>
    </row>
    <row r="4055" spans="11:11" x14ac:dyDescent="0.35">
      <c r="K4055" s="110" t="str">
        <v>INV-2612-0055</v>
      </c>
    </row>
    <row r="4056" spans="11:11" x14ac:dyDescent="0.35">
      <c r="K4056" s="110" t="str">
        <v>INV-2612-0056</v>
      </c>
    </row>
    <row r="4057" spans="11:11" x14ac:dyDescent="0.35">
      <c r="K4057" s="110" t="str">
        <v>INV-2612-0057</v>
      </c>
    </row>
    <row r="4058" spans="11:11" x14ac:dyDescent="0.35">
      <c r="K4058" s="110" t="str">
        <v>INV-2612-0058</v>
      </c>
    </row>
    <row r="4059" spans="11:11" x14ac:dyDescent="0.35">
      <c r="K4059" s="110" t="str">
        <v>INV-2612-0059</v>
      </c>
    </row>
    <row r="4060" spans="11:11" x14ac:dyDescent="0.35">
      <c r="K4060" s="110" t="str">
        <v>INV-2612-0060</v>
      </c>
    </row>
    <row r="4061" spans="11:11" x14ac:dyDescent="0.35">
      <c r="K4061" s="110" t="str">
        <v>INV-2612-0061</v>
      </c>
    </row>
    <row r="4062" spans="11:11" x14ac:dyDescent="0.35">
      <c r="K4062" s="110" t="str">
        <v>INV-2612-0062</v>
      </c>
    </row>
    <row r="4063" spans="11:11" x14ac:dyDescent="0.35">
      <c r="K4063" s="110" t="str">
        <v>INV-2612-0063</v>
      </c>
    </row>
    <row r="4064" spans="11:11" x14ac:dyDescent="0.35">
      <c r="K4064" s="110" t="str">
        <v>INV-2612-0064</v>
      </c>
    </row>
    <row r="4065" spans="11:11" x14ac:dyDescent="0.35">
      <c r="K4065" s="110" t="str">
        <v>INV-2612-0065</v>
      </c>
    </row>
    <row r="4066" spans="11:11" x14ac:dyDescent="0.35">
      <c r="K4066" s="110" t="str">
        <v>INV-2612-0066</v>
      </c>
    </row>
    <row r="4067" spans="11:11" x14ac:dyDescent="0.35">
      <c r="K4067" s="110" t="str">
        <v>INV-2612-0067</v>
      </c>
    </row>
    <row r="4068" spans="11:11" x14ac:dyDescent="0.35">
      <c r="K4068" s="110" t="str">
        <v>INV-2612-0068</v>
      </c>
    </row>
    <row r="4069" spans="11:11" x14ac:dyDescent="0.35">
      <c r="K4069" s="110" t="str">
        <v>INV-2612-0069</v>
      </c>
    </row>
    <row r="4070" spans="11:11" x14ac:dyDescent="0.35">
      <c r="K4070" s="110" t="str">
        <v>INV-2612-0070</v>
      </c>
    </row>
    <row r="4071" spans="11:11" x14ac:dyDescent="0.35">
      <c r="K4071" s="110" t="str">
        <v>INV-2612-0071</v>
      </c>
    </row>
    <row r="4072" spans="11:11" x14ac:dyDescent="0.35">
      <c r="K4072" s="110" t="str">
        <v>INV-2612-0072</v>
      </c>
    </row>
    <row r="4073" spans="11:11" x14ac:dyDescent="0.35">
      <c r="K4073" s="110" t="str">
        <v>INV-2612-0073</v>
      </c>
    </row>
    <row r="4074" spans="11:11" x14ac:dyDescent="0.35">
      <c r="K4074" s="110" t="str">
        <v>INV-2612-0074</v>
      </c>
    </row>
    <row r="4075" spans="11:11" x14ac:dyDescent="0.35">
      <c r="K4075" s="110" t="str">
        <v>INV-2612-0075</v>
      </c>
    </row>
    <row r="4076" spans="11:11" x14ac:dyDescent="0.35">
      <c r="K4076" s="110" t="str">
        <v>INV-2612-0076</v>
      </c>
    </row>
    <row r="4077" spans="11:11" x14ac:dyDescent="0.35">
      <c r="K4077" s="110" t="str">
        <v>INV-2612-0077</v>
      </c>
    </row>
    <row r="4078" spans="11:11" x14ac:dyDescent="0.35">
      <c r="K4078" s="110" t="str">
        <v>INV-2612-0078</v>
      </c>
    </row>
    <row r="4079" spans="11:11" x14ac:dyDescent="0.35">
      <c r="K4079" s="110" t="str">
        <v>INV-2612-0079</v>
      </c>
    </row>
    <row r="4080" spans="11:11" x14ac:dyDescent="0.35">
      <c r="K4080" s="110" t="str">
        <v>INV-2612-0080</v>
      </c>
    </row>
    <row r="4081" spans="11:11" x14ac:dyDescent="0.35">
      <c r="K4081" s="110" t="str">
        <v>INV-2612-0081</v>
      </c>
    </row>
    <row r="4082" spans="11:11" x14ac:dyDescent="0.35">
      <c r="K4082" s="110" t="str">
        <v>INV-2612-0082</v>
      </c>
    </row>
    <row r="4083" spans="11:11" x14ac:dyDescent="0.35">
      <c r="K4083" s="110" t="str">
        <v>INV-2612-0083</v>
      </c>
    </row>
    <row r="4084" spans="11:11" x14ac:dyDescent="0.35">
      <c r="K4084" s="110" t="str">
        <v>INV-2612-0084</v>
      </c>
    </row>
    <row r="4085" spans="11:11" x14ac:dyDescent="0.35">
      <c r="K4085" s="110" t="str">
        <v>INV-2612-0085</v>
      </c>
    </row>
    <row r="4086" spans="11:11" x14ac:dyDescent="0.35">
      <c r="K4086" s="110" t="str">
        <v>INV-2612-0086</v>
      </c>
    </row>
    <row r="4087" spans="11:11" x14ac:dyDescent="0.35">
      <c r="K4087" s="110" t="str">
        <v>INV-2612-0087</v>
      </c>
    </row>
    <row r="4088" spans="11:11" x14ac:dyDescent="0.35">
      <c r="K4088" s="110" t="str">
        <v>INV-2612-0088</v>
      </c>
    </row>
    <row r="4089" spans="11:11" x14ac:dyDescent="0.35">
      <c r="K4089" s="110" t="str">
        <v>INV-2612-0089</v>
      </c>
    </row>
    <row r="4090" spans="11:11" x14ac:dyDescent="0.35">
      <c r="K4090" s="110" t="str">
        <v>INV-2612-0090</v>
      </c>
    </row>
    <row r="4091" spans="11:11" x14ac:dyDescent="0.35">
      <c r="K4091" s="110" t="str">
        <v>INV-2612-0091</v>
      </c>
    </row>
    <row r="4092" spans="11:11" x14ac:dyDescent="0.35">
      <c r="K4092" s="110" t="str">
        <v>INV-2612-0092</v>
      </c>
    </row>
    <row r="4093" spans="11:11" x14ac:dyDescent="0.35">
      <c r="K4093" s="110" t="str">
        <v>INV-2612-0093</v>
      </c>
    </row>
    <row r="4094" spans="11:11" x14ac:dyDescent="0.35">
      <c r="K4094" s="110" t="str">
        <v>INV-2612-0094</v>
      </c>
    </row>
    <row r="4095" spans="11:11" x14ac:dyDescent="0.35">
      <c r="K4095" s="110" t="str">
        <v>INV-2612-0095</v>
      </c>
    </row>
    <row r="4096" spans="11:11" x14ac:dyDescent="0.35">
      <c r="K4096" s="110" t="str">
        <v>INV-2612-0096</v>
      </c>
    </row>
    <row r="4097" spans="11:11" x14ac:dyDescent="0.35">
      <c r="K4097" s="110" t="str">
        <v>INV-2612-0097</v>
      </c>
    </row>
    <row r="4098" spans="11:11" x14ac:dyDescent="0.35">
      <c r="K4098" s="110" t="str">
        <v>INV-2612-0098</v>
      </c>
    </row>
    <row r="4099" spans="11:11" x14ac:dyDescent="0.35">
      <c r="K4099" s="110" t="str">
        <v>INV-2612-0099</v>
      </c>
    </row>
    <row r="4100" spans="11:11" x14ac:dyDescent="0.35">
      <c r="K4100" s="110" t="str">
        <v>INV-2612-0100</v>
      </c>
    </row>
    <row r="4101" spans="11:11" x14ac:dyDescent="0.35">
      <c r="K4101" s="110" t="str">
        <v>INV-2612-0101</v>
      </c>
    </row>
    <row r="4102" spans="11:11" x14ac:dyDescent="0.35">
      <c r="K4102" s="110" t="str">
        <v>INV-2612-0102</v>
      </c>
    </row>
    <row r="4103" spans="11:11" x14ac:dyDescent="0.35">
      <c r="K4103" s="110" t="str">
        <v>INV-2612-0103</v>
      </c>
    </row>
    <row r="4104" spans="11:11" x14ac:dyDescent="0.35">
      <c r="K4104" s="110" t="str">
        <v>INV-2612-0104</v>
      </c>
    </row>
    <row r="4105" spans="11:11" x14ac:dyDescent="0.35">
      <c r="K4105" s="110" t="str">
        <v>INV-2612-0105</v>
      </c>
    </row>
    <row r="4106" spans="11:11" x14ac:dyDescent="0.35">
      <c r="K4106" s="110" t="str">
        <v>INV-2612-0106</v>
      </c>
    </row>
    <row r="4107" spans="11:11" x14ac:dyDescent="0.35">
      <c r="K4107" s="110" t="str">
        <v>INV-2612-0107</v>
      </c>
    </row>
    <row r="4108" spans="11:11" x14ac:dyDescent="0.35">
      <c r="K4108" s="110" t="str">
        <v>INV-2612-0108</v>
      </c>
    </row>
    <row r="4109" spans="11:11" x14ac:dyDescent="0.35">
      <c r="K4109" s="110" t="str">
        <v>INV-2612-0109</v>
      </c>
    </row>
    <row r="4110" spans="11:11" x14ac:dyDescent="0.35">
      <c r="K4110" s="110" t="str">
        <v>INV-2612-0110</v>
      </c>
    </row>
    <row r="4111" spans="11:11" x14ac:dyDescent="0.35">
      <c r="K4111" s="110" t="str">
        <v>INV-2612-0111</v>
      </c>
    </row>
    <row r="4112" spans="11:11" x14ac:dyDescent="0.35">
      <c r="K4112" s="110" t="str">
        <v>INV-2612-0112</v>
      </c>
    </row>
    <row r="4113" spans="11:11" x14ac:dyDescent="0.35">
      <c r="K4113" s="110" t="str">
        <v>INV-2612-0113</v>
      </c>
    </row>
    <row r="4114" spans="11:11" x14ac:dyDescent="0.35">
      <c r="K4114" s="110" t="str">
        <v>INV-2612-0114</v>
      </c>
    </row>
    <row r="4115" spans="11:11" x14ac:dyDescent="0.35">
      <c r="K4115" s="110" t="str">
        <v>INV-2612-0115</v>
      </c>
    </row>
    <row r="4116" spans="11:11" x14ac:dyDescent="0.35">
      <c r="K4116" s="110" t="str">
        <v>INV-2612-0116</v>
      </c>
    </row>
    <row r="4117" spans="11:11" x14ac:dyDescent="0.35">
      <c r="K4117" s="110" t="str">
        <v>INV-2612-0117</v>
      </c>
    </row>
    <row r="4118" spans="11:11" x14ac:dyDescent="0.35">
      <c r="K4118" s="110" t="str">
        <v>INV-2612-0118</v>
      </c>
    </row>
    <row r="4119" spans="11:11" x14ac:dyDescent="0.35">
      <c r="K4119" s="110" t="str">
        <v>INV-2612-0119</v>
      </c>
    </row>
    <row r="4120" spans="11:11" x14ac:dyDescent="0.35">
      <c r="K4120" s="110" t="str">
        <v>INV-2612-0120</v>
      </c>
    </row>
    <row r="4121" spans="11:11" x14ac:dyDescent="0.35">
      <c r="K4121" s="110" t="str">
        <v>INV-2612-0121</v>
      </c>
    </row>
    <row r="4122" spans="11:11" x14ac:dyDescent="0.35">
      <c r="K4122" s="110" t="str">
        <v>INV-2612-0122</v>
      </c>
    </row>
    <row r="4123" spans="11:11" x14ac:dyDescent="0.35">
      <c r="K4123" s="110" t="str">
        <v>INV-2612-0123</v>
      </c>
    </row>
    <row r="4124" spans="11:11" x14ac:dyDescent="0.35">
      <c r="K4124" s="110" t="str">
        <v>INV-2612-0124</v>
      </c>
    </row>
    <row r="4125" spans="11:11" x14ac:dyDescent="0.35">
      <c r="K4125" s="110" t="str">
        <v>INV-2612-0125</v>
      </c>
    </row>
    <row r="4126" spans="11:11" x14ac:dyDescent="0.35">
      <c r="K4126" s="110" t="str">
        <v>INV-2612-0126</v>
      </c>
    </row>
    <row r="4127" spans="11:11" x14ac:dyDescent="0.35">
      <c r="K4127" s="110" t="str">
        <v>INV-2612-0127</v>
      </c>
    </row>
    <row r="4128" spans="11:11" x14ac:dyDescent="0.35">
      <c r="K4128" s="110" t="str">
        <v>INV-2612-0128</v>
      </c>
    </row>
    <row r="4129" spans="11:11" x14ac:dyDescent="0.35">
      <c r="K4129" s="110" t="str">
        <v>INV-2612-0129</v>
      </c>
    </row>
    <row r="4130" spans="11:11" x14ac:dyDescent="0.35">
      <c r="K4130" s="110" t="str">
        <v>INV-2612-0130</v>
      </c>
    </row>
    <row r="4131" spans="11:11" x14ac:dyDescent="0.35">
      <c r="K4131" s="110" t="str">
        <v>INV-2612-0131</v>
      </c>
    </row>
    <row r="4132" spans="11:11" x14ac:dyDescent="0.35">
      <c r="K4132" s="110" t="str">
        <v>INV-2612-0132</v>
      </c>
    </row>
    <row r="4133" spans="11:11" x14ac:dyDescent="0.35">
      <c r="K4133" s="110" t="str">
        <v>INV-2612-0133</v>
      </c>
    </row>
    <row r="4134" spans="11:11" x14ac:dyDescent="0.35">
      <c r="K4134" s="110" t="str">
        <v>INV-2612-0134</v>
      </c>
    </row>
    <row r="4135" spans="11:11" x14ac:dyDescent="0.35">
      <c r="K4135" s="110" t="str">
        <v>INV-2612-0135</v>
      </c>
    </row>
    <row r="4136" spans="11:11" x14ac:dyDescent="0.35">
      <c r="K4136" s="110" t="str">
        <v>INV-2612-0136</v>
      </c>
    </row>
    <row r="4137" spans="11:11" x14ac:dyDescent="0.35">
      <c r="K4137" s="110" t="str">
        <v>INV-2612-0137</v>
      </c>
    </row>
    <row r="4138" spans="11:11" x14ac:dyDescent="0.35">
      <c r="K4138" s="110" t="str">
        <v>INV-2612-0138</v>
      </c>
    </row>
    <row r="4139" spans="11:11" x14ac:dyDescent="0.35">
      <c r="K4139" s="110" t="str">
        <v>INV-2612-0139</v>
      </c>
    </row>
    <row r="4140" spans="11:11" x14ac:dyDescent="0.35">
      <c r="K4140" s="110" t="str">
        <v>INV-2612-0140</v>
      </c>
    </row>
    <row r="4141" spans="11:11" x14ac:dyDescent="0.35">
      <c r="K4141" s="110" t="str">
        <v>INV-2612-0141</v>
      </c>
    </row>
    <row r="4142" spans="11:11" x14ac:dyDescent="0.35">
      <c r="K4142" s="110" t="str">
        <v>INV-2612-0142</v>
      </c>
    </row>
    <row r="4143" spans="11:11" x14ac:dyDescent="0.35">
      <c r="K4143" s="110" t="str">
        <v>INV-2612-0143</v>
      </c>
    </row>
    <row r="4144" spans="11:11" x14ac:dyDescent="0.35">
      <c r="K4144" s="110" t="str">
        <v>INV-2612-0144</v>
      </c>
    </row>
    <row r="4145" spans="11:11" x14ac:dyDescent="0.35">
      <c r="K4145" s="110" t="str">
        <v>INV-2612-0145</v>
      </c>
    </row>
    <row r="4146" spans="11:11" x14ac:dyDescent="0.35">
      <c r="K4146" s="110" t="str">
        <v>INV-2612-0146</v>
      </c>
    </row>
    <row r="4147" spans="11:11" x14ac:dyDescent="0.35">
      <c r="K4147" s="110" t="str">
        <v>INV-2612-0147</v>
      </c>
    </row>
    <row r="4148" spans="11:11" x14ac:dyDescent="0.35">
      <c r="K4148" s="110" t="str">
        <v>INV-2612-0148</v>
      </c>
    </row>
    <row r="4149" spans="11:11" x14ac:dyDescent="0.35">
      <c r="K4149" s="110" t="str">
        <v>INV-2612-0149</v>
      </c>
    </row>
    <row r="4150" spans="11:11" x14ac:dyDescent="0.35">
      <c r="K4150" s="110" t="str">
        <v>INV-2612-0150</v>
      </c>
    </row>
    <row r="4151" spans="11:11" x14ac:dyDescent="0.35">
      <c r="K4151" s="110" t="str">
        <v>INV-2612-0151</v>
      </c>
    </row>
    <row r="4152" spans="11:11" x14ac:dyDescent="0.35">
      <c r="K4152" s="110" t="str">
        <v>INV-2612-0152</v>
      </c>
    </row>
    <row r="4153" spans="11:11" x14ac:dyDescent="0.35">
      <c r="K4153" s="110" t="str">
        <v>INV-2612-0153</v>
      </c>
    </row>
    <row r="4154" spans="11:11" x14ac:dyDescent="0.35">
      <c r="K4154" s="110" t="str">
        <v>INV-2612-0154</v>
      </c>
    </row>
    <row r="4155" spans="11:11" x14ac:dyDescent="0.35">
      <c r="K4155" s="110" t="str">
        <v>INV-2612-0155</v>
      </c>
    </row>
    <row r="4156" spans="11:11" x14ac:dyDescent="0.35">
      <c r="K4156" s="110" t="str">
        <v>INV-2612-0156</v>
      </c>
    </row>
    <row r="4157" spans="11:11" x14ac:dyDescent="0.35">
      <c r="K4157" s="110" t="str">
        <v>INV-2612-0157</v>
      </c>
    </row>
    <row r="4158" spans="11:11" x14ac:dyDescent="0.35">
      <c r="K4158" s="110" t="str">
        <v>INV-2612-0158</v>
      </c>
    </row>
    <row r="4159" spans="11:11" x14ac:dyDescent="0.35">
      <c r="K4159" s="110" t="str">
        <v>INV-2612-0159</v>
      </c>
    </row>
    <row r="4160" spans="11:11" x14ac:dyDescent="0.35">
      <c r="K4160" s="110" t="str">
        <v>INV-2612-0160</v>
      </c>
    </row>
    <row r="4161" spans="11:11" x14ac:dyDescent="0.35">
      <c r="K4161" s="110" t="str">
        <v>INV-2612-0161</v>
      </c>
    </row>
    <row r="4162" spans="11:11" x14ac:dyDescent="0.35">
      <c r="K4162" s="110" t="str">
        <v>INV-2612-0162</v>
      </c>
    </row>
    <row r="4163" spans="11:11" x14ac:dyDescent="0.35">
      <c r="K4163" s="110" t="str">
        <v>INV-2612-0163</v>
      </c>
    </row>
    <row r="4164" spans="11:11" x14ac:dyDescent="0.35">
      <c r="K4164" s="110" t="str">
        <v>INV-2612-0164</v>
      </c>
    </row>
    <row r="4165" spans="11:11" x14ac:dyDescent="0.35">
      <c r="K4165" s="110" t="str">
        <v>INV-2612-0165</v>
      </c>
    </row>
    <row r="4166" spans="11:11" x14ac:dyDescent="0.35">
      <c r="K4166" s="110" t="str">
        <v>INV-2612-0166</v>
      </c>
    </row>
    <row r="4167" spans="11:11" x14ac:dyDescent="0.35">
      <c r="K4167" s="110" t="str">
        <v>INV-2612-0167</v>
      </c>
    </row>
    <row r="4168" spans="11:11" x14ac:dyDescent="0.35">
      <c r="K4168" s="110" t="str">
        <v>INV-2612-0168</v>
      </c>
    </row>
    <row r="4169" spans="11:11" x14ac:dyDescent="0.35">
      <c r="K4169" s="110" t="str">
        <v>INV-2612-0169</v>
      </c>
    </row>
    <row r="4170" spans="11:11" x14ac:dyDescent="0.35">
      <c r="K4170" s="110" t="str">
        <v>INV-2612-0170</v>
      </c>
    </row>
    <row r="4171" spans="11:11" x14ac:dyDescent="0.35">
      <c r="K4171" s="110" t="str">
        <v>INV-2612-0171</v>
      </c>
    </row>
    <row r="4172" spans="11:11" x14ac:dyDescent="0.35">
      <c r="K4172" s="110" t="str">
        <v>INV-2612-0172</v>
      </c>
    </row>
    <row r="4173" spans="11:11" x14ac:dyDescent="0.35">
      <c r="K4173" s="110" t="str">
        <v>INV-2612-0173</v>
      </c>
    </row>
    <row r="4174" spans="11:11" x14ac:dyDescent="0.35">
      <c r="K4174" s="110" t="str">
        <v>INV-2612-0174</v>
      </c>
    </row>
    <row r="4175" spans="11:11" x14ac:dyDescent="0.35">
      <c r="K4175" s="110" t="str">
        <v>INV-2612-0175</v>
      </c>
    </row>
    <row r="4176" spans="11:11" x14ac:dyDescent="0.35">
      <c r="K4176" s="110" t="str">
        <v>INV-2612-0176</v>
      </c>
    </row>
    <row r="4177" spans="11:11" x14ac:dyDescent="0.35">
      <c r="K4177" s="110" t="str">
        <v>INV-2612-0177</v>
      </c>
    </row>
    <row r="4178" spans="11:11" x14ac:dyDescent="0.35">
      <c r="K4178" s="110" t="str">
        <v>INV-2612-0178</v>
      </c>
    </row>
    <row r="4179" spans="11:11" x14ac:dyDescent="0.35">
      <c r="K4179" s="110" t="str">
        <v>INV-2612-0179</v>
      </c>
    </row>
    <row r="4180" spans="11:11" x14ac:dyDescent="0.35">
      <c r="K4180" s="110" t="str">
        <v>INV-2612-0180</v>
      </c>
    </row>
    <row r="4181" spans="11:11" x14ac:dyDescent="0.35">
      <c r="K4181" s="110" t="str">
        <v>INV-2612-0181</v>
      </c>
    </row>
    <row r="4182" spans="11:11" x14ac:dyDescent="0.35">
      <c r="K4182" s="110" t="str">
        <v>INV-2612-0182</v>
      </c>
    </row>
    <row r="4183" spans="11:11" x14ac:dyDescent="0.35">
      <c r="K4183" s="110" t="str">
        <v>INV-2612-0183</v>
      </c>
    </row>
    <row r="4184" spans="11:11" x14ac:dyDescent="0.35">
      <c r="K4184" s="110" t="str">
        <v>INV-2612-0184</v>
      </c>
    </row>
    <row r="4185" spans="11:11" x14ac:dyDescent="0.35">
      <c r="K4185" s="110" t="str">
        <v>INV-2612-0185</v>
      </c>
    </row>
    <row r="4186" spans="11:11" x14ac:dyDescent="0.35">
      <c r="K4186" s="110" t="str">
        <v>INV-2612-0186</v>
      </c>
    </row>
    <row r="4187" spans="11:11" x14ac:dyDescent="0.35">
      <c r="K4187" s="110" t="str">
        <v>INV-2612-0187</v>
      </c>
    </row>
    <row r="4188" spans="11:11" x14ac:dyDescent="0.35">
      <c r="K4188" s="110" t="str">
        <v>INV-2612-0188</v>
      </c>
    </row>
    <row r="4189" spans="11:11" x14ac:dyDescent="0.35">
      <c r="K4189" s="110" t="str">
        <v>INV-2612-0189</v>
      </c>
    </row>
    <row r="4190" spans="11:11" x14ac:dyDescent="0.35">
      <c r="K4190" s="110" t="str">
        <v>INV-2612-0190</v>
      </c>
    </row>
    <row r="4191" spans="11:11" x14ac:dyDescent="0.35">
      <c r="K4191" s="110" t="str">
        <v>INV-2612-0191</v>
      </c>
    </row>
    <row r="4192" spans="11:11" x14ac:dyDescent="0.35">
      <c r="K4192" s="110" t="str">
        <v>INV-2612-0192</v>
      </c>
    </row>
    <row r="4193" spans="11:11" x14ac:dyDescent="0.35">
      <c r="K4193" s="110" t="str">
        <v>INV-2612-0193</v>
      </c>
    </row>
    <row r="4194" spans="11:11" x14ac:dyDescent="0.35">
      <c r="K4194" s="110" t="str">
        <v>INV-2612-0194</v>
      </c>
    </row>
    <row r="4195" spans="11:11" x14ac:dyDescent="0.35">
      <c r="K4195" s="110" t="str">
        <v>INV-2612-0195</v>
      </c>
    </row>
    <row r="4196" spans="11:11" x14ac:dyDescent="0.35">
      <c r="K4196" s="110" t="str">
        <v>INV-2612-0196</v>
      </c>
    </row>
    <row r="4197" spans="11:11" x14ac:dyDescent="0.35">
      <c r="K4197" s="110" t="str">
        <v>INV-2612-0197</v>
      </c>
    </row>
    <row r="4198" spans="11:11" x14ac:dyDescent="0.35">
      <c r="K4198" s="110" t="str">
        <v>INV-2612-0198</v>
      </c>
    </row>
    <row r="4199" spans="11:11" x14ac:dyDescent="0.35">
      <c r="K4199" s="110" t="str">
        <v>INV-2612-0199</v>
      </c>
    </row>
    <row r="4200" spans="11:11" x14ac:dyDescent="0.35">
      <c r="K4200" s="110" t="str">
        <v>INV-2612-0200</v>
      </c>
    </row>
    <row r="4201" spans="11:11" x14ac:dyDescent="0.35">
      <c r="K4201" s="110" t="str">
        <v>INV-2612-0201</v>
      </c>
    </row>
    <row r="4202" spans="11:11" x14ac:dyDescent="0.35">
      <c r="K4202" s="110" t="str">
        <v>INV-2612-0202</v>
      </c>
    </row>
    <row r="4203" spans="11:11" x14ac:dyDescent="0.35">
      <c r="K4203" s="110" t="str">
        <v>INV-2612-0203</v>
      </c>
    </row>
    <row r="4204" spans="11:11" x14ac:dyDescent="0.35">
      <c r="K4204" s="110" t="str">
        <v>INV-2612-0204</v>
      </c>
    </row>
    <row r="4205" spans="11:11" x14ac:dyDescent="0.35">
      <c r="K4205" s="110" t="str">
        <v>INV-2612-0205</v>
      </c>
    </row>
    <row r="4206" spans="11:11" x14ac:dyDescent="0.35">
      <c r="K4206" s="110" t="str">
        <v>INV-2612-0206</v>
      </c>
    </row>
    <row r="4207" spans="11:11" x14ac:dyDescent="0.35">
      <c r="K4207" s="110" t="str">
        <v>INV-2612-0207</v>
      </c>
    </row>
    <row r="4208" spans="11:11" x14ac:dyDescent="0.35">
      <c r="K4208" s="110" t="str">
        <v>INV-2612-0208</v>
      </c>
    </row>
    <row r="4209" spans="11:11" x14ac:dyDescent="0.35">
      <c r="K4209" s="110" t="str">
        <v>INV-2612-0209</v>
      </c>
    </row>
    <row r="4210" spans="11:11" x14ac:dyDescent="0.35">
      <c r="K4210" s="110" t="str">
        <v>INV-2612-0210</v>
      </c>
    </row>
    <row r="4211" spans="11:11" x14ac:dyDescent="0.35">
      <c r="K4211" s="110" t="str">
        <v>INV-2612-0211</v>
      </c>
    </row>
    <row r="4212" spans="11:11" x14ac:dyDescent="0.35">
      <c r="K4212" s="110" t="str">
        <v>INV-2612-0212</v>
      </c>
    </row>
    <row r="4213" spans="11:11" x14ac:dyDescent="0.35">
      <c r="K4213" s="110" t="str">
        <v>INV-2612-0213</v>
      </c>
    </row>
    <row r="4214" spans="11:11" x14ac:dyDescent="0.35">
      <c r="K4214" s="110" t="str">
        <v>INV-2612-0214</v>
      </c>
    </row>
    <row r="4215" spans="11:11" x14ac:dyDescent="0.35">
      <c r="K4215" s="110" t="str">
        <v>INV-2612-0215</v>
      </c>
    </row>
    <row r="4216" spans="11:11" x14ac:dyDescent="0.35">
      <c r="K4216" s="110" t="str">
        <v>INV-2612-0216</v>
      </c>
    </row>
    <row r="4217" spans="11:11" x14ac:dyDescent="0.35">
      <c r="K4217" s="110" t="str">
        <v>INV-2612-0217</v>
      </c>
    </row>
    <row r="4218" spans="11:11" x14ac:dyDescent="0.35">
      <c r="K4218" s="110" t="str">
        <v>INV-2612-0218</v>
      </c>
    </row>
    <row r="4219" spans="11:11" x14ac:dyDescent="0.35">
      <c r="K4219" s="110" t="str">
        <v>INV-2612-0219</v>
      </c>
    </row>
    <row r="4220" spans="11:11" x14ac:dyDescent="0.35">
      <c r="K4220" s="110" t="str">
        <v>INV-2612-0220</v>
      </c>
    </row>
    <row r="4221" spans="11:11" x14ac:dyDescent="0.35">
      <c r="K4221" s="110" t="str">
        <v>INV-2612-0221</v>
      </c>
    </row>
    <row r="4222" spans="11:11" x14ac:dyDescent="0.35">
      <c r="K4222" s="110" t="str">
        <v>INV-2612-0222</v>
      </c>
    </row>
    <row r="4223" spans="11:11" x14ac:dyDescent="0.35">
      <c r="K4223" s="110" t="str">
        <v>INV-2612-0223</v>
      </c>
    </row>
    <row r="4224" spans="11:11" x14ac:dyDescent="0.35">
      <c r="K4224" s="110" t="str">
        <v>INV-2612-0224</v>
      </c>
    </row>
    <row r="4225" spans="11:11" x14ac:dyDescent="0.35">
      <c r="K4225" s="110" t="str">
        <v>INV-2612-0225</v>
      </c>
    </row>
    <row r="4226" spans="11:11" x14ac:dyDescent="0.35">
      <c r="K4226" s="110" t="str">
        <v>INV-2612-0226</v>
      </c>
    </row>
    <row r="4227" spans="11:11" x14ac:dyDescent="0.35">
      <c r="K4227" s="110" t="str">
        <v>INV-2612-0227</v>
      </c>
    </row>
    <row r="4228" spans="11:11" x14ac:dyDescent="0.35">
      <c r="K4228" s="110" t="str">
        <v>INV-2612-0228</v>
      </c>
    </row>
    <row r="4229" spans="11:11" x14ac:dyDescent="0.35">
      <c r="K4229" s="110" t="str">
        <v>INV-2612-0229</v>
      </c>
    </row>
    <row r="4230" spans="11:11" x14ac:dyDescent="0.35">
      <c r="K4230" s="110" t="str">
        <v>INV-2612-0230</v>
      </c>
    </row>
    <row r="4231" spans="11:11" x14ac:dyDescent="0.35">
      <c r="K4231" s="110" t="str">
        <v>INV-2612-0231</v>
      </c>
    </row>
    <row r="4232" spans="11:11" x14ac:dyDescent="0.35">
      <c r="K4232" s="110" t="str">
        <v>INV-2612-0232</v>
      </c>
    </row>
    <row r="4233" spans="11:11" x14ac:dyDescent="0.35">
      <c r="K4233" s="110" t="str">
        <v>INV-2612-0233</v>
      </c>
    </row>
    <row r="4234" spans="11:11" x14ac:dyDescent="0.35">
      <c r="K4234" s="110" t="str">
        <v>INV-2612-0234</v>
      </c>
    </row>
    <row r="4235" spans="11:11" x14ac:dyDescent="0.35">
      <c r="K4235" s="110" t="str">
        <v>INV-2612-0235</v>
      </c>
    </row>
    <row r="4236" spans="11:11" x14ac:dyDescent="0.35">
      <c r="K4236" s="110" t="str">
        <v>INV-2612-0236</v>
      </c>
    </row>
    <row r="4237" spans="11:11" x14ac:dyDescent="0.35">
      <c r="K4237" s="110" t="str">
        <v>INV-2612-0237</v>
      </c>
    </row>
    <row r="4238" spans="11:11" x14ac:dyDescent="0.35">
      <c r="K4238" s="110" t="str">
        <v>INV-2612-0238</v>
      </c>
    </row>
    <row r="4239" spans="11:11" x14ac:dyDescent="0.35">
      <c r="K4239" s="110" t="str">
        <v>INV-2612-0239</v>
      </c>
    </row>
    <row r="4240" spans="11:11" x14ac:dyDescent="0.35">
      <c r="K4240" s="110" t="str">
        <v>INV-2612-0240</v>
      </c>
    </row>
    <row r="4241" spans="11:11" x14ac:dyDescent="0.35">
      <c r="K4241" s="110" t="str">
        <v>INV-2612-0241</v>
      </c>
    </row>
    <row r="4242" spans="11:11" x14ac:dyDescent="0.35">
      <c r="K4242" s="110" t="str">
        <v>INV-2612-0242</v>
      </c>
    </row>
    <row r="4243" spans="11:11" x14ac:dyDescent="0.35">
      <c r="K4243" s="110" t="str">
        <v>INV-2612-0243</v>
      </c>
    </row>
    <row r="4244" spans="11:11" x14ac:dyDescent="0.35">
      <c r="K4244" s="110" t="str">
        <v>INV-2612-0244</v>
      </c>
    </row>
    <row r="4245" spans="11:11" x14ac:dyDescent="0.35">
      <c r="K4245" s="110" t="str">
        <v>INV-2612-0245</v>
      </c>
    </row>
    <row r="4246" spans="11:11" x14ac:dyDescent="0.35">
      <c r="K4246" s="110" t="str">
        <v>INV-2612-0246</v>
      </c>
    </row>
    <row r="4247" spans="11:11" x14ac:dyDescent="0.35">
      <c r="K4247" s="110" t="str">
        <v>INV-2612-0247</v>
      </c>
    </row>
    <row r="4248" spans="11:11" x14ac:dyDescent="0.35">
      <c r="K4248" s="110" t="str">
        <v>INV-2612-0248</v>
      </c>
    </row>
    <row r="4249" spans="11:11" x14ac:dyDescent="0.35">
      <c r="K4249" s="110" t="str">
        <v>INV-2612-0249</v>
      </c>
    </row>
    <row r="4250" spans="11:11" x14ac:dyDescent="0.35">
      <c r="K4250" s="110" t="str">
        <v>INV-2612-0250</v>
      </c>
    </row>
    <row r="4251" spans="11:11" x14ac:dyDescent="0.35">
      <c r="K4251" s="110" t="str">
        <v>INV-2612-0251</v>
      </c>
    </row>
    <row r="4252" spans="11:11" x14ac:dyDescent="0.35">
      <c r="K4252" s="110" t="str">
        <v>INV-2612-0252</v>
      </c>
    </row>
    <row r="4253" spans="11:11" x14ac:dyDescent="0.35">
      <c r="K4253" s="110" t="str">
        <v>INV-2612-0253</v>
      </c>
    </row>
    <row r="4254" spans="11:11" x14ac:dyDescent="0.35">
      <c r="K4254" s="110" t="str">
        <v>INV-2612-0254</v>
      </c>
    </row>
    <row r="4255" spans="11:11" x14ac:dyDescent="0.35">
      <c r="K4255" s="110" t="str">
        <v>INV-2612-0255</v>
      </c>
    </row>
    <row r="4256" spans="11:11" x14ac:dyDescent="0.35">
      <c r="K4256" s="110" t="str">
        <v>INV-2612-0256</v>
      </c>
    </row>
    <row r="4257" spans="11:11" x14ac:dyDescent="0.35">
      <c r="K4257" s="110" t="str">
        <v>INV-2612-0257</v>
      </c>
    </row>
    <row r="4258" spans="11:11" x14ac:dyDescent="0.35">
      <c r="K4258" s="110" t="str">
        <v>INV-2612-0258</v>
      </c>
    </row>
    <row r="4259" spans="11:11" x14ac:dyDescent="0.35">
      <c r="K4259" s="110" t="str">
        <v>INV-2612-0259</v>
      </c>
    </row>
    <row r="4260" spans="11:11" x14ac:dyDescent="0.35">
      <c r="K4260" s="110" t="str">
        <v>INV-2612-0260</v>
      </c>
    </row>
    <row r="4261" spans="11:11" x14ac:dyDescent="0.35">
      <c r="K4261" s="110" t="str">
        <v>INV-2612-0261</v>
      </c>
    </row>
    <row r="4262" spans="11:11" x14ac:dyDescent="0.35">
      <c r="K4262" s="110" t="str">
        <v>INV-2612-0262</v>
      </c>
    </row>
    <row r="4263" spans="11:11" x14ac:dyDescent="0.35">
      <c r="K4263" s="110" t="str">
        <v>INV-2612-0263</v>
      </c>
    </row>
    <row r="4264" spans="11:11" x14ac:dyDescent="0.35">
      <c r="K4264" s="110" t="str">
        <v>INV-2612-0264</v>
      </c>
    </row>
    <row r="4265" spans="11:11" x14ac:dyDescent="0.35">
      <c r="K4265" s="110" t="str">
        <v>INV-2612-0265</v>
      </c>
    </row>
    <row r="4266" spans="11:11" x14ac:dyDescent="0.35">
      <c r="K4266" s="110" t="str">
        <v>INV-2612-0266</v>
      </c>
    </row>
    <row r="4267" spans="11:11" x14ac:dyDescent="0.35">
      <c r="K4267" s="110" t="str">
        <v>INV-2612-0267</v>
      </c>
    </row>
    <row r="4268" spans="11:11" x14ac:dyDescent="0.35">
      <c r="K4268" s="110" t="str">
        <v>INV-2612-0268</v>
      </c>
    </row>
    <row r="4269" spans="11:11" x14ac:dyDescent="0.35">
      <c r="K4269" s="110" t="str">
        <v>INV-2612-0269</v>
      </c>
    </row>
    <row r="4270" spans="11:11" x14ac:dyDescent="0.35">
      <c r="K4270" s="110" t="str">
        <v>INV-2612-0270</v>
      </c>
    </row>
    <row r="4271" spans="11:11" x14ac:dyDescent="0.35">
      <c r="K4271" s="110" t="str">
        <v>INV-2612-0271</v>
      </c>
    </row>
    <row r="4272" spans="11:11" x14ac:dyDescent="0.35">
      <c r="K4272" s="110" t="str">
        <v>INV-2612-0272</v>
      </c>
    </row>
    <row r="4273" spans="11:11" x14ac:dyDescent="0.35">
      <c r="K4273" s="110" t="str">
        <v>INV-2612-0273</v>
      </c>
    </row>
    <row r="4274" spans="11:11" x14ac:dyDescent="0.35">
      <c r="K4274" s="110" t="str">
        <v>INV-2612-0274</v>
      </c>
    </row>
    <row r="4275" spans="11:11" x14ac:dyDescent="0.35">
      <c r="K4275" s="110" t="str">
        <v>INV-2612-0275</v>
      </c>
    </row>
    <row r="4276" spans="11:11" x14ac:dyDescent="0.35">
      <c r="K4276" s="110" t="str">
        <v>INV-2612-0276</v>
      </c>
    </row>
    <row r="4277" spans="11:11" x14ac:dyDescent="0.35">
      <c r="K4277" s="110" t="str">
        <v>INV-2612-0277</v>
      </c>
    </row>
    <row r="4278" spans="11:11" x14ac:dyDescent="0.35">
      <c r="K4278" s="110" t="str">
        <v>INV-2612-0278</v>
      </c>
    </row>
    <row r="4279" spans="11:11" x14ac:dyDescent="0.35">
      <c r="K4279" s="110" t="str">
        <v>INV-2612-0279</v>
      </c>
    </row>
    <row r="4280" spans="11:11" x14ac:dyDescent="0.35">
      <c r="K4280" s="110" t="str">
        <v>INV-2612-0280</v>
      </c>
    </row>
    <row r="4281" spans="11:11" x14ac:dyDescent="0.35">
      <c r="K4281" s="110" t="str">
        <v>INV-2612-0281</v>
      </c>
    </row>
    <row r="4282" spans="11:11" x14ac:dyDescent="0.35">
      <c r="K4282" s="110" t="str">
        <v>INV-2612-0282</v>
      </c>
    </row>
    <row r="4283" spans="11:11" x14ac:dyDescent="0.35">
      <c r="K4283" s="110" t="str">
        <v>INV-2612-0283</v>
      </c>
    </row>
    <row r="4284" spans="11:11" x14ac:dyDescent="0.35">
      <c r="K4284" s="110" t="str">
        <v>INV-2612-0284</v>
      </c>
    </row>
    <row r="4285" spans="11:11" x14ac:dyDescent="0.35">
      <c r="K4285" s="110" t="str">
        <v>INV-2612-0285</v>
      </c>
    </row>
    <row r="4286" spans="11:11" x14ac:dyDescent="0.35">
      <c r="K4286" s="110" t="str">
        <v>INV-2612-0286</v>
      </c>
    </row>
    <row r="4287" spans="11:11" x14ac:dyDescent="0.35">
      <c r="K4287" s="110" t="str">
        <v>INV-2612-0287</v>
      </c>
    </row>
    <row r="4288" spans="11:11" x14ac:dyDescent="0.35">
      <c r="K4288" s="110" t="str">
        <v>INV-2612-0288</v>
      </c>
    </row>
    <row r="4289" spans="11:11" x14ac:dyDescent="0.35">
      <c r="K4289" s="110" t="str">
        <v>INV-2612-0289</v>
      </c>
    </row>
    <row r="4290" spans="11:11" x14ac:dyDescent="0.35">
      <c r="K4290" s="110" t="str">
        <v>INV-2612-0290</v>
      </c>
    </row>
    <row r="4291" spans="11:11" x14ac:dyDescent="0.35">
      <c r="K4291" s="110" t="str">
        <v>INV-2612-0291</v>
      </c>
    </row>
    <row r="4292" spans="11:11" x14ac:dyDescent="0.35">
      <c r="K4292" s="110" t="str">
        <v>INV-2612-0292</v>
      </c>
    </row>
    <row r="4293" spans="11:11" x14ac:dyDescent="0.35">
      <c r="K4293" s="110" t="str">
        <v>INV-2612-0293</v>
      </c>
    </row>
    <row r="4294" spans="11:11" x14ac:dyDescent="0.35">
      <c r="K4294" s="110" t="str">
        <v>INV-2612-0294</v>
      </c>
    </row>
    <row r="4295" spans="11:11" x14ac:dyDescent="0.35">
      <c r="K4295" s="110" t="str">
        <v>INV-2612-0295</v>
      </c>
    </row>
    <row r="4296" spans="11:11" x14ac:dyDescent="0.35">
      <c r="K4296" s="110" t="str">
        <v>INV-2612-0296</v>
      </c>
    </row>
    <row r="4297" spans="11:11" x14ac:dyDescent="0.35">
      <c r="K4297" s="110" t="str">
        <v>INV-2612-0297</v>
      </c>
    </row>
    <row r="4298" spans="11:11" x14ac:dyDescent="0.35">
      <c r="K4298" s="110" t="str">
        <v>INV-2612-0298</v>
      </c>
    </row>
    <row r="4299" spans="11:11" x14ac:dyDescent="0.35">
      <c r="K4299" s="110" t="str">
        <v>INV-2612-0299</v>
      </c>
    </row>
    <row r="4300" spans="11:11" x14ac:dyDescent="0.35">
      <c r="K4300" s="110" t="str">
        <v>INV-2612-0300</v>
      </c>
    </row>
    <row r="4301" spans="11:11" x14ac:dyDescent="0.35">
      <c r="K4301" s="110" t="str">
        <v>INV-2612-0301</v>
      </c>
    </row>
    <row r="4302" spans="11:11" x14ac:dyDescent="0.35">
      <c r="K4302" s="110" t="str">
        <v>INV-2612-0302</v>
      </c>
    </row>
    <row r="4303" spans="11:11" x14ac:dyDescent="0.35">
      <c r="K4303" s="110" t="str">
        <v>INV-2612-0303</v>
      </c>
    </row>
    <row r="4304" spans="11:11" x14ac:dyDescent="0.35">
      <c r="K4304" s="110" t="str">
        <v>INV-2612-0304</v>
      </c>
    </row>
    <row r="4305" spans="11:11" x14ac:dyDescent="0.35">
      <c r="K4305" s="110" t="str">
        <v>INV-2612-0305</v>
      </c>
    </row>
    <row r="4306" spans="11:11" x14ac:dyDescent="0.35">
      <c r="K4306" s="110" t="str">
        <v>INV-2612-0306</v>
      </c>
    </row>
    <row r="4307" spans="11:11" x14ac:dyDescent="0.35">
      <c r="K4307" s="110" t="str">
        <v>INV-2612-0307</v>
      </c>
    </row>
    <row r="4308" spans="11:11" x14ac:dyDescent="0.35">
      <c r="K4308" s="110" t="str">
        <v>INV-2612-0308</v>
      </c>
    </row>
    <row r="4309" spans="11:11" x14ac:dyDescent="0.35">
      <c r="K4309" s="110" t="str">
        <v>INV-2612-0309</v>
      </c>
    </row>
    <row r="4310" spans="11:11" x14ac:dyDescent="0.35">
      <c r="K4310" s="110" t="str">
        <v>INV-2612-0310</v>
      </c>
    </row>
    <row r="4311" spans="11:11" x14ac:dyDescent="0.35">
      <c r="K4311" s="110" t="str">
        <v>INV-2612-0311</v>
      </c>
    </row>
    <row r="4312" spans="11:11" x14ac:dyDescent="0.35">
      <c r="K4312" s="110" t="str">
        <v>INV-2612-0312</v>
      </c>
    </row>
    <row r="4313" spans="11:11" x14ac:dyDescent="0.35">
      <c r="K4313" s="110" t="str">
        <v>INV-2612-0313</v>
      </c>
    </row>
    <row r="4314" spans="11:11" x14ac:dyDescent="0.35">
      <c r="K4314" s="110" t="str">
        <v>INV-2612-0314</v>
      </c>
    </row>
    <row r="4315" spans="11:11" x14ac:dyDescent="0.35">
      <c r="K4315" s="110" t="str">
        <v>INV-2612-0315</v>
      </c>
    </row>
    <row r="4316" spans="11:11" x14ac:dyDescent="0.35">
      <c r="K4316" s="110" t="str">
        <v>INV-2612-0316</v>
      </c>
    </row>
    <row r="4317" spans="11:11" x14ac:dyDescent="0.35">
      <c r="K4317" s="110" t="str">
        <v>INV-2612-0317</v>
      </c>
    </row>
    <row r="4318" spans="11:11" x14ac:dyDescent="0.35">
      <c r="K4318" s="110" t="str">
        <v>INV-2612-0318</v>
      </c>
    </row>
    <row r="4319" spans="11:11" x14ac:dyDescent="0.35">
      <c r="K4319" s="110" t="str">
        <v>INV-2612-0319</v>
      </c>
    </row>
    <row r="4320" spans="11:11" x14ac:dyDescent="0.35">
      <c r="K4320" s="110" t="str">
        <v>INV-2612-0320</v>
      </c>
    </row>
    <row r="4321" spans="11:11" x14ac:dyDescent="0.35">
      <c r="K4321" s="110" t="str">
        <v>INV-2612-0321</v>
      </c>
    </row>
    <row r="4322" spans="11:11" x14ac:dyDescent="0.35">
      <c r="K4322" s="110" t="str">
        <v>INV-2612-0322</v>
      </c>
    </row>
    <row r="4323" spans="11:11" x14ac:dyDescent="0.35">
      <c r="K4323" s="110" t="str">
        <v>INV-2612-0323</v>
      </c>
    </row>
    <row r="4324" spans="11:11" x14ac:dyDescent="0.35">
      <c r="K4324" s="110" t="str">
        <v>INV-2612-0324</v>
      </c>
    </row>
    <row r="4325" spans="11:11" x14ac:dyDescent="0.35">
      <c r="K4325" s="110" t="str">
        <v>INV-2612-0325</v>
      </c>
    </row>
    <row r="4326" spans="11:11" x14ac:dyDescent="0.35">
      <c r="K4326" s="110" t="str">
        <v>INV-2612-0326</v>
      </c>
    </row>
    <row r="4327" spans="11:11" x14ac:dyDescent="0.35">
      <c r="K4327" s="110" t="str">
        <v>INV-2612-0327</v>
      </c>
    </row>
    <row r="4328" spans="11:11" x14ac:dyDescent="0.35">
      <c r="K4328" s="110" t="str">
        <v>INV-2612-0328</v>
      </c>
    </row>
    <row r="4329" spans="11:11" x14ac:dyDescent="0.35">
      <c r="K4329" s="110" t="str">
        <v>INV-2612-0329</v>
      </c>
    </row>
    <row r="4330" spans="11:11" x14ac:dyDescent="0.35">
      <c r="K4330" s="110" t="str">
        <v>INV-2612-0330</v>
      </c>
    </row>
    <row r="4331" spans="11:11" x14ac:dyDescent="0.35">
      <c r="K4331" s="110" t="str">
        <v>INV-2612-0331</v>
      </c>
    </row>
    <row r="4332" spans="11:11" x14ac:dyDescent="0.35">
      <c r="K4332" s="110" t="str">
        <v>INV-2612-0332</v>
      </c>
    </row>
    <row r="4333" spans="11:11" x14ac:dyDescent="0.35">
      <c r="K4333" s="110" t="str">
        <v>INV-2612-0333</v>
      </c>
    </row>
    <row r="4334" spans="11:11" x14ac:dyDescent="0.35">
      <c r="K4334" s="110" t="str">
        <v>INV-2612-0334</v>
      </c>
    </row>
    <row r="4335" spans="11:11" x14ac:dyDescent="0.35">
      <c r="K4335" s="110" t="str">
        <v>INV-2612-0335</v>
      </c>
    </row>
    <row r="4336" spans="11:11" x14ac:dyDescent="0.35">
      <c r="K4336" s="110" t="str">
        <v>INV-2612-0336</v>
      </c>
    </row>
    <row r="4337" spans="11:11" x14ac:dyDescent="0.35">
      <c r="K4337" s="110" t="str">
        <v>INV-2612-0337</v>
      </c>
    </row>
    <row r="4338" spans="11:11" x14ac:dyDescent="0.35">
      <c r="K4338" s="110" t="str">
        <v>INV-2612-0338</v>
      </c>
    </row>
    <row r="4339" spans="11:11" x14ac:dyDescent="0.35">
      <c r="K4339" s="110" t="str">
        <v>INV-2612-0339</v>
      </c>
    </row>
    <row r="4340" spans="11:11" x14ac:dyDescent="0.35">
      <c r="K4340" s="110" t="str">
        <v>INV-2612-0340</v>
      </c>
    </row>
    <row r="4341" spans="11:11" x14ac:dyDescent="0.35">
      <c r="K4341" s="110" t="str">
        <v>INV-2612-0341</v>
      </c>
    </row>
    <row r="4342" spans="11:11" x14ac:dyDescent="0.35">
      <c r="K4342" s="110" t="str">
        <v>INV-2612-0342</v>
      </c>
    </row>
    <row r="4343" spans="11:11" x14ac:dyDescent="0.35">
      <c r="K4343" s="110" t="str">
        <v>INV-2612-0343</v>
      </c>
    </row>
    <row r="4344" spans="11:11" x14ac:dyDescent="0.35">
      <c r="K4344" s="110" t="str">
        <v>INV-2612-0344</v>
      </c>
    </row>
    <row r="4345" spans="11:11" x14ac:dyDescent="0.35">
      <c r="K4345" s="110" t="str">
        <v>INV-2612-0345</v>
      </c>
    </row>
    <row r="4346" spans="11:11" x14ac:dyDescent="0.35">
      <c r="K4346" s="110" t="str">
        <v>INV-2612-0346</v>
      </c>
    </row>
    <row r="4347" spans="11:11" x14ac:dyDescent="0.35">
      <c r="K4347" s="110" t="str">
        <v>INV-2612-0347</v>
      </c>
    </row>
    <row r="4348" spans="11:11" x14ac:dyDescent="0.35">
      <c r="K4348" s="110" t="str">
        <v>INV-2612-0348</v>
      </c>
    </row>
    <row r="4349" spans="11:11" x14ac:dyDescent="0.35">
      <c r="K4349" s="110" t="str">
        <v>INV-2612-0349</v>
      </c>
    </row>
    <row r="4350" spans="11:11" x14ac:dyDescent="0.35">
      <c r="K4350" s="110" t="str">
        <v>INV-2612-0350</v>
      </c>
    </row>
    <row r="4351" spans="11:11" x14ac:dyDescent="0.35">
      <c r="K4351" s="110" t="str">
        <v>INV-2612-0351</v>
      </c>
    </row>
    <row r="4352" spans="11:11" x14ac:dyDescent="0.35">
      <c r="K4352" s="110" t="str">
        <v>INV-2612-0352</v>
      </c>
    </row>
    <row r="4353" spans="11:11" x14ac:dyDescent="0.35">
      <c r="K4353" s="110" t="str">
        <v>INV-2612-0353</v>
      </c>
    </row>
    <row r="4354" spans="11:11" x14ac:dyDescent="0.35">
      <c r="K4354" s="110" t="str">
        <v>INV-2612-0354</v>
      </c>
    </row>
    <row r="4355" spans="11:11" x14ac:dyDescent="0.35">
      <c r="K4355" s="110" t="str">
        <v>INV-2612-0355</v>
      </c>
    </row>
    <row r="4356" spans="11:11" x14ac:dyDescent="0.35">
      <c r="K4356" s="110" t="str">
        <v>INV-2612-0356</v>
      </c>
    </row>
    <row r="4357" spans="11:11" x14ac:dyDescent="0.35">
      <c r="K4357" s="110" t="str">
        <v>INV-2612-0357</v>
      </c>
    </row>
    <row r="4358" spans="11:11" x14ac:dyDescent="0.35">
      <c r="K4358" s="110" t="str">
        <v>INV-2612-0358</v>
      </c>
    </row>
    <row r="4359" spans="11:11" x14ac:dyDescent="0.35">
      <c r="K4359" s="110" t="str">
        <v>INV-2612-0359</v>
      </c>
    </row>
    <row r="4360" spans="11:11" x14ac:dyDescent="0.35">
      <c r="K4360" s="110" t="str">
        <v>INV-2612-0360</v>
      </c>
    </row>
    <row r="4361" spans="11:11" x14ac:dyDescent="0.35">
      <c r="K4361" s="110" t="str">
        <v>INV-2612-0361</v>
      </c>
    </row>
    <row r="4362" spans="11:11" x14ac:dyDescent="0.35">
      <c r="K4362" s="110" t="str">
        <v>INV-2612-0362</v>
      </c>
    </row>
    <row r="4363" spans="11:11" x14ac:dyDescent="0.35">
      <c r="K4363" s="110" t="str">
        <v>INV-2612-0363</v>
      </c>
    </row>
    <row r="4364" spans="11:11" x14ac:dyDescent="0.35">
      <c r="K4364" s="110" t="str">
        <v>INV-2612-0364</v>
      </c>
    </row>
    <row r="4365" spans="11:11" x14ac:dyDescent="0.35">
      <c r="K4365" s="110" t="str">
        <v>INV-2612-0365</v>
      </c>
    </row>
    <row r="4366" spans="11:11" x14ac:dyDescent="0.35">
      <c r="K4366" s="110" t="str">
        <v>INV-2612-0366</v>
      </c>
    </row>
    <row r="4367" spans="11:11" x14ac:dyDescent="0.35">
      <c r="K4367" s="110" t="str">
        <v>INV-2612-0367</v>
      </c>
    </row>
    <row r="4368" spans="11:11" x14ac:dyDescent="0.35">
      <c r="K4368" s="110" t="str">
        <v>INV-2612-0368</v>
      </c>
    </row>
    <row r="4369" spans="11:11" x14ac:dyDescent="0.35">
      <c r="K4369" s="110" t="str">
        <v>INV-2612-0369</v>
      </c>
    </row>
    <row r="4370" spans="11:11" x14ac:dyDescent="0.35">
      <c r="K4370" s="110" t="str">
        <v>INV-2612-0370</v>
      </c>
    </row>
    <row r="4371" spans="11:11" x14ac:dyDescent="0.35">
      <c r="K4371" s="110" t="str">
        <v>INV-2612-0371</v>
      </c>
    </row>
    <row r="4372" spans="11:11" x14ac:dyDescent="0.35">
      <c r="K4372" s="110" t="str">
        <v>INV-2612-0372</v>
      </c>
    </row>
    <row r="4373" spans="11:11" x14ac:dyDescent="0.35">
      <c r="K4373" s="110" t="str">
        <v>INV-2612-0373</v>
      </c>
    </row>
    <row r="4374" spans="11:11" x14ac:dyDescent="0.35">
      <c r="K4374" s="110" t="str">
        <v>INV-2612-0374</v>
      </c>
    </row>
    <row r="4375" spans="11:11" x14ac:dyDescent="0.35">
      <c r="K4375" s="110" t="str">
        <v>INV-2612-0375</v>
      </c>
    </row>
    <row r="4376" spans="11:11" x14ac:dyDescent="0.35">
      <c r="K4376" s="110" t="str">
        <v>INV-2612-0376</v>
      </c>
    </row>
    <row r="4377" spans="11:11" x14ac:dyDescent="0.35">
      <c r="K4377" s="110" t="str">
        <v>INV-2612-0377</v>
      </c>
    </row>
    <row r="4378" spans="11:11" x14ac:dyDescent="0.35">
      <c r="K4378" s="110" t="str">
        <v>INV-2612-0378</v>
      </c>
    </row>
    <row r="4379" spans="11:11" x14ac:dyDescent="0.35">
      <c r="K4379" s="110" t="str">
        <v>INV-2612-0379</v>
      </c>
    </row>
    <row r="4380" spans="11:11" x14ac:dyDescent="0.35">
      <c r="K4380" s="110" t="str">
        <v>INV-2612-0380</v>
      </c>
    </row>
    <row r="4381" spans="11:11" x14ac:dyDescent="0.35">
      <c r="K4381" s="110" t="str">
        <v>INV-2612-0381</v>
      </c>
    </row>
    <row r="4382" spans="11:11" x14ac:dyDescent="0.35">
      <c r="K4382" s="110" t="str">
        <v>INV-2612-0382</v>
      </c>
    </row>
    <row r="4383" spans="11:11" x14ac:dyDescent="0.35">
      <c r="K4383" s="110" t="str">
        <v>INV-2612-0383</v>
      </c>
    </row>
    <row r="4384" spans="11:11" x14ac:dyDescent="0.35">
      <c r="K4384" s="110" t="str">
        <v>INV-2612-0384</v>
      </c>
    </row>
    <row r="4385" spans="11:11" x14ac:dyDescent="0.35">
      <c r="K4385" s="110" t="str">
        <v>INV-2612-0385</v>
      </c>
    </row>
    <row r="4386" spans="11:11" x14ac:dyDescent="0.35">
      <c r="K4386" s="110" t="str">
        <v>INV-2612-0386</v>
      </c>
    </row>
    <row r="4387" spans="11:11" x14ac:dyDescent="0.35">
      <c r="K4387" s="110" t="str">
        <v>INV-2612-0387</v>
      </c>
    </row>
    <row r="4388" spans="11:11" x14ac:dyDescent="0.35">
      <c r="K4388" s="110" t="str">
        <v>INV-2612-0388</v>
      </c>
    </row>
    <row r="4389" spans="11:11" x14ac:dyDescent="0.35">
      <c r="K4389" s="110" t="str">
        <v>INV-2612-0389</v>
      </c>
    </row>
    <row r="4390" spans="11:11" x14ac:dyDescent="0.35">
      <c r="K4390" s="110" t="str">
        <v>INV-2612-0390</v>
      </c>
    </row>
    <row r="4391" spans="11:11" x14ac:dyDescent="0.35">
      <c r="K4391" s="110" t="str">
        <v>INV-2612-0391</v>
      </c>
    </row>
    <row r="4392" spans="11:11" x14ac:dyDescent="0.35">
      <c r="K4392" s="110" t="str">
        <v>INV-2612-0392</v>
      </c>
    </row>
    <row r="4393" spans="11:11" x14ac:dyDescent="0.35">
      <c r="K4393" s="110" t="str">
        <v>INV-2612-0393</v>
      </c>
    </row>
    <row r="4394" spans="11:11" x14ac:dyDescent="0.35">
      <c r="K4394" s="110" t="str">
        <v>INV-2612-0394</v>
      </c>
    </row>
    <row r="4395" spans="11:11" x14ac:dyDescent="0.35">
      <c r="K4395" s="110" t="str">
        <v>INV-2612-0395</v>
      </c>
    </row>
    <row r="4396" spans="11:11" x14ac:dyDescent="0.35">
      <c r="K4396" s="110" t="str">
        <v>INV-2612-0396</v>
      </c>
    </row>
    <row r="4397" spans="11:11" x14ac:dyDescent="0.35">
      <c r="K4397" s="110" t="str">
        <v>INV-2612-0397</v>
      </c>
    </row>
    <row r="4398" spans="11:11" x14ac:dyDescent="0.35">
      <c r="K4398" s="110" t="str">
        <v>INV-2612-0398</v>
      </c>
    </row>
    <row r="4399" spans="11:11" x14ac:dyDescent="0.35">
      <c r="K4399" s="110" t="str">
        <v>INV-2612-0399</v>
      </c>
    </row>
    <row r="4400" spans="11:11" x14ac:dyDescent="0.35">
      <c r="K4400" s="110" t="str">
        <v>INV-2612-0400</v>
      </c>
    </row>
    <row r="4401" spans="11:11" x14ac:dyDescent="0.35">
      <c r="K4401" s="110" t="str">
        <v>INV-2612-0401</v>
      </c>
    </row>
    <row r="4402" spans="11:11" x14ac:dyDescent="0.35">
      <c r="K4402" s="110" t="str">
        <v>INV-2612-0402</v>
      </c>
    </row>
    <row r="4403" spans="11:11" x14ac:dyDescent="0.35">
      <c r="K4403" s="110" t="str">
        <v>INV-2612-0403</v>
      </c>
    </row>
    <row r="4404" spans="11:11" x14ac:dyDescent="0.35">
      <c r="K4404" s="110" t="str">
        <v>INV-2612-0404</v>
      </c>
    </row>
    <row r="4405" spans="11:11" x14ac:dyDescent="0.35">
      <c r="K4405" s="110" t="str">
        <v>INV-2612-0405</v>
      </c>
    </row>
    <row r="4406" spans="11:11" x14ac:dyDescent="0.35">
      <c r="K4406" s="110" t="str">
        <v>INV-2612-0406</v>
      </c>
    </row>
    <row r="4407" spans="11:11" x14ac:dyDescent="0.35">
      <c r="K4407" s="110" t="str">
        <v>INV-2612-0407</v>
      </c>
    </row>
    <row r="4408" spans="11:11" x14ac:dyDescent="0.35">
      <c r="K4408" s="110" t="str">
        <v>INV-2612-0408</v>
      </c>
    </row>
    <row r="4409" spans="11:11" x14ac:dyDescent="0.35">
      <c r="K4409" s="110" t="str">
        <v>INV-2612-0409</v>
      </c>
    </row>
    <row r="4410" spans="11:11" x14ac:dyDescent="0.35">
      <c r="K4410" s="110" t="str">
        <v>INV-2612-0410</v>
      </c>
    </row>
    <row r="4411" spans="11:11" x14ac:dyDescent="0.35">
      <c r="K4411" s="110" t="str">
        <v>INV-2612-0411</v>
      </c>
    </row>
    <row r="4412" spans="11:11" x14ac:dyDescent="0.35">
      <c r="K4412" s="110" t="str">
        <v>INV-2612-0412</v>
      </c>
    </row>
    <row r="4413" spans="11:11" x14ac:dyDescent="0.35">
      <c r="K4413" s="110" t="str">
        <v>INV-2612-0413</v>
      </c>
    </row>
    <row r="4414" spans="11:11" x14ac:dyDescent="0.35">
      <c r="K4414" s="110" t="str">
        <v>INV-2612-0414</v>
      </c>
    </row>
    <row r="4415" spans="11:11" x14ac:dyDescent="0.35">
      <c r="K4415" s="110" t="str">
        <v>INV-2612-0415</v>
      </c>
    </row>
    <row r="4416" spans="11:11" x14ac:dyDescent="0.35">
      <c r="K4416" s="110" t="str">
        <v>INV-2612-0416</v>
      </c>
    </row>
    <row r="4417" spans="11:11" x14ac:dyDescent="0.35">
      <c r="K4417" s="110" t="str">
        <v>INV-2612-0417</v>
      </c>
    </row>
    <row r="4418" spans="11:11" x14ac:dyDescent="0.35">
      <c r="K4418" s="110" t="str">
        <v>INV-2612-0418</v>
      </c>
    </row>
    <row r="4419" spans="11:11" x14ac:dyDescent="0.35">
      <c r="K4419" s="110" t="str">
        <v>INV-2612-0419</v>
      </c>
    </row>
    <row r="4420" spans="11:11" x14ac:dyDescent="0.35">
      <c r="K4420" s="110" t="str">
        <v>INV-2612-0420</v>
      </c>
    </row>
    <row r="4421" spans="11:11" x14ac:dyDescent="0.35">
      <c r="K4421" s="110" t="str">
        <v>INV-2612-0421</v>
      </c>
    </row>
    <row r="4422" spans="11:11" x14ac:dyDescent="0.35">
      <c r="K4422" s="110" t="str">
        <v>INV-2612-0422</v>
      </c>
    </row>
    <row r="4423" spans="11:11" x14ac:dyDescent="0.35">
      <c r="K4423" s="110" t="str">
        <v>INV-2612-0423</v>
      </c>
    </row>
    <row r="4424" spans="11:11" x14ac:dyDescent="0.35">
      <c r="K4424" s="110" t="str">
        <v>INV-2612-0424</v>
      </c>
    </row>
    <row r="4425" spans="11:11" x14ac:dyDescent="0.35">
      <c r="K4425" s="110" t="str">
        <v>INV-2612-0425</v>
      </c>
    </row>
    <row r="4426" spans="11:11" x14ac:dyDescent="0.35">
      <c r="K4426" s="110" t="str">
        <v>INV-2612-0426</v>
      </c>
    </row>
    <row r="4427" spans="11:11" x14ac:dyDescent="0.35">
      <c r="K4427" s="110" t="str">
        <v>INV-2612-0427</v>
      </c>
    </row>
    <row r="4428" spans="11:11" x14ac:dyDescent="0.35">
      <c r="K4428" s="110" t="str">
        <v>INV-2612-0428</v>
      </c>
    </row>
    <row r="4429" spans="11:11" x14ac:dyDescent="0.35">
      <c r="K4429" s="110" t="str">
        <v>INV-2612-0429</v>
      </c>
    </row>
    <row r="4430" spans="11:11" x14ac:dyDescent="0.35">
      <c r="K4430" s="110" t="str">
        <v>INV-2612-0430</v>
      </c>
    </row>
    <row r="4431" spans="11:11" x14ac:dyDescent="0.35">
      <c r="K4431" s="110" t="str">
        <v>INV-2612-0431</v>
      </c>
    </row>
    <row r="4432" spans="11:11" x14ac:dyDescent="0.35">
      <c r="K4432" s="110" t="str">
        <v>INV-2612-0432</v>
      </c>
    </row>
    <row r="4433" spans="11:11" x14ac:dyDescent="0.35">
      <c r="K4433" s="110" t="str">
        <v>INV-2612-0433</v>
      </c>
    </row>
    <row r="4434" spans="11:11" x14ac:dyDescent="0.35">
      <c r="K4434" s="110" t="str">
        <v>INV-2612-0434</v>
      </c>
    </row>
    <row r="4435" spans="11:11" x14ac:dyDescent="0.35">
      <c r="K4435" s="110" t="str">
        <v>INV-2612-0435</v>
      </c>
    </row>
    <row r="4436" spans="11:11" x14ac:dyDescent="0.35">
      <c r="K4436" s="110" t="str">
        <v>INV-2612-0436</v>
      </c>
    </row>
    <row r="4437" spans="11:11" x14ac:dyDescent="0.35">
      <c r="K4437" s="110" t="str">
        <v>INV-2612-0437</v>
      </c>
    </row>
    <row r="4438" spans="11:11" x14ac:dyDescent="0.35">
      <c r="K4438" s="110" t="str">
        <v>INV-2612-0438</v>
      </c>
    </row>
    <row r="4439" spans="11:11" x14ac:dyDescent="0.35">
      <c r="K4439" s="110" t="str">
        <v>INV-2612-0439</v>
      </c>
    </row>
    <row r="4440" spans="11:11" x14ac:dyDescent="0.35">
      <c r="K4440" s="110" t="str">
        <v>INV-2612-0440</v>
      </c>
    </row>
    <row r="4441" spans="11:11" x14ac:dyDescent="0.35">
      <c r="K4441" s="110" t="str">
        <v>INV-2612-0441</v>
      </c>
    </row>
    <row r="4442" spans="11:11" x14ac:dyDescent="0.35">
      <c r="K4442" s="110" t="str">
        <v>INV-2612-0442</v>
      </c>
    </row>
    <row r="4443" spans="11:11" x14ac:dyDescent="0.35">
      <c r="K4443" s="110" t="str">
        <v>INV-2612-0443</v>
      </c>
    </row>
    <row r="4444" spans="11:11" x14ac:dyDescent="0.35">
      <c r="K4444" s="110" t="str">
        <v>INV-2612-0444</v>
      </c>
    </row>
    <row r="4445" spans="11:11" x14ac:dyDescent="0.35">
      <c r="K4445" s="110" t="str">
        <v>INV-2612-0445</v>
      </c>
    </row>
    <row r="4446" spans="11:11" x14ac:dyDescent="0.35">
      <c r="K4446" s="110" t="str">
        <v>INV-2612-0446</v>
      </c>
    </row>
    <row r="4447" spans="11:11" x14ac:dyDescent="0.35">
      <c r="K4447" s="110" t="str">
        <v>INV-2612-0447</v>
      </c>
    </row>
    <row r="4448" spans="11:11" x14ac:dyDescent="0.35">
      <c r="K4448" s="110" t="str">
        <v>INV-2612-0448</v>
      </c>
    </row>
    <row r="4449" spans="11:11" x14ac:dyDescent="0.35">
      <c r="K4449" s="110" t="str">
        <v>INV-2612-0449</v>
      </c>
    </row>
    <row r="4450" spans="11:11" x14ac:dyDescent="0.35">
      <c r="K4450" s="110" t="str">
        <v>INV-2612-0450</v>
      </c>
    </row>
    <row r="4451" spans="11:11" x14ac:dyDescent="0.35">
      <c r="K4451" s="110" t="str">
        <v>INV-2612-0451</v>
      </c>
    </row>
    <row r="4452" spans="11:11" x14ac:dyDescent="0.35">
      <c r="K4452" s="110" t="str">
        <v>INV-2612-0452</v>
      </c>
    </row>
    <row r="4453" spans="11:11" x14ac:dyDescent="0.35">
      <c r="K4453" s="110" t="str">
        <v>INV-2612-0453</v>
      </c>
    </row>
    <row r="4454" spans="11:11" x14ac:dyDescent="0.35">
      <c r="K4454" s="110" t="str">
        <v>INV-2612-0454</v>
      </c>
    </row>
    <row r="4455" spans="11:11" x14ac:dyDescent="0.35">
      <c r="K4455" s="110" t="str">
        <v>INV-2612-0455</v>
      </c>
    </row>
    <row r="4456" spans="11:11" x14ac:dyDescent="0.35">
      <c r="K4456" s="110" t="str">
        <v>INV-2612-0456</v>
      </c>
    </row>
    <row r="4457" spans="11:11" x14ac:dyDescent="0.35">
      <c r="K4457" s="110" t="str">
        <v>INV-2612-0457</v>
      </c>
    </row>
    <row r="4458" spans="11:11" x14ac:dyDescent="0.35">
      <c r="K4458" s="110" t="str">
        <v>INV-2612-0458</v>
      </c>
    </row>
    <row r="4459" spans="11:11" x14ac:dyDescent="0.35">
      <c r="K4459" s="110" t="str">
        <v>INV-2612-0459</v>
      </c>
    </row>
    <row r="4460" spans="11:11" x14ac:dyDescent="0.35">
      <c r="K4460" s="110" t="str">
        <v>INV-2612-0460</v>
      </c>
    </row>
    <row r="4461" spans="11:11" x14ac:dyDescent="0.35">
      <c r="K4461" s="110" t="str">
        <v>INV-2612-0461</v>
      </c>
    </row>
    <row r="4462" spans="11:11" x14ac:dyDescent="0.35">
      <c r="K4462" s="110" t="str">
        <v>INV-2612-0462</v>
      </c>
    </row>
    <row r="4463" spans="11:11" x14ac:dyDescent="0.35">
      <c r="K4463" s="110" t="str">
        <v>INV-2612-0463</v>
      </c>
    </row>
    <row r="4464" spans="11:11" x14ac:dyDescent="0.35">
      <c r="K4464" s="110" t="str">
        <v>INV-2612-0464</v>
      </c>
    </row>
    <row r="4465" spans="11:11" x14ac:dyDescent="0.35">
      <c r="K4465" s="110" t="str">
        <v>INV-2612-0465</v>
      </c>
    </row>
    <row r="4466" spans="11:11" x14ac:dyDescent="0.35">
      <c r="K4466" s="110" t="str">
        <v>INV-2612-0466</v>
      </c>
    </row>
    <row r="4467" spans="11:11" x14ac:dyDescent="0.35">
      <c r="K4467" s="110" t="str">
        <v>INV-2612-0467</v>
      </c>
    </row>
    <row r="4468" spans="11:11" x14ac:dyDescent="0.35">
      <c r="K4468" s="110" t="str">
        <v>INV-2612-0468</v>
      </c>
    </row>
    <row r="4469" spans="11:11" x14ac:dyDescent="0.35">
      <c r="K4469" s="110" t="str">
        <v>INV-2612-0469</v>
      </c>
    </row>
    <row r="4470" spans="11:11" x14ac:dyDescent="0.35">
      <c r="K4470" s="110" t="str">
        <v>INV-2612-0470</v>
      </c>
    </row>
    <row r="4471" spans="11:11" x14ac:dyDescent="0.35">
      <c r="K4471" s="110" t="str">
        <v>INV-2612-0471</v>
      </c>
    </row>
    <row r="4472" spans="11:11" x14ac:dyDescent="0.35">
      <c r="K4472" s="110" t="str">
        <v>INV-2612-0472</v>
      </c>
    </row>
    <row r="4473" spans="11:11" x14ac:dyDescent="0.35">
      <c r="K4473" s="110" t="str">
        <v>INV-2612-0473</v>
      </c>
    </row>
    <row r="4474" spans="11:11" x14ac:dyDescent="0.35">
      <c r="K4474" s="110" t="str">
        <v>INV-2612-0474</v>
      </c>
    </row>
    <row r="4475" spans="11:11" x14ac:dyDescent="0.35">
      <c r="K4475" s="110" t="str">
        <v>INV-2612-0475</v>
      </c>
    </row>
    <row r="4476" spans="11:11" x14ac:dyDescent="0.35">
      <c r="K4476" s="110" t="str">
        <v>INV-2612-0476</v>
      </c>
    </row>
  </sheetData>
  <mergeCells count="30">
    <mergeCell ref="P2:Q2"/>
    <mergeCell ref="S2:T2"/>
    <mergeCell ref="V2:W2"/>
    <mergeCell ref="Y2:Z2"/>
    <mergeCell ref="AB2:AC2"/>
    <mergeCell ref="AE2:AF2"/>
    <mergeCell ref="F38:H38"/>
    <mergeCell ref="F39:H39"/>
    <mergeCell ref="B2:C2"/>
    <mergeCell ref="E2:F2"/>
    <mergeCell ref="J2:K2"/>
    <mergeCell ref="M2:N2"/>
    <mergeCell ref="F31:G31"/>
    <mergeCell ref="B29:E29"/>
    <mergeCell ref="B30:E30"/>
    <mergeCell ref="B31:E31"/>
    <mergeCell ref="B33:E33"/>
    <mergeCell ref="F34:H34"/>
    <mergeCell ref="C12:F12"/>
    <mergeCell ref="C13:F13"/>
    <mergeCell ref="C14:F14"/>
    <mergeCell ref="F28:G28"/>
    <mergeCell ref="F29:G29"/>
    <mergeCell ref="F30:G30"/>
    <mergeCell ref="B6:E6"/>
    <mergeCell ref="F6:H6"/>
    <mergeCell ref="B7:E7"/>
    <mergeCell ref="B8:E8"/>
    <mergeCell ref="F7:H7"/>
    <mergeCell ref="C11:F11"/>
  </mergeCells>
  <dataValidations count="1">
    <dataValidation type="list" allowBlank="1" showInputMessage="1" showErrorMessage="1" sqref="H10" xr:uid="{18BDEC90-82AF-4324-8B69-B11C20FA0236}">
      <formula1>$K$7:$K$7000</formula1>
    </dataValidation>
  </dataValidations>
  <hyperlinks>
    <hyperlink ref="B2:C2" location="'Dashboard'!A1" tooltip="Go to Dashboard" display="🏠 HOME" xr:uid="{703301E5-B7DC-4866-8493-CD0CFE59DEBA}"/>
    <hyperlink ref="E2:F2" location="'Bank Reconciliation'!A1" tooltip="Go to Bank Reconciliation" display="◀ PREV" xr:uid="{D037F949-5E85-47E1-B1AA-3BA728ECE6F2}"/>
    <hyperlink ref="H2" location="'Ratios'!A1" tooltip="Go to Ratios" display="NEXT ▶" xr:uid="{B122E321-ADBF-40D0-813F-0C6076008843}"/>
    <hyperlink ref="J2:K2" location="'Dashboard'!B5" tooltip="Go to Dashboard" display="☰ MENU" xr:uid="{E03CA4AF-AF93-4077-AB12-02A85CB07A94}"/>
    <hyperlink ref="M2:N2" location="'General Journal'!A1" tooltip="Go to General Journal" display="Journal" xr:uid="{2190FAFF-5FA3-47B7-B15F-76584A20DADF}"/>
    <hyperlink ref="P2:Q2" location="'Trial Balance'!A1" tooltip="Go to Trial Balance" display="Trial Bal." xr:uid="{D3A7AA6C-0E2F-4673-8E7F-BB472FBE23FF}"/>
    <hyperlink ref="S2:T2" location="'Income Statement'!A1" tooltip="Go to Income Statement" display="Income St." xr:uid="{88746153-A06F-4EF3-BA8A-7FF0579E08C4}"/>
    <hyperlink ref="V2:W2" location="'Balance Sheet'!A1" tooltip="Go to Balance Sheet" display="Balance Sh." xr:uid="{EFC7112B-D0BF-4A41-8D7D-98D8C6747ECF}"/>
    <hyperlink ref="Y2:Z2" location="'Tax Reconciliation'!A1" tooltip="Go to Tax Reconciliation" display="Tax Recon" xr:uid="{AA257EAB-65FC-44DE-92C9-B9883F5F3667}"/>
    <hyperlink ref="AB2:AC2" location="'Bank Reconciliation'!A1" tooltip="Go to Bank Reconciliation" display="Bank Recon" xr:uid="{880E110C-5694-4956-B960-C4A863BB729D}"/>
    <hyperlink ref="AE2:AF2" location="'Controls'!A1" tooltip="Go to Controls" display="Controls" xr:uid="{62CFFFDC-786B-47B8-9A57-CABC46C2238F}"/>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07F6-8ECD-40D1-8557-955719B4793B}">
  <sheetPr>
    <tabColor rgb="FF0EA5E9"/>
  </sheetPr>
  <dimension ref="A1:BH28"/>
  <sheetViews>
    <sheetView showGridLines="0" workbookViewId="0"/>
  </sheetViews>
  <sheetFormatPr defaultRowHeight="14.5" x14ac:dyDescent="0.35"/>
  <cols>
    <col min="1" max="1" width="1.453125" style="1" customWidth="1"/>
    <col min="2" max="2" width="30.90625" style="1" customWidth="1"/>
    <col min="3" max="3" width="38.1796875" style="1" customWidth="1"/>
    <col min="4" max="5" width="13.6328125" style="1" customWidth="1"/>
    <col min="6" max="6" width="6.36328125" style="1" customWidth="1"/>
    <col min="7" max="7" width="14.54296875" style="1" customWidth="1"/>
    <col min="8" max="8" width="40" style="1" customWidth="1"/>
    <col min="9" max="52" width="8.7265625" style="1"/>
  </cols>
  <sheetData>
    <row r="1" spans="1:60" ht="5" customHeight="1" x14ac:dyDescent="0.35"/>
    <row r="2" spans="1:60" ht="18" customHeight="1" thickBot="1" x14ac:dyDescent="0.4">
      <c r="A2" s="307"/>
      <c r="B2" s="308" t="s">
        <v>7075</v>
      </c>
      <c r="C2" s="307"/>
      <c r="D2" s="309" t="s">
        <v>7076</v>
      </c>
      <c r="E2" s="307"/>
      <c r="F2" s="310" t="s">
        <v>7077</v>
      </c>
      <c r="G2" s="311"/>
      <c r="H2" s="307"/>
      <c r="I2" s="312" t="s">
        <v>7078</v>
      </c>
      <c r="J2" s="313"/>
      <c r="K2" s="307"/>
      <c r="L2" s="314" t="s">
        <v>7079</v>
      </c>
      <c r="M2" s="315"/>
      <c r="N2" s="307"/>
      <c r="O2" s="314" t="s">
        <v>7080</v>
      </c>
      <c r="P2" s="315"/>
      <c r="Q2" s="307"/>
      <c r="R2" s="314" t="s">
        <v>7081</v>
      </c>
      <c r="S2" s="315"/>
      <c r="T2" s="307"/>
      <c r="U2" s="314" t="s">
        <v>7082</v>
      </c>
      <c r="V2" s="315"/>
      <c r="W2" s="307"/>
      <c r="X2" s="314" t="s">
        <v>7083</v>
      </c>
      <c r="Y2" s="315"/>
      <c r="Z2" s="307"/>
      <c r="AA2" s="314" t="s">
        <v>7084</v>
      </c>
      <c r="AB2" s="315"/>
      <c r="AC2" s="307"/>
      <c r="AD2" s="314" t="s">
        <v>7085</v>
      </c>
      <c r="AE2" s="315"/>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6857</v>
      </c>
      <c r="C4" s="67"/>
      <c r="D4" s="67"/>
      <c r="E4" s="67"/>
      <c r="F4" s="67"/>
      <c r="G4" s="67"/>
      <c r="H4" s="67"/>
    </row>
    <row r="5" spans="1:60" x14ac:dyDescent="0.35">
      <c r="B5" s="72" t="str">
        <f>PeriodTitle&amp;"  •  Annualised where marked (×12/"&amp;CutOff&amp;")"</f>
        <v>For the Period from 1 January to 31 October 2026  •  Annualised where marked (×12/10)</v>
      </c>
    </row>
    <row r="7" spans="1:60" x14ac:dyDescent="0.35">
      <c r="B7" s="68" t="s">
        <v>6858</v>
      </c>
      <c r="C7" s="68" t="s">
        <v>6859</v>
      </c>
      <c r="D7" s="68" t="s">
        <v>6860</v>
      </c>
      <c r="E7" s="68" t="s">
        <v>4275</v>
      </c>
      <c r="F7" s="68" t="s">
        <v>6861</v>
      </c>
      <c r="G7" s="68" t="s">
        <v>4276</v>
      </c>
      <c r="H7" s="68" t="s">
        <v>6862</v>
      </c>
    </row>
    <row r="8" spans="1:60" x14ac:dyDescent="0.35">
      <c r="B8" s="191" t="s">
        <v>6863</v>
      </c>
      <c r="C8" s="191"/>
      <c r="D8" s="191"/>
      <c r="E8" s="192"/>
      <c r="F8" s="193"/>
      <c r="G8" s="191"/>
      <c r="H8" s="191"/>
    </row>
    <row r="9" spans="1:60" x14ac:dyDescent="0.35">
      <c r="B9" s="73" t="s">
        <v>6864</v>
      </c>
      <c r="C9" s="73" t="s">
        <v>6865</v>
      </c>
      <c r="D9" s="194">
        <f>'Balance Sheet'!E20/'Balance Sheet'!E36</f>
        <v>3.3235778275799013</v>
      </c>
      <c r="E9" s="195">
        <v>1.5</v>
      </c>
      <c r="F9" s="177" t="s">
        <v>4277</v>
      </c>
      <c r="G9" s="117" t="str">
        <f>IF(F9="≥",IF(D9&gt;=E9,"✔ Healthy","⚠ Watch"),IF(D9&lt;=E9,"✔ Healthy","⚠ Watch"))</f>
        <v>✔ Healthy</v>
      </c>
      <c r="H9" s="73" t="s">
        <v>6866</v>
      </c>
    </row>
    <row r="10" spans="1:60" x14ac:dyDescent="0.35">
      <c r="B10" s="73" t="s">
        <v>6867</v>
      </c>
      <c r="C10" s="73" t="s">
        <v>6868</v>
      </c>
      <c r="D10" s="194">
        <f>('Balance Sheet'!E20-'Balance Sheet'!E17-'Balance Sheet'!E18)/'Balance Sheet'!E36</f>
        <v>2.4115835554992158</v>
      </c>
      <c r="E10" s="195">
        <v>1</v>
      </c>
      <c r="F10" s="177" t="s">
        <v>4277</v>
      </c>
      <c r="G10" s="117" t="str">
        <f>IF(F10="≥",IF(D10&gt;=E10,"✔ Healthy","⚠ Watch"),IF(D10&lt;=E10,"✔ Healthy","⚠ Watch"))</f>
        <v>✔ Healthy</v>
      </c>
      <c r="H10" s="73" t="s">
        <v>6869</v>
      </c>
    </row>
    <row r="11" spans="1:60" x14ac:dyDescent="0.35">
      <c r="B11" s="73" t="s">
        <v>6870</v>
      </c>
      <c r="C11" s="73" t="s">
        <v>6871</v>
      </c>
      <c r="D11" s="194">
        <f>'Balance Sheet'!E14/'Balance Sheet'!E36</f>
        <v>1.3341996126292681</v>
      </c>
      <c r="E11" s="195">
        <v>0.5</v>
      </c>
      <c r="F11" s="177" t="s">
        <v>4277</v>
      </c>
      <c r="G11" s="117" t="str">
        <f>IF(F11="≥",IF(D11&gt;=E11,"✔ Healthy","⚠ Watch"),IF(D11&lt;=E11,"✔ Healthy","⚠ Watch"))</f>
        <v>✔ Healthy</v>
      </c>
      <c r="H11" s="73" t="s">
        <v>6872</v>
      </c>
    </row>
    <row r="12" spans="1:60" x14ac:dyDescent="0.35">
      <c r="B12" s="196" t="s">
        <v>6873</v>
      </c>
      <c r="C12" s="196"/>
      <c r="D12" s="196"/>
      <c r="E12" s="197"/>
      <c r="F12" s="198"/>
      <c r="G12" s="196"/>
      <c r="H12" s="196"/>
    </row>
    <row r="13" spans="1:60" x14ac:dyDescent="0.35">
      <c r="B13" s="73" t="s">
        <v>6874</v>
      </c>
      <c r="C13" s="73" t="s">
        <v>6875</v>
      </c>
      <c r="D13" s="199">
        <f>GrossProfit/Revenue</f>
        <v>0.39805771783166743</v>
      </c>
      <c r="E13" s="200">
        <v>0.3</v>
      </c>
      <c r="F13" s="177" t="s">
        <v>4277</v>
      </c>
      <c r="G13" s="117" t="str">
        <f>IF(F13="≥",IF(D13&gt;=E13,"✔ Healthy","⚠ Watch"),IF(D13&lt;=E13,"✔ Healthy","⚠ Watch"))</f>
        <v>✔ Healthy</v>
      </c>
      <c r="H13" s="73" t="s">
        <v>6876</v>
      </c>
    </row>
    <row r="14" spans="1:60" x14ac:dyDescent="0.35">
      <c r="B14" s="73" t="s">
        <v>6877</v>
      </c>
      <c r="C14" s="73" t="s">
        <v>6878</v>
      </c>
      <c r="D14" s="199">
        <f>OpProfit/Revenue</f>
        <v>0.10821961734944471</v>
      </c>
      <c r="E14" s="200">
        <v>0.08</v>
      </c>
      <c r="F14" s="177" t="s">
        <v>4277</v>
      </c>
      <c r="G14" s="117" t="str">
        <f>IF(F14="≥",IF(D14&gt;=E14,"✔ Healthy","⚠ Watch"),IF(D14&lt;=E14,"✔ Healthy","⚠ Watch"))</f>
        <v>✔ Healthy</v>
      </c>
      <c r="H14" s="73" t="s">
        <v>6879</v>
      </c>
    </row>
    <row r="15" spans="1:60" x14ac:dyDescent="0.35">
      <c r="B15" s="73" t="s">
        <v>6880</v>
      </c>
      <c r="C15" s="73" t="s">
        <v>6881</v>
      </c>
      <c r="D15" s="199">
        <f>(OpProfit+'Cash Flow'!E15)/Revenue</f>
        <v>0.13740318653741027</v>
      </c>
      <c r="E15" s="200">
        <v>0.1</v>
      </c>
      <c r="F15" s="177" t="s">
        <v>4277</v>
      </c>
      <c r="G15" s="117" t="str">
        <f>IF(F15="≥",IF(D15&gt;=E15,"✔ Healthy","⚠ Watch"),IF(D15&lt;=E15,"✔ Healthy","⚠ Watch"))</f>
        <v>✔ Healthy</v>
      </c>
      <c r="H15" s="73" t="s">
        <v>6882</v>
      </c>
    </row>
    <row r="16" spans="1:60" x14ac:dyDescent="0.35">
      <c r="B16" s="73" t="s">
        <v>6883</v>
      </c>
      <c r="C16" s="73" t="s">
        <v>6884</v>
      </c>
      <c r="D16" s="199">
        <f>NetIncome/Revenue</f>
        <v>8.12931550103453E-2</v>
      </c>
      <c r="E16" s="200">
        <v>0.05</v>
      </c>
      <c r="F16" s="177" t="s">
        <v>4277</v>
      </c>
      <c r="G16" s="117" t="str">
        <f>IF(F16="≥",IF(D16&gt;=E16,"✔ Healthy","⚠ Watch"),IF(D16&lt;=E16,"✔ Healthy","⚠ Watch"))</f>
        <v>✔ Healthy</v>
      </c>
      <c r="H16" s="73" t="s">
        <v>6885</v>
      </c>
    </row>
    <row r="17" spans="2:8" x14ac:dyDescent="0.35">
      <c r="B17" s="73" t="s">
        <v>6886</v>
      </c>
      <c r="C17" s="73" t="s">
        <v>6887</v>
      </c>
      <c r="D17" s="199">
        <f>NetIncome*(12/CutOff)/AVERAGE('Balance Sheet'!E26,'Balance Sheet'!F26)</f>
        <v>0.15911664365058428</v>
      </c>
      <c r="E17" s="200">
        <v>0.05</v>
      </c>
      <c r="F17" s="177" t="s">
        <v>4277</v>
      </c>
      <c r="G17" s="117" t="str">
        <f>IF(F17="≥",IF(D17&gt;=E17,"✔ Healthy","⚠ Watch"),IF(D17&lt;=E17,"✔ Healthy","⚠ Watch"))</f>
        <v>✔ Healthy</v>
      </c>
      <c r="H17" s="73" t="s">
        <v>6888</v>
      </c>
    </row>
    <row r="18" spans="2:8" x14ac:dyDescent="0.35">
      <c r="B18" s="73" t="s">
        <v>6889</v>
      </c>
      <c r="C18" s="73" t="s">
        <v>6890</v>
      </c>
      <c r="D18" s="199">
        <f>NetIncome*(12/CutOff)/AVERAGE('Balance Sheet'!E48,'Balance Sheet'!F48)</f>
        <v>0.2660897337499849</v>
      </c>
      <c r="E18" s="200">
        <v>0.12</v>
      </c>
      <c r="F18" s="177" t="s">
        <v>4277</v>
      </c>
      <c r="G18" s="117" t="str">
        <f>IF(F18="≥",IF(D18&gt;=E18,"✔ Healthy","⚠ Watch"),IF(D18&lt;=E18,"✔ Healthy","⚠ Watch"))</f>
        <v>✔ Healthy</v>
      </c>
      <c r="H18" s="73" t="s">
        <v>6891</v>
      </c>
    </row>
    <row r="19" spans="2:8" x14ac:dyDescent="0.35">
      <c r="B19" s="196" t="s">
        <v>6892</v>
      </c>
      <c r="C19" s="196"/>
      <c r="D19" s="196"/>
      <c r="E19" s="197"/>
      <c r="F19" s="198"/>
      <c r="G19" s="196"/>
      <c r="H19" s="196"/>
    </row>
    <row r="20" spans="2:8" x14ac:dyDescent="0.35">
      <c r="B20" s="73" t="s">
        <v>6893</v>
      </c>
      <c r="C20" s="73" t="s">
        <v>6894</v>
      </c>
      <c r="D20" s="194">
        <f>TotalLiab/TotalEquity</f>
        <v>0.59510387201823212</v>
      </c>
      <c r="E20" s="195">
        <v>1.5</v>
      </c>
      <c r="F20" s="177" t="s">
        <v>4278</v>
      </c>
      <c r="G20" s="117" t="str">
        <f>IF(F20="≥",IF(D20&gt;=E20,"✔ Healthy","⚠ Watch"),IF(D20&lt;=E20,"✔ Healthy","⚠ Watch"))</f>
        <v>✔ Healthy</v>
      </c>
      <c r="H20" s="73" t="s">
        <v>6895</v>
      </c>
    </row>
    <row r="21" spans="2:8" x14ac:dyDescent="0.35">
      <c r="B21" s="73" t="s">
        <v>6896</v>
      </c>
      <c r="C21" s="73" t="s">
        <v>6897</v>
      </c>
      <c r="D21" s="199">
        <f>TotalLiab/TotalAssets</f>
        <v>0.37308157948690007</v>
      </c>
      <c r="E21" s="200">
        <v>0.6</v>
      </c>
      <c r="F21" s="177" t="s">
        <v>4278</v>
      </c>
      <c r="G21" s="117" t="str">
        <f>IF(F21="≥",IF(D21&gt;=E21,"✔ Healthy","⚠ Watch"),IF(D21&lt;=E21,"✔ Healthy","⚠ Watch"))</f>
        <v>✔ Healthy</v>
      </c>
      <c r="H21" s="73" t="s">
        <v>6898</v>
      </c>
    </row>
    <row r="22" spans="2:8" x14ac:dyDescent="0.35">
      <c r="B22" s="73" t="s">
        <v>6899</v>
      </c>
      <c r="C22" s="73" t="s">
        <v>6900</v>
      </c>
      <c r="D22" s="201">
        <f>IFERROR(OpProfit/-FinanceCosts,0)</f>
        <v>10.316882318110236</v>
      </c>
      <c r="E22" s="202">
        <v>3</v>
      </c>
      <c r="F22" s="177" t="s">
        <v>4277</v>
      </c>
      <c r="G22" s="117" t="str">
        <f>IF(F22="≥",IF(D22&gt;=E22,"✔ Healthy","⚠ Watch"),IF(D22&lt;=E22,"✔ Healthy","⚠ Watch"))</f>
        <v>✔ Healthy</v>
      </c>
      <c r="H22" s="73" t="s">
        <v>6901</v>
      </c>
    </row>
    <row r="23" spans="2:8" x14ac:dyDescent="0.35">
      <c r="B23" s="196" t="s">
        <v>6902</v>
      </c>
      <c r="C23" s="196"/>
      <c r="D23" s="196"/>
      <c r="E23" s="197"/>
      <c r="F23" s="198"/>
      <c r="G23" s="196"/>
      <c r="H23" s="196"/>
    </row>
    <row r="24" spans="2:8" x14ac:dyDescent="0.35">
      <c r="B24" s="73" t="s">
        <v>6903</v>
      </c>
      <c r="C24" s="73" t="s">
        <v>6904</v>
      </c>
      <c r="D24" s="194">
        <f>Revenue*(12/CutOff)/AVERAGE('Balance Sheet'!E26,'Balance Sheet'!F26)</f>
        <v>1.9573190833882044</v>
      </c>
      <c r="E24" s="195">
        <v>1</v>
      </c>
      <c r="F24" s="177" t="s">
        <v>4277</v>
      </c>
      <c r="G24" s="117" t="str">
        <f>IF(F24="≥",IF(D24&gt;=E24,"✔ Healthy","⚠ Watch"),IF(D24&lt;=E24,"✔ Healthy","⚠ Watch"))</f>
        <v>✔ Healthy</v>
      </c>
      <c r="H24" s="73" t="s">
        <v>6905</v>
      </c>
    </row>
    <row r="25" spans="2:8" x14ac:dyDescent="0.35">
      <c r="B25" s="73" t="s">
        <v>6906</v>
      </c>
      <c r="C25" s="73" t="s">
        <v>6907</v>
      </c>
      <c r="D25" s="203">
        <f>'Balance Sheet'!E15/(Revenue*(1+VATEff))*(CutOff*365/12)</f>
        <v>25.043380617574506</v>
      </c>
      <c r="E25" s="204">
        <v>45</v>
      </c>
      <c r="F25" s="177" t="s">
        <v>4278</v>
      </c>
      <c r="G25" s="117" t="str">
        <f>IF(F25="≥",IF(D25&gt;=E25,"✔ Healthy","⚠ Watch"),IF(D25&lt;=E25,"✔ Healthy","⚠ Watch"))</f>
        <v>✔ Healthy</v>
      </c>
      <c r="H25" s="73" t="s">
        <v>6908</v>
      </c>
    </row>
    <row r="26" spans="2:8" x14ac:dyDescent="0.35">
      <c r="B26" s="73" t="s">
        <v>6909</v>
      </c>
      <c r="C26" s="73" t="s">
        <v>6910</v>
      </c>
      <c r="D26" s="203">
        <f>'Balance Sheet'!E17/-'Income Statement'!E13*(CutOff*365/12)</f>
        <v>43.697410079593979</v>
      </c>
      <c r="E26" s="204">
        <v>60</v>
      </c>
      <c r="F26" s="177" t="s">
        <v>4278</v>
      </c>
      <c r="G26" s="117" t="str">
        <f>IF(F26="≥",IF(D26&gt;=E26,"✔ Healthy","⚠ Watch"),IF(D26&lt;=E26,"✔ Healthy","⚠ Watch"))</f>
        <v>✔ Healthy</v>
      </c>
      <c r="H26" s="73" t="s">
        <v>6911</v>
      </c>
    </row>
    <row r="27" spans="2:8" x14ac:dyDescent="0.35">
      <c r="B27" s="74" t="s">
        <v>6912</v>
      </c>
      <c r="C27" s="74" t="s">
        <v>6913</v>
      </c>
      <c r="D27" s="205">
        <f>'Balance Sheet'!E30/-'Income Statement'!E13*(CutOff*365/12)</f>
        <v>35.679252144992809</v>
      </c>
      <c r="E27" s="206">
        <v>30</v>
      </c>
      <c r="F27" s="207" t="s">
        <v>4277</v>
      </c>
      <c r="G27" s="208" t="str">
        <f>IF(F27="≥",IF(D27&gt;=E27,"✔ Healthy","⚠ Watch"),IF(D27&lt;=E27,"✔ Healthy","⚠ Watch"))</f>
        <v>✔ Healthy</v>
      </c>
      <c r="H27" s="74" t="s">
        <v>6914</v>
      </c>
    </row>
    <row r="28" spans="2:8" x14ac:dyDescent="0.35">
      <c r="B28" s="1" t="s">
        <v>6915</v>
      </c>
      <c r="C28" s="1" t="s">
        <v>4279</v>
      </c>
      <c r="D28" s="189">
        <f>D25+D26-D27</f>
        <v>33.061538552175669</v>
      </c>
      <c r="E28" s="190">
        <v>60</v>
      </c>
      <c r="F28" s="7" t="s">
        <v>4278</v>
      </c>
      <c r="G28" s="2" t="str">
        <f>IF(F28="≥",IF(D28&gt;=E28,"✔ Healthy","⚠ Watch"),IF(D28&lt;=E28,"✔ Healthy","⚠ Watch"))</f>
        <v>✔ Healthy</v>
      </c>
      <c r="H28" s="1" t="s">
        <v>6916</v>
      </c>
    </row>
  </sheetData>
  <mergeCells count="9">
    <mergeCell ref="X2:Y2"/>
    <mergeCell ref="AA2:AB2"/>
    <mergeCell ref="AD2:AE2"/>
    <mergeCell ref="F2:G2"/>
    <mergeCell ref="I2:J2"/>
    <mergeCell ref="L2:M2"/>
    <mergeCell ref="O2:P2"/>
    <mergeCell ref="R2:S2"/>
    <mergeCell ref="U2:V2"/>
  </mergeCells>
  <conditionalFormatting sqref="G8:G27">
    <cfRule type="containsText" dxfId="18" priority="1" operator="containsText" text="✔">
      <formula>NOT(ISERROR(SEARCH("✔",G8)))</formula>
    </cfRule>
  </conditionalFormatting>
  <conditionalFormatting sqref="G8:G27">
    <cfRule type="containsText" dxfId="17" priority="2" operator="containsText" text="⚠">
      <formula>NOT(ISERROR(SEARCH("⚠",G8)))</formula>
    </cfRule>
  </conditionalFormatting>
  <hyperlinks>
    <hyperlink ref="B2" location="'Dashboard'!A1" tooltip="Go to Dashboard" display="🏠 HOME" xr:uid="{7CFE9F8D-6B23-475B-A0DB-22F2D32D3BA4}"/>
    <hyperlink ref="D2" location="'Sales Invoice'!A1" tooltip="Go to Sales Invoice" display="◀ PREV" xr:uid="{0A14981D-6E0B-4BA7-83C0-722E922AB1F8}"/>
    <hyperlink ref="F2:G2" location="'Monthly P&amp;L'!A1" tooltip="Go to Monthly P&amp;L" display="NEXT ▶" xr:uid="{0C46B1A4-251B-42A6-8C8D-F78700643D47}"/>
    <hyperlink ref="I2:J2" location="'Dashboard'!B5" tooltip="Go to Dashboard" display="☰ MENU" xr:uid="{DC6E406F-4226-4F4C-84F4-51BAF6ED0D28}"/>
    <hyperlink ref="L2:M2" location="'General Journal'!A1" tooltip="Go to General Journal" display="Journal" xr:uid="{B69488CF-B867-41D5-AAE0-14CCCF793118}"/>
    <hyperlink ref="O2:P2" location="'Trial Balance'!A1" tooltip="Go to Trial Balance" display="Trial Bal." xr:uid="{5ECE3227-5295-4B5F-9E69-FD34A97CF65D}"/>
    <hyperlink ref="R2:S2" location="'Income Statement'!A1" tooltip="Go to Income Statement" display="Income St." xr:uid="{43C64630-EC3A-41F3-BD92-09ABE48FB5A2}"/>
    <hyperlink ref="U2:V2" location="'Balance Sheet'!A1" tooltip="Go to Balance Sheet" display="Balance Sh." xr:uid="{828DD346-5A80-4DAD-864B-5A32AA3791D6}"/>
    <hyperlink ref="X2:Y2" location="'Tax Reconciliation'!A1" tooltip="Go to Tax Reconciliation" display="Tax Recon" xr:uid="{FEE6ECD2-19AD-4C2F-9B29-6F2132BE4F76}"/>
    <hyperlink ref="AA2:AB2" location="'Bank Reconciliation'!A1" tooltip="Go to Bank Reconciliation" display="Bank Recon" xr:uid="{984573A1-9932-4C71-A295-2808C3CF9B77}"/>
    <hyperlink ref="AD2:AE2" location="'Controls'!A1" tooltip="Go to Controls" display="Controls" xr:uid="{34623EB2-5A20-41A3-B3BE-FD8AD81C233C}"/>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04B4-88E0-46CC-A5E1-13D1E94DE4A7}">
  <sheetPr>
    <tabColor rgb="FF0EA5E9"/>
  </sheetPr>
  <dimension ref="A1:BH28"/>
  <sheetViews>
    <sheetView showGridLines="0" workbookViewId="0"/>
  </sheetViews>
  <sheetFormatPr defaultRowHeight="14.5" x14ac:dyDescent="0.35"/>
  <cols>
    <col min="1" max="1" width="1.453125" style="1" customWidth="1"/>
    <col min="2" max="2" width="36.36328125" style="1" customWidth="1"/>
    <col min="3" max="3" width="1.81640625" style="216" customWidth="1"/>
    <col min="4" max="4" width="0.90625" style="1" customWidth="1"/>
    <col min="5" max="16" width="13.08984375" style="1" customWidth="1"/>
    <col min="17" max="17" width="16" style="1" customWidth="1"/>
    <col min="18" max="52" width="8.7265625" style="1"/>
  </cols>
  <sheetData>
    <row r="1" spans="1:60" ht="5" customHeight="1" x14ac:dyDescent="0.35"/>
    <row r="2" spans="1:60" ht="18" customHeight="1" thickBot="1" x14ac:dyDescent="0.4">
      <c r="A2" s="307"/>
      <c r="B2" s="308" t="s">
        <v>7075</v>
      </c>
      <c r="C2" s="307"/>
      <c r="D2" s="310" t="s">
        <v>7076</v>
      </c>
      <c r="E2" s="311"/>
      <c r="F2" s="307"/>
      <c r="G2" s="309" t="s">
        <v>7077</v>
      </c>
      <c r="H2" s="307"/>
      <c r="I2" s="308" t="s">
        <v>7078</v>
      </c>
      <c r="J2" s="307"/>
      <c r="K2" s="317" t="s">
        <v>7079</v>
      </c>
      <c r="L2" s="307"/>
      <c r="M2" s="317" t="s">
        <v>7080</v>
      </c>
      <c r="N2" s="307"/>
      <c r="O2" s="317" t="s">
        <v>7081</v>
      </c>
      <c r="P2" s="307"/>
      <c r="Q2" s="317" t="s">
        <v>7082</v>
      </c>
      <c r="R2" s="307"/>
      <c r="S2" s="314" t="s">
        <v>7083</v>
      </c>
      <c r="T2" s="315"/>
      <c r="U2" s="307"/>
      <c r="V2" s="314" t="s">
        <v>7084</v>
      </c>
      <c r="W2" s="315"/>
      <c r="X2" s="307"/>
      <c r="Y2" s="314" t="s">
        <v>7085</v>
      </c>
      <c r="Z2" s="315"/>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6917</v>
      </c>
      <c r="C4" s="67"/>
      <c r="D4" s="67"/>
      <c r="E4" s="67"/>
      <c r="F4" s="67"/>
      <c r="G4" s="67"/>
      <c r="H4" s="67"/>
      <c r="I4" s="67"/>
      <c r="J4" s="67"/>
      <c r="K4" s="67"/>
      <c r="L4" s="67"/>
      <c r="M4" s="67"/>
      <c r="N4" s="67"/>
      <c r="O4" s="67"/>
      <c r="P4" s="67"/>
      <c r="Q4" s="67"/>
    </row>
    <row r="5" spans="1:60" x14ac:dyDescent="0.35">
      <c r="B5" s="72" t="str">
        <f>"Months after the cut-off ("&amp;'Company Info'!C50&amp;") are shown in grey and excluded from YTD."</f>
        <v>Months after the cut-off (October) are shown in grey and excluded from YTD.</v>
      </c>
    </row>
    <row r="6" spans="1:60" x14ac:dyDescent="0.35">
      <c r="B6" s="68" t="s">
        <v>6918</v>
      </c>
      <c r="C6" s="68" t="s">
        <v>6919</v>
      </c>
      <c r="D6" s="68"/>
      <c r="E6" s="136" t="s">
        <v>4266</v>
      </c>
      <c r="F6" s="136" t="s">
        <v>4267</v>
      </c>
      <c r="G6" s="136" t="s">
        <v>4268</v>
      </c>
      <c r="H6" s="136" t="s">
        <v>4269</v>
      </c>
      <c r="I6" s="136" t="s">
        <v>4897</v>
      </c>
      <c r="J6" s="136" t="s">
        <v>4270</v>
      </c>
      <c r="K6" s="136" t="s">
        <v>4271</v>
      </c>
      <c r="L6" s="136" t="s">
        <v>4898</v>
      </c>
      <c r="M6" s="136" t="s">
        <v>4272</v>
      </c>
      <c r="N6" s="136" t="s">
        <v>4899</v>
      </c>
      <c r="O6" s="136" t="s">
        <v>4273</v>
      </c>
      <c r="P6" s="136" t="s">
        <v>4900</v>
      </c>
      <c r="Q6" s="215" t="s">
        <v>6920</v>
      </c>
    </row>
    <row r="7" spans="1:60" x14ac:dyDescent="0.35">
      <c r="E7" s="111">
        <v>1</v>
      </c>
      <c r="F7" s="111">
        <v>2</v>
      </c>
      <c r="G7" s="111">
        <v>3</v>
      </c>
      <c r="H7" s="111">
        <v>4</v>
      </c>
      <c r="I7" s="111">
        <v>5</v>
      </c>
      <c r="J7" s="111">
        <v>6</v>
      </c>
      <c r="K7" s="111">
        <v>7</v>
      </c>
      <c r="L7" s="111">
        <v>8</v>
      </c>
      <c r="M7" s="111">
        <v>9</v>
      </c>
      <c r="N7" s="111">
        <v>10</v>
      </c>
      <c r="O7" s="111">
        <v>11</v>
      </c>
      <c r="P7" s="111">
        <v>12</v>
      </c>
      <c r="Q7" s="209"/>
    </row>
    <row r="8" spans="1:60" x14ac:dyDescent="0.35">
      <c r="Q8" s="209"/>
    </row>
    <row r="9" spans="1:60" x14ac:dyDescent="0.35">
      <c r="B9" s="1" t="str">
        <f>IP_RevLabel</f>
        <v>Sales of goods</v>
      </c>
      <c r="C9" s="216" t="s">
        <v>5035</v>
      </c>
      <c r="E9" s="5">
        <f>SUMIFS(tblGJ[Credit],tblGJ[FS Line],$C9,tblGJ[Month],E$7)-SUMIFS(tblGJ[Debit],tblGJ[FS Line],$C9,tblGJ[Month],E$7)</f>
        <v>1072995000</v>
      </c>
      <c r="F9" s="5">
        <f>SUMIFS(tblGJ[Credit],tblGJ[FS Line],$C9,tblGJ[Month],F$7)-SUMIFS(tblGJ[Debit],tblGJ[FS Line],$C9,tblGJ[Month],F$7)</f>
        <v>964945000</v>
      </c>
      <c r="G9" s="5">
        <f>SUMIFS(tblGJ[Credit],tblGJ[FS Line],$C9,tblGJ[Month],G$7)-SUMIFS(tblGJ[Debit],tblGJ[FS Line],$C9,tblGJ[Month],G$7)</f>
        <v>1337465000</v>
      </c>
      <c r="H9" s="5">
        <f>SUMIFS(tblGJ[Credit],tblGJ[FS Line],$C9,tblGJ[Month],H$7)-SUMIFS(tblGJ[Debit],tblGJ[FS Line],$C9,tblGJ[Month],H$7)</f>
        <v>1095910000</v>
      </c>
      <c r="I9" s="5">
        <f>SUMIFS(tblGJ[Credit],tblGJ[FS Line],$C9,tblGJ[Month],I$7)-SUMIFS(tblGJ[Debit],tblGJ[FS Line],$C9,tblGJ[Month],I$7)</f>
        <v>1085175000</v>
      </c>
      <c r="J9" s="5">
        <f>SUMIFS(tblGJ[Credit],tblGJ[FS Line],$C9,tblGJ[Month],J$7)-SUMIFS(tblGJ[Debit],tblGJ[FS Line],$C9,tblGJ[Month],J$7)</f>
        <v>1143005000</v>
      </c>
      <c r="K9" s="5">
        <f>SUMIFS(tblGJ[Credit],tblGJ[FS Line],$C9,tblGJ[Month],K$7)-SUMIFS(tblGJ[Debit],tblGJ[FS Line],$C9,tblGJ[Month],K$7)</f>
        <v>1371895000</v>
      </c>
      <c r="L9" s="5">
        <f>SUMIFS(tblGJ[Credit],tblGJ[FS Line],$C9,tblGJ[Month],L$7)-SUMIFS(tblGJ[Debit],tblGJ[FS Line],$C9,tblGJ[Month],L$7)</f>
        <v>972790000</v>
      </c>
      <c r="M9" s="5">
        <f>SUMIFS(tblGJ[Credit],tblGJ[FS Line],$C9,tblGJ[Month],M$7)-SUMIFS(tblGJ[Debit],tblGJ[FS Line],$C9,tblGJ[Month],M$7)</f>
        <v>1052535000</v>
      </c>
      <c r="N9" s="5">
        <f>SUMIFS(tblGJ[Credit],tblGJ[FS Line],$C9,tblGJ[Month],N$7)-SUMIFS(tblGJ[Debit],tblGJ[FS Line],$C9,tblGJ[Month],N$7)</f>
        <v>1253850000</v>
      </c>
      <c r="O9" s="5">
        <f>SUMIFS(tblGJ[Credit],tblGJ[FS Line],$C9,tblGJ[Month],O$7)-SUMIFS(tblGJ[Debit],tblGJ[FS Line],$C9,tblGJ[Month],O$7)</f>
        <v>1146595000</v>
      </c>
      <c r="P9" s="5">
        <f>SUMIFS(tblGJ[Credit],tblGJ[FS Line],$C9,tblGJ[Month],P$7)-SUMIFS(tblGJ[Debit],tblGJ[FS Line],$C9,tblGJ[Month],P$7)</f>
        <v>1376205000</v>
      </c>
      <c r="Q9" s="210" cm="1">
        <f t="array" ref="Q9">SUMPRODUCT(($E$7:$P$7&lt;=CutOff)*E9:P9)</f>
        <v>11350565000</v>
      </c>
    </row>
    <row r="10" spans="1:60" x14ac:dyDescent="0.35">
      <c r="B10" s="1" t="str">
        <f>IP_CostLabel</f>
        <v>Cost of goods sold</v>
      </c>
      <c r="C10" s="216" t="s">
        <v>5037</v>
      </c>
      <c r="E10" s="5">
        <f>SUMIFS(tblGJ[Credit],tblGJ[FS Line],$C10,tblGJ[Month],E$7)-SUMIFS(tblGJ[Debit],tblGJ[FS Line],$C10,tblGJ[Month],E$7)</f>
        <v>-639772000</v>
      </c>
      <c r="F10" s="5">
        <f>SUMIFS(tblGJ[Credit],tblGJ[FS Line],$C10,tblGJ[Month],F$7)-SUMIFS(tblGJ[Debit],tblGJ[FS Line],$C10,tblGJ[Month],F$7)</f>
        <v>-578840000</v>
      </c>
      <c r="G10" s="5">
        <f>SUMIFS(tblGJ[Credit],tblGJ[FS Line],$C10,tblGJ[Month],G$7)-SUMIFS(tblGJ[Debit],tblGJ[FS Line],$C10,tblGJ[Month],G$7)</f>
        <v>-805660000</v>
      </c>
      <c r="H10" s="5">
        <f>SUMIFS(tblGJ[Credit],tblGJ[FS Line],$C10,tblGJ[Month],H$7)-SUMIFS(tblGJ[Debit],tblGJ[FS Line],$C10,tblGJ[Month],H$7)</f>
        <v>-661435000</v>
      </c>
      <c r="I10" s="5">
        <f>SUMIFS(tblGJ[Credit],tblGJ[FS Line],$C10,tblGJ[Month],I$7)-SUMIFS(tblGJ[Debit],tblGJ[FS Line],$C10,tblGJ[Month],I$7)</f>
        <v>-654953000</v>
      </c>
      <c r="J10" s="5">
        <f>SUMIFS(tblGJ[Credit],tblGJ[FS Line],$C10,tblGJ[Month],J$7)-SUMIFS(tblGJ[Debit],tblGJ[FS Line],$C10,tblGJ[Month],J$7)</f>
        <v>-685840000</v>
      </c>
      <c r="K10" s="5">
        <f>SUMIFS(tblGJ[Credit],tblGJ[FS Line],$C10,tblGJ[Month],K$7)-SUMIFS(tblGJ[Debit],tblGJ[FS Line],$C10,tblGJ[Month],K$7)</f>
        <v>-831207000</v>
      </c>
      <c r="L10" s="5">
        <f>SUMIFS(tblGJ[Credit],tblGJ[FS Line],$C10,tblGJ[Month],L$7)-SUMIFS(tblGJ[Debit],tblGJ[FS Line],$C10,tblGJ[Month],L$7)</f>
        <v>-582235000</v>
      </c>
      <c r="M10" s="5">
        <f>SUMIFS(tblGJ[Credit],tblGJ[FS Line],$C10,tblGJ[Month],M$7)-SUMIFS(tblGJ[Debit],tblGJ[FS Line],$C10,tblGJ[Month],M$7)</f>
        <v>-635583000</v>
      </c>
      <c r="N10" s="5">
        <f>SUMIFS(tblGJ[Credit],tblGJ[FS Line],$C10,tblGJ[Month],N$7)-SUMIFS(tblGJ[Debit],tblGJ[FS Line],$C10,tblGJ[Month],N$7)</f>
        <v>-756860000</v>
      </c>
      <c r="O10" s="5">
        <f>SUMIFS(tblGJ[Credit],tblGJ[FS Line],$C10,tblGJ[Month],O$7)-SUMIFS(tblGJ[Debit],tblGJ[FS Line],$C10,tblGJ[Month],O$7)</f>
        <v>-688782000</v>
      </c>
      <c r="P10" s="5">
        <f>SUMIFS(tblGJ[Credit],tblGJ[FS Line],$C10,tblGJ[Month],P$7)-SUMIFS(tblGJ[Debit],tblGJ[FS Line],$C10,tblGJ[Month],P$7)</f>
        <v>-828570000</v>
      </c>
      <c r="Q10" s="210" cm="1">
        <f t="array" ref="Q10">SUMPRODUCT(($E$7:$P$7&lt;=CutOff)*E10:P10)</f>
        <v>-6832385000</v>
      </c>
    </row>
    <row r="11" spans="1:60" x14ac:dyDescent="0.35">
      <c r="B11" s="2" t="s">
        <v>6921</v>
      </c>
      <c r="C11" s="217"/>
      <c r="D11" s="2"/>
      <c r="E11" s="13">
        <f>E9+E10</f>
        <v>433223000</v>
      </c>
      <c r="F11" s="13">
        <f>F9+F10</f>
        <v>386105000</v>
      </c>
      <c r="G11" s="13">
        <f>G9+G10</f>
        <v>531805000</v>
      </c>
      <c r="H11" s="13">
        <f>H9+H10</f>
        <v>434475000</v>
      </c>
      <c r="I11" s="13">
        <f>I9+I10</f>
        <v>430222000</v>
      </c>
      <c r="J11" s="13">
        <f>J9+J10</f>
        <v>457165000</v>
      </c>
      <c r="K11" s="13">
        <f>K9+K10</f>
        <v>540688000</v>
      </c>
      <c r="L11" s="13">
        <f>L9+L10</f>
        <v>390555000</v>
      </c>
      <c r="M11" s="13">
        <f>M9+M10</f>
        <v>416952000</v>
      </c>
      <c r="N11" s="13">
        <f>N9+N10</f>
        <v>496990000</v>
      </c>
      <c r="O11" s="13">
        <f>O9+O10</f>
        <v>457813000</v>
      </c>
      <c r="P11" s="13">
        <f>P9+P10</f>
        <v>547635000</v>
      </c>
      <c r="Q11" s="211" cm="1">
        <f t="array" ref="Q11">SUMPRODUCT(($E$7:$P$7&lt;=CutOff)*E11:P11)</f>
        <v>4518180000</v>
      </c>
    </row>
    <row r="12" spans="1:60" x14ac:dyDescent="0.35">
      <c r="B12" s="3" t="s">
        <v>6922</v>
      </c>
      <c r="C12" s="218"/>
      <c r="D12" s="3"/>
      <c r="E12" s="16">
        <f>IFERROR(E11/E9,0)</f>
        <v>0.40375118243794239</v>
      </c>
      <c r="F12" s="16">
        <f>IFERROR(F11/F9,0)</f>
        <v>0.40013161371891665</v>
      </c>
      <c r="G12" s="16">
        <f>IFERROR(G11/G9,0)</f>
        <v>0.3976216200050095</v>
      </c>
      <c r="H12" s="16">
        <f>IFERROR(H11/H9,0)</f>
        <v>0.3964513509321021</v>
      </c>
      <c r="I12" s="16">
        <f>IFERROR(I11/I9,0)</f>
        <v>0.39645402815214137</v>
      </c>
      <c r="J12" s="16">
        <f>IFERROR(J11/J9,0)</f>
        <v>0.39996762918797379</v>
      </c>
      <c r="K12" s="16">
        <f>IFERROR(K11/K9,0)</f>
        <v>0.39411762562003649</v>
      </c>
      <c r="L12" s="16">
        <f>IFERROR(L11/L9,0)</f>
        <v>0.40147925040347865</v>
      </c>
      <c r="M12" s="16">
        <f>IFERROR(M11/M9,0)</f>
        <v>0.39614074591343756</v>
      </c>
      <c r="N12" s="16">
        <f>IFERROR(N11/N9,0)</f>
        <v>0.39637117677553135</v>
      </c>
      <c r="O12" s="16">
        <f>IFERROR(O11/O9,0)</f>
        <v>0.39928047828570679</v>
      </c>
      <c r="P12" s="16">
        <f>IFERROR(P11/P9,0)</f>
        <v>0.39793126750738445</v>
      </c>
      <c r="Q12" s="212">
        <f>IFERROR(Q11/Q9,0)</f>
        <v>0.39805771783166743</v>
      </c>
    </row>
    <row r="13" spans="1:60" x14ac:dyDescent="0.35">
      <c r="B13" s="1" t="s">
        <v>5039</v>
      </c>
      <c r="C13" s="216" t="s">
        <v>5039</v>
      </c>
      <c r="E13" s="5">
        <f>SUMIFS(tblGJ[Credit],tblGJ[FS Line],$C13,tblGJ[Month],E$7)-SUMIFS(tblGJ[Debit],tblGJ[FS Line],$C13,tblGJ[Month],E$7)</f>
        <v>-112044376</v>
      </c>
      <c r="F13" s="5">
        <f>SUMIFS(tblGJ[Credit],tblGJ[FS Line],$C13,tblGJ[Month],F$7)-SUMIFS(tblGJ[Debit],tblGJ[FS Line],$C13,tblGJ[Month],F$7)</f>
        <v>-109642376</v>
      </c>
      <c r="G13" s="5">
        <f>SUMIFS(tblGJ[Credit],tblGJ[FS Line],$C13,tblGJ[Month],G$7)-SUMIFS(tblGJ[Debit],tblGJ[FS Line],$C13,tblGJ[Month],G$7)</f>
        <v>-198665376</v>
      </c>
      <c r="H13" s="5">
        <f>SUMIFS(tblGJ[Credit],tblGJ[FS Line],$C13,tblGJ[Month],H$7)-SUMIFS(tblGJ[Debit],tblGJ[FS Line],$C13,tblGJ[Month],H$7)</f>
        <v>-112996376</v>
      </c>
      <c r="I13" s="5">
        <f>SUMIFS(tblGJ[Credit],tblGJ[FS Line],$C13,tblGJ[Month],I$7)-SUMIFS(tblGJ[Debit],tblGJ[FS Line],$C13,tblGJ[Month],I$7)</f>
        <v>-112565376</v>
      </c>
      <c r="J13" s="5">
        <f>SUMIFS(tblGJ[Credit],tblGJ[FS Line],$C13,tblGJ[Month],J$7)-SUMIFS(tblGJ[Debit],tblGJ[FS Line],$C13,tblGJ[Month],J$7)</f>
        <v>-113947376</v>
      </c>
      <c r="K13" s="5">
        <f>SUMIFS(tblGJ[Credit],tblGJ[FS Line],$C13,tblGJ[Month],K$7)-SUMIFS(tblGJ[Debit],tblGJ[FS Line],$C13,tblGJ[Month],K$7)</f>
        <v>-118917376</v>
      </c>
      <c r="L13" s="5">
        <f>SUMIFS(tblGJ[Credit],tblGJ[FS Line],$C13,tblGJ[Month],L$7)-SUMIFS(tblGJ[Debit],tblGJ[FS Line],$C13,tblGJ[Month],L$7)</f>
        <v>-110741376</v>
      </c>
      <c r="M13" s="5">
        <f>SUMIFS(tblGJ[Credit],tblGJ[FS Line],$C13,tblGJ[Month],M$7)-SUMIFS(tblGJ[Debit],tblGJ[FS Line],$C13,tblGJ[Month],M$7)</f>
        <v>-111306376</v>
      </c>
      <c r="N13" s="5">
        <f>SUMIFS(tblGJ[Credit],tblGJ[FS Line],$C13,tblGJ[Month],N$7)-SUMIFS(tblGJ[Debit],tblGJ[FS Line],$C13,tblGJ[Month],N$7)</f>
        <v>-116516376</v>
      </c>
      <c r="O13" s="5">
        <f>SUMIFS(tblGJ[Credit],tblGJ[FS Line],$C13,tblGJ[Month],O$7)-SUMIFS(tblGJ[Debit],tblGJ[FS Line],$C13,tblGJ[Month],O$7)</f>
        <v>-113970376</v>
      </c>
      <c r="P13" s="5">
        <f>SUMIFS(tblGJ[Credit],tblGJ[FS Line],$C13,tblGJ[Month],P$7)-SUMIFS(tblGJ[Debit],tblGJ[FS Line],$C13,tblGJ[Month],P$7)</f>
        <v>-119255376</v>
      </c>
      <c r="Q13" s="210" cm="1">
        <f t="array" ref="Q13">SUMPRODUCT(($E$7:$P$7&lt;=CutOff)*E13:P13)</f>
        <v>-1217342760</v>
      </c>
    </row>
    <row r="14" spans="1:60" x14ac:dyDescent="0.35">
      <c r="B14" s="1" t="s">
        <v>5045</v>
      </c>
      <c r="C14" s="216" t="s">
        <v>5045</v>
      </c>
      <c r="E14" s="5">
        <f>SUMIFS(tblGJ[Credit],tblGJ[FS Line],$C14,tblGJ[Month],E$7)-SUMIFS(tblGJ[Debit],tblGJ[FS Line],$C14,tblGJ[Month],E$7)</f>
        <v>-176397044</v>
      </c>
      <c r="F14" s="5">
        <f>SUMIFS(tblGJ[Credit],tblGJ[FS Line],$C14,tblGJ[Month],F$7)-SUMIFS(tblGJ[Debit],tblGJ[FS Line],$C14,tblGJ[Month],F$7)</f>
        <v>-180554044</v>
      </c>
      <c r="G14" s="5">
        <f>SUMIFS(tblGJ[Credit],tblGJ[FS Line],$C14,tblGJ[Month],G$7)-SUMIFS(tblGJ[Debit],tblGJ[FS Line],$C14,tblGJ[Month],G$7)</f>
        <v>-306384044</v>
      </c>
      <c r="H14" s="5">
        <f>SUMIFS(tblGJ[Credit],tblGJ[FS Line],$C14,tblGJ[Month],H$7)-SUMIFS(tblGJ[Debit],tblGJ[FS Line],$C14,tblGJ[Month],H$7)</f>
        <v>-247985044</v>
      </c>
      <c r="I14" s="5">
        <f>SUMIFS(tblGJ[Credit],tblGJ[FS Line],$C14,tblGJ[Month],I$7)-SUMIFS(tblGJ[Debit],tblGJ[FS Line],$C14,tblGJ[Month],I$7)</f>
        <v>-180824044</v>
      </c>
      <c r="J14" s="5">
        <f>SUMIFS(tblGJ[Credit],tblGJ[FS Line],$C14,tblGJ[Month],J$7)-SUMIFS(tblGJ[Debit],tblGJ[FS Line],$C14,tblGJ[Month],J$7)</f>
        <v>-208573044</v>
      </c>
      <c r="K14" s="5">
        <f>SUMIFS(tblGJ[Credit],tblGJ[FS Line],$C14,tblGJ[Month],K$7)-SUMIFS(tblGJ[Debit],tblGJ[FS Line],$C14,tblGJ[Month],K$7)</f>
        <v>-182397044</v>
      </c>
      <c r="L14" s="5">
        <f>SUMIFS(tblGJ[Credit],tblGJ[FS Line],$C14,tblGJ[Month],L$7)-SUMIFS(tblGJ[Debit],tblGJ[FS Line],$C14,tblGJ[Month],L$7)</f>
        <v>-187437377</v>
      </c>
      <c r="M14" s="5">
        <f>SUMIFS(tblGJ[Credit],tblGJ[FS Line],$C14,tblGJ[Month],M$7)-SUMIFS(tblGJ[Debit],tblGJ[FS Line],$C14,tblGJ[Month],M$7)</f>
        <v>-213249377</v>
      </c>
      <c r="N14" s="5">
        <f>SUMIFS(tblGJ[Credit],tblGJ[FS Line],$C14,tblGJ[Month],N$7)-SUMIFS(tblGJ[Debit],tblGJ[FS Line],$C14,tblGJ[Month],N$7)</f>
        <v>-188682377</v>
      </c>
      <c r="O14" s="5">
        <f>SUMIFS(tblGJ[Credit],tblGJ[FS Line],$C14,tblGJ[Month],O$7)-SUMIFS(tblGJ[Debit],tblGJ[FS Line],$C14,tblGJ[Month],O$7)</f>
        <v>-186971377</v>
      </c>
      <c r="P14" s="5">
        <f>SUMIFS(tblGJ[Credit],tblGJ[FS Line],$C14,tblGJ[Month],P$7)-SUMIFS(tblGJ[Debit],tblGJ[FS Line],$C14,tblGJ[Month],P$7)</f>
        <v>-233629377</v>
      </c>
      <c r="Q14" s="210" cm="1">
        <f t="array" ref="Q14">SUMPRODUCT(($E$7:$P$7&lt;=CutOff)*E14:P14)</f>
        <v>-2072483439</v>
      </c>
    </row>
    <row r="15" spans="1:60" x14ac:dyDescent="0.35">
      <c r="B15" s="2" t="s">
        <v>6923</v>
      </c>
      <c r="C15" s="217"/>
      <c r="D15" s="2"/>
      <c r="E15" s="13">
        <f>E11+E13+E14</f>
        <v>144781580</v>
      </c>
      <c r="F15" s="13">
        <f>F11+F13+F14</f>
        <v>95908580</v>
      </c>
      <c r="G15" s="13">
        <f>G11+G13+G14</f>
        <v>26755580</v>
      </c>
      <c r="H15" s="13">
        <f>H11+H13+H14</f>
        <v>73493580</v>
      </c>
      <c r="I15" s="13">
        <f>I11+I13+I14</f>
        <v>136832580</v>
      </c>
      <c r="J15" s="13">
        <f>J11+J13+J14</f>
        <v>134644580</v>
      </c>
      <c r="K15" s="13">
        <f>K11+K13+K14</f>
        <v>239373580</v>
      </c>
      <c r="L15" s="13">
        <f>L11+L13+L14</f>
        <v>92376247</v>
      </c>
      <c r="M15" s="13">
        <f>M11+M13+M14</f>
        <v>92396247</v>
      </c>
      <c r="N15" s="13">
        <f>N11+N13+N14</f>
        <v>191791247</v>
      </c>
      <c r="O15" s="13">
        <f>O11+O13+O14</f>
        <v>156871247</v>
      </c>
      <c r="P15" s="13">
        <f>P11+P13+P14</f>
        <v>194750247</v>
      </c>
      <c r="Q15" s="211" cm="1">
        <f t="array" ref="Q15">SUMPRODUCT(($E$7:$P$7&lt;=CutOff)*E15:P15)</f>
        <v>1228353801</v>
      </c>
    </row>
    <row r="16" spans="1:60" x14ac:dyDescent="0.35">
      <c r="B16" s="1" t="s">
        <v>5058</v>
      </c>
      <c r="C16" s="216" t="s">
        <v>5058</v>
      </c>
      <c r="E16" s="5">
        <f>SUMIFS(tblGJ[Credit],tblGJ[FS Line],$C16,tblGJ[Month],E$7)-SUMIFS(tblGJ[Debit],tblGJ[FS Line],$C16,tblGJ[Month],E$7)</f>
        <v>2204358</v>
      </c>
      <c r="F16" s="5">
        <f>SUMIFS(tblGJ[Credit],tblGJ[FS Line],$C16,tblGJ[Month],F$7)-SUMIFS(tblGJ[Debit],tblGJ[FS Line],$C16,tblGJ[Month],F$7)</f>
        <v>2277730</v>
      </c>
      <c r="G16" s="5">
        <f>SUMIFS(tblGJ[Credit],tblGJ[FS Line],$C16,tblGJ[Month],G$7)-SUMIFS(tblGJ[Debit],tblGJ[FS Line],$C16,tblGJ[Month],G$7)</f>
        <v>2225435</v>
      </c>
      <c r="H16" s="5">
        <f>SUMIFS(tblGJ[Credit],tblGJ[FS Line],$C16,tblGJ[Month],H$7)-SUMIFS(tblGJ[Debit],tblGJ[FS Line],$C16,tblGJ[Month],H$7)</f>
        <v>2159864</v>
      </c>
      <c r="I16" s="5">
        <f>SUMIFS(tblGJ[Credit],tblGJ[FS Line],$C16,tblGJ[Month],I$7)-SUMIFS(tblGJ[Debit],tblGJ[FS Line],$C16,tblGJ[Month],I$7)</f>
        <v>2180743</v>
      </c>
      <c r="J16" s="5">
        <f>SUMIFS(tblGJ[Credit],tblGJ[FS Line],$C16,tblGJ[Month],J$7)-SUMIFS(tblGJ[Debit],tblGJ[FS Line],$C16,tblGJ[Month],J$7)</f>
        <v>2252378</v>
      </c>
      <c r="K16" s="5">
        <f>SUMIFS(tblGJ[Credit],tblGJ[FS Line],$C16,tblGJ[Month],K$7)-SUMIFS(tblGJ[Debit],tblGJ[FS Line],$C16,tblGJ[Month],K$7)</f>
        <v>2239756</v>
      </c>
      <c r="L16" s="5">
        <f>SUMIFS(tblGJ[Credit],tblGJ[FS Line],$C16,tblGJ[Month],L$7)-SUMIFS(tblGJ[Debit],tblGJ[FS Line],$C16,tblGJ[Month],L$7)</f>
        <v>2185271</v>
      </c>
      <c r="M16" s="5">
        <f>SUMIFS(tblGJ[Credit],tblGJ[FS Line],$C16,tblGJ[Month],M$7)-SUMIFS(tblGJ[Debit],tblGJ[FS Line],$C16,tblGJ[Month],M$7)</f>
        <v>2254862</v>
      </c>
      <c r="N16" s="5">
        <f>SUMIFS(tblGJ[Credit],tblGJ[FS Line],$C16,tblGJ[Month],N$7)-SUMIFS(tblGJ[Debit],tblGJ[FS Line],$C16,tblGJ[Month],N$7)</f>
        <v>1666667</v>
      </c>
      <c r="O16" s="5">
        <f>SUMIFS(tblGJ[Credit],tblGJ[FS Line],$C16,tblGJ[Month],O$7)-SUMIFS(tblGJ[Debit],tblGJ[FS Line],$C16,tblGJ[Month],O$7)</f>
        <v>2141292</v>
      </c>
      <c r="P16" s="5">
        <f>SUMIFS(tblGJ[Credit],tblGJ[FS Line],$C16,tblGJ[Month],P$7)-SUMIFS(tblGJ[Debit],tblGJ[FS Line],$C16,tblGJ[Month],P$7)</f>
        <v>2130005</v>
      </c>
      <c r="Q16" s="210" cm="1">
        <f t="array" ref="Q16">SUMPRODUCT(($E$7:$P$7&lt;=CutOff)*E16:P16)</f>
        <v>21647064</v>
      </c>
    </row>
    <row r="17" spans="2:17" x14ac:dyDescent="0.35">
      <c r="B17" s="1" t="s">
        <v>5061</v>
      </c>
      <c r="C17" s="216" t="s">
        <v>5061</v>
      </c>
      <c r="E17" s="5">
        <f>SUMIFS(tblGJ[Credit],tblGJ[FS Line],$C17,tblGJ[Month],E$7)-SUMIFS(tblGJ[Debit],tblGJ[FS Line],$C17,tblGJ[Month],E$7)</f>
        <v>-13750000</v>
      </c>
      <c r="F17" s="5">
        <f>SUMIFS(tblGJ[Credit],tblGJ[FS Line],$C17,tblGJ[Month],F$7)-SUMIFS(tblGJ[Debit],tblGJ[FS Line],$C17,tblGJ[Month],F$7)</f>
        <v>-13562500</v>
      </c>
      <c r="G17" s="5">
        <f>SUMIFS(tblGJ[Credit],tblGJ[FS Line],$C17,tblGJ[Month],G$7)-SUMIFS(tblGJ[Debit],tblGJ[FS Line],$C17,tblGJ[Month],G$7)</f>
        <v>-13375000</v>
      </c>
      <c r="H17" s="5">
        <f>SUMIFS(tblGJ[Credit],tblGJ[FS Line],$C17,tblGJ[Month],H$7)-SUMIFS(tblGJ[Debit],tblGJ[FS Line],$C17,tblGJ[Month],H$7)</f>
        <v>-13187500</v>
      </c>
      <c r="I17" s="5">
        <f>SUMIFS(tblGJ[Credit],tblGJ[FS Line],$C17,tblGJ[Month],I$7)-SUMIFS(tblGJ[Debit],tblGJ[FS Line],$C17,tblGJ[Month],I$7)</f>
        <v>-13000000</v>
      </c>
      <c r="J17" s="5">
        <f>SUMIFS(tblGJ[Credit],tblGJ[FS Line],$C17,tblGJ[Month],J$7)-SUMIFS(tblGJ[Debit],tblGJ[FS Line],$C17,tblGJ[Month],J$7)</f>
        <v>-12812500</v>
      </c>
      <c r="K17" s="5">
        <f>SUMIFS(tblGJ[Credit],tblGJ[FS Line],$C17,tblGJ[Month],K$7)-SUMIFS(tblGJ[Debit],tblGJ[FS Line],$C17,tblGJ[Month],K$7)</f>
        <v>-10125000</v>
      </c>
      <c r="L17" s="5">
        <f>SUMIFS(tblGJ[Credit],tblGJ[FS Line],$C17,tblGJ[Month],L$7)-SUMIFS(tblGJ[Debit],tblGJ[FS Line],$C17,tblGJ[Month],L$7)</f>
        <v>-9937500</v>
      </c>
      <c r="M17" s="5">
        <f>SUMIFS(tblGJ[Credit],tblGJ[FS Line],$C17,tblGJ[Month],M$7)-SUMIFS(tblGJ[Debit],tblGJ[FS Line],$C17,tblGJ[Month],M$7)</f>
        <v>-9750000</v>
      </c>
      <c r="N17" s="5">
        <f>SUMIFS(tblGJ[Credit],tblGJ[FS Line],$C17,tblGJ[Month],N$7)-SUMIFS(tblGJ[Debit],tblGJ[FS Line],$C17,tblGJ[Month],N$7)</f>
        <v>-9562500</v>
      </c>
      <c r="O17" s="5">
        <f>SUMIFS(tblGJ[Credit],tblGJ[FS Line],$C17,tblGJ[Month],O$7)-SUMIFS(tblGJ[Debit],tblGJ[FS Line],$C17,tblGJ[Month],O$7)</f>
        <v>-9375000</v>
      </c>
      <c r="P17" s="5">
        <f>SUMIFS(tblGJ[Credit],tblGJ[FS Line],$C17,tblGJ[Month],P$7)-SUMIFS(tblGJ[Debit],tblGJ[FS Line],$C17,tblGJ[Month],P$7)</f>
        <v>-9187500</v>
      </c>
      <c r="Q17" s="210" cm="1">
        <f t="array" ref="Q17">SUMPRODUCT(($E$7:$P$7&lt;=CutOff)*E17:P17)</f>
        <v>-119062500</v>
      </c>
    </row>
    <row r="18" spans="2:17" x14ac:dyDescent="0.35">
      <c r="B18" s="1" t="s">
        <v>5063</v>
      </c>
      <c r="C18" s="216" t="s">
        <v>5063</v>
      </c>
      <c r="E18" s="5">
        <f>SUMIFS(tblGJ[Credit],tblGJ[FS Line],$C18,tblGJ[Month],E$7)-SUMIFS(tblGJ[Debit],tblGJ[FS Line],$C18,tblGJ[Month],E$7)</f>
        <v>-709372</v>
      </c>
      <c r="F18" s="5">
        <f>SUMIFS(tblGJ[Credit],tblGJ[FS Line],$C18,tblGJ[Month],F$7)-SUMIFS(tblGJ[Debit],tblGJ[FS Line],$C18,tblGJ[Month],F$7)</f>
        <v>-724047</v>
      </c>
      <c r="G18" s="5">
        <f>SUMIFS(tblGJ[Credit],tblGJ[FS Line],$C18,tblGJ[Month],G$7)-SUMIFS(tblGJ[Debit],tblGJ[FS Line],$C18,tblGJ[Month],G$7)</f>
        <v>-713587</v>
      </c>
      <c r="H18" s="5">
        <f>SUMIFS(tblGJ[Credit],tblGJ[FS Line],$C18,tblGJ[Month],H$7)-SUMIFS(tblGJ[Debit],tblGJ[FS Line],$C18,tblGJ[Month],H$7)</f>
        <v>-700473</v>
      </c>
      <c r="I18" s="5">
        <f>SUMIFS(tblGJ[Credit],tblGJ[FS Line],$C18,tblGJ[Month],I$7)-SUMIFS(tblGJ[Debit],tblGJ[FS Line],$C18,tblGJ[Month],I$7)</f>
        <v>-704649</v>
      </c>
      <c r="J18" s="5">
        <f>SUMIFS(tblGJ[Credit],tblGJ[FS Line],$C18,tblGJ[Month],J$7)-SUMIFS(tblGJ[Debit],tblGJ[FS Line],$C18,tblGJ[Month],J$7)</f>
        <v>-718976</v>
      </c>
      <c r="K18" s="5">
        <f>SUMIFS(tblGJ[Credit],tblGJ[FS Line],$C18,tblGJ[Month],K$7)-SUMIFS(tblGJ[Debit],tblGJ[FS Line],$C18,tblGJ[Month],K$7)</f>
        <v>-716452</v>
      </c>
      <c r="L18" s="5">
        <f>SUMIFS(tblGJ[Credit],tblGJ[FS Line],$C18,tblGJ[Month],L$7)-SUMIFS(tblGJ[Debit],tblGJ[FS Line],$C18,tblGJ[Month],L$7)</f>
        <v>-705554</v>
      </c>
      <c r="M18" s="5">
        <f>SUMIFS(tblGJ[Credit],tblGJ[FS Line],$C18,tblGJ[Month],M$7)-SUMIFS(tblGJ[Debit],tblGJ[FS Line],$C18,tblGJ[Month],M$7)</f>
        <v>-719473</v>
      </c>
      <c r="N18" s="5">
        <f>SUMIFS(tblGJ[Credit],tblGJ[FS Line],$C18,tblGJ[Month],N$7)-SUMIFS(tblGJ[Debit],tblGJ[FS Line],$C18,tblGJ[Month],N$7)</f>
        <v>-333334</v>
      </c>
      <c r="O18" s="5">
        <f>SUMIFS(tblGJ[Credit],tblGJ[FS Line],$C18,tblGJ[Month],O$7)-SUMIFS(tblGJ[Debit],tblGJ[FS Line],$C18,tblGJ[Month],O$7)</f>
        <v>-696759</v>
      </c>
      <c r="P18" s="5">
        <f>SUMIFS(tblGJ[Credit],tblGJ[FS Line],$C18,tblGJ[Month],P$7)-SUMIFS(tblGJ[Debit],tblGJ[FS Line],$C18,tblGJ[Month],P$7)</f>
        <v>-694501</v>
      </c>
      <c r="Q18" s="210" cm="1">
        <f t="array" ref="Q18">SUMPRODUCT(($E$7:$P$7&lt;=CutOff)*E18:P18)</f>
        <v>-6745917</v>
      </c>
    </row>
    <row r="19" spans="2:17" x14ac:dyDescent="0.35">
      <c r="B19" s="2" t="s">
        <v>6924</v>
      </c>
      <c r="C19" s="217"/>
      <c r="D19" s="2"/>
      <c r="E19" s="13">
        <f>E15+E16+E17+E18</f>
        <v>132526566</v>
      </c>
      <c r="F19" s="13">
        <f>F15+F16+F17+F18</f>
        <v>83899763</v>
      </c>
      <c r="G19" s="13">
        <f>G15+G16+G17+G18</f>
        <v>14892428</v>
      </c>
      <c r="H19" s="13">
        <f>H15+H16+H17+H18</f>
        <v>61765471</v>
      </c>
      <c r="I19" s="13">
        <f>I15+I16+I17+I18</f>
        <v>125308674</v>
      </c>
      <c r="J19" s="13">
        <f>J15+J16+J17+J18</f>
        <v>123365482</v>
      </c>
      <c r="K19" s="13">
        <f>K15+K16+K17+K18</f>
        <v>230771884</v>
      </c>
      <c r="L19" s="13">
        <f>L15+L16+L17+L18</f>
        <v>83918464</v>
      </c>
      <c r="M19" s="13">
        <f>M15+M16+M17+M18</f>
        <v>84181636</v>
      </c>
      <c r="N19" s="13">
        <f>N15+N16+N17+N18</f>
        <v>183562080</v>
      </c>
      <c r="O19" s="13">
        <f>O15+O16+O17+O18</f>
        <v>148940780</v>
      </c>
      <c r="P19" s="13">
        <f>P15+P16+P17+P18</f>
        <v>186998251</v>
      </c>
      <c r="Q19" s="211" cm="1">
        <f t="array" ref="Q19">SUMPRODUCT(($E$7:$P$7&lt;=CutOff)*E19:P19)</f>
        <v>1124192448</v>
      </c>
    </row>
    <row r="20" spans="2:17" x14ac:dyDescent="0.35">
      <c r="B20" s="1" t="s">
        <v>6925</v>
      </c>
      <c r="E20" s="5">
        <f>IF(E$7&lt;=CutOff,IFERROR(E19/PBT,0)*'Income Statement'!$E$24,0)</f>
        <v>-23750401.755927581</v>
      </c>
      <c r="F20" s="5">
        <f>IF(F$7&lt;=CutOff,IFERROR(F19/PBT,0)*'Income Statement'!$E$24,0)</f>
        <v>-15035876.493450439</v>
      </c>
      <c r="G20" s="5">
        <f>IF(G$7&lt;=CutOff,IFERROR(G19/PBT,0)*'Income Statement'!$E$24,0)</f>
        <v>-2668907.5164086353</v>
      </c>
      <c r="H20" s="5">
        <f>IF(H$7&lt;=CutOff,IFERROR(H19/PBT,0)*'Income Statement'!$E$24,0)</f>
        <v>-11069137.269384118</v>
      </c>
      <c r="I20" s="5">
        <f>IF(I$7&lt;=CutOff,IFERROR(I19/PBT,0)*'Income Statement'!$E$24,0)</f>
        <v>-22456866.127524629</v>
      </c>
      <c r="J20" s="5">
        <f>IF(J$7&lt;=CutOff,IFERROR(J19/PBT,0)*'Income Statement'!$E$24,0)</f>
        <v>-22108622.057811812</v>
      </c>
      <c r="K20" s="5">
        <f>IF(K$7&lt;=CutOff,IFERROR(K19/PBT,0)*'Income Statement'!$E$24,0)</f>
        <v>-41357179.352042645</v>
      </c>
      <c r="L20" s="5">
        <f>IF(L$7&lt;=CutOff,IFERROR(L19/PBT,0)*'Income Statement'!$E$24,0)</f>
        <v>-15039227.944232296</v>
      </c>
      <c r="M20" s="5">
        <f>IF(M$7&lt;=CutOff,IFERROR(M19/PBT,0)*'Income Statement'!$E$24,0)</f>
        <v>-15086391.625594949</v>
      </c>
      <c r="N20" s="5">
        <f>IF(N$7&lt;=CutOff,IFERROR(N19/PBT,0)*'Income Statement'!$E$24,0)</f>
        <v>-32896597.857622895</v>
      </c>
      <c r="O20" s="5">
        <f>IF(O$7&lt;=CutOff,IFERROR(O19/PBT,0)*'Income Statement'!$E$24,0)</f>
        <v>0</v>
      </c>
      <c r="P20" s="5">
        <f>IF(P$7&lt;=CutOff,IFERROR(P19/PBT,0)*'Income Statement'!$E$24,0)</f>
        <v>0</v>
      </c>
      <c r="Q20" s="210" cm="1">
        <f t="array" ref="Q20">SUMPRODUCT(($E$7:$P$7&lt;=CutOff)*E20:P20)</f>
        <v>-201469208</v>
      </c>
    </row>
    <row r="21" spans="2:17" x14ac:dyDescent="0.35">
      <c r="B21" s="123" t="s">
        <v>6926</v>
      </c>
      <c r="C21" s="219"/>
      <c r="D21" s="123"/>
      <c r="E21" s="127">
        <f>E19+E20</f>
        <v>108776164.24407242</v>
      </c>
      <c r="F21" s="127">
        <f>F19+F20</f>
        <v>68863886.506549567</v>
      </c>
      <c r="G21" s="127">
        <f>G19+G20</f>
        <v>12223520.483591365</v>
      </c>
      <c r="H21" s="127">
        <f>H19+H20</f>
        <v>50696333.730615884</v>
      </c>
      <c r="I21" s="127">
        <f>I19+I20</f>
        <v>102851807.87247537</v>
      </c>
      <c r="J21" s="127">
        <f>J19+J20</f>
        <v>101256859.94218819</v>
      </c>
      <c r="K21" s="127">
        <f>K19+K20</f>
        <v>189414704.64795735</v>
      </c>
      <c r="L21" s="127">
        <f>L19+L20</f>
        <v>68879236.0557677</v>
      </c>
      <c r="M21" s="127">
        <f>M19+M20</f>
        <v>69095244.374405056</v>
      </c>
      <c r="N21" s="127">
        <f>N19+N20</f>
        <v>150665482.14237711</v>
      </c>
      <c r="O21" s="127">
        <f>O19+O20</f>
        <v>148940780</v>
      </c>
      <c r="P21" s="127">
        <f>P19+P20</f>
        <v>186998251</v>
      </c>
      <c r="Q21" s="213" cm="1">
        <f t="array" ref="Q21">SUMPRODUCT(($E$7:$P$7&lt;=CutOff)*E21:P21)</f>
        <v>922723240</v>
      </c>
    </row>
    <row r="22" spans="2:17" x14ac:dyDescent="0.35">
      <c r="B22" s="3" t="s">
        <v>6927</v>
      </c>
      <c r="C22" s="218"/>
      <c r="D22" s="3"/>
      <c r="E22" s="16">
        <f>IFERROR(E21/E9,0)</f>
        <v>0.10137620794511849</v>
      </c>
      <c r="F22" s="16">
        <f>IFERROR(F21/F9,0)</f>
        <v>7.1365607891174701E-2</v>
      </c>
      <c r="G22" s="16">
        <f>IFERROR(G21/G9,0)</f>
        <v>9.1393198951683699E-3</v>
      </c>
      <c r="H22" s="16">
        <f>IFERROR(H21/H9,0)</f>
        <v>4.6259577639236694E-2</v>
      </c>
      <c r="I22" s="16">
        <f>IFERROR(I21/I9,0)</f>
        <v>9.4779006033566357E-2</v>
      </c>
      <c r="J22" s="16">
        <f>IFERROR(J21/J9,0)</f>
        <v>8.858829133922265E-2</v>
      </c>
      <c r="K22" s="16">
        <f>IFERROR(K21/K9,0)</f>
        <v>0.13806793132707484</v>
      </c>
      <c r="L22" s="16">
        <f>IFERROR(L21/L9,0)</f>
        <v>7.0805863604444644E-2</v>
      </c>
      <c r="M22" s="16">
        <f>IFERROR(M21/M9,0)</f>
        <v>6.5646505222538967E-2</v>
      </c>
      <c r="N22" s="16">
        <f>IFERROR(N21/N9,0)</f>
        <v>0.12016228587341157</v>
      </c>
      <c r="O22" s="16">
        <f>IFERROR(O21/O9,0)</f>
        <v>0.12989833376213919</v>
      </c>
      <c r="P22" s="16">
        <f>IFERROR(P21/P9,0)</f>
        <v>0.13587964801755553</v>
      </c>
      <c r="Q22" s="212">
        <f>IFERROR(Q21/Q9,0)</f>
        <v>8.12931550103453E-2</v>
      </c>
    </row>
    <row r="23" spans="2:17" x14ac:dyDescent="0.35">
      <c r="B23" s="75" t="s">
        <v>6933</v>
      </c>
      <c r="Q23" s="209"/>
    </row>
    <row r="24" spans="2:17" x14ac:dyDescent="0.35">
      <c r="B24" s="1" t="s">
        <v>6928</v>
      </c>
      <c r="E24" s="9" cm="1">
        <f t="array" ref="E24">IFERROR(ROWS(_xlfn.UNIQUE(_xlfn._xlws.FILTER(tblSales[Invoice No],tblSales[Month]=E$7))),0)</f>
        <v>344</v>
      </c>
      <c r="F24" s="9" cm="1">
        <f t="array" ref="F24">IFERROR(ROWS(_xlfn.UNIQUE(_xlfn._xlws.FILTER(tblSales[Invoice No],tblSales[Month]=F$7))),0)</f>
        <v>310</v>
      </c>
      <c r="G24" s="9" cm="1">
        <f t="array" ref="G24">IFERROR(ROWS(_xlfn.UNIQUE(_xlfn._xlws.FILTER(tblSales[Invoice No],tblSales[Month]=G$7))),0)</f>
        <v>459</v>
      </c>
      <c r="H24" s="9" cm="1">
        <f t="array" ref="H24">IFERROR(ROWS(_xlfn.UNIQUE(_xlfn._xlws.FILTER(tblSales[Invoice No],tblSales[Month]=H$7))),0)</f>
        <v>357</v>
      </c>
      <c r="I24" s="9" cm="1">
        <f t="array" ref="I24">IFERROR(ROWS(_xlfn.UNIQUE(_xlfn._xlws.FILTER(tblSales[Invoice No],tblSales[Month]=I$7))),0)</f>
        <v>359</v>
      </c>
      <c r="J24" s="9" cm="1">
        <f t="array" ref="J24">IFERROR(ROWS(_xlfn.UNIQUE(_xlfn._xlws.FILTER(tblSales[Invoice No],tblSales[Month]=J$7))),0)</f>
        <v>375</v>
      </c>
      <c r="K24" s="9" cm="1">
        <f t="array" ref="K24">IFERROR(ROWS(_xlfn.UNIQUE(_xlfn._xlws.FILTER(tblSales[Invoice No],tblSales[Month]=K$7))),0)</f>
        <v>392</v>
      </c>
      <c r="L24" s="9" cm="1">
        <f t="array" ref="L24">IFERROR(ROWS(_xlfn.UNIQUE(_xlfn._xlws.FILTER(tblSales[Invoice No],tblSales[Month]=L$7))),0)</f>
        <v>358</v>
      </c>
      <c r="M24" s="9" cm="1">
        <f t="array" ref="M24">IFERROR(ROWS(_xlfn.UNIQUE(_xlfn._xlws.FILTER(tblSales[Invoice No],tblSales[Month]=M$7))),0)</f>
        <v>320</v>
      </c>
      <c r="N24" s="9" cm="1">
        <f t="array" ref="N24">IFERROR(ROWS(_xlfn.UNIQUE(_xlfn._xlws.FILTER(tblSales[Invoice No],tblSales[Month]=N$7))),0)</f>
        <v>349</v>
      </c>
      <c r="O24" s="9" cm="1">
        <f t="array" ref="O24">IFERROR(ROWS(_xlfn.UNIQUE(_xlfn._xlws.FILTER(tblSales[Invoice No],tblSales[Month]=O$7))),0)</f>
        <v>371</v>
      </c>
      <c r="P24" s="9" cm="1">
        <f t="array" ref="P24">IFERROR(ROWS(_xlfn.UNIQUE(_xlfn._xlws.FILTER(tblSales[Invoice No],tblSales[Month]=P$7))),0)</f>
        <v>476</v>
      </c>
      <c r="Q24" s="214" cm="1">
        <f t="array" ref="Q24">SUMPRODUCT(($E$7:$P$7&lt;=CutOff)*E24:P24)</f>
        <v>3623</v>
      </c>
    </row>
    <row r="25" spans="2:17" x14ac:dyDescent="0.35">
      <c r="B25" s="1" t="s">
        <v>6929</v>
      </c>
      <c r="E25" s="5">
        <f>IFERROR(E9/E24,0)</f>
        <v>3119171.5116279069</v>
      </c>
      <c r="F25" s="5">
        <f>IFERROR(F9/F24,0)</f>
        <v>3112725.8064516131</v>
      </c>
      <c r="G25" s="5">
        <f>IFERROR(G9/G24,0)</f>
        <v>2913867.1023965143</v>
      </c>
      <c r="H25" s="5">
        <f>IFERROR(H9/H24,0)</f>
        <v>3069775.9103641459</v>
      </c>
      <c r="I25" s="5">
        <f>IFERROR(I9/I24,0)</f>
        <v>3022771.5877437326</v>
      </c>
      <c r="J25" s="5">
        <f>IFERROR(J9/J24,0)</f>
        <v>3048013.3333333335</v>
      </c>
      <c r="K25" s="5">
        <f>IFERROR(K9/K24,0)</f>
        <v>3499732.1428571427</v>
      </c>
      <c r="L25" s="5">
        <f>IFERROR(L9/L24,0)</f>
        <v>2717290.5027932962</v>
      </c>
      <c r="M25" s="5">
        <f>IFERROR(M9/M24,0)</f>
        <v>3289171.875</v>
      </c>
      <c r="N25" s="5">
        <f>IFERROR(N9/N24,0)</f>
        <v>3592693.4097421202</v>
      </c>
      <c r="O25" s="5">
        <f>IFERROR(O9/O24,0)</f>
        <v>3090552.5606469004</v>
      </c>
      <c r="P25" s="5">
        <f>IFERROR(P9/P24,0)</f>
        <v>2891186.9747899161</v>
      </c>
      <c r="Q25" s="210">
        <f>IFERROR(Q9/Q24,0)</f>
        <v>3132918.8517802926</v>
      </c>
    </row>
    <row r="26" spans="2:17" x14ac:dyDescent="0.35">
      <c r="B26" s="1" t="s">
        <v>6930</v>
      </c>
      <c r="E26" s="9">
        <f>SUMIFS(tblSales[Qty],tblSales[Month],E$7)</f>
        <v>7425</v>
      </c>
      <c r="F26" s="9">
        <f>SUMIFS(tblSales[Qty],tblSales[Month],F$7)</f>
        <v>6852</v>
      </c>
      <c r="G26" s="9">
        <f>SUMIFS(tblSales[Qty],tblSales[Month],G$7)</f>
        <v>8959</v>
      </c>
      <c r="H26" s="9">
        <f>SUMIFS(tblSales[Qty],tblSales[Month],H$7)</f>
        <v>7620</v>
      </c>
      <c r="I26" s="9">
        <f>SUMIFS(tblSales[Qty],tblSales[Month],I$7)</f>
        <v>7086</v>
      </c>
      <c r="J26" s="9">
        <f>SUMIFS(tblSales[Qty],tblSales[Month],J$7)</f>
        <v>7874</v>
      </c>
      <c r="K26" s="9">
        <f>SUMIFS(tblSales[Qty],tblSales[Month],K$7)</f>
        <v>8596</v>
      </c>
      <c r="L26" s="9">
        <f>SUMIFS(tblSales[Qty],tblSales[Month],L$7)</f>
        <v>6343</v>
      </c>
      <c r="M26" s="9">
        <f>SUMIFS(tblSales[Qty],tblSales[Month],M$7)</f>
        <v>6476</v>
      </c>
      <c r="N26" s="9">
        <f>SUMIFS(tblSales[Qty],tblSales[Month],N$7)</f>
        <v>8562</v>
      </c>
      <c r="O26" s="9">
        <f>SUMIFS(tblSales[Qty],tblSales[Month],O$7)</f>
        <v>7503</v>
      </c>
      <c r="P26" s="9">
        <f>SUMIFS(tblSales[Qty],tblSales[Month],P$7)</f>
        <v>9634</v>
      </c>
      <c r="Q26" s="214" cm="1">
        <f t="array" ref="Q26">SUMPRODUCT(($E$7:$P$7&lt;=CutOff)*E26:P26)</f>
        <v>75793</v>
      </c>
    </row>
    <row r="27" spans="2:17" x14ac:dyDescent="0.35">
      <c r="B27" s="1" t="s">
        <v>6931</v>
      </c>
      <c r="E27" s="5">
        <f>SUMIFS(tblCOA[Opening Balance],tblCOA[FS Line],"Cash and cash equivalents")+SUMIFS(tblGJ[Debit],tblGJ[FS Line],"Cash and cash equivalents",tblGJ[Date],"&lt;="&amp;EOMONTH(DATE(FYear,E$7,1),0))-SUMIFS(tblGJ[Credit],tblGJ[FS Line],"Cash and cash equivalents",tblGJ[Date],"&lt;="&amp;EOMONTH(DATE(FYear,E$7,1),0))</f>
        <v>1808641607</v>
      </c>
      <c r="F27" s="5">
        <f>SUMIFS(tblCOA[Opening Balance],tblCOA[FS Line],"Cash and cash equivalents")+SUMIFS(tblGJ[Debit],tblGJ[FS Line],"Cash and cash equivalents",tblGJ[Date],"&lt;="&amp;EOMONTH(DATE(FYear,F$7,1),0))-SUMIFS(tblGJ[Credit],tblGJ[FS Line],"Cash and cash equivalents",tblGJ[Date],"&lt;="&amp;EOMONTH(DATE(FYear,F$7,1),0))</f>
        <v>1926797210</v>
      </c>
      <c r="G27" s="5">
        <f>SUMIFS(tblCOA[Opening Balance],tblCOA[FS Line],"Cash and cash equivalents")+SUMIFS(tblGJ[Debit],tblGJ[FS Line],"Cash and cash equivalents",tblGJ[Date],"&lt;="&amp;EOMONTH(DATE(FYear,G$7,1),0))-SUMIFS(tblGJ[Credit],tblGJ[FS Line],"Cash and cash equivalents",tblGJ[Date],"&lt;="&amp;EOMONTH(DATE(FYear,G$7,1),0))</f>
        <v>1967158839</v>
      </c>
      <c r="H27" s="5">
        <f>SUMIFS(tblCOA[Opening Balance],tblCOA[FS Line],"Cash and cash equivalents")+SUMIFS(tblGJ[Debit],tblGJ[FS Line],"Cash and cash equivalents",tblGJ[Date],"&lt;="&amp;EOMONTH(DATE(FYear,H$7,1),0))-SUMIFS(tblGJ[Credit],tblGJ[FS Line],"Cash and cash equivalents",tblGJ[Date],"&lt;="&amp;EOMONTH(DATE(FYear,H$7,1),0))</f>
        <v>1751688939</v>
      </c>
      <c r="I27" s="5">
        <f>SUMIFS(tblCOA[Opening Balance],tblCOA[FS Line],"Cash and cash equivalents")+SUMIFS(tblGJ[Debit],tblGJ[FS Line],"Cash and cash equivalents",tblGJ[Date],"&lt;="&amp;EOMONTH(DATE(FYear,I$7,1),0))-SUMIFS(tblGJ[Credit],tblGJ[FS Line],"Cash and cash equivalents",tblGJ[Date],"&lt;="&amp;EOMONTH(DATE(FYear,I$7,1),0))</f>
        <v>1588087583</v>
      </c>
      <c r="J27" s="5">
        <f>SUMIFS(tblCOA[Opening Balance],tblCOA[FS Line],"Cash and cash equivalents")+SUMIFS(tblGJ[Debit],tblGJ[FS Line],"Cash and cash equivalents",tblGJ[Date],"&lt;="&amp;EOMONTH(DATE(FYear,J$7,1),0))-SUMIFS(tblGJ[Credit],tblGJ[FS Line],"Cash and cash equivalents",tblGJ[Date],"&lt;="&amp;EOMONTH(DATE(FYear,J$7,1),0))</f>
        <v>1326173795</v>
      </c>
      <c r="K27" s="5">
        <f>SUMIFS(tblCOA[Opening Balance],tblCOA[FS Line],"Cash and cash equivalents")+SUMIFS(tblGJ[Debit],tblGJ[FS Line],"Cash and cash equivalents",tblGJ[Date],"&lt;="&amp;EOMONTH(DATE(FYear,K$7,1),0))-SUMIFS(tblGJ[Credit],tblGJ[FS Line],"Cash and cash equivalents",tblGJ[Date],"&lt;="&amp;EOMONTH(DATE(FYear,K$7,1),0))</f>
        <v>1439840419</v>
      </c>
      <c r="L27" s="5">
        <f>SUMIFS(tblCOA[Opening Balance],tblCOA[FS Line],"Cash and cash equivalents")+SUMIFS(tblGJ[Debit],tblGJ[FS Line],"Cash and cash equivalents",tblGJ[Date],"&lt;="&amp;EOMONTH(DATE(FYear,L$7,1),0))-SUMIFS(tblGJ[Credit],tblGJ[FS Line],"Cash and cash equivalents",tblGJ[Date],"&lt;="&amp;EOMONTH(DATE(FYear,L$7,1),0))</f>
        <v>1413230566</v>
      </c>
      <c r="M27" s="5">
        <f>SUMIFS(tblCOA[Opening Balance],tblCOA[FS Line],"Cash and cash equivalents")+SUMIFS(tblGJ[Debit],tblGJ[FS Line],"Cash and cash equivalents",tblGJ[Date],"&lt;="&amp;EOMONTH(DATE(FYear,M$7,1),0))-SUMIFS(tblGJ[Credit],tblGJ[FS Line],"Cash and cash equivalents",tblGJ[Date],"&lt;="&amp;EOMONTH(DATE(FYear,M$7,1),0))</f>
        <v>1465356605</v>
      </c>
      <c r="N27" s="5">
        <f>SUMIFS(tblCOA[Opening Balance],tblCOA[FS Line],"Cash and cash equivalents")+SUMIFS(tblGJ[Debit],tblGJ[FS Line],"Cash and cash equivalents",tblGJ[Date],"&lt;="&amp;EOMONTH(DATE(FYear,N$7,1),0))-SUMIFS(tblGJ[Credit],tblGJ[FS Line],"Cash and cash equivalents",tblGJ[Date],"&lt;="&amp;EOMONTH(DATE(FYear,N$7,1),0))</f>
        <v>1563245568</v>
      </c>
      <c r="O27" s="5">
        <f>SUMIFS(tblCOA[Opening Balance],tblCOA[FS Line],"Cash and cash equivalents")+SUMIFS(tblGJ[Debit],tblGJ[FS Line],"Cash and cash equivalents",tblGJ[Date],"&lt;="&amp;EOMONTH(DATE(FYear,O$7,1),0))-SUMIFS(tblGJ[Credit],tblGJ[FS Line],"Cash and cash equivalents",tblGJ[Date],"&lt;="&amp;EOMONTH(DATE(FYear,O$7,1),0))</f>
        <v>1777661791</v>
      </c>
      <c r="P27" s="5">
        <f>SUMIFS(tblCOA[Opening Balance],tblCOA[FS Line],"Cash and cash equivalents")+SUMIFS(tblGJ[Debit],tblGJ[FS Line],"Cash and cash equivalents",tblGJ[Date],"&lt;="&amp;EOMONTH(DATE(FYear,P$7,1),0))-SUMIFS(tblGJ[Credit],tblGJ[FS Line],"Cash and cash equivalents",tblGJ[Date],"&lt;="&amp;EOMONTH(DATE(FYear,P$7,1),0))</f>
        <v>1844380425</v>
      </c>
      <c r="Q27" s="210" cm="1">
        <f t="array" ref="Q27">INDEX(E27:P27,CutOff)</f>
        <v>1563245568</v>
      </c>
    </row>
    <row r="28" spans="2:17" x14ac:dyDescent="0.35">
      <c r="B28" s="1" t="s">
        <v>6932</v>
      </c>
      <c r="E28" s="5" cm="1">
        <f t="array" ref="E28">SUMPRODUCT(($E$7:E$7&lt;=CutOff)*$E$21:E21)</f>
        <v>108776164.24407242</v>
      </c>
      <c r="F28" s="5" cm="1">
        <f t="array" ref="F28">SUMPRODUCT(($E$7:F$7&lt;=CutOff)*$E$21:F21)</f>
        <v>177640050.75062197</v>
      </c>
      <c r="G28" s="5" cm="1">
        <f t="array" ref="G28">SUMPRODUCT(($E$7:G$7&lt;=CutOff)*$E$21:G21)</f>
        <v>189863571.23421335</v>
      </c>
      <c r="H28" s="5" cm="1">
        <f t="array" ref="H28">SUMPRODUCT(($E$7:H$7&lt;=CutOff)*$E$21:H21)</f>
        <v>240559904.96482924</v>
      </c>
      <c r="I28" s="5" cm="1">
        <f t="array" ref="I28">SUMPRODUCT(($E$7:I$7&lt;=CutOff)*$E$21:I21)</f>
        <v>343411712.83730459</v>
      </c>
      <c r="J28" s="5" cm="1">
        <f t="array" ref="J28">SUMPRODUCT(($E$7:J$7&lt;=CutOff)*$E$21:J21)</f>
        <v>444668572.7794928</v>
      </c>
      <c r="K28" s="5" cm="1">
        <f t="array" ref="K28">SUMPRODUCT(($E$7:K$7&lt;=CutOff)*$E$21:K21)</f>
        <v>634083277.42745018</v>
      </c>
      <c r="L28" s="5" cm="1">
        <f t="array" ref="L28">SUMPRODUCT(($E$7:L$7&lt;=CutOff)*$E$21:L21)</f>
        <v>702962513.48321784</v>
      </c>
      <c r="M28" s="5" cm="1">
        <f t="array" ref="M28">SUMPRODUCT(($E$7:M$7&lt;=CutOff)*$E$21:M21)</f>
        <v>772057757.85762286</v>
      </c>
      <c r="N28" s="5" cm="1">
        <f t="array" ref="N28">SUMPRODUCT(($E$7:N$7&lt;=CutOff)*$E$21:N21)</f>
        <v>922723240</v>
      </c>
      <c r="O28" s="5" cm="1">
        <f t="array" ref="O28">SUMPRODUCT(($E$7:O$7&lt;=CutOff)*$E$21:O21)</f>
        <v>922723240</v>
      </c>
      <c r="P28" s="5" cm="1">
        <f t="array" ref="P28">SUMPRODUCT(($E$7:P$7&lt;=CutOff)*$E$21:P21)</f>
        <v>922723240</v>
      </c>
      <c r="Q28" s="210" cm="1">
        <f t="array" ref="Q28">INDEX(E28:P28,CutOff)</f>
        <v>922723240</v>
      </c>
    </row>
  </sheetData>
  <mergeCells count="4">
    <mergeCell ref="D2:E2"/>
    <mergeCell ref="S2:T2"/>
    <mergeCell ref="V2:W2"/>
    <mergeCell ref="Y2:Z2"/>
  </mergeCells>
  <conditionalFormatting sqref="E9:P28">
    <cfRule type="expression" dxfId="16" priority="1">
      <formula>E$7&gt;CutOff</formula>
    </cfRule>
  </conditionalFormatting>
  <conditionalFormatting sqref="E6:P6">
    <cfRule type="expression" dxfId="15" priority="2">
      <formula>E$7=CutOff</formula>
    </cfRule>
  </conditionalFormatting>
  <hyperlinks>
    <hyperlink ref="B2" location="'Dashboard'!A1" tooltip="Go to Dashboard" display="🏠 HOME" xr:uid="{18FDA92B-DD47-4252-B5EA-EF7DC39CEAFF}"/>
    <hyperlink ref="D2:E2" location="'Ratios'!A1" tooltip="Go to Ratios" display="◀ PREV" xr:uid="{AD6424A6-B581-483D-843A-1F23CD5D1884}"/>
    <hyperlink ref="G2" location="'Dashboard Data'!A1" tooltip="Go to Dashboard Data" display="NEXT ▶" xr:uid="{1E0FF7A6-421C-4993-BB30-7CAD7A4AB44B}"/>
    <hyperlink ref="I2" location="'Dashboard'!B5" tooltip="Go to Dashboard" display="☰ MENU" xr:uid="{088866D5-BEB0-4ED3-A5FF-5F9DB06A58D4}"/>
    <hyperlink ref="K2" location="'General Journal'!A1" tooltip="Go to General Journal" display="Journal" xr:uid="{E82B24BF-0EC9-4A77-AE16-DD4F502E201E}"/>
    <hyperlink ref="M2" location="'Trial Balance'!A1" tooltip="Go to Trial Balance" display="Trial Bal." xr:uid="{E3EEB292-695C-40BD-A04B-AAB50C9608CB}"/>
    <hyperlink ref="O2" location="'Income Statement'!A1" tooltip="Go to Income Statement" display="Income St." xr:uid="{4F7F114E-6F56-46C3-A239-873966537093}"/>
    <hyperlink ref="Q2" location="'Balance Sheet'!A1" tooltip="Go to Balance Sheet" display="Balance Sh." xr:uid="{798B071F-E123-48FA-9F58-B65900A15B2F}"/>
    <hyperlink ref="S2:T2" location="'Tax Reconciliation'!A1" tooltip="Go to Tax Reconciliation" display="Tax Recon" xr:uid="{1FFD77BF-4D05-4706-9AFE-5293B520D9CB}"/>
    <hyperlink ref="V2:W2" location="'Bank Reconciliation'!A1" tooltip="Go to Bank Reconciliation" display="Bank Recon" xr:uid="{96732F76-B40F-4E73-A6D3-7D41370D06A9}"/>
    <hyperlink ref="Y2:Z2" location="'Controls'!A1" tooltip="Go to Controls" display="Controls" xr:uid="{8F0AA360-5703-456A-BA26-858108981AE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7712-2779-426E-84A0-C4E5DE35F413}">
  <sheetPr>
    <tabColor rgb="FF64748B"/>
  </sheetPr>
  <dimension ref="A1:BH36"/>
  <sheetViews>
    <sheetView showGridLines="0" workbookViewId="0"/>
  </sheetViews>
  <sheetFormatPr defaultRowHeight="14.5" x14ac:dyDescent="0.35"/>
  <cols>
    <col min="1" max="1" width="1.453125" style="1" customWidth="1"/>
    <col min="2" max="2" width="30.90625" style="1" customWidth="1"/>
    <col min="3" max="3" width="16.36328125" style="1" customWidth="1"/>
    <col min="4" max="9" width="11.81640625" style="1" customWidth="1"/>
    <col min="10" max="10" width="1.81640625" style="1" customWidth="1"/>
    <col min="11" max="14" width="11.81640625" style="1" customWidth="1"/>
    <col min="15" max="15" width="1.81640625" style="1" customWidth="1"/>
    <col min="16" max="16" width="7.26953125" style="1" customWidth="1"/>
    <col min="17" max="17" width="27.26953125" style="1" customWidth="1"/>
    <col min="18" max="22" width="14.54296875" style="1" customWidth="1"/>
    <col min="23" max="23" width="1.81640625" style="1" customWidth="1"/>
    <col min="24" max="24" width="30.90625" style="1" customWidth="1"/>
    <col min="25" max="25" width="16.36328125" style="1" customWidth="1"/>
    <col min="26" max="52" width="8.7265625" style="1"/>
  </cols>
  <sheetData>
    <row r="1" spans="1:60" ht="5" customHeight="1" x14ac:dyDescent="0.35"/>
    <row r="2" spans="1:60" ht="18" customHeight="1" thickBot="1" x14ac:dyDescent="0.4">
      <c r="A2" s="307"/>
      <c r="B2" s="308" t="s">
        <v>7075</v>
      </c>
      <c r="C2" s="307"/>
      <c r="D2" s="309" t="s">
        <v>7076</v>
      </c>
      <c r="E2" s="307"/>
      <c r="F2" s="309" t="s">
        <v>7077</v>
      </c>
      <c r="G2" s="307"/>
      <c r="H2" s="308" t="s">
        <v>7078</v>
      </c>
      <c r="I2" s="307"/>
      <c r="J2" s="314" t="s">
        <v>7079</v>
      </c>
      <c r="K2" s="315"/>
      <c r="L2" s="307"/>
      <c r="M2" s="317" t="s">
        <v>7080</v>
      </c>
      <c r="N2" s="307"/>
      <c r="O2" s="314" t="s">
        <v>7081</v>
      </c>
      <c r="P2" s="318"/>
      <c r="Q2" s="315"/>
      <c r="R2" s="307"/>
      <c r="S2" s="317" t="s">
        <v>7082</v>
      </c>
      <c r="T2" s="307"/>
      <c r="U2" s="317" t="s">
        <v>7083</v>
      </c>
      <c r="V2" s="307"/>
      <c r="W2" s="314" t="s">
        <v>7084</v>
      </c>
      <c r="X2" s="315"/>
      <c r="Y2" s="307"/>
      <c r="Z2" s="314" t="s">
        <v>7085</v>
      </c>
      <c r="AA2" s="315"/>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6934</v>
      </c>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row>
    <row r="5" spans="1:60" x14ac:dyDescent="0.35">
      <c r="B5" s="75" t="s">
        <v>6935</v>
      </c>
      <c r="K5" s="75" t="s">
        <v>6940</v>
      </c>
      <c r="P5" s="75" t="s">
        <v>6942</v>
      </c>
      <c r="X5" s="75" t="s">
        <v>6949</v>
      </c>
    </row>
    <row r="6" spans="1:60" x14ac:dyDescent="0.35">
      <c r="B6" s="68" t="s">
        <v>4287</v>
      </c>
      <c r="C6" s="68" t="s">
        <v>5081</v>
      </c>
      <c r="D6" s="68" t="s">
        <v>5035</v>
      </c>
      <c r="E6" s="68" t="s">
        <v>6936</v>
      </c>
      <c r="F6" s="68" t="s">
        <v>6937</v>
      </c>
      <c r="G6" s="68" t="s">
        <v>4865</v>
      </c>
      <c r="H6" s="68" t="s">
        <v>6938</v>
      </c>
      <c r="I6" s="68" t="s">
        <v>6939</v>
      </c>
      <c r="K6" s="68" t="s">
        <v>5072</v>
      </c>
      <c r="L6" s="68" t="s">
        <v>4281</v>
      </c>
      <c r="M6" s="68" t="s">
        <v>6941</v>
      </c>
      <c r="N6" s="68" t="s">
        <v>6938</v>
      </c>
      <c r="P6" s="68" t="s">
        <v>4852</v>
      </c>
      <c r="Q6" s="68" t="s">
        <v>5075</v>
      </c>
      <c r="R6" s="68" t="s">
        <v>4282</v>
      </c>
      <c r="S6" s="68" t="s">
        <v>6943</v>
      </c>
      <c r="T6" s="68" t="s">
        <v>6944</v>
      </c>
      <c r="U6" s="68" t="s">
        <v>6945</v>
      </c>
      <c r="V6" s="68" t="s">
        <v>6946</v>
      </c>
      <c r="X6" s="68" t="s">
        <v>6950</v>
      </c>
      <c r="Y6" s="68" t="s">
        <v>4939</v>
      </c>
    </row>
    <row r="7" spans="1:60" x14ac:dyDescent="0.35">
      <c r="B7" s="1">
        <v>1</v>
      </c>
      <c r="C7" s="1" t="s">
        <v>4266</v>
      </c>
      <c r="D7" s="54">
        <f>IF(B7&lt;=CutOff,'Monthly P&amp;L'!E9/1000000,NA())</f>
        <v>1072.9949999999999</v>
      </c>
      <c r="E7" s="54">
        <f>IF(B7&lt;=CutOff,'Monthly P&amp;L'!E11/1000000,NA())</f>
        <v>433.22300000000001</v>
      </c>
      <c r="F7" s="54">
        <f>IF(B7&lt;=CutOff,'Monthly P&amp;L'!E21/1000000,NA())</f>
        <v>108.77616424407242</v>
      </c>
      <c r="G7" s="54">
        <f>IF(B7&lt;=CutOff,'Monthly P&amp;L'!E27/1000000,NA())</f>
        <v>1808.641607</v>
      </c>
      <c r="H7" s="9">
        <f>IF(B7&lt;=CutOff,'Monthly P&amp;L'!E24,NA())</f>
        <v>344</v>
      </c>
      <c r="I7" s="54">
        <f>IF(B7&lt;=CutOff,-('Monthly P&amp;L'!E13+'Monthly P&amp;L'!E14)/1000000,NA())</f>
        <v>288.44141999999999</v>
      </c>
      <c r="K7" s="131">
        <f>AnalysisDate-29</f>
        <v>46274</v>
      </c>
      <c r="L7" s="1" t="str">
        <f>TEXT(K7,"dd/mm")</f>
        <v>09/09</v>
      </c>
      <c r="M7" s="54">
        <f>SUMIFS(tblSales[DPP (excl. VAT)],tblSales[Date],K7)/1000000</f>
        <v>16.77</v>
      </c>
      <c r="N7" s="1" cm="1">
        <f t="array" ref="N7">IFERROR(ROWS(_xlfn.UNIQUE(_xlfn._xlws.FILTER(tblSales[Invoice No],tblSales[Date]=K7))),0)</f>
        <v>10</v>
      </c>
      <c r="P7" s="1" t="s">
        <v>6</v>
      </c>
      <c r="Q7" s="1" t="str">
        <f>_xlfn.XLOOKUP(P7,tblProducts[Code],tblProducts[Product / Service Name])</f>
        <v>Socks &amp; Accessories</v>
      </c>
      <c r="R7" s="9">
        <f>SUMIFS(tblSales[Qty],tblSales[Product Code],P7,tblSales[Date],"&lt;="&amp;PEnd)</f>
        <v>15222</v>
      </c>
      <c r="S7" s="5">
        <f>SUMIFS(tblSales[DPP (excl. VAT)],tblSales[Product Code],P7,tblSales[Date],"&lt;="&amp;PEnd)</f>
        <v>684990000</v>
      </c>
      <c r="T7" s="5">
        <f>S7-SUMIFS(tblSales[COGS],tblSales[Product Code],P7,tblSales[Date],"&lt;="&amp;PEnd)</f>
        <v>319662000</v>
      </c>
      <c r="U7" s="5">
        <f>SUMIFS(tblSales[DPP (excl. VAT)],tblSales[Product Code],P7,tblSales[Date],AnalysisDate)</f>
        <v>450000</v>
      </c>
      <c r="V7" s="9">
        <f>SUMIFS(tblSales[Qty],tblSales[Product Code],P7,tblSales[Date],AnalysisDate)</f>
        <v>10</v>
      </c>
      <c r="X7" s="1" t="s">
        <v>6951</v>
      </c>
      <c r="Y7" s="5" cm="1">
        <f t="array" ref="Y7">SUM(SUMIFS(_xlfn.ANCHORARRAY('Trial Balance'!$N$8),_xlfn.ANCHORARRAY('Trial Balance'!$B$8),{6110,6111,6210,6211,6290}))</f>
        <v>2148124200</v>
      </c>
    </row>
    <row r="8" spans="1:60" x14ac:dyDescent="0.35">
      <c r="B8" s="1">
        <v>2</v>
      </c>
      <c r="C8" s="1" t="s">
        <v>4267</v>
      </c>
      <c r="D8" s="54">
        <f>IF(B8&lt;=CutOff,'Monthly P&amp;L'!F9/1000000,NA())</f>
        <v>964.94500000000005</v>
      </c>
      <c r="E8" s="54">
        <f>IF(B8&lt;=CutOff,'Monthly P&amp;L'!F11/1000000,NA())</f>
        <v>386.10500000000002</v>
      </c>
      <c r="F8" s="54">
        <f>IF(B8&lt;=CutOff,'Monthly P&amp;L'!F21/1000000,NA())</f>
        <v>68.863886506549562</v>
      </c>
      <c r="G8" s="54">
        <f>IF(B8&lt;=CutOff,'Monthly P&amp;L'!F27/1000000,NA())</f>
        <v>1926.79721</v>
      </c>
      <c r="H8" s="9">
        <f>IF(B8&lt;=CutOff,'Monthly P&amp;L'!F24,NA())</f>
        <v>310</v>
      </c>
      <c r="I8" s="54">
        <f>IF(B8&lt;=CutOff,-('Monthly P&amp;L'!F13+'Monthly P&amp;L'!F14)/1000000,NA())</f>
        <v>290.19641999999999</v>
      </c>
      <c r="K8" s="131">
        <f>AnalysisDate-28</f>
        <v>46275</v>
      </c>
      <c r="L8" s="1" t="str">
        <f>TEXT(K8,"dd/mm")</f>
        <v>10/09</v>
      </c>
      <c r="M8" s="54">
        <f>SUMIFS(tblSales[DPP (excl. VAT)],tblSales[Date],K8)/1000000</f>
        <v>23.395</v>
      </c>
      <c r="N8" s="1" cm="1">
        <f t="array" ref="N8">IFERROR(ROWS(_xlfn.UNIQUE(_xlfn._xlws.FILTER(tblSales[Invoice No],tblSales[Date]=K8))),0)</f>
        <v>9</v>
      </c>
      <c r="P8" s="1" t="s">
        <v>7</v>
      </c>
      <c r="Q8" s="1" t="str">
        <f>_xlfn.XLOOKUP(P8,tblProducts[Code],tblProducts[Product / Service Name])</f>
        <v>Premium Basic T-shirt</v>
      </c>
      <c r="R8" s="9">
        <f>SUMIFS(tblSales[Qty],tblSales[Product Code],P8,tblSales[Date],"&lt;="&amp;PEnd)</f>
        <v>13201</v>
      </c>
      <c r="S8" s="5">
        <f>SUMIFS(tblSales[DPP (excl. VAT)],tblSales[Product Code],P8,tblSales[Date],"&lt;="&amp;PEnd)</f>
        <v>858065000</v>
      </c>
      <c r="T8" s="5">
        <f>S8-SUMIFS(tblSales[COGS],tblSales[Product Code],P8,tblSales[Date],"&lt;="&amp;PEnd)</f>
        <v>369628000</v>
      </c>
      <c r="U8" s="5">
        <f>SUMIFS(tblSales[DPP (excl. VAT)],tblSales[Product Code],P8,tblSales[Date],AnalysisDate)</f>
        <v>5200000</v>
      </c>
      <c r="V8" s="9">
        <f>SUMIFS(tblSales[Qty],tblSales[Product Code],P8,tblSales[Date],AnalysisDate)</f>
        <v>80</v>
      </c>
      <c r="X8" s="1" t="s">
        <v>6952</v>
      </c>
      <c r="Y8" s="5" cm="1">
        <f t="array" ref="Y8">SUM(SUMIFS(_xlfn.ANCHORARRAY('Trial Balance'!$N$8),_xlfn.ANCHORARRAY('Trial Balance'!$B$8),{6120,6130,6140}))</f>
        <v>256899000</v>
      </c>
    </row>
    <row r="9" spans="1:60" x14ac:dyDescent="0.35">
      <c r="B9" s="1">
        <v>3</v>
      </c>
      <c r="C9" s="1" t="s">
        <v>4268</v>
      </c>
      <c r="D9" s="54">
        <f>IF(B9&lt;=CutOff,'Monthly P&amp;L'!G9/1000000,NA())</f>
        <v>1337.4649999999999</v>
      </c>
      <c r="E9" s="54">
        <f>IF(B9&lt;=CutOff,'Monthly P&amp;L'!G11/1000000,NA())</f>
        <v>531.80499999999995</v>
      </c>
      <c r="F9" s="54">
        <f>IF(B9&lt;=CutOff,'Monthly P&amp;L'!G21/1000000,NA())</f>
        <v>12.223520483591365</v>
      </c>
      <c r="G9" s="54">
        <f>IF(B9&lt;=CutOff,'Monthly P&amp;L'!G27/1000000,NA())</f>
        <v>1967.1588389999999</v>
      </c>
      <c r="H9" s="9">
        <f>IF(B9&lt;=CutOff,'Monthly P&amp;L'!G24,NA())</f>
        <v>459</v>
      </c>
      <c r="I9" s="54">
        <f>IF(B9&lt;=CutOff,-('Monthly P&amp;L'!G13+'Monthly P&amp;L'!G14)/1000000,NA())</f>
        <v>505.04942</v>
      </c>
      <c r="K9" s="131">
        <f>AnalysisDate-27</f>
        <v>46276</v>
      </c>
      <c r="L9" s="1" t="str">
        <f>TEXT(K9,"dd/mm")</f>
        <v>11/09</v>
      </c>
      <c r="M9" s="54">
        <f>SUMIFS(tblSales[DPP (excl. VAT)],tblSales[Date],K9)/1000000</f>
        <v>50.26</v>
      </c>
      <c r="N9" s="1" cm="1">
        <f t="array" ref="N9">IFERROR(ROWS(_xlfn.UNIQUE(_xlfn._xlws.FILTER(tblSales[Invoice No],tblSales[Date]=K9))),0)</f>
        <v>11</v>
      </c>
      <c r="P9" s="1" t="s">
        <v>8</v>
      </c>
      <c r="Q9" s="1" t="str">
        <f>_xlfn.XLOOKUP(P9,tblProducts[Code],tblProducts[Product / Service Name])</f>
        <v>Casual Shorts</v>
      </c>
      <c r="R9" s="9">
        <f>SUMIFS(tblSales[Qty],tblSales[Product Code],P9,tblSales[Date],"&lt;="&amp;PEnd)</f>
        <v>13718</v>
      </c>
      <c r="S9" s="5">
        <f>SUMIFS(tblSales[DPP (excl. VAT)],tblSales[Product Code],P9,tblSales[Date],"&lt;="&amp;PEnd)</f>
        <v>1166030000</v>
      </c>
      <c r="T9" s="5">
        <f>S9-SUMIFS(tblSales[COGS],tblSales[Product Code],P9,tblSales[Date],"&lt;="&amp;PEnd)</f>
        <v>480130000</v>
      </c>
      <c r="U9" s="5">
        <f>SUMIFS(tblSales[DPP (excl. VAT)],tblSales[Product Code],P9,tblSales[Date],AnalysisDate)</f>
        <v>10540000</v>
      </c>
      <c r="V9" s="9">
        <f>SUMIFS(tblSales[Qty],tblSales[Product Code],P9,tblSales[Date],AnalysisDate)</f>
        <v>124</v>
      </c>
      <c r="X9" s="1" t="s">
        <v>6953</v>
      </c>
      <c r="Y9" s="5" cm="1">
        <f t="array" ref="Y9">SUM(SUMIFS(_xlfn.ANCHORARRAY('Trial Balance'!$N$8),_xlfn.ANCHORARRAY('Trial Balance'!$B$8),{6220,6230}))</f>
        <v>235473000</v>
      </c>
    </row>
    <row r="10" spans="1:60" x14ac:dyDescent="0.35">
      <c r="B10" s="1">
        <v>4</v>
      </c>
      <c r="C10" s="1" t="s">
        <v>4269</v>
      </c>
      <c r="D10" s="54">
        <f>IF(B10&lt;=CutOff,'Monthly P&amp;L'!H9/1000000,NA())</f>
        <v>1095.9100000000001</v>
      </c>
      <c r="E10" s="54">
        <f>IF(B10&lt;=CutOff,'Monthly P&amp;L'!H11/1000000,NA())</f>
        <v>434.47500000000002</v>
      </c>
      <c r="F10" s="54">
        <f>IF(B10&lt;=CutOff,'Monthly P&amp;L'!H21/1000000,NA())</f>
        <v>50.696333730615883</v>
      </c>
      <c r="G10" s="54">
        <f>IF(B10&lt;=CutOff,'Monthly P&amp;L'!H27/1000000,NA())</f>
        <v>1751.6889389999999</v>
      </c>
      <c r="H10" s="9">
        <f>IF(B10&lt;=CutOff,'Monthly P&amp;L'!H24,NA())</f>
        <v>357</v>
      </c>
      <c r="I10" s="54">
        <f>IF(B10&lt;=CutOff,-('Monthly P&amp;L'!H13+'Monthly P&amp;L'!H14)/1000000,NA())</f>
        <v>360.98142000000001</v>
      </c>
      <c r="K10" s="131">
        <f>AnalysisDate-26</f>
        <v>46277</v>
      </c>
      <c r="L10" s="1" t="str">
        <f>TEXT(K10,"dd/mm")</f>
        <v>12/09</v>
      </c>
      <c r="M10" s="54">
        <f>SUMIFS(tblSales[DPP (excl. VAT)],tblSales[Date],K10)/1000000</f>
        <v>67.08</v>
      </c>
      <c r="N10" s="1" cm="1">
        <f t="array" ref="N10">IFERROR(ROWS(_xlfn.UNIQUE(_xlfn._xlws.FILTER(tblSales[Invoice No],tblSales[Date]=K10))),0)</f>
        <v>13</v>
      </c>
      <c r="P10" s="1" t="s">
        <v>9</v>
      </c>
      <c r="Q10" s="1" t="str">
        <f>_xlfn.XLOOKUP(P10,tblProducts[Code],tblProducts[Product / Service Name])</f>
        <v>Casual Shirt</v>
      </c>
      <c r="R10" s="9">
        <f>SUMIFS(tblSales[Qty],tblSales[Product Code],P10,tblSales[Date],"&lt;="&amp;PEnd)</f>
        <v>11669</v>
      </c>
      <c r="S10" s="5">
        <f>SUMIFS(tblSales[DPP (excl. VAT)],tblSales[Product Code],P10,tblSales[Date],"&lt;="&amp;PEnd)</f>
        <v>1400280000</v>
      </c>
      <c r="T10" s="5">
        <f>S10-SUMIFS(tblSales[COGS],tblSales[Product Code],P10,tblSales[Date],"&lt;="&amp;PEnd)</f>
        <v>560112000</v>
      </c>
      <c r="U10" s="5">
        <f>SUMIFS(tblSales[DPP (excl. VAT)],tblSales[Product Code],P10,tblSales[Date],AnalysisDate)</f>
        <v>15240000</v>
      </c>
      <c r="V10" s="9">
        <f>SUMIFS(tblSales[Qty],tblSales[Product Code],P10,tblSales[Date],AnalysisDate)</f>
        <v>127</v>
      </c>
      <c r="X10" s="1" t="s">
        <v>4994</v>
      </c>
      <c r="Y10" s="5" cm="1">
        <f t="array" ref="Y10">SUM(SUMIFS(_xlfn.ANCHORARRAY('Trial Balance'!$N$8),_xlfn.ANCHORARRAY('Trial Balance'!$B$8),{6240,6250}))</f>
        <v>331249999</v>
      </c>
    </row>
    <row r="11" spans="1:60" x14ac:dyDescent="0.35">
      <c r="B11" s="1">
        <v>5</v>
      </c>
      <c r="C11" s="1" t="s">
        <v>4897</v>
      </c>
      <c r="D11" s="54">
        <f>IF(B11&lt;=CutOff,'Monthly P&amp;L'!I9/1000000,NA())</f>
        <v>1085.175</v>
      </c>
      <c r="E11" s="54">
        <f>IF(B11&lt;=CutOff,'Monthly P&amp;L'!I11/1000000,NA())</f>
        <v>430.22199999999998</v>
      </c>
      <c r="F11" s="54">
        <f>IF(B11&lt;=CutOff,'Monthly P&amp;L'!I21/1000000,NA())</f>
        <v>102.85180787247538</v>
      </c>
      <c r="G11" s="54">
        <f>IF(B11&lt;=CutOff,'Monthly P&amp;L'!I27/1000000,NA())</f>
        <v>1588.087583</v>
      </c>
      <c r="H11" s="9">
        <f>IF(B11&lt;=CutOff,'Monthly P&amp;L'!I24,NA())</f>
        <v>359</v>
      </c>
      <c r="I11" s="54">
        <f>IF(B11&lt;=CutOff,-('Monthly P&amp;L'!I13+'Monthly P&amp;L'!I14)/1000000,NA())</f>
        <v>293.38941999999997</v>
      </c>
      <c r="K11" s="131">
        <f>AnalysisDate-25</f>
        <v>46278</v>
      </c>
      <c r="L11" s="1" t="str">
        <f>TEXT(K11,"dd/mm")</f>
        <v>13/09</v>
      </c>
      <c r="M11" s="54">
        <f>SUMIFS(tblSales[DPP (excl. VAT)],tblSales[Date],K11)/1000000</f>
        <v>64.98</v>
      </c>
      <c r="N11" s="1" cm="1">
        <f t="array" ref="N11">IFERROR(ROWS(_xlfn.UNIQUE(_xlfn._xlws.FILTER(tblSales[Invoice No],tblSales[Date]=K11))),0)</f>
        <v>12</v>
      </c>
      <c r="P11" s="1" t="s">
        <v>10</v>
      </c>
      <c r="Q11" s="1" t="str">
        <f>_xlfn.XLOOKUP(P11,tblProducts[Code],tblProducts[Product / Service Name])</f>
        <v>Chino Pants</v>
      </c>
      <c r="R11" s="9">
        <f>SUMIFS(tblSales[Qty],tblSales[Product Code],P11,tblSales[Date],"&lt;="&amp;PEnd)</f>
        <v>9809</v>
      </c>
      <c r="S11" s="5">
        <f>SUMIFS(tblSales[DPP (excl. VAT)],tblSales[Product Code],P11,tblSales[Date],"&lt;="&amp;PEnd)</f>
        <v>1471350000</v>
      </c>
      <c r="T11" s="5">
        <f>S11-SUMIFS(tblSales[COGS],tblSales[Product Code],P11,tblSales[Date],"&lt;="&amp;PEnd)</f>
        <v>608158000</v>
      </c>
      <c r="U11" s="5">
        <f>SUMIFS(tblSales[DPP (excl. VAT)],tblSales[Product Code],P11,tblSales[Date],AnalysisDate)</f>
        <v>450000</v>
      </c>
      <c r="V11" s="9">
        <f>SUMIFS(tblSales[Qty],tblSales[Product Code],P11,tblSales[Date],AnalysisDate)</f>
        <v>3</v>
      </c>
      <c r="X11" s="1" t="s">
        <v>6954</v>
      </c>
      <c r="Y11" s="5" cm="1">
        <f t="array" ref="Y11">SUM(SUMIFS(_xlfn.ANCHORARRAY('Trial Balance'!$N$8),_xlfn.ANCHORARRAY('Trial Balance'!$B$8),{6260,6265,6270,6280,6285,6295,6296}))</f>
        <v>318080000</v>
      </c>
    </row>
    <row r="12" spans="1:60" x14ac:dyDescent="0.35">
      <c r="B12" s="1">
        <v>6</v>
      </c>
      <c r="C12" s="1" t="s">
        <v>4270</v>
      </c>
      <c r="D12" s="54">
        <f>IF(B12&lt;=CutOff,'Monthly P&amp;L'!J9/1000000,NA())</f>
        <v>1143.0050000000001</v>
      </c>
      <c r="E12" s="54">
        <f>IF(B12&lt;=CutOff,'Monthly P&amp;L'!J11/1000000,NA())</f>
        <v>457.16500000000002</v>
      </c>
      <c r="F12" s="54">
        <f>IF(B12&lt;=CutOff,'Monthly P&amp;L'!J21/1000000,NA())</f>
        <v>101.25685994218819</v>
      </c>
      <c r="G12" s="54">
        <f>IF(B12&lt;=CutOff,'Monthly P&amp;L'!J27/1000000,NA())</f>
        <v>1326.1737949999999</v>
      </c>
      <c r="H12" s="9">
        <f>IF(B12&lt;=CutOff,'Monthly P&amp;L'!J24,NA())</f>
        <v>375</v>
      </c>
      <c r="I12" s="54">
        <f>IF(B12&lt;=CutOff,-('Monthly P&amp;L'!J13+'Monthly P&amp;L'!J14)/1000000,NA())</f>
        <v>322.52042</v>
      </c>
      <c r="K12" s="131">
        <f>AnalysisDate-24</f>
        <v>46279</v>
      </c>
      <c r="L12" s="1" t="str">
        <f>TEXT(K12,"dd/mm")</f>
        <v>14/09</v>
      </c>
      <c r="M12" s="54">
        <f>SUMIFS(tblSales[DPP (excl. VAT)],tblSales[Date],K12)/1000000</f>
        <v>28.844999999999999</v>
      </c>
      <c r="N12" s="1" cm="1">
        <f t="array" ref="N12">IFERROR(ROWS(_xlfn.UNIQUE(_xlfn._xlws.FILTER(tblSales[Invoice No],tblSales[Date]=K12))),0)</f>
        <v>11</v>
      </c>
      <c r="P12" s="1" t="s">
        <v>11</v>
      </c>
      <c r="Q12" s="1" t="str">
        <f>_xlfn.XLOOKUP(P12,tblProducts[Code],tblProducts[Product / Service Name])</f>
        <v>Sneakers</v>
      </c>
      <c r="R12" s="9">
        <f>SUMIFS(tblSales[Qty],tblSales[Product Code],P12,tblSales[Date],"&lt;="&amp;PEnd)</f>
        <v>4142</v>
      </c>
      <c r="S12" s="5">
        <f>SUMIFS(tblSales[DPP (excl. VAT)],tblSales[Product Code],P12,tblSales[Date],"&lt;="&amp;PEnd)</f>
        <v>1035500000</v>
      </c>
      <c r="T12" s="5">
        <f>S12-SUMIFS(tblSales[COGS],tblSales[Product Code],P12,tblSales[Date],"&lt;="&amp;PEnd)</f>
        <v>393490000</v>
      </c>
      <c r="U12" s="5">
        <f>SUMIFS(tblSales[DPP (excl. VAT)],tblSales[Product Code],P12,tblSales[Date],AnalysisDate)</f>
        <v>6000000</v>
      </c>
      <c r="V12" s="9">
        <f>SUMIFS(tblSales[Qty],tblSales[Product Code],P12,tblSales[Date],AnalysisDate)</f>
        <v>24</v>
      </c>
      <c r="X12" s="1" t="s">
        <v>4274</v>
      </c>
      <c r="Y12" s="5">
        <f>SUM(Y7:Y11)</f>
        <v>3289826199</v>
      </c>
    </row>
    <row r="13" spans="1:60" x14ac:dyDescent="0.35">
      <c r="B13" s="1">
        <v>7</v>
      </c>
      <c r="C13" s="1" t="s">
        <v>4271</v>
      </c>
      <c r="D13" s="54">
        <f>IF(B13&lt;=CutOff,'Monthly P&amp;L'!K9/1000000,NA())</f>
        <v>1371.895</v>
      </c>
      <c r="E13" s="54">
        <f>IF(B13&lt;=CutOff,'Monthly P&amp;L'!K11/1000000,NA())</f>
        <v>540.68799999999999</v>
      </c>
      <c r="F13" s="54">
        <f>IF(B13&lt;=CutOff,'Monthly P&amp;L'!K21/1000000,NA())</f>
        <v>189.41470464795736</v>
      </c>
      <c r="G13" s="54">
        <f>IF(B13&lt;=CutOff,'Monthly P&amp;L'!K27/1000000,NA())</f>
        <v>1439.8404190000001</v>
      </c>
      <c r="H13" s="9">
        <f>IF(B13&lt;=CutOff,'Monthly P&amp;L'!K24,NA())</f>
        <v>392</v>
      </c>
      <c r="I13" s="54">
        <f>IF(B13&lt;=CutOff,-('Monthly P&amp;L'!K13+'Monthly P&amp;L'!K14)/1000000,NA())</f>
        <v>301.31441999999998</v>
      </c>
      <c r="K13" s="131">
        <f>AnalysisDate-23</f>
        <v>46280</v>
      </c>
      <c r="L13" s="1" t="str">
        <f>TEXT(K13,"dd/mm")</f>
        <v>15/09</v>
      </c>
      <c r="M13" s="54">
        <f>SUMIFS(tblSales[DPP (excl. VAT)],tblSales[Date],K13)/1000000</f>
        <v>38.164999999999999</v>
      </c>
      <c r="N13" s="1" cm="1">
        <f t="array" ref="N13">IFERROR(ROWS(_xlfn.UNIQUE(_xlfn._xlws.FILTER(tblSales[Invoice No],tblSales[Date]=K13))),0)</f>
        <v>11</v>
      </c>
      <c r="P13" s="1" t="s">
        <v>12</v>
      </c>
      <c r="Q13" s="1" t="str">
        <f>_xlfn.XLOOKUP(P13,tblProducts[Code],tblProducts[Product / Service Name])</f>
        <v>Bomber Jacket</v>
      </c>
      <c r="R13" s="9">
        <f>SUMIFS(tblSales[Qty],tblSales[Product Code],P13,tblSales[Date],"&lt;="&amp;PEnd)</f>
        <v>3306</v>
      </c>
      <c r="S13" s="5">
        <f>SUMIFS(tblSales[DPP (excl. VAT)],tblSales[Product Code],P13,tblSales[Date],"&lt;="&amp;PEnd)</f>
        <v>1157100000</v>
      </c>
      <c r="T13" s="5">
        <f>S13-SUMIFS(tblSales[COGS],tblSales[Product Code],P13,tblSales[Date],"&lt;="&amp;PEnd)</f>
        <v>462840000</v>
      </c>
      <c r="U13" s="5">
        <f>SUMIFS(tblSales[DPP (excl. VAT)],tblSales[Product Code],P13,tblSales[Date],AnalysisDate)</f>
        <v>5600000</v>
      </c>
      <c r="V13" s="9">
        <f>SUMIFS(tblSales[Qty],tblSales[Product Code],P13,tblSales[Date],AnalysisDate)</f>
        <v>16</v>
      </c>
    </row>
    <row r="14" spans="1:60" x14ac:dyDescent="0.35">
      <c r="B14" s="1">
        <v>8</v>
      </c>
      <c r="C14" s="1" t="s">
        <v>4898</v>
      </c>
      <c r="D14" s="54">
        <f>IF(B14&lt;=CutOff,'Monthly P&amp;L'!L9/1000000,NA())</f>
        <v>972.79</v>
      </c>
      <c r="E14" s="54">
        <f>IF(B14&lt;=CutOff,'Monthly P&amp;L'!L11/1000000,NA())</f>
        <v>390.55500000000001</v>
      </c>
      <c r="F14" s="54">
        <f>IF(B14&lt;=CutOff,'Monthly P&amp;L'!L21/1000000,NA())</f>
        <v>68.879236055767706</v>
      </c>
      <c r="G14" s="54">
        <f>IF(B14&lt;=CutOff,'Monthly P&amp;L'!L27/1000000,NA())</f>
        <v>1413.230566</v>
      </c>
      <c r="H14" s="9">
        <f>IF(B14&lt;=CutOff,'Monthly P&amp;L'!L24,NA())</f>
        <v>358</v>
      </c>
      <c r="I14" s="54">
        <f>IF(B14&lt;=CutOff,-('Monthly P&amp;L'!L13+'Monthly P&amp;L'!L14)/1000000,NA())</f>
        <v>298.17875299999997</v>
      </c>
      <c r="K14" s="131">
        <f>AnalysisDate-22</f>
        <v>46281</v>
      </c>
      <c r="L14" s="1" t="str">
        <f>TEXT(K14,"dd/mm")</f>
        <v>16/09</v>
      </c>
      <c r="M14" s="54">
        <f>SUMIFS(tblSales[DPP (excl. VAT)],tblSales[Date],K14)/1000000</f>
        <v>14.615</v>
      </c>
      <c r="N14" s="1" cm="1">
        <f t="array" ref="N14">IFERROR(ROWS(_xlfn.UNIQUE(_xlfn._xlws.FILTER(tblSales[Invoice No],tblSales[Date]=K14))),0)</f>
        <v>8</v>
      </c>
      <c r="P14" s="1" t="s">
        <v>13</v>
      </c>
      <c r="Q14" s="1" t="str">
        <f>_xlfn.XLOOKUP(P14,tblProducts[Code],tblProducts[Product / Service Name])</f>
        <v>Backpack</v>
      </c>
      <c r="R14" s="9">
        <f>SUMIFS(tblSales[Qty],tblSales[Product Code],P14,tblSales[Date],"&lt;="&amp;PEnd)</f>
        <v>2531</v>
      </c>
      <c r="S14" s="5">
        <f>SUMIFS(tblSales[DPP (excl. VAT)],tblSales[Product Code],P14,tblSales[Date],"&lt;="&amp;PEnd)</f>
        <v>1265500000</v>
      </c>
      <c r="T14" s="5">
        <f>S14-SUMIFS(tblSales[COGS],tblSales[Product Code],P14,tblSales[Date],"&lt;="&amp;PEnd)</f>
        <v>531510000</v>
      </c>
      <c r="U14" s="5">
        <f>SUMIFS(tblSales[DPP (excl. VAT)],tblSales[Product Code],P14,tblSales[Date],AnalysisDate)</f>
        <v>5000000</v>
      </c>
      <c r="V14" s="9">
        <f>SUMIFS(tblSales[Qty],tblSales[Product Code],P14,tblSales[Date],AnalysisDate)</f>
        <v>10</v>
      </c>
      <c r="X14" s="75" t="s">
        <v>6955</v>
      </c>
    </row>
    <row r="15" spans="1:60" x14ac:dyDescent="0.35">
      <c r="B15" s="1">
        <v>9</v>
      </c>
      <c r="C15" s="1" t="s">
        <v>4272</v>
      </c>
      <c r="D15" s="54">
        <f>IF(B15&lt;=CutOff,'Monthly P&amp;L'!M9/1000000,NA())</f>
        <v>1052.5350000000001</v>
      </c>
      <c r="E15" s="54">
        <f>IF(B15&lt;=CutOff,'Monthly P&amp;L'!M11/1000000,NA())</f>
        <v>416.952</v>
      </c>
      <c r="F15" s="54">
        <f>IF(B15&lt;=CutOff,'Monthly P&amp;L'!M21/1000000,NA())</f>
        <v>69.095244374405056</v>
      </c>
      <c r="G15" s="54">
        <f>IF(B15&lt;=CutOff,'Monthly P&amp;L'!M27/1000000,NA())</f>
        <v>1465.3566049999999</v>
      </c>
      <c r="H15" s="9">
        <f>IF(B15&lt;=CutOff,'Monthly P&amp;L'!M24,NA())</f>
        <v>320</v>
      </c>
      <c r="I15" s="54">
        <f>IF(B15&lt;=CutOff,-('Monthly P&amp;L'!M13+'Monthly P&amp;L'!M14)/1000000,NA())</f>
        <v>324.55575299999998</v>
      </c>
      <c r="K15" s="131">
        <f>AnalysisDate-21</f>
        <v>46282</v>
      </c>
      <c r="L15" s="1" t="str">
        <f>TEXT(K15,"dd/mm")</f>
        <v>17/09</v>
      </c>
      <c r="M15" s="54">
        <f>SUMIFS(tblSales[DPP (excl. VAT)],tblSales[Date],K15)/1000000</f>
        <v>43.674999999999997</v>
      </c>
      <c r="N15" s="1" cm="1">
        <f t="array" ref="N15">IFERROR(ROWS(_xlfn.UNIQUE(_xlfn._xlws.FILTER(tblSales[Invoice No],tblSales[Date]=K15))),0)</f>
        <v>10</v>
      </c>
      <c r="P15" s="1" t="s">
        <v>14</v>
      </c>
      <c r="Q15" s="1" t="str">
        <f>_xlfn.XLOOKUP(P15,tblProducts[Code],tblProducts[Product / Service Name])</f>
        <v>Smartwatch</v>
      </c>
      <c r="R15" s="9">
        <f>SUMIFS(tblSales[Qty],tblSales[Product Code],P15,tblSales[Date],"&lt;="&amp;PEnd)</f>
        <v>1080</v>
      </c>
      <c r="S15" s="5">
        <f>SUMIFS(tblSales[DPP (excl. VAT)],tblSales[Product Code],P15,tblSales[Date],"&lt;="&amp;PEnd)</f>
        <v>918000000</v>
      </c>
      <c r="T15" s="5">
        <f>S15-SUMIFS(tblSales[COGS],tblSales[Product Code],P15,tblSales[Date],"&lt;="&amp;PEnd)</f>
        <v>313200000</v>
      </c>
      <c r="U15" s="5">
        <f>SUMIFS(tblSales[DPP (excl. VAT)],tblSales[Product Code],P15,tblSales[Date],AnalysisDate)</f>
        <v>0</v>
      </c>
      <c r="V15" s="9">
        <f>SUMIFS(tblSales[Qty],tblSales[Product Code],P15,tblSales[Date],AnalysisDate)</f>
        <v>0</v>
      </c>
      <c r="X15" s="68" t="s">
        <v>38</v>
      </c>
      <c r="Y15" s="68" t="s">
        <v>6956</v>
      </c>
    </row>
    <row r="16" spans="1:60" x14ac:dyDescent="0.35">
      <c r="B16" s="1">
        <v>10</v>
      </c>
      <c r="C16" s="1" t="s">
        <v>4899</v>
      </c>
      <c r="D16" s="54">
        <f>IF(B16&lt;=CutOff,'Monthly P&amp;L'!N9/1000000,NA())</f>
        <v>1253.8499999999999</v>
      </c>
      <c r="E16" s="54">
        <f>IF(B16&lt;=CutOff,'Monthly P&amp;L'!N11/1000000,NA())</f>
        <v>496.99</v>
      </c>
      <c r="F16" s="54">
        <f>IF(B16&lt;=CutOff,'Monthly P&amp;L'!N21/1000000,NA())</f>
        <v>150.6654821423771</v>
      </c>
      <c r="G16" s="54">
        <f>IF(B16&lt;=CutOff,'Monthly P&amp;L'!N27/1000000,NA())</f>
        <v>1563.245568</v>
      </c>
      <c r="H16" s="9">
        <f>IF(B16&lt;=CutOff,'Monthly P&amp;L'!N24,NA())</f>
        <v>349</v>
      </c>
      <c r="I16" s="54">
        <f>IF(B16&lt;=CutOff,-('Monthly P&amp;L'!N13+'Monthly P&amp;L'!N14)/1000000,NA())</f>
        <v>305.19875300000001</v>
      </c>
      <c r="K16" s="131">
        <f>AnalysisDate-20</f>
        <v>46283</v>
      </c>
      <c r="L16" s="1" t="str">
        <f>TEXT(K16,"dd/mm")</f>
        <v>18/09</v>
      </c>
      <c r="M16" s="54">
        <f>SUMIFS(tblSales[DPP (excl. VAT)],tblSales[Date],K16)/1000000</f>
        <v>54.715000000000003</v>
      </c>
      <c r="N16" s="1" cm="1">
        <f t="array" ref="N16">IFERROR(ROWS(_xlfn.UNIQUE(_xlfn._xlws.FILTER(tblSales[Invoice No],tblSales[Date]=K16))),0)</f>
        <v>12</v>
      </c>
      <c r="P16" s="1" t="s">
        <v>15</v>
      </c>
      <c r="Q16" s="1" t="str">
        <f>_xlfn.XLOOKUP(P16,tblProducts[Code],tblProducts[Product / Service Name])</f>
        <v>Wireless Earbuds Pro</v>
      </c>
      <c r="R16" s="9">
        <f>SUMIFS(tblSales[Qty],tblSales[Product Code],P16,tblSales[Date],"&lt;="&amp;PEnd)</f>
        <v>1115</v>
      </c>
      <c r="S16" s="5">
        <f>SUMIFS(tblSales[DPP (excl. VAT)],tblSales[Product Code],P16,tblSales[Date],"&lt;="&amp;PEnd)</f>
        <v>1393750000</v>
      </c>
      <c r="T16" s="5">
        <f>S16-SUMIFS(tblSales[COGS],tblSales[Product Code],P16,tblSales[Date],"&lt;="&amp;PEnd)</f>
        <v>479450000</v>
      </c>
      <c r="U16" s="5">
        <f>SUMIFS(tblSales[DPP (excl. VAT)],tblSales[Product Code],P16,tblSales[Date],AnalysisDate)</f>
        <v>0</v>
      </c>
      <c r="V16" s="9">
        <f>SUMIFS(tblSales[Qty],tblSales[Product Code],P16,tblSales[Date],AnalysisDate)</f>
        <v>0</v>
      </c>
      <c r="X16" s="1" t="str">
        <f>INDEX(tblChannels[Channel Name],1)</f>
        <v>In-store</v>
      </c>
      <c r="Y16" s="5">
        <f>SUMIFS(tblSales[DPP (excl. VAT)],tblSales[Channel Code],INDEX(tblChannels[Channel Code],1),tblSales[Date],"&lt;="&amp;PEnd)</f>
        <v>8866085000</v>
      </c>
    </row>
    <row r="17" spans="2:25" x14ac:dyDescent="0.35">
      <c r="B17" s="1">
        <v>11</v>
      </c>
      <c r="C17" s="1" t="s">
        <v>4273</v>
      </c>
      <c r="D17" s="54" t="e">
        <f>IF(B17&lt;=CutOff,'Monthly P&amp;L'!O9/1000000,NA())</f>
        <v>#N/A</v>
      </c>
      <c r="E17" s="54" t="e">
        <f>IF(B17&lt;=CutOff,'Monthly P&amp;L'!O11/1000000,NA())</f>
        <v>#N/A</v>
      </c>
      <c r="F17" s="54" t="e">
        <f>IF(B17&lt;=CutOff,'Monthly P&amp;L'!O21/1000000,NA())</f>
        <v>#N/A</v>
      </c>
      <c r="G17" s="54" t="e">
        <f>IF(B17&lt;=CutOff,'Monthly P&amp;L'!O27/1000000,NA())</f>
        <v>#N/A</v>
      </c>
      <c r="H17" s="9" t="e">
        <f>IF(B17&lt;=CutOff,'Monthly P&amp;L'!O24,NA())</f>
        <v>#N/A</v>
      </c>
      <c r="I17" s="54" t="e">
        <f>IF(B17&lt;=CutOff,-('Monthly P&amp;L'!O13+'Monthly P&amp;L'!O14)/1000000,NA())</f>
        <v>#N/A</v>
      </c>
      <c r="K17" s="131">
        <f>AnalysisDate-19</f>
        <v>46284</v>
      </c>
      <c r="L17" s="1" t="str">
        <f>TEXT(K17,"dd/mm")</f>
        <v>19/09</v>
      </c>
      <c r="M17" s="54">
        <f>SUMIFS(tblSales[DPP (excl. VAT)],tblSales[Date],K17)/1000000</f>
        <v>57.585000000000001</v>
      </c>
      <c r="N17" s="1" cm="1">
        <f t="array" ref="N17">IFERROR(ROWS(_xlfn.UNIQUE(_xlfn._xlws.FILTER(tblSales[Invoice No],tblSales[Date]=K17))),0)</f>
        <v>12</v>
      </c>
      <c r="P17" s="2" t="s">
        <v>4274</v>
      </c>
      <c r="Q17" s="2"/>
      <c r="R17" s="17">
        <f>SUM(R7:R16)</f>
        <v>75793</v>
      </c>
      <c r="S17" s="11">
        <f>SUM(S7:S16)</f>
        <v>11350565000</v>
      </c>
      <c r="T17" s="11">
        <f>SUM(T7:T16)</f>
        <v>4518180000</v>
      </c>
      <c r="U17" s="11">
        <f>SUM(U7:U16)</f>
        <v>48480000</v>
      </c>
      <c r="V17" s="17">
        <f>SUM(V7:V16)</f>
        <v>394</v>
      </c>
      <c r="X17" s="1" t="str">
        <f>INDEX(tblChannels[Channel Name],2)</f>
        <v>Marketplace</v>
      </c>
      <c r="Y17" s="5">
        <f>SUMIFS(tblSales[DPP (excl. VAT)],tblSales[Channel Code],INDEX(tblChannels[Channel Code],2),tblSales[Date],"&lt;="&amp;PEnd)</f>
        <v>853875000</v>
      </c>
    </row>
    <row r="18" spans="2:25" x14ac:dyDescent="0.35">
      <c r="B18" s="1">
        <v>12</v>
      </c>
      <c r="C18" s="1" t="s">
        <v>4900</v>
      </c>
      <c r="D18" s="54" t="e">
        <f>IF(B18&lt;=CutOff,'Monthly P&amp;L'!P9/1000000,NA())</f>
        <v>#N/A</v>
      </c>
      <c r="E18" s="54" t="e">
        <f>IF(B18&lt;=CutOff,'Monthly P&amp;L'!P11/1000000,NA())</f>
        <v>#N/A</v>
      </c>
      <c r="F18" s="54" t="e">
        <f>IF(B18&lt;=CutOff,'Monthly P&amp;L'!P21/1000000,NA())</f>
        <v>#N/A</v>
      </c>
      <c r="G18" s="54" t="e">
        <f>IF(B18&lt;=CutOff,'Monthly P&amp;L'!P27/1000000,NA())</f>
        <v>#N/A</v>
      </c>
      <c r="H18" s="9" t="e">
        <f>IF(B18&lt;=CutOff,'Monthly P&amp;L'!P24,NA())</f>
        <v>#N/A</v>
      </c>
      <c r="I18" s="54" t="e">
        <f>IF(B18&lt;=CutOff,-('Monthly P&amp;L'!P13+'Monthly P&amp;L'!P14)/1000000,NA())</f>
        <v>#N/A</v>
      </c>
      <c r="K18" s="131">
        <f>AnalysisDate-18</f>
        <v>46285</v>
      </c>
      <c r="L18" s="1" t="str">
        <f>TEXT(K18,"dd/mm")</f>
        <v>20/09</v>
      </c>
      <c r="M18" s="54">
        <f>SUMIFS(tblSales[DPP (excl. VAT)],tblSales[Date],K18)/1000000</f>
        <v>12.164999999999999</v>
      </c>
      <c r="N18" s="1" cm="1">
        <f t="array" ref="N18">IFERROR(ROWS(_xlfn.UNIQUE(_xlfn._xlws.FILTER(tblSales[Invoice No],tblSales[Date]=K18))),0)</f>
        <v>11</v>
      </c>
      <c r="X18" s="1" t="str">
        <f>INDEX(tblChannels[Channel Name],3)</f>
        <v>Website &amp; Social Media</v>
      </c>
      <c r="Y18" s="5">
        <f>SUMIFS(tblSales[DPP (excl. VAT)],tblSales[Channel Code],INDEX(tblChannels[Channel Code],3),tblSales[Date],"&lt;="&amp;PEnd)</f>
        <v>1630605000</v>
      </c>
    </row>
    <row r="19" spans="2:25" x14ac:dyDescent="0.35">
      <c r="K19" s="131">
        <f>AnalysisDate-17</f>
        <v>46286</v>
      </c>
      <c r="L19" s="1" t="str">
        <f>TEXT(K19,"dd/mm")</f>
        <v>21/09</v>
      </c>
      <c r="M19" s="54">
        <f>SUMIFS(tblSales[DPP (excl. VAT)],tblSales[Date],K19)/1000000</f>
        <v>15.09</v>
      </c>
      <c r="N19" s="1" cm="1">
        <f t="array" ref="N19">IFERROR(ROWS(_xlfn.UNIQUE(_xlfn._xlws.FILTER(tblSales[Invoice No],tblSales[Date]=K19))),0)</f>
        <v>9</v>
      </c>
      <c r="P19" s="75" t="s">
        <v>6947</v>
      </c>
      <c r="Y19" s="5"/>
    </row>
    <row r="20" spans="2:25" x14ac:dyDescent="0.35">
      <c r="K20" s="131">
        <f>AnalysisDate-16</f>
        <v>46287</v>
      </c>
      <c r="L20" s="1" t="str">
        <f>TEXT(K20,"dd/mm")</f>
        <v>22/09</v>
      </c>
      <c r="M20" s="54">
        <f>SUMIFS(tblSales[DPP (excl. VAT)],tblSales[Date],K20)/1000000</f>
        <v>87.305000000000007</v>
      </c>
      <c r="N20" s="1" cm="1">
        <f t="array" ref="N20">IFERROR(ROWS(_xlfn.UNIQUE(_xlfn._xlws.FILTER(tblSales[Invoice No],tblSales[Date]=K20))),0)</f>
        <v>10</v>
      </c>
      <c r="P20" s="68" t="s">
        <v>4283</v>
      </c>
      <c r="Q20" s="68" t="s">
        <v>5075</v>
      </c>
      <c r="R20" s="68" t="s">
        <v>6941</v>
      </c>
      <c r="S20" s="68" t="s">
        <v>6948</v>
      </c>
      <c r="T20" s="68" t="s">
        <v>6936</v>
      </c>
      <c r="X20" s="75" t="s">
        <v>6957</v>
      </c>
      <c r="Y20" s="5"/>
    </row>
    <row r="21" spans="2:25" x14ac:dyDescent="0.35">
      <c r="B21" s="75" t="s">
        <v>6962</v>
      </c>
      <c r="K21" s="131">
        <f>AnalysisDate-15</f>
        <v>46288</v>
      </c>
      <c r="L21" s="1" t="str">
        <f>TEXT(K21,"dd/mm")</f>
        <v>23/09</v>
      </c>
      <c r="M21" s="54">
        <f>SUMIFS(tblSales[DPP (excl. VAT)],tblSales[Date],K21)/1000000</f>
        <v>25.545000000000002</v>
      </c>
      <c r="N21" s="1" cm="1">
        <f t="array" ref="N21">IFERROR(ROWS(_xlfn.UNIQUE(_xlfn._xlws.FILTER(tblSales[Invoice No],tblSales[Date]=K21))),0)</f>
        <v>9</v>
      </c>
      <c r="P21" s="1">
        <v>1</v>
      </c>
      <c r="Q21" s="1" t="str" cm="1">
        <f t="array" ref="Q21">INDEX(_xlfn.SORTBY($Q$7:$Q$16,$S$7:$S$16,-1),P21)</f>
        <v>Chino Pants</v>
      </c>
      <c r="R21" s="54" cm="1">
        <f t="array" ref="R21">INDEX(_xlfn.SORTBY($S$7:$S$16,$S$7:$S$16,-1),P21)/1000000</f>
        <v>1471.35</v>
      </c>
      <c r="S21" s="8">
        <f>IFERROR(R21*1000000/$S$17,0)</f>
        <v>0.12962790839046337</v>
      </c>
      <c r="T21" s="5" cm="1">
        <f t="array" ref="T21">INDEX(_xlfn.SORTBY($T$7:$T$16,$S$7:$S$16,-1),P21)</f>
        <v>608158000</v>
      </c>
      <c r="X21" s="68" t="s">
        <v>6958</v>
      </c>
      <c r="Y21" s="70" t="s">
        <v>6959</v>
      </c>
    </row>
    <row r="22" spans="2:25" x14ac:dyDescent="0.35">
      <c r="B22" s="1" t="s">
        <v>6963</v>
      </c>
      <c r="C22" s="109">
        <f>AnalysisDate</f>
        <v>46303</v>
      </c>
      <c r="K22" s="131">
        <f>AnalysisDate-14</f>
        <v>46289</v>
      </c>
      <c r="L22" s="1" t="str">
        <f>TEXT(K22,"dd/mm")</f>
        <v>24/09</v>
      </c>
      <c r="M22" s="54">
        <f>SUMIFS(tblSales[DPP (excl. VAT)],tblSales[Date],K22)/1000000</f>
        <v>9.7799999999999994</v>
      </c>
      <c r="N22" s="1" cm="1">
        <f t="array" ref="N22">IFERROR(ROWS(_xlfn.UNIQUE(_xlfn._xlws.FILTER(tblSales[Invoice No],tblSales[Date]=K22))),0)</f>
        <v>9</v>
      </c>
      <c r="P22" s="1">
        <v>2</v>
      </c>
      <c r="Q22" s="1" t="str" cm="1">
        <f t="array" ref="Q22">INDEX(_xlfn.SORTBY($Q$7:$Q$16,$S$7:$S$16,-1),P22)</f>
        <v>Casual Shirt</v>
      </c>
      <c r="R22" s="54" cm="1">
        <f t="array" ref="R22">INDEX(_xlfn.SORTBY($S$7:$S$16,$S$7:$S$16,-1),P22)/1000000</f>
        <v>1400.28</v>
      </c>
      <c r="S22" s="8">
        <f>IFERROR(R22*1000000/$S$17,0)</f>
        <v>0.12336654607061411</v>
      </c>
      <c r="T22" s="5" cm="1">
        <f t="array" ref="T22">INDEX(_xlfn.SORTBY($T$7:$T$16,$S$7:$S$16,-1),P22)</f>
        <v>560112000</v>
      </c>
      <c r="X22" s="1" t="str">
        <f>INDEX(tblPayMethods[Payment Method],1)</f>
        <v>Cash</v>
      </c>
      <c r="Y22" s="5">
        <f>SUMIFS(tblSales[Total incl. VAT],tblSales[Payment Method],X22,tblSales[Date],"&lt;="&amp;PEnd)</f>
        <v>1455365400</v>
      </c>
    </row>
    <row r="23" spans="2:25" x14ac:dyDescent="0.35">
      <c r="B23" s="1" t="s">
        <v>6964</v>
      </c>
      <c r="C23" s="5">
        <f>SUMIFS(tblSales[DPP (excl. VAT)],tblSales[Date],AnalysisDate)</f>
        <v>48480000</v>
      </c>
      <c r="K23" s="131">
        <f>AnalysisDate-13</f>
        <v>46290</v>
      </c>
      <c r="L23" s="1" t="str">
        <f>TEXT(K23,"dd/mm")</f>
        <v>25/09</v>
      </c>
      <c r="M23" s="54">
        <f>SUMIFS(tblSales[DPP (excl. VAT)],tblSales[Date],K23)/1000000</f>
        <v>15.904999999999999</v>
      </c>
      <c r="N23" s="1" cm="1">
        <f t="array" ref="N23">IFERROR(ROWS(_xlfn.UNIQUE(_xlfn._xlws.FILTER(tblSales[Invoice No],tblSales[Date]=K23))),0)</f>
        <v>9</v>
      </c>
      <c r="P23" s="1">
        <v>3</v>
      </c>
      <c r="Q23" s="1" t="str" cm="1">
        <f t="array" ref="Q23">INDEX(_xlfn.SORTBY($Q$7:$Q$16,$S$7:$S$16,-1),P23)</f>
        <v>Wireless Earbuds Pro</v>
      </c>
      <c r="R23" s="54" cm="1">
        <f t="array" ref="R23">INDEX(_xlfn.SORTBY($S$7:$S$16,$S$7:$S$16,-1),P23)/1000000</f>
        <v>1393.75</v>
      </c>
      <c r="S23" s="8">
        <f>IFERROR(R23*1000000/$S$17,0)</f>
        <v>0.12279124431250779</v>
      </c>
      <c r="T23" s="5" cm="1">
        <f t="array" ref="T23">INDEX(_xlfn.SORTBY($T$7:$T$16,$S$7:$S$16,-1),P23)</f>
        <v>479450000</v>
      </c>
      <c r="X23" s="1" t="str">
        <f>INDEX(tblPayMethods[Payment Method],2)</f>
        <v>QRIS / Transfer</v>
      </c>
      <c r="Y23" s="5">
        <f>SUMIFS(tblSales[Total incl. VAT],tblSales[Payment Method],X23,tblSales[Date],"&lt;="&amp;PEnd)</f>
        <v>2087626950</v>
      </c>
    </row>
    <row r="24" spans="2:25" x14ac:dyDescent="0.35">
      <c r="B24" s="1" t="s">
        <v>6965</v>
      </c>
      <c r="C24" s="5">
        <f>SUMIFS(tblSales[DPP (excl. VAT)],tblSales[Date],AnalysisDate-1)</f>
        <v>38340000</v>
      </c>
      <c r="K24" s="131">
        <f>AnalysisDate-12</f>
        <v>46291</v>
      </c>
      <c r="L24" s="1" t="str">
        <f>TEXT(K24,"dd/mm")</f>
        <v>26/09</v>
      </c>
      <c r="M24" s="54">
        <f>SUMIFS(tblSales[DPP (excl. VAT)],tblSales[Date],K24)/1000000</f>
        <v>23.645</v>
      </c>
      <c r="N24" s="1" cm="1">
        <f t="array" ref="N24">IFERROR(ROWS(_xlfn.UNIQUE(_xlfn._xlws.FILTER(tblSales[Invoice No],tblSales[Date]=K24))),0)</f>
        <v>15</v>
      </c>
      <c r="P24" s="1">
        <v>4</v>
      </c>
      <c r="Q24" s="1" t="str" cm="1">
        <f t="array" ref="Q24">INDEX(_xlfn.SORTBY($Q$7:$Q$16,$S$7:$S$16,-1),P24)</f>
        <v>Backpack</v>
      </c>
      <c r="R24" s="54" cm="1">
        <f t="array" ref="R24">INDEX(_xlfn.SORTBY($S$7:$S$16,$S$7:$S$16,-1),P24)/1000000</f>
        <v>1265.5</v>
      </c>
      <c r="S24" s="8">
        <f>IFERROR(R24*1000000/$S$17,0)</f>
        <v>0.1114922473022268</v>
      </c>
      <c r="T24" s="5" cm="1">
        <f t="array" ref="T24">INDEX(_xlfn.SORTBY($T$7:$T$16,$S$7:$S$16,-1),P24)</f>
        <v>531510000</v>
      </c>
      <c r="X24" s="1" t="str">
        <f>INDEX(tblPayMethods[Payment Method],3)</f>
        <v>Credit (Term)</v>
      </c>
      <c r="Y24" s="5">
        <f>SUMIFS(tblSales[Total incl. VAT],tblSales[Payment Method],X24,tblSales[Date],"&lt;="&amp;PEnd)</f>
        <v>9056134800</v>
      </c>
    </row>
    <row r="25" spans="2:25" x14ac:dyDescent="0.35">
      <c r="B25" s="1" t="s">
        <v>6966</v>
      </c>
      <c r="C25" s="8">
        <f>IFERROR(C23/C24-1,0)</f>
        <v>0.26447574334898283</v>
      </c>
      <c r="K25" s="131">
        <f>AnalysisDate-11</f>
        <v>46292</v>
      </c>
      <c r="L25" s="1" t="str">
        <f>TEXT(K25,"dd/mm")</f>
        <v>27/09</v>
      </c>
      <c r="M25" s="54">
        <f>SUMIFS(tblSales[DPP (excl. VAT)],tblSales[Date],K25)/1000000</f>
        <v>29.734999999999999</v>
      </c>
      <c r="N25" s="1" cm="1">
        <f t="array" ref="N25">IFERROR(ROWS(_xlfn.UNIQUE(_xlfn._xlws.FILTER(tblSales[Invoice No],tblSales[Date]=K25))),0)</f>
        <v>12</v>
      </c>
      <c r="P25" s="1">
        <v>5</v>
      </c>
      <c r="Q25" s="1" t="str" cm="1">
        <f t="array" ref="Q25">INDEX(_xlfn.SORTBY($Q$7:$Q$16,$S$7:$S$16,-1),P25)</f>
        <v>Casual Shorts</v>
      </c>
      <c r="R25" s="54" cm="1">
        <f t="array" ref="R25">INDEX(_xlfn.SORTBY($S$7:$S$16,$S$7:$S$16,-1),P25)/1000000</f>
        <v>1166.03</v>
      </c>
      <c r="S25" s="8">
        <f>IFERROR(R25*1000000/$S$17,0)</f>
        <v>0.10272880689199172</v>
      </c>
      <c r="T25" s="5" cm="1">
        <f t="array" ref="T25">INDEX(_xlfn.SORTBY($T$7:$T$16,$S$7:$S$16,-1),P25)</f>
        <v>480130000</v>
      </c>
    </row>
    <row r="26" spans="2:25" x14ac:dyDescent="0.35">
      <c r="B26" s="1" t="s">
        <v>6967</v>
      </c>
      <c r="C26" s="71" cm="1">
        <f t="array" ref="C26">IFERROR(ROWS(_xlfn.UNIQUE(_xlfn._xlws.FILTER(tblSales[Invoice No],tblSales[Date]=AnalysisDate))),0)</f>
        <v>9</v>
      </c>
      <c r="K26" s="131">
        <f>AnalysisDate-10</f>
        <v>46293</v>
      </c>
      <c r="L26" s="1" t="str">
        <f>TEXT(K26,"dd/mm")</f>
        <v>28/09</v>
      </c>
      <c r="M26" s="54">
        <f>SUMIFS(tblSales[DPP (excl. VAT)],tblSales[Date],K26)/1000000</f>
        <v>27</v>
      </c>
      <c r="N26" s="1" cm="1">
        <f t="array" ref="N26">IFERROR(ROWS(_xlfn.UNIQUE(_xlfn._xlws.FILTER(tblSales[Invoice No],tblSales[Date]=K26))),0)</f>
        <v>11</v>
      </c>
      <c r="P26" s="1">
        <v>6</v>
      </c>
      <c r="Q26" s="1" t="str" cm="1">
        <f t="array" ref="Q26">INDEX(_xlfn.SORTBY($Q$7:$Q$16,$S$7:$S$16,-1),P26)</f>
        <v>Bomber Jacket</v>
      </c>
      <c r="R26" s="54" cm="1">
        <f t="array" ref="R26">INDEX(_xlfn.SORTBY($S$7:$S$16,$S$7:$S$16,-1),P26)/1000000</f>
        <v>1157.0999999999999</v>
      </c>
      <c r="S26" s="8">
        <f>IFERROR(R26*1000000/$S$17,0)</f>
        <v>0.10194206191497956</v>
      </c>
      <c r="T26" s="5" cm="1">
        <f t="array" ref="T26">INDEX(_xlfn.SORTBY($T$7:$T$16,$S$7:$S$16,-1),P26)</f>
        <v>462840000</v>
      </c>
      <c r="X26" s="75" t="s">
        <v>6960</v>
      </c>
    </row>
    <row r="27" spans="2:25" x14ac:dyDescent="0.35">
      <c r="B27" s="1" t="s">
        <v>6968</v>
      </c>
      <c r="C27" s="5">
        <f>IFERROR(C23/C26,0)</f>
        <v>5386666.666666667</v>
      </c>
      <c r="K27" s="131">
        <f>AnalysisDate-9</f>
        <v>46294</v>
      </c>
      <c r="L27" s="1" t="str">
        <f>TEXT(K27,"dd/mm")</f>
        <v>29/09</v>
      </c>
      <c r="M27" s="54">
        <f>SUMIFS(tblSales[DPP (excl. VAT)],tblSales[Date],K27)/1000000</f>
        <v>38.97</v>
      </c>
      <c r="N27" s="1" cm="1">
        <f t="array" ref="N27">IFERROR(ROWS(_xlfn.UNIQUE(_xlfn._xlws.FILTER(tblSales[Invoice No],tblSales[Date]=K27))),0)</f>
        <v>10</v>
      </c>
      <c r="P27" s="1">
        <v>7</v>
      </c>
      <c r="Q27" s="1" t="str" cm="1">
        <f t="array" ref="Q27">INDEX(_xlfn.SORTBY($Q$7:$Q$16,$S$7:$S$16,-1),P27)</f>
        <v>Sneakers</v>
      </c>
      <c r="R27" s="54" cm="1">
        <f t="array" ref="R27">INDEX(_xlfn.SORTBY($S$7:$S$16,$S$7:$S$16,-1),P27)/1000000</f>
        <v>1035.5</v>
      </c>
      <c r="S27" s="8">
        <f>IFERROR(R27*1000000/$S$17,0)</f>
        <v>9.1228938823750189E-2</v>
      </c>
      <c r="T27" s="5" cm="1">
        <f t="array" ref="T27">INDEX(_xlfn.SORTBY($T$7:$T$16,$S$7:$S$16,-1),P27)</f>
        <v>393490000</v>
      </c>
      <c r="X27" s="68" t="s">
        <v>6961</v>
      </c>
      <c r="Y27" s="68" t="s">
        <v>6956</v>
      </c>
    </row>
    <row r="28" spans="2:25" x14ac:dyDescent="0.35">
      <c r="B28" s="1" t="s">
        <v>6969</v>
      </c>
      <c r="C28" s="18" t="str">
        <f>IF(MAX(U7:U16)=0,"–",INDEX(Q7:Q16,MATCH(MAX(U7:U16),U7:U16,0)))</f>
        <v>Casual Shirt</v>
      </c>
      <c r="K28" s="131">
        <f>AnalysisDate-8</f>
        <v>46295</v>
      </c>
      <c r="L28" s="1" t="str">
        <f>TEXT(K28,"dd/mm")</f>
        <v>30/09</v>
      </c>
      <c r="M28" s="54">
        <f>SUMIFS(tblSales[DPP (excl. VAT)],tblSales[Date],K28)/1000000</f>
        <v>23.204999999999998</v>
      </c>
      <c r="N28" s="1" cm="1">
        <f t="array" ref="N28">IFERROR(ROWS(_xlfn.UNIQUE(_xlfn._xlws.FILTER(tblSales[Invoice No],tblSales[Date]=K28))),0)</f>
        <v>11</v>
      </c>
      <c r="P28" s="1">
        <v>8</v>
      </c>
      <c r="Q28" s="1" t="str" cm="1">
        <f t="array" ref="Q28">INDEX(_xlfn.SORTBY($Q$7:$Q$16,$S$7:$S$16,-1),P28)</f>
        <v>Smartwatch</v>
      </c>
      <c r="R28" s="54" cm="1">
        <f t="array" ref="R28">INDEX(_xlfn.SORTBY($S$7:$S$16,$S$7:$S$16,-1),P28)/1000000</f>
        <v>918</v>
      </c>
      <c r="S28" s="8">
        <f>IFERROR(R28*1000000/$S$17,0)</f>
        <v>8.0877031231484958E-2</v>
      </c>
      <c r="T28" s="5" cm="1">
        <f t="array" ref="T28">INDEX(_xlfn.SORTBY($T$7:$T$16,$S$7:$S$16,-1),P28)</f>
        <v>313200000</v>
      </c>
      <c r="X28" s="1" t="str" cm="1">
        <f t="array" ref="X28:Y32">_xlfn.LET(_xlpm.id,_xlfn._xlws.FILTER(tblCustomers[Customer ID],tblCustomers[Customer ID]&lt;&gt;"C000"),_xlpm.nm,_xlfn.XLOOKUP(_xlpm.id,tblCustomers[Customer ID],tblCustomers[Customer Name]),_xlpm.v,_xlfn.MAP(_xlpm.id,_xlfn.LAMBDA(_xlpm.x,SUMIFS(tblSales[DPP (excl. VAT)],tblSales[Customer ID],_xlpm.x,tblSales[Date],"&lt;="&amp;PEnd))),_xlfn.TAKE(_xlfn.SORTBY(_xlfn.HSTACK(_xlpm.nm,_xlpm.v),_xlpm.v,-1),5))</f>
        <v>PT Graha Nusa Persada</v>
      </c>
      <c r="Y28" s="5">
        <v>927360000</v>
      </c>
    </row>
    <row r="29" spans="2:25" x14ac:dyDescent="0.35">
      <c r="B29" s="1" t="s">
        <v>6970</v>
      </c>
      <c r="C29" s="5">
        <f>MAX(U7:U16)</f>
        <v>15240000</v>
      </c>
      <c r="K29" s="131">
        <f>AnalysisDate-7</f>
        <v>46296</v>
      </c>
      <c r="L29" s="1" t="str">
        <f>TEXT(K29,"dd/mm")</f>
        <v>01/10</v>
      </c>
      <c r="M29" s="54">
        <f>SUMIFS(tblSales[DPP (excl. VAT)],tblSales[Date],K29)/1000000</f>
        <v>45.844999999999999</v>
      </c>
      <c r="N29" s="1" cm="1">
        <f t="array" ref="N29">IFERROR(ROWS(_xlfn.UNIQUE(_xlfn._xlws.FILTER(tblSales[Invoice No],tblSales[Date]=K29))),0)</f>
        <v>12</v>
      </c>
      <c r="P29" s="1">
        <v>9</v>
      </c>
      <c r="Q29" s="1" t="str" cm="1">
        <f t="array" ref="Q29">INDEX(_xlfn.SORTBY($Q$7:$Q$16,$S$7:$S$16,-1),P29)</f>
        <v>Premium Basic T-shirt</v>
      </c>
      <c r="R29" s="54" cm="1">
        <f t="array" ref="R29">INDEX(_xlfn.SORTBY($S$7:$S$16,$S$7:$S$16,-1),P29)/1000000</f>
        <v>858.06500000000005</v>
      </c>
      <c r="S29" s="8">
        <f>IFERROR(R29*1000000/$S$17,0)</f>
        <v>7.5596677346017577E-2</v>
      </c>
      <c r="T29" s="5" cm="1">
        <f t="array" ref="T29">INDEX(_xlfn.SORTBY($T$7:$T$16,$S$7:$S$16,-1),P29)</f>
        <v>369628000</v>
      </c>
      <c r="X29" s="1" t="str">
        <v>PT Bintang Timur Sejahtera</v>
      </c>
      <c r="Y29" s="5">
        <v>844240000</v>
      </c>
    </row>
    <row r="30" spans="2:25" x14ac:dyDescent="0.35">
      <c r="B30" s="1" t="s">
        <v>6971</v>
      </c>
      <c r="C30" s="5">
        <f>SUMIFS(tblSales[DPP (excl. VAT)],tblSales[Date],"&gt;="&amp;DATE(YEAR(AnalysisDate),MONTH(AnalysisDate),1),tblSales[Date],"&lt;="&amp;AnalysisDate)</f>
        <v>352390000</v>
      </c>
      <c r="K30" s="131">
        <f>AnalysisDate-6</f>
        <v>46297</v>
      </c>
      <c r="L30" s="1" t="str">
        <f>TEXT(K30,"dd/mm")</f>
        <v>02/10</v>
      </c>
      <c r="M30" s="54">
        <f>SUMIFS(tblSales[DPP (excl. VAT)],tblSales[Date],K30)/1000000</f>
        <v>57.89</v>
      </c>
      <c r="N30" s="1" cm="1">
        <f t="array" ref="N30">IFERROR(ROWS(_xlfn.UNIQUE(_xlfn._xlws.FILTER(tblSales[Invoice No],tblSales[Date]=K30))),0)</f>
        <v>11</v>
      </c>
      <c r="P30" s="1">
        <v>10</v>
      </c>
      <c r="Q30" s="1" t="str" cm="1">
        <f t="array" ref="Q30">INDEX(_xlfn.SORTBY($Q$7:$Q$16,$S$7:$S$16,-1),P30)</f>
        <v>Socks &amp; Accessories</v>
      </c>
      <c r="R30" s="54" cm="1">
        <f t="array" ref="R30">INDEX(_xlfn.SORTBY($S$7:$S$16,$S$7:$S$16,-1),P30)/1000000</f>
        <v>684.99</v>
      </c>
      <c r="S30" s="8">
        <f>IFERROR(R30*1000000/$S$17,0)</f>
        <v>6.0348537715963921E-2</v>
      </c>
      <c r="T30" s="5" cm="1">
        <f t="array" ref="T30">INDEX(_xlfn.SORTBY($T$7:$T$16,$S$7:$S$16,-1),P30)</f>
        <v>319662000</v>
      </c>
      <c r="X30" s="1" t="str">
        <v>PT Cahaya Abadi Makmur</v>
      </c>
      <c r="Y30" s="5">
        <v>827360000</v>
      </c>
    </row>
    <row r="31" spans="2:25" x14ac:dyDescent="0.35">
      <c r="B31" s="1" t="s">
        <v>6972</v>
      </c>
      <c r="C31" s="5">
        <f>SUMIFS(tblSales[DPP (excl. VAT)],tblSales[Date],"&gt;="&amp;EDATE(DATE(YEAR(AnalysisDate),MONTH(AnalysisDate),1),-1),tblSales[Date],"&lt;="&amp;EDATE(AnalysisDate,-1))</f>
        <v>284105000</v>
      </c>
      <c r="K31" s="131">
        <f>AnalysisDate-5</f>
        <v>46298</v>
      </c>
      <c r="L31" s="1" t="str">
        <f>TEXT(K31,"dd/mm")</f>
        <v>03/10</v>
      </c>
      <c r="M31" s="54">
        <f>SUMIFS(tblSales[DPP (excl. VAT)],tblSales[Date],K31)/1000000</f>
        <v>14.96</v>
      </c>
      <c r="N31" s="1" cm="1">
        <f t="array" ref="N31">IFERROR(ROWS(_xlfn.UNIQUE(_xlfn._xlws.FILTER(tblSales[Invoice No],tblSales[Date]=K31))),0)</f>
        <v>11</v>
      </c>
      <c r="X31" s="1" t="str">
        <v>PT Delta Inti Selaras</v>
      </c>
      <c r="Y31" s="5">
        <v>821240000</v>
      </c>
    </row>
    <row r="32" spans="2:25" x14ac:dyDescent="0.35">
      <c r="B32" s="1" t="s">
        <v>6973</v>
      </c>
      <c r="C32" s="8">
        <f>IFERROR(C30/C31-1,0)</f>
        <v>0.24035127857658267</v>
      </c>
      <c r="K32" s="131">
        <f>AnalysisDate-4</f>
        <v>46299</v>
      </c>
      <c r="L32" s="1" t="str">
        <f>TEXT(K32,"dd/mm")</f>
        <v>04/10</v>
      </c>
      <c r="M32" s="54">
        <f>SUMIFS(tblSales[DPP (excl. VAT)],tblSales[Date],K32)/1000000</f>
        <v>29.87</v>
      </c>
      <c r="N32" s="1" cm="1">
        <f t="array" ref="N32">IFERROR(ROWS(_xlfn.UNIQUE(_xlfn._xlws.FILTER(tblSales[Invoice No],tblSales[Date]=K32))),0)</f>
        <v>11</v>
      </c>
      <c r="X32" s="1" t="str">
        <v>PT Mega Prima Distribusi</v>
      </c>
      <c r="Y32" s="5">
        <v>776080000</v>
      </c>
    </row>
    <row r="33" spans="2:14" x14ac:dyDescent="0.35">
      <c r="B33" s="1" t="s">
        <v>6974</v>
      </c>
      <c r="C33" s="5">
        <f>SUMIFS(tblSales[DPP (excl. VAT)],tblSales[Date],"&lt;="&amp;AnalysisDate)</f>
        <v>10449105000</v>
      </c>
      <c r="K33" s="131">
        <f>AnalysisDate-3</f>
        <v>46300</v>
      </c>
      <c r="L33" s="1" t="str">
        <f>TEXT(K33,"dd/mm")</f>
        <v>05/10</v>
      </c>
      <c r="M33" s="54">
        <f>SUMIFS(tblSales[DPP (excl. VAT)],tblSales[Date],K33)/1000000</f>
        <v>66.185000000000002</v>
      </c>
      <c r="N33" s="1" cm="1">
        <f t="array" ref="N33">IFERROR(ROWS(_xlfn.UNIQUE(_xlfn._xlws.FILTER(tblSales[Invoice No],tblSales[Date]=K33))),0)</f>
        <v>11</v>
      </c>
    </row>
    <row r="34" spans="2:14" x14ac:dyDescent="0.35">
      <c r="B34" s="1" t="s">
        <v>6975</v>
      </c>
      <c r="C34" s="5">
        <f>AVERAGE(M7:M36)*1000000</f>
        <v>37360666.666666664</v>
      </c>
      <c r="K34" s="131">
        <f>AnalysisDate-2</f>
        <v>46301</v>
      </c>
      <c r="L34" s="1" t="str">
        <f>TEXT(K34,"dd/mm")</f>
        <v>06/10</v>
      </c>
      <c r="M34" s="54">
        <f>SUMIFS(tblSales[DPP (excl. VAT)],tblSales[Date],K34)/1000000</f>
        <v>50.82</v>
      </c>
      <c r="N34" s="1" cm="1">
        <f t="array" ref="N34">IFERROR(ROWS(_xlfn.UNIQUE(_xlfn._xlws.FILTER(tblSales[Invoice No],tblSales[Date]=K34))),0)</f>
        <v>9</v>
      </c>
    </row>
    <row r="35" spans="2:14" x14ac:dyDescent="0.35">
      <c r="B35" s="1" t="s">
        <v>6976</v>
      </c>
      <c r="C35" s="71">
        <f>SUM(V7:V16)</f>
        <v>394</v>
      </c>
      <c r="K35" s="131">
        <f>AnalysisDate-1</f>
        <v>46302</v>
      </c>
      <c r="L35" s="1" t="str">
        <f>TEXT(K35,"dd/mm")</f>
        <v>07/10</v>
      </c>
      <c r="M35" s="54">
        <f>SUMIFS(tblSales[DPP (excl. VAT)],tblSales[Date],K35)/1000000</f>
        <v>38.340000000000003</v>
      </c>
      <c r="N35" s="1" cm="1">
        <f t="array" ref="N35">IFERROR(ROWS(_xlfn.UNIQUE(_xlfn._xlws.FILTER(tblSales[Invoice No],tblSales[Date]=K35))),0)</f>
        <v>8</v>
      </c>
    </row>
    <row r="36" spans="2:14" x14ac:dyDescent="0.35">
      <c r="K36" s="131">
        <f>AnalysisDate-0</f>
        <v>46303</v>
      </c>
      <c r="L36" s="1" t="str">
        <f>TEXT(K36,"dd/mm")</f>
        <v>08/10</v>
      </c>
      <c r="M36" s="54">
        <f>SUMIFS(tblSales[DPP (excl. VAT)],tblSales[Date],K36)/1000000</f>
        <v>48.48</v>
      </c>
      <c r="N36" s="1" cm="1">
        <f t="array" ref="N36">IFERROR(ROWS(_xlfn.UNIQUE(_xlfn._xlws.FILTER(tblSales[Invoice No],tblSales[Date]=K36))),0)</f>
        <v>9</v>
      </c>
    </row>
  </sheetData>
  <mergeCells count="4">
    <mergeCell ref="J2:K2"/>
    <mergeCell ref="O2:Q2"/>
    <mergeCell ref="W2:X2"/>
    <mergeCell ref="Z2:AA2"/>
  </mergeCells>
  <hyperlinks>
    <hyperlink ref="B2" location="'Dashboard'!A1" tooltip="Go to Dashboard" display="🏠 HOME" xr:uid="{DE21009F-A3A0-4EED-9733-02F572E89337}"/>
    <hyperlink ref="D2" location="'Monthly P&amp;L'!A1" tooltip="Go to Monthly P&amp;L" display="◀ PREV" xr:uid="{60B92EB6-4D67-425A-A531-E52371DBCFB4}"/>
    <hyperlink ref="F2" location="'Controls'!A1" tooltip="Go to Controls" display="NEXT ▶" xr:uid="{0B813369-EA00-466B-81AC-21902FCEA46F}"/>
    <hyperlink ref="H2" location="'Dashboard'!B5" tooltip="Go to Dashboard" display="☰ MENU" xr:uid="{D9829D7A-BC22-4A15-9A7A-102065E13A2A}"/>
    <hyperlink ref="J2:K2" location="'General Journal'!A1" tooltip="Go to General Journal" display="Journal" xr:uid="{F705801C-C575-4FB5-ADA3-23AD661952DA}"/>
    <hyperlink ref="M2" location="'Trial Balance'!A1" tooltip="Go to Trial Balance" display="Trial Bal." xr:uid="{9305BA22-4AC1-4770-A4BC-C11A1BE642BC}"/>
    <hyperlink ref="O2:Q2" location="'Income Statement'!A1" tooltip="Go to Income Statement" display="Income St." xr:uid="{C9BE3E18-31F4-4231-9556-D1344F31B402}"/>
    <hyperlink ref="S2" location="'Balance Sheet'!A1" tooltip="Go to Balance Sheet" display="Balance Sh." xr:uid="{ED88EEF0-0C31-40E5-A60C-7F08F49FCC40}"/>
    <hyperlink ref="U2" location="'Tax Reconciliation'!A1" tooltip="Go to Tax Reconciliation" display="Tax Recon" xr:uid="{C88368C4-3CB7-4889-90F0-637B0AFA3172}"/>
    <hyperlink ref="W2:X2" location="'Bank Reconciliation'!A1" tooltip="Go to Bank Reconciliation" display="Bank Recon" xr:uid="{22EA8514-467C-499F-A62F-F957A4C62387}"/>
    <hyperlink ref="Z2:AA2" location="'Controls'!A1" tooltip="Go to Controls" display="Controls" xr:uid="{5CF22B49-0BAB-4348-97A5-AA71460EA8F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6329-1074-4BEE-85EE-97403E043E76}">
  <sheetPr>
    <tabColor rgb="FF64748B"/>
  </sheetPr>
  <dimension ref="A1:BH28"/>
  <sheetViews>
    <sheetView showGridLines="0" workbookViewId="0"/>
  </sheetViews>
  <sheetFormatPr defaultRowHeight="14.5" x14ac:dyDescent="0.35"/>
  <cols>
    <col min="1" max="1" width="1.453125" style="1" customWidth="1"/>
    <col min="2" max="2" width="4.54296875" style="1" customWidth="1"/>
    <col min="3" max="3" width="49.08984375" style="1" customWidth="1"/>
    <col min="4" max="4" width="17.26953125" style="1" customWidth="1"/>
    <col min="5" max="5" width="23.6328125" style="1" customWidth="1"/>
    <col min="6" max="6" width="34.54296875" style="1" customWidth="1"/>
    <col min="7" max="52" width="8.7265625" style="1"/>
  </cols>
  <sheetData>
    <row r="1" spans="1:60" ht="5" customHeight="1" x14ac:dyDescent="0.35"/>
    <row r="2" spans="1:60" ht="18" customHeight="1" thickBot="1" x14ac:dyDescent="0.4">
      <c r="A2" s="307"/>
      <c r="B2" s="312" t="s">
        <v>7075</v>
      </c>
      <c r="C2" s="313"/>
      <c r="D2" s="307"/>
      <c r="E2" s="309" t="s">
        <v>7076</v>
      </c>
      <c r="F2" s="307"/>
      <c r="G2" s="310" t="s">
        <v>7077</v>
      </c>
      <c r="H2" s="311"/>
      <c r="I2" s="307"/>
      <c r="J2" s="312" t="s">
        <v>7078</v>
      </c>
      <c r="K2" s="313"/>
      <c r="L2" s="307"/>
      <c r="M2" s="314" t="s">
        <v>7079</v>
      </c>
      <c r="N2" s="315"/>
      <c r="O2" s="307"/>
      <c r="P2" s="314" t="s">
        <v>7080</v>
      </c>
      <c r="Q2" s="315"/>
      <c r="R2" s="307"/>
      <c r="S2" s="314" t="s">
        <v>7081</v>
      </c>
      <c r="T2" s="315"/>
      <c r="U2" s="307"/>
      <c r="V2" s="314" t="s">
        <v>7082</v>
      </c>
      <c r="W2" s="315"/>
      <c r="X2" s="307"/>
      <c r="Y2" s="314" t="s">
        <v>7083</v>
      </c>
      <c r="Z2" s="315"/>
      <c r="AA2" s="307"/>
      <c r="AB2" s="314" t="s">
        <v>7084</v>
      </c>
      <c r="AC2" s="315"/>
      <c r="AD2" s="307"/>
      <c r="AE2" s="322" t="s">
        <v>7085</v>
      </c>
      <c r="AF2" s="321"/>
      <c r="AG2" s="307"/>
      <c r="AH2" s="307"/>
      <c r="AI2" s="307"/>
      <c r="AJ2" s="307"/>
      <c r="AK2" s="307"/>
      <c r="AL2" s="307"/>
      <c r="AM2" s="307"/>
      <c r="AN2" s="307"/>
      <c r="AO2" s="307"/>
      <c r="AP2" s="307"/>
      <c r="AQ2" s="307"/>
      <c r="AR2" s="307"/>
      <c r="AS2" s="307"/>
      <c r="AT2" s="307"/>
      <c r="AU2" s="307"/>
      <c r="AV2" s="307"/>
      <c r="AW2" s="307"/>
      <c r="AX2" s="307"/>
      <c r="AY2" s="307"/>
      <c r="AZ2" s="307"/>
      <c r="BA2" s="316"/>
      <c r="BB2" s="316"/>
      <c r="BC2" s="316"/>
      <c r="BD2" s="316"/>
      <c r="BE2" s="316"/>
      <c r="BF2" s="316"/>
      <c r="BG2" s="316"/>
      <c r="BH2" s="316"/>
    </row>
    <row r="3" spans="1:60" ht="6" customHeight="1" thickTop="1" x14ac:dyDescent="0.35"/>
    <row r="4" spans="1:60" ht="22" customHeight="1" x14ac:dyDescent="0.35">
      <c r="B4" s="67" t="s">
        <v>6977</v>
      </c>
      <c r="C4" s="67"/>
      <c r="D4" s="67"/>
      <c r="E4" s="67"/>
      <c r="F4" s="67"/>
    </row>
    <row r="6" spans="1:60" x14ac:dyDescent="0.35">
      <c r="B6" s="68" t="s">
        <v>4287</v>
      </c>
      <c r="C6" s="68" t="s">
        <v>6978</v>
      </c>
      <c r="D6" s="68" t="s">
        <v>6979</v>
      </c>
      <c r="E6" s="68" t="s">
        <v>4276</v>
      </c>
      <c r="F6" s="68" t="s">
        <v>6980</v>
      </c>
    </row>
    <row r="7" spans="1:60" x14ac:dyDescent="0.35">
      <c r="B7" s="114">
        <v>1</v>
      </c>
      <c r="C7" s="114" t="s">
        <v>6981</v>
      </c>
      <c r="D7" s="115">
        <f>COA!L9</f>
        <v>0</v>
      </c>
      <c r="E7" s="220" t="str">
        <f>IF(ABS(D7)&lt;1,"✔ OK","✖ CHECK")</f>
        <v>✔ OK</v>
      </c>
      <c r="F7" s="114" t="s">
        <v>6982</v>
      </c>
    </row>
    <row r="8" spans="1:60" x14ac:dyDescent="0.35">
      <c r="B8" s="73">
        <v>2</v>
      </c>
      <c r="C8" s="73" t="s">
        <v>6983</v>
      </c>
      <c r="D8" s="116">
        <f>SUM(tblGJ[Debit])-SUM(tblGJ[Credit])</f>
        <v>0</v>
      </c>
      <c r="E8" s="117" t="str">
        <f>IF(ABS(D8)&lt;1,"✔ OK","✖ CHECK")</f>
        <v>✔ OK</v>
      </c>
      <c r="F8" s="73" t="s">
        <v>6984</v>
      </c>
    </row>
    <row r="9" spans="1:60" x14ac:dyDescent="0.35">
      <c r="B9" s="73">
        <v>3</v>
      </c>
      <c r="C9" s="73" t="s">
        <v>6985</v>
      </c>
      <c r="D9" s="116">
        <f>COUNTIF(tblGJ[Account Name],"⚠*")</f>
        <v>0</v>
      </c>
      <c r="E9" s="117" t="str">
        <f>IF(ABS(D9)&lt;1,"✔ OK","✖ CHECK")</f>
        <v>✔ OK</v>
      </c>
      <c r="F9" s="73" t="s">
        <v>6984</v>
      </c>
    </row>
    <row r="10" spans="1:60" x14ac:dyDescent="0.35">
      <c r="B10" s="73">
        <v>4</v>
      </c>
      <c r="C10" s="73" t="s">
        <v>6986</v>
      </c>
      <c r="D10" s="116">
        <f>'Trial Balance'!O6-'Trial Balance'!P6</f>
        <v>0</v>
      </c>
      <c r="E10" s="117" t="str">
        <f>IF(ABS(D10)&lt;1,"✔ OK","✖ CHECK")</f>
        <v>✔ OK</v>
      </c>
      <c r="F10" s="73" t="s">
        <v>6987</v>
      </c>
    </row>
    <row r="11" spans="1:60" x14ac:dyDescent="0.35">
      <c r="B11" s="73">
        <v>5</v>
      </c>
      <c r="C11" s="73" t="s">
        <v>6988</v>
      </c>
      <c r="D11" s="116">
        <f>'Balance Sheet'!E51</f>
        <v>0</v>
      </c>
      <c r="E11" s="117" t="str">
        <f>IF(ABS(D11)&lt;1,"✔ OK","✖ CHECK")</f>
        <v>✔ OK</v>
      </c>
      <c r="F11" s="73" t="s">
        <v>6989</v>
      </c>
    </row>
    <row r="12" spans="1:60" x14ac:dyDescent="0.35">
      <c r="B12" s="73">
        <v>6</v>
      </c>
      <c r="C12" s="73" t="s">
        <v>6990</v>
      </c>
      <c r="D12" s="116">
        <f>'Balance Sheet'!F51</f>
        <v>0</v>
      </c>
      <c r="E12" s="117" t="str">
        <f>IF(ABS(D12)&lt;1,"✔ OK","✖ CHECK")</f>
        <v>✔ OK</v>
      </c>
      <c r="F12" s="73" t="s">
        <v>6989</v>
      </c>
    </row>
    <row r="13" spans="1:60" x14ac:dyDescent="0.35">
      <c r="B13" s="73">
        <v>7</v>
      </c>
      <c r="C13" s="73" t="s">
        <v>6991</v>
      </c>
      <c r="D13" s="116">
        <f>'Cash Flow'!E42</f>
        <v>0</v>
      </c>
      <c r="E13" s="117" t="str">
        <f>IF(ABS(D13)&lt;1,"✔ OK","✖ CHECK")</f>
        <v>✔ OK</v>
      </c>
      <c r="F13" s="73" t="s">
        <v>6992</v>
      </c>
    </row>
    <row r="14" spans="1:60" x14ac:dyDescent="0.35">
      <c r="B14" s="73">
        <v>8</v>
      </c>
      <c r="C14" s="73" t="s">
        <v>6993</v>
      </c>
      <c r="D14" s="116">
        <f>'Changes in Equity'!G18</f>
        <v>0</v>
      </c>
      <c r="E14" s="117" t="str">
        <f>IF(ABS(D14)&lt;1,"✔ OK","✖ CHECK")</f>
        <v>✔ OK</v>
      </c>
      <c r="F14" s="73" t="s">
        <v>6994</v>
      </c>
    </row>
    <row r="15" spans="1:60" x14ac:dyDescent="0.35">
      <c r="B15" s="73">
        <v>9</v>
      </c>
      <c r="C15" s="73" t="s">
        <v>6995</v>
      </c>
      <c r="D15" s="116">
        <f>SUMIFS(tblSales[DPP (excl. VAT)],tblSales[Date],"&lt;="&amp;PEnd)-Revenue</f>
        <v>0</v>
      </c>
      <c r="E15" s="117" t="str">
        <f>IF(ABS(D15)&lt;1,"✔ OK","✖ CHECK")</f>
        <v>✔ OK</v>
      </c>
      <c r="F15" s="73" t="s">
        <v>6996</v>
      </c>
    </row>
    <row r="16" spans="1:60" x14ac:dyDescent="0.35">
      <c r="B16" s="73">
        <v>10</v>
      </c>
      <c r="C16" s="73" t="s">
        <v>6997</v>
      </c>
      <c r="D16" s="116">
        <f>SUMIFS(tblPurchases[DPP (excl. VAT)],tblPurchases[Date],"&lt;="&amp;PEnd)+SUMIFS(tblPurchases[Input VAT],tblPurchases[Date],"&lt;="&amp;PEnd)-SUMIFS(tblGJ[Debit],tblGJ[Source],"Auto-Purchases",tblGJ[Date],"&lt;="&amp;PEnd)</f>
        <v>0</v>
      </c>
      <c r="E16" s="117" t="str">
        <f>IF(ABS(D16)&lt;1,"✔ OK","✖ CHECK")</f>
        <v>✔ OK</v>
      </c>
      <c r="F16" s="73" t="s">
        <v>6998</v>
      </c>
    </row>
    <row r="17" spans="2:6" x14ac:dyDescent="0.35">
      <c r="B17" s="73">
        <v>11</v>
      </c>
      <c r="C17" s="73" t="s">
        <v>6999</v>
      </c>
      <c r="D17" s="116">
        <f>'Tax Reconciliation'!Q26</f>
        <v>0</v>
      </c>
      <c r="E17" s="117" t="str">
        <f>IF(ABS(D17)&lt;1,"✔ OK","✖ CHECK")</f>
        <v>✔ OK</v>
      </c>
      <c r="F17" s="73" t="s">
        <v>7000</v>
      </c>
    </row>
    <row r="18" spans="2:6" x14ac:dyDescent="0.35">
      <c r="B18" s="73">
        <v>12</v>
      </c>
      <c r="C18" s="73" t="s">
        <v>7001</v>
      </c>
      <c r="D18" s="116">
        <f>SUMIFS(tblFA[NBV at Period End],tblFA[Asset Class],"&lt;&gt;Software")-'Balance Sheet'!E23</f>
        <v>0</v>
      </c>
      <c r="E18" s="117" t="str">
        <f>IF(ABS(D18)&lt;1,"✔ OK","✖ CHECK")</f>
        <v>✔ OK</v>
      </c>
      <c r="F18" s="73" t="s">
        <v>7002</v>
      </c>
    </row>
    <row r="19" spans="2:6" x14ac:dyDescent="0.35">
      <c r="B19" s="73">
        <v>13</v>
      </c>
      <c r="C19" s="73" t="s">
        <v>7003</v>
      </c>
      <c r="D19" s="116">
        <f>SUMIFS(tblFA[NBV at Period End],tblFA[Asset Class],"Software")-'Balance Sheet'!E24</f>
        <v>0</v>
      </c>
      <c r="E19" s="117" t="str">
        <f>IF(ABS(D19)&lt;1,"✔ OK","✖ CHECK")</f>
        <v>✔ OK</v>
      </c>
      <c r="F19" s="73" t="s">
        <v>7002</v>
      </c>
    </row>
    <row r="20" spans="2:6" x14ac:dyDescent="0.35">
      <c r="B20" s="73">
        <v>14</v>
      </c>
      <c r="C20" s="73" t="s">
        <v>7004</v>
      </c>
      <c r="D20" s="116">
        <f>SUM(tblPrepaid[Balance at Period End])-'Balance Sheet'!E18</f>
        <v>0</v>
      </c>
      <c r="E20" s="117" t="str">
        <f>IF(ABS(D20)&lt;1,"✔ OK","✖ CHECK")</f>
        <v>✔ OK</v>
      </c>
      <c r="F20" s="73" t="s">
        <v>7005</v>
      </c>
    </row>
    <row r="21" spans="2:6" x14ac:dyDescent="0.35">
      <c r="B21" s="73">
        <v>15</v>
      </c>
      <c r="C21" s="73" t="s">
        <v>7006</v>
      </c>
      <c r="D21" s="116" cm="1">
        <f t="array" ref="D21">INDEX('Bank Reconciliation'!O8:O19,CutOff)</f>
        <v>0</v>
      </c>
      <c r="E21" s="117" t="str">
        <f>IF(ABS(D21)&lt;1,"✔ OK","✖ CHECK")</f>
        <v>✔ OK</v>
      </c>
      <c r="F21" s="73" t="s">
        <v>7007</v>
      </c>
    </row>
    <row r="22" spans="2:6" x14ac:dyDescent="0.35">
      <c r="B22" s="73">
        <v>16</v>
      </c>
      <c r="C22" s="73" t="s">
        <v>7008</v>
      </c>
      <c r="D22" s="116" cm="1">
        <f t="array" ref="D22">INDEX('Bank Reconciliation'!R8:R19,CutOff)</f>
        <v>0</v>
      </c>
      <c r="E22" s="117" t="str">
        <f>IF(ABS(D22)&lt;1,"✔ OK","✖ CHECK")</f>
        <v>✔ OK</v>
      </c>
      <c r="F22" s="73" t="s">
        <v>7007</v>
      </c>
    </row>
    <row r="23" spans="2:6" x14ac:dyDescent="0.35">
      <c r="B23" s="73">
        <v>17</v>
      </c>
      <c r="C23" s="73" t="s">
        <v>7009</v>
      </c>
      <c r="D23" s="116">
        <f>COUNTIF('Tax Reconciliation'!R10:R48,"✖*")+COUNTIF('Tax Reconciliation'!H82:H89,"✖*")</f>
        <v>0</v>
      </c>
      <c r="E23" s="117" t="str">
        <f>IF(ABS(D23)&lt;1,"✔ OK","✖ CHECK")</f>
        <v>✔ OK</v>
      </c>
      <c r="F23" s="73" t="s">
        <v>7010</v>
      </c>
    </row>
    <row r="24" spans="2:6" x14ac:dyDescent="0.35">
      <c r="B24" s="73">
        <v>18</v>
      </c>
      <c r="C24" s="73" t="s">
        <v>7011</v>
      </c>
      <c r="D24" s="116">
        <f>COUNTIF(tblSales[Customer Name],"⚠*")+COUNTIF(tblSales[Product / Service],"⚠*")</f>
        <v>0</v>
      </c>
      <c r="E24" s="117" t="str">
        <f>IF(ABS(D24)&lt;1,"✔ OK","✖ CHECK")</f>
        <v>✔ OK</v>
      </c>
      <c r="F24" s="73" t="s">
        <v>6956</v>
      </c>
    </row>
    <row r="25" spans="2:6" x14ac:dyDescent="0.35">
      <c r="B25" s="73">
        <v>19</v>
      </c>
      <c r="C25" s="73" t="s">
        <v>7012</v>
      </c>
      <c r="D25" s="116">
        <f>COUNTIF(tblPurchases[Vendor Name],"⚠*")+COUNTIF(tblPurchases[Account Name],"⚠*")</f>
        <v>0</v>
      </c>
      <c r="E25" s="117" t="str">
        <f>IF(ABS(D25)&lt;1,"✔ OK","✖ CHECK")</f>
        <v>✔ OK</v>
      </c>
      <c r="F25" s="73" t="s">
        <v>6998</v>
      </c>
    </row>
    <row r="26" spans="2:6" x14ac:dyDescent="0.35">
      <c r="B26" s="74">
        <v>20</v>
      </c>
      <c r="C26" s="74" t="s">
        <v>7013</v>
      </c>
      <c r="D26" s="129">
        <f>COUNTIFS(tblBank[Status],"✖*",tblBank[Value Date],"&lt;="&amp;PEnd)</f>
        <v>6</v>
      </c>
      <c r="E26" s="208" t="str">
        <f>IF(D26=0,"✔ OK","⚠ "&amp;D26&amp;" item(s) to book")</f>
        <v>⚠ 6 item(s) to book</v>
      </c>
      <c r="F26" s="74" t="s">
        <v>7014</v>
      </c>
    </row>
    <row r="27" spans="2:6" x14ac:dyDescent="0.35">
      <c r="E27" s="2"/>
    </row>
    <row r="28" spans="2:6" x14ac:dyDescent="0.35">
      <c r="B28" s="2" t="s">
        <v>7015</v>
      </c>
      <c r="E28" s="2" t="str">
        <f>IF(COUNTIF(E7:E26,"✖*")=0,"✔ ALL CONTROLS OK","✖ "&amp;COUNTIF(E7:E26,"✖*")&amp;" CONTROL(S) FAILED")</f>
        <v>✔ ALL CONTROLS OK</v>
      </c>
    </row>
  </sheetData>
  <mergeCells count="10">
    <mergeCell ref="V2:W2"/>
    <mergeCell ref="Y2:Z2"/>
    <mergeCell ref="AB2:AC2"/>
    <mergeCell ref="AE2:AF2"/>
    <mergeCell ref="B2:C2"/>
    <mergeCell ref="G2:H2"/>
    <mergeCell ref="J2:K2"/>
    <mergeCell ref="M2:N2"/>
    <mergeCell ref="P2:Q2"/>
    <mergeCell ref="S2:T2"/>
  </mergeCells>
  <conditionalFormatting sqref="E7:E28">
    <cfRule type="containsText" dxfId="14" priority="1" operator="containsText" text="✔">
      <formula>NOT(ISERROR(SEARCH("✔",E7)))</formula>
    </cfRule>
  </conditionalFormatting>
  <conditionalFormatting sqref="E7:E28">
    <cfRule type="containsText" dxfId="13" priority="2" operator="containsText" text="✖">
      <formula>NOT(ISERROR(SEARCH("✖",E7)))</formula>
    </cfRule>
  </conditionalFormatting>
  <conditionalFormatting sqref="E7:E28">
    <cfRule type="containsText" dxfId="12" priority="3" operator="containsText" text="⚠">
      <formula>NOT(ISERROR(SEARCH("⚠",E7)))</formula>
    </cfRule>
  </conditionalFormatting>
  <hyperlinks>
    <hyperlink ref="B2:C2" location="'Dashboard'!A1" tooltip="Go to Dashboard" display="🏠 HOME" xr:uid="{15C968F0-5B77-41CC-B00E-8D5A59E2180E}"/>
    <hyperlink ref="E2" location="'Dashboard Data'!A1" tooltip="Go to Dashboard Data" display="◀ PREV" xr:uid="{1ECB2669-A8BC-4EAF-B771-9C5396EF8652}"/>
    <hyperlink ref="G2:H2" location="'Dashboard'!A1" tooltip="Go to Dashboard" display="NEXT ▶" xr:uid="{8BEFCC24-AE8A-48FF-BD82-E72CDB2B095F}"/>
    <hyperlink ref="J2:K2" location="'Dashboard'!B5" tooltip="Go to Dashboard" display="☰ MENU" xr:uid="{6EB40954-41DB-4EC7-BA26-8290ACBFF8EC}"/>
    <hyperlink ref="M2:N2" location="'General Journal'!A1" tooltip="Go to General Journal" display="Journal" xr:uid="{DA3440A7-4C0C-40CD-8AB0-6272D05B56BA}"/>
    <hyperlink ref="P2:Q2" location="'Trial Balance'!A1" tooltip="Go to Trial Balance" display="Trial Bal." xr:uid="{BEED30AB-502F-4769-81B3-E22936159260}"/>
    <hyperlink ref="S2:T2" location="'Income Statement'!A1" tooltip="Go to Income Statement" display="Income St." xr:uid="{5BF31741-BD1B-4565-9D4C-3DDE258D54BB}"/>
    <hyperlink ref="V2:W2" location="'Balance Sheet'!A1" tooltip="Go to Balance Sheet" display="Balance Sh." xr:uid="{C7D63C34-CC26-4A36-969A-98EAA74578EA}"/>
    <hyperlink ref="Y2:Z2" location="'Tax Reconciliation'!A1" tooltip="Go to Tax Reconciliation" display="Tax Recon" xr:uid="{FA212F93-9C02-427C-875C-9F256F9755FB}"/>
    <hyperlink ref="AB2:AC2" location="'Bank Reconciliation'!A1" tooltip="Go to Bank Reconciliation" display="Bank Recon" xr:uid="{DF5F35D8-6FE4-4B78-AAD0-EEB9355AE773}"/>
    <hyperlink ref="AE2:AF2" location="'Controls'!A1" tooltip="You are here" display="Controls" xr:uid="{4FEAD3EB-88BF-44E9-B1F5-EAECA37E82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57</vt:i4>
      </vt:variant>
    </vt:vector>
  </HeadingPairs>
  <TitlesOfParts>
    <vt:vector size="86" baseType="lpstr">
      <vt:lpstr>Dashboard</vt:lpstr>
      <vt:lpstr>Company Info</vt:lpstr>
      <vt:lpstr>Industry Profile</vt:lpstr>
      <vt:lpstr>COA</vt:lpstr>
      <vt:lpstr>Customers</vt:lpstr>
      <vt:lpstr>Vendors</vt:lpstr>
      <vt:lpstr>Employees</vt:lpstr>
      <vt:lpstr>Products</vt:lpstr>
      <vt:lpstr>Sales</vt:lpstr>
      <vt:lpstr>Purchases</vt:lpstr>
      <vt:lpstr>Payroll</vt:lpstr>
      <vt:lpstr>Fixed Assets</vt:lpstr>
      <vt:lpstr>Prepaid Schedule</vt:lpstr>
      <vt:lpstr>General Journal</vt:lpstr>
      <vt:lpstr>General Ledger</vt:lpstr>
      <vt:lpstr>Trial Balance</vt:lpstr>
      <vt:lpstr>Income Statement</vt:lpstr>
      <vt:lpstr>Balance Sheet</vt:lpstr>
      <vt:lpstr>Changes in Equity</vt:lpstr>
      <vt:lpstr>Cash Flow</vt:lpstr>
      <vt:lpstr>Notes to FS</vt:lpstr>
      <vt:lpstr>Tax Reconciliation</vt:lpstr>
      <vt:lpstr>Bank Statement</vt:lpstr>
      <vt:lpstr>Bank Reconciliation</vt:lpstr>
      <vt:lpstr>Sales Invoice</vt:lpstr>
      <vt:lpstr>Ratios</vt:lpstr>
      <vt:lpstr>Monthly P&amp;L</vt:lpstr>
      <vt:lpstr>Dashboard Data</vt:lpstr>
      <vt:lpstr>Controls</vt:lpstr>
      <vt:lpstr>AnalysisDate</vt:lpstr>
      <vt:lpstr>BPJSKesCap</vt:lpstr>
      <vt:lpstr>CashBS</vt:lpstr>
      <vt:lpstr>CFF</vt:lpstr>
      <vt:lpstr>CFI</vt:lpstr>
      <vt:lpstr>CFO</vt:lpstr>
      <vt:lpstr>CITRate</vt:lpstr>
      <vt:lpstr>CompanyName</vt:lpstr>
      <vt:lpstr>CompDate</vt:lpstr>
      <vt:lpstr>CompLabel</vt:lpstr>
      <vt:lpstr>ControlStatus</vt:lpstr>
      <vt:lpstr>CurLabel</vt:lpstr>
      <vt:lpstr>CutOff</vt:lpstr>
      <vt:lpstr>Fac31E</vt:lpstr>
      <vt:lpstr>Fac31ELimit</vt:lpstr>
      <vt:lpstr>FinanceCosts</vt:lpstr>
      <vt:lpstr>FYear</vt:lpstr>
      <vt:lpstr>GrossProfit</vt:lpstr>
      <vt:lpstr>Industry</vt:lpstr>
      <vt:lpstr>IP_CostLabel</vt:lpstr>
      <vt:lpstr>IP_Desc</vt:lpstr>
      <vt:lpstr>IP_InvLabel</vt:lpstr>
      <vt:lpstr>IP_Policy</vt:lpstr>
      <vt:lpstr>IP_RevLabel</vt:lpstr>
      <vt:lpstr>IP_Unit</vt:lpstr>
      <vt:lpstr>JPCap</vt:lpstr>
      <vt:lpstr>NetIncome</vt:lpstr>
      <vt:lpstr>OpProfit</vt:lpstr>
      <vt:lpstr>PBT</vt:lpstr>
      <vt:lpstr>PEnd</vt:lpstr>
      <vt:lpstr>PeriodTitle</vt:lpstr>
      <vt:lpstr>PPh25Inst</vt:lpstr>
      <vt:lpstr>'Sales Invoice'!Print_Area</vt:lpstr>
      <vt:lpstr>PStart</vt:lpstr>
      <vt:lpstr>R_JHTEe</vt:lpstr>
      <vt:lpstr>R_JHTEr</vt:lpstr>
      <vt:lpstr>R_JKK</vt:lpstr>
      <vt:lpstr>R_JKM</vt:lpstr>
      <vt:lpstr>R_JPEe</vt:lpstr>
      <vt:lpstr>R_JPEr</vt:lpstr>
      <vt:lpstr>R_KesEe</vt:lpstr>
      <vt:lpstr>R_KesEr</vt:lpstr>
      <vt:lpstr>Revenue</vt:lpstr>
      <vt:lpstr>TerA_L</vt:lpstr>
      <vt:lpstr>TerA_R</vt:lpstr>
      <vt:lpstr>TerB_L</vt:lpstr>
      <vt:lpstr>TerB_R</vt:lpstr>
      <vt:lpstr>TerC_L</vt:lpstr>
      <vt:lpstr>TerC_R</vt:lpstr>
      <vt:lpstr>TotalAssets</vt:lpstr>
      <vt:lpstr>TotalEquity</vt:lpstr>
      <vt:lpstr>TotalLiab</vt:lpstr>
      <vt:lpstr>VATEff</vt:lpstr>
      <vt:lpstr>VATFactor</vt:lpstr>
      <vt:lpstr>VATRate</vt:lpstr>
      <vt:lpstr>WHTRates</vt:lpstr>
      <vt:lpstr>WHTTypes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Afreshia Laff</dc:creator>
  <cp:lastModifiedBy>Afreshia Laff</cp:lastModifiedBy>
  <dcterms:created xsi:type="dcterms:W3CDTF">2026-10-08T00:27:51Z</dcterms:created>
  <dcterms:modified xsi:type="dcterms:W3CDTF">2026-10-08T04:33:08Z</dcterms:modified>
</cp:coreProperties>
</file>